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codeName="{316AF4FF-6532-DD95-964C-923D217D005E}"/>
  <workbookPr showInkAnnotation="0" codeName="ThisWorkbook" defaultThemeVersion="124226"/>
  <mc:AlternateContent xmlns:mc="http://schemas.openxmlformats.org/markup-compatibility/2006">
    <mc:Choice Requires="x15">
      <x15ac:absPath xmlns:x15ac="http://schemas.microsoft.com/office/spreadsheetml/2010/11/ac" url="D:\Sabrina\Jeux de rôles\Warhammer\"/>
    </mc:Choice>
  </mc:AlternateContent>
  <xr:revisionPtr revIDLastSave="0" documentId="13_ncr:1_{DE4C40BA-BA6A-489B-ACC8-5C1FA545CEBE}" xr6:coauthVersionLast="45" xr6:coauthVersionMax="45" xr10:uidLastSave="{00000000-0000-0000-0000-000000000000}"/>
  <bookViews>
    <workbookView xWindow="-108" yWindow="-108" windowWidth="23256" windowHeight="12576" tabRatio="891" xr2:uid="{00000000-000D-0000-FFFF-FFFF00000000}"/>
  </bookViews>
  <sheets>
    <sheet name="Intro" sheetId="19" r:id="rId1"/>
    <sheet name="Tables de création" sheetId="18" r:id="rId2"/>
    <sheet name="page 1" sheetId="2" r:id="rId3"/>
    <sheet name="page 2" sheetId="1" r:id="rId4"/>
    <sheet name="page 3" sheetId="15" r:id="rId5"/>
    <sheet name="page 4" sheetId="7" r:id="rId6"/>
    <sheet name="page 5" sheetId="20" r:id="rId7"/>
    <sheet name="Stat Block" sheetId="17" r:id="rId8"/>
    <sheet name="historique d'expérience" sheetId="4" r:id="rId9"/>
    <sheet name="tableaux" sheetId="3" state="hidden" r:id="rId10"/>
    <sheet name="Magie" sheetId="6" r:id="rId11"/>
    <sheet name="listes magies" sheetId="8" state="hidden" r:id="rId12"/>
    <sheet name="Armes" sheetId="10" r:id="rId13"/>
    <sheet name="Armures" sheetId="12" r:id="rId14"/>
    <sheet name="Equipement" sheetId="14" r:id="rId15"/>
    <sheet name="Obj.Magiques et Rituels" sheetId="16" r:id="rId16"/>
    <sheet name="Gestion" sheetId="13" state="hidden" r:id="rId17"/>
  </sheets>
  <definedNames>
    <definedName name="_xlnm._FilterDatabase" localSheetId="10" hidden="1">Magie!$B$87:$D$98</definedName>
    <definedName name="_xlnm._FilterDatabase" localSheetId="9" hidden="1">tableaux!$S$1:$AO$1115</definedName>
    <definedName name="A">'page 1'!$F$30</definedName>
    <definedName name="a_e">tableaux!$BM$22:$BM$112</definedName>
    <definedName name="a_h">tableaux!$BM$4:$BM$27</definedName>
    <definedName name="a_half">tableaux!$BM$9:$BM$22</definedName>
    <definedName name="a_n">tableaux!$BM$2:$BM$117</definedName>
    <definedName name="a_s">tableaux!$BM$2:$BM$12</definedName>
    <definedName name="Ag">'page 1'!$J$23</definedName>
    <definedName name="AL">Armes!$A$27:$A$28</definedName>
    <definedName name="Alc">Equipement!$A$261:$A$284</definedName>
    <definedName name="Ale">Equipement!$A$285:$A$300</definedName>
    <definedName name="AllCareers">Intro!$K$15</definedName>
    <definedName name="Alph" comment="Alphabet" localSheetId="3">tableaux!$DL$2:$DL$7</definedName>
    <definedName name="Alph" comment="Alphabet secret" localSheetId="9">tableaux!$DL$2:$DL$7</definedName>
    <definedName name="Alph2">tableaux!$DL$2:$DL$7</definedName>
    <definedName name="AM">Armes!$A$2:$A$9</definedName>
    <definedName name="An">Equipement!$A$3:$A$124</definedName>
    <definedName name="Animaux">tableaux!$FB$2:$FB$183</definedName>
    <definedName name="AP">Armes!$A$10:$A$22</definedName>
    <definedName name="APe">Armes!$A$129:$A$131</definedName>
    <definedName name="AR">Armes!$A$23:$A$26</definedName>
    <definedName name="Armes">Armes!$A$2:$A$131</definedName>
    <definedName name="Armure_complète">Armures!$A$3:$A$12</definedName>
    <definedName name="Armures">Armures!$A$13:$A$52</definedName>
    <definedName name="Attributs">tableaux!$DA$2:$DA$104</definedName>
    <definedName name="B">'page 1'!$G$30</definedName>
    <definedName name="BE">'page 1'!$I$30</definedName>
    <definedName name="BF">'page 1'!$H$30</definedName>
    <definedName name="bi">Equipement!$A$865:$A$906</definedName>
    <definedName name="bizarreries">tableaux!$GC$3:$GC$43</definedName>
    <definedName name="bo">Equipement!$A$301:$A$310</definedName>
    <definedName name="c_a" comment="Connaissances académiques">tableaux!$DM$2:$DM$20</definedName>
    <definedName name="c_elfe">tableaux!$BA$2:$BA$9</definedName>
    <definedName name="c_h">tableaux!$BB$2:$BB$12</definedName>
    <definedName name="c_nain">tableaux!$BC$2:$BC$11</definedName>
    <definedName name="calcul_revenus">Gestion!$A$233:$A$257</definedName>
    <definedName name="caractéristique">tableaux!$L$2:$L$7</definedName>
    <definedName name="caractéristique_associée">tableaux!$K$2:$K$29</definedName>
    <definedName name="caractéristique2">tableaux!$AD$1:$AO$1</definedName>
    <definedName name="caractéristiques_talents_compétences">tableaux!$CY$2:$CY$195</definedName>
    <definedName name="CareerType">Intro!$K$21</definedName>
    <definedName name="carrières">tableaux!$S$3:$S$365</definedName>
    <definedName name="catégorie">tableaux!$CU$2:$CU$13</definedName>
    <definedName name="Cav">Armes!$A$29:$A$30</definedName>
    <definedName name="CC">'page 1'!$F$23</definedName>
    <definedName name="clans_skaven">tableaux!$CS$2:$CS$57</definedName>
    <definedName name="co">Equipement!$A$907:$A$926</definedName>
    <definedName name="compétences_avancées">tableaux!$J$2:$J$29</definedName>
    <definedName name="con_gen" comment="Connaissances générales">tableaux!$DO$2:$DO$47</definedName>
    <definedName name="con_gen1">tableaux!$DO$2:$DO$47</definedName>
    <definedName name="CT">'page 1'!$G$23</definedName>
    <definedName name="d">tableaux!$GG$31:$GG$40</definedName>
    <definedName name="d_d">Magie!$B$21:$B$45</definedName>
    <definedName name="DateN">'page 1'!$Z$12</definedName>
    <definedName name="dd" comment="Domaines Divins">Magie!$B$21:$B$45</definedName>
    <definedName name="Dieu">'page 1'!$K$7</definedName>
    <definedName name="Dieux">tableaux!$EQ$2:$EQ$76</definedName>
    <definedName name="disponibilité">tableaux!$A$9:$A$17</definedName>
    <definedName name="don_dame">tableaux!$EM$18:$EM$22</definedName>
    <definedName name="don_du_sang">tableaux!$EM$105:$EM$157</definedName>
    <definedName name="don_Khaine">tableaux!$EM$158:$EM$161</definedName>
    <definedName name="don_Khorne">tableaux!$EM$2:$EM$17</definedName>
    <definedName name="don_Nurgle">tableaux!$EM$23:$EM$34</definedName>
    <definedName name="don_Slaanesh">tableaux!$EM$35:$EM$46</definedName>
    <definedName name="don_Tzeentch">tableaux!$EM$47:$EM$59</definedName>
    <definedName name="drog">Equipement!$A$562:$A$589</definedName>
    <definedName name="dw">Magie!$B$85:$B$86</definedName>
    <definedName name="E">'page 1'!$I$23</definedName>
    <definedName name="Ec">Equipement!$A$125:$A$137</definedName>
    <definedName name="epik">tableaux!$FB$2:$FB$51</definedName>
    <definedName name="Epis">Equipement!$A$335:$A$372</definedName>
    <definedName name="Eq">Equipement!$A$150:$A$169</definedName>
    <definedName name="Er">Equipement!$A$138:$A$149</definedName>
    <definedName name="ES">Armes!$A$36:$A$40</definedName>
    <definedName name="Eth">tableaux!$BS$2:$BS$26</definedName>
    <definedName name="ethnies2">tableaux!$BR$2:$BR$18</definedName>
    <definedName name="EX">Armes!$A$41:$A$53</definedName>
    <definedName name="Exp">Armes!$A$54:$A$55</definedName>
    <definedName name="exp_art">tableaux!$DS$2:$DS$15</definedName>
    <definedName name="F">'page 1'!$H$23</definedName>
    <definedName name="f_elfe">tableaux!$BL$2:$BL$5</definedName>
    <definedName name="f_halfling">tableaux!$BL$3:$BL$7</definedName>
    <definedName name="f_humain">tableaux!$BL$2:$BL$6</definedName>
    <definedName name="f_nain">tableaux!$BL$2:$BL$5</definedName>
    <definedName name="f_skaven">tableaux!$BL$4:$BL$19</definedName>
    <definedName name="fam">tableaux!$FB$52:$FB$117</definedName>
    <definedName name="Far">Equipement!$A$373:$A$384</definedName>
    <definedName name="FirstCareer">'page 1'!$E$8</definedName>
    <definedName name="FL">Armes!$A$56:$A$62</definedName>
    <definedName name="FM">'page 1'!$L$23</definedName>
    <definedName name="Folie1">'page 2'!$T$51</definedName>
    <definedName name="Folie2">'page 2'!$T$52</definedName>
    <definedName name="Folie3">'page 2'!$T$53</definedName>
    <definedName name="Folie5">'page 2'!$T$55</definedName>
    <definedName name="folies">tableaux!$DV$2:$DV$35</definedName>
    <definedName name="form_an">tableaux!$FB$52:$FB$183</definedName>
    <definedName name="Fru">Equipement!$A$385:$A$410</definedName>
    <definedName name="g">tableaux!$GG$201:$GG$210</definedName>
    <definedName name="groupe_arme">Armes!$P$2:$P$18</definedName>
    <definedName name="h">tableaux!$GG$141:$GG$150</definedName>
    <definedName name="huil">Equipement!$A$411:$A$422</definedName>
    <definedName name="i">tableaux!$GG$151:$GG$160</definedName>
    <definedName name="Int">'page 1'!$K$23</definedName>
    <definedName name="j">tableaux!$GG$60:$GG$69</definedName>
    <definedName name="jet">Armes!$A$31:$A$35</definedName>
    <definedName name="k">tableaux!$GG$161:$GG$170</definedName>
    <definedName name="lang_myst">tableaux!$DR$2:$DR$10</definedName>
    <definedName name="langue_secret">tableaux!$DP$3:$DP$15</definedName>
    <definedName name="langues">tableaux!$DQ$2:$DQ$44</definedName>
    <definedName name="leg">Equipement!$A$423:$A$443</definedName>
    <definedName name="LI">Equipement!$A$1084:$A$1358</definedName>
    <definedName name="LO">Armes!$A$65:$A$75</definedName>
    <definedName name="localisation">tableaux!$CZ$2:$CZ$5</definedName>
    <definedName name="LP">Armes!$A$63:$A$64</definedName>
    <definedName name="M">'page 1'!$J$30</definedName>
    <definedName name="m_c">Magie!$B$47:$B$60</definedName>
    <definedName name="m_d">Magie!$B$3:$B$20</definedName>
    <definedName name="m_h">Magie!$B$82:$B$84</definedName>
    <definedName name="ma">tableaux!$GG$12:$GG$21</definedName>
    <definedName name="Mag">'page 1'!$K$30</definedName>
    <definedName name="magie_commune_divine">Magie!$B$137:$B$142</definedName>
    <definedName name="mal">tableaux!$DX$2:$DX$26</definedName>
    <definedName name="maladies">tableaux!$DT$2:$DT$41</definedName>
    <definedName name="masculin">tableaux!$BN$3</definedName>
    <definedName name="mc">tableaux!$GG$22:$GG$30</definedName>
    <definedName name="me">tableaux!$GG$70:$GG$79</definedName>
    <definedName name="Méca">Armes!$A$76:$A$81</definedName>
    <definedName name="Métiers">tableaux!$DD$3:$DD$132</definedName>
    <definedName name="mf">tableaux!$GG$41:$GG$49</definedName>
    <definedName name="mg_com" comment="Magie Commune">tableaux!$EC$2:$EC$10</definedName>
    <definedName name="mg_com_gen" comment="Magie commune générale">Magie!$B$137:$B$186</definedName>
    <definedName name="mg_h" comment="Magie haute">Magie!$B$82:$B$84</definedName>
    <definedName name="mg_min" comment="Magie Mineure">Magie!$B$104:$B$136</definedName>
    <definedName name="mg_vulg" comment="Magie Vulgaire">Magie!$B$143:$B$445</definedName>
    <definedName name="ml">tableaux!$GG$50:$GG$59</definedName>
    <definedName name="Mo">Equipement!$A$215:$A$234</definedName>
    <definedName name="mont">tableaux!$FB$118:$FB$183</definedName>
    <definedName name="MT">Equipement!$A$170:$A$214</definedName>
    <definedName name="mtr" comment="Maîtrise d'armes">tableaux!$DC$2:$DC$17</definedName>
    <definedName name="Mu">Equipement!$A$237:$A$260</definedName>
    <definedName name="Mutant">'page 2'!$AB$43</definedName>
    <definedName name="mutations">tableaux!$DZ$2:$DZ$179</definedName>
    <definedName name="mw">Magie!$B$85:$B$86</definedName>
    <definedName name="n">tableaux!$GG$102:$GG$111</definedName>
    <definedName name="n_em">tableaux!$CM$2:$CM$611</definedName>
    <definedName name="n_na">tableaux!$CO$2:$CO$379</definedName>
    <definedName name="nf_elfe">tableaux!$CD$2:$CD$166</definedName>
    <definedName name="nf_halfling">tableaux!$CF$2:$CF$46</definedName>
    <definedName name="nf_humain">tableaux!$CH$2:$CH$290</definedName>
    <definedName name="nf_nain">tableaux!$CJ$2:$CJ$52</definedName>
    <definedName name="nfe">tableaux!$CQ$2:$CQ$39</definedName>
    <definedName name="nh_elfe">tableaux!$CC$2:$CC$228</definedName>
    <definedName name="nh_halfling">tableaux!$CE$2:$CE$66</definedName>
    <definedName name="nh_humain">tableaux!$CG$2:$CG$404</definedName>
    <definedName name="nh_nain">tableaux!$CI$2:$CI$63</definedName>
    <definedName name="No">Equipement!$A$444:$A$490</definedName>
    <definedName name="nom_anim">tableaux!$GF$2:$GF$1113</definedName>
    <definedName name="Nom_ca">tableaux!$CP$2:$CP$38</definedName>
    <definedName name="nom_elfe">tableaux!$CL$2:$CL$109</definedName>
    <definedName name="nom_halfling">tableaux!$CN$2:$CN$106</definedName>
    <definedName name="nom_humain">tableaux!$CM$2:$CM$587</definedName>
    <definedName name="nom_nain">tableaux!$CO$2:$CO$379</definedName>
    <definedName name="nom_skav">tableaux!$CK$2:$CK$314</definedName>
    <definedName name="noti">tableaux!$CR$2:$CR$1160</definedName>
    <definedName name="o">tableaux!$GG$2:$GG$11</definedName>
    <definedName name="Obj_an">tableaux!$FB$184:$FB$222</definedName>
    <definedName name="Objets_magiques">'Obj.Magiques et Rituels'!$A$2:$A$237</definedName>
    <definedName name="OR">Armes!$A$82:$A$120</definedName>
    <definedName name="Ordre">'page 1'!$K$6</definedName>
    <definedName name="Ordres">tableaux!$EU$2:$EU$289</definedName>
    <definedName name="ou">Equipement!$A$492:$A$562</definedName>
    <definedName name="p">tableaux!$GG$171:$GG$180</definedName>
    <definedName name="p_a">tableaux!$ED$2:$ED$43</definedName>
    <definedName name="p_aut">tableaux!$ED$80:$ED$84</definedName>
    <definedName name="p_b">tableaux!$ED$44:$ED$57</definedName>
    <definedName name="p_c">tableaux!$ED$58:$ED$79</definedName>
    <definedName name="p_e">tableaux!$ED$85:$ED$99</definedName>
    <definedName name="p_f">tableaux!$ED$100:$ED$116</definedName>
    <definedName name="p_g">tableaux!$ED$192:$ED$195</definedName>
    <definedName name="p_h">tableaux!$ED$117:$ED$118</definedName>
    <definedName name="p_i">tableaux!$ED$119:$ED$126</definedName>
    <definedName name="p_j">tableaux!$ED$196:$ED$199</definedName>
    <definedName name="p_k">tableaux!$ED$128:$ED$136</definedName>
    <definedName name="p_l">tableaux!$ED$137:$ED$141</definedName>
    <definedName name="p_leg">tableaux!$BQ$2:$BQ$17</definedName>
    <definedName name="p_lourd">tableaux!$BQ$29:$BQ$132</definedName>
    <definedName name="p_m">tableaux!$ED$200:$ED$202</definedName>
    <definedName name="p_moyen">tableaux!$BQ$14:$BQ$42</definedName>
    <definedName name="p_n">tableaux!$ED$142:$ED$156</definedName>
    <definedName name="p_nain">tableaux!$BQ$7:$BQ$34</definedName>
    <definedName name="p_o">tableaux!$ED$203:$ED$210</definedName>
    <definedName name="p_p">tableaux!$ED$157:$ED$160</definedName>
    <definedName name="p_q">tableaux!$ED$211:$ED$216</definedName>
    <definedName name="p_r">tableaux!$ED$217:$ED$221</definedName>
    <definedName name="p_s">tableaux!$ED$167:$ED$171</definedName>
    <definedName name="p_t">tableaux!$ED$173:$ED$180</definedName>
    <definedName name="p_u">tableaux!$ED$181:$ED$191</definedName>
    <definedName name="PAR">Armes!$A$121:$A$123</definedName>
    <definedName name="Paral">Armes!$A$124:$A$128</definedName>
    <definedName name="Pays">'page 1'!$C$5</definedName>
    <definedName name="PB">Equipement!$A$656:$A$692</definedName>
    <definedName name="PD">'page 1'!$M$30</definedName>
    <definedName name="personnalité">tableaux!$GA$2:$GA$237</definedName>
    <definedName name="PF">'page 1'!$L$30</definedName>
    <definedName name="po">Equipement!$A$590:$A$642</definedName>
    <definedName name="poil_sk">tableaux!$BD$2:$BD1</definedName>
    <definedName name="Pot">Equipement!$A$693:$A$725</definedName>
    <definedName name="pouv_fam">tableaux!$FZ$2:$FZ$8</definedName>
    <definedName name="PP">Equipement!$A$927:$A$997</definedName>
    <definedName name="pr">Equipement!$A$726:$A$737</definedName>
    <definedName name="prov">tableaux!$ED:$ED</definedName>
    <definedName name="Province">'page 1'!$K$5</definedName>
    <definedName name="q">tableaux!$GG$131:$GG$140</definedName>
    <definedName name="qualité">tableaux!$DH$1:$DK$1</definedName>
    <definedName name="r_m" comment="Runes majeures">'listes magies'!$CP$3:$CP$19</definedName>
    <definedName name="r_p" comment="Runes perdues">'listes magies'!$CQ$3:$CQ$21</definedName>
    <definedName name="race">tableaux!$M$2:$M$11</definedName>
    <definedName name="race2" comment="Serviteurs uniquement">tableaux!$M$14:$M$18</definedName>
    <definedName name="RaceSeviteur">'page 5'!$C$7</definedName>
    <definedName name="re">Equipement!$A$739:$A$779</definedName>
    <definedName name="réc_du_Chaos">tableaux!$EM$60:$EM$74</definedName>
    <definedName name="relation">tableaux!$GB$2:$GB$6</definedName>
    <definedName name="rituels">'Obj.Magiques et Rituels'!$G$2:$G$35</definedName>
    <definedName name="rl">Equipement!$A$780:$A$794</definedName>
    <definedName name="ru" comment="Runes">'listes magies'!$CO$3:$CO$25</definedName>
    <definedName name="s">tableaux!$GG$80:$GG$101</definedName>
    <definedName name="s_o">Magie!$B$61:$B$76</definedName>
    <definedName name="s_s">Magie!$B$87:$B$98</definedName>
    <definedName name="Sciences">tableaux!$DN$2:$DN$17</definedName>
    <definedName name="SelectRace">'page 1'!$C$4</definedName>
    <definedName name="Selectsousrace">'page 1'!$K$4</definedName>
    <definedName name="serviteur">tableaux!$FB$224:$FB$309</definedName>
    <definedName name="sexe">tableaux!$BN$2:$BN$3</definedName>
    <definedName name="sfn" comment="Savoir-Faire Nain">tableaux!$EB$2:$EB$12</definedName>
    <definedName name="Sh">tableaux!$GG$221:$GG$230</definedName>
    <definedName name="signe">tableaux!$BO$2:$BO$57</definedName>
    <definedName name="signe_astral">tableaux!$N$2:$N$21</definedName>
    <definedName name="sm">Magie!$B$62:$B$76</definedName>
    <definedName name="Soc">'page 1'!$M$23</definedName>
    <definedName name="sombres_savoirs">Magie!$B$87:$B$98</definedName>
    <definedName name="Sorts">Magie!$B:$B</definedName>
    <definedName name="Sous_races">tableaux!$EG$2:$EG$64</definedName>
    <definedName name="ss_o" comment="Savoirs Occultes">Magie!$B$87:$B$98</definedName>
    <definedName name="Stat_marital">tableaux!$GL$2:$GL$7</definedName>
    <definedName name="su">Equipement!$A$796:$A$849</definedName>
    <definedName name="Sw">tableaux!$GG$211:$GG$220</definedName>
    <definedName name="t">Equipement!$A$851:$A$861</definedName>
    <definedName name="t_g">tableaux!$BP$38:$BP$46</definedName>
    <definedName name="t_m">tableaux!$BP$24:$BP$43</definedName>
    <definedName name="t_p">tableaux!$BP$2:$BP$16</definedName>
    <definedName name="Tab">Equipement!$A$643:$A$655</definedName>
    <definedName name="talents">tableaux!$H$2:$H$137</definedName>
    <definedName name="TalentsMutation">tableaux!$H$2:$H$137,tableaux!$DZ$2:$DZ$179</definedName>
    <definedName name="TO">Equipement!$A$1337:$A$1358</definedName>
    <definedName name="tr">Equipement!$A$998:$A$1016</definedName>
    <definedName name="tr_so">Magie!$B$77:$B$81</definedName>
    <definedName name="trc" comment="Traditions de Sorcière">Magie!$B$77:$B$81</definedName>
    <definedName name="Ttes_Armures">Armures!$A$2:$A$52</definedName>
    <definedName name="typ_an">tableaux!$GD$2:$GD$4</definedName>
    <definedName name="type_suite">tableaux!$FY$2:$FY$6</definedName>
    <definedName name="types_carrières">tableaux!$FA$2:$FA$7</definedName>
    <definedName name="Types_co">Equipement!$K$3:$K$16</definedName>
    <definedName name="Types_eq">Equipement!$J$3:$J$22</definedName>
    <definedName name="Types_Marques">tableaux!$GJ$2:$GJ$22</definedName>
    <definedName name="u">tableaux!$GG$181:$GG$190</definedName>
    <definedName name="v">Equipement!$A$1017:$A$1083</definedName>
    <definedName name="vertu_chev">tableaux!$EM$75:$EM$90</definedName>
    <definedName name="vertu_don">tableaux!$EL$2:$EL$11</definedName>
    <definedName name="vertu_graal">tableaux!$EM$90:$EM$104</definedName>
    <definedName name="vieux_slaan">tableaux!$DR$2:$DR$10</definedName>
    <definedName name="vin">Equipement!$A$311:$A$334</definedName>
    <definedName name="w">tableaux!$GG$191:$GG$200</definedName>
    <definedName name="X">tableaux!$G$2:$G$3</definedName>
    <definedName name="y">tableaux!$GG$121:$GG$130</definedName>
    <definedName name="y_animaux">tableaux!$GE$2:$GE$14</definedName>
    <definedName name="y_elfe">tableaux!$BH$2:$BH$12</definedName>
    <definedName name="y_halfling">tableaux!$BI$2:$BI$5</definedName>
    <definedName name="y_humain">tableaux!$BJ$2:$BJ$10</definedName>
    <definedName name="y_nain">tableaux!$BK$2:$BK$12</definedName>
    <definedName name="y_skaven">tableaux!$BN$6:$BN$8</definedName>
    <definedName name="z">tableaux!$GG$112:$GG$120</definedName>
    <definedName name="_xlnm.Print_Area" localSheetId="2">'page 1'!$A$1:$AC$58</definedName>
    <definedName name="_xlnm.Print_Area" localSheetId="4">'page 3'!$A$1:$W$50</definedName>
  </definedNames>
  <calcPr calcId="181029"/>
</workbook>
</file>

<file path=xl/calcChain.xml><?xml version="1.0" encoding="utf-8"?>
<calcChain xmlns="http://schemas.openxmlformats.org/spreadsheetml/2006/main">
  <c r="FQ215" i="3" l="1"/>
  <c r="FP215" i="3"/>
  <c r="FQ214" i="3"/>
  <c r="FP214" i="3"/>
  <c r="FQ208" i="3"/>
  <c r="FP208" i="3"/>
  <c r="FQ193" i="3"/>
  <c r="FP193" i="3"/>
  <c r="FQ66" i="3"/>
  <c r="FP66" i="3"/>
  <c r="FQ187" i="3"/>
  <c r="FP187" i="3"/>
  <c r="FQ80" i="3"/>
  <c r="FP80" i="3"/>
  <c r="FQ128" i="3"/>
  <c r="FP128" i="3"/>
  <c r="FQ135" i="3"/>
  <c r="FP135" i="3"/>
  <c r="FQ145" i="3"/>
  <c r="FP145" i="3"/>
  <c r="Q37" i="1" l="1"/>
  <c r="M17" i="2" l="1"/>
  <c r="L17" i="2"/>
  <c r="K17" i="2"/>
  <c r="J17" i="2"/>
  <c r="I17" i="2"/>
  <c r="H17" i="2"/>
  <c r="G17" i="2"/>
  <c r="F17" i="2"/>
  <c r="EG38" i="3"/>
  <c r="BX1500" i="3"/>
  <c r="BY1500" i="3" s="1"/>
  <c r="BX1499" i="3"/>
  <c r="BY1499" i="3" s="1"/>
  <c r="B1109" i="14"/>
  <c r="B1357" i="14"/>
  <c r="X55" i="1"/>
  <c r="S47" i="15"/>
  <c r="S48" i="15"/>
  <c r="S49" i="15"/>
  <c r="S46" i="15"/>
  <c r="AA31" i="15"/>
  <c r="Z31" i="15"/>
  <c r="Y31" i="15"/>
  <c r="M31" i="15" s="1"/>
  <c r="O48" i="2"/>
  <c r="O49" i="2"/>
  <c r="O50" i="2"/>
  <c r="O51" i="2"/>
  <c r="O52" i="2"/>
  <c r="O53" i="2"/>
  <c r="O47" i="2"/>
  <c r="O44" i="2"/>
  <c r="M44" i="2"/>
  <c r="P47" i="2"/>
  <c r="T53" i="2"/>
  <c r="S53" i="2"/>
  <c r="R53" i="2"/>
  <c r="Q53" i="2"/>
  <c r="P53" i="2"/>
  <c r="T52" i="2"/>
  <c r="S52" i="2"/>
  <c r="R52" i="2"/>
  <c r="Q52" i="2"/>
  <c r="P52" i="2"/>
  <c r="T51" i="2"/>
  <c r="S51" i="2"/>
  <c r="R51" i="2"/>
  <c r="Q51" i="2"/>
  <c r="P51" i="2"/>
  <c r="T50" i="2"/>
  <c r="S50" i="2"/>
  <c r="R50" i="2"/>
  <c r="Q50" i="2"/>
  <c r="P50" i="2"/>
  <c r="T49" i="2"/>
  <c r="S49" i="2"/>
  <c r="R49" i="2"/>
  <c r="Q49" i="2"/>
  <c r="P49" i="2"/>
  <c r="T48" i="2"/>
  <c r="S48" i="2"/>
  <c r="R48" i="2"/>
  <c r="Q48" i="2"/>
  <c r="P48" i="2"/>
  <c r="T47" i="2"/>
  <c r="S47" i="2"/>
  <c r="R47" i="2"/>
  <c r="Q47" i="2"/>
  <c r="N53" i="2"/>
  <c r="N52" i="2"/>
  <c r="N51" i="2"/>
  <c r="N50" i="2"/>
  <c r="N49" i="2"/>
  <c r="N48" i="2"/>
  <c r="N47" i="2"/>
  <c r="N44" i="2"/>
  <c r="M48" i="2"/>
  <c r="M49" i="2"/>
  <c r="M50" i="2"/>
  <c r="M51" i="2"/>
  <c r="M52" i="2"/>
  <c r="M53" i="2"/>
  <c r="M47" i="2"/>
  <c r="EG44" i="3" l="1"/>
  <c r="EG68" i="3"/>
  <c r="EH68" i="3" s="1"/>
  <c r="EG67" i="3"/>
  <c r="EH67" i="3" s="1"/>
  <c r="EG66" i="3"/>
  <c r="EH66" i="3" s="1"/>
  <c r="EQ53" i="3" l="1"/>
  <c r="B1183" i="14"/>
  <c r="S172" i="3"/>
  <c r="S171" i="3"/>
  <c r="S176" i="3"/>
  <c r="EG17" i="3"/>
  <c r="S10" i="3" l="1"/>
  <c r="U10" i="3" s="1"/>
  <c r="S50" i="3"/>
  <c r="U50" i="3" s="1"/>
  <c r="S222" i="3"/>
  <c r="U222" i="3" s="1"/>
  <c r="S206" i="3"/>
  <c r="U206" i="3" s="1"/>
  <c r="S205" i="3"/>
  <c r="U205" i="3" s="1"/>
  <c r="S200" i="3"/>
  <c r="U200" i="3" s="1"/>
  <c r="S106" i="3"/>
  <c r="U106" i="3" s="1"/>
  <c r="S96" i="3"/>
  <c r="U96" i="3" s="1"/>
  <c r="S97" i="3"/>
  <c r="U97" i="3" s="1"/>
  <c r="S110" i="3"/>
  <c r="U110" i="3" s="1"/>
  <c r="S134" i="3"/>
  <c r="U134" i="3" s="1"/>
  <c r="S68" i="3"/>
  <c r="U68" i="3" s="1"/>
  <c r="S162" i="3"/>
  <c r="U162" i="3" s="1"/>
  <c r="B1301" i="14" l="1"/>
  <c r="B1139" i="14"/>
  <c r="B1295" i="14"/>
  <c r="B1296" i="14"/>
  <c r="B1158" i="14"/>
  <c r="B1261" i="14"/>
  <c r="B1260" i="14"/>
  <c r="B1253" i="14" l="1"/>
  <c r="ER7" i="3"/>
  <c r="ER14" i="3"/>
  <c r="ER27" i="3"/>
  <c r="ER28" i="3"/>
  <c r="ER77" i="3"/>
  <c r="ER78" i="3"/>
  <c r="EU215" i="3"/>
  <c r="BX720" i="3"/>
  <c r="BX831" i="3"/>
  <c r="BX830" i="3"/>
  <c r="BX718" i="3"/>
  <c r="BX832" i="3"/>
  <c r="FQ72" i="3"/>
  <c r="FP72" i="3"/>
  <c r="FQ184" i="3"/>
  <c r="FP184" i="3"/>
  <c r="EG65" i="3"/>
  <c r="EH65" i="3" s="1"/>
  <c r="EG29" i="3"/>
  <c r="B1293" i="14"/>
  <c r="B1272" i="14"/>
  <c r="EU308" i="3" l="1"/>
  <c r="EU307" i="3"/>
  <c r="EU262" i="3"/>
  <c r="EU225" i="3"/>
  <c r="EU35" i="3"/>
  <c r="EU34" i="3"/>
  <c r="EU33" i="3"/>
  <c r="EQ24" i="3"/>
  <c r="ER24" i="3" s="1"/>
  <c r="EU224" i="3"/>
  <c r="EU223" i="3"/>
  <c r="EU222" i="3"/>
  <c r="EU208" i="3"/>
  <c r="EU145" i="3"/>
  <c r="EU144" i="3"/>
  <c r="EQ64" i="3"/>
  <c r="ER65" i="3" s="1"/>
  <c r="EU279" i="3"/>
  <c r="EU277" i="3"/>
  <c r="EU276" i="3"/>
  <c r="EU226" i="3"/>
  <c r="EU221" i="3"/>
  <c r="EU125" i="3"/>
  <c r="EU124" i="3"/>
  <c r="EU123" i="3"/>
  <c r="EQ54" i="3"/>
  <c r="ER54" i="3" s="1"/>
  <c r="EU306" i="3"/>
  <c r="EU289" i="3"/>
  <c r="EU281" i="3"/>
  <c r="EU280" i="3"/>
  <c r="EU220" i="3"/>
  <c r="EU219" i="3"/>
  <c r="EU218" i="3"/>
  <c r="EU95" i="3"/>
  <c r="EU94" i="3"/>
  <c r="EQ43" i="3"/>
  <c r="ER43" i="3" s="1"/>
  <c r="EU209" i="3"/>
  <c r="EU32" i="3"/>
  <c r="EU31" i="3"/>
  <c r="EU30" i="3"/>
  <c r="EQ23" i="3"/>
  <c r="ER23" i="3" s="1"/>
  <c r="K20" i="10"/>
  <c r="B1142" i="14"/>
  <c r="BX1498" i="3"/>
  <c r="BY1498" i="3" s="1"/>
  <c r="BX19" i="3"/>
  <c r="B1335" i="14"/>
  <c r="B1111" i="14"/>
  <c r="S259" i="3"/>
  <c r="U259" i="3" s="1"/>
  <c r="S258" i="3"/>
  <c r="U258" i="3" s="1"/>
  <c r="EQ41" i="3"/>
  <c r="ER41" i="3" s="1"/>
  <c r="EQ66" i="3"/>
  <c r="ER67" i="3" s="1"/>
  <c r="BX865" i="3"/>
  <c r="BX864" i="3"/>
  <c r="BX863" i="3"/>
  <c r="BX862" i="3"/>
  <c r="BX861" i="3"/>
  <c r="BX860" i="3"/>
  <c r="BX859" i="3"/>
  <c r="BX840" i="3"/>
  <c r="BX489" i="3"/>
  <c r="BX488" i="3"/>
  <c r="BX487" i="3"/>
  <c r="BX486" i="3"/>
  <c r="BX485" i="3"/>
  <c r="EU244" i="3"/>
  <c r="S170" i="3"/>
  <c r="EQ58" i="3"/>
  <c r="ER59" i="3" s="1"/>
  <c r="EQ56" i="3"/>
  <c r="ER56" i="3" s="1"/>
  <c r="EQ48" i="3"/>
  <c r="ER48" i="3" s="1"/>
  <c r="BT2" i="3"/>
  <c r="AV170" i="3" l="1"/>
  <c r="U170" i="3"/>
  <c r="AT170" i="3"/>
  <c r="FQ198" i="3"/>
  <c r="FP198" i="3"/>
  <c r="D462" i="6"/>
  <c r="EV306" i="3" l="1"/>
  <c r="DK50" i="3" l="1"/>
  <c r="DJ50" i="3"/>
  <c r="DI50" i="3"/>
  <c r="DH50" i="3"/>
  <c r="DF50" i="3"/>
  <c r="DK46" i="3"/>
  <c r="DJ46" i="3"/>
  <c r="DI46" i="3"/>
  <c r="DH46" i="3"/>
  <c r="DF46" i="3"/>
  <c r="DK26" i="3"/>
  <c r="DJ26" i="3"/>
  <c r="DI26" i="3"/>
  <c r="DH26" i="3"/>
  <c r="DF26" i="3"/>
  <c r="BX1497" i="3" l="1"/>
  <c r="BY1497" i="3" s="1"/>
  <c r="BX475" i="3"/>
  <c r="BX465" i="3"/>
  <c r="B1190" i="14"/>
  <c r="B1199" i="14"/>
  <c r="B1156" i="14"/>
  <c r="B1243" i="14"/>
  <c r="S261" i="3" l="1"/>
  <c r="AX261" i="3" l="1"/>
  <c r="AY261" i="3" s="1"/>
  <c r="U261" i="3"/>
  <c r="AZ261" i="3"/>
  <c r="EQ4" i="3"/>
  <c r="ER4" i="3" s="1"/>
  <c r="C38" i="20" l="1"/>
  <c r="C11" i="20"/>
  <c r="FQ6" i="3" l="1"/>
  <c r="FP6" i="3"/>
  <c r="B1187" i="14"/>
  <c r="BX1496" i="3"/>
  <c r="BY1496" i="3" s="1"/>
  <c r="BX1495" i="3"/>
  <c r="BY1495" i="3" s="1"/>
  <c r="BX1494" i="3"/>
  <c r="BY1494" i="3" s="1"/>
  <c r="B1284" i="14"/>
  <c r="BT19" i="3" l="1"/>
  <c r="BU19" i="3" s="1"/>
  <c r="B1113" i="14"/>
  <c r="BU18" i="3"/>
  <c r="BT3" i="3"/>
  <c r="BU3" i="3" s="1"/>
  <c r="BT4" i="3"/>
  <c r="BU4" i="3" s="1"/>
  <c r="BT5" i="3"/>
  <c r="BU5" i="3" s="1"/>
  <c r="BT6" i="3"/>
  <c r="BU6" i="3" s="1"/>
  <c r="BT7" i="3"/>
  <c r="BU7" i="3" s="1"/>
  <c r="BT8" i="3"/>
  <c r="BU8" i="3" s="1"/>
  <c r="BT9" i="3"/>
  <c r="BU9" i="3" s="1"/>
  <c r="BT10" i="3"/>
  <c r="BU10" i="3" s="1"/>
  <c r="BT11" i="3"/>
  <c r="BU11" i="3" s="1"/>
  <c r="BT12" i="3"/>
  <c r="BU12" i="3" s="1"/>
  <c r="BT13" i="3"/>
  <c r="BU13" i="3" s="1"/>
  <c r="BT14" i="3"/>
  <c r="BU14" i="3" s="1"/>
  <c r="BT15" i="3"/>
  <c r="BU15" i="3" s="1"/>
  <c r="BT16" i="3"/>
  <c r="BU16" i="3" s="1"/>
  <c r="BT17" i="3"/>
  <c r="BU17" i="3" s="1"/>
  <c r="BT20" i="3"/>
  <c r="BU20" i="3" s="1"/>
  <c r="BT21" i="3"/>
  <c r="BU21" i="3" s="1"/>
  <c r="BT22" i="3"/>
  <c r="BU22" i="3" s="1"/>
  <c r="BT23" i="3"/>
  <c r="BU23" i="3" s="1"/>
  <c r="BT24" i="3"/>
  <c r="BU24" i="3" s="1"/>
  <c r="BT25" i="3"/>
  <c r="BU25" i="3" s="1"/>
  <c r="BT26" i="3"/>
  <c r="BU26" i="3" s="1"/>
  <c r="BU2" i="3"/>
  <c r="B1110" i="14"/>
  <c r="P5" i="2" l="1"/>
  <c r="BX1493" i="3"/>
  <c r="BY1493" i="3" s="1"/>
  <c r="BX508" i="3"/>
  <c r="EQ74" i="3"/>
  <c r="ER75" i="3" s="1"/>
  <c r="EQ60" i="3"/>
  <c r="ER61" i="3" s="1"/>
  <c r="EQ46" i="3"/>
  <c r="ER46" i="3" s="1"/>
  <c r="EQ8" i="3"/>
  <c r="ER8" i="3" s="1"/>
  <c r="EQ73" i="3"/>
  <c r="ER74" i="3" s="1"/>
  <c r="EQ68" i="3"/>
  <c r="ER69" i="3" s="1"/>
  <c r="EQ72" i="3"/>
  <c r="ER73" i="3" s="1"/>
  <c r="EQ18" i="3"/>
  <c r="ER18" i="3" s="1"/>
  <c r="EQ61" i="3"/>
  <c r="ER62" i="3" s="1"/>
  <c r="EQ21" i="3"/>
  <c r="ER21" i="3" s="1"/>
  <c r="ER53" i="3"/>
  <c r="EQ71" i="3"/>
  <c r="ER72" i="3" s="1"/>
  <c r="EQ51" i="3"/>
  <c r="ER51" i="3" s="1"/>
  <c r="EQ49" i="3"/>
  <c r="ER49" i="3" s="1"/>
  <c r="EQ34" i="3"/>
  <c r="ER34" i="3" s="1"/>
  <c r="FB241" i="3"/>
  <c r="FB232" i="3"/>
  <c r="FB224" i="3"/>
  <c r="EU69" i="3"/>
  <c r="EU68" i="3"/>
  <c r="EU67" i="3"/>
  <c r="EU66" i="3"/>
  <c r="BX1492" i="3" l="1"/>
  <c r="BY1492" i="3" s="1"/>
  <c r="A155" i="16"/>
  <c r="EU305" i="3"/>
  <c r="EV305" i="3" s="1"/>
  <c r="EU260" i="3"/>
  <c r="EU304" i="3" l="1"/>
  <c r="EV304" i="3" s="1"/>
  <c r="EU135" i="3"/>
  <c r="BX61" i="3"/>
  <c r="EQ15" i="3"/>
  <c r="ER15" i="3" s="1"/>
  <c r="EQ6" i="3"/>
  <c r="ER6" i="3" s="1"/>
  <c r="EQ5" i="3"/>
  <c r="ER5" i="3" s="1"/>
  <c r="EU303" i="3"/>
  <c r="EV303" i="3" s="1"/>
  <c r="EU302" i="3"/>
  <c r="EV302" i="3" s="1"/>
  <c r="EU154" i="3"/>
  <c r="B1224" i="14"/>
  <c r="I41" i="20" l="1"/>
  <c r="H41" i="20"/>
  <c r="C52" i="20"/>
  <c r="C46" i="20"/>
  <c r="I14" i="20"/>
  <c r="H14" i="20"/>
  <c r="C25" i="20"/>
  <c r="C19" i="20"/>
  <c r="J44" i="20"/>
  <c r="I44" i="20"/>
  <c r="H44" i="20"/>
  <c r="G44" i="20"/>
  <c r="D44" i="20"/>
  <c r="C44" i="20"/>
  <c r="L41" i="20"/>
  <c r="J41" i="20"/>
  <c r="G41" i="20"/>
  <c r="F41" i="20"/>
  <c r="E41" i="20"/>
  <c r="D41" i="20"/>
  <c r="C41" i="20"/>
  <c r="L40" i="20"/>
  <c r="I36" i="20"/>
  <c r="B36" i="20"/>
  <c r="I35" i="20"/>
  <c r="B35" i="20"/>
  <c r="H33" i="20"/>
  <c r="J17" i="20"/>
  <c r="I17" i="20"/>
  <c r="H17" i="20"/>
  <c r="G17" i="20"/>
  <c r="D17" i="20"/>
  <c r="C17" i="20"/>
  <c r="L14" i="20"/>
  <c r="J14" i="20"/>
  <c r="G14" i="20"/>
  <c r="F14" i="20"/>
  <c r="E14" i="20"/>
  <c r="D14" i="20"/>
  <c r="C14" i="20"/>
  <c r="L13" i="20"/>
  <c r="I9" i="20"/>
  <c r="B9" i="20"/>
  <c r="I8" i="20"/>
  <c r="B8" i="20"/>
  <c r="H6" i="20"/>
  <c r="EG64" i="3" l="1"/>
  <c r="EH64" i="3" s="1"/>
  <c r="FQ170" i="3"/>
  <c r="FP170" i="3"/>
  <c r="FQ166" i="3"/>
  <c r="FP166" i="3"/>
  <c r="FQ83" i="3"/>
  <c r="FP83" i="3"/>
  <c r="B1232" i="14"/>
  <c r="FQ117" i="3"/>
  <c r="FP117" i="3"/>
  <c r="FQ115" i="3"/>
  <c r="FP115" i="3"/>
  <c r="FP114" i="3"/>
  <c r="FQ114" i="3"/>
  <c r="FQ113" i="3"/>
  <c r="FP113" i="3"/>
  <c r="FQ39" i="3"/>
  <c r="FP39" i="3"/>
  <c r="FQ9" i="3"/>
  <c r="FQ85" i="3"/>
  <c r="FP85" i="3"/>
  <c r="FQ34" i="3"/>
  <c r="FP34" i="3"/>
  <c r="FQ134" i="3"/>
  <c r="FP134" i="3"/>
  <c r="FQ185" i="3"/>
  <c r="FP185" i="3"/>
  <c r="FQ182" i="3"/>
  <c r="FP182" i="3"/>
  <c r="S343" i="3"/>
  <c r="U343" i="3" s="1"/>
  <c r="S276" i="3"/>
  <c r="U276" i="3" s="1"/>
  <c r="S345" i="3"/>
  <c r="U345" i="3" s="1"/>
  <c r="S250" i="3"/>
  <c r="AZ205" i="3"/>
  <c r="B1266" i="14"/>
  <c r="S37" i="3"/>
  <c r="U37" i="3" s="1"/>
  <c r="S135" i="3"/>
  <c r="U135" i="3" s="1"/>
  <c r="AZ250" i="3" l="1"/>
  <c r="U250" i="3"/>
  <c r="AX206" i="3"/>
  <c r="AY206" i="3" s="1"/>
  <c r="AZ206" i="3"/>
  <c r="AZ343" i="3"/>
  <c r="AX343" i="3"/>
  <c r="AY343" i="3" s="1"/>
  <c r="AX250" i="3"/>
  <c r="AY250" i="3" s="1"/>
  <c r="AX205" i="3"/>
  <c r="AY205" i="3" s="1"/>
  <c r="FQ196" i="3" l="1"/>
  <c r="FP196" i="3"/>
  <c r="EU301" i="3"/>
  <c r="EV301" i="3" s="1"/>
  <c r="EU284" i="3"/>
  <c r="EU300" i="3"/>
  <c r="EV300" i="3" s="1"/>
  <c r="EU299" i="3"/>
  <c r="EV299" i="3" s="1"/>
  <c r="EU298" i="3"/>
  <c r="EV298" i="3" s="1"/>
  <c r="EU297" i="3"/>
  <c r="EV297" i="3" s="1"/>
  <c r="EU23" i="3"/>
  <c r="EU22" i="3"/>
  <c r="F390" i="7" l="1"/>
  <c r="C390" i="7"/>
  <c r="F389" i="7"/>
  <c r="C389" i="7"/>
  <c r="F388" i="7"/>
  <c r="C388" i="7"/>
  <c r="F387" i="7"/>
  <c r="C387" i="7"/>
  <c r="F386" i="7"/>
  <c r="C386" i="7"/>
  <c r="F385" i="7"/>
  <c r="C385" i="7"/>
  <c r="F348" i="7"/>
  <c r="C348" i="7"/>
  <c r="F347" i="7"/>
  <c r="C347" i="7"/>
  <c r="F346" i="7"/>
  <c r="C346" i="7"/>
  <c r="F345" i="7"/>
  <c r="C345" i="7"/>
  <c r="F344" i="7"/>
  <c r="C344" i="7"/>
  <c r="F343" i="7"/>
  <c r="C343" i="7"/>
  <c r="F306" i="7"/>
  <c r="C306" i="7"/>
  <c r="F305" i="7"/>
  <c r="C305" i="7"/>
  <c r="F304" i="7"/>
  <c r="C304" i="7"/>
  <c r="F303" i="7"/>
  <c r="C303" i="7"/>
  <c r="F302" i="7"/>
  <c r="C302" i="7"/>
  <c r="F301" i="7"/>
  <c r="C301" i="7"/>
  <c r="F264" i="7"/>
  <c r="C264" i="7"/>
  <c r="F263" i="7"/>
  <c r="C263" i="7"/>
  <c r="F262" i="7"/>
  <c r="C262" i="7"/>
  <c r="F261" i="7"/>
  <c r="C261" i="7"/>
  <c r="F260" i="7"/>
  <c r="C260" i="7"/>
  <c r="F259" i="7"/>
  <c r="C259" i="7"/>
  <c r="F222" i="7"/>
  <c r="C222" i="7"/>
  <c r="F221" i="7"/>
  <c r="C221" i="7"/>
  <c r="F220" i="7"/>
  <c r="C220" i="7"/>
  <c r="F219" i="7"/>
  <c r="C219" i="7"/>
  <c r="F218" i="7"/>
  <c r="C218" i="7"/>
  <c r="F217" i="7"/>
  <c r="C217" i="7"/>
  <c r="F180" i="7"/>
  <c r="C180" i="7"/>
  <c r="F179" i="7"/>
  <c r="C179" i="7"/>
  <c r="F178" i="7"/>
  <c r="C178" i="7"/>
  <c r="F177" i="7"/>
  <c r="C177" i="7"/>
  <c r="F176" i="7"/>
  <c r="C176" i="7"/>
  <c r="F175" i="7"/>
  <c r="C175" i="7"/>
  <c r="F138" i="7"/>
  <c r="C138" i="7"/>
  <c r="F137" i="7"/>
  <c r="C137" i="7"/>
  <c r="F136" i="7"/>
  <c r="C136" i="7"/>
  <c r="F135" i="7"/>
  <c r="C135" i="7"/>
  <c r="F134" i="7"/>
  <c r="C134" i="7"/>
  <c r="F133" i="7"/>
  <c r="C133" i="7"/>
  <c r="F96" i="7"/>
  <c r="C96" i="7"/>
  <c r="F95" i="7"/>
  <c r="C95" i="7"/>
  <c r="F94" i="7"/>
  <c r="C94" i="7"/>
  <c r="F93" i="7"/>
  <c r="C93" i="7"/>
  <c r="F92" i="7"/>
  <c r="C92" i="7"/>
  <c r="F91" i="7"/>
  <c r="C91" i="7"/>
  <c r="F54" i="7"/>
  <c r="C54" i="7"/>
  <c r="F53" i="7"/>
  <c r="C53" i="7"/>
  <c r="F52" i="7"/>
  <c r="C52" i="7"/>
  <c r="F51" i="7"/>
  <c r="C51" i="7"/>
  <c r="F50" i="7"/>
  <c r="C50" i="7"/>
  <c r="F49" i="7"/>
  <c r="C49" i="7"/>
  <c r="F12" i="7"/>
  <c r="C12" i="7"/>
  <c r="F11" i="7"/>
  <c r="C11" i="7"/>
  <c r="F10" i="7"/>
  <c r="C10" i="7"/>
  <c r="F9" i="7"/>
  <c r="C9" i="7"/>
  <c r="F8" i="7"/>
  <c r="C8" i="7"/>
  <c r="F7" i="7"/>
  <c r="C7" i="7"/>
  <c r="C18" i="7"/>
  <c r="C111" i="13"/>
  <c r="D111" i="13"/>
  <c r="E111" i="13"/>
  <c r="F111" i="13"/>
  <c r="G111" i="13"/>
  <c r="H111" i="13"/>
  <c r="I111" i="13"/>
  <c r="J111" i="13"/>
  <c r="K111" i="13"/>
  <c r="L111" i="13"/>
  <c r="M111" i="13"/>
  <c r="N111" i="13"/>
  <c r="O111" i="13"/>
  <c r="P111" i="13"/>
  <c r="Q111" i="13"/>
  <c r="R111" i="13"/>
  <c r="S111" i="13"/>
  <c r="T111" i="13"/>
  <c r="U111" i="13"/>
  <c r="V111" i="13"/>
  <c r="F1278" i="14"/>
  <c r="B1278" i="14" s="1"/>
  <c r="F1215" i="14"/>
  <c r="B1215" i="14" s="1"/>
  <c r="EU178" i="3"/>
  <c r="EU177" i="3"/>
  <c r="EU176" i="3"/>
  <c r="EU173" i="3"/>
  <c r="EU172" i="3"/>
  <c r="EU171" i="3"/>
  <c r="EU170" i="3"/>
  <c r="EU169" i="3"/>
  <c r="EU174" i="3"/>
  <c r="EU261" i="3"/>
  <c r="EU246" i="3"/>
  <c r="EU243" i="3"/>
  <c r="EU242" i="3"/>
  <c r="EU287" i="3"/>
  <c r="EU283" i="3"/>
  <c r="EU282" i="3"/>
  <c r="EU234" i="3"/>
  <c r="EU233" i="3"/>
  <c r="EU232" i="3"/>
  <c r="EU231" i="3"/>
  <c r="EU207" i="3"/>
  <c r="EU205" i="3"/>
  <c r="EU200" i="3"/>
  <c r="EU199" i="3"/>
  <c r="EU198" i="3"/>
  <c r="EU197" i="3"/>
  <c r="EU196" i="3"/>
  <c r="EU194" i="3"/>
  <c r="EU193" i="3"/>
  <c r="EU192" i="3"/>
  <c r="EU191" i="3"/>
  <c r="EU190" i="3"/>
  <c r="EU189" i="3"/>
  <c r="EU188" i="3"/>
  <c r="EU187" i="3"/>
  <c r="EU186" i="3"/>
  <c r="EU185" i="3"/>
  <c r="EU184" i="3"/>
  <c r="EU183" i="3"/>
  <c r="EU182" i="3"/>
  <c r="EU181" i="3"/>
  <c r="EU180" i="3"/>
  <c r="EU179" i="3"/>
  <c r="EU259" i="3"/>
  <c r="EU203" i="3"/>
  <c r="EU202" i="3"/>
  <c r="EU201" i="3"/>
  <c r="EQ62" i="3"/>
  <c r="ER63" i="3" s="1"/>
  <c r="EU296" i="3"/>
  <c r="EV296" i="3" s="1"/>
  <c r="EU119" i="3"/>
  <c r="EU286" i="3"/>
  <c r="EU295" i="3"/>
  <c r="EV295" i="3" s="1"/>
  <c r="EU294" i="3"/>
  <c r="EV294" i="3" s="1"/>
  <c r="EU293" i="3"/>
  <c r="EV293" i="3" s="1"/>
  <c r="EU292" i="3"/>
  <c r="EV292" i="3" s="1"/>
  <c r="EU291" i="3"/>
  <c r="EV291" i="3" s="1"/>
  <c r="S80" i="3"/>
  <c r="U80" i="3" s="1"/>
  <c r="J26" i="1"/>
  <c r="J12" i="1"/>
  <c r="W111" i="13" l="1"/>
  <c r="CU9" i="3" s="1"/>
  <c r="CV9" i="3" s="1"/>
  <c r="EV22" i="3"/>
  <c r="EV23" i="3"/>
  <c r="EV68" i="3"/>
  <c r="EV119" i="3"/>
  <c r="EV169" i="3"/>
  <c r="EV170" i="3"/>
  <c r="EV171" i="3"/>
  <c r="EV172" i="3"/>
  <c r="EV173" i="3"/>
  <c r="EV174" i="3"/>
  <c r="EV176" i="3"/>
  <c r="EV177" i="3"/>
  <c r="EV178" i="3"/>
  <c r="EV179" i="3"/>
  <c r="EV180" i="3"/>
  <c r="EV181" i="3"/>
  <c r="EV182" i="3"/>
  <c r="EV183" i="3"/>
  <c r="EV184" i="3"/>
  <c r="EV185" i="3"/>
  <c r="EV186" i="3"/>
  <c r="EV187" i="3"/>
  <c r="EV188" i="3"/>
  <c r="EV189" i="3"/>
  <c r="EV190" i="3"/>
  <c r="EV191" i="3"/>
  <c r="EV192" i="3"/>
  <c r="EV193" i="3"/>
  <c r="EV194" i="3"/>
  <c r="EV196" i="3"/>
  <c r="EV197" i="3"/>
  <c r="EV198" i="3"/>
  <c r="EV199" i="3"/>
  <c r="EV200" i="3"/>
  <c r="EV201" i="3"/>
  <c r="EV202" i="3"/>
  <c r="EV203" i="3"/>
  <c r="EV205" i="3"/>
  <c r="EV207" i="3"/>
  <c r="EV231" i="3"/>
  <c r="EV232" i="3"/>
  <c r="EV233" i="3"/>
  <c r="EV234" i="3"/>
  <c r="EV242" i="3"/>
  <c r="EV243" i="3"/>
  <c r="EV246" i="3"/>
  <c r="EV259" i="3"/>
  <c r="EV260" i="3"/>
  <c r="EV261" i="3"/>
  <c r="EV282" i="3"/>
  <c r="EV283" i="3"/>
  <c r="EV284" i="3"/>
  <c r="EV286" i="3"/>
  <c r="EV287" i="3"/>
  <c r="EU45" i="3"/>
  <c r="EV45" i="3" s="1"/>
  <c r="EU44" i="3"/>
  <c r="EV44" i="3" s="1"/>
  <c r="EU40" i="3"/>
  <c r="EV40" i="3" s="1"/>
  <c r="EU39" i="3"/>
  <c r="EV39" i="3" s="1"/>
  <c r="EU38" i="3"/>
  <c r="EV38" i="3" s="1"/>
  <c r="EQ26" i="3"/>
  <c r="ER26" i="3" s="1"/>
  <c r="EQ29" i="3"/>
  <c r="ER29" i="3" s="1"/>
  <c r="EU2" i="3" l="1"/>
  <c r="S142" i="3"/>
  <c r="U142" i="3" s="1"/>
  <c r="S165" i="3"/>
  <c r="U165" i="3" s="1"/>
  <c r="S347" i="3"/>
  <c r="U347" i="3" s="1"/>
  <c r="S6" i="3"/>
  <c r="U6" i="3" s="1"/>
  <c r="S5" i="3"/>
  <c r="U5" i="3" s="1"/>
  <c r="S120" i="3"/>
  <c r="S121" i="3"/>
  <c r="U121" i="3" s="1"/>
  <c r="S144" i="3"/>
  <c r="S229" i="3"/>
  <c r="U229" i="3" s="1"/>
  <c r="S333" i="3"/>
  <c r="U333" i="3" s="1"/>
  <c r="S30" i="3"/>
  <c r="AZ68" i="3"/>
  <c r="S67" i="3"/>
  <c r="AZ162" i="3"/>
  <c r="EG37" i="3"/>
  <c r="S357" i="3"/>
  <c r="U357" i="3" s="1"/>
  <c r="S354" i="3"/>
  <c r="U354" i="3" s="1"/>
  <c r="S78" i="3"/>
  <c r="S318" i="3"/>
  <c r="U318" i="3" s="1"/>
  <c r="S293" i="3"/>
  <c r="U293" i="3" s="1"/>
  <c r="S257" i="3"/>
  <c r="U257" i="3" s="1"/>
  <c r="S232" i="3"/>
  <c r="U232" i="3" s="1"/>
  <c r="S274" i="3"/>
  <c r="U274" i="3" s="1"/>
  <c r="S273" i="3"/>
  <c r="U273" i="3" s="1"/>
  <c r="S228" i="3"/>
  <c r="U228" i="3" s="1"/>
  <c r="S196" i="3"/>
  <c r="U196" i="3" s="1"/>
  <c r="S195" i="3"/>
  <c r="S194" i="3"/>
  <c r="S145" i="3"/>
  <c r="U145" i="3" s="1"/>
  <c r="S83" i="3"/>
  <c r="AZ80" i="3"/>
  <c r="S20" i="3"/>
  <c r="U20" i="3" s="1"/>
  <c r="AZ83" i="3" l="1"/>
  <c r="U83" i="3"/>
  <c r="AZ120" i="3"/>
  <c r="U120" i="3"/>
  <c r="AZ67" i="3"/>
  <c r="U67" i="3"/>
  <c r="AX195" i="3"/>
  <c r="AY195" i="3" s="1"/>
  <c r="U195" i="3"/>
  <c r="AZ30" i="3"/>
  <c r="U30" i="3"/>
  <c r="AZ78" i="3"/>
  <c r="U78" i="3"/>
  <c r="AX194" i="3"/>
  <c r="AY194" i="3" s="1"/>
  <c r="U194" i="3"/>
  <c r="AZ144" i="3"/>
  <c r="U144" i="3"/>
  <c r="AX232" i="3"/>
  <c r="AY232" i="3" s="1"/>
  <c r="AZ229" i="3"/>
  <c r="AX273" i="3"/>
  <c r="AY273" i="3" s="1"/>
  <c r="AX357" i="3"/>
  <c r="AY357" i="3" s="1"/>
  <c r="AX274" i="3"/>
  <c r="AY274" i="3" s="1"/>
  <c r="AZ257" i="3"/>
  <c r="AX293" i="3"/>
  <c r="AY293" i="3" s="1"/>
  <c r="AX257" i="3"/>
  <c r="AY257" i="3" s="1"/>
  <c r="AX228" i="3"/>
  <c r="AY228" i="3" s="1"/>
  <c r="AZ194" i="3"/>
  <c r="AZ20" i="3"/>
  <c r="AZ145" i="3"/>
  <c r="AZ354" i="3"/>
  <c r="AX354" i="3"/>
  <c r="AY354" i="3" s="1"/>
  <c r="AZ228" i="3"/>
  <c r="AZ121" i="3"/>
  <c r="AZ318" i="3"/>
  <c r="AZ196" i="3"/>
  <c r="AZ195" i="3"/>
  <c r="AZ293" i="3"/>
  <c r="AZ357" i="3"/>
  <c r="AZ274" i="3"/>
  <c r="AZ232" i="3"/>
  <c r="AZ273" i="3"/>
  <c r="AX318" i="3"/>
  <c r="AY318" i="3" s="1"/>
  <c r="AX83" i="3"/>
  <c r="AY83" i="3" s="1"/>
  <c r="AX78" i="3"/>
  <c r="AY78" i="3" s="1"/>
  <c r="AX121" i="3"/>
  <c r="AY121" i="3" s="1"/>
  <c r="AX120" i="3"/>
  <c r="AY120" i="3" s="1"/>
  <c r="AX196" i="3"/>
  <c r="AY196" i="3" s="1"/>
  <c r="AX144" i="3"/>
  <c r="AY144" i="3" s="1"/>
  <c r="AX229" i="3"/>
  <c r="AY229" i="3" s="1"/>
  <c r="AX145" i="3"/>
  <c r="AY145" i="3" s="1"/>
  <c r="AX80" i="3"/>
  <c r="AY80" i="3" s="1"/>
  <c r="AX20" i="3"/>
  <c r="AY20" i="3" s="1"/>
  <c r="AZ222" i="3" l="1"/>
  <c r="AX222" i="3"/>
  <c r="AY222" i="3" s="1"/>
  <c r="AZ333" i="3"/>
  <c r="S332" i="3"/>
  <c r="U332" i="3" s="1"/>
  <c r="S105" i="3"/>
  <c r="S322" i="3"/>
  <c r="U322" i="3" s="1"/>
  <c r="S216" i="3"/>
  <c r="U216" i="3" s="1"/>
  <c r="S215" i="3"/>
  <c r="U215" i="3" s="1"/>
  <c r="S48" i="3"/>
  <c r="S26" i="3"/>
  <c r="S25" i="3"/>
  <c r="AZ105" i="3" l="1"/>
  <c r="U105" i="3"/>
  <c r="AZ25" i="3"/>
  <c r="U25" i="3"/>
  <c r="AZ26" i="3"/>
  <c r="U26" i="3"/>
  <c r="AZ48" i="3"/>
  <c r="U48" i="3"/>
  <c r="AZ322" i="3"/>
  <c r="AZ215" i="3"/>
  <c r="AZ216" i="3"/>
  <c r="AZ332" i="3"/>
  <c r="AX215" i="3"/>
  <c r="AY215" i="3" s="1"/>
  <c r="AX216" i="3"/>
  <c r="AY216" i="3" s="1"/>
  <c r="AX26" i="3"/>
  <c r="AY26" i="3" s="1"/>
  <c r="AX322" i="3"/>
  <c r="AY322" i="3" s="1"/>
  <c r="AX105" i="3"/>
  <c r="AY105" i="3" s="1"/>
  <c r="AX332" i="3"/>
  <c r="AY332" i="3" s="1"/>
  <c r="AX48" i="3"/>
  <c r="AY48" i="3" s="1"/>
  <c r="AX25" i="3"/>
  <c r="AY25" i="3" s="1"/>
  <c r="AX333" i="3"/>
  <c r="AY333" i="3" s="1"/>
  <c r="S147" i="3"/>
  <c r="S126" i="3"/>
  <c r="T126" i="3"/>
  <c r="S127" i="3"/>
  <c r="AZ127" i="3" l="1"/>
  <c r="U127" i="3"/>
  <c r="AZ126" i="3"/>
  <c r="U126" i="3"/>
  <c r="AZ147" i="3"/>
  <c r="U147" i="3"/>
  <c r="AX126" i="3"/>
  <c r="AY126" i="3" s="1"/>
  <c r="AX127" i="3"/>
  <c r="AY127" i="3" s="1"/>
  <c r="AX147" i="3"/>
  <c r="AY147" i="3" s="1"/>
  <c r="T5" i="3"/>
  <c r="T6" i="3"/>
  <c r="T7" i="3"/>
  <c r="T8" i="3"/>
  <c r="T9" i="3"/>
  <c r="T10" i="3"/>
  <c r="T11" i="3"/>
  <c r="T12" i="3"/>
  <c r="T15" i="3"/>
  <c r="T16" i="3"/>
  <c r="T17" i="3"/>
  <c r="T18" i="3"/>
  <c r="T19" i="3"/>
  <c r="T20" i="3"/>
  <c r="T21" i="3"/>
  <c r="T22" i="3"/>
  <c r="T23" i="3"/>
  <c r="T25" i="3"/>
  <c r="T27" i="3"/>
  <c r="T28" i="3"/>
  <c r="T29" i="3"/>
  <c r="T32" i="3"/>
  <c r="T33" i="3"/>
  <c r="T34" i="3"/>
  <c r="T35" i="3"/>
  <c r="T36" i="3"/>
  <c r="T37" i="3"/>
  <c r="T40" i="3"/>
  <c r="T41" i="3"/>
  <c r="T42" i="3"/>
  <c r="T43" i="3"/>
  <c r="T44" i="3"/>
  <c r="T45" i="3"/>
  <c r="T46" i="3"/>
  <c r="T47" i="3"/>
  <c r="T49" i="3"/>
  <c r="T50" i="3"/>
  <c r="T54" i="3"/>
  <c r="T55" i="3"/>
  <c r="T56" i="3"/>
  <c r="T57" i="3"/>
  <c r="T58" i="3"/>
  <c r="T59" i="3"/>
  <c r="T60" i="3"/>
  <c r="T61" i="3"/>
  <c r="T63" i="3"/>
  <c r="T64" i="3"/>
  <c r="T66" i="3"/>
  <c r="T69" i="3"/>
  <c r="T72" i="3"/>
  <c r="T73" i="3"/>
  <c r="T74" i="3"/>
  <c r="T75" i="3"/>
  <c r="T76" i="3"/>
  <c r="T77" i="3"/>
  <c r="T78" i="3"/>
  <c r="T80" i="3"/>
  <c r="T82" i="3"/>
  <c r="T83" i="3"/>
  <c r="T84" i="3"/>
  <c r="T85" i="3"/>
  <c r="T88" i="3"/>
  <c r="T90" i="3"/>
  <c r="T92" i="3"/>
  <c r="T94" i="3"/>
  <c r="T95" i="3"/>
  <c r="T98" i="3"/>
  <c r="T99" i="3"/>
  <c r="T100" i="3"/>
  <c r="T101" i="3"/>
  <c r="T102" i="3"/>
  <c r="T106" i="3"/>
  <c r="T107" i="3"/>
  <c r="T108" i="3"/>
  <c r="T109" i="3"/>
  <c r="T110" i="3"/>
  <c r="T111" i="3"/>
  <c r="T112" i="3"/>
  <c r="T113" i="3"/>
  <c r="T114" i="3"/>
  <c r="T115" i="3"/>
  <c r="T117" i="3"/>
  <c r="T118" i="3"/>
  <c r="T119" i="3"/>
  <c r="T120" i="3"/>
  <c r="T121" i="3"/>
  <c r="T122" i="3"/>
  <c r="T123" i="3"/>
  <c r="T124" i="3"/>
  <c r="T125" i="3"/>
  <c r="T127" i="3"/>
  <c r="T128" i="3"/>
  <c r="T129" i="3"/>
  <c r="T130" i="3"/>
  <c r="T132" i="3"/>
  <c r="T134" i="3"/>
  <c r="T135" i="3"/>
  <c r="T136" i="3"/>
  <c r="T137" i="3"/>
  <c r="T138" i="3"/>
  <c r="T139" i="3"/>
  <c r="T140" i="3"/>
  <c r="T141" i="3"/>
  <c r="T142" i="3"/>
  <c r="T143" i="3"/>
  <c r="T145" i="3"/>
  <c r="T146" i="3"/>
  <c r="T147" i="3"/>
  <c r="T148" i="3"/>
  <c r="T149" i="3"/>
  <c r="T152" i="3"/>
  <c r="T153" i="3"/>
  <c r="T154" i="3"/>
  <c r="T155" i="3"/>
  <c r="T156" i="3"/>
  <c r="T157" i="3"/>
  <c r="T158" i="3"/>
  <c r="T160" i="3"/>
  <c r="T162" i="3"/>
  <c r="T163" i="3"/>
  <c r="T164" i="3"/>
  <c r="T165" i="3"/>
  <c r="T167" i="3"/>
  <c r="T168" i="3"/>
  <c r="T169" i="3"/>
  <c r="T170" i="3"/>
  <c r="T172" i="3"/>
  <c r="T173" i="3"/>
  <c r="T174" i="3"/>
  <c r="T175" i="3"/>
  <c r="T182" i="3"/>
  <c r="T183" i="3"/>
  <c r="T184" i="3"/>
  <c r="T186" i="3"/>
  <c r="T187" i="3"/>
  <c r="T188" i="3"/>
  <c r="T189" i="3"/>
  <c r="T190" i="3"/>
  <c r="T191" i="3"/>
  <c r="T193" i="3"/>
  <c r="T194" i="3"/>
  <c r="T195" i="3"/>
  <c r="T196" i="3"/>
  <c r="T197" i="3"/>
  <c r="T199" i="3"/>
  <c r="T200" i="3"/>
  <c r="T201" i="3"/>
  <c r="T202" i="3"/>
  <c r="T203" i="3"/>
  <c r="T204" i="3"/>
  <c r="T212" i="3"/>
  <c r="T213" i="3"/>
  <c r="T217" i="3"/>
  <c r="T219" i="3"/>
  <c r="T220" i="3"/>
  <c r="T222" i="3"/>
  <c r="T223" i="3"/>
  <c r="T224" i="3"/>
  <c r="T225" i="3"/>
  <c r="T227" i="3"/>
  <c r="T228" i="3"/>
  <c r="T229" i="3"/>
  <c r="T230" i="3"/>
  <c r="T232" i="3"/>
  <c r="T233" i="3"/>
  <c r="T234" i="3"/>
  <c r="T236" i="3"/>
  <c r="T237" i="3"/>
  <c r="T238" i="3"/>
  <c r="T239" i="3"/>
  <c r="T240" i="3"/>
  <c r="T241" i="3"/>
  <c r="T242" i="3"/>
  <c r="T243" i="3"/>
  <c r="T246" i="3"/>
  <c r="T247" i="3"/>
  <c r="T251" i="3"/>
  <c r="T252" i="3"/>
  <c r="T253" i="3"/>
  <c r="T254" i="3"/>
  <c r="T255" i="3"/>
  <c r="T256" i="3"/>
  <c r="T257" i="3"/>
  <c r="T258" i="3"/>
  <c r="T259" i="3"/>
  <c r="T260" i="3"/>
  <c r="T262" i="3"/>
  <c r="T263" i="3"/>
  <c r="T264" i="3"/>
  <c r="T265" i="3"/>
  <c r="T266" i="3"/>
  <c r="T267" i="3"/>
  <c r="T268" i="3"/>
  <c r="T269" i="3"/>
  <c r="T270" i="3"/>
  <c r="T271" i="3"/>
  <c r="T272" i="3"/>
  <c r="T273" i="3"/>
  <c r="T274" i="3"/>
  <c r="T275" i="3"/>
  <c r="T276" i="3"/>
  <c r="T277" i="3"/>
  <c r="T278" i="3"/>
  <c r="T279" i="3"/>
  <c r="T280" i="3"/>
  <c r="T281" i="3"/>
  <c r="T282" i="3"/>
  <c r="T283" i="3"/>
  <c r="T285" i="3"/>
  <c r="T286" i="3"/>
  <c r="T287" i="3"/>
  <c r="T291" i="3"/>
  <c r="T294" i="3"/>
  <c r="T298" i="3"/>
  <c r="T299" i="3"/>
  <c r="T300" i="3"/>
  <c r="T301" i="3"/>
  <c r="T302" i="3"/>
  <c r="T303" i="3"/>
  <c r="T304" i="3"/>
  <c r="T305" i="3"/>
  <c r="T310" i="3"/>
  <c r="T311" i="3"/>
  <c r="T312" i="3"/>
  <c r="T313" i="3"/>
  <c r="T314" i="3"/>
  <c r="T315" i="3"/>
  <c r="T316" i="3"/>
  <c r="T317" i="3"/>
  <c r="T318" i="3"/>
  <c r="T319" i="3"/>
  <c r="T320" i="3"/>
  <c r="T324" i="3"/>
  <c r="T325" i="3"/>
  <c r="T326" i="3"/>
  <c r="T327" i="3"/>
  <c r="T328" i="3"/>
  <c r="T329" i="3"/>
  <c r="T330" i="3"/>
  <c r="T331" i="3"/>
  <c r="T333" i="3"/>
  <c r="T334" i="3"/>
  <c r="T336" i="3"/>
  <c r="T337" i="3"/>
  <c r="T338" i="3"/>
  <c r="T339" i="3"/>
  <c r="T341" i="3"/>
  <c r="T346" i="3"/>
  <c r="T348" i="3"/>
  <c r="T349" i="3"/>
  <c r="T355" i="3"/>
  <c r="T356" i="3"/>
  <c r="T357" i="3"/>
  <c r="T358" i="3"/>
  <c r="T359" i="3"/>
  <c r="T360" i="3"/>
  <c r="T361" i="3"/>
  <c r="T362" i="3"/>
  <c r="T363" i="3"/>
  <c r="T364" i="3"/>
  <c r="T365" i="3"/>
  <c r="T297" i="3"/>
  <c r="S316" i="3"/>
  <c r="U316" i="3" s="1"/>
  <c r="AZ316" i="3" l="1"/>
  <c r="AX316" i="3"/>
  <c r="AY316" i="3" s="1"/>
  <c r="C96" i="13"/>
  <c r="D96" i="13"/>
  <c r="E96" i="13"/>
  <c r="F96" i="13"/>
  <c r="G96" i="13"/>
  <c r="H96" i="13"/>
  <c r="I96" i="13"/>
  <c r="J96" i="13"/>
  <c r="K96" i="13"/>
  <c r="L96" i="13"/>
  <c r="M96" i="13"/>
  <c r="N96" i="13"/>
  <c r="O96" i="13"/>
  <c r="P96" i="13"/>
  <c r="Q96" i="13"/>
  <c r="R96" i="13"/>
  <c r="S96" i="13"/>
  <c r="T96" i="13"/>
  <c r="U96" i="13"/>
  <c r="V96" i="13"/>
  <c r="C97" i="13"/>
  <c r="D97" i="13"/>
  <c r="E97" i="13"/>
  <c r="F97" i="13"/>
  <c r="G97" i="13"/>
  <c r="H97" i="13"/>
  <c r="I97" i="13"/>
  <c r="J97" i="13"/>
  <c r="K97" i="13"/>
  <c r="L97" i="13"/>
  <c r="M97" i="13"/>
  <c r="N97" i="13"/>
  <c r="O97" i="13"/>
  <c r="P97" i="13"/>
  <c r="Q97" i="13"/>
  <c r="R97" i="13"/>
  <c r="S97" i="13"/>
  <c r="T97" i="13"/>
  <c r="U97" i="13"/>
  <c r="V97" i="13"/>
  <c r="W96" i="13" l="1"/>
  <c r="W97" i="13"/>
  <c r="S277" i="3"/>
  <c r="U277" i="3" s="1"/>
  <c r="S27" i="3"/>
  <c r="S226" i="3"/>
  <c r="U226" i="3" s="1"/>
  <c r="S43" i="3"/>
  <c r="S236" i="3"/>
  <c r="U236" i="3" s="1"/>
  <c r="AU200" i="3"/>
  <c r="AU329" i="3"/>
  <c r="AZ27" i="3" l="1"/>
  <c r="U27" i="3"/>
  <c r="AZ43" i="3"/>
  <c r="U43" i="3"/>
  <c r="AZ236" i="3"/>
  <c r="AZ277" i="3"/>
  <c r="AZ226" i="3"/>
  <c r="AX236" i="3"/>
  <c r="AY236" i="3" s="1"/>
  <c r="AX226" i="3"/>
  <c r="AY226" i="3" s="1"/>
  <c r="AX27" i="3"/>
  <c r="AY27" i="3" s="1"/>
  <c r="AX43" i="3"/>
  <c r="AY43" i="3" s="1"/>
  <c r="AX277" i="3"/>
  <c r="AY277" i="3" s="1"/>
  <c r="EU290" i="3"/>
  <c r="EV290" i="3" s="1"/>
  <c r="S348" i="3" l="1"/>
  <c r="U348" i="3" s="1"/>
  <c r="S115" i="3"/>
  <c r="AZ200" i="3"/>
  <c r="S60" i="3"/>
  <c r="K31" i="1"/>
  <c r="S154" i="3"/>
  <c r="S153" i="3"/>
  <c r="BX682" i="3"/>
  <c r="T143" i="13"/>
  <c r="U143" i="13"/>
  <c r="V143" i="13"/>
  <c r="W143" i="13"/>
  <c r="X143" i="13"/>
  <c r="Y143" i="13"/>
  <c r="Z143" i="13"/>
  <c r="AA143" i="13"/>
  <c r="T144" i="13"/>
  <c r="U144" i="13"/>
  <c r="V144" i="13"/>
  <c r="W144" i="13"/>
  <c r="X144" i="13"/>
  <c r="Y144" i="13"/>
  <c r="Z144" i="13"/>
  <c r="AA144" i="13"/>
  <c r="T145" i="13"/>
  <c r="U145" i="13"/>
  <c r="V145" i="13"/>
  <c r="W145" i="13"/>
  <c r="X145" i="13"/>
  <c r="Y145" i="13"/>
  <c r="Z145" i="13"/>
  <c r="AA145" i="13"/>
  <c r="T146" i="13"/>
  <c r="U146" i="13"/>
  <c r="V146" i="13"/>
  <c r="W146" i="13"/>
  <c r="X146" i="13"/>
  <c r="Y146" i="13"/>
  <c r="Z146" i="13"/>
  <c r="AA146" i="13"/>
  <c r="T147" i="13"/>
  <c r="U147" i="13"/>
  <c r="V147" i="13"/>
  <c r="W147" i="13"/>
  <c r="X147" i="13"/>
  <c r="Y147" i="13"/>
  <c r="Z147" i="13"/>
  <c r="AA147" i="13"/>
  <c r="T148" i="13"/>
  <c r="U148" i="13"/>
  <c r="V148" i="13"/>
  <c r="W148" i="13"/>
  <c r="X148" i="13"/>
  <c r="Y148" i="13"/>
  <c r="Z148" i="13"/>
  <c r="AA148" i="13"/>
  <c r="T149" i="13"/>
  <c r="U149" i="13"/>
  <c r="V149" i="13"/>
  <c r="W149" i="13"/>
  <c r="X149" i="13"/>
  <c r="Y149" i="13"/>
  <c r="Z149" i="13"/>
  <c r="AA149" i="13"/>
  <c r="T150" i="13"/>
  <c r="U150" i="13"/>
  <c r="V150" i="13"/>
  <c r="W150" i="13"/>
  <c r="X150" i="13"/>
  <c r="Y150" i="13"/>
  <c r="Z150" i="13"/>
  <c r="AA150" i="13"/>
  <c r="T151" i="13"/>
  <c r="U151" i="13"/>
  <c r="V151" i="13"/>
  <c r="W151" i="13"/>
  <c r="X151" i="13"/>
  <c r="Y151" i="13"/>
  <c r="Z151" i="13"/>
  <c r="AA151" i="13"/>
  <c r="T152" i="13"/>
  <c r="U152" i="13"/>
  <c r="V152" i="13"/>
  <c r="W152" i="13"/>
  <c r="X152" i="13"/>
  <c r="Y152" i="13"/>
  <c r="Z152" i="13"/>
  <c r="AA152" i="13"/>
  <c r="T153" i="13"/>
  <c r="U153" i="13"/>
  <c r="V153" i="13"/>
  <c r="W153" i="13"/>
  <c r="X153" i="13"/>
  <c r="Y153" i="13"/>
  <c r="Z153" i="13"/>
  <c r="AA153" i="13"/>
  <c r="T154" i="13"/>
  <c r="U154" i="13"/>
  <c r="V154" i="13"/>
  <c r="W154" i="13"/>
  <c r="X154" i="13"/>
  <c r="Y154" i="13"/>
  <c r="Z154" i="13"/>
  <c r="AA154" i="13"/>
  <c r="T155" i="13"/>
  <c r="U155" i="13"/>
  <c r="V155" i="13"/>
  <c r="W155" i="13"/>
  <c r="X155" i="13"/>
  <c r="Y155" i="13"/>
  <c r="Z155" i="13"/>
  <c r="AA155" i="13"/>
  <c r="T156" i="13"/>
  <c r="U156" i="13"/>
  <c r="V156" i="13"/>
  <c r="W156" i="13"/>
  <c r="X156" i="13"/>
  <c r="Y156" i="13"/>
  <c r="Z156" i="13"/>
  <c r="AA156" i="13"/>
  <c r="T157" i="13"/>
  <c r="U157" i="13"/>
  <c r="V157" i="13"/>
  <c r="W157" i="13"/>
  <c r="X157" i="13"/>
  <c r="Y157" i="13"/>
  <c r="Z157" i="13"/>
  <c r="AA157" i="13"/>
  <c r="T158" i="13"/>
  <c r="U158" i="13"/>
  <c r="V158" i="13"/>
  <c r="W158" i="13"/>
  <c r="X158" i="13"/>
  <c r="Y158" i="13"/>
  <c r="Z158" i="13"/>
  <c r="AA158" i="13"/>
  <c r="T159" i="13"/>
  <c r="U159" i="13"/>
  <c r="V159" i="13"/>
  <c r="W159" i="13"/>
  <c r="X159" i="13"/>
  <c r="Y159" i="13"/>
  <c r="Z159" i="13"/>
  <c r="AA159" i="13"/>
  <c r="T160" i="13"/>
  <c r="U160" i="13"/>
  <c r="V160" i="13"/>
  <c r="W160" i="13"/>
  <c r="X160" i="13"/>
  <c r="Y160" i="13"/>
  <c r="Z160" i="13"/>
  <c r="AA160" i="13"/>
  <c r="T161" i="13"/>
  <c r="U161" i="13"/>
  <c r="V161" i="13"/>
  <c r="W161" i="13"/>
  <c r="X161" i="13"/>
  <c r="Y161" i="13"/>
  <c r="Z161" i="13"/>
  <c r="AA161" i="13"/>
  <c r="T162" i="13"/>
  <c r="U162" i="13"/>
  <c r="V162" i="13"/>
  <c r="W162" i="13"/>
  <c r="X162" i="13"/>
  <c r="Y162" i="13"/>
  <c r="Z162" i="13"/>
  <c r="AA162" i="13"/>
  <c r="T163" i="13"/>
  <c r="U163" i="13"/>
  <c r="V163" i="13"/>
  <c r="W163" i="13"/>
  <c r="X163" i="13"/>
  <c r="Y163" i="13"/>
  <c r="Z163" i="13"/>
  <c r="AA163" i="13"/>
  <c r="T164" i="13"/>
  <c r="U164" i="13"/>
  <c r="V164" i="13"/>
  <c r="W164" i="13"/>
  <c r="X164" i="13"/>
  <c r="Y164" i="13"/>
  <c r="Z164" i="13"/>
  <c r="AA164" i="13"/>
  <c r="T165" i="13"/>
  <c r="U165" i="13"/>
  <c r="V165" i="13"/>
  <c r="W165" i="13"/>
  <c r="X165" i="13"/>
  <c r="Y165" i="13"/>
  <c r="Z165" i="13"/>
  <c r="AA165" i="13"/>
  <c r="T166" i="13"/>
  <c r="U166" i="13"/>
  <c r="V166" i="13"/>
  <c r="W166" i="13"/>
  <c r="X166" i="13"/>
  <c r="Y166" i="13"/>
  <c r="Z166" i="13"/>
  <c r="AA166" i="13"/>
  <c r="T167" i="13"/>
  <c r="U167" i="13"/>
  <c r="V167" i="13"/>
  <c r="W167" i="13"/>
  <c r="X167" i="13"/>
  <c r="Y167" i="13"/>
  <c r="Z167" i="13"/>
  <c r="AA167" i="13"/>
  <c r="T168" i="13"/>
  <c r="U168" i="13"/>
  <c r="V168" i="13"/>
  <c r="W168" i="13"/>
  <c r="X168" i="13"/>
  <c r="Y168" i="13"/>
  <c r="Z168" i="13"/>
  <c r="AA168" i="13"/>
  <c r="T169" i="13"/>
  <c r="U169" i="13"/>
  <c r="V169" i="13"/>
  <c r="W169" i="13"/>
  <c r="X169" i="13"/>
  <c r="Y169" i="13"/>
  <c r="Z169" i="13"/>
  <c r="AA169" i="13"/>
  <c r="T170" i="13"/>
  <c r="U170" i="13"/>
  <c r="V170" i="13"/>
  <c r="W170" i="13"/>
  <c r="X170" i="13"/>
  <c r="Y170" i="13"/>
  <c r="Z170" i="13"/>
  <c r="AA170" i="13"/>
  <c r="AA142" i="13"/>
  <c r="Z142" i="13"/>
  <c r="Y142" i="13"/>
  <c r="X142" i="13"/>
  <c r="W142" i="13"/>
  <c r="V142" i="13"/>
  <c r="U142" i="13"/>
  <c r="T142" i="13"/>
  <c r="AI165" i="13"/>
  <c r="AJ165" i="13" s="1"/>
  <c r="AI166" i="13"/>
  <c r="AM166" i="13" s="1"/>
  <c r="AE142" i="13"/>
  <c r="AZ153" i="3" l="1"/>
  <c r="U153" i="3"/>
  <c r="AZ154" i="3"/>
  <c r="U154" i="3"/>
  <c r="AZ60" i="3"/>
  <c r="U60" i="3"/>
  <c r="AZ115" i="3"/>
  <c r="U115" i="3"/>
  <c r="AZ348" i="3"/>
  <c r="AX115" i="3"/>
  <c r="AY115" i="3" s="1"/>
  <c r="AX153" i="3"/>
  <c r="AY153" i="3" s="1"/>
  <c r="AX348" i="3"/>
  <c r="AY348" i="3" s="1"/>
  <c r="AX154" i="3"/>
  <c r="AY154" i="3" s="1"/>
  <c r="AX60" i="3"/>
  <c r="AY60" i="3" s="1"/>
  <c r="AX200" i="3"/>
  <c r="AY200" i="3" s="1"/>
  <c r="AL166" i="13"/>
  <c r="AK166" i="13"/>
  <c r="AN165" i="13"/>
  <c r="AN166" i="13"/>
  <c r="AL165" i="13"/>
  <c r="AJ166" i="13"/>
  <c r="AM165" i="13"/>
  <c r="AK165" i="13"/>
  <c r="Y5" i="1"/>
  <c r="Y6" i="1"/>
  <c r="Y7" i="1"/>
  <c r="Y8" i="1"/>
  <c r="Y9" i="1"/>
  <c r="Y10" i="1"/>
  <c r="Y11" i="1"/>
  <c r="Y12" i="1"/>
  <c r="Y13" i="1"/>
  <c r="Y14" i="1"/>
  <c r="Y15" i="1"/>
  <c r="Y16" i="1"/>
  <c r="Y17" i="1"/>
  <c r="Y18" i="1"/>
  <c r="Y19" i="1"/>
  <c r="Y20" i="1"/>
  <c r="Y21" i="1"/>
  <c r="Y22" i="1"/>
  <c r="Y23" i="1"/>
  <c r="Y24" i="1"/>
  <c r="Y25" i="1"/>
  <c r="Y26" i="1"/>
  <c r="Y27" i="1"/>
  <c r="Y4" i="1"/>
  <c r="K32" i="1"/>
  <c r="K33" i="1"/>
  <c r="K34" i="1"/>
  <c r="K35" i="1"/>
  <c r="K36" i="1"/>
  <c r="K37" i="1"/>
  <c r="K38" i="1"/>
  <c r="K39" i="1"/>
  <c r="K40" i="1"/>
  <c r="K41" i="1"/>
  <c r="K42" i="1"/>
  <c r="K43" i="1"/>
  <c r="K44" i="1"/>
  <c r="K45" i="1"/>
  <c r="K46" i="1"/>
  <c r="K47" i="1"/>
  <c r="K48" i="1"/>
  <c r="K49" i="1"/>
  <c r="K50" i="1"/>
  <c r="K51" i="1"/>
  <c r="K52" i="1"/>
  <c r="K53" i="1"/>
  <c r="K54" i="1"/>
  <c r="K55" i="1"/>
  <c r="C73" i="13"/>
  <c r="D73" i="13"/>
  <c r="E73" i="13"/>
  <c r="F73" i="13"/>
  <c r="G73" i="13"/>
  <c r="H73" i="13"/>
  <c r="I73" i="13"/>
  <c r="J73" i="13"/>
  <c r="K73" i="13"/>
  <c r="L73" i="13"/>
  <c r="M73" i="13"/>
  <c r="N73" i="13"/>
  <c r="O73" i="13"/>
  <c r="P73" i="13"/>
  <c r="Q73" i="13"/>
  <c r="R73" i="13"/>
  <c r="S73" i="13"/>
  <c r="T73" i="13"/>
  <c r="U73" i="13"/>
  <c r="V73" i="13"/>
  <c r="C126" i="13"/>
  <c r="D126" i="13"/>
  <c r="E126" i="13"/>
  <c r="F126" i="13"/>
  <c r="G126" i="13"/>
  <c r="H126" i="13"/>
  <c r="I126" i="13"/>
  <c r="J126" i="13"/>
  <c r="K126" i="13"/>
  <c r="L126" i="13"/>
  <c r="M126" i="13"/>
  <c r="N126" i="13"/>
  <c r="O126" i="13"/>
  <c r="P126" i="13"/>
  <c r="Q126" i="13"/>
  <c r="R126" i="13"/>
  <c r="S126" i="13"/>
  <c r="T126" i="13"/>
  <c r="U126" i="13"/>
  <c r="V126" i="13"/>
  <c r="FQ211" i="3"/>
  <c r="FP211" i="3"/>
  <c r="FQ280" i="3"/>
  <c r="FP280" i="3"/>
  <c r="FQ201" i="3"/>
  <c r="FP201" i="3"/>
  <c r="FQ213" i="3"/>
  <c r="FP213" i="3"/>
  <c r="FQ176" i="3"/>
  <c r="FP176" i="3"/>
  <c r="FP212" i="3"/>
  <c r="FQ212" i="3"/>
  <c r="W73" i="13" l="1"/>
  <c r="W126" i="13"/>
  <c r="X32" i="1"/>
  <c r="X33" i="1"/>
  <c r="X34" i="1"/>
  <c r="X31" i="1"/>
  <c r="R44" i="1"/>
  <c r="R45" i="1"/>
  <c r="R46" i="1"/>
  <c r="R47" i="1"/>
  <c r="R43" i="1"/>
  <c r="R52" i="1"/>
  <c r="R53" i="1"/>
  <c r="R54" i="1"/>
  <c r="R55" i="1"/>
  <c r="R51" i="1"/>
  <c r="X44" i="1"/>
  <c r="X45" i="1"/>
  <c r="X46" i="1"/>
  <c r="X47" i="1"/>
  <c r="X43" i="1"/>
  <c r="X52" i="1"/>
  <c r="X53" i="1"/>
  <c r="X51" i="1"/>
  <c r="FQ222" i="3"/>
  <c r="FP222" i="3"/>
  <c r="FP204" i="3"/>
  <c r="FP205" i="3"/>
  <c r="FP206" i="3"/>
  <c r="FP207" i="3"/>
  <c r="FP209" i="3"/>
  <c r="FP210" i="3"/>
  <c r="FP216" i="3"/>
  <c r="FP217" i="3"/>
  <c r="FP218" i="3"/>
  <c r="FP219" i="3"/>
  <c r="FP220" i="3"/>
  <c r="FP221" i="3"/>
  <c r="FP223" i="3"/>
  <c r="FP224" i="3"/>
  <c r="FP225" i="3"/>
  <c r="FP226" i="3"/>
  <c r="FP227" i="3"/>
  <c r="FP228" i="3"/>
  <c r="FP229" i="3"/>
  <c r="FP230" i="3"/>
  <c r="FP231" i="3"/>
  <c r="FP232" i="3"/>
  <c r="FP233" i="3"/>
  <c r="FP234" i="3"/>
  <c r="FP235" i="3"/>
  <c r="FP236" i="3"/>
  <c r="FP237" i="3"/>
  <c r="FP238" i="3"/>
  <c r="FP239" i="3"/>
  <c r="FP240" i="3"/>
  <c r="FP241" i="3"/>
  <c r="FP242" i="3"/>
  <c r="FP243" i="3"/>
  <c r="FP244" i="3"/>
  <c r="FP245" i="3"/>
  <c r="FP246" i="3"/>
  <c r="FP247" i="3"/>
  <c r="FP248" i="3"/>
  <c r="FP249" i="3"/>
  <c r="FP250" i="3"/>
  <c r="FP251" i="3"/>
  <c r="FP252" i="3"/>
  <c r="FP253" i="3"/>
  <c r="FP254" i="3"/>
  <c r="FP255" i="3"/>
  <c r="FP256" i="3"/>
  <c r="FP257" i="3"/>
  <c r="FP258" i="3"/>
  <c r="FP259" i="3"/>
  <c r="FP260" i="3"/>
  <c r="FP261" i="3"/>
  <c r="FP262" i="3"/>
  <c r="FP263" i="3"/>
  <c r="FP264" i="3"/>
  <c r="FP265" i="3"/>
  <c r="FP266" i="3"/>
  <c r="FP267" i="3"/>
  <c r="FP268" i="3"/>
  <c r="FP269" i="3"/>
  <c r="FP270" i="3"/>
  <c r="FP271" i="3"/>
  <c r="FP272" i="3"/>
  <c r="FP273" i="3"/>
  <c r="FP274" i="3"/>
  <c r="FP275" i="3"/>
  <c r="FP276" i="3"/>
  <c r="FP277" i="3"/>
  <c r="FP278" i="3"/>
  <c r="FP279" i="3"/>
  <c r="FP281" i="3"/>
  <c r="FP282" i="3"/>
  <c r="FP283" i="3"/>
  <c r="FP284" i="3"/>
  <c r="FP285" i="3"/>
  <c r="FP286" i="3"/>
  <c r="FP287" i="3"/>
  <c r="FP288" i="3"/>
  <c r="FP289" i="3"/>
  <c r="FP290" i="3"/>
  <c r="FP291" i="3"/>
  <c r="FP292" i="3"/>
  <c r="FP293" i="3"/>
  <c r="FP294" i="3"/>
  <c r="FP295" i="3"/>
  <c r="FP296" i="3"/>
  <c r="FP297" i="3"/>
  <c r="FP298" i="3"/>
  <c r="FP299" i="3"/>
  <c r="FP300" i="3"/>
  <c r="FP301" i="3"/>
  <c r="FP302" i="3"/>
  <c r="FP303" i="3"/>
  <c r="FP304" i="3"/>
  <c r="FP305" i="3"/>
  <c r="FP306" i="3"/>
  <c r="FP307" i="3"/>
  <c r="FP308" i="3"/>
  <c r="FP309" i="3"/>
  <c r="FQ209" i="3"/>
  <c r="FQ207" i="3"/>
  <c r="FQ218" i="3"/>
  <c r="FQ200" i="3"/>
  <c r="FP200" i="3"/>
  <c r="FQ217" i="3"/>
  <c r="BX1491" i="3"/>
  <c r="BY1491" i="3" s="1"/>
  <c r="BY55" i="3"/>
  <c r="BY752" i="3"/>
  <c r="BX1490" i="3"/>
  <c r="BY1490" i="3" s="1"/>
  <c r="BX1489" i="3"/>
  <c r="BY1489" i="3" s="1"/>
  <c r="BX1488" i="3"/>
  <c r="BY1488" i="3" s="1"/>
  <c r="BX1484" i="3"/>
  <c r="BY1484" i="3" s="1"/>
  <c r="BX1487" i="3"/>
  <c r="BY1487" i="3" s="1"/>
  <c r="BX1486" i="3"/>
  <c r="BY1486" i="3" s="1"/>
  <c r="BX1485" i="3"/>
  <c r="BY1485" i="3" s="1"/>
  <c r="B1347" i="14"/>
  <c r="BX1482" i="3" l="1"/>
  <c r="BY1482" i="3" s="1"/>
  <c r="BX1483" i="3"/>
  <c r="BY1483" i="3" s="1"/>
  <c r="B1341" i="14"/>
  <c r="BX1481" i="3"/>
  <c r="BY1481" i="3" s="1"/>
  <c r="BX1480" i="3"/>
  <c r="BY1480" i="3" s="1"/>
  <c r="BX1479" i="3"/>
  <c r="BY1479" i="3" s="1"/>
  <c r="BX1478" i="3"/>
  <c r="BY1478" i="3" s="1"/>
  <c r="BX1477" i="3"/>
  <c r="BY1477" i="3" s="1"/>
  <c r="BX1476" i="3"/>
  <c r="BY1476" i="3" s="1"/>
  <c r="BX1475" i="3"/>
  <c r="BY1475" i="3" s="1"/>
  <c r="BX1474" i="3"/>
  <c r="BY1474" i="3" s="1"/>
  <c r="BX913" i="3"/>
  <c r="BY913" i="3" s="1"/>
  <c r="BX1472" i="3"/>
  <c r="BY1472" i="3" s="1"/>
  <c r="BX1473" i="3"/>
  <c r="BY1473" i="3" s="1"/>
  <c r="BX437" i="3"/>
  <c r="BY437" i="3" s="1"/>
  <c r="BX423" i="3"/>
  <c r="BY423" i="3" s="1"/>
  <c r="BX409" i="3"/>
  <c r="BY409" i="3" s="1"/>
  <c r="BX395" i="3"/>
  <c r="BY395" i="3" s="1"/>
  <c r="BX381" i="3"/>
  <c r="BY381" i="3" s="1"/>
  <c r="BX367" i="3"/>
  <c r="BY367" i="3" s="1"/>
  <c r="BX353" i="3"/>
  <c r="BY353" i="3" s="1"/>
  <c r="BX339" i="3"/>
  <c r="BY339" i="3" s="1"/>
  <c r="BX325" i="3"/>
  <c r="BY325" i="3" s="1"/>
  <c r="BX310" i="3"/>
  <c r="BY310" i="3" s="1"/>
  <c r="BX907" i="3"/>
  <c r="BY907" i="3" s="1"/>
  <c r="BX906" i="3"/>
  <c r="BY906" i="3" s="1"/>
  <c r="BX1471" i="3"/>
  <c r="BY1471" i="3" s="1"/>
  <c r="BX912" i="3"/>
  <c r="BY912" i="3" s="1"/>
  <c r="BX1470" i="3"/>
  <c r="BY1470" i="3" s="1"/>
  <c r="BX1469" i="3"/>
  <c r="BY1469" i="3" s="1"/>
  <c r="BX918" i="3"/>
  <c r="BY918" i="3" s="1"/>
  <c r="BX1468" i="3"/>
  <c r="BY1468" i="3" s="1"/>
  <c r="BX1467" i="3"/>
  <c r="BY1467" i="3" s="1"/>
  <c r="BX312" i="3"/>
  <c r="BY312" i="3" s="1"/>
  <c r="BX1466" i="3"/>
  <c r="BY1466" i="3" s="1"/>
  <c r="BX1465" i="3"/>
  <c r="BY1465" i="3" s="1"/>
  <c r="BX1464" i="3"/>
  <c r="BY1464" i="3" s="1"/>
  <c r="BX1463" i="3"/>
  <c r="BY1463" i="3" s="1"/>
  <c r="BX1462" i="3"/>
  <c r="BY1462" i="3" s="1"/>
  <c r="BX1461" i="3"/>
  <c r="BY1461" i="3" s="1"/>
  <c r="BX1460" i="3"/>
  <c r="BY1460" i="3" s="1"/>
  <c r="BX1459" i="3"/>
  <c r="BY1459" i="3" s="1"/>
  <c r="BX1458" i="3"/>
  <c r="BY1458" i="3" s="1"/>
  <c r="BX1457" i="3"/>
  <c r="BY1457" i="3" s="1"/>
  <c r="BX1456" i="3"/>
  <c r="BY1456" i="3" s="1"/>
  <c r="BX1455" i="3"/>
  <c r="BY1455" i="3" s="1"/>
  <c r="BX1454" i="3"/>
  <c r="BY1454" i="3" s="1"/>
  <c r="BX1453" i="3"/>
  <c r="BY1453" i="3" s="1"/>
  <c r="BX1452" i="3"/>
  <c r="BY1452" i="3" s="1"/>
  <c r="BX1451" i="3"/>
  <c r="BY1451" i="3" s="1"/>
  <c r="BX1450" i="3"/>
  <c r="BY1450" i="3" s="1"/>
  <c r="BX1449" i="3"/>
  <c r="BY1449" i="3" s="1"/>
  <c r="BX1448" i="3"/>
  <c r="BY1448" i="3" s="1"/>
  <c r="BX1447" i="3"/>
  <c r="BY1447" i="3" s="1"/>
  <c r="BX1446" i="3"/>
  <c r="BY1446" i="3" s="1"/>
  <c r="BX1445" i="3"/>
  <c r="BY1445" i="3" s="1"/>
  <c r="BX1444" i="3"/>
  <c r="BY1444" i="3" s="1"/>
  <c r="BX1443" i="3"/>
  <c r="BY1443" i="3" s="1"/>
  <c r="BX1442" i="3"/>
  <c r="BY1442" i="3" s="1"/>
  <c r="BX1441" i="3"/>
  <c r="BY1441" i="3" s="1"/>
  <c r="BX1440" i="3"/>
  <c r="BY1440" i="3" s="1"/>
  <c r="BX1439" i="3"/>
  <c r="BY1439" i="3" s="1"/>
  <c r="BX1438" i="3"/>
  <c r="BY1438" i="3" s="1"/>
  <c r="BX1437" i="3"/>
  <c r="BY1437" i="3" s="1"/>
  <c r="BX1436" i="3"/>
  <c r="BY1436" i="3" s="1"/>
  <c r="BX1435" i="3"/>
  <c r="BY1435" i="3" s="1"/>
  <c r="BX1434" i="3"/>
  <c r="BY1434" i="3" s="1"/>
  <c r="BX1433" i="3"/>
  <c r="BY1433" i="3" s="1"/>
  <c r="BX1432" i="3"/>
  <c r="BY1432" i="3" s="1"/>
  <c r="BX1431" i="3"/>
  <c r="BY1431" i="3" s="1"/>
  <c r="BX1430" i="3"/>
  <c r="BY1430" i="3" s="1"/>
  <c r="BX1429" i="3"/>
  <c r="BY1429" i="3" s="1"/>
  <c r="BX1428" i="3"/>
  <c r="BY1428" i="3" s="1"/>
  <c r="BX1427" i="3"/>
  <c r="BY1427" i="3" s="1"/>
  <c r="BX1426" i="3"/>
  <c r="BY1426" i="3" s="1"/>
  <c r="BX1425" i="3"/>
  <c r="BY1425" i="3" s="1"/>
  <c r="BX1424" i="3"/>
  <c r="BY1424" i="3" s="1"/>
  <c r="BX249" i="3"/>
  <c r="BY249" i="3" s="1"/>
  <c r="A27" i="15" l="1"/>
  <c r="A28" i="15"/>
  <c r="A29" i="15"/>
  <c r="A26" i="15"/>
  <c r="AV64" i="3" l="1"/>
  <c r="AZ170" i="3"/>
  <c r="S2" i="3"/>
  <c r="FQ221" i="3"/>
  <c r="FQ303" i="3"/>
  <c r="EH37" i="3"/>
  <c r="S365" i="3"/>
  <c r="U365" i="3" s="1"/>
  <c r="S364" i="3"/>
  <c r="U364" i="3" s="1"/>
  <c r="S363" i="3"/>
  <c r="U363" i="3" s="1"/>
  <c r="S362" i="3"/>
  <c r="U362" i="3" s="1"/>
  <c r="S361" i="3"/>
  <c r="U361" i="3" s="1"/>
  <c r="S359" i="3"/>
  <c r="U359" i="3" s="1"/>
  <c r="S358" i="3"/>
  <c r="U358" i="3" s="1"/>
  <c r="S356" i="3"/>
  <c r="U356" i="3" s="1"/>
  <c r="S355" i="3"/>
  <c r="U355" i="3" s="1"/>
  <c r="AZ347" i="3"/>
  <c r="S344" i="3"/>
  <c r="U344" i="3" s="1"/>
  <c r="S341" i="3"/>
  <c r="U341" i="3" s="1"/>
  <c r="S340" i="3"/>
  <c r="U340" i="3" s="1"/>
  <c r="S338" i="3"/>
  <c r="U338" i="3" s="1"/>
  <c r="S337" i="3"/>
  <c r="U337" i="3" s="1"/>
  <c r="S327" i="3"/>
  <c r="U327" i="3" s="1"/>
  <c r="S325" i="3"/>
  <c r="U325" i="3" s="1"/>
  <c r="S323" i="3"/>
  <c r="U323" i="3" s="1"/>
  <c r="S317" i="3"/>
  <c r="U317" i="3" s="1"/>
  <c r="S315" i="3"/>
  <c r="U315" i="3" s="1"/>
  <c r="S314" i="3"/>
  <c r="U314" i="3" s="1"/>
  <c r="S313" i="3"/>
  <c r="U313" i="3" s="1"/>
  <c r="S312" i="3"/>
  <c r="U312" i="3" s="1"/>
  <c r="S311" i="3"/>
  <c r="U311" i="3" s="1"/>
  <c r="S310" i="3"/>
  <c r="U310" i="3" s="1"/>
  <c r="S309" i="3"/>
  <c r="U309" i="3" s="1"/>
  <c r="S308" i="3"/>
  <c r="U308" i="3" s="1"/>
  <c r="S306" i="3"/>
  <c r="U306" i="3" s="1"/>
  <c r="S304" i="3"/>
  <c r="U304" i="3" s="1"/>
  <c r="S299" i="3"/>
  <c r="U299" i="3" s="1"/>
  <c r="S297" i="3"/>
  <c r="U297" i="3" s="1"/>
  <c r="S295" i="3"/>
  <c r="U295" i="3" s="1"/>
  <c r="S294" i="3"/>
  <c r="U294" i="3" s="1"/>
  <c r="S292" i="3"/>
  <c r="U292" i="3" s="1"/>
  <c r="S290" i="3"/>
  <c r="U290" i="3" s="1"/>
  <c r="S289" i="3"/>
  <c r="U289" i="3" s="1"/>
  <c r="S288" i="3"/>
  <c r="U288" i="3" s="1"/>
  <c r="S287" i="3"/>
  <c r="U287" i="3" s="1"/>
  <c r="S286" i="3"/>
  <c r="U286" i="3" s="1"/>
  <c r="S285" i="3"/>
  <c r="U285" i="3" s="1"/>
  <c r="S284" i="3"/>
  <c r="U284" i="3" s="1"/>
  <c r="S281" i="3"/>
  <c r="U281" i="3" s="1"/>
  <c r="S280" i="3"/>
  <c r="U280" i="3" s="1"/>
  <c r="S279" i="3"/>
  <c r="U279" i="3" s="1"/>
  <c r="S278" i="3"/>
  <c r="U278" i="3" s="1"/>
  <c r="S272" i="3"/>
  <c r="U272" i="3" s="1"/>
  <c r="S271" i="3"/>
  <c r="U271" i="3" s="1"/>
  <c r="S270" i="3"/>
  <c r="U270" i="3" s="1"/>
  <c r="S269" i="3"/>
  <c r="U269" i="3" s="1"/>
  <c r="EU258" i="3"/>
  <c r="EV258" i="3" s="1"/>
  <c r="S262" i="3"/>
  <c r="U262" i="3" s="1"/>
  <c r="S255" i="3"/>
  <c r="U255" i="3" s="1"/>
  <c r="S254" i="3"/>
  <c r="U254" i="3" s="1"/>
  <c r="S253" i="3"/>
  <c r="U253" i="3" s="1"/>
  <c r="S251" i="3"/>
  <c r="U251" i="3" s="1"/>
  <c r="S249" i="3"/>
  <c r="U249" i="3" s="1"/>
  <c r="S248" i="3"/>
  <c r="U248" i="3" s="1"/>
  <c r="S247" i="3"/>
  <c r="U247" i="3" s="1"/>
  <c r="S246" i="3"/>
  <c r="U246" i="3" s="1"/>
  <c r="S245" i="3"/>
  <c r="U245" i="3" s="1"/>
  <c r="S244" i="3"/>
  <c r="U244" i="3" s="1"/>
  <c r="S242" i="3"/>
  <c r="U242" i="3" s="1"/>
  <c r="S240" i="3"/>
  <c r="U240" i="3" s="1"/>
  <c r="S238" i="3"/>
  <c r="U238" i="3" s="1"/>
  <c r="S237" i="3"/>
  <c r="U237" i="3" s="1"/>
  <c r="S235" i="3"/>
  <c r="U235" i="3" s="1"/>
  <c r="S234" i="3"/>
  <c r="U234" i="3" s="1"/>
  <c r="S233" i="3"/>
  <c r="U233" i="3" s="1"/>
  <c r="S231" i="3"/>
  <c r="U231" i="3" s="1"/>
  <c r="S230" i="3"/>
  <c r="U230" i="3" s="1"/>
  <c r="S225" i="3"/>
  <c r="U225" i="3" s="1"/>
  <c r="S223" i="3"/>
  <c r="U223" i="3" s="1"/>
  <c r="S221" i="3"/>
  <c r="U221" i="3" s="1"/>
  <c r="S220" i="3"/>
  <c r="U220" i="3" s="1"/>
  <c r="S219" i="3"/>
  <c r="U219" i="3" s="1"/>
  <c r="S214" i="3"/>
  <c r="U214" i="3" s="1"/>
  <c r="S211" i="3"/>
  <c r="U211" i="3" s="1"/>
  <c r="S210" i="3"/>
  <c r="U210" i="3" s="1"/>
  <c r="S209" i="3"/>
  <c r="U209" i="3" s="1"/>
  <c r="S208" i="3"/>
  <c r="U208" i="3" s="1"/>
  <c r="S207" i="3"/>
  <c r="U207" i="3" s="1"/>
  <c r="S204" i="3"/>
  <c r="U204" i="3" s="1"/>
  <c r="S203" i="3"/>
  <c r="S202" i="3"/>
  <c r="S201" i="3"/>
  <c r="S199" i="3"/>
  <c r="S198" i="3"/>
  <c r="S197" i="3"/>
  <c r="S192" i="3"/>
  <c r="S191" i="3"/>
  <c r="S190" i="3"/>
  <c r="S189" i="3"/>
  <c r="S188" i="3"/>
  <c r="S187" i="3"/>
  <c r="S185" i="3"/>
  <c r="S184" i="3"/>
  <c r="S183" i="3"/>
  <c r="S181" i="3"/>
  <c r="S180" i="3"/>
  <c r="S179" i="3"/>
  <c r="S178" i="3"/>
  <c r="S175" i="3"/>
  <c r="S174" i="3"/>
  <c r="S169" i="3"/>
  <c r="S168" i="3"/>
  <c r="S167" i="3"/>
  <c r="S166" i="3"/>
  <c r="AZ165" i="3"/>
  <c r="S164" i="3"/>
  <c r="S163" i="3"/>
  <c r="S161" i="3"/>
  <c r="S160" i="3"/>
  <c r="S159" i="3"/>
  <c r="S158" i="3"/>
  <c r="S157" i="3"/>
  <c r="S156" i="3"/>
  <c r="S155" i="3"/>
  <c r="S152" i="3"/>
  <c r="S151" i="3"/>
  <c r="S150" i="3"/>
  <c r="S149" i="3"/>
  <c r="S148" i="3"/>
  <c r="S146" i="3"/>
  <c r="S143" i="3"/>
  <c r="S140" i="3"/>
  <c r="S137" i="3"/>
  <c r="S136" i="3"/>
  <c r="AZ134" i="3"/>
  <c r="S133" i="3"/>
  <c r="S132" i="3"/>
  <c r="S130" i="3"/>
  <c r="S129" i="3"/>
  <c r="S128" i="3"/>
  <c r="S125" i="3"/>
  <c r="S124" i="3"/>
  <c r="S122" i="3"/>
  <c r="S119" i="3"/>
  <c r="S117" i="3"/>
  <c r="S116" i="3"/>
  <c r="S114" i="3"/>
  <c r="S111" i="3"/>
  <c r="AZ110" i="3"/>
  <c r="S109" i="3"/>
  <c r="S108" i="3"/>
  <c r="AZ106" i="3"/>
  <c r="S103" i="3"/>
  <c r="S102" i="3"/>
  <c r="S101" i="3"/>
  <c r="S100" i="3"/>
  <c r="S99" i="3"/>
  <c r="S98" i="3"/>
  <c r="S95" i="3"/>
  <c r="S94" i="3"/>
  <c r="S93" i="3"/>
  <c r="S92" i="3"/>
  <c r="S91" i="3"/>
  <c r="S90" i="3"/>
  <c r="S89" i="3"/>
  <c r="S88" i="3"/>
  <c r="S87" i="3"/>
  <c r="S86" i="3"/>
  <c r="S85" i="3"/>
  <c r="S79" i="3"/>
  <c r="S77" i="3"/>
  <c r="S74" i="3"/>
  <c r="S73" i="3"/>
  <c r="S72" i="3"/>
  <c r="S66" i="3"/>
  <c r="S65" i="3"/>
  <c r="S64" i="3"/>
  <c r="S59" i="3"/>
  <c r="S58" i="3"/>
  <c r="S57" i="3"/>
  <c r="S56" i="3"/>
  <c r="S54" i="3"/>
  <c r="S53" i="3"/>
  <c r="S52" i="3"/>
  <c r="S51" i="3"/>
  <c r="AZ50" i="3"/>
  <c r="S49" i="3"/>
  <c r="S46" i="3"/>
  <c r="S44" i="3"/>
  <c r="S42" i="3"/>
  <c r="S41" i="3"/>
  <c r="S40" i="3"/>
  <c r="S39" i="3"/>
  <c r="S38" i="3"/>
  <c r="AZ37" i="3"/>
  <c r="S35" i="3"/>
  <c r="EG28" i="3"/>
  <c r="EH28" i="3" s="1"/>
  <c r="S34" i="3"/>
  <c r="S33" i="3"/>
  <c r="S29" i="3"/>
  <c r="S28" i="3"/>
  <c r="S23" i="3"/>
  <c r="EH17" i="3"/>
  <c r="S22" i="3"/>
  <c r="S21" i="3"/>
  <c r="S18" i="3"/>
  <c r="S16" i="3"/>
  <c r="S14" i="3"/>
  <c r="S13" i="3"/>
  <c r="S12" i="3"/>
  <c r="U12" i="3" s="1"/>
  <c r="S11" i="3"/>
  <c r="S9" i="3"/>
  <c r="S8" i="3"/>
  <c r="S7" i="3"/>
  <c r="AZ6" i="3"/>
  <c r="AZ5" i="3"/>
  <c r="S4" i="3"/>
  <c r="S3" i="3"/>
  <c r="S349" i="3"/>
  <c r="U349" i="3" s="1"/>
  <c r="S336" i="3"/>
  <c r="U336" i="3" s="1"/>
  <c r="S331" i="3"/>
  <c r="U331" i="3" s="1"/>
  <c r="S283" i="3"/>
  <c r="U283" i="3" s="1"/>
  <c r="S173" i="3"/>
  <c r="S107" i="3"/>
  <c r="S55" i="3"/>
  <c r="EG26" i="3"/>
  <c r="EH26" i="3" s="1"/>
  <c r="EG25" i="3"/>
  <c r="EH25" i="3" s="1"/>
  <c r="EG24" i="3"/>
  <c r="EH24" i="3" s="1"/>
  <c r="EG23" i="3"/>
  <c r="EH23" i="3" s="1"/>
  <c r="EG22" i="3"/>
  <c r="EH22" i="3" s="1"/>
  <c r="EG21" i="3"/>
  <c r="EH21" i="3" s="1"/>
  <c r="EG20" i="3"/>
  <c r="EH20" i="3" s="1"/>
  <c r="S17" i="3"/>
  <c r="S339" i="3"/>
  <c r="U339" i="3" s="1"/>
  <c r="S330" i="3"/>
  <c r="U330" i="3" s="1"/>
  <c r="S326" i="3"/>
  <c r="U326" i="3" s="1"/>
  <c r="S324" i="3"/>
  <c r="U324" i="3" s="1"/>
  <c r="BX303" i="3"/>
  <c r="BY303" i="3" s="1"/>
  <c r="BX302" i="3"/>
  <c r="BY302" i="3" s="1"/>
  <c r="BX301" i="3"/>
  <c r="BY301" i="3" s="1"/>
  <c r="S303" i="3"/>
  <c r="U303" i="3" s="1"/>
  <c r="S302" i="3"/>
  <c r="U302" i="3" s="1"/>
  <c r="S301" i="3"/>
  <c r="U301" i="3" s="1"/>
  <c r="S300" i="3"/>
  <c r="U300" i="3" s="1"/>
  <c r="S296" i="3"/>
  <c r="U296" i="3" s="1"/>
  <c r="S268" i="3"/>
  <c r="U268" i="3" s="1"/>
  <c r="S267" i="3"/>
  <c r="U267" i="3" s="1"/>
  <c r="S266" i="3"/>
  <c r="U266" i="3" s="1"/>
  <c r="S265" i="3"/>
  <c r="U265" i="3" s="1"/>
  <c r="S263" i="3"/>
  <c r="U263" i="3" s="1"/>
  <c r="EU253" i="3"/>
  <c r="EV253" i="3" s="1"/>
  <c r="S224" i="3"/>
  <c r="U224" i="3" s="1"/>
  <c r="S218" i="3"/>
  <c r="U218" i="3" s="1"/>
  <c r="S186" i="3"/>
  <c r="EG36" i="3"/>
  <c r="EH36" i="3" s="1"/>
  <c r="EG12" i="3"/>
  <c r="EH12" i="3" s="1"/>
  <c r="EG10" i="3"/>
  <c r="EH10" i="3" s="1"/>
  <c r="EG9" i="3"/>
  <c r="EH9" i="3" s="1"/>
  <c r="EG8" i="3"/>
  <c r="EH8" i="3" s="1"/>
  <c r="BX13" i="3"/>
  <c r="BY13" i="3" s="1"/>
  <c r="EG7" i="3"/>
  <c r="EH7" i="3" s="1"/>
  <c r="EQ10" i="3"/>
  <c r="ER10" i="3" s="1"/>
  <c r="EU257" i="3"/>
  <c r="EV257" i="3" s="1"/>
  <c r="EU256" i="3"/>
  <c r="EV256" i="3" s="1"/>
  <c r="S241" i="3"/>
  <c r="U241" i="3" s="1"/>
  <c r="S141" i="3"/>
  <c r="S104" i="3"/>
  <c r="S61" i="3"/>
  <c r="EG35" i="3"/>
  <c r="EH35" i="3" s="1"/>
  <c r="EG34" i="3"/>
  <c r="EH34" i="3" s="1"/>
  <c r="EG33" i="3"/>
  <c r="EH33" i="3" s="1"/>
  <c r="EG32" i="3"/>
  <c r="EH32" i="3" s="1"/>
  <c r="S32" i="3"/>
  <c r="S31" i="3"/>
  <c r="EG16" i="3"/>
  <c r="EH16" i="3" s="1"/>
  <c r="EG31" i="3"/>
  <c r="EH31" i="3" s="1"/>
  <c r="EG30" i="3"/>
  <c r="EH30" i="3" s="1"/>
  <c r="EH29" i="3"/>
  <c r="BX651" i="3"/>
  <c r="BY651" i="3" s="1"/>
  <c r="EU252" i="3"/>
  <c r="EV252" i="3" s="1"/>
  <c r="EU251" i="3"/>
  <c r="EV251" i="3" s="1"/>
  <c r="EU250" i="3"/>
  <c r="EV250" i="3" s="1"/>
  <c r="EU249" i="3"/>
  <c r="EV249" i="3" s="1"/>
  <c r="EU248" i="3"/>
  <c r="EV248" i="3" s="1"/>
  <c r="EU247" i="3"/>
  <c r="EV247" i="3" s="1"/>
  <c r="S177" i="3"/>
  <c r="S70" i="3"/>
  <c r="EG58" i="3"/>
  <c r="EH58" i="3" s="1"/>
  <c r="EG63" i="3"/>
  <c r="EH63" i="3" s="1"/>
  <c r="EG61" i="3"/>
  <c r="EH61" i="3" s="1"/>
  <c r="S63" i="3"/>
  <c r="EG60" i="3"/>
  <c r="EH60" i="3" s="1"/>
  <c r="EG59" i="3"/>
  <c r="EH59" i="3" s="1"/>
  <c r="EG56" i="3"/>
  <c r="EH56" i="3" s="1"/>
  <c r="EG55" i="3"/>
  <c r="EH55" i="3" s="1"/>
  <c r="EG54" i="3"/>
  <c r="EH54" i="3" s="1"/>
  <c r="EG53" i="3"/>
  <c r="EH53" i="3" s="1"/>
  <c r="EG52" i="3"/>
  <c r="EH52" i="3" s="1"/>
  <c r="EG51" i="3"/>
  <c r="EH51" i="3" s="1"/>
  <c r="EG50" i="3"/>
  <c r="EH50" i="3" s="1"/>
  <c r="EG49" i="3"/>
  <c r="EH49" i="3" s="1"/>
  <c r="EG48" i="3"/>
  <c r="EH48" i="3" s="1"/>
  <c r="EG47" i="3"/>
  <c r="EH47" i="3" s="1"/>
  <c r="EG46" i="3"/>
  <c r="EH46" i="3" s="1"/>
  <c r="EG45" i="3"/>
  <c r="EH45" i="3" s="1"/>
  <c r="EH44" i="3"/>
  <c r="EG41" i="3"/>
  <c r="EH41" i="3" s="1"/>
  <c r="EG40" i="3"/>
  <c r="EH40" i="3" s="1"/>
  <c r="S45" i="3"/>
  <c r="EG39" i="3"/>
  <c r="EH39" i="3" s="1"/>
  <c r="EH38" i="3"/>
  <c r="EG57" i="3"/>
  <c r="EH57" i="3" s="1"/>
  <c r="EG43" i="3"/>
  <c r="EH43" i="3" s="1"/>
  <c r="EG42" i="3"/>
  <c r="EH42" i="3" s="1"/>
  <c r="EG62" i="3"/>
  <c r="EH62" i="3" s="1"/>
  <c r="BX624" i="3"/>
  <c r="BY624" i="3" s="1"/>
  <c r="BX623" i="3"/>
  <c r="BY623" i="3" s="1"/>
  <c r="BX622" i="3"/>
  <c r="BY622" i="3" s="1"/>
  <c r="BX621" i="3"/>
  <c r="BY621" i="3" s="1"/>
  <c r="BX620" i="3"/>
  <c r="BY620" i="3" s="1"/>
  <c r="BX619" i="3"/>
  <c r="BY619" i="3" s="1"/>
  <c r="BX618" i="3"/>
  <c r="BY618" i="3" s="1"/>
  <c r="BX617" i="3"/>
  <c r="BY617" i="3" s="1"/>
  <c r="BX599" i="3"/>
  <c r="BY599" i="3" s="1"/>
  <c r="BX484" i="3"/>
  <c r="BY484" i="3" s="1"/>
  <c r="BX483" i="3"/>
  <c r="BY483" i="3" s="1"/>
  <c r="BX482" i="3"/>
  <c r="BY482" i="3" s="1"/>
  <c r="BX481" i="3"/>
  <c r="BY481" i="3" s="1"/>
  <c r="BX480" i="3"/>
  <c r="BY480" i="3" s="1"/>
  <c r="BX479" i="3"/>
  <c r="BY479" i="3" s="1"/>
  <c r="BX478" i="3"/>
  <c r="BY478" i="3" s="1"/>
  <c r="S360" i="3"/>
  <c r="U360" i="3" s="1"/>
  <c r="S346" i="3"/>
  <c r="U346" i="3" s="1"/>
  <c r="S342" i="3"/>
  <c r="U342" i="3" s="1"/>
  <c r="S334" i="3"/>
  <c r="U334" i="3" s="1"/>
  <c r="S328" i="3"/>
  <c r="U328" i="3" s="1"/>
  <c r="S320" i="3"/>
  <c r="U320" i="3" s="1"/>
  <c r="S298" i="3"/>
  <c r="U298" i="3" s="1"/>
  <c r="S291" i="3"/>
  <c r="U291" i="3" s="1"/>
  <c r="S243" i="3"/>
  <c r="U243" i="3" s="1"/>
  <c r="S217" i="3"/>
  <c r="U217" i="3" s="1"/>
  <c r="S213" i="3"/>
  <c r="U213" i="3" s="1"/>
  <c r="S212" i="3"/>
  <c r="U212" i="3" s="1"/>
  <c r="S182" i="3"/>
  <c r="S139" i="3"/>
  <c r="S131" i="3"/>
  <c r="S123" i="3"/>
  <c r="S113" i="3"/>
  <c r="S112" i="3"/>
  <c r="S84" i="3"/>
  <c r="S82" i="3"/>
  <c r="S81" i="3"/>
  <c r="S62" i="3"/>
  <c r="BX1337" i="3"/>
  <c r="BY1337" i="3" s="1"/>
  <c r="BX1336" i="3"/>
  <c r="BY1336" i="3" s="1"/>
  <c r="BX1335" i="3"/>
  <c r="BY1335" i="3" s="1"/>
  <c r="BX846" i="3"/>
  <c r="BY846" i="3" s="1"/>
  <c r="BX845" i="3"/>
  <c r="BY845" i="3" s="1"/>
  <c r="BX844" i="3"/>
  <c r="BY844" i="3" s="1"/>
  <c r="BX843" i="3"/>
  <c r="BY843" i="3" s="1"/>
  <c r="BX842" i="3"/>
  <c r="BY842" i="3" s="1"/>
  <c r="BX841" i="3"/>
  <c r="BY841" i="3" s="1"/>
  <c r="BY840" i="3"/>
  <c r="BX839" i="3"/>
  <c r="BY839" i="3" s="1"/>
  <c r="BX838" i="3"/>
  <c r="BY838" i="3" s="1"/>
  <c r="BX837" i="3"/>
  <c r="BY837" i="3" s="1"/>
  <c r="BX836" i="3"/>
  <c r="BY836" i="3" s="1"/>
  <c r="BX835" i="3"/>
  <c r="BY835" i="3" s="1"/>
  <c r="BX834" i="3"/>
  <c r="BY834" i="3" s="1"/>
  <c r="BX833" i="3"/>
  <c r="BY833" i="3" s="1"/>
  <c r="BY832" i="3"/>
  <c r="BY831" i="3"/>
  <c r="BY830" i="3"/>
  <c r="BX829" i="3"/>
  <c r="BY829" i="3" s="1"/>
  <c r="BX719" i="3"/>
  <c r="BY719" i="3" s="1"/>
  <c r="BY718" i="3"/>
  <c r="BX717" i="3"/>
  <c r="BY717" i="3" s="1"/>
  <c r="BX716" i="3"/>
  <c r="BY716" i="3" s="1"/>
  <c r="BX715" i="3"/>
  <c r="BY715" i="3" s="1"/>
  <c r="BX714" i="3"/>
  <c r="BY714" i="3" s="1"/>
  <c r="BX713" i="3"/>
  <c r="BY713" i="3" s="1"/>
  <c r="BX712" i="3"/>
  <c r="BY712" i="3" s="1"/>
  <c r="BX711" i="3"/>
  <c r="BY711" i="3" s="1"/>
  <c r="BX681" i="3"/>
  <c r="BY681" i="3" s="1"/>
  <c r="BX680" i="3"/>
  <c r="BY680" i="3" s="1"/>
  <c r="BX612" i="3"/>
  <c r="BY612" i="3" s="1"/>
  <c r="S352" i="3"/>
  <c r="U352" i="3" s="1"/>
  <c r="S351" i="3"/>
  <c r="U351" i="3" s="1"/>
  <c r="S350" i="3"/>
  <c r="U350" i="3" s="1"/>
  <c r="S321" i="3"/>
  <c r="U321" i="3" s="1"/>
  <c r="S319" i="3"/>
  <c r="U319" i="3" s="1"/>
  <c r="EU278" i="3"/>
  <c r="EV278" i="3" s="1"/>
  <c r="EV277" i="3"/>
  <c r="S282" i="3"/>
  <c r="U282" i="3" s="1"/>
  <c r="EU204" i="3"/>
  <c r="EV204" i="3" s="1"/>
  <c r="BX108" i="3"/>
  <c r="BY108" i="3" s="1"/>
  <c r="BX107" i="3"/>
  <c r="BY107" i="3" s="1"/>
  <c r="BX106" i="3"/>
  <c r="BY106" i="3" s="1"/>
  <c r="BX105" i="3"/>
  <c r="BY105" i="3" s="1"/>
  <c r="BX104" i="3"/>
  <c r="BY104" i="3" s="1"/>
  <c r="BX103" i="3"/>
  <c r="BY103" i="3" s="1"/>
  <c r="BX102" i="3"/>
  <c r="BY102" i="3" s="1"/>
  <c r="S69" i="3"/>
  <c r="EQ69" i="3"/>
  <c r="ER70" i="3" s="1"/>
  <c r="EQ59" i="3"/>
  <c r="ER60" i="3" s="1"/>
  <c r="EQ55" i="3"/>
  <c r="ER55" i="3" s="1"/>
  <c r="EQ40" i="3"/>
  <c r="ER40" i="3" s="1"/>
  <c r="EQ38" i="3"/>
  <c r="ER38" i="3" s="1"/>
  <c r="S19" i="3"/>
  <c r="EG11" i="3"/>
  <c r="EH11" i="3" s="1"/>
  <c r="EQ13" i="3"/>
  <c r="ER13" i="3" s="1"/>
  <c r="EQ12" i="3"/>
  <c r="ER12" i="3" s="1"/>
  <c r="EG6" i="3"/>
  <c r="EH6" i="3" s="1"/>
  <c r="EG5" i="3"/>
  <c r="EH5" i="3" s="1"/>
  <c r="BX775" i="3"/>
  <c r="BY775" i="3" s="1"/>
  <c r="BX584" i="3"/>
  <c r="BY584" i="3" s="1"/>
  <c r="BX304" i="3"/>
  <c r="BY304" i="3" s="1"/>
  <c r="BX300" i="3"/>
  <c r="BY300" i="3" s="1"/>
  <c r="EU264" i="3"/>
  <c r="EV264" i="3" s="1"/>
  <c r="ED191" i="3"/>
  <c r="ED190" i="3"/>
  <c r="ED189" i="3"/>
  <c r="ED188" i="3"/>
  <c r="ED187" i="3"/>
  <c r="ED186" i="3"/>
  <c r="ED185" i="3"/>
  <c r="ED184" i="3"/>
  <c r="ED183" i="3"/>
  <c r="ED182" i="3"/>
  <c r="ED181" i="3"/>
  <c r="BX109" i="3"/>
  <c r="BY109" i="3" s="1"/>
  <c r="AZ97" i="3"/>
  <c r="AV96" i="3"/>
  <c r="AZ96" i="3"/>
  <c r="EQ70" i="3"/>
  <c r="ER71" i="3" s="1"/>
  <c r="EQ52" i="3"/>
  <c r="ER52" i="3" s="1"/>
  <c r="EQ36" i="3"/>
  <c r="ER36" i="3" s="1"/>
  <c r="EQ31" i="3"/>
  <c r="ER31" i="3" s="1"/>
  <c r="EQ30" i="3"/>
  <c r="ER30" i="3" s="1"/>
  <c r="EQ20" i="3"/>
  <c r="ER20" i="3" s="1"/>
  <c r="EQ19" i="3"/>
  <c r="ER19" i="3" s="1"/>
  <c r="EG4" i="3"/>
  <c r="EH4" i="3" s="1"/>
  <c r="EG3" i="3"/>
  <c r="EH3" i="3" s="1"/>
  <c r="EG2" i="3"/>
  <c r="S264" i="3"/>
  <c r="U264" i="3" s="1"/>
  <c r="S239" i="3"/>
  <c r="U239" i="3" s="1"/>
  <c r="EG27" i="3"/>
  <c r="EH27" i="3" s="1"/>
  <c r="EG15" i="3"/>
  <c r="EH15" i="3" s="1"/>
  <c r="EG14" i="3"/>
  <c r="EH14" i="3" s="1"/>
  <c r="EG13" i="3"/>
  <c r="EH13" i="3" s="1"/>
  <c r="FQ10" i="3"/>
  <c r="FQ46" i="3"/>
  <c r="FP46" i="3"/>
  <c r="FQ292" i="3"/>
  <c r="FQ56" i="3"/>
  <c r="FP56" i="3"/>
  <c r="FP3" i="3"/>
  <c r="FQ3" i="3"/>
  <c r="FQ52" i="3"/>
  <c r="FP52" i="3"/>
  <c r="FQ55" i="3"/>
  <c r="FP55" i="3"/>
  <c r="B1340" i="14"/>
  <c r="S260" i="3"/>
  <c r="U260" i="3" s="1"/>
  <c r="DK75" i="3"/>
  <c r="DJ75" i="3"/>
  <c r="DI75" i="3"/>
  <c r="DH75" i="3"/>
  <c r="DF75" i="3"/>
  <c r="DK128" i="3"/>
  <c r="DJ128" i="3"/>
  <c r="DI128" i="3"/>
  <c r="DH128" i="3"/>
  <c r="DF128" i="3"/>
  <c r="AZ84" i="3" l="1"/>
  <c r="U84" i="3"/>
  <c r="AZ13" i="3"/>
  <c r="U13" i="3"/>
  <c r="AZ51" i="3"/>
  <c r="U51" i="3"/>
  <c r="AZ117" i="3"/>
  <c r="U117" i="3"/>
  <c r="AZ181" i="3"/>
  <c r="U181" i="3"/>
  <c r="AZ112" i="3"/>
  <c r="U112" i="3"/>
  <c r="AZ177" i="3"/>
  <c r="U177" i="3"/>
  <c r="AZ186" i="3"/>
  <c r="U186" i="3"/>
  <c r="AZ172" i="3"/>
  <c r="U172" i="3"/>
  <c r="AZ14" i="3"/>
  <c r="U14" i="3"/>
  <c r="AZ29" i="3"/>
  <c r="U29" i="3"/>
  <c r="AZ40" i="3"/>
  <c r="U40" i="3"/>
  <c r="AZ52" i="3"/>
  <c r="U52" i="3"/>
  <c r="AZ65" i="3"/>
  <c r="U65" i="3"/>
  <c r="AZ86" i="3"/>
  <c r="U86" i="3"/>
  <c r="AZ94" i="3"/>
  <c r="U94" i="3"/>
  <c r="AZ119" i="3"/>
  <c r="U119" i="3"/>
  <c r="AZ133" i="3"/>
  <c r="U133" i="3"/>
  <c r="AZ149" i="3"/>
  <c r="U149" i="3"/>
  <c r="AZ159" i="3"/>
  <c r="U159" i="3"/>
  <c r="AZ168" i="3"/>
  <c r="U168" i="3"/>
  <c r="AZ183" i="3"/>
  <c r="U183" i="3"/>
  <c r="AZ192" i="3"/>
  <c r="U192" i="3"/>
  <c r="AZ85" i="3"/>
  <c r="U85" i="3"/>
  <c r="AZ158" i="3"/>
  <c r="U158" i="3"/>
  <c r="AZ191" i="3"/>
  <c r="U191" i="3"/>
  <c r="AZ113" i="3"/>
  <c r="U113" i="3"/>
  <c r="AZ45" i="3"/>
  <c r="U45" i="3"/>
  <c r="AZ173" i="3"/>
  <c r="U173" i="3"/>
  <c r="AZ16" i="3"/>
  <c r="U16" i="3"/>
  <c r="AZ33" i="3"/>
  <c r="U33" i="3"/>
  <c r="AZ41" i="3"/>
  <c r="U41" i="3"/>
  <c r="AZ53" i="3"/>
  <c r="U53" i="3"/>
  <c r="AZ66" i="3"/>
  <c r="U66" i="3"/>
  <c r="AZ87" i="3"/>
  <c r="U87" i="3"/>
  <c r="AZ95" i="3"/>
  <c r="U95" i="3"/>
  <c r="AZ108" i="3"/>
  <c r="U108" i="3"/>
  <c r="AZ122" i="3"/>
  <c r="U122" i="3"/>
  <c r="AZ150" i="3"/>
  <c r="U150" i="3"/>
  <c r="AZ160" i="3"/>
  <c r="U160" i="3"/>
  <c r="AZ169" i="3"/>
  <c r="U169" i="3"/>
  <c r="AZ184" i="3"/>
  <c r="U184" i="3"/>
  <c r="AZ197" i="3"/>
  <c r="U197" i="3"/>
  <c r="AZ132" i="3"/>
  <c r="U132" i="3"/>
  <c r="AZ69" i="3"/>
  <c r="U69" i="3"/>
  <c r="AZ123" i="3"/>
  <c r="U123" i="3"/>
  <c r="AZ61" i="3"/>
  <c r="U61" i="3"/>
  <c r="AZ7" i="3"/>
  <c r="U7" i="3"/>
  <c r="AZ18" i="3"/>
  <c r="U18" i="3"/>
  <c r="AZ34" i="3"/>
  <c r="U34" i="3"/>
  <c r="AZ42" i="3"/>
  <c r="U42" i="3"/>
  <c r="AZ54" i="3"/>
  <c r="U54" i="3"/>
  <c r="AZ72" i="3"/>
  <c r="U72" i="3"/>
  <c r="AZ88" i="3"/>
  <c r="U88" i="3"/>
  <c r="AZ98" i="3"/>
  <c r="U98" i="3"/>
  <c r="AZ109" i="3"/>
  <c r="U109" i="3"/>
  <c r="AZ124" i="3"/>
  <c r="U124" i="3"/>
  <c r="AZ136" i="3"/>
  <c r="U136" i="3"/>
  <c r="AZ151" i="3"/>
  <c r="U151" i="3"/>
  <c r="AZ161" i="3"/>
  <c r="U161" i="3"/>
  <c r="AZ174" i="3"/>
  <c r="U174" i="3"/>
  <c r="AZ185" i="3"/>
  <c r="U185" i="3"/>
  <c r="AZ198" i="3"/>
  <c r="U198" i="3"/>
  <c r="AZ70" i="3"/>
  <c r="U70" i="3"/>
  <c r="AZ28" i="3"/>
  <c r="U28" i="3"/>
  <c r="AZ93" i="3"/>
  <c r="U93" i="3"/>
  <c r="AZ131" i="3"/>
  <c r="U131" i="3"/>
  <c r="AZ63" i="3"/>
  <c r="U63" i="3"/>
  <c r="AZ104" i="3"/>
  <c r="U104" i="3"/>
  <c r="AZ8" i="3"/>
  <c r="U8" i="3"/>
  <c r="AZ21" i="3"/>
  <c r="U21" i="3"/>
  <c r="AZ44" i="3"/>
  <c r="U44" i="3"/>
  <c r="AZ56" i="3"/>
  <c r="U56" i="3"/>
  <c r="AZ73" i="3"/>
  <c r="U73" i="3"/>
  <c r="AZ89" i="3"/>
  <c r="U89" i="3"/>
  <c r="AZ99" i="3"/>
  <c r="U99" i="3"/>
  <c r="AZ125" i="3"/>
  <c r="U125" i="3"/>
  <c r="AZ137" i="3"/>
  <c r="U137" i="3"/>
  <c r="AZ152" i="3"/>
  <c r="U152" i="3"/>
  <c r="AZ163" i="3"/>
  <c r="U163" i="3"/>
  <c r="AZ175" i="3"/>
  <c r="U175" i="3"/>
  <c r="AZ187" i="3"/>
  <c r="U187" i="3"/>
  <c r="AZ199" i="3"/>
  <c r="U199" i="3"/>
  <c r="AZ4" i="3"/>
  <c r="U4" i="3"/>
  <c r="AZ64" i="3"/>
  <c r="U64" i="3"/>
  <c r="AZ167" i="3"/>
  <c r="U167" i="3"/>
  <c r="AZ19" i="3"/>
  <c r="U19" i="3"/>
  <c r="AZ62" i="3"/>
  <c r="U62" i="3"/>
  <c r="AZ139" i="3"/>
  <c r="U139" i="3"/>
  <c r="AZ31" i="3"/>
  <c r="U31" i="3"/>
  <c r="AZ141" i="3"/>
  <c r="U141" i="3"/>
  <c r="AZ9" i="3"/>
  <c r="U9" i="3"/>
  <c r="AZ22" i="3"/>
  <c r="U22" i="3"/>
  <c r="AZ35" i="3"/>
  <c r="U35" i="3"/>
  <c r="AZ46" i="3"/>
  <c r="U46" i="3"/>
  <c r="AZ57" i="3"/>
  <c r="U57" i="3"/>
  <c r="AZ74" i="3"/>
  <c r="U74" i="3"/>
  <c r="AZ90" i="3"/>
  <c r="U90" i="3"/>
  <c r="AZ100" i="3"/>
  <c r="U100" i="3"/>
  <c r="AZ111" i="3"/>
  <c r="U111" i="3"/>
  <c r="AZ128" i="3"/>
  <c r="U128" i="3"/>
  <c r="AZ140" i="3"/>
  <c r="U140" i="3"/>
  <c r="AZ155" i="3"/>
  <c r="U155" i="3"/>
  <c r="AZ164" i="3"/>
  <c r="U164" i="3"/>
  <c r="AZ178" i="3"/>
  <c r="U178" i="3"/>
  <c r="AZ188" i="3"/>
  <c r="U188" i="3"/>
  <c r="AZ201" i="3"/>
  <c r="U201" i="3"/>
  <c r="AZ171" i="3"/>
  <c r="U171" i="3"/>
  <c r="AZ39" i="3"/>
  <c r="U39" i="3"/>
  <c r="AZ103" i="3"/>
  <c r="U103" i="3"/>
  <c r="AZ81" i="3"/>
  <c r="U81" i="3"/>
  <c r="AZ176" i="3"/>
  <c r="U176" i="3"/>
  <c r="AZ32" i="3"/>
  <c r="U32" i="3"/>
  <c r="AZ17" i="3"/>
  <c r="U17" i="3"/>
  <c r="AZ55" i="3"/>
  <c r="U55" i="3"/>
  <c r="AZ11" i="3"/>
  <c r="U11" i="3"/>
  <c r="AZ49" i="3"/>
  <c r="U49" i="3"/>
  <c r="AZ58" i="3"/>
  <c r="U58" i="3"/>
  <c r="AZ77" i="3"/>
  <c r="U77" i="3"/>
  <c r="AZ91" i="3"/>
  <c r="U91" i="3"/>
  <c r="AZ101" i="3"/>
  <c r="U101" i="3"/>
  <c r="AZ114" i="3"/>
  <c r="U114" i="3"/>
  <c r="AZ129" i="3"/>
  <c r="U129" i="3"/>
  <c r="AZ143" i="3"/>
  <c r="U143" i="3"/>
  <c r="AZ156" i="3"/>
  <c r="U156" i="3"/>
  <c r="AZ179" i="3"/>
  <c r="U179" i="3"/>
  <c r="AZ189" i="3"/>
  <c r="U189" i="3"/>
  <c r="AZ202" i="3"/>
  <c r="U202" i="3"/>
  <c r="AZ148" i="3"/>
  <c r="U148" i="3"/>
  <c r="AZ82" i="3"/>
  <c r="U82" i="3"/>
  <c r="AZ182" i="3"/>
  <c r="U182" i="3"/>
  <c r="AZ107" i="3"/>
  <c r="U107" i="3"/>
  <c r="U3" i="3"/>
  <c r="AZ23" i="3"/>
  <c r="U23" i="3"/>
  <c r="AZ38" i="3"/>
  <c r="U38" i="3"/>
  <c r="AZ59" i="3"/>
  <c r="U59" i="3"/>
  <c r="AZ79" i="3"/>
  <c r="U79" i="3"/>
  <c r="AZ92" i="3"/>
  <c r="U92" i="3"/>
  <c r="AZ102" i="3"/>
  <c r="U102" i="3"/>
  <c r="AZ116" i="3"/>
  <c r="U116" i="3"/>
  <c r="AZ130" i="3"/>
  <c r="U130" i="3"/>
  <c r="AZ146" i="3"/>
  <c r="U146" i="3"/>
  <c r="AZ157" i="3"/>
  <c r="U157" i="3"/>
  <c r="AZ166" i="3"/>
  <c r="U166" i="3"/>
  <c r="AZ180" i="3"/>
  <c r="U180" i="3"/>
  <c r="AZ190" i="3"/>
  <c r="U190" i="3"/>
  <c r="AZ203" i="3"/>
  <c r="U203" i="3"/>
  <c r="AZ320" i="3"/>
  <c r="AZ241" i="3"/>
  <c r="AZ265" i="3"/>
  <c r="AZ303" i="3"/>
  <c r="AZ331" i="3"/>
  <c r="AZ209" i="3"/>
  <c r="AZ225" i="3"/>
  <c r="AZ240" i="3"/>
  <c r="AZ251" i="3"/>
  <c r="AZ271" i="3"/>
  <c r="AZ285" i="3"/>
  <c r="AZ295" i="3"/>
  <c r="AZ311" i="3"/>
  <c r="AZ327" i="3"/>
  <c r="AZ355" i="3"/>
  <c r="AZ365" i="3"/>
  <c r="AZ218" i="3"/>
  <c r="AZ266" i="3"/>
  <c r="AZ210" i="3"/>
  <c r="AZ230" i="3"/>
  <c r="AZ242" i="3"/>
  <c r="AZ253" i="3"/>
  <c r="AZ272" i="3"/>
  <c r="AZ286" i="3"/>
  <c r="AZ297" i="3"/>
  <c r="AZ312" i="3"/>
  <c r="AZ337" i="3"/>
  <c r="AZ356" i="3"/>
  <c r="AZ260" i="3"/>
  <c r="AZ217" i="3"/>
  <c r="AZ352" i="3"/>
  <c r="AZ319" i="3"/>
  <c r="AZ328" i="3"/>
  <c r="AZ336" i="3"/>
  <c r="AZ321" i="3"/>
  <c r="AZ212" i="3"/>
  <c r="AZ334" i="3"/>
  <c r="AZ267" i="3"/>
  <c r="AZ349" i="3"/>
  <c r="AZ211" i="3"/>
  <c r="AZ231" i="3"/>
  <c r="AZ244" i="3"/>
  <c r="AZ254" i="3"/>
  <c r="AZ276" i="3"/>
  <c r="AZ287" i="3"/>
  <c r="AZ299" i="3"/>
  <c r="AZ313" i="3"/>
  <c r="AZ338" i="3"/>
  <c r="AZ358" i="3"/>
  <c r="AZ350" i="3"/>
  <c r="AZ213" i="3"/>
  <c r="AZ342" i="3"/>
  <c r="AZ268" i="3"/>
  <c r="AZ214" i="3"/>
  <c r="AZ233" i="3"/>
  <c r="AZ245" i="3"/>
  <c r="AZ255" i="3"/>
  <c r="AZ278" i="3"/>
  <c r="AZ288" i="3"/>
  <c r="AZ304" i="3"/>
  <c r="AZ314" i="3"/>
  <c r="AZ340" i="3"/>
  <c r="AZ359" i="3"/>
  <c r="AZ296" i="3"/>
  <c r="AZ219" i="3"/>
  <c r="AZ234" i="3"/>
  <c r="AZ246" i="3"/>
  <c r="AZ262" i="3"/>
  <c r="AZ279" i="3"/>
  <c r="AZ289" i="3"/>
  <c r="AZ306" i="3"/>
  <c r="AZ315" i="3"/>
  <c r="AZ341" i="3"/>
  <c r="AZ361" i="3"/>
  <c r="AZ351" i="3"/>
  <c r="AZ243" i="3"/>
  <c r="AZ360" i="3"/>
  <c r="AZ224" i="3"/>
  <c r="AZ326" i="3"/>
  <c r="AZ204" i="3"/>
  <c r="AZ220" i="3"/>
  <c r="AZ235" i="3"/>
  <c r="AZ247" i="3"/>
  <c r="AZ280" i="3"/>
  <c r="AZ290" i="3"/>
  <c r="AZ308" i="3"/>
  <c r="AZ317" i="3"/>
  <c r="AZ344" i="3"/>
  <c r="AZ362" i="3"/>
  <c r="AZ346" i="3"/>
  <c r="AZ324" i="3"/>
  <c r="AZ282" i="3"/>
  <c r="AZ291" i="3"/>
  <c r="AZ301" i="3"/>
  <c r="AZ330" i="3"/>
  <c r="AZ259" i="3"/>
  <c r="AZ207" i="3"/>
  <c r="AZ221" i="3"/>
  <c r="AZ237" i="3"/>
  <c r="AZ248" i="3"/>
  <c r="AZ269" i="3"/>
  <c r="AZ281" i="3"/>
  <c r="AZ292" i="3"/>
  <c r="AZ309" i="3"/>
  <c r="AZ323" i="3"/>
  <c r="AZ345" i="3"/>
  <c r="AZ363" i="3"/>
  <c r="AZ300" i="3"/>
  <c r="AZ258" i="3"/>
  <c r="AZ239" i="3"/>
  <c r="AZ264" i="3"/>
  <c r="AZ298" i="3"/>
  <c r="AZ263" i="3"/>
  <c r="AZ302" i="3"/>
  <c r="AZ339" i="3"/>
  <c r="AZ283" i="3"/>
  <c r="AZ208" i="3"/>
  <c r="AZ223" i="3"/>
  <c r="AZ238" i="3"/>
  <c r="AZ249" i="3"/>
  <c r="AZ270" i="3"/>
  <c r="AZ284" i="3"/>
  <c r="AZ294" i="3"/>
  <c r="AZ310" i="3"/>
  <c r="AZ325" i="3"/>
  <c r="AZ364" i="3"/>
  <c r="AZ12" i="3"/>
  <c r="AZ3" i="3"/>
  <c r="AZ10" i="3"/>
  <c r="AX142" i="3"/>
  <c r="AY142" i="3" s="1"/>
  <c r="AZ142" i="3"/>
  <c r="AX321" i="3"/>
  <c r="AY321" i="3" s="1"/>
  <c r="AX68" i="3"/>
  <c r="AY68" i="3" s="1"/>
  <c r="AX139" i="3"/>
  <c r="AY139" i="3" s="1"/>
  <c r="AX298" i="3"/>
  <c r="AY298" i="3" s="1"/>
  <c r="AX31" i="3"/>
  <c r="AY31" i="3" s="1"/>
  <c r="AX141" i="3"/>
  <c r="AY141" i="3" s="1"/>
  <c r="AX301" i="3"/>
  <c r="AY301" i="3" s="1"/>
  <c r="AX330" i="3"/>
  <c r="AY330" i="3" s="1"/>
  <c r="AX259" i="3"/>
  <c r="AY259" i="3" s="1"/>
  <c r="AX6" i="3"/>
  <c r="AY6" i="3" s="1"/>
  <c r="AX14" i="3"/>
  <c r="AY14" i="3" s="1"/>
  <c r="AX29" i="3"/>
  <c r="AY29" i="3" s="1"/>
  <c r="AX40" i="3"/>
  <c r="AY40" i="3" s="1"/>
  <c r="AX52" i="3"/>
  <c r="AY52" i="3" s="1"/>
  <c r="AX65" i="3"/>
  <c r="AY65" i="3" s="1"/>
  <c r="AX86" i="3"/>
  <c r="AY86" i="3" s="1"/>
  <c r="AX94" i="3"/>
  <c r="AY94" i="3" s="1"/>
  <c r="AX106" i="3"/>
  <c r="AY106" i="3" s="1"/>
  <c r="AX119" i="3"/>
  <c r="AY119" i="3" s="1"/>
  <c r="AX133" i="3"/>
  <c r="AY133" i="3" s="1"/>
  <c r="AX148" i="3"/>
  <c r="AY148" i="3" s="1"/>
  <c r="AX158" i="3"/>
  <c r="AY158" i="3" s="1"/>
  <c r="AX167" i="3"/>
  <c r="AY167" i="3" s="1"/>
  <c r="AX181" i="3"/>
  <c r="AY181" i="3" s="1"/>
  <c r="AX191" i="3"/>
  <c r="AY191" i="3" s="1"/>
  <c r="AX204" i="3"/>
  <c r="AY204" i="3" s="1"/>
  <c r="AX220" i="3"/>
  <c r="AY220" i="3" s="1"/>
  <c r="AX234" i="3"/>
  <c r="AY234" i="3" s="1"/>
  <c r="AX246" i="3"/>
  <c r="AY246" i="3" s="1"/>
  <c r="AX276" i="3"/>
  <c r="AY276" i="3" s="1"/>
  <c r="AX287" i="3"/>
  <c r="AY287" i="3" s="1"/>
  <c r="AX297" i="3"/>
  <c r="AY297" i="3" s="1"/>
  <c r="AX312" i="3"/>
  <c r="AY312" i="3" s="1"/>
  <c r="AX337" i="3"/>
  <c r="AY337" i="3" s="1"/>
  <c r="AX356" i="3"/>
  <c r="AY356" i="3" s="1"/>
  <c r="AX365" i="3"/>
  <c r="AY365" i="3" s="1"/>
  <c r="AX350" i="3"/>
  <c r="AY350" i="3" s="1"/>
  <c r="AX81" i="3"/>
  <c r="AY81" i="3" s="1"/>
  <c r="AX176" i="3"/>
  <c r="AY176" i="3" s="1"/>
  <c r="AX320" i="3"/>
  <c r="AY320" i="3" s="1"/>
  <c r="AX32" i="3"/>
  <c r="AY32" i="3" s="1"/>
  <c r="AX241" i="3"/>
  <c r="AY241" i="3" s="1"/>
  <c r="AX263" i="3"/>
  <c r="AY263" i="3" s="1"/>
  <c r="AX302" i="3"/>
  <c r="AY302" i="3" s="1"/>
  <c r="AX339" i="3"/>
  <c r="AY339" i="3" s="1"/>
  <c r="AX283" i="3"/>
  <c r="AY283" i="3" s="1"/>
  <c r="AX7" i="3"/>
  <c r="AY7" i="3" s="1"/>
  <c r="AX16" i="3"/>
  <c r="AY16" i="3" s="1"/>
  <c r="AX33" i="3"/>
  <c r="AY33" i="3" s="1"/>
  <c r="AX41" i="3"/>
  <c r="AY41" i="3" s="1"/>
  <c r="AX53" i="3"/>
  <c r="AY53" i="3" s="1"/>
  <c r="AX66" i="3"/>
  <c r="AY66" i="3" s="1"/>
  <c r="AX87" i="3"/>
  <c r="AY87" i="3" s="1"/>
  <c r="AX95" i="3"/>
  <c r="AY95" i="3" s="1"/>
  <c r="AX108" i="3"/>
  <c r="AY108" i="3" s="1"/>
  <c r="AX122" i="3"/>
  <c r="AY122" i="3" s="1"/>
  <c r="AX134" i="3"/>
  <c r="AY134" i="3" s="1"/>
  <c r="AX149" i="3"/>
  <c r="AY149" i="3" s="1"/>
  <c r="AX159" i="3"/>
  <c r="AY159" i="3" s="1"/>
  <c r="AX168" i="3"/>
  <c r="AY168" i="3" s="1"/>
  <c r="AX183" i="3"/>
  <c r="AY183" i="3" s="1"/>
  <c r="AX192" i="3"/>
  <c r="AY192" i="3" s="1"/>
  <c r="AX207" i="3"/>
  <c r="AY207" i="3" s="1"/>
  <c r="AX221" i="3"/>
  <c r="AY221" i="3" s="1"/>
  <c r="AX235" i="3"/>
  <c r="AY235" i="3" s="1"/>
  <c r="AX247" i="3"/>
  <c r="AY247" i="3" s="1"/>
  <c r="AX262" i="3"/>
  <c r="AY262" i="3" s="1"/>
  <c r="AX278" i="3"/>
  <c r="AY278" i="3" s="1"/>
  <c r="AX288" i="3"/>
  <c r="AY288" i="3" s="1"/>
  <c r="AX299" i="3"/>
  <c r="AY299" i="3" s="1"/>
  <c r="AX313" i="3"/>
  <c r="AY313" i="3" s="1"/>
  <c r="AX338" i="3"/>
  <c r="AY338" i="3" s="1"/>
  <c r="AX260" i="3"/>
  <c r="AY260" i="3" s="1"/>
  <c r="AX351" i="3"/>
  <c r="AY351" i="3" s="1"/>
  <c r="AX82" i="3"/>
  <c r="AY82" i="3" s="1"/>
  <c r="AX182" i="3"/>
  <c r="AY182" i="3" s="1"/>
  <c r="AX328" i="3"/>
  <c r="AY328" i="3" s="1"/>
  <c r="AX265" i="3"/>
  <c r="AY265" i="3" s="1"/>
  <c r="AX303" i="3"/>
  <c r="AY303" i="3" s="1"/>
  <c r="AX17" i="3"/>
  <c r="AY17" i="3" s="1"/>
  <c r="AX55" i="3"/>
  <c r="AY55" i="3" s="1"/>
  <c r="AX331" i="3"/>
  <c r="AY331" i="3" s="1"/>
  <c r="AX8" i="3"/>
  <c r="AY8" i="3" s="1"/>
  <c r="AX18" i="3"/>
  <c r="AY18" i="3" s="1"/>
  <c r="AX34" i="3"/>
  <c r="AY34" i="3" s="1"/>
  <c r="AX42" i="3"/>
  <c r="AY42" i="3" s="1"/>
  <c r="AX54" i="3"/>
  <c r="AY54" i="3" s="1"/>
  <c r="AX72" i="3"/>
  <c r="AY72" i="3" s="1"/>
  <c r="AX88" i="3"/>
  <c r="AY88" i="3" s="1"/>
  <c r="AX98" i="3"/>
  <c r="AY98" i="3" s="1"/>
  <c r="AX109" i="3"/>
  <c r="AY109" i="3" s="1"/>
  <c r="AX124" i="3"/>
  <c r="AY124" i="3" s="1"/>
  <c r="AX136" i="3"/>
  <c r="AY136" i="3" s="1"/>
  <c r="AX150" i="3"/>
  <c r="AY150" i="3" s="1"/>
  <c r="AX160" i="3"/>
  <c r="AY160" i="3" s="1"/>
  <c r="AX169" i="3"/>
  <c r="AY169" i="3" s="1"/>
  <c r="AX184" i="3"/>
  <c r="AY184" i="3" s="1"/>
  <c r="AX197" i="3"/>
  <c r="AY197" i="3" s="1"/>
  <c r="AX208" i="3"/>
  <c r="AY208" i="3" s="1"/>
  <c r="AX223" i="3"/>
  <c r="AY223" i="3" s="1"/>
  <c r="AX237" i="3"/>
  <c r="AY237" i="3" s="1"/>
  <c r="AX248" i="3"/>
  <c r="AY248" i="3" s="1"/>
  <c r="AX279" i="3"/>
  <c r="AY279" i="3" s="1"/>
  <c r="AX289" i="3"/>
  <c r="AY289" i="3" s="1"/>
  <c r="AX304" i="3"/>
  <c r="AY304" i="3" s="1"/>
  <c r="AX314" i="3"/>
  <c r="AY314" i="3" s="1"/>
  <c r="AX340" i="3"/>
  <c r="AY340" i="3" s="1"/>
  <c r="AX358" i="3"/>
  <c r="AY358" i="3" s="1"/>
  <c r="AX239" i="3"/>
  <c r="AY239" i="3" s="1"/>
  <c r="AX69" i="3"/>
  <c r="AY69" i="3" s="1"/>
  <c r="AX352" i="3"/>
  <c r="AY352" i="3" s="1"/>
  <c r="AX84" i="3"/>
  <c r="AY84" i="3" s="1"/>
  <c r="AX212" i="3"/>
  <c r="AY212" i="3" s="1"/>
  <c r="AX334" i="3"/>
  <c r="AY334" i="3" s="1"/>
  <c r="AX70" i="3"/>
  <c r="AY70" i="3" s="1"/>
  <c r="AX266" i="3"/>
  <c r="AY266" i="3" s="1"/>
  <c r="AX107" i="3"/>
  <c r="AY107" i="3" s="1"/>
  <c r="AX336" i="3"/>
  <c r="AY336" i="3" s="1"/>
  <c r="AX9" i="3"/>
  <c r="AY9" i="3" s="1"/>
  <c r="AX21" i="3"/>
  <c r="AY21" i="3" s="1"/>
  <c r="AX44" i="3"/>
  <c r="AY44" i="3" s="1"/>
  <c r="AX56" i="3"/>
  <c r="AY56" i="3" s="1"/>
  <c r="AX73" i="3"/>
  <c r="AY73" i="3" s="1"/>
  <c r="AX89" i="3"/>
  <c r="AY89" i="3" s="1"/>
  <c r="AX99" i="3"/>
  <c r="AY99" i="3" s="1"/>
  <c r="AX110" i="3"/>
  <c r="AY110" i="3" s="1"/>
  <c r="AX125" i="3"/>
  <c r="AY125" i="3" s="1"/>
  <c r="AX137" i="3"/>
  <c r="AY137" i="3" s="1"/>
  <c r="AX151" i="3"/>
  <c r="AY151" i="3" s="1"/>
  <c r="AX161" i="3"/>
  <c r="AY161" i="3" s="1"/>
  <c r="AX174" i="3"/>
  <c r="AY174" i="3" s="1"/>
  <c r="AX185" i="3"/>
  <c r="AY185" i="3" s="1"/>
  <c r="AX198" i="3"/>
  <c r="AY198" i="3" s="1"/>
  <c r="AX209" i="3"/>
  <c r="AY209" i="3" s="1"/>
  <c r="AX225" i="3"/>
  <c r="AY225" i="3" s="1"/>
  <c r="AX238" i="3"/>
  <c r="AY238" i="3" s="1"/>
  <c r="AX249" i="3"/>
  <c r="AY249" i="3" s="1"/>
  <c r="AX269" i="3"/>
  <c r="AY269" i="3" s="1"/>
  <c r="AX280" i="3"/>
  <c r="AY280" i="3" s="1"/>
  <c r="AX290" i="3"/>
  <c r="AY290" i="3" s="1"/>
  <c r="AX306" i="3"/>
  <c r="AY306" i="3" s="1"/>
  <c r="AX315" i="3"/>
  <c r="AY315" i="3" s="1"/>
  <c r="AX341" i="3"/>
  <c r="AY341" i="3" s="1"/>
  <c r="AX359" i="3"/>
  <c r="AY359" i="3" s="1"/>
  <c r="AX96" i="3"/>
  <c r="AY96" i="3" s="1"/>
  <c r="AX282" i="3"/>
  <c r="AY282" i="3" s="1"/>
  <c r="AX112" i="3"/>
  <c r="AY112" i="3" s="1"/>
  <c r="AX213" i="3"/>
  <c r="AY213" i="3" s="1"/>
  <c r="AX342" i="3"/>
  <c r="AY342" i="3" s="1"/>
  <c r="AX177" i="3"/>
  <c r="AY177" i="3" s="1"/>
  <c r="AX162" i="3"/>
  <c r="AY162" i="3" s="1"/>
  <c r="AX267" i="3"/>
  <c r="AY267" i="3" s="1"/>
  <c r="AX171" i="3"/>
  <c r="AY171" i="3" s="1"/>
  <c r="AX349" i="3"/>
  <c r="AY349" i="3" s="1"/>
  <c r="AX10" i="3"/>
  <c r="AY10" i="3" s="1"/>
  <c r="AX22" i="3"/>
  <c r="AY22" i="3" s="1"/>
  <c r="AX35" i="3"/>
  <c r="AY35" i="3" s="1"/>
  <c r="AX46" i="3"/>
  <c r="AY46" i="3" s="1"/>
  <c r="AX57" i="3"/>
  <c r="AY57" i="3" s="1"/>
  <c r="AX74" i="3"/>
  <c r="AY74" i="3" s="1"/>
  <c r="AX90" i="3"/>
  <c r="AY90" i="3" s="1"/>
  <c r="AX100" i="3"/>
  <c r="AY100" i="3" s="1"/>
  <c r="AX111" i="3"/>
  <c r="AY111" i="3" s="1"/>
  <c r="AX128" i="3"/>
  <c r="AY128" i="3" s="1"/>
  <c r="AX140" i="3"/>
  <c r="AY140" i="3" s="1"/>
  <c r="AX152" i="3"/>
  <c r="AY152" i="3" s="1"/>
  <c r="AX163" i="3"/>
  <c r="AY163" i="3" s="1"/>
  <c r="AX175" i="3"/>
  <c r="AY175" i="3" s="1"/>
  <c r="AX187" i="3"/>
  <c r="AY187" i="3" s="1"/>
  <c r="AX199" i="3"/>
  <c r="AY199" i="3" s="1"/>
  <c r="AX210" i="3"/>
  <c r="AY210" i="3" s="1"/>
  <c r="AX230" i="3"/>
  <c r="AY230" i="3" s="1"/>
  <c r="AX240" i="3"/>
  <c r="AY240" i="3" s="1"/>
  <c r="AX251" i="3"/>
  <c r="AY251" i="3" s="1"/>
  <c r="AX270" i="3"/>
  <c r="AY270" i="3" s="1"/>
  <c r="AX281" i="3"/>
  <c r="AY281" i="3" s="1"/>
  <c r="AX292" i="3"/>
  <c r="AY292" i="3" s="1"/>
  <c r="AX308" i="3"/>
  <c r="AY308" i="3" s="1"/>
  <c r="AX317" i="3"/>
  <c r="AY317" i="3" s="1"/>
  <c r="AX344" i="3"/>
  <c r="AY344" i="3" s="1"/>
  <c r="AX361" i="3"/>
  <c r="AY361" i="3" s="1"/>
  <c r="AX264" i="3"/>
  <c r="AY264" i="3" s="1"/>
  <c r="AX19" i="3"/>
  <c r="AY19" i="3" s="1"/>
  <c r="AX30" i="3"/>
  <c r="AY30" i="3" s="1"/>
  <c r="AX113" i="3"/>
  <c r="AY113" i="3" s="1"/>
  <c r="AX217" i="3"/>
  <c r="AY217" i="3" s="1"/>
  <c r="AX346" i="3"/>
  <c r="AY346" i="3" s="1"/>
  <c r="AX45" i="3"/>
  <c r="AY45" i="3" s="1"/>
  <c r="AX186" i="3"/>
  <c r="AY186" i="3" s="1"/>
  <c r="AX268" i="3"/>
  <c r="AY268" i="3" s="1"/>
  <c r="AX172" i="3"/>
  <c r="AY172" i="3" s="1"/>
  <c r="AX3" i="3"/>
  <c r="AY3" i="3" s="1"/>
  <c r="AX11" i="3"/>
  <c r="AY11" i="3" s="1"/>
  <c r="AX37" i="3"/>
  <c r="AY37" i="3" s="1"/>
  <c r="AX49" i="3"/>
  <c r="AY49" i="3" s="1"/>
  <c r="AX58" i="3"/>
  <c r="AY58" i="3" s="1"/>
  <c r="AX77" i="3"/>
  <c r="AY77" i="3" s="1"/>
  <c r="AX91" i="3"/>
  <c r="AY91" i="3" s="1"/>
  <c r="AX101" i="3"/>
  <c r="AY101" i="3" s="1"/>
  <c r="AX114" i="3"/>
  <c r="AY114" i="3" s="1"/>
  <c r="AX129" i="3"/>
  <c r="AY129" i="3" s="1"/>
  <c r="AX155" i="3"/>
  <c r="AY155" i="3" s="1"/>
  <c r="AX164" i="3"/>
  <c r="AY164" i="3" s="1"/>
  <c r="AX178" i="3"/>
  <c r="AY178" i="3" s="1"/>
  <c r="AX188" i="3"/>
  <c r="AY188" i="3" s="1"/>
  <c r="AX201" i="3"/>
  <c r="AY201" i="3" s="1"/>
  <c r="AX211" i="3"/>
  <c r="AY211" i="3" s="1"/>
  <c r="AX231" i="3"/>
  <c r="AY231" i="3" s="1"/>
  <c r="AX242" i="3"/>
  <c r="AY242" i="3" s="1"/>
  <c r="AX253" i="3"/>
  <c r="AY253" i="3" s="1"/>
  <c r="AX271" i="3"/>
  <c r="AY271" i="3" s="1"/>
  <c r="AX284" i="3"/>
  <c r="AY284" i="3" s="1"/>
  <c r="AX309" i="3"/>
  <c r="AY309" i="3" s="1"/>
  <c r="AX323" i="3"/>
  <c r="AY323" i="3" s="1"/>
  <c r="AX345" i="3"/>
  <c r="AY345" i="3" s="1"/>
  <c r="AX362" i="3"/>
  <c r="AY362" i="3" s="1"/>
  <c r="AX97" i="3"/>
  <c r="AY97" i="3" s="1"/>
  <c r="AX62" i="3"/>
  <c r="AY62" i="3" s="1"/>
  <c r="AX123" i="3"/>
  <c r="AY123" i="3" s="1"/>
  <c r="AX243" i="3"/>
  <c r="AY243" i="3" s="1"/>
  <c r="AX360" i="3"/>
  <c r="AY360" i="3" s="1"/>
  <c r="AX61" i="3"/>
  <c r="AY61" i="3" s="1"/>
  <c r="AX218" i="3"/>
  <c r="AY218" i="3" s="1"/>
  <c r="AX296" i="3"/>
  <c r="AY296" i="3" s="1"/>
  <c r="AX324" i="3"/>
  <c r="AY324" i="3" s="1"/>
  <c r="AX173" i="3"/>
  <c r="AY173" i="3" s="1"/>
  <c r="AX4" i="3"/>
  <c r="AY4" i="3" s="1"/>
  <c r="AX12" i="3"/>
  <c r="AY12" i="3" s="1"/>
  <c r="AX23" i="3"/>
  <c r="AY23" i="3" s="1"/>
  <c r="AX38" i="3"/>
  <c r="AY38" i="3" s="1"/>
  <c r="AX50" i="3"/>
  <c r="AY50" i="3" s="1"/>
  <c r="AX59" i="3"/>
  <c r="AY59" i="3" s="1"/>
  <c r="AX79" i="3"/>
  <c r="AY79" i="3" s="1"/>
  <c r="AX92" i="3"/>
  <c r="AY92" i="3" s="1"/>
  <c r="AX102" i="3"/>
  <c r="AY102" i="3" s="1"/>
  <c r="AX116" i="3"/>
  <c r="AY116" i="3" s="1"/>
  <c r="AX130" i="3"/>
  <c r="AY130" i="3" s="1"/>
  <c r="AX143" i="3"/>
  <c r="AY143" i="3" s="1"/>
  <c r="AX156" i="3"/>
  <c r="AY156" i="3" s="1"/>
  <c r="AX165" i="3"/>
  <c r="AY165" i="3" s="1"/>
  <c r="AX179" i="3"/>
  <c r="AY179" i="3" s="1"/>
  <c r="AX189" i="3"/>
  <c r="AY189" i="3" s="1"/>
  <c r="AX202" i="3"/>
  <c r="AY202" i="3" s="1"/>
  <c r="AX214" i="3"/>
  <c r="AY214" i="3" s="1"/>
  <c r="AX244" i="3"/>
  <c r="AY244" i="3" s="1"/>
  <c r="AX254" i="3"/>
  <c r="AY254" i="3" s="1"/>
  <c r="AX272" i="3"/>
  <c r="AY272" i="3" s="1"/>
  <c r="AX285" i="3"/>
  <c r="AY285" i="3" s="1"/>
  <c r="AX294" i="3"/>
  <c r="AY294" i="3" s="1"/>
  <c r="AX310" i="3"/>
  <c r="AY310" i="3" s="1"/>
  <c r="AX325" i="3"/>
  <c r="AY325" i="3" s="1"/>
  <c r="AX347" i="3"/>
  <c r="AY347" i="3" s="1"/>
  <c r="AX363" i="3"/>
  <c r="AY363" i="3" s="1"/>
  <c r="AX170" i="3"/>
  <c r="AY170" i="3" s="1"/>
  <c r="AX319" i="3"/>
  <c r="AY319" i="3" s="1"/>
  <c r="AX67" i="3"/>
  <c r="AY67" i="3" s="1"/>
  <c r="AX131" i="3"/>
  <c r="AY131" i="3" s="1"/>
  <c r="AX291" i="3"/>
  <c r="AY291" i="3" s="1"/>
  <c r="AX63" i="3"/>
  <c r="AY63" i="3" s="1"/>
  <c r="AX104" i="3"/>
  <c r="AY104" i="3" s="1"/>
  <c r="AX224" i="3"/>
  <c r="AY224" i="3" s="1"/>
  <c r="AX300" i="3"/>
  <c r="AY300" i="3" s="1"/>
  <c r="AX326" i="3"/>
  <c r="AY326" i="3" s="1"/>
  <c r="AX258" i="3"/>
  <c r="AY258" i="3" s="1"/>
  <c r="AX5" i="3"/>
  <c r="AY5" i="3" s="1"/>
  <c r="AX13" i="3"/>
  <c r="AY13" i="3" s="1"/>
  <c r="AX28" i="3"/>
  <c r="AY28" i="3" s="1"/>
  <c r="AX39" i="3"/>
  <c r="AY39" i="3" s="1"/>
  <c r="AX51" i="3"/>
  <c r="AY51" i="3" s="1"/>
  <c r="AX64" i="3"/>
  <c r="AY64" i="3" s="1"/>
  <c r="AX85" i="3"/>
  <c r="AY85" i="3" s="1"/>
  <c r="AX93" i="3"/>
  <c r="AY93" i="3" s="1"/>
  <c r="AX103" i="3"/>
  <c r="AY103" i="3" s="1"/>
  <c r="AX117" i="3"/>
  <c r="AY117" i="3" s="1"/>
  <c r="AX132" i="3"/>
  <c r="AY132" i="3" s="1"/>
  <c r="AX146" i="3"/>
  <c r="AY146" i="3" s="1"/>
  <c r="AX157" i="3"/>
  <c r="AY157" i="3" s="1"/>
  <c r="AX166" i="3"/>
  <c r="AY166" i="3" s="1"/>
  <c r="AX180" i="3"/>
  <c r="AY180" i="3" s="1"/>
  <c r="AX190" i="3"/>
  <c r="AY190" i="3" s="1"/>
  <c r="AX203" i="3"/>
  <c r="AY203" i="3" s="1"/>
  <c r="AX219" i="3"/>
  <c r="AY219" i="3" s="1"/>
  <c r="AX233" i="3"/>
  <c r="AY233" i="3" s="1"/>
  <c r="AX245" i="3"/>
  <c r="AY245" i="3" s="1"/>
  <c r="AX255" i="3"/>
  <c r="AY255" i="3" s="1"/>
  <c r="AX286" i="3"/>
  <c r="AY286" i="3" s="1"/>
  <c r="AX295" i="3"/>
  <c r="AY295" i="3" s="1"/>
  <c r="AX311" i="3"/>
  <c r="AY311" i="3" s="1"/>
  <c r="AX327" i="3"/>
  <c r="AY327" i="3" s="1"/>
  <c r="AX355" i="3"/>
  <c r="AY355" i="3" s="1"/>
  <c r="AX364" i="3"/>
  <c r="AY364" i="3" s="1"/>
  <c r="BX896" i="3"/>
  <c r="BY896" i="3" s="1"/>
  <c r="EV289" i="3"/>
  <c r="BX1423" i="3"/>
  <c r="BY1423" i="3" s="1"/>
  <c r="BX604" i="3"/>
  <c r="BY604" i="3" s="1"/>
  <c r="BX1422" i="3"/>
  <c r="BY1422" i="3" s="1"/>
  <c r="BX1421" i="3"/>
  <c r="BY1421" i="3" s="1"/>
  <c r="BX608" i="3"/>
  <c r="BY608" i="3" s="1"/>
  <c r="BX607" i="3"/>
  <c r="BY607" i="3" s="1"/>
  <c r="BX606" i="3"/>
  <c r="BY606" i="3" s="1"/>
  <c r="BX605" i="3"/>
  <c r="BY605" i="3" s="1"/>
  <c r="BX603" i="3"/>
  <c r="BY603" i="3" s="1"/>
  <c r="BX602" i="3"/>
  <c r="BY602" i="3" s="1"/>
  <c r="BX601" i="3"/>
  <c r="BY601" i="3" s="1"/>
  <c r="BX600" i="3"/>
  <c r="BY600" i="3" s="1"/>
  <c r="BX286" i="3"/>
  <c r="BY286" i="3" s="1"/>
  <c r="BX285" i="3"/>
  <c r="BY285" i="3" s="1"/>
  <c r="BX1357" i="3"/>
  <c r="BY1357" i="3" s="1"/>
  <c r="BX1356" i="3"/>
  <c r="BY1356" i="3" s="1"/>
  <c r="BX1355" i="3"/>
  <c r="BY1355" i="3" s="1"/>
  <c r="EQ50" i="3" l="1"/>
  <c r="ER50" i="3" s="1"/>
  <c r="EU168" i="3"/>
  <c r="EV168" i="3" s="1"/>
  <c r="EQ22" i="3"/>
  <c r="ER22" i="3" s="1"/>
  <c r="EQ47" i="3"/>
  <c r="ER47" i="3" s="1"/>
  <c r="EQ33" i="3"/>
  <c r="ER33" i="3" s="1"/>
  <c r="EQ3" i="3"/>
  <c r="ER3" i="3" s="1"/>
  <c r="BX1420" i="3" l="1"/>
  <c r="BY1420" i="3" s="1"/>
  <c r="BX1382" i="3"/>
  <c r="BY1382" i="3" s="1"/>
  <c r="BX1381" i="3"/>
  <c r="BY1381" i="3" s="1"/>
  <c r="BX1380" i="3"/>
  <c r="BY1380" i="3" s="1"/>
  <c r="BX1379" i="3"/>
  <c r="BY1379" i="3" s="1"/>
  <c r="BX1378" i="3"/>
  <c r="BY1378" i="3" s="1"/>
  <c r="BX1377" i="3"/>
  <c r="BY1377" i="3" s="1"/>
  <c r="BX1376" i="3"/>
  <c r="BY1376" i="3" s="1"/>
  <c r="BX1388" i="3"/>
  <c r="BY1388" i="3" s="1"/>
  <c r="BX1403" i="3"/>
  <c r="BY1403" i="3" s="1"/>
  <c r="BX1402" i="3"/>
  <c r="BY1402" i="3" s="1"/>
  <c r="BX1399" i="3"/>
  <c r="BY1399" i="3" s="1"/>
  <c r="BX1419" i="3"/>
  <c r="BY1419" i="3" s="1"/>
  <c r="BX1398" i="3"/>
  <c r="BY1398" i="3" s="1"/>
  <c r="BX1397" i="3"/>
  <c r="BY1397" i="3" s="1"/>
  <c r="BX1396" i="3"/>
  <c r="BY1396" i="3" s="1"/>
  <c r="BX1401" i="3"/>
  <c r="BY1401" i="3" s="1"/>
  <c r="BX1400" i="3"/>
  <c r="BY1400" i="3" s="1"/>
  <c r="BX1395" i="3"/>
  <c r="BY1395" i="3" s="1"/>
  <c r="BX1394" i="3"/>
  <c r="BY1394" i="3" s="1"/>
  <c r="BX1391" i="3"/>
  <c r="BY1391" i="3" s="1"/>
  <c r="BX1390" i="3"/>
  <c r="BY1390" i="3" s="1"/>
  <c r="BX1418" i="3"/>
  <c r="BY1418" i="3" s="1"/>
  <c r="BX1416" i="3"/>
  <c r="BY1416" i="3" s="1"/>
  <c r="BX1384" i="3"/>
  <c r="BY1384" i="3" s="1"/>
  <c r="BX1387" i="3"/>
  <c r="BY1387" i="3" s="1"/>
  <c r="BX1386" i="3"/>
  <c r="BY1386" i="3" s="1"/>
  <c r="BX1385" i="3"/>
  <c r="BY1385" i="3" s="1"/>
  <c r="BX1383" i="3"/>
  <c r="BY1383" i="3" s="1"/>
  <c r="BX1389" i="3"/>
  <c r="BY1389" i="3" s="1"/>
  <c r="BX1404" i="3"/>
  <c r="BY1404" i="3" s="1"/>
  <c r="BX1393" i="3"/>
  <c r="BY1393" i="3" s="1"/>
  <c r="BX1392" i="3"/>
  <c r="BY1392" i="3" s="1"/>
  <c r="BX1417" i="3"/>
  <c r="BY1417" i="3" s="1"/>
  <c r="BX1405" i="3"/>
  <c r="BY1405" i="3" s="1"/>
  <c r="BX1407" i="3"/>
  <c r="BY1407" i="3" s="1"/>
  <c r="BX1406" i="3"/>
  <c r="BY1406" i="3" s="1"/>
  <c r="BX1408" i="3"/>
  <c r="BY1408" i="3" s="1"/>
  <c r="BX1409" i="3"/>
  <c r="BY1409" i="3" s="1"/>
  <c r="BX1410" i="3"/>
  <c r="BY1410" i="3" s="1"/>
  <c r="BX1415" i="3"/>
  <c r="BY1415" i="3" s="1"/>
  <c r="BX1411" i="3"/>
  <c r="BY1411" i="3" s="1"/>
  <c r="BX1412" i="3"/>
  <c r="BY1412" i="3" s="1"/>
  <c r="BX1413" i="3"/>
  <c r="BY1413" i="3" s="1"/>
  <c r="BX1414" i="3"/>
  <c r="BY1414" i="3" s="1"/>
  <c r="BX298" i="3"/>
  <c r="BY298" i="3" s="1"/>
  <c r="BX293" i="3"/>
  <c r="BY293" i="3" s="1"/>
  <c r="BX288" i="3"/>
  <c r="BY288" i="3" s="1"/>
  <c r="BX283" i="3"/>
  <c r="BY283" i="3" s="1"/>
  <c r="BX278" i="3"/>
  <c r="BY278" i="3" s="1"/>
  <c r="BX273" i="3"/>
  <c r="BY273" i="3" s="1"/>
  <c r="BX268" i="3"/>
  <c r="BY268" i="3" s="1"/>
  <c r="BX263" i="3"/>
  <c r="BY263" i="3" s="1"/>
  <c r="BX258" i="3"/>
  <c r="BY258" i="3" s="1"/>
  <c r="BX252" i="3"/>
  <c r="BY252" i="3" s="1"/>
  <c r="BX297" i="3"/>
  <c r="BY297" i="3" s="1"/>
  <c r="BX292" i="3"/>
  <c r="BY292" i="3" s="1"/>
  <c r="BX287" i="3"/>
  <c r="BY287" i="3" s="1"/>
  <c r="BX282" i="3"/>
  <c r="BY282" i="3" s="1"/>
  <c r="BX277" i="3"/>
  <c r="BY277" i="3" s="1"/>
  <c r="BX272" i="3"/>
  <c r="BY272" i="3" s="1"/>
  <c r="BX267" i="3"/>
  <c r="BY267" i="3" s="1"/>
  <c r="BX262" i="3"/>
  <c r="BY262" i="3" s="1"/>
  <c r="BX257" i="3"/>
  <c r="BY257" i="3" s="1"/>
  <c r="BX251" i="3"/>
  <c r="BY251" i="3" s="1"/>
  <c r="BX299" i="3"/>
  <c r="BY299" i="3" s="1"/>
  <c r="BX294" i="3"/>
  <c r="BY294" i="3" s="1"/>
  <c r="BX289" i="3"/>
  <c r="BY289" i="3" s="1"/>
  <c r="BX284" i="3"/>
  <c r="BY284" i="3" s="1"/>
  <c r="BX279" i="3"/>
  <c r="BY279" i="3" s="1"/>
  <c r="BX274" i="3"/>
  <c r="BY274" i="3" s="1"/>
  <c r="BX269" i="3"/>
  <c r="BY269" i="3" s="1"/>
  <c r="BX264" i="3"/>
  <c r="BY264" i="3" s="1"/>
  <c r="BX259" i="3"/>
  <c r="BY259" i="3" s="1"/>
  <c r="BX253" i="3"/>
  <c r="BY253" i="3" s="1"/>
  <c r="BX248" i="3"/>
  <c r="BY248" i="3" s="1"/>
  <c r="BX296" i="3"/>
  <c r="BY296" i="3" s="1"/>
  <c r="BX291" i="3"/>
  <c r="BY291" i="3" s="1"/>
  <c r="BX281" i="3"/>
  <c r="BY281" i="3" s="1"/>
  <c r="BX276" i="3"/>
  <c r="BY276" i="3" s="1"/>
  <c r="BX271" i="3"/>
  <c r="BY271" i="3" s="1"/>
  <c r="BX266" i="3"/>
  <c r="BY266" i="3" s="1"/>
  <c r="BX261" i="3"/>
  <c r="BY261" i="3" s="1"/>
  <c r="BX255" i="3"/>
  <c r="BY255" i="3" s="1"/>
  <c r="BX250" i="3"/>
  <c r="BY250" i="3" s="1"/>
  <c r="BX295" i="3"/>
  <c r="BY295" i="3" s="1"/>
  <c r="BX290" i="3"/>
  <c r="BY290" i="3" s="1"/>
  <c r="BX280" i="3"/>
  <c r="BY280" i="3" s="1"/>
  <c r="BX275" i="3"/>
  <c r="BY275" i="3" s="1"/>
  <c r="BX270" i="3"/>
  <c r="BY270" i="3" s="1"/>
  <c r="BX265" i="3"/>
  <c r="BY265" i="3" s="1"/>
  <c r="BX260" i="3"/>
  <c r="BY260" i="3" s="1"/>
  <c r="BX256" i="3"/>
  <c r="BY256" i="3" s="1"/>
  <c r="BX254" i="3"/>
  <c r="BY254" i="3" s="1"/>
  <c r="BX658" i="3"/>
  <c r="BY658" i="3" s="1"/>
  <c r="BX657" i="3"/>
  <c r="BY657" i="3" s="1"/>
  <c r="BX656" i="3"/>
  <c r="BY656" i="3" s="1"/>
  <c r="B1330" i="14"/>
  <c r="B1195" i="14"/>
  <c r="B18" i="3"/>
  <c r="A31" i="15"/>
  <c r="A10" i="15"/>
  <c r="A11" i="15"/>
  <c r="A12" i="15"/>
  <c r="A13" i="15"/>
  <c r="A14" i="15"/>
  <c r="A15" i="15"/>
  <c r="A16" i="15"/>
  <c r="A17" i="15"/>
  <c r="A18" i="15"/>
  <c r="A19" i="15"/>
  <c r="A20" i="15"/>
  <c r="A21" i="15"/>
  <c r="A22" i="15"/>
  <c r="A23" i="15"/>
  <c r="A24" i="15"/>
  <c r="A9" i="15"/>
  <c r="A8" i="15"/>
  <c r="AA9" i="15"/>
  <c r="AA10" i="15"/>
  <c r="AA11" i="15"/>
  <c r="AA12" i="15"/>
  <c r="AA13" i="15"/>
  <c r="AA14" i="15"/>
  <c r="AA15" i="15"/>
  <c r="AA16" i="15"/>
  <c r="AA17" i="15"/>
  <c r="AA18" i="15"/>
  <c r="AA19" i="15"/>
  <c r="AA20" i="15"/>
  <c r="AA21" i="15"/>
  <c r="AA22" i="15"/>
  <c r="AA23" i="15"/>
  <c r="AA24" i="15"/>
  <c r="AA25" i="15"/>
  <c r="AA26" i="15"/>
  <c r="AA27" i="15"/>
  <c r="AA28" i="15"/>
  <c r="AA29" i="15"/>
  <c r="AA30" i="15"/>
  <c r="AA32" i="15"/>
  <c r="AA33" i="15"/>
  <c r="AA34" i="15"/>
  <c r="AA35" i="15"/>
  <c r="Z9" i="15"/>
  <c r="Z10" i="15"/>
  <c r="Z11" i="15"/>
  <c r="Z12" i="15"/>
  <c r="Z13" i="15"/>
  <c r="Z14" i="15"/>
  <c r="Z15" i="15"/>
  <c r="Z16" i="15"/>
  <c r="Z17" i="15"/>
  <c r="Z18" i="15"/>
  <c r="Z19" i="15"/>
  <c r="Z20" i="15"/>
  <c r="Z21" i="15"/>
  <c r="Z22" i="15"/>
  <c r="Z23" i="15"/>
  <c r="Z24" i="15"/>
  <c r="Z25" i="15"/>
  <c r="Z26" i="15"/>
  <c r="Z27" i="15"/>
  <c r="Z28" i="15"/>
  <c r="Z30" i="15"/>
  <c r="Z32" i="15"/>
  <c r="Z33" i="15"/>
  <c r="Z34" i="15"/>
  <c r="Z35" i="15"/>
  <c r="Z29" i="15"/>
  <c r="Y9" i="15"/>
  <c r="Y10" i="15"/>
  <c r="Y11" i="15"/>
  <c r="Y12" i="15"/>
  <c r="Y13" i="15"/>
  <c r="Y14" i="15"/>
  <c r="Y15" i="15"/>
  <c r="Y16" i="15"/>
  <c r="Y17" i="15"/>
  <c r="Y18" i="15"/>
  <c r="Y19" i="15"/>
  <c r="Y20" i="15"/>
  <c r="Y21" i="15"/>
  <c r="Y22" i="15"/>
  <c r="Y23" i="15"/>
  <c r="Y24" i="15"/>
  <c r="Y25" i="15"/>
  <c r="Y26" i="15"/>
  <c r="Y27" i="15"/>
  <c r="Y28" i="15"/>
  <c r="Y29" i="15"/>
  <c r="Y30" i="15"/>
  <c r="Y32" i="15"/>
  <c r="Y33" i="15"/>
  <c r="Y34" i="15"/>
  <c r="Y35" i="15"/>
  <c r="X27" i="15" l="1"/>
  <c r="X28" i="15"/>
  <c r="X29" i="15"/>
  <c r="X30" i="15"/>
  <c r="X31" i="15"/>
  <c r="X32" i="15"/>
  <c r="X33" i="15"/>
  <c r="X34" i="15"/>
  <c r="X35" i="15"/>
  <c r="X26" i="15"/>
  <c r="Z37" i="15"/>
  <c r="AA38" i="15"/>
  <c r="X9" i="15"/>
  <c r="X10" i="15"/>
  <c r="X11" i="15"/>
  <c r="X12" i="15"/>
  <c r="X13" i="15"/>
  <c r="X14" i="15"/>
  <c r="X15" i="15"/>
  <c r="X16" i="15"/>
  <c r="X17" i="15"/>
  <c r="X18" i="15"/>
  <c r="X19" i="15"/>
  <c r="X20" i="15"/>
  <c r="X21" i="15"/>
  <c r="X22" i="15"/>
  <c r="X23" i="15"/>
  <c r="X24" i="15"/>
  <c r="X25" i="15"/>
  <c r="M36" i="15"/>
  <c r="FQ206" i="3" l="1"/>
  <c r="FQ204" i="3"/>
  <c r="FQ190" i="3"/>
  <c r="FP190" i="3"/>
  <c r="FQ205" i="3"/>
  <c r="FQ2" i="3"/>
  <c r="FP2" i="3"/>
  <c r="FQ188" i="3"/>
  <c r="FP188" i="3"/>
  <c r="FQ108" i="3"/>
  <c r="FP108" i="3"/>
  <c r="ER57" i="3" l="1"/>
  <c r="D452" i="6" l="1"/>
  <c r="C453" i="6"/>
  <c r="D453" i="6"/>
  <c r="E453" i="6"/>
  <c r="F453" i="6"/>
  <c r="G453" i="6"/>
  <c r="H453" i="6"/>
  <c r="EU8" i="3" l="1"/>
  <c r="EV8" i="3" s="1"/>
  <c r="EQ25" i="3"/>
  <c r="ER25" i="3" s="1"/>
  <c r="B1313" i="14" l="1"/>
  <c r="B1085" i="14"/>
  <c r="B1086" i="14"/>
  <c r="B1087" i="14"/>
  <c r="B1088" i="14"/>
  <c r="B1090" i="14"/>
  <c r="B1091" i="14"/>
  <c r="B1092" i="14"/>
  <c r="B1089" i="14"/>
  <c r="B1093" i="14"/>
  <c r="B1094" i="14"/>
  <c r="B1095" i="14"/>
  <c r="B1096" i="14"/>
  <c r="B1099" i="14"/>
  <c r="B1097" i="14"/>
  <c r="B1101" i="14"/>
  <c r="B1098" i="14"/>
  <c r="B1100" i="14"/>
  <c r="B1102" i="14"/>
  <c r="B1103" i="14"/>
  <c r="B1104" i="14"/>
  <c r="B1105" i="14"/>
  <c r="B1106" i="14"/>
  <c r="B1107" i="14"/>
  <c r="B1108" i="14"/>
  <c r="B1112"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40" i="14"/>
  <c r="B1141" i="14"/>
  <c r="B1143" i="14"/>
  <c r="B1144" i="14"/>
  <c r="B1145" i="14"/>
  <c r="B1146" i="14"/>
  <c r="B1147" i="14"/>
  <c r="B1148" i="14"/>
  <c r="B1149" i="14"/>
  <c r="B1150" i="14"/>
  <c r="B1151" i="14"/>
  <c r="B1152" i="14"/>
  <c r="B1153" i="14"/>
  <c r="B1154" i="14"/>
  <c r="B1155" i="14"/>
  <c r="B1157"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4" i="14"/>
  <c r="B1185" i="14"/>
  <c r="B1186" i="14"/>
  <c r="B1188" i="14"/>
  <c r="B1189" i="14"/>
  <c r="B1191" i="14"/>
  <c r="B1192" i="14"/>
  <c r="B1193" i="14"/>
  <c r="B1194" i="14"/>
  <c r="B1196" i="14"/>
  <c r="B1197" i="14"/>
  <c r="B1198" i="14"/>
  <c r="B1200" i="14"/>
  <c r="B1201" i="14"/>
  <c r="B1202" i="14"/>
  <c r="B1203" i="14"/>
  <c r="B1204" i="14"/>
  <c r="B1205" i="14"/>
  <c r="B1206" i="14"/>
  <c r="B1207" i="14"/>
  <c r="B1208" i="14"/>
  <c r="B1209" i="14"/>
  <c r="B1210" i="14"/>
  <c r="B1211" i="14"/>
  <c r="B1212" i="14"/>
  <c r="B1213" i="14"/>
  <c r="B1216" i="14"/>
  <c r="B1217" i="14"/>
  <c r="B1218" i="14"/>
  <c r="B1219" i="14"/>
  <c r="B1220" i="14"/>
  <c r="B1221" i="14"/>
  <c r="B1222" i="14"/>
  <c r="B1223" i="14"/>
  <c r="B1225" i="14"/>
  <c r="B1226" i="14"/>
  <c r="B1227" i="14"/>
  <c r="B1228" i="14"/>
  <c r="B1229" i="14"/>
  <c r="B1230" i="14"/>
  <c r="B1231" i="14"/>
  <c r="B1235" i="14"/>
  <c r="B1233" i="14"/>
  <c r="B1234" i="14"/>
  <c r="B1236" i="14"/>
  <c r="B1237" i="14"/>
  <c r="B1238" i="14"/>
  <c r="B1239" i="14"/>
  <c r="B1240" i="14"/>
  <c r="B1241" i="14"/>
  <c r="B1242" i="14"/>
  <c r="B1244" i="14"/>
  <c r="B1245" i="14"/>
  <c r="B1246" i="14"/>
  <c r="B1247" i="14"/>
  <c r="B1248" i="14"/>
  <c r="B1249" i="14"/>
  <c r="B1250" i="14"/>
  <c r="B1251" i="14"/>
  <c r="B1252" i="14"/>
  <c r="B1254" i="14"/>
  <c r="B1255" i="14"/>
  <c r="B1256" i="14"/>
  <c r="B1257" i="14"/>
  <c r="B1258" i="14"/>
  <c r="B1259" i="14"/>
  <c r="B1262" i="14"/>
  <c r="B1263" i="14"/>
  <c r="B1264" i="14"/>
  <c r="B1265" i="14"/>
  <c r="B1268" i="14"/>
  <c r="B1267" i="14"/>
  <c r="B1269" i="14"/>
  <c r="B1270" i="14"/>
  <c r="B1271" i="14"/>
  <c r="B1214" i="14"/>
  <c r="B1273" i="14"/>
  <c r="B1274" i="14"/>
  <c r="B1275" i="14"/>
  <c r="B1276" i="14"/>
  <c r="B1277" i="14"/>
  <c r="B1279" i="14"/>
  <c r="B1351" i="14"/>
  <c r="B1280" i="14"/>
  <c r="B1281" i="14"/>
  <c r="B1282" i="14"/>
  <c r="B1283" i="14"/>
  <c r="B1285" i="14"/>
  <c r="B1286" i="14"/>
  <c r="B1287" i="14"/>
  <c r="B1288" i="14"/>
  <c r="B1289" i="14"/>
  <c r="B1290" i="14"/>
  <c r="B1291" i="14"/>
  <c r="B1292" i="14"/>
  <c r="B1294" i="14"/>
  <c r="B1297" i="14"/>
  <c r="B1298" i="14"/>
  <c r="B1299" i="14"/>
  <c r="B1300" i="14"/>
  <c r="B1353" i="14"/>
  <c r="B1354" i="14"/>
  <c r="B1302" i="14"/>
  <c r="B1355" i="14"/>
  <c r="B1356" i="14"/>
  <c r="B1303" i="14"/>
  <c r="B1304" i="14"/>
  <c r="B1305" i="14"/>
  <c r="B1307" i="14"/>
  <c r="B1308" i="14"/>
  <c r="B1309" i="14"/>
  <c r="B1310" i="14"/>
  <c r="B1311" i="14"/>
  <c r="B1312" i="14"/>
  <c r="B1314" i="14"/>
  <c r="B1315" i="14"/>
  <c r="B1316" i="14"/>
  <c r="B1317" i="14"/>
  <c r="B1318" i="14"/>
  <c r="B1319" i="14"/>
  <c r="B1320" i="14"/>
  <c r="B1321" i="14"/>
  <c r="B1322" i="14"/>
  <c r="B1323" i="14"/>
  <c r="B1324" i="14"/>
  <c r="B1325" i="14"/>
  <c r="B1326" i="14"/>
  <c r="B1327" i="14"/>
  <c r="B1328" i="14"/>
  <c r="B1329" i="14"/>
  <c r="B1331" i="14"/>
  <c r="B1332" i="14"/>
  <c r="B1333" i="14"/>
  <c r="B1334" i="14"/>
  <c r="B1336" i="14"/>
  <c r="B1337" i="14"/>
  <c r="B1338" i="14"/>
  <c r="B1339" i="14"/>
  <c r="B1342" i="14"/>
  <c r="B1343" i="14"/>
  <c r="B1344" i="14"/>
  <c r="B1345" i="14"/>
  <c r="B1346" i="14"/>
  <c r="B1348" i="14"/>
  <c r="B1349" i="14"/>
  <c r="B1350" i="14"/>
  <c r="B1352" i="14"/>
  <c r="B1358" i="14"/>
  <c r="B1306" i="14"/>
  <c r="EU288" i="3"/>
  <c r="EV288" i="3" s="1"/>
  <c r="BX1110" i="3"/>
  <c r="BY1110" i="3" s="1"/>
  <c r="EU285" i="3"/>
  <c r="EV285" i="3" s="1"/>
  <c r="EV280" i="3"/>
  <c r="FQ191" i="3"/>
  <c r="FP191" i="3"/>
  <c r="BX1375" i="3"/>
  <c r="BY1375" i="3" s="1"/>
  <c r="BX1374" i="3"/>
  <c r="BY1374" i="3" s="1"/>
  <c r="BX1373" i="3"/>
  <c r="BY1373" i="3" s="1"/>
  <c r="BX1372" i="3"/>
  <c r="BY1372" i="3" s="1"/>
  <c r="BX1371" i="3"/>
  <c r="BY1371" i="3" s="1"/>
  <c r="BX1029" i="3"/>
  <c r="BY1029" i="3" s="1"/>
  <c r="EV281" i="3"/>
  <c r="FQ202" i="3"/>
  <c r="FP202" i="3"/>
  <c r="EU267" i="3"/>
  <c r="EV267" i="3" s="1"/>
  <c r="FQ175" i="3"/>
  <c r="FP175" i="3"/>
  <c r="CO261" i="3"/>
  <c r="CO102" i="3"/>
  <c r="CO376" i="3"/>
  <c r="CO380" i="3"/>
  <c r="CO210" i="3"/>
  <c r="FQ48" i="3"/>
  <c r="FP48" i="3"/>
  <c r="FQ178" i="3"/>
  <c r="FP178" i="3"/>
  <c r="BX1370" i="3" l="1"/>
  <c r="BY1370" i="3" s="1"/>
  <c r="BX1364" i="3"/>
  <c r="BY1364" i="3" s="1"/>
  <c r="BX1367" i="3"/>
  <c r="BY1367" i="3" s="1"/>
  <c r="EV279" i="3"/>
  <c r="BX1368" i="3"/>
  <c r="BY1368" i="3" s="1"/>
  <c r="BX1369" i="3"/>
  <c r="BY1369" i="3" s="1"/>
  <c r="BX1366" i="3"/>
  <c r="BY1366" i="3" s="1"/>
  <c r="BX1365" i="3"/>
  <c r="BY1365" i="3" s="1"/>
  <c r="BX1363" i="3"/>
  <c r="BY1363" i="3" s="1"/>
  <c r="BX1362" i="3"/>
  <c r="BY1362" i="3" s="1"/>
  <c r="BX1361" i="3"/>
  <c r="BY1361" i="3" s="1"/>
  <c r="BX1360" i="3"/>
  <c r="BY1360" i="3" s="1"/>
  <c r="BX1358" i="3"/>
  <c r="BY1358" i="3" s="1"/>
  <c r="BX1359" i="3"/>
  <c r="BY1359" i="3" s="1"/>
  <c r="EG19" i="3"/>
  <c r="EH19" i="3" s="1"/>
  <c r="EG18" i="3"/>
  <c r="EH18" i="3" s="1"/>
  <c r="BD2" i="3"/>
  <c r="BE2" i="3" s="1"/>
  <c r="BD10" i="3"/>
  <c r="BE10" i="3" s="1"/>
  <c r="BD5" i="3"/>
  <c r="BE5" i="3" s="1"/>
  <c r="BD4" i="3"/>
  <c r="BE4" i="3" s="1"/>
  <c r="BD3" i="3"/>
  <c r="BE3" i="3" s="1"/>
  <c r="S335" i="3"/>
  <c r="U335" i="3" s="1"/>
  <c r="S305" i="3"/>
  <c r="U305" i="3" s="1"/>
  <c r="S275" i="3"/>
  <c r="U275" i="3" s="1"/>
  <c r="S252" i="3"/>
  <c r="U252" i="3" s="1"/>
  <c r="S227" i="3"/>
  <c r="U227" i="3" s="1"/>
  <c r="S193" i="3"/>
  <c r="S138" i="3"/>
  <c r="AZ135" i="3"/>
  <c r="S118" i="3"/>
  <c r="S76" i="3"/>
  <c r="S75" i="3"/>
  <c r="S71" i="3"/>
  <c r="S47" i="3"/>
  <c r="S36" i="3"/>
  <c r="S24" i="3"/>
  <c r="S15" i="3"/>
  <c r="U15" i="3" s="1"/>
  <c r="BD9" i="3"/>
  <c r="BE9" i="3" s="1"/>
  <c r="BD8" i="3"/>
  <c r="BE8" i="3" s="1"/>
  <c r="BD7" i="3"/>
  <c r="BE7" i="3" s="1"/>
  <c r="BD6" i="3"/>
  <c r="BE6" i="3" s="1"/>
  <c r="U2" i="3"/>
  <c r="FP50" i="3"/>
  <c r="FQ50" i="3"/>
  <c r="FQ183" i="3"/>
  <c r="FP183" i="3"/>
  <c r="FQ177" i="3"/>
  <c r="FP177" i="3"/>
  <c r="FQ103" i="3"/>
  <c r="FP103" i="3"/>
  <c r="FQ119" i="3"/>
  <c r="FP119" i="3"/>
  <c r="A31" i="10"/>
  <c r="FQ283" i="3"/>
  <c r="CO13" i="3"/>
  <c r="CO369" i="3"/>
  <c r="CO305" i="3"/>
  <c r="AZ75" i="3" l="1"/>
  <c r="U75" i="3"/>
  <c r="AZ118" i="3"/>
  <c r="U118" i="3"/>
  <c r="AZ24" i="3"/>
  <c r="U24" i="3"/>
  <c r="AZ138" i="3"/>
  <c r="U138" i="3"/>
  <c r="AZ193" i="3"/>
  <c r="U193" i="3"/>
  <c r="AZ47" i="3"/>
  <c r="U47" i="3"/>
  <c r="AZ71" i="3"/>
  <c r="U71" i="3"/>
  <c r="AZ36" i="3"/>
  <c r="U36" i="3"/>
  <c r="AZ76" i="3"/>
  <c r="U76" i="3"/>
  <c r="AZ275" i="3"/>
  <c r="AZ305" i="3"/>
  <c r="AZ335" i="3"/>
  <c r="AZ227" i="3"/>
  <c r="AZ252" i="3"/>
  <c r="AZ15" i="3"/>
  <c r="AX76" i="3"/>
  <c r="AY76" i="3" s="1"/>
  <c r="AX47" i="3"/>
  <c r="AY47" i="3" s="1"/>
  <c r="AX118" i="3"/>
  <c r="AY118" i="3" s="1"/>
  <c r="AX335" i="3"/>
  <c r="AY335" i="3" s="1"/>
  <c r="AX36" i="3"/>
  <c r="AY36" i="3" s="1"/>
  <c r="AX305" i="3"/>
  <c r="AY305" i="3" s="1"/>
  <c r="AX135" i="3"/>
  <c r="AY135" i="3" s="1"/>
  <c r="AX252" i="3"/>
  <c r="AY252" i="3" s="1"/>
  <c r="AX24" i="3"/>
  <c r="AY24" i="3" s="1"/>
  <c r="AX138" i="3"/>
  <c r="AY138" i="3" s="1"/>
  <c r="AX71" i="3"/>
  <c r="AY71" i="3" s="1"/>
  <c r="AX193" i="3"/>
  <c r="AY193" i="3" s="1"/>
  <c r="AX227" i="3"/>
  <c r="AY227" i="3" s="1"/>
  <c r="AX15" i="3"/>
  <c r="AY15" i="3" s="1"/>
  <c r="AX75" i="3"/>
  <c r="AY75" i="3" s="1"/>
  <c r="AX275" i="3"/>
  <c r="AY275" i="3" s="1"/>
  <c r="BF8" i="3"/>
  <c r="BG8" i="3" s="1"/>
  <c r="BF3" i="3"/>
  <c r="BG3" i="3" s="1"/>
  <c r="BF10" i="3"/>
  <c r="BG10" i="3" s="1"/>
  <c r="BF7" i="3"/>
  <c r="BG7" i="3" s="1"/>
  <c r="BF5" i="3"/>
  <c r="BG5" i="3" s="1"/>
  <c r="BF4" i="3"/>
  <c r="BG4" i="3" s="1"/>
  <c r="BF9" i="3"/>
  <c r="BG9" i="3" s="1"/>
  <c r="BF6" i="3"/>
  <c r="BG6" i="3" s="1"/>
  <c r="BF2" i="3"/>
  <c r="F44" i="20"/>
  <c r="E44" i="20"/>
  <c r="M37" i="20"/>
  <c r="H36" i="20"/>
  <c r="H35" i="20"/>
  <c r="B34" i="20"/>
  <c r="B7" i="20"/>
  <c r="FQ220" i="3"/>
  <c r="FQ124" i="3"/>
  <c r="FP124" i="3"/>
  <c r="EV276" i="3"/>
  <c r="FQ210" i="3"/>
  <c r="FQ199" i="3"/>
  <c r="FP199" i="3"/>
  <c r="FQ203" i="3"/>
  <c r="FP203" i="3"/>
  <c r="FQ216" i="3"/>
  <c r="FP192" i="3"/>
  <c r="FQ192" i="3"/>
  <c r="H37" i="20" l="1"/>
  <c r="BG2" i="3"/>
  <c r="FP186" i="3"/>
  <c r="FQ186" i="3"/>
  <c r="BX12" i="3"/>
  <c r="BY12" i="3" s="1"/>
  <c r="FQ116" i="3"/>
  <c r="FP116" i="3"/>
  <c r="FQ110" i="3"/>
  <c r="FP110" i="3"/>
  <c r="FQ152" i="3"/>
  <c r="FP152" i="3"/>
  <c r="FQ49" i="3"/>
  <c r="FP49" i="3"/>
  <c r="FQ164" i="3"/>
  <c r="FP164" i="3"/>
  <c r="FQ163" i="3"/>
  <c r="FP163" i="3"/>
  <c r="FQ147" i="3"/>
  <c r="FP147" i="3"/>
  <c r="EV244" i="3"/>
  <c r="EQ16" i="3"/>
  <c r="ER16" i="3" s="1"/>
  <c r="BX1346" i="3"/>
  <c r="BY1346" i="3" s="1"/>
  <c r="BX1352" i="3"/>
  <c r="BY1352" i="3" s="1"/>
  <c r="BX1353" i="3"/>
  <c r="BY1353" i="3" s="1"/>
  <c r="BX1354" i="3"/>
  <c r="BY1354" i="3" s="1"/>
  <c r="BX1347" i="3"/>
  <c r="BY1347" i="3" s="1"/>
  <c r="BX1344" i="3"/>
  <c r="BY1344" i="3" s="1"/>
  <c r="BX1350" i="3"/>
  <c r="BY1350" i="3" s="1"/>
  <c r="BX1349" i="3"/>
  <c r="BY1349" i="3" s="1"/>
  <c r="BX1348" i="3"/>
  <c r="BY1348" i="3" s="1"/>
  <c r="BX1345" i="3"/>
  <c r="BY1345" i="3" s="1"/>
  <c r="BX1343" i="3"/>
  <c r="BY1343" i="3" s="1"/>
  <c r="BX1342" i="3"/>
  <c r="BY1342" i="3" s="1"/>
  <c r="BX1339" i="3"/>
  <c r="BY1339" i="3" s="1"/>
  <c r="BX1341" i="3"/>
  <c r="BY1341" i="3" s="1"/>
  <c r="BX1351" i="3"/>
  <c r="BY1351" i="3" s="1"/>
  <c r="BX1340" i="3"/>
  <c r="BY1340" i="3" s="1"/>
  <c r="BX868" i="3" l="1"/>
  <c r="BY868" i="3" s="1"/>
  <c r="BX867" i="3"/>
  <c r="BY867" i="3" s="1"/>
  <c r="BX866" i="3"/>
  <c r="BY866" i="3" s="1"/>
  <c r="DK49" i="3" l="1"/>
  <c r="DJ49" i="3"/>
  <c r="DI49" i="3"/>
  <c r="DH49" i="3"/>
  <c r="DF49" i="3"/>
  <c r="C53" i="13" l="1"/>
  <c r="D53" i="13"/>
  <c r="E53" i="13"/>
  <c r="F53" i="13"/>
  <c r="G53" i="13"/>
  <c r="H53" i="13"/>
  <c r="I53" i="13"/>
  <c r="J53" i="13"/>
  <c r="K53" i="13"/>
  <c r="L53" i="13"/>
  <c r="M53" i="13"/>
  <c r="N53" i="13"/>
  <c r="O53" i="13"/>
  <c r="P53" i="13"/>
  <c r="Q53" i="13"/>
  <c r="R53" i="13"/>
  <c r="S53" i="13"/>
  <c r="T53" i="13"/>
  <c r="U53" i="13"/>
  <c r="V53" i="13"/>
  <c r="EF162" i="3"/>
  <c r="W53" i="13" l="1"/>
  <c r="J25" i="1" s="1"/>
  <c r="BX847" i="3"/>
  <c r="BY847" i="3" s="1"/>
  <c r="FQ21" i="3"/>
  <c r="FP21" i="3"/>
  <c r="C136" i="13"/>
  <c r="D136" i="13"/>
  <c r="E136" i="13"/>
  <c r="F136" i="13"/>
  <c r="G136" i="13"/>
  <c r="H136" i="13"/>
  <c r="I136" i="13"/>
  <c r="J136" i="13"/>
  <c r="K136" i="13"/>
  <c r="L136" i="13"/>
  <c r="M136" i="13"/>
  <c r="N136" i="13"/>
  <c r="O136" i="13"/>
  <c r="P136" i="13"/>
  <c r="Q136" i="13"/>
  <c r="R136" i="13"/>
  <c r="S136" i="13"/>
  <c r="T136" i="13"/>
  <c r="U136" i="13"/>
  <c r="V136" i="13"/>
  <c r="W136" i="13" l="1"/>
  <c r="FQ24" i="3"/>
  <c r="FP24" i="3"/>
  <c r="FQ15" i="3" l="1"/>
  <c r="FP15" i="3"/>
  <c r="FP195" i="3"/>
  <c r="FQ195" i="3"/>
  <c r="FQ23" i="3"/>
  <c r="FP23" i="3"/>
  <c r="BY508" i="3"/>
  <c r="FQ26" i="3"/>
  <c r="FP26" i="3"/>
  <c r="FQ12" i="3"/>
  <c r="FP12" i="3"/>
  <c r="FP194" i="3"/>
  <c r="FQ194" i="3"/>
  <c r="FP30" i="3"/>
  <c r="FQ30" i="3"/>
  <c r="FQ17" i="3" l="1"/>
  <c r="FP17" i="3"/>
  <c r="FQ28" i="3"/>
  <c r="FP28" i="3"/>
  <c r="FQ18" i="3"/>
  <c r="FP18" i="3"/>
  <c r="FP13" i="3"/>
  <c r="FQ13" i="3"/>
  <c r="FP31" i="3"/>
  <c r="FQ31" i="3"/>
  <c r="FQ22" i="3"/>
  <c r="FP22" i="3"/>
  <c r="FQ20" i="3" l="1"/>
  <c r="FP20" i="3"/>
  <c r="FQ16" i="3" l="1"/>
  <c r="FP16" i="3"/>
  <c r="FQ25" i="3"/>
  <c r="FP25" i="3"/>
  <c r="FQ189" i="3" l="1"/>
  <c r="FP189" i="3"/>
  <c r="FQ38" i="3" l="1"/>
  <c r="FP38" i="3"/>
  <c r="FQ19" i="3"/>
  <c r="FP19" i="3"/>
  <c r="S21" i="1" l="1"/>
  <c r="S22" i="1"/>
  <c r="S23" i="1"/>
  <c r="S24" i="1"/>
  <c r="Y4" i="13"/>
  <c r="Z4" i="13" s="1"/>
  <c r="Y5" i="13"/>
  <c r="Z5" i="13" s="1"/>
  <c r="Y6" i="13"/>
  <c r="AA6" i="13" s="1"/>
  <c r="Y7" i="13"/>
  <c r="Z7" i="13" s="1"/>
  <c r="Y8" i="13"/>
  <c r="Z8" i="13" s="1"/>
  <c r="Y9" i="13"/>
  <c r="Z9" i="13" s="1"/>
  <c r="Y10" i="13"/>
  <c r="Z10" i="13" s="1"/>
  <c r="Y11" i="13"/>
  <c r="Z11" i="13" s="1"/>
  <c r="Y12" i="13"/>
  <c r="Z12" i="13" s="1"/>
  <c r="Y13" i="13"/>
  <c r="AA13" i="13" s="1"/>
  <c r="Y14" i="13"/>
  <c r="AA14" i="13" s="1"/>
  <c r="Y15" i="13"/>
  <c r="Z15" i="13" s="1"/>
  <c r="Y16" i="13"/>
  <c r="Z16" i="13" s="1"/>
  <c r="Y17" i="13"/>
  <c r="Z17" i="13" s="1"/>
  <c r="Y18" i="13"/>
  <c r="Z18" i="13" s="1"/>
  <c r="Y19" i="13"/>
  <c r="AA19" i="13" s="1"/>
  <c r="Y20" i="13"/>
  <c r="Z20" i="13" s="1"/>
  <c r="Y21" i="13"/>
  <c r="Z21" i="13" s="1"/>
  <c r="Y22" i="13"/>
  <c r="AA22" i="13" s="1"/>
  <c r="Y23" i="13"/>
  <c r="Z23" i="13" s="1"/>
  <c r="Y24" i="13"/>
  <c r="Z24" i="13" s="1"/>
  <c r="Y25" i="13"/>
  <c r="Z25" i="13" s="1"/>
  <c r="Y26" i="13"/>
  <c r="Z26" i="13" s="1"/>
  <c r="C5" i="13"/>
  <c r="D5" i="13"/>
  <c r="E5" i="13"/>
  <c r="F5" i="13"/>
  <c r="G5" i="13"/>
  <c r="H5" i="13"/>
  <c r="I5" i="13"/>
  <c r="J5" i="13"/>
  <c r="K5" i="13"/>
  <c r="L5" i="13"/>
  <c r="M5" i="13"/>
  <c r="N5" i="13"/>
  <c r="O5" i="13"/>
  <c r="P5" i="13"/>
  <c r="Q5" i="13"/>
  <c r="R5" i="13"/>
  <c r="S5" i="13"/>
  <c r="T5" i="13"/>
  <c r="U5" i="13"/>
  <c r="V5" i="13"/>
  <c r="C6" i="13"/>
  <c r="D6" i="13"/>
  <c r="E6" i="13"/>
  <c r="F6" i="13"/>
  <c r="G6" i="13"/>
  <c r="H6" i="13"/>
  <c r="I6" i="13"/>
  <c r="J6" i="13"/>
  <c r="K6" i="13"/>
  <c r="L6" i="13"/>
  <c r="M6" i="13"/>
  <c r="N6" i="13"/>
  <c r="O6" i="13"/>
  <c r="P6" i="13"/>
  <c r="Q6" i="13"/>
  <c r="R6" i="13"/>
  <c r="S6" i="13"/>
  <c r="T6" i="13"/>
  <c r="U6" i="13"/>
  <c r="V6" i="13"/>
  <c r="C7" i="13"/>
  <c r="D7" i="13"/>
  <c r="E7" i="13"/>
  <c r="F7" i="13"/>
  <c r="G7" i="13"/>
  <c r="H7" i="13"/>
  <c r="I7" i="13"/>
  <c r="J7" i="13"/>
  <c r="K7" i="13"/>
  <c r="L7" i="13"/>
  <c r="M7" i="13"/>
  <c r="N7" i="13"/>
  <c r="O7" i="13"/>
  <c r="P7" i="13"/>
  <c r="Q7" i="13"/>
  <c r="R7" i="13"/>
  <c r="S7" i="13"/>
  <c r="T7" i="13"/>
  <c r="U7" i="13"/>
  <c r="V7" i="13"/>
  <c r="Z13" i="13" l="1"/>
  <c r="AA5" i="13"/>
  <c r="AA21" i="13"/>
  <c r="AA8" i="13"/>
  <c r="Z19" i="13"/>
  <c r="Z6" i="13"/>
  <c r="AA16" i="13"/>
  <c r="Z14" i="13"/>
  <c r="AA24" i="13"/>
  <c r="AA18" i="13"/>
  <c r="AA10" i="13"/>
  <c r="AA11" i="13"/>
  <c r="Z22" i="13"/>
  <c r="AA26" i="13"/>
  <c r="W6" i="13"/>
  <c r="W7" i="13"/>
  <c r="W5" i="13"/>
  <c r="AA23" i="13"/>
  <c r="AA15" i="13"/>
  <c r="AA7" i="13"/>
  <c r="AA20" i="13"/>
  <c r="AA12" i="13"/>
  <c r="AA4" i="13"/>
  <c r="AA25" i="13"/>
  <c r="AA17" i="13"/>
  <c r="AA9" i="13"/>
  <c r="FQ79" i="3"/>
  <c r="FP79" i="3"/>
  <c r="FQ32" i="3"/>
  <c r="FP32" i="3"/>
  <c r="FQ7" i="3"/>
  <c r="FP7" i="3"/>
  <c r="A175" i="16"/>
  <c r="A135" i="16"/>
  <c r="EU275" i="3"/>
  <c r="EV275" i="3" s="1"/>
  <c r="A53" i="16"/>
  <c r="EU274" i="3"/>
  <c r="EV274" i="3" s="1"/>
  <c r="EU273" i="3"/>
  <c r="EV273" i="3" s="1"/>
  <c r="EU272" i="3"/>
  <c r="EV272" i="3" s="1"/>
  <c r="EU271" i="3"/>
  <c r="EV271" i="3" s="1"/>
  <c r="EU269" i="3"/>
  <c r="EV269" i="3" s="1"/>
  <c r="FP27" i="3"/>
  <c r="FQ27" i="3"/>
  <c r="FP14" i="3"/>
  <c r="FQ14" i="3"/>
  <c r="FP11" i="3"/>
  <c r="FQ11" i="3"/>
  <c r="FQ44" i="3"/>
  <c r="FP44" i="3"/>
  <c r="FQ45" i="3"/>
  <c r="FP45" i="3"/>
  <c r="EU270" i="3" l="1"/>
  <c r="EV270" i="3" s="1"/>
  <c r="EU268" i="3"/>
  <c r="EV268" i="3" s="1"/>
  <c r="K18" i="10"/>
  <c r="FQ71" i="3" l="1"/>
  <c r="FP71" i="3"/>
  <c r="CO132" i="3"/>
  <c r="CO237" i="3"/>
  <c r="CO190" i="3"/>
  <c r="CO133" i="3"/>
  <c r="CO346" i="3"/>
  <c r="CO345" i="3"/>
  <c r="CO344" i="3"/>
  <c r="CO343" i="3"/>
  <c r="CO342" i="3"/>
  <c r="CO341" i="3"/>
  <c r="CO340" i="3"/>
  <c r="CO339" i="3"/>
  <c r="CO338" i="3"/>
  <c r="CO337" i="3"/>
  <c r="CO332" i="3"/>
  <c r="CO331" i="3"/>
  <c r="CO330" i="3"/>
  <c r="CO329" i="3"/>
  <c r="CO328" i="3"/>
  <c r="CO347" i="3"/>
  <c r="CO348" i="3"/>
  <c r="CO349" i="3"/>
  <c r="CO360" i="3"/>
  <c r="CO367" i="3"/>
  <c r="CO368" i="3"/>
  <c r="CO370" i="3"/>
  <c r="CO372" i="3"/>
  <c r="CO373" i="3"/>
  <c r="CO374" i="3"/>
  <c r="CO375" i="3"/>
  <c r="CO322" i="3"/>
  <c r="CO321" i="3"/>
  <c r="CO319" i="3"/>
  <c r="CO318" i="3"/>
  <c r="CO317" i="3"/>
  <c r="CO316" i="3"/>
  <c r="CO315" i="3"/>
  <c r="CO313" i="3"/>
  <c r="CO310" i="3"/>
  <c r="CO309" i="3"/>
  <c r="CO308" i="3"/>
  <c r="CO307" i="3"/>
  <c r="CO306" i="3"/>
  <c r="CO304" i="3"/>
  <c r="CO303" i="3"/>
  <c r="CO302" i="3"/>
  <c r="CO300" i="3"/>
  <c r="CO298" i="3"/>
  <c r="CO297" i="3"/>
  <c r="CO277" i="3"/>
  <c r="CO275" i="3"/>
  <c r="CO272" i="3"/>
  <c r="CO271" i="3"/>
  <c r="CO270" i="3"/>
  <c r="CO269" i="3"/>
  <c r="CO268" i="3"/>
  <c r="CO266" i="3"/>
  <c r="CO265" i="3"/>
  <c r="CO264" i="3"/>
  <c r="CO262" i="3"/>
  <c r="CO260" i="3"/>
  <c r="CO259" i="3"/>
  <c r="CO247" i="3"/>
  <c r="CO238" i="3"/>
  <c r="CO235" i="3"/>
  <c r="CO221" i="3"/>
  <c r="CO215" i="3"/>
  <c r="CO214" i="3"/>
  <c r="CO213" i="3"/>
  <c r="CO212" i="3"/>
  <c r="CO211" i="3"/>
  <c r="CO209" i="3"/>
  <c r="CO206" i="3"/>
  <c r="CO205" i="3"/>
  <c r="CO204" i="3"/>
  <c r="CO199" i="3"/>
  <c r="CO197" i="3"/>
  <c r="CO195" i="3"/>
  <c r="CO194" i="3"/>
  <c r="CO193" i="3"/>
  <c r="CO189" i="3"/>
  <c r="CO184" i="3"/>
  <c r="CO183" i="3"/>
  <c r="CO182" i="3"/>
  <c r="CO181" i="3"/>
  <c r="CO174" i="3"/>
  <c r="CO173" i="3"/>
  <c r="CO172" i="3"/>
  <c r="CO171" i="3"/>
  <c r="CO170" i="3"/>
  <c r="CO169" i="3"/>
  <c r="CO168" i="3"/>
  <c r="CO167" i="3"/>
  <c r="CO165" i="3"/>
  <c r="CO155" i="3"/>
  <c r="CO153" i="3"/>
  <c r="CO152" i="3"/>
  <c r="CO151" i="3"/>
  <c r="CO149" i="3"/>
  <c r="CO148" i="3"/>
  <c r="CO146" i="3"/>
  <c r="CO145" i="3"/>
  <c r="CO142" i="3"/>
  <c r="CO138" i="3"/>
  <c r="CO126" i="3"/>
  <c r="CO125" i="3"/>
  <c r="CO120" i="3"/>
  <c r="CO119" i="3"/>
  <c r="CO117" i="3"/>
  <c r="CO113" i="3"/>
  <c r="CO112" i="3"/>
  <c r="CO111" i="3"/>
  <c r="CO109" i="3"/>
  <c r="CO108" i="3"/>
  <c r="CO106" i="3"/>
  <c r="CO105" i="3"/>
  <c r="CO104" i="3"/>
  <c r="CO103" i="3"/>
  <c r="CO98" i="3"/>
  <c r="CO95" i="3"/>
  <c r="CO90" i="3"/>
  <c r="CO85" i="3"/>
  <c r="CO84" i="3"/>
  <c r="CO83" i="3"/>
  <c r="CO81" i="3"/>
  <c r="CO75" i="3"/>
  <c r="CO65" i="3"/>
  <c r="CO59" i="3"/>
  <c r="CO58" i="3"/>
  <c r="CO44" i="3"/>
  <c r="CO43" i="3"/>
  <c r="CO42" i="3"/>
  <c r="CO41" i="3"/>
  <c r="CO40" i="3"/>
  <c r="CO39" i="3"/>
  <c r="CO37" i="3"/>
  <c r="CO36" i="3"/>
  <c r="CO35" i="3"/>
  <c r="CO33" i="3"/>
  <c r="CO11" i="3"/>
  <c r="CO10" i="3"/>
  <c r="CO7" i="3"/>
  <c r="CO6" i="3"/>
  <c r="CO5" i="3"/>
  <c r="CO4" i="3"/>
  <c r="BX1334" i="3"/>
  <c r="BY1334" i="3" s="1"/>
  <c r="BX881" i="3"/>
  <c r="BY881" i="3" s="1"/>
  <c r="BX873" i="3"/>
  <c r="BY873" i="3" s="1"/>
  <c r="BX872" i="3"/>
  <c r="BY872" i="3" s="1"/>
  <c r="BX871" i="3"/>
  <c r="BY871" i="3" s="1"/>
  <c r="BX870" i="3"/>
  <c r="BY870" i="3" s="1"/>
  <c r="BX869" i="3"/>
  <c r="BY869" i="3" s="1"/>
  <c r="BX855" i="3"/>
  <c r="BY855" i="3" s="1"/>
  <c r="BX854" i="3"/>
  <c r="BY854" i="3" s="1"/>
  <c r="BX691" i="3"/>
  <c r="BY691" i="3" s="1"/>
  <c r="EQ35" i="3"/>
  <c r="ER35" i="3" s="1"/>
  <c r="B1084" i="14"/>
  <c r="EU266" i="3"/>
  <c r="EV266" i="3" s="1"/>
  <c r="FQ97" i="3"/>
  <c r="FP97" i="3"/>
  <c r="FQ8" i="3"/>
  <c r="FQ101" i="3"/>
  <c r="FP101" i="3"/>
  <c r="FQ33" i="3" l="1"/>
  <c r="FP33" i="3"/>
  <c r="FQ5" i="3" l="1"/>
  <c r="FP5" i="3"/>
  <c r="C119" i="13"/>
  <c r="D119" i="13"/>
  <c r="E119" i="13"/>
  <c r="F119" i="13"/>
  <c r="G119" i="13"/>
  <c r="H119" i="13"/>
  <c r="I119" i="13"/>
  <c r="J119" i="13"/>
  <c r="K119" i="13"/>
  <c r="L119" i="13"/>
  <c r="M119" i="13"/>
  <c r="N119" i="13"/>
  <c r="O119" i="13"/>
  <c r="P119" i="13"/>
  <c r="Q119" i="13"/>
  <c r="R119" i="13"/>
  <c r="S119" i="13"/>
  <c r="T119" i="13"/>
  <c r="U119" i="13"/>
  <c r="V119" i="13"/>
  <c r="FQ168" i="3"/>
  <c r="FP168" i="3"/>
  <c r="FQ61" i="3"/>
  <c r="FP61" i="3"/>
  <c r="W119" i="13" l="1"/>
  <c r="J10" i="1" s="1"/>
  <c r="EU265" i="3"/>
  <c r="EV265" i="3" s="1"/>
  <c r="EQ44" i="3"/>
  <c r="ER44" i="3" s="1"/>
  <c r="FQ171" i="3"/>
  <c r="FP171" i="3"/>
  <c r="FQ271" i="3"/>
  <c r="J11" i="1" l="1"/>
  <c r="FB258" i="3" l="1"/>
  <c r="FB257" i="3"/>
  <c r="FB256" i="3"/>
  <c r="EU6" i="3"/>
  <c r="EV6" i="3" s="1"/>
  <c r="EU3" i="3"/>
  <c r="EV3" i="3" s="1"/>
  <c r="EU160" i="3"/>
  <c r="EV160" i="3" s="1"/>
  <c r="EU159" i="3"/>
  <c r="EV159" i="3" s="1"/>
  <c r="EU156" i="3"/>
  <c r="EV156" i="3" s="1"/>
  <c r="EU126" i="3"/>
  <c r="EV126" i="3" s="1"/>
  <c r="EU86" i="3"/>
  <c r="EV86" i="3" s="1"/>
  <c r="EU71" i="3"/>
  <c r="EV71" i="3" s="1"/>
  <c r="EU70" i="3"/>
  <c r="EV70" i="3" s="1"/>
  <c r="EU65" i="3"/>
  <c r="EV65" i="3" s="1"/>
  <c r="EU54" i="3"/>
  <c r="EV54" i="3" s="1"/>
  <c r="EU52" i="3"/>
  <c r="EV52" i="3" s="1"/>
  <c r="EU51" i="3"/>
  <c r="EV51" i="3" s="1"/>
  <c r="EU41" i="3"/>
  <c r="EV41" i="3" s="1"/>
  <c r="EU37" i="3"/>
  <c r="EV37" i="3" s="1"/>
  <c r="EV30" i="3"/>
  <c r="EU25" i="3"/>
  <c r="EV25" i="3" s="1"/>
  <c r="EU9" i="3"/>
  <c r="EV9" i="3" s="1"/>
  <c r="EU5" i="3"/>
  <c r="EV5" i="3" s="1"/>
  <c r="FB231" i="3"/>
  <c r="FB230" i="3"/>
  <c r="FB229" i="3"/>
  <c r="FB228" i="3"/>
  <c r="FB227" i="3"/>
  <c r="FB226" i="3"/>
  <c r="FB225" i="3"/>
  <c r="FB255" i="3"/>
  <c r="FB254" i="3"/>
  <c r="EV154" i="3"/>
  <c r="EU143" i="3"/>
  <c r="EV143" i="3" s="1"/>
  <c r="EQ67" i="3"/>
  <c r="ER68" i="3" s="1"/>
  <c r="FB253" i="3"/>
  <c r="FB239" i="3"/>
  <c r="FQ70" i="3"/>
  <c r="FP70" i="3"/>
  <c r="FQ148" i="3"/>
  <c r="FP148" i="3"/>
  <c r="FQ149" i="3"/>
  <c r="FP149" i="3"/>
  <c r="FQ104" i="3"/>
  <c r="FP104" i="3"/>
  <c r="FQ138" i="3"/>
  <c r="FP138" i="3"/>
  <c r="FQ125" i="3"/>
  <c r="FP125" i="3"/>
  <c r="FQ219" i="3" l="1"/>
  <c r="FB223" i="3"/>
  <c r="FB252" i="3"/>
  <c r="FB251" i="3"/>
  <c r="FB250" i="3"/>
  <c r="FB249" i="3"/>
  <c r="FB248" i="3"/>
  <c r="FB247" i="3"/>
  <c r="FB246" i="3"/>
  <c r="FB245" i="3"/>
  <c r="FB244" i="3"/>
  <c r="FB243" i="3"/>
  <c r="FB242" i="3"/>
  <c r="FB240" i="3"/>
  <c r="FB238" i="3"/>
  <c r="FB237" i="3"/>
  <c r="FB236" i="3"/>
  <c r="FB235" i="3"/>
  <c r="FB234" i="3"/>
  <c r="FB233" i="3"/>
  <c r="FQ51" i="3" l="1"/>
  <c r="FP51" i="3"/>
  <c r="FP120" i="3"/>
  <c r="FQ120" i="3"/>
  <c r="FQ41" i="3"/>
  <c r="FP41" i="3"/>
  <c r="FQ122" i="3"/>
  <c r="FP122" i="3"/>
  <c r="FQ29" i="3"/>
  <c r="FP29" i="3"/>
  <c r="FP4" i="3"/>
  <c r="FQ4" i="3"/>
  <c r="FP53" i="3"/>
  <c r="FQ53" i="3"/>
  <c r="FQ159" i="3"/>
  <c r="FP159" i="3"/>
  <c r="BX59" i="3"/>
  <c r="BY59" i="3" s="1"/>
  <c r="DF62" i="3"/>
  <c r="DH63" i="3"/>
  <c r="DI63" i="3"/>
  <c r="DJ63" i="3"/>
  <c r="DK63" i="3"/>
  <c r="EQ57" i="3"/>
  <c r="ER58" i="3" s="1"/>
  <c r="EU60" i="3"/>
  <c r="EV60" i="3" s="1"/>
  <c r="FP93" i="3"/>
  <c r="FQ93" i="3"/>
  <c r="FQ153" i="3"/>
  <c r="FP153" i="3"/>
  <c r="FQ111" i="3" l="1"/>
  <c r="FP111" i="3"/>
  <c r="FQ154" i="3"/>
  <c r="FP154" i="3"/>
  <c r="FQ96" i="3"/>
  <c r="FP96" i="3"/>
  <c r="FQ67" i="3"/>
  <c r="FP67" i="3"/>
  <c r="FP54" i="3"/>
  <c r="FQ54" i="3"/>
  <c r="FP121" i="3"/>
  <c r="FQ121" i="3"/>
  <c r="FP57" i="3"/>
  <c r="FQ57" i="3"/>
  <c r="FP58" i="3"/>
  <c r="FQ58" i="3"/>
  <c r="FP59" i="3"/>
  <c r="FQ59" i="3"/>
  <c r="FP60" i="3"/>
  <c r="FQ60" i="3"/>
  <c r="FP63" i="3"/>
  <c r="FQ63" i="3"/>
  <c r="FP64" i="3"/>
  <c r="FQ64" i="3"/>
  <c r="FP65" i="3"/>
  <c r="FQ65" i="3"/>
  <c r="FP123" i="3"/>
  <c r="FQ123" i="3"/>
  <c r="FP68" i="3"/>
  <c r="FQ68" i="3"/>
  <c r="FP126" i="3"/>
  <c r="FQ126" i="3"/>
  <c r="FP127" i="3"/>
  <c r="FQ127" i="3"/>
  <c r="FP129" i="3"/>
  <c r="FQ129" i="3"/>
  <c r="FP130" i="3"/>
  <c r="FQ130" i="3"/>
  <c r="FP131" i="3"/>
  <c r="FQ131" i="3"/>
  <c r="FP132" i="3"/>
  <c r="FQ132" i="3"/>
  <c r="FP133" i="3"/>
  <c r="FQ133" i="3"/>
  <c r="FP136" i="3"/>
  <c r="FQ136" i="3"/>
  <c r="FP40" i="3"/>
  <c r="FQ40" i="3"/>
  <c r="FP137" i="3"/>
  <c r="FQ137" i="3"/>
  <c r="FP139" i="3"/>
  <c r="FQ139" i="3"/>
  <c r="FP140" i="3"/>
  <c r="FQ140" i="3"/>
  <c r="FP141" i="3"/>
  <c r="FQ141" i="3"/>
  <c r="FP142" i="3"/>
  <c r="FQ142" i="3"/>
  <c r="FP143" i="3"/>
  <c r="FQ143" i="3"/>
  <c r="FP69" i="3"/>
  <c r="FQ69" i="3"/>
  <c r="FP144" i="3"/>
  <c r="FQ144" i="3"/>
  <c r="FP146" i="3"/>
  <c r="FQ146" i="3"/>
  <c r="FP73" i="3"/>
  <c r="FQ73" i="3"/>
  <c r="FP74" i="3"/>
  <c r="FQ74" i="3"/>
  <c r="FP35" i="3"/>
  <c r="FQ35" i="3"/>
  <c r="FP75" i="3"/>
  <c r="FQ75" i="3"/>
  <c r="FP76" i="3"/>
  <c r="FQ76" i="3"/>
  <c r="FP77" i="3"/>
  <c r="FQ77" i="3"/>
  <c r="FP81" i="3"/>
  <c r="FQ81" i="3"/>
  <c r="FP36" i="3"/>
  <c r="FQ36" i="3"/>
  <c r="FP37" i="3"/>
  <c r="FQ37" i="3"/>
  <c r="FP150" i="3"/>
  <c r="FQ150" i="3"/>
  <c r="FP62" i="3"/>
  <c r="FQ62" i="3"/>
  <c r="FP151" i="3"/>
  <c r="FQ151" i="3"/>
  <c r="FP82" i="3"/>
  <c r="FQ82" i="3"/>
  <c r="FP84" i="3"/>
  <c r="FQ84" i="3"/>
  <c r="FP86" i="3"/>
  <c r="FQ86" i="3"/>
  <c r="FP155" i="3"/>
  <c r="FQ155" i="3"/>
  <c r="FP87" i="3"/>
  <c r="FQ87" i="3"/>
  <c r="FP88" i="3"/>
  <c r="FQ88" i="3"/>
  <c r="FP157" i="3"/>
  <c r="FQ157" i="3"/>
  <c r="FP89" i="3"/>
  <c r="FQ89" i="3"/>
  <c r="FP91" i="3"/>
  <c r="FQ91" i="3"/>
  <c r="FP90" i="3"/>
  <c r="FQ90" i="3"/>
  <c r="FP92" i="3"/>
  <c r="FQ92" i="3"/>
  <c r="FP158" i="3"/>
  <c r="FQ158" i="3"/>
  <c r="FP94" i="3"/>
  <c r="FQ94" i="3"/>
  <c r="FP95" i="3"/>
  <c r="FQ95" i="3"/>
  <c r="FP160" i="3"/>
  <c r="FQ160" i="3"/>
  <c r="FP161" i="3"/>
  <c r="FQ161" i="3"/>
  <c r="FP162" i="3"/>
  <c r="FQ162" i="3"/>
  <c r="FP42" i="3"/>
  <c r="FQ42" i="3"/>
  <c r="FP43" i="3"/>
  <c r="FQ43" i="3"/>
  <c r="FP47" i="3"/>
  <c r="FQ47" i="3"/>
  <c r="FP98" i="3"/>
  <c r="FQ98" i="3"/>
  <c r="FP99" i="3"/>
  <c r="FQ99" i="3"/>
  <c r="FP165" i="3"/>
  <c r="FQ165" i="3"/>
  <c r="FP167" i="3"/>
  <c r="FQ167" i="3"/>
  <c r="FP169" i="3"/>
  <c r="FQ169" i="3"/>
  <c r="FP102" i="3"/>
  <c r="FQ102" i="3"/>
  <c r="FP105" i="3"/>
  <c r="FQ105" i="3"/>
  <c r="FP106" i="3"/>
  <c r="FQ106" i="3"/>
  <c r="FP107" i="3"/>
  <c r="FQ107" i="3"/>
  <c r="FP109" i="3"/>
  <c r="FQ109" i="3"/>
  <c r="FP172" i="3"/>
  <c r="FQ172" i="3"/>
  <c r="FP112" i="3"/>
  <c r="FQ112" i="3"/>
  <c r="FP173" i="3"/>
  <c r="FQ173" i="3"/>
  <c r="FP174" i="3"/>
  <c r="FQ174" i="3"/>
  <c r="FP179" i="3"/>
  <c r="FQ179" i="3"/>
  <c r="FP78" i="3"/>
  <c r="FQ78" i="3"/>
  <c r="FP180" i="3"/>
  <c r="FQ180" i="3"/>
  <c r="FP181" i="3"/>
  <c r="FQ181" i="3"/>
  <c r="FQ224" i="3"/>
  <c r="FQ225" i="3"/>
  <c r="FQ226" i="3"/>
  <c r="FQ227" i="3"/>
  <c r="FQ228" i="3"/>
  <c r="FQ229" i="3"/>
  <c r="FQ230" i="3"/>
  <c r="FQ231" i="3"/>
  <c r="FQ232" i="3"/>
  <c r="FQ233" i="3"/>
  <c r="FQ234" i="3"/>
  <c r="FQ235" i="3"/>
  <c r="FQ236" i="3"/>
  <c r="FQ237" i="3"/>
  <c r="FQ238" i="3"/>
  <c r="FQ239" i="3"/>
  <c r="FQ240" i="3"/>
  <c r="FQ241" i="3"/>
  <c r="FQ242" i="3"/>
  <c r="FQ243" i="3"/>
  <c r="FQ244" i="3"/>
  <c r="FQ245" i="3"/>
  <c r="FQ246" i="3"/>
  <c r="FQ247" i="3"/>
  <c r="FQ248" i="3"/>
  <c r="FQ249" i="3"/>
  <c r="FQ250" i="3"/>
  <c r="FQ251" i="3"/>
  <c r="FQ252" i="3"/>
  <c r="FP197" i="3"/>
  <c r="FQ197" i="3"/>
  <c r="FQ259" i="3"/>
  <c r="FQ260" i="3"/>
  <c r="FQ261" i="3"/>
  <c r="FQ262" i="3"/>
  <c r="FQ263" i="3"/>
  <c r="FQ264" i="3"/>
  <c r="FQ265" i="3"/>
  <c r="FQ266" i="3"/>
  <c r="FQ267" i="3"/>
  <c r="FQ268" i="3"/>
  <c r="FQ269" i="3"/>
  <c r="FQ270" i="3"/>
  <c r="FQ272" i="3"/>
  <c r="FQ273" i="3"/>
  <c r="FQ274" i="3"/>
  <c r="FQ275" i="3"/>
  <c r="FQ276" i="3"/>
  <c r="FQ277" i="3"/>
  <c r="FQ278" i="3"/>
  <c r="FQ279" i="3"/>
  <c r="FQ282" i="3"/>
  <c r="FQ284" i="3"/>
  <c r="FQ285" i="3"/>
  <c r="FQ286" i="3"/>
  <c r="FQ287" i="3"/>
  <c r="FQ288" i="3"/>
  <c r="FQ289" i="3"/>
  <c r="FQ290" i="3"/>
  <c r="FQ291" i="3"/>
  <c r="FQ293" i="3"/>
  <c r="FQ294" i="3"/>
  <c r="FQ295" i="3"/>
  <c r="FQ296" i="3"/>
  <c r="FQ297" i="3"/>
  <c r="FQ298" i="3"/>
  <c r="FQ299" i="3"/>
  <c r="FQ300" i="3"/>
  <c r="FQ301" i="3"/>
  <c r="FQ302" i="3"/>
  <c r="FQ304" i="3"/>
  <c r="FQ305" i="3"/>
  <c r="FQ306" i="3"/>
  <c r="FQ307" i="3"/>
  <c r="FQ308" i="3"/>
  <c r="FQ309" i="3"/>
  <c r="FQ223" i="3"/>
  <c r="FP156" i="3"/>
  <c r="FP118" i="3"/>
  <c r="FQ118" i="3"/>
  <c r="EQ39" i="3" l="1"/>
  <c r="ER39" i="3" s="1"/>
  <c r="EQ11" i="3"/>
  <c r="ER11" i="3" s="1"/>
  <c r="C76" i="13"/>
  <c r="D76" i="13"/>
  <c r="E76" i="13"/>
  <c r="F76" i="13"/>
  <c r="G76" i="13"/>
  <c r="H76" i="13"/>
  <c r="I76" i="13"/>
  <c r="J76" i="13"/>
  <c r="K76" i="13"/>
  <c r="L76" i="13"/>
  <c r="M76" i="13"/>
  <c r="N76" i="13"/>
  <c r="O76" i="13"/>
  <c r="P76" i="13"/>
  <c r="Q76" i="13"/>
  <c r="R76" i="13"/>
  <c r="S76" i="13"/>
  <c r="T76" i="13"/>
  <c r="U76" i="13"/>
  <c r="V76" i="13"/>
  <c r="W76" i="13" l="1"/>
  <c r="K3" i="10"/>
  <c r="K4" i="10"/>
  <c r="K5" i="10"/>
  <c r="K6" i="10"/>
  <c r="K7" i="10"/>
  <c r="K8" i="10"/>
  <c r="K9" i="10"/>
  <c r="K10" i="10"/>
  <c r="K11" i="10"/>
  <c r="K12" i="10"/>
  <c r="K13" i="10"/>
  <c r="K14" i="10"/>
  <c r="K15" i="10"/>
  <c r="K16" i="10"/>
  <c r="K17" i="10"/>
  <c r="K19" i="10"/>
  <c r="K21" i="10"/>
  <c r="K22" i="10"/>
  <c r="K23" i="10"/>
  <c r="K24" i="10"/>
  <c r="K25" i="10"/>
  <c r="K26" i="10"/>
  <c r="K27" i="10"/>
  <c r="K28" i="10"/>
  <c r="K29" i="10"/>
  <c r="K30" i="10"/>
  <c r="K31" i="10"/>
  <c r="K33" i="10"/>
  <c r="K34" i="10"/>
  <c r="K35" i="10"/>
  <c r="K36" i="10"/>
  <c r="K37" i="10"/>
  <c r="K38" i="10"/>
  <c r="K39" i="10"/>
  <c r="K40" i="10"/>
  <c r="K41" i="10"/>
  <c r="K93" i="10"/>
  <c r="K42" i="10"/>
  <c r="K43" i="10"/>
  <c r="K44" i="10"/>
  <c r="K106" i="10"/>
  <c r="K45" i="10"/>
  <c r="K46" i="10"/>
  <c r="K47" i="10"/>
  <c r="K48" i="10"/>
  <c r="K49" i="10"/>
  <c r="K50" i="10"/>
  <c r="K51" i="10"/>
  <c r="K52" i="10"/>
  <c r="K53" i="10"/>
  <c r="K120"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4" i="10"/>
  <c r="K95" i="10"/>
  <c r="K96" i="10"/>
  <c r="K97" i="10"/>
  <c r="K98" i="10"/>
  <c r="K99" i="10"/>
  <c r="K100" i="10"/>
  <c r="K101" i="10"/>
  <c r="K102" i="10"/>
  <c r="K103" i="10"/>
  <c r="K104" i="10"/>
  <c r="K105" i="10"/>
  <c r="K107" i="10"/>
  <c r="K108" i="10"/>
  <c r="K109" i="10"/>
  <c r="K110" i="10"/>
  <c r="K111" i="10"/>
  <c r="K112" i="10"/>
  <c r="K113" i="10"/>
  <c r="K114" i="10"/>
  <c r="K115" i="10"/>
  <c r="K116" i="10"/>
  <c r="K117" i="10"/>
  <c r="K118" i="10"/>
  <c r="K119" i="10"/>
  <c r="K121" i="10"/>
  <c r="K122" i="10"/>
  <c r="K123" i="10"/>
  <c r="K124" i="10"/>
  <c r="K125" i="10"/>
  <c r="K126" i="10"/>
  <c r="K127" i="10"/>
  <c r="K128" i="10"/>
  <c r="K129" i="10"/>
  <c r="K130" i="10"/>
  <c r="K131" i="10"/>
  <c r="AV329" i="3" l="1"/>
  <c r="A93" i="10"/>
  <c r="BX1332" i="3" l="1"/>
  <c r="BY1332" i="3" s="1"/>
  <c r="BX1338" i="3"/>
  <c r="BY1338" i="3" s="1"/>
  <c r="BX1333" i="3"/>
  <c r="BY1333" i="3" s="1"/>
  <c r="BX1331" i="3"/>
  <c r="BY1331" i="3" s="1"/>
  <c r="BX1330" i="3"/>
  <c r="BY1330" i="3" s="1"/>
  <c r="BX1329" i="3"/>
  <c r="BY1329" i="3" s="1"/>
  <c r="BX1328" i="3"/>
  <c r="BY1328" i="3" s="1"/>
  <c r="BX1327" i="3"/>
  <c r="BY1327" i="3" s="1"/>
  <c r="BX1326" i="3"/>
  <c r="BY1326" i="3" s="1"/>
  <c r="BX1325" i="3"/>
  <c r="BY1325" i="3" s="1"/>
  <c r="BX1324" i="3"/>
  <c r="BY1324" i="3" s="1"/>
  <c r="BX1323" i="3"/>
  <c r="BY1323" i="3" s="1"/>
  <c r="BX1322" i="3"/>
  <c r="BY1322" i="3" s="1"/>
  <c r="BX1321" i="3"/>
  <c r="BY1321" i="3" s="1"/>
  <c r="BX1320" i="3"/>
  <c r="BY1320" i="3" s="1"/>
  <c r="BX1319" i="3"/>
  <c r="BY1319" i="3" s="1"/>
  <c r="BX1318" i="3"/>
  <c r="BY1318" i="3" s="1"/>
  <c r="BX1317" i="3"/>
  <c r="BY1317" i="3" s="1"/>
  <c r="BX1316" i="3"/>
  <c r="BY1316" i="3" s="1"/>
  <c r="BX1315" i="3"/>
  <c r="BY1315" i="3" s="1"/>
  <c r="BX1314" i="3"/>
  <c r="BY1314" i="3" s="1"/>
  <c r="BX1313" i="3"/>
  <c r="BY1313" i="3" s="1"/>
  <c r="BX1312" i="3"/>
  <c r="BY1312" i="3" s="1"/>
  <c r="BX1311" i="3"/>
  <c r="BY1311" i="3" s="1"/>
  <c r="BX1310" i="3"/>
  <c r="BY1310" i="3" s="1"/>
  <c r="BX1309" i="3"/>
  <c r="BY1309" i="3" s="1"/>
  <c r="BX1308" i="3"/>
  <c r="BY1308" i="3" s="1"/>
  <c r="BX1307" i="3"/>
  <c r="BY1307" i="3" s="1"/>
  <c r="BX1306" i="3"/>
  <c r="BY1306" i="3" s="1"/>
  <c r="BX1305" i="3"/>
  <c r="BY1305" i="3" s="1"/>
  <c r="BX1304" i="3"/>
  <c r="BY1304" i="3" s="1"/>
  <c r="BX1303" i="3"/>
  <c r="BY1303" i="3" s="1"/>
  <c r="BX1302" i="3"/>
  <c r="BY1302" i="3" s="1"/>
  <c r="BX1301" i="3"/>
  <c r="BY1301" i="3" s="1"/>
  <c r="BX1300" i="3"/>
  <c r="BY1300" i="3" s="1"/>
  <c r="BX1299" i="3"/>
  <c r="BY1299" i="3" s="1"/>
  <c r="BX1298" i="3"/>
  <c r="BY1298" i="3" s="1"/>
  <c r="BX1297" i="3"/>
  <c r="BY1297" i="3" s="1"/>
  <c r="BX1296" i="3"/>
  <c r="BY1296" i="3" s="1"/>
  <c r="BX1295" i="3"/>
  <c r="BY1295" i="3" s="1"/>
  <c r="BX1294" i="3"/>
  <c r="BY1294" i="3" s="1"/>
  <c r="BX1293" i="3"/>
  <c r="BY1293" i="3" s="1"/>
  <c r="BX1292" i="3"/>
  <c r="BY1292" i="3" s="1"/>
  <c r="BX1291" i="3"/>
  <c r="BY1291" i="3" s="1"/>
  <c r="BX1290" i="3"/>
  <c r="BY1290" i="3" s="1"/>
  <c r="BX1289" i="3"/>
  <c r="BY1289" i="3" s="1"/>
  <c r="BX1288" i="3"/>
  <c r="BY1288" i="3" s="1"/>
  <c r="BX1287" i="3"/>
  <c r="BY1287" i="3" s="1"/>
  <c r="BX1286" i="3"/>
  <c r="BY1286" i="3" s="1"/>
  <c r="BX1285" i="3"/>
  <c r="BY1285" i="3" s="1"/>
  <c r="BX1284" i="3"/>
  <c r="BY1284" i="3" s="1"/>
  <c r="BX1283" i="3"/>
  <c r="BY1283" i="3" s="1"/>
  <c r="BX1282" i="3"/>
  <c r="BY1282" i="3" s="1"/>
  <c r="BX1281" i="3"/>
  <c r="BY1281" i="3" s="1"/>
  <c r="BX1280" i="3"/>
  <c r="BY1280" i="3" s="1"/>
  <c r="BX1279" i="3"/>
  <c r="BY1279" i="3" s="1"/>
  <c r="BX1278" i="3"/>
  <c r="BY1278" i="3" s="1"/>
  <c r="BX1277" i="3"/>
  <c r="BY1277" i="3" s="1"/>
  <c r="BX1276" i="3"/>
  <c r="BY1276" i="3" s="1"/>
  <c r="BX1275" i="3"/>
  <c r="BY1275" i="3" s="1"/>
  <c r="BX1274" i="3"/>
  <c r="BY1274" i="3" s="1"/>
  <c r="BX1273" i="3"/>
  <c r="BY1273" i="3" s="1"/>
  <c r="BX1272" i="3"/>
  <c r="BY1272" i="3" s="1"/>
  <c r="BX1271" i="3"/>
  <c r="BY1271" i="3" s="1"/>
  <c r="BX1270" i="3"/>
  <c r="BY1270" i="3" s="1"/>
  <c r="BX1269" i="3"/>
  <c r="BY1269" i="3" s="1"/>
  <c r="BX1268" i="3"/>
  <c r="BY1268" i="3" s="1"/>
  <c r="BX1267" i="3"/>
  <c r="BY1267" i="3" s="1"/>
  <c r="BX1266" i="3"/>
  <c r="BY1266" i="3" s="1"/>
  <c r="BX1265" i="3"/>
  <c r="BY1265" i="3" s="1"/>
  <c r="BX1264" i="3"/>
  <c r="BY1264" i="3" s="1"/>
  <c r="BX1263" i="3"/>
  <c r="BY1263" i="3" s="1"/>
  <c r="BX1262" i="3"/>
  <c r="BY1262" i="3" s="1"/>
  <c r="BX1261" i="3"/>
  <c r="BY1261" i="3" s="1"/>
  <c r="BX1260" i="3"/>
  <c r="BY1260" i="3" s="1"/>
  <c r="BX1259" i="3"/>
  <c r="BY1259" i="3" s="1"/>
  <c r="BX1258" i="3"/>
  <c r="BY1258" i="3" s="1"/>
  <c r="BX1257" i="3"/>
  <c r="BY1257" i="3" s="1"/>
  <c r="BX1256" i="3"/>
  <c r="BY1256" i="3" s="1"/>
  <c r="BX1255" i="3"/>
  <c r="BY1255" i="3" s="1"/>
  <c r="BX1254" i="3"/>
  <c r="BY1254" i="3" s="1"/>
  <c r="BX1253" i="3"/>
  <c r="BY1253" i="3" s="1"/>
  <c r="BX1252" i="3"/>
  <c r="BY1252" i="3" s="1"/>
  <c r="BX1251" i="3"/>
  <c r="BY1251" i="3" s="1"/>
  <c r="BX1250" i="3"/>
  <c r="BY1250" i="3" s="1"/>
  <c r="BX1249" i="3"/>
  <c r="BY1249" i="3" s="1"/>
  <c r="BX1248" i="3"/>
  <c r="BY1248" i="3" s="1"/>
  <c r="BX1247" i="3"/>
  <c r="BY1247" i="3" s="1"/>
  <c r="BX1246" i="3"/>
  <c r="BY1246" i="3" s="1"/>
  <c r="BX1245" i="3"/>
  <c r="BY1245" i="3" s="1"/>
  <c r="BX1244" i="3"/>
  <c r="BY1244" i="3" s="1"/>
  <c r="BX1243" i="3"/>
  <c r="BY1243" i="3" s="1"/>
  <c r="BX1242" i="3"/>
  <c r="BY1242" i="3" s="1"/>
  <c r="BX1241" i="3"/>
  <c r="BY1241" i="3" s="1"/>
  <c r="BX1240" i="3"/>
  <c r="BY1240" i="3" s="1"/>
  <c r="BX1239" i="3"/>
  <c r="BY1239" i="3" s="1"/>
  <c r="BX1238" i="3"/>
  <c r="BY1238" i="3" s="1"/>
  <c r="BX1237" i="3"/>
  <c r="BY1237" i="3" s="1"/>
  <c r="BX1236" i="3"/>
  <c r="BY1236" i="3" s="1"/>
  <c r="BX1235" i="3"/>
  <c r="BY1235" i="3" s="1"/>
  <c r="BX1234" i="3"/>
  <c r="BY1234" i="3" s="1"/>
  <c r="BX1233" i="3"/>
  <c r="BY1233" i="3" s="1"/>
  <c r="BX1232" i="3"/>
  <c r="BY1232" i="3" s="1"/>
  <c r="BX1231" i="3"/>
  <c r="BY1231" i="3" s="1"/>
  <c r="BX1230" i="3"/>
  <c r="BY1230" i="3" s="1"/>
  <c r="BX1229" i="3"/>
  <c r="BY1229" i="3" s="1"/>
  <c r="BX1228" i="3"/>
  <c r="BY1228" i="3" s="1"/>
  <c r="BX1227" i="3"/>
  <c r="BY1227" i="3" s="1"/>
  <c r="BX1226" i="3"/>
  <c r="BY1226" i="3" s="1"/>
  <c r="BX1225" i="3"/>
  <c r="BY1225" i="3" s="1"/>
  <c r="BX1224" i="3"/>
  <c r="BY1224" i="3" s="1"/>
  <c r="BX1223" i="3"/>
  <c r="BY1223" i="3" s="1"/>
  <c r="BX1222" i="3"/>
  <c r="BY1222" i="3" s="1"/>
  <c r="BX1221" i="3"/>
  <c r="BY1221" i="3" s="1"/>
  <c r="BX1220" i="3"/>
  <c r="BY1220" i="3" s="1"/>
  <c r="BX1219" i="3"/>
  <c r="BY1219" i="3" s="1"/>
  <c r="BX1218" i="3"/>
  <c r="BY1218" i="3" s="1"/>
  <c r="BX1217" i="3"/>
  <c r="BY1217" i="3" s="1"/>
  <c r="BX1216" i="3"/>
  <c r="BY1216" i="3" s="1"/>
  <c r="BX1215" i="3"/>
  <c r="BY1215" i="3" s="1"/>
  <c r="BX1214" i="3"/>
  <c r="BY1214" i="3" s="1"/>
  <c r="BX1213" i="3"/>
  <c r="BY1213" i="3" s="1"/>
  <c r="BX1212" i="3"/>
  <c r="BY1212" i="3" s="1"/>
  <c r="BX1211" i="3"/>
  <c r="BY1211" i="3" s="1"/>
  <c r="BX1210" i="3"/>
  <c r="BY1210" i="3" s="1"/>
  <c r="BX1209" i="3"/>
  <c r="BY1209" i="3" s="1"/>
  <c r="BX1208" i="3"/>
  <c r="BY1208" i="3" s="1"/>
  <c r="BX1207" i="3"/>
  <c r="BY1207" i="3" s="1"/>
  <c r="BX1206" i="3"/>
  <c r="BY1206" i="3" s="1"/>
  <c r="BX1205" i="3"/>
  <c r="BY1205" i="3" s="1"/>
  <c r="BX1204" i="3"/>
  <c r="BY1204" i="3" s="1"/>
  <c r="BX1203" i="3"/>
  <c r="BY1203" i="3" s="1"/>
  <c r="BX1202" i="3"/>
  <c r="BY1202" i="3" s="1"/>
  <c r="BX1201" i="3"/>
  <c r="BY1201" i="3" s="1"/>
  <c r="BX1200" i="3"/>
  <c r="BY1200" i="3" s="1"/>
  <c r="BX1199" i="3"/>
  <c r="BY1199" i="3" s="1"/>
  <c r="BX1198" i="3"/>
  <c r="BY1198" i="3" s="1"/>
  <c r="BX1197" i="3"/>
  <c r="BY1197" i="3" s="1"/>
  <c r="BX1196" i="3"/>
  <c r="BY1196" i="3" s="1"/>
  <c r="BX1195" i="3"/>
  <c r="BY1195" i="3" s="1"/>
  <c r="BX1194" i="3"/>
  <c r="BY1194" i="3" s="1"/>
  <c r="BX1193" i="3"/>
  <c r="BY1193" i="3" s="1"/>
  <c r="BX1192" i="3"/>
  <c r="BY1192" i="3" s="1"/>
  <c r="BX1191" i="3"/>
  <c r="BY1191" i="3" s="1"/>
  <c r="BX1190" i="3"/>
  <c r="BY1190" i="3" s="1"/>
  <c r="BX1189" i="3"/>
  <c r="BY1189" i="3" s="1"/>
  <c r="BX1188" i="3"/>
  <c r="BY1188" i="3" s="1"/>
  <c r="BX1187" i="3"/>
  <c r="BY1187" i="3" s="1"/>
  <c r="BX16" i="3"/>
  <c r="BY16" i="3" s="1"/>
  <c r="BX1186" i="3"/>
  <c r="BY1186" i="3" s="1"/>
  <c r="BX1185" i="3"/>
  <c r="BY1185" i="3" s="1"/>
  <c r="BX1184" i="3"/>
  <c r="BY1184" i="3" s="1"/>
  <c r="BX1183" i="3"/>
  <c r="BY1183" i="3" s="1"/>
  <c r="BX1182" i="3"/>
  <c r="BY1182" i="3" s="1"/>
  <c r="BX1169" i="3"/>
  <c r="BY1169" i="3" s="1"/>
  <c r="BX1181" i="3"/>
  <c r="BY1181" i="3" s="1"/>
  <c r="BX1180" i="3"/>
  <c r="BY1180" i="3" s="1"/>
  <c r="BX1179" i="3"/>
  <c r="BY1179" i="3" s="1"/>
  <c r="BX1178" i="3"/>
  <c r="BY1178" i="3" s="1"/>
  <c r="BX1177" i="3"/>
  <c r="BY1177" i="3" s="1"/>
  <c r="BX1176" i="3"/>
  <c r="BY1176" i="3" s="1"/>
  <c r="BX1175" i="3"/>
  <c r="BY1175" i="3" s="1"/>
  <c r="BX1174" i="3"/>
  <c r="BY1174" i="3" s="1"/>
  <c r="BX1173" i="3"/>
  <c r="BY1173" i="3" s="1"/>
  <c r="BX1172" i="3"/>
  <c r="BY1172" i="3" s="1"/>
  <c r="BX1171" i="3"/>
  <c r="BY1171" i="3" s="1"/>
  <c r="BX1170" i="3"/>
  <c r="BY1170" i="3" s="1"/>
  <c r="BX1168" i="3"/>
  <c r="BY1168" i="3" s="1"/>
  <c r="BX1167" i="3"/>
  <c r="BY1167" i="3" s="1"/>
  <c r="BX1166" i="3"/>
  <c r="BY1166" i="3" s="1"/>
  <c r="BX1165" i="3"/>
  <c r="BY1165" i="3" s="1"/>
  <c r="BX1164" i="3"/>
  <c r="BY1164" i="3" s="1"/>
  <c r="BX1163" i="3"/>
  <c r="BY1163" i="3" s="1"/>
  <c r="BX1162" i="3"/>
  <c r="BY1162" i="3" s="1"/>
  <c r="BX1161" i="3"/>
  <c r="BY1161" i="3" s="1"/>
  <c r="BX1160" i="3"/>
  <c r="BY1160" i="3" s="1"/>
  <c r="BX1159" i="3"/>
  <c r="BY1159" i="3" s="1"/>
  <c r="BX1158" i="3"/>
  <c r="BY1158" i="3" s="1"/>
  <c r="BX1157" i="3"/>
  <c r="BY1157" i="3" s="1"/>
  <c r="BX1156" i="3"/>
  <c r="BY1156" i="3" s="1"/>
  <c r="BX1155" i="3"/>
  <c r="BY1155" i="3" s="1"/>
  <c r="BX1154" i="3"/>
  <c r="BY1154" i="3" s="1"/>
  <c r="BX1153" i="3"/>
  <c r="BY1153" i="3" s="1"/>
  <c r="BX1152" i="3"/>
  <c r="BY1152" i="3" s="1"/>
  <c r="BX1151" i="3"/>
  <c r="BY1151" i="3" s="1"/>
  <c r="BX1150" i="3"/>
  <c r="BY1150" i="3" s="1"/>
  <c r="BX1149" i="3"/>
  <c r="BY1149" i="3" s="1"/>
  <c r="BX1148" i="3"/>
  <c r="BY1148" i="3" s="1"/>
  <c r="BX1147" i="3"/>
  <c r="BY1147" i="3" s="1"/>
  <c r="BX1146" i="3"/>
  <c r="BY1146" i="3" s="1"/>
  <c r="BX1145" i="3"/>
  <c r="BY1145" i="3" s="1"/>
  <c r="BX1144" i="3"/>
  <c r="BY1144" i="3" s="1"/>
  <c r="BX1143" i="3"/>
  <c r="BY1143" i="3" s="1"/>
  <c r="BX1142" i="3"/>
  <c r="BY1142" i="3" s="1"/>
  <c r="BX1141" i="3"/>
  <c r="BY1141" i="3" s="1"/>
  <c r="BX1140" i="3"/>
  <c r="BY1140" i="3" s="1"/>
  <c r="BX1139" i="3"/>
  <c r="BY1139" i="3" s="1"/>
  <c r="BX1138" i="3"/>
  <c r="BY1138" i="3" s="1"/>
  <c r="BX1137" i="3"/>
  <c r="BY1137" i="3" s="1"/>
  <c r="BX1136" i="3"/>
  <c r="BY1136" i="3" s="1"/>
  <c r="BX1135" i="3"/>
  <c r="BY1135" i="3" s="1"/>
  <c r="BX1134" i="3"/>
  <c r="BY1134" i="3" s="1"/>
  <c r="BX1133" i="3"/>
  <c r="BY1133" i="3" s="1"/>
  <c r="BX1132" i="3"/>
  <c r="BY1132" i="3" s="1"/>
  <c r="BX1131" i="3"/>
  <c r="BY1131" i="3" s="1"/>
  <c r="BX1130" i="3"/>
  <c r="BY1130" i="3" s="1"/>
  <c r="BX1129" i="3"/>
  <c r="BY1129" i="3" s="1"/>
  <c r="BX1128" i="3"/>
  <c r="BY1128" i="3" s="1"/>
  <c r="BX1127" i="3"/>
  <c r="BY1127" i="3" s="1"/>
  <c r="BX1126" i="3"/>
  <c r="BY1126" i="3" s="1"/>
  <c r="BX1125" i="3"/>
  <c r="BY1125" i="3" s="1"/>
  <c r="BX1124" i="3"/>
  <c r="BY1124" i="3" s="1"/>
  <c r="BX1123" i="3"/>
  <c r="BY1123" i="3" s="1"/>
  <c r="BX1122" i="3"/>
  <c r="BY1122" i="3" s="1"/>
  <c r="BX1121" i="3"/>
  <c r="BY1121" i="3" s="1"/>
  <c r="BX1120" i="3"/>
  <c r="BY1120" i="3" s="1"/>
  <c r="BX1119" i="3"/>
  <c r="BY1119" i="3" s="1"/>
  <c r="BX1118" i="3"/>
  <c r="BY1118" i="3" s="1"/>
  <c r="BX1117" i="3"/>
  <c r="BY1117" i="3" s="1"/>
  <c r="BX1116" i="3"/>
  <c r="BY1116" i="3" s="1"/>
  <c r="BX1115" i="3"/>
  <c r="BY1115" i="3" s="1"/>
  <c r="BX1114" i="3"/>
  <c r="BY1114" i="3" s="1"/>
  <c r="BX1113" i="3"/>
  <c r="BY1113" i="3" s="1"/>
  <c r="BX1112" i="3"/>
  <c r="BY1112" i="3" s="1"/>
  <c r="BX1111" i="3"/>
  <c r="BY1111" i="3" s="1"/>
  <c r="BX1109" i="3"/>
  <c r="BY1109" i="3" s="1"/>
  <c r="BX1108" i="3"/>
  <c r="BY1108" i="3" s="1"/>
  <c r="BX1107" i="3"/>
  <c r="BY1107" i="3" s="1"/>
  <c r="BX1106" i="3"/>
  <c r="BY1106" i="3" s="1"/>
  <c r="BX1105" i="3"/>
  <c r="BY1105" i="3" s="1"/>
  <c r="BX1104" i="3"/>
  <c r="BY1104" i="3" s="1"/>
  <c r="BX1103" i="3"/>
  <c r="BY1103" i="3" s="1"/>
  <c r="BX1102" i="3"/>
  <c r="BY1102" i="3" s="1"/>
  <c r="BX1101" i="3"/>
  <c r="BY1101" i="3" s="1"/>
  <c r="BX1100" i="3"/>
  <c r="BY1100" i="3" s="1"/>
  <c r="BX1099" i="3"/>
  <c r="BY1099" i="3" s="1"/>
  <c r="BX1098" i="3"/>
  <c r="BY1098" i="3" s="1"/>
  <c r="BX1097" i="3"/>
  <c r="BY1097" i="3" s="1"/>
  <c r="BX1096" i="3"/>
  <c r="BY1096" i="3" s="1"/>
  <c r="BX1095" i="3"/>
  <c r="BY1095" i="3" s="1"/>
  <c r="BX1094" i="3"/>
  <c r="BY1094" i="3" s="1"/>
  <c r="BX1093" i="3"/>
  <c r="BY1093" i="3" s="1"/>
  <c r="BX1092" i="3"/>
  <c r="BY1092" i="3" s="1"/>
  <c r="BX1091" i="3"/>
  <c r="BY1091" i="3" s="1"/>
  <c r="BX1090" i="3"/>
  <c r="BY1090" i="3" s="1"/>
  <c r="BX1089" i="3"/>
  <c r="BY1089" i="3" s="1"/>
  <c r="BX1088" i="3"/>
  <c r="BY1088" i="3" s="1"/>
  <c r="BX1087" i="3"/>
  <c r="BY1087" i="3" s="1"/>
  <c r="BX1086" i="3"/>
  <c r="BY1086" i="3" s="1"/>
  <c r="BX1085" i="3"/>
  <c r="BY1085" i="3" s="1"/>
  <c r="BX1084" i="3"/>
  <c r="BY1084" i="3" s="1"/>
  <c r="BX1083" i="3"/>
  <c r="BY1083" i="3" s="1"/>
  <c r="BX1082" i="3"/>
  <c r="BY1082" i="3" s="1"/>
  <c r="BX1081" i="3"/>
  <c r="BY1081" i="3" s="1"/>
  <c r="BX1080" i="3"/>
  <c r="BY1080" i="3" s="1"/>
  <c r="BX1079" i="3"/>
  <c r="BY1079" i="3" s="1"/>
  <c r="BX1078" i="3"/>
  <c r="BY1078" i="3" s="1"/>
  <c r="BX1077" i="3"/>
  <c r="BY1077" i="3" s="1"/>
  <c r="BX1076" i="3"/>
  <c r="BY1076" i="3" s="1"/>
  <c r="BX1075" i="3"/>
  <c r="BY1075" i="3" s="1"/>
  <c r="BX1074" i="3"/>
  <c r="BY1074" i="3" s="1"/>
  <c r="BX1073" i="3"/>
  <c r="BY1073" i="3" s="1"/>
  <c r="BX1072" i="3"/>
  <c r="BY1072" i="3" s="1"/>
  <c r="BX1071" i="3"/>
  <c r="BY1071" i="3" s="1"/>
  <c r="BX1070" i="3"/>
  <c r="BY1070" i="3" s="1"/>
  <c r="BX1069" i="3"/>
  <c r="BY1069" i="3" s="1"/>
  <c r="BX1068" i="3"/>
  <c r="BY1068" i="3" s="1"/>
  <c r="BX1067" i="3"/>
  <c r="BY1067" i="3" s="1"/>
  <c r="BX1066" i="3"/>
  <c r="BY1066" i="3" s="1"/>
  <c r="BX1065" i="3"/>
  <c r="BY1065" i="3" s="1"/>
  <c r="BX1064" i="3"/>
  <c r="BY1064" i="3" s="1"/>
  <c r="BX1063" i="3"/>
  <c r="BY1063" i="3" s="1"/>
  <c r="BX1062" i="3"/>
  <c r="BY1062" i="3" s="1"/>
  <c r="BX1061" i="3"/>
  <c r="BY1061" i="3" s="1"/>
  <c r="BX1060" i="3"/>
  <c r="BY1060" i="3" s="1"/>
  <c r="BX1059" i="3"/>
  <c r="BY1059" i="3" s="1"/>
  <c r="BX1058" i="3"/>
  <c r="BY1058" i="3" s="1"/>
  <c r="BX1057" i="3"/>
  <c r="BY1057" i="3" s="1"/>
  <c r="BX1056" i="3"/>
  <c r="BY1056" i="3" s="1"/>
  <c r="BX1055" i="3"/>
  <c r="BY1055" i="3" s="1"/>
  <c r="BX1054" i="3"/>
  <c r="BY1054" i="3" s="1"/>
  <c r="BX1053" i="3"/>
  <c r="BY1053" i="3" s="1"/>
  <c r="BX1052" i="3"/>
  <c r="BY1052" i="3" s="1"/>
  <c r="BX1051" i="3"/>
  <c r="BY1051" i="3" s="1"/>
  <c r="BX1050" i="3"/>
  <c r="BY1050" i="3" s="1"/>
  <c r="BX1049" i="3"/>
  <c r="BY1049" i="3" s="1"/>
  <c r="BX1048" i="3"/>
  <c r="BY1048" i="3" s="1"/>
  <c r="BX1047" i="3"/>
  <c r="BY1047" i="3" s="1"/>
  <c r="BX1046" i="3"/>
  <c r="BY1046" i="3" s="1"/>
  <c r="BX1045" i="3"/>
  <c r="BY1045" i="3" s="1"/>
  <c r="BX1044" i="3"/>
  <c r="BY1044" i="3" s="1"/>
  <c r="BX1043" i="3"/>
  <c r="BY1043" i="3" s="1"/>
  <c r="BX1042" i="3"/>
  <c r="BY1042" i="3" s="1"/>
  <c r="BX1041" i="3"/>
  <c r="BY1041" i="3" s="1"/>
  <c r="BX1040" i="3"/>
  <c r="BY1040" i="3" s="1"/>
  <c r="BX1039" i="3"/>
  <c r="BY1039" i="3" s="1"/>
  <c r="BX1038" i="3"/>
  <c r="BY1038" i="3" s="1"/>
  <c r="BX1037" i="3"/>
  <c r="BY1037" i="3" s="1"/>
  <c r="BX1036" i="3"/>
  <c r="BY1036" i="3" s="1"/>
  <c r="BX1035" i="3"/>
  <c r="BY1035" i="3" s="1"/>
  <c r="BX1034" i="3"/>
  <c r="BY1034" i="3" s="1"/>
  <c r="BX1033" i="3"/>
  <c r="BY1033" i="3" s="1"/>
  <c r="BX1032" i="3"/>
  <c r="BY1032" i="3" s="1"/>
  <c r="BX1031" i="3"/>
  <c r="BY1031" i="3" s="1"/>
  <c r="BX1030" i="3"/>
  <c r="BY1030" i="3" s="1"/>
  <c r="BX1028" i="3"/>
  <c r="BY1028" i="3" s="1"/>
  <c r="BX1027" i="3"/>
  <c r="BY1027" i="3" s="1"/>
  <c r="BX1026" i="3"/>
  <c r="BY1026" i="3" s="1"/>
  <c r="BX1025" i="3"/>
  <c r="BY1025" i="3" s="1"/>
  <c r="BX1024" i="3"/>
  <c r="BY1024" i="3" s="1"/>
  <c r="BX1023" i="3"/>
  <c r="BY1023" i="3" s="1"/>
  <c r="BX1022" i="3"/>
  <c r="BY1022" i="3" s="1"/>
  <c r="BX1021" i="3"/>
  <c r="BY1021" i="3" s="1"/>
  <c r="BX1020" i="3"/>
  <c r="BY1020" i="3" s="1"/>
  <c r="BX1019" i="3"/>
  <c r="BY1019" i="3" s="1"/>
  <c r="BX1018" i="3"/>
  <c r="BY1018" i="3" s="1"/>
  <c r="BX1017" i="3"/>
  <c r="BY1017" i="3" s="1"/>
  <c r="BX1016" i="3"/>
  <c r="BY1016" i="3" s="1"/>
  <c r="BX1015" i="3"/>
  <c r="BY1015" i="3" s="1"/>
  <c r="BX1014" i="3"/>
  <c r="BY1014" i="3" s="1"/>
  <c r="BX1013" i="3"/>
  <c r="BY1013" i="3" s="1"/>
  <c r="BX1012" i="3"/>
  <c r="BY1012" i="3" s="1"/>
  <c r="BX1011" i="3"/>
  <c r="BY1011" i="3" s="1"/>
  <c r="BX1010" i="3"/>
  <c r="BY1010" i="3" s="1"/>
  <c r="BX1009" i="3"/>
  <c r="BY1009" i="3" s="1"/>
  <c r="BX1008" i="3"/>
  <c r="BY1008" i="3" s="1"/>
  <c r="BX1007" i="3"/>
  <c r="BY1007" i="3" s="1"/>
  <c r="BX1006" i="3"/>
  <c r="BY1006" i="3" s="1"/>
  <c r="BX1005" i="3"/>
  <c r="BY1005" i="3" s="1"/>
  <c r="BX1004" i="3"/>
  <c r="BY1004" i="3" s="1"/>
  <c r="BX1003" i="3"/>
  <c r="BY1003" i="3" s="1"/>
  <c r="BX1002" i="3"/>
  <c r="BY1002" i="3" s="1"/>
  <c r="BX1001" i="3"/>
  <c r="BY1001" i="3" s="1"/>
  <c r="BX1000" i="3"/>
  <c r="BY1000" i="3" s="1"/>
  <c r="BX999" i="3"/>
  <c r="BY999" i="3" s="1"/>
  <c r="BX998" i="3"/>
  <c r="BY998" i="3" s="1"/>
  <c r="BX997" i="3"/>
  <c r="BY997" i="3" s="1"/>
  <c r="BX996" i="3"/>
  <c r="BY996" i="3" s="1"/>
  <c r="BX995" i="3"/>
  <c r="BY995" i="3" s="1"/>
  <c r="BX994" i="3"/>
  <c r="BY994" i="3" s="1"/>
  <c r="BX993" i="3"/>
  <c r="BY993" i="3" s="1"/>
  <c r="BX992" i="3"/>
  <c r="BY992" i="3" s="1"/>
  <c r="BX991" i="3"/>
  <c r="BY991" i="3" s="1"/>
  <c r="BX990" i="3"/>
  <c r="BY990" i="3" s="1"/>
  <c r="BX989" i="3"/>
  <c r="BY989" i="3" s="1"/>
  <c r="BX988" i="3"/>
  <c r="BY988" i="3" s="1"/>
  <c r="BX987" i="3"/>
  <c r="BY987" i="3" s="1"/>
  <c r="BX986" i="3"/>
  <c r="BY986" i="3" s="1"/>
  <c r="BX985" i="3"/>
  <c r="BY985" i="3" s="1"/>
  <c r="BX984" i="3"/>
  <c r="BY984" i="3" s="1"/>
  <c r="BX983" i="3"/>
  <c r="BY983" i="3" s="1"/>
  <c r="BX982" i="3"/>
  <c r="BY982" i="3" s="1"/>
  <c r="BX981" i="3"/>
  <c r="BY981" i="3" s="1"/>
  <c r="BX980" i="3"/>
  <c r="BY980" i="3" s="1"/>
  <c r="BX979" i="3"/>
  <c r="BY979" i="3" s="1"/>
  <c r="BX978" i="3"/>
  <c r="BY978" i="3" s="1"/>
  <c r="BX977" i="3"/>
  <c r="BY977" i="3" s="1"/>
  <c r="BX976" i="3"/>
  <c r="BY976" i="3" s="1"/>
  <c r="BX975" i="3"/>
  <c r="BY975" i="3" s="1"/>
  <c r="BX974" i="3"/>
  <c r="BY974" i="3" s="1"/>
  <c r="BX973" i="3"/>
  <c r="BY973" i="3" s="1"/>
  <c r="BX972" i="3"/>
  <c r="BY972" i="3" s="1"/>
  <c r="BX971" i="3"/>
  <c r="BY971" i="3" s="1"/>
  <c r="BX970" i="3"/>
  <c r="BY970" i="3" s="1"/>
  <c r="BX969" i="3"/>
  <c r="BY969" i="3" s="1"/>
  <c r="BX968" i="3"/>
  <c r="BY968" i="3" s="1"/>
  <c r="BX967" i="3"/>
  <c r="BY967" i="3" s="1"/>
  <c r="BX966" i="3"/>
  <c r="BY966" i="3" s="1"/>
  <c r="BX965" i="3"/>
  <c r="BY965" i="3" s="1"/>
  <c r="BX964" i="3"/>
  <c r="BY964" i="3" s="1"/>
  <c r="BX963" i="3"/>
  <c r="BY963" i="3" s="1"/>
  <c r="BX962" i="3"/>
  <c r="BY962" i="3" s="1"/>
  <c r="BX961" i="3"/>
  <c r="BY961" i="3" s="1"/>
  <c r="BX960" i="3"/>
  <c r="BY960" i="3" s="1"/>
  <c r="BX959" i="3"/>
  <c r="BY959" i="3" s="1"/>
  <c r="BX958" i="3"/>
  <c r="BY958" i="3" s="1"/>
  <c r="BX957" i="3"/>
  <c r="BY957" i="3" s="1"/>
  <c r="BX956" i="3"/>
  <c r="BY956" i="3" s="1"/>
  <c r="BX955" i="3"/>
  <c r="BY955" i="3" s="1"/>
  <c r="BX954" i="3"/>
  <c r="BY954" i="3" s="1"/>
  <c r="BX953" i="3"/>
  <c r="BY953" i="3" s="1"/>
  <c r="BX952" i="3"/>
  <c r="BY952" i="3" s="1"/>
  <c r="BX951" i="3"/>
  <c r="BY951" i="3" s="1"/>
  <c r="BX950" i="3"/>
  <c r="BY950" i="3" s="1"/>
  <c r="BX949" i="3"/>
  <c r="BY949" i="3" s="1"/>
  <c r="BX948" i="3"/>
  <c r="BY948" i="3" s="1"/>
  <c r="BX947" i="3"/>
  <c r="BY947" i="3" s="1"/>
  <c r="BX946" i="3"/>
  <c r="BY946" i="3" s="1"/>
  <c r="BX945" i="3"/>
  <c r="BY945" i="3" s="1"/>
  <c r="BX944" i="3"/>
  <c r="BY944" i="3" s="1"/>
  <c r="BX943" i="3"/>
  <c r="BY943" i="3" s="1"/>
  <c r="BX942" i="3"/>
  <c r="BY942" i="3" s="1"/>
  <c r="BX941" i="3"/>
  <c r="BY941" i="3" s="1"/>
  <c r="BX940" i="3"/>
  <c r="BY940" i="3" s="1"/>
  <c r="BX939" i="3"/>
  <c r="BY939" i="3" s="1"/>
  <c r="BX938" i="3"/>
  <c r="BY938" i="3" s="1"/>
  <c r="BX937" i="3"/>
  <c r="BY937" i="3" s="1"/>
  <c r="BX936" i="3"/>
  <c r="BY936" i="3" s="1"/>
  <c r="BX935" i="3"/>
  <c r="BY935" i="3" s="1"/>
  <c r="BX934" i="3"/>
  <c r="BY934" i="3" s="1"/>
  <c r="BX933" i="3"/>
  <c r="BY933" i="3" s="1"/>
  <c r="BX932" i="3"/>
  <c r="BY932" i="3" s="1"/>
  <c r="BX931" i="3"/>
  <c r="BY931" i="3" s="1"/>
  <c r="BX930" i="3"/>
  <c r="BY930" i="3" s="1"/>
  <c r="BX929" i="3"/>
  <c r="BY929" i="3" s="1"/>
  <c r="BX928" i="3"/>
  <c r="BY928" i="3" s="1"/>
  <c r="BX927" i="3"/>
  <c r="BY927" i="3" s="1"/>
  <c r="BX926" i="3"/>
  <c r="BY926" i="3" s="1"/>
  <c r="BX925" i="3"/>
  <c r="BY925" i="3" s="1"/>
  <c r="BX924" i="3"/>
  <c r="BY924" i="3" s="1"/>
  <c r="BX923" i="3"/>
  <c r="BY923" i="3" s="1"/>
  <c r="BX24" i="3"/>
  <c r="BY24" i="3" s="1"/>
  <c r="BX18" i="3"/>
  <c r="BY18" i="3" s="1"/>
  <c r="BX17" i="3"/>
  <c r="BY17" i="3" s="1"/>
  <c r="BX99" i="3"/>
  <c r="BY99" i="3" s="1"/>
  <c r="BX90" i="3"/>
  <c r="BY90" i="3" s="1"/>
  <c r="BX80" i="3"/>
  <c r="BY80" i="3" s="1"/>
  <c r="BX71" i="3"/>
  <c r="BY71" i="3" s="1"/>
  <c r="BX62" i="3"/>
  <c r="BY62" i="3" s="1"/>
  <c r="BX52" i="3"/>
  <c r="BY52" i="3" s="1"/>
  <c r="BX44" i="3"/>
  <c r="BY44" i="3" s="1"/>
  <c r="BX35" i="3"/>
  <c r="BY35" i="3" s="1"/>
  <c r="BX26" i="3"/>
  <c r="BY26" i="3" s="1"/>
  <c r="BX98" i="3"/>
  <c r="BY98" i="3" s="1"/>
  <c r="BX89" i="3"/>
  <c r="BY89" i="3" s="1"/>
  <c r="BX79" i="3"/>
  <c r="BY79" i="3" s="1"/>
  <c r="BX70" i="3"/>
  <c r="BY70" i="3" s="1"/>
  <c r="BY61" i="3"/>
  <c r="BX51" i="3"/>
  <c r="BY51" i="3" s="1"/>
  <c r="BX43" i="3"/>
  <c r="BY43" i="3" s="1"/>
  <c r="BX34" i="3"/>
  <c r="BY34" i="3" s="1"/>
  <c r="BX97" i="3"/>
  <c r="BY97" i="3" s="1"/>
  <c r="BX88" i="3"/>
  <c r="BY88" i="3" s="1"/>
  <c r="BX78" i="3"/>
  <c r="BY78" i="3" s="1"/>
  <c r="BX69" i="3"/>
  <c r="BY69" i="3" s="1"/>
  <c r="BX60" i="3"/>
  <c r="BY60" i="3" s="1"/>
  <c r="BX50" i="3"/>
  <c r="BY50" i="3" s="1"/>
  <c r="BX49" i="3"/>
  <c r="BY49" i="3" s="1"/>
  <c r="BX42" i="3"/>
  <c r="BY42" i="3" s="1"/>
  <c r="BX33" i="3"/>
  <c r="BY33" i="3" s="1"/>
  <c r="BX25" i="3"/>
  <c r="BY25" i="3" s="1"/>
  <c r="BX15" i="3"/>
  <c r="BY15" i="3" s="1"/>
  <c r="BX96" i="3"/>
  <c r="BY96" i="3" s="1"/>
  <c r="BX87" i="3"/>
  <c r="BY87" i="3" s="1"/>
  <c r="BX77" i="3"/>
  <c r="BY77" i="3" s="1"/>
  <c r="BX68" i="3"/>
  <c r="BY68" i="3" s="1"/>
  <c r="BX41" i="3"/>
  <c r="BY41" i="3" s="1"/>
  <c r="BX32" i="3"/>
  <c r="BY32" i="3" s="1"/>
  <c r="BX20" i="3"/>
  <c r="BY20" i="3" s="1"/>
  <c r="BX101" i="3"/>
  <c r="BY101" i="3" s="1"/>
  <c r="BX92" i="3"/>
  <c r="BY92" i="3" s="1"/>
  <c r="BX82" i="3"/>
  <c r="BY82" i="3" s="1"/>
  <c r="BX73" i="3"/>
  <c r="BY73" i="3" s="1"/>
  <c r="BX64" i="3"/>
  <c r="BY64" i="3" s="1"/>
  <c r="BX54" i="3"/>
  <c r="BY54" i="3" s="1"/>
  <c r="BX46" i="3"/>
  <c r="BY46" i="3" s="1"/>
  <c r="BX37" i="3"/>
  <c r="BY37" i="3" s="1"/>
  <c r="BX28" i="3"/>
  <c r="BY28" i="3" s="1"/>
  <c r="BY19" i="3"/>
  <c r="BX772" i="3"/>
  <c r="BY772" i="3" s="1"/>
  <c r="BX771" i="3"/>
  <c r="BY771" i="3" s="1"/>
  <c r="BX762" i="3"/>
  <c r="BY762" i="3" s="1"/>
  <c r="BX761" i="3"/>
  <c r="BY761" i="3" s="1"/>
  <c r="BX100" i="3"/>
  <c r="BY100" i="3" s="1"/>
  <c r="BX91" i="3"/>
  <c r="BY91" i="3" s="1"/>
  <c r="BX81" i="3"/>
  <c r="BY81" i="3" s="1"/>
  <c r="BX72" i="3"/>
  <c r="BY72" i="3" s="1"/>
  <c r="BX63" i="3"/>
  <c r="BY63" i="3" s="1"/>
  <c r="BX53" i="3"/>
  <c r="BY53" i="3" s="1"/>
  <c r="BX45" i="3"/>
  <c r="BY45" i="3" s="1"/>
  <c r="BX36" i="3"/>
  <c r="BY36" i="3" s="1"/>
  <c r="BX27" i="3"/>
  <c r="BY27" i="3" s="1"/>
  <c r="BX93" i="3"/>
  <c r="BY93" i="3" s="1"/>
  <c r="BX86" i="3"/>
  <c r="BY86" i="3" s="1"/>
  <c r="BX84" i="3"/>
  <c r="BY84" i="3" s="1"/>
  <c r="BX76" i="3"/>
  <c r="BY76" i="3" s="1"/>
  <c r="BX74" i="3"/>
  <c r="BY74" i="3" s="1"/>
  <c r="BX67" i="3"/>
  <c r="BY67" i="3" s="1"/>
  <c r="BX65" i="3"/>
  <c r="BY65" i="3" s="1"/>
  <c r="BX58" i="3"/>
  <c r="BY58" i="3" s="1"/>
  <c r="BX56" i="3"/>
  <c r="BY56" i="3" s="1"/>
  <c r="BX48" i="3"/>
  <c r="BY48" i="3" s="1"/>
  <c r="BX40" i="3"/>
  <c r="BY40" i="3" s="1"/>
  <c r="BX38" i="3"/>
  <c r="BY38" i="3" s="1"/>
  <c r="BX31" i="3"/>
  <c r="BY31" i="3" s="1"/>
  <c r="BX29" i="3"/>
  <c r="BY29" i="3" s="1"/>
  <c r="BX23" i="3"/>
  <c r="BY23" i="3" s="1"/>
  <c r="BX21" i="3"/>
  <c r="BY21" i="3" s="1"/>
  <c r="BX14" i="3"/>
  <c r="BY14" i="3" s="1"/>
  <c r="BX11" i="3"/>
  <c r="BY11" i="3" s="1"/>
  <c r="BX95" i="3"/>
  <c r="BY95" i="3" s="1"/>
  <c r="BX94" i="3"/>
  <c r="BY94" i="3" s="1"/>
  <c r="BX85" i="3"/>
  <c r="BY85" i="3" s="1"/>
  <c r="BX75" i="3"/>
  <c r="BY75" i="3" s="1"/>
  <c r="BX66" i="3"/>
  <c r="BY66" i="3" s="1"/>
  <c r="BX57" i="3"/>
  <c r="BY57" i="3" s="1"/>
  <c r="BX47" i="3"/>
  <c r="BY47" i="3" s="1"/>
  <c r="BX39" i="3"/>
  <c r="BY39" i="3" s="1"/>
  <c r="BX30" i="3"/>
  <c r="BY30" i="3" s="1"/>
  <c r="BX22" i="3"/>
  <c r="BY22" i="3" s="1"/>
  <c r="BX83" i="3"/>
  <c r="BY83" i="3" s="1"/>
  <c r="BX9" i="3"/>
  <c r="BY9" i="3" s="1"/>
  <c r="BX8" i="3"/>
  <c r="BY8" i="3" s="1"/>
  <c r="BX7" i="3"/>
  <c r="BY7" i="3" s="1"/>
  <c r="BX6" i="3"/>
  <c r="BY6" i="3" s="1"/>
  <c r="BX5" i="3"/>
  <c r="BY5" i="3" s="1"/>
  <c r="BX4" i="3"/>
  <c r="BY4" i="3" s="1"/>
  <c r="BX3" i="3"/>
  <c r="BY3" i="3" s="1"/>
  <c r="BX2" i="3"/>
  <c r="BX10" i="3"/>
  <c r="BY10" i="3" s="1"/>
  <c r="BX769" i="3"/>
  <c r="BY769" i="3" s="1"/>
  <c r="BX759" i="3"/>
  <c r="BY759" i="3" s="1"/>
  <c r="BX758" i="3"/>
  <c r="BY758" i="3" s="1"/>
  <c r="BX744" i="3"/>
  <c r="BY744" i="3" s="1"/>
  <c r="BX743" i="3"/>
  <c r="BY743" i="3" s="1"/>
  <c r="BX853" i="3"/>
  <c r="BY853" i="3" s="1"/>
  <c r="BX852" i="3"/>
  <c r="BY852" i="3" s="1"/>
  <c r="BX851" i="3"/>
  <c r="BY851" i="3" s="1"/>
  <c r="BX850" i="3"/>
  <c r="BY850" i="3" s="1"/>
  <c r="BX849" i="3"/>
  <c r="BY849" i="3" s="1"/>
  <c r="BX653" i="3"/>
  <c r="BY653" i="3" s="1"/>
  <c r="BX616" i="3"/>
  <c r="BY616" i="3" s="1"/>
  <c r="BX615" i="3"/>
  <c r="BY615" i="3" s="1"/>
  <c r="BX614" i="3"/>
  <c r="BY614" i="3" s="1"/>
  <c r="BX613" i="3"/>
  <c r="BY613" i="3" s="1"/>
  <c r="BX583" i="3"/>
  <c r="BY583" i="3" s="1"/>
  <c r="BX539" i="3"/>
  <c r="BY539" i="3" s="1"/>
  <c r="BX516" i="3"/>
  <c r="BY516" i="3" s="1"/>
  <c r="BX473" i="3"/>
  <c r="BY473" i="3" s="1"/>
  <c r="BX469" i="3"/>
  <c r="BY469" i="3" s="1"/>
  <c r="BX909" i="3" l="1"/>
  <c r="BY909" i="3" s="1"/>
  <c r="BX886" i="3"/>
  <c r="BY886" i="3" s="1"/>
  <c r="BX884" i="3"/>
  <c r="BY884" i="3" s="1"/>
  <c r="BX444" i="3"/>
  <c r="BY444" i="3" s="1"/>
  <c r="BX442" i="3"/>
  <c r="BY442" i="3" s="1"/>
  <c r="BX441" i="3"/>
  <c r="BY441" i="3" s="1"/>
  <c r="BX440" i="3"/>
  <c r="BY440" i="3" s="1"/>
  <c r="BX439" i="3"/>
  <c r="BY439" i="3" s="1"/>
  <c r="BX438" i="3"/>
  <c r="BY438" i="3" s="1"/>
  <c r="BX436" i="3"/>
  <c r="BY436" i="3" s="1"/>
  <c r="BX435" i="3"/>
  <c r="BY435" i="3" s="1"/>
  <c r="BX433" i="3"/>
  <c r="BY433" i="3" s="1"/>
  <c r="BX430" i="3"/>
  <c r="BY430" i="3" s="1"/>
  <c r="BX428" i="3"/>
  <c r="BY428" i="3" s="1"/>
  <c r="BX427" i="3"/>
  <c r="BY427" i="3" s="1"/>
  <c r="BX426" i="3"/>
  <c r="BY426" i="3" s="1"/>
  <c r="BX425" i="3"/>
  <c r="BY425" i="3" s="1"/>
  <c r="BX424" i="3"/>
  <c r="BY424" i="3" s="1"/>
  <c r="BX422" i="3"/>
  <c r="BY422" i="3" s="1"/>
  <c r="BX421" i="3"/>
  <c r="BY421" i="3" s="1"/>
  <c r="BX419" i="3"/>
  <c r="BY419" i="3" s="1"/>
  <c r="BX416" i="3"/>
  <c r="BY416" i="3" s="1"/>
  <c r="BX414" i="3"/>
  <c r="BY414" i="3" s="1"/>
  <c r="BX413" i="3"/>
  <c r="BY413" i="3" s="1"/>
  <c r="BX412" i="3"/>
  <c r="BY412" i="3" s="1"/>
  <c r="BX411" i="3"/>
  <c r="BY411" i="3" s="1"/>
  <c r="BX410" i="3"/>
  <c r="BY410" i="3" s="1"/>
  <c r="BX408" i="3"/>
  <c r="BY408" i="3" s="1"/>
  <c r="BX407" i="3"/>
  <c r="BY407" i="3" s="1"/>
  <c r="BX405" i="3"/>
  <c r="BY405" i="3" s="1"/>
  <c r="BX402" i="3"/>
  <c r="BY402" i="3" s="1"/>
  <c r="BX400" i="3"/>
  <c r="BY400" i="3" s="1"/>
  <c r="BX399" i="3"/>
  <c r="BY399" i="3" s="1"/>
  <c r="BX398" i="3"/>
  <c r="BY398" i="3" s="1"/>
  <c r="BX397" i="3"/>
  <c r="BY397" i="3" s="1"/>
  <c r="BX396" i="3"/>
  <c r="BY396" i="3" s="1"/>
  <c r="BX394" i="3"/>
  <c r="BY394" i="3" s="1"/>
  <c r="BX393" i="3"/>
  <c r="BY393" i="3" s="1"/>
  <c r="BX391" i="3"/>
  <c r="BY391" i="3" s="1"/>
  <c r="BX388" i="3"/>
  <c r="BY388" i="3" s="1"/>
  <c r="BX386" i="3"/>
  <c r="BY386" i="3" s="1"/>
  <c r="BX385" i="3"/>
  <c r="BY385" i="3" s="1"/>
  <c r="BX384" i="3"/>
  <c r="BY384" i="3" s="1"/>
  <c r="BX383" i="3"/>
  <c r="BY383" i="3" s="1"/>
  <c r="BX382" i="3"/>
  <c r="BY382" i="3" s="1"/>
  <c r="BX380" i="3"/>
  <c r="BY380" i="3" s="1"/>
  <c r="BX379" i="3"/>
  <c r="BY379" i="3" s="1"/>
  <c r="BX377" i="3"/>
  <c r="BY377" i="3" s="1"/>
  <c r="BX374" i="3"/>
  <c r="BY374" i="3" s="1"/>
  <c r="BX372" i="3"/>
  <c r="BY372" i="3" s="1"/>
  <c r="BX371" i="3"/>
  <c r="BY371" i="3" s="1"/>
  <c r="BX370" i="3"/>
  <c r="BY370" i="3" s="1"/>
  <c r="BX369" i="3"/>
  <c r="BY369" i="3" s="1"/>
  <c r="BX368" i="3"/>
  <c r="BY368" i="3" s="1"/>
  <c r="BX366" i="3"/>
  <c r="BY366" i="3" s="1"/>
  <c r="BX365" i="3"/>
  <c r="BY365" i="3" s="1"/>
  <c r="BX363" i="3"/>
  <c r="BY363" i="3" s="1"/>
  <c r="BX360" i="3"/>
  <c r="BY360" i="3" s="1"/>
  <c r="BX358" i="3"/>
  <c r="BY358" i="3" s="1"/>
  <c r="BX357" i="3"/>
  <c r="BY357" i="3" s="1"/>
  <c r="BX356" i="3"/>
  <c r="BY356" i="3" s="1"/>
  <c r="BX355" i="3"/>
  <c r="BY355" i="3" s="1"/>
  <c r="BX354" i="3"/>
  <c r="BY354" i="3" s="1"/>
  <c r="BX352" i="3"/>
  <c r="BY352" i="3" s="1"/>
  <c r="BX351" i="3"/>
  <c r="BY351" i="3" s="1"/>
  <c r="BX349" i="3"/>
  <c r="BY349" i="3" s="1"/>
  <c r="BX346" i="3"/>
  <c r="BY346" i="3" s="1"/>
  <c r="BX344" i="3"/>
  <c r="BY344" i="3" s="1"/>
  <c r="BX343" i="3"/>
  <c r="BY343" i="3" s="1"/>
  <c r="BX342" i="3"/>
  <c r="BY342" i="3" s="1"/>
  <c r="BX341" i="3"/>
  <c r="BY341" i="3" s="1"/>
  <c r="BX340" i="3"/>
  <c r="BY340" i="3" s="1"/>
  <c r="BX338" i="3"/>
  <c r="BY338" i="3" s="1"/>
  <c r="BX337" i="3"/>
  <c r="BY337" i="3" s="1"/>
  <c r="BX335" i="3"/>
  <c r="BY335" i="3" s="1"/>
  <c r="BX920" i="3"/>
  <c r="BY920" i="3" s="1"/>
  <c r="BX919" i="3"/>
  <c r="BY919" i="3" s="1"/>
  <c r="BX432" i="3"/>
  <c r="BY432" i="3" s="1"/>
  <c r="BX431" i="3"/>
  <c r="BY431" i="3" s="1"/>
  <c r="BX418" i="3"/>
  <c r="BY418" i="3" s="1"/>
  <c r="BX417" i="3"/>
  <c r="BY417" i="3" s="1"/>
  <c r="BX404" i="3"/>
  <c r="BY404" i="3" s="1"/>
  <c r="BX403" i="3"/>
  <c r="BY403" i="3" s="1"/>
  <c r="BX390" i="3"/>
  <c r="BY390" i="3" s="1"/>
  <c r="BX389" i="3"/>
  <c r="BY389" i="3" s="1"/>
  <c r="BX376" i="3"/>
  <c r="BY376" i="3" s="1"/>
  <c r="BX375" i="3"/>
  <c r="BY375" i="3" s="1"/>
  <c r="BX362" i="3"/>
  <c r="BY362" i="3" s="1"/>
  <c r="BX361" i="3"/>
  <c r="BY361" i="3" s="1"/>
  <c r="BX348" i="3"/>
  <c r="BY348" i="3" s="1"/>
  <c r="BX347" i="3"/>
  <c r="BY347" i="3" s="1"/>
  <c r="BX334" i="3"/>
  <c r="BY334" i="3" s="1"/>
  <c r="BX333" i="3"/>
  <c r="BY333" i="3" s="1"/>
  <c r="BX332" i="3"/>
  <c r="BY332" i="3" s="1"/>
  <c r="BX330" i="3"/>
  <c r="BY330" i="3" s="1"/>
  <c r="BX329" i="3"/>
  <c r="BY329" i="3" s="1"/>
  <c r="BX328" i="3"/>
  <c r="BY328" i="3" s="1"/>
  <c r="BX327" i="3"/>
  <c r="BY327" i="3" s="1"/>
  <c r="BX326" i="3"/>
  <c r="BY326" i="3" s="1"/>
  <c r="BX324" i="3"/>
  <c r="BY324" i="3" s="1"/>
  <c r="BX323" i="3"/>
  <c r="BY323" i="3" s="1"/>
  <c r="BX321" i="3"/>
  <c r="BY321" i="3" s="1"/>
  <c r="BX517" i="3"/>
  <c r="BY517" i="3" s="1"/>
  <c r="BX319" i="3"/>
  <c r="BY319" i="3" s="1"/>
  <c r="BX318" i="3"/>
  <c r="BY318" i="3" s="1"/>
  <c r="BX315" i="3"/>
  <c r="BY315" i="3" s="1"/>
  <c r="BX314" i="3"/>
  <c r="BY314" i="3" s="1"/>
  <c r="BX313" i="3"/>
  <c r="BY313" i="3" s="1"/>
  <c r="BX311" i="3"/>
  <c r="BY311" i="3" s="1"/>
  <c r="BX309" i="3"/>
  <c r="BY309" i="3" s="1"/>
  <c r="BX308" i="3"/>
  <c r="BY308" i="3" s="1"/>
  <c r="BX306" i="3"/>
  <c r="BY306" i="3" s="1"/>
  <c r="BX316" i="3"/>
  <c r="BY316" i="3" s="1"/>
  <c r="BX305" i="3"/>
  <c r="BY305" i="3" s="1"/>
  <c r="BX908" i="3"/>
  <c r="BY908" i="3" s="1"/>
  <c r="BX914" i="3"/>
  <c r="BY914" i="3" s="1"/>
  <c r="EV144" i="3"/>
  <c r="BX916" i="3"/>
  <c r="BY916" i="3" s="1"/>
  <c r="BX921" i="3"/>
  <c r="BY921" i="3" s="1"/>
  <c r="BX905" i="3"/>
  <c r="BY905" i="3" s="1"/>
  <c r="BX917" i="3"/>
  <c r="BY917" i="3" s="1"/>
  <c r="BX320" i="3"/>
  <c r="BY320" i="3" s="1"/>
  <c r="BX885" i="3"/>
  <c r="BY885" i="3" s="1"/>
  <c r="BX443" i="3"/>
  <c r="BY443" i="3" s="1"/>
  <c r="BX434" i="3"/>
  <c r="BY434" i="3" s="1"/>
  <c r="BX429" i="3"/>
  <c r="BY429" i="3" s="1"/>
  <c r="BX420" i="3"/>
  <c r="BY420" i="3" s="1"/>
  <c r="BX415" i="3"/>
  <c r="BY415" i="3" s="1"/>
  <c r="BX406" i="3"/>
  <c r="BY406" i="3" s="1"/>
  <c r="BX401" i="3"/>
  <c r="BY401" i="3" s="1"/>
  <c r="BX392" i="3"/>
  <c r="BY392" i="3" s="1"/>
  <c r="BX387" i="3"/>
  <c r="BY387" i="3" s="1"/>
  <c r="BX378" i="3"/>
  <c r="BY378" i="3" s="1"/>
  <c r="BX373" i="3"/>
  <c r="BY373" i="3" s="1"/>
  <c r="BX364" i="3"/>
  <c r="BY364" i="3" s="1"/>
  <c r="BX359" i="3"/>
  <c r="BY359" i="3" s="1"/>
  <c r="BX350" i="3"/>
  <c r="BY350" i="3" s="1"/>
  <c r="BX345" i="3"/>
  <c r="BY345" i="3" s="1"/>
  <c r="BX336" i="3"/>
  <c r="BY336" i="3" s="1"/>
  <c r="BX331" i="3"/>
  <c r="BY331" i="3" s="1"/>
  <c r="BX322" i="3"/>
  <c r="BY322" i="3" s="1"/>
  <c r="BX317" i="3"/>
  <c r="BY317" i="3" s="1"/>
  <c r="BX307" i="3"/>
  <c r="BY307" i="3" s="1"/>
  <c r="BX915" i="3"/>
  <c r="BY915" i="3" s="1"/>
  <c r="BX911" i="3"/>
  <c r="BY911" i="3" s="1"/>
  <c r="BX910" i="3"/>
  <c r="BY910" i="3" s="1"/>
  <c r="BX895" i="3"/>
  <c r="BY895" i="3" s="1"/>
  <c r="BX894" i="3"/>
  <c r="BY894" i="3" s="1"/>
  <c r="BX891" i="3"/>
  <c r="BY891" i="3" s="1"/>
  <c r="BX890" i="3"/>
  <c r="BY890" i="3" s="1"/>
  <c r="BX889" i="3"/>
  <c r="BY889" i="3" s="1"/>
  <c r="BX888" i="3"/>
  <c r="BY888" i="3" s="1"/>
  <c r="BX893" i="3"/>
  <c r="BY893" i="3" s="1"/>
  <c r="BX892" i="3"/>
  <c r="BY892" i="3" s="1"/>
  <c r="BX922" i="3"/>
  <c r="BY922" i="3" s="1"/>
  <c r="BX904" i="3"/>
  <c r="BY904" i="3" s="1"/>
  <c r="BX883" i="3"/>
  <c r="BY883" i="3" s="1"/>
  <c r="BX903" i="3"/>
  <c r="BY903" i="3" s="1"/>
  <c r="BX902" i="3"/>
  <c r="BY902" i="3" s="1"/>
  <c r="BX901" i="3"/>
  <c r="BY901" i="3" s="1"/>
  <c r="BX900" i="3"/>
  <c r="BY900" i="3" s="1"/>
  <c r="BX899" i="3"/>
  <c r="BY899" i="3" s="1"/>
  <c r="BX898" i="3"/>
  <c r="BY898" i="3" s="1"/>
  <c r="BX897" i="3"/>
  <c r="BY897" i="3" s="1"/>
  <c r="BX464" i="3" l="1"/>
  <c r="BY464" i="3" s="1"/>
  <c r="BX459" i="3"/>
  <c r="BY459" i="3" s="1"/>
  <c r="BX455" i="3"/>
  <c r="BY455" i="3" s="1"/>
  <c r="BX457" i="3"/>
  <c r="BY457" i="3" s="1"/>
  <c r="BX461" i="3"/>
  <c r="BY461" i="3" s="1"/>
  <c r="BX462" i="3"/>
  <c r="BY462" i="3" s="1"/>
  <c r="BX456" i="3"/>
  <c r="BY456" i="3" s="1"/>
  <c r="BX887" i="3" l="1"/>
  <c r="BY887" i="3" s="1"/>
  <c r="BX774" i="3"/>
  <c r="BY774" i="3" s="1"/>
  <c r="BX882" i="3"/>
  <c r="BY882" i="3" s="1"/>
  <c r="BX880" i="3"/>
  <c r="BY880" i="3" s="1"/>
  <c r="BX879" i="3"/>
  <c r="BY879" i="3" s="1"/>
  <c r="BX878" i="3"/>
  <c r="BY878" i="3" s="1"/>
  <c r="BX877" i="3"/>
  <c r="BY877" i="3" s="1"/>
  <c r="BX876" i="3"/>
  <c r="BY876" i="3" s="1"/>
  <c r="BX875" i="3"/>
  <c r="BY875" i="3" s="1"/>
  <c r="BX874" i="3"/>
  <c r="BY874" i="3" s="1"/>
  <c r="BX535" i="3"/>
  <c r="BY535" i="3" s="1"/>
  <c r="BX540" i="3"/>
  <c r="BY540" i="3" s="1"/>
  <c r="BX538" i="3"/>
  <c r="BY538" i="3" s="1"/>
  <c r="BX537" i="3"/>
  <c r="BY537" i="3" s="1"/>
  <c r="BX536" i="3"/>
  <c r="BY536" i="3" s="1"/>
  <c r="BY859" i="3"/>
  <c r="BY864" i="3"/>
  <c r="BY863" i="3"/>
  <c r="BY862" i="3"/>
  <c r="BY861" i="3"/>
  <c r="BY865" i="3"/>
  <c r="BY860" i="3"/>
  <c r="BY485" i="3"/>
  <c r="BX858" i="3"/>
  <c r="BY858" i="3" s="1"/>
  <c r="BX857" i="3"/>
  <c r="BY857" i="3" s="1"/>
  <c r="BX856" i="3"/>
  <c r="BY856" i="3" s="1"/>
  <c r="BX533" i="3"/>
  <c r="BY533" i="3" s="1"/>
  <c r="DK6" i="3"/>
  <c r="DJ6" i="3"/>
  <c r="DI6" i="3"/>
  <c r="DH6" i="3"/>
  <c r="DF5" i="3"/>
  <c r="BX848" i="3"/>
  <c r="BY848" i="3" s="1"/>
  <c r="BX814" i="3" l="1"/>
  <c r="BY814" i="3" s="1"/>
  <c r="J50" i="12" l="1"/>
  <c r="J51" i="12"/>
  <c r="J52" i="12"/>
  <c r="A33" i="15"/>
  <c r="A34" i="15"/>
  <c r="A35" i="15"/>
  <c r="DF9" i="3"/>
  <c r="DH10" i="3"/>
  <c r="DI10" i="3"/>
  <c r="DJ10" i="3"/>
  <c r="DK10" i="3"/>
  <c r="E14" i="2" l="1"/>
  <c r="BX627" i="3"/>
  <c r="BY627" i="3" s="1"/>
  <c r="BX828" i="3"/>
  <c r="BY828" i="3" s="1"/>
  <c r="BX626" i="3"/>
  <c r="BY626" i="3" s="1"/>
  <c r="BX827" i="3"/>
  <c r="BY827" i="3" s="1"/>
  <c r="BX826" i="3"/>
  <c r="BY826" i="3" s="1"/>
  <c r="BX825" i="3"/>
  <c r="BY825" i="3" s="1"/>
  <c r="BX453" i="3"/>
  <c r="BY453" i="3" s="1"/>
  <c r="BX452" i="3"/>
  <c r="BY452" i="3" s="1"/>
  <c r="BX824" i="3"/>
  <c r="BY824" i="3" s="1"/>
  <c r="BX449" i="3"/>
  <c r="BY449" i="3" s="1"/>
  <c r="BX447" i="3"/>
  <c r="BY447" i="3" s="1"/>
  <c r="BX445" i="3"/>
  <c r="BY445" i="3" s="1"/>
  <c r="BX823" i="3"/>
  <c r="BY823" i="3" s="1"/>
  <c r="BX451" i="3"/>
  <c r="BY451" i="3" s="1"/>
  <c r="BX822" i="3"/>
  <c r="BY822" i="3" s="1"/>
  <c r="BX821" i="3"/>
  <c r="BY821" i="3" s="1"/>
  <c r="BX454" i="3"/>
  <c r="BY454" i="3" s="1"/>
  <c r="BX820" i="3"/>
  <c r="BY820" i="3" s="1"/>
  <c r="BX819" i="3"/>
  <c r="BY819" i="3" s="1"/>
  <c r="BX818" i="3"/>
  <c r="BY818" i="3" s="1"/>
  <c r="BX817" i="3"/>
  <c r="BY817" i="3" s="1"/>
  <c r="BX448" i="3"/>
  <c r="BY448" i="3" s="1"/>
  <c r="EU263" i="3"/>
  <c r="EV263" i="3" s="1"/>
  <c r="BX446" i="3"/>
  <c r="BY446" i="3" s="1"/>
  <c r="BX816" i="3"/>
  <c r="BY816" i="3" s="1"/>
  <c r="BX450" i="3"/>
  <c r="BY450" i="3" s="1"/>
  <c r="BX815" i="3"/>
  <c r="BY815" i="3" s="1"/>
  <c r="EV262" i="3"/>
  <c r="BX811" i="3" l="1"/>
  <c r="BY811" i="3" s="1"/>
  <c r="BX813" i="3"/>
  <c r="BY813" i="3" s="1"/>
  <c r="BX812" i="3"/>
  <c r="BY812" i="3" s="1"/>
  <c r="BX810" i="3"/>
  <c r="BY810" i="3" s="1"/>
  <c r="BX809" i="3"/>
  <c r="BY809" i="3" s="1"/>
  <c r="BX808" i="3"/>
  <c r="BY808" i="3" s="1"/>
  <c r="BX807" i="3"/>
  <c r="BY807" i="3" s="1"/>
  <c r="BX806" i="3"/>
  <c r="BY806" i="3" s="1"/>
  <c r="BX805" i="3"/>
  <c r="BY805" i="3" s="1"/>
  <c r="BX804" i="3"/>
  <c r="BY804" i="3" s="1"/>
  <c r="BX803" i="3"/>
  <c r="BY803" i="3" s="1"/>
  <c r="BX802" i="3"/>
  <c r="BY802" i="3" s="1"/>
  <c r="BX801" i="3"/>
  <c r="BY801" i="3" s="1"/>
  <c r="BX800" i="3"/>
  <c r="BY800" i="3" s="1"/>
  <c r="BX799" i="3"/>
  <c r="BY799" i="3" s="1"/>
  <c r="BX798" i="3"/>
  <c r="BY798" i="3" s="1"/>
  <c r="BX797" i="3"/>
  <c r="BY797" i="3" s="1"/>
  <c r="BX215" i="3"/>
  <c r="BY215" i="3" s="1"/>
  <c r="BX796" i="3"/>
  <c r="BY796" i="3" s="1"/>
  <c r="BX795" i="3"/>
  <c r="BY795" i="3" s="1"/>
  <c r="BX794" i="3"/>
  <c r="BY794" i="3" s="1"/>
  <c r="BX701" i="3"/>
  <c r="BY701" i="3" s="1"/>
  <c r="BX214" i="3"/>
  <c r="BY214" i="3" s="1"/>
  <c r="BX793" i="3"/>
  <c r="BY793" i="3" s="1"/>
  <c r="BX792" i="3"/>
  <c r="BY792" i="3" s="1"/>
  <c r="BX791" i="3"/>
  <c r="BY791" i="3" s="1"/>
  <c r="BX702" i="3"/>
  <c r="BY702" i="3" s="1"/>
  <c r="BX212" i="3"/>
  <c r="BY212" i="3" s="1"/>
  <c r="BX790" i="3"/>
  <c r="BY790" i="3" s="1"/>
  <c r="BX789" i="3"/>
  <c r="BY789" i="3" s="1"/>
  <c r="BX788" i="3"/>
  <c r="BY788" i="3" s="1"/>
  <c r="BX787" i="3"/>
  <c r="BY787" i="3" s="1"/>
  <c r="BX235" i="3"/>
  <c r="BY235" i="3" s="1"/>
  <c r="BX786" i="3"/>
  <c r="BY786" i="3" s="1"/>
  <c r="BX785" i="3"/>
  <c r="BY785" i="3" s="1"/>
  <c r="BX784" i="3"/>
  <c r="BY784" i="3" s="1"/>
  <c r="BX783" i="3"/>
  <c r="BY783" i="3" s="1"/>
  <c r="BX782" i="3"/>
  <c r="BY782" i="3" s="1"/>
  <c r="BX781" i="3"/>
  <c r="BY781" i="3" s="1"/>
  <c r="BX780" i="3"/>
  <c r="BY780" i="3" s="1"/>
  <c r="BX779" i="3"/>
  <c r="BY779" i="3" s="1"/>
  <c r="BX778" i="3"/>
  <c r="BY778" i="3" s="1"/>
  <c r="BX777" i="3"/>
  <c r="BY777" i="3" s="1"/>
  <c r="BX776" i="3"/>
  <c r="BY776" i="3" s="1"/>
  <c r="BX558" i="3" l="1"/>
  <c r="BY558" i="3" s="1"/>
  <c r="BX773" i="3"/>
  <c r="BY773" i="3" s="1"/>
  <c r="BX659" i="3"/>
  <c r="BY659" i="3" s="1"/>
  <c r="BX628" i="3"/>
  <c r="BY628" i="3" s="1"/>
  <c r="BX629" i="3"/>
  <c r="BY629" i="3" s="1"/>
  <c r="A37" i="16" l="1"/>
  <c r="BX770" i="3"/>
  <c r="BY770" i="3" s="1"/>
  <c r="BX767" i="3"/>
  <c r="BY767" i="3" s="1"/>
  <c r="BX768" i="3"/>
  <c r="BY768" i="3" s="1"/>
  <c r="BX766" i="3"/>
  <c r="BY766" i="3" s="1"/>
  <c r="BX745" i="3"/>
  <c r="BY745" i="3" s="1"/>
  <c r="BX765" i="3"/>
  <c r="BY765" i="3" s="1"/>
  <c r="BX764" i="3"/>
  <c r="BY764" i="3" s="1"/>
  <c r="BX763" i="3"/>
  <c r="BY763" i="3" s="1"/>
  <c r="BX751" i="3"/>
  <c r="BY751" i="3" s="1"/>
  <c r="BX760" i="3"/>
  <c r="BY760" i="3" s="1"/>
  <c r="BX757" i="3"/>
  <c r="BY757" i="3" s="1"/>
  <c r="BX756" i="3"/>
  <c r="BY756" i="3" s="1"/>
  <c r="BX755" i="3"/>
  <c r="BY755" i="3" s="1"/>
  <c r="BX754" i="3"/>
  <c r="BY754" i="3" s="1"/>
  <c r="BX753" i="3"/>
  <c r="BY753" i="3" s="1"/>
  <c r="BX750" i="3"/>
  <c r="BY750" i="3" s="1"/>
  <c r="BX749" i="3"/>
  <c r="BY749" i="3" s="1"/>
  <c r="BX748" i="3"/>
  <c r="BY748" i="3" s="1"/>
  <c r="BX747" i="3"/>
  <c r="BY747" i="3" s="1"/>
  <c r="BX746" i="3"/>
  <c r="BY746" i="3" s="1"/>
  <c r="BX742" i="3"/>
  <c r="BY742" i="3" s="1"/>
  <c r="BX741" i="3"/>
  <c r="BY741" i="3" s="1"/>
  <c r="BX740" i="3"/>
  <c r="BY740" i="3" s="1"/>
  <c r="BX546" i="3"/>
  <c r="BY546" i="3" s="1"/>
  <c r="BX545" i="3"/>
  <c r="BY545" i="3" s="1"/>
  <c r="BX544" i="3"/>
  <c r="BY544" i="3" s="1"/>
  <c r="BX543" i="3"/>
  <c r="BY543" i="3" s="1"/>
  <c r="BX542" i="3"/>
  <c r="BY542" i="3" s="1"/>
  <c r="BU27" i="3" l="1"/>
  <c r="EU241" i="3"/>
  <c r="EV241" i="3" s="1"/>
  <c r="EU240" i="3"/>
  <c r="EV240" i="3" s="1"/>
  <c r="EU175" i="3"/>
  <c r="EV175" i="3" s="1"/>
  <c r="A179" i="16"/>
  <c r="EU255" i="3"/>
  <c r="EV255" i="3" s="1"/>
  <c r="EU254" i="3"/>
  <c r="EV254" i="3" s="1"/>
  <c r="BV16" i="3" l="1"/>
  <c r="BW16" i="3" s="1"/>
  <c r="BV15" i="3"/>
  <c r="BW15" i="3" s="1"/>
  <c r="BV22" i="3"/>
  <c r="BW22" i="3" s="1"/>
  <c r="BV7" i="3"/>
  <c r="BW7" i="3" s="1"/>
  <c r="BV17" i="3"/>
  <c r="BW17" i="3" s="1"/>
  <c r="BV8" i="3"/>
  <c r="BW8" i="3" s="1"/>
  <c r="BV14" i="3"/>
  <c r="BW14" i="3" s="1"/>
  <c r="BV24" i="3"/>
  <c r="BW24" i="3" s="1"/>
  <c r="BV10" i="3"/>
  <c r="BW10" i="3" s="1"/>
  <c r="BV6" i="3"/>
  <c r="BW6" i="3" s="1"/>
  <c r="BV26" i="3"/>
  <c r="BW26" i="3" s="1"/>
  <c r="BV4" i="3"/>
  <c r="BW4" i="3" s="1"/>
  <c r="BV19" i="3"/>
  <c r="BW19" i="3" s="1"/>
  <c r="BV3" i="3"/>
  <c r="BW3" i="3" s="1"/>
  <c r="BV23" i="3"/>
  <c r="BW23" i="3" s="1"/>
  <c r="BV21" i="3"/>
  <c r="BW21" i="3" s="1"/>
  <c r="BV20" i="3"/>
  <c r="BW20" i="3" s="1"/>
  <c r="BV13" i="3"/>
  <c r="BW13" i="3" s="1"/>
  <c r="BV5" i="3"/>
  <c r="BW5" i="3" s="1"/>
  <c r="BV12" i="3"/>
  <c r="BW12" i="3" s="1"/>
  <c r="BV25" i="3"/>
  <c r="BW25" i="3" s="1"/>
  <c r="BV18" i="3"/>
  <c r="BW18" i="3" s="1"/>
  <c r="BV9" i="3"/>
  <c r="BW9" i="3" s="1"/>
  <c r="BV11" i="3"/>
  <c r="BW11" i="3" s="1"/>
  <c r="BV2" i="3"/>
  <c r="BW2" i="3" s="1"/>
  <c r="S256" i="3"/>
  <c r="U256" i="3" s="1"/>
  <c r="AX256" i="3" l="1"/>
  <c r="AY256" i="3" s="1"/>
  <c r="AZ256" i="3"/>
  <c r="EU245" i="3" l="1"/>
  <c r="EV245" i="3" s="1"/>
  <c r="A77" i="16"/>
  <c r="S329" i="3" l="1"/>
  <c r="U329" i="3" s="1"/>
  <c r="AZ329" i="3" l="1"/>
  <c r="AX329" i="3"/>
  <c r="AY329" i="3" s="1"/>
  <c r="BX739" i="3"/>
  <c r="BY739" i="3" s="1"/>
  <c r="BX738" i="3"/>
  <c r="BY738" i="3" s="1"/>
  <c r="BX737" i="3"/>
  <c r="BY737" i="3" s="1"/>
  <c r="BX736" i="3"/>
  <c r="BY736" i="3" s="1"/>
  <c r="BX735" i="3"/>
  <c r="BY735" i="3" s="1"/>
  <c r="BX734" i="3"/>
  <c r="BY734" i="3" s="1"/>
  <c r="BX733" i="3"/>
  <c r="BY733" i="3" s="1"/>
  <c r="BX732" i="3"/>
  <c r="BY732" i="3" s="1"/>
  <c r="BX731" i="3"/>
  <c r="BY731" i="3" s="1"/>
  <c r="BX730" i="3"/>
  <c r="BY730" i="3" s="1"/>
  <c r="BX729" i="3"/>
  <c r="BY729" i="3" s="1"/>
  <c r="BX728" i="3"/>
  <c r="BY728" i="3" s="1"/>
  <c r="BX727" i="3"/>
  <c r="BY727" i="3" s="1"/>
  <c r="BX726" i="3"/>
  <c r="BY726" i="3" s="1"/>
  <c r="BX725" i="3"/>
  <c r="BY725" i="3" s="1"/>
  <c r="BX724" i="3"/>
  <c r="BY724" i="3" s="1"/>
  <c r="BX723" i="3"/>
  <c r="BY723" i="3" s="1"/>
  <c r="BX722" i="3"/>
  <c r="BY722" i="3" s="1"/>
  <c r="BX721" i="3"/>
  <c r="BY721" i="3" s="1"/>
  <c r="BX514" i="3"/>
  <c r="BY514" i="3" s="1"/>
  <c r="BX513" i="3"/>
  <c r="BY513" i="3" s="1"/>
  <c r="BX512" i="3"/>
  <c r="BY512" i="3" s="1"/>
  <c r="BX511" i="3"/>
  <c r="BY511" i="3" s="1"/>
  <c r="BX510" i="3"/>
  <c r="BY510" i="3" s="1"/>
  <c r="BX509" i="3"/>
  <c r="BY509" i="3" s="1"/>
  <c r="BY720" i="3"/>
  <c r="BY465" i="3"/>
  <c r="BX710" i="3" l="1"/>
  <c r="BY710" i="3" s="1"/>
  <c r="EU42" i="3"/>
  <c r="EV42" i="3" s="1"/>
  <c r="EU43" i="3"/>
  <c r="EV43" i="3" s="1"/>
  <c r="BX709" i="3"/>
  <c r="BY709" i="3" s="1"/>
  <c r="BX708" i="3"/>
  <c r="BY708" i="3" s="1"/>
  <c r="BX597" i="3"/>
  <c r="BY597" i="3" s="1"/>
  <c r="BX677" i="3"/>
  <c r="BY677" i="3" s="1"/>
  <c r="BX678" i="3"/>
  <c r="BY678" i="3" s="1"/>
  <c r="BX679" i="3"/>
  <c r="BY679" i="3" s="1"/>
  <c r="BX705" i="3"/>
  <c r="BY705" i="3" s="1"/>
  <c r="BX707" i="3"/>
  <c r="BY707" i="3" s="1"/>
  <c r="BX706" i="3"/>
  <c r="BY706" i="3" s="1"/>
  <c r="BX704" i="3"/>
  <c r="BY704" i="3" s="1"/>
  <c r="BX703" i="3"/>
  <c r="BY703" i="3" s="1"/>
  <c r="BX699" i="3"/>
  <c r="BY699" i="3" s="1"/>
  <c r="BX700" i="3"/>
  <c r="BY700" i="3" s="1"/>
  <c r="BX210" i="3"/>
  <c r="BY210" i="3" s="1"/>
  <c r="BX239" i="3"/>
  <c r="BY239" i="3" s="1"/>
  <c r="BX231" i="3"/>
  <c r="BY231" i="3" s="1"/>
  <c r="BX225" i="3"/>
  <c r="BY225" i="3" s="1"/>
  <c r="BX218" i="3"/>
  <c r="BY218" i="3" s="1"/>
  <c r="BX216" i="3"/>
  <c r="BY216" i="3" s="1"/>
  <c r="BX234" i="3"/>
  <c r="BY234" i="3" s="1"/>
  <c r="BX244" i="3"/>
  <c r="BY244" i="3" s="1"/>
  <c r="BX220" i="3"/>
  <c r="BY220" i="3" s="1"/>
  <c r="A191" i="16" l="1"/>
  <c r="A44" i="16"/>
  <c r="B179" i="16" l="1"/>
  <c r="A698" i="14"/>
  <c r="A60" i="16"/>
  <c r="AA8" i="15" l="1"/>
  <c r="Z8" i="15"/>
  <c r="Y8" i="15"/>
  <c r="A105" i="16"/>
  <c r="EU106" i="3"/>
  <c r="EV106" i="3" s="1"/>
  <c r="EU105" i="3"/>
  <c r="EV105" i="3" s="1"/>
  <c r="A123" i="16"/>
  <c r="EU4" i="3"/>
  <c r="EV4" i="3" s="1"/>
  <c r="EU7" i="3"/>
  <c r="EV7" i="3" s="1"/>
  <c r="EU10" i="3"/>
  <c r="EV10" i="3" s="1"/>
  <c r="EU11" i="3"/>
  <c r="EV11" i="3" s="1"/>
  <c r="EU12" i="3"/>
  <c r="EV12" i="3" s="1"/>
  <c r="EU13" i="3"/>
  <c r="EV13" i="3" s="1"/>
  <c r="EU14" i="3"/>
  <c r="EV14" i="3" s="1"/>
  <c r="EU15" i="3"/>
  <c r="EV15" i="3" s="1"/>
  <c r="EU16" i="3"/>
  <c r="EV16" i="3" s="1"/>
  <c r="EU17" i="3"/>
  <c r="EV17" i="3" s="1"/>
  <c r="EU18" i="3"/>
  <c r="EV18" i="3" s="1"/>
  <c r="EU19" i="3"/>
  <c r="EV19" i="3" s="1"/>
  <c r="EU20" i="3"/>
  <c r="EV20" i="3" s="1"/>
  <c r="EU21" i="3"/>
  <c r="EV21" i="3" s="1"/>
  <c r="EU24" i="3"/>
  <c r="EV24" i="3" s="1"/>
  <c r="EU26" i="3"/>
  <c r="EV26" i="3" s="1"/>
  <c r="EU27" i="3"/>
  <c r="EV27" i="3" s="1"/>
  <c r="EU28" i="3"/>
  <c r="EV28" i="3" s="1"/>
  <c r="EU29" i="3"/>
  <c r="EV29" i="3" s="1"/>
  <c r="EV31" i="3"/>
  <c r="EV32" i="3"/>
  <c r="EV33" i="3"/>
  <c r="EV34" i="3"/>
  <c r="EV35" i="3"/>
  <c r="EU36" i="3"/>
  <c r="EV36" i="3" s="1"/>
  <c r="EU46" i="3"/>
  <c r="EV46" i="3" s="1"/>
  <c r="EU47" i="3"/>
  <c r="EV47" i="3" s="1"/>
  <c r="EU48" i="3"/>
  <c r="EV48" i="3" s="1"/>
  <c r="EU49" i="3"/>
  <c r="EV49" i="3" s="1"/>
  <c r="EU50" i="3"/>
  <c r="EV50" i="3" s="1"/>
  <c r="EU53" i="3"/>
  <c r="EV53" i="3" s="1"/>
  <c r="EU55" i="3"/>
  <c r="EV55" i="3" s="1"/>
  <c r="EU56" i="3"/>
  <c r="EV56" i="3" s="1"/>
  <c r="EU57" i="3"/>
  <c r="EV57" i="3" s="1"/>
  <c r="EU58" i="3"/>
  <c r="EV58" i="3" s="1"/>
  <c r="EU59" i="3"/>
  <c r="EV59" i="3" s="1"/>
  <c r="EU61" i="3"/>
  <c r="EV61" i="3" s="1"/>
  <c r="EU62" i="3"/>
  <c r="EV62" i="3" s="1"/>
  <c r="EU63" i="3"/>
  <c r="EV63" i="3" s="1"/>
  <c r="EU64" i="3"/>
  <c r="EV64" i="3" s="1"/>
  <c r="EV66" i="3"/>
  <c r="EV67" i="3"/>
  <c r="EV69" i="3"/>
  <c r="BX698" i="3"/>
  <c r="BY698" i="3" s="1"/>
  <c r="FQ156" i="3"/>
  <c r="EU107" i="3"/>
  <c r="EV107" i="3" s="1"/>
  <c r="BX697" i="3"/>
  <c r="BY697" i="3" s="1"/>
  <c r="BX696" i="3"/>
  <c r="BY696" i="3" s="1"/>
  <c r="BX695" i="3"/>
  <c r="BY695" i="3" s="1"/>
  <c r="BX694" i="3"/>
  <c r="BY694" i="3" s="1"/>
  <c r="BX693" i="3"/>
  <c r="BY693" i="3" s="1"/>
  <c r="BX692" i="3"/>
  <c r="BY692" i="3" s="1"/>
  <c r="BX673" i="3"/>
  <c r="BY673" i="3" s="1"/>
  <c r="BX463" i="3"/>
  <c r="BY463" i="3" s="1"/>
  <c r="EQ9" i="3" l="1"/>
  <c r="ER9" i="3" s="1"/>
  <c r="BX690" i="3"/>
  <c r="BY690" i="3" s="1"/>
  <c r="BX689" i="3"/>
  <c r="BY689" i="3" s="1"/>
  <c r="BX688" i="3"/>
  <c r="BY688" i="3" s="1"/>
  <c r="BX687" i="3"/>
  <c r="BY687" i="3" s="1"/>
  <c r="BX686" i="3"/>
  <c r="BY686" i="3" s="1"/>
  <c r="BX685" i="3"/>
  <c r="BY685" i="3" s="1"/>
  <c r="BX684" i="3"/>
  <c r="BY684" i="3" s="1"/>
  <c r="BX648" i="3"/>
  <c r="BY648" i="3" s="1"/>
  <c r="BX647" i="3"/>
  <c r="BY647" i="3" s="1"/>
  <c r="BX646" i="3"/>
  <c r="BY646" i="3" s="1"/>
  <c r="BX645" i="3"/>
  <c r="BY645" i="3" s="1"/>
  <c r="BX644" i="3"/>
  <c r="BY644" i="3" s="1"/>
  <c r="BX643" i="3"/>
  <c r="BY643" i="3" s="1"/>
  <c r="BX642" i="3"/>
  <c r="BY642" i="3" s="1"/>
  <c r="BX662" i="3"/>
  <c r="BY662" i="3" s="1"/>
  <c r="BX669" i="3"/>
  <c r="BY669" i="3" s="1"/>
  <c r="BX565" i="3"/>
  <c r="BY565" i="3" s="1"/>
  <c r="BX563" i="3"/>
  <c r="BY563" i="3" s="1"/>
  <c r="BX665" i="3"/>
  <c r="BY665" i="3" s="1"/>
  <c r="BX683" i="3"/>
  <c r="BY683" i="3" s="1"/>
  <c r="BX668" i="3"/>
  <c r="BY668" i="3" s="1"/>
  <c r="BY682" i="3"/>
  <c r="EQ37" i="3" l="1"/>
  <c r="ER37" i="3" s="1"/>
  <c r="EQ45" i="3"/>
  <c r="ER45" i="3" s="1"/>
  <c r="EQ32" i="3"/>
  <c r="ER32" i="3" s="1"/>
  <c r="EQ65" i="3"/>
  <c r="ER66" i="3" s="1"/>
  <c r="EQ63" i="3"/>
  <c r="ER64" i="3" s="1"/>
  <c r="EQ75" i="3"/>
  <c r="ER76" i="3" s="1"/>
  <c r="EQ42" i="3"/>
  <c r="ER42" i="3" s="1"/>
  <c r="EU239" i="3" l="1"/>
  <c r="EV239" i="3" s="1"/>
  <c r="EU238" i="3"/>
  <c r="EV238" i="3" s="1"/>
  <c r="EU133" i="3"/>
  <c r="EV133" i="3" s="1"/>
  <c r="EU237" i="3"/>
  <c r="EV237" i="3" s="1"/>
  <c r="BX554" i="3"/>
  <c r="BY554" i="3" s="1"/>
  <c r="BX557" i="3"/>
  <c r="BY557" i="3" s="1"/>
  <c r="BX552" i="3"/>
  <c r="BY552" i="3" s="1"/>
  <c r="BX550" i="3"/>
  <c r="BY550" i="3" s="1"/>
  <c r="BX549" i="3"/>
  <c r="BY549" i="3" s="1"/>
  <c r="BX551" i="3"/>
  <c r="BY551" i="3" s="1"/>
  <c r="BX556" i="3"/>
  <c r="BY556" i="3" s="1"/>
  <c r="BX553" i="3"/>
  <c r="BY553" i="3" s="1"/>
  <c r="BX650" i="3"/>
  <c r="BY650" i="3" s="1"/>
  <c r="BX562" i="3"/>
  <c r="BY562" i="3" s="1"/>
  <c r="BX561" i="3"/>
  <c r="BY561" i="3" s="1"/>
  <c r="BX560" i="3"/>
  <c r="BY560" i="3" s="1"/>
  <c r="BX559" i="3"/>
  <c r="BY559" i="3" s="1"/>
  <c r="EU236" i="3" l="1"/>
  <c r="EV236" i="3" s="1"/>
  <c r="EU235" i="3"/>
  <c r="EV235" i="3" s="1"/>
  <c r="EU131" i="3"/>
  <c r="EV131" i="3" s="1"/>
  <c r="EU141" i="3"/>
  <c r="EV141" i="3" s="1"/>
  <c r="BX468" i="3"/>
  <c r="BY468" i="3" s="1"/>
  <c r="A4" i="2" l="1"/>
  <c r="J28" i="2" l="1"/>
  <c r="T9" i="15"/>
  <c r="EU74" i="3" l="1"/>
  <c r="EV74" i="3" s="1"/>
  <c r="EU72" i="3" l="1"/>
  <c r="EV72" i="3" s="1"/>
  <c r="EU73" i="3"/>
  <c r="EV73" i="3" s="1"/>
  <c r="EU75" i="3"/>
  <c r="EV75" i="3" s="1"/>
  <c r="EU76" i="3"/>
  <c r="EV76" i="3" s="1"/>
  <c r="EU77" i="3"/>
  <c r="EV77" i="3" s="1"/>
  <c r="EU78" i="3"/>
  <c r="EV78" i="3" s="1"/>
  <c r="EU79" i="3"/>
  <c r="EV79" i="3" s="1"/>
  <c r="EU80" i="3"/>
  <c r="EV80" i="3" s="1"/>
  <c r="EU81" i="3"/>
  <c r="EV81" i="3" s="1"/>
  <c r="EU82" i="3"/>
  <c r="EV82" i="3" s="1"/>
  <c r="EU83" i="3"/>
  <c r="EV83" i="3" s="1"/>
  <c r="EU84" i="3"/>
  <c r="EV84" i="3" s="1"/>
  <c r="EU85" i="3"/>
  <c r="EV85" i="3" s="1"/>
  <c r="EU87" i="3"/>
  <c r="EV87" i="3" s="1"/>
  <c r="EU88" i="3"/>
  <c r="EV88" i="3" s="1"/>
  <c r="EU89" i="3"/>
  <c r="EV89" i="3" s="1"/>
  <c r="EU90" i="3"/>
  <c r="EV90" i="3" s="1"/>
  <c r="EU91" i="3"/>
  <c r="EV91" i="3" s="1"/>
  <c r="EU92" i="3"/>
  <c r="EV92" i="3" s="1"/>
  <c r="EU93" i="3"/>
  <c r="EV93" i="3" s="1"/>
  <c r="EV94" i="3"/>
  <c r="EV95" i="3"/>
  <c r="EU96" i="3"/>
  <c r="EV96" i="3" s="1"/>
  <c r="EU97" i="3"/>
  <c r="EV97" i="3" s="1"/>
  <c r="EU98" i="3"/>
  <c r="EV98" i="3" s="1"/>
  <c r="EU99" i="3"/>
  <c r="EV99" i="3" s="1"/>
  <c r="EU100" i="3"/>
  <c r="EV100" i="3" s="1"/>
  <c r="EU101" i="3"/>
  <c r="EV101" i="3" s="1"/>
  <c r="EU102" i="3"/>
  <c r="EV102" i="3" s="1"/>
  <c r="EU103" i="3"/>
  <c r="EV103" i="3" s="1"/>
  <c r="EU104" i="3"/>
  <c r="EV104" i="3" s="1"/>
  <c r="EU108" i="3"/>
  <c r="EV108" i="3" s="1"/>
  <c r="EU109" i="3"/>
  <c r="EV109" i="3" s="1"/>
  <c r="EU110" i="3"/>
  <c r="EV110" i="3" s="1"/>
  <c r="EU111" i="3"/>
  <c r="EV111" i="3" s="1"/>
  <c r="EU112" i="3"/>
  <c r="EV112" i="3" s="1"/>
  <c r="EU113" i="3"/>
  <c r="EV113" i="3" s="1"/>
  <c r="EU114" i="3"/>
  <c r="EV114" i="3" s="1"/>
  <c r="EU115" i="3"/>
  <c r="EV115" i="3" s="1"/>
  <c r="EU116" i="3"/>
  <c r="EV116" i="3" s="1"/>
  <c r="EU117" i="3"/>
  <c r="EV117" i="3" s="1"/>
  <c r="EU118" i="3"/>
  <c r="EV118" i="3" s="1"/>
  <c r="EU120" i="3"/>
  <c r="EV120" i="3" s="1"/>
  <c r="EU121" i="3"/>
  <c r="EV121" i="3" s="1"/>
  <c r="EU122" i="3"/>
  <c r="EV122" i="3" s="1"/>
  <c r="EV123" i="3"/>
  <c r="EV124" i="3"/>
  <c r="EV125" i="3"/>
  <c r="EU127" i="3"/>
  <c r="EV127" i="3" s="1"/>
  <c r="EU128" i="3"/>
  <c r="EV128" i="3" s="1"/>
  <c r="EU129" i="3"/>
  <c r="EV129" i="3" s="1"/>
  <c r="EU130" i="3"/>
  <c r="EV130" i="3" s="1"/>
  <c r="EU132" i="3"/>
  <c r="EV132" i="3" s="1"/>
  <c r="EU134" i="3"/>
  <c r="EV134" i="3" s="1"/>
  <c r="EV135" i="3"/>
  <c r="EU136" i="3"/>
  <c r="EV136" i="3" s="1"/>
  <c r="EU137" i="3"/>
  <c r="EV137" i="3" s="1"/>
  <c r="EU138" i="3"/>
  <c r="EV138" i="3" s="1"/>
  <c r="EU139" i="3"/>
  <c r="EV139" i="3" s="1"/>
  <c r="EU140" i="3"/>
  <c r="EV140" i="3" s="1"/>
  <c r="EU142" i="3"/>
  <c r="EV142" i="3" s="1"/>
  <c r="EV145" i="3"/>
  <c r="EU146" i="3"/>
  <c r="EV146" i="3" s="1"/>
  <c r="EU147" i="3"/>
  <c r="EV147" i="3" s="1"/>
  <c r="EU148" i="3"/>
  <c r="EV148" i="3" s="1"/>
  <c r="EU149" i="3"/>
  <c r="EV149" i="3" s="1"/>
  <c r="EU150" i="3"/>
  <c r="EV150" i="3" s="1"/>
  <c r="EU151" i="3"/>
  <c r="EV151" i="3" s="1"/>
  <c r="EU152" i="3"/>
  <c r="EV152" i="3" s="1"/>
  <c r="EU153" i="3"/>
  <c r="EV153" i="3" s="1"/>
  <c r="EU155" i="3"/>
  <c r="EV155" i="3" s="1"/>
  <c r="EU157" i="3"/>
  <c r="EV157" i="3" s="1"/>
  <c r="EU158" i="3"/>
  <c r="EV158" i="3" s="1"/>
  <c r="EU161" i="3"/>
  <c r="EV161" i="3" s="1"/>
  <c r="EU162" i="3"/>
  <c r="EV162" i="3" s="1"/>
  <c r="EU163" i="3"/>
  <c r="EV163" i="3" s="1"/>
  <c r="EU164" i="3"/>
  <c r="EV164" i="3" s="1"/>
  <c r="EU165" i="3"/>
  <c r="EV165" i="3" s="1"/>
  <c r="EU166" i="3"/>
  <c r="EV166" i="3" s="1"/>
  <c r="EU167" i="3"/>
  <c r="EV167" i="3" s="1"/>
  <c r="EU195" i="3"/>
  <c r="EV195" i="3" s="1"/>
  <c r="EU206" i="3"/>
  <c r="EV206" i="3" s="1"/>
  <c r="EV208" i="3"/>
  <c r="EV209" i="3"/>
  <c r="EU210" i="3"/>
  <c r="EV210" i="3" s="1"/>
  <c r="EU211" i="3"/>
  <c r="EV211" i="3" s="1"/>
  <c r="EU212" i="3"/>
  <c r="EV212" i="3" s="1"/>
  <c r="EU213" i="3"/>
  <c r="EV213" i="3" s="1"/>
  <c r="EU214" i="3"/>
  <c r="EV214" i="3" s="1"/>
  <c r="EV215" i="3"/>
  <c r="EU216" i="3"/>
  <c r="EV216" i="3" s="1"/>
  <c r="EU217" i="3"/>
  <c r="EV217" i="3" s="1"/>
  <c r="EV218" i="3"/>
  <c r="EV219" i="3"/>
  <c r="EV220" i="3"/>
  <c r="EV221" i="3"/>
  <c r="EV222" i="3"/>
  <c r="EV223" i="3"/>
  <c r="EV224" i="3"/>
  <c r="EV225" i="3"/>
  <c r="EV226" i="3"/>
  <c r="EU227" i="3"/>
  <c r="EV227" i="3" s="1"/>
  <c r="EU228" i="3"/>
  <c r="EV228" i="3" s="1"/>
  <c r="EU229" i="3"/>
  <c r="EV229" i="3" s="1"/>
  <c r="EU230" i="3"/>
  <c r="EV230" i="3" s="1"/>
  <c r="EV2" i="3" l="1"/>
  <c r="EW306" i="3" s="1"/>
  <c r="EX306" i="3" s="1"/>
  <c r="EW305" i="3" l="1"/>
  <c r="EX305" i="3" s="1"/>
  <c r="EW302" i="3"/>
  <c r="EX302" i="3" s="1"/>
  <c r="EW304" i="3"/>
  <c r="EX304" i="3" s="1"/>
  <c r="EW303" i="3"/>
  <c r="EX303" i="3" s="1"/>
  <c r="EW301" i="3"/>
  <c r="EX301" i="3" s="1"/>
  <c r="EW297" i="3"/>
  <c r="EX297" i="3" s="1"/>
  <c r="EW293" i="3"/>
  <c r="EX293" i="3" s="1"/>
  <c r="EW285" i="3"/>
  <c r="EX285" i="3" s="1"/>
  <c r="EW269" i="3"/>
  <c r="EX269" i="3" s="1"/>
  <c r="EW60" i="3"/>
  <c r="EX60" i="3" s="1"/>
  <c r="EW197" i="3"/>
  <c r="EX197" i="3" s="1"/>
  <c r="EW181" i="3"/>
  <c r="EX181" i="3" s="1"/>
  <c r="EW164" i="3"/>
  <c r="EX164" i="3" s="1"/>
  <c r="EW276" i="3"/>
  <c r="EX276" i="3" s="1"/>
  <c r="EW205" i="3"/>
  <c r="EX205" i="3" s="1"/>
  <c r="EW275" i="3"/>
  <c r="EX275" i="3" s="1"/>
  <c r="EW211" i="3"/>
  <c r="EX211" i="3" s="1"/>
  <c r="EW147" i="3"/>
  <c r="EX147" i="3" s="1"/>
  <c r="EW83" i="3"/>
  <c r="EX83" i="3" s="1"/>
  <c r="EW13" i="3"/>
  <c r="EX13" i="3" s="1"/>
  <c r="EW280" i="3"/>
  <c r="EX280" i="3" s="1"/>
  <c r="EW216" i="3"/>
  <c r="EX216" i="3" s="1"/>
  <c r="EW152" i="3"/>
  <c r="EX152" i="3" s="1"/>
  <c r="EW88" i="3"/>
  <c r="EX88" i="3" s="1"/>
  <c r="EW7" i="3"/>
  <c r="EX7" i="3" s="1"/>
  <c r="EW266" i="3"/>
  <c r="EX266" i="3" s="1"/>
  <c r="EW202" i="3"/>
  <c r="EX202" i="3" s="1"/>
  <c r="EW138" i="3"/>
  <c r="EX138" i="3" s="1"/>
  <c r="EW74" i="3"/>
  <c r="EX74" i="3" s="1"/>
  <c r="EW12" i="3"/>
  <c r="EX12" i="3" s="1"/>
  <c r="EW239" i="3"/>
  <c r="EX239" i="3" s="1"/>
  <c r="EW175" i="3"/>
  <c r="EX175" i="3" s="1"/>
  <c r="EW111" i="3"/>
  <c r="EX111" i="3" s="1"/>
  <c r="EW49" i="3"/>
  <c r="EX49" i="3" s="1"/>
  <c r="EW209" i="3"/>
  <c r="EX209" i="3" s="1"/>
  <c r="EW81" i="3"/>
  <c r="EX81" i="3" s="1"/>
  <c r="EW286" i="3"/>
  <c r="EX286" i="3" s="1"/>
  <c r="EW94" i="3"/>
  <c r="EX94" i="3" s="1"/>
  <c r="EW299" i="3"/>
  <c r="EX299" i="3" s="1"/>
  <c r="EW296" i="3"/>
  <c r="EX296" i="3" s="1"/>
  <c r="EW141" i="3"/>
  <c r="EX141" i="3" s="1"/>
  <c r="EW188" i="3"/>
  <c r="EX188" i="3" s="1"/>
  <c r="EW55" i="3"/>
  <c r="EX55" i="3" s="1"/>
  <c r="EW149" i="3"/>
  <c r="EX149" i="3" s="1"/>
  <c r="EW165" i="3"/>
  <c r="EX165" i="3" s="1"/>
  <c r="EW132" i="3"/>
  <c r="EX132" i="3" s="1"/>
  <c r="EW244" i="3"/>
  <c r="EX244" i="3" s="1"/>
  <c r="EW157" i="3"/>
  <c r="EX157" i="3" s="1"/>
  <c r="EW267" i="3"/>
  <c r="EX267" i="3" s="1"/>
  <c r="EW203" i="3"/>
  <c r="EX203" i="3" s="1"/>
  <c r="EW139" i="3"/>
  <c r="EX139" i="3" s="1"/>
  <c r="EW75" i="3"/>
  <c r="EX75" i="3" s="1"/>
  <c r="EW5" i="3"/>
  <c r="EX5" i="3" s="1"/>
  <c r="EW272" i="3"/>
  <c r="EX272" i="3" s="1"/>
  <c r="EW208" i="3"/>
  <c r="EX208" i="3" s="1"/>
  <c r="EW144" i="3"/>
  <c r="EX144" i="3" s="1"/>
  <c r="EW80" i="3"/>
  <c r="EX80" i="3" s="1"/>
  <c r="EW47" i="3"/>
  <c r="EX47" i="3" s="1"/>
  <c r="EW258" i="3"/>
  <c r="EX258" i="3" s="1"/>
  <c r="EW194" i="3"/>
  <c r="EX194" i="3" s="1"/>
  <c r="EW130" i="3"/>
  <c r="EX130" i="3" s="1"/>
  <c r="EW66" i="3"/>
  <c r="EX66" i="3" s="1"/>
  <c r="EW4" i="3"/>
  <c r="EX4" i="3" s="1"/>
  <c r="EW231" i="3"/>
  <c r="EX231" i="3" s="1"/>
  <c r="EW167" i="3"/>
  <c r="EX167" i="3" s="1"/>
  <c r="EW103" i="3"/>
  <c r="EX103" i="3" s="1"/>
  <c r="EW41" i="3"/>
  <c r="EX41" i="3" s="1"/>
  <c r="EW201" i="3"/>
  <c r="EX201" i="3" s="1"/>
  <c r="EW137" i="3"/>
  <c r="EX137" i="3" s="1"/>
  <c r="EW73" i="3"/>
  <c r="EX73" i="3" s="1"/>
  <c r="EW11" i="3"/>
  <c r="EX11" i="3" s="1"/>
  <c r="EW278" i="3"/>
  <c r="EX278" i="3" s="1"/>
  <c r="EW214" i="3"/>
  <c r="EX214" i="3" s="1"/>
  <c r="EW150" i="3"/>
  <c r="EX150" i="3" s="1"/>
  <c r="EW86" i="3"/>
  <c r="EX86" i="3" s="1"/>
  <c r="EW24" i="3"/>
  <c r="EX24" i="3" s="1"/>
  <c r="EW126" i="3"/>
  <c r="EX126" i="3" s="1"/>
  <c r="EW298" i="3"/>
  <c r="EX298" i="3" s="1"/>
  <c r="EW294" i="3"/>
  <c r="EX294" i="3" s="1"/>
  <c r="EW116" i="3"/>
  <c r="EX116" i="3" s="1"/>
  <c r="EW156" i="3"/>
  <c r="EX156" i="3" s="1"/>
  <c r="EW46" i="3"/>
  <c r="EX46" i="3" s="1"/>
  <c r="EW133" i="3"/>
  <c r="EX133" i="3" s="1"/>
  <c r="EW54" i="3"/>
  <c r="EX54" i="3" s="1"/>
  <c r="EW100" i="3"/>
  <c r="EX100" i="3" s="1"/>
  <c r="EW212" i="3"/>
  <c r="EX212" i="3" s="1"/>
  <c r="EW125" i="3"/>
  <c r="EX125" i="3" s="1"/>
  <c r="EW259" i="3"/>
  <c r="EX259" i="3" s="1"/>
  <c r="EW195" i="3"/>
  <c r="EX195" i="3" s="1"/>
  <c r="EW131" i="3"/>
  <c r="EX131" i="3" s="1"/>
  <c r="EW67" i="3"/>
  <c r="EX67" i="3" s="1"/>
  <c r="EW289" i="3"/>
  <c r="EX289" i="3" s="1"/>
  <c r="EW264" i="3"/>
  <c r="EX264" i="3" s="1"/>
  <c r="EW200" i="3"/>
  <c r="EX200" i="3" s="1"/>
  <c r="EW136" i="3"/>
  <c r="EX136" i="3" s="1"/>
  <c r="EW72" i="3"/>
  <c r="EX72" i="3" s="1"/>
  <c r="EW39" i="3"/>
  <c r="EX39" i="3" s="1"/>
  <c r="EW250" i="3"/>
  <c r="EX250" i="3" s="1"/>
  <c r="EW186" i="3"/>
  <c r="EX186" i="3" s="1"/>
  <c r="EW122" i="3"/>
  <c r="EX122" i="3" s="1"/>
  <c r="EW59" i="3"/>
  <c r="EX59" i="3" s="1"/>
  <c r="EW287" i="3"/>
  <c r="EX287" i="3" s="1"/>
  <c r="EW223" i="3"/>
  <c r="EX223" i="3" s="1"/>
  <c r="EW159" i="3"/>
  <c r="EX159" i="3" s="1"/>
  <c r="EW95" i="3"/>
  <c r="EX95" i="3" s="1"/>
  <c r="EW33" i="3"/>
  <c r="EX33" i="3" s="1"/>
  <c r="EW193" i="3"/>
  <c r="EX193" i="3" s="1"/>
  <c r="EW129" i="3"/>
  <c r="EX129" i="3" s="1"/>
  <c r="EW65" i="3"/>
  <c r="EX65" i="3" s="1"/>
  <c r="EW3" i="3"/>
  <c r="EX3" i="3" s="1"/>
  <c r="EW270" i="3"/>
  <c r="EX270" i="3" s="1"/>
  <c r="EW206" i="3"/>
  <c r="EX206" i="3" s="1"/>
  <c r="EW142" i="3"/>
  <c r="EX142" i="3" s="1"/>
  <c r="EW78" i="3"/>
  <c r="EX78" i="3" s="1"/>
  <c r="EW300" i="3"/>
  <c r="EX300" i="3" s="1"/>
  <c r="EW292" i="3"/>
  <c r="EX292" i="3" s="1"/>
  <c r="EW189" i="3"/>
  <c r="EX189" i="3" s="1"/>
  <c r="EW140" i="3"/>
  <c r="EX140" i="3" s="1"/>
  <c r="EW38" i="3"/>
  <c r="EX38" i="3" s="1"/>
  <c r="EW117" i="3"/>
  <c r="EX117" i="3" s="1"/>
  <c r="EW18" i="3"/>
  <c r="EX18" i="3" s="1"/>
  <c r="EW84" i="3"/>
  <c r="EX84" i="3" s="1"/>
  <c r="EW180" i="3"/>
  <c r="EX180" i="3" s="1"/>
  <c r="EW109" i="3"/>
  <c r="EX109" i="3" s="1"/>
  <c r="EW251" i="3"/>
  <c r="EX251" i="3" s="1"/>
  <c r="EW187" i="3"/>
  <c r="EX187" i="3" s="1"/>
  <c r="EW123" i="3"/>
  <c r="EX123" i="3" s="1"/>
  <c r="EW53" i="3"/>
  <c r="EX53" i="3" s="1"/>
  <c r="EW281" i="3"/>
  <c r="EX281" i="3" s="1"/>
  <c r="EW256" i="3"/>
  <c r="EX256" i="3" s="1"/>
  <c r="EW192" i="3"/>
  <c r="EX192" i="3" s="1"/>
  <c r="EW128" i="3"/>
  <c r="EX128" i="3" s="1"/>
  <c r="EW64" i="3"/>
  <c r="EX64" i="3" s="1"/>
  <c r="EW31" i="3"/>
  <c r="EX31" i="3" s="1"/>
  <c r="EW242" i="3"/>
  <c r="EX242" i="3" s="1"/>
  <c r="EW178" i="3"/>
  <c r="EX178" i="3" s="1"/>
  <c r="EW114" i="3"/>
  <c r="EX114" i="3" s="1"/>
  <c r="EW52" i="3"/>
  <c r="EX52" i="3" s="1"/>
  <c r="EW279" i="3"/>
  <c r="EX279" i="3" s="1"/>
  <c r="EW215" i="3"/>
  <c r="EX215" i="3" s="1"/>
  <c r="EW151" i="3"/>
  <c r="EX151" i="3" s="1"/>
  <c r="EW87" i="3"/>
  <c r="EX87" i="3" s="1"/>
  <c r="EW25" i="3"/>
  <c r="EX25" i="3" s="1"/>
  <c r="EW185" i="3"/>
  <c r="EX185" i="3" s="1"/>
  <c r="EW121" i="3"/>
  <c r="EX121" i="3" s="1"/>
  <c r="EW58" i="3"/>
  <c r="EX58" i="3" s="1"/>
  <c r="EW30" i="3"/>
  <c r="EX30" i="3" s="1"/>
  <c r="EW262" i="3"/>
  <c r="EX262" i="3" s="1"/>
  <c r="EW198" i="3"/>
  <c r="EX198" i="3" s="1"/>
  <c r="EW134" i="3"/>
  <c r="EX134" i="3" s="1"/>
  <c r="EW70" i="3"/>
  <c r="EX70" i="3" s="1"/>
  <c r="EW190" i="3"/>
  <c r="EX190" i="3" s="1"/>
  <c r="EW252" i="3"/>
  <c r="EX252" i="3" s="1"/>
  <c r="EW295" i="3"/>
  <c r="EX295" i="3" s="1"/>
  <c r="EW236" i="3"/>
  <c r="EX236" i="3" s="1"/>
  <c r="EW124" i="3"/>
  <c r="EX124" i="3" s="1"/>
  <c r="EW16" i="3"/>
  <c r="EX16" i="3" s="1"/>
  <c r="EW101" i="3"/>
  <c r="EX101" i="3" s="1"/>
  <c r="EW277" i="3"/>
  <c r="EX277" i="3" s="1"/>
  <c r="EW68" i="3"/>
  <c r="EX68" i="3" s="1"/>
  <c r="EW148" i="3"/>
  <c r="EX148" i="3" s="1"/>
  <c r="EW61" i="3"/>
  <c r="EX61" i="3" s="1"/>
  <c r="EW243" i="3"/>
  <c r="EX243" i="3" s="1"/>
  <c r="EW179" i="3"/>
  <c r="EX179" i="3" s="1"/>
  <c r="EW115" i="3"/>
  <c r="EX115" i="3" s="1"/>
  <c r="EW45" i="3"/>
  <c r="EX45" i="3" s="1"/>
  <c r="EW265" i="3"/>
  <c r="EX265" i="3" s="1"/>
  <c r="EW248" i="3"/>
  <c r="EX248" i="3" s="1"/>
  <c r="EW184" i="3"/>
  <c r="EX184" i="3" s="1"/>
  <c r="EW120" i="3"/>
  <c r="EX120" i="3" s="1"/>
  <c r="EW50" i="3"/>
  <c r="EX50" i="3" s="1"/>
  <c r="EW23" i="3"/>
  <c r="EX23" i="3" s="1"/>
  <c r="EW234" i="3"/>
  <c r="EX234" i="3" s="1"/>
  <c r="EW170" i="3"/>
  <c r="EX170" i="3" s="1"/>
  <c r="EW106" i="3"/>
  <c r="EX106" i="3" s="1"/>
  <c r="EW44" i="3"/>
  <c r="EX44" i="3" s="1"/>
  <c r="EW271" i="3"/>
  <c r="EX271" i="3" s="1"/>
  <c r="EW207" i="3"/>
  <c r="EX207" i="3" s="1"/>
  <c r="EW143" i="3"/>
  <c r="EX143" i="3" s="1"/>
  <c r="EW79" i="3"/>
  <c r="EX79" i="3" s="1"/>
  <c r="EW17" i="3"/>
  <c r="EX17" i="3" s="1"/>
  <c r="EW177" i="3"/>
  <c r="EX177" i="3" s="1"/>
  <c r="EW113" i="3"/>
  <c r="EX113" i="3" s="1"/>
  <c r="EW51" i="3"/>
  <c r="EX51" i="3" s="1"/>
  <c r="EW22" i="3"/>
  <c r="EX22" i="3" s="1"/>
  <c r="EW254" i="3"/>
  <c r="EX254" i="3" s="1"/>
  <c r="EW62" i="3"/>
  <c r="EX62" i="3" s="1"/>
  <c r="EW291" i="3"/>
  <c r="EX291" i="3" s="1"/>
  <c r="EW220" i="3"/>
  <c r="EX220" i="3" s="1"/>
  <c r="EW173" i="3"/>
  <c r="EX173" i="3" s="1"/>
  <c r="EW108" i="3"/>
  <c r="EX108" i="3" s="1"/>
  <c r="EW172" i="3"/>
  <c r="EX172" i="3" s="1"/>
  <c r="EW85" i="3"/>
  <c r="EX85" i="3" s="1"/>
  <c r="EW260" i="3"/>
  <c r="EX260" i="3" s="1"/>
  <c r="EW10" i="3"/>
  <c r="EX10" i="3" s="1"/>
  <c r="EW8" i="3"/>
  <c r="EX8" i="3" s="1"/>
  <c r="EW273" i="3"/>
  <c r="EX273" i="3" s="1"/>
  <c r="EW235" i="3"/>
  <c r="EX235" i="3" s="1"/>
  <c r="EW171" i="3"/>
  <c r="EX171" i="3" s="1"/>
  <c r="EW107" i="3"/>
  <c r="EX107" i="3" s="1"/>
  <c r="EW37" i="3"/>
  <c r="EX37" i="3" s="1"/>
  <c r="EW249" i="3"/>
  <c r="EX249" i="3" s="1"/>
  <c r="EW240" i="3"/>
  <c r="EX240" i="3" s="1"/>
  <c r="EW176" i="3"/>
  <c r="EX176" i="3" s="1"/>
  <c r="EW112" i="3"/>
  <c r="EX112" i="3" s="1"/>
  <c r="EW42" i="3"/>
  <c r="EX42" i="3" s="1"/>
  <c r="EW15" i="3"/>
  <c r="EX15" i="3" s="1"/>
  <c r="EW226" i="3"/>
  <c r="EX226" i="3" s="1"/>
  <c r="EW162" i="3"/>
  <c r="EX162" i="3" s="1"/>
  <c r="EW98" i="3"/>
  <c r="EX98" i="3" s="1"/>
  <c r="EW36" i="3"/>
  <c r="EX36" i="3" s="1"/>
  <c r="EW263" i="3"/>
  <c r="EX263" i="3" s="1"/>
  <c r="EW199" i="3"/>
  <c r="EX199" i="3" s="1"/>
  <c r="EW135" i="3"/>
  <c r="EX135" i="3" s="1"/>
  <c r="EW71" i="3"/>
  <c r="EX71" i="3" s="1"/>
  <c r="EW9" i="3"/>
  <c r="EX9" i="3" s="1"/>
  <c r="EW169" i="3"/>
  <c r="EX169" i="3" s="1"/>
  <c r="EW105" i="3"/>
  <c r="EX105" i="3" s="1"/>
  <c r="EW43" i="3"/>
  <c r="EX43" i="3" s="1"/>
  <c r="EW14" i="3"/>
  <c r="EX14" i="3" s="1"/>
  <c r="EW246" i="3"/>
  <c r="EX246" i="3" s="1"/>
  <c r="EW182" i="3"/>
  <c r="EX182" i="3" s="1"/>
  <c r="EW118" i="3"/>
  <c r="EX118" i="3" s="1"/>
  <c r="EW56" i="3"/>
  <c r="EX56" i="3" s="1"/>
  <c r="EW290" i="3"/>
  <c r="EX290" i="3" s="1"/>
  <c r="EW77" i="3"/>
  <c r="EX77" i="3" s="1"/>
  <c r="EW93" i="3"/>
  <c r="EX93" i="3" s="1"/>
  <c r="EW92" i="3"/>
  <c r="EX92" i="3" s="1"/>
  <c r="EW245" i="3"/>
  <c r="EX245" i="3" s="1"/>
  <c r="EW69" i="3"/>
  <c r="EX69" i="3" s="1"/>
  <c r="EW228" i="3"/>
  <c r="EX228" i="3" s="1"/>
  <c r="EW204" i="3"/>
  <c r="EX204" i="3" s="1"/>
  <c r="EW253" i="3"/>
  <c r="EX253" i="3" s="1"/>
  <c r="EW257" i="3"/>
  <c r="EX257" i="3" s="1"/>
  <c r="EW227" i="3"/>
  <c r="EX227" i="3" s="1"/>
  <c r="EW163" i="3"/>
  <c r="EX163" i="3" s="1"/>
  <c r="EW99" i="3"/>
  <c r="EX99" i="3" s="1"/>
  <c r="EW29" i="3"/>
  <c r="EX29" i="3" s="1"/>
  <c r="EW241" i="3"/>
  <c r="EX241" i="3" s="1"/>
  <c r="EW232" i="3"/>
  <c r="EX232" i="3" s="1"/>
  <c r="EW168" i="3"/>
  <c r="EX168" i="3" s="1"/>
  <c r="EW104" i="3"/>
  <c r="EX104" i="3" s="1"/>
  <c r="EW34" i="3"/>
  <c r="EX34" i="3" s="1"/>
  <c r="EW282" i="3"/>
  <c r="EX282" i="3" s="1"/>
  <c r="EW218" i="3"/>
  <c r="EX218" i="3" s="1"/>
  <c r="EW154" i="3"/>
  <c r="EX154" i="3" s="1"/>
  <c r="EW90" i="3"/>
  <c r="EX90" i="3" s="1"/>
  <c r="EW28" i="3"/>
  <c r="EX28" i="3" s="1"/>
  <c r="EW255" i="3"/>
  <c r="EX255" i="3" s="1"/>
  <c r="EW191" i="3"/>
  <c r="EX191" i="3" s="1"/>
  <c r="EW127" i="3"/>
  <c r="EX127" i="3" s="1"/>
  <c r="EW63" i="3"/>
  <c r="EX63" i="3" s="1"/>
  <c r="EW6" i="3"/>
  <c r="EX6" i="3" s="1"/>
  <c r="EW161" i="3"/>
  <c r="EX161" i="3" s="1"/>
  <c r="EW97" i="3"/>
  <c r="EX97" i="3" s="1"/>
  <c r="EW35" i="3"/>
  <c r="EX35" i="3" s="1"/>
  <c r="EW233" i="3"/>
  <c r="EX233" i="3" s="1"/>
  <c r="EW238" i="3"/>
  <c r="EX238" i="3" s="1"/>
  <c r="EW174" i="3"/>
  <c r="EX174" i="3" s="1"/>
  <c r="EW110" i="3"/>
  <c r="EX110" i="3" s="1"/>
  <c r="EW48" i="3"/>
  <c r="EX48" i="3" s="1"/>
  <c r="EW145" i="3"/>
  <c r="EX145" i="3" s="1"/>
  <c r="EW158" i="3"/>
  <c r="EX158" i="3" s="1"/>
  <c r="EW268" i="3"/>
  <c r="EX268" i="3" s="1"/>
  <c r="EW284" i="3"/>
  <c r="EX284" i="3" s="1"/>
  <c r="EW221" i="3"/>
  <c r="EX221" i="3" s="1"/>
  <c r="EW76" i="3"/>
  <c r="EX76" i="3" s="1"/>
  <c r="EW229" i="3"/>
  <c r="EX229" i="3" s="1"/>
  <c r="EW213" i="3"/>
  <c r="EX213" i="3" s="1"/>
  <c r="EW196" i="3"/>
  <c r="EX196" i="3" s="1"/>
  <c r="EW261" i="3"/>
  <c r="EX261" i="3" s="1"/>
  <c r="EW237" i="3"/>
  <c r="EX237" i="3" s="1"/>
  <c r="EW283" i="3"/>
  <c r="EX283" i="3" s="1"/>
  <c r="EW219" i="3"/>
  <c r="EX219" i="3" s="1"/>
  <c r="EW155" i="3"/>
  <c r="EX155" i="3" s="1"/>
  <c r="EW91" i="3"/>
  <c r="EX91" i="3" s="1"/>
  <c r="EW21" i="3"/>
  <c r="EX21" i="3" s="1"/>
  <c r="EW288" i="3"/>
  <c r="EX288" i="3" s="1"/>
  <c r="EW224" i="3"/>
  <c r="EX224" i="3" s="1"/>
  <c r="EW160" i="3"/>
  <c r="EX160" i="3" s="1"/>
  <c r="EW96" i="3"/>
  <c r="EX96" i="3" s="1"/>
  <c r="EW26" i="3"/>
  <c r="EX26" i="3" s="1"/>
  <c r="EW274" i="3"/>
  <c r="EX274" i="3" s="1"/>
  <c r="EW210" i="3"/>
  <c r="EX210" i="3" s="1"/>
  <c r="EW146" i="3"/>
  <c r="EX146" i="3" s="1"/>
  <c r="EW82" i="3"/>
  <c r="EX82" i="3" s="1"/>
  <c r="EW20" i="3"/>
  <c r="EX20" i="3" s="1"/>
  <c r="EW247" i="3"/>
  <c r="EX247" i="3" s="1"/>
  <c r="EW183" i="3"/>
  <c r="EX183" i="3" s="1"/>
  <c r="EW119" i="3"/>
  <c r="EX119" i="3" s="1"/>
  <c r="EW57" i="3"/>
  <c r="EX57" i="3" s="1"/>
  <c r="EW217" i="3"/>
  <c r="EX217" i="3" s="1"/>
  <c r="EW153" i="3"/>
  <c r="EX153" i="3" s="1"/>
  <c r="EW89" i="3"/>
  <c r="EX89" i="3" s="1"/>
  <c r="EW27" i="3"/>
  <c r="EX27" i="3" s="1"/>
  <c r="EW225" i="3"/>
  <c r="EX225" i="3" s="1"/>
  <c r="EW230" i="3"/>
  <c r="EX230" i="3" s="1"/>
  <c r="EW166" i="3"/>
  <c r="EX166" i="3" s="1"/>
  <c r="EW102" i="3"/>
  <c r="EX102" i="3" s="1"/>
  <c r="EW40" i="3"/>
  <c r="EX40" i="3" s="1"/>
  <c r="EW19" i="3"/>
  <c r="EX19" i="3" s="1"/>
  <c r="EW222" i="3"/>
  <c r="EX222" i="3" s="1"/>
  <c r="EW32" i="3"/>
  <c r="EX32" i="3" s="1"/>
  <c r="EW2" i="3"/>
  <c r="EX2" i="3" s="1"/>
  <c r="BX581" i="3"/>
  <c r="BY581" i="3" s="1"/>
  <c r="BX580" i="3"/>
  <c r="BY580" i="3" s="1"/>
  <c r="BX579" i="3"/>
  <c r="BY579" i="3" s="1"/>
  <c r="BX578" i="3"/>
  <c r="BY578" i="3" s="1"/>
  <c r="BX577" i="3"/>
  <c r="BY577" i="3" s="1"/>
  <c r="BX576" i="3"/>
  <c r="BY576" i="3" s="1"/>
  <c r="BX575" i="3"/>
  <c r="BY575" i="3" s="1"/>
  <c r="BX574" i="3"/>
  <c r="BY574" i="3" s="1"/>
  <c r="BX676" i="3"/>
  <c r="BY676" i="3" s="1"/>
  <c r="BX672" i="3"/>
  <c r="BY672" i="3" s="1"/>
  <c r="BX671" i="3"/>
  <c r="BY671" i="3" s="1"/>
  <c r="BX670" i="3"/>
  <c r="BY670" i="3" s="1"/>
  <c r="BX675" i="3"/>
  <c r="BY675" i="3" s="1"/>
  <c r="BX674" i="3"/>
  <c r="BY674" i="3" s="1"/>
  <c r="BX667" i="3"/>
  <c r="BY667" i="3" s="1"/>
  <c r="BX666" i="3"/>
  <c r="BY666" i="3" s="1"/>
  <c r="BX664" i="3"/>
  <c r="BY664" i="3" s="1"/>
  <c r="BX663" i="3"/>
  <c r="BY663" i="3" s="1"/>
  <c r="BX661" i="3"/>
  <c r="BY661" i="3" s="1"/>
  <c r="BX660" i="3"/>
  <c r="BY660" i="3" s="1"/>
  <c r="BX247" i="3"/>
  <c r="BY247" i="3" s="1"/>
  <c r="BX246" i="3"/>
  <c r="BY246" i="3" s="1"/>
  <c r="BX245" i="3"/>
  <c r="BY245" i="3" s="1"/>
  <c r="BX582" i="3"/>
  <c r="BY582" i="3" s="1"/>
  <c r="BX572" i="3"/>
  <c r="BY572" i="3" s="1"/>
  <c r="BX573" i="3"/>
  <c r="BY573" i="3" s="1"/>
  <c r="BX571" i="3"/>
  <c r="BY571" i="3" s="1"/>
  <c r="BX570" i="3"/>
  <c r="BY570" i="3" s="1"/>
  <c r="BX569" i="3"/>
  <c r="BY569" i="3" s="1"/>
  <c r="BX568" i="3"/>
  <c r="BY568" i="3" s="1"/>
  <c r="BX567" i="3"/>
  <c r="BY567" i="3" s="1"/>
  <c r="BX566" i="3"/>
  <c r="BY566" i="3" s="1"/>
  <c r="BX564" i="3"/>
  <c r="BY564" i="3" s="1"/>
  <c r="O37" i="1"/>
  <c r="DK74" i="3" l="1"/>
  <c r="DJ74" i="3"/>
  <c r="DI74" i="3"/>
  <c r="DH74" i="3"/>
  <c r="DF74" i="3"/>
  <c r="BX655" i="3"/>
  <c r="BY655" i="3" s="1"/>
  <c r="BX652" i="3"/>
  <c r="BY652" i="3" s="1"/>
  <c r="BX654" i="3"/>
  <c r="BY654" i="3" s="1"/>
  <c r="BX541" i="3"/>
  <c r="BY541" i="3" s="1"/>
  <c r="B73" i="6" l="1"/>
  <c r="F422" i="7" l="1"/>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C33" i="7"/>
  <c r="C32" i="7"/>
  <c r="C44" i="7"/>
  <c r="C43" i="7"/>
  <c r="C42" i="7"/>
  <c r="C41" i="7"/>
  <c r="C40" i="7"/>
  <c r="C39" i="7"/>
  <c r="C38" i="7"/>
  <c r="C37" i="7"/>
  <c r="C36" i="7"/>
  <c r="C35" i="7"/>
  <c r="C34" i="7"/>
  <c r="C31" i="7"/>
  <c r="C30" i="7"/>
  <c r="C29" i="7"/>
  <c r="C28" i="7"/>
  <c r="C27" i="7"/>
  <c r="C26" i="7"/>
  <c r="C25" i="7"/>
  <c r="C24" i="7"/>
  <c r="C23" i="7"/>
  <c r="C22" i="7"/>
  <c r="C21" i="7"/>
  <c r="C20" i="7"/>
  <c r="C19" i="7"/>
  <c r="C17" i="7"/>
  <c r="C16" i="7"/>
  <c r="C15" i="7"/>
  <c r="C14" i="7"/>
  <c r="C13" i="7"/>
  <c r="C139" i="13"/>
  <c r="D139" i="13"/>
  <c r="E139" i="13"/>
  <c r="F139" i="13"/>
  <c r="G139" i="13"/>
  <c r="H139" i="13"/>
  <c r="I139" i="13"/>
  <c r="J139" i="13"/>
  <c r="K139" i="13"/>
  <c r="L139" i="13"/>
  <c r="M139" i="13"/>
  <c r="N139" i="13"/>
  <c r="O139" i="13"/>
  <c r="P139" i="13"/>
  <c r="Q139" i="13"/>
  <c r="R139" i="13"/>
  <c r="S139" i="13"/>
  <c r="T139" i="13"/>
  <c r="U139" i="13"/>
  <c r="V139" i="13"/>
  <c r="C77" i="13"/>
  <c r="D77" i="13"/>
  <c r="E77" i="13"/>
  <c r="F77" i="13"/>
  <c r="G77" i="13"/>
  <c r="H77" i="13"/>
  <c r="I77" i="13"/>
  <c r="J77" i="13"/>
  <c r="K77" i="13"/>
  <c r="L77" i="13"/>
  <c r="M77" i="13"/>
  <c r="N77" i="13"/>
  <c r="O77" i="13"/>
  <c r="P77" i="13"/>
  <c r="Q77" i="13"/>
  <c r="R77" i="13"/>
  <c r="S77" i="13"/>
  <c r="T77" i="13"/>
  <c r="U77" i="13"/>
  <c r="V77" i="13"/>
  <c r="GK2" i="3"/>
  <c r="W139" i="13" l="1"/>
  <c r="W77" i="13"/>
  <c r="DV2" i="3"/>
  <c r="DF6" i="3" l="1"/>
  <c r="DH7" i="3"/>
  <c r="DI7" i="3"/>
  <c r="DJ7" i="3"/>
  <c r="DK7" i="3"/>
  <c r="BX649" i="3"/>
  <c r="BY649" i="3" s="1"/>
  <c r="DK99" i="3"/>
  <c r="DJ99" i="3"/>
  <c r="DI99" i="3"/>
  <c r="DH99" i="3"/>
  <c r="DF99" i="3"/>
  <c r="BX497" i="3" l="1"/>
  <c r="BY497" i="3" s="1"/>
  <c r="BX496" i="3"/>
  <c r="BY496" i="3" s="1"/>
  <c r="BX495" i="3"/>
  <c r="BY495" i="3" s="1"/>
  <c r="BX494" i="3"/>
  <c r="BY494" i="3" s="1"/>
  <c r="BX493" i="3"/>
  <c r="BY493" i="3" s="1"/>
  <c r="BX492" i="3"/>
  <c r="BY492" i="3" s="1"/>
  <c r="BX491" i="3"/>
  <c r="BY491" i="3" s="1"/>
  <c r="BX490" i="3"/>
  <c r="BY490" i="3" s="1"/>
  <c r="BX548" i="3"/>
  <c r="BY548" i="3" s="1"/>
  <c r="BX585" i="3"/>
  <c r="BY585" i="3" s="1"/>
  <c r="BX641" i="3"/>
  <c r="BY641" i="3" s="1"/>
  <c r="BX640" i="3"/>
  <c r="BY640" i="3" s="1"/>
  <c r="BX504" i="3"/>
  <c r="BY504" i="3" s="1"/>
  <c r="BX635" i="3"/>
  <c r="BY635" i="3" s="1"/>
  <c r="BX633" i="3"/>
  <c r="BY633" i="3" s="1"/>
  <c r="BX507" i="3"/>
  <c r="BY507" i="3" s="1"/>
  <c r="BX639" i="3"/>
  <c r="BY639" i="3" s="1"/>
  <c r="BX638" i="3"/>
  <c r="BY638" i="3" s="1"/>
  <c r="BX637" i="3"/>
  <c r="BY637" i="3" s="1"/>
  <c r="BX636" i="3"/>
  <c r="BY636" i="3" s="1"/>
  <c r="BX634" i="3"/>
  <c r="BY634" i="3" s="1"/>
  <c r="BX631" i="3"/>
  <c r="BY631" i="3" s="1"/>
  <c r="BX632" i="3"/>
  <c r="BY632" i="3" s="1"/>
  <c r="BX630" i="3"/>
  <c r="BY630" i="3" s="1"/>
  <c r="BX500" i="3"/>
  <c r="BY500" i="3" s="1"/>
  <c r="BX506" i="3"/>
  <c r="BY506" i="3" s="1"/>
  <c r="BX502" i="3"/>
  <c r="BY502" i="3" s="1"/>
  <c r="BX501" i="3"/>
  <c r="BY501" i="3" s="1"/>
  <c r="BX503" i="3"/>
  <c r="BY503" i="3" s="1"/>
  <c r="EH2" i="3" l="1"/>
  <c r="EI66" i="3" l="1"/>
  <c r="EJ66" i="3" s="1"/>
  <c r="EI68" i="3"/>
  <c r="EJ68" i="3" s="1"/>
  <c r="EI67" i="3"/>
  <c r="EJ67" i="3" s="1"/>
  <c r="EI64" i="3"/>
  <c r="EJ64" i="3" s="1"/>
  <c r="EI65" i="3"/>
  <c r="EJ65" i="3" s="1"/>
  <c r="EI63" i="3"/>
  <c r="EJ63" i="3" s="1"/>
  <c r="EI34" i="3"/>
  <c r="EJ34" i="3" s="1"/>
  <c r="EI28" i="3"/>
  <c r="EJ28" i="3" s="1"/>
  <c r="EI25" i="3"/>
  <c r="EJ25" i="3" s="1"/>
  <c r="EI22" i="3"/>
  <c r="EJ22" i="3" s="1"/>
  <c r="EI27" i="3"/>
  <c r="EJ27" i="3" s="1"/>
  <c r="EI41" i="3"/>
  <c r="EJ41" i="3" s="1"/>
  <c r="EI38" i="3"/>
  <c r="EJ38" i="3" s="1"/>
  <c r="EI53" i="3"/>
  <c r="EJ53" i="3" s="1"/>
  <c r="EI6" i="3"/>
  <c r="EJ6" i="3" s="1"/>
  <c r="EI20" i="3"/>
  <c r="EJ20" i="3" s="1"/>
  <c r="EI17" i="3"/>
  <c r="EJ17" i="3" s="1"/>
  <c r="EI14" i="3"/>
  <c r="EJ14" i="3" s="1"/>
  <c r="EI19" i="3"/>
  <c r="EJ19" i="3" s="1"/>
  <c r="EI32" i="3"/>
  <c r="EJ32" i="3" s="1"/>
  <c r="EI29" i="3"/>
  <c r="EJ29" i="3" s="1"/>
  <c r="EI45" i="3"/>
  <c r="EJ45" i="3" s="1"/>
  <c r="EI18" i="3"/>
  <c r="EJ18" i="3" s="1"/>
  <c r="EI46" i="3"/>
  <c r="EJ46" i="3" s="1"/>
  <c r="EI56" i="3"/>
  <c r="EJ56" i="3" s="1"/>
  <c r="EI36" i="3"/>
  <c r="EJ36" i="3" s="1"/>
  <c r="EI35" i="3"/>
  <c r="EJ35" i="3" s="1"/>
  <c r="EI48" i="3"/>
  <c r="EJ48" i="3" s="1"/>
  <c r="EI3" i="3"/>
  <c r="EJ3" i="3" s="1"/>
  <c r="EI12" i="3"/>
  <c r="EJ12" i="3" s="1"/>
  <c r="EI9" i="3"/>
  <c r="EJ9" i="3" s="1"/>
  <c r="EI57" i="3"/>
  <c r="EJ57" i="3" s="1"/>
  <c r="EI11" i="3"/>
  <c r="EJ11" i="3" s="1"/>
  <c r="EI24" i="3"/>
  <c r="EJ24" i="3" s="1"/>
  <c r="EI21" i="3"/>
  <c r="EJ21" i="3" s="1"/>
  <c r="EI26" i="3"/>
  <c r="EJ26" i="3" s="1"/>
  <c r="EI15" i="3"/>
  <c r="EJ15" i="3" s="1"/>
  <c r="EI42" i="3"/>
  <c r="EJ42" i="3" s="1"/>
  <c r="EI5" i="3"/>
  <c r="EJ5" i="3" s="1"/>
  <c r="EI62" i="3"/>
  <c r="EJ62" i="3" s="1"/>
  <c r="EI16" i="3"/>
  <c r="EJ16" i="3" s="1"/>
  <c r="EI13" i="3"/>
  <c r="EJ13" i="3" s="1"/>
  <c r="EI7" i="3"/>
  <c r="EJ7" i="3" s="1"/>
  <c r="EI33" i="3"/>
  <c r="EJ33" i="3" s="1"/>
  <c r="EI61" i="3"/>
  <c r="EJ61" i="3" s="1"/>
  <c r="EI58" i="3"/>
  <c r="EJ58" i="3" s="1"/>
  <c r="EI37" i="3"/>
  <c r="EJ37" i="3" s="1"/>
  <c r="EI40" i="3"/>
  <c r="EJ40" i="3" s="1"/>
  <c r="EI8" i="3"/>
  <c r="EJ8" i="3" s="1"/>
  <c r="EI43" i="3"/>
  <c r="EJ43" i="3" s="1"/>
  <c r="EI10" i="3"/>
  <c r="EJ10" i="3" s="1"/>
  <c r="EI55" i="3"/>
  <c r="EJ55" i="3" s="1"/>
  <c r="EI52" i="3"/>
  <c r="EJ52" i="3" s="1"/>
  <c r="EI49" i="3"/>
  <c r="EJ49" i="3" s="1"/>
  <c r="EI54" i="3"/>
  <c r="EJ54" i="3" s="1"/>
  <c r="EI23" i="3"/>
  <c r="EJ23" i="3" s="1"/>
  <c r="EI4" i="3"/>
  <c r="EJ4" i="3" s="1"/>
  <c r="EI59" i="3"/>
  <c r="EJ59" i="3" s="1"/>
  <c r="EI50" i="3"/>
  <c r="EJ50" i="3" s="1"/>
  <c r="EI47" i="3"/>
  <c r="EJ47" i="3" s="1"/>
  <c r="EI44" i="3"/>
  <c r="EJ44" i="3" s="1"/>
  <c r="EI39" i="3"/>
  <c r="EJ39" i="3" s="1"/>
  <c r="EI60" i="3"/>
  <c r="EJ60" i="3" s="1"/>
  <c r="EI31" i="3"/>
  <c r="EJ31" i="3" s="1"/>
  <c r="EI30" i="3"/>
  <c r="EJ30" i="3" s="1"/>
  <c r="EI51" i="3"/>
  <c r="EJ51" i="3" s="1"/>
  <c r="K28" i="2"/>
  <c r="AS13" i="13"/>
  <c r="L28" i="2"/>
  <c r="F28" i="2"/>
  <c r="BX625" i="3" l="1"/>
  <c r="BY625" i="3" s="1"/>
  <c r="EQ17" i="3" l="1"/>
  <c r="ER17" i="3" s="1"/>
  <c r="J3" i="12" l="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S32" i="1" l="1"/>
  <c r="S33" i="1"/>
  <c r="S34" i="1"/>
  <c r="S31" i="1"/>
  <c r="J2" i="12"/>
  <c r="BX610" i="3"/>
  <c r="BY610" i="3" s="1"/>
  <c r="DK89" i="3" l="1"/>
  <c r="DJ89" i="3"/>
  <c r="DI89" i="3"/>
  <c r="DH89" i="3"/>
  <c r="DF89" i="3"/>
  <c r="DK53" i="3"/>
  <c r="DJ53" i="3"/>
  <c r="DI53" i="3"/>
  <c r="DH53" i="3"/>
  <c r="DF48" i="3"/>
  <c r="DK18" i="3"/>
  <c r="DJ18" i="3"/>
  <c r="DI18" i="3"/>
  <c r="DH18" i="3"/>
  <c r="DF17" i="3"/>
  <c r="DK25" i="3"/>
  <c r="DJ25" i="3"/>
  <c r="DI25" i="3"/>
  <c r="DH25" i="3"/>
  <c r="DF24" i="3"/>
  <c r="DK16" i="3"/>
  <c r="DJ16" i="3"/>
  <c r="DI16" i="3"/>
  <c r="DH16" i="3"/>
  <c r="DF15" i="3"/>
  <c r="DK94" i="3"/>
  <c r="DJ94" i="3"/>
  <c r="DI94" i="3"/>
  <c r="DH94" i="3"/>
  <c r="DF94" i="3"/>
  <c r="DK87" i="3"/>
  <c r="DJ87" i="3"/>
  <c r="DI87" i="3"/>
  <c r="DH87" i="3"/>
  <c r="DF87" i="3"/>
  <c r="DK69" i="3"/>
  <c r="DJ69" i="3"/>
  <c r="DI69" i="3"/>
  <c r="DH69" i="3"/>
  <c r="DF68" i="3"/>
  <c r="DK4" i="3"/>
  <c r="DJ4" i="3"/>
  <c r="DI4" i="3"/>
  <c r="DH4" i="3"/>
  <c r="DF4" i="3"/>
  <c r="DK70" i="3"/>
  <c r="DJ70" i="3"/>
  <c r="DI70" i="3"/>
  <c r="DH70" i="3"/>
  <c r="DF69" i="3"/>
  <c r="DK112" i="3"/>
  <c r="DJ112" i="3"/>
  <c r="DI112" i="3"/>
  <c r="DH112" i="3"/>
  <c r="DF112" i="3"/>
  <c r="DK2" i="3"/>
  <c r="DJ2" i="3"/>
  <c r="DI2" i="3"/>
  <c r="DH2" i="3"/>
  <c r="DF2" i="3"/>
  <c r="DK109" i="3"/>
  <c r="DJ109" i="3"/>
  <c r="DI109" i="3"/>
  <c r="DH109" i="3"/>
  <c r="DF109" i="3"/>
  <c r="DK103" i="3"/>
  <c r="DJ103" i="3"/>
  <c r="DI103" i="3"/>
  <c r="DH103" i="3"/>
  <c r="DF103" i="3"/>
  <c r="DK22" i="3"/>
  <c r="DJ22" i="3"/>
  <c r="DI22" i="3"/>
  <c r="DH22" i="3"/>
  <c r="DF21" i="3"/>
  <c r="DK88" i="3"/>
  <c r="DJ88" i="3"/>
  <c r="DI88" i="3"/>
  <c r="DH88" i="3"/>
  <c r="DF88" i="3"/>
  <c r="DK130" i="3"/>
  <c r="DJ130" i="3"/>
  <c r="DI130" i="3"/>
  <c r="DH130" i="3"/>
  <c r="DF130" i="3"/>
  <c r="DK33" i="3"/>
  <c r="DJ33" i="3"/>
  <c r="DI33" i="3"/>
  <c r="DH33" i="3"/>
  <c r="DF32" i="3"/>
  <c r="DK37" i="3"/>
  <c r="DJ37" i="3"/>
  <c r="DI37" i="3"/>
  <c r="DH37" i="3"/>
  <c r="DF36" i="3"/>
  <c r="DK117" i="3"/>
  <c r="DJ117" i="3"/>
  <c r="DI117" i="3"/>
  <c r="DH117" i="3"/>
  <c r="DF117" i="3"/>
  <c r="DK73" i="3"/>
  <c r="DJ73" i="3"/>
  <c r="DI73" i="3"/>
  <c r="DH73" i="3"/>
  <c r="DF73" i="3"/>
  <c r="DK36" i="3"/>
  <c r="DJ36" i="3"/>
  <c r="DI36" i="3"/>
  <c r="DH36" i="3"/>
  <c r="DF35" i="3"/>
  <c r="DK101" i="3"/>
  <c r="DJ101" i="3"/>
  <c r="DI101" i="3"/>
  <c r="DH101" i="3"/>
  <c r="DF101" i="3"/>
  <c r="DK92" i="3"/>
  <c r="DJ92" i="3"/>
  <c r="DI92" i="3"/>
  <c r="DH92" i="3"/>
  <c r="DF92" i="3"/>
  <c r="DK65" i="3"/>
  <c r="DJ65" i="3"/>
  <c r="DI65" i="3"/>
  <c r="DH65" i="3"/>
  <c r="DF64" i="3"/>
  <c r="DK83" i="3"/>
  <c r="DJ83" i="3"/>
  <c r="DI83" i="3"/>
  <c r="DH83" i="3"/>
  <c r="DF83" i="3"/>
  <c r="DK100" i="3"/>
  <c r="DJ100" i="3"/>
  <c r="DI100" i="3"/>
  <c r="DH100" i="3"/>
  <c r="DF100" i="3"/>
  <c r="DK23" i="3"/>
  <c r="DJ23" i="3"/>
  <c r="DI23" i="3"/>
  <c r="DH23" i="3"/>
  <c r="DF22" i="3"/>
  <c r="DK113" i="3"/>
  <c r="DJ113" i="3"/>
  <c r="DI113" i="3"/>
  <c r="DH113" i="3"/>
  <c r="DF113" i="3"/>
  <c r="DK78" i="3"/>
  <c r="DJ78" i="3"/>
  <c r="DI78" i="3"/>
  <c r="DH78" i="3"/>
  <c r="DF78" i="3"/>
  <c r="DK48" i="3"/>
  <c r="DJ48" i="3"/>
  <c r="DI48" i="3"/>
  <c r="DH48" i="3"/>
  <c r="DF47" i="3"/>
  <c r="DK11" i="3"/>
  <c r="DJ11" i="3"/>
  <c r="DI11" i="3"/>
  <c r="DH11" i="3"/>
  <c r="DF10" i="3"/>
  <c r="DK116" i="3"/>
  <c r="DJ116" i="3"/>
  <c r="DI116" i="3"/>
  <c r="DH116" i="3"/>
  <c r="DF116" i="3"/>
  <c r="DK106" i="3"/>
  <c r="DJ106" i="3"/>
  <c r="DI106" i="3"/>
  <c r="DH106" i="3"/>
  <c r="DF106" i="3"/>
  <c r="DK28" i="3"/>
  <c r="DJ28" i="3"/>
  <c r="DI28" i="3"/>
  <c r="DH28" i="3"/>
  <c r="DF27" i="3"/>
  <c r="DK77" i="3"/>
  <c r="DJ77" i="3"/>
  <c r="DI77" i="3"/>
  <c r="DH77" i="3"/>
  <c r="DF77" i="3"/>
  <c r="DK96" i="3"/>
  <c r="DJ96" i="3"/>
  <c r="DI96" i="3"/>
  <c r="DH96" i="3"/>
  <c r="DF96" i="3"/>
  <c r="DK91" i="3"/>
  <c r="DJ91" i="3"/>
  <c r="DI91" i="3"/>
  <c r="DH91" i="3"/>
  <c r="DF91" i="3"/>
  <c r="DF71" i="3"/>
  <c r="DF7" i="3"/>
  <c r="DF8" i="3"/>
  <c r="DF11" i="3"/>
  <c r="DF12" i="3"/>
  <c r="DF13" i="3"/>
  <c r="DF14" i="3"/>
  <c r="DF16" i="3"/>
  <c r="DF18" i="3"/>
  <c r="DF19" i="3"/>
  <c r="DF20" i="3"/>
  <c r="DF23" i="3"/>
  <c r="DF25" i="3"/>
  <c r="DF28" i="3"/>
  <c r="DF29" i="3"/>
  <c r="DF30" i="3"/>
  <c r="DF31" i="3"/>
  <c r="DF34" i="3"/>
  <c r="DF37" i="3"/>
  <c r="DF38" i="3"/>
  <c r="DF39" i="3"/>
  <c r="DF40" i="3"/>
  <c r="DF41" i="3"/>
  <c r="DF42" i="3"/>
  <c r="DF43" i="3"/>
  <c r="DF33" i="3"/>
  <c r="DF44" i="3"/>
  <c r="DF45" i="3"/>
  <c r="DF51" i="3"/>
  <c r="DF52" i="3"/>
  <c r="DF53" i="3"/>
  <c r="DF54" i="3"/>
  <c r="DF55" i="3"/>
  <c r="DF56" i="3"/>
  <c r="DF57" i="3"/>
  <c r="DF58" i="3"/>
  <c r="DF59" i="3"/>
  <c r="DF60" i="3"/>
  <c r="DF61" i="3"/>
  <c r="DF63" i="3"/>
  <c r="DF65" i="3"/>
  <c r="DF66" i="3"/>
  <c r="DF67" i="3"/>
  <c r="DF72" i="3"/>
  <c r="DF76" i="3"/>
  <c r="DF70" i="3"/>
  <c r="DF79" i="3"/>
  <c r="DF80" i="3"/>
  <c r="DF81" i="3"/>
  <c r="DF82" i="3"/>
  <c r="DF84" i="3"/>
  <c r="DF85" i="3"/>
  <c r="DF86" i="3"/>
  <c r="DF90" i="3"/>
  <c r="DF93" i="3"/>
  <c r="DF95" i="3"/>
  <c r="DF97" i="3"/>
  <c r="DF98" i="3"/>
  <c r="DF102" i="3"/>
  <c r="DF104" i="3"/>
  <c r="DF105" i="3"/>
  <c r="DF107" i="3"/>
  <c r="DF108" i="3"/>
  <c r="DF110" i="3"/>
  <c r="DF111" i="3"/>
  <c r="DF114" i="3"/>
  <c r="DF115" i="3"/>
  <c r="DF118" i="3"/>
  <c r="DF119" i="3"/>
  <c r="DF120" i="3"/>
  <c r="DF121" i="3"/>
  <c r="DF122" i="3"/>
  <c r="DF123" i="3"/>
  <c r="DF124" i="3"/>
  <c r="DF125" i="3"/>
  <c r="DF129" i="3"/>
  <c r="DF126" i="3"/>
  <c r="DF127" i="3"/>
  <c r="DF131" i="3"/>
  <c r="DF132" i="3"/>
  <c r="DK55" i="3"/>
  <c r="DJ55" i="3"/>
  <c r="DI55" i="3"/>
  <c r="DH55" i="3"/>
  <c r="DK120" i="3"/>
  <c r="DJ120" i="3"/>
  <c r="DI120" i="3"/>
  <c r="DH120" i="3"/>
  <c r="DK132" i="3" l="1"/>
  <c r="DJ132" i="3"/>
  <c r="DI132" i="3"/>
  <c r="DH132" i="3"/>
  <c r="BX611" i="3" l="1"/>
  <c r="BY611" i="3" s="1"/>
  <c r="BX203" i="3"/>
  <c r="BY203" i="3" s="1"/>
  <c r="J47" i="15" l="1"/>
  <c r="J48" i="15"/>
  <c r="J49" i="15"/>
  <c r="G47" i="15"/>
  <c r="G48" i="15"/>
  <c r="G49" i="15"/>
  <c r="E47" i="15"/>
  <c r="E48" i="15"/>
  <c r="E49" i="15"/>
  <c r="I49" i="15"/>
  <c r="I48" i="15"/>
  <c r="I47" i="15"/>
  <c r="J46" i="15"/>
  <c r="G46" i="15"/>
  <c r="E46" i="15"/>
  <c r="I3" i="2" l="1"/>
  <c r="B62" i="6"/>
  <c r="BX609" i="3" l="1"/>
  <c r="BY609" i="3" s="1"/>
  <c r="BX530" i="3"/>
  <c r="BY530" i="3" s="1"/>
  <c r="BX527" i="3"/>
  <c r="BY527" i="3" s="1"/>
  <c r="BX521" i="3"/>
  <c r="BY521" i="3" s="1"/>
  <c r="BX598" i="3" l="1"/>
  <c r="BY598" i="3" s="1"/>
  <c r="BX596" i="3"/>
  <c r="BY596" i="3" s="1"/>
  <c r="BX595" i="3"/>
  <c r="BY595" i="3" s="1"/>
  <c r="BX594" i="3"/>
  <c r="BY594" i="3" s="1"/>
  <c r="BX593" i="3"/>
  <c r="BY593" i="3" s="1"/>
  <c r="BX592" i="3"/>
  <c r="BY592" i="3" s="1"/>
  <c r="BX591" i="3"/>
  <c r="BY591" i="3" s="1"/>
  <c r="BX590" i="3"/>
  <c r="BY590" i="3" s="1"/>
  <c r="BX589" i="3"/>
  <c r="BY589" i="3" s="1"/>
  <c r="BX588" i="3"/>
  <c r="BY588" i="3" s="1"/>
  <c r="BX587" i="3"/>
  <c r="BY587" i="3" s="1"/>
  <c r="BX586" i="3"/>
  <c r="BY586" i="3" s="1"/>
  <c r="ER2" i="3" l="1"/>
  <c r="ES21" i="3" l="1"/>
  <c r="ET21" i="3" s="1"/>
  <c r="ES11" i="3"/>
  <c r="ET11" i="3" s="1"/>
  <c r="ES47" i="3"/>
  <c r="ET47" i="3" s="1"/>
  <c r="ES32" i="3"/>
  <c r="ET32" i="3" s="1"/>
  <c r="ES62" i="3"/>
  <c r="ET62" i="3" s="1"/>
  <c r="ES17" i="3"/>
  <c r="ET17" i="3" s="1"/>
  <c r="ES69" i="3"/>
  <c r="ET69" i="3" s="1"/>
  <c r="ES40" i="3"/>
  <c r="ET40" i="3" s="1"/>
  <c r="ES36" i="3"/>
  <c r="ET36" i="3" s="1"/>
  <c r="ES14" i="3"/>
  <c r="ET14" i="3" s="1"/>
  <c r="ES4" i="3"/>
  <c r="ET4" i="3" s="1"/>
  <c r="ES20" i="3"/>
  <c r="ET20" i="3" s="1"/>
  <c r="ES55" i="3"/>
  <c r="ET55" i="3" s="1"/>
  <c r="ES6" i="3"/>
  <c r="ET6" i="3" s="1"/>
  <c r="ES51" i="3"/>
  <c r="ET51" i="3" s="1"/>
  <c r="ES77" i="3"/>
  <c r="ET77" i="3" s="1"/>
  <c r="ES53" i="3"/>
  <c r="ET53" i="3" s="1"/>
  <c r="ES72" i="3"/>
  <c r="ET72" i="3" s="1"/>
  <c r="ES52" i="3"/>
  <c r="ET52" i="3" s="1"/>
  <c r="ES43" i="3"/>
  <c r="ET43" i="3" s="1"/>
  <c r="ES70" i="3"/>
  <c r="ET70" i="3" s="1"/>
  <c r="ES34" i="3"/>
  <c r="ET34" i="3" s="1"/>
  <c r="ES16" i="3"/>
  <c r="ET16" i="3" s="1"/>
  <c r="ES5" i="3"/>
  <c r="ET5" i="3" s="1"/>
  <c r="ES25" i="3"/>
  <c r="ET25" i="3" s="1"/>
  <c r="ES64" i="3"/>
  <c r="ET64" i="3" s="1"/>
  <c r="ES18" i="3"/>
  <c r="ET18" i="3" s="1"/>
  <c r="ES26" i="3"/>
  <c r="ET26" i="3" s="1"/>
  <c r="ES59" i="3"/>
  <c r="ET59" i="3" s="1"/>
  <c r="ES61" i="3"/>
  <c r="ET61" i="3" s="1"/>
  <c r="ES74" i="3"/>
  <c r="ET74" i="3" s="1"/>
  <c r="ES67" i="3"/>
  <c r="ET67" i="3" s="1"/>
  <c r="ES8" i="3"/>
  <c r="ET8" i="3" s="1"/>
  <c r="ES9" i="3"/>
  <c r="ET9" i="3" s="1"/>
  <c r="ES56" i="3"/>
  <c r="ET56" i="3" s="1"/>
  <c r="ES65" i="3"/>
  <c r="ET65" i="3" s="1"/>
  <c r="ES27" i="3"/>
  <c r="ET27" i="3" s="1"/>
  <c r="ES13" i="3"/>
  <c r="ET13" i="3" s="1"/>
  <c r="ES12" i="3"/>
  <c r="ET12" i="3" s="1"/>
  <c r="ES57" i="3"/>
  <c r="ET57" i="3" s="1"/>
  <c r="ES29" i="3"/>
  <c r="ET29" i="3" s="1"/>
  <c r="ES46" i="3"/>
  <c r="ET46" i="3" s="1"/>
  <c r="ES44" i="3"/>
  <c r="ET44" i="3" s="1"/>
  <c r="ES58" i="3"/>
  <c r="ET58" i="3" s="1"/>
  <c r="ES50" i="3"/>
  <c r="ET50" i="3" s="1"/>
  <c r="ES78" i="3"/>
  <c r="ET78" i="3" s="1"/>
  <c r="ES71" i="3"/>
  <c r="ET71" i="3" s="1"/>
  <c r="ES22" i="3"/>
  <c r="ET22" i="3" s="1"/>
  <c r="ES23" i="3"/>
  <c r="ET23" i="3" s="1"/>
  <c r="ES76" i="3"/>
  <c r="ET76" i="3" s="1"/>
  <c r="ES37" i="3"/>
  <c r="ET37" i="3" s="1"/>
  <c r="ES19" i="3"/>
  <c r="ET19" i="3" s="1"/>
  <c r="ES30" i="3"/>
  <c r="ET30" i="3" s="1"/>
  <c r="ES38" i="3"/>
  <c r="ET38" i="3" s="1"/>
  <c r="ES42" i="3"/>
  <c r="ET42" i="3" s="1"/>
  <c r="ES48" i="3"/>
  <c r="ET48" i="3" s="1"/>
  <c r="ES24" i="3"/>
  <c r="ET24" i="3" s="1"/>
  <c r="ES49" i="3"/>
  <c r="ET49" i="3" s="1"/>
  <c r="ES28" i="3"/>
  <c r="ET28" i="3" s="1"/>
  <c r="ES68" i="3"/>
  <c r="ET68" i="3" s="1"/>
  <c r="ES63" i="3"/>
  <c r="ET63" i="3" s="1"/>
  <c r="ES75" i="3"/>
  <c r="ET75" i="3" s="1"/>
  <c r="ES3" i="3"/>
  <c r="ET3" i="3" s="1"/>
  <c r="ES60" i="3"/>
  <c r="ET60" i="3" s="1"/>
  <c r="ES15" i="3"/>
  <c r="ET15" i="3" s="1"/>
  <c r="ES66" i="3"/>
  <c r="ET66" i="3" s="1"/>
  <c r="ES41" i="3"/>
  <c r="ET41" i="3" s="1"/>
  <c r="ES45" i="3"/>
  <c r="ET45" i="3" s="1"/>
  <c r="ES7" i="3"/>
  <c r="ET7" i="3" s="1"/>
  <c r="ES73" i="3"/>
  <c r="ET73" i="3" s="1"/>
  <c r="ES10" i="3"/>
  <c r="ET10" i="3" s="1"/>
  <c r="ES33" i="3"/>
  <c r="ET33" i="3" s="1"/>
  <c r="ES31" i="3"/>
  <c r="ET31" i="3" s="1"/>
  <c r="ES39" i="3"/>
  <c r="ET39" i="3" s="1"/>
  <c r="ES35" i="3"/>
  <c r="ET35" i="3" s="1"/>
  <c r="ES54" i="3"/>
  <c r="ET54" i="3" s="1"/>
  <c r="ES2" i="3"/>
  <c r="ET2" i="3" s="1"/>
  <c r="BX555" i="3" l="1"/>
  <c r="BY555" i="3" s="1"/>
  <c r="BX547" i="3"/>
  <c r="BY547" i="3" s="1"/>
  <c r="BX531" i="3"/>
  <c r="BY531" i="3" s="1"/>
  <c r="BX534" i="3"/>
  <c r="BY534" i="3" s="1"/>
  <c r="BX532" i="3"/>
  <c r="BY532" i="3" s="1"/>
  <c r="BX515" i="3"/>
  <c r="BY515" i="3" s="1"/>
  <c r="BX529" i="3"/>
  <c r="BY529" i="3" s="1"/>
  <c r="BX528" i="3"/>
  <c r="BY528" i="3" s="1"/>
  <c r="BX526" i="3"/>
  <c r="BY526" i="3" s="1"/>
  <c r="BX525" i="3"/>
  <c r="BY525" i="3" s="1"/>
  <c r="BX524" i="3"/>
  <c r="BY524" i="3" s="1"/>
  <c r="BX523" i="3"/>
  <c r="BY523" i="3" s="1"/>
  <c r="BX522" i="3"/>
  <c r="BY522" i="3" s="1"/>
  <c r="BX520" i="3"/>
  <c r="BY520" i="3" s="1"/>
  <c r="BX519" i="3"/>
  <c r="BY519" i="3" s="1"/>
  <c r="BX518" i="3"/>
  <c r="BY518" i="3" s="1"/>
  <c r="BX505" i="3"/>
  <c r="BY505" i="3" s="1"/>
  <c r="BX499" i="3"/>
  <c r="BY499" i="3" s="1"/>
  <c r="BX498" i="3"/>
  <c r="BY498" i="3" s="1"/>
  <c r="BY489" i="3"/>
  <c r="BY488" i="3"/>
  <c r="BY487" i="3"/>
  <c r="BY486" i="3"/>
  <c r="BX209" i="3"/>
  <c r="BY209" i="3" s="1"/>
  <c r="BX208" i="3"/>
  <c r="BY208" i="3" s="1"/>
  <c r="BX207" i="3"/>
  <c r="BY207" i="3" s="1"/>
  <c r="BX206" i="3"/>
  <c r="BY206" i="3" s="1"/>
  <c r="BX205" i="3"/>
  <c r="BY205" i="3" s="1"/>
  <c r="BX204" i="3"/>
  <c r="BY204" i="3" s="1"/>
  <c r="BX202" i="3"/>
  <c r="BY202" i="3" s="1"/>
  <c r="BX477" i="3"/>
  <c r="BY477" i="3" s="1"/>
  <c r="BX476" i="3"/>
  <c r="BY476" i="3" s="1"/>
  <c r="BY475" i="3"/>
  <c r="BX474" i="3"/>
  <c r="BY474" i="3" s="1"/>
  <c r="BX472" i="3"/>
  <c r="BY472" i="3" s="1"/>
  <c r="BX471" i="3"/>
  <c r="BY471" i="3" s="1"/>
  <c r="BX470" i="3"/>
  <c r="BY470" i="3" s="1"/>
  <c r="BX467" i="3"/>
  <c r="BY467" i="3" s="1"/>
  <c r="BX466" i="3"/>
  <c r="BY466" i="3" s="1"/>
  <c r="BX201" i="3"/>
  <c r="BY201" i="3" s="1"/>
  <c r="BX200" i="3"/>
  <c r="BY200" i="3" s="1"/>
  <c r="BX199" i="3"/>
  <c r="BY199" i="3" s="1"/>
  <c r="BX198" i="3"/>
  <c r="BY198" i="3" s="1"/>
  <c r="BX197" i="3"/>
  <c r="BY197" i="3" s="1"/>
  <c r="BX196" i="3"/>
  <c r="BY196" i="3" s="1"/>
  <c r="BX195" i="3"/>
  <c r="BY195" i="3" s="1"/>
  <c r="BX194" i="3"/>
  <c r="BY194" i="3" s="1"/>
  <c r="BX193" i="3"/>
  <c r="BY193" i="3" s="1"/>
  <c r="BX192" i="3"/>
  <c r="BY192" i="3" s="1"/>
  <c r="BX191" i="3"/>
  <c r="BY191" i="3" s="1"/>
  <c r="BX190" i="3"/>
  <c r="BY190" i="3" s="1"/>
  <c r="BX243" i="3"/>
  <c r="BY243" i="3" s="1"/>
  <c r="BX242" i="3"/>
  <c r="BY242" i="3" s="1"/>
  <c r="O38" i="1" l="1"/>
  <c r="S5" i="1" l="1"/>
  <c r="S6" i="1"/>
  <c r="S7" i="1"/>
  <c r="S8" i="1"/>
  <c r="S9" i="1"/>
  <c r="S10" i="1"/>
  <c r="S11" i="1"/>
  <c r="S12" i="1"/>
  <c r="S13" i="1"/>
  <c r="S14" i="1"/>
  <c r="S15" i="1"/>
  <c r="S16" i="1"/>
  <c r="S17" i="1"/>
  <c r="S18" i="1"/>
  <c r="S19" i="1"/>
  <c r="S20" i="1"/>
  <c r="S25" i="1"/>
  <c r="S26" i="1"/>
  <c r="S27" i="1"/>
  <c r="S4" i="1"/>
  <c r="BX241" i="3" l="1"/>
  <c r="BY241" i="3" s="1"/>
  <c r="BX240" i="3"/>
  <c r="BY240" i="3" s="1"/>
  <c r="BX238" i="3"/>
  <c r="BY238" i="3" s="1"/>
  <c r="BX237" i="3"/>
  <c r="BY237" i="3" s="1"/>
  <c r="BX236" i="3"/>
  <c r="BY236" i="3" s="1"/>
  <c r="BX233" i="3"/>
  <c r="BY233" i="3" s="1"/>
  <c r="BX232" i="3"/>
  <c r="BY232" i="3" s="1"/>
  <c r="BX230" i="3"/>
  <c r="BY230" i="3" s="1"/>
  <c r="BX229" i="3"/>
  <c r="BY229" i="3" s="1"/>
  <c r="BX228" i="3"/>
  <c r="BY228" i="3" s="1"/>
  <c r="BX227" i="3"/>
  <c r="BY227" i="3" s="1"/>
  <c r="BX226" i="3"/>
  <c r="BY226" i="3" s="1"/>
  <c r="BX224" i="3"/>
  <c r="BY224" i="3" s="1"/>
  <c r="BX223" i="3"/>
  <c r="BY223" i="3" s="1"/>
  <c r="BX222" i="3"/>
  <c r="BY222" i="3" s="1"/>
  <c r="BX221" i="3"/>
  <c r="BY221" i="3" s="1"/>
  <c r="BX219" i="3"/>
  <c r="BY219" i="3" s="1"/>
  <c r="BX217" i="3"/>
  <c r="BY217" i="3" s="1"/>
  <c r="BX213" i="3"/>
  <c r="BY213" i="3" s="1"/>
  <c r="BX211" i="3"/>
  <c r="BY211" i="3" s="1"/>
  <c r="BY2" i="3"/>
  <c r="M35" i="2" l="1"/>
  <c r="M36" i="2"/>
  <c r="M37" i="2"/>
  <c r="M38" i="2"/>
  <c r="M39" i="2"/>
  <c r="M40" i="2"/>
  <c r="C211" i="13"/>
  <c r="D211" i="13"/>
  <c r="E211" i="13"/>
  <c r="F211" i="13"/>
  <c r="G211" i="13"/>
  <c r="H211" i="13"/>
  <c r="I211" i="13"/>
  <c r="J211" i="13"/>
  <c r="K211" i="13"/>
  <c r="L211" i="13"/>
  <c r="M211" i="13"/>
  <c r="N211" i="13"/>
  <c r="O211" i="13"/>
  <c r="P211" i="13"/>
  <c r="Q211" i="13"/>
  <c r="R211" i="13"/>
  <c r="S211" i="13"/>
  <c r="C212" i="13"/>
  <c r="D212" i="13"/>
  <c r="E212" i="13"/>
  <c r="F212" i="13"/>
  <c r="G212" i="13"/>
  <c r="H212" i="13"/>
  <c r="I212" i="13"/>
  <c r="J212" i="13"/>
  <c r="K212" i="13"/>
  <c r="L212" i="13"/>
  <c r="M212" i="13"/>
  <c r="N212" i="13"/>
  <c r="O212" i="13"/>
  <c r="P212" i="13"/>
  <c r="Q212" i="13"/>
  <c r="R212" i="13"/>
  <c r="S212" i="13"/>
  <c r="C213" i="13"/>
  <c r="D213" i="13"/>
  <c r="E213" i="13"/>
  <c r="F213" i="13"/>
  <c r="G213" i="13"/>
  <c r="H213" i="13"/>
  <c r="I213" i="13"/>
  <c r="J213" i="13"/>
  <c r="K213" i="13"/>
  <c r="L213" i="13"/>
  <c r="M213" i="13"/>
  <c r="N213" i="13"/>
  <c r="O213" i="13"/>
  <c r="P213" i="13"/>
  <c r="Q213" i="13"/>
  <c r="R213" i="13"/>
  <c r="S213" i="13"/>
  <c r="C214" i="13"/>
  <c r="D214" i="13"/>
  <c r="E214" i="13"/>
  <c r="F214" i="13"/>
  <c r="G214" i="13"/>
  <c r="H214" i="13"/>
  <c r="I214" i="13"/>
  <c r="J214" i="13"/>
  <c r="K214" i="13"/>
  <c r="L214" i="13"/>
  <c r="M214" i="13"/>
  <c r="N214" i="13"/>
  <c r="O214" i="13"/>
  <c r="P214" i="13"/>
  <c r="Q214" i="13"/>
  <c r="R214" i="13"/>
  <c r="S214" i="13"/>
  <c r="C215" i="13"/>
  <c r="D215" i="13"/>
  <c r="E215" i="13"/>
  <c r="F215" i="13"/>
  <c r="G215" i="13"/>
  <c r="H215" i="13"/>
  <c r="I215" i="13"/>
  <c r="J215" i="13"/>
  <c r="K215" i="13"/>
  <c r="L215" i="13"/>
  <c r="M215" i="13"/>
  <c r="N215" i="13"/>
  <c r="O215" i="13"/>
  <c r="P215" i="13"/>
  <c r="Q215" i="13"/>
  <c r="R215" i="13"/>
  <c r="S215" i="13"/>
  <c r="C216" i="13"/>
  <c r="D216" i="13"/>
  <c r="E216" i="13"/>
  <c r="F216" i="13"/>
  <c r="G216" i="13"/>
  <c r="H216" i="13"/>
  <c r="I216" i="13"/>
  <c r="J216" i="13"/>
  <c r="K216" i="13"/>
  <c r="L216" i="13"/>
  <c r="M216" i="13"/>
  <c r="N216" i="13"/>
  <c r="O216" i="13"/>
  <c r="P216" i="13"/>
  <c r="Q216" i="13"/>
  <c r="R216" i="13"/>
  <c r="S216" i="13"/>
  <c r="C217" i="13"/>
  <c r="D217" i="13"/>
  <c r="E217" i="13"/>
  <c r="F217" i="13"/>
  <c r="G217" i="13"/>
  <c r="H217" i="13"/>
  <c r="I217" i="13"/>
  <c r="J217" i="13"/>
  <c r="K217" i="13"/>
  <c r="L217" i="13"/>
  <c r="M217" i="13"/>
  <c r="N217" i="13"/>
  <c r="O217" i="13"/>
  <c r="P217" i="13"/>
  <c r="Q217" i="13"/>
  <c r="R217" i="13"/>
  <c r="S217" i="13"/>
  <c r="C218" i="13"/>
  <c r="D218" i="13"/>
  <c r="E218" i="13"/>
  <c r="F218" i="13"/>
  <c r="G218" i="13"/>
  <c r="H218" i="13"/>
  <c r="I218" i="13"/>
  <c r="J218" i="13"/>
  <c r="K218" i="13"/>
  <c r="L218" i="13"/>
  <c r="M218" i="13"/>
  <c r="N218" i="13"/>
  <c r="O218" i="13"/>
  <c r="P218" i="13"/>
  <c r="Q218" i="13"/>
  <c r="R218" i="13"/>
  <c r="S218" i="13"/>
  <c r="C219" i="13"/>
  <c r="D219" i="13"/>
  <c r="E219" i="13"/>
  <c r="F219" i="13"/>
  <c r="G219" i="13"/>
  <c r="H219" i="13"/>
  <c r="I219" i="13"/>
  <c r="J219" i="13"/>
  <c r="K219" i="13"/>
  <c r="L219" i="13"/>
  <c r="M219" i="13"/>
  <c r="N219" i="13"/>
  <c r="O219" i="13"/>
  <c r="P219" i="13"/>
  <c r="Q219" i="13"/>
  <c r="R219" i="13"/>
  <c r="S219" i="13"/>
  <c r="C220" i="13"/>
  <c r="D220" i="13"/>
  <c r="E220" i="13"/>
  <c r="F220" i="13"/>
  <c r="G220" i="13"/>
  <c r="H220" i="13"/>
  <c r="I220" i="13"/>
  <c r="J220" i="13"/>
  <c r="K220" i="13"/>
  <c r="L220" i="13"/>
  <c r="M220" i="13"/>
  <c r="N220" i="13"/>
  <c r="O220" i="13"/>
  <c r="P220" i="13"/>
  <c r="Q220" i="13"/>
  <c r="R220" i="13"/>
  <c r="S220" i="13"/>
  <c r="C221" i="13"/>
  <c r="D221" i="13"/>
  <c r="E221" i="13"/>
  <c r="F221" i="13"/>
  <c r="G221" i="13"/>
  <c r="H221" i="13"/>
  <c r="I221" i="13"/>
  <c r="J221" i="13"/>
  <c r="K221" i="13"/>
  <c r="L221" i="13"/>
  <c r="M221" i="13"/>
  <c r="N221" i="13"/>
  <c r="O221" i="13"/>
  <c r="P221" i="13"/>
  <c r="Q221" i="13"/>
  <c r="R221" i="13"/>
  <c r="S221" i="13"/>
  <c r="C222" i="13"/>
  <c r="D222" i="13"/>
  <c r="E222" i="13"/>
  <c r="F222" i="13"/>
  <c r="G222" i="13"/>
  <c r="H222" i="13"/>
  <c r="I222" i="13"/>
  <c r="J222" i="13"/>
  <c r="K222" i="13"/>
  <c r="L222" i="13"/>
  <c r="M222" i="13"/>
  <c r="N222" i="13"/>
  <c r="O222" i="13"/>
  <c r="P222" i="13"/>
  <c r="Q222" i="13"/>
  <c r="R222" i="13"/>
  <c r="S222" i="13"/>
  <c r="C223" i="13"/>
  <c r="D223" i="13"/>
  <c r="E223" i="13"/>
  <c r="F223" i="13"/>
  <c r="G223" i="13"/>
  <c r="H223" i="13"/>
  <c r="I223" i="13"/>
  <c r="J223" i="13"/>
  <c r="K223" i="13"/>
  <c r="L223" i="13"/>
  <c r="M223" i="13"/>
  <c r="N223" i="13"/>
  <c r="O223" i="13"/>
  <c r="P223" i="13"/>
  <c r="Q223" i="13"/>
  <c r="R223" i="13"/>
  <c r="S223" i="13"/>
  <c r="C224" i="13"/>
  <c r="D224" i="13"/>
  <c r="E224" i="13"/>
  <c r="F224" i="13"/>
  <c r="G224" i="13"/>
  <c r="H224" i="13"/>
  <c r="I224" i="13"/>
  <c r="J224" i="13"/>
  <c r="K224" i="13"/>
  <c r="L224" i="13"/>
  <c r="M224" i="13"/>
  <c r="N224" i="13"/>
  <c r="O224" i="13"/>
  <c r="P224" i="13"/>
  <c r="Q224" i="13"/>
  <c r="R224" i="13"/>
  <c r="S224" i="13"/>
  <c r="C225" i="13"/>
  <c r="D225" i="13"/>
  <c r="E225" i="13"/>
  <c r="F225" i="13"/>
  <c r="G225" i="13"/>
  <c r="H225" i="13"/>
  <c r="I225" i="13"/>
  <c r="J225" i="13"/>
  <c r="K225" i="13"/>
  <c r="L225" i="13"/>
  <c r="M225" i="13"/>
  <c r="N225" i="13"/>
  <c r="O225" i="13"/>
  <c r="P225" i="13"/>
  <c r="Q225" i="13"/>
  <c r="R225" i="13"/>
  <c r="S225" i="13"/>
  <c r="C226" i="13"/>
  <c r="D226" i="13"/>
  <c r="E226" i="13"/>
  <c r="F226" i="13"/>
  <c r="G226" i="13"/>
  <c r="H226" i="13"/>
  <c r="I226" i="13"/>
  <c r="J226" i="13"/>
  <c r="K226" i="13"/>
  <c r="L226" i="13"/>
  <c r="M226" i="13"/>
  <c r="N226" i="13"/>
  <c r="O226" i="13"/>
  <c r="P226" i="13"/>
  <c r="Q226" i="13"/>
  <c r="R226" i="13"/>
  <c r="S226" i="13"/>
  <c r="C227" i="13"/>
  <c r="D227" i="13"/>
  <c r="E227" i="13"/>
  <c r="F227" i="13"/>
  <c r="G227" i="13"/>
  <c r="H227" i="13"/>
  <c r="I227" i="13"/>
  <c r="J227" i="13"/>
  <c r="K227" i="13"/>
  <c r="L227" i="13"/>
  <c r="M227" i="13"/>
  <c r="N227" i="13"/>
  <c r="O227" i="13"/>
  <c r="P227" i="13"/>
  <c r="Q227" i="13"/>
  <c r="R227" i="13"/>
  <c r="S227" i="13"/>
  <c r="C228" i="13"/>
  <c r="D228" i="13"/>
  <c r="E228" i="13"/>
  <c r="F228" i="13"/>
  <c r="G228" i="13"/>
  <c r="H228" i="13"/>
  <c r="I228" i="13"/>
  <c r="J228" i="13"/>
  <c r="K228" i="13"/>
  <c r="L228" i="13"/>
  <c r="M228" i="13"/>
  <c r="N228" i="13"/>
  <c r="O228" i="13"/>
  <c r="P228" i="13"/>
  <c r="Q228" i="13"/>
  <c r="R228" i="13"/>
  <c r="S228" i="13"/>
  <c r="C229" i="13"/>
  <c r="D229" i="13"/>
  <c r="E229" i="13"/>
  <c r="F229" i="13"/>
  <c r="G229" i="13"/>
  <c r="H229" i="13"/>
  <c r="I229" i="13"/>
  <c r="J229" i="13"/>
  <c r="K229" i="13"/>
  <c r="L229" i="13"/>
  <c r="M229" i="13"/>
  <c r="N229" i="13"/>
  <c r="O229" i="13"/>
  <c r="P229" i="13"/>
  <c r="Q229" i="13"/>
  <c r="R229" i="13"/>
  <c r="S229" i="13"/>
  <c r="C230" i="13"/>
  <c r="D230" i="13"/>
  <c r="E230" i="13"/>
  <c r="F230" i="13"/>
  <c r="G230" i="13"/>
  <c r="H230" i="13"/>
  <c r="I230" i="13"/>
  <c r="J230" i="13"/>
  <c r="K230" i="13"/>
  <c r="L230" i="13"/>
  <c r="M230" i="13"/>
  <c r="N230" i="13"/>
  <c r="O230" i="13"/>
  <c r="P230" i="13"/>
  <c r="Q230" i="13"/>
  <c r="R230" i="13"/>
  <c r="S230" i="13"/>
  <c r="C231" i="13"/>
  <c r="D231" i="13"/>
  <c r="E231" i="13"/>
  <c r="F231" i="13"/>
  <c r="G231" i="13"/>
  <c r="H231" i="13"/>
  <c r="I231" i="13"/>
  <c r="J231" i="13"/>
  <c r="K231" i="13"/>
  <c r="L231" i="13"/>
  <c r="M231" i="13"/>
  <c r="N231" i="13"/>
  <c r="O231" i="13"/>
  <c r="P231" i="13"/>
  <c r="Q231" i="13"/>
  <c r="R231" i="13"/>
  <c r="S231" i="13"/>
  <c r="A233" i="13"/>
  <c r="A234"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33" i="13"/>
  <c r="GK3" i="3"/>
  <c r="GK4" i="3"/>
  <c r="GK5" i="3"/>
  <c r="GK6" i="3"/>
  <c r="GK7" i="3"/>
  <c r="GK8" i="3"/>
  <c r="GK9" i="3"/>
  <c r="GK10" i="3"/>
  <c r="GK11" i="3"/>
  <c r="GK12" i="3"/>
  <c r="GK13" i="3"/>
  <c r="GK14" i="3"/>
  <c r="GK15" i="3"/>
  <c r="GK16" i="3"/>
  <c r="GK17" i="3"/>
  <c r="GK18" i="3"/>
  <c r="GK19" i="3"/>
  <c r="W222" i="13" l="1"/>
  <c r="W226" i="13"/>
  <c r="W228" i="13"/>
  <c r="W230" i="13"/>
  <c r="W215" i="13"/>
  <c r="W214" i="13"/>
  <c r="W212" i="13"/>
  <c r="W223" i="13"/>
  <c r="W225" i="13"/>
  <c r="W219" i="13"/>
  <c r="W218" i="13"/>
  <c r="W220" i="13"/>
  <c r="W213" i="13"/>
  <c r="W227" i="13"/>
  <c r="W224" i="13"/>
  <c r="W217" i="13"/>
  <c r="W229" i="13"/>
  <c r="W216" i="13"/>
  <c r="W231" i="13"/>
  <c r="W221" i="13"/>
  <c r="W211" i="13"/>
  <c r="V366" i="3"/>
  <c r="W366" i="3" s="1"/>
  <c r="V367" i="3"/>
  <c r="W367" i="3" s="1"/>
  <c r="V368" i="3"/>
  <c r="V369" i="3"/>
  <c r="V370" i="3"/>
  <c r="V371" i="3"/>
  <c r="V372" i="3"/>
  <c r="V373" i="3"/>
  <c r="DF3" i="3"/>
  <c r="AM294" i="3" l="1"/>
  <c r="BX189" i="3" l="1"/>
  <c r="BY189" i="3" s="1"/>
  <c r="BX188" i="3"/>
  <c r="BY188" i="3" s="1"/>
  <c r="BX187" i="3"/>
  <c r="BY187" i="3" s="1"/>
  <c r="BX186" i="3"/>
  <c r="BY186" i="3" s="1"/>
  <c r="BX185" i="3"/>
  <c r="BY185" i="3" s="1"/>
  <c r="BX184" i="3"/>
  <c r="BY184" i="3" s="1"/>
  <c r="BX183" i="3"/>
  <c r="BY183" i="3" s="1"/>
  <c r="BX182" i="3"/>
  <c r="BY182" i="3" s="1"/>
  <c r="BX181" i="3"/>
  <c r="BY181" i="3" s="1"/>
  <c r="BX180" i="3"/>
  <c r="BY180" i="3" s="1"/>
  <c r="BX179" i="3"/>
  <c r="BY179" i="3" s="1"/>
  <c r="BX178" i="3"/>
  <c r="BY178" i="3" s="1"/>
  <c r="BX177" i="3"/>
  <c r="BY177" i="3" s="1"/>
  <c r="BX176" i="3"/>
  <c r="BY176" i="3" s="1"/>
  <c r="BX175" i="3"/>
  <c r="BY175" i="3" s="1"/>
  <c r="BX174" i="3"/>
  <c r="BY174" i="3" s="1"/>
  <c r="BX173" i="3"/>
  <c r="BY173" i="3" s="1"/>
  <c r="BX172" i="3"/>
  <c r="BY172" i="3" s="1"/>
  <c r="BX171" i="3"/>
  <c r="BY171" i="3" s="1"/>
  <c r="BX170" i="3"/>
  <c r="BY170" i="3" s="1"/>
  <c r="BX169" i="3"/>
  <c r="BY169" i="3" s="1"/>
  <c r="BX168" i="3"/>
  <c r="BY168" i="3" s="1"/>
  <c r="BX167" i="3"/>
  <c r="BY167" i="3" s="1"/>
  <c r="BX166" i="3"/>
  <c r="BY166" i="3" s="1"/>
  <c r="BX165" i="3"/>
  <c r="BY165" i="3" s="1"/>
  <c r="BX164" i="3"/>
  <c r="BY164" i="3" s="1"/>
  <c r="BX163" i="3"/>
  <c r="BY163" i="3" s="1"/>
  <c r="BX162" i="3"/>
  <c r="BY162" i="3" s="1"/>
  <c r="BX161" i="3"/>
  <c r="BY161" i="3" s="1"/>
  <c r="BX160" i="3"/>
  <c r="BY160" i="3" s="1"/>
  <c r="BX159" i="3"/>
  <c r="BY159" i="3" s="1"/>
  <c r="BX158" i="3"/>
  <c r="BY158" i="3" s="1"/>
  <c r="BX157" i="3"/>
  <c r="BY157" i="3" s="1"/>
  <c r="BX156" i="3"/>
  <c r="BY156" i="3" s="1"/>
  <c r="BX155" i="3"/>
  <c r="BY155" i="3" s="1"/>
  <c r="BX154" i="3"/>
  <c r="BY154" i="3" s="1"/>
  <c r="BX153" i="3"/>
  <c r="BY153" i="3" s="1"/>
  <c r="BX152" i="3"/>
  <c r="BY152" i="3" s="1"/>
  <c r="BX151" i="3"/>
  <c r="BY151" i="3" s="1"/>
  <c r="BX150" i="3"/>
  <c r="BY150" i="3" s="1"/>
  <c r="BX149" i="3"/>
  <c r="BY149" i="3" s="1"/>
  <c r="BX148" i="3"/>
  <c r="BY148" i="3" s="1"/>
  <c r="BX147" i="3"/>
  <c r="BY147" i="3" s="1"/>
  <c r="BX146" i="3"/>
  <c r="BY146" i="3" s="1"/>
  <c r="BX145" i="3"/>
  <c r="BY145" i="3" s="1"/>
  <c r="BX144" i="3"/>
  <c r="BY144" i="3" s="1"/>
  <c r="BX143" i="3"/>
  <c r="BY143" i="3" s="1"/>
  <c r="BX142" i="3"/>
  <c r="BY142" i="3" s="1"/>
  <c r="BX141" i="3"/>
  <c r="BY141" i="3" s="1"/>
  <c r="BX140" i="3"/>
  <c r="BY140" i="3" s="1"/>
  <c r="BX139" i="3"/>
  <c r="BY139" i="3" s="1"/>
  <c r="BX138" i="3"/>
  <c r="BY138" i="3" s="1"/>
  <c r="BX137" i="3"/>
  <c r="BY137" i="3" s="1"/>
  <c r="BX136" i="3"/>
  <c r="BY136" i="3" s="1"/>
  <c r="BX135" i="3"/>
  <c r="BY135" i="3" s="1"/>
  <c r="BX134" i="3"/>
  <c r="BY134" i="3" s="1"/>
  <c r="BX133" i="3"/>
  <c r="BY133" i="3" s="1"/>
  <c r="BX132" i="3"/>
  <c r="BY132" i="3" s="1"/>
  <c r="BX131" i="3"/>
  <c r="BY131" i="3" s="1"/>
  <c r="BX130" i="3"/>
  <c r="BY130" i="3" s="1"/>
  <c r="BX129" i="3"/>
  <c r="BY129" i="3" s="1"/>
  <c r="BX128" i="3"/>
  <c r="BY128" i="3" s="1"/>
  <c r="BX127" i="3"/>
  <c r="BY127" i="3" s="1"/>
  <c r="BX126" i="3"/>
  <c r="BY126" i="3" s="1"/>
  <c r="BX125" i="3"/>
  <c r="BY125" i="3" s="1"/>
  <c r="BX124" i="3"/>
  <c r="BY124" i="3" s="1"/>
  <c r="BX123" i="3"/>
  <c r="BY123" i="3" s="1"/>
  <c r="BX122" i="3"/>
  <c r="BY122" i="3" s="1"/>
  <c r="BX121" i="3"/>
  <c r="BY121" i="3" s="1"/>
  <c r="BX120" i="3"/>
  <c r="BY120" i="3" s="1"/>
  <c r="BX119" i="3"/>
  <c r="BY119" i="3" s="1"/>
  <c r="BX118" i="3"/>
  <c r="BY118" i="3" s="1"/>
  <c r="BX117" i="3"/>
  <c r="BY117" i="3" s="1"/>
  <c r="BX116" i="3"/>
  <c r="BY116" i="3" s="1"/>
  <c r="BX115" i="3"/>
  <c r="BY115" i="3" s="1"/>
  <c r="BX114" i="3"/>
  <c r="BY114" i="3" s="1"/>
  <c r="BX113" i="3"/>
  <c r="BY113" i="3" s="1"/>
  <c r="BX112" i="3"/>
  <c r="BY112" i="3" s="1"/>
  <c r="BX111" i="3"/>
  <c r="BY111" i="3" s="1"/>
  <c r="BX110" i="3"/>
  <c r="BY110" i="3" s="1"/>
  <c r="BZ1500" i="3" l="1"/>
  <c r="CA1500" i="3" s="1"/>
  <c r="CB1500" i="3" s="1"/>
  <c r="BZ1464" i="3"/>
  <c r="CA1464" i="3" s="1"/>
  <c r="CB1464" i="3" s="1"/>
  <c r="BZ1232" i="3"/>
  <c r="CA1232" i="3" s="1"/>
  <c r="CB1232" i="3" s="1"/>
  <c r="BX460" i="3"/>
  <c r="BY460" i="3" s="1"/>
  <c r="BX458" i="3"/>
  <c r="BY458" i="3" s="1"/>
  <c r="BZ1499" i="3" s="1"/>
  <c r="CA1499" i="3" s="1"/>
  <c r="CB1499" i="3" s="1"/>
  <c r="BZ1349" i="3" l="1"/>
  <c r="CA1349" i="3" s="1"/>
  <c r="CB1349" i="3" s="1"/>
  <c r="BZ1373" i="3"/>
  <c r="CA1373" i="3" s="1"/>
  <c r="CB1373" i="3" s="1"/>
  <c r="BZ1498" i="3"/>
  <c r="CA1498" i="3" s="1"/>
  <c r="CB1498" i="3" s="1"/>
  <c r="BZ1496" i="3"/>
  <c r="CA1496" i="3" s="1"/>
  <c r="CB1496" i="3" s="1"/>
  <c r="BZ1497" i="3"/>
  <c r="CA1497" i="3" s="1"/>
  <c r="CB1497" i="3" s="1"/>
  <c r="BZ1495" i="3"/>
  <c r="CA1495" i="3" s="1"/>
  <c r="CB1495" i="3" s="1"/>
  <c r="BZ1494" i="3"/>
  <c r="CA1494" i="3" s="1"/>
  <c r="CB1494" i="3" s="1"/>
  <c r="BZ1492" i="3"/>
  <c r="CA1492" i="3" s="1"/>
  <c r="CB1492" i="3" s="1"/>
  <c r="BZ66" i="3"/>
  <c r="CA66" i="3" s="1"/>
  <c r="CB66" i="3" s="1"/>
  <c r="BZ1493" i="3"/>
  <c r="CA1493" i="3" s="1"/>
  <c r="CB1493" i="3" s="1"/>
  <c r="BZ305" i="3"/>
  <c r="CA305" i="3" s="1"/>
  <c r="CB305" i="3" s="1"/>
  <c r="BZ427" i="3"/>
  <c r="CA427" i="3" s="1"/>
  <c r="CB427" i="3" s="1"/>
  <c r="BZ610" i="3"/>
  <c r="CA610" i="3" s="1"/>
  <c r="CB610" i="3" s="1"/>
  <c r="BZ38" i="3"/>
  <c r="CA38" i="3" s="1"/>
  <c r="CB38" i="3" s="1"/>
  <c r="BZ225" i="3"/>
  <c r="CA225" i="3" s="1"/>
  <c r="CB225" i="3" s="1"/>
  <c r="BZ468" i="3"/>
  <c r="CA468" i="3" s="1"/>
  <c r="CB468" i="3" s="1"/>
  <c r="BZ1333" i="3"/>
  <c r="CA1333" i="3" s="1"/>
  <c r="CB1333" i="3" s="1"/>
  <c r="BZ269" i="3"/>
  <c r="CA269" i="3" s="1"/>
  <c r="CB269" i="3" s="1"/>
  <c r="BZ1200" i="3"/>
  <c r="CA1200" i="3" s="1"/>
  <c r="CB1200" i="3" s="1"/>
  <c r="BZ172" i="3"/>
  <c r="CA172" i="3" s="1"/>
  <c r="CB172" i="3" s="1"/>
  <c r="BZ216" i="3"/>
  <c r="CA216" i="3" s="1"/>
  <c r="CB216" i="3" s="1"/>
  <c r="BZ874" i="3"/>
  <c r="CA874" i="3" s="1"/>
  <c r="CB874" i="3" s="1"/>
  <c r="BZ75" i="3"/>
  <c r="CA75" i="3" s="1"/>
  <c r="CB75" i="3" s="1"/>
  <c r="BZ10" i="3"/>
  <c r="CA10" i="3" s="1"/>
  <c r="CB10" i="3" s="1"/>
  <c r="BZ226" i="3"/>
  <c r="CA226" i="3" s="1"/>
  <c r="CB226" i="3" s="1"/>
  <c r="BZ1325" i="3"/>
  <c r="CA1325" i="3" s="1"/>
  <c r="CB1325" i="3" s="1"/>
  <c r="BZ274" i="3"/>
  <c r="CA274" i="3" s="1"/>
  <c r="CB274" i="3" s="1"/>
  <c r="BZ141" i="3"/>
  <c r="CA141" i="3" s="1"/>
  <c r="CB141" i="3" s="1"/>
  <c r="BZ809" i="3"/>
  <c r="CA809" i="3" s="1"/>
  <c r="CB809" i="3" s="1"/>
  <c r="BZ884" i="3"/>
  <c r="CA884" i="3" s="1"/>
  <c r="CB884" i="3" s="1"/>
  <c r="BZ1405" i="3"/>
  <c r="CA1405" i="3" s="1"/>
  <c r="CB1405" i="3" s="1"/>
  <c r="BZ379" i="3"/>
  <c r="CA379" i="3" s="1"/>
  <c r="CB379" i="3" s="1"/>
  <c r="BZ1357" i="3"/>
  <c r="CA1357" i="3" s="1"/>
  <c r="CB1357" i="3" s="1"/>
  <c r="BZ243" i="3"/>
  <c r="CA243" i="3" s="1"/>
  <c r="CB243" i="3" s="1"/>
  <c r="BZ285" i="3"/>
  <c r="CA285" i="3" s="1"/>
  <c r="CB285" i="3" s="1"/>
  <c r="BZ71" i="3"/>
  <c r="CA71" i="3" s="1"/>
  <c r="CB71" i="3" s="1"/>
  <c r="BZ65" i="3"/>
  <c r="CA65" i="3" s="1"/>
  <c r="CB65" i="3" s="1"/>
  <c r="BZ342" i="3"/>
  <c r="CA342" i="3" s="1"/>
  <c r="CB342" i="3" s="1"/>
  <c r="BZ513" i="3"/>
  <c r="CA513" i="3" s="1"/>
  <c r="CB513" i="3" s="1"/>
  <c r="BZ1381" i="3"/>
  <c r="CA1381" i="3" s="1"/>
  <c r="CB1381" i="3" s="1"/>
  <c r="BZ191" i="3"/>
  <c r="CA191" i="3" s="1"/>
  <c r="CB191" i="3" s="1"/>
  <c r="BZ576" i="3"/>
  <c r="CA576" i="3" s="1"/>
  <c r="CB576" i="3" s="1"/>
  <c r="BZ1491" i="3"/>
  <c r="CA1491" i="3" s="1"/>
  <c r="CB1491" i="3" s="1"/>
  <c r="BZ1258" i="3"/>
  <c r="CA1258" i="3" s="1"/>
  <c r="CB1258" i="3" s="1"/>
  <c r="BZ1027" i="3"/>
  <c r="CA1027" i="3" s="1"/>
  <c r="CB1027" i="3" s="1"/>
  <c r="BZ1062" i="3"/>
  <c r="CA1062" i="3" s="1"/>
  <c r="CB1062" i="3" s="1"/>
  <c r="BZ1343" i="3"/>
  <c r="CA1343" i="3" s="1"/>
  <c r="CB1343" i="3" s="1"/>
  <c r="BZ732" i="3"/>
  <c r="CA732" i="3" s="1"/>
  <c r="CB732" i="3" s="1"/>
  <c r="BZ1048" i="3"/>
  <c r="CA1048" i="3" s="1"/>
  <c r="CB1048" i="3" s="1"/>
  <c r="BZ1217" i="3"/>
  <c r="CA1217" i="3" s="1"/>
  <c r="CB1217" i="3" s="1"/>
  <c r="BZ991" i="3"/>
  <c r="CA991" i="3" s="1"/>
  <c r="CB991" i="3" s="1"/>
  <c r="BZ670" i="3"/>
  <c r="CA670" i="3" s="1"/>
  <c r="CB670" i="3" s="1"/>
  <c r="BZ738" i="3"/>
  <c r="CA738" i="3" s="1"/>
  <c r="CB738" i="3" s="1"/>
  <c r="BZ1431" i="3"/>
  <c r="CA1431" i="3" s="1"/>
  <c r="CB1431" i="3" s="1"/>
  <c r="BZ1437" i="3"/>
  <c r="CA1437" i="3" s="1"/>
  <c r="CB1437" i="3" s="1"/>
  <c r="BZ1002" i="3"/>
  <c r="CA1002" i="3" s="1"/>
  <c r="CB1002" i="3" s="1"/>
  <c r="BZ1066" i="3"/>
  <c r="CA1066" i="3" s="1"/>
  <c r="CB1066" i="3" s="1"/>
  <c r="BZ1072" i="3"/>
  <c r="CA1072" i="3" s="1"/>
  <c r="CB1072" i="3" s="1"/>
  <c r="BZ1340" i="3"/>
  <c r="CA1340" i="3" s="1"/>
  <c r="CB1340" i="3" s="1"/>
  <c r="BZ1391" i="3"/>
  <c r="CA1391" i="3" s="1"/>
  <c r="CB1391" i="3" s="1"/>
  <c r="BZ1447" i="3"/>
  <c r="CA1447" i="3" s="1"/>
  <c r="CB1447" i="3" s="1"/>
  <c r="BZ1076" i="3"/>
  <c r="CA1076" i="3" s="1"/>
  <c r="CB1076" i="3" s="1"/>
  <c r="BZ1210" i="3"/>
  <c r="CA1210" i="3" s="1"/>
  <c r="CB1210" i="3" s="1"/>
  <c r="BZ1481" i="3"/>
  <c r="CA1481" i="3" s="1"/>
  <c r="CB1481" i="3" s="1"/>
  <c r="BZ1131" i="3"/>
  <c r="CA1131" i="3" s="1"/>
  <c r="CB1131" i="3" s="1"/>
  <c r="BZ1049" i="3"/>
  <c r="CA1049" i="3" s="1"/>
  <c r="CB1049" i="3" s="1"/>
  <c r="BZ1110" i="3"/>
  <c r="CA1110" i="3" s="1"/>
  <c r="CB1110" i="3" s="1"/>
  <c r="BZ1471" i="3"/>
  <c r="CA1471" i="3" s="1"/>
  <c r="CB1471" i="3" s="1"/>
  <c r="BZ860" i="3"/>
  <c r="CA860" i="3" s="1"/>
  <c r="CB860" i="3" s="1"/>
  <c r="BZ961" i="3"/>
  <c r="CA961" i="3" s="1"/>
  <c r="CB961" i="3" s="1"/>
  <c r="BZ1091" i="3"/>
  <c r="CA1091" i="3" s="1"/>
  <c r="CB1091" i="3" s="1"/>
  <c r="BZ1263" i="3"/>
  <c r="CA1263" i="3" s="1"/>
  <c r="CB1263" i="3" s="1"/>
  <c r="BZ777" i="3"/>
  <c r="CA777" i="3" s="1"/>
  <c r="CB777" i="3" s="1"/>
  <c r="BZ856" i="3"/>
  <c r="CA856" i="3" s="1"/>
  <c r="CB856" i="3" s="1"/>
  <c r="BZ1291" i="3"/>
  <c r="CA1291" i="3" s="1"/>
  <c r="CB1291" i="3" s="1"/>
  <c r="BZ1350" i="3"/>
  <c r="CA1350" i="3" s="1"/>
  <c r="CB1350" i="3" s="1"/>
  <c r="BZ1406" i="3"/>
  <c r="CA1406" i="3" s="1"/>
  <c r="CB1406" i="3" s="1"/>
  <c r="BZ609" i="3"/>
  <c r="CA609" i="3" s="1"/>
  <c r="CB609" i="3" s="1"/>
  <c r="BZ1061" i="3"/>
  <c r="CA1061" i="3" s="1"/>
  <c r="CB1061" i="3" s="1"/>
  <c r="BZ1160" i="3"/>
  <c r="CA1160" i="3" s="1"/>
  <c r="CB1160" i="3" s="1"/>
  <c r="BZ1219" i="3"/>
  <c r="CA1219" i="3" s="1"/>
  <c r="CB1219" i="3" s="1"/>
  <c r="BZ1220" i="3"/>
  <c r="CA1220" i="3" s="1"/>
  <c r="CB1220" i="3" s="1"/>
  <c r="BZ923" i="3"/>
  <c r="CA923" i="3" s="1"/>
  <c r="CB923" i="3" s="1"/>
  <c r="BZ664" i="3"/>
  <c r="CA664" i="3" s="1"/>
  <c r="CB664" i="3" s="1"/>
  <c r="BZ1477" i="3"/>
  <c r="CA1477" i="3" s="1"/>
  <c r="CB1477" i="3" s="1"/>
  <c r="BZ1015" i="3"/>
  <c r="CA1015" i="3" s="1"/>
  <c r="CB1015" i="3" s="1"/>
  <c r="BZ996" i="3"/>
  <c r="CA996" i="3" s="1"/>
  <c r="CB996" i="3" s="1"/>
  <c r="BZ1057" i="3"/>
  <c r="CA1057" i="3" s="1"/>
  <c r="CB1057" i="3" s="1"/>
  <c r="BZ1296" i="3"/>
  <c r="CA1296" i="3" s="1"/>
  <c r="CB1296" i="3" s="1"/>
  <c r="BZ1399" i="3"/>
  <c r="CA1399" i="3" s="1"/>
  <c r="CB1399" i="3" s="1"/>
  <c r="BZ1442" i="3"/>
  <c r="CA1442" i="3" s="1"/>
  <c r="CB1442" i="3" s="1"/>
  <c r="BZ902" i="3"/>
  <c r="CA902" i="3" s="1"/>
  <c r="CB902" i="3" s="1"/>
  <c r="BZ1253" i="3"/>
  <c r="CA1253" i="3" s="1"/>
  <c r="CB1253" i="3" s="1"/>
  <c r="BZ509" i="3"/>
  <c r="CA509" i="3" s="1"/>
  <c r="CB509" i="3" s="1"/>
  <c r="BZ343" i="3"/>
  <c r="CA343" i="3" s="1"/>
  <c r="CB343" i="3" s="1"/>
  <c r="BZ1392" i="3"/>
  <c r="CA1392" i="3" s="1"/>
  <c r="CB1392" i="3" s="1"/>
  <c r="BZ1180" i="3"/>
  <c r="CA1180" i="3" s="1"/>
  <c r="CB1180" i="3" s="1"/>
  <c r="BZ1278" i="3"/>
  <c r="CA1278" i="3" s="1"/>
  <c r="CB1278" i="3" s="1"/>
  <c r="BZ532" i="3"/>
  <c r="CA532" i="3" s="1"/>
  <c r="CB532" i="3" s="1"/>
  <c r="BZ965" i="3"/>
  <c r="CA965" i="3" s="1"/>
  <c r="CB965" i="3" s="1"/>
  <c r="BZ1132" i="3"/>
  <c r="CA1132" i="3" s="1"/>
  <c r="CB1132" i="3" s="1"/>
  <c r="BZ1352" i="3"/>
  <c r="CA1352" i="3" s="1"/>
  <c r="CB1352" i="3" s="1"/>
  <c r="BZ1369" i="3"/>
  <c r="CA1369" i="3" s="1"/>
  <c r="CB1369" i="3" s="1"/>
  <c r="BZ762" i="3"/>
  <c r="CA762" i="3" s="1"/>
  <c r="CB762" i="3" s="1"/>
  <c r="BZ659" i="3"/>
  <c r="CA659" i="3" s="1"/>
  <c r="CB659" i="3" s="1"/>
  <c r="BZ1372" i="3"/>
  <c r="CA1372" i="3" s="1"/>
  <c r="CB1372" i="3" s="1"/>
  <c r="BZ1423" i="3"/>
  <c r="CA1423" i="3" s="1"/>
  <c r="CB1423" i="3" s="1"/>
  <c r="BZ1034" i="3"/>
  <c r="CA1034" i="3" s="1"/>
  <c r="CB1034" i="3" s="1"/>
  <c r="BZ867" i="3"/>
  <c r="CA867" i="3" s="1"/>
  <c r="CB867" i="3" s="1"/>
  <c r="BZ1174" i="3"/>
  <c r="CA1174" i="3" s="1"/>
  <c r="CB1174" i="3" s="1"/>
  <c r="BZ1259" i="3"/>
  <c r="CA1259" i="3" s="1"/>
  <c r="CB1259" i="3" s="1"/>
  <c r="BZ1332" i="3"/>
  <c r="CA1332" i="3" s="1"/>
  <c r="CB1332" i="3" s="1"/>
  <c r="BZ1388" i="3"/>
  <c r="CA1388" i="3" s="1"/>
  <c r="CB1388" i="3" s="1"/>
  <c r="BZ1095" i="3"/>
  <c r="CA1095" i="3" s="1"/>
  <c r="CB1095" i="3" s="1"/>
  <c r="BZ755" i="3"/>
  <c r="CA755" i="3" s="1"/>
  <c r="CB755" i="3" s="1"/>
  <c r="BZ1294" i="3"/>
  <c r="CA1294" i="3" s="1"/>
  <c r="CB1294" i="3" s="1"/>
  <c r="BZ1353" i="3"/>
  <c r="CA1353" i="3" s="1"/>
  <c r="CB1353" i="3" s="1"/>
  <c r="BZ1409" i="3"/>
  <c r="CA1409" i="3" s="1"/>
  <c r="CB1409" i="3" s="1"/>
  <c r="BZ823" i="3"/>
  <c r="CA823" i="3" s="1"/>
  <c r="CB823" i="3" s="1"/>
  <c r="BZ1169" i="3"/>
  <c r="CA1169" i="3" s="1"/>
  <c r="CB1169" i="3" s="1"/>
  <c r="BZ1424" i="3"/>
  <c r="CA1424" i="3" s="1"/>
  <c r="CB1424" i="3" s="1"/>
  <c r="BZ1244" i="3"/>
  <c r="CA1244" i="3" s="1"/>
  <c r="CB1244" i="3" s="1"/>
  <c r="BZ1224" i="3"/>
  <c r="CA1224" i="3" s="1"/>
  <c r="CB1224" i="3" s="1"/>
  <c r="BZ1213" i="3"/>
  <c r="CA1213" i="3" s="1"/>
  <c r="CB1213" i="3" s="1"/>
  <c r="BZ663" i="3"/>
  <c r="CA663" i="3" s="1"/>
  <c r="CB663" i="3" s="1"/>
  <c r="BZ367" i="3"/>
  <c r="CA367" i="3" s="1"/>
  <c r="CB367" i="3" s="1"/>
  <c r="BZ483" i="3"/>
  <c r="CA483" i="3" s="1"/>
  <c r="CB483" i="3" s="1"/>
  <c r="BZ1486" i="3"/>
  <c r="CA1486" i="3" s="1"/>
  <c r="CB1486" i="3" s="1"/>
  <c r="BZ945" i="3"/>
  <c r="CA945" i="3" s="1"/>
  <c r="CB945" i="3" s="1"/>
  <c r="BZ1058" i="3"/>
  <c r="CA1058" i="3" s="1"/>
  <c r="CB1058" i="3" s="1"/>
  <c r="BZ1115" i="3"/>
  <c r="CA1115" i="3" s="1"/>
  <c r="CB1115" i="3" s="1"/>
  <c r="BZ1337" i="3"/>
  <c r="CA1337" i="3" s="1"/>
  <c r="CB1337" i="3" s="1"/>
  <c r="BZ750" i="3"/>
  <c r="CA750" i="3" s="1"/>
  <c r="CB750" i="3" s="1"/>
  <c r="BZ1098" i="3"/>
  <c r="CA1098" i="3" s="1"/>
  <c r="CB1098" i="3" s="1"/>
  <c r="BZ1264" i="3"/>
  <c r="CA1264" i="3" s="1"/>
  <c r="CB1264" i="3" s="1"/>
  <c r="BZ1065" i="3"/>
  <c r="CA1065" i="3" s="1"/>
  <c r="CB1065" i="3" s="1"/>
  <c r="BZ490" i="3"/>
  <c r="CA490" i="3" s="1"/>
  <c r="CB490" i="3" s="1"/>
  <c r="BZ616" i="3"/>
  <c r="CA616" i="3" s="1"/>
  <c r="CB616" i="3" s="1"/>
  <c r="BZ1425" i="3"/>
  <c r="CA1425" i="3" s="1"/>
  <c r="CB1425" i="3" s="1"/>
  <c r="BZ1192" i="3"/>
  <c r="CA1192" i="3" s="1"/>
  <c r="CB1192" i="3" s="1"/>
  <c r="BZ1287" i="3"/>
  <c r="CA1287" i="3" s="1"/>
  <c r="CB1287" i="3" s="1"/>
  <c r="BZ683" i="3"/>
  <c r="CA683" i="3" s="1"/>
  <c r="CB683" i="3" s="1"/>
  <c r="BZ1011" i="3"/>
  <c r="CA1011" i="3" s="1"/>
  <c r="CB1011" i="3" s="1"/>
  <c r="BZ1326" i="3"/>
  <c r="CA1326" i="3" s="1"/>
  <c r="CB1326" i="3" s="1"/>
  <c r="BZ1385" i="3"/>
  <c r="CA1385" i="3" s="1"/>
  <c r="CB1385" i="3" s="1"/>
  <c r="BZ1362" i="3"/>
  <c r="CA1362" i="3" s="1"/>
  <c r="CB1362" i="3" s="1"/>
  <c r="BZ677" i="3"/>
  <c r="CA677" i="3" s="1"/>
  <c r="CB677" i="3" s="1"/>
  <c r="BZ757" i="3"/>
  <c r="CA757" i="3" s="1"/>
  <c r="CB757" i="3" s="1"/>
  <c r="BZ1478" i="3"/>
  <c r="CA1478" i="3" s="1"/>
  <c r="CB1478" i="3" s="1"/>
  <c r="BZ1182" i="3"/>
  <c r="CA1182" i="3" s="1"/>
  <c r="CB1182" i="3" s="1"/>
  <c r="BZ1077" i="3"/>
  <c r="CA1077" i="3" s="1"/>
  <c r="CB1077" i="3" s="1"/>
  <c r="BZ1128" i="3"/>
  <c r="CA1128" i="3" s="1"/>
  <c r="CB1128" i="3" s="1"/>
  <c r="BZ1462" i="3"/>
  <c r="CA1462" i="3" s="1"/>
  <c r="CB1462" i="3" s="1"/>
  <c r="BZ525" i="3"/>
  <c r="CA525" i="3" s="1"/>
  <c r="CB525" i="3" s="1"/>
  <c r="BZ984" i="3"/>
  <c r="CA984" i="3" s="1"/>
  <c r="CB984" i="3" s="1"/>
  <c r="BZ1141" i="3"/>
  <c r="CA1141" i="3" s="1"/>
  <c r="CB1141" i="3" s="1"/>
  <c r="BZ966" i="3"/>
  <c r="CA966" i="3" s="1"/>
  <c r="CB966" i="3" s="1"/>
  <c r="BZ813" i="3"/>
  <c r="CA813" i="3" s="1"/>
  <c r="CB813" i="3" s="1"/>
  <c r="BZ488" i="3"/>
  <c r="CA488" i="3" s="1"/>
  <c r="CB488" i="3" s="1"/>
  <c r="BZ1100" i="3"/>
  <c r="CA1100" i="3" s="1"/>
  <c r="CB1100" i="3" s="1"/>
  <c r="BZ1320" i="3"/>
  <c r="CA1320" i="3" s="1"/>
  <c r="CB1320" i="3" s="1"/>
  <c r="BZ1376" i="3"/>
  <c r="CA1376" i="3" s="1"/>
  <c r="CB1376" i="3" s="1"/>
  <c r="BZ651" i="3"/>
  <c r="CA651" i="3" s="1"/>
  <c r="CB651" i="3" s="1"/>
  <c r="BZ1114" i="3"/>
  <c r="CA1114" i="3" s="1"/>
  <c r="CB1114" i="3" s="1"/>
  <c r="BZ1165" i="3"/>
  <c r="CA1165" i="3" s="1"/>
  <c r="CB1165" i="3" s="1"/>
  <c r="BZ1056" i="3"/>
  <c r="CA1056" i="3" s="1"/>
  <c r="CB1056" i="3" s="1"/>
  <c r="BZ1212" i="3"/>
  <c r="CA1212" i="3" s="1"/>
  <c r="CB1212" i="3" s="1"/>
  <c r="BZ782" i="3"/>
  <c r="CA782" i="3" s="1"/>
  <c r="CB782" i="3" s="1"/>
  <c r="BZ768" i="3"/>
  <c r="CA768" i="3" s="1"/>
  <c r="CB768" i="3" s="1"/>
  <c r="BZ1203" i="3"/>
  <c r="CA1203" i="3" s="1"/>
  <c r="CB1203" i="3" s="1"/>
  <c r="BZ1282" i="3"/>
  <c r="CA1282" i="3" s="1"/>
  <c r="CB1282" i="3" s="1"/>
  <c r="BZ1338" i="3"/>
  <c r="CA1338" i="3" s="1"/>
  <c r="CB1338" i="3" s="1"/>
  <c r="BZ928" i="3"/>
  <c r="CA928" i="3" s="1"/>
  <c r="CB928" i="3" s="1"/>
  <c r="BZ943" i="3"/>
  <c r="CA943" i="3" s="1"/>
  <c r="CB943" i="3" s="1"/>
  <c r="BZ1393" i="3"/>
  <c r="CA1393" i="3" s="1"/>
  <c r="CB1393" i="3" s="1"/>
  <c r="BZ1460" i="3"/>
  <c r="CA1460" i="3" s="1"/>
  <c r="CB1460" i="3" s="1"/>
  <c r="BZ1235" i="3"/>
  <c r="CA1235" i="3" s="1"/>
  <c r="CB1235" i="3" s="1"/>
  <c r="BZ940" i="3"/>
  <c r="CA940" i="3" s="1"/>
  <c r="CB940" i="3" s="1"/>
  <c r="BZ684" i="3"/>
  <c r="CA684" i="3" s="1"/>
  <c r="CB684" i="3" s="1"/>
  <c r="BZ351" i="3"/>
  <c r="CA351" i="3" s="1"/>
  <c r="CB351" i="3" s="1"/>
  <c r="BZ987" i="3"/>
  <c r="CA987" i="3" s="1"/>
  <c r="CB987" i="3" s="1"/>
  <c r="BZ1159" i="3"/>
  <c r="CA1159" i="3" s="1"/>
  <c r="CB1159" i="3" s="1"/>
  <c r="BZ1204" i="3"/>
  <c r="CA1204" i="3" s="1"/>
  <c r="CB1204" i="3" s="1"/>
  <c r="BZ630" i="3"/>
  <c r="CA630" i="3" s="1"/>
  <c r="CB630" i="3" s="1"/>
  <c r="BZ988" i="3"/>
  <c r="CA988" i="3" s="1"/>
  <c r="CB988" i="3" s="1"/>
  <c r="BZ932" i="3"/>
  <c r="CA932" i="3" s="1"/>
  <c r="CB932" i="3" s="1"/>
  <c r="BZ967" i="3"/>
  <c r="CA967" i="3" s="1"/>
  <c r="CB967" i="3" s="1"/>
  <c r="BZ1363" i="3"/>
  <c r="CA1363" i="3" s="1"/>
  <c r="CB1363" i="3" s="1"/>
  <c r="BZ553" i="3"/>
  <c r="CA553" i="3" s="1"/>
  <c r="CB553" i="3" s="1"/>
  <c r="BZ518" i="3"/>
  <c r="CA518" i="3" s="1"/>
  <c r="CB518" i="3" s="1"/>
  <c r="BZ1358" i="3"/>
  <c r="CA1358" i="3" s="1"/>
  <c r="CB1358" i="3" s="1"/>
  <c r="BZ1417" i="3"/>
  <c r="CA1417" i="3" s="1"/>
  <c r="CB1417" i="3" s="1"/>
  <c r="BZ935" i="3"/>
  <c r="CA935" i="3" s="1"/>
  <c r="CB935" i="3" s="1"/>
  <c r="BZ887" i="3"/>
  <c r="CA887" i="3" s="1"/>
  <c r="CB887" i="3" s="1"/>
  <c r="BZ1233" i="3"/>
  <c r="CA1233" i="3" s="1"/>
  <c r="CB1233" i="3" s="1"/>
  <c r="BZ1240" i="3"/>
  <c r="CA1240" i="3" s="1"/>
  <c r="CB1240" i="3" s="1"/>
  <c r="BZ1318" i="3"/>
  <c r="CA1318" i="3" s="1"/>
  <c r="CB1318" i="3" s="1"/>
  <c r="BZ1311" i="3"/>
  <c r="CA1311" i="3" s="1"/>
  <c r="CB1311" i="3" s="1"/>
  <c r="BZ1179" i="3"/>
  <c r="CA1179" i="3" s="1"/>
  <c r="CB1179" i="3" s="1"/>
  <c r="BZ562" i="3"/>
  <c r="CA562" i="3" s="1"/>
  <c r="CB562" i="3" s="1"/>
  <c r="BZ1236" i="3"/>
  <c r="CA1236" i="3" s="1"/>
  <c r="CB1236" i="3" s="1"/>
  <c r="BZ1347" i="3"/>
  <c r="CA1347" i="3" s="1"/>
  <c r="CB1347" i="3" s="1"/>
  <c r="BZ1403" i="3"/>
  <c r="CA1403" i="3" s="1"/>
  <c r="CB1403" i="3" s="1"/>
  <c r="BZ501" i="3"/>
  <c r="CA501" i="3" s="1"/>
  <c r="CB501" i="3" s="1"/>
  <c r="BZ1221" i="3"/>
  <c r="CA1221" i="3" s="1"/>
  <c r="CB1221" i="3" s="1"/>
  <c r="BZ1008" i="3"/>
  <c r="CA1008" i="3" s="1"/>
  <c r="CB1008" i="3" s="1"/>
  <c r="BZ1211" i="3"/>
  <c r="CA1211" i="3" s="1"/>
  <c r="CB1211" i="3" s="1"/>
  <c r="BZ1216" i="3"/>
  <c r="CA1216" i="3" s="1"/>
  <c r="CB1216" i="3" s="1"/>
  <c r="BZ844" i="3"/>
  <c r="CA844" i="3" s="1"/>
  <c r="CB844" i="3" s="1"/>
  <c r="BZ654" i="3"/>
  <c r="CA654" i="3" s="1"/>
  <c r="CB654" i="3" s="1"/>
  <c r="BZ249" i="3"/>
  <c r="CA249" i="3" s="1"/>
  <c r="CB249" i="3" s="1"/>
  <c r="BZ313" i="3"/>
  <c r="CA313" i="3" s="1"/>
  <c r="CB313" i="3" s="1"/>
  <c r="BZ1479" i="3"/>
  <c r="CA1479" i="3" s="1"/>
  <c r="CB1479" i="3" s="1"/>
  <c r="BZ968" i="3"/>
  <c r="CA968" i="3" s="1"/>
  <c r="CB968" i="3" s="1"/>
  <c r="BZ1109" i="3"/>
  <c r="CA1109" i="3" s="1"/>
  <c r="CB1109" i="3" s="1"/>
  <c r="BZ1166" i="3"/>
  <c r="CA1166" i="3" s="1"/>
  <c r="CB1166" i="3" s="1"/>
  <c r="BZ1331" i="3"/>
  <c r="CA1331" i="3" s="1"/>
  <c r="CB1331" i="3" s="1"/>
  <c r="BZ1386" i="3"/>
  <c r="CA1386" i="3" s="1"/>
  <c r="CB1386" i="3" s="1"/>
  <c r="BZ612" i="3"/>
  <c r="CA612" i="3" s="1"/>
  <c r="CB612" i="3" s="1"/>
  <c r="BZ948" i="3"/>
  <c r="CA948" i="3" s="1"/>
  <c r="CB948" i="3" s="1"/>
  <c r="BZ1088" i="3"/>
  <c r="CA1088" i="3" s="1"/>
  <c r="CB1088" i="3" s="1"/>
  <c r="BZ687" i="3"/>
  <c r="CA687" i="3" s="1"/>
  <c r="CB687" i="3" s="1"/>
  <c r="BZ460" i="3"/>
  <c r="CA460" i="3" s="1"/>
  <c r="CB460" i="3" s="1"/>
  <c r="BZ1419" i="3"/>
  <c r="CA1419" i="3" s="1"/>
  <c r="CB1419" i="3" s="1"/>
  <c r="BZ1184" i="3"/>
  <c r="CA1184" i="3" s="1"/>
  <c r="CB1184" i="3" s="1"/>
  <c r="BZ1281" i="3"/>
  <c r="CA1281" i="3" s="1"/>
  <c r="CB1281" i="3" s="1"/>
  <c r="BZ695" i="3"/>
  <c r="CA695" i="3" s="1"/>
  <c r="CB695" i="3" s="1"/>
  <c r="BZ1042" i="3"/>
  <c r="CA1042" i="3" s="1"/>
  <c r="CB1042" i="3" s="1"/>
  <c r="BZ1288" i="3"/>
  <c r="CA1288" i="3" s="1"/>
  <c r="CB1288" i="3" s="1"/>
  <c r="BZ1379" i="3"/>
  <c r="CA1379" i="3" s="1"/>
  <c r="CB1379" i="3" s="1"/>
  <c r="BZ1380" i="3"/>
  <c r="CA1380" i="3" s="1"/>
  <c r="CB1380" i="3" s="1"/>
  <c r="BZ953" i="3"/>
  <c r="CA953" i="3" s="1"/>
  <c r="CB953" i="3" s="1"/>
  <c r="BZ669" i="3"/>
  <c r="CA669" i="3" s="1"/>
  <c r="CB669" i="3" s="1"/>
  <c r="BZ1470" i="3"/>
  <c r="CA1470" i="3" s="1"/>
  <c r="CB1470" i="3" s="1"/>
  <c r="BZ1151" i="3"/>
  <c r="CA1151" i="3" s="1"/>
  <c r="CB1151" i="3" s="1"/>
  <c r="BZ1130" i="3"/>
  <c r="CA1130" i="3" s="1"/>
  <c r="CB1130" i="3" s="1"/>
  <c r="BZ1035" i="3"/>
  <c r="CA1035" i="3" s="1"/>
  <c r="CB1035" i="3" s="1"/>
  <c r="BZ1432" i="3"/>
  <c r="CA1432" i="3" s="1"/>
  <c r="CB1432" i="3" s="1"/>
  <c r="BZ1239" i="3"/>
  <c r="CA1239" i="3" s="1"/>
  <c r="CB1239" i="3" s="1"/>
  <c r="BZ919" i="3"/>
  <c r="CA919" i="3" s="1"/>
  <c r="CB919" i="3" s="1"/>
  <c r="BZ1111" i="3"/>
  <c r="CA1111" i="3" s="1"/>
  <c r="CB1111" i="3" s="1"/>
  <c r="BZ981" i="3"/>
  <c r="CA981" i="3" s="1"/>
  <c r="CB981" i="3" s="1"/>
  <c r="BZ801" i="3"/>
  <c r="CA801" i="3" s="1"/>
  <c r="CB801" i="3" s="1"/>
  <c r="BZ210" i="3"/>
  <c r="CA210" i="3" s="1"/>
  <c r="CB210" i="3" s="1"/>
  <c r="BZ1030" i="3"/>
  <c r="CA1030" i="3" s="1"/>
  <c r="CB1030" i="3" s="1"/>
  <c r="BZ951" i="3"/>
  <c r="CA951" i="3" s="1"/>
  <c r="CB951" i="3" s="1"/>
  <c r="BZ979" i="3"/>
  <c r="CA979" i="3" s="1"/>
  <c r="CB979" i="3" s="1"/>
  <c r="BZ1394" i="3"/>
  <c r="CA1394" i="3" s="1"/>
  <c r="CB1394" i="3" s="1"/>
  <c r="BZ895" i="3"/>
  <c r="CA895" i="3" s="1"/>
  <c r="CB895" i="3" s="1"/>
  <c r="BZ1226" i="3"/>
  <c r="CA1226" i="3" s="1"/>
  <c r="CB1226" i="3" s="1"/>
  <c r="BZ1150" i="3"/>
  <c r="CA1150" i="3" s="1"/>
  <c r="CB1150" i="3" s="1"/>
  <c r="BZ1168" i="3"/>
  <c r="CA1168" i="3" s="1"/>
  <c r="CB1168" i="3" s="1"/>
  <c r="BZ539" i="3"/>
  <c r="CA539" i="3" s="1"/>
  <c r="CB539" i="3" s="1"/>
  <c r="BZ804" i="3"/>
  <c r="CA804" i="3" s="1"/>
  <c r="CB804" i="3" s="1"/>
  <c r="BZ1195" i="3"/>
  <c r="CA1195" i="3" s="1"/>
  <c r="CB1195" i="3" s="1"/>
  <c r="BZ1300" i="3"/>
  <c r="CA1300" i="3" s="1"/>
  <c r="CB1300" i="3" s="1"/>
  <c r="BZ1356" i="3"/>
  <c r="CA1356" i="3" s="1"/>
  <c r="CB1356" i="3" s="1"/>
  <c r="BZ737" i="3"/>
  <c r="CA737" i="3" s="1"/>
  <c r="CB737" i="3" s="1"/>
  <c r="BZ982" i="3"/>
  <c r="CA982" i="3" s="1"/>
  <c r="CB982" i="3" s="1"/>
  <c r="BZ1387" i="3"/>
  <c r="CA1387" i="3" s="1"/>
  <c r="CB1387" i="3" s="1"/>
  <c r="BZ1446" i="3"/>
  <c r="CA1446" i="3" s="1"/>
  <c r="CB1446" i="3" s="1"/>
  <c r="BZ1439" i="3"/>
  <c r="CA1439" i="3" s="1"/>
  <c r="CB1439" i="3" s="1"/>
  <c r="BZ1231" i="3"/>
  <c r="CA1231" i="3" s="1"/>
  <c r="CB1231" i="3" s="1"/>
  <c r="BZ775" i="3"/>
  <c r="CA775" i="3" s="1"/>
  <c r="CB775" i="3" s="1"/>
  <c r="BZ544" i="3"/>
  <c r="CA544" i="3" s="1"/>
  <c r="CB544" i="3" s="1"/>
  <c r="BZ1052" i="3"/>
  <c r="CA1052" i="3" s="1"/>
  <c r="CB1052" i="3" s="1"/>
  <c r="BZ1190" i="3"/>
  <c r="CA1190" i="3" s="1"/>
  <c r="CB1190" i="3" s="1"/>
  <c r="BZ1245" i="3"/>
  <c r="CA1245" i="3" s="1"/>
  <c r="CB1245" i="3" s="1"/>
  <c r="BZ1260" i="3"/>
  <c r="CA1260" i="3" s="1"/>
  <c r="CB1260" i="3" s="1"/>
  <c r="BZ922" i="3"/>
  <c r="CA922" i="3" s="1"/>
  <c r="CB922" i="3" s="1"/>
  <c r="BZ1099" i="3"/>
  <c r="CA1099" i="3" s="1"/>
  <c r="CB1099" i="3" s="1"/>
  <c r="BZ1017" i="3"/>
  <c r="CA1017" i="3" s="1"/>
  <c r="CB1017" i="3" s="1"/>
  <c r="BZ1225" i="3"/>
  <c r="CA1225" i="3" s="1"/>
  <c r="CB1225" i="3" s="1"/>
  <c r="BZ542" i="3"/>
  <c r="CA542" i="3" s="1"/>
  <c r="CB542" i="3" s="1"/>
  <c r="BZ658" i="3"/>
  <c r="CA658" i="3" s="1"/>
  <c r="CB658" i="3" s="1"/>
  <c r="BZ1328" i="3"/>
  <c r="CA1328" i="3" s="1"/>
  <c r="CB1328" i="3" s="1"/>
  <c r="BZ1411" i="3"/>
  <c r="CA1411" i="3" s="1"/>
  <c r="CB1411" i="3" s="1"/>
  <c r="BZ1469" i="3"/>
  <c r="CA1469" i="3" s="1"/>
  <c r="CB1469" i="3" s="1"/>
  <c r="BZ637" i="3"/>
  <c r="CA637" i="3" s="1"/>
  <c r="CB637" i="3" s="1"/>
  <c r="BZ933" i="3"/>
  <c r="CA933" i="3" s="1"/>
  <c r="CB933" i="3" s="1"/>
  <c r="BZ1069" i="3"/>
  <c r="CA1069" i="3" s="1"/>
  <c r="CB1069" i="3" s="1"/>
  <c r="BZ1280" i="3"/>
  <c r="CA1280" i="3" s="1"/>
  <c r="CB1280" i="3" s="1"/>
  <c r="BZ1305" i="3"/>
  <c r="CA1305" i="3" s="1"/>
  <c r="CB1305" i="3" s="1"/>
  <c r="BZ686" i="3"/>
  <c r="CA686" i="3" s="1"/>
  <c r="CB686" i="3" s="1"/>
  <c r="BZ555" i="3"/>
  <c r="CA555" i="3" s="1"/>
  <c r="CB555" i="3" s="1"/>
  <c r="BZ1261" i="3"/>
  <c r="CA1261" i="3" s="1"/>
  <c r="CB1261" i="3" s="1"/>
  <c r="BZ1209" i="3"/>
  <c r="CA1209" i="3" s="1"/>
  <c r="CB1209" i="3" s="1"/>
  <c r="BZ1266" i="3"/>
  <c r="CA1266" i="3" s="1"/>
  <c r="CB1266" i="3" s="1"/>
  <c r="BZ641" i="3"/>
  <c r="CA641" i="3" s="1"/>
  <c r="CB641" i="3" s="1"/>
  <c r="BZ1202" i="3"/>
  <c r="CA1202" i="3" s="1"/>
  <c r="CB1202" i="3" s="1"/>
  <c r="BZ1094" i="3"/>
  <c r="CA1094" i="3" s="1"/>
  <c r="CB1094" i="3" s="1"/>
  <c r="BZ1222" i="3"/>
  <c r="CA1222" i="3" s="1"/>
  <c r="CB1222" i="3" s="1"/>
  <c r="BZ1187" i="3"/>
  <c r="CA1187" i="3" s="1"/>
  <c r="CB1187" i="3" s="1"/>
  <c r="BZ550" i="3"/>
  <c r="CA550" i="3" s="1"/>
  <c r="CB550" i="3" s="1"/>
  <c r="BZ795" i="3"/>
  <c r="CA795" i="3" s="1"/>
  <c r="CB795" i="3" s="1"/>
  <c r="BZ1198" i="3"/>
  <c r="CA1198" i="3" s="1"/>
  <c r="CB1198" i="3" s="1"/>
  <c r="BZ1175" i="3"/>
  <c r="CA1175" i="3" s="1"/>
  <c r="CB1175" i="3" s="1"/>
  <c r="BZ883" i="3"/>
  <c r="CA883" i="3" s="1"/>
  <c r="CB883" i="3" s="1"/>
  <c r="BZ1079" i="3"/>
  <c r="CA1079" i="3" s="1"/>
  <c r="CB1079" i="3" s="1"/>
  <c r="BZ1135" i="3"/>
  <c r="CA1135" i="3" s="1"/>
  <c r="CB1135" i="3" s="1"/>
  <c r="BZ1140" i="3"/>
  <c r="CA1140" i="3" s="1"/>
  <c r="CB1140" i="3" s="1"/>
  <c r="BZ1404" i="3"/>
  <c r="CA1404" i="3" s="1"/>
  <c r="CB1404" i="3" s="1"/>
  <c r="BZ1455" i="3"/>
  <c r="CA1455" i="3" s="1"/>
  <c r="CB1455" i="3" s="1"/>
  <c r="BZ1207" i="3"/>
  <c r="CA1207" i="3" s="1"/>
  <c r="CB1207" i="3" s="1"/>
  <c r="BZ911" i="3"/>
  <c r="CA911" i="3" s="1"/>
  <c r="CB911" i="3" s="1"/>
  <c r="BZ1153" i="3"/>
  <c r="CA1153" i="3" s="1"/>
  <c r="CB1153" i="3" s="1"/>
  <c r="BZ325" i="3"/>
  <c r="CA325" i="3" s="1"/>
  <c r="CB325" i="3" s="1"/>
  <c r="BZ1156" i="3"/>
  <c r="CA1156" i="3" s="1"/>
  <c r="CB1156" i="3" s="1"/>
  <c r="BZ1448" i="3"/>
  <c r="CA1448" i="3" s="1"/>
  <c r="CB1448" i="3" s="1"/>
  <c r="BZ1275" i="3"/>
  <c r="CA1275" i="3" s="1"/>
  <c r="CB1275" i="3" s="1"/>
  <c r="BZ450" i="3"/>
  <c r="CA450" i="3" s="1"/>
  <c r="CB450" i="3" s="1"/>
  <c r="BZ1093" i="3"/>
  <c r="CA1093" i="3" s="1"/>
  <c r="CB1093" i="3" s="1"/>
  <c r="BZ939" i="3"/>
  <c r="CA939" i="3" s="1"/>
  <c r="CB939" i="3" s="1"/>
  <c r="BZ1250" i="3"/>
  <c r="CA1250" i="3" s="1"/>
  <c r="CB1250" i="3" s="1"/>
  <c r="BZ1366" i="3"/>
  <c r="CA1366" i="3" s="1"/>
  <c r="CB1366" i="3" s="1"/>
  <c r="BZ671" i="3"/>
  <c r="CA671" i="3" s="1"/>
  <c r="CB671" i="3" s="1"/>
  <c r="BZ421" i="3"/>
  <c r="CA421" i="3" s="1"/>
  <c r="CB421" i="3" s="1"/>
  <c r="BZ1367" i="3"/>
  <c r="CA1367" i="3" s="1"/>
  <c r="CB1367" i="3" s="1"/>
  <c r="BZ1410" i="3"/>
  <c r="CA1410" i="3" s="1"/>
  <c r="CB1410" i="3" s="1"/>
  <c r="BZ1413" i="3"/>
  <c r="CA1413" i="3" s="1"/>
  <c r="CB1413" i="3" s="1"/>
  <c r="BZ999" i="3"/>
  <c r="CA999" i="3" s="1"/>
  <c r="CB999" i="3" s="1"/>
  <c r="BZ1021" i="3"/>
  <c r="CA1021" i="3" s="1"/>
  <c r="CB1021" i="3" s="1"/>
  <c r="BZ1276" i="3"/>
  <c r="CA1276" i="3" s="1"/>
  <c r="CB1276" i="3" s="1"/>
  <c r="BZ1327" i="3"/>
  <c r="CA1327" i="3" s="1"/>
  <c r="CB1327" i="3" s="1"/>
  <c r="BZ1383" i="3"/>
  <c r="CA1383" i="3" s="1"/>
  <c r="CB1383" i="3" s="1"/>
  <c r="BZ1012" i="3"/>
  <c r="CA1012" i="3" s="1"/>
  <c r="CB1012" i="3" s="1"/>
  <c r="BZ1262" i="3"/>
  <c r="CA1262" i="3" s="1"/>
  <c r="CB1262" i="3" s="1"/>
  <c r="BZ1489" i="3"/>
  <c r="CA1489" i="3" s="1"/>
  <c r="CB1489" i="3" s="1"/>
  <c r="BZ1071" i="3"/>
  <c r="CA1071" i="3" s="1"/>
  <c r="CB1071" i="3" s="1"/>
  <c r="BZ990" i="3"/>
  <c r="CA990" i="3" s="1"/>
  <c r="CB990" i="3" s="1"/>
  <c r="BZ1036" i="3"/>
  <c r="CA1036" i="3" s="1"/>
  <c r="CB1036" i="3" s="1"/>
  <c r="BZ1412" i="3"/>
  <c r="CA1412" i="3" s="1"/>
  <c r="CB1412" i="3" s="1"/>
  <c r="BZ796" i="3"/>
  <c r="CA796" i="3" s="1"/>
  <c r="CB796" i="3" s="1"/>
  <c r="BZ927" i="3"/>
  <c r="CA927" i="3" s="1"/>
  <c r="CB927" i="3" s="1"/>
  <c r="BZ1026" i="3"/>
  <c r="CA1026" i="3" s="1"/>
  <c r="CB1026" i="3" s="1"/>
  <c r="BZ1206" i="3"/>
  <c r="CA1206" i="3" s="1"/>
  <c r="CB1206" i="3" s="1"/>
  <c r="BZ715" i="3"/>
  <c r="CA715" i="3" s="1"/>
  <c r="CB715" i="3" s="1"/>
  <c r="BZ792" i="3"/>
  <c r="CA792" i="3" s="1"/>
  <c r="CB792" i="3" s="1"/>
  <c r="BZ1176" i="3"/>
  <c r="CA1176" i="3" s="1"/>
  <c r="CB1176" i="3" s="1"/>
  <c r="BZ1286" i="3"/>
  <c r="CA1286" i="3" s="1"/>
  <c r="CB1286" i="3" s="1"/>
  <c r="BZ1342" i="3"/>
  <c r="CA1342" i="3" s="1"/>
  <c r="CB1342" i="3" s="1"/>
  <c r="BZ453" i="3"/>
  <c r="CA453" i="3" s="1"/>
  <c r="CB453" i="3" s="1"/>
  <c r="BZ997" i="3"/>
  <c r="CA997" i="3" s="1"/>
  <c r="CB997" i="3" s="1"/>
  <c r="BZ1257" i="3"/>
  <c r="CA1257" i="3" s="1"/>
  <c r="CB1257" i="3" s="1"/>
  <c r="BZ1416" i="3"/>
  <c r="CA1416" i="3" s="1"/>
  <c r="CB1416" i="3" s="1"/>
  <c r="BZ1433" i="3"/>
  <c r="CA1433" i="3" s="1"/>
  <c r="CB1433" i="3" s="1"/>
  <c r="BZ842" i="3"/>
  <c r="CA842" i="3" s="1"/>
  <c r="CB842" i="3" s="1"/>
  <c r="BZ545" i="3"/>
  <c r="CA545" i="3" s="1"/>
  <c r="CB545" i="3" s="1"/>
  <c r="BZ1485" i="3"/>
  <c r="CA1485" i="3" s="1"/>
  <c r="CB1485" i="3" s="1"/>
  <c r="BZ1080" i="3"/>
  <c r="CA1080" i="3" s="1"/>
  <c r="CB1080" i="3" s="1"/>
  <c r="BZ1249" i="3"/>
  <c r="CA1249" i="3" s="1"/>
  <c r="CB1249" i="3" s="1"/>
  <c r="BZ954" i="3"/>
  <c r="CA954" i="3" s="1"/>
  <c r="CB954" i="3" s="1"/>
  <c r="BZ1284" i="3"/>
  <c r="CA1284" i="3" s="1"/>
  <c r="CB1284" i="3" s="1"/>
  <c r="BZ650" i="3"/>
  <c r="CA650" i="3" s="1"/>
  <c r="CB650" i="3" s="1"/>
  <c r="BZ1149" i="3"/>
  <c r="CA1149" i="3" s="1"/>
  <c r="CB1149" i="3" s="1"/>
  <c r="BZ1045" i="3"/>
  <c r="CA1045" i="3" s="1"/>
  <c r="CB1045" i="3" s="1"/>
  <c r="BZ1081" i="3"/>
  <c r="CA1081" i="3" s="1"/>
  <c r="CB1081" i="3" s="1"/>
  <c r="BZ866" i="3"/>
  <c r="CA866" i="3" s="1"/>
  <c r="CB866" i="3" s="1"/>
  <c r="BZ449" i="3"/>
  <c r="CA449" i="3" s="1"/>
  <c r="CB449" i="3" s="1"/>
  <c r="BZ955" i="3"/>
  <c r="CA955" i="3" s="1"/>
  <c r="CB955" i="3" s="1"/>
  <c r="BZ1163" i="3"/>
  <c r="CA1163" i="3" s="1"/>
  <c r="CB1163" i="3" s="1"/>
  <c r="BZ1268" i="3"/>
  <c r="CA1268" i="3" s="1"/>
  <c r="CB1268" i="3" s="1"/>
  <c r="BZ549" i="3"/>
  <c r="CA549" i="3" s="1"/>
  <c r="CB549" i="3" s="1"/>
  <c r="BZ956" i="3"/>
  <c r="CA956" i="3" s="1"/>
  <c r="CB956" i="3" s="1"/>
  <c r="BZ998" i="3"/>
  <c r="CA998" i="3" s="1"/>
  <c r="CB998" i="3" s="1"/>
  <c r="BZ925" i="3"/>
  <c r="CA925" i="3" s="1"/>
  <c r="CB925" i="3" s="1"/>
  <c r="BZ1299" i="3"/>
  <c r="CA1299" i="3" s="1"/>
  <c r="CB1299" i="3" s="1"/>
  <c r="BZ655" i="3"/>
  <c r="CA655" i="3" s="1"/>
  <c r="CB655" i="3" s="1"/>
  <c r="BZ859" i="3"/>
  <c r="CA859" i="3" s="1"/>
  <c r="CB859" i="3" s="1"/>
  <c r="BZ962" i="3"/>
  <c r="CA962" i="3" s="1"/>
  <c r="CB962" i="3" s="1"/>
  <c r="BZ1075" i="3"/>
  <c r="CA1075" i="3" s="1"/>
  <c r="CB1075" i="3" s="1"/>
  <c r="BZ1121" i="3"/>
  <c r="CA1121" i="3" s="1"/>
  <c r="CB1121" i="3" s="1"/>
  <c r="BZ1407" i="3"/>
  <c r="CA1407" i="3" s="1"/>
  <c r="CB1407" i="3" s="1"/>
  <c r="BZ794" i="3"/>
  <c r="CA794" i="3" s="1"/>
  <c r="CB794" i="3" s="1"/>
  <c r="BZ1112" i="3"/>
  <c r="CA1112" i="3" s="1"/>
  <c r="CB1112" i="3" s="1"/>
  <c r="BZ942" i="3"/>
  <c r="CA942" i="3" s="1"/>
  <c r="CB942" i="3" s="1"/>
  <c r="BZ1040" i="3"/>
  <c r="CA1040" i="3" s="1"/>
  <c r="CB1040" i="3" s="1"/>
  <c r="BZ577" i="3"/>
  <c r="CA577" i="3" s="1"/>
  <c r="CB577" i="3" s="1"/>
  <c r="BZ799" i="3"/>
  <c r="CA799" i="3" s="1"/>
  <c r="CB799" i="3" s="1"/>
  <c r="BZ618" i="3"/>
  <c r="CA618" i="3" s="1"/>
  <c r="CB618" i="3" s="1"/>
  <c r="BZ1199" i="3"/>
  <c r="CA1199" i="3" s="1"/>
  <c r="CB1199" i="3" s="1"/>
  <c r="BZ1295" i="3"/>
  <c r="CA1295" i="3" s="1"/>
  <c r="CB1295" i="3" s="1"/>
  <c r="BZ1351" i="3"/>
  <c r="CA1351" i="3" s="1"/>
  <c r="CB1351" i="3" s="1"/>
  <c r="BZ740" i="3"/>
  <c r="CA740" i="3" s="1"/>
  <c r="CB740" i="3" s="1"/>
  <c r="BZ1059" i="3"/>
  <c r="CA1059" i="3" s="1"/>
  <c r="CB1059" i="3" s="1"/>
  <c r="BZ1390" i="3"/>
  <c r="CA1390" i="3" s="1"/>
  <c r="CB1390" i="3" s="1"/>
  <c r="BZ1449" i="3"/>
  <c r="CA1449" i="3" s="1"/>
  <c r="CB1449" i="3" s="1"/>
  <c r="BZ1426" i="3"/>
  <c r="CA1426" i="3" s="1"/>
  <c r="CB1426" i="3" s="1"/>
  <c r="BZ929" i="3"/>
  <c r="CA929" i="3" s="1"/>
  <c r="CB929" i="3" s="1"/>
  <c r="BZ837" i="3"/>
  <c r="CA837" i="3" s="1"/>
  <c r="CB837" i="3" s="1"/>
  <c r="BZ347" i="3"/>
  <c r="CA347" i="3" s="1"/>
  <c r="CB347" i="3" s="1"/>
  <c r="BZ1137" i="3"/>
  <c r="CA1137" i="3" s="1"/>
  <c r="CB1137" i="3" s="1"/>
  <c r="BZ926" i="3"/>
  <c r="CA926" i="3" s="1"/>
  <c r="CB926" i="3" s="1"/>
  <c r="BZ1084" i="3"/>
  <c r="CA1084" i="3" s="1"/>
  <c r="CB1084" i="3" s="1"/>
  <c r="BZ825" i="3"/>
  <c r="CA825" i="3" s="1"/>
  <c r="CB825" i="3" s="1"/>
  <c r="BZ1063" i="3"/>
  <c r="CA1063" i="3" s="1"/>
  <c r="CB1063" i="3" s="1"/>
  <c r="BZ978" i="3"/>
  <c r="CA978" i="3" s="1"/>
  <c r="CB978" i="3" s="1"/>
  <c r="BZ1097" i="3"/>
  <c r="CA1097" i="3" s="1"/>
  <c r="CB1097" i="3" s="1"/>
  <c r="BZ1336" i="3"/>
  <c r="CA1336" i="3" s="1"/>
  <c r="CB1336" i="3" s="1"/>
  <c r="BZ548" i="3"/>
  <c r="CA548" i="3" s="1"/>
  <c r="CB548" i="3" s="1"/>
  <c r="BZ469" i="3"/>
  <c r="CA469" i="3" s="1"/>
  <c r="CB469" i="3" s="1"/>
  <c r="BZ1361" i="3"/>
  <c r="CA1361" i="3" s="1"/>
  <c r="CB1361" i="3" s="1"/>
  <c r="BZ1428" i="3"/>
  <c r="CA1428" i="3" s="1"/>
  <c r="CB1428" i="3" s="1"/>
  <c r="BZ1171" i="3"/>
  <c r="CA1171" i="3" s="1"/>
  <c r="CB1171" i="3" s="1"/>
  <c r="BZ869" i="3"/>
  <c r="CA869" i="3" s="1"/>
  <c r="CB869" i="3" s="1"/>
  <c r="BZ1102" i="3"/>
  <c r="CA1102" i="3" s="1"/>
  <c r="CB1102" i="3" s="1"/>
  <c r="BZ1255" i="3"/>
  <c r="CA1255" i="3" s="1"/>
  <c r="CB1255" i="3" s="1"/>
  <c r="BZ1321" i="3"/>
  <c r="CA1321" i="3" s="1"/>
  <c r="CB1321" i="3" s="1"/>
  <c r="BZ1298" i="3"/>
  <c r="CA1298" i="3" s="1"/>
  <c r="CB1298" i="3" s="1"/>
  <c r="BZ899" i="3"/>
  <c r="CA899" i="3" s="1"/>
  <c r="CB899" i="3" s="1"/>
  <c r="BZ634" i="3"/>
  <c r="CA634" i="3" s="1"/>
  <c r="CB634" i="3" s="1"/>
  <c r="BZ1488" i="3"/>
  <c r="CA1488" i="3" s="1"/>
  <c r="CB1488" i="3" s="1"/>
  <c r="BZ1117" i="3"/>
  <c r="CA1117" i="3" s="1"/>
  <c r="CB1117" i="3" s="1"/>
  <c r="BZ1013" i="3"/>
  <c r="CA1013" i="3" s="1"/>
  <c r="CB1013" i="3" s="1"/>
  <c r="BZ1064" i="3"/>
  <c r="CA1064" i="3" s="1"/>
  <c r="CB1064" i="3" s="1"/>
  <c r="BZ1398" i="3"/>
  <c r="CA1398" i="3" s="1"/>
  <c r="CB1398" i="3" s="1"/>
  <c r="BZ628" i="3"/>
  <c r="CA628" i="3" s="1"/>
  <c r="CB628" i="3" s="1"/>
  <c r="BZ952" i="3"/>
  <c r="CA952" i="3" s="1"/>
  <c r="CB952" i="3" s="1"/>
  <c r="BZ1070" i="3"/>
  <c r="CA1070" i="3" s="1"/>
  <c r="CB1070" i="3" s="1"/>
  <c r="BZ934" i="3"/>
  <c r="CA934" i="3" s="1"/>
  <c r="CB934" i="3" s="1"/>
  <c r="BZ749" i="3"/>
  <c r="CA749" i="3" s="1"/>
  <c r="CB749" i="3" s="1"/>
  <c r="BZ456" i="3"/>
  <c r="CA456" i="3" s="1"/>
  <c r="CB456" i="3" s="1"/>
  <c r="BZ1037" i="3"/>
  <c r="CA1037" i="3" s="1"/>
  <c r="CB1037" i="3" s="1"/>
  <c r="BZ1215" i="3"/>
  <c r="CA1215" i="3" s="1"/>
  <c r="CB1215" i="3" s="1"/>
  <c r="BZ1312" i="3"/>
  <c r="CA1312" i="3" s="1"/>
  <c r="CB1312" i="3" s="1"/>
  <c r="BZ533" i="3"/>
  <c r="CA533" i="3" s="1"/>
  <c r="CB533" i="3" s="1"/>
  <c r="BZ1044" i="3"/>
  <c r="CA1044" i="3" s="1"/>
  <c r="CB1044" i="3" s="1"/>
  <c r="BZ1105" i="3"/>
  <c r="CA1105" i="3" s="1"/>
  <c r="CB1105" i="3" s="1"/>
  <c r="BZ1005" i="3"/>
  <c r="CA1005" i="3" s="1"/>
  <c r="CB1005" i="3" s="1"/>
  <c r="BZ1427" i="3"/>
  <c r="CA1427" i="3" s="1"/>
  <c r="CB1427" i="3" s="1"/>
  <c r="BZ698" i="3"/>
  <c r="CA698" i="3" s="1"/>
  <c r="CB698" i="3" s="1"/>
  <c r="BZ707" i="3"/>
  <c r="CA707" i="3" s="1"/>
  <c r="CB707" i="3" s="1"/>
  <c r="BZ1468" i="3"/>
  <c r="CA1468" i="3" s="1"/>
  <c r="CB1468" i="3" s="1"/>
  <c r="BZ1138" i="3"/>
  <c r="CA1138" i="3" s="1"/>
  <c r="CB1138" i="3" s="1"/>
  <c r="BZ941" i="3"/>
  <c r="CA941" i="3" s="1"/>
  <c r="CB941" i="3" s="1"/>
  <c r="BZ969" i="3"/>
  <c r="CA969" i="3" s="1"/>
  <c r="CB969" i="3" s="1"/>
  <c r="BZ1270" i="3"/>
  <c r="CA1270" i="3" s="1"/>
  <c r="CB1270" i="3" s="1"/>
  <c r="BZ538" i="3"/>
  <c r="CA538" i="3" s="1"/>
  <c r="CB538" i="3" s="1"/>
  <c r="BZ1119" i="3"/>
  <c r="CA1119" i="3" s="1"/>
  <c r="CB1119" i="3" s="1"/>
  <c r="BZ1090" i="3"/>
  <c r="CA1090" i="3" s="1"/>
  <c r="CB1090" i="3" s="1"/>
  <c r="BZ1139" i="3"/>
  <c r="CA1139" i="3" s="1"/>
  <c r="CB1139" i="3" s="1"/>
  <c r="BZ870" i="3"/>
  <c r="CA870" i="3" s="1"/>
  <c r="CB870" i="3" s="1"/>
  <c r="BZ591" i="3"/>
  <c r="CA591" i="3" s="1"/>
  <c r="CB591" i="3" s="1"/>
  <c r="BZ994" i="3"/>
  <c r="CA994" i="3" s="1"/>
  <c r="CB994" i="3" s="1"/>
  <c r="BZ1129" i="3"/>
  <c r="CA1129" i="3" s="1"/>
  <c r="CB1129" i="3" s="1"/>
  <c r="BZ1181" i="3"/>
  <c r="CA1181" i="3" s="1"/>
  <c r="CB1181" i="3" s="1"/>
  <c r="BZ1429" i="3"/>
  <c r="CA1429" i="3" s="1"/>
  <c r="CB1429" i="3" s="1"/>
  <c r="BZ858" i="3"/>
  <c r="CA858" i="3" s="1"/>
  <c r="CB858" i="3" s="1"/>
  <c r="BZ1039" i="3"/>
  <c r="CA1039" i="3" s="1"/>
  <c r="CB1039" i="3" s="1"/>
  <c r="BZ974" i="3"/>
  <c r="CA974" i="3" s="1"/>
  <c r="CB974" i="3" s="1"/>
  <c r="BZ1108" i="3"/>
  <c r="CA1108" i="3" s="1"/>
  <c r="CB1108" i="3" s="1"/>
  <c r="BZ646" i="3"/>
  <c r="CA646" i="3" s="1"/>
  <c r="CB646" i="3" s="1"/>
  <c r="BZ1482" i="3"/>
  <c r="CA1482" i="3" s="1"/>
  <c r="CB1482" i="3" s="1"/>
  <c r="BZ977" i="3"/>
  <c r="CA977" i="3" s="1"/>
  <c r="CB977" i="3" s="1"/>
  <c r="BZ1123" i="3"/>
  <c r="CA1123" i="3" s="1"/>
  <c r="CB1123" i="3" s="1"/>
  <c r="BZ1178" i="3"/>
  <c r="CA1178" i="3" s="1"/>
  <c r="CB1178" i="3" s="1"/>
  <c r="BZ1401" i="3"/>
  <c r="CA1401" i="3" s="1"/>
  <c r="CB1401" i="3" s="1"/>
  <c r="BZ814" i="3"/>
  <c r="CA814" i="3" s="1"/>
  <c r="CB814" i="3" s="1"/>
  <c r="BZ1019" i="3"/>
  <c r="CA1019" i="3" s="1"/>
  <c r="CB1019" i="3" s="1"/>
  <c r="BZ957" i="3"/>
  <c r="CA957" i="3" s="1"/>
  <c r="CB957" i="3" s="1"/>
  <c r="BZ1134" i="3"/>
  <c r="CA1134" i="3" s="1"/>
  <c r="CB1134" i="3" s="1"/>
  <c r="BZ736" i="3"/>
  <c r="CA736" i="3" s="1"/>
  <c r="CB736" i="3" s="1"/>
  <c r="BZ620" i="3"/>
  <c r="CA620" i="3" s="1"/>
  <c r="CB620" i="3" s="1"/>
  <c r="BZ573" i="3"/>
  <c r="CA573" i="3" s="1"/>
  <c r="CB573" i="3" s="1"/>
  <c r="BZ901" i="3"/>
  <c r="CA901" i="3" s="1"/>
  <c r="CB901" i="3" s="1"/>
  <c r="BZ1191" i="3"/>
  <c r="CA1191" i="3" s="1"/>
  <c r="CB1191" i="3" s="1"/>
  <c r="BZ1289" i="3"/>
  <c r="CA1289" i="3" s="1"/>
  <c r="CB1289" i="3" s="1"/>
  <c r="BZ1345" i="3"/>
  <c r="CA1345" i="3" s="1"/>
  <c r="CB1345" i="3" s="1"/>
  <c r="BZ759" i="3"/>
  <c r="CA759" i="3" s="1"/>
  <c r="CB759" i="3" s="1"/>
  <c r="BZ1107" i="3"/>
  <c r="CA1107" i="3" s="1"/>
  <c r="CB1107" i="3" s="1"/>
  <c r="BZ1360" i="3"/>
  <c r="CA1360" i="3" s="1"/>
  <c r="CB1360" i="3" s="1"/>
  <c r="BZ1443" i="3"/>
  <c r="CA1443" i="3" s="1"/>
  <c r="CB1443" i="3" s="1"/>
  <c r="BZ1444" i="3"/>
  <c r="CA1444" i="3" s="1"/>
  <c r="CB1444" i="3" s="1"/>
  <c r="BZ938" i="3"/>
  <c r="CA938" i="3" s="1"/>
  <c r="CB938" i="3" s="1"/>
  <c r="BZ557" i="3"/>
  <c r="CA557" i="3" s="1"/>
  <c r="CB557" i="3" s="1"/>
  <c r="BZ1476" i="3"/>
  <c r="CA1476" i="3" s="1"/>
  <c r="CB1476" i="3" s="1"/>
  <c r="BZ1194" i="3"/>
  <c r="CA1194" i="3" s="1"/>
  <c r="CB1194" i="3" s="1"/>
  <c r="BZ1118" i="3"/>
  <c r="CA1118" i="3" s="1"/>
  <c r="CB1118" i="3" s="1"/>
  <c r="BZ1014" i="3"/>
  <c r="CA1014" i="3" s="1"/>
  <c r="CB1014" i="3" s="1"/>
  <c r="BZ1279" i="3"/>
  <c r="CA1279" i="3" s="1"/>
  <c r="CB1279" i="3" s="1"/>
  <c r="BZ606" i="3"/>
  <c r="CA606" i="3" s="1"/>
  <c r="CB606" i="3" s="1"/>
  <c r="BZ993" i="3"/>
  <c r="CA993" i="3" s="1"/>
  <c r="CB993" i="3" s="1"/>
  <c r="BZ1155" i="3"/>
  <c r="CA1155" i="3" s="1"/>
  <c r="CB1155" i="3" s="1"/>
  <c r="BZ959" i="3"/>
  <c r="CA959" i="3" s="1"/>
  <c r="CB959" i="3" s="1"/>
  <c r="BZ848" i="3"/>
  <c r="CA848" i="3" s="1"/>
  <c r="CB848" i="3" s="1"/>
  <c r="BZ668" i="3"/>
  <c r="CA668" i="3" s="1"/>
  <c r="CB668" i="3" s="1"/>
  <c r="BZ1355" i="3"/>
  <c r="CA1355" i="3" s="1"/>
  <c r="CB1355" i="3" s="1"/>
  <c r="BZ1414" i="3"/>
  <c r="CA1414" i="3" s="1"/>
  <c r="CB1414" i="3" s="1"/>
  <c r="BZ1193" i="3"/>
  <c r="CA1193" i="3" s="1"/>
  <c r="CB1193" i="3" s="1"/>
  <c r="BZ486" i="3"/>
  <c r="CA486" i="3" s="1"/>
  <c r="CB486" i="3" s="1"/>
  <c r="BZ1120" i="3"/>
  <c r="CA1120" i="3" s="1"/>
  <c r="CB1120" i="3" s="1"/>
  <c r="BZ1243" i="3"/>
  <c r="CA1243" i="3" s="1"/>
  <c r="CB1243" i="3" s="1"/>
  <c r="BZ1315" i="3"/>
  <c r="CA1315" i="3" s="1"/>
  <c r="CB1315" i="3" s="1"/>
  <c r="BZ1316" i="3"/>
  <c r="CA1316" i="3" s="1"/>
  <c r="CB1316" i="3" s="1"/>
  <c r="BZ976" i="3"/>
  <c r="CA976" i="3" s="1"/>
  <c r="CB976" i="3" s="1"/>
  <c r="BZ554" i="3"/>
  <c r="CA554" i="3" s="1"/>
  <c r="CB554" i="3" s="1"/>
  <c r="BZ1480" i="3"/>
  <c r="CA1480" i="3" s="1"/>
  <c r="CB1480" i="3" s="1"/>
  <c r="BZ1087" i="3"/>
  <c r="CA1087" i="3" s="1"/>
  <c r="CB1087" i="3" s="1"/>
  <c r="BZ1060" i="3"/>
  <c r="CA1060" i="3" s="1"/>
  <c r="CB1060" i="3" s="1"/>
  <c r="BZ1122" i="3"/>
  <c r="CA1122" i="3" s="1"/>
  <c r="CB1122" i="3" s="1"/>
  <c r="BZ1368" i="3"/>
  <c r="CA1368" i="3" s="1"/>
  <c r="CB1368" i="3" s="1"/>
  <c r="BZ1463" i="3"/>
  <c r="CA1463" i="3" s="1"/>
  <c r="CB1463" i="3" s="1"/>
  <c r="BZ851" i="3"/>
  <c r="CA851" i="3" s="1"/>
  <c r="CB851" i="3" s="1"/>
  <c r="BZ1047" i="3"/>
  <c r="CA1047" i="3" s="1"/>
  <c r="CB1047" i="3" s="1"/>
  <c r="BZ949" i="3"/>
  <c r="CA949" i="3" s="1"/>
  <c r="CB949" i="3" s="1"/>
  <c r="BZ735" i="3"/>
  <c r="CA735" i="3" s="1"/>
  <c r="CB735" i="3" s="1"/>
  <c r="BZ190" i="3"/>
  <c r="CA190" i="3" s="1"/>
  <c r="CB190" i="3" s="1"/>
  <c r="BZ1126" i="3"/>
  <c r="CA1126" i="3" s="1"/>
  <c r="CB1126" i="3" s="1"/>
  <c r="BZ1254" i="3"/>
  <c r="CA1254" i="3" s="1"/>
  <c r="CB1254" i="3" s="1"/>
  <c r="BZ947" i="3"/>
  <c r="CA947" i="3" s="1"/>
  <c r="CB947" i="3" s="1"/>
  <c r="BZ1330" i="3"/>
  <c r="CA1330" i="3" s="1"/>
  <c r="CB1330" i="3" s="1"/>
  <c r="BZ920" i="3"/>
  <c r="CA920" i="3" s="1"/>
  <c r="CB920" i="3" s="1"/>
  <c r="BZ1162" i="3"/>
  <c r="CA1162" i="3" s="1"/>
  <c r="CB1162" i="3" s="1"/>
  <c r="BZ1086" i="3"/>
  <c r="CA1086" i="3" s="1"/>
  <c r="CB1086" i="3" s="1"/>
  <c r="BZ1269" i="3"/>
  <c r="CA1269" i="3" s="1"/>
  <c r="CB1269" i="3" s="1"/>
  <c r="BZ643" i="3"/>
  <c r="CA643" i="3" s="1"/>
  <c r="CB643" i="3" s="1"/>
  <c r="BZ741" i="3"/>
  <c r="CA741" i="3" s="1"/>
  <c r="CB741" i="3" s="1"/>
  <c r="BZ1418" i="3"/>
  <c r="CA1418" i="3" s="1"/>
  <c r="CB1418" i="3" s="1"/>
  <c r="BZ921" i="3"/>
  <c r="CA921" i="3" s="1"/>
  <c r="CB921" i="3" s="1"/>
  <c r="BZ964" i="3"/>
  <c r="CA964" i="3" s="1"/>
  <c r="CB964" i="3" s="1"/>
  <c r="BZ992" i="3"/>
  <c r="CA992" i="3" s="1"/>
  <c r="CB992" i="3" s="1"/>
  <c r="BZ1183" i="3"/>
  <c r="CA1183" i="3" s="1"/>
  <c r="CB1183" i="3" s="1"/>
  <c r="BZ1335" i="3"/>
  <c r="CA1335" i="3" s="1"/>
  <c r="CB1335" i="3" s="1"/>
  <c r="BZ1378" i="3"/>
  <c r="CA1378" i="3" s="1"/>
  <c r="CB1378" i="3" s="1"/>
  <c r="BZ1434" i="3"/>
  <c r="CA1434" i="3" s="1"/>
  <c r="CB1434" i="3" s="1"/>
  <c r="BZ1189" i="3"/>
  <c r="CA1189" i="3" s="1"/>
  <c r="CB1189" i="3" s="1"/>
  <c r="BZ1441" i="3"/>
  <c r="CA1441" i="3" s="1"/>
  <c r="CB1441" i="3" s="1"/>
  <c r="BZ1472" i="3"/>
  <c r="CA1472" i="3" s="1"/>
  <c r="CB1472" i="3" s="1"/>
  <c r="BZ1016" i="3"/>
  <c r="CA1016" i="3" s="1"/>
  <c r="CB1016" i="3" s="1"/>
  <c r="BZ1185" i="3"/>
  <c r="CA1185" i="3" s="1"/>
  <c r="CB1185" i="3" s="1"/>
  <c r="BZ1242" i="3"/>
  <c r="CA1242" i="3" s="1"/>
  <c r="CB1242" i="3" s="1"/>
  <c r="BZ1467" i="3"/>
  <c r="CA1467" i="3" s="1"/>
  <c r="CB1467" i="3" s="1"/>
  <c r="BZ878" i="3"/>
  <c r="CA878" i="3" s="1"/>
  <c r="CB878" i="3" s="1"/>
  <c r="BZ1085" i="3"/>
  <c r="CA1085" i="3" s="1"/>
  <c r="CB1085" i="3" s="1"/>
  <c r="BZ989" i="3"/>
  <c r="CA989" i="3" s="1"/>
  <c r="CB989" i="3" s="1"/>
  <c r="BZ1043" i="3"/>
  <c r="CA1043" i="3" s="1"/>
  <c r="CB1043" i="3" s="1"/>
  <c r="BZ802" i="3"/>
  <c r="CA802" i="3" s="1"/>
  <c r="CB802" i="3" s="1"/>
  <c r="BZ1474" i="3"/>
  <c r="CA1474" i="3" s="1"/>
  <c r="CB1474" i="3" s="1"/>
  <c r="BZ1009" i="3"/>
  <c r="CA1009" i="3" s="1"/>
  <c r="CB1009" i="3" s="1"/>
  <c r="BZ1173" i="3"/>
  <c r="CA1173" i="3" s="1"/>
  <c r="CB1173" i="3" s="1"/>
  <c r="BZ1230" i="3"/>
  <c r="CA1230" i="3" s="1"/>
  <c r="CB1230" i="3" s="1"/>
  <c r="BZ1395" i="3"/>
  <c r="CA1395" i="3" s="1"/>
  <c r="CB1395" i="3" s="1"/>
  <c r="BZ1450" i="3"/>
  <c r="CA1450" i="3" s="1"/>
  <c r="CB1450" i="3" s="1"/>
  <c r="BZ918" i="3"/>
  <c r="CA918" i="3" s="1"/>
  <c r="CB918" i="3" s="1"/>
  <c r="BZ980" i="3"/>
  <c r="CA980" i="3" s="1"/>
  <c r="CB980" i="3" s="1"/>
  <c r="BZ1010" i="3"/>
  <c r="CA1010" i="3" s="1"/>
  <c r="CB1010" i="3" s="1"/>
  <c r="BZ746" i="3"/>
  <c r="CA746" i="3" s="1"/>
  <c r="CB746" i="3" s="1"/>
  <c r="BZ492" i="3"/>
  <c r="CA492" i="3" s="1"/>
  <c r="CB492" i="3" s="1"/>
  <c r="BZ832" i="3"/>
  <c r="CA832" i="3" s="1"/>
  <c r="CB832" i="3" s="1"/>
  <c r="BZ474" i="3"/>
  <c r="CA474" i="3" s="1"/>
  <c r="CB474" i="3" s="1"/>
  <c r="BZ1154" i="3"/>
  <c r="CA1154" i="3" s="1"/>
  <c r="CB1154" i="3" s="1"/>
  <c r="BZ1283" i="3"/>
  <c r="CA1283" i="3" s="1"/>
  <c r="CB1283" i="3" s="1"/>
  <c r="BZ1339" i="3"/>
  <c r="CA1339" i="3" s="1"/>
  <c r="CB1339" i="3" s="1"/>
  <c r="BZ601" i="3"/>
  <c r="CA601" i="3" s="1"/>
  <c r="CB601" i="3" s="1"/>
  <c r="BZ1157" i="3"/>
  <c r="CA1157" i="3" s="1"/>
  <c r="CB1157" i="3" s="1"/>
  <c r="BZ971" i="3"/>
  <c r="CA971" i="3" s="1"/>
  <c r="CB971" i="3" s="1"/>
  <c r="BZ1167" i="3"/>
  <c r="CA1167" i="3" s="1"/>
  <c r="CB1167" i="3" s="1"/>
  <c r="BZ1430" i="3"/>
  <c r="CA1430" i="3" s="1"/>
  <c r="CB1430" i="3" s="1"/>
  <c r="BZ764" i="3"/>
  <c r="CA764" i="3" s="1"/>
  <c r="CB764" i="3" s="1"/>
  <c r="BZ596" i="3"/>
  <c r="CA596" i="3" s="1"/>
  <c r="CB596" i="3" s="1"/>
  <c r="BZ1490" i="3"/>
  <c r="CA1490" i="3" s="1"/>
  <c r="CB1490" i="3" s="1"/>
  <c r="BZ1246" i="3"/>
  <c r="CA1246" i="3" s="1"/>
  <c r="CB1246" i="3" s="1"/>
  <c r="BZ1136" i="3"/>
  <c r="CA1136" i="3" s="1"/>
  <c r="CB1136" i="3" s="1"/>
  <c r="BZ1055" i="3"/>
  <c r="CA1055" i="3" s="1"/>
  <c r="CB1055" i="3" s="1"/>
  <c r="BZ1273" i="3"/>
  <c r="CA1273" i="3" s="1"/>
  <c r="CB1273" i="3" s="1"/>
  <c r="BZ682" i="3"/>
  <c r="CA682" i="3" s="1"/>
  <c r="CB682" i="3" s="1"/>
  <c r="BZ1041" i="3"/>
  <c r="CA1041" i="3" s="1"/>
  <c r="CB1041" i="3" s="1"/>
  <c r="BZ1205" i="3"/>
  <c r="CA1205" i="3" s="1"/>
  <c r="CB1205" i="3" s="1"/>
  <c r="BZ1001" i="3"/>
  <c r="CA1001" i="3" s="1"/>
  <c r="CB1001" i="3" s="1"/>
  <c r="BZ877" i="3"/>
  <c r="CA877" i="3" s="1"/>
  <c r="CB877" i="3" s="1"/>
  <c r="BZ504" i="3"/>
  <c r="CA504" i="3" s="1"/>
  <c r="CB504" i="3" s="1"/>
  <c r="BZ1106" i="3"/>
  <c r="CA1106" i="3" s="1"/>
  <c r="CB1106" i="3" s="1"/>
  <c r="BZ1384" i="3"/>
  <c r="CA1384" i="3" s="1"/>
  <c r="CB1384" i="3" s="1"/>
  <c r="BZ1440" i="3"/>
  <c r="CA1440" i="3" s="1"/>
  <c r="CB1440" i="3" s="1"/>
  <c r="BZ564" i="3"/>
  <c r="CA564" i="3" s="1"/>
  <c r="CB564" i="3" s="1"/>
  <c r="BZ1022" i="3"/>
  <c r="CA1022" i="3" s="1"/>
  <c r="CB1022" i="3" s="1"/>
  <c r="BZ1229" i="3"/>
  <c r="CA1229" i="3" s="1"/>
  <c r="CB1229" i="3" s="1"/>
  <c r="BZ1124" i="3"/>
  <c r="CA1124" i="3" s="1"/>
  <c r="CB1124" i="3" s="1"/>
  <c r="BZ1302" i="3"/>
  <c r="CA1302" i="3" s="1"/>
  <c r="CB1302" i="3" s="1"/>
  <c r="BZ862" i="3"/>
  <c r="CA862" i="3" s="1"/>
  <c r="CB862" i="3" s="1"/>
  <c r="BZ841" i="3"/>
  <c r="CA841" i="3" s="1"/>
  <c r="CB841" i="3" s="1"/>
  <c r="BZ1303" i="3"/>
  <c r="CA1303" i="3" s="1"/>
  <c r="CB1303" i="3" s="1"/>
  <c r="BZ1346" i="3"/>
  <c r="CA1346" i="3" s="1"/>
  <c r="CB1346" i="3" s="1"/>
  <c r="BZ1402" i="3"/>
  <c r="CA1402" i="3" s="1"/>
  <c r="CB1402" i="3" s="1"/>
  <c r="BZ906" i="3"/>
  <c r="CA906" i="3" s="1"/>
  <c r="CB906" i="3" s="1"/>
  <c r="BZ975" i="3"/>
  <c r="CA975" i="3" s="1"/>
  <c r="CB975" i="3" s="1"/>
  <c r="BZ1457" i="3"/>
  <c r="CA1457" i="3" s="1"/>
  <c r="CB1457" i="3" s="1"/>
  <c r="BZ1256" i="3"/>
  <c r="CA1256" i="3" s="1"/>
  <c r="CB1256" i="3" s="1"/>
  <c r="BZ1319" i="3"/>
  <c r="CA1319" i="3" s="1"/>
  <c r="CB1319" i="3" s="1"/>
  <c r="BZ972" i="3"/>
  <c r="CA972" i="3" s="1"/>
  <c r="CB972" i="3" s="1"/>
  <c r="BZ944" i="3"/>
  <c r="CA944" i="3" s="1"/>
  <c r="CB944" i="3" s="1"/>
  <c r="BZ1484" i="3"/>
  <c r="CA1484" i="3" s="1"/>
  <c r="CB1484" i="3" s="1"/>
  <c r="BZ1007" i="3"/>
  <c r="CA1007" i="3" s="1"/>
  <c r="CB1007" i="3" s="1"/>
  <c r="BZ958" i="3"/>
  <c r="CA958" i="3" s="1"/>
  <c r="CB958" i="3" s="1"/>
  <c r="BZ986" i="3"/>
  <c r="CA986" i="3" s="1"/>
  <c r="CB986" i="3" s="1"/>
  <c r="BZ1348" i="3"/>
  <c r="CA1348" i="3" s="1"/>
  <c r="CB1348" i="3" s="1"/>
  <c r="BZ729" i="3"/>
  <c r="CA729" i="3" s="1"/>
  <c r="CB729" i="3" s="1"/>
  <c r="BZ1214" i="3"/>
  <c r="CA1214" i="3" s="1"/>
  <c r="CB1214" i="3" s="1"/>
  <c r="BZ1104" i="3"/>
  <c r="CA1104" i="3" s="1"/>
  <c r="CB1104" i="3" s="1"/>
  <c r="BZ1145" i="3"/>
  <c r="CA1145" i="3" s="1"/>
  <c r="CB1145" i="3" s="1"/>
  <c r="BZ565" i="3"/>
  <c r="CA565" i="3" s="1"/>
  <c r="CB565" i="3" s="1"/>
  <c r="BZ727" i="3"/>
  <c r="CA727" i="3" s="1"/>
  <c r="CB727" i="3" s="1"/>
  <c r="BZ1436" i="3"/>
  <c r="CA1436" i="3" s="1"/>
  <c r="CB1436" i="3" s="1"/>
  <c r="BZ1152" i="3"/>
  <c r="CA1152" i="3" s="1"/>
  <c r="CB1152" i="3" s="1"/>
  <c r="BZ1274" i="3"/>
  <c r="CA1274" i="3" s="1"/>
  <c r="CB1274" i="3" s="1"/>
  <c r="BZ930" i="3"/>
  <c r="CA930" i="3" s="1"/>
  <c r="CB930" i="3" s="1"/>
  <c r="BZ1238" i="3"/>
  <c r="CA1238" i="3" s="1"/>
  <c r="CB1238" i="3" s="1"/>
  <c r="BZ1329" i="3"/>
  <c r="CA1329" i="3" s="1"/>
  <c r="CB1329" i="3" s="1"/>
  <c r="BZ1396" i="3"/>
  <c r="CA1396" i="3" s="1"/>
  <c r="CB1396" i="3" s="1"/>
  <c r="BZ1452" i="3"/>
  <c r="CA1452" i="3" s="1"/>
  <c r="CB1452" i="3" s="1"/>
  <c r="BZ1161" i="3"/>
  <c r="CA1161" i="3" s="1"/>
  <c r="CB1161" i="3" s="1"/>
  <c r="BZ835" i="3"/>
  <c r="CA835" i="3" s="1"/>
  <c r="CB835" i="3" s="1"/>
  <c r="BZ1483" i="3"/>
  <c r="CA1483" i="3" s="1"/>
  <c r="CB1483" i="3" s="1"/>
  <c r="BZ1073" i="3"/>
  <c r="CA1073" i="3" s="1"/>
  <c r="CB1073" i="3" s="1"/>
  <c r="BZ1237" i="3"/>
  <c r="CA1237" i="3" s="1"/>
  <c r="CB1237" i="3" s="1"/>
  <c r="BZ937" i="3"/>
  <c r="CA937" i="3" s="1"/>
  <c r="CB937" i="3" s="1"/>
  <c r="BZ1459" i="3"/>
  <c r="CA1459" i="3" s="1"/>
  <c r="CB1459" i="3" s="1"/>
  <c r="BZ645" i="3"/>
  <c r="CA645" i="3" s="1"/>
  <c r="CB645" i="3" s="1"/>
  <c r="BZ1050" i="3"/>
  <c r="CA1050" i="3" s="1"/>
  <c r="CB1050" i="3" s="1"/>
  <c r="BZ1028" i="3"/>
  <c r="CA1028" i="3" s="1"/>
  <c r="CB1028" i="3" s="1"/>
  <c r="BZ1074" i="3"/>
  <c r="CA1074" i="3" s="1"/>
  <c r="CB1074" i="3" s="1"/>
  <c r="BZ806" i="3"/>
  <c r="CA806" i="3" s="1"/>
  <c r="CB806" i="3" s="1"/>
  <c r="BZ1290" i="3"/>
  <c r="CA1290" i="3" s="1"/>
  <c r="CB1290" i="3" s="1"/>
  <c r="BZ888" i="3"/>
  <c r="CA888" i="3" s="1"/>
  <c r="CB888" i="3" s="1"/>
  <c r="BZ1143" i="3"/>
  <c r="CA1143" i="3" s="1"/>
  <c r="CB1143" i="3" s="1"/>
  <c r="BZ1218" i="3"/>
  <c r="CA1218" i="3" s="1"/>
  <c r="CB1218" i="3" s="1"/>
  <c r="BZ1146" i="3"/>
  <c r="CA1146" i="3" s="1"/>
  <c r="CB1146" i="3" s="1"/>
  <c r="BZ1465" i="3"/>
  <c r="CA1465" i="3" s="1"/>
  <c r="CB1465" i="3" s="1"/>
  <c r="BZ1228" i="3"/>
  <c r="CA1228" i="3" s="1"/>
  <c r="CB1228" i="3" s="1"/>
  <c r="BZ1306" i="3"/>
  <c r="CA1306" i="3" s="1"/>
  <c r="CB1306" i="3" s="1"/>
  <c r="BZ1054" i="3"/>
  <c r="CA1054" i="3" s="1"/>
  <c r="CB1054" i="3" s="1"/>
  <c r="BZ1267" i="3"/>
  <c r="CA1267" i="3" s="1"/>
  <c r="CB1267" i="3" s="1"/>
  <c r="BZ396" i="3"/>
  <c r="CA396" i="3" s="1"/>
  <c r="CB396" i="3" s="1"/>
  <c r="BZ861" i="3"/>
  <c r="CA861" i="3" s="1"/>
  <c r="CB861" i="3" s="1"/>
  <c r="BZ672" i="3"/>
  <c r="CA672" i="3" s="1"/>
  <c r="CB672" i="3" s="1"/>
  <c r="BZ739" i="3"/>
  <c r="CA739" i="3" s="1"/>
  <c r="CB739" i="3" s="1"/>
  <c r="BZ1197" i="3"/>
  <c r="CA1197" i="3" s="1"/>
  <c r="CB1197" i="3" s="1"/>
  <c r="BZ1092" i="3"/>
  <c r="CA1092" i="3" s="1"/>
  <c r="CB1092" i="3" s="1"/>
  <c r="BZ1148" i="3"/>
  <c r="CA1148" i="3" s="1"/>
  <c r="CB1148" i="3" s="1"/>
  <c r="BZ889" i="3"/>
  <c r="CA889" i="3" s="1"/>
  <c r="CB889" i="3" s="1"/>
  <c r="BZ1127" i="3"/>
  <c r="CA1127" i="3" s="1"/>
  <c r="CB1127" i="3" s="1"/>
  <c r="BZ1020" i="3"/>
  <c r="CA1020" i="3" s="1"/>
  <c r="CB1020" i="3" s="1"/>
  <c r="BZ1158" i="3"/>
  <c r="CA1158" i="3" s="1"/>
  <c r="CB1158" i="3" s="1"/>
  <c r="BZ1400" i="3"/>
  <c r="CA1400" i="3" s="1"/>
  <c r="CB1400" i="3" s="1"/>
  <c r="BZ661" i="3"/>
  <c r="CA661" i="3" s="1"/>
  <c r="CB661" i="3" s="1"/>
  <c r="BZ728" i="3"/>
  <c r="CA728" i="3" s="1"/>
  <c r="CB728" i="3" s="1"/>
  <c r="BZ1487" i="3"/>
  <c r="CA1487" i="3" s="1"/>
  <c r="CB1487" i="3" s="1"/>
  <c r="BZ936" i="3"/>
  <c r="CA936" i="3" s="1"/>
  <c r="CB936" i="3" s="1"/>
  <c r="BZ1038" i="3"/>
  <c r="CA1038" i="3" s="1"/>
  <c r="CB1038" i="3" s="1"/>
  <c r="BZ1101" i="3"/>
  <c r="CA1101" i="3" s="1"/>
  <c r="CB1101" i="3" s="1"/>
  <c r="BZ1251" i="3"/>
  <c r="CA1251" i="3" s="1"/>
  <c r="CB1251" i="3" s="1"/>
  <c r="BZ1322" i="3"/>
  <c r="CA1322" i="3" s="1"/>
  <c r="CB1322" i="3" s="1"/>
  <c r="BZ913" i="3"/>
  <c r="CA913" i="3" s="1"/>
  <c r="CB913" i="3" s="1"/>
  <c r="BZ1177" i="3"/>
  <c r="CA1177" i="3" s="1"/>
  <c r="CB1177" i="3" s="1"/>
  <c r="BZ1029" i="3"/>
  <c r="CA1029" i="3" s="1"/>
  <c r="CB1029" i="3" s="1"/>
  <c r="BZ872" i="3"/>
  <c r="CA872" i="3" s="1"/>
  <c r="CB872" i="3" s="1"/>
  <c r="BZ428" i="3"/>
  <c r="CA428" i="3" s="1"/>
  <c r="CB428" i="3" s="1"/>
  <c r="BZ1078" i="3"/>
  <c r="CA1078" i="3" s="1"/>
  <c r="CB1078" i="3" s="1"/>
  <c r="BZ983" i="3"/>
  <c r="CA983" i="3" s="1"/>
  <c r="CB983" i="3" s="1"/>
  <c r="BZ1024" i="3"/>
  <c r="CA1024" i="3" s="1"/>
  <c r="CB1024" i="3" s="1"/>
  <c r="BZ1458" i="3"/>
  <c r="CA1458" i="3" s="1"/>
  <c r="CB1458" i="3" s="1"/>
  <c r="BZ924" i="3"/>
  <c r="CA924" i="3" s="1"/>
  <c r="CB924" i="3" s="1"/>
  <c r="BZ946" i="3"/>
  <c r="CA946" i="3" s="1"/>
  <c r="CB946" i="3" s="1"/>
  <c r="BZ931" i="3"/>
  <c r="CA931" i="3" s="1"/>
  <c r="CB931" i="3" s="1"/>
  <c r="BZ1247" i="3"/>
  <c r="CA1247" i="3" s="1"/>
  <c r="CB1247" i="3" s="1"/>
  <c r="BZ656" i="3"/>
  <c r="CA656" i="3" s="1"/>
  <c r="CB656" i="3" s="1"/>
  <c r="BZ868" i="3"/>
  <c r="CA868" i="3" s="1"/>
  <c r="CB868" i="3" s="1"/>
  <c r="BZ1297" i="3"/>
  <c r="CA1297" i="3" s="1"/>
  <c r="CB1297" i="3" s="1"/>
  <c r="BZ1364" i="3"/>
  <c r="CA1364" i="3" s="1"/>
  <c r="CB1364" i="3" s="1"/>
  <c r="BZ1420" i="3"/>
  <c r="CA1420" i="3" s="1"/>
  <c r="CB1420" i="3" s="1"/>
  <c r="BZ805" i="3"/>
  <c r="CA805" i="3" s="1"/>
  <c r="CB805" i="3" s="1"/>
  <c r="BZ1033" i="3"/>
  <c r="CA1033" i="3" s="1"/>
  <c r="CB1033" i="3" s="1"/>
  <c r="BZ1451" i="3"/>
  <c r="CA1451" i="3" s="1"/>
  <c r="CB1451" i="3" s="1"/>
  <c r="BZ1248" i="3"/>
  <c r="CA1248" i="3" s="1"/>
  <c r="CB1248" i="3" s="1"/>
  <c r="BZ1196" i="3"/>
  <c r="CA1196" i="3" s="1"/>
  <c r="CB1196" i="3" s="1"/>
  <c r="BZ890" i="3"/>
  <c r="CA890" i="3" s="1"/>
  <c r="CB890" i="3" s="1"/>
  <c r="BZ855" i="3"/>
  <c r="CA855" i="3" s="1"/>
  <c r="CB855" i="3" s="1"/>
  <c r="BZ1461" i="3"/>
  <c r="CA1461" i="3" s="1"/>
  <c r="CB1461" i="3" s="1"/>
  <c r="BZ1051" i="3"/>
  <c r="CA1051" i="3" s="1"/>
  <c r="CB1051" i="3" s="1"/>
  <c r="BZ973" i="3"/>
  <c r="CA973" i="3" s="1"/>
  <c r="CB973" i="3" s="1"/>
  <c r="BZ1000" i="3"/>
  <c r="CA1000" i="3" s="1"/>
  <c r="CB1000" i="3" s="1"/>
  <c r="BZ1334" i="3"/>
  <c r="CA1334" i="3" s="1"/>
  <c r="CB1334" i="3" s="1"/>
  <c r="BZ457" i="3"/>
  <c r="CA457" i="3" s="1"/>
  <c r="CB457" i="3" s="1"/>
  <c r="BZ1186" i="3"/>
  <c r="CA1186" i="3" s="1"/>
  <c r="CB1186" i="3" s="1"/>
  <c r="BZ1006" i="3"/>
  <c r="CA1006" i="3" s="1"/>
  <c r="CB1006" i="3" s="1"/>
  <c r="BZ1201" i="3"/>
  <c r="CA1201" i="3" s="1"/>
  <c r="CB1201" i="3" s="1"/>
  <c r="BZ681" i="3"/>
  <c r="CA681" i="3" s="1"/>
  <c r="CB681" i="3" s="1"/>
  <c r="BZ424" i="3"/>
  <c r="CA424" i="3" s="1"/>
  <c r="CB424" i="3" s="1"/>
  <c r="BZ1422" i="3"/>
  <c r="CA1422" i="3" s="1"/>
  <c r="CB1422" i="3" s="1"/>
  <c r="BZ1188" i="3"/>
  <c r="CA1188" i="3" s="1"/>
  <c r="CB1188" i="3" s="1"/>
  <c r="BZ1292" i="3"/>
  <c r="CA1292" i="3" s="1"/>
  <c r="CB1292" i="3" s="1"/>
  <c r="BZ666" i="3"/>
  <c r="CA666" i="3" s="1"/>
  <c r="CB666" i="3" s="1"/>
  <c r="BZ950" i="3"/>
  <c r="CA950" i="3" s="1"/>
  <c r="CB950" i="3" s="1"/>
  <c r="BZ1323" i="3"/>
  <c r="CA1323" i="3" s="1"/>
  <c r="CB1323" i="3" s="1"/>
  <c r="BZ1382" i="3"/>
  <c r="CA1382" i="3" s="1"/>
  <c r="CB1382" i="3" s="1"/>
  <c r="BZ1375" i="3"/>
  <c r="CA1375" i="3" s="1"/>
  <c r="CB1375" i="3" s="1"/>
  <c r="BZ1223" i="3"/>
  <c r="CA1223" i="3" s="1"/>
  <c r="CB1223" i="3" s="1"/>
  <c r="BZ679" i="3"/>
  <c r="CA679" i="3" s="1"/>
  <c r="CB679" i="3" s="1"/>
  <c r="BZ1354" i="3"/>
  <c r="CA1354" i="3" s="1"/>
  <c r="CB1354" i="3" s="1"/>
  <c r="BZ619" i="3"/>
  <c r="CA619" i="3" s="1"/>
  <c r="CB619" i="3" s="1"/>
  <c r="BZ1241" i="3"/>
  <c r="CA1241" i="3" s="1"/>
  <c r="CB1241" i="3" s="1"/>
  <c r="BZ960" i="3"/>
  <c r="CA960" i="3" s="1"/>
  <c r="CB960" i="3" s="1"/>
  <c r="BZ1144" i="3"/>
  <c r="CA1144" i="3" s="1"/>
  <c r="CB1144" i="3" s="1"/>
  <c r="BZ1271" i="3"/>
  <c r="CA1271" i="3" s="1"/>
  <c r="CB1271" i="3" s="1"/>
  <c r="BZ1314" i="3"/>
  <c r="CA1314" i="3" s="1"/>
  <c r="CB1314" i="3" s="1"/>
  <c r="BZ1370" i="3"/>
  <c r="CA1370" i="3" s="1"/>
  <c r="CB1370" i="3" s="1"/>
  <c r="BZ1125" i="3"/>
  <c r="CA1125" i="3" s="1"/>
  <c r="CB1125" i="3" s="1"/>
  <c r="BZ1435" i="3"/>
  <c r="CA1435" i="3" s="1"/>
  <c r="CB1435" i="3" s="1"/>
  <c r="BZ1308" i="3"/>
  <c r="CA1308" i="3" s="1"/>
  <c r="CB1308" i="3" s="1"/>
  <c r="BZ1359" i="3"/>
  <c r="CA1359" i="3" s="1"/>
  <c r="CB1359" i="3" s="1"/>
  <c r="BZ1415" i="3"/>
  <c r="CA1415" i="3" s="1"/>
  <c r="CB1415" i="3" s="1"/>
  <c r="BZ803" i="3"/>
  <c r="CA803" i="3" s="1"/>
  <c r="CB803" i="3" s="1"/>
  <c r="BZ1113" i="3"/>
  <c r="CA1113" i="3" s="1"/>
  <c r="CB1113" i="3" s="1"/>
  <c r="BZ1454" i="3"/>
  <c r="CA1454" i="3" s="1"/>
  <c r="CB1454" i="3" s="1"/>
  <c r="BZ1252" i="3"/>
  <c r="CA1252" i="3" s="1"/>
  <c r="CB1252" i="3" s="1"/>
  <c r="BZ1324" i="3"/>
  <c r="CA1324" i="3" s="1"/>
  <c r="CB1324" i="3" s="1"/>
  <c r="BZ1018" i="3"/>
  <c r="CA1018" i="3" s="1"/>
  <c r="CB1018" i="3" s="1"/>
  <c r="BZ917" i="3"/>
  <c r="CA917" i="3" s="1"/>
  <c r="CB917" i="3" s="1"/>
  <c r="BZ863" i="3"/>
  <c r="CA863" i="3" s="1"/>
  <c r="CB863" i="3" s="1"/>
  <c r="BZ849" i="3"/>
  <c r="CA849" i="3" s="1"/>
  <c r="CB849" i="3" s="1"/>
  <c r="BZ779" i="3"/>
  <c r="CA779" i="3" s="1"/>
  <c r="CB779" i="3" s="1"/>
  <c r="BZ312" i="3"/>
  <c r="CA312" i="3" s="1"/>
  <c r="CB312" i="3" s="1"/>
  <c r="BZ772" i="3"/>
  <c r="CA772" i="3" s="1"/>
  <c r="CB772" i="3" s="1"/>
  <c r="BZ657" i="3"/>
  <c r="CA657" i="3" s="1"/>
  <c r="CB657" i="3" s="1"/>
  <c r="BZ784" i="3"/>
  <c r="CA784" i="3" s="1"/>
  <c r="CB784" i="3" s="1"/>
  <c r="BZ493" i="3"/>
  <c r="CA493" i="3" s="1"/>
  <c r="CB493" i="3" s="1"/>
  <c r="BZ853" i="3"/>
  <c r="CA853" i="3" s="1"/>
  <c r="CB853" i="3" s="1"/>
  <c r="BZ237" i="3"/>
  <c r="CA237" i="3" s="1"/>
  <c r="CB237" i="3" s="1"/>
  <c r="BZ80" i="3"/>
  <c r="CA80" i="3" s="1"/>
  <c r="CB80" i="3" s="1"/>
  <c r="BZ9" i="3"/>
  <c r="CA9" i="3" s="1"/>
  <c r="CB9" i="3" s="1"/>
  <c r="BZ215" i="3"/>
  <c r="CA215" i="3" s="1"/>
  <c r="CB215" i="3" s="1"/>
  <c r="BZ195" i="3"/>
  <c r="CA195" i="3" s="1"/>
  <c r="CB195" i="3" s="1"/>
  <c r="BZ1053" i="3"/>
  <c r="CA1053" i="3" s="1"/>
  <c r="CB1053" i="3" s="1"/>
  <c r="BZ407" i="3"/>
  <c r="CA407" i="3" s="1"/>
  <c r="CB407" i="3" s="1"/>
  <c r="BZ897" i="3"/>
  <c r="CA897" i="3" s="1"/>
  <c r="CB897" i="3" s="1"/>
  <c r="BZ387" i="3"/>
  <c r="CA387" i="3" s="1"/>
  <c r="CB387" i="3" s="1"/>
  <c r="BZ328" i="3"/>
  <c r="CA328" i="3" s="1"/>
  <c r="CB328" i="3" s="1"/>
  <c r="BZ360" i="3"/>
  <c r="CA360" i="3" s="1"/>
  <c r="CB360" i="3" s="1"/>
  <c r="BZ694" i="3"/>
  <c r="CA694" i="3" s="1"/>
  <c r="CB694" i="3" s="1"/>
  <c r="BZ629" i="3"/>
  <c r="CA629" i="3" s="1"/>
  <c r="CB629" i="3" s="1"/>
  <c r="BZ880" i="3"/>
  <c r="CA880" i="3" s="1"/>
  <c r="CB880" i="3" s="1"/>
  <c r="BZ766" i="3"/>
  <c r="CA766" i="3" s="1"/>
  <c r="CB766" i="3" s="1"/>
  <c r="BZ1083" i="3"/>
  <c r="CA1083" i="3" s="1"/>
  <c r="CB1083" i="3" s="1"/>
  <c r="BZ787" i="3"/>
  <c r="CA787" i="3" s="1"/>
  <c r="CB787" i="3" s="1"/>
  <c r="BZ375" i="3"/>
  <c r="CA375" i="3" s="1"/>
  <c r="CB375" i="3" s="1"/>
  <c r="BZ345" i="3"/>
  <c r="CA345" i="3" s="1"/>
  <c r="CB345" i="3" s="1"/>
  <c r="BZ241" i="3"/>
  <c r="CA241" i="3" s="1"/>
  <c r="CB241" i="3" s="1"/>
  <c r="BZ6" i="3"/>
  <c r="CA6" i="3" s="1"/>
  <c r="CB6" i="3" s="1"/>
  <c r="BZ213" i="3"/>
  <c r="CA213" i="3" s="1"/>
  <c r="CB213" i="3" s="1"/>
  <c r="BZ579" i="3"/>
  <c r="CA579" i="3" s="1"/>
  <c r="CB579" i="3" s="1"/>
  <c r="BZ196" i="3"/>
  <c r="CA196" i="3" s="1"/>
  <c r="CB196" i="3" s="1"/>
  <c r="BZ364" i="3"/>
  <c r="CA364" i="3" s="1"/>
  <c r="CB364" i="3" s="1"/>
  <c r="BZ502" i="3"/>
  <c r="CA502" i="3" s="1"/>
  <c r="CB502" i="3" s="1"/>
  <c r="BZ852" i="3"/>
  <c r="CA852" i="3" s="1"/>
  <c r="CB852" i="3" s="1"/>
  <c r="BZ831" i="3"/>
  <c r="CA831" i="3" s="1"/>
  <c r="CB831" i="3" s="1"/>
  <c r="BZ731" i="3"/>
  <c r="CA731" i="3" s="1"/>
  <c r="CB731" i="3" s="1"/>
  <c r="BZ815" i="3"/>
  <c r="CA815" i="3" s="1"/>
  <c r="CB815" i="3" s="1"/>
  <c r="BZ770" i="3"/>
  <c r="CA770" i="3" s="1"/>
  <c r="CB770" i="3" s="1"/>
  <c r="BZ526" i="3"/>
  <c r="CA526" i="3" s="1"/>
  <c r="CB526" i="3" s="1"/>
  <c r="BZ217" i="3"/>
  <c r="CA217" i="3" s="1"/>
  <c r="CB217" i="3" s="1"/>
  <c r="BZ91" i="3"/>
  <c r="CA91" i="3" s="1"/>
  <c r="CB91" i="3" s="1"/>
  <c r="BZ316" i="3"/>
  <c r="CA316" i="3" s="1"/>
  <c r="CB316" i="3" s="1"/>
  <c r="BZ581" i="3"/>
  <c r="CA581" i="3" s="1"/>
  <c r="CB581" i="3" s="1"/>
  <c r="BZ1103" i="3"/>
  <c r="CA1103" i="3" s="1"/>
  <c r="CB1103" i="3" s="1"/>
  <c r="BZ885" i="3"/>
  <c r="CA885" i="3" s="1"/>
  <c r="CB885" i="3" s="1"/>
  <c r="BZ315" i="3"/>
  <c r="CA315" i="3" s="1"/>
  <c r="CB315" i="3" s="1"/>
  <c r="BZ358" i="3"/>
  <c r="CA358" i="3" s="1"/>
  <c r="CB358" i="3" s="1"/>
  <c r="BZ262" i="3"/>
  <c r="CA262" i="3" s="1"/>
  <c r="CB262" i="3" s="1"/>
  <c r="BZ248" i="3"/>
  <c r="CA248" i="3" s="1"/>
  <c r="CB248" i="3" s="1"/>
  <c r="BZ211" i="3"/>
  <c r="CA211" i="3" s="1"/>
  <c r="CB211" i="3" s="1"/>
  <c r="BZ592" i="3"/>
  <c r="CA592" i="3" s="1"/>
  <c r="CB592" i="3" s="1"/>
  <c r="BZ263" i="3"/>
  <c r="CA263" i="3" s="1"/>
  <c r="CB263" i="3" s="1"/>
  <c r="BZ556" i="3"/>
  <c r="CA556" i="3" s="1"/>
  <c r="CB556" i="3" s="1"/>
  <c r="BZ790" i="3"/>
  <c r="CA790" i="3" s="1"/>
  <c r="CB790" i="3" s="1"/>
  <c r="BZ701" i="3"/>
  <c r="CA701" i="3" s="1"/>
  <c r="CB701" i="3" s="1"/>
  <c r="BZ691" i="3"/>
  <c r="CA691" i="3" s="1"/>
  <c r="CB691" i="3" s="1"/>
  <c r="BZ506" i="3"/>
  <c r="CA506" i="3" s="1"/>
  <c r="CB506" i="3" s="1"/>
  <c r="BZ647" i="3"/>
  <c r="CA647" i="3" s="1"/>
  <c r="CB647" i="3" s="1"/>
  <c r="BZ699" i="3"/>
  <c r="CA699" i="3" s="1"/>
  <c r="CB699" i="3" s="1"/>
  <c r="BZ69" i="3"/>
  <c r="CA69" i="3" s="1"/>
  <c r="CB69" i="3" s="1"/>
  <c r="BZ833" i="3"/>
  <c r="CA833" i="3" s="1"/>
  <c r="CB833" i="3" s="1"/>
  <c r="BZ167" i="3"/>
  <c r="CA167" i="3" s="1"/>
  <c r="CB167" i="3" s="1"/>
  <c r="BZ24" i="3"/>
  <c r="CA24" i="3" s="1"/>
  <c r="CB24" i="3" s="1"/>
  <c r="BZ1089" i="3"/>
  <c r="CA1089" i="3" s="1"/>
  <c r="CB1089" i="3" s="1"/>
  <c r="BZ332" i="3"/>
  <c r="CA332" i="3" s="1"/>
  <c r="CB332" i="3" s="1"/>
  <c r="BZ865" i="3"/>
  <c r="CA865" i="3" s="1"/>
  <c r="CB865" i="3" s="1"/>
  <c r="BZ68" i="3"/>
  <c r="CA68" i="3" s="1"/>
  <c r="CB68" i="3" s="1"/>
  <c r="BZ441" i="3"/>
  <c r="CA441" i="3" s="1"/>
  <c r="CB441" i="3" s="1"/>
  <c r="BZ148" i="3"/>
  <c r="CA148" i="3" s="1"/>
  <c r="CB148" i="3" s="1"/>
  <c r="BZ349" i="3"/>
  <c r="CA349" i="3" s="1"/>
  <c r="CB349" i="3" s="1"/>
  <c r="BZ395" i="3"/>
  <c r="CA395" i="3" s="1"/>
  <c r="CB395" i="3" s="1"/>
  <c r="BZ499" i="3"/>
  <c r="CA499" i="3" s="1"/>
  <c r="CB499" i="3" s="1"/>
  <c r="BZ420" i="3"/>
  <c r="CA420" i="3" s="1"/>
  <c r="CB420" i="3" s="1"/>
  <c r="BZ481" i="3"/>
  <c r="CA481" i="3" s="1"/>
  <c r="CB481" i="3" s="1"/>
  <c r="BZ426" i="3"/>
  <c r="CA426" i="3" s="1"/>
  <c r="CB426" i="3" s="1"/>
  <c r="BZ580" i="3"/>
  <c r="CA580" i="3" s="1"/>
  <c r="CB580" i="3" s="1"/>
  <c r="BZ800" i="3"/>
  <c r="CA800" i="3" s="1"/>
  <c r="CB800" i="3" s="1"/>
  <c r="BZ522" i="3"/>
  <c r="CA522" i="3" s="1"/>
  <c r="CB522" i="3" s="1"/>
  <c r="BZ161" i="3"/>
  <c r="CA161" i="3" s="1"/>
  <c r="CB161" i="3" s="1"/>
  <c r="BZ271" i="3"/>
  <c r="CA271" i="3" s="1"/>
  <c r="CB271" i="3" s="1"/>
  <c r="BZ19" i="3"/>
  <c r="CA19" i="3" s="1"/>
  <c r="CB19" i="3" s="1"/>
  <c r="BZ162" i="3"/>
  <c r="CA162" i="3" s="1"/>
  <c r="CB162" i="3" s="1"/>
  <c r="BZ51" i="3"/>
  <c r="CA51" i="3" s="1"/>
  <c r="CB51" i="3" s="1"/>
  <c r="BZ50" i="3"/>
  <c r="CA50" i="3" s="1"/>
  <c r="CB50" i="3" s="1"/>
  <c r="BZ272" i="3"/>
  <c r="CA272" i="3" s="1"/>
  <c r="CB272" i="3" s="1"/>
  <c r="BZ90" i="3"/>
  <c r="CA90" i="3" s="1"/>
  <c r="CB90" i="3" s="1"/>
  <c r="BZ1285" i="3"/>
  <c r="CA1285" i="3" s="1"/>
  <c r="CB1285" i="3" s="1"/>
  <c r="BZ414" i="3"/>
  <c r="CA414" i="3" s="1"/>
  <c r="CB414" i="3" s="1"/>
  <c r="BZ1116" i="3"/>
  <c r="CA1116" i="3" s="1"/>
  <c r="CB1116" i="3" s="1"/>
  <c r="BZ760" i="3"/>
  <c r="CA760" i="3" s="1"/>
  <c r="CB760" i="3" s="1"/>
  <c r="BZ678" i="3"/>
  <c r="CA678" i="3" s="1"/>
  <c r="CB678" i="3" s="1"/>
  <c r="BZ416" i="3"/>
  <c r="CA416" i="3" s="1"/>
  <c r="CB416" i="3" s="1"/>
  <c r="BZ399" i="3"/>
  <c r="CA399" i="3" s="1"/>
  <c r="CB399" i="3" s="1"/>
  <c r="BZ751" i="3"/>
  <c r="CA751" i="3" s="1"/>
  <c r="CB751" i="3" s="1"/>
  <c r="BZ83" i="3"/>
  <c r="CA83" i="3" s="1"/>
  <c r="CB83" i="3" s="1"/>
  <c r="BZ710" i="3"/>
  <c r="CA710" i="3" s="1"/>
  <c r="CB710" i="3" s="1"/>
  <c r="BZ255" i="3"/>
  <c r="CA255" i="3" s="1"/>
  <c r="CB255" i="3" s="1"/>
  <c r="BZ1170" i="3"/>
  <c r="CA1170" i="3" s="1"/>
  <c r="CB1170" i="3" s="1"/>
  <c r="BZ203" i="3"/>
  <c r="CA203" i="3" s="1"/>
  <c r="CB203" i="3" s="1"/>
  <c r="BZ892" i="3"/>
  <c r="CA892" i="3" s="1"/>
  <c r="CB892" i="3" s="1"/>
  <c r="BZ356" i="3"/>
  <c r="CA356" i="3" s="1"/>
  <c r="CB356" i="3" s="1"/>
  <c r="BZ430" i="3"/>
  <c r="CA430" i="3" s="1"/>
  <c r="CB430" i="3" s="1"/>
  <c r="BZ273" i="3"/>
  <c r="CA273" i="3" s="1"/>
  <c r="CB273" i="3" s="1"/>
  <c r="BZ240" i="3"/>
  <c r="CA240" i="3" s="1"/>
  <c r="CB240" i="3" s="1"/>
  <c r="BZ599" i="3"/>
  <c r="CA599" i="3" s="1"/>
  <c r="CB599" i="3" s="1"/>
  <c r="BZ495" i="3"/>
  <c r="CA495" i="3" s="1"/>
  <c r="CB495" i="3" s="1"/>
  <c r="BZ400" i="3"/>
  <c r="CA400" i="3" s="1"/>
  <c r="CB400" i="3" s="1"/>
  <c r="BZ443" i="3"/>
  <c r="CA443" i="3" s="1"/>
  <c r="CB443" i="3" s="1"/>
  <c r="BZ570" i="3"/>
  <c r="CA570" i="3" s="1"/>
  <c r="CB570" i="3" s="1"/>
  <c r="BZ721" i="3"/>
  <c r="CA721" i="3" s="1"/>
  <c r="CB721" i="3" s="1"/>
  <c r="BZ465" i="3"/>
  <c r="CA465" i="3" s="1"/>
  <c r="CB465" i="3" s="1"/>
  <c r="BZ1082" i="3"/>
  <c r="CA1082" i="3" s="1"/>
  <c r="CB1082" i="3" s="1"/>
  <c r="BZ344" i="3"/>
  <c r="CA344" i="3" s="1"/>
  <c r="CB344" i="3" s="1"/>
  <c r="BZ138" i="3"/>
  <c r="CA138" i="3" s="1"/>
  <c r="CB138" i="3" s="1"/>
  <c r="BZ70" i="3"/>
  <c r="CA70" i="3" s="1"/>
  <c r="CB70" i="3" s="1"/>
  <c r="BZ282" i="3"/>
  <c r="CA282" i="3" s="1"/>
  <c r="CB282" i="3" s="1"/>
  <c r="BZ297" i="3"/>
  <c r="CA297" i="3" s="1"/>
  <c r="CB297" i="3" s="1"/>
  <c r="BZ129" i="3"/>
  <c r="CA129" i="3" s="1"/>
  <c r="CB129" i="3" s="1"/>
  <c r="BZ547" i="3"/>
  <c r="CA547" i="3" s="1"/>
  <c r="CB547" i="3" s="1"/>
  <c r="BZ584" i="3"/>
  <c r="CA584" i="3" s="1"/>
  <c r="CB584" i="3" s="1"/>
  <c r="BZ840" i="3"/>
  <c r="CA840" i="3" s="1"/>
  <c r="CB840" i="3" s="1"/>
  <c r="BZ438" i="3"/>
  <c r="CA438" i="3" s="1"/>
  <c r="CB438" i="3" s="1"/>
  <c r="BZ765" i="3"/>
  <c r="CA765" i="3" s="1"/>
  <c r="CB765" i="3" s="1"/>
  <c r="BZ320" i="3"/>
  <c r="CA320" i="3" s="1"/>
  <c r="CB320" i="3" s="1"/>
  <c r="BZ412" i="3"/>
  <c r="CA412" i="3" s="1"/>
  <c r="CB412" i="3" s="1"/>
  <c r="BZ496" i="3"/>
  <c r="CA496" i="3" s="1"/>
  <c r="CB496" i="3" s="1"/>
  <c r="BZ812" i="3"/>
  <c r="CA812" i="3" s="1"/>
  <c r="CB812" i="3" s="1"/>
  <c r="BZ665" i="3"/>
  <c r="CA665" i="3" s="1"/>
  <c r="CB665" i="3" s="1"/>
  <c r="BZ12" i="3"/>
  <c r="CA12" i="3" s="1"/>
  <c r="CB12" i="3" s="1"/>
  <c r="BZ561" i="3"/>
  <c r="CA561" i="3" s="1"/>
  <c r="CB561" i="3" s="1"/>
  <c r="BZ839" i="3"/>
  <c r="CA839" i="3" s="1"/>
  <c r="CB839" i="3" s="1"/>
  <c r="BZ516" i="3"/>
  <c r="CA516" i="3" s="1"/>
  <c r="CB516" i="3" s="1"/>
  <c r="BZ437" i="3"/>
  <c r="CA437" i="3" s="1"/>
  <c r="CB437" i="3" s="1"/>
  <c r="BZ361" i="3"/>
  <c r="CA361" i="3" s="1"/>
  <c r="CB361" i="3" s="1"/>
  <c r="BZ124" i="3"/>
  <c r="CA124" i="3" s="1"/>
  <c r="CB124" i="3" s="1"/>
  <c r="BZ131" i="3"/>
  <c r="CA131" i="3" s="1"/>
  <c r="CB131" i="3" s="1"/>
  <c r="BZ48" i="3"/>
  <c r="CA48" i="3" s="1"/>
  <c r="CB48" i="3" s="1"/>
  <c r="BZ180" i="3"/>
  <c r="CA180" i="3" s="1"/>
  <c r="CB180" i="3" s="1"/>
  <c r="BZ113" i="3"/>
  <c r="CA113" i="3" s="1"/>
  <c r="CB113" i="3" s="1"/>
  <c r="BZ314" i="3"/>
  <c r="CA314" i="3" s="1"/>
  <c r="CB314" i="3" s="1"/>
  <c r="BZ627" i="3"/>
  <c r="CA627" i="3" s="1"/>
  <c r="CB627" i="3" s="1"/>
  <c r="BZ725" i="3"/>
  <c r="CA725" i="3" s="1"/>
  <c r="CB725" i="3" s="1"/>
  <c r="BZ706" i="3"/>
  <c r="CA706" i="3" s="1"/>
  <c r="CB706" i="3" s="1"/>
  <c r="BZ882" i="3"/>
  <c r="CA882" i="3" s="1"/>
  <c r="CB882" i="3" s="1"/>
  <c r="BZ624" i="3"/>
  <c r="CA624" i="3" s="1"/>
  <c r="CB624" i="3" s="1"/>
  <c r="BZ774" i="3"/>
  <c r="CA774" i="3" s="1"/>
  <c r="CB774" i="3" s="1"/>
  <c r="BZ723" i="3"/>
  <c r="CA723" i="3" s="1"/>
  <c r="CB723" i="3" s="1"/>
  <c r="BZ174" i="3"/>
  <c r="CA174" i="3" s="1"/>
  <c r="CB174" i="3" s="1"/>
  <c r="BZ23" i="3"/>
  <c r="CA23" i="3" s="1"/>
  <c r="CB23" i="3" s="1"/>
  <c r="BZ136" i="3"/>
  <c r="CA136" i="3" s="1"/>
  <c r="CB136" i="3" s="1"/>
  <c r="BZ828" i="3"/>
  <c r="CA828" i="3" s="1"/>
  <c r="CB828" i="3" s="1"/>
  <c r="BZ1313" i="3"/>
  <c r="CA1313" i="3" s="1"/>
  <c r="CB1313" i="3" s="1"/>
  <c r="BZ1096" i="3"/>
  <c r="CA1096" i="3" s="1"/>
  <c r="CB1096" i="3" s="1"/>
  <c r="BZ346" i="3"/>
  <c r="CA346" i="3" s="1"/>
  <c r="CB346" i="3" s="1"/>
  <c r="BZ333" i="3"/>
  <c r="CA333" i="3" s="1"/>
  <c r="CB333" i="3" s="1"/>
  <c r="BZ261" i="3"/>
  <c r="CA261" i="3" s="1"/>
  <c r="CB261" i="3" s="1"/>
  <c r="BZ157" i="3"/>
  <c r="CA157" i="3" s="1"/>
  <c r="CB157" i="3" s="1"/>
  <c r="BZ279" i="3"/>
  <c r="CA279" i="3" s="1"/>
  <c r="CB279" i="3" s="1"/>
  <c r="BZ251" i="3"/>
  <c r="CA251" i="3" s="1"/>
  <c r="CB251" i="3" s="1"/>
  <c r="BZ563" i="3"/>
  <c r="CA563" i="3" s="1"/>
  <c r="CB563" i="3" s="1"/>
  <c r="BZ370" i="3"/>
  <c r="CA370" i="3" s="1"/>
  <c r="CB370" i="3" s="1"/>
  <c r="BZ636" i="3"/>
  <c r="CA636" i="3" s="1"/>
  <c r="CB636" i="3" s="1"/>
  <c r="BZ843" i="3"/>
  <c r="CA843" i="3" s="1"/>
  <c r="CB843" i="3" s="1"/>
  <c r="BZ836" i="3"/>
  <c r="CA836" i="3" s="1"/>
  <c r="CB836" i="3" s="1"/>
  <c r="BZ558" i="3"/>
  <c r="CA558" i="3" s="1"/>
  <c r="CB558" i="3" s="1"/>
  <c r="BZ638" i="3"/>
  <c r="CA638" i="3" s="1"/>
  <c r="CB638" i="3" s="1"/>
  <c r="BZ478" i="3"/>
  <c r="CA478" i="3" s="1"/>
  <c r="CB478" i="3" s="1"/>
  <c r="BZ1265" i="3"/>
  <c r="CA1265" i="3" s="1"/>
  <c r="CB1265" i="3" s="1"/>
  <c r="BZ334" i="3"/>
  <c r="CA334" i="3" s="1"/>
  <c r="CB334" i="3" s="1"/>
  <c r="BZ144" i="3"/>
  <c r="CA144" i="3" s="1"/>
  <c r="CB144" i="3" s="1"/>
  <c r="BZ82" i="3"/>
  <c r="CA82" i="3" s="1"/>
  <c r="CB82" i="3" s="1"/>
  <c r="BZ85" i="3"/>
  <c r="CA85" i="3" s="1"/>
  <c r="CB85" i="3" s="1"/>
  <c r="BZ130" i="3"/>
  <c r="CA130" i="3" s="1"/>
  <c r="CB130" i="3" s="1"/>
  <c r="BZ244" i="3"/>
  <c r="CA244" i="3" s="1"/>
  <c r="CB244" i="3" s="1"/>
  <c r="BZ104" i="3"/>
  <c r="CA104" i="3" s="1"/>
  <c r="CB104" i="3" s="1"/>
  <c r="BZ783" i="3"/>
  <c r="CA783" i="3" s="1"/>
  <c r="CB783" i="3" s="1"/>
  <c r="BZ440" i="3"/>
  <c r="CA440" i="3" s="1"/>
  <c r="CB440" i="3" s="1"/>
  <c r="BZ703" i="3"/>
  <c r="CA703" i="3" s="1"/>
  <c r="CB703" i="3" s="1"/>
  <c r="BZ355" i="3"/>
  <c r="CA355" i="3" s="1"/>
  <c r="CB355" i="3" s="1"/>
  <c r="BZ348" i="3"/>
  <c r="CA348" i="3" s="1"/>
  <c r="CB348" i="3" s="1"/>
  <c r="BZ34" i="3"/>
  <c r="CA34" i="3" s="1"/>
  <c r="CB34" i="3" s="1"/>
  <c r="BZ688" i="3"/>
  <c r="CA688" i="3" s="1"/>
  <c r="CB688" i="3" s="1"/>
  <c r="BZ494" i="3"/>
  <c r="CA494" i="3" s="1"/>
  <c r="CB494" i="3" s="1"/>
  <c r="BZ485" i="3"/>
  <c r="CA485" i="3" s="1"/>
  <c r="CB485" i="3" s="1"/>
  <c r="BZ846" i="3"/>
  <c r="CA846" i="3" s="1"/>
  <c r="CB846" i="3" s="1"/>
  <c r="BZ1046" i="3"/>
  <c r="CA1046" i="3" s="1"/>
  <c r="CB1046" i="3" s="1"/>
  <c r="BZ915" i="3"/>
  <c r="CA915" i="3" s="1"/>
  <c r="CB915" i="3" s="1"/>
  <c r="BZ359" i="3"/>
  <c r="CA359" i="3" s="1"/>
  <c r="CB359" i="3" s="1"/>
  <c r="BZ81" i="3"/>
  <c r="CA81" i="3" s="1"/>
  <c r="CB81" i="3" s="1"/>
  <c r="BZ189" i="3"/>
  <c r="CA189" i="3" s="1"/>
  <c r="CB189" i="3" s="1"/>
  <c r="BZ202" i="3"/>
  <c r="CA202" i="3" s="1"/>
  <c r="CB202" i="3" s="1"/>
  <c r="BZ166" i="3"/>
  <c r="CA166" i="3" s="1"/>
  <c r="CB166" i="3" s="1"/>
  <c r="BZ47" i="3"/>
  <c r="CA47" i="3" s="1"/>
  <c r="CB47" i="3" s="1"/>
  <c r="BZ258" i="3"/>
  <c r="CA258" i="3" s="1"/>
  <c r="CB258" i="3" s="1"/>
  <c r="BZ310" i="3"/>
  <c r="CA310" i="3" s="1"/>
  <c r="CB310" i="3" s="1"/>
  <c r="BZ704" i="3"/>
  <c r="CA704" i="3" s="1"/>
  <c r="CB704" i="3" s="1"/>
  <c r="BZ458" i="3"/>
  <c r="CA458" i="3" s="1"/>
  <c r="CB458" i="3" s="1"/>
  <c r="BZ489" i="3"/>
  <c r="CA489" i="3" s="1"/>
  <c r="CB489" i="3" s="1"/>
  <c r="BZ894" i="3"/>
  <c r="CA894" i="3" s="1"/>
  <c r="CB894" i="3" s="1"/>
  <c r="BZ401" i="3"/>
  <c r="CA401" i="3" s="1"/>
  <c r="CB401" i="3" s="1"/>
  <c r="BZ8" i="3"/>
  <c r="CA8" i="3" s="1"/>
  <c r="CB8" i="3" s="1"/>
  <c r="BZ96" i="3"/>
  <c r="CA96" i="3" s="1"/>
  <c r="CB96" i="3" s="1"/>
  <c r="BZ40" i="3"/>
  <c r="CA40" i="3" s="1"/>
  <c r="CB40" i="3" s="1"/>
  <c r="BZ97" i="3"/>
  <c r="CA97" i="3" s="1"/>
  <c r="CB97" i="3" s="1"/>
  <c r="BZ302" i="3"/>
  <c r="CA302" i="3" s="1"/>
  <c r="CB302" i="3" s="1"/>
  <c r="BZ1377" i="3"/>
  <c r="CA1377" i="3" s="1"/>
  <c r="CB1377" i="3" s="1"/>
  <c r="BZ366" i="3"/>
  <c r="CA366" i="3" s="1"/>
  <c r="CB366" i="3" s="1"/>
  <c r="BZ1023" i="3"/>
  <c r="CA1023" i="3" s="1"/>
  <c r="CB1023" i="3" s="1"/>
  <c r="BZ409" i="3"/>
  <c r="CA409" i="3" s="1"/>
  <c r="CB409" i="3" s="1"/>
  <c r="BZ753" i="3"/>
  <c r="CA753" i="3" s="1"/>
  <c r="CB753" i="3" s="1"/>
  <c r="BZ524" i="3"/>
  <c r="CA524" i="3" s="1"/>
  <c r="CB524" i="3" s="1"/>
  <c r="BZ389" i="3"/>
  <c r="CA389" i="3" s="1"/>
  <c r="CB389" i="3" s="1"/>
  <c r="BZ212" i="3"/>
  <c r="CA212" i="3" s="1"/>
  <c r="CB212" i="3" s="1"/>
  <c r="BZ714" i="3"/>
  <c r="CA714" i="3" s="1"/>
  <c r="CB714" i="3" s="1"/>
  <c r="BZ448" i="3"/>
  <c r="CA448" i="3" s="1"/>
  <c r="CB448" i="3" s="1"/>
  <c r="BZ909" i="3"/>
  <c r="CA909" i="3" s="1"/>
  <c r="CB909" i="3" s="1"/>
  <c r="BZ850" i="3"/>
  <c r="CA850" i="3" s="1"/>
  <c r="CB850" i="3" s="1"/>
  <c r="BZ454" i="3"/>
  <c r="CA454" i="3" s="1"/>
  <c r="CB454" i="3" s="1"/>
  <c r="BZ530" i="3"/>
  <c r="CA530" i="3" s="1"/>
  <c r="CB530" i="3" s="1"/>
  <c r="BZ718" i="3"/>
  <c r="CA718" i="3" s="1"/>
  <c r="CB718" i="3" s="1"/>
  <c r="BZ404" i="3"/>
  <c r="CA404" i="3" s="1"/>
  <c r="CB404" i="3" s="1"/>
  <c r="BZ45" i="3"/>
  <c r="CA45" i="3" s="1"/>
  <c r="CB45" i="3" s="1"/>
  <c r="BZ4" i="3"/>
  <c r="CA4" i="3" s="1"/>
  <c r="CB4" i="3" s="1"/>
  <c r="BZ46" i="3"/>
  <c r="CA46" i="3" s="1"/>
  <c r="CB46" i="3" s="1"/>
  <c r="BZ268" i="3"/>
  <c r="CA268" i="3" s="1"/>
  <c r="CB268" i="3" s="1"/>
  <c r="BZ171" i="3"/>
  <c r="CA171" i="3" s="1"/>
  <c r="CB171" i="3" s="1"/>
  <c r="BZ608" i="3"/>
  <c r="CA608" i="3" s="1"/>
  <c r="CB608" i="3" s="1"/>
  <c r="BZ487" i="3"/>
  <c r="CA487" i="3" s="1"/>
  <c r="CB487" i="3" s="1"/>
  <c r="BZ711" i="3"/>
  <c r="CA711" i="3" s="1"/>
  <c r="CB711" i="3" s="1"/>
  <c r="BZ403" i="3"/>
  <c r="CA403" i="3" s="1"/>
  <c r="CB403" i="3" s="1"/>
  <c r="BZ886" i="3"/>
  <c r="CA886" i="3" s="1"/>
  <c r="CB886" i="3" s="1"/>
  <c r="BZ384" i="3"/>
  <c r="CA384" i="3" s="1"/>
  <c r="CB384" i="3" s="1"/>
  <c r="BZ329" i="3"/>
  <c r="CA329" i="3" s="1"/>
  <c r="CB329" i="3" s="1"/>
  <c r="BZ182" i="3"/>
  <c r="CA182" i="3" s="1"/>
  <c r="CB182" i="3" s="1"/>
  <c r="BZ594" i="3"/>
  <c r="CA594" i="3" s="1"/>
  <c r="CB594" i="3" s="1"/>
  <c r="BZ593" i="3"/>
  <c r="CA593" i="3" s="1"/>
  <c r="CB593" i="3" s="1"/>
  <c r="BZ713" i="3"/>
  <c r="CA713" i="3" s="1"/>
  <c r="CB713" i="3" s="1"/>
  <c r="BZ566" i="3"/>
  <c r="CA566" i="3" s="1"/>
  <c r="CB566" i="3" s="1"/>
  <c r="BZ819" i="3"/>
  <c r="CA819" i="3" s="1"/>
  <c r="CB819" i="3" s="1"/>
  <c r="BZ705" i="3"/>
  <c r="CA705" i="3" s="1"/>
  <c r="CB705" i="3" s="1"/>
  <c r="BZ1344" i="3"/>
  <c r="CA1344" i="3" s="1"/>
  <c r="CB1344" i="3" s="1"/>
  <c r="BZ390" i="3"/>
  <c r="CA390" i="3" s="1"/>
  <c r="CB390" i="3" s="1"/>
  <c r="BZ294" i="3"/>
  <c r="CA294" i="3" s="1"/>
  <c r="CB294" i="3" s="1"/>
  <c r="BZ264" i="3"/>
  <c r="CA264" i="3" s="1"/>
  <c r="CB264" i="3" s="1"/>
  <c r="BZ197" i="3"/>
  <c r="CA197" i="3" s="1"/>
  <c r="CB197" i="3" s="1"/>
  <c r="BZ188" i="3"/>
  <c r="CA188" i="3" s="1"/>
  <c r="CB188" i="3" s="1"/>
  <c r="BZ299" i="3"/>
  <c r="CA299" i="3" s="1"/>
  <c r="CB299" i="3" s="1"/>
  <c r="BZ198" i="3"/>
  <c r="CA198" i="3" s="1"/>
  <c r="CB198" i="3" s="1"/>
  <c r="BZ507" i="3"/>
  <c r="CA507" i="3" s="1"/>
  <c r="CB507" i="3" s="1"/>
  <c r="BZ847" i="3"/>
  <c r="CA847" i="3" s="1"/>
  <c r="CB847" i="3" s="1"/>
  <c r="BZ824" i="3"/>
  <c r="CA824" i="3" s="1"/>
  <c r="CB824" i="3" s="1"/>
  <c r="BZ754" i="3"/>
  <c r="CA754" i="3" s="1"/>
  <c r="CB754" i="3" s="1"/>
  <c r="BZ480" i="3"/>
  <c r="CA480" i="3" s="1"/>
  <c r="CB480" i="3" s="1"/>
  <c r="BZ433" i="3"/>
  <c r="CA433" i="3" s="1"/>
  <c r="CB433" i="3" s="1"/>
  <c r="BZ756" i="3"/>
  <c r="CA756" i="3" s="1"/>
  <c r="CB756" i="3" s="1"/>
  <c r="BZ308" i="3"/>
  <c r="CA308" i="3" s="1"/>
  <c r="CB308" i="3" s="1"/>
  <c r="BZ773" i="3"/>
  <c r="CA773" i="3" s="1"/>
  <c r="CB773" i="3" s="1"/>
  <c r="BZ252" i="3"/>
  <c r="CA252" i="3" s="1"/>
  <c r="CB252" i="3" s="1"/>
  <c r="BZ442" i="3"/>
  <c r="CA442" i="3" s="1"/>
  <c r="CB442" i="3" s="1"/>
  <c r="BZ586" i="3"/>
  <c r="CA586" i="3" s="1"/>
  <c r="CB586" i="3" s="1"/>
  <c r="BZ236" i="3"/>
  <c r="CA236" i="3" s="1"/>
  <c r="CB236" i="3" s="1"/>
  <c r="BZ246" i="3"/>
  <c r="CA246" i="3" s="1"/>
  <c r="CB246" i="3" s="1"/>
  <c r="BZ1208" i="3"/>
  <c r="CA1208" i="3" s="1"/>
  <c r="CB1208" i="3" s="1"/>
  <c r="BZ311" i="3"/>
  <c r="CA311" i="3" s="1"/>
  <c r="CB311" i="3" s="1"/>
  <c r="BZ406" i="3"/>
  <c r="CA406" i="3" s="1"/>
  <c r="CB406" i="3" s="1"/>
  <c r="BZ222" i="3"/>
  <c r="CA222" i="3" s="1"/>
  <c r="CB222" i="3" s="1"/>
  <c r="BZ176" i="3"/>
  <c r="CA176" i="3" s="1"/>
  <c r="CB176" i="3" s="1"/>
  <c r="BZ405" i="3"/>
  <c r="CA405" i="3" s="1"/>
  <c r="CB405" i="3" s="1"/>
  <c r="BZ600" i="3"/>
  <c r="CA600" i="3" s="1"/>
  <c r="CB600" i="3" s="1"/>
  <c r="BZ368" i="3"/>
  <c r="CA368" i="3" s="1"/>
  <c r="CB368" i="3" s="1"/>
  <c r="BZ470" i="3"/>
  <c r="CA470" i="3" s="1"/>
  <c r="CB470" i="3" s="1"/>
  <c r="BZ676" i="3"/>
  <c r="CA676" i="3" s="1"/>
  <c r="CB676" i="3" s="1"/>
  <c r="BZ821" i="3"/>
  <c r="CA821" i="3" s="1"/>
  <c r="CB821" i="3" s="1"/>
  <c r="BZ726" i="3"/>
  <c r="CA726" i="3" s="1"/>
  <c r="CB726" i="3" s="1"/>
  <c r="BZ1032" i="3"/>
  <c r="CA1032" i="3" s="1"/>
  <c r="CB1032" i="3" s="1"/>
  <c r="BZ14" i="3"/>
  <c r="CA14" i="3" s="1"/>
  <c r="CB14" i="3" s="1"/>
  <c r="BZ111" i="3"/>
  <c r="CA111" i="3" s="1"/>
  <c r="CB111" i="3" s="1"/>
  <c r="BZ160" i="3"/>
  <c r="CA160" i="3" s="1"/>
  <c r="CB160" i="3" s="1"/>
  <c r="BZ266" i="3"/>
  <c r="CA266" i="3" s="1"/>
  <c r="CB266" i="3" s="1"/>
  <c r="BZ281" i="3"/>
  <c r="CA281" i="3" s="1"/>
  <c r="CB281" i="3" s="1"/>
  <c r="BZ229" i="3"/>
  <c r="CA229" i="3" s="1"/>
  <c r="CB229" i="3" s="1"/>
  <c r="BZ132" i="3"/>
  <c r="CA132" i="3" s="1"/>
  <c r="CB132" i="3" s="1"/>
  <c r="BZ733" i="3"/>
  <c r="CA733" i="3" s="1"/>
  <c r="CB733" i="3" s="1"/>
  <c r="BZ896" i="3"/>
  <c r="CA896" i="3" s="1"/>
  <c r="CB896" i="3" s="1"/>
  <c r="BZ891" i="3"/>
  <c r="CA891" i="3" s="1"/>
  <c r="CB891" i="3" s="1"/>
  <c r="BZ640" i="3"/>
  <c r="CA640" i="3" s="1"/>
  <c r="CB640" i="3" s="1"/>
  <c r="BZ1310" i="3"/>
  <c r="CA1310" i="3" s="1"/>
  <c r="CB1310" i="3" s="1"/>
  <c r="BZ112" i="3"/>
  <c r="CA112" i="3" s="1"/>
  <c r="CB112" i="3" s="1"/>
  <c r="BZ139" i="3"/>
  <c r="CA139" i="3" s="1"/>
  <c r="CB139" i="3" s="1"/>
  <c r="BZ21" i="3"/>
  <c r="CA21" i="3" s="1"/>
  <c r="CB21" i="3" s="1"/>
  <c r="BZ115" i="3"/>
  <c r="CA115" i="3" s="1"/>
  <c r="CB115" i="3" s="1"/>
  <c r="BZ87" i="3"/>
  <c r="CA87" i="3" s="1"/>
  <c r="CB87" i="3" s="1"/>
  <c r="BZ826" i="3"/>
  <c r="CA826" i="3" s="1"/>
  <c r="CB826" i="3" s="1"/>
  <c r="BZ369" i="3"/>
  <c r="CA369" i="3" s="1"/>
  <c r="CB369" i="3" s="1"/>
  <c r="BZ1408" i="3"/>
  <c r="CA1408" i="3" s="1"/>
  <c r="CB1408" i="3" s="1"/>
  <c r="BZ388" i="3"/>
  <c r="CA388" i="3" s="1"/>
  <c r="CB388" i="3" s="1"/>
  <c r="BZ435" i="3"/>
  <c r="CA435" i="3" s="1"/>
  <c r="CB435" i="3" s="1"/>
  <c r="BZ307" i="3"/>
  <c r="CA307" i="3" s="1"/>
  <c r="CB307" i="3" s="1"/>
  <c r="BZ275" i="3"/>
  <c r="CA275" i="3" s="1"/>
  <c r="CB275" i="3" s="1"/>
  <c r="BZ185" i="3"/>
  <c r="CA185" i="3" s="1"/>
  <c r="CB185" i="3" s="1"/>
  <c r="BZ127" i="3"/>
  <c r="CA127" i="3" s="1"/>
  <c r="CB127" i="3" s="1"/>
  <c r="BZ228" i="3"/>
  <c r="CA228" i="3" s="1"/>
  <c r="CB228" i="3" s="1"/>
  <c r="BZ479" i="3"/>
  <c r="CA479" i="3" s="1"/>
  <c r="CB479" i="3" s="1"/>
  <c r="BZ854" i="3"/>
  <c r="CA854" i="3" s="1"/>
  <c r="CB854" i="3" s="1"/>
  <c r="BZ752" i="3"/>
  <c r="CA752" i="3" s="1"/>
  <c r="CB752" i="3" s="1"/>
  <c r="BZ763" i="3"/>
  <c r="CA763" i="3" s="1"/>
  <c r="CB763" i="3" s="1"/>
  <c r="BZ626" i="3"/>
  <c r="CA626" i="3" s="1"/>
  <c r="CB626" i="3" s="1"/>
  <c r="BZ871" i="3"/>
  <c r="CA871" i="3" s="1"/>
  <c r="CB871" i="3" s="1"/>
  <c r="BZ1272" i="3"/>
  <c r="CA1272" i="3" s="1"/>
  <c r="CB1272" i="3" s="1"/>
  <c r="BZ184" i="3"/>
  <c r="CA184" i="3" s="1"/>
  <c r="CB184" i="3" s="1"/>
  <c r="BZ11" i="3"/>
  <c r="CA11" i="3" s="1"/>
  <c r="CB11" i="3" s="1"/>
  <c r="BZ101" i="3"/>
  <c r="CA101" i="3" s="1"/>
  <c r="CB101" i="3" s="1"/>
  <c r="BZ73" i="3"/>
  <c r="CA73" i="3" s="1"/>
  <c r="CB73" i="3" s="1"/>
  <c r="BZ1234" i="3"/>
  <c r="CA1234" i="3" s="1"/>
  <c r="CB1234" i="3" s="1"/>
  <c r="BZ398" i="3"/>
  <c r="CA398" i="3" s="1"/>
  <c r="CB398" i="3" s="1"/>
  <c r="BZ1031" i="3"/>
  <c r="CA1031" i="3" s="1"/>
  <c r="CB1031" i="3" s="1"/>
  <c r="BZ444" i="3"/>
  <c r="CA444" i="3" s="1"/>
  <c r="CB444" i="3" s="1"/>
  <c r="BZ413" i="3"/>
  <c r="CA413" i="3" s="1"/>
  <c r="CB413" i="3" s="1"/>
  <c r="BZ535" i="3"/>
  <c r="CA535" i="3" s="1"/>
  <c r="CB535" i="3" s="1"/>
  <c r="BZ515" i="3"/>
  <c r="CA515" i="3" s="1"/>
  <c r="CB515" i="3" s="1"/>
  <c r="BZ363" i="3"/>
  <c r="CA363" i="3" s="1"/>
  <c r="CB363" i="3" s="1"/>
  <c r="BZ611" i="3"/>
  <c r="CA611" i="3" s="1"/>
  <c r="CB611" i="3" s="1"/>
  <c r="BZ484" i="3"/>
  <c r="CA484" i="3" s="1"/>
  <c r="CB484" i="3" s="1"/>
  <c r="BZ597" i="3"/>
  <c r="CA597" i="3" s="1"/>
  <c r="CB597" i="3" s="1"/>
  <c r="BZ602" i="3"/>
  <c r="CA602" i="3" s="1"/>
  <c r="CB602" i="3" s="1"/>
  <c r="BZ644" i="3"/>
  <c r="CA644" i="3" s="1"/>
  <c r="CB644" i="3" s="1"/>
  <c r="BZ505" i="3"/>
  <c r="CA505" i="3" s="1"/>
  <c r="CB505" i="3" s="1"/>
  <c r="BZ702" i="3"/>
  <c r="CA702" i="3" s="1"/>
  <c r="CB702" i="3" s="1"/>
  <c r="BZ393" i="3"/>
  <c r="CA393" i="3" s="1"/>
  <c r="CB393" i="3" s="1"/>
  <c r="BZ119" i="3"/>
  <c r="CA119" i="3" s="1"/>
  <c r="CB119" i="3" s="1"/>
  <c r="BZ117" i="3"/>
  <c r="CA117" i="3" s="1"/>
  <c r="CB117" i="3" s="1"/>
  <c r="BZ42" i="3"/>
  <c r="CA42" i="3" s="1"/>
  <c r="CB42" i="3" s="1"/>
  <c r="BZ100" i="3"/>
  <c r="CA100" i="3" s="1"/>
  <c r="CB100" i="3" s="1"/>
  <c r="BZ109" i="3"/>
  <c r="CA109" i="3" s="1"/>
  <c r="CB109" i="3" s="1"/>
  <c r="BZ193" i="3"/>
  <c r="CA193" i="3" s="1"/>
  <c r="CB193" i="3" s="1"/>
  <c r="BZ423" i="3"/>
  <c r="CA423" i="3" s="1"/>
  <c r="CB423" i="3" s="1"/>
  <c r="BZ1227" i="3"/>
  <c r="CA1227" i="3" s="1"/>
  <c r="CB1227" i="3" s="1"/>
  <c r="BZ472" i="3"/>
  <c r="CA472" i="3" s="1"/>
  <c r="CB472" i="3" s="1"/>
  <c r="BZ758" i="3"/>
  <c r="CA758" i="3" s="1"/>
  <c r="CB758" i="3" s="1"/>
  <c r="BZ321" i="3"/>
  <c r="CA321" i="3" s="1"/>
  <c r="CB321" i="3" s="1"/>
  <c r="BZ386" i="3"/>
  <c r="CA386" i="3" s="1"/>
  <c r="CB386" i="3" s="1"/>
  <c r="BZ436" i="3"/>
  <c r="CA436" i="3" s="1"/>
  <c r="CB436" i="3" s="1"/>
  <c r="BZ633" i="3"/>
  <c r="CA633" i="3" s="1"/>
  <c r="CB633" i="3" s="1"/>
  <c r="BZ690" i="3"/>
  <c r="CA690" i="3" s="1"/>
  <c r="CB690" i="3" s="1"/>
  <c r="BZ462" i="3"/>
  <c r="CA462" i="3" s="1"/>
  <c r="CB462" i="3" s="1"/>
  <c r="BZ879" i="3"/>
  <c r="CA879" i="3" s="1"/>
  <c r="CB879" i="3" s="1"/>
  <c r="BZ536" i="3"/>
  <c r="CA536" i="3" s="1"/>
  <c r="CB536" i="3" s="1"/>
  <c r="BZ716" i="3"/>
  <c r="CA716" i="3" s="1"/>
  <c r="CB716" i="3" s="1"/>
  <c r="BZ319" i="3"/>
  <c r="CA319" i="3" s="1"/>
  <c r="CB319" i="3" s="1"/>
  <c r="BZ439" i="3"/>
  <c r="CA439" i="3" s="1"/>
  <c r="CB439" i="3" s="1"/>
  <c r="BZ259" i="3"/>
  <c r="CA259" i="3" s="1"/>
  <c r="CB259" i="3" s="1"/>
  <c r="BZ61" i="3"/>
  <c r="CA61" i="3" s="1"/>
  <c r="CB61" i="3" s="1"/>
  <c r="BZ30" i="3"/>
  <c r="CA30" i="3" s="1"/>
  <c r="CB30" i="3" s="1"/>
  <c r="BZ365" i="3"/>
  <c r="CA365" i="3" s="1"/>
  <c r="CB365" i="3" s="1"/>
  <c r="BZ583" i="3"/>
  <c r="CA583" i="3" s="1"/>
  <c r="CB583" i="3" s="1"/>
  <c r="BZ339" i="3"/>
  <c r="CA339" i="3" s="1"/>
  <c r="CB339" i="3" s="1"/>
  <c r="BZ761" i="3"/>
  <c r="CA761" i="3" s="1"/>
  <c r="CB761" i="3" s="1"/>
  <c r="BZ585" i="3"/>
  <c r="CA585" i="3" s="1"/>
  <c r="CB585" i="3" s="1"/>
  <c r="BZ617" i="3"/>
  <c r="CA617" i="3" s="1"/>
  <c r="CB617" i="3" s="1"/>
  <c r="BZ692" i="3"/>
  <c r="CA692" i="3" s="1"/>
  <c r="CB692" i="3" s="1"/>
  <c r="BZ408" i="3"/>
  <c r="CA408" i="3" s="1"/>
  <c r="CB408" i="3" s="1"/>
  <c r="BZ39" i="3"/>
  <c r="CA39" i="3" s="1"/>
  <c r="CB39" i="3" s="1"/>
  <c r="BZ49" i="3"/>
  <c r="CA49" i="3" s="1"/>
  <c r="CB49" i="3" s="1"/>
  <c r="BZ108" i="3"/>
  <c r="CA108" i="3" s="1"/>
  <c r="CB108" i="3" s="1"/>
  <c r="BZ200" i="3"/>
  <c r="CA200" i="3" s="1"/>
  <c r="CB200" i="3" s="1"/>
  <c r="BZ286" i="3"/>
  <c r="CA286" i="3" s="1"/>
  <c r="CB286" i="3" s="1"/>
  <c r="BZ527" i="3"/>
  <c r="CA527" i="3" s="1"/>
  <c r="CB527" i="3" s="1"/>
  <c r="BZ719" i="3"/>
  <c r="CA719" i="3" s="1"/>
  <c r="CB719" i="3" s="1"/>
  <c r="BZ916" i="3"/>
  <c r="CA916" i="3" s="1"/>
  <c r="CB916" i="3" s="1"/>
  <c r="BZ537" i="3"/>
  <c r="CA537" i="3" s="1"/>
  <c r="CB537" i="3" s="1"/>
  <c r="BZ793" i="3"/>
  <c r="CA793" i="3" s="1"/>
  <c r="CB793" i="3" s="1"/>
  <c r="BZ820" i="3"/>
  <c r="CA820" i="3" s="1"/>
  <c r="CB820" i="3" s="1"/>
  <c r="BZ747" i="3"/>
  <c r="CA747" i="3" s="1"/>
  <c r="CB747" i="3" s="1"/>
  <c r="BZ541" i="3"/>
  <c r="CA541" i="3" s="1"/>
  <c r="CB541" i="3" s="1"/>
  <c r="BZ411" i="3"/>
  <c r="CA411" i="3" s="1"/>
  <c r="CB411" i="3" s="1"/>
  <c r="BZ155" i="3"/>
  <c r="CA155" i="3" s="1"/>
  <c r="CB155" i="3" s="1"/>
  <c r="BZ838" i="3"/>
  <c r="CA838" i="3" s="1"/>
  <c r="CB838" i="3" s="1"/>
  <c r="BZ660" i="3"/>
  <c r="CA660" i="3" s="1"/>
  <c r="CB660" i="3" s="1"/>
  <c r="BZ1133" i="3"/>
  <c r="CA1133" i="3" s="1"/>
  <c r="CB1133" i="3" s="1"/>
  <c r="BZ708" i="3"/>
  <c r="CA708" i="3" s="1"/>
  <c r="CB708" i="3" s="1"/>
  <c r="BZ391" i="3"/>
  <c r="CA391" i="3" s="1"/>
  <c r="CB391" i="3" s="1"/>
  <c r="BZ318" i="3"/>
  <c r="CA318" i="3" s="1"/>
  <c r="CB318" i="3" s="1"/>
  <c r="BZ181" i="3"/>
  <c r="CA181" i="3" s="1"/>
  <c r="CB181" i="3" s="1"/>
  <c r="BZ192" i="3"/>
  <c r="CA192" i="3" s="1"/>
  <c r="CB192" i="3" s="1"/>
  <c r="BZ88" i="3"/>
  <c r="CA88" i="3" s="1"/>
  <c r="CB88" i="3" s="1"/>
  <c r="BZ253" i="3"/>
  <c r="CA253" i="3" s="1"/>
  <c r="CB253" i="3" s="1"/>
  <c r="BZ120" i="3"/>
  <c r="CA120" i="3" s="1"/>
  <c r="CB120" i="3" s="1"/>
  <c r="BZ380" i="3"/>
  <c r="CA380" i="3" s="1"/>
  <c r="CB380" i="3" s="1"/>
  <c r="BZ615" i="3"/>
  <c r="CA615" i="3" s="1"/>
  <c r="CB615" i="3" s="1"/>
  <c r="BZ788" i="3"/>
  <c r="CA788" i="3" s="1"/>
  <c r="CB788" i="3" s="1"/>
  <c r="BZ767" i="3"/>
  <c r="CA767" i="3" s="1"/>
  <c r="CB767" i="3" s="1"/>
  <c r="BZ675" i="3"/>
  <c r="CA675" i="3" s="1"/>
  <c r="CB675" i="3" s="1"/>
  <c r="BZ808" i="3"/>
  <c r="CA808" i="3" s="1"/>
  <c r="CB808" i="3" s="1"/>
  <c r="BZ781" i="3"/>
  <c r="CA781" i="3" s="1"/>
  <c r="CB781" i="3" s="1"/>
  <c r="BZ571" i="3"/>
  <c r="CA571" i="3" s="1"/>
  <c r="CB571" i="3" s="1"/>
  <c r="BZ116" i="3"/>
  <c r="CA116" i="3" s="1"/>
  <c r="CB116" i="3" s="1"/>
  <c r="BZ7" i="3"/>
  <c r="CA7" i="3" s="1"/>
  <c r="CB7" i="3" s="1"/>
  <c r="BZ531" i="3"/>
  <c r="CA531" i="3" s="1"/>
  <c r="CB531" i="3" s="1"/>
  <c r="BZ908" i="3"/>
  <c r="CA908" i="3" s="1"/>
  <c r="CB908" i="3" s="1"/>
  <c r="BZ93" i="3"/>
  <c r="CA93" i="3" s="1"/>
  <c r="CB93" i="3" s="1"/>
  <c r="BZ1068" i="3"/>
  <c r="CA1068" i="3" s="1"/>
  <c r="CB1068" i="3" s="1"/>
  <c r="BZ77" i="3"/>
  <c r="CA77" i="3" s="1"/>
  <c r="CB77" i="3" s="1"/>
  <c r="BZ552" i="3"/>
  <c r="CA552" i="3" s="1"/>
  <c r="CB552" i="3" s="1"/>
  <c r="BZ199" i="3"/>
  <c r="CA199" i="3" s="1"/>
  <c r="CB199" i="3" s="1"/>
  <c r="BZ309" i="3"/>
  <c r="CA309" i="3" s="1"/>
  <c r="CB309" i="3" s="1"/>
  <c r="BZ238" i="3"/>
  <c r="CA238" i="3" s="1"/>
  <c r="CB238" i="3" s="1"/>
  <c r="BZ394" i="3"/>
  <c r="CA394" i="3" s="1"/>
  <c r="CB394" i="3" s="1"/>
  <c r="BZ219" i="3"/>
  <c r="CA219" i="3" s="1"/>
  <c r="CB219" i="3" s="1"/>
  <c r="BZ260" i="3"/>
  <c r="CA260" i="3" s="1"/>
  <c r="CB260" i="3" s="1"/>
  <c r="BZ720" i="3"/>
  <c r="CA720" i="3" s="1"/>
  <c r="CB720" i="3" s="1"/>
  <c r="BZ674" i="3"/>
  <c r="CA674" i="3" s="1"/>
  <c r="CB674" i="3" s="1"/>
  <c r="BZ873" i="3"/>
  <c r="CA873" i="3" s="1"/>
  <c r="CB873" i="3" s="1"/>
  <c r="BZ639" i="3"/>
  <c r="CA639" i="3" s="1"/>
  <c r="CB639" i="3" s="1"/>
  <c r="BZ224" i="3"/>
  <c r="CA224" i="3" s="1"/>
  <c r="CB224" i="3" s="1"/>
  <c r="BZ33" i="3"/>
  <c r="CA33" i="3" s="1"/>
  <c r="CB33" i="3" s="1"/>
  <c r="BZ3" i="3"/>
  <c r="CA3" i="3" s="1"/>
  <c r="CB3" i="3" s="1"/>
  <c r="BZ32" i="3"/>
  <c r="CA32" i="3" s="1"/>
  <c r="CB32" i="3" s="1"/>
  <c r="BZ300" i="3"/>
  <c r="CA300" i="3" s="1"/>
  <c r="CB300" i="3" s="1"/>
  <c r="BZ106" i="3"/>
  <c r="CA106" i="3" s="1"/>
  <c r="CB106" i="3" s="1"/>
  <c r="BZ1147" i="3"/>
  <c r="CA1147" i="3" s="1"/>
  <c r="CB1147" i="3" s="1"/>
  <c r="BZ323" i="3"/>
  <c r="CA323" i="3" s="1"/>
  <c r="CB323" i="3" s="1"/>
  <c r="BZ810" i="3"/>
  <c r="CA810" i="3" s="1"/>
  <c r="CB810" i="3" s="1"/>
  <c r="BZ336" i="3"/>
  <c r="CA336" i="3" s="1"/>
  <c r="CB336" i="3" s="1"/>
  <c r="BZ508" i="3"/>
  <c r="CA508" i="3" s="1"/>
  <c r="CB508" i="3" s="1"/>
  <c r="BZ233" i="3"/>
  <c r="CA233" i="3" s="1"/>
  <c r="CB233" i="3" s="1"/>
  <c r="BZ528" i="3"/>
  <c r="CA528" i="3" s="1"/>
  <c r="CB528" i="3" s="1"/>
  <c r="BZ588" i="3"/>
  <c r="CA588" i="3" s="1"/>
  <c r="CB588" i="3" s="1"/>
  <c r="BZ459" i="3"/>
  <c r="CA459" i="3" s="1"/>
  <c r="CB459" i="3" s="1"/>
  <c r="BZ235" i="3"/>
  <c r="CA235" i="3" s="1"/>
  <c r="CB235" i="3" s="1"/>
  <c r="BZ500" i="3"/>
  <c r="CA500" i="3" s="1"/>
  <c r="CB500" i="3" s="1"/>
  <c r="BZ152" i="3"/>
  <c r="CA152" i="3" s="1"/>
  <c r="CB152" i="3" s="1"/>
  <c r="BZ194" i="3"/>
  <c r="CA194" i="3" s="1"/>
  <c r="CB194" i="3" s="1"/>
  <c r="BZ473" i="3"/>
  <c r="CA473" i="3" s="1"/>
  <c r="CB473" i="3" s="1"/>
  <c r="BZ1004" i="3"/>
  <c r="CA1004" i="3" s="1"/>
  <c r="CB1004" i="3" s="1"/>
  <c r="BZ168" i="3"/>
  <c r="CA168" i="3" s="1"/>
  <c r="CB168" i="3" s="1"/>
  <c r="BZ170" i="3"/>
  <c r="CA170" i="3" s="1"/>
  <c r="CB170" i="3" s="1"/>
  <c r="BZ296" i="3"/>
  <c r="CA296" i="3" s="1"/>
  <c r="CB296" i="3" s="1"/>
  <c r="BZ214" i="3"/>
  <c r="CA214" i="3" s="1"/>
  <c r="CB214" i="3" s="1"/>
  <c r="BZ247" i="3"/>
  <c r="CA247" i="3" s="1"/>
  <c r="CB247" i="3" s="1"/>
  <c r="BZ183" i="3"/>
  <c r="CA183" i="3" s="1"/>
  <c r="CB183" i="3" s="1"/>
  <c r="BZ201" i="3"/>
  <c r="CA201" i="3" s="1"/>
  <c r="CB201" i="3" s="1"/>
  <c r="BZ797" i="3"/>
  <c r="CA797" i="3" s="1"/>
  <c r="CB797" i="3" s="1"/>
  <c r="BZ621" i="3"/>
  <c r="CA621" i="3" s="1"/>
  <c r="CB621" i="3" s="1"/>
  <c r="BZ685" i="3"/>
  <c r="CA685" i="3" s="1"/>
  <c r="CB685" i="3" s="1"/>
  <c r="BZ523" i="3"/>
  <c r="CA523" i="3" s="1"/>
  <c r="CB523" i="3" s="1"/>
  <c r="BZ277" i="3"/>
  <c r="CA277" i="3" s="1"/>
  <c r="CB277" i="3" s="1"/>
  <c r="BZ147" i="3"/>
  <c r="CA147" i="3" s="1"/>
  <c r="CB147" i="3" s="1"/>
  <c r="BZ78" i="3"/>
  <c r="CA78" i="3" s="1"/>
  <c r="CB78" i="3" s="1"/>
  <c r="BZ5" i="3"/>
  <c r="CA5" i="3" s="1"/>
  <c r="CB5" i="3" s="1"/>
  <c r="BZ63" i="3"/>
  <c r="CA63" i="3" s="1"/>
  <c r="CB63" i="3" s="1"/>
  <c r="BZ151" i="3"/>
  <c r="CA151" i="3" s="1"/>
  <c r="CB151" i="3" s="1"/>
  <c r="BZ86" i="3"/>
  <c r="CA86" i="3" s="1"/>
  <c r="CB86" i="3" s="1"/>
  <c r="BZ419" i="3"/>
  <c r="CA419" i="3" s="1"/>
  <c r="CB419" i="3" s="1"/>
  <c r="BZ625" i="3"/>
  <c r="CA625" i="3" s="1"/>
  <c r="CB625" i="3" s="1"/>
  <c r="BZ477" i="3"/>
  <c r="CA477" i="3" s="1"/>
  <c r="CB477" i="3" s="1"/>
  <c r="BZ829" i="3"/>
  <c r="CA829" i="3" s="1"/>
  <c r="CB829" i="3" s="1"/>
  <c r="BZ452" i="3"/>
  <c r="CA452" i="3" s="1"/>
  <c r="CB452" i="3" s="1"/>
  <c r="BZ410" i="3"/>
  <c r="CA410" i="3" s="1"/>
  <c r="CB410" i="3" s="1"/>
  <c r="BZ446" i="3"/>
  <c r="CA446" i="3" s="1"/>
  <c r="CB446" i="3" s="1"/>
  <c r="BZ970" i="3"/>
  <c r="CA970" i="3" s="1"/>
  <c r="CB970" i="3" s="1"/>
  <c r="BZ635" i="3"/>
  <c r="CA635" i="3" s="1"/>
  <c r="CB635" i="3" s="1"/>
  <c r="BZ126" i="3"/>
  <c r="CA126" i="3" s="1"/>
  <c r="CB126" i="3" s="1"/>
  <c r="BZ667" i="3"/>
  <c r="CA667" i="3" s="1"/>
  <c r="CB667" i="3" s="1"/>
  <c r="BZ546" i="3"/>
  <c r="CA546" i="3" s="1"/>
  <c r="CB546" i="3" s="1"/>
  <c r="BZ631" i="3"/>
  <c r="CA631" i="3" s="1"/>
  <c r="CB631" i="3" s="1"/>
  <c r="BZ652" i="3"/>
  <c r="CA652" i="3" s="1"/>
  <c r="CB652" i="3" s="1"/>
  <c r="BZ326" i="3"/>
  <c r="CA326" i="3" s="1"/>
  <c r="CB326" i="3" s="1"/>
  <c r="BZ74" i="3"/>
  <c r="CA74" i="3" s="1"/>
  <c r="CB74" i="3" s="1"/>
  <c r="BZ22" i="3"/>
  <c r="CA22" i="3" s="1"/>
  <c r="CB22" i="3" s="1"/>
  <c r="BZ298" i="3"/>
  <c r="CA298" i="3" s="1"/>
  <c r="CB298" i="3" s="1"/>
  <c r="BZ44" i="3"/>
  <c r="CA44" i="3" s="1"/>
  <c r="CB44" i="3" s="1"/>
  <c r="BZ227" i="3"/>
  <c r="CA227" i="3" s="1"/>
  <c r="CB227" i="3" s="1"/>
  <c r="BZ425" i="3"/>
  <c r="CA425" i="3" s="1"/>
  <c r="CB425" i="3" s="1"/>
  <c r="BZ520" i="3"/>
  <c r="CA520" i="3" s="1"/>
  <c r="CB520" i="3" s="1"/>
  <c r="BZ776" i="3"/>
  <c r="CA776" i="3" s="1"/>
  <c r="CB776" i="3" s="1"/>
  <c r="BZ503" i="3"/>
  <c r="CA503" i="3" s="1"/>
  <c r="CB503" i="3" s="1"/>
  <c r="BZ700" i="3"/>
  <c r="CA700" i="3" s="1"/>
  <c r="CB700" i="3" s="1"/>
  <c r="BZ352" i="3"/>
  <c r="CA352" i="3" s="1"/>
  <c r="CB352" i="3" s="1"/>
  <c r="BZ447" i="3"/>
  <c r="CA447" i="3" s="1"/>
  <c r="CB447" i="3" s="1"/>
  <c r="BZ464" i="3"/>
  <c r="CA464" i="3" s="1"/>
  <c r="CB464" i="3" s="1"/>
  <c r="BZ734" i="3"/>
  <c r="CA734" i="3" s="1"/>
  <c r="CB734" i="3" s="1"/>
  <c r="BZ587" i="3"/>
  <c r="CA587" i="3" s="1"/>
  <c r="CB587" i="3" s="1"/>
  <c r="BZ1025" i="3"/>
  <c r="CA1025" i="3" s="1"/>
  <c r="CB1025" i="3" s="1"/>
  <c r="BZ673" i="3"/>
  <c r="CA673" i="3" s="1"/>
  <c r="CB673" i="3" s="1"/>
  <c r="BZ912" i="3"/>
  <c r="CA912" i="3" s="1"/>
  <c r="CB912" i="3" s="1"/>
  <c r="BZ789" i="3"/>
  <c r="CA789" i="3" s="1"/>
  <c r="CB789" i="3" s="1"/>
  <c r="BZ1374" i="3"/>
  <c r="CA1374" i="3" s="1"/>
  <c r="CB1374" i="3" s="1"/>
  <c r="BZ374" i="3"/>
  <c r="CA374" i="3" s="1"/>
  <c r="CB374" i="3" s="1"/>
  <c r="BZ278" i="3"/>
  <c r="CA278" i="3" s="1"/>
  <c r="CB278" i="3" s="1"/>
  <c r="BZ207" i="3"/>
  <c r="CA207" i="3" s="1"/>
  <c r="CB207" i="3" s="1"/>
  <c r="BZ72" i="3"/>
  <c r="CA72" i="3" s="1"/>
  <c r="CB72" i="3" s="1"/>
  <c r="BZ512" i="3"/>
  <c r="CA512" i="3" s="1"/>
  <c r="CB512" i="3" s="1"/>
  <c r="BZ283" i="3"/>
  <c r="CA283" i="3" s="1"/>
  <c r="CB283" i="3" s="1"/>
  <c r="BZ417" i="3"/>
  <c r="CA417" i="3" s="1"/>
  <c r="CB417" i="3" s="1"/>
  <c r="BZ730" i="3"/>
  <c r="CA730" i="3" s="1"/>
  <c r="CB730" i="3" s="1"/>
  <c r="BZ907" i="3"/>
  <c r="CA907" i="3" s="1"/>
  <c r="CB907" i="3" s="1"/>
  <c r="BZ900" i="3"/>
  <c r="CA900" i="3" s="1"/>
  <c r="CB900" i="3" s="1"/>
  <c r="BZ614" i="3"/>
  <c r="CA614" i="3" s="1"/>
  <c r="CB614" i="3" s="1"/>
  <c r="BZ648" i="3"/>
  <c r="CA648" i="3" s="1"/>
  <c r="CB648" i="3" s="1"/>
  <c r="BZ830" i="3"/>
  <c r="CA830" i="3" s="1"/>
  <c r="CB830" i="3" s="1"/>
  <c r="BZ15" i="3"/>
  <c r="CA15" i="3" s="1"/>
  <c r="CB15" i="3" s="1"/>
  <c r="BZ463" i="3"/>
  <c r="CA463" i="3" s="1"/>
  <c r="CB463" i="3" s="1"/>
  <c r="BZ94" i="3"/>
  <c r="CA94" i="3" s="1"/>
  <c r="CB94" i="3" s="1"/>
  <c r="BZ146" i="3"/>
  <c r="CA146" i="3" s="1"/>
  <c r="CB146" i="3" s="1"/>
  <c r="BZ745" i="3"/>
  <c r="CA745" i="3" s="1"/>
  <c r="CB745" i="3" s="1"/>
  <c r="BZ1307" i="3"/>
  <c r="CA1307" i="3" s="1"/>
  <c r="CB1307" i="3" s="1"/>
  <c r="BZ1003" i="3"/>
  <c r="CA1003" i="3" s="1"/>
  <c r="CB1003" i="3" s="1"/>
  <c r="BZ337" i="3"/>
  <c r="CA337" i="3" s="1"/>
  <c r="CB337" i="3" s="1"/>
  <c r="BZ471" i="3"/>
  <c r="CA471" i="3" s="1"/>
  <c r="CB471" i="3" s="1"/>
  <c r="BZ177" i="3"/>
  <c r="CA177" i="3" s="1"/>
  <c r="CB177" i="3" s="1"/>
  <c r="BZ204" i="3"/>
  <c r="CA204" i="3" s="1"/>
  <c r="CB204" i="3" s="1"/>
  <c r="BZ295" i="3"/>
  <c r="CA295" i="3" s="1"/>
  <c r="CB295" i="3" s="1"/>
  <c r="BZ187" i="3"/>
  <c r="CA187" i="3" s="1"/>
  <c r="CB187" i="3" s="1"/>
  <c r="BZ422" i="3"/>
  <c r="CA422" i="3" s="1"/>
  <c r="CB422" i="3" s="1"/>
  <c r="BZ402" i="3"/>
  <c r="CA402" i="3" s="1"/>
  <c r="CB402" i="3" s="1"/>
  <c r="BZ540" i="3"/>
  <c r="CA540" i="3" s="1"/>
  <c r="CB540" i="3" s="1"/>
  <c r="BZ1445" i="3"/>
  <c r="CA1445" i="3" s="1"/>
  <c r="CB1445" i="3" s="1"/>
  <c r="BZ807" i="3"/>
  <c r="CA807" i="3" s="1"/>
  <c r="CB807" i="3" s="1"/>
  <c r="BZ780" i="3"/>
  <c r="CA780" i="3" s="1"/>
  <c r="CB780" i="3" s="1"/>
  <c r="BZ572" i="3"/>
  <c r="CA572" i="3" s="1"/>
  <c r="CB572" i="3" s="1"/>
  <c r="BZ105" i="3"/>
  <c r="CA105" i="3" s="1"/>
  <c r="CB105" i="3" s="1"/>
  <c r="BZ110" i="3"/>
  <c r="CA110" i="3" s="1"/>
  <c r="CB110" i="3" s="1"/>
  <c r="BZ58" i="3"/>
  <c r="CA58" i="3" s="1"/>
  <c r="CB58" i="3" s="1"/>
  <c r="BZ84" i="3"/>
  <c r="CA84" i="3" s="1"/>
  <c r="CB84" i="3" s="1"/>
  <c r="BZ270" i="3"/>
  <c r="CA270" i="3" s="1"/>
  <c r="CB270" i="3" s="1"/>
  <c r="BZ418" i="3"/>
  <c r="CA418" i="3" s="1"/>
  <c r="CB418" i="3" s="1"/>
  <c r="BZ785" i="3"/>
  <c r="CA785" i="3" s="1"/>
  <c r="CB785" i="3" s="1"/>
  <c r="BZ712" i="3"/>
  <c r="CA712" i="3" s="1"/>
  <c r="CB712" i="3" s="1"/>
  <c r="BZ709" i="3"/>
  <c r="CA709" i="3" s="1"/>
  <c r="CB709" i="3" s="1"/>
  <c r="BZ864" i="3"/>
  <c r="CA864" i="3" s="1"/>
  <c r="CB864" i="3" s="1"/>
  <c r="BZ811" i="3"/>
  <c r="CA811" i="3" s="1"/>
  <c r="CB811" i="3" s="1"/>
  <c r="BZ521" i="3"/>
  <c r="CA521" i="3" s="1"/>
  <c r="CB521" i="3" s="1"/>
  <c r="BZ791" i="3"/>
  <c r="CA791" i="3" s="1"/>
  <c r="CB791" i="3" s="1"/>
  <c r="BZ381" i="3"/>
  <c r="CA381" i="3" s="1"/>
  <c r="CB381" i="3" s="1"/>
  <c r="BZ28" i="3"/>
  <c r="CA28" i="3" s="1"/>
  <c r="CB28" i="3" s="1"/>
  <c r="BZ25" i="3"/>
  <c r="CA25" i="3" s="1"/>
  <c r="CB25" i="3" s="1"/>
  <c r="BZ267" i="3"/>
  <c r="CA267" i="3" s="1"/>
  <c r="CB267" i="3" s="1"/>
  <c r="BZ350" i="3"/>
  <c r="CA350" i="3" s="1"/>
  <c r="CB350" i="3" s="1"/>
  <c r="BZ1142" i="3"/>
  <c r="CA1142" i="3" s="1"/>
  <c r="CB1142" i="3" s="1"/>
  <c r="BZ559" i="3"/>
  <c r="CA559" i="3" s="1"/>
  <c r="CB559" i="3" s="1"/>
  <c r="BZ817" i="3"/>
  <c r="CA817" i="3" s="1"/>
  <c r="CB817" i="3" s="1"/>
  <c r="BZ604" i="3"/>
  <c r="CA604" i="3" s="1"/>
  <c r="CB604" i="3" s="1"/>
  <c r="BZ357" i="3"/>
  <c r="CA357" i="3" s="1"/>
  <c r="CB357" i="3" s="1"/>
  <c r="BZ392" i="3"/>
  <c r="CA392" i="3" s="1"/>
  <c r="CB392" i="3" s="1"/>
  <c r="BZ717" i="3"/>
  <c r="CA717" i="3" s="1"/>
  <c r="CB717" i="3" s="1"/>
  <c r="BZ514" i="3"/>
  <c r="CA514" i="3" s="1"/>
  <c r="CB514" i="3" s="1"/>
  <c r="BZ898" i="3"/>
  <c r="CA898" i="3" s="1"/>
  <c r="CB898" i="3" s="1"/>
  <c r="BZ914" i="3"/>
  <c r="CA914" i="3" s="1"/>
  <c r="CB914" i="3" s="1"/>
  <c r="BZ582" i="3"/>
  <c r="CA582" i="3" s="1"/>
  <c r="CB582" i="3" s="1"/>
  <c r="BZ605" i="3"/>
  <c r="CA605" i="3" s="1"/>
  <c r="CB605" i="3" s="1"/>
  <c r="BZ798" i="3"/>
  <c r="CA798" i="3" s="1"/>
  <c r="CB798" i="3" s="1"/>
  <c r="BZ567" i="3"/>
  <c r="CA567" i="3" s="1"/>
  <c r="CB567" i="3" s="1"/>
  <c r="BZ114" i="3"/>
  <c r="CA114" i="3" s="1"/>
  <c r="CB114" i="3" s="1"/>
  <c r="BZ36" i="3"/>
  <c r="CA36" i="3" s="1"/>
  <c r="CB36" i="3" s="1"/>
  <c r="BZ103" i="3"/>
  <c r="CA103" i="3" s="1"/>
  <c r="CB103" i="3" s="1"/>
  <c r="BZ223" i="3"/>
  <c r="CA223" i="3" s="1"/>
  <c r="CB223" i="3" s="1"/>
  <c r="BZ156" i="3"/>
  <c r="CA156" i="3" s="1"/>
  <c r="CB156" i="3" s="1"/>
  <c r="BZ1371" i="3"/>
  <c r="CA1371" i="3" s="1"/>
  <c r="CB1371" i="3" s="1"/>
  <c r="BZ382" i="3"/>
  <c r="CA382" i="3" s="1"/>
  <c r="CB382" i="3" s="1"/>
  <c r="BZ1067" i="3"/>
  <c r="CA1067" i="3" s="1"/>
  <c r="CB1067" i="3" s="1"/>
  <c r="BZ476" i="3"/>
  <c r="CA476" i="3" s="1"/>
  <c r="CB476" i="3" s="1"/>
  <c r="BZ680" i="3"/>
  <c r="CA680" i="3" s="1"/>
  <c r="CB680" i="3" s="1"/>
  <c r="BZ397" i="3"/>
  <c r="CA397" i="3" s="1"/>
  <c r="CB397" i="3" s="1"/>
  <c r="BZ595" i="3"/>
  <c r="CA595" i="3" s="1"/>
  <c r="CB595" i="3" s="1"/>
  <c r="BZ175" i="3"/>
  <c r="CA175" i="3" s="1"/>
  <c r="CB175" i="3" s="1"/>
  <c r="BZ696" i="3"/>
  <c r="CA696" i="3" s="1"/>
  <c r="CB696" i="3" s="1"/>
  <c r="BZ575" i="3"/>
  <c r="CA575" i="3" s="1"/>
  <c r="CB575" i="3" s="1"/>
  <c r="BZ569" i="3"/>
  <c r="CA569" i="3" s="1"/>
  <c r="CB569" i="3" s="1"/>
  <c r="BZ662" i="3"/>
  <c r="CA662" i="3" s="1"/>
  <c r="CB662" i="3" s="1"/>
  <c r="BZ742" i="3"/>
  <c r="CA742" i="3" s="1"/>
  <c r="CB742" i="3" s="1"/>
  <c r="BZ613" i="3"/>
  <c r="CA613" i="3" s="1"/>
  <c r="CB613" i="3" s="1"/>
  <c r="BZ778" i="3"/>
  <c r="CA778" i="3" s="1"/>
  <c r="CB778" i="3" s="1"/>
  <c r="BZ377" i="3"/>
  <c r="CA377" i="3" s="1"/>
  <c r="CB377" i="3" s="1"/>
  <c r="BZ60" i="3"/>
  <c r="CA60" i="3" s="1"/>
  <c r="CB60" i="3" s="1"/>
  <c r="BZ67" i="3"/>
  <c r="CA67" i="3" s="1"/>
  <c r="CB67" i="3" s="1"/>
  <c r="BZ169" i="3"/>
  <c r="CA169" i="3" s="1"/>
  <c r="CB169" i="3" s="1"/>
  <c r="BZ220" i="3"/>
  <c r="CA220" i="3" s="1"/>
  <c r="CB220" i="3" s="1"/>
  <c r="BZ209" i="3"/>
  <c r="CA209" i="3" s="1"/>
  <c r="CB209" i="3" s="1"/>
  <c r="BZ242" i="3"/>
  <c r="CA242" i="3" s="1"/>
  <c r="CB242" i="3" s="1"/>
  <c r="BZ623" i="3"/>
  <c r="CA623" i="3" s="1"/>
  <c r="CB623" i="3" s="1"/>
  <c r="BZ574" i="3"/>
  <c r="CA574" i="3" s="1"/>
  <c r="CB574" i="3" s="1"/>
  <c r="BZ578" i="3"/>
  <c r="CA578" i="3" s="1"/>
  <c r="CB578" i="3" s="1"/>
  <c r="BZ818" i="3"/>
  <c r="CA818" i="3" s="1"/>
  <c r="CB818" i="3" s="1"/>
  <c r="BZ340" i="3"/>
  <c r="CA340" i="3" s="1"/>
  <c r="CB340" i="3" s="1"/>
  <c r="BZ769" i="3"/>
  <c r="CA769" i="3" s="1"/>
  <c r="CB769" i="3" s="1"/>
  <c r="BZ744" i="3"/>
  <c r="CA744" i="3" s="1"/>
  <c r="CB744" i="3" s="1"/>
  <c r="BZ178" i="3"/>
  <c r="CA178" i="3" s="1"/>
  <c r="CB178" i="3" s="1"/>
  <c r="BZ985" i="3"/>
  <c r="CA985" i="3" s="1"/>
  <c r="CB985" i="3" s="1"/>
  <c r="BZ289" i="3"/>
  <c r="CA289" i="3" s="1"/>
  <c r="CB289" i="3" s="1"/>
  <c r="BZ445" i="3"/>
  <c r="CA445" i="3" s="1"/>
  <c r="CB445" i="3" s="1"/>
  <c r="BZ724" i="3"/>
  <c r="CA724" i="3" s="1"/>
  <c r="CB724" i="3" s="1"/>
  <c r="BZ903" i="3"/>
  <c r="CA903" i="3" s="1"/>
  <c r="CB903" i="3" s="1"/>
  <c r="BZ963" i="3"/>
  <c r="CA963" i="3" s="1"/>
  <c r="CB963" i="3" s="1"/>
  <c r="BZ221" i="3"/>
  <c r="CA221" i="3" s="1"/>
  <c r="CB221" i="3" s="1"/>
  <c r="BZ153" i="3"/>
  <c r="CA153" i="3" s="1"/>
  <c r="CB153" i="3" s="1"/>
  <c r="BZ280" i="3"/>
  <c r="CA280" i="3" s="1"/>
  <c r="CB280" i="3" s="1"/>
  <c r="BZ257" i="3"/>
  <c r="CA257" i="3" s="1"/>
  <c r="CB257" i="3" s="1"/>
  <c r="BZ95" i="3"/>
  <c r="CA95" i="3" s="1"/>
  <c r="CB95" i="3" s="1"/>
  <c r="BZ56" i="3"/>
  <c r="CA56" i="3" s="1"/>
  <c r="CB56" i="3" s="1"/>
  <c r="BZ373" i="3"/>
  <c r="CA373" i="3" s="1"/>
  <c r="CB373" i="3" s="1"/>
  <c r="BZ303" i="3"/>
  <c r="CA303" i="3" s="1"/>
  <c r="CB303" i="3" s="1"/>
  <c r="BZ1397" i="3"/>
  <c r="CA1397" i="3" s="1"/>
  <c r="CB1397" i="3" s="1"/>
  <c r="BZ497" i="3"/>
  <c r="CA497" i="3" s="1"/>
  <c r="CB497" i="3" s="1"/>
  <c r="BZ622" i="3"/>
  <c r="CA622" i="3" s="1"/>
  <c r="CB622" i="3" s="1"/>
  <c r="BZ254" i="3"/>
  <c r="CA254" i="3" s="1"/>
  <c r="CB254" i="3" s="1"/>
  <c r="BZ276" i="3"/>
  <c r="CA276" i="3" s="1"/>
  <c r="CB276" i="3" s="1"/>
  <c r="BZ35" i="3"/>
  <c r="CA35" i="3" s="1"/>
  <c r="CB35" i="3" s="1"/>
  <c r="BZ98" i="3"/>
  <c r="CA98" i="3" s="1"/>
  <c r="CB98" i="3" s="1"/>
  <c r="BZ18" i="3"/>
  <c r="CA18" i="3" s="1"/>
  <c r="CB18" i="3" s="1"/>
  <c r="BZ92" i="3"/>
  <c r="CA92" i="3" s="1"/>
  <c r="CB92" i="3" s="1"/>
  <c r="BZ383" i="3"/>
  <c r="CA383" i="3" s="1"/>
  <c r="CB383" i="3" s="1"/>
  <c r="BZ451" i="3"/>
  <c r="CA451" i="3" s="1"/>
  <c r="CB451" i="3" s="1"/>
  <c r="BZ722" i="3"/>
  <c r="CA722" i="3" s="1"/>
  <c r="CB722" i="3" s="1"/>
  <c r="BZ693" i="3"/>
  <c r="CA693" i="3" s="1"/>
  <c r="CB693" i="3" s="1"/>
  <c r="BZ893" i="3"/>
  <c r="CA893" i="3" s="1"/>
  <c r="CB893" i="3" s="1"/>
  <c r="BZ511" i="3"/>
  <c r="CA511" i="3" s="1"/>
  <c r="CB511" i="3" s="1"/>
  <c r="BZ475" i="3"/>
  <c r="CA475" i="3" s="1"/>
  <c r="CB475" i="3" s="1"/>
  <c r="BZ743" i="3"/>
  <c r="CA743" i="3" s="1"/>
  <c r="CB743" i="3" s="1"/>
  <c r="BZ52" i="3"/>
  <c r="CA52" i="3" s="1"/>
  <c r="CB52" i="3" s="1"/>
  <c r="BZ653" i="3"/>
  <c r="CA653" i="3" s="1"/>
  <c r="CB653" i="3" s="1"/>
  <c r="BZ163" i="3"/>
  <c r="CA163" i="3" s="1"/>
  <c r="CB163" i="3" s="1"/>
  <c r="BZ904" i="3"/>
  <c r="CA904" i="3" s="1"/>
  <c r="CB904" i="3" s="1"/>
  <c r="BZ353" i="3"/>
  <c r="CA353" i="3" s="1"/>
  <c r="CB353" i="3" s="1"/>
  <c r="BZ1438" i="3"/>
  <c r="CA1438" i="3" s="1"/>
  <c r="CB1438" i="3" s="1"/>
  <c r="BZ372" i="3"/>
  <c r="CA372" i="3" s="1"/>
  <c r="CB372" i="3" s="1"/>
  <c r="BZ467" i="3"/>
  <c r="CA467" i="3" s="1"/>
  <c r="CB467" i="3" s="1"/>
  <c r="BZ291" i="3"/>
  <c r="CA291" i="3" s="1"/>
  <c r="CB291" i="3" s="1"/>
  <c r="BZ231" i="3"/>
  <c r="CA231" i="3" s="1"/>
  <c r="CB231" i="3" s="1"/>
  <c r="BZ519" i="3"/>
  <c r="CA519" i="3" s="1"/>
  <c r="CB519" i="3" s="1"/>
  <c r="BZ431" i="3"/>
  <c r="CA431" i="3" s="1"/>
  <c r="CB431" i="3" s="1"/>
  <c r="BZ330" i="3"/>
  <c r="CA330" i="3" s="1"/>
  <c r="CB330" i="3" s="1"/>
  <c r="BZ568" i="3"/>
  <c r="CA568" i="3" s="1"/>
  <c r="CB568" i="3" s="1"/>
  <c r="BZ642" i="3"/>
  <c r="CA642" i="3" s="1"/>
  <c r="CB642" i="3" s="1"/>
  <c r="BZ816" i="3"/>
  <c r="CA816" i="3" s="1"/>
  <c r="CB816" i="3" s="1"/>
  <c r="BZ827" i="3"/>
  <c r="CA827" i="3" s="1"/>
  <c r="CB827" i="3" s="1"/>
  <c r="BZ517" i="3"/>
  <c r="CA517" i="3" s="1"/>
  <c r="CB517" i="3" s="1"/>
  <c r="BZ771" i="3"/>
  <c r="CA771" i="3" s="1"/>
  <c r="CB771" i="3" s="1"/>
  <c r="BZ59" i="3"/>
  <c r="CA59" i="3" s="1"/>
  <c r="CB59" i="3" s="1"/>
  <c r="BZ27" i="3"/>
  <c r="CA27" i="3" s="1"/>
  <c r="CB27" i="3" s="1"/>
  <c r="BZ128" i="3"/>
  <c r="CA128" i="3" s="1"/>
  <c r="CB128" i="3" s="1"/>
  <c r="BZ53" i="3"/>
  <c r="CA53" i="3" s="1"/>
  <c r="CB53" i="3" s="1"/>
  <c r="BZ137" i="3"/>
  <c r="CA137" i="3" s="1"/>
  <c r="CB137" i="3" s="1"/>
  <c r="BZ748" i="3"/>
  <c r="CA748" i="3" s="1"/>
  <c r="CB748" i="3" s="1"/>
  <c r="BZ385" i="3"/>
  <c r="CA385" i="3" s="1"/>
  <c r="CB385" i="3" s="1"/>
  <c r="BZ995" i="3"/>
  <c r="CA995" i="3" s="1"/>
  <c r="CB995" i="3" s="1"/>
  <c r="BZ102" i="3"/>
  <c r="CA102" i="3" s="1"/>
  <c r="CB102" i="3" s="1"/>
  <c r="BZ317" i="3"/>
  <c r="CA317" i="3" s="1"/>
  <c r="CB317" i="3" s="1"/>
  <c r="BZ145" i="3"/>
  <c r="CA145" i="3" s="1"/>
  <c r="CB145" i="3" s="1"/>
  <c r="BZ293" i="3"/>
  <c r="CA293" i="3" s="1"/>
  <c r="CB293" i="3" s="1"/>
  <c r="BZ256" i="3"/>
  <c r="CA256" i="3" s="1"/>
  <c r="CB256" i="3" s="1"/>
  <c r="BZ362" i="3"/>
  <c r="CA362" i="3" s="1"/>
  <c r="CB362" i="3" s="1"/>
  <c r="BZ371" i="3"/>
  <c r="CA371" i="3" s="1"/>
  <c r="CB371" i="3" s="1"/>
  <c r="BZ415" i="3"/>
  <c r="CA415" i="3" s="1"/>
  <c r="CB415" i="3" s="1"/>
  <c r="BZ786" i="3"/>
  <c r="CA786" i="3" s="1"/>
  <c r="CB786" i="3" s="1"/>
  <c r="BZ589" i="3"/>
  <c r="CA589" i="3" s="1"/>
  <c r="CB589" i="3" s="1"/>
  <c r="BZ649" i="3"/>
  <c r="CA649" i="3" s="1"/>
  <c r="CB649" i="3" s="1"/>
  <c r="BZ482" i="3"/>
  <c r="CA482" i="3" s="1"/>
  <c r="CB482" i="3" s="1"/>
  <c r="BZ179" i="3"/>
  <c r="CA179" i="3" s="1"/>
  <c r="CB179" i="3" s="1"/>
  <c r="BZ17" i="3"/>
  <c r="CA17" i="3" s="1"/>
  <c r="CB17" i="3" s="1"/>
  <c r="BZ107" i="3"/>
  <c r="CA107" i="3" s="1"/>
  <c r="CB107" i="3" s="1"/>
  <c r="BZ89" i="3"/>
  <c r="CA89" i="3" s="1"/>
  <c r="CB89" i="3" s="1"/>
  <c r="BZ284" i="3"/>
  <c r="CA284" i="3" s="1"/>
  <c r="CB284" i="3" s="1"/>
  <c r="BZ54" i="3"/>
  <c r="CA54" i="3" s="1"/>
  <c r="CB54" i="3" s="1"/>
  <c r="BZ158" i="3"/>
  <c r="CA158" i="3" s="1"/>
  <c r="CB158" i="3" s="1"/>
  <c r="BZ455" i="3"/>
  <c r="CA455" i="3" s="1"/>
  <c r="CB455" i="3" s="1"/>
  <c r="BZ498" i="3"/>
  <c r="CA498" i="3" s="1"/>
  <c r="CB498" i="3" s="1"/>
  <c r="BZ466" i="3"/>
  <c r="CA466" i="3" s="1"/>
  <c r="CB466" i="3" s="1"/>
  <c r="BZ822" i="3"/>
  <c r="CA822" i="3" s="1"/>
  <c r="CB822" i="3" s="1"/>
  <c r="BZ341" i="3"/>
  <c r="CA341" i="3" s="1"/>
  <c r="CB341" i="3" s="1"/>
  <c r="BZ354" i="3"/>
  <c r="CA354" i="3" s="1"/>
  <c r="CB354" i="3" s="1"/>
  <c r="BZ164" i="3"/>
  <c r="CA164" i="3" s="1"/>
  <c r="CB164" i="3" s="1"/>
  <c r="BZ598" i="3"/>
  <c r="CA598" i="3" s="1"/>
  <c r="CB598" i="3" s="1"/>
  <c r="BZ697" i="3"/>
  <c r="CA697" i="3" s="1"/>
  <c r="CB697" i="3" s="1"/>
  <c r="BZ461" i="3"/>
  <c r="CA461" i="3" s="1"/>
  <c r="CB461" i="3" s="1"/>
  <c r="BZ905" i="3"/>
  <c r="CA905" i="3" s="1"/>
  <c r="CB905" i="3" s="1"/>
  <c r="BZ590" i="3"/>
  <c r="CA590" i="3" s="1"/>
  <c r="CB590" i="3" s="1"/>
  <c r="BZ632" i="3"/>
  <c r="CA632" i="3" s="1"/>
  <c r="CB632" i="3" s="1"/>
  <c r="BZ876" i="3"/>
  <c r="CA876" i="3" s="1"/>
  <c r="CB876" i="3" s="1"/>
  <c r="BZ322" i="3"/>
  <c r="CA322" i="3" s="1"/>
  <c r="CB322" i="3" s="1"/>
  <c r="BZ55" i="3"/>
  <c r="CA55" i="3" s="1"/>
  <c r="CB55" i="3" s="1"/>
  <c r="BZ43" i="3"/>
  <c r="CA43" i="3" s="1"/>
  <c r="CB43" i="3" s="1"/>
  <c r="BZ122" i="3"/>
  <c r="CA122" i="3" s="1"/>
  <c r="CB122" i="3" s="1"/>
  <c r="BZ218" i="3"/>
  <c r="CA218" i="3" s="1"/>
  <c r="CB218" i="3" s="1"/>
  <c r="BZ230" i="3"/>
  <c r="CA230" i="3" s="1"/>
  <c r="CB230" i="3" s="1"/>
  <c r="BZ186" i="3"/>
  <c r="CA186" i="3" s="1"/>
  <c r="CB186" i="3" s="1"/>
  <c r="BZ159" i="3"/>
  <c r="CA159" i="3" s="1"/>
  <c r="CB159" i="3" s="1"/>
  <c r="BZ1277" i="3"/>
  <c r="CA1277" i="3" s="1"/>
  <c r="CB1277" i="3" s="1"/>
  <c r="BZ123" i="3"/>
  <c r="CA123" i="3" s="1"/>
  <c r="CB123" i="3" s="1"/>
  <c r="BZ206" i="3"/>
  <c r="CA206" i="3" s="1"/>
  <c r="CB206" i="3" s="1"/>
  <c r="BZ543" i="3"/>
  <c r="CA543" i="3" s="1"/>
  <c r="CB543" i="3" s="1"/>
  <c r="BZ1475" i="3"/>
  <c r="CA1475" i="3" s="1"/>
  <c r="CB1475" i="3" s="1"/>
  <c r="BZ173" i="3"/>
  <c r="CA173" i="3" s="1"/>
  <c r="CB173" i="3" s="1"/>
  <c r="BZ1309" i="3"/>
  <c r="CA1309" i="3" s="1"/>
  <c r="CB1309" i="3" s="1"/>
  <c r="BZ306" i="3"/>
  <c r="CA306" i="3" s="1"/>
  <c r="CB306" i="3" s="1"/>
  <c r="BZ125" i="3"/>
  <c r="CA125" i="3" s="1"/>
  <c r="CB125" i="3" s="1"/>
  <c r="BZ845" i="3"/>
  <c r="CA845" i="3" s="1"/>
  <c r="CB845" i="3" s="1"/>
  <c r="BZ529" i="3"/>
  <c r="CA529" i="3" s="1"/>
  <c r="CB529" i="3" s="1"/>
  <c r="BZ1421" i="3"/>
  <c r="CA1421" i="3" s="1"/>
  <c r="CB1421" i="3" s="1"/>
  <c r="BZ560" i="3"/>
  <c r="CA560" i="3" s="1"/>
  <c r="CB560" i="3" s="1"/>
  <c r="BZ1293" i="3"/>
  <c r="CA1293" i="3" s="1"/>
  <c r="CB1293" i="3" s="1"/>
  <c r="BZ140" i="3"/>
  <c r="CA140" i="3" s="1"/>
  <c r="CB140" i="3" s="1"/>
  <c r="BZ16" i="3"/>
  <c r="CA16" i="3" s="1"/>
  <c r="CB16" i="3" s="1"/>
  <c r="BZ37" i="3"/>
  <c r="CA37" i="3" s="1"/>
  <c r="CB37" i="3" s="1"/>
  <c r="BZ491" i="3"/>
  <c r="CA491" i="3" s="1"/>
  <c r="CB491" i="3" s="1"/>
  <c r="BZ875" i="3"/>
  <c r="CA875" i="3" s="1"/>
  <c r="CB875" i="3" s="1"/>
  <c r="BZ31" i="3"/>
  <c r="CA31" i="3" s="1"/>
  <c r="CB31" i="3" s="1"/>
  <c r="BZ335" i="3"/>
  <c r="CA335" i="3" s="1"/>
  <c r="CB335" i="3" s="1"/>
  <c r="BZ1365" i="3"/>
  <c r="CA1365" i="3" s="1"/>
  <c r="CB1365" i="3" s="1"/>
  <c r="BZ150" i="3"/>
  <c r="CA150" i="3" s="1"/>
  <c r="CB150" i="3" s="1"/>
  <c r="BZ265" i="3"/>
  <c r="CA265" i="3" s="1"/>
  <c r="CB265" i="3" s="1"/>
  <c r="BZ29" i="3"/>
  <c r="CA29" i="3" s="1"/>
  <c r="CB29" i="3" s="1"/>
  <c r="BZ20" i="3"/>
  <c r="CA20" i="3" s="1"/>
  <c r="CB20" i="3" s="1"/>
  <c r="BZ292" i="3"/>
  <c r="CA292" i="3" s="1"/>
  <c r="CB292" i="3" s="1"/>
  <c r="BZ376" i="3"/>
  <c r="CA376" i="3" s="1"/>
  <c r="CB376" i="3" s="1"/>
  <c r="BZ1304" i="3"/>
  <c r="CA1304" i="3" s="1"/>
  <c r="CB1304" i="3" s="1"/>
  <c r="BZ327" i="3"/>
  <c r="CA327" i="3" s="1"/>
  <c r="CB327" i="3" s="1"/>
  <c r="BZ239" i="3"/>
  <c r="CA239" i="3" s="1"/>
  <c r="CB239" i="3" s="1"/>
  <c r="BZ603" i="3"/>
  <c r="CA603" i="3" s="1"/>
  <c r="CB603" i="3" s="1"/>
  <c r="BZ133" i="3"/>
  <c r="CA133" i="3" s="1"/>
  <c r="CB133" i="3" s="1"/>
  <c r="BZ551" i="3"/>
  <c r="CA551" i="3" s="1"/>
  <c r="CB551" i="3" s="1"/>
  <c r="BZ432" i="3"/>
  <c r="CA432" i="3" s="1"/>
  <c r="CB432" i="3" s="1"/>
  <c r="BZ1473" i="3"/>
  <c r="CA1473" i="3" s="1"/>
  <c r="CB1473" i="3" s="1"/>
  <c r="BZ208" i="3"/>
  <c r="CA208" i="3" s="1"/>
  <c r="CB208" i="3" s="1"/>
  <c r="BZ1317" i="3"/>
  <c r="CA1317" i="3" s="1"/>
  <c r="CB1317" i="3" s="1"/>
  <c r="BZ135" i="3"/>
  <c r="CA135" i="3" s="1"/>
  <c r="CB135" i="3" s="1"/>
  <c r="BZ165" i="3"/>
  <c r="CA165" i="3" s="1"/>
  <c r="CB165" i="3" s="1"/>
  <c r="BZ378" i="3"/>
  <c r="CA378" i="3" s="1"/>
  <c r="CB378" i="3" s="1"/>
  <c r="BZ434" i="3"/>
  <c r="CA434" i="3" s="1"/>
  <c r="CB434" i="3" s="1"/>
  <c r="BZ1456" i="3"/>
  <c r="CA1456" i="3" s="1"/>
  <c r="CB1456" i="3" s="1"/>
  <c r="BZ881" i="3"/>
  <c r="CA881" i="3" s="1"/>
  <c r="CB881" i="3" s="1"/>
  <c r="BZ79" i="3"/>
  <c r="CA79" i="3" s="1"/>
  <c r="CB79" i="3" s="1"/>
  <c r="BZ57" i="3"/>
  <c r="CA57" i="3" s="1"/>
  <c r="CB57" i="3" s="1"/>
  <c r="BZ99" i="3"/>
  <c r="CA99" i="3" s="1"/>
  <c r="CB99" i="3" s="1"/>
  <c r="BZ607" i="3"/>
  <c r="CA607" i="3" s="1"/>
  <c r="CB607" i="3" s="1"/>
  <c r="BZ857" i="3"/>
  <c r="CA857" i="3" s="1"/>
  <c r="CB857" i="3" s="1"/>
  <c r="BZ62" i="3"/>
  <c r="CA62" i="3" s="1"/>
  <c r="CB62" i="3" s="1"/>
  <c r="BZ143" i="3"/>
  <c r="CA143" i="3" s="1"/>
  <c r="CB143" i="3" s="1"/>
  <c r="BZ1164" i="3"/>
  <c r="CA1164" i="3" s="1"/>
  <c r="CB1164" i="3" s="1"/>
  <c r="BZ290" i="3"/>
  <c r="CA290" i="3" s="1"/>
  <c r="CB290" i="3" s="1"/>
  <c r="BZ234" i="3"/>
  <c r="CA234" i="3" s="1"/>
  <c r="CB234" i="3" s="1"/>
  <c r="BZ834" i="3"/>
  <c r="CA834" i="3" s="1"/>
  <c r="CB834" i="3" s="1"/>
  <c r="BZ534" i="3"/>
  <c r="CA534" i="3" s="1"/>
  <c r="CB534" i="3" s="1"/>
  <c r="BZ1453" i="3"/>
  <c r="CA1453" i="3" s="1"/>
  <c r="CB1453" i="3" s="1"/>
  <c r="BZ689" i="3"/>
  <c r="CA689" i="3" s="1"/>
  <c r="CB689" i="3" s="1"/>
  <c r="BZ287" i="3"/>
  <c r="CA287" i="3" s="1"/>
  <c r="CB287" i="3" s="1"/>
  <c r="BZ1172" i="3"/>
  <c r="CA1172" i="3" s="1"/>
  <c r="CB1172" i="3" s="1"/>
  <c r="BZ154" i="3"/>
  <c r="CA154" i="3" s="1"/>
  <c r="CB154" i="3" s="1"/>
  <c r="BZ118" i="3"/>
  <c r="CA118" i="3" s="1"/>
  <c r="CB118" i="3" s="1"/>
  <c r="BZ910" i="3"/>
  <c r="CA910" i="3" s="1"/>
  <c r="CB910" i="3" s="1"/>
  <c r="BZ250" i="3"/>
  <c r="CA250" i="3" s="1"/>
  <c r="CB250" i="3" s="1"/>
  <c r="BZ338" i="3"/>
  <c r="CA338" i="3" s="1"/>
  <c r="CB338" i="3" s="1"/>
  <c r="BZ324" i="3"/>
  <c r="CA324" i="3" s="1"/>
  <c r="CB324" i="3" s="1"/>
  <c r="BZ1389" i="3"/>
  <c r="CA1389" i="3" s="1"/>
  <c r="CB1389" i="3" s="1"/>
  <c r="BZ245" i="3"/>
  <c r="CA245" i="3" s="1"/>
  <c r="CB245" i="3" s="1"/>
  <c r="BZ26" i="3"/>
  <c r="CA26" i="3" s="1"/>
  <c r="CB26" i="3" s="1"/>
  <c r="BZ13" i="3"/>
  <c r="CA13" i="3" s="1"/>
  <c r="CB13" i="3" s="1"/>
  <c r="BZ64" i="3"/>
  <c r="CA64" i="3" s="1"/>
  <c r="CB64" i="3" s="1"/>
  <c r="BZ232" i="3"/>
  <c r="CA232" i="3" s="1"/>
  <c r="CB232" i="3" s="1"/>
  <c r="BZ142" i="3"/>
  <c r="CA142" i="3" s="1"/>
  <c r="CB142" i="3" s="1"/>
  <c r="BZ331" i="3"/>
  <c r="CA331" i="3" s="1"/>
  <c r="CB331" i="3" s="1"/>
  <c r="BZ1341" i="3"/>
  <c r="CA1341" i="3" s="1"/>
  <c r="CB1341" i="3" s="1"/>
  <c r="BZ134" i="3"/>
  <c r="CA134" i="3" s="1"/>
  <c r="CB134" i="3" s="1"/>
  <c r="BZ301" i="3"/>
  <c r="CA301" i="3" s="1"/>
  <c r="CB301" i="3" s="1"/>
  <c r="BZ121" i="3"/>
  <c r="CA121" i="3" s="1"/>
  <c r="CB121" i="3" s="1"/>
  <c r="BZ41" i="3"/>
  <c r="CA41" i="3" s="1"/>
  <c r="CB41" i="3" s="1"/>
  <c r="BZ429" i="3"/>
  <c r="CA429" i="3" s="1"/>
  <c r="CB429" i="3" s="1"/>
  <c r="BZ510" i="3"/>
  <c r="CA510" i="3" s="1"/>
  <c r="CB510" i="3" s="1"/>
  <c r="BZ1466" i="3"/>
  <c r="CA1466" i="3" s="1"/>
  <c r="CB1466" i="3" s="1"/>
  <c r="BZ149" i="3"/>
  <c r="CA149" i="3" s="1"/>
  <c r="CB149" i="3" s="1"/>
  <c r="BZ1301" i="3"/>
  <c r="CA1301" i="3" s="1"/>
  <c r="CB1301" i="3" s="1"/>
  <c r="BZ76" i="3"/>
  <c r="CA76" i="3" s="1"/>
  <c r="CB76" i="3" s="1"/>
  <c r="BZ304" i="3"/>
  <c r="CA304" i="3" s="1"/>
  <c r="CB304" i="3" s="1"/>
  <c r="BZ205" i="3"/>
  <c r="CA205" i="3" s="1"/>
  <c r="CB205" i="3" s="1"/>
  <c r="BZ288" i="3"/>
  <c r="CA288" i="3" s="1"/>
  <c r="CB288" i="3" s="1"/>
  <c r="GP1" i="3"/>
  <c r="DK71" i="3" l="1"/>
  <c r="DJ71" i="3"/>
  <c r="DI71" i="3"/>
  <c r="DH71" i="3"/>
  <c r="GL5" i="3" l="1"/>
  <c r="DK39" i="3"/>
  <c r="DJ39" i="3"/>
  <c r="DI39" i="3"/>
  <c r="DH39" i="3"/>
  <c r="DH107" i="3" l="1"/>
  <c r="DI107" i="3"/>
  <c r="DJ107" i="3"/>
  <c r="DK107" i="3"/>
  <c r="DK61" i="3"/>
  <c r="DJ61" i="3"/>
  <c r="DI61" i="3"/>
  <c r="DH61" i="3"/>
  <c r="DK119" i="3"/>
  <c r="DJ119" i="3"/>
  <c r="DI119" i="3"/>
  <c r="DH119" i="3"/>
  <c r="S307" i="3" l="1"/>
  <c r="U307" i="3" s="1"/>
  <c r="AX307" i="3" l="1"/>
  <c r="AY307" i="3" s="1"/>
  <c r="AZ307" i="3"/>
  <c r="F30" i="2"/>
  <c r="C123" i="13"/>
  <c r="D123" i="13"/>
  <c r="E123" i="13"/>
  <c r="F123" i="13"/>
  <c r="G123" i="13"/>
  <c r="H123" i="13"/>
  <c r="I123" i="13"/>
  <c r="J123" i="13"/>
  <c r="K123" i="13"/>
  <c r="L123" i="13"/>
  <c r="M123" i="13"/>
  <c r="N123" i="13"/>
  <c r="O123" i="13"/>
  <c r="P123" i="13"/>
  <c r="Q123" i="13"/>
  <c r="R123" i="13"/>
  <c r="S123" i="13"/>
  <c r="T123" i="13"/>
  <c r="U123" i="13"/>
  <c r="V123" i="13"/>
  <c r="C39" i="13"/>
  <c r="D39" i="13"/>
  <c r="E39" i="13"/>
  <c r="F39" i="13"/>
  <c r="G39" i="13"/>
  <c r="H39" i="13"/>
  <c r="I39" i="13"/>
  <c r="J39" i="13"/>
  <c r="K39" i="13"/>
  <c r="L39" i="13"/>
  <c r="M39" i="13"/>
  <c r="N39" i="13"/>
  <c r="O39" i="13"/>
  <c r="P39" i="13"/>
  <c r="Q39" i="13"/>
  <c r="R39" i="13"/>
  <c r="S39" i="13"/>
  <c r="T39" i="13"/>
  <c r="U39" i="13"/>
  <c r="V39" i="13"/>
  <c r="V18" i="13"/>
  <c r="U18" i="13"/>
  <c r="T18" i="13"/>
  <c r="S18" i="13"/>
  <c r="R18" i="13"/>
  <c r="Q18" i="13"/>
  <c r="P18" i="13"/>
  <c r="O18" i="13"/>
  <c r="N18" i="13"/>
  <c r="M18" i="13"/>
  <c r="L18" i="13"/>
  <c r="K18" i="13"/>
  <c r="J18" i="13"/>
  <c r="I18" i="13"/>
  <c r="H18" i="13"/>
  <c r="G18" i="13"/>
  <c r="F18" i="13"/>
  <c r="E18" i="13"/>
  <c r="D18" i="13"/>
  <c r="C18" i="13"/>
  <c r="C92" i="13"/>
  <c r="D92" i="13"/>
  <c r="E92" i="13"/>
  <c r="F92" i="13"/>
  <c r="G92" i="13"/>
  <c r="H92" i="13"/>
  <c r="I92" i="13"/>
  <c r="J92" i="13"/>
  <c r="K92" i="13"/>
  <c r="L92" i="13"/>
  <c r="M92" i="13"/>
  <c r="N92" i="13"/>
  <c r="O92" i="13"/>
  <c r="P92" i="13"/>
  <c r="Q92" i="13"/>
  <c r="R92" i="13"/>
  <c r="S92" i="13"/>
  <c r="T92" i="13"/>
  <c r="U92" i="13"/>
  <c r="V92" i="13"/>
  <c r="C54" i="13"/>
  <c r="D54" i="13"/>
  <c r="E54" i="13"/>
  <c r="F54" i="13"/>
  <c r="G54" i="13"/>
  <c r="H54" i="13"/>
  <c r="I54" i="13"/>
  <c r="J54" i="13"/>
  <c r="K54" i="13"/>
  <c r="L54" i="13"/>
  <c r="M54" i="13"/>
  <c r="N54" i="13"/>
  <c r="O54" i="13"/>
  <c r="P54" i="13"/>
  <c r="Q54" i="13"/>
  <c r="R54" i="13"/>
  <c r="S54" i="13"/>
  <c r="T54" i="13"/>
  <c r="U54" i="13"/>
  <c r="V54" i="13"/>
  <c r="W123" i="13" l="1"/>
  <c r="W39" i="13"/>
  <c r="W18" i="13"/>
  <c r="W54" i="13"/>
  <c r="W92" i="13"/>
  <c r="E389" i="7" l="1"/>
  <c r="B389" i="7"/>
  <c r="E347" i="7"/>
  <c r="B347" i="7"/>
  <c r="E305" i="7"/>
  <c r="B305" i="7"/>
  <c r="E263" i="7"/>
  <c r="B263" i="7"/>
  <c r="E221" i="7"/>
  <c r="B221" i="7"/>
  <c r="E179" i="7"/>
  <c r="B179" i="7"/>
  <c r="E137" i="7"/>
  <c r="B137" i="7"/>
  <c r="E95" i="7"/>
  <c r="B95" i="7"/>
  <c r="E53" i="7"/>
  <c r="B53" i="7"/>
  <c r="E11" i="7"/>
  <c r="B11" i="7"/>
  <c r="Y31" i="1" l="1"/>
  <c r="Y32" i="1"/>
  <c r="Y33" i="1"/>
  <c r="Y34" i="1"/>
  <c r="AW35" i="3" l="1"/>
  <c r="AW143" i="3"/>
  <c r="AW272" i="3"/>
  <c r="AW255" i="3"/>
  <c r="AW223" i="3"/>
  <c r="AW101" i="3"/>
  <c r="AB43" i="1"/>
  <c r="A255" i="13" l="1"/>
  <c r="A245" i="13"/>
  <c r="A235" i="13"/>
  <c r="S210" i="13"/>
  <c r="R210" i="13"/>
  <c r="Q210" i="13"/>
  <c r="P210" i="13"/>
  <c r="O210" i="13"/>
  <c r="N210" i="13"/>
  <c r="M210" i="13"/>
  <c r="L210" i="13"/>
  <c r="K210" i="13"/>
  <c r="J210" i="13"/>
  <c r="I210" i="13"/>
  <c r="H210" i="13"/>
  <c r="G210" i="13"/>
  <c r="F210" i="13"/>
  <c r="E210" i="13"/>
  <c r="D210" i="13"/>
  <c r="C210" i="13"/>
  <c r="R208" i="13"/>
  <c r="H208" i="13"/>
  <c r="R207" i="13"/>
  <c r="H207" i="13"/>
  <c r="R206" i="13"/>
  <c r="H206" i="13"/>
  <c r="R205" i="13"/>
  <c r="H205" i="13"/>
  <c r="R204" i="13"/>
  <c r="H204" i="13"/>
  <c r="R203" i="13"/>
  <c r="H203" i="13"/>
  <c r="R202" i="13"/>
  <c r="H202" i="13"/>
  <c r="R201" i="13"/>
  <c r="H201" i="13"/>
  <c r="R200" i="13"/>
  <c r="H200" i="13"/>
  <c r="S199" i="13"/>
  <c r="R199" i="13"/>
  <c r="Q199" i="13"/>
  <c r="P199" i="13"/>
  <c r="O199" i="13"/>
  <c r="N199" i="13"/>
  <c r="M199" i="13"/>
  <c r="L199" i="13"/>
  <c r="K199" i="13"/>
  <c r="J199" i="13"/>
  <c r="I199" i="13"/>
  <c r="H199" i="13"/>
  <c r="G199" i="13"/>
  <c r="F199" i="13"/>
  <c r="E199" i="13"/>
  <c r="D199" i="13"/>
  <c r="C199" i="13"/>
  <c r="R198" i="13"/>
  <c r="H198" i="13"/>
  <c r="R197" i="13"/>
  <c r="H197" i="13"/>
  <c r="R196" i="13"/>
  <c r="H196" i="13"/>
  <c r="R195" i="13"/>
  <c r="H195" i="13"/>
  <c r="R194" i="13"/>
  <c r="H194" i="13"/>
  <c r="AG187" i="13"/>
  <c r="AF187" i="13"/>
  <c r="AE187" i="13"/>
  <c r="AG177" i="13"/>
  <c r="AF177" i="13"/>
  <c r="AE177" i="13"/>
  <c r="AO170" i="13"/>
  <c r="AB170" i="13"/>
  <c r="O170" i="13"/>
  <c r="E170" i="13"/>
  <c r="AO169" i="13"/>
  <c r="AN169" i="13"/>
  <c r="AM169" i="13"/>
  <c r="AL169" i="13"/>
  <c r="AK169" i="13"/>
  <c r="AJ169" i="13"/>
  <c r="AG169" i="13"/>
  <c r="S169" i="13"/>
  <c r="R169" i="13"/>
  <c r="Q169" i="13"/>
  <c r="P169" i="13"/>
  <c r="O169" i="13"/>
  <c r="N169" i="13"/>
  <c r="M169" i="13"/>
  <c r="L169" i="13"/>
  <c r="K169" i="13"/>
  <c r="J169" i="13"/>
  <c r="I169" i="13"/>
  <c r="H169" i="13"/>
  <c r="G169" i="13"/>
  <c r="F169" i="13"/>
  <c r="E169" i="13"/>
  <c r="D169" i="13"/>
  <c r="C169" i="13"/>
  <c r="AO168" i="13"/>
  <c r="AB168" i="13"/>
  <c r="O168" i="13"/>
  <c r="E168" i="13"/>
  <c r="AO167" i="13"/>
  <c r="AB167" i="13"/>
  <c r="O167" i="13"/>
  <c r="E167" i="13"/>
  <c r="AO166" i="13"/>
  <c r="AB166" i="13"/>
  <c r="O166" i="13"/>
  <c r="E166" i="13"/>
  <c r="AO165" i="13"/>
  <c r="AB165" i="13"/>
  <c r="O165" i="13"/>
  <c r="E165" i="13"/>
  <c r="AI164" i="13"/>
  <c r="AM164" i="13" s="1"/>
  <c r="AB164" i="13"/>
  <c r="O164" i="13"/>
  <c r="E164" i="13"/>
  <c r="AB163" i="13"/>
  <c r="O163" i="13"/>
  <c r="E163" i="13"/>
  <c r="AB162" i="13"/>
  <c r="O162" i="13"/>
  <c r="E162" i="13"/>
  <c r="AB161" i="13"/>
  <c r="O161" i="13"/>
  <c r="E161" i="13"/>
  <c r="AB160" i="13"/>
  <c r="O160" i="13"/>
  <c r="E160" i="13"/>
  <c r="AG159" i="13"/>
  <c r="S159" i="13"/>
  <c r="R159" i="13"/>
  <c r="Q159" i="13"/>
  <c r="P159" i="13"/>
  <c r="O159" i="13"/>
  <c r="N159" i="13"/>
  <c r="M159" i="13"/>
  <c r="L159" i="13"/>
  <c r="K159" i="13"/>
  <c r="J159" i="13"/>
  <c r="I159" i="13"/>
  <c r="H159" i="13"/>
  <c r="G159" i="13"/>
  <c r="F159" i="13"/>
  <c r="E159" i="13"/>
  <c r="D159" i="13"/>
  <c r="C159" i="13"/>
  <c r="AB158" i="13"/>
  <c r="O158" i="13"/>
  <c r="E158" i="13"/>
  <c r="AB157" i="13"/>
  <c r="O157" i="13"/>
  <c r="E157" i="13"/>
  <c r="AB156" i="13"/>
  <c r="O156" i="13"/>
  <c r="E156" i="13"/>
  <c r="AB155" i="13"/>
  <c r="O155" i="13"/>
  <c r="E155" i="13"/>
  <c r="AI154" i="13"/>
  <c r="AM154" i="13" s="1"/>
  <c r="AB154" i="13"/>
  <c r="O154" i="13"/>
  <c r="E154" i="13"/>
  <c r="AB153" i="13"/>
  <c r="O153" i="13"/>
  <c r="E153" i="13"/>
  <c r="AB152" i="13"/>
  <c r="O152" i="13"/>
  <c r="E152" i="13"/>
  <c r="AB151" i="13"/>
  <c r="O151" i="13"/>
  <c r="E151" i="13"/>
  <c r="AB150" i="13"/>
  <c r="O150" i="13"/>
  <c r="E150" i="13"/>
  <c r="AG149" i="13"/>
  <c r="S149" i="13"/>
  <c r="R149" i="13"/>
  <c r="Q149" i="13"/>
  <c r="P149" i="13"/>
  <c r="O149" i="13"/>
  <c r="N149" i="13"/>
  <c r="M149" i="13"/>
  <c r="L149" i="13"/>
  <c r="K149" i="13"/>
  <c r="J149" i="13"/>
  <c r="I149" i="13"/>
  <c r="H149" i="13"/>
  <c r="G149" i="13"/>
  <c r="F149" i="13"/>
  <c r="E149" i="13"/>
  <c r="D149" i="13"/>
  <c r="C149" i="13"/>
  <c r="AB148" i="13"/>
  <c r="O148" i="13"/>
  <c r="E148" i="13"/>
  <c r="AB147" i="13"/>
  <c r="O147" i="13"/>
  <c r="E147" i="13"/>
  <c r="AB146" i="13"/>
  <c r="O146" i="13"/>
  <c r="E146" i="13"/>
  <c r="AB145" i="13"/>
  <c r="O145" i="13"/>
  <c r="E145" i="13"/>
  <c r="AI144" i="13"/>
  <c r="AM144" i="13" s="1"/>
  <c r="AB144" i="13"/>
  <c r="O144" i="13"/>
  <c r="E144" i="13"/>
  <c r="AB143" i="13"/>
  <c r="O143" i="13"/>
  <c r="E143" i="13"/>
  <c r="AB142" i="13"/>
  <c r="O142" i="13"/>
  <c r="E142" i="13"/>
  <c r="V138" i="13"/>
  <c r="U138" i="13"/>
  <c r="T138" i="13"/>
  <c r="S138" i="13"/>
  <c r="R138" i="13"/>
  <c r="Q138" i="13"/>
  <c r="P138" i="13"/>
  <c r="O138" i="13"/>
  <c r="N138" i="13"/>
  <c r="M138" i="13"/>
  <c r="L138" i="13"/>
  <c r="K138" i="13"/>
  <c r="I138" i="13"/>
  <c r="H138" i="13"/>
  <c r="G138" i="13"/>
  <c r="F138" i="13"/>
  <c r="E138" i="13"/>
  <c r="D138" i="13"/>
  <c r="C138" i="13"/>
  <c r="R137" i="13"/>
  <c r="H137" i="13"/>
  <c r="R135" i="13"/>
  <c r="H135" i="13"/>
  <c r="R134" i="13"/>
  <c r="H134" i="13"/>
  <c r="R133" i="13"/>
  <c r="H133" i="13"/>
  <c r="R132" i="13"/>
  <c r="H132" i="13"/>
  <c r="R131" i="13"/>
  <c r="H131" i="13"/>
  <c r="R130" i="13"/>
  <c r="H130" i="13"/>
  <c r="R129" i="13"/>
  <c r="H129" i="13"/>
  <c r="R128" i="13"/>
  <c r="H128" i="13"/>
  <c r="V127" i="13"/>
  <c r="U127" i="13"/>
  <c r="T127" i="13"/>
  <c r="S127" i="13"/>
  <c r="R127" i="13"/>
  <c r="Q127" i="13"/>
  <c r="P127" i="13"/>
  <c r="O127" i="13"/>
  <c r="N127" i="13"/>
  <c r="M127" i="13"/>
  <c r="L127" i="13"/>
  <c r="K127" i="13"/>
  <c r="J127" i="13"/>
  <c r="I127" i="13"/>
  <c r="H127" i="13"/>
  <c r="G127" i="13"/>
  <c r="F127" i="13"/>
  <c r="E127" i="13"/>
  <c r="D127" i="13"/>
  <c r="C127" i="13"/>
  <c r="R125" i="13"/>
  <c r="H125" i="13"/>
  <c r="R124" i="13"/>
  <c r="H124" i="13"/>
  <c r="R122" i="13"/>
  <c r="H122" i="13"/>
  <c r="R121" i="13"/>
  <c r="H121" i="13"/>
  <c r="R120" i="13"/>
  <c r="H120" i="13"/>
  <c r="R118" i="13"/>
  <c r="H118" i="13"/>
  <c r="R117" i="13"/>
  <c r="H117" i="13"/>
  <c r="R116" i="13"/>
  <c r="H116" i="13"/>
  <c r="R115" i="13"/>
  <c r="H115" i="13"/>
  <c r="V114" i="13"/>
  <c r="U114" i="13"/>
  <c r="T114" i="13"/>
  <c r="S114" i="13"/>
  <c r="R114" i="13"/>
  <c r="Q114" i="13"/>
  <c r="P114" i="13"/>
  <c r="O114" i="13"/>
  <c r="N114" i="13"/>
  <c r="M114" i="13"/>
  <c r="L114" i="13"/>
  <c r="K114" i="13"/>
  <c r="J114" i="13"/>
  <c r="I114" i="13"/>
  <c r="H114" i="13"/>
  <c r="G114" i="13"/>
  <c r="F114" i="13"/>
  <c r="E114" i="13"/>
  <c r="D114" i="13"/>
  <c r="C114" i="13"/>
  <c r="V113" i="13"/>
  <c r="U113" i="13"/>
  <c r="T113" i="13"/>
  <c r="S113" i="13"/>
  <c r="R113" i="13"/>
  <c r="Q113" i="13"/>
  <c r="P113" i="13"/>
  <c r="O113" i="13"/>
  <c r="N113" i="13"/>
  <c r="M113" i="13"/>
  <c r="L113" i="13"/>
  <c r="K113" i="13"/>
  <c r="J113" i="13"/>
  <c r="I113" i="13"/>
  <c r="H113" i="13"/>
  <c r="G113" i="13"/>
  <c r="F113" i="13"/>
  <c r="E113" i="13"/>
  <c r="D113" i="13"/>
  <c r="C113" i="13"/>
  <c r="V112" i="13"/>
  <c r="U112" i="13"/>
  <c r="T112" i="13"/>
  <c r="S112" i="13"/>
  <c r="R112" i="13"/>
  <c r="Q112" i="13"/>
  <c r="P112" i="13"/>
  <c r="O112" i="13"/>
  <c r="N112" i="13"/>
  <c r="M112" i="13"/>
  <c r="L112" i="13"/>
  <c r="K112" i="13"/>
  <c r="J112" i="13"/>
  <c r="I112" i="13"/>
  <c r="H112" i="13"/>
  <c r="G112" i="13"/>
  <c r="F112" i="13"/>
  <c r="E112" i="13"/>
  <c r="D112" i="13"/>
  <c r="C112" i="13"/>
  <c r="V110" i="13"/>
  <c r="U110" i="13"/>
  <c r="T110" i="13"/>
  <c r="S110" i="13"/>
  <c r="R110" i="13"/>
  <c r="Q110" i="13"/>
  <c r="P110" i="13"/>
  <c r="O110" i="13"/>
  <c r="N110" i="13"/>
  <c r="M110" i="13"/>
  <c r="L110" i="13"/>
  <c r="K110" i="13"/>
  <c r="J110" i="13"/>
  <c r="I110" i="13"/>
  <c r="H110" i="13"/>
  <c r="G110" i="13"/>
  <c r="F110" i="13"/>
  <c r="E110" i="13"/>
  <c r="D110" i="13"/>
  <c r="C110" i="13"/>
  <c r="V109" i="13"/>
  <c r="U109" i="13"/>
  <c r="T109" i="13"/>
  <c r="S109" i="13"/>
  <c r="R109" i="13"/>
  <c r="Q109" i="13"/>
  <c r="P109" i="13"/>
  <c r="O109" i="13"/>
  <c r="N109" i="13"/>
  <c r="M109" i="13"/>
  <c r="L109" i="13"/>
  <c r="K109" i="13"/>
  <c r="J109" i="13"/>
  <c r="I109" i="13"/>
  <c r="H109" i="13"/>
  <c r="G109" i="13"/>
  <c r="F109" i="13"/>
  <c r="E109" i="13"/>
  <c r="D109" i="13"/>
  <c r="C109" i="13"/>
  <c r="V108" i="13"/>
  <c r="U108" i="13"/>
  <c r="T108" i="13"/>
  <c r="S108" i="13"/>
  <c r="R108" i="13"/>
  <c r="Q108" i="13"/>
  <c r="P108" i="13"/>
  <c r="O108" i="13"/>
  <c r="N108" i="13"/>
  <c r="M108" i="13"/>
  <c r="L108" i="13"/>
  <c r="K108" i="13"/>
  <c r="J108" i="13"/>
  <c r="I108" i="13"/>
  <c r="H108" i="13"/>
  <c r="G108" i="13"/>
  <c r="F108" i="13"/>
  <c r="E108" i="13"/>
  <c r="D108" i="13"/>
  <c r="C108" i="13"/>
  <c r="V107" i="13"/>
  <c r="U107" i="13"/>
  <c r="T107" i="13"/>
  <c r="S107" i="13"/>
  <c r="R107" i="13"/>
  <c r="Q107" i="13"/>
  <c r="P107" i="13"/>
  <c r="O107" i="13"/>
  <c r="N107" i="13"/>
  <c r="M107" i="13"/>
  <c r="L107" i="13"/>
  <c r="K107" i="13"/>
  <c r="J107" i="13"/>
  <c r="I107" i="13"/>
  <c r="H107" i="13"/>
  <c r="G107" i="13"/>
  <c r="F107" i="13"/>
  <c r="E107" i="13"/>
  <c r="D107" i="13"/>
  <c r="C107" i="13"/>
  <c r="V106" i="13"/>
  <c r="U106" i="13"/>
  <c r="T106" i="13"/>
  <c r="S106" i="13"/>
  <c r="R106" i="13"/>
  <c r="Q106" i="13"/>
  <c r="P106" i="13"/>
  <c r="O106" i="13"/>
  <c r="N106" i="13"/>
  <c r="M106" i="13"/>
  <c r="L106" i="13"/>
  <c r="K106" i="13"/>
  <c r="J106" i="13"/>
  <c r="I106" i="13"/>
  <c r="H106" i="13"/>
  <c r="G106" i="13"/>
  <c r="F106" i="13"/>
  <c r="E106" i="13"/>
  <c r="D106" i="13"/>
  <c r="C106" i="13"/>
  <c r="V105" i="13"/>
  <c r="U105" i="13"/>
  <c r="T105" i="13"/>
  <c r="S105" i="13"/>
  <c r="R105" i="13"/>
  <c r="Q105" i="13"/>
  <c r="P105" i="13"/>
  <c r="O105" i="13"/>
  <c r="N105" i="13"/>
  <c r="M105" i="13"/>
  <c r="L105" i="13"/>
  <c r="K105" i="13"/>
  <c r="J105" i="13"/>
  <c r="I105" i="13"/>
  <c r="H105" i="13"/>
  <c r="G105" i="13"/>
  <c r="F105" i="13"/>
  <c r="E105" i="13"/>
  <c r="D105" i="13"/>
  <c r="C105" i="13"/>
  <c r="V104" i="13"/>
  <c r="U104" i="13"/>
  <c r="T104" i="13"/>
  <c r="S104" i="13"/>
  <c r="R104" i="13"/>
  <c r="Q104" i="13"/>
  <c r="P104" i="13"/>
  <c r="O104" i="13"/>
  <c r="N104" i="13"/>
  <c r="M104" i="13"/>
  <c r="L104" i="13"/>
  <c r="K104" i="13"/>
  <c r="J104" i="13"/>
  <c r="I104" i="13"/>
  <c r="H104" i="13"/>
  <c r="G104" i="13"/>
  <c r="F104" i="13"/>
  <c r="E104" i="13"/>
  <c r="D104" i="13"/>
  <c r="C104" i="13"/>
  <c r="V103" i="13"/>
  <c r="U103" i="13"/>
  <c r="T103" i="13"/>
  <c r="S103" i="13"/>
  <c r="R103" i="13"/>
  <c r="Q103" i="13"/>
  <c r="P103" i="13"/>
  <c r="O103" i="13"/>
  <c r="N103" i="13"/>
  <c r="M103" i="13"/>
  <c r="L103" i="13"/>
  <c r="K103" i="13"/>
  <c r="J103" i="13"/>
  <c r="I103" i="13"/>
  <c r="H103" i="13"/>
  <c r="G103" i="13"/>
  <c r="F103" i="13"/>
  <c r="E103" i="13"/>
  <c r="D103" i="13"/>
  <c r="C103" i="13"/>
  <c r="R102" i="13"/>
  <c r="H102" i="13"/>
  <c r="R101" i="13"/>
  <c r="H101" i="13"/>
  <c r="R100" i="13"/>
  <c r="H100" i="13"/>
  <c r="R99" i="13"/>
  <c r="H99" i="13"/>
  <c r="R98" i="13"/>
  <c r="H98" i="13"/>
  <c r="R95" i="13"/>
  <c r="H95" i="13"/>
  <c r="R94" i="13"/>
  <c r="H94" i="13"/>
  <c r="R93" i="13"/>
  <c r="H93" i="13"/>
  <c r="V91" i="13"/>
  <c r="U91" i="13"/>
  <c r="T91" i="13"/>
  <c r="S91" i="13"/>
  <c r="R91" i="13"/>
  <c r="Q91" i="13"/>
  <c r="P91" i="13"/>
  <c r="O91" i="13"/>
  <c r="N91" i="13"/>
  <c r="M91" i="13"/>
  <c r="L91" i="13"/>
  <c r="K91" i="13"/>
  <c r="J91" i="13"/>
  <c r="I91" i="13"/>
  <c r="H91" i="13"/>
  <c r="G91" i="13"/>
  <c r="F91" i="13"/>
  <c r="E91" i="13"/>
  <c r="D91" i="13"/>
  <c r="C91" i="13"/>
  <c r="R89" i="13"/>
  <c r="H89" i="13"/>
  <c r="R88" i="13"/>
  <c r="H88" i="13"/>
  <c r="R87" i="13"/>
  <c r="H87" i="13"/>
  <c r="R86" i="13"/>
  <c r="H86" i="13"/>
  <c r="R85" i="13"/>
  <c r="H85" i="13"/>
  <c r="R84" i="13"/>
  <c r="H84" i="13"/>
  <c r="R83" i="13"/>
  <c r="H83" i="13"/>
  <c r="R82" i="13"/>
  <c r="H82" i="13"/>
  <c r="R81" i="13"/>
  <c r="H81" i="13"/>
  <c r="V80" i="13"/>
  <c r="U80" i="13"/>
  <c r="T80" i="13"/>
  <c r="S80" i="13"/>
  <c r="R80" i="13"/>
  <c r="Q80" i="13"/>
  <c r="P80" i="13"/>
  <c r="O80" i="13"/>
  <c r="N80" i="13"/>
  <c r="M80" i="13"/>
  <c r="L80" i="13"/>
  <c r="K80" i="13"/>
  <c r="J80" i="13"/>
  <c r="I80" i="13"/>
  <c r="H80" i="13"/>
  <c r="G80" i="13"/>
  <c r="F80" i="13"/>
  <c r="E80" i="13"/>
  <c r="D80" i="13"/>
  <c r="C80" i="13"/>
  <c r="R79" i="13"/>
  <c r="H79" i="13"/>
  <c r="R78" i="13"/>
  <c r="H78" i="13"/>
  <c r="R75" i="13"/>
  <c r="H75" i="13"/>
  <c r="R74" i="13"/>
  <c r="H74" i="13"/>
  <c r="R72" i="13"/>
  <c r="H72" i="13"/>
  <c r="R71" i="13"/>
  <c r="H71" i="13"/>
  <c r="R70" i="13"/>
  <c r="H70" i="13"/>
  <c r="R69" i="13"/>
  <c r="H69" i="13"/>
  <c r="R68" i="13"/>
  <c r="H68" i="13"/>
  <c r="V67" i="13"/>
  <c r="U67" i="13"/>
  <c r="T67" i="13"/>
  <c r="S67" i="13"/>
  <c r="R67" i="13"/>
  <c r="Q67" i="13"/>
  <c r="P67" i="13"/>
  <c r="O67" i="13"/>
  <c r="N67" i="13"/>
  <c r="M67" i="13"/>
  <c r="L67" i="13"/>
  <c r="K67" i="13"/>
  <c r="J67" i="13"/>
  <c r="I67" i="13"/>
  <c r="G67" i="13"/>
  <c r="F67" i="13"/>
  <c r="E67" i="13"/>
  <c r="D67" i="13"/>
  <c r="C67" i="13"/>
  <c r="R66" i="13"/>
  <c r="R65" i="13"/>
  <c r="R64" i="13"/>
  <c r="R63" i="13"/>
  <c r="R62" i="13"/>
  <c r="R61" i="13"/>
  <c r="R60" i="13"/>
  <c r="R59" i="13"/>
  <c r="H59" i="13"/>
  <c r="R58" i="13"/>
  <c r="H58" i="13"/>
  <c r="V57" i="13"/>
  <c r="U57" i="13"/>
  <c r="T57" i="13"/>
  <c r="S57" i="13"/>
  <c r="R57" i="13"/>
  <c r="Q57" i="13"/>
  <c r="P57" i="13"/>
  <c r="O57" i="13"/>
  <c r="N57" i="13"/>
  <c r="M57" i="13"/>
  <c r="L57" i="13"/>
  <c r="K57" i="13"/>
  <c r="J57" i="13"/>
  <c r="I57" i="13"/>
  <c r="H57" i="13"/>
  <c r="G57" i="13"/>
  <c r="F57" i="13"/>
  <c r="E57" i="13"/>
  <c r="D57" i="13"/>
  <c r="C57" i="13"/>
  <c r="R56" i="13"/>
  <c r="H56" i="13"/>
  <c r="R55" i="13"/>
  <c r="H55" i="13"/>
  <c r="R52" i="13"/>
  <c r="H52" i="13"/>
  <c r="R51" i="13"/>
  <c r="H51" i="13"/>
  <c r="R50" i="13"/>
  <c r="H50" i="13"/>
  <c r="R49" i="13"/>
  <c r="H49" i="13"/>
  <c r="R48" i="13"/>
  <c r="H48" i="13"/>
  <c r="R47" i="13"/>
  <c r="H47" i="13"/>
  <c r="R45" i="13"/>
  <c r="H45" i="13"/>
  <c r="V44" i="13"/>
  <c r="U44" i="13"/>
  <c r="T44" i="13"/>
  <c r="S44" i="13"/>
  <c r="R44" i="13"/>
  <c r="Q44" i="13"/>
  <c r="P44" i="13"/>
  <c r="O44" i="13"/>
  <c r="N44" i="13"/>
  <c r="M44" i="13"/>
  <c r="L44" i="13"/>
  <c r="K44" i="13"/>
  <c r="J44" i="13"/>
  <c r="I44" i="13"/>
  <c r="H44" i="13"/>
  <c r="G44" i="13"/>
  <c r="F44" i="13"/>
  <c r="E44" i="13"/>
  <c r="D44" i="13"/>
  <c r="C44" i="13"/>
  <c r="R43" i="13"/>
  <c r="H43" i="13"/>
  <c r="R42" i="13"/>
  <c r="H42" i="13"/>
  <c r="R41" i="13"/>
  <c r="H41" i="13"/>
  <c r="R40" i="13"/>
  <c r="H40" i="13"/>
  <c r="R38" i="13"/>
  <c r="H38" i="13"/>
  <c r="R37" i="13"/>
  <c r="H37" i="13"/>
  <c r="R36" i="13"/>
  <c r="H36" i="13"/>
  <c r="R35" i="13"/>
  <c r="H35" i="13"/>
  <c r="R34" i="13"/>
  <c r="H34" i="13"/>
  <c r="V33" i="13"/>
  <c r="U33" i="13"/>
  <c r="T33" i="13"/>
  <c r="S33" i="13"/>
  <c r="R33" i="13"/>
  <c r="Q33" i="13"/>
  <c r="P33" i="13"/>
  <c r="O33" i="13"/>
  <c r="N33" i="13"/>
  <c r="M33" i="13"/>
  <c r="L33" i="13"/>
  <c r="K33" i="13"/>
  <c r="J33" i="13"/>
  <c r="I33" i="13"/>
  <c r="H33" i="13"/>
  <c r="G33" i="13"/>
  <c r="F33" i="13"/>
  <c r="E33" i="13"/>
  <c r="D33" i="13"/>
  <c r="C33" i="13"/>
  <c r="R32" i="13"/>
  <c r="H32" i="13"/>
  <c r="R31" i="13"/>
  <c r="H31" i="13"/>
  <c r="R30" i="13"/>
  <c r="H30" i="13"/>
  <c r="R29" i="13"/>
  <c r="H29" i="13"/>
  <c r="R28" i="13"/>
  <c r="H28" i="13"/>
  <c r="R27" i="13"/>
  <c r="H27" i="13"/>
  <c r="R26" i="13"/>
  <c r="H26" i="13"/>
  <c r="R25" i="13"/>
  <c r="H25" i="13"/>
  <c r="R24" i="13"/>
  <c r="H24" i="13"/>
  <c r="V23" i="13"/>
  <c r="U23" i="13"/>
  <c r="T23" i="13"/>
  <c r="S23" i="13"/>
  <c r="R23" i="13"/>
  <c r="Q23" i="13"/>
  <c r="P23" i="13"/>
  <c r="O23" i="13"/>
  <c r="N23" i="13"/>
  <c r="M23" i="13"/>
  <c r="L23" i="13"/>
  <c r="K23" i="13"/>
  <c r="J23" i="13"/>
  <c r="I23" i="13"/>
  <c r="H23" i="13"/>
  <c r="G23" i="13"/>
  <c r="F23" i="13"/>
  <c r="E23" i="13"/>
  <c r="D23" i="13"/>
  <c r="C23" i="13"/>
  <c r="H22" i="13"/>
  <c r="R21" i="13"/>
  <c r="H21" i="13"/>
  <c r="R20" i="13"/>
  <c r="H20" i="13"/>
  <c r="R19" i="13"/>
  <c r="H19" i="13"/>
  <c r="R17" i="13"/>
  <c r="H17" i="13"/>
  <c r="R16" i="13"/>
  <c r="H16" i="13"/>
  <c r="R15" i="13"/>
  <c r="H15" i="13"/>
  <c r="R14" i="13"/>
  <c r="R13" i="13"/>
  <c r="H13" i="13"/>
  <c r="V12" i="13"/>
  <c r="U12" i="13"/>
  <c r="T12" i="13"/>
  <c r="S12" i="13"/>
  <c r="R12" i="13"/>
  <c r="Q12" i="13"/>
  <c r="P12" i="13"/>
  <c r="O12" i="13"/>
  <c r="N12" i="13"/>
  <c r="M12" i="13"/>
  <c r="L12" i="13"/>
  <c r="K12" i="13"/>
  <c r="J12" i="13"/>
  <c r="I12" i="13"/>
  <c r="H12" i="13"/>
  <c r="G12" i="13"/>
  <c r="F12" i="13"/>
  <c r="E12" i="13"/>
  <c r="D12" i="13"/>
  <c r="C12" i="13"/>
  <c r="R11" i="13"/>
  <c r="H11" i="13"/>
  <c r="R10" i="13"/>
  <c r="H10" i="13"/>
  <c r="R9" i="13"/>
  <c r="H9" i="13"/>
  <c r="R8" i="13"/>
  <c r="H8" i="13"/>
  <c r="R4" i="13"/>
  <c r="H4" i="13"/>
  <c r="R3" i="13"/>
  <c r="H3" i="13"/>
  <c r="AC149" i="13"/>
  <c r="AB149" i="13"/>
  <c r="AE149" i="13"/>
  <c r="AF149" i="13"/>
  <c r="AC159" i="13"/>
  <c r="AB159" i="13"/>
  <c r="AE159" i="13"/>
  <c r="AF159" i="13"/>
  <c r="AC169" i="13"/>
  <c r="AB169" i="13"/>
  <c r="AE169" i="13"/>
  <c r="AF169" i="13"/>
  <c r="AO154" i="13" l="1"/>
  <c r="AD159" i="13"/>
  <c r="W104" i="13"/>
  <c r="W106" i="13"/>
  <c r="W108" i="13"/>
  <c r="W113" i="13"/>
  <c r="L23" i="2" s="1"/>
  <c r="AJ164" i="13"/>
  <c r="W80" i="13"/>
  <c r="W110" i="13"/>
  <c r="CU8" i="3" s="1"/>
  <c r="W23" i="13"/>
  <c r="AL164" i="13"/>
  <c r="W33" i="13"/>
  <c r="W210" i="13"/>
  <c r="AD149" i="13"/>
  <c r="W12" i="13"/>
  <c r="W127" i="13"/>
  <c r="AO164" i="13"/>
  <c r="W67" i="13"/>
  <c r="W57" i="13"/>
  <c r="W103" i="13"/>
  <c r="W105" i="13"/>
  <c r="W107" i="13"/>
  <c r="W109" i="13"/>
  <c r="W112" i="13"/>
  <c r="W114" i="13"/>
  <c r="W199" i="13"/>
  <c r="X199" i="13" s="1"/>
  <c r="AD169" i="13"/>
  <c r="W44" i="13"/>
  <c r="W91" i="13"/>
  <c r="AJ154" i="13"/>
  <c r="AL154" i="13"/>
  <c r="AJ144" i="13"/>
  <c r="AL144" i="13"/>
  <c r="AO144" i="13"/>
  <c r="AK154" i="13"/>
  <c r="AK164" i="13"/>
  <c r="AK144" i="13"/>
  <c r="BV27" i="3" l="1"/>
  <c r="BW27" i="3" s="1"/>
  <c r="AS4" i="13"/>
  <c r="K30" i="2"/>
  <c r="CN18" i="13" l="1"/>
  <c r="CP18" i="13"/>
  <c r="CO18" i="13"/>
  <c r="CP9" i="13"/>
  <c r="CN9" i="13"/>
  <c r="CO9" i="13"/>
  <c r="BD18" i="13"/>
  <c r="BL18" i="13"/>
  <c r="BH18" i="13"/>
  <c r="BE18" i="13"/>
  <c r="BP18" i="13"/>
  <c r="BJ18" i="13"/>
  <c r="BR18" i="13"/>
  <c r="BM18" i="13"/>
  <c r="BF18" i="13"/>
  <c r="BN18" i="13"/>
  <c r="BI18" i="13"/>
  <c r="BG18" i="13"/>
  <c r="BQ18" i="13"/>
  <c r="BK18" i="13"/>
  <c r="BO18" i="13"/>
  <c r="BD9" i="13"/>
  <c r="BL9" i="13"/>
  <c r="BT9" i="13"/>
  <c r="CB9" i="13"/>
  <c r="BE9" i="13"/>
  <c r="BM9" i="13"/>
  <c r="BU9" i="13"/>
  <c r="CC9" i="13"/>
  <c r="BJ9" i="13"/>
  <c r="BR9" i="13"/>
  <c r="BZ9" i="13"/>
  <c r="BF9" i="13"/>
  <c r="BN9" i="13"/>
  <c r="BV9" i="13"/>
  <c r="BG9" i="13"/>
  <c r="BO9" i="13"/>
  <c r="BW9" i="13"/>
  <c r="BK9" i="13"/>
  <c r="BS9" i="13"/>
  <c r="CA9" i="13"/>
  <c r="BH9" i="13"/>
  <c r="BP9" i="13"/>
  <c r="BX9" i="13"/>
  <c r="BI9" i="13"/>
  <c r="BQ9" i="13"/>
  <c r="BY9" i="13"/>
  <c r="BW18" i="13"/>
  <c r="BY18" i="13"/>
  <c r="BX18" i="13"/>
  <c r="CA18" i="13"/>
  <c r="CB18" i="13"/>
  <c r="CK18" i="13"/>
  <c r="CL18" i="13"/>
  <c r="CK9" i="13"/>
  <c r="CL9" i="13"/>
  <c r="CM18" i="13"/>
  <c r="CQ9" i="13"/>
  <c r="CR9" i="13"/>
  <c r="CS9" i="13"/>
  <c r="CQ18" i="13"/>
  <c r="CS18" i="13"/>
  <c r="CR18" i="13"/>
  <c r="AX9" i="13"/>
  <c r="CJ9" i="13"/>
  <c r="CM9" i="13"/>
  <c r="AX18" i="13"/>
  <c r="CE18" i="13"/>
  <c r="CE9" i="13"/>
  <c r="E2" i="7"/>
  <c r="CJ18" i="13"/>
  <c r="CH9" i="13"/>
  <c r="CF9" i="13"/>
  <c r="BC9" i="13"/>
  <c r="BA9" i="13"/>
  <c r="AY9" i="13"/>
  <c r="AV9" i="13"/>
  <c r="AT9" i="13"/>
  <c r="CI9" i="13"/>
  <c r="CG9" i="13"/>
  <c r="CD9" i="13"/>
  <c r="BB9" i="13"/>
  <c r="AZ9" i="13"/>
  <c r="AW9" i="13"/>
  <c r="AU9" i="13"/>
  <c r="AW18" i="13"/>
  <c r="CC18" i="13"/>
  <c r="CF18" i="13"/>
  <c r="CH18" i="13"/>
  <c r="CD18" i="13"/>
  <c r="CG18" i="13"/>
  <c r="CI18" i="13"/>
  <c r="AU18" i="13"/>
  <c r="BZ18" i="13"/>
  <c r="AZ18" i="13"/>
  <c r="BS18" i="13"/>
  <c r="AT18" i="13"/>
  <c r="BU18" i="13"/>
  <c r="BB18" i="13"/>
  <c r="AV18" i="13"/>
  <c r="BV18" i="13"/>
  <c r="BT18" i="13"/>
  <c r="BC18" i="13"/>
  <c r="BA18" i="13"/>
  <c r="AY18" i="13"/>
  <c r="AS9" i="13" l="1"/>
  <c r="G18" i="2" s="1"/>
  <c r="AS18" i="13"/>
  <c r="M18" i="2" s="1"/>
  <c r="EI2" i="3" l="1"/>
  <c r="EJ2" i="3" s="1"/>
  <c r="DK122" i="3" l="1"/>
  <c r="DJ122" i="3"/>
  <c r="DI122" i="3"/>
  <c r="DH122" i="3"/>
  <c r="E9" i="7" l="1"/>
  <c r="P37" i="2" l="1"/>
  <c r="P38" i="2"/>
  <c r="P39" i="2"/>
  <c r="P40" i="2"/>
  <c r="E387" i="7" l="1"/>
  <c r="B387" i="7"/>
  <c r="E345" i="7"/>
  <c r="B345" i="7"/>
  <c r="E303" i="7"/>
  <c r="B303" i="7"/>
  <c r="E261" i="7"/>
  <c r="B261" i="7"/>
  <c r="E219" i="7"/>
  <c r="B219" i="7"/>
  <c r="E177" i="7"/>
  <c r="B177" i="7"/>
  <c r="E135" i="7"/>
  <c r="B135" i="7"/>
  <c r="E93" i="7"/>
  <c r="B93" i="7"/>
  <c r="E51" i="7"/>
  <c r="B51" i="7"/>
  <c r="GL7" i="3" l="1"/>
  <c r="GL3" i="3"/>
  <c r="GL6" i="3"/>
  <c r="GL2" i="3"/>
  <c r="GL4" i="3"/>
  <c r="BZ2" i="3" l="1"/>
  <c r="CA2" i="3" s="1"/>
  <c r="CB2" i="3" s="1"/>
  <c r="AC34" i="15"/>
  <c r="AC35" i="15"/>
  <c r="AC33" i="15"/>
  <c r="AC31" i="15"/>
  <c r="L39" i="2" l="1"/>
  <c r="B33" i="17" l="1"/>
  <c r="N36" i="2" l="1"/>
  <c r="N37" i="2"/>
  <c r="N38" i="2"/>
  <c r="N39" i="2"/>
  <c r="N40" i="2"/>
  <c r="R32" i="1" l="1"/>
  <c r="R33" i="1"/>
  <c r="R34" i="1"/>
  <c r="R31" i="1"/>
  <c r="AE43" i="2"/>
  <c r="AE46" i="2"/>
  <c r="AD36" i="15"/>
  <c r="AG32" i="15"/>
  <c r="AE33" i="15"/>
  <c r="AE34" i="15"/>
  <c r="AE35" i="15"/>
  <c r="AE36" i="15"/>
  <c r="AC32" i="15"/>
  <c r="AD33" i="15"/>
  <c r="AD34" i="15"/>
  <c r="AD35" i="15"/>
  <c r="AF36" i="15" l="1"/>
  <c r="AG36" i="15" s="1"/>
  <c r="AF34" i="15"/>
  <c r="AG34" i="15" s="1"/>
  <c r="AF35" i="15"/>
  <c r="AG35" i="15" s="1"/>
  <c r="AF33" i="15"/>
  <c r="AG33" i="15" s="1"/>
  <c r="AF44" i="2"/>
  <c r="AE48" i="2" l="1"/>
  <c r="AE49" i="2"/>
  <c r="AE50" i="2"/>
  <c r="AE51" i="2"/>
  <c r="AE52" i="2"/>
  <c r="AE47" i="2"/>
  <c r="AF48" i="2"/>
  <c r="AF49" i="2"/>
  <c r="AF50" i="2"/>
  <c r="AF51" i="2"/>
  <c r="AF52" i="2"/>
  <c r="AF53" i="2"/>
  <c r="AF47" i="2"/>
  <c r="AF36" i="2"/>
  <c r="AF37" i="2"/>
  <c r="AF38" i="2"/>
  <c r="AF39" i="2"/>
  <c r="AF40" i="2"/>
  <c r="AF35" i="2"/>
  <c r="AE36" i="2"/>
  <c r="AE37" i="2"/>
  <c r="AE38" i="2"/>
  <c r="AE39" i="2"/>
  <c r="AE40" i="2"/>
  <c r="R33" i="15"/>
  <c r="R34" i="15"/>
  <c r="R35" i="15"/>
  <c r="AE9" i="15"/>
  <c r="AE10" i="15"/>
  <c r="AE11" i="15"/>
  <c r="AE12" i="15"/>
  <c r="AE13" i="15"/>
  <c r="AE14" i="15"/>
  <c r="AE15" i="15"/>
  <c r="AE16" i="15"/>
  <c r="AE17" i="15"/>
  <c r="AE18" i="15"/>
  <c r="AE19" i="15"/>
  <c r="AE20" i="15"/>
  <c r="AE21" i="15"/>
  <c r="AE22" i="15"/>
  <c r="AE23" i="15"/>
  <c r="AE24" i="15"/>
  <c r="AE25" i="15"/>
  <c r="AE26" i="15"/>
  <c r="AE27" i="15"/>
  <c r="AE28" i="15"/>
  <c r="AE29" i="15"/>
  <c r="AE31" i="15"/>
  <c r="AE8" i="15"/>
  <c r="AC9" i="15"/>
  <c r="AC10" i="15"/>
  <c r="AC11" i="15"/>
  <c r="AC12" i="15"/>
  <c r="AC13" i="15"/>
  <c r="AC14" i="15"/>
  <c r="AC15" i="15"/>
  <c r="AC16" i="15"/>
  <c r="AC17" i="15"/>
  <c r="AC18" i="15"/>
  <c r="AC19" i="15"/>
  <c r="AC20" i="15"/>
  <c r="AC21" i="15"/>
  <c r="AC22" i="15"/>
  <c r="AC23" i="15"/>
  <c r="AC24" i="15"/>
  <c r="AC25" i="15"/>
  <c r="AC26" i="15"/>
  <c r="AC27" i="15"/>
  <c r="AC28" i="15"/>
  <c r="AC29" i="15"/>
  <c r="AC8" i="15"/>
  <c r="AD8" i="15" s="1"/>
  <c r="AG52" i="2" l="1"/>
  <c r="AH52" i="2" s="1"/>
  <c r="AG50" i="2"/>
  <c r="AG49" i="2"/>
  <c r="AH49" i="2" s="1"/>
  <c r="AG48" i="2"/>
  <c r="AH48" i="2" s="1"/>
  <c r="AG40" i="2"/>
  <c r="AH40" i="2" s="1"/>
  <c r="O40" i="2" s="1"/>
  <c r="AG39" i="2"/>
  <c r="AH39" i="2" s="1"/>
  <c r="O39" i="2" s="1"/>
  <c r="AG38" i="2"/>
  <c r="AH38" i="2" s="1"/>
  <c r="O38" i="2" s="1"/>
  <c r="AG37" i="2"/>
  <c r="AH37" i="2" s="1"/>
  <c r="O37" i="2" s="1"/>
  <c r="AG36" i="2"/>
  <c r="AH36" i="2" s="1"/>
  <c r="O36" i="2" s="1"/>
  <c r="AD29" i="15"/>
  <c r="AF29" i="15" s="1"/>
  <c r="AG29" i="15" s="1"/>
  <c r="R29" i="15" s="1"/>
  <c r="AD27" i="15"/>
  <c r="AF27" i="15" s="1"/>
  <c r="AG27" i="15" s="1"/>
  <c r="R27" i="15" s="1"/>
  <c r="AD25" i="15"/>
  <c r="AF25" i="15" s="1"/>
  <c r="AG25" i="15" s="1"/>
  <c r="R25" i="15" s="1"/>
  <c r="AD23" i="15"/>
  <c r="AF23" i="15" s="1"/>
  <c r="AG23" i="15" s="1"/>
  <c r="R23" i="15" s="1"/>
  <c r="AD21" i="15"/>
  <c r="AF21" i="15" s="1"/>
  <c r="AG21" i="15" s="1"/>
  <c r="R21" i="15" s="1"/>
  <c r="AD19" i="15"/>
  <c r="AF19" i="15" s="1"/>
  <c r="AG19" i="15" s="1"/>
  <c r="R19" i="15" s="1"/>
  <c r="AD17" i="15"/>
  <c r="AF17" i="15" s="1"/>
  <c r="AG17" i="15" s="1"/>
  <c r="R17" i="15" s="1"/>
  <c r="AD15" i="15"/>
  <c r="AF15" i="15" s="1"/>
  <c r="AG15" i="15" s="1"/>
  <c r="R15" i="15" s="1"/>
  <c r="AD13" i="15"/>
  <c r="AF13" i="15" s="1"/>
  <c r="AG13" i="15" s="1"/>
  <c r="R13" i="15" s="1"/>
  <c r="AD11" i="15"/>
  <c r="AF11" i="15" s="1"/>
  <c r="AG11" i="15" s="1"/>
  <c r="R11" i="15" s="1"/>
  <c r="AD9" i="15"/>
  <c r="AF9" i="15" s="1"/>
  <c r="AG9" i="15" s="1"/>
  <c r="R9" i="15" s="1"/>
  <c r="AD31" i="15"/>
  <c r="AF31" i="15" s="1"/>
  <c r="AG31" i="15" s="1"/>
  <c r="R31" i="15" s="1"/>
  <c r="AD28" i="15"/>
  <c r="AF28" i="15" s="1"/>
  <c r="AG28" i="15" s="1"/>
  <c r="R28" i="15" s="1"/>
  <c r="AD26" i="15"/>
  <c r="AF26" i="15" s="1"/>
  <c r="AG26" i="15" s="1"/>
  <c r="R26" i="15" s="1"/>
  <c r="AD24" i="15"/>
  <c r="AF24" i="15" s="1"/>
  <c r="AG24" i="15" s="1"/>
  <c r="R24" i="15" s="1"/>
  <c r="AD22" i="15"/>
  <c r="AF22" i="15" s="1"/>
  <c r="AG22" i="15" s="1"/>
  <c r="R22" i="15" s="1"/>
  <c r="AD20" i="15"/>
  <c r="AF20" i="15" s="1"/>
  <c r="AG20" i="15" s="1"/>
  <c r="R20" i="15" s="1"/>
  <c r="AD18" i="15"/>
  <c r="AF18" i="15" s="1"/>
  <c r="AG18" i="15" s="1"/>
  <c r="R18" i="15" s="1"/>
  <c r="AD16" i="15"/>
  <c r="AF16" i="15" s="1"/>
  <c r="AG16" i="15" s="1"/>
  <c r="R16" i="15" s="1"/>
  <c r="AD14" i="15"/>
  <c r="AF14" i="15" s="1"/>
  <c r="AG14" i="15" s="1"/>
  <c r="R14" i="15" s="1"/>
  <c r="AD12" i="15"/>
  <c r="AF12" i="15" s="1"/>
  <c r="AG12" i="15" s="1"/>
  <c r="R12" i="15" s="1"/>
  <c r="AD10" i="15"/>
  <c r="AF10" i="15" s="1"/>
  <c r="AG10" i="15" s="1"/>
  <c r="R10" i="15" s="1"/>
  <c r="AE44" i="2"/>
  <c r="AG44" i="2" s="1"/>
  <c r="AH44" i="2" s="1"/>
  <c r="AE53" i="2"/>
  <c r="AG53" i="2" s="1"/>
  <c r="AH53" i="2" s="1"/>
  <c r="AH50" i="2"/>
  <c r="AG47" i="2"/>
  <c r="AG51" i="2"/>
  <c r="AF8" i="15"/>
  <c r="G31" i="15"/>
  <c r="AH51" i="2" l="1"/>
  <c r="AH47" i="2"/>
  <c r="AG8" i="15"/>
  <c r="R8" i="15" s="1"/>
  <c r="R36" i="15"/>
  <c r="G36" i="15" s="1"/>
  <c r="F36" i="15" s="1"/>
  <c r="G37" i="15"/>
  <c r="F37" i="15" s="1"/>
  <c r="G38" i="15"/>
  <c r="F38" i="15" s="1"/>
  <c r="G34" i="15"/>
  <c r="G35" i="15"/>
  <c r="G33" i="15"/>
  <c r="C31" i="20" l="1"/>
  <c r="M10" i="20"/>
  <c r="C4" i="20"/>
  <c r="V4" i="13"/>
  <c r="V8" i="13"/>
  <c r="V9" i="13"/>
  <c r="V10" i="13"/>
  <c r="V11" i="13"/>
  <c r="V13" i="13"/>
  <c r="V14" i="13"/>
  <c r="V15" i="13"/>
  <c r="V16" i="13"/>
  <c r="V17" i="13"/>
  <c r="V19" i="13"/>
  <c r="V20" i="13"/>
  <c r="V21" i="13"/>
  <c r="V22" i="13"/>
  <c r="V24" i="13"/>
  <c r="V25" i="13"/>
  <c r="V26" i="13"/>
  <c r="V27" i="13"/>
  <c r="V28" i="13"/>
  <c r="V29" i="13"/>
  <c r="V30" i="13"/>
  <c r="V31" i="13"/>
  <c r="V32" i="13"/>
  <c r="V34" i="13"/>
  <c r="V35" i="13"/>
  <c r="V36" i="13"/>
  <c r="V37" i="13"/>
  <c r="V38" i="13"/>
  <c r="V40" i="13"/>
  <c r="V41" i="13"/>
  <c r="V42" i="13"/>
  <c r="V43" i="13"/>
  <c r="V45" i="13"/>
  <c r="V47" i="13"/>
  <c r="V48" i="13"/>
  <c r="V49" i="13"/>
  <c r="V50" i="13"/>
  <c r="V51" i="13"/>
  <c r="V52" i="13"/>
  <c r="V55" i="13"/>
  <c r="V56" i="13"/>
  <c r="V58" i="13"/>
  <c r="V59" i="13"/>
  <c r="V60" i="13"/>
  <c r="V61" i="13"/>
  <c r="V62" i="13"/>
  <c r="V63" i="13"/>
  <c r="V64" i="13"/>
  <c r="V65" i="13"/>
  <c r="V66" i="13"/>
  <c r="V68" i="13"/>
  <c r="V69" i="13"/>
  <c r="V70" i="13"/>
  <c r="V71" i="13"/>
  <c r="V72" i="13"/>
  <c r="V74" i="13"/>
  <c r="V75" i="13"/>
  <c r="V78" i="13"/>
  <c r="V79" i="13"/>
  <c r="V81" i="13"/>
  <c r="V82" i="13"/>
  <c r="V83" i="13"/>
  <c r="V84" i="13"/>
  <c r="V85" i="13"/>
  <c r="V86" i="13"/>
  <c r="V87" i="13"/>
  <c r="V88" i="13"/>
  <c r="V89" i="13"/>
  <c r="V93" i="13"/>
  <c r="V94" i="13"/>
  <c r="V95" i="13"/>
  <c r="V98" i="13"/>
  <c r="V99" i="13"/>
  <c r="V100" i="13"/>
  <c r="V101" i="13"/>
  <c r="V102" i="13"/>
  <c r="V115" i="13"/>
  <c r="V116" i="13"/>
  <c r="V117" i="13"/>
  <c r="V118" i="13"/>
  <c r="V120" i="13"/>
  <c r="V121" i="13"/>
  <c r="V122" i="13"/>
  <c r="V124" i="13"/>
  <c r="V125" i="13"/>
  <c r="V128" i="13"/>
  <c r="V129" i="13"/>
  <c r="V130" i="13"/>
  <c r="V131" i="13"/>
  <c r="V132" i="13"/>
  <c r="V133" i="13"/>
  <c r="V134" i="13"/>
  <c r="V135" i="13"/>
  <c r="V137" i="13"/>
  <c r="V3" i="13"/>
  <c r="U4" i="13"/>
  <c r="U8" i="13"/>
  <c r="U9" i="13"/>
  <c r="U10" i="13"/>
  <c r="U11" i="13"/>
  <c r="U13" i="13"/>
  <c r="U14" i="13"/>
  <c r="U15" i="13"/>
  <c r="U16" i="13"/>
  <c r="U17" i="13"/>
  <c r="U19" i="13"/>
  <c r="U20" i="13"/>
  <c r="U21" i="13"/>
  <c r="U22" i="13"/>
  <c r="U24" i="13"/>
  <c r="U25" i="13"/>
  <c r="U26" i="13"/>
  <c r="U27" i="13"/>
  <c r="U28" i="13"/>
  <c r="U29" i="13"/>
  <c r="U30" i="13"/>
  <c r="U31" i="13"/>
  <c r="U32" i="13"/>
  <c r="U34" i="13"/>
  <c r="U35" i="13"/>
  <c r="U36" i="13"/>
  <c r="U37" i="13"/>
  <c r="U38" i="13"/>
  <c r="U40" i="13"/>
  <c r="U41" i="13"/>
  <c r="U42" i="13"/>
  <c r="U43" i="13"/>
  <c r="U45" i="13"/>
  <c r="U47" i="13"/>
  <c r="U48" i="13"/>
  <c r="U49" i="13"/>
  <c r="U50" i="13"/>
  <c r="U51" i="13"/>
  <c r="U52" i="13"/>
  <c r="U55" i="13"/>
  <c r="U56" i="13"/>
  <c r="U58" i="13"/>
  <c r="U59" i="13"/>
  <c r="U60" i="13"/>
  <c r="U61" i="13"/>
  <c r="U62" i="13"/>
  <c r="U63" i="13"/>
  <c r="U64" i="13"/>
  <c r="U65" i="13"/>
  <c r="U66" i="13"/>
  <c r="U68" i="13"/>
  <c r="U69" i="13"/>
  <c r="U70" i="13"/>
  <c r="U71" i="13"/>
  <c r="U72" i="13"/>
  <c r="U74" i="13"/>
  <c r="U75" i="13"/>
  <c r="U78" i="13"/>
  <c r="U79" i="13"/>
  <c r="U81" i="13"/>
  <c r="U82" i="13"/>
  <c r="U83" i="13"/>
  <c r="U84" i="13"/>
  <c r="U85" i="13"/>
  <c r="U86" i="13"/>
  <c r="U87" i="13"/>
  <c r="U88" i="13"/>
  <c r="U89" i="13"/>
  <c r="U93" i="13"/>
  <c r="U94" i="13"/>
  <c r="U95" i="13"/>
  <c r="U98" i="13"/>
  <c r="U99" i="13"/>
  <c r="U100" i="13"/>
  <c r="U101" i="13"/>
  <c r="U102" i="13"/>
  <c r="U115" i="13"/>
  <c r="U116" i="13"/>
  <c r="U117" i="13"/>
  <c r="U118" i="13"/>
  <c r="U120" i="13"/>
  <c r="U121" i="13"/>
  <c r="U122" i="13"/>
  <c r="U124" i="13"/>
  <c r="U125" i="13"/>
  <c r="U128" i="13"/>
  <c r="U129" i="13"/>
  <c r="U130" i="13"/>
  <c r="U131" i="13"/>
  <c r="U132" i="13"/>
  <c r="U133" i="13"/>
  <c r="U134" i="13"/>
  <c r="U135" i="13"/>
  <c r="U137" i="13"/>
  <c r="U3" i="13"/>
  <c r="T4" i="13"/>
  <c r="T8" i="13"/>
  <c r="T9" i="13"/>
  <c r="T10" i="13"/>
  <c r="T11" i="13"/>
  <c r="T13" i="13"/>
  <c r="T14" i="13"/>
  <c r="T15" i="13"/>
  <c r="T16" i="13"/>
  <c r="T17" i="13"/>
  <c r="T19" i="13"/>
  <c r="T20" i="13"/>
  <c r="T21" i="13"/>
  <c r="T22" i="13"/>
  <c r="T24" i="13"/>
  <c r="T25" i="13"/>
  <c r="T26" i="13"/>
  <c r="T27" i="13"/>
  <c r="T28" i="13"/>
  <c r="T29" i="13"/>
  <c r="T30" i="13"/>
  <c r="T31" i="13"/>
  <c r="T32" i="13"/>
  <c r="T34" i="13"/>
  <c r="T35" i="13"/>
  <c r="T36" i="13"/>
  <c r="T37" i="13"/>
  <c r="T38" i="13"/>
  <c r="T40" i="13"/>
  <c r="T41" i="13"/>
  <c r="T42" i="13"/>
  <c r="T43" i="13"/>
  <c r="T45" i="13"/>
  <c r="T47" i="13"/>
  <c r="T48" i="13"/>
  <c r="T49" i="13"/>
  <c r="T50" i="13"/>
  <c r="T51" i="13"/>
  <c r="T52" i="13"/>
  <c r="T55" i="13"/>
  <c r="T56" i="13"/>
  <c r="T58" i="13"/>
  <c r="T59" i="13"/>
  <c r="T60" i="13"/>
  <c r="T61" i="13"/>
  <c r="T62" i="13"/>
  <c r="T63" i="13"/>
  <c r="T64" i="13"/>
  <c r="T65" i="13"/>
  <c r="T66" i="13"/>
  <c r="T68" i="13"/>
  <c r="T69" i="13"/>
  <c r="T70" i="13"/>
  <c r="T71" i="13"/>
  <c r="T72" i="13"/>
  <c r="T74" i="13"/>
  <c r="T75" i="13"/>
  <c r="T78" i="13"/>
  <c r="T79" i="13"/>
  <c r="T81" i="13"/>
  <c r="T82" i="13"/>
  <c r="T83" i="13"/>
  <c r="T84" i="13"/>
  <c r="T85" i="13"/>
  <c r="T86" i="13"/>
  <c r="T87" i="13"/>
  <c r="T88" i="13"/>
  <c r="T89" i="13"/>
  <c r="T93" i="13"/>
  <c r="T94" i="13"/>
  <c r="T95" i="13"/>
  <c r="T98" i="13"/>
  <c r="T99" i="13"/>
  <c r="T100" i="13"/>
  <c r="T101" i="13"/>
  <c r="T102" i="13"/>
  <c r="T115" i="13"/>
  <c r="T116" i="13"/>
  <c r="T117" i="13"/>
  <c r="T118" i="13"/>
  <c r="T120" i="13"/>
  <c r="T121" i="13"/>
  <c r="T122" i="13"/>
  <c r="T124" i="13"/>
  <c r="T125" i="13"/>
  <c r="T128" i="13"/>
  <c r="T129" i="13"/>
  <c r="T130" i="13"/>
  <c r="T131" i="13"/>
  <c r="T132" i="13"/>
  <c r="T133" i="13"/>
  <c r="T134" i="13"/>
  <c r="T135" i="13"/>
  <c r="T137" i="13"/>
  <c r="T3" i="13"/>
  <c r="S6" i="15" l="1"/>
  <c r="S5" i="15"/>
  <c r="U6" i="15" l="1"/>
  <c r="N35" i="2" l="1"/>
  <c r="AE35" i="2"/>
  <c r="P11" i="2"/>
  <c r="H8" i="20"/>
  <c r="H10" i="20" s="1"/>
  <c r="F17" i="20" l="1"/>
  <c r="E17" i="20"/>
  <c r="H9" i="20" l="1"/>
  <c r="O31" i="15" l="1"/>
  <c r="N31" i="15"/>
  <c r="G9" i="15"/>
  <c r="G10" i="15"/>
  <c r="G11" i="15"/>
  <c r="G12" i="15"/>
  <c r="G13" i="15"/>
  <c r="G14" i="15"/>
  <c r="G15" i="15"/>
  <c r="G16" i="15"/>
  <c r="G17" i="15"/>
  <c r="G18" i="15"/>
  <c r="G19" i="15"/>
  <c r="G20" i="15"/>
  <c r="G21" i="15"/>
  <c r="G22" i="15"/>
  <c r="G23" i="15"/>
  <c r="G24" i="15"/>
  <c r="G25" i="15"/>
  <c r="G27" i="15"/>
  <c r="G28" i="15"/>
  <c r="G29" i="15"/>
  <c r="G8" i="15"/>
  <c r="B9" i="7"/>
  <c r="B2" i="17" l="1"/>
  <c r="S47" i="13" l="1"/>
  <c r="Q47" i="13"/>
  <c r="P47" i="13"/>
  <c r="O47" i="13"/>
  <c r="N47" i="13"/>
  <c r="L47" i="13"/>
  <c r="K47" i="13"/>
  <c r="J47" i="13"/>
  <c r="I47" i="13"/>
  <c r="G47" i="13"/>
  <c r="F47" i="13"/>
  <c r="E47" i="13"/>
  <c r="D47" i="13"/>
  <c r="C47" i="13"/>
  <c r="O33" i="15"/>
  <c r="O34" i="15"/>
  <c r="O35" i="15"/>
  <c r="N33" i="15"/>
  <c r="N34" i="15"/>
  <c r="N35" i="15"/>
  <c r="M37" i="15"/>
  <c r="M38" i="15"/>
  <c r="W47" i="13" l="1"/>
  <c r="J19" i="1" s="1"/>
  <c r="T44" i="2" l="1"/>
  <c r="AN167" i="13" l="1"/>
  <c r="AN168" i="13"/>
  <c r="AN170" i="13"/>
  <c r="AM167" i="13"/>
  <c r="AM168" i="13"/>
  <c r="AM170" i="13"/>
  <c r="AL167" i="13"/>
  <c r="AL168" i="13"/>
  <c r="AL170" i="13"/>
  <c r="AK167" i="13"/>
  <c r="AK168" i="13"/>
  <c r="AK170" i="13"/>
  <c r="AJ170" i="13" l="1"/>
  <c r="AJ167" i="13"/>
  <c r="AJ168" i="13"/>
  <c r="AI142" i="13"/>
  <c r="AO142" i="13" s="1"/>
  <c r="AM142" i="13" l="1"/>
  <c r="AK142" i="13"/>
  <c r="AL142" i="13"/>
  <c r="AJ142" i="13"/>
  <c r="AN142" i="13" s="1"/>
  <c r="AG142" i="13"/>
  <c r="AF142" i="13"/>
  <c r="AC142" i="13"/>
  <c r="S142" i="13"/>
  <c r="R142" i="13"/>
  <c r="Q142" i="13"/>
  <c r="P142" i="13"/>
  <c r="N142" i="13"/>
  <c r="M142" i="13"/>
  <c r="L142" i="13"/>
  <c r="K142" i="13"/>
  <c r="J142" i="13"/>
  <c r="I142" i="13"/>
  <c r="H142" i="13"/>
  <c r="G142" i="13"/>
  <c r="F142" i="13"/>
  <c r="D142" i="13"/>
  <c r="C142" i="13"/>
  <c r="A31" i="1"/>
  <c r="E31" i="1" s="1"/>
  <c r="AI143" i="13"/>
  <c r="AO143" i="13" s="1"/>
  <c r="AI145" i="13"/>
  <c r="AO145" i="13" s="1"/>
  <c r="AI146" i="13"/>
  <c r="AO146" i="13" s="1"/>
  <c r="AI147" i="13"/>
  <c r="AO147" i="13" s="1"/>
  <c r="AI148" i="13"/>
  <c r="AO148" i="13" s="1"/>
  <c r="AI149" i="13"/>
  <c r="AI150" i="13"/>
  <c r="AO150" i="13" s="1"/>
  <c r="AI151" i="13"/>
  <c r="AO151" i="13" s="1"/>
  <c r="AI152" i="13"/>
  <c r="AO152" i="13" s="1"/>
  <c r="AI153" i="13"/>
  <c r="AO153" i="13" s="1"/>
  <c r="AI155" i="13"/>
  <c r="AO155" i="13" s="1"/>
  <c r="AI156" i="13"/>
  <c r="AO156" i="13" s="1"/>
  <c r="AI157" i="13"/>
  <c r="AO157" i="13" s="1"/>
  <c r="AI158" i="13"/>
  <c r="AO158" i="13" s="1"/>
  <c r="AI159" i="13"/>
  <c r="AI160" i="13"/>
  <c r="AO160" i="13" s="1"/>
  <c r="AI161" i="13"/>
  <c r="AO161" i="13" s="1"/>
  <c r="AI162" i="13"/>
  <c r="AO162" i="13" s="1"/>
  <c r="AI163" i="13"/>
  <c r="AO163" i="13" s="1"/>
  <c r="Y3" i="13"/>
  <c r="AD142" i="13" l="1"/>
  <c r="AL159" i="13"/>
  <c r="AK159" i="13"/>
  <c r="AJ159" i="13"/>
  <c r="AO159" i="13"/>
  <c r="AN159" i="13"/>
  <c r="AM159" i="13"/>
  <c r="AM149" i="13"/>
  <c r="AL149" i="13"/>
  <c r="AK149" i="13"/>
  <c r="AJ149" i="13"/>
  <c r="AN149" i="13"/>
  <c r="AO149" i="13"/>
  <c r="AJ163" i="13"/>
  <c r="AN163" i="13" s="1"/>
  <c r="AM163" i="13"/>
  <c r="AK163" i="13"/>
  <c r="AL163" i="13"/>
  <c r="AJ161" i="13"/>
  <c r="AN161" i="13" s="1"/>
  <c r="AM161" i="13"/>
  <c r="AK161" i="13"/>
  <c r="AL161" i="13"/>
  <c r="AJ157" i="13"/>
  <c r="AN157" i="13" s="1"/>
  <c r="AM157" i="13"/>
  <c r="AK157" i="13"/>
  <c r="AL157" i="13"/>
  <c r="AJ155" i="13"/>
  <c r="AN155" i="13" s="1"/>
  <c r="AM155" i="13"/>
  <c r="AK155" i="13"/>
  <c r="AL155" i="13"/>
  <c r="AJ153" i="13"/>
  <c r="AM153" i="13"/>
  <c r="AK153" i="13"/>
  <c r="AN153" i="13"/>
  <c r="AL153" i="13"/>
  <c r="AJ151" i="13"/>
  <c r="AN151" i="13" s="1"/>
  <c r="AM151" i="13"/>
  <c r="AK151" i="13"/>
  <c r="AL151" i="13"/>
  <c r="AJ147" i="13"/>
  <c r="AM147" i="13"/>
  <c r="AK147" i="13"/>
  <c r="AL147" i="13"/>
  <c r="AJ145" i="13"/>
  <c r="AM145" i="13"/>
  <c r="AK145" i="13"/>
  <c r="AL145" i="13"/>
  <c r="AL162" i="13"/>
  <c r="AM162" i="13"/>
  <c r="AK162" i="13"/>
  <c r="AL160" i="13"/>
  <c r="AM160" i="13"/>
  <c r="AK160" i="13"/>
  <c r="AL158" i="13"/>
  <c r="AM158" i="13"/>
  <c r="AK158" i="13"/>
  <c r="AL156" i="13"/>
  <c r="AM156" i="13"/>
  <c r="AK156" i="13"/>
  <c r="AN154" i="13"/>
  <c r="AL152" i="13"/>
  <c r="AM152" i="13"/>
  <c r="AK152" i="13"/>
  <c r="AL150" i="13"/>
  <c r="AM150" i="13"/>
  <c r="AK150" i="13"/>
  <c r="AL148" i="13"/>
  <c r="AM148" i="13"/>
  <c r="AK148" i="13"/>
  <c r="AL146" i="13"/>
  <c r="AM146" i="13"/>
  <c r="AK146" i="13"/>
  <c r="Z3" i="13"/>
  <c r="AA3" i="13" s="1"/>
  <c r="AM143" i="13"/>
  <c r="AL143" i="13"/>
  <c r="AK143" i="13"/>
  <c r="AN164" i="13"/>
  <c r="AJ162" i="13"/>
  <c r="AN162" i="13" s="1"/>
  <c r="AJ160" i="13"/>
  <c r="AN160" i="13" s="1"/>
  <c r="AJ158" i="13"/>
  <c r="AN158" i="13" s="1"/>
  <c r="AJ156" i="13"/>
  <c r="AN156" i="13" s="1"/>
  <c r="AJ152" i="13"/>
  <c r="AN152" i="13" s="1"/>
  <c r="AJ150" i="13"/>
  <c r="AJ148" i="13"/>
  <c r="AN148" i="13" s="1"/>
  <c r="AJ146" i="13"/>
  <c r="AJ143" i="13"/>
  <c r="B38" i="17"/>
  <c r="AF172" i="13"/>
  <c r="AG172" i="13"/>
  <c r="AF173" i="13"/>
  <c r="AG173" i="13"/>
  <c r="AF174" i="13"/>
  <c r="AG174" i="13"/>
  <c r="AF175" i="13"/>
  <c r="AG175" i="13"/>
  <c r="AF176" i="13"/>
  <c r="AG176" i="13"/>
  <c r="AF178" i="13"/>
  <c r="AG178" i="13"/>
  <c r="AF179" i="13"/>
  <c r="AG179" i="13"/>
  <c r="AF180" i="13"/>
  <c r="AG180" i="13"/>
  <c r="AF181" i="13"/>
  <c r="AG181" i="13"/>
  <c r="AF182" i="13"/>
  <c r="AG182" i="13"/>
  <c r="AF183" i="13"/>
  <c r="AG183" i="13"/>
  <c r="AF184" i="13"/>
  <c r="AG184" i="13"/>
  <c r="AF185" i="13"/>
  <c r="AG185" i="13"/>
  <c r="AF186" i="13"/>
  <c r="AG186" i="13"/>
  <c r="AF188" i="13"/>
  <c r="AG188" i="13"/>
  <c r="AF189" i="13"/>
  <c r="AG189" i="13"/>
  <c r="AF190" i="13"/>
  <c r="AG190" i="13"/>
  <c r="AF191" i="13"/>
  <c r="AG191" i="13"/>
  <c r="AE173" i="13"/>
  <c r="AE174" i="13"/>
  <c r="AE175" i="13"/>
  <c r="AE176" i="13"/>
  <c r="AE178" i="13"/>
  <c r="AE179" i="13"/>
  <c r="AE180" i="13"/>
  <c r="AE181" i="13"/>
  <c r="AE182" i="13"/>
  <c r="AE183" i="13"/>
  <c r="AE184" i="13"/>
  <c r="AE185" i="13"/>
  <c r="AE186" i="13"/>
  <c r="AE188" i="13"/>
  <c r="AE189" i="13"/>
  <c r="AE190" i="13"/>
  <c r="AE191" i="13"/>
  <c r="AE172" i="13"/>
  <c r="B5" i="17"/>
  <c r="AI179" i="13" l="1"/>
  <c r="AI189" i="13"/>
  <c r="B23" i="17"/>
  <c r="AN146" i="13"/>
  <c r="AN150" i="13"/>
  <c r="AN144" i="13"/>
  <c r="AN145" i="13"/>
  <c r="AN147" i="13"/>
  <c r="AN143" i="13"/>
  <c r="AI184" i="13"/>
  <c r="AI191" i="13"/>
  <c r="AI188" i="13"/>
  <c r="AI187" i="13"/>
  <c r="AI186" i="13"/>
  <c r="AI185" i="13"/>
  <c r="AI183" i="13"/>
  <c r="AI182" i="13"/>
  <c r="AI181" i="13"/>
  <c r="AI180" i="13"/>
  <c r="AI178" i="13"/>
  <c r="AI177" i="13"/>
  <c r="AI176" i="13"/>
  <c r="AI175" i="13"/>
  <c r="AI174" i="13"/>
  <c r="AI173" i="13"/>
  <c r="AI190" i="13"/>
  <c r="AI172" i="13"/>
  <c r="AE143" i="13"/>
  <c r="AG143" i="13"/>
  <c r="AG144" i="13"/>
  <c r="AG145" i="13"/>
  <c r="AG146" i="13"/>
  <c r="AG147" i="13"/>
  <c r="AG148" i="13"/>
  <c r="AG150" i="13"/>
  <c r="AG151" i="13"/>
  <c r="AG152" i="13"/>
  <c r="AG153" i="13"/>
  <c r="AG154" i="13"/>
  <c r="AG155" i="13"/>
  <c r="AG156" i="13"/>
  <c r="AG157" i="13"/>
  <c r="AG158" i="13"/>
  <c r="AG160" i="13"/>
  <c r="AG161" i="13"/>
  <c r="AG162" i="13"/>
  <c r="AG163" i="13"/>
  <c r="AG164" i="13"/>
  <c r="AG165" i="13"/>
  <c r="AG166" i="13"/>
  <c r="AG167" i="13"/>
  <c r="AG168" i="13"/>
  <c r="AG170" i="13"/>
  <c r="AF143" i="13"/>
  <c r="AF144" i="13"/>
  <c r="AF145" i="13"/>
  <c r="AF146" i="13"/>
  <c r="AF147" i="13"/>
  <c r="AF148" i="13"/>
  <c r="AF150" i="13"/>
  <c r="AF151" i="13"/>
  <c r="AF152" i="13"/>
  <c r="AF153" i="13"/>
  <c r="AF154" i="13"/>
  <c r="AF155" i="13"/>
  <c r="AF156" i="13"/>
  <c r="AF157" i="13"/>
  <c r="AF158" i="13"/>
  <c r="AF160" i="13"/>
  <c r="AF161" i="13"/>
  <c r="AF162" i="13"/>
  <c r="AF163" i="13"/>
  <c r="AF164" i="13"/>
  <c r="AF165" i="13"/>
  <c r="AF166" i="13"/>
  <c r="AF167" i="13"/>
  <c r="AF168" i="13"/>
  <c r="AF170" i="13"/>
  <c r="AE144" i="13"/>
  <c r="AE145" i="13"/>
  <c r="AE146" i="13"/>
  <c r="AE147" i="13"/>
  <c r="AE148" i="13"/>
  <c r="AE150" i="13"/>
  <c r="AE151" i="13"/>
  <c r="AE152" i="13"/>
  <c r="AE153" i="13"/>
  <c r="AE154" i="13"/>
  <c r="AE155" i="13"/>
  <c r="AE156" i="13"/>
  <c r="AE157" i="13"/>
  <c r="AE158" i="13"/>
  <c r="AE160" i="13"/>
  <c r="AE161" i="13"/>
  <c r="AE162" i="13"/>
  <c r="AE163" i="13"/>
  <c r="AE164" i="13"/>
  <c r="AE165" i="13"/>
  <c r="AE166" i="13"/>
  <c r="AE167" i="13"/>
  <c r="AE168" i="13"/>
  <c r="AE170" i="13"/>
  <c r="B17" i="17" l="1"/>
  <c r="B28" i="17"/>
  <c r="B8" i="17"/>
  <c r="G36" i="2" l="1"/>
  <c r="I36" i="2"/>
  <c r="J36" i="2"/>
  <c r="R36" i="2"/>
  <c r="T36" i="2"/>
  <c r="G37" i="2"/>
  <c r="G38" i="2"/>
  <c r="I38" i="2"/>
  <c r="J38" i="2"/>
  <c r="R38" i="2"/>
  <c r="T38" i="2"/>
  <c r="G40" i="2"/>
  <c r="I40" i="2"/>
  <c r="J40" i="2"/>
  <c r="R40" i="2"/>
  <c r="T40" i="2"/>
  <c r="AA216" i="13" l="1"/>
  <c r="U38" i="2"/>
  <c r="AD193" i="13" s="1"/>
  <c r="AD199" i="13" s="1"/>
  <c r="AA215" i="13"/>
  <c r="U37" i="2"/>
  <c r="AC193" i="13" s="1"/>
  <c r="AC199" i="13" s="1"/>
  <c r="AA218" i="13"/>
  <c r="U40" i="2"/>
  <c r="U36" i="2"/>
  <c r="AB193" i="13" s="1"/>
  <c r="AB199" i="13" s="1"/>
  <c r="T37" i="2"/>
  <c r="I37" i="2"/>
  <c r="R37" i="2"/>
  <c r="J37" i="2"/>
  <c r="Y218" i="13" l="1"/>
  <c r="AF193" i="13"/>
  <c r="AF199" i="13" s="1"/>
  <c r="Y215" i="13"/>
  <c r="Y216" i="13"/>
  <c r="Y214" i="13"/>
  <c r="DK64" i="3"/>
  <c r="DJ64" i="3"/>
  <c r="DI64" i="3"/>
  <c r="DH64" i="3"/>
  <c r="M8" i="15" l="1"/>
  <c r="U5" i="15" l="1"/>
  <c r="A236" i="13"/>
  <c r="A237" i="13"/>
  <c r="A238" i="13"/>
  <c r="A239" i="13"/>
  <c r="A240" i="13"/>
  <c r="A241" i="13"/>
  <c r="A242" i="13"/>
  <c r="A243" i="13"/>
  <c r="A244" i="13"/>
  <c r="A246" i="13"/>
  <c r="A247" i="13"/>
  <c r="A248" i="13"/>
  <c r="A249" i="13"/>
  <c r="A250" i="13"/>
  <c r="A251" i="13"/>
  <c r="A252" i="13"/>
  <c r="A253" i="13"/>
  <c r="A254" i="13"/>
  <c r="A256" i="13"/>
  <c r="A257" i="13"/>
  <c r="DK5" i="3"/>
  <c r="DK8" i="3"/>
  <c r="DK9" i="3"/>
  <c r="DK12" i="3"/>
  <c r="DK13" i="3"/>
  <c r="DK14" i="3"/>
  <c r="DK15" i="3"/>
  <c r="DK17" i="3"/>
  <c r="DK19" i="3"/>
  <c r="DK20" i="3"/>
  <c r="DK21" i="3"/>
  <c r="DK24" i="3"/>
  <c r="DK27" i="3"/>
  <c r="DK29" i="3"/>
  <c r="DK30" i="3"/>
  <c r="DK31" i="3"/>
  <c r="DK32" i="3"/>
  <c r="DK35" i="3"/>
  <c r="DK38" i="3"/>
  <c r="DK40" i="3"/>
  <c r="DK41" i="3"/>
  <c r="DK42" i="3"/>
  <c r="DK43" i="3"/>
  <c r="DK44" i="3"/>
  <c r="DK34" i="3"/>
  <c r="DK45" i="3"/>
  <c r="DK47" i="3"/>
  <c r="DK51" i="3"/>
  <c r="DK52" i="3"/>
  <c r="DK54" i="3"/>
  <c r="DK56" i="3"/>
  <c r="DK57" i="3"/>
  <c r="DK58" i="3"/>
  <c r="DK59" i="3"/>
  <c r="DK60" i="3"/>
  <c r="DK62" i="3"/>
  <c r="DK66" i="3"/>
  <c r="DK67" i="3"/>
  <c r="DK68" i="3"/>
  <c r="DK72" i="3"/>
  <c r="DK76" i="3"/>
  <c r="DK79" i="3"/>
  <c r="DK80" i="3"/>
  <c r="DK81" i="3"/>
  <c r="DK82" i="3"/>
  <c r="DK84" i="3"/>
  <c r="DK85" i="3"/>
  <c r="DK86" i="3"/>
  <c r="DK90" i="3"/>
  <c r="DK93" i="3"/>
  <c r="DK95" i="3"/>
  <c r="DK97" i="3"/>
  <c r="DK98" i="3"/>
  <c r="DK102" i="3"/>
  <c r="DK104" i="3"/>
  <c r="DK105" i="3"/>
  <c r="DK108" i="3"/>
  <c r="DK110" i="3"/>
  <c r="DK111" i="3"/>
  <c r="DK114" i="3"/>
  <c r="DK115" i="3"/>
  <c r="DK118" i="3"/>
  <c r="DK121" i="3"/>
  <c r="DK123" i="3"/>
  <c r="DK124" i="3"/>
  <c r="DK125" i="3"/>
  <c r="DK129" i="3"/>
  <c r="DK126" i="3"/>
  <c r="DK127" i="3"/>
  <c r="DK131" i="3"/>
  <c r="DK3" i="3"/>
  <c r="DJ5" i="3"/>
  <c r="DJ8" i="3"/>
  <c r="DJ9" i="3"/>
  <c r="DJ12" i="3"/>
  <c r="DJ13" i="3"/>
  <c r="DJ14" i="3"/>
  <c r="DJ15" i="3"/>
  <c r="DJ17" i="3"/>
  <c r="DJ19" i="3"/>
  <c r="DJ20" i="3"/>
  <c r="DJ21" i="3"/>
  <c r="DJ24" i="3"/>
  <c r="DJ27" i="3"/>
  <c r="DJ29" i="3"/>
  <c r="DJ30" i="3"/>
  <c r="DJ31" i="3"/>
  <c r="DJ32" i="3"/>
  <c r="DJ35" i="3"/>
  <c r="DJ38" i="3"/>
  <c r="DJ40" i="3"/>
  <c r="DJ41" i="3"/>
  <c r="DJ42" i="3"/>
  <c r="DJ43" i="3"/>
  <c r="DJ44" i="3"/>
  <c r="DJ34" i="3"/>
  <c r="DJ45" i="3"/>
  <c r="DJ47" i="3"/>
  <c r="DJ51" i="3"/>
  <c r="DJ52" i="3"/>
  <c r="DJ54" i="3"/>
  <c r="DJ56" i="3"/>
  <c r="DJ57" i="3"/>
  <c r="DJ58" i="3"/>
  <c r="DJ59" i="3"/>
  <c r="DJ60" i="3"/>
  <c r="DJ62" i="3"/>
  <c r="DJ66" i="3"/>
  <c r="DJ67" i="3"/>
  <c r="DJ68" i="3"/>
  <c r="DJ72" i="3"/>
  <c r="DJ76" i="3"/>
  <c r="DJ79" i="3"/>
  <c r="DJ80" i="3"/>
  <c r="DJ81" i="3"/>
  <c r="DJ82" i="3"/>
  <c r="DJ84" i="3"/>
  <c r="DJ85" i="3"/>
  <c r="DJ86" i="3"/>
  <c r="DJ90" i="3"/>
  <c r="DJ93" i="3"/>
  <c r="DJ95" i="3"/>
  <c r="DJ97" i="3"/>
  <c r="DJ98" i="3"/>
  <c r="DJ102" i="3"/>
  <c r="DJ104" i="3"/>
  <c r="DJ105" i="3"/>
  <c r="DJ108" i="3"/>
  <c r="DJ110" i="3"/>
  <c r="DJ111" i="3"/>
  <c r="DJ114" i="3"/>
  <c r="DJ115" i="3"/>
  <c r="DJ118" i="3"/>
  <c r="DJ121" i="3"/>
  <c r="DJ123" i="3"/>
  <c r="DJ124" i="3"/>
  <c r="DJ125" i="3"/>
  <c r="DJ129" i="3"/>
  <c r="DJ126" i="3"/>
  <c r="DJ127" i="3"/>
  <c r="DJ131" i="3"/>
  <c r="DJ3" i="3"/>
  <c r="DI5" i="3"/>
  <c r="DI8" i="3"/>
  <c r="DI9" i="3"/>
  <c r="DI12" i="3"/>
  <c r="DI13" i="3"/>
  <c r="DI14" i="3"/>
  <c r="DI15" i="3"/>
  <c r="DI17" i="3"/>
  <c r="DI19" i="3"/>
  <c r="DI20" i="3"/>
  <c r="DI21" i="3"/>
  <c r="DI24" i="3"/>
  <c r="DI27" i="3"/>
  <c r="DI29" i="3"/>
  <c r="DI30" i="3"/>
  <c r="DI31" i="3"/>
  <c r="DI32" i="3"/>
  <c r="DI35" i="3"/>
  <c r="DI38" i="3"/>
  <c r="DI40" i="3"/>
  <c r="DI41" i="3"/>
  <c r="DI42" i="3"/>
  <c r="DI43" i="3"/>
  <c r="DI44" i="3"/>
  <c r="DI34" i="3"/>
  <c r="DI45" i="3"/>
  <c r="DI47" i="3"/>
  <c r="DI51" i="3"/>
  <c r="DI52" i="3"/>
  <c r="DI54" i="3"/>
  <c r="DI56" i="3"/>
  <c r="DI57" i="3"/>
  <c r="DI58" i="3"/>
  <c r="DI59" i="3"/>
  <c r="DI60" i="3"/>
  <c r="DI62" i="3"/>
  <c r="DI66" i="3"/>
  <c r="DI67" i="3"/>
  <c r="DI68" i="3"/>
  <c r="DI72" i="3"/>
  <c r="DI76" i="3"/>
  <c r="DI79" i="3"/>
  <c r="DI80" i="3"/>
  <c r="DI81" i="3"/>
  <c r="DI82" i="3"/>
  <c r="DI84" i="3"/>
  <c r="DI85" i="3"/>
  <c r="DI86" i="3"/>
  <c r="DI90" i="3"/>
  <c r="DI93" i="3"/>
  <c r="DI95" i="3"/>
  <c r="DI97" i="3"/>
  <c r="DI98" i="3"/>
  <c r="DI102" i="3"/>
  <c r="DI104" i="3"/>
  <c r="DI105" i="3"/>
  <c r="DI108" i="3"/>
  <c r="DI110" i="3"/>
  <c r="DI111" i="3"/>
  <c r="DI114" i="3"/>
  <c r="DI115" i="3"/>
  <c r="DI118" i="3"/>
  <c r="DI121" i="3"/>
  <c r="DI123" i="3"/>
  <c r="DI124" i="3"/>
  <c r="DI125" i="3"/>
  <c r="DI129" i="3"/>
  <c r="DI126" i="3"/>
  <c r="DI127" i="3"/>
  <c r="DI131" i="3"/>
  <c r="DI3" i="3"/>
  <c r="DH5" i="3"/>
  <c r="DH8" i="3"/>
  <c r="DH9" i="3"/>
  <c r="DH12" i="3"/>
  <c r="DH13" i="3"/>
  <c r="DH14" i="3"/>
  <c r="DH15" i="3"/>
  <c r="DH17" i="3"/>
  <c r="DH19" i="3"/>
  <c r="DH20" i="3"/>
  <c r="DH21" i="3"/>
  <c r="DH24" i="3"/>
  <c r="DH27" i="3"/>
  <c r="DH29" i="3"/>
  <c r="DH30" i="3"/>
  <c r="DH31" i="3"/>
  <c r="DH32" i="3"/>
  <c r="DH35" i="3"/>
  <c r="DH38" i="3"/>
  <c r="DH40" i="3"/>
  <c r="DH41" i="3"/>
  <c r="DH42" i="3"/>
  <c r="DH43" i="3"/>
  <c r="DH44" i="3"/>
  <c r="DH34" i="3"/>
  <c r="DH45" i="3"/>
  <c r="DH47" i="3"/>
  <c r="DH51" i="3"/>
  <c r="DH52" i="3"/>
  <c r="DH54" i="3"/>
  <c r="DH56" i="3"/>
  <c r="DH57" i="3"/>
  <c r="DH58" i="3"/>
  <c r="DH59" i="3"/>
  <c r="DH60" i="3"/>
  <c r="DH62" i="3"/>
  <c r="DH66" i="3"/>
  <c r="DH67" i="3"/>
  <c r="DH68" i="3"/>
  <c r="DH72" i="3"/>
  <c r="DH76" i="3"/>
  <c r="DH79" i="3"/>
  <c r="DH80" i="3"/>
  <c r="DH81" i="3"/>
  <c r="DH82" i="3"/>
  <c r="DH84" i="3"/>
  <c r="DH85" i="3"/>
  <c r="DH86" i="3"/>
  <c r="DH90" i="3"/>
  <c r="DH93" i="3"/>
  <c r="DH95" i="3"/>
  <c r="DH97" i="3"/>
  <c r="DH98" i="3"/>
  <c r="DH102" i="3"/>
  <c r="DH104" i="3"/>
  <c r="DH105" i="3"/>
  <c r="DH108" i="3"/>
  <c r="DH110" i="3"/>
  <c r="DH111" i="3"/>
  <c r="DH114" i="3"/>
  <c r="DH115" i="3"/>
  <c r="DH118" i="3"/>
  <c r="DH121" i="3"/>
  <c r="DH123" i="3"/>
  <c r="DH124" i="3"/>
  <c r="DH125" i="3"/>
  <c r="DH129" i="3"/>
  <c r="DH126" i="3"/>
  <c r="DH127" i="3"/>
  <c r="DH131" i="3"/>
  <c r="DH3" i="3"/>
  <c r="F32" i="15"/>
  <c r="F34" i="15"/>
  <c r="F35" i="15"/>
  <c r="M34" i="15"/>
  <c r="M35" i="15"/>
  <c r="M33" i="15"/>
  <c r="F33" i="15"/>
  <c r="U4" i="15"/>
  <c r="U3" i="15"/>
  <c r="T6" i="15" l="1"/>
  <c r="T5" i="15"/>
  <c r="J55" i="1"/>
  <c r="O9" i="15" l="1"/>
  <c r="O10" i="15"/>
  <c r="O11" i="15"/>
  <c r="O12" i="15"/>
  <c r="O13" i="15"/>
  <c r="O14" i="15"/>
  <c r="O15" i="15"/>
  <c r="O16" i="15"/>
  <c r="O17" i="15"/>
  <c r="O18" i="15"/>
  <c r="O19" i="15"/>
  <c r="O20" i="15"/>
  <c r="O21" i="15"/>
  <c r="O22" i="15"/>
  <c r="O23" i="15"/>
  <c r="O24" i="15"/>
  <c r="O25" i="15"/>
  <c r="O26" i="15"/>
  <c r="O27" i="15"/>
  <c r="O28" i="15"/>
  <c r="O29" i="15"/>
  <c r="O8" i="15"/>
  <c r="N9" i="15"/>
  <c r="N10" i="15"/>
  <c r="N11" i="15"/>
  <c r="N12" i="15"/>
  <c r="N13" i="15"/>
  <c r="N14" i="15"/>
  <c r="N15" i="15"/>
  <c r="N16" i="15"/>
  <c r="N17" i="15"/>
  <c r="N18" i="15"/>
  <c r="N19" i="15"/>
  <c r="N20" i="15"/>
  <c r="N21" i="15"/>
  <c r="N22" i="15"/>
  <c r="N23" i="15"/>
  <c r="N24" i="15"/>
  <c r="N25" i="15"/>
  <c r="N26" i="15"/>
  <c r="N27" i="15"/>
  <c r="N28" i="15"/>
  <c r="N29" i="15"/>
  <c r="N8" i="15"/>
  <c r="M9" i="15"/>
  <c r="M10" i="15"/>
  <c r="M11" i="15"/>
  <c r="M12" i="15"/>
  <c r="M13" i="15"/>
  <c r="M14" i="15"/>
  <c r="M15" i="15"/>
  <c r="M16" i="15"/>
  <c r="M17" i="15"/>
  <c r="M18" i="15"/>
  <c r="M19" i="15"/>
  <c r="M20" i="15"/>
  <c r="M21" i="15"/>
  <c r="M22" i="15"/>
  <c r="M23" i="15"/>
  <c r="M24" i="15"/>
  <c r="M25" i="15"/>
  <c r="M26" i="15"/>
  <c r="M27" i="15"/>
  <c r="M28" i="15"/>
  <c r="M29" i="15"/>
  <c r="F8" i="15"/>
  <c r="X8" i="15" s="1"/>
  <c r="F9" i="15"/>
  <c r="F10" i="15"/>
  <c r="F11" i="15"/>
  <c r="F12" i="15"/>
  <c r="F13" i="15"/>
  <c r="F14" i="15"/>
  <c r="F15" i="15"/>
  <c r="F16" i="15"/>
  <c r="F17" i="15"/>
  <c r="F18" i="15"/>
  <c r="F19" i="15"/>
  <c r="F20" i="15"/>
  <c r="F21" i="15"/>
  <c r="F22" i="15"/>
  <c r="F23" i="15"/>
  <c r="F24" i="15"/>
  <c r="F25" i="15"/>
  <c r="F26" i="15"/>
  <c r="F27" i="15"/>
  <c r="F28" i="15"/>
  <c r="F29" i="15"/>
  <c r="M39" i="15" l="1"/>
  <c r="N36" i="15"/>
  <c r="O37" i="15"/>
  <c r="N38" i="15"/>
  <c r="N54" i="2" l="1"/>
  <c r="M54" i="2"/>
  <c r="S64" i="13" l="1"/>
  <c r="Q64" i="13"/>
  <c r="P64" i="13"/>
  <c r="O64" i="13"/>
  <c r="N64" i="13"/>
  <c r="M64" i="13"/>
  <c r="L64" i="13"/>
  <c r="K64" i="13"/>
  <c r="J64" i="13"/>
  <c r="I64" i="13"/>
  <c r="G64" i="13"/>
  <c r="F64" i="13"/>
  <c r="E64" i="13"/>
  <c r="D64" i="13"/>
  <c r="C64" i="13"/>
  <c r="W64" i="13" l="1"/>
  <c r="O38" i="15" l="1"/>
  <c r="N37" i="15"/>
  <c r="N39" i="15" s="1"/>
  <c r="O36" i="15"/>
  <c r="O39" i="15" l="1"/>
  <c r="G39" i="15"/>
  <c r="S45" i="13" l="1"/>
  <c r="S48" i="13"/>
  <c r="S49" i="13"/>
  <c r="S50" i="13"/>
  <c r="Q45" i="13"/>
  <c r="Q48" i="13"/>
  <c r="Q49" i="13"/>
  <c r="Q50" i="13"/>
  <c r="P45" i="13"/>
  <c r="P48" i="13"/>
  <c r="P49" i="13"/>
  <c r="P50" i="13"/>
  <c r="O43" i="13"/>
  <c r="O45" i="13"/>
  <c r="O48" i="13"/>
  <c r="O49" i="13"/>
  <c r="O50" i="13"/>
  <c r="O51" i="13"/>
  <c r="O52" i="13"/>
  <c r="O55" i="13"/>
  <c r="O56" i="13"/>
  <c r="O58" i="13"/>
  <c r="O59" i="13"/>
  <c r="O60" i="13"/>
  <c r="O61" i="13"/>
  <c r="N49" i="13"/>
  <c r="M49" i="13"/>
  <c r="L49" i="13"/>
  <c r="K49" i="13"/>
  <c r="J49" i="13"/>
  <c r="I49" i="13"/>
  <c r="G49" i="13"/>
  <c r="F49" i="13"/>
  <c r="E49" i="13"/>
  <c r="D49" i="13"/>
  <c r="C49" i="13"/>
  <c r="W49" i="13" l="1"/>
  <c r="L195" i="13"/>
  <c r="M195" i="13"/>
  <c r="N195" i="13"/>
  <c r="O195" i="13"/>
  <c r="P195" i="13"/>
  <c r="Q195" i="13"/>
  <c r="S195" i="13"/>
  <c r="L196" i="13"/>
  <c r="M196" i="13"/>
  <c r="N196" i="13"/>
  <c r="O196" i="13"/>
  <c r="P196" i="13"/>
  <c r="Q196" i="13"/>
  <c r="S196" i="13"/>
  <c r="L197" i="13"/>
  <c r="M197" i="13"/>
  <c r="N197" i="13"/>
  <c r="O197" i="13"/>
  <c r="P197" i="13"/>
  <c r="Q197" i="13"/>
  <c r="S197" i="13"/>
  <c r="L198" i="13"/>
  <c r="M198" i="13"/>
  <c r="N198" i="13"/>
  <c r="O198" i="13"/>
  <c r="P198" i="13"/>
  <c r="Q198" i="13"/>
  <c r="S198" i="13"/>
  <c r="L200" i="13"/>
  <c r="M200" i="13"/>
  <c r="N200" i="13"/>
  <c r="O200" i="13"/>
  <c r="P200" i="13"/>
  <c r="Q200" i="13"/>
  <c r="S200" i="13"/>
  <c r="L201" i="13"/>
  <c r="M201" i="13"/>
  <c r="N201" i="13"/>
  <c r="O201" i="13"/>
  <c r="P201" i="13"/>
  <c r="Q201" i="13"/>
  <c r="S201" i="13"/>
  <c r="L202" i="13"/>
  <c r="M202" i="13"/>
  <c r="N202" i="13"/>
  <c r="O202" i="13"/>
  <c r="P202" i="13"/>
  <c r="Q202" i="13"/>
  <c r="S202" i="13"/>
  <c r="L203" i="13"/>
  <c r="M203" i="13"/>
  <c r="N203" i="13"/>
  <c r="O203" i="13"/>
  <c r="P203" i="13"/>
  <c r="Q203" i="13"/>
  <c r="S203" i="13"/>
  <c r="L204" i="13"/>
  <c r="M204" i="13"/>
  <c r="N204" i="13"/>
  <c r="O204" i="13"/>
  <c r="P204" i="13"/>
  <c r="Q204" i="13"/>
  <c r="S204" i="13"/>
  <c r="L205" i="13"/>
  <c r="M205" i="13"/>
  <c r="N205" i="13"/>
  <c r="O205" i="13"/>
  <c r="P205" i="13"/>
  <c r="Q205" i="13"/>
  <c r="S205" i="13"/>
  <c r="L206" i="13"/>
  <c r="M206" i="13"/>
  <c r="N206" i="13"/>
  <c r="O206" i="13"/>
  <c r="P206" i="13"/>
  <c r="Q206" i="13"/>
  <c r="S206" i="13"/>
  <c r="L207" i="13"/>
  <c r="M207" i="13"/>
  <c r="N207" i="13"/>
  <c r="O207" i="13"/>
  <c r="P207" i="13"/>
  <c r="Q207" i="13"/>
  <c r="S207" i="13"/>
  <c r="L208" i="13"/>
  <c r="M208" i="13"/>
  <c r="N208" i="13"/>
  <c r="O208" i="13"/>
  <c r="P208" i="13"/>
  <c r="Q208" i="13"/>
  <c r="S208" i="13"/>
  <c r="S194" i="13"/>
  <c r="Q194" i="13"/>
  <c r="P194" i="13"/>
  <c r="O194" i="13"/>
  <c r="N194" i="13"/>
  <c r="M194" i="13"/>
  <c r="L194" i="13"/>
  <c r="K195" i="13"/>
  <c r="K196" i="13"/>
  <c r="K197" i="13"/>
  <c r="K198" i="13"/>
  <c r="K200" i="13"/>
  <c r="K201" i="13"/>
  <c r="K202" i="13"/>
  <c r="K203" i="13"/>
  <c r="K204" i="13"/>
  <c r="K205" i="13"/>
  <c r="K206" i="13"/>
  <c r="K207" i="13"/>
  <c r="K208" i="13"/>
  <c r="J195" i="13"/>
  <c r="J196" i="13"/>
  <c r="J197" i="13"/>
  <c r="J198" i="13"/>
  <c r="J200" i="13"/>
  <c r="J201" i="13"/>
  <c r="J202" i="13"/>
  <c r="J203" i="13"/>
  <c r="J204" i="13"/>
  <c r="J205" i="13"/>
  <c r="J206" i="13"/>
  <c r="J207" i="13"/>
  <c r="J208" i="13"/>
  <c r="K194" i="13"/>
  <c r="J194" i="13"/>
  <c r="I194" i="13"/>
  <c r="I195" i="13"/>
  <c r="I196" i="13"/>
  <c r="I197" i="13"/>
  <c r="I198" i="13"/>
  <c r="I200" i="13"/>
  <c r="I201" i="13"/>
  <c r="I202" i="13"/>
  <c r="I203" i="13"/>
  <c r="I204" i="13"/>
  <c r="I205" i="13"/>
  <c r="I206" i="13"/>
  <c r="I207" i="13"/>
  <c r="I208" i="13"/>
  <c r="G195" i="13"/>
  <c r="G196" i="13"/>
  <c r="G197" i="13"/>
  <c r="G198" i="13"/>
  <c r="G200" i="13"/>
  <c r="G201" i="13"/>
  <c r="G202" i="13"/>
  <c r="G203" i="13"/>
  <c r="G204" i="13"/>
  <c r="G205" i="13"/>
  <c r="G206" i="13"/>
  <c r="G207" i="13"/>
  <c r="G208" i="13"/>
  <c r="G194" i="13"/>
  <c r="F195" i="13"/>
  <c r="F196" i="13"/>
  <c r="F197" i="13"/>
  <c r="F198" i="13"/>
  <c r="F200" i="13"/>
  <c r="F201" i="13"/>
  <c r="F202" i="13"/>
  <c r="F203" i="13"/>
  <c r="F204" i="13"/>
  <c r="F205" i="13"/>
  <c r="F206" i="13"/>
  <c r="F207" i="13"/>
  <c r="F208" i="13"/>
  <c r="F194" i="13"/>
  <c r="E195" i="13"/>
  <c r="E196" i="13"/>
  <c r="E197" i="13"/>
  <c r="E198" i="13"/>
  <c r="E200" i="13"/>
  <c r="E201" i="13"/>
  <c r="E202" i="13"/>
  <c r="E203" i="13"/>
  <c r="E204" i="13"/>
  <c r="E205" i="13"/>
  <c r="E206" i="13"/>
  <c r="E207" i="13"/>
  <c r="E208" i="13"/>
  <c r="E194" i="13"/>
  <c r="D194" i="13"/>
  <c r="D195" i="13"/>
  <c r="D196" i="13"/>
  <c r="D197" i="13"/>
  <c r="D198" i="13"/>
  <c r="D200" i="13"/>
  <c r="D201" i="13"/>
  <c r="D202" i="13"/>
  <c r="D203" i="13"/>
  <c r="D204" i="13"/>
  <c r="D205" i="13"/>
  <c r="D206" i="13"/>
  <c r="D207" i="13"/>
  <c r="D208" i="13"/>
  <c r="C195" i="13"/>
  <c r="C196" i="13"/>
  <c r="C197" i="13"/>
  <c r="C198" i="13"/>
  <c r="C200" i="13"/>
  <c r="C201" i="13"/>
  <c r="C202" i="13"/>
  <c r="C203" i="13"/>
  <c r="C204" i="13"/>
  <c r="C205" i="13"/>
  <c r="C206" i="13"/>
  <c r="C207" i="13"/>
  <c r="C208" i="13"/>
  <c r="C194" i="13"/>
  <c r="C170" i="13"/>
  <c r="W194" i="13" l="1"/>
  <c r="X194" i="13" s="1"/>
  <c r="W207" i="13"/>
  <c r="X207" i="13" s="1"/>
  <c r="W205" i="13"/>
  <c r="X205" i="13" s="1"/>
  <c r="W203" i="13"/>
  <c r="X203" i="13" s="1"/>
  <c r="W201" i="13"/>
  <c r="X201" i="13" s="1"/>
  <c r="W197" i="13"/>
  <c r="X197" i="13" s="1"/>
  <c r="W195" i="13"/>
  <c r="X195" i="13" s="1"/>
  <c r="W208" i="13"/>
  <c r="X208" i="13" s="1"/>
  <c r="W206" i="13"/>
  <c r="X206" i="13" s="1"/>
  <c r="W204" i="13"/>
  <c r="X204" i="13" s="1"/>
  <c r="W202" i="13"/>
  <c r="X202" i="13" s="1"/>
  <c r="W200" i="13"/>
  <c r="X200" i="13" s="1"/>
  <c r="W198" i="13"/>
  <c r="X198" i="13" s="1"/>
  <c r="W196" i="13"/>
  <c r="X196" i="13" s="1"/>
  <c r="A55" i="1"/>
  <c r="E55" i="1" s="1"/>
  <c r="A32" i="1"/>
  <c r="E32" i="1" s="1"/>
  <c r="A33" i="1"/>
  <c r="E33" i="1" s="1"/>
  <c r="A34" i="1"/>
  <c r="E34" i="1" s="1"/>
  <c r="A35" i="1"/>
  <c r="E35" i="1" s="1"/>
  <c r="A36" i="1"/>
  <c r="E36" i="1" s="1"/>
  <c r="A37" i="1"/>
  <c r="E37" i="1" s="1"/>
  <c r="A38" i="1"/>
  <c r="E38" i="1" s="1"/>
  <c r="A39" i="1"/>
  <c r="E39" i="1" s="1"/>
  <c r="A40" i="1"/>
  <c r="E40" i="1" s="1"/>
  <c r="A41" i="1"/>
  <c r="E41" i="1" s="1"/>
  <c r="A42" i="1"/>
  <c r="E42" i="1" s="1"/>
  <c r="A43" i="1"/>
  <c r="E43" i="1" s="1"/>
  <c r="A44" i="1"/>
  <c r="E44" i="1" s="1"/>
  <c r="A45" i="1"/>
  <c r="E45" i="1" s="1"/>
  <c r="A46" i="1"/>
  <c r="E46" i="1" s="1"/>
  <c r="A47" i="1"/>
  <c r="E47" i="1" s="1"/>
  <c r="A48" i="1"/>
  <c r="E48" i="1" s="1"/>
  <c r="A49" i="1"/>
  <c r="E49" i="1" s="1"/>
  <c r="A50" i="1"/>
  <c r="E50" i="1" s="1"/>
  <c r="A51" i="1"/>
  <c r="E51" i="1" s="1"/>
  <c r="A52" i="1"/>
  <c r="E52" i="1" s="1"/>
  <c r="A53" i="1"/>
  <c r="E53" i="1" s="1"/>
  <c r="A54" i="1"/>
  <c r="E54" i="1" s="1"/>
  <c r="AD196" i="13" l="1"/>
  <c r="AC196" i="13"/>
  <c r="AB196" i="13"/>
  <c r="AF196" i="13"/>
  <c r="AD204" i="13"/>
  <c r="AC204" i="13"/>
  <c r="AB204" i="13"/>
  <c r="AF204" i="13"/>
  <c r="AB198" i="13"/>
  <c r="AD198" i="13"/>
  <c r="AC198" i="13"/>
  <c r="AF198" i="13"/>
  <c r="AB202" i="13"/>
  <c r="AF202" i="13"/>
  <c r="AD202" i="13"/>
  <c r="AC202" i="13"/>
  <c r="AB206" i="13"/>
  <c r="AD206" i="13"/>
  <c r="AC206" i="13"/>
  <c r="AF206" i="13"/>
  <c r="AD195" i="13"/>
  <c r="AB195" i="13"/>
  <c r="AC195" i="13"/>
  <c r="AF195" i="13"/>
  <c r="AD203" i="13"/>
  <c r="AB203" i="13"/>
  <c r="AC203" i="13"/>
  <c r="AF203" i="13"/>
  <c r="AD207" i="13"/>
  <c r="AB207" i="13"/>
  <c r="AC207" i="13"/>
  <c r="AF207" i="13"/>
  <c r="AD200" i="13"/>
  <c r="AC200" i="13"/>
  <c r="AB200" i="13"/>
  <c r="AF200" i="13"/>
  <c r="AD208" i="13"/>
  <c r="AC208" i="13"/>
  <c r="AB208" i="13"/>
  <c r="AF208" i="13"/>
  <c r="AD197" i="13"/>
  <c r="AB197" i="13"/>
  <c r="AC197" i="13"/>
  <c r="AF197" i="13"/>
  <c r="AF201" i="13"/>
  <c r="AD201" i="13"/>
  <c r="AB201" i="13"/>
  <c r="AC201" i="13"/>
  <c r="AD205" i="13"/>
  <c r="AB205" i="13"/>
  <c r="AC205" i="13"/>
  <c r="AF205" i="13"/>
  <c r="AF194" i="13"/>
  <c r="AD194" i="13"/>
  <c r="AB194" i="13"/>
  <c r="AC194" i="13"/>
  <c r="S93" i="13" l="1"/>
  <c r="Q93" i="13"/>
  <c r="P93" i="13"/>
  <c r="O93" i="13"/>
  <c r="N93" i="13"/>
  <c r="M93" i="13"/>
  <c r="L93" i="13"/>
  <c r="K93" i="13"/>
  <c r="J93" i="13"/>
  <c r="I93" i="13"/>
  <c r="G93" i="13"/>
  <c r="F93" i="13"/>
  <c r="E93" i="13"/>
  <c r="D93" i="13"/>
  <c r="C93" i="13"/>
  <c r="S94" i="13"/>
  <c r="Q94" i="13"/>
  <c r="P94" i="13"/>
  <c r="O94" i="13"/>
  <c r="N94" i="13"/>
  <c r="M94" i="13"/>
  <c r="L94" i="13"/>
  <c r="K94" i="13"/>
  <c r="J94" i="13"/>
  <c r="I94" i="13"/>
  <c r="G94" i="13"/>
  <c r="F94" i="13"/>
  <c r="E94" i="13"/>
  <c r="D94" i="13"/>
  <c r="C94" i="13"/>
  <c r="W93" i="13" l="1"/>
  <c r="W94" i="13"/>
  <c r="J5" i="1" s="1"/>
  <c r="N48" i="13"/>
  <c r="L48" i="13"/>
  <c r="K48" i="13"/>
  <c r="J48" i="13"/>
  <c r="I48" i="13"/>
  <c r="G48" i="13"/>
  <c r="F48" i="13"/>
  <c r="E48" i="13"/>
  <c r="D48" i="13"/>
  <c r="C48" i="13"/>
  <c r="S59" i="13"/>
  <c r="S60" i="13"/>
  <c r="S61" i="13"/>
  <c r="S62" i="13"/>
  <c r="S63" i="13"/>
  <c r="S65" i="13"/>
  <c r="S66" i="13"/>
  <c r="Q59" i="13"/>
  <c r="Q60" i="13"/>
  <c r="Q61" i="13"/>
  <c r="Q62" i="13"/>
  <c r="Q63" i="13"/>
  <c r="Q65" i="13"/>
  <c r="Q66" i="13"/>
  <c r="P59" i="13"/>
  <c r="P60" i="13"/>
  <c r="P61" i="13"/>
  <c r="P62" i="13"/>
  <c r="P63" i="13"/>
  <c r="P65" i="13"/>
  <c r="P66" i="13"/>
  <c r="O62" i="13"/>
  <c r="O63" i="13"/>
  <c r="O65" i="13"/>
  <c r="O66" i="13"/>
  <c r="N59" i="13"/>
  <c r="N60" i="13"/>
  <c r="N61" i="13"/>
  <c r="N62" i="13"/>
  <c r="N63" i="13"/>
  <c r="N65" i="13"/>
  <c r="N66" i="13"/>
  <c r="M59" i="13"/>
  <c r="M60" i="13"/>
  <c r="M61" i="13"/>
  <c r="M62" i="13"/>
  <c r="M63" i="13"/>
  <c r="M65" i="13"/>
  <c r="M66" i="13"/>
  <c r="L59" i="13"/>
  <c r="L60" i="13"/>
  <c r="L61" i="13"/>
  <c r="L62" i="13"/>
  <c r="L63" i="13"/>
  <c r="L65" i="13"/>
  <c r="L66" i="13"/>
  <c r="K59" i="13"/>
  <c r="K60" i="13"/>
  <c r="K61" i="13"/>
  <c r="K62" i="13"/>
  <c r="K63" i="13"/>
  <c r="K65" i="13"/>
  <c r="K66" i="13"/>
  <c r="J59" i="13"/>
  <c r="J60" i="13"/>
  <c r="J61" i="13"/>
  <c r="J62" i="13"/>
  <c r="J63" i="13"/>
  <c r="J65" i="13"/>
  <c r="J66" i="13"/>
  <c r="I59" i="13"/>
  <c r="I60" i="13"/>
  <c r="I61" i="13"/>
  <c r="I62" i="13"/>
  <c r="I63" i="13"/>
  <c r="I65" i="13"/>
  <c r="I66" i="13"/>
  <c r="G59" i="13"/>
  <c r="G60" i="13"/>
  <c r="G61" i="13"/>
  <c r="G62" i="13"/>
  <c r="G63" i="13"/>
  <c r="G65" i="13"/>
  <c r="G66" i="13"/>
  <c r="F60" i="13"/>
  <c r="F61" i="13"/>
  <c r="F62" i="13"/>
  <c r="F63" i="13"/>
  <c r="F65" i="13"/>
  <c r="F66" i="13"/>
  <c r="E60" i="13"/>
  <c r="E61" i="13"/>
  <c r="E62" i="13"/>
  <c r="E63" i="13"/>
  <c r="E65" i="13"/>
  <c r="E66" i="13"/>
  <c r="D60" i="13"/>
  <c r="D61" i="13"/>
  <c r="D62" i="13"/>
  <c r="D63" i="13"/>
  <c r="D65" i="13"/>
  <c r="D66" i="13"/>
  <c r="C60" i="13"/>
  <c r="C61" i="13"/>
  <c r="C62" i="13"/>
  <c r="C63" i="13"/>
  <c r="C65" i="13"/>
  <c r="C66" i="13"/>
  <c r="C43" i="13"/>
  <c r="D43" i="13"/>
  <c r="E43" i="13"/>
  <c r="F43" i="13"/>
  <c r="G43" i="13"/>
  <c r="I43" i="13"/>
  <c r="J43" i="13"/>
  <c r="K43" i="13"/>
  <c r="L43" i="13"/>
  <c r="M43" i="13"/>
  <c r="N43" i="13"/>
  <c r="P43" i="13"/>
  <c r="Q43" i="13"/>
  <c r="S43" i="13"/>
  <c r="N50" i="13"/>
  <c r="M50" i="13"/>
  <c r="L50" i="13"/>
  <c r="K50" i="13"/>
  <c r="J50" i="13"/>
  <c r="I50" i="13"/>
  <c r="G50" i="13"/>
  <c r="F50" i="13"/>
  <c r="E50" i="13"/>
  <c r="D50" i="13"/>
  <c r="C50" i="13"/>
  <c r="Q15" i="13"/>
  <c r="P15" i="13"/>
  <c r="O15" i="13"/>
  <c r="N15" i="13"/>
  <c r="M15" i="13"/>
  <c r="L15" i="13"/>
  <c r="K15" i="13"/>
  <c r="J15" i="13"/>
  <c r="I15" i="13"/>
  <c r="G15" i="13"/>
  <c r="F15" i="13"/>
  <c r="E15" i="13"/>
  <c r="D15" i="13"/>
  <c r="C15" i="13"/>
  <c r="J137" i="13"/>
  <c r="W43" i="13" l="1"/>
  <c r="W65" i="13"/>
  <c r="W62" i="13"/>
  <c r="W60" i="13"/>
  <c r="W50" i="13"/>
  <c r="W66" i="13"/>
  <c r="W63" i="13"/>
  <c r="J9" i="1" s="1"/>
  <c r="W61" i="13"/>
  <c r="F23" i="2" s="1"/>
  <c r="J18" i="1"/>
  <c r="S68" i="13"/>
  <c r="S69" i="13"/>
  <c r="S70" i="13"/>
  <c r="S71" i="13"/>
  <c r="S72" i="13"/>
  <c r="S74" i="13"/>
  <c r="S75" i="13"/>
  <c r="S78" i="13"/>
  <c r="S79" i="13"/>
  <c r="S81" i="13"/>
  <c r="S82" i="13"/>
  <c r="S83" i="13"/>
  <c r="S84" i="13"/>
  <c r="S85" i="13"/>
  <c r="S86" i="13"/>
  <c r="S87" i="13"/>
  <c r="S88" i="13"/>
  <c r="S89" i="13"/>
  <c r="S95" i="13"/>
  <c r="S98" i="13"/>
  <c r="Q68" i="13"/>
  <c r="Q69" i="13"/>
  <c r="Q70" i="13"/>
  <c r="Q71" i="13"/>
  <c r="Q72" i="13"/>
  <c r="Q74" i="13"/>
  <c r="Q75" i="13"/>
  <c r="Q78" i="13"/>
  <c r="Q79" i="13"/>
  <c r="Q81" i="13"/>
  <c r="Q82" i="13"/>
  <c r="Q83" i="13"/>
  <c r="Q84" i="13"/>
  <c r="Q85" i="13"/>
  <c r="Q86" i="13"/>
  <c r="Q87" i="13"/>
  <c r="Q88" i="13"/>
  <c r="Q89" i="13"/>
  <c r="Q95" i="13"/>
  <c r="Q98" i="13"/>
  <c r="P68" i="13"/>
  <c r="P69" i="13"/>
  <c r="P70" i="13"/>
  <c r="P71" i="13"/>
  <c r="P72" i="13"/>
  <c r="P74" i="13"/>
  <c r="P75" i="13"/>
  <c r="P78" i="13"/>
  <c r="P79" i="13"/>
  <c r="P81" i="13"/>
  <c r="P82" i="13"/>
  <c r="P83" i="13"/>
  <c r="P84" i="13"/>
  <c r="P85" i="13"/>
  <c r="P86" i="13"/>
  <c r="P87" i="13"/>
  <c r="P88" i="13"/>
  <c r="P89" i="13"/>
  <c r="P95" i="13"/>
  <c r="P98" i="13"/>
  <c r="O68" i="13"/>
  <c r="O69" i="13"/>
  <c r="O70" i="13"/>
  <c r="O71" i="13"/>
  <c r="O72" i="13"/>
  <c r="O74" i="13"/>
  <c r="O75" i="13"/>
  <c r="O78" i="13"/>
  <c r="O79" i="13"/>
  <c r="O81" i="13"/>
  <c r="O82" i="13"/>
  <c r="O83" i="13"/>
  <c r="O84" i="13"/>
  <c r="O85" i="13"/>
  <c r="O86" i="13"/>
  <c r="O87" i="13"/>
  <c r="O88" i="13"/>
  <c r="O89" i="13"/>
  <c r="O95" i="13"/>
  <c r="O98" i="13"/>
  <c r="N68" i="13"/>
  <c r="N69" i="13"/>
  <c r="N70" i="13"/>
  <c r="N71" i="13"/>
  <c r="N72" i="13"/>
  <c r="N74" i="13"/>
  <c r="N75" i="13"/>
  <c r="N78" i="13"/>
  <c r="N79" i="13"/>
  <c r="N81" i="13"/>
  <c r="N82" i="13"/>
  <c r="N83" i="13"/>
  <c r="N84" i="13"/>
  <c r="N85" i="13"/>
  <c r="N86" i="13"/>
  <c r="N87" i="13"/>
  <c r="N88" i="13"/>
  <c r="N89" i="13"/>
  <c r="N95" i="13"/>
  <c r="N98" i="13"/>
  <c r="M68" i="13"/>
  <c r="M69" i="13"/>
  <c r="M70" i="13"/>
  <c r="M71" i="13"/>
  <c r="M72" i="13"/>
  <c r="M74" i="13"/>
  <c r="M75" i="13"/>
  <c r="M78" i="13"/>
  <c r="M79" i="13"/>
  <c r="M81" i="13"/>
  <c r="M82" i="13"/>
  <c r="M83" i="13"/>
  <c r="M84" i="13"/>
  <c r="M85" i="13"/>
  <c r="M86" i="13"/>
  <c r="M87" i="13"/>
  <c r="M88" i="13"/>
  <c r="M89" i="13"/>
  <c r="M95" i="13"/>
  <c r="M98" i="13"/>
  <c r="L68" i="13"/>
  <c r="L69" i="13"/>
  <c r="L70" i="13"/>
  <c r="L71" i="13"/>
  <c r="L72" i="13"/>
  <c r="L74" i="13"/>
  <c r="L75" i="13"/>
  <c r="L78" i="13"/>
  <c r="L79" i="13"/>
  <c r="L81" i="13"/>
  <c r="L82" i="13"/>
  <c r="L83" i="13"/>
  <c r="L84" i="13"/>
  <c r="L85" i="13"/>
  <c r="L86" i="13"/>
  <c r="L87" i="13"/>
  <c r="L88" i="13"/>
  <c r="L89" i="13"/>
  <c r="L95" i="13"/>
  <c r="L98" i="13"/>
  <c r="K68" i="13"/>
  <c r="K69" i="13"/>
  <c r="K70" i="13"/>
  <c r="K71" i="13"/>
  <c r="K72" i="13"/>
  <c r="K74" i="13"/>
  <c r="K75" i="13"/>
  <c r="K78" i="13"/>
  <c r="K79" i="13"/>
  <c r="K81" i="13"/>
  <c r="K82" i="13"/>
  <c r="K83" i="13"/>
  <c r="K84" i="13"/>
  <c r="K85" i="13"/>
  <c r="K86" i="13"/>
  <c r="K87" i="13"/>
  <c r="K88" i="13"/>
  <c r="K89" i="13"/>
  <c r="K95" i="13"/>
  <c r="K98" i="13"/>
  <c r="J68" i="13"/>
  <c r="J69" i="13"/>
  <c r="J70" i="13"/>
  <c r="J71" i="13"/>
  <c r="J72" i="13"/>
  <c r="J74" i="13"/>
  <c r="J75" i="13"/>
  <c r="J78" i="13"/>
  <c r="J79" i="13"/>
  <c r="J81" i="13"/>
  <c r="J82" i="13"/>
  <c r="J83" i="13"/>
  <c r="J84" i="13"/>
  <c r="J85" i="13"/>
  <c r="J86" i="13"/>
  <c r="J87" i="13"/>
  <c r="J88" i="13"/>
  <c r="J89" i="13"/>
  <c r="J95" i="13"/>
  <c r="J98" i="13"/>
  <c r="I68" i="13"/>
  <c r="I69" i="13"/>
  <c r="I70" i="13"/>
  <c r="I71" i="13"/>
  <c r="I72" i="13"/>
  <c r="I74" i="13"/>
  <c r="I75" i="13"/>
  <c r="I78" i="13"/>
  <c r="I79" i="13"/>
  <c r="I81" i="13"/>
  <c r="I82" i="13"/>
  <c r="I83" i="13"/>
  <c r="I84" i="13"/>
  <c r="I85" i="13"/>
  <c r="I86" i="13"/>
  <c r="I87" i="13"/>
  <c r="I88" i="13"/>
  <c r="I89" i="13"/>
  <c r="I95" i="13"/>
  <c r="I98" i="13"/>
  <c r="G68" i="13"/>
  <c r="G69" i="13"/>
  <c r="G70" i="13"/>
  <c r="G71" i="13"/>
  <c r="G72" i="13"/>
  <c r="G74" i="13"/>
  <c r="G75" i="13"/>
  <c r="G78" i="13"/>
  <c r="G79" i="13"/>
  <c r="G81" i="13"/>
  <c r="G82" i="13"/>
  <c r="G83" i="13"/>
  <c r="G84" i="13"/>
  <c r="G85" i="13"/>
  <c r="G86" i="13"/>
  <c r="G87" i="13"/>
  <c r="G88" i="13"/>
  <c r="G89" i="13"/>
  <c r="G95" i="13"/>
  <c r="G98" i="13"/>
  <c r="F68" i="13"/>
  <c r="F69" i="13"/>
  <c r="F70" i="13"/>
  <c r="F71" i="13"/>
  <c r="F72" i="13"/>
  <c r="F74" i="13"/>
  <c r="F75" i="13"/>
  <c r="F78" i="13"/>
  <c r="F79" i="13"/>
  <c r="F81" i="13"/>
  <c r="F82" i="13"/>
  <c r="F83" i="13"/>
  <c r="F84" i="13"/>
  <c r="F85" i="13"/>
  <c r="F86" i="13"/>
  <c r="F87" i="13"/>
  <c r="F88" i="13"/>
  <c r="F89" i="13"/>
  <c r="F95" i="13"/>
  <c r="F98" i="13"/>
  <c r="E68" i="13"/>
  <c r="E69" i="13"/>
  <c r="E70" i="13"/>
  <c r="E71" i="13"/>
  <c r="E72" i="13"/>
  <c r="E74" i="13"/>
  <c r="E75" i="13"/>
  <c r="E78" i="13"/>
  <c r="E79" i="13"/>
  <c r="E81" i="13"/>
  <c r="E82" i="13"/>
  <c r="E83" i="13"/>
  <c r="E84" i="13"/>
  <c r="E85" i="13"/>
  <c r="E86" i="13"/>
  <c r="E87" i="13"/>
  <c r="E88" i="13"/>
  <c r="E89" i="13"/>
  <c r="E95" i="13"/>
  <c r="E98" i="13"/>
  <c r="D68" i="13"/>
  <c r="D69" i="13"/>
  <c r="D70" i="13"/>
  <c r="D71" i="13"/>
  <c r="D72" i="13"/>
  <c r="D74" i="13"/>
  <c r="D75" i="13"/>
  <c r="D78" i="13"/>
  <c r="D79" i="13"/>
  <c r="D81" i="13"/>
  <c r="D82" i="13"/>
  <c r="D83" i="13"/>
  <c r="D84" i="13"/>
  <c r="D85" i="13"/>
  <c r="D86" i="13"/>
  <c r="D87" i="13"/>
  <c r="D88" i="13"/>
  <c r="D89" i="13"/>
  <c r="D95" i="13"/>
  <c r="D98" i="13"/>
  <c r="C68" i="13"/>
  <c r="C69" i="13"/>
  <c r="C70" i="13"/>
  <c r="C71" i="13"/>
  <c r="C72" i="13"/>
  <c r="C74" i="13"/>
  <c r="C75" i="13"/>
  <c r="C78" i="13"/>
  <c r="C79" i="13"/>
  <c r="C81" i="13"/>
  <c r="C82" i="13"/>
  <c r="C83" i="13"/>
  <c r="C84" i="13"/>
  <c r="C85" i="13"/>
  <c r="C86" i="13"/>
  <c r="C87" i="13"/>
  <c r="C88" i="13"/>
  <c r="C89" i="13"/>
  <c r="C95" i="13"/>
  <c r="C98" i="13"/>
  <c r="S30" i="13"/>
  <c r="Q30" i="13"/>
  <c r="P30" i="13"/>
  <c r="O30" i="13"/>
  <c r="N30" i="13"/>
  <c r="M30" i="13"/>
  <c r="L30" i="13"/>
  <c r="K30" i="13"/>
  <c r="J30" i="13"/>
  <c r="I30" i="13"/>
  <c r="G30" i="13"/>
  <c r="F30" i="13"/>
  <c r="D30" i="13"/>
  <c r="C30" i="13"/>
  <c r="S26" i="13"/>
  <c r="S27" i="13"/>
  <c r="S28" i="13"/>
  <c r="S29" i="13"/>
  <c r="Q26" i="13"/>
  <c r="Q27" i="13"/>
  <c r="Q28" i="13"/>
  <c r="Q29" i="13"/>
  <c r="P26" i="13"/>
  <c r="P27" i="13"/>
  <c r="P28" i="13"/>
  <c r="P29" i="13"/>
  <c r="O26" i="13"/>
  <c r="O27" i="13"/>
  <c r="O28" i="13"/>
  <c r="O29" i="13"/>
  <c r="N26" i="13"/>
  <c r="N27" i="13"/>
  <c r="N28" i="13"/>
  <c r="N29" i="13"/>
  <c r="M26" i="13"/>
  <c r="M27" i="13"/>
  <c r="M28" i="13"/>
  <c r="M29" i="13"/>
  <c r="L26" i="13"/>
  <c r="L27" i="13"/>
  <c r="L28" i="13"/>
  <c r="L29" i="13"/>
  <c r="K26" i="13"/>
  <c r="K27" i="13"/>
  <c r="K28" i="13"/>
  <c r="K29" i="13"/>
  <c r="J26" i="13"/>
  <c r="J27" i="13"/>
  <c r="J28" i="13"/>
  <c r="J29" i="13"/>
  <c r="I26" i="13"/>
  <c r="I27" i="13"/>
  <c r="I28" i="13"/>
  <c r="I29" i="13"/>
  <c r="G26" i="13"/>
  <c r="G27" i="13"/>
  <c r="G28" i="13"/>
  <c r="G29" i="13"/>
  <c r="F26" i="13"/>
  <c r="F27" i="13"/>
  <c r="F28" i="13"/>
  <c r="F29" i="13"/>
  <c r="E26" i="13"/>
  <c r="E27" i="13"/>
  <c r="D26" i="13"/>
  <c r="D27" i="13"/>
  <c r="D28" i="13"/>
  <c r="D29" i="13"/>
  <c r="C26" i="13"/>
  <c r="C27" i="13"/>
  <c r="C28" i="13"/>
  <c r="C29" i="13"/>
  <c r="S15" i="13"/>
  <c r="S16" i="13"/>
  <c r="S17" i="13"/>
  <c r="S19" i="13"/>
  <c r="S20" i="13"/>
  <c r="S21" i="13"/>
  <c r="S22" i="13"/>
  <c r="S24" i="13"/>
  <c r="S25" i="13"/>
  <c r="S31" i="13"/>
  <c r="S32" i="13"/>
  <c r="S34" i="13"/>
  <c r="S35" i="13"/>
  <c r="S36" i="13"/>
  <c r="S37" i="13"/>
  <c r="Q14" i="13"/>
  <c r="Q16" i="13"/>
  <c r="Q17" i="13"/>
  <c r="Q19" i="13"/>
  <c r="Q20" i="13"/>
  <c r="Q21" i="13"/>
  <c r="Q22" i="13"/>
  <c r="Q24" i="13"/>
  <c r="Q25" i="13"/>
  <c r="Q31" i="13"/>
  <c r="Q32" i="13"/>
  <c r="Q34" i="13"/>
  <c r="Q35" i="13"/>
  <c r="Q36" i="13"/>
  <c r="Q37" i="13"/>
  <c r="P14" i="13"/>
  <c r="P16" i="13"/>
  <c r="P17" i="13"/>
  <c r="P19" i="13"/>
  <c r="P20" i="13"/>
  <c r="P21" i="13"/>
  <c r="P22" i="13"/>
  <c r="P24" i="13"/>
  <c r="P25" i="13"/>
  <c r="P31" i="13"/>
  <c r="P32" i="13"/>
  <c r="P34" i="13"/>
  <c r="P35" i="13"/>
  <c r="P36" i="13"/>
  <c r="P37" i="13"/>
  <c r="O14" i="13"/>
  <c r="O16" i="13"/>
  <c r="O17" i="13"/>
  <c r="O19" i="13"/>
  <c r="O20" i="13"/>
  <c r="O21" i="13"/>
  <c r="O22" i="13"/>
  <c r="O24" i="13"/>
  <c r="O25" i="13"/>
  <c r="O31" i="13"/>
  <c r="O32" i="13"/>
  <c r="O34" i="13"/>
  <c r="O35" i="13"/>
  <c r="O36" i="13"/>
  <c r="O37" i="13"/>
  <c r="N14" i="13"/>
  <c r="N16" i="13"/>
  <c r="N17" i="13"/>
  <c r="N19" i="13"/>
  <c r="N20" i="13"/>
  <c r="N21" i="13"/>
  <c r="N22" i="13"/>
  <c r="N24" i="13"/>
  <c r="N25" i="13"/>
  <c r="N31" i="13"/>
  <c r="N32" i="13"/>
  <c r="N34" i="13"/>
  <c r="N35" i="13"/>
  <c r="N36" i="13"/>
  <c r="N37" i="13"/>
  <c r="M14" i="13"/>
  <c r="M16" i="13"/>
  <c r="M17" i="13"/>
  <c r="M19" i="13"/>
  <c r="M20" i="13"/>
  <c r="M21" i="13"/>
  <c r="M22" i="13"/>
  <c r="M24" i="13"/>
  <c r="M25" i="13"/>
  <c r="M31" i="13"/>
  <c r="M32" i="13"/>
  <c r="M34" i="13"/>
  <c r="M35" i="13"/>
  <c r="M36" i="13"/>
  <c r="M37" i="13"/>
  <c r="L14" i="13"/>
  <c r="L16" i="13"/>
  <c r="L17" i="13"/>
  <c r="L19" i="13"/>
  <c r="L20" i="13"/>
  <c r="L21" i="13"/>
  <c r="L22" i="13"/>
  <c r="L24" i="13"/>
  <c r="L25" i="13"/>
  <c r="L31" i="13"/>
  <c r="L32" i="13"/>
  <c r="L34" i="13"/>
  <c r="L35" i="13"/>
  <c r="L36" i="13"/>
  <c r="L37" i="13"/>
  <c r="K14" i="13"/>
  <c r="K16" i="13"/>
  <c r="K17" i="13"/>
  <c r="K19" i="13"/>
  <c r="K20" i="13"/>
  <c r="K21" i="13"/>
  <c r="K22" i="13"/>
  <c r="K24" i="13"/>
  <c r="K25" i="13"/>
  <c r="K31" i="13"/>
  <c r="K32" i="13"/>
  <c r="K34" i="13"/>
  <c r="K35" i="13"/>
  <c r="K36" i="13"/>
  <c r="K37" i="13"/>
  <c r="J14" i="13"/>
  <c r="J16" i="13"/>
  <c r="J17" i="13"/>
  <c r="J19" i="13"/>
  <c r="J20" i="13"/>
  <c r="J21" i="13"/>
  <c r="J22" i="13"/>
  <c r="J24" i="13"/>
  <c r="J25" i="13"/>
  <c r="J31" i="13"/>
  <c r="J32" i="13"/>
  <c r="J34" i="13"/>
  <c r="J35" i="13"/>
  <c r="J36" i="13"/>
  <c r="J37" i="13"/>
  <c r="I14" i="13"/>
  <c r="I16" i="13"/>
  <c r="I17" i="13"/>
  <c r="I19" i="13"/>
  <c r="I20" i="13"/>
  <c r="I21" i="13"/>
  <c r="I22" i="13"/>
  <c r="I24" i="13"/>
  <c r="I25" i="13"/>
  <c r="I31" i="13"/>
  <c r="I32" i="13"/>
  <c r="I34" i="13"/>
  <c r="I35" i="13"/>
  <c r="I36" i="13"/>
  <c r="I37" i="13"/>
  <c r="G14" i="13"/>
  <c r="G16" i="13"/>
  <c r="G17" i="13"/>
  <c r="G19" i="13"/>
  <c r="G20" i="13"/>
  <c r="G21" i="13"/>
  <c r="G22" i="13"/>
  <c r="G24" i="13"/>
  <c r="G25" i="13"/>
  <c r="G31" i="13"/>
  <c r="G32" i="13"/>
  <c r="G34" i="13"/>
  <c r="G35" i="13"/>
  <c r="G36" i="13"/>
  <c r="G37" i="13"/>
  <c r="F14" i="13"/>
  <c r="F16" i="13"/>
  <c r="F17" i="13"/>
  <c r="F19" i="13"/>
  <c r="F20" i="13"/>
  <c r="F21" i="13"/>
  <c r="F22" i="13"/>
  <c r="F24" i="13"/>
  <c r="F25" i="13"/>
  <c r="F31" i="13"/>
  <c r="F32" i="13"/>
  <c r="F34" i="13"/>
  <c r="F35" i="13"/>
  <c r="F36" i="13"/>
  <c r="F37" i="13"/>
  <c r="F38" i="13"/>
  <c r="E14" i="13"/>
  <c r="E16" i="13"/>
  <c r="E17" i="13"/>
  <c r="E19" i="13"/>
  <c r="E20" i="13"/>
  <c r="E21" i="13"/>
  <c r="E22" i="13"/>
  <c r="E24" i="13"/>
  <c r="E25" i="13"/>
  <c r="E31" i="13"/>
  <c r="E32" i="13"/>
  <c r="E34" i="13"/>
  <c r="E35" i="13"/>
  <c r="E36" i="13"/>
  <c r="E37" i="13"/>
  <c r="E38" i="13"/>
  <c r="D14" i="13"/>
  <c r="D16" i="13"/>
  <c r="D17" i="13"/>
  <c r="D19" i="13"/>
  <c r="D20" i="13"/>
  <c r="D21" i="13"/>
  <c r="D22" i="13"/>
  <c r="D24" i="13"/>
  <c r="D25" i="13"/>
  <c r="D31" i="13"/>
  <c r="D32" i="13"/>
  <c r="D34" i="13"/>
  <c r="D35" i="13"/>
  <c r="D36" i="13"/>
  <c r="D37" i="13"/>
  <c r="D38" i="13"/>
  <c r="C14" i="13"/>
  <c r="C16" i="13"/>
  <c r="C17" i="13"/>
  <c r="C19" i="13"/>
  <c r="C20" i="13"/>
  <c r="C21" i="13"/>
  <c r="C22" i="13"/>
  <c r="C24" i="13"/>
  <c r="C25" i="13"/>
  <c r="C31" i="13"/>
  <c r="C32" i="13"/>
  <c r="C34" i="13"/>
  <c r="C35" i="13"/>
  <c r="C36" i="13"/>
  <c r="C37" i="13"/>
  <c r="C38" i="13"/>
  <c r="C40" i="13"/>
  <c r="B31" i="17"/>
  <c r="W15" i="13" l="1"/>
  <c r="W36" i="13"/>
  <c r="W34" i="13"/>
  <c r="W31" i="13"/>
  <c r="W24" i="13"/>
  <c r="W21" i="13"/>
  <c r="W19" i="13"/>
  <c r="W16" i="13"/>
  <c r="W29" i="13"/>
  <c r="W27" i="13"/>
  <c r="W98" i="13"/>
  <c r="W88" i="13"/>
  <c r="W86" i="13"/>
  <c r="J16" i="1" s="1"/>
  <c r="W84" i="13"/>
  <c r="W82" i="13"/>
  <c r="W78" i="13"/>
  <c r="W74" i="13"/>
  <c r="W71" i="13"/>
  <c r="W69" i="13"/>
  <c r="W37" i="13"/>
  <c r="J13" i="1" s="1"/>
  <c r="W35" i="13"/>
  <c r="O41" i="2" s="1"/>
  <c r="W32" i="13"/>
  <c r="W25" i="13"/>
  <c r="W22" i="13"/>
  <c r="W20" i="13"/>
  <c r="W17" i="13"/>
  <c r="W14" i="13"/>
  <c r="W28" i="13"/>
  <c r="AB50" i="2" s="1"/>
  <c r="W26" i="13"/>
  <c r="W30" i="13"/>
  <c r="W95" i="13"/>
  <c r="W89" i="13"/>
  <c r="W87" i="13"/>
  <c r="W85" i="13"/>
  <c r="W83" i="13"/>
  <c r="W81" i="13"/>
  <c r="W79" i="13"/>
  <c r="W75" i="13"/>
  <c r="W72" i="13"/>
  <c r="W70" i="13"/>
  <c r="W68" i="13"/>
  <c r="I35" i="2"/>
  <c r="S35" i="2" s="1"/>
  <c r="R35" i="2"/>
  <c r="G35" i="2"/>
  <c r="U35" i="2" s="1"/>
  <c r="J35" i="2"/>
  <c r="S134" i="13"/>
  <c r="Q134" i="13"/>
  <c r="P134" i="13"/>
  <c r="O134" i="13"/>
  <c r="N134" i="13"/>
  <c r="M134" i="13"/>
  <c r="L134" i="13"/>
  <c r="K134" i="13"/>
  <c r="J134" i="13"/>
  <c r="I134" i="13"/>
  <c r="G134" i="13"/>
  <c r="F134" i="13"/>
  <c r="E134" i="13"/>
  <c r="D134" i="13"/>
  <c r="C134" i="13"/>
  <c r="AA213" i="13" l="1"/>
  <c r="L35" i="2"/>
  <c r="AA193" i="13"/>
  <c r="AA199" i="13" s="1"/>
  <c r="W134" i="13"/>
  <c r="CU10" i="3" s="1"/>
  <c r="CV10" i="3" s="1"/>
  <c r="J40" i="1"/>
  <c r="J41" i="1"/>
  <c r="J42" i="1"/>
  <c r="J43" i="1"/>
  <c r="J44" i="1"/>
  <c r="J45" i="1"/>
  <c r="J46" i="1"/>
  <c r="J47" i="1"/>
  <c r="J48" i="1"/>
  <c r="J49" i="1"/>
  <c r="J50" i="1"/>
  <c r="J51" i="1"/>
  <c r="J52" i="1"/>
  <c r="J53" i="1"/>
  <c r="J54" i="1"/>
  <c r="CU3" i="3" l="1"/>
  <c r="CV3" i="3" s="1"/>
  <c r="CU12" i="3"/>
  <c r="CV12" i="3" s="1"/>
  <c r="CU2" i="3"/>
  <c r="CV2" i="3" s="1"/>
  <c r="CU4" i="3"/>
  <c r="CV4" i="3" s="1"/>
  <c r="Y213" i="13"/>
  <c r="AA196" i="13"/>
  <c r="AA198" i="13"/>
  <c r="AA200" i="13"/>
  <c r="AA202" i="13"/>
  <c r="AA204" i="13"/>
  <c r="AA206" i="13"/>
  <c r="AA208" i="13"/>
  <c r="AA195" i="13"/>
  <c r="AA197" i="13"/>
  <c r="AA201" i="13"/>
  <c r="AA203" i="13"/>
  <c r="AA205" i="13"/>
  <c r="AA207" i="13"/>
  <c r="AA194" i="13"/>
  <c r="S10" i="13" l="1"/>
  <c r="Q10" i="13"/>
  <c r="P10" i="13"/>
  <c r="P11" i="13"/>
  <c r="O10" i="13"/>
  <c r="O11" i="13"/>
  <c r="N9" i="13"/>
  <c r="N10" i="13"/>
  <c r="N11" i="13"/>
  <c r="M10" i="13"/>
  <c r="L10" i="13"/>
  <c r="K10" i="13"/>
  <c r="J10" i="13"/>
  <c r="I10" i="13"/>
  <c r="G10" i="13"/>
  <c r="E10" i="13"/>
  <c r="D10" i="13"/>
  <c r="C10" i="13"/>
  <c r="AC147" i="13"/>
  <c r="R147" i="13"/>
  <c r="S147" i="13"/>
  <c r="S146" i="13"/>
  <c r="R146" i="13"/>
  <c r="Q146" i="13"/>
  <c r="Q147" i="13"/>
  <c r="P147" i="13"/>
  <c r="N147" i="13"/>
  <c r="M147" i="13"/>
  <c r="L147" i="13"/>
  <c r="K147" i="13"/>
  <c r="J147" i="13"/>
  <c r="I147" i="13"/>
  <c r="H147" i="13"/>
  <c r="F147" i="13"/>
  <c r="D147" i="13"/>
  <c r="C147" i="13"/>
  <c r="S4" i="13"/>
  <c r="S8" i="13"/>
  <c r="S9" i="13"/>
  <c r="S11" i="13"/>
  <c r="S13" i="13"/>
  <c r="S38" i="13"/>
  <c r="S40" i="13"/>
  <c r="S41" i="13"/>
  <c r="S42" i="13"/>
  <c r="S51" i="13"/>
  <c r="S52" i="13"/>
  <c r="S55" i="13"/>
  <c r="S56" i="13"/>
  <c r="S58" i="13"/>
  <c r="S99" i="13"/>
  <c r="S100" i="13"/>
  <c r="S101" i="13"/>
  <c r="S102" i="13"/>
  <c r="S115" i="13"/>
  <c r="S116" i="13"/>
  <c r="S117" i="13"/>
  <c r="S118" i="13"/>
  <c r="S120" i="13"/>
  <c r="S121" i="13"/>
  <c r="S122" i="13"/>
  <c r="S124" i="13"/>
  <c r="S125" i="13"/>
  <c r="S128" i="13"/>
  <c r="S129" i="13"/>
  <c r="S130" i="13"/>
  <c r="S131" i="13"/>
  <c r="S132" i="13"/>
  <c r="S133" i="13"/>
  <c r="S135" i="13"/>
  <c r="S137" i="13"/>
  <c r="Q4" i="13"/>
  <c r="Q8" i="13"/>
  <c r="Q9" i="13"/>
  <c r="Q11" i="13"/>
  <c r="Q13" i="13"/>
  <c r="Q38" i="13"/>
  <c r="Q40" i="13"/>
  <c r="Q41" i="13"/>
  <c r="Q42" i="13"/>
  <c r="Q51" i="13"/>
  <c r="Q52" i="13"/>
  <c r="Q55" i="13"/>
  <c r="Q56" i="13"/>
  <c r="Q58" i="13"/>
  <c r="Q99" i="13"/>
  <c r="Q100" i="13"/>
  <c r="Q101" i="13"/>
  <c r="Q102" i="13"/>
  <c r="Q115" i="13"/>
  <c r="Q116" i="13"/>
  <c r="Q117" i="13"/>
  <c r="Q118" i="13"/>
  <c r="Q120" i="13"/>
  <c r="Q121" i="13"/>
  <c r="Q122" i="13"/>
  <c r="Q124" i="13"/>
  <c r="Q125" i="13"/>
  <c r="Q128" i="13"/>
  <c r="Q129" i="13"/>
  <c r="Q130" i="13"/>
  <c r="Q131" i="13"/>
  <c r="Q132" i="13"/>
  <c r="Q133" i="13"/>
  <c r="Q135" i="13"/>
  <c r="Q137" i="13"/>
  <c r="P4" i="13"/>
  <c r="P8" i="13"/>
  <c r="P9" i="13"/>
  <c r="P13" i="13"/>
  <c r="P38" i="13"/>
  <c r="P40" i="13"/>
  <c r="P41" i="13"/>
  <c r="P42" i="13"/>
  <c r="P51" i="13"/>
  <c r="P52" i="13"/>
  <c r="P55" i="13"/>
  <c r="P56" i="13"/>
  <c r="P58" i="13"/>
  <c r="P99" i="13"/>
  <c r="P100" i="13"/>
  <c r="P101" i="13"/>
  <c r="P102" i="13"/>
  <c r="P115" i="13"/>
  <c r="P116" i="13"/>
  <c r="P117" i="13"/>
  <c r="P118" i="13"/>
  <c r="P120" i="13"/>
  <c r="P121" i="13"/>
  <c r="P122" i="13"/>
  <c r="P124" i="13"/>
  <c r="P125" i="13"/>
  <c r="P128" i="13"/>
  <c r="P129" i="13"/>
  <c r="P130" i="13"/>
  <c r="P131" i="13"/>
  <c r="P132" i="13"/>
  <c r="P133" i="13"/>
  <c r="P135" i="13"/>
  <c r="P137" i="13"/>
  <c r="O4" i="13"/>
  <c r="O8" i="13"/>
  <c r="O9" i="13"/>
  <c r="O13" i="13"/>
  <c r="O38" i="13"/>
  <c r="O40" i="13"/>
  <c r="O41" i="13"/>
  <c r="O42" i="13"/>
  <c r="O99" i="13"/>
  <c r="O100" i="13"/>
  <c r="O101" i="13"/>
  <c r="O102" i="13"/>
  <c r="O115" i="13"/>
  <c r="O116" i="13"/>
  <c r="O117" i="13"/>
  <c r="O118" i="13"/>
  <c r="O120" i="13"/>
  <c r="O121" i="13"/>
  <c r="O122" i="13"/>
  <c r="O124" i="13"/>
  <c r="O125" i="13"/>
  <c r="O128" i="13"/>
  <c r="O129" i="13"/>
  <c r="O130" i="13"/>
  <c r="O131" i="13"/>
  <c r="O132" i="13"/>
  <c r="O133" i="13"/>
  <c r="O135" i="13"/>
  <c r="O137" i="13"/>
  <c r="N4" i="13"/>
  <c r="N8" i="13"/>
  <c r="N13" i="13"/>
  <c r="N38" i="13"/>
  <c r="N40" i="13"/>
  <c r="N41" i="13"/>
  <c r="N42" i="13"/>
  <c r="N45" i="13"/>
  <c r="N51" i="13"/>
  <c r="N52" i="13"/>
  <c r="N55" i="13"/>
  <c r="N56" i="13"/>
  <c r="N58" i="13"/>
  <c r="N99" i="13"/>
  <c r="N100" i="13"/>
  <c r="N101" i="13"/>
  <c r="N102" i="13"/>
  <c r="N115" i="13"/>
  <c r="N116" i="13"/>
  <c r="N117" i="13"/>
  <c r="N118" i="13"/>
  <c r="N120" i="13"/>
  <c r="N121" i="13"/>
  <c r="N122" i="13"/>
  <c r="N124" i="13"/>
  <c r="N125" i="13"/>
  <c r="N128" i="13"/>
  <c r="N129" i="13"/>
  <c r="N130" i="13"/>
  <c r="N131" i="13"/>
  <c r="N132" i="13"/>
  <c r="N133" i="13"/>
  <c r="N135" i="13"/>
  <c r="N137" i="13"/>
  <c r="M4" i="13"/>
  <c r="M8" i="13"/>
  <c r="M9" i="13"/>
  <c r="M11" i="13"/>
  <c r="M13" i="13"/>
  <c r="M38" i="13"/>
  <c r="M40" i="13"/>
  <c r="M41" i="13"/>
  <c r="M42" i="13"/>
  <c r="M48" i="13"/>
  <c r="W48" i="13" s="1"/>
  <c r="M51" i="13"/>
  <c r="M52" i="13"/>
  <c r="M55" i="13"/>
  <c r="M56" i="13"/>
  <c r="M58" i="13"/>
  <c r="M99" i="13"/>
  <c r="M100" i="13"/>
  <c r="M101" i="13"/>
  <c r="M102" i="13"/>
  <c r="M115" i="13"/>
  <c r="M116" i="13"/>
  <c r="M117" i="13"/>
  <c r="M118" i="13"/>
  <c r="M120" i="13"/>
  <c r="M121" i="13"/>
  <c r="M122" i="13"/>
  <c r="M124" i="13"/>
  <c r="M125" i="13"/>
  <c r="M128" i="13"/>
  <c r="M129" i="13"/>
  <c r="M130" i="13"/>
  <c r="M131" i="13"/>
  <c r="M132" i="13"/>
  <c r="M133" i="13"/>
  <c r="M135" i="13"/>
  <c r="M137" i="13"/>
  <c r="L4" i="13"/>
  <c r="L8" i="13"/>
  <c r="L9" i="13"/>
  <c r="L11" i="13"/>
  <c r="L13" i="13"/>
  <c r="L38" i="13"/>
  <c r="L40" i="13"/>
  <c r="L41" i="13"/>
  <c r="L42" i="13"/>
  <c r="L45" i="13"/>
  <c r="L51" i="13"/>
  <c r="L52" i="13"/>
  <c r="L55" i="13"/>
  <c r="L56" i="13"/>
  <c r="L58" i="13"/>
  <c r="L99" i="13"/>
  <c r="L100" i="13"/>
  <c r="L101" i="13"/>
  <c r="L102" i="13"/>
  <c r="L115" i="13"/>
  <c r="L116" i="13"/>
  <c r="L117" i="13"/>
  <c r="L118" i="13"/>
  <c r="L120" i="13"/>
  <c r="L121" i="13"/>
  <c r="L122" i="13"/>
  <c r="L124" i="13"/>
  <c r="L125" i="13"/>
  <c r="L128" i="13"/>
  <c r="L129" i="13"/>
  <c r="L130" i="13"/>
  <c r="L131" i="13"/>
  <c r="L132" i="13"/>
  <c r="L133" i="13"/>
  <c r="L135" i="13"/>
  <c r="L137" i="13"/>
  <c r="K4" i="13"/>
  <c r="K8" i="13"/>
  <c r="K9" i="13"/>
  <c r="K11" i="13"/>
  <c r="K13" i="13"/>
  <c r="K38" i="13"/>
  <c r="K40" i="13"/>
  <c r="K41" i="13"/>
  <c r="K42" i="13"/>
  <c r="K45" i="13"/>
  <c r="K51" i="13"/>
  <c r="K52" i="13"/>
  <c r="K55" i="13"/>
  <c r="K56" i="13"/>
  <c r="K58" i="13"/>
  <c r="K99" i="13"/>
  <c r="K100" i="13"/>
  <c r="K101" i="13"/>
  <c r="K102" i="13"/>
  <c r="K115" i="13"/>
  <c r="K116" i="13"/>
  <c r="K117" i="13"/>
  <c r="K118" i="13"/>
  <c r="K120" i="13"/>
  <c r="K121" i="13"/>
  <c r="K122" i="13"/>
  <c r="K124" i="13"/>
  <c r="K125" i="13"/>
  <c r="K128" i="13"/>
  <c r="K129" i="13"/>
  <c r="K130" i="13"/>
  <c r="K131" i="13"/>
  <c r="K132" i="13"/>
  <c r="K133" i="13"/>
  <c r="K135" i="13"/>
  <c r="K137" i="13"/>
  <c r="J4" i="13"/>
  <c r="J8" i="13"/>
  <c r="J9" i="13"/>
  <c r="J11" i="13"/>
  <c r="J13" i="13"/>
  <c r="J38" i="13"/>
  <c r="J40" i="13"/>
  <c r="J41" i="13"/>
  <c r="J42" i="13"/>
  <c r="J45" i="13"/>
  <c r="J51" i="13"/>
  <c r="J52" i="13"/>
  <c r="J55" i="13"/>
  <c r="J56" i="13"/>
  <c r="J58" i="13"/>
  <c r="J99" i="13"/>
  <c r="J100" i="13"/>
  <c r="J101" i="13"/>
  <c r="J102" i="13"/>
  <c r="J115" i="13"/>
  <c r="J116" i="13"/>
  <c r="J117" i="13"/>
  <c r="J118" i="13"/>
  <c r="J120" i="13"/>
  <c r="J121" i="13"/>
  <c r="J122" i="13"/>
  <c r="J124" i="13"/>
  <c r="J125" i="13"/>
  <c r="J128" i="13"/>
  <c r="J129" i="13"/>
  <c r="J130" i="13"/>
  <c r="J131" i="13"/>
  <c r="J132" i="13"/>
  <c r="J133" i="13"/>
  <c r="J135" i="13"/>
  <c r="J138" i="13"/>
  <c r="W138" i="13" s="1"/>
  <c r="I4" i="13"/>
  <c r="I8" i="13"/>
  <c r="I9" i="13"/>
  <c r="I11" i="13"/>
  <c r="I13" i="13"/>
  <c r="I38" i="13"/>
  <c r="I40" i="13"/>
  <c r="I41" i="13"/>
  <c r="I42" i="13"/>
  <c r="I45" i="13"/>
  <c r="I51" i="13"/>
  <c r="I52" i="13"/>
  <c r="I55" i="13"/>
  <c r="I56" i="13"/>
  <c r="I58" i="13"/>
  <c r="I99" i="13"/>
  <c r="I100" i="13"/>
  <c r="I101" i="13"/>
  <c r="I102" i="13"/>
  <c r="I115" i="13"/>
  <c r="I116" i="13"/>
  <c r="I117" i="13"/>
  <c r="I118" i="13"/>
  <c r="I120" i="13"/>
  <c r="I121" i="13"/>
  <c r="I122" i="13"/>
  <c r="I124" i="13"/>
  <c r="I125" i="13"/>
  <c r="I128" i="13"/>
  <c r="I129" i="13"/>
  <c r="I130" i="13"/>
  <c r="I131" i="13"/>
  <c r="I132" i="13"/>
  <c r="I133" i="13"/>
  <c r="I135" i="13"/>
  <c r="I137" i="13"/>
  <c r="G4" i="13"/>
  <c r="G8" i="13"/>
  <c r="G9" i="13"/>
  <c r="G11" i="13"/>
  <c r="G13" i="13"/>
  <c r="G38" i="13"/>
  <c r="G40" i="13"/>
  <c r="G41" i="13"/>
  <c r="G42" i="13"/>
  <c r="G45" i="13"/>
  <c r="G51" i="13"/>
  <c r="G52" i="13"/>
  <c r="G55" i="13"/>
  <c r="G56" i="13"/>
  <c r="G58" i="13"/>
  <c r="G99" i="13"/>
  <c r="G100" i="13"/>
  <c r="G101" i="13"/>
  <c r="G102" i="13"/>
  <c r="G115" i="13"/>
  <c r="G116" i="13"/>
  <c r="G117" i="13"/>
  <c r="G118" i="13"/>
  <c r="G120" i="13"/>
  <c r="G121" i="13"/>
  <c r="G122" i="13"/>
  <c r="G124" i="13"/>
  <c r="G125" i="13"/>
  <c r="G128" i="13"/>
  <c r="G129" i="13"/>
  <c r="G130" i="13"/>
  <c r="G131" i="13"/>
  <c r="G132" i="13"/>
  <c r="G133" i="13"/>
  <c r="G135" i="13"/>
  <c r="G137" i="13"/>
  <c r="F4" i="13"/>
  <c r="F8" i="13"/>
  <c r="F10" i="13"/>
  <c r="F11" i="13"/>
  <c r="F13" i="13"/>
  <c r="F40" i="13"/>
  <c r="F41" i="13"/>
  <c r="F42" i="13"/>
  <c r="F45" i="13"/>
  <c r="F51" i="13"/>
  <c r="F52" i="13"/>
  <c r="F55" i="13"/>
  <c r="F56" i="13"/>
  <c r="F58" i="13"/>
  <c r="F59" i="13"/>
  <c r="F99" i="13"/>
  <c r="F100" i="13"/>
  <c r="F101" i="13"/>
  <c r="F102" i="13"/>
  <c r="F115" i="13"/>
  <c r="F116" i="13"/>
  <c r="F117" i="13"/>
  <c r="F118" i="13"/>
  <c r="F120" i="13"/>
  <c r="F121" i="13"/>
  <c r="F122" i="13"/>
  <c r="F124" i="13"/>
  <c r="F125" i="13"/>
  <c r="F128" i="13"/>
  <c r="F129" i="13"/>
  <c r="F130" i="13"/>
  <c r="F131" i="13"/>
  <c r="F132" i="13"/>
  <c r="F133" i="13"/>
  <c r="F135" i="13"/>
  <c r="F137" i="13"/>
  <c r="E4" i="13"/>
  <c r="E8" i="13"/>
  <c r="E9" i="13"/>
  <c r="E11" i="13"/>
  <c r="E13" i="13"/>
  <c r="E40" i="13"/>
  <c r="E41" i="13"/>
  <c r="E42" i="13"/>
  <c r="E45" i="13"/>
  <c r="E51" i="13"/>
  <c r="E52" i="13"/>
  <c r="E55" i="13"/>
  <c r="E56" i="13"/>
  <c r="E58" i="13"/>
  <c r="E59" i="13"/>
  <c r="E99" i="13"/>
  <c r="E100" i="13"/>
  <c r="E101" i="13"/>
  <c r="E102" i="13"/>
  <c r="E115" i="13"/>
  <c r="E116" i="13"/>
  <c r="E117" i="13"/>
  <c r="E118" i="13"/>
  <c r="E120" i="13"/>
  <c r="E121" i="13"/>
  <c r="E122" i="13"/>
  <c r="E124" i="13"/>
  <c r="E125" i="13"/>
  <c r="E128" i="13"/>
  <c r="E129" i="13"/>
  <c r="E130" i="13"/>
  <c r="E131" i="13"/>
  <c r="E132" i="13"/>
  <c r="E133" i="13"/>
  <c r="E135" i="13"/>
  <c r="E137" i="13"/>
  <c r="D4" i="13"/>
  <c r="D8" i="13"/>
  <c r="D9" i="13"/>
  <c r="D11" i="13"/>
  <c r="D13" i="13"/>
  <c r="D40" i="13"/>
  <c r="D41" i="13"/>
  <c r="D42" i="13"/>
  <c r="D45" i="13"/>
  <c r="D51" i="13"/>
  <c r="D52" i="13"/>
  <c r="D55" i="13"/>
  <c r="D56" i="13"/>
  <c r="D58" i="13"/>
  <c r="D59" i="13"/>
  <c r="D99" i="13"/>
  <c r="D100" i="13"/>
  <c r="D101" i="13"/>
  <c r="D102" i="13"/>
  <c r="D115" i="13"/>
  <c r="D116" i="13"/>
  <c r="D117" i="13"/>
  <c r="D118" i="13"/>
  <c r="D120" i="13"/>
  <c r="D121" i="13"/>
  <c r="D122" i="13"/>
  <c r="D124" i="13"/>
  <c r="D125" i="13"/>
  <c r="D128" i="13"/>
  <c r="D129" i="13"/>
  <c r="D130" i="13"/>
  <c r="D131" i="13"/>
  <c r="D132" i="13"/>
  <c r="D133" i="13"/>
  <c r="D135" i="13"/>
  <c r="D137" i="13"/>
  <c r="C4" i="13"/>
  <c r="C8" i="13"/>
  <c r="C9" i="13"/>
  <c r="C11" i="13"/>
  <c r="C13" i="13"/>
  <c r="C41" i="13"/>
  <c r="C42" i="13"/>
  <c r="C45" i="13"/>
  <c r="C51" i="13"/>
  <c r="C52" i="13"/>
  <c r="C55" i="13"/>
  <c r="C56" i="13"/>
  <c r="C58" i="13"/>
  <c r="C59" i="13"/>
  <c r="C99" i="13"/>
  <c r="C100" i="13"/>
  <c r="C101" i="13"/>
  <c r="C102" i="13"/>
  <c r="C115" i="13"/>
  <c r="C116" i="13"/>
  <c r="C117" i="13"/>
  <c r="C118" i="13"/>
  <c r="C120" i="13"/>
  <c r="C121" i="13"/>
  <c r="C122" i="13"/>
  <c r="C124" i="13"/>
  <c r="C125" i="13"/>
  <c r="C128" i="13"/>
  <c r="C129" i="13"/>
  <c r="C130" i="13"/>
  <c r="C131" i="13"/>
  <c r="C132" i="13"/>
  <c r="C133" i="13"/>
  <c r="C135" i="13"/>
  <c r="C137" i="13"/>
  <c r="W59" i="13" l="1"/>
  <c r="W38" i="13"/>
  <c r="W40" i="13"/>
  <c r="W10" i="13"/>
  <c r="W137" i="13"/>
  <c r="W133" i="13"/>
  <c r="B29" i="2" s="1"/>
  <c r="W131" i="13"/>
  <c r="CU11" i="3" s="1"/>
  <c r="CV11" i="3" s="1"/>
  <c r="W129" i="13"/>
  <c r="W124" i="13"/>
  <c r="X44" i="2" s="1"/>
  <c r="W121" i="13"/>
  <c r="M23" i="2" s="1"/>
  <c r="W118" i="13"/>
  <c r="W116" i="13"/>
  <c r="CU5" i="3" s="1"/>
  <c r="CV5" i="3" s="1"/>
  <c r="CU7" i="3"/>
  <c r="CV7" i="3" s="1"/>
  <c r="W101" i="13"/>
  <c r="I23" i="2" s="1"/>
  <c r="W99" i="13"/>
  <c r="W55" i="13"/>
  <c r="H23" i="2" s="1"/>
  <c r="W51" i="13"/>
  <c r="W41" i="13"/>
  <c r="G30" i="2" s="1"/>
  <c r="W11" i="13"/>
  <c r="W8" i="13"/>
  <c r="W135" i="13"/>
  <c r="CU13" i="3" s="1"/>
  <c r="CV13" i="3" s="1"/>
  <c r="W132" i="13"/>
  <c r="W130" i="13"/>
  <c r="G23" i="2" s="1"/>
  <c r="W128" i="13"/>
  <c r="E23" i="10" s="1"/>
  <c r="W125" i="13"/>
  <c r="W122" i="13"/>
  <c r="CU6" i="3" s="1"/>
  <c r="CV6" i="3" s="1"/>
  <c r="W120" i="13"/>
  <c r="W117" i="13"/>
  <c r="W115" i="13"/>
  <c r="CV8" i="3"/>
  <c r="W102" i="13"/>
  <c r="W100" i="13"/>
  <c r="G32" i="10" s="1"/>
  <c r="W58" i="13"/>
  <c r="W56" i="13"/>
  <c r="W52" i="13"/>
  <c r="N27" i="2" s="1"/>
  <c r="W45" i="13"/>
  <c r="W42" i="13"/>
  <c r="W13" i="13"/>
  <c r="W9" i="13"/>
  <c r="N29" i="2" s="1"/>
  <c r="W4" i="13"/>
  <c r="J17" i="1"/>
  <c r="K2" i="10"/>
  <c r="T35" i="2"/>
  <c r="AC143" i="13"/>
  <c r="AC144" i="13"/>
  <c r="AC145" i="13"/>
  <c r="AC146" i="13"/>
  <c r="AC148" i="13"/>
  <c r="AC150" i="13"/>
  <c r="AC151" i="13"/>
  <c r="AC152" i="13"/>
  <c r="AC153" i="13"/>
  <c r="AC154" i="13"/>
  <c r="AC155" i="13"/>
  <c r="AC156" i="13"/>
  <c r="AC157" i="13"/>
  <c r="AC158" i="13"/>
  <c r="AC160" i="13"/>
  <c r="AC161" i="13"/>
  <c r="AC162" i="13"/>
  <c r="AC163" i="13"/>
  <c r="AC164" i="13"/>
  <c r="AC165" i="13"/>
  <c r="AC166" i="13"/>
  <c r="AC167" i="13"/>
  <c r="AC168" i="13"/>
  <c r="AC170" i="13"/>
  <c r="S143" i="13"/>
  <c r="S144" i="13"/>
  <c r="S145" i="13"/>
  <c r="S148" i="13"/>
  <c r="S150" i="13"/>
  <c r="S151" i="13"/>
  <c r="S152" i="13"/>
  <c r="S153" i="13"/>
  <c r="S154" i="13"/>
  <c r="S155" i="13"/>
  <c r="S156" i="13"/>
  <c r="S157" i="13"/>
  <c r="S158" i="13"/>
  <c r="S160" i="13"/>
  <c r="S161" i="13"/>
  <c r="S162" i="13"/>
  <c r="S163" i="13"/>
  <c r="S164" i="13"/>
  <c r="S165" i="13"/>
  <c r="S166" i="13"/>
  <c r="S167" i="13"/>
  <c r="S168" i="13"/>
  <c r="S170" i="13"/>
  <c r="R143" i="13"/>
  <c r="R144" i="13"/>
  <c r="R145" i="13"/>
  <c r="R148" i="13"/>
  <c r="R150" i="13"/>
  <c r="R151" i="13"/>
  <c r="R152" i="13"/>
  <c r="R153" i="13"/>
  <c r="R154" i="13"/>
  <c r="R155" i="13"/>
  <c r="R156" i="13"/>
  <c r="R157" i="13"/>
  <c r="R158" i="13"/>
  <c r="R160" i="13"/>
  <c r="R161" i="13"/>
  <c r="R162" i="13"/>
  <c r="R163" i="13"/>
  <c r="R164" i="13"/>
  <c r="R165" i="13"/>
  <c r="R166" i="13"/>
  <c r="R167" i="13"/>
  <c r="R168" i="13"/>
  <c r="R170" i="13"/>
  <c r="Q143" i="13"/>
  <c r="Q144" i="13"/>
  <c r="Q145" i="13"/>
  <c r="Q148" i="13"/>
  <c r="Q150" i="13"/>
  <c r="Q151" i="13"/>
  <c r="Q152" i="13"/>
  <c r="Q153" i="13"/>
  <c r="Q154" i="13"/>
  <c r="Q155" i="13"/>
  <c r="Q156" i="13"/>
  <c r="Q157" i="13"/>
  <c r="Q158" i="13"/>
  <c r="Q160" i="13"/>
  <c r="Q161" i="13"/>
  <c r="Q162" i="13"/>
  <c r="Q163" i="13"/>
  <c r="Q164" i="13"/>
  <c r="Q165" i="13"/>
  <c r="Q166" i="13"/>
  <c r="Q167" i="13"/>
  <c r="Q168" i="13"/>
  <c r="Q170" i="13"/>
  <c r="P143" i="13"/>
  <c r="P144" i="13"/>
  <c r="P145" i="13"/>
  <c r="P146" i="13"/>
  <c r="P148" i="13"/>
  <c r="P150" i="13"/>
  <c r="P151" i="13"/>
  <c r="P152" i="13"/>
  <c r="P153" i="13"/>
  <c r="P154" i="13"/>
  <c r="P155" i="13"/>
  <c r="P156" i="13"/>
  <c r="P157" i="13"/>
  <c r="P158" i="13"/>
  <c r="P160" i="13"/>
  <c r="P161" i="13"/>
  <c r="P162" i="13"/>
  <c r="P163" i="13"/>
  <c r="P164" i="13"/>
  <c r="P165" i="13"/>
  <c r="P166" i="13"/>
  <c r="P167" i="13"/>
  <c r="P168" i="13"/>
  <c r="P170" i="13"/>
  <c r="N143" i="13"/>
  <c r="N144" i="13"/>
  <c r="N145" i="13"/>
  <c r="N146" i="13"/>
  <c r="N148" i="13"/>
  <c r="N150" i="13"/>
  <c r="N151" i="13"/>
  <c r="N152" i="13"/>
  <c r="N153" i="13"/>
  <c r="N154" i="13"/>
  <c r="N155" i="13"/>
  <c r="N156" i="13"/>
  <c r="N157" i="13"/>
  <c r="N158" i="13"/>
  <c r="N160" i="13"/>
  <c r="N161" i="13"/>
  <c r="N162" i="13"/>
  <c r="N163" i="13"/>
  <c r="N164" i="13"/>
  <c r="N165" i="13"/>
  <c r="N166" i="13"/>
  <c r="N167" i="13"/>
  <c r="N168" i="13"/>
  <c r="N170" i="13"/>
  <c r="M143" i="13"/>
  <c r="M144" i="13"/>
  <c r="M145" i="13"/>
  <c r="M146" i="13"/>
  <c r="M148" i="13"/>
  <c r="M150" i="13"/>
  <c r="M151" i="13"/>
  <c r="M152" i="13"/>
  <c r="M153" i="13"/>
  <c r="M154" i="13"/>
  <c r="M155" i="13"/>
  <c r="M156" i="13"/>
  <c r="M157" i="13"/>
  <c r="M158" i="13"/>
  <c r="M160" i="13"/>
  <c r="M161" i="13"/>
  <c r="M162" i="13"/>
  <c r="M163" i="13"/>
  <c r="M164" i="13"/>
  <c r="M165" i="13"/>
  <c r="M166" i="13"/>
  <c r="M167" i="13"/>
  <c r="M168" i="13"/>
  <c r="M170" i="13"/>
  <c r="L143" i="13"/>
  <c r="L144" i="13"/>
  <c r="L145" i="13"/>
  <c r="L146" i="13"/>
  <c r="L148" i="13"/>
  <c r="L150" i="13"/>
  <c r="L151" i="13"/>
  <c r="L152" i="13"/>
  <c r="L153" i="13"/>
  <c r="L154" i="13"/>
  <c r="L155" i="13"/>
  <c r="L156" i="13"/>
  <c r="L157" i="13"/>
  <c r="L158" i="13"/>
  <c r="L160" i="13"/>
  <c r="L161" i="13"/>
  <c r="L162" i="13"/>
  <c r="L163" i="13"/>
  <c r="L164" i="13"/>
  <c r="L165" i="13"/>
  <c r="L166" i="13"/>
  <c r="L167" i="13"/>
  <c r="L168" i="13"/>
  <c r="L170" i="13"/>
  <c r="K143" i="13"/>
  <c r="K144" i="13"/>
  <c r="K145" i="13"/>
  <c r="K146" i="13"/>
  <c r="K148" i="13"/>
  <c r="K150" i="13"/>
  <c r="K151" i="13"/>
  <c r="K152" i="13"/>
  <c r="K153" i="13"/>
  <c r="K154" i="13"/>
  <c r="K155" i="13"/>
  <c r="K156" i="13"/>
  <c r="K157" i="13"/>
  <c r="K158" i="13"/>
  <c r="K160" i="13"/>
  <c r="K161" i="13"/>
  <c r="K162" i="13"/>
  <c r="K163" i="13"/>
  <c r="K164" i="13"/>
  <c r="K165" i="13"/>
  <c r="K166" i="13"/>
  <c r="K167" i="13"/>
  <c r="K168" i="13"/>
  <c r="K170" i="13"/>
  <c r="J143" i="13"/>
  <c r="J144" i="13"/>
  <c r="J145" i="13"/>
  <c r="J146" i="13"/>
  <c r="J148" i="13"/>
  <c r="J150" i="13"/>
  <c r="J151" i="13"/>
  <c r="J152" i="13"/>
  <c r="J153" i="13"/>
  <c r="J154" i="13"/>
  <c r="J155" i="13"/>
  <c r="J156" i="13"/>
  <c r="J157" i="13"/>
  <c r="J158" i="13"/>
  <c r="J160" i="13"/>
  <c r="J161" i="13"/>
  <c r="J162" i="13"/>
  <c r="J163" i="13"/>
  <c r="J164" i="13"/>
  <c r="J165" i="13"/>
  <c r="J166" i="13"/>
  <c r="J167" i="13"/>
  <c r="J168" i="13"/>
  <c r="J170" i="13"/>
  <c r="I143" i="13"/>
  <c r="I144" i="13"/>
  <c r="I145" i="13"/>
  <c r="I146" i="13"/>
  <c r="I148" i="13"/>
  <c r="I150" i="13"/>
  <c r="I151" i="13"/>
  <c r="I152" i="13"/>
  <c r="I153" i="13"/>
  <c r="I154" i="13"/>
  <c r="I155" i="13"/>
  <c r="I156" i="13"/>
  <c r="I157" i="13"/>
  <c r="I158" i="13"/>
  <c r="I160" i="13"/>
  <c r="I161" i="13"/>
  <c r="I162" i="13"/>
  <c r="I163" i="13"/>
  <c r="I164" i="13"/>
  <c r="I165" i="13"/>
  <c r="I166" i="13"/>
  <c r="I167" i="13"/>
  <c r="I168" i="13"/>
  <c r="I170" i="13"/>
  <c r="H143" i="13"/>
  <c r="H144" i="13"/>
  <c r="H145" i="13"/>
  <c r="H146" i="13"/>
  <c r="H148" i="13"/>
  <c r="H150" i="13"/>
  <c r="H151" i="13"/>
  <c r="H152" i="13"/>
  <c r="H153" i="13"/>
  <c r="H154" i="13"/>
  <c r="H155" i="13"/>
  <c r="H156" i="13"/>
  <c r="H157" i="13"/>
  <c r="H158" i="13"/>
  <c r="H160" i="13"/>
  <c r="H161" i="13"/>
  <c r="H162" i="13"/>
  <c r="H163" i="13"/>
  <c r="H164" i="13"/>
  <c r="H165" i="13"/>
  <c r="H166" i="13"/>
  <c r="H167" i="13"/>
  <c r="H168" i="13"/>
  <c r="H170" i="13"/>
  <c r="G143" i="13"/>
  <c r="G144" i="13"/>
  <c r="G145" i="13"/>
  <c r="G147" i="13"/>
  <c r="AD147" i="13" s="1"/>
  <c r="G148" i="13"/>
  <c r="G150" i="13"/>
  <c r="G151" i="13"/>
  <c r="G152" i="13"/>
  <c r="G153" i="13"/>
  <c r="G154" i="13"/>
  <c r="G155" i="13"/>
  <c r="G156" i="13"/>
  <c r="G157" i="13"/>
  <c r="G158" i="13"/>
  <c r="G160" i="13"/>
  <c r="G161" i="13"/>
  <c r="G162" i="13"/>
  <c r="G163" i="13"/>
  <c r="G164" i="13"/>
  <c r="G165" i="13"/>
  <c r="G166" i="13"/>
  <c r="G167" i="13"/>
  <c r="G168" i="13"/>
  <c r="G170" i="13"/>
  <c r="F143" i="13"/>
  <c r="F144" i="13"/>
  <c r="F145" i="13"/>
  <c r="F146" i="13"/>
  <c r="F148" i="13"/>
  <c r="F150" i="13"/>
  <c r="F151" i="13"/>
  <c r="F152" i="13"/>
  <c r="F153" i="13"/>
  <c r="F154" i="13"/>
  <c r="F155" i="13"/>
  <c r="F156" i="13"/>
  <c r="F157" i="13"/>
  <c r="F158" i="13"/>
  <c r="F160" i="13"/>
  <c r="F161" i="13"/>
  <c r="F162" i="13"/>
  <c r="F163" i="13"/>
  <c r="F164" i="13"/>
  <c r="F165" i="13"/>
  <c r="F166" i="13"/>
  <c r="F167" i="13"/>
  <c r="F168" i="13"/>
  <c r="F170" i="13"/>
  <c r="C3" i="13"/>
  <c r="S3" i="13"/>
  <c r="Q3" i="13"/>
  <c r="P3" i="13"/>
  <c r="O3" i="13"/>
  <c r="N3" i="13"/>
  <c r="M3" i="13"/>
  <c r="L3" i="13"/>
  <c r="K3" i="13"/>
  <c r="J3" i="13"/>
  <c r="I3" i="13"/>
  <c r="G3" i="13"/>
  <c r="F3" i="13"/>
  <c r="E3" i="13"/>
  <c r="D3" i="13"/>
  <c r="E20" i="10" l="1"/>
  <c r="E19" i="10"/>
  <c r="G20" i="10"/>
  <c r="G18" i="10"/>
  <c r="G17" i="10"/>
  <c r="J42" i="15"/>
  <c r="J41" i="15"/>
  <c r="N25" i="1"/>
  <c r="CW9" i="3"/>
  <c r="CX9" i="3" s="1"/>
  <c r="CW11" i="3"/>
  <c r="CX11" i="3" s="1"/>
  <c r="CW13" i="3"/>
  <c r="CX13" i="3" s="1"/>
  <c r="CW10" i="3"/>
  <c r="CX10" i="3" s="1"/>
  <c r="CW12" i="3"/>
  <c r="CX12" i="3" s="1"/>
  <c r="G3" i="15"/>
  <c r="E5" i="15"/>
  <c r="N21" i="2"/>
  <c r="J23" i="1"/>
  <c r="J20" i="1"/>
  <c r="J22" i="1"/>
  <c r="J24" i="1"/>
  <c r="J21" i="1"/>
  <c r="N19" i="1"/>
  <c r="J23" i="2"/>
  <c r="B23" i="2" s="1"/>
  <c r="E18" i="10"/>
  <c r="E17" i="10"/>
  <c r="G127" i="10"/>
  <c r="G128" i="10"/>
  <c r="CW7" i="3"/>
  <c r="CX7" i="3" s="1"/>
  <c r="CW4" i="3"/>
  <c r="CX4" i="3" s="1"/>
  <c r="CW6" i="3"/>
  <c r="CX6" i="3" s="1"/>
  <c r="CW5" i="3"/>
  <c r="CX5" i="3" s="1"/>
  <c r="CW3" i="3"/>
  <c r="CX3" i="3" s="1"/>
  <c r="CW8" i="3"/>
  <c r="CX8" i="3" s="1"/>
  <c r="CW2" i="3"/>
  <c r="CX2" i="3" s="1"/>
  <c r="J32" i="1"/>
  <c r="J33" i="1"/>
  <c r="J34" i="1"/>
  <c r="J35" i="1"/>
  <c r="J31" i="1"/>
  <c r="C14" i="1"/>
  <c r="H12" i="17"/>
  <c r="N28" i="2"/>
  <c r="G24" i="10"/>
  <c r="G11" i="10"/>
  <c r="E11" i="10"/>
  <c r="E10" i="10"/>
  <c r="J37" i="1"/>
  <c r="J39" i="1"/>
  <c r="J36" i="1"/>
  <c r="J38" i="1"/>
  <c r="C12" i="17"/>
  <c r="W3" i="13"/>
  <c r="G26" i="10"/>
  <c r="G23" i="10"/>
  <c r="I39" i="2"/>
  <c r="G39" i="2"/>
  <c r="J39" i="2"/>
  <c r="R39" i="2"/>
  <c r="T39" i="2"/>
  <c r="G64" i="10"/>
  <c r="G33" i="10"/>
  <c r="E64" i="10"/>
  <c r="E55" i="10"/>
  <c r="G15" i="10"/>
  <c r="G14" i="10"/>
  <c r="G119" i="10"/>
  <c r="E14" i="10"/>
  <c r="E80" i="10"/>
  <c r="E15" i="10"/>
  <c r="E77" i="10"/>
  <c r="G19" i="10"/>
  <c r="G13" i="10"/>
  <c r="G12" i="10"/>
  <c r="G22" i="10"/>
  <c r="E79" i="10"/>
  <c r="E12" i="10"/>
  <c r="E13" i="10"/>
  <c r="E22" i="10"/>
  <c r="G79" i="10"/>
  <c r="G77" i="10"/>
  <c r="E78" i="10"/>
  <c r="G31" i="10"/>
  <c r="G53" i="10"/>
  <c r="G34" i="10"/>
  <c r="E21" i="10"/>
  <c r="G21" i="10"/>
  <c r="E25" i="10"/>
  <c r="E82" i="10"/>
  <c r="E83" i="10"/>
  <c r="E27" i="10"/>
  <c r="E86" i="10"/>
  <c r="E89" i="10"/>
  <c r="E54" i="10"/>
  <c r="E63" i="10"/>
  <c r="E105" i="10"/>
  <c r="E115" i="10"/>
  <c r="E119" i="10"/>
  <c r="E26" i="10"/>
  <c r="E85" i="10"/>
  <c r="E84" i="10"/>
  <c r="E28" i="10"/>
  <c r="E76" i="10"/>
  <c r="E124" i="10"/>
  <c r="E16" i="10"/>
  <c r="E81" i="10"/>
  <c r="C15" i="17"/>
  <c r="I12" i="17"/>
  <c r="G10" i="10"/>
  <c r="AI38" i="2" s="1"/>
  <c r="S38" i="2" s="1"/>
  <c r="K23" i="2"/>
  <c r="N55" i="1" s="1"/>
  <c r="L55" i="1" s="1"/>
  <c r="H28" i="2"/>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N23" i="1" l="1"/>
  <c r="L23" i="1" s="1"/>
  <c r="N26" i="1"/>
  <c r="N21" i="1"/>
  <c r="L21" i="1" s="1"/>
  <c r="N20" i="1"/>
  <c r="N22" i="1"/>
  <c r="L22" i="1" s="1"/>
  <c r="N24" i="1"/>
  <c r="L24" i="1" s="1"/>
  <c r="AA217" i="13"/>
  <c r="U39" i="2"/>
  <c r="AE193" i="13" s="1"/>
  <c r="AE199" i="13" s="1"/>
  <c r="AG199" i="13" s="1"/>
  <c r="G12" i="17"/>
  <c r="E12" i="17"/>
  <c r="I28" i="2"/>
  <c r="F12" i="17"/>
  <c r="AI39" i="2"/>
  <c r="S39" i="2" s="1"/>
  <c r="AI40" i="2"/>
  <c r="S40" i="2" s="1"/>
  <c r="X32" i="2"/>
  <c r="C30" i="17" s="1"/>
  <c r="X35" i="2"/>
  <c r="G30" i="17" s="1"/>
  <c r="X34" i="2"/>
  <c r="X33" i="2"/>
  <c r="X36" i="2"/>
  <c r="X37" i="2"/>
  <c r="D12" i="17"/>
  <c r="G78" i="10"/>
  <c r="G16" i="10"/>
  <c r="G80" i="10"/>
  <c r="G82" i="10"/>
  <c r="G83" i="10"/>
  <c r="G27" i="10"/>
  <c r="G86" i="10"/>
  <c r="G124" i="10"/>
  <c r="G55" i="10"/>
  <c r="G126" i="10"/>
  <c r="G35" i="10"/>
  <c r="AI35" i="2" s="1"/>
  <c r="G115" i="10"/>
  <c r="G85" i="10"/>
  <c r="G84" i="10"/>
  <c r="G28" i="10"/>
  <c r="G87" i="10"/>
  <c r="G89" i="10"/>
  <c r="G125" i="10"/>
  <c r="G63" i="10"/>
  <c r="G105" i="10"/>
  <c r="G109" i="10"/>
  <c r="L37" i="2" l="1"/>
  <c r="AI37" i="2"/>
  <c r="S37" i="2" s="1"/>
  <c r="AI36" i="2"/>
  <c r="S36" i="2" s="1"/>
  <c r="Y217" i="13"/>
  <c r="AE195" i="13"/>
  <c r="AG195" i="13" s="1"/>
  <c r="AE197" i="13"/>
  <c r="AG197" i="13" s="1"/>
  <c r="AE201" i="13"/>
  <c r="AG201" i="13" s="1"/>
  <c r="AE203" i="13"/>
  <c r="AG203" i="13" s="1"/>
  <c r="AE205" i="13"/>
  <c r="AG205" i="13" s="1"/>
  <c r="AE207" i="13"/>
  <c r="AG207" i="13" s="1"/>
  <c r="AE196" i="13"/>
  <c r="AG196" i="13" s="1"/>
  <c r="AE198" i="13"/>
  <c r="AG198" i="13" s="1"/>
  <c r="AE200" i="13"/>
  <c r="AG200" i="13" s="1"/>
  <c r="AE202" i="13"/>
  <c r="AG202" i="13" s="1"/>
  <c r="AE204" i="13"/>
  <c r="AG204" i="13" s="1"/>
  <c r="AE206" i="13"/>
  <c r="AG206" i="13" s="1"/>
  <c r="AE208" i="13"/>
  <c r="AG208" i="13" s="1"/>
  <c r="AE194" i="13"/>
  <c r="AG194" i="13" s="1"/>
  <c r="I30" i="17"/>
  <c r="E30" i="17"/>
  <c r="B12" i="17"/>
  <c r="D143" i="13"/>
  <c r="D145" i="13"/>
  <c r="D148" i="13"/>
  <c r="D150" i="13"/>
  <c r="D152" i="13"/>
  <c r="D154" i="13"/>
  <c r="D156" i="13"/>
  <c r="D158" i="13"/>
  <c r="D160" i="13"/>
  <c r="D162" i="13"/>
  <c r="D164" i="13"/>
  <c r="D166" i="13"/>
  <c r="D168" i="13"/>
  <c r="D170" i="13"/>
  <c r="AD170" i="13" s="1"/>
  <c r="D144" i="13"/>
  <c r="D146" i="13"/>
  <c r="D151" i="13"/>
  <c r="D153" i="13"/>
  <c r="D155" i="13"/>
  <c r="D157" i="13"/>
  <c r="D161" i="13"/>
  <c r="D163" i="13"/>
  <c r="D165" i="13"/>
  <c r="D167" i="13"/>
  <c r="C144" i="13"/>
  <c r="C146" i="13"/>
  <c r="C151" i="13"/>
  <c r="C153" i="13"/>
  <c r="C155" i="13"/>
  <c r="C157" i="13"/>
  <c r="C161" i="13"/>
  <c r="C163" i="13"/>
  <c r="C165" i="13"/>
  <c r="C167" i="13"/>
  <c r="C143" i="13"/>
  <c r="C145" i="13"/>
  <c r="C148" i="13"/>
  <c r="C150" i="13"/>
  <c r="C152" i="13"/>
  <c r="C154" i="13"/>
  <c r="C156" i="13"/>
  <c r="C158" i="13"/>
  <c r="C160" i="13"/>
  <c r="C162" i="13"/>
  <c r="C164" i="13"/>
  <c r="C166" i="13"/>
  <c r="C168" i="13"/>
  <c r="AA214" i="13" l="1"/>
  <c r="L36" i="2" s="1"/>
  <c r="AD158" i="13"/>
  <c r="AD166" i="13"/>
  <c r="AD150" i="13"/>
  <c r="AD160" i="13"/>
  <c r="AD143" i="13"/>
  <c r="AD156" i="13"/>
  <c r="AD168" i="13"/>
  <c r="AD154" i="13"/>
  <c r="AD152" i="13"/>
  <c r="AD164" i="13"/>
  <c r="AD148" i="13"/>
  <c r="AD162" i="13"/>
  <c r="AD145" i="13"/>
  <c r="L38" i="2"/>
  <c r="L40" i="2"/>
  <c r="AD167" i="13"/>
  <c r="AD163" i="13"/>
  <c r="AD155" i="13"/>
  <c r="AD151" i="13"/>
  <c r="AD146" i="13"/>
  <c r="AD165" i="13"/>
  <c r="AD161" i="13"/>
  <c r="AD157" i="13"/>
  <c r="AD153" i="13"/>
  <c r="AD144" i="13"/>
  <c r="H466" i="6"/>
  <c r="G466" i="6"/>
  <c r="F466" i="6"/>
  <c r="E466" i="6"/>
  <c r="D466" i="6"/>
  <c r="C466" i="6"/>
  <c r="H465" i="6"/>
  <c r="G465" i="6"/>
  <c r="F465" i="6"/>
  <c r="E465" i="6"/>
  <c r="D465" i="6"/>
  <c r="C465" i="6"/>
  <c r="H463" i="6"/>
  <c r="G463" i="6"/>
  <c r="F463" i="6"/>
  <c r="E463" i="6"/>
  <c r="D463" i="6"/>
  <c r="C463" i="6"/>
  <c r="H461" i="6"/>
  <c r="G461" i="6"/>
  <c r="F461" i="6"/>
  <c r="E461" i="6"/>
  <c r="D461" i="6"/>
  <c r="C461" i="6"/>
  <c r="H458" i="6"/>
  <c r="G458" i="6"/>
  <c r="F458" i="6"/>
  <c r="E458" i="6"/>
  <c r="D458" i="6"/>
  <c r="C458" i="6"/>
  <c r="H457" i="6"/>
  <c r="G457" i="6"/>
  <c r="F457" i="6"/>
  <c r="E457" i="6"/>
  <c r="D457" i="6"/>
  <c r="C457" i="6"/>
  <c r="H455" i="6"/>
  <c r="G455" i="6"/>
  <c r="F455" i="6"/>
  <c r="E455" i="6"/>
  <c r="D455" i="6"/>
  <c r="C455" i="6"/>
  <c r="AS2" i="4"/>
  <c r="AS3" i="4" s="1"/>
  <c r="AS4" i="4" s="1"/>
  <c r="AS5" i="4" s="1"/>
  <c r="AS6" i="4" s="1"/>
  <c r="AS7" i="4" s="1"/>
  <c r="AS8" i="4" s="1"/>
  <c r="AS9" i="4" s="1"/>
  <c r="AS10" i="4" s="1"/>
  <c r="AS11" i="4" s="1"/>
  <c r="AS12" i="4" s="1"/>
  <c r="AS13" i="4" s="1"/>
  <c r="AS14" i="4" s="1"/>
  <c r="AS15" i="4" s="1"/>
  <c r="AS16" i="4" s="1"/>
  <c r="AS17" i="4" s="1"/>
  <c r="AS18" i="4" s="1"/>
  <c r="AS19" i="4" s="1"/>
  <c r="AS20" i="4" s="1"/>
  <c r="AS21" i="4" s="1"/>
  <c r="AS22" i="4" s="1"/>
  <c r="AS23" i="4" s="1"/>
  <c r="AS24" i="4" s="1"/>
  <c r="AS25" i="4" s="1"/>
  <c r="AS26" i="4" s="1"/>
  <c r="AS27" i="4" s="1"/>
  <c r="AS28" i="4" s="1"/>
  <c r="AS29" i="4" s="1"/>
  <c r="AS30" i="4" s="1"/>
  <c r="AS31" i="4" s="1"/>
  <c r="AS32" i="4" s="1"/>
  <c r="AS33" i="4" s="1"/>
  <c r="AS34" i="4" s="1"/>
  <c r="AS35" i="4" s="1"/>
  <c r="AS36" i="4" s="1"/>
  <c r="AS37" i="4" s="1"/>
  <c r="AS38" i="4" s="1"/>
  <c r="AS39" i="4" s="1"/>
  <c r="AS40" i="4" s="1"/>
  <c r="AS41" i="4" s="1"/>
  <c r="AS42" i="4" s="1"/>
  <c r="AS43" i="4" s="1"/>
  <c r="AS44" i="4" s="1"/>
  <c r="AS45" i="4" s="1"/>
  <c r="AS46" i="4" s="1"/>
  <c r="AS47" i="4" s="1"/>
  <c r="AS48" i="4" s="1"/>
  <c r="AS49" i="4" s="1"/>
  <c r="AS50" i="4" s="1"/>
  <c r="AS51" i="4" s="1"/>
  <c r="AS52" i="4" s="1"/>
  <c r="AS53" i="4" s="1"/>
  <c r="AS54" i="4" s="1"/>
  <c r="AS55" i="4" s="1"/>
  <c r="AS56" i="4" s="1"/>
  <c r="AS57" i="4" s="1"/>
  <c r="AS58" i="4" s="1"/>
  <c r="AS59" i="4" s="1"/>
  <c r="AS60" i="4" s="1"/>
  <c r="AS61" i="4" s="1"/>
  <c r="AS62" i="4" s="1"/>
  <c r="AS63" i="4" s="1"/>
  <c r="AS64" i="4" s="1"/>
  <c r="AS65" i="4" s="1"/>
  <c r="AS66" i="4" s="1"/>
  <c r="AS67" i="4" s="1"/>
  <c r="AS68" i="4" s="1"/>
  <c r="AS69" i="4" s="1"/>
  <c r="AS70" i="4" s="1"/>
  <c r="AS71" i="4" s="1"/>
  <c r="AS72" i="4" s="1"/>
  <c r="AS73" i="4" s="1"/>
  <c r="AS74" i="4" s="1"/>
  <c r="B2" i="4"/>
  <c r="E2" i="4"/>
  <c r="E3" i="4" s="1"/>
  <c r="E4" i="4" s="1"/>
  <c r="E5" i="4" s="1"/>
  <c r="E6" i="4" s="1"/>
  <c r="E7" i="4" s="1"/>
  <c r="E8" i="4" s="1"/>
  <c r="E9" i="4" s="1"/>
  <c r="E10" i="4" s="1"/>
  <c r="E11" i="4" s="1"/>
  <c r="E12" i="4" s="1"/>
  <c r="E13" i="4" s="1"/>
  <c r="E14" i="4" s="1"/>
  <c r="E15" i="4" s="1"/>
  <c r="E16" i="4" s="1"/>
  <c r="E17" i="4" s="1"/>
  <c r="E18" i="4" s="1"/>
  <c r="E19" i="4" s="1"/>
  <c r="E20" i="4" s="1"/>
  <c r="E21" i="4" s="1"/>
  <c r="E22" i="4" s="1"/>
  <c r="E23" i="4" s="1"/>
  <c r="E24" i="4" s="1"/>
  <c r="E25" i="4" s="1"/>
  <c r="E26" i="4" s="1"/>
  <c r="E27" i="4" s="1"/>
  <c r="E28" i="4" s="1"/>
  <c r="E29" i="4" s="1"/>
  <c r="E30" i="4" s="1"/>
  <c r="E31" i="4" s="1"/>
  <c r="E32" i="4" s="1"/>
  <c r="E33" i="4" s="1"/>
  <c r="E34" i="4" s="1"/>
  <c r="E35" i="4" s="1"/>
  <c r="E36" i="4" s="1"/>
  <c r="E37" i="4" s="1"/>
  <c r="E38" i="4" s="1"/>
  <c r="E39" i="4" s="1"/>
  <c r="E40" i="4" s="1"/>
  <c r="E41" i="4" s="1"/>
  <c r="E42" i="4" s="1"/>
  <c r="E43" i="4" s="1"/>
  <c r="E44" i="4" s="1"/>
  <c r="E45" i="4" s="1"/>
  <c r="E46" i="4" s="1"/>
  <c r="E47" i="4" s="1"/>
  <c r="E48" i="4" s="1"/>
  <c r="E49" i="4" s="1"/>
  <c r="E50" i="4" s="1"/>
  <c r="E51" i="4" s="1"/>
  <c r="E52" i="4" s="1"/>
  <c r="E53" i="4" s="1"/>
  <c r="E54" i="4" s="1"/>
  <c r="E55" i="4" s="1"/>
  <c r="E56" i="4" s="1"/>
  <c r="E57" i="4" s="1"/>
  <c r="E58" i="4" s="1"/>
  <c r="E59" i="4" s="1"/>
  <c r="E60" i="4" s="1"/>
  <c r="E61" i="4" s="1"/>
  <c r="E62" i="4" s="1"/>
  <c r="E63" i="4" s="1"/>
  <c r="E64" i="4" s="1"/>
  <c r="E65" i="4" s="1"/>
  <c r="E66" i="4" s="1"/>
  <c r="E67" i="4" s="1"/>
  <c r="E68" i="4" s="1"/>
  <c r="E69" i="4" s="1"/>
  <c r="E70" i="4" s="1"/>
  <c r="E71" i="4" s="1"/>
  <c r="E72" i="4" s="1"/>
  <c r="E73" i="4" s="1"/>
  <c r="E74" i="4" s="1"/>
  <c r="I2" i="4"/>
  <c r="I3" i="4" s="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I38" i="4" s="1"/>
  <c r="I39" i="4" s="1"/>
  <c r="I40" i="4" s="1"/>
  <c r="I41" i="4" s="1"/>
  <c r="I42" i="4" s="1"/>
  <c r="I43" i="4" s="1"/>
  <c r="I44" i="4" s="1"/>
  <c r="I45" i="4" s="1"/>
  <c r="I46" i="4" s="1"/>
  <c r="I47" i="4" s="1"/>
  <c r="I48" i="4" s="1"/>
  <c r="I49" i="4" s="1"/>
  <c r="I50" i="4" s="1"/>
  <c r="I51" i="4" s="1"/>
  <c r="I52" i="4" s="1"/>
  <c r="I53" i="4" s="1"/>
  <c r="I54" i="4" s="1"/>
  <c r="I55" i="4" s="1"/>
  <c r="I56" i="4" s="1"/>
  <c r="I57" i="4" s="1"/>
  <c r="I58" i="4" s="1"/>
  <c r="I59" i="4" s="1"/>
  <c r="I60" i="4" s="1"/>
  <c r="I61" i="4" s="1"/>
  <c r="I62" i="4" s="1"/>
  <c r="I63" i="4" s="1"/>
  <c r="I64" i="4" s="1"/>
  <c r="I65" i="4" s="1"/>
  <c r="I66" i="4" s="1"/>
  <c r="I67" i="4" s="1"/>
  <c r="I68" i="4" s="1"/>
  <c r="I69" i="4" s="1"/>
  <c r="I70" i="4" s="1"/>
  <c r="I71" i="4" s="1"/>
  <c r="I72" i="4" s="1"/>
  <c r="I73" i="4" s="1"/>
  <c r="I74" i="4" s="1"/>
  <c r="M2" i="4"/>
  <c r="M3" i="4" s="1"/>
  <c r="M4" i="4" s="1"/>
  <c r="M5" i="4" s="1"/>
  <c r="M6" i="4" s="1"/>
  <c r="M7" i="4" s="1"/>
  <c r="M8" i="4" s="1"/>
  <c r="M9" i="4" s="1"/>
  <c r="M10" i="4" s="1"/>
  <c r="M11" i="4" s="1"/>
  <c r="M12" i="4" s="1"/>
  <c r="M13" i="4" s="1"/>
  <c r="M14" i="4" s="1"/>
  <c r="M15" i="4" s="1"/>
  <c r="M16" i="4" s="1"/>
  <c r="M17" i="4" s="1"/>
  <c r="M18" i="4" s="1"/>
  <c r="M19" i="4" s="1"/>
  <c r="M20" i="4" s="1"/>
  <c r="M21" i="4" s="1"/>
  <c r="M22" i="4" s="1"/>
  <c r="M23" i="4" s="1"/>
  <c r="M24" i="4" s="1"/>
  <c r="M25" i="4" s="1"/>
  <c r="M26" i="4" s="1"/>
  <c r="M27" i="4" s="1"/>
  <c r="M28" i="4" s="1"/>
  <c r="M29" i="4" s="1"/>
  <c r="M30" i="4" s="1"/>
  <c r="M31" i="4" s="1"/>
  <c r="M32" i="4" s="1"/>
  <c r="M33" i="4" s="1"/>
  <c r="M34" i="4" s="1"/>
  <c r="M35" i="4" s="1"/>
  <c r="M36" i="4" s="1"/>
  <c r="M37" i="4" s="1"/>
  <c r="M38" i="4" s="1"/>
  <c r="M39" i="4" s="1"/>
  <c r="M40" i="4" s="1"/>
  <c r="M41" i="4" s="1"/>
  <c r="M42" i="4" s="1"/>
  <c r="M43" i="4" s="1"/>
  <c r="M44" i="4" s="1"/>
  <c r="M45" i="4" s="1"/>
  <c r="M46" i="4" s="1"/>
  <c r="M47" i="4" s="1"/>
  <c r="M48" i="4" s="1"/>
  <c r="M49" i="4" s="1"/>
  <c r="M50" i="4" s="1"/>
  <c r="M51" i="4" s="1"/>
  <c r="M52" i="4" s="1"/>
  <c r="M53" i="4" s="1"/>
  <c r="M54" i="4" s="1"/>
  <c r="M55" i="4" s="1"/>
  <c r="M56" i="4" s="1"/>
  <c r="M57" i="4" s="1"/>
  <c r="M58" i="4" s="1"/>
  <c r="M59" i="4" s="1"/>
  <c r="M60" i="4" s="1"/>
  <c r="M61" i="4" s="1"/>
  <c r="M62" i="4" s="1"/>
  <c r="M63" i="4" s="1"/>
  <c r="M64" i="4" s="1"/>
  <c r="M65" i="4" s="1"/>
  <c r="M66" i="4" s="1"/>
  <c r="M67" i="4" s="1"/>
  <c r="M68" i="4" s="1"/>
  <c r="M69" i="4" s="1"/>
  <c r="M70" i="4" s="1"/>
  <c r="M71" i="4" s="1"/>
  <c r="M72" i="4" s="1"/>
  <c r="M73" i="4" s="1"/>
  <c r="M74" i="4" s="1"/>
  <c r="Q2" i="4"/>
  <c r="Q3" i="4" s="1"/>
  <c r="Q4" i="4" s="1"/>
  <c r="Q5" i="4" s="1"/>
  <c r="Q6" i="4" s="1"/>
  <c r="Q7" i="4" s="1"/>
  <c r="Q8" i="4" s="1"/>
  <c r="Q9" i="4" s="1"/>
  <c r="Q10" i="4" s="1"/>
  <c r="Q11" i="4" s="1"/>
  <c r="Q12" i="4" s="1"/>
  <c r="Q13" i="4" s="1"/>
  <c r="Q14" i="4" s="1"/>
  <c r="Q15" i="4" s="1"/>
  <c r="Q16" i="4" s="1"/>
  <c r="Q17" i="4" s="1"/>
  <c r="Q18" i="4" s="1"/>
  <c r="Q19" i="4" s="1"/>
  <c r="Q20" i="4" s="1"/>
  <c r="Q21" i="4" s="1"/>
  <c r="Q22" i="4" s="1"/>
  <c r="Q23" i="4" s="1"/>
  <c r="Q24" i="4" s="1"/>
  <c r="Q25" i="4" s="1"/>
  <c r="Q26" i="4" s="1"/>
  <c r="Q27" i="4" s="1"/>
  <c r="Q28" i="4" s="1"/>
  <c r="Q29" i="4" s="1"/>
  <c r="Q30" i="4" s="1"/>
  <c r="Q31" i="4" s="1"/>
  <c r="Q32" i="4" s="1"/>
  <c r="Q33" i="4" s="1"/>
  <c r="Q34" i="4" s="1"/>
  <c r="Q35" i="4" s="1"/>
  <c r="Q36" i="4" s="1"/>
  <c r="Q37" i="4" s="1"/>
  <c r="Q38" i="4" s="1"/>
  <c r="Q39" i="4" s="1"/>
  <c r="Q40" i="4" s="1"/>
  <c r="Q41" i="4" s="1"/>
  <c r="Q42" i="4" s="1"/>
  <c r="Q43" i="4" s="1"/>
  <c r="Q44" i="4" s="1"/>
  <c r="Q45" i="4" s="1"/>
  <c r="Q46" i="4" s="1"/>
  <c r="Q47" i="4" s="1"/>
  <c r="Q48" i="4" s="1"/>
  <c r="Q49" i="4" s="1"/>
  <c r="Q50" i="4" s="1"/>
  <c r="Q51" i="4" s="1"/>
  <c r="Q52" i="4" s="1"/>
  <c r="Q53" i="4" s="1"/>
  <c r="Q54" i="4" s="1"/>
  <c r="Q55" i="4" s="1"/>
  <c r="Q56" i="4" s="1"/>
  <c r="Q57" i="4" s="1"/>
  <c r="Q58" i="4" s="1"/>
  <c r="Q59" i="4" s="1"/>
  <c r="Q60" i="4" s="1"/>
  <c r="Q61" i="4" s="1"/>
  <c r="Q62" i="4" s="1"/>
  <c r="Q63" i="4" s="1"/>
  <c r="Q64" i="4" s="1"/>
  <c r="Q65" i="4" s="1"/>
  <c r="Q66" i="4" s="1"/>
  <c r="Q67" i="4" s="1"/>
  <c r="Q68" i="4" s="1"/>
  <c r="Q69" i="4" s="1"/>
  <c r="Q70" i="4" s="1"/>
  <c r="Q71" i="4" s="1"/>
  <c r="Q72" i="4" s="1"/>
  <c r="Q73" i="4" s="1"/>
  <c r="Q74" i="4" s="1"/>
  <c r="U2" i="4"/>
  <c r="U3" i="4" s="1"/>
  <c r="U4" i="4" s="1"/>
  <c r="U5" i="4" s="1"/>
  <c r="U6" i="4" s="1"/>
  <c r="U7" i="4" s="1"/>
  <c r="U8" i="4" s="1"/>
  <c r="U9" i="4" s="1"/>
  <c r="U10" i="4" s="1"/>
  <c r="U11" i="4" s="1"/>
  <c r="U12" i="4" s="1"/>
  <c r="U13" i="4" s="1"/>
  <c r="U14" i="4" s="1"/>
  <c r="U15" i="4" s="1"/>
  <c r="U16" i="4" s="1"/>
  <c r="U17" i="4" s="1"/>
  <c r="U18" i="4" s="1"/>
  <c r="U19" i="4" s="1"/>
  <c r="U20" i="4" s="1"/>
  <c r="U21" i="4" s="1"/>
  <c r="U22" i="4" s="1"/>
  <c r="U23" i="4" s="1"/>
  <c r="U24" i="4" s="1"/>
  <c r="U25" i="4" s="1"/>
  <c r="U26" i="4" s="1"/>
  <c r="U27" i="4" s="1"/>
  <c r="U28" i="4" s="1"/>
  <c r="U29" i="4" s="1"/>
  <c r="U30" i="4" s="1"/>
  <c r="U31" i="4" s="1"/>
  <c r="U32" i="4" s="1"/>
  <c r="U33" i="4" s="1"/>
  <c r="U34" i="4" s="1"/>
  <c r="U35" i="4" s="1"/>
  <c r="U36" i="4" s="1"/>
  <c r="U37" i="4" s="1"/>
  <c r="U38" i="4" s="1"/>
  <c r="U39" i="4" s="1"/>
  <c r="U40" i="4" s="1"/>
  <c r="U41" i="4" s="1"/>
  <c r="U42" i="4" s="1"/>
  <c r="U43" i="4" s="1"/>
  <c r="U44" i="4" s="1"/>
  <c r="U45" i="4" s="1"/>
  <c r="U46" i="4" s="1"/>
  <c r="U47" i="4" s="1"/>
  <c r="U48" i="4" s="1"/>
  <c r="U49" i="4" s="1"/>
  <c r="U50" i="4" s="1"/>
  <c r="U51" i="4" s="1"/>
  <c r="U52" i="4" s="1"/>
  <c r="U53" i="4" s="1"/>
  <c r="U54" i="4" s="1"/>
  <c r="U55" i="4" s="1"/>
  <c r="U56" i="4" s="1"/>
  <c r="U57" i="4" s="1"/>
  <c r="U58" i="4" s="1"/>
  <c r="U59" i="4" s="1"/>
  <c r="U60" i="4" s="1"/>
  <c r="U61" i="4" s="1"/>
  <c r="U62" i="4" s="1"/>
  <c r="U63" i="4" s="1"/>
  <c r="U64" i="4" s="1"/>
  <c r="U65" i="4" s="1"/>
  <c r="U66" i="4" s="1"/>
  <c r="U67" i="4" s="1"/>
  <c r="U68" i="4" s="1"/>
  <c r="U69" i="4" s="1"/>
  <c r="U70" i="4" s="1"/>
  <c r="U71" i="4" s="1"/>
  <c r="U72" i="4" s="1"/>
  <c r="U73" i="4" s="1"/>
  <c r="U74" i="4" s="1"/>
  <c r="Y2" i="4"/>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6" i="4" s="1"/>
  <c r="Y27" i="4" s="1"/>
  <c r="Y28" i="4" s="1"/>
  <c r="Y29" i="4" s="1"/>
  <c r="Y30" i="4" s="1"/>
  <c r="Y31" i="4" s="1"/>
  <c r="Y32" i="4" s="1"/>
  <c r="Y33" i="4" s="1"/>
  <c r="Y34" i="4" s="1"/>
  <c r="Y35" i="4" s="1"/>
  <c r="Y36" i="4" s="1"/>
  <c r="Y37" i="4" s="1"/>
  <c r="Y38" i="4" s="1"/>
  <c r="Y39" i="4" s="1"/>
  <c r="Y40" i="4" s="1"/>
  <c r="Y41" i="4" s="1"/>
  <c r="Y42" i="4" s="1"/>
  <c r="Y43" i="4" s="1"/>
  <c r="Y44" i="4" s="1"/>
  <c r="Y45" i="4" s="1"/>
  <c r="Y46" i="4" s="1"/>
  <c r="Y47" i="4" s="1"/>
  <c r="Y48" i="4" s="1"/>
  <c r="Y49" i="4" s="1"/>
  <c r="Y50" i="4" s="1"/>
  <c r="Y51" i="4" s="1"/>
  <c r="Y52" i="4" s="1"/>
  <c r="Y53" i="4" s="1"/>
  <c r="Y54" i="4" s="1"/>
  <c r="Y55" i="4" s="1"/>
  <c r="Y56" i="4" s="1"/>
  <c r="Y57" i="4" s="1"/>
  <c r="Y58" i="4" s="1"/>
  <c r="Y59" i="4" s="1"/>
  <c r="Y60" i="4" s="1"/>
  <c r="Y61" i="4" s="1"/>
  <c r="Y62" i="4" s="1"/>
  <c r="Y63" i="4" s="1"/>
  <c r="Y64" i="4" s="1"/>
  <c r="Y65" i="4" s="1"/>
  <c r="Y66" i="4" s="1"/>
  <c r="Y67" i="4" s="1"/>
  <c r="Y68" i="4" s="1"/>
  <c r="Y69" i="4" s="1"/>
  <c r="Y70" i="4" s="1"/>
  <c r="Y71" i="4" s="1"/>
  <c r="Y72" i="4" s="1"/>
  <c r="Y73" i="4" s="1"/>
  <c r="Y74" i="4" s="1"/>
  <c r="AC2" i="4"/>
  <c r="AC3" i="4" s="1"/>
  <c r="AC4" i="4" s="1"/>
  <c r="AC5" i="4" s="1"/>
  <c r="AC6" i="4" s="1"/>
  <c r="AC7" i="4" s="1"/>
  <c r="AC8" i="4" s="1"/>
  <c r="AC9" i="4" s="1"/>
  <c r="AC10" i="4" s="1"/>
  <c r="AC11" i="4" s="1"/>
  <c r="AC12" i="4" s="1"/>
  <c r="AC13" i="4" s="1"/>
  <c r="AC14" i="4" s="1"/>
  <c r="AC15" i="4" s="1"/>
  <c r="AC16" i="4" s="1"/>
  <c r="AC17" i="4" s="1"/>
  <c r="AC18" i="4" s="1"/>
  <c r="AC19" i="4" s="1"/>
  <c r="AC20" i="4" s="1"/>
  <c r="AC21" i="4" s="1"/>
  <c r="AC22" i="4" s="1"/>
  <c r="AC23" i="4" s="1"/>
  <c r="AC24" i="4" s="1"/>
  <c r="AC25" i="4" s="1"/>
  <c r="AC26" i="4" s="1"/>
  <c r="AC27" i="4" s="1"/>
  <c r="AC28" i="4" s="1"/>
  <c r="AC29" i="4" s="1"/>
  <c r="AC30" i="4" s="1"/>
  <c r="AC31" i="4" s="1"/>
  <c r="AC32" i="4" s="1"/>
  <c r="AC33" i="4" s="1"/>
  <c r="AC34" i="4" s="1"/>
  <c r="AC35" i="4" s="1"/>
  <c r="AC36" i="4" s="1"/>
  <c r="AC37" i="4" s="1"/>
  <c r="AC38" i="4" s="1"/>
  <c r="AC39" i="4" s="1"/>
  <c r="AC40" i="4" s="1"/>
  <c r="AC41" i="4" s="1"/>
  <c r="AC42" i="4" s="1"/>
  <c r="AC43" i="4" s="1"/>
  <c r="AC44" i="4" s="1"/>
  <c r="AC45" i="4" s="1"/>
  <c r="AC46" i="4" s="1"/>
  <c r="AC47" i="4" s="1"/>
  <c r="AC48" i="4" s="1"/>
  <c r="AC49" i="4" s="1"/>
  <c r="AC50" i="4" s="1"/>
  <c r="AC51" i="4" s="1"/>
  <c r="AC52" i="4" s="1"/>
  <c r="AC53" i="4" s="1"/>
  <c r="AC54" i="4" s="1"/>
  <c r="AC55" i="4" s="1"/>
  <c r="AC56" i="4" s="1"/>
  <c r="AC57" i="4" s="1"/>
  <c r="AC58" i="4" s="1"/>
  <c r="AC59" i="4" s="1"/>
  <c r="AC60" i="4" s="1"/>
  <c r="AC61" i="4" s="1"/>
  <c r="AC62" i="4" s="1"/>
  <c r="AC63" i="4" s="1"/>
  <c r="AC64" i="4" s="1"/>
  <c r="AC65" i="4" s="1"/>
  <c r="AC66" i="4" s="1"/>
  <c r="AC67" i="4" s="1"/>
  <c r="AC68" i="4" s="1"/>
  <c r="AC69" i="4" s="1"/>
  <c r="AC70" i="4" s="1"/>
  <c r="AC71" i="4" s="1"/>
  <c r="AC72" i="4" s="1"/>
  <c r="AC73" i="4" s="1"/>
  <c r="AC74" i="4" s="1"/>
  <c r="AG2" i="4"/>
  <c r="AG3" i="4" s="1"/>
  <c r="AG4" i="4" s="1"/>
  <c r="AG5" i="4" s="1"/>
  <c r="AG6" i="4" s="1"/>
  <c r="AG7" i="4" s="1"/>
  <c r="AG8" i="4" s="1"/>
  <c r="AG9" i="4" s="1"/>
  <c r="AG10" i="4" s="1"/>
  <c r="AG11" i="4" s="1"/>
  <c r="AG12" i="4" s="1"/>
  <c r="AG13" i="4" s="1"/>
  <c r="AG14" i="4" s="1"/>
  <c r="AG15" i="4" s="1"/>
  <c r="AG16" i="4" s="1"/>
  <c r="AG17" i="4" s="1"/>
  <c r="AG18" i="4" s="1"/>
  <c r="AG19" i="4" s="1"/>
  <c r="AG20" i="4" s="1"/>
  <c r="AG21" i="4" s="1"/>
  <c r="AG22" i="4" s="1"/>
  <c r="AG23" i="4" s="1"/>
  <c r="AG24" i="4" s="1"/>
  <c r="AG25" i="4" s="1"/>
  <c r="AG26" i="4" s="1"/>
  <c r="AG27" i="4" s="1"/>
  <c r="AG28" i="4" s="1"/>
  <c r="AG29" i="4" s="1"/>
  <c r="AG30" i="4" s="1"/>
  <c r="AG31" i="4" s="1"/>
  <c r="AG32" i="4" s="1"/>
  <c r="AG33" i="4" s="1"/>
  <c r="AG34" i="4" s="1"/>
  <c r="AG35" i="4" s="1"/>
  <c r="AG36" i="4" s="1"/>
  <c r="AG37" i="4" s="1"/>
  <c r="AG38" i="4" s="1"/>
  <c r="AG39" i="4" s="1"/>
  <c r="AG40" i="4" s="1"/>
  <c r="AG41" i="4" s="1"/>
  <c r="AG42" i="4" s="1"/>
  <c r="AG43" i="4" s="1"/>
  <c r="AG44" i="4" s="1"/>
  <c r="AG45" i="4" s="1"/>
  <c r="AG46" i="4" s="1"/>
  <c r="AG47" i="4" s="1"/>
  <c r="AG48" i="4" s="1"/>
  <c r="AG49" i="4" s="1"/>
  <c r="AG50" i="4" s="1"/>
  <c r="AG51" i="4" s="1"/>
  <c r="AG52" i="4" s="1"/>
  <c r="AG53" i="4" s="1"/>
  <c r="AG54" i="4" s="1"/>
  <c r="AG55" i="4" s="1"/>
  <c r="AG56" i="4" s="1"/>
  <c r="AG57" i="4" s="1"/>
  <c r="AG58" i="4" s="1"/>
  <c r="AG59" i="4" s="1"/>
  <c r="AG60" i="4" s="1"/>
  <c r="AG61" i="4" s="1"/>
  <c r="AG62" i="4" s="1"/>
  <c r="AG63" i="4" s="1"/>
  <c r="AG64" i="4" s="1"/>
  <c r="AG65" i="4" s="1"/>
  <c r="AG66" i="4" s="1"/>
  <c r="AG67" i="4" s="1"/>
  <c r="AG68" i="4" s="1"/>
  <c r="AG69" i="4" s="1"/>
  <c r="AG70" i="4" s="1"/>
  <c r="AG71" i="4" s="1"/>
  <c r="AG72" i="4" s="1"/>
  <c r="AG73" i="4" s="1"/>
  <c r="AG74" i="4" s="1"/>
  <c r="AK2" i="4"/>
  <c r="AK3" i="4" s="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8"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50" i="4" s="1"/>
  <c r="AK51" i="4" s="1"/>
  <c r="AK52" i="4" s="1"/>
  <c r="AK53" i="4" s="1"/>
  <c r="AK54" i="4" s="1"/>
  <c r="AK55" i="4" s="1"/>
  <c r="AK56" i="4" s="1"/>
  <c r="AK57" i="4" s="1"/>
  <c r="AK58" i="4" s="1"/>
  <c r="AK59" i="4" s="1"/>
  <c r="AK60" i="4" s="1"/>
  <c r="AK61" i="4" s="1"/>
  <c r="AK62" i="4" s="1"/>
  <c r="AK63" i="4" s="1"/>
  <c r="AK64" i="4" s="1"/>
  <c r="AK65" i="4" s="1"/>
  <c r="AK66" i="4" s="1"/>
  <c r="AK67" i="4" s="1"/>
  <c r="AK68" i="4" s="1"/>
  <c r="AK69" i="4" s="1"/>
  <c r="AK70" i="4" s="1"/>
  <c r="AK71" i="4" s="1"/>
  <c r="AK72" i="4" s="1"/>
  <c r="AK73" i="4" s="1"/>
  <c r="AK74" i="4" s="1"/>
  <c r="AO2" i="4"/>
  <c r="AO3" i="4" s="1"/>
  <c r="AO4" i="4" s="1"/>
  <c r="AO5" i="4" s="1"/>
  <c r="AO6" i="4" s="1"/>
  <c r="AO7" i="4" s="1"/>
  <c r="AO8" i="4" s="1"/>
  <c r="AO9" i="4" s="1"/>
  <c r="AO10" i="4" s="1"/>
  <c r="AO11" i="4" s="1"/>
  <c r="AO12" i="4" s="1"/>
  <c r="AO13" i="4" s="1"/>
  <c r="AO14" i="4" s="1"/>
  <c r="AO15" i="4" s="1"/>
  <c r="AO16" i="4" s="1"/>
  <c r="AO17" i="4" s="1"/>
  <c r="AO18" i="4" s="1"/>
  <c r="AO19" i="4" s="1"/>
  <c r="AO20" i="4" s="1"/>
  <c r="AO21" i="4" s="1"/>
  <c r="AO22" i="4" s="1"/>
  <c r="AO23" i="4" s="1"/>
  <c r="AO24" i="4" s="1"/>
  <c r="AO25" i="4" s="1"/>
  <c r="AO26" i="4" s="1"/>
  <c r="AO27" i="4" s="1"/>
  <c r="AO28" i="4" s="1"/>
  <c r="AO29" i="4" s="1"/>
  <c r="AO30" i="4" s="1"/>
  <c r="AO31" i="4" s="1"/>
  <c r="AO32" i="4" s="1"/>
  <c r="AO33" i="4" s="1"/>
  <c r="AO34" i="4" s="1"/>
  <c r="AO35" i="4" s="1"/>
  <c r="AO36" i="4" s="1"/>
  <c r="AO37" i="4" s="1"/>
  <c r="AO38" i="4" s="1"/>
  <c r="AO39" i="4" s="1"/>
  <c r="AO40" i="4" s="1"/>
  <c r="AO41" i="4" s="1"/>
  <c r="AO42" i="4" s="1"/>
  <c r="AO43" i="4" s="1"/>
  <c r="AO44" i="4" s="1"/>
  <c r="AO45" i="4" s="1"/>
  <c r="AO46" i="4" s="1"/>
  <c r="AO47" i="4" s="1"/>
  <c r="AO48" i="4" s="1"/>
  <c r="AO49" i="4" s="1"/>
  <c r="AO50" i="4" s="1"/>
  <c r="AO51" i="4" s="1"/>
  <c r="AO52" i="4" s="1"/>
  <c r="AO53" i="4" s="1"/>
  <c r="AO54" i="4" s="1"/>
  <c r="AO55" i="4" s="1"/>
  <c r="AO56" i="4" s="1"/>
  <c r="AO57" i="4" s="1"/>
  <c r="AO58" i="4" s="1"/>
  <c r="AO59" i="4" s="1"/>
  <c r="AO60" i="4" s="1"/>
  <c r="AO61" i="4" s="1"/>
  <c r="AO62" i="4" s="1"/>
  <c r="AO63" i="4" s="1"/>
  <c r="AO64" i="4" s="1"/>
  <c r="AO65" i="4" s="1"/>
  <c r="AO66" i="4" s="1"/>
  <c r="AO67" i="4" s="1"/>
  <c r="AO68" i="4" s="1"/>
  <c r="AO69" i="4" s="1"/>
  <c r="AO70" i="4" s="1"/>
  <c r="AO71" i="4" s="1"/>
  <c r="AO72" i="4" s="1"/>
  <c r="AO73" i="4" s="1"/>
  <c r="AO74" i="4" s="1"/>
  <c r="AW2" i="4"/>
  <c r="AW3" i="4" s="1"/>
  <c r="AW4" i="4" s="1"/>
  <c r="AW5" i="4" s="1"/>
  <c r="AW6" i="4" s="1"/>
  <c r="AW7" i="4" s="1"/>
  <c r="AW8" i="4" s="1"/>
  <c r="AW9" i="4" s="1"/>
  <c r="AW10" i="4" s="1"/>
  <c r="AW11" i="4" s="1"/>
  <c r="AW12" i="4" s="1"/>
  <c r="AW13" i="4" s="1"/>
  <c r="AW14" i="4" s="1"/>
  <c r="AW15" i="4" s="1"/>
  <c r="AW16" i="4" s="1"/>
  <c r="AW17" i="4" s="1"/>
  <c r="AW18" i="4" s="1"/>
  <c r="AW19" i="4" s="1"/>
  <c r="AW20" i="4" s="1"/>
  <c r="AW21" i="4" s="1"/>
  <c r="AW22" i="4" s="1"/>
  <c r="AW23" i="4" s="1"/>
  <c r="AW24" i="4" s="1"/>
  <c r="AW25" i="4" s="1"/>
  <c r="AW26" i="4" s="1"/>
  <c r="AW27" i="4" s="1"/>
  <c r="AW28" i="4" s="1"/>
  <c r="AW29" i="4" s="1"/>
  <c r="AW30" i="4" s="1"/>
  <c r="AW31" i="4" s="1"/>
  <c r="AW32" i="4" s="1"/>
  <c r="AW33" i="4" s="1"/>
  <c r="AW34" i="4" s="1"/>
  <c r="AW35" i="4" s="1"/>
  <c r="AW36" i="4" s="1"/>
  <c r="AW37" i="4" s="1"/>
  <c r="AW38" i="4" s="1"/>
  <c r="AW39" i="4" s="1"/>
  <c r="AW40" i="4" s="1"/>
  <c r="AW41" i="4" s="1"/>
  <c r="AW42" i="4" s="1"/>
  <c r="AW43" i="4" s="1"/>
  <c r="AW44" i="4" s="1"/>
  <c r="AW45" i="4" s="1"/>
  <c r="AW46" i="4" s="1"/>
  <c r="AW47" i="4" s="1"/>
  <c r="AW48" i="4" s="1"/>
  <c r="AW49" i="4" s="1"/>
  <c r="AW50" i="4" s="1"/>
  <c r="AW51" i="4" s="1"/>
  <c r="AW52" i="4" s="1"/>
  <c r="AW53" i="4" s="1"/>
  <c r="AW54" i="4" s="1"/>
  <c r="AW55" i="4" s="1"/>
  <c r="AW56" i="4" s="1"/>
  <c r="AW57" i="4" s="1"/>
  <c r="AW58" i="4" s="1"/>
  <c r="AW59" i="4" s="1"/>
  <c r="AW60" i="4" s="1"/>
  <c r="AW61" i="4" s="1"/>
  <c r="AW62" i="4" s="1"/>
  <c r="AW63" i="4" s="1"/>
  <c r="AW64" i="4" s="1"/>
  <c r="AW65" i="4" s="1"/>
  <c r="AW66" i="4" s="1"/>
  <c r="AW67" i="4" s="1"/>
  <c r="AW68" i="4" s="1"/>
  <c r="AW69" i="4" s="1"/>
  <c r="AW70" i="4" s="1"/>
  <c r="AW71" i="4" s="1"/>
  <c r="AW72" i="4" s="1"/>
  <c r="AW73" i="4" s="1"/>
  <c r="AW74" i="4" s="1"/>
  <c r="B3" i="4"/>
  <c r="F3" i="4"/>
  <c r="F4" i="4" s="1"/>
  <c r="F5" i="4" s="1"/>
  <c r="F6" i="4" s="1"/>
  <c r="H3" i="4"/>
  <c r="H4" i="4" s="1"/>
  <c r="H5" i="4" s="1"/>
  <c r="H6" i="4" s="1"/>
  <c r="H7" i="4" s="1"/>
  <c r="H8" i="4" s="1"/>
  <c r="H9" i="4" s="1"/>
  <c r="H10" i="4" s="1"/>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H47" i="4" s="1"/>
  <c r="H48" i="4" s="1"/>
  <c r="H49" i="4" s="1"/>
  <c r="H50" i="4" s="1"/>
  <c r="H51" i="4" s="1"/>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J3" i="4"/>
  <c r="J4" i="4" s="1"/>
  <c r="J5" i="4" s="1"/>
  <c r="J6" i="4" s="1"/>
  <c r="J7" i="4" s="1"/>
  <c r="J8" i="4" s="1"/>
  <c r="J9" i="4" s="1"/>
  <c r="J10" i="4" s="1"/>
  <c r="J11" i="4" s="1"/>
  <c r="J12" i="4" s="1"/>
  <c r="J13" i="4" s="1"/>
  <c r="J14" i="4" s="1"/>
  <c r="J15" i="4" s="1"/>
  <c r="J16" i="4" s="1"/>
  <c r="J17" i="4" s="1"/>
  <c r="J18" i="4" s="1"/>
  <c r="J19" i="4" s="1"/>
  <c r="J20" i="4" s="1"/>
  <c r="J21" i="4" s="1"/>
  <c r="J22" i="4" s="1"/>
  <c r="J23" i="4" s="1"/>
  <c r="J24" i="4" s="1"/>
  <c r="J25" i="4" s="1"/>
  <c r="J26" i="4" s="1"/>
  <c r="J27" i="4" s="1"/>
  <c r="J28" i="4" s="1"/>
  <c r="J29" i="4" s="1"/>
  <c r="J30" i="4" s="1"/>
  <c r="J31" i="4" s="1"/>
  <c r="J32" i="4" s="1"/>
  <c r="J33" i="4" s="1"/>
  <c r="J34" i="4" s="1"/>
  <c r="J35" i="4" s="1"/>
  <c r="J36" i="4" s="1"/>
  <c r="J37" i="4" s="1"/>
  <c r="J38" i="4" s="1"/>
  <c r="J39" i="4" s="1"/>
  <c r="J40" i="4" s="1"/>
  <c r="J41" i="4" s="1"/>
  <c r="J42" i="4" s="1"/>
  <c r="J43" i="4" s="1"/>
  <c r="J44" i="4" s="1"/>
  <c r="J45" i="4" s="1"/>
  <c r="J46" i="4" s="1"/>
  <c r="J47" i="4" s="1"/>
  <c r="J48" i="4" s="1"/>
  <c r="J49" i="4" s="1"/>
  <c r="J50" i="4" s="1"/>
  <c r="J51" i="4" s="1"/>
  <c r="J52" i="4" s="1"/>
  <c r="J53" i="4" s="1"/>
  <c r="J54" i="4" s="1"/>
  <c r="J55" i="4" s="1"/>
  <c r="J56" i="4" s="1"/>
  <c r="J57" i="4" s="1"/>
  <c r="J58" i="4" s="1"/>
  <c r="J59" i="4" s="1"/>
  <c r="J60" i="4" s="1"/>
  <c r="J61" i="4" s="1"/>
  <c r="J62" i="4" s="1"/>
  <c r="J63" i="4" s="1"/>
  <c r="J64" i="4" s="1"/>
  <c r="J65" i="4" s="1"/>
  <c r="J66" i="4" s="1"/>
  <c r="J67" i="4" s="1"/>
  <c r="J68" i="4" s="1"/>
  <c r="J69" i="4" s="1"/>
  <c r="J70" i="4" s="1"/>
  <c r="J71" i="4" s="1"/>
  <c r="J72" i="4" s="1"/>
  <c r="J73" i="4" s="1"/>
  <c r="J74" i="4" s="1"/>
  <c r="L3" i="4"/>
  <c r="L4" i="4" s="1"/>
  <c r="N3" i="4"/>
  <c r="N4" i="4" s="1"/>
  <c r="N5" i="4" s="1"/>
  <c r="N6" i="4" s="1"/>
  <c r="N7" i="4" s="1"/>
  <c r="N8" i="4" s="1"/>
  <c r="N9" i="4" s="1"/>
  <c r="N10" i="4" s="1"/>
  <c r="N11" i="4" s="1"/>
  <c r="N12" i="4" s="1"/>
  <c r="N13" i="4" s="1"/>
  <c r="N14" i="4" s="1"/>
  <c r="N15" i="4" s="1"/>
  <c r="N16" i="4" s="1"/>
  <c r="N17" i="4" s="1"/>
  <c r="N18" i="4" s="1"/>
  <c r="N19" i="4" s="1"/>
  <c r="N20" i="4" s="1"/>
  <c r="N21" i="4" s="1"/>
  <c r="N22" i="4" s="1"/>
  <c r="N23" i="4" s="1"/>
  <c r="N24" i="4" s="1"/>
  <c r="N25" i="4" s="1"/>
  <c r="N26" i="4" s="1"/>
  <c r="N27" i="4" s="1"/>
  <c r="N28" i="4" s="1"/>
  <c r="N29" i="4" s="1"/>
  <c r="N30" i="4" s="1"/>
  <c r="N31" i="4" s="1"/>
  <c r="N32" i="4" s="1"/>
  <c r="N33" i="4" s="1"/>
  <c r="N34" i="4" s="1"/>
  <c r="N35" i="4" s="1"/>
  <c r="N36" i="4" s="1"/>
  <c r="N37" i="4" s="1"/>
  <c r="N38" i="4" s="1"/>
  <c r="N39" i="4" s="1"/>
  <c r="N40" i="4" s="1"/>
  <c r="N41" i="4" s="1"/>
  <c r="N42" i="4" s="1"/>
  <c r="N43" i="4" s="1"/>
  <c r="N44" i="4" s="1"/>
  <c r="N45" i="4" s="1"/>
  <c r="N46" i="4" s="1"/>
  <c r="N47" i="4" s="1"/>
  <c r="N48" i="4" s="1"/>
  <c r="N49" i="4" s="1"/>
  <c r="N50" i="4" s="1"/>
  <c r="N51" i="4" s="1"/>
  <c r="N52" i="4" s="1"/>
  <c r="N53" i="4" s="1"/>
  <c r="N54" i="4" s="1"/>
  <c r="N55" i="4" s="1"/>
  <c r="N56" i="4" s="1"/>
  <c r="N57" i="4" s="1"/>
  <c r="N58" i="4" s="1"/>
  <c r="N59" i="4" s="1"/>
  <c r="N60" i="4" s="1"/>
  <c r="N61" i="4" s="1"/>
  <c r="N62" i="4" s="1"/>
  <c r="N63" i="4" s="1"/>
  <c r="N64" i="4" s="1"/>
  <c r="N65" i="4" s="1"/>
  <c r="N66" i="4" s="1"/>
  <c r="N67" i="4" s="1"/>
  <c r="N68" i="4" s="1"/>
  <c r="N69" i="4" s="1"/>
  <c r="N70" i="4" s="1"/>
  <c r="N71" i="4" s="1"/>
  <c r="N72" i="4" s="1"/>
  <c r="N73" i="4" s="1"/>
  <c r="N74" i="4" s="1"/>
  <c r="P3" i="4"/>
  <c r="P4" i="4" s="1"/>
  <c r="P5" i="4" s="1"/>
  <c r="P6" i="4" s="1"/>
  <c r="P7" i="4" s="1"/>
  <c r="P8" i="4" s="1"/>
  <c r="P9" i="4" s="1"/>
  <c r="P10" i="4" s="1"/>
  <c r="P11" i="4" s="1"/>
  <c r="P12" i="4" s="1"/>
  <c r="P13" i="4" s="1"/>
  <c r="P14" i="4" s="1"/>
  <c r="P15" i="4" s="1"/>
  <c r="P16" i="4" s="1"/>
  <c r="P17" i="4" s="1"/>
  <c r="P18" i="4" s="1"/>
  <c r="P19" i="4" s="1"/>
  <c r="P20" i="4" s="1"/>
  <c r="P21" i="4" s="1"/>
  <c r="P22" i="4" s="1"/>
  <c r="P23" i="4" s="1"/>
  <c r="P24" i="4" s="1"/>
  <c r="P25" i="4" s="1"/>
  <c r="P26" i="4" s="1"/>
  <c r="P27" i="4" s="1"/>
  <c r="P28" i="4" s="1"/>
  <c r="P29" i="4" s="1"/>
  <c r="P30" i="4" s="1"/>
  <c r="P31" i="4" s="1"/>
  <c r="P32" i="4" s="1"/>
  <c r="P33" i="4" s="1"/>
  <c r="P34" i="4" s="1"/>
  <c r="P35" i="4" s="1"/>
  <c r="P36" i="4" s="1"/>
  <c r="P37" i="4" s="1"/>
  <c r="P38" i="4" s="1"/>
  <c r="P39" i="4" s="1"/>
  <c r="P40" i="4" s="1"/>
  <c r="P41" i="4" s="1"/>
  <c r="P42" i="4" s="1"/>
  <c r="P43" i="4" s="1"/>
  <c r="P44" i="4" s="1"/>
  <c r="P45" i="4" s="1"/>
  <c r="P46" i="4" s="1"/>
  <c r="P47" i="4" s="1"/>
  <c r="P48" i="4" s="1"/>
  <c r="P49" i="4" s="1"/>
  <c r="P50" i="4" s="1"/>
  <c r="P51" i="4" s="1"/>
  <c r="P52" i="4" s="1"/>
  <c r="P53" i="4" s="1"/>
  <c r="P54" i="4" s="1"/>
  <c r="P55" i="4" s="1"/>
  <c r="P56" i="4" s="1"/>
  <c r="P57" i="4" s="1"/>
  <c r="P58" i="4" s="1"/>
  <c r="P59" i="4" s="1"/>
  <c r="P60" i="4" s="1"/>
  <c r="P61" i="4" s="1"/>
  <c r="P62" i="4" s="1"/>
  <c r="P63" i="4" s="1"/>
  <c r="P64" i="4" s="1"/>
  <c r="P65" i="4" s="1"/>
  <c r="P66" i="4" s="1"/>
  <c r="P67" i="4" s="1"/>
  <c r="P68" i="4" s="1"/>
  <c r="P69" i="4" s="1"/>
  <c r="P70" i="4" s="1"/>
  <c r="P71" i="4" s="1"/>
  <c r="P72" i="4" s="1"/>
  <c r="P73" i="4" s="1"/>
  <c r="P74" i="4" s="1"/>
  <c r="R3" i="4"/>
  <c r="R4" i="4" s="1"/>
  <c r="R5" i="4" s="1"/>
  <c r="R6" i="4" s="1"/>
  <c r="R7" i="4" s="1"/>
  <c r="R8" i="4" s="1"/>
  <c r="R9" i="4" s="1"/>
  <c r="R10" i="4" s="1"/>
  <c r="R11" i="4" s="1"/>
  <c r="R12" i="4" s="1"/>
  <c r="R13" i="4" s="1"/>
  <c r="R14" i="4" s="1"/>
  <c r="R15" i="4" s="1"/>
  <c r="R16" i="4" s="1"/>
  <c r="R17" i="4" s="1"/>
  <c r="R18" i="4" s="1"/>
  <c r="R19" i="4" s="1"/>
  <c r="R20" i="4" s="1"/>
  <c r="R21" i="4" s="1"/>
  <c r="R22" i="4" s="1"/>
  <c r="R23" i="4" s="1"/>
  <c r="R24" i="4" s="1"/>
  <c r="R25" i="4" s="1"/>
  <c r="R26" i="4" s="1"/>
  <c r="R27" i="4" s="1"/>
  <c r="R28" i="4" s="1"/>
  <c r="R29" i="4" s="1"/>
  <c r="R30" i="4" s="1"/>
  <c r="R31" i="4" s="1"/>
  <c r="R32" i="4" s="1"/>
  <c r="R33" i="4" s="1"/>
  <c r="R34" i="4" s="1"/>
  <c r="R35" i="4" s="1"/>
  <c r="R36" i="4" s="1"/>
  <c r="R37" i="4" s="1"/>
  <c r="R38" i="4" s="1"/>
  <c r="R39" i="4" s="1"/>
  <c r="R40" i="4" s="1"/>
  <c r="R41" i="4" s="1"/>
  <c r="R42" i="4" s="1"/>
  <c r="R43" i="4" s="1"/>
  <c r="R44" i="4" s="1"/>
  <c r="R45" i="4" s="1"/>
  <c r="R46" i="4" s="1"/>
  <c r="R47" i="4" s="1"/>
  <c r="R48" i="4" s="1"/>
  <c r="R49" i="4" s="1"/>
  <c r="R50" i="4" s="1"/>
  <c r="R51" i="4" s="1"/>
  <c r="R52" i="4" s="1"/>
  <c r="R53" i="4" s="1"/>
  <c r="R54" i="4" s="1"/>
  <c r="R55" i="4" s="1"/>
  <c r="R56" i="4" s="1"/>
  <c r="R57" i="4" s="1"/>
  <c r="R58" i="4" s="1"/>
  <c r="R59" i="4" s="1"/>
  <c r="R60" i="4" s="1"/>
  <c r="R61" i="4" s="1"/>
  <c r="R62" i="4" s="1"/>
  <c r="R63" i="4" s="1"/>
  <c r="R64" i="4" s="1"/>
  <c r="R65" i="4" s="1"/>
  <c r="R66" i="4" s="1"/>
  <c r="R67" i="4" s="1"/>
  <c r="R68" i="4" s="1"/>
  <c r="R69" i="4" s="1"/>
  <c r="R70" i="4" s="1"/>
  <c r="R71" i="4" s="1"/>
  <c r="R72" i="4" s="1"/>
  <c r="R73" i="4" s="1"/>
  <c r="R74" i="4" s="1"/>
  <c r="T3" i="4"/>
  <c r="T4" i="4" s="1"/>
  <c r="T5" i="4" s="1"/>
  <c r="T6" i="4" s="1"/>
  <c r="T7" i="4" s="1"/>
  <c r="T8" i="4" s="1"/>
  <c r="T9" i="4" s="1"/>
  <c r="T10" i="4" s="1"/>
  <c r="T11" i="4" s="1"/>
  <c r="T12" i="4" s="1"/>
  <c r="T13" i="4" s="1"/>
  <c r="T14" i="4" s="1"/>
  <c r="T15" i="4" s="1"/>
  <c r="T16" i="4" s="1"/>
  <c r="T17" i="4" s="1"/>
  <c r="T18" i="4" s="1"/>
  <c r="T19" i="4" s="1"/>
  <c r="T20" i="4" s="1"/>
  <c r="T21" i="4" s="1"/>
  <c r="T22" i="4" s="1"/>
  <c r="T23" i="4" s="1"/>
  <c r="T24" i="4" s="1"/>
  <c r="T25" i="4" s="1"/>
  <c r="T26" i="4" s="1"/>
  <c r="T27" i="4" s="1"/>
  <c r="T28" i="4" s="1"/>
  <c r="T29" i="4" s="1"/>
  <c r="T30" i="4" s="1"/>
  <c r="T31" i="4" s="1"/>
  <c r="T32" i="4" s="1"/>
  <c r="T33" i="4" s="1"/>
  <c r="T34" i="4" s="1"/>
  <c r="T35" i="4" s="1"/>
  <c r="T36" i="4" s="1"/>
  <c r="T37" i="4" s="1"/>
  <c r="T38" i="4" s="1"/>
  <c r="T39" i="4" s="1"/>
  <c r="T40" i="4" s="1"/>
  <c r="T41" i="4" s="1"/>
  <c r="T42" i="4" s="1"/>
  <c r="T43" i="4" s="1"/>
  <c r="T44" i="4" s="1"/>
  <c r="T45" i="4" s="1"/>
  <c r="T46" i="4" s="1"/>
  <c r="T47" i="4" s="1"/>
  <c r="T48" i="4" s="1"/>
  <c r="T49" i="4" s="1"/>
  <c r="T50" i="4" s="1"/>
  <c r="T51" i="4" s="1"/>
  <c r="T52" i="4" s="1"/>
  <c r="T53" i="4" s="1"/>
  <c r="T54" i="4" s="1"/>
  <c r="T55" i="4" s="1"/>
  <c r="T56" i="4" s="1"/>
  <c r="T57" i="4" s="1"/>
  <c r="T58" i="4" s="1"/>
  <c r="T59" i="4" s="1"/>
  <c r="T60" i="4" s="1"/>
  <c r="T61" i="4" s="1"/>
  <c r="T62" i="4" s="1"/>
  <c r="T63" i="4" s="1"/>
  <c r="T64" i="4" s="1"/>
  <c r="T65" i="4" s="1"/>
  <c r="T66" i="4" s="1"/>
  <c r="T67" i="4" s="1"/>
  <c r="T68" i="4" s="1"/>
  <c r="T69" i="4" s="1"/>
  <c r="T70" i="4" s="1"/>
  <c r="T71" i="4" s="1"/>
  <c r="T72" i="4" s="1"/>
  <c r="T73" i="4" s="1"/>
  <c r="T74" i="4" s="1"/>
  <c r="V3" i="4"/>
  <c r="V4" i="4" s="1"/>
  <c r="V5" i="4" s="1"/>
  <c r="V6" i="4" s="1"/>
  <c r="V7" i="4" s="1"/>
  <c r="V8" i="4" s="1"/>
  <c r="V9" i="4" s="1"/>
  <c r="V10" i="4" s="1"/>
  <c r="V11" i="4" s="1"/>
  <c r="V12" i="4" s="1"/>
  <c r="V13" i="4" s="1"/>
  <c r="V14" i="4" s="1"/>
  <c r="V15" i="4" s="1"/>
  <c r="V16" i="4" s="1"/>
  <c r="V17" i="4" s="1"/>
  <c r="V18" i="4" s="1"/>
  <c r="V19" i="4" s="1"/>
  <c r="V20" i="4" s="1"/>
  <c r="V21" i="4" s="1"/>
  <c r="V22" i="4" s="1"/>
  <c r="V23" i="4" s="1"/>
  <c r="V24" i="4" s="1"/>
  <c r="V25" i="4" s="1"/>
  <c r="V26" i="4" s="1"/>
  <c r="V27" i="4" s="1"/>
  <c r="V28" i="4" s="1"/>
  <c r="V29" i="4" s="1"/>
  <c r="V30" i="4" s="1"/>
  <c r="V31" i="4" s="1"/>
  <c r="V32" i="4" s="1"/>
  <c r="V33" i="4" s="1"/>
  <c r="V34" i="4" s="1"/>
  <c r="V35" i="4" s="1"/>
  <c r="V36" i="4" s="1"/>
  <c r="V37" i="4" s="1"/>
  <c r="V38" i="4" s="1"/>
  <c r="V39" i="4" s="1"/>
  <c r="V40" i="4" s="1"/>
  <c r="V41" i="4" s="1"/>
  <c r="V42" i="4" s="1"/>
  <c r="V43" i="4" s="1"/>
  <c r="V44" i="4" s="1"/>
  <c r="V45" i="4" s="1"/>
  <c r="V46" i="4" s="1"/>
  <c r="V47" i="4" s="1"/>
  <c r="V48" i="4" s="1"/>
  <c r="V49" i="4" s="1"/>
  <c r="V50" i="4" s="1"/>
  <c r="V51" i="4" s="1"/>
  <c r="V52" i="4" s="1"/>
  <c r="V53" i="4" s="1"/>
  <c r="V54" i="4" s="1"/>
  <c r="V55" i="4" s="1"/>
  <c r="V56" i="4" s="1"/>
  <c r="V57" i="4" s="1"/>
  <c r="V58" i="4" s="1"/>
  <c r="V59" i="4" s="1"/>
  <c r="V60" i="4" s="1"/>
  <c r="V61" i="4" s="1"/>
  <c r="V62" i="4" s="1"/>
  <c r="V63" i="4" s="1"/>
  <c r="V64" i="4" s="1"/>
  <c r="V65" i="4" s="1"/>
  <c r="V66" i="4" s="1"/>
  <c r="V67" i="4" s="1"/>
  <c r="V68" i="4" s="1"/>
  <c r="V69" i="4" s="1"/>
  <c r="V70" i="4" s="1"/>
  <c r="V71" i="4" s="1"/>
  <c r="V72" i="4" s="1"/>
  <c r="V73" i="4" s="1"/>
  <c r="V74" i="4" s="1"/>
  <c r="X3" i="4"/>
  <c r="X4" i="4" s="1"/>
  <c r="X5" i="4" s="1"/>
  <c r="X6" i="4" s="1"/>
  <c r="X7" i="4" s="1"/>
  <c r="X8" i="4" s="1"/>
  <c r="X9" i="4" s="1"/>
  <c r="X10" i="4" s="1"/>
  <c r="X11" i="4" s="1"/>
  <c r="X12" i="4" s="1"/>
  <c r="X13" i="4" s="1"/>
  <c r="X14" i="4" s="1"/>
  <c r="X15" i="4" s="1"/>
  <c r="X16" i="4" s="1"/>
  <c r="X17" i="4" s="1"/>
  <c r="X18" i="4" s="1"/>
  <c r="X19" i="4" s="1"/>
  <c r="X20" i="4" s="1"/>
  <c r="X21" i="4" s="1"/>
  <c r="X22" i="4" s="1"/>
  <c r="X23" i="4" s="1"/>
  <c r="X24" i="4" s="1"/>
  <c r="X25" i="4" s="1"/>
  <c r="X26" i="4" s="1"/>
  <c r="X27" i="4" s="1"/>
  <c r="X28" i="4" s="1"/>
  <c r="X29" i="4" s="1"/>
  <c r="X30" i="4" s="1"/>
  <c r="X31" i="4" s="1"/>
  <c r="X32" i="4" s="1"/>
  <c r="X33" i="4" s="1"/>
  <c r="X34" i="4" s="1"/>
  <c r="X35" i="4" s="1"/>
  <c r="X36" i="4" s="1"/>
  <c r="X37" i="4" s="1"/>
  <c r="X38" i="4" s="1"/>
  <c r="X39" i="4" s="1"/>
  <c r="X40" i="4" s="1"/>
  <c r="X41" i="4" s="1"/>
  <c r="X42" i="4" s="1"/>
  <c r="X43" i="4" s="1"/>
  <c r="X44" i="4" s="1"/>
  <c r="X45" i="4" s="1"/>
  <c r="X46" i="4" s="1"/>
  <c r="X47" i="4" s="1"/>
  <c r="X48" i="4" s="1"/>
  <c r="X49" i="4" s="1"/>
  <c r="X50" i="4" s="1"/>
  <c r="X51" i="4" s="1"/>
  <c r="X52" i="4" s="1"/>
  <c r="X53" i="4" s="1"/>
  <c r="X54" i="4" s="1"/>
  <c r="X55" i="4" s="1"/>
  <c r="X56" i="4" s="1"/>
  <c r="X57" i="4" s="1"/>
  <c r="X58" i="4" s="1"/>
  <c r="X59" i="4" s="1"/>
  <c r="X60" i="4" s="1"/>
  <c r="X61" i="4" s="1"/>
  <c r="X62" i="4" s="1"/>
  <c r="X63" i="4" s="1"/>
  <c r="X64" i="4" s="1"/>
  <c r="X65" i="4" s="1"/>
  <c r="X66" i="4" s="1"/>
  <c r="X67" i="4" s="1"/>
  <c r="X68" i="4" s="1"/>
  <c r="X69" i="4" s="1"/>
  <c r="X70" i="4" s="1"/>
  <c r="X71" i="4" s="1"/>
  <c r="X72" i="4" s="1"/>
  <c r="X73" i="4" s="1"/>
  <c r="X74" i="4" s="1"/>
  <c r="Z3" i="4"/>
  <c r="Z4" i="4" s="1"/>
  <c r="Z5" i="4" s="1"/>
  <c r="Z6" i="4" s="1"/>
  <c r="Z7" i="4" s="1"/>
  <c r="Z8" i="4" s="1"/>
  <c r="Z9" i="4" s="1"/>
  <c r="Z10" i="4" s="1"/>
  <c r="Z11" i="4" s="1"/>
  <c r="Z12" i="4" s="1"/>
  <c r="Z13" i="4" s="1"/>
  <c r="Z14" i="4" s="1"/>
  <c r="Z15" i="4" s="1"/>
  <c r="Z16" i="4" s="1"/>
  <c r="Z17" i="4" s="1"/>
  <c r="Z18" i="4" s="1"/>
  <c r="Z19" i="4" s="1"/>
  <c r="Z20" i="4" s="1"/>
  <c r="Z21" i="4" s="1"/>
  <c r="Z22" i="4" s="1"/>
  <c r="Z23" i="4" s="1"/>
  <c r="Z24" i="4" s="1"/>
  <c r="Z25" i="4" s="1"/>
  <c r="Z26" i="4" s="1"/>
  <c r="Z27" i="4" s="1"/>
  <c r="Z28" i="4" s="1"/>
  <c r="Z29" i="4" s="1"/>
  <c r="Z30" i="4" s="1"/>
  <c r="Z31" i="4" s="1"/>
  <c r="Z32" i="4" s="1"/>
  <c r="Z33" i="4" s="1"/>
  <c r="Z34" i="4" s="1"/>
  <c r="Z35" i="4" s="1"/>
  <c r="Z36" i="4" s="1"/>
  <c r="Z37" i="4" s="1"/>
  <c r="Z38" i="4" s="1"/>
  <c r="Z39" i="4" s="1"/>
  <c r="Z40" i="4" s="1"/>
  <c r="Z41" i="4" s="1"/>
  <c r="Z42" i="4" s="1"/>
  <c r="Z43" i="4" s="1"/>
  <c r="Z44" i="4" s="1"/>
  <c r="Z45" i="4" s="1"/>
  <c r="Z46" i="4" s="1"/>
  <c r="Z47" i="4" s="1"/>
  <c r="Z48" i="4" s="1"/>
  <c r="Z49" i="4" s="1"/>
  <c r="Z50" i="4" s="1"/>
  <c r="Z51" i="4" s="1"/>
  <c r="Z52" i="4" s="1"/>
  <c r="Z53" i="4" s="1"/>
  <c r="Z54" i="4" s="1"/>
  <c r="Z55" i="4" s="1"/>
  <c r="Z56" i="4" s="1"/>
  <c r="Z57" i="4" s="1"/>
  <c r="Z58" i="4" s="1"/>
  <c r="Z59" i="4" s="1"/>
  <c r="Z60" i="4" s="1"/>
  <c r="Z61" i="4" s="1"/>
  <c r="Z62" i="4" s="1"/>
  <c r="Z63" i="4" s="1"/>
  <c r="Z64" i="4" s="1"/>
  <c r="Z65" i="4" s="1"/>
  <c r="Z66" i="4" s="1"/>
  <c r="Z67" i="4" s="1"/>
  <c r="Z68" i="4" s="1"/>
  <c r="Z69" i="4" s="1"/>
  <c r="Z70" i="4" s="1"/>
  <c r="Z71" i="4" s="1"/>
  <c r="Z72" i="4" s="1"/>
  <c r="Z73" i="4" s="1"/>
  <c r="Z74" i="4" s="1"/>
  <c r="AB3" i="4"/>
  <c r="AB4" i="4" s="1"/>
  <c r="AB5" i="4" s="1"/>
  <c r="AB6" i="4" s="1"/>
  <c r="AB7" i="4" s="1"/>
  <c r="AB8" i="4" s="1"/>
  <c r="AB9" i="4" s="1"/>
  <c r="AB10" i="4" s="1"/>
  <c r="AB11" i="4" s="1"/>
  <c r="AB12" i="4" s="1"/>
  <c r="AB13" i="4" s="1"/>
  <c r="AB14" i="4" s="1"/>
  <c r="AB15" i="4" s="1"/>
  <c r="AB16" i="4" s="1"/>
  <c r="AB17" i="4" s="1"/>
  <c r="AB18" i="4" s="1"/>
  <c r="AB19" i="4" s="1"/>
  <c r="AB20" i="4" s="1"/>
  <c r="AB21" i="4" s="1"/>
  <c r="AB22" i="4" s="1"/>
  <c r="AB23" i="4" s="1"/>
  <c r="AB24" i="4" s="1"/>
  <c r="AB25" i="4" s="1"/>
  <c r="AB26" i="4" s="1"/>
  <c r="AB27" i="4" s="1"/>
  <c r="AB28" i="4" s="1"/>
  <c r="AB29" i="4" s="1"/>
  <c r="AB30" i="4" s="1"/>
  <c r="AB31" i="4" s="1"/>
  <c r="AB32" i="4" s="1"/>
  <c r="AB33" i="4" s="1"/>
  <c r="AB34" i="4" s="1"/>
  <c r="AB35" i="4" s="1"/>
  <c r="AB36" i="4" s="1"/>
  <c r="AB37" i="4" s="1"/>
  <c r="AB38" i="4" s="1"/>
  <c r="AB39" i="4" s="1"/>
  <c r="AB40" i="4" s="1"/>
  <c r="AB41" i="4" s="1"/>
  <c r="AB42" i="4" s="1"/>
  <c r="AB43" i="4" s="1"/>
  <c r="AB44" i="4" s="1"/>
  <c r="AB45" i="4" s="1"/>
  <c r="AB46" i="4" s="1"/>
  <c r="AB47" i="4" s="1"/>
  <c r="AB48" i="4" s="1"/>
  <c r="AB49" i="4" s="1"/>
  <c r="AB50" i="4" s="1"/>
  <c r="AB51" i="4" s="1"/>
  <c r="AB52" i="4" s="1"/>
  <c r="AB53" i="4" s="1"/>
  <c r="AB54" i="4" s="1"/>
  <c r="AB55" i="4" s="1"/>
  <c r="AB56" i="4" s="1"/>
  <c r="AB57" i="4" s="1"/>
  <c r="AB58" i="4" s="1"/>
  <c r="AB59" i="4" s="1"/>
  <c r="AB60" i="4" s="1"/>
  <c r="AB61" i="4" s="1"/>
  <c r="AB62" i="4" s="1"/>
  <c r="AB63" i="4" s="1"/>
  <c r="AB64" i="4" s="1"/>
  <c r="AB65" i="4" s="1"/>
  <c r="AB66" i="4" s="1"/>
  <c r="AB67" i="4" s="1"/>
  <c r="AB68" i="4" s="1"/>
  <c r="AB69" i="4" s="1"/>
  <c r="AB70" i="4" s="1"/>
  <c r="AB71" i="4" s="1"/>
  <c r="AB72" i="4" s="1"/>
  <c r="AB73" i="4" s="1"/>
  <c r="AB74" i="4" s="1"/>
  <c r="AD3" i="4"/>
  <c r="AD4" i="4" s="1"/>
  <c r="AD5" i="4" s="1"/>
  <c r="AD6" i="4" s="1"/>
  <c r="AD7" i="4" s="1"/>
  <c r="AD8" i="4" s="1"/>
  <c r="AD9" i="4" s="1"/>
  <c r="AD10" i="4" s="1"/>
  <c r="AD11" i="4" s="1"/>
  <c r="AD12" i="4" s="1"/>
  <c r="AD13" i="4" s="1"/>
  <c r="AD14" i="4" s="1"/>
  <c r="AD15" i="4" s="1"/>
  <c r="AD16" i="4" s="1"/>
  <c r="AD17" i="4" s="1"/>
  <c r="AD18" i="4" s="1"/>
  <c r="AD19" i="4" s="1"/>
  <c r="AD20" i="4" s="1"/>
  <c r="AD21" i="4" s="1"/>
  <c r="AD22" i="4" s="1"/>
  <c r="AD23" i="4" s="1"/>
  <c r="AD24" i="4" s="1"/>
  <c r="AD25" i="4" s="1"/>
  <c r="AD26" i="4" s="1"/>
  <c r="AD27" i="4" s="1"/>
  <c r="AD28" i="4" s="1"/>
  <c r="AD29" i="4" s="1"/>
  <c r="AD30" i="4" s="1"/>
  <c r="AD31" i="4" s="1"/>
  <c r="AD32" i="4" s="1"/>
  <c r="AD33" i="4" s="1"/>
  <c r="AD34" i="4" s="1"/>
  <c r="AD35" i="4" s="1"/>
  <c r="AD36" i="4" s="1"/>
  <c r="AD37" i="4" s="1"/>
  <c r="AD38" i="4" s="1"/>
  <c r="AD39" i="4" s="1"/>
  <c r="AD40" i="4" s="1"/>
  <c r="AD41" i="4" s="1"/>
  <c r="AD42" i="4" s="1"/>
  <c r="AD43" i="4" s="1"/>
  <c r="AD44" i="4" s="1"/>
  <c r="AD45" i="4" s="1"/>
  <c r="AD46" i="4" s="1"/>
  <c r="AD47" i="4" s="1"/>
  <c r="AD48" i="4" s="1"/>
  <c r="AD49" i="4" s="1"/>
  <c r="AD50" i="4" s="1"/>
  <c r="AD51" i="4" s="1"/>
  <c r="AD52" i="4" s="1"/>
  <c r="AD53" i="4" s="1"/>
  <c r="AD54" i="4" s="1"/>
  <c r="AD55" i="4" s="1"/>
  <c r="AD56" i="4" s="1"/>
  <c r="AD57" i="4" s="1"/>
  <c r="AD58" i="4" s="1"/>
  <c r="AD59" i="4" s="1"/>
  <c r="AD60" i="4" s="1"/>
  <c r="AD61" i="4" s="1"/>
  <c r="AD62" i="4" s="1"/>
  <c r="AD63" i="4" s="1"/>
  <c r="AD64" i="4" s="1"/>
  <c r="AD65" i="4" s="1"/>
  <c r="AD66" i="4" s="1"/>
  <c r="AD67" i="4" s="1"/>
  <c r="AD68" i="4" s="1"/>
  <c r="AD69" i="4" s="1"/>
  <c r="AD70" i="4" s="1"/>
  <c r="AD71" i="4" s="1"/>
  <c r="AD72" i="4" s="1"/>
  <c r="AD73" i="4" s="1"/>
  <c r="AD74" i="4" s="1"/>
  <c r="AF3" i="4"/>
  <c r="AF4" i="4" s="1"/>
  <c r="AF5" i="4" s="1"/>
  <c r="AF6" i="4" s="1"/>
  <c r="AF7" i="4" s="1"/>
  <c r="AF8" i="4" s="1"/>
  <c r="AF9" i="4" s="1"/>
  <c r="AF10" i="4" s="1"/>
  <c r="AF11" i="4" s="1"/>
  <c r="AF12" i="4" s="1"/>
  <c r="AF13" i="4" s="1"/>
  <c r="AF14" i="4" s="1"/>
  <c r="AF15" i="4" s="1"/>
  <c r="AF16" i="4" s="1"/>
  <c r="AF17" i="4" s="1"/>
  <c r="AF18" i="4" s="1"/>
  <c r="AF19" i="4" s="1"/>
  <c r="AF20" i="4" s="1"/>
  <c r="AF21" i="4" s="1"/>
  <c r="AF22" i="4" s="1"/>
  <c r="AF23" i="4" s="1"/>
  <c r="AF24" i="4" s="1"/>
  <c r="AF25" i="4" s="1"/>
  <c r="AF26" i="4" s="1"/>
  <c r="AF27" i="4" s="1"/>
  <c r="AF28" i="4" s="1"/>
  <c r="AF29" i="4" s="1"/>
  <c r="AF30" i="4" s="1"/>
  <c r="AF31" i="4" s="1"/>
  <c r="AF32" i="4" s="1"/>
  <c r="AF33" i="4" s="1"/>
  <c r="AF34" i="4" s="1"/>
  <c r="AF35" i="4" s="1"/>
  <c r="AF36" i="4" s="1"/>
  <c r="AF37" i="4" s="1"/>
  <c r="AF38" i="4" s="1"/>
  <c r="AF39" i="4" s="1"/>
  <c r="AF40" i="4" s="1"/>
  <c r="AF41" i="4" s="1"/>
  <c r="AF42" i="4" s="1"/>
  <c r="AF43" i="4" s="1"/>
  <c r="AF44" i="4" s="1"/>
  <c r="AF45" i="4" s="1"/>
  <c r="AF46" i="4" s="1"/>
  <c r="AF47" i="4" s="1"/>
  <c r="AF48" i="4" s="1"/>
  <c r="AF49" i="4" s="1"/>
  <c r="AF50" i="4" s="1"/>
  <c r="AF51" i="4" s="1"/>
  <c r="AF52" i="4" s="1"/>
  <c r="AF53" i="4" s="1"/>
  <c r="AF54" i="4" s="1"/>
  <c r="AF55" i="4" s="1"/>
  <c r="AF56" i="4" s="1"/>
  <c r="AF57" i="4" s="1"/>
  <c r="AF58" i="4" s="1"/>
  <c r="AF59" i="4" s="1"/>
  <c r="AF60" i="4" s="1"/>
  <c r="AF61" i="4" s="1"/>
  <c r="AF62" i="4" s="1"/>
  <c r="AF63" i="4" s="1"/>
  <c r="AF64" i="4" s="1"/>
  <c r="AF65" i="4" s="1"/>
  <c r="AF66" i="4" s="1"/>
  <c r="AF67" i="4" s="1"/>
  <c r="AF68" i="4" s="1"/>
  <c r="AF69" i="4" s="1"/>
  <c r="AF70" i="4" s="1"/>
  <c r="AF71" i="4" s="1"/>
  <c r="AF72" i="4" s="1"/>
  <c r="AF73" i="4" s="1"/>
  <c r="AF74" i="4" s="1"/>
  <c r="AH3" i="4"/>
  <c r="AH4" i="4" s="1"/>
  <c r="AH5" i="4" s="1"/>
  <c r="AH6" i="4" s="1"/>
  <c r="AH7" i="4" s="1"/>
  <c r="AH8" i="4" s="1"/>
  <c r="AH9" i="4" s="1"/>
  <c r="AH10" i="4" s="1"/>
  <c r="AH11" i="4" s="1"/>
  <c r="AH12" i="4" s="1"/>
  <c r="AH13" i="4" s="1"/>
  <c r="AH14" i="4" s="1"/>
  <c r="AH15" i="4" s="1"/>
  <c r="AH16" i="4" s="1"/>
  <c r="AH17" i="4" s="1"/>
  <c r="AH18" i="4" s="1"/>
  <c r="AH19" i="4" s="1"/>
  <c r="AH20" i="4" s="1"/>
  <c r="AH21" i="4" s="1"/>
  <c r="AH22" i="4" s="1"/>
  <c r="AH23" i="4" s="1"/>
  <c r="AH24" i="4" s="1"/>
  <c r="AH25" i="4" s="1"/>
  <c r="AH26" i="4" s="1"/>
  <c r="AH27" i="4" s="1"/>
  <c r="AH28" i="4" s="1"/>
  <c r="AH29" i="4" s="1"/>
  <c r="AH30" i="4" s="1"/>
  <c r="AH31" i="4" s="1"/>
  <c r="AH32" i="4" s="1"/>
  <c r="AH33" i="4" s="1"/>
  <c r="AH34" i="4" s="1"/>
  <c r="AH35" i="4" s="1"/>
  <c r="AH36" i="4" s="1"/>
  <c r="AH37" i="4" s="1"/>
  <c r="AH38" i="4" s="1"/>
  <c r="AH39" i="4" s="1"/>
  <c r="AH40" i="4" s="1"/>
  <c r="AH41" i="4" s="1"/>
  <c r="AH42" i="4" s="1"/>
  <c r="AH43" i="4" s="1"/>
  <c r="AH44" i="4" s="1"/>
  <c r="AH45" i="4" s="1"/>
  <c r="AH46" i="4" s="1"/>
  <c r="AH47" i="4" s="1"/>
  <c r="AH48" i="4" s="1"/>
  <c r="AH49" i="4" s="1"/>
  <c r="AH50" i="4" s="1"/>
  <c r="AH51" i="4" s="1"/>
  <c r="AH52" i="4" s="1"/>
  <c r="AH53" i="4" s="1"/>
  <c r="AH54" i="4" s="1"/>
  <c r="AH55" i="4" s="1"/>
  <c r="AH56" i="4" s="1"/>
  <c r="AH57" i="4" s="1"/>
  <c r="AH58" i="4" s="1"/>
  <c r="AH59" i="4" s="1"/>
  <c r="AH60" i="4" s="1"/>
  <c r="AH61" i="4" s="1"/>
  <c r="AH62" i="4" s="1"/>
  <c r="AH63" i="4" s="1"/>
  <c r="AH64" i="4" s="1"/>
  <c r="AH65" i="4" s="1"/>
  <c r="AH66" i="4" s="1"/>
  <c r="AH67" i="4" s="1"/>
  <c r="AH68" i="4" s="1"/>
  <c r="AH69" i="4" s="1"/>
  <c r="AH70" i="4" s="1"/>
  <c r="AH71" i="4" s="1"/>
  <c r="AH72" i="4" s="1"/>
  <c r="AH73" i="4" s="1"/>
  <c r="AH74" i="4" s="1"/>
  <c r="AJ3" i="4"/>
  <c r="AJ4" i="4" s="1"/>
  <c r="AJ5" i="4" s="1"/>
  <c r="AJ6" i="4" s="1"/>
  <c r="AJ7" i="4" s="1"/>
  <c r="AJ8" i="4" s="1"/>
  <c r="AJ9" i="4" s="1"/>
  <c r="AJ10" i="4" s="1"/>
  <c r="AJ11" i="4" s="1"/>
  <c r="AJ12" i="4" s="1"/>
  <c r="AJ13" i="4" s="1"/>
  <c r="AJ14" i="4" s="1"/>
  <c r="AJ15" i="4" s="1"/>
  <c r="AJ16" i="4" s="1"/>
  <c r="AJ17" i="4" s="1"/>
  <c r="AJ18" i="4" s="1"/>
  <c r="AJ19" i="4" s="1"/>
  <c r="AJ20" i="4" s="1"/>
  <c r="AJ21" i="4" s="1"/>
  <c r="AJ22" i="4" s="1"/>
  <c r="AJ23" i="4" s="1"/>
  <c r="AJ24" i="4" s="1"/>
  <c r="AJ25" i="4" s="1"/>
  <c r="AJ26" i="4" s="1"/>
  <c r="AJ27" i="4" s="1"/>
  <c r="AJ28" i="4" s="1"/>
  <c r="AJ29" i="4" s="1"/>
  <c r="AJ30" i="4" s="1"/>
  <c r="AJ31" i="4" s="1"/>
  <c r="AJ32" i="4" s="1"/>
  <c r="AJ33" i="4" s="1"/>
  <c r="AJ34" i="4" s="1"/>
  <c r="AJ35" i="4" s="1"/>
  <c r="AJ36" i="4" s="1"/>
  <c r="AJ37" i="4" s="1"/>
  <c r="AJ38" i="4" s="1"/>
  <c r="AJ39" i="4" s="1"/>
  <c r="AJ40" i="4" s="1"/>
  <c r="AJ41" i="4" s="1"/>
  <c r="AJ42" i="4" s="1"/>
  <c r="AJ43" i="4" s="1"/>
  <c r="AJ44" i="4" s="1"/>
  <c r="AJ45" i="4" s="1"/>
  <c r="AJ46" i="4" s="1"/>
  <c r="AJ47" i="4" s="1"/>
  <c r="AJ48" i="4" s="1"/>
  <c r="AJ49" i="4" s="1"/>
  <c r="AJ50" i="4" s="1"/>
  <c r="AJ51" i="4" s="1"/>
  <c r="AJ52" i="4" s="1"/>
  <c r="AJ53" i="4" s="1"/>
  <c r="AJ54" i="4" s="1"/>
  <c r="AJ55" i="4" s="1"/>
  <c r="AJ56" i="4" s="1"/>
  <c r="AJ57" i="4" s="1"/>
  <c r="AJ58" i="4" s="1"/>
  <c r="AJ59" i="4" s="1"/>
  <c r="AJ60" i="4" s="1"/>
  <c r="AJ61" i="4" s="1"/>
  <c r="AJ62" i="4" s="1"/>
  <c r="AJ63" i="4" s="1"/>
  <c r="AJ64" i="4" s="1"/>
  <c r="AJ65" i="4" s="1"/>
  <c r="AJ66" i="4" s="1"/>
  <c r="AJ67" i="4" s="1"/>
  <c r="AJ68" i="4" s="1"/>
  <c r="AJ69" i="4" s="1"/>
  <c r="AJ70" i="4" s="1"/>
  <c r="AJ71" i="4" s="1"/>
  <c r="AJ72" i="4" s="1"/>
  <c r="AJ73" i="4" s="1"/>
  <c r="AJ74" i="4" s="1"/>
  <c r="AL3" i="4"/>
  <c r="AL4" i="4" s="1"/>
  <c r="AL5" i="4" s="1"/>
  <c r="AL6" i="4" s="1"/>
  <c r="AL7" i="4" s="1"/>
  <c r="AL8" i="4" s="1"/>
  <c r="AL9" i="4" s="1"/>
  <c r="AL10" i="4" s="1"/>
  <c r="AL11" i="4" s="1"/>
  <c r="AL12" i="4" s="1"/>
  <c r="AL13" i="4" s="1"/>
  <c r="AL14" i="4" s="1"/>
  <c r="AL15" i="4" s="1"/>
  <c r="AL16" i="4" s="1"/>
  <c r="AL17" i="4" s="1"/>
  <c r="AL18" i="4" s="1"/>
  <c r="AL19" i="4" s="1"/>
  <c r="AL20" i="4" s="1"/>
  <c r="AL21" i="4" s="1"/>
  <c r="AL22" i="4" s="1"/>
  <c r="AL23" i="4" s="1"/>
  <c r="AL24" i="4" s="1"/>
  <c r="AL25" i="4" s="1"/>
  <c r="AL26" i="4" s="1"/>
  <c r="AL27" i="4" s="1"/>
  <c r="AL28" i="4" s="1"/>
  <c r="AL29" i="4" s="1"/>
  <c r="AL30" i="4" s="1"/>
  <c r="AL31" i="4" s="1"/>
  <c r="AL32" i="4" s="1"/>
  <c r="AL33" i="4" s="1"/>
  <c r="AL34" i="4" s="1"/>
  <c r="AL35" i="4" s="1"/>
  <c r="AL36" i="4" s="1"/>
  <c r="AL37" i="4" s="1"/>
  <c r="AL38" i="4" s="1"/>
  <c r="AL39" i="4" s="1"/>
  <c r="AL40" i="4" s="1"/>
  <c r="AL41" i="4" s="1"/>
  <c r="AL42" i="4" s="1"/>
  <c r="AL43" i="4" s="1"/>
  <c r="AL44" i="4" s="1"/>
  <c r="AL45" i="4" s="1"/>
  <c r="AL46" i="4" s="1"/>
  <c r="AL47" i="4" s="1"/>
  <c r="AL48" i="4" s="1"/>
  <c r="AL49" i="4" s="1"/>
  <c r="AL50" i="4" s="1"/>
  <c r="AL51" i="4" s="1"/>
  <c r="AL52" i="4" s="1"/>
  <c r="AL53" i="4" s="1"/>
  <c r="AL54" i="4" s="1"/>
  <c r="AL55" i="4" s="1"/>
  <c r="AL56" i="4" s="1"/>
  <c r="AL57" i="4" s="1"/>
  <c r="AL58" i="4" s="1"/>
  <c r="AL59" i="4" s="1"/>
  <c r="AL60" i="4" s="1"/>
  <c r="AL61" i="4" s="1"/>
  <c r="AL62" i="4" s="1"/>
  <c r="AL63" i="4" s="1"/>
  <c r="AL64" i="4" s="1"/>
  <c r="AL65" i="4" s="1"/>
  <c r="AL66" i="4" s="1"/>
  <c r="AL67" i="4" s="1"/>
  <c r="AL68" i="4" s="1"/>
  <c r="AL69" i="4" s="1"/>
  <c r="AL70" i="4" s="1"/>
  <c r="AL71" i="4" s="1"/>
  <c r="AL72" i="4" s="1"/>
  <c r="AL73" i="4" s="1"/>
  <c r="AL74" i="4" s="1"/>
  <c r="AN3" i="4"/>
  <c r="AN4" i="4" s="1"/>
  <c r="AN5" i="4" s="1"/>
  <c r="AN6" i="4" s="1"/>
  <c r="AN7" i="4" s="1"/>
  <c r="AN8" i="4" s="1"/>
  <c r="AN9" i="4" s="1"/>
  <c r="AN10" i="4" s="1"/>
  <c r="AN11" i="4" s="1"/>
  <c r="AN12" i="4" s="1"/>
  <c r="AN13" i="4" s="1"/>
  <c r="AN14" i="4" s="1"/>
  <c r="AN15" i="4" s="1"/>
  <c r="AN16" i="4" s="1"/>
  <c r="AN17" i="4" s="1"/>
  <c r="AN18" i="4" s="1"/>
  <c r="AN19" i="4" s="1"/>
  <c r="AN20" i="4" s="1"/>
  <c r="AN21" i="4" s="1"/>
  <c r="AN22" i="4" s="1"/>
  <c r="AN23" i="4" s="1"/>
  <c r="AN24" i="4" s="1"/>
  <c r="AN25" i="4" s="1"/>
  <c r="AN26" i="4" s="1"/>
  <c r="AN27" i="4" s="1"/>
  <c r="AN28" i="4" s="1"/>
  <c r="AN29" i="4" s="1"/>
  <c r="AN30" i="4" s="1"/>
  <c r="AN31" i="4" s="1"/>
  <c r="AN32" i="4" s="1"/>
  <c r="AN33" i="4" s="1"/>
  <c r="AN34" i="4" s="1"/>
  <c r="AN35" i="4" s="1"/>
  <c r="AN36" i="4" s="1"/>
  <c r="AN37" i="4" s="1"/>
  <c r="AN38" i="4" s="1"/>
  <c r="AN39" i="4" s="1"/>
  <c r="AN40" i="4" s="1"/>
  <c r="AN41" i="4" s="1"/>
  <c r="AN42" i="4" s="1"/>
  <c r="AN43" i="4" s="1"/>
  <c r="AN44" i="4" s="1"/>
  <c r="AN45" i="4" s="1"/>
  <c r="AN46" i="4" s="1"/>
  <c r="AN47" i="4" s="1"/>
  <c r="AN48" i="4" s="1"/>
  <c r="AN49" i="4" s="1"/>
  <c r="AN50" i="4" s="1"/>
  <c r="AN51" i="4" s="1"/>
  <c r="AN52" i="4" s="1"/>
  <c r="AN53" i="4" s="1"/>
  <c r="AN54" i="4" s="1"/>
  <c r="AN55" i="4" s="1"/>
  <c r="AN56" i="4" s="1"/>
  <c r="AN57" i="4" s="1"/>
  <c r="AN58" i="4" s="1"/>
  <c r="AN59" i="4" s="1"/>
  <c r="AN60" i="4" s="1"/>
  <c r="AN61" i="4" s="1"/>
  <c r="AN62" i="4" s="1"/>
  <c r="AN63" i="4" s="1"/>
  <c r="AN64" i="4" s="1"/>
  <c r="AN65" i="4" s="1"/>
  <c r="AN66" i="4" s="1"/>
  <c r="AN67" i="4" s="1"/>
  <c r="AN68" i="4" s="1"/>
  <c r="AN69" i="4" s="1"/>
  <c r="AN70" i="4" s="1"/>
  <c r="AN71" i="4" s="1"/>
  <c r="AN72" i="4" s="1"/>
  <c r="AN73" i="4" s="1"/>
  <c r="AN74" i="4" s="1"/>
  <c r="AP3" i="4"/>
  <c r="AP4" i="4" s="1"/>
  <c r="AP5" i="4" s="1"/>
  <c r="AP6" i="4" s="1"/>
  <c r="AP7" i="4" s="1"/>
  <c r="AP8" i="4" s="1"/>
  <c r="AP9" i="4" s="1"/>
  <c r="AP10" i="4" s="1"/>
  <c r="AP11" i="4" s="1"/>
  <c r="AP12" i="4" s="1"/>
  <c r="AP13" i="4" s="1"/>
  <c r="AP14" i="4" s="1"/>
  <c r="AP15" i="4" s="1"/>
  <c r="AP16" i="4" s="1"/>
  <c r="AP17" i="4" s="1"/>
  <c r="AP18" i="4" s="1"/>
  <c r="AP19" i="4" s="1"/>
  <c r="AP20" i="4" s="1"/>
  <c r="AP21" i="4" s="1"/>
  <c r="AP22" i="4" s="1"/>
  <c r="AP23" i="4" s="1"/>
  <c r="AP24" i="4" s="1"/>
  <c r="AP25" i="4" s="1"/>
  <c r="AP26" i="4" s="1"/>
  <c r="AP27" i="4" s="1"/>
  <c r="AP28" i="4" s="1"/>
  <c r="AP29" i="4" s="1"/>
  <c r="AP30" i="4" s="1"/>
  <c r="AP31" i="4" s="1"/>
  <c r="AP32" i="4" s="1"/>
  <c r="AP33" i="4" s="1"/>
  <c r="AP34" i="4" s="1"/>
  <c r="AP35" i="4" s="1"/>
  <c r="AP36" i="4" s="1"/>
  <c r="AP37" i="4" s="1"/>
  <c r="AP38" i="4" s="1"/>
  <c r="AP39" i="4" s="1"/>
  <c r="AP40" i="4" s="1"/>
  <c r="AP41" i="4" s="1"/>
  <c r="AP42" i="4" s="1"/>
  <c r="AP43" i="4" s="1"/>
  <c r="AP44" i="4" s="1"/>
  <c r="AP45" i="4" s="1"/>
  <c r="AP46" i="4" s="1"/>
  <c r="AP47" i="4" s="1"/>
  <c r="AP48" i="4" s="1"/>
  <c r="AP49" i="4" s="1"/>
  <c r="AP50" i="4" s="1"/>
  <c r="AP51" i="4" s="1"/>
  <c r="AP52" i="4" s="1"/>
  <c r="AP53" i="4" s="1"/>
  <c r="AP54" i="4" s="1"/>
  <c r="AP55" i="4" s="1"/>
  <c r="AP56" i="4" s="1"/>
  <c r="AP57" i="4" s="1"/>
  <c r="AP58" i="4" s="1"/>
  <c r="AP59" i="4" s="1"/>
  <c r="AP60" i="4" s="1"/>
  <c r="AP61" i="4" s="1"/>
  <c r="AP62" i="4" s="1"/>
  <c r="AP63" i="4" s="1"/>
  <c r="AP64" i="4" s="1"/>
  <c r="AP65" i="4" s="1"/>
  <c r="AP66" i="4" s="1"/>
  <c r="AP67" i="4" s="1"/>
  <c r="AP68" i="4" s="1"/>
  <c r="AP69" i="4" s="1"/>
  <c r="AP70" i="4" s="1"/>
  <c r="AP71" i="4" s="1"/>
  <c r="AP72" i="4" s="1"/>
  <c r="AP73" i="4" s="1"/>
  <c r="AP74" i="4" s="1"/>
  <c r="AR3" i="4"/>
  <c r="AT3" i="4"/>
  <c r="AT4" i="4" s="1"/>
  <c r="AT5" i="4" s="1"/>
  <c r="AT6" i="4" s="1"/>
  <c r="AT7" i="4" s="1"/>
  <c r="AT8" i="4" s="1"/>
  <c r="AT9" i="4" s="1"/>
  <c r="AT10" i="4" s="1"/>
  <c r="AT11" i="4" s="1"/>
  <c r="AT12" i="4" s="1"/>
  <c r="AT13" i="4" s="1"/>
  <c r="AT14" i="4" s="1"/>
  <c r="AT15" i="4" s="1"/>
  <c r="AT16" i="4" s="1"/>
  <c r="AT17" i="4" s="1"/>
  <c r="AT18" i="4" s="1"/>
  <c r="AT19" i="4" s="1"/>
  <c r="AT20" i="4" s="1"/>
  <c r="AT21" i="4" s="1"/>
  <c r="AT22" i="4" s="1"/>
  <c r="AT23" i="4" s="1"/>
  <c r="AT24" i="4" s="1"/>
  <c r="AT25" i="4" s="1"/>
  <c r="AT26" i="4" s="1"/>
  <c r="AT27" i="4" s="1"/>
  <c r="AT28" i="4" s="1"/>
  <c r="AT29" i="4" s="1"/>
  <c r="AT30" i="4" s="1"/>
  <c r="AT31" i="4" s="1"/>
  <c r="AT32" i="4" s="1"/>
  <c r="AT33" i="4" s="1"/>
  <c r="AT34" i="4" s="1"/>
  <c r="AT35" i="4" s="1"/>
  <c r="AT36" i="4" s="1"/>
  <c r="AT37" i="4" s="1"/>
  <c r="AT38" i="4" s="1"/>
  <c r="AT39" i="4" s="1"/>
  <c r="AT40" i="4" s="1"/>
  <c r="AT41" i="4" s="1"/>
  <c r="AT42" i="4" s="1"/>
  <c r="AT43" i="4" s="1"/>
  <c r="AT44" i="4" s="1"/>
  <c r="AT45" i="4" s="1"/>
  <c r="AT46" i="4" s="1"/>
  <c r="AT47" i="4" s="1"/>
  <c r="AT48" i="4" s="1"/>
  <c r="AT49" i="4" s="1"/>
  <c r="AT50" i="4" s="1"/>
  <c r="AT51" i="4" s="1"/>
  <c r="AT52" i="4" s="1"/>
  <c r="AT53" i="4" s="1"/>
  <c r="AT54" i="4" s="1"/>
  <c r="AT55" i="4" s="1"/>
  <c r="AT56" i="4" s="1"/>
  <c r="AT57" i="4" s="1"/>
  <c r="AT58" i="4" s="1"/>
  <c r="AT59" i="4" s="1"/>
  <c r="AT60" i="4" s="1"/>
  <c r="AT61" i="4" s="1"/>
  <c r="AT62" i="4" s="1"/>
  <c r="AT63" i="4" s="1"/>
  <c r="AT64" i="4" s="1"/>
  <c r="AT65" i="4" s="1"/>
  <c r="AT66" i="4" s="1"/>
  <c r="AT67" i="4" s="1"/>
  <c r="AT68" i="4" s="1"/>
  <c r="AT69" i="4" s="1"/>
  <c r="AT70" i="4" s="1"/>
  <c r="AT71" i="4" s="1"/>
  <c r="AT72" i="4" s="1"/>
  <c r="AT73" i="4" s="1"/>
  <c r="AT74" i="4" s="1"/>
  <c r="AV3" i="4"/>
  <c r="AV4" i="4" s="1"/>
  <c r="AV5" i="4" s="1"/>
  <c r="AV6" i="4" s="1"/>
  <c r="AV7" i="4" s="1"/>
  <c r="AV8" i="4" s="1"/>
  <c r="AV9" i="4" s="1"/>
  <c r="AV10" i="4" s="1"/>
  <c r="AV11" i="4" s="1"/>
  <c r="AV12" i="4" s="1"/>
  <c r="AV13" i="4" s="1"/>
  <c r="AV14" i="4" s="1"/>
  <c r="AV15" i="4" s="1"/>
  <c r="AV16" i="4" s="1"/>
  <c r="AV17" i="4" s="1"/>
  <c r="AV18" i="4" s="1"/>
  <c r="AV19" i="4" s="1"/>
  <c r="AV20" i="4" s="1"/>
  <c r="AV21" i="4" s="1"/>
  <c r="AV22" i="4" s="1"/>
  <c r="AV23" i="4" s="1"/>
  <c r="AV24" i="4" s="1"/>
  <c r="AV25" i="4" s="1"/>
  <c r="AV26" i="4" s="1"/>
  <c r="AV27" i="4" s="1"/>
  <c r="AV28" i="4" s="1"/>
  <c r="AV29" i="4" s="1"/>
  <c r="AV30" i="4" s="1"/>
  <c r="AV31" i="4" s="1"/>
  <c r="AV32" i="4" s="1"/>
  <c r="AV33" i="4" s="1"/>
  <c r="AV34" i="4" s="1"/>
  <c r="AV35" i="4" s="1"/>
  <c r="AV36" i="4" s="1"/>
  <c r="AV37" i="4" s="1"/>
  <c r="AV38" i="4" s="1"/>
  <c r="AV39" i="4" s="1"/>
  <c r="AV40" i="4" s="1"/>
  <c r="AV41" i="4" s="1"/>
  <c r="AV42" i="4" s="1"/>
  <c r="AV43" i="4" s="1"/>
  <c r="AV44" i="4" s="1"/>
  <c r="AV45" i="4" s="1"/>
  <c r="AV46" i="4" s="1"/>
  <c r="AV47" i="4" s="1"/>
  <c r="AV48" i="4" s="1"/>
  <c r="AV49" i="4" s="1"/>
  <c r="AV50" i="4" s="1"/>
  <c r="AV51" i="4" s="1"/>
  <c r="AV52" i="4" s="1"/>
  <c r="AV53" i="4" s="1"/>
  <c r="AV54" i="4" s="1"/>
  <c r="AV55" i="4" s="1"/>
  <c r="AV56" i="4" s="1"/>
  <c r="AV57" i="4" s="1"/>
  <c r="AV58" i="4" s="1"/>
  <c r="AV59" i="4" s="1"/>
  <c r="AV60" i="4" s="1"/>
  <c r="AV61" i="4" s="1"/>
  <c r="AV62" i="4" s="1"/>
  <c r="AV63" i="4" s="1"/>
  <c r="AV64" i="4" s="1"/>
  <c r="AV65" i="4" s="1"/>
  <c r="AV66" i="4" s="1"/>
  <c r="AV67" i="4" s="1"/>
  <c r="AV68" i="4" s="1"/>
  <c r="AV69" i="4" s="1"/>
  <c r="AV70" i="4" s="1"/>
  <c r="AV71" i="4" s="1"/>
  <c r="AV72" i="4" s="1"/>
  <c r="AV73" i="4" s="1"/>
  <c r="AV74" i="4" s="1"/>
  <c r="AX3" i="4"/>
  <c r="AX4" i="4" s="1"/>
  <c r="AX5" i="4" s="1"/>
  <c r="AX6" i="4" s="1"/>
  <c r="AX7" i="4" s="1"/>
  <c r="AX8" i="4" s="1"/>
  <c r="AX9" i="4" s="1"/>
  <c r="AX10" i="4" s="1"/>
  <c r="AX11" i="4" s="1"/>
  <c r="AX12" i="4" s="1"/>
  <c r="AX13" i="4" s="1"/>
  <c r="AX14" i="4" s="1"/>
  <c r="AX15" i="4" s="1"/>
  <c r="AX16" i="4" s="1"/>
  <c r="AX17" i="4" s="1"/>
  <c r="AX18" i="4" s="1"/>
  <c r="AX19" i="4" s="1"/>
  <c r="AX20" i="4" s="1"/>
  <c r="AX21" i="4" s="1"/>
  <c r="AX22" i="4" s="1"/>
  <c r="AX23" i="4" s="1"/>
  <c r="AX24" i="4" s="1"/>
  <c r="AX25" i="4" s="1"/>
  <c r="AX26" i="4" s="1"/>
  <c r="AX27" i="4" s="1"/>
  <c r="AX28" i="4" s="1"/>
  <c r="AX29" i="4" s="1"/>
  <c r="AX30" i="4" s="1"/>
  <c r="AX31" i="4" s="1"/>
  <c r="AX32" i="4" s="1"/>
  <c r="AX33" i="4" s="1"/>
  <c r="AX34" i="4" s="1"/>
  <c r="AX35" i="4" s="1"/>
  <c r="AX36" i="4" s="1"/>
  <c r="AX37" i="4" s="1"/>
  <c r="AX38" i="4" s="1"/>
  <c r="AX39" i="4" s="1"/>
  <c r="AX40" i="4" s="1"/>
  <c r="AX41" i="4" s="1"/>
  <c r="AX42" i="4" s="1"/>
  <c r="AX43" i="4" s="1"/>
  <c r="AX44" i="4" s="1"/>
  <c r="AX45" i="4" s="1"/>
  <c r="AX46" i="4" s="1"/>
  <c r="AX47" i="4" s="1"/>
  <c r="AX48" i="4" s="1"/>
  <c r="AX49" i="4" s="1"/>
  <c r="AX50" i="4" s="1"/>
  <c r="AX51" i="4" s="1"/>
  <c r="AX52" i="4" s="1"/>
  <c r="AX53" i="4" s="1"/>
  <c r="AX54" i="4" s="1"/>
  <c r="AX55" i="4" s="1"/>
  <c r="AX56" i="4" s="1"/>
  <c r="AX57" i="4" s="1"/>
  <c r="AX58" i="4" s="1"/>
  <c r="AX59" i="4" s="1"/>
  <c r="AX60" i="4" s="1"/>
  <c r="AX61" i="4" s="1"/>
  <c r="AX62" i="4" s="1"/>
  <c r="AX63" i="4" s="1"/>
  <c r="AX64" i="4" s="1"/>
  <c r="AX65" i="4" s="1"/>
  <c r="AX66" i="4" s="1"/>
  <c r="AX67" i="4" s="1"/>
  <c r="AX68" i="4" s="1"/>
  <c r="AX69" i="4" s="1"/>
  <c r="AX70" i="4" s="1"/>
  <c r="AX71" i="4" s="1"/>
  <c r="AX72" i="4" s="1"/>
  <c r="AX73" i="4" s="1"/>
  <c r="AX74" i="4" s="1"/>
  <c r="AZ3" i="4"/>
  <c r="AZ4" i="4" s="1"/>
  <c r="AZ5" i="4" s="1"/>
  <c r="AZ6" i="4" s="1"/>
  <c r="AZ7" i="4" s="1"/>
  <c r="AZ8" i="4" s="1"/>
  <c r="AZ9" i="4" s="1"/>
  <c r="AZ10" i="4" s="1"/>
  <c r="AZ11" i="4" s="1"/>
  <c r="AZ12" i="4" s="1"/>
  <c r="AZ13" i="4" s="1"/>
  <c r="AZ14" i="4" s="1"/>
  <c r="AZ15" i="4" s="1"/>
  <c r="AZ16" i="4" s="1"/>
  <c r="AZ17" i="4" s="1"/>
  <c r="AZ18" i="4" s="1"/>
  <c r="AZ19" i="4" s="1"/>
  <c r="AZ20" i="4" s="1"/>
  <c r="AZ21" i="4" s="1"/>
  <c r="AZ22" i="4" s="1"/>
  <c r="AZ23" i="4" s="1"/>
  <c r="AZ24" i="4" s="1"/>
  <c r="AZ25" i="4" s="1"/>
  <c r="AZ26" i="4" s="1"/>
  <c r="AZ27" i="4" s="1"/>
  <c r="AZ28" i="4" s="1"/>
  <c r="AZ29" i="4" s="1"/>
  <c r="AZ30" i="4" s="1"/>
  <c r="AZ31" i="4" s="1"/>
  <c r="AZ32" i="4" s="1"/>
  <c r="AZ33" i="4" s="1"/>
  <c r="AZ34" i="4" s="1"/>
  <c r="AZ35" i="4" s="1"/>
  <c r="AZ36" i="4" s="1"/>
  <c r="AZ37" i="4" s="1"/>
  <c r="AZ38" i="4" s="1"/>
  <c r="AZ39" i="4" s="1"/>
  <c r="AZ40" i="4" s="1"/>
  <c r="AZ41" i="4" s="1"/>
  <c r="AZ42" i="4" s="1"/>
  <c r="AZ43" i="4" s="1"/>
  <c r="AZ44" i="4" s="1"/>
  <c r="AZ45" i="4" s="1"/>
  <c r="AZ46" i="4" s="1"/>
  <c r="AZ47" i="4" s="1"/>
  <c r="AZ48" i="4" s="1"/>
  <c r="AZ49" i="4" s="1"/>
  <c r="AZ50" i="4" s="1"/>
  <c r="AZ51" i="4" s="1"/>
  <c r="AZ52" i="4" s="1"/>
  <c r="AZ53" i="4" s="1"/>
  <c r="AZ54" i="4" s="1"/>
  <c r="AZ55" i="4" s="1"/>
  <c r="AZ56" i="4" s="1"/>
  <c r="AZ57" i="4" s="1"/>
  <c r="AZ58" i="4" s="1"/>
  <c r="AZ59" i="4" s="1"/>
  <c r="AZ60" i="4" s="1"/>
  <c r="AZ61" i="4" s="1"/>
  <c r="AZ62" i="4" s="1"/>
  <c r="AZ63" i="4" s="1"/>
  <c r="AZ64" i="4" s="1"/>
  <c r="AZ65" i="4" s="1"/>
  <c r="AZ66" i="4" s="1"/>
  <c r="AZ67" i="4" s="1"/>
  <c r="AZ68" i="4" s="1"/>
  <c r="AZ69" i="4" s="1"/>
  <c r="AZ70" i="4" s="1"/>
  <c r="AZ71" i="4" s="1"/>
  <c r="AZ72" i="4" s="1"/>
  <c r="AZ73" i="4" s="1"/>
  <c r="AZ74" i="4" s="1"/>
  <c r="B4" i="4"/>
  <c r="B5" i="4" s="1"/>
  <c r="B6" i="4" s="1"/>
  <c r="B7" i="4" s="1"/>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AR4" i="4"/>
  <c r="AR5" i="4" s="1"/>
  <c r="AR6" i="4" s="1"/>
  <c r="AR7" i="4" s="1"/>
  <c r="AR8" i="4" s="1"/>
  <c r="AR9" i="4" s="1"/>
  <c r="AR10" i="4" s="1"/>
  <c r="AR11" i="4" s="1"/>
  <c r="AR12" i="4" s="1"/>
  <c r="AR13" i="4" s="1"/>
  <c r="AR14" i="4" s="1"/>
  <c r="AR15" i="4" s="1"/>
  <c r="AR16" i="4" s="1"/>
  <c r="AR17" i="4" s="1"/>
  <c r="AR18" i="4" s="1"/>
  <c r="AR19" i="4" s="1"/>
  <c r="AR20" i="4" s="1"/>
  <c r="AR21" i="4" s="1"/>
  <c r="AR22" i="4" s="1"/>
  <c r="AR23" i="4" s="1"/>
  <c r="AR24" i="4" s="1"/>
  <c r="AR25" i="4" s="1"/>
  <c r="AR26" i="4" s="1"/>
  <c r="AR27" i="4" s="1"/>
  <c r="AR28" i="4" s="1"/>
  <c r="AR29" i="4" s="1"/>
  <c r="AR30" i="4" s="1"/>
  <c r="AR31" i="4" s="1"/>
  <c r="AR32" i="4" s="1"/>
  <c r="AR33" i="4" s="1"/>
  <c r="AR34" i="4" s="1"/>
  <c r="AR35" i="4" s="1"/>
  <c r="AR36" i="4" s="1"/>
  <c r="AR37" i="4" s="1"/>
  <c r="AR38" i="4" s="1"/>
  <c r="AR39" i="4" s="1"/>
  <c r="AR40" i="4" s="1"/>
  <c r="AR41" i="4" s="1"/>
  <c r="AR42" i="4" s="1"/>
  <c r="AR43" i="4" s="1"/>
  <c r="AR44" i="4" s="1"/>
  <c r="AR45" i="4" s="1"/>
  <c r="AR46" i="4" s="1"/>
  <c r="AR47" i="4" s="1"/>
  <c r="AR48" i="4" s="1"/>
  <c r="AR49" i="4" s="1"/>
  <c r="AR50" i="4" s="1"/>
  <c r="AR51" i="4" s="1"/>
  <c r="AR52" i="4" s="1"/>
  <c r="AR53" i="4" s="1"/>
  <c r="AR54" i="4" s="1"/>
  <c r="AR55" i="4" s="1"/>
  <c r="AR56" i="4" s="1"/>
  <c r="AR57" i="4" s="1"/>
  <c r="AR58" i="4" s="1"/>
  <c r="AR59" i="4" s="1"/>
  <c r="AR60" i="4" s="1"/>
  <c r="AR61" i="4" s="1"/>
  <c r="AR62" i="4" s="1"/>
  <c r="AR63" i="4" s="1"/>
  <c r="AR64" i="4" s="1"/>
  <c r="AR65" i="4" s="1"/>
  <c r="AR66" i="4" s="1"/>
  <c r="AR67" i="4" s="1"/>
  <c r="AR68" i="4" s="1"/>
  <c r="AR69" i="4" s="1"/>
  <c r="AR70" i="4" s="1"/>
  <c r="AR71" i="4" s="1"/>
  <c r="AR72" i="4" s="1"/>
  <c r="AR73" i="4" s="1"/>
  <c r="AR74" i="4" s="1"/>
  <c r="L5" i="4"/>
  <c r="L6" i="4" s="1"/>
  <c r="L7" i="4" s="1"/>
  <c r="L8" i="4" s="1"/>
  <c r="L9" i="4" s="1"/>
  <c r="L10" i="4" s="1"/>
  <c r="L11" i="4" s="1"/>
  <c r="L12" i="4" s="1"/>
  <c r="L13" i="4" s="1"/>
  <c r="L14" i="4" s="1"/>
  <c r="L15" i="4" s="1"/>
  <c r="L16" i="4" s="1"/>
  <c r="L17" i="4" s="1"/>
  <c r="L18" i="4" s="1"/>
  <c r="L19" i="4" s="1"/>
  <c r="L20" i="4" s="1"/>
  <c r="L21" i="4" s="1"/>
  <c r="L22" i="4" s="1"/>
  <c r="L23" i="4" s="1"/>
  <c r="L24" i="4" s="1"/>
  <c r="L25" i="4" s="1"/>
  <c r="L26" i="4" s="1"/>
  <c r="L27" i="4" s="1"/>
  <c r="L28" i="4" s="1"/>
  <c r="L29" i="4" s="1"/>
  <c r="L30" i="4" s="1"/>
  <c r="L31" i="4" s="1"/>
  <c r="L32" i="4" s="1"/>
  <c r="L33" i="4" s="1"/>
  <c r="L34" i="4" s="1"/>
  <c r="L35" i="4" s="1"/>
  <c r="L36" i="4" s="1"/>
  <c r="L37" i="4" s="1"/>
  <c r="L38" i="4" s="1"/>
  <c r="L39" i="4" s="1"/>
  <c r="L40" i="4" s="1"/>
  <c r="L41" i="4" s="1"/>
  <c r="L42" i="4" s="1"/>
  <c r="L43" i="4" s="1"/>
  <c r="L44" i="4" s="1"/>
  <c r="L45" i="4" s="1"/>
  <c r="L46" i="4" s="1"/>
  <c r="L47" i="4" s="1"/>
  <c r="L48" i="4" s="1"/>
  <c r="L49" i="4" s="1"/>
  <c r="L50" i="4" s="1"/>
  <c r="L51" i="4" s="1"/>
  <c r="L52" i="4" s="1"/>
  <c r="L53" i="4" s="1"/>
  <c r="L54" i="4" s="1"/>
  <c r="L55" i="4" s="1"/>
  <c r="L56" i="4" s="1"/>
  <c r="L57" i="4" s="1"/>
  <c r="L58" i="4" s="1"/>
  <c r="L59" i="4" s="1"/>
  <c r="L60" i="4" s="1"/>
  <c r="L61" i="4" s="1"/>
  <c r="L62" i="4" s="1"/>
  <c r="L63" i="4" s="1"/>
  <c r="L64" i="4" s="1"/>
  <c r="L65" i="4" s="1"/>
  <c r="L66" i="4" s="1"/>
  <c r="L67" i="4" s="1"/>
  <c r="L68" i="4" s="1"/>
  <c r="L69" i="4" s="1"/>
  <c r="L70" i="4" s="1"/>
  <c r="L71" i="4" s="1"/>
  <c r="L72" i="4" s="1"/>
  <c r="L73" i="4" s="1"/>
  <c r="L74" i="4" s="1"/>
  <c r="F7" i="4"/>
  <c r="F8" i="4" s="1"/>
  <c r="F9" i="4" s="1"/>
  <c r="F10" i="4" s="1"/>
  <c r="F11" i="4" s="1"/>
  <c r="F12" i="4" s="1"/>
  <c r="F13" i="4" s="1"/>
  <c r="F14" i="4" s="1"/>
  <c r="F15" i="4" s="1"/>
  <c r="F16" i="4" s="1"/>
  <c r="F17" i="4" s="1"/>
  <c r="F18" i="4" s="1"/>
  <c r="F19" i="4" s="1"/>
  <c r="F20" i="4" s="1"/>
  <c r="F21" i="4" s="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F47" i="4" s="1"/>
  <c r="F48" i="4" s="1"/>
  <c r="F49" i="4" s="1"/>
  <c r="F50" i="4" s="1"/>
  <c r="F51" i="4" s="1"/>
  <c r="F52" i="4" s="1"/>
  <c r="F53" i="4" s="1"/>
  <c r="F54" i="4" s="1"/>
  <c r="F55" i="4" s="1"/>
  <c r="F56" i="4" s="1"/>
  <c r="F57" i="4" s="1"/>
  <c r="F58" i="4" s="1"/>
  <c r="F59" i="4" s="1"/>
  <c r="F60" i="4" s="1"/>
  <c r="F61" i="4" s="1"/>
  <c r="F62" i="4" s="1"/>
  <c r="F63" i="4" s="1"/>
  <c r="F64" i="4" s="1"/>
  <c r="F65" i="4" s="1"/>
  <c r="F66" i="4" s="1"/>
  <c r="F67" i="4" s="1"/>
  <c r="F68" i="4" s="1"/>
  <c r="F69" i="4" s="1"/>
  <c r="F70" i="4" s="1"/>
  <c r="F71" i="4" s="1"/>
  <c r="F72" i="4" s="1"/>
  <c r="F73" i="4" s="1"/>
  <c r="F74" i="4" s="1"/>
  <c r="N31" i="1"/>
  <c r="L31" i="1" s="1"/>
  <c r="L40" i="1"/>
  <c r="N4" i="1"/>
  <c r="L4" i="1" s="1"/>
  <c r="L25" i="1"/>
  <c r="N10" i="1"/>
  <c r="L10" i="1" s="1"/>
  <c r="L26" i="1"/>
  <c r="N7" i="1"/>
  <c r="L7" i="1" s="1"/>
  <c r="B15" i="17"/>
  <c r="X23" i="2"/>
  <c r="L30" i="2"/>
  <c r="S353" i="3" s="1"/>
  <c r="M30" i="2"/>
  <c r="X19" i="2" s="1"/>
  <c r="N16" i="1"/>
  <c r="L16" i="1" s="1"/>
  <c r="N39" i="1"/>
  <c r="L39" i="1" s="1"/>
  <c r="N11" i="1"/>
  <c r="L11" i="1" s="1"/>
  <c r="L19" i="1"/>
  <c r="N40" i="1"/>
  <c r="N14" i="1"/>
  <c r="L14" i="1" s="1"/>
  <c r="I30" i="2"/>
  <c r="N46" i="1"/>
  <c r="L46" i="1" s="1"/>
  <c r="N41" i="1"/>
  <c r="L41" i="1" s="1"/>
  <c r="U353" i="3" l="1"/>
  <c r="K3" i="15"/>
  <c r="Q12" i="2"/>
  <c r="Q19" i="2"/>
  <c r="Q26" i="2"/>
  <c r="AZ353" i="3"/>
  <c r="F29" i="2"/>
  <c r="H22" i="2"/>
  <c r="G29" i="2"/>
  <c r="G22" i="2"/>
  <c r="I7" i="2"/>
  <c r="M22" i="2"/>
  <c r="D7" i="2"/>
  <c r="Q4" i="2"/>
  <c r="J22" i="2"/>
  <c r="J29" i="2"/>
  <c r="L22" i="2"/>
  <c r="F22" i="2"/>
  <c r="K22" i="2"/>
  <c r="I22" i="2"/>
  <c r="T22" i="15"/>
  <c r="AX353" i="3"/>
  <c r="AY353" i="3" s="1"/>
  <c r="H15" i="17"/>
  <c r="G15" i="17"/>
  <c r="E15" i="17"/>
  <c r="Y35" i="2"/>
  <c r="Y34" i="2"/>
  <c r="Y32" i="2"/>
  <c r="Y37" i="2"/>
  <c r="Y36" i="2"/>
  <c r="Y33" i="2"/>
  <c r="I15" i="17"/>
  <c r="N41" i="2"/>
  <c r="M41" i="2"/>
  <c r="N50" i="1"/>
  <c r="L50" i="1" s="1"/>
  <c r="N54" i="1"/>
  <c r="L54" i="1" s="1"/>
  <c r="N37" i="1"/>
  <c r="L37" i="1" s="1"/>
  <c r="N33" i="1"/>
  <c r="L33" i="1" s="1"/>
  <c r="N43" i="1"/>
  <c r="L43" i="1" s="1"/>
  <c r="N35" i="1"/>
  <c r="L35" i="1" s="1"/>
  <c r="N36" i="1"/>
  <c r="L36" i="1" s="1"/>
  <c r="N42" i="1"/>
  <c r="L42" i="1" s="1"/>
  <c r="N38" i="1"/>
  <c r="L38" i="1" s="1"/>
  <c r="N49" i="1"/>
  <c r="L49" i="1" s="1"/>
  <c r="N51" i="1"/>
  <c r="L51" i="1" s="1"/>
  <c r="N53" i="1"/>
  <c r="L53" i="1" s="1"/>
  <c r="N48" i="1"/>
  <c r="L48" i="1" s="1"/>
  <c r="N9" i="1"/>
  <c r="L9" i="1" s="1"/>
  <c r="N18" i="1"/>
  <c r="L18" i="1" s="1"/>
  <c r="N17" i="1"/>
  <c r="L17" i="1" s="1"/>
  <c r="L20" i="1"/>
  <c r="N15" i="1"/>
  <c r="L15" i="1" s="1"/>
  <c r="N27" i="1"/>
  <c r="L27" i="1" s="1"/>
  <c r="N5" i="1"/>
  <c r="L5" i="1" s="1"/>
  <c r="N6" i="1"/>
  <c r="L6" i="1" s="1"/>
  <c r="N13" i="1"/>
  <c r="L13" i="1" s="1"/>
  <c r="N8" i="1"/>
  <c r="L8" i="1" s="1"/>
  <c r="N32" i="1"/>
  <c r="L32" i="1" s="1"/>
  <c r="N45" i="1"/>
  <c r="L45" i="1" s="1"/>
  <c r="N47" i="1"/>
  <c r="L47" i="1" s="1"/>
  <c r="N52" i="1"/>
  <c r="L52" i="1" s="1"/>
  <c r="N34" i="1"/>
  <c r="L34" i="1" s="1"/>
  <c r="N44" i="1"/>
  <c r="L44" i="1" s="1"/>
  <c r="N12" i="1"/>
  <c r="L12" i="1" s="1"/>
  <c r="H30" i="2"/>
  <c r="V354" i="3" l="1"/>
  <c r="W354" i="3" s="1"/>
  <c r="V187" i="3"/>
  <c r="W187" i="3" s="1"/>
  <c r="V164" i="3"/>
  <c r="W164" i="3" s="1"/>
  <c r="V162" i="3"/>
  <c r="W162" i="3" s="1"/>
  <c r="V202" i="3"/>
  <c r="W202" i="3" s="1"/>
  <c r="V28" i="3"/>
  <c r="W28" i="3" s="1"/>
  <c r="V327" i="3"/>
  <c r="W327" i="3" s="1"/>
  <c r="V170" i="3"/>
  <c r="W170" i="3" s="1"/>
  <c r="V224" i="3"/>
  <c r="W224" i="3" s="1"/>
  <c r="V137" i="3"/>
  <c r="W137" i="3" s="1"/>
  <c r="V231" i="3"/>
  <c r="W231" i="3" s="1"/>
  <c r="V46" i="3"/>
  <c r="W46" i="3" s="1"/>
  <c r="V75" i="3"/>
  <c r="W75" i="3" s="1"/>
  <c r="V209" i="3"/>
  <c r="W209" i="3" s="1"/>
  <c r="V50" i="3"/>
  <c r="W50" i="3" s="1"/>
  <c r="V314" i="3"/>
  <c r="W314" i="3" s="1"/>
  <c r="V176" i="3"/>
  <c r="W176" i="3" s="1"/>
  <c r="V89" i="3"/>
  <c r="W89" i="3" s="1"/>
  <c r="V183" i="3"/>
  <c r="W183" i="3" s="1"/>
  <c r="V361" i="3"/>
  <c r="W361" i="3" s="1"/>
  <c r="V125" i="3"/>
  <c r="W125" i="3" s="1"/>
  <c r="V35" i="3"/>
  <c r="W35" i="3" s="1"/>
  <c r="V77" i="3"/>
  <c r="W77" i="3" s="1"/>
  <c r="V11" i="3"/>
  <c r="W11" i="3" s="1"/>
  <c r="V155" i="3"/>
  <c r="W155" i="3" s="1"/>
  <c r="V132" i="3"/>
  <c r="W132" i="3" s="1"/>
  <c r="V130" i="3"/>
  <c r="W130" i="3" s="1"/>
  <c r="V298" i="3"/>
  <c r="W298" i="3" s="1"/>
  <c r="V60" i="3"/>
  <c r="W60" i="3" s="1"/>
  <c r="V276" i="3"/>
  <c r="W276" i="3" s="1"/>
  <c r="V353" i="3"/>
  <c r="W353" i="3" s="1"/>
  <c r="V128" i="3"/>
  <c r="W128" i="3" s="1"/>
  <c r="V286" i="3"/>
  <c r="W286" i="3" s="1"/>
  <c r="V135" i="3"/>
  <c r="W135" i="3" s="1"/>
  <c r="V305" i="3"/>
  <c r="W305" i="3" s="1"/>
  <c r="V285" i="3"/>
  <c r="W285" i="3" s="1"/>
  <c r="V22" i="3"/>
  <c r="W22" i="3" s="1"/>
  <c r="V107" i="3"/>
  <c r="W107" i="3" s="1"/>
  <c r="V219" i="3"/>
  <c r="W219" i="3" s="1"/>
  <c r="V174" i="3"/>
  <c r="W174" i="3" s="1"/>
  <c r="V284" i="3"/>
  <c r="W284" i="3" s="1"/>
  <c r="V269" i="3"/>
  <c r="W269" i="3" s="1"/>
  <c r="V321" i="3"/>
  <c r="W321" i="3" s="1"/>
  <c r="V57" i="3"/>
  <c r="W57" i="3" s="1"/>
  <c r="V304" i="3"/>
  <c r="W304" i="3" s="1"/>
  <c r="V274" i="3"/>
  <c r="W274" i="3" s="1"/>
  <c r="V33" i="3"/>
  <c r="W33" i="3" s="1"/>
  <c r="V275" i="3"/>
  <c r="W275" i="3" s="1"/>
  <c r="V197" i="3"/>
  <c r="W197" i="3" s="1"/>
  <c r="V55" i="3"/>
  <c r="W55" i="3" s="1"/>
  <c r="V328" i="3"/>
  <c r="W328" i="3" s="1"/>
  <c r="V148" i="3"/>
  <c r="W148" i="3" s="1"/>
  <c r="V332" i="3"/>
  <c r="W332" i="3" s="1"/>
  <c r="V110" i="3"/>
  <c r="W110" i="3" s="1"/>
  <c r="V205" i="3"/>
  <c r="W205" i="3" s="1"/>
  <c r="V118" i="3"/>
  <c r="W118" i="3" s="1"/>
  <c r="V228" i="3"/>
  <c r="W228" i="3" s="1"/>
  <c r="V315" i="3"/>
  <c r="W315" i="3" s="1"/>
  <c r="V358" i="3"/>
  <c r="W358" i="3" s="1"/>
  <c r="V49" i="3"/>
  <c r="W49" i="3" s="1"/>
  <c r="V339" i="3"/>
  <c r="W339" i="3" s="1"/>
  <c r="V365" i="3"/>
  <c r="W365" i="3" s="1"/>
  <c r="V67" i="3"/>
  <c r="W67" i="3" s="1"/>
  <c r="V201" i="3"/>
  <c r="W201" i="3" s="1"/>
  <c r="V42" i="3"/>
  <c r="W42" i="3" s="1"/>
  <c r="V14" i="3"/>
  <c r="W14" i="3" s="1"/>
  <c r="V139" i="3"/>
  <c r="W139" i="3" s="1"/>
  <c r="V116" i="3"/>
  <c r="W116" i="3" s="1"/>
  <c r="V114" i="3"/>
  <c r="W114" i="3" s="1"/>
  <c r="V157" i="3"/>
  <c r="W157" i="3" s="1"/>
  <c r="V240" i="3"/>
  <c r="W240" i="3" s="1"/>
  <c r="V153" i="3"/>
  <c r="W153" i="3" s="1"/>
  <c r="V247" i="3"/>
  <c r="W247" i="3" s="1"/>
  <c r="V257" i="3"/>
  <c r="W257" i="3" s="1"/>
  <c r="V341" i="3"/>
  <c r="W341" i="3" s="1"/>
  <c r="V363" i="3"/>
  <c r="W363" i="3" s="1"/>
  <c r="V342" i="3"/>
  <c r="W342" i="3" s="1"/>
  <c r="V277" i="3"/>
  <c r="W277" i="3" s="1"/>
  <c r="V86" i="3"/>
  <c r="W86" i="3" s="1"/>
  <c r="V196" i="3"/>
  <c r="W196" i="3" s="1"/>
  <c r="V334" i="3"/>
  <c r="W334" i="3" s="1"/>
  <c r="V322" i="3"/>
  <c r="W322" i="3" s="1"/>
  <c r="V81" i="3"/>
  <c r="W81" i="3" s="1"/>
  <c r="V143" i="3"/>
  <c r="W143" i="3" s="1"/>
  <c r="V271" i="3"/>
  <c r="W271" i="3" s="1"/>
  <c r="V192" i="3"/>
  <c r="W192" i="3" s="1"/>
  <c r="V105" i="3"/>
  <c r="W105" i="3" s="1"/>
  <c r="V199" i="3"/>
  <c r="W199" i="3" s="1"/>
  <c r="V350" i="3"/>
  <c r="W350" i="3" s="1"/>
  <c r="V61" i="3"/>
  <c r="W61" i="3" s="1"/>
  <c r="V19" i="3"/>
  <c r="W19" i="3" s="1"/>
  <c r="V171" i="3"/>
  <c r="W171" i="3" s="1"/>
  <c r="V80" i="3"/>
  <c r="W80" i="3" s="1"/>
  <c r="V238" i="3"/>
  <c r="W238" i="3" s="1"/>
  <c r="V87" i="3"/>
  <c r="W87" i="3" s="1"/>
  <c r="V45" i="3"/>
  <c r="W45" i="3" s="1"/>
  <c r="V317" i="3"/>
  <c r="W317" i="3" s="1"/>
  <c r="V70" i="3"/>
  <c r="W70" i="3" s="1"/>
  <c r="V345" i="3"/>
  <c r="W345" i="3" s="1"/>
  <c r="V16" i="3"/>
  <c r="W16" i="3" s="1"/>
  <c r="V90" i="3"/>
  <c r="W90" i="3" s="1"/>
  <c r="V330" i="3"/>
  <c r="W330" i="3" s="1"/>
  <c r="V239" i="3"/>
  <c r="W239" i="3" s="1"/>
  <c r="V119" i="3"/>
  <c r="W119" i="3" s="1"/>
  <c r="V65" i="3"/>
  <c r="W65" i="3" s="1"/>
  <c r="V323" i="3"/>
  <c r="W323" i="3" s="1"/>
  <c r="V210" i="3"/>
  <c r="W210" i="3" s="1"/>
  <c r="V182" i="3"/>
  <c r="W182" i="3" s="1"/>
  <c r="V292" i="3"/>
  <c r="W292" i="3" s="1"/>
  <c r="V258" i="3"/>
  <c r="W258" i="3" s="1"/>
  <c r="V307" i="3"/>
  <c r="W307" i="3" s="1"/>
  <c r="V62" i="3"/>
  <c r="W62" i="3" s="1"/>
  <c r="V221" i="3"/>
  <c r="W221" i="3" s="1"/>
  <c r="V12" i="3"/>
  <c r="W12" i="3" s="1"/>
  <c r="V131" i="3"/>
  <c r="W131" i="3" s="1"/>
  <c r="V108" i="3"/>
  <c r="W108" i="3" s="1"/>
  <c r="V106" i="3"/>
  <c r="W106" i="3" s="1"/>
  <c r="V362" i="3"/>
  <c r="W362" i="3" s="1"/>
  <c r="V203" i="3"/>
  <c r="W203" i="3" s="1"/>
  <c r="V180" i="3"/>
  <c r="W180" i="3" s="1"/>
  <c r="V356" i="3"/>
  <c r="W356" i="3" s="1"/>
  <c r="V76" i="3"/>
  <c r="W76" i="3" s="1"/>
  <c r="V83" i="3"/>
  <c r="W83" i="3" s="1"/>
  <c r="V217" i="3"/>
  <c r="W217" i="3" s="1"/>
  <c r="V58" i="3"/>
  <c r="W58" i="3" s="1"/>
  <c r="V165" i="3"/>
  <c r="W165" i="3" s="1"/>
  <c r="V259" i="3"/>
  <c r="W259" i="3" s="1"/>
  <c r="V113" i="3"/>
  <c r="W113" i="3" s="1"/>
  <c r="V69" i="3"/>
  <c r="W69" i="3" s="1"/>
  <c r="V117" i="3"/>
  <c r="W117" i="3" s="1"/>
  <c r="V150" i="3"/>
  <c r="W150" i="3" s="1"/>
  <c r="V260" i="3"/>
  <c r="W260" i="3" s="1"/>
  <c r="V296" i="3"/>
  <c r="W296" i="3" s="1"/>
  <c r="V344" i="3"/>
  <c r="W344" i="3" s="1"/>
  <c r="V17" i="3"/>
  <c r="W17" i="3" s="1"/>
  <c r="V18" i="3"/>
  <c r="W18" i="3" s="1"/>
  <c r="V329" i="3"/>
  <c r="W329" i="3" s="1"/>
  <c r="V256" i="3"/>
  <c r="W256" i="3" s="1"/>
  <c r="V169" i="3"/>
  <c r="W169" i="3" s="1"/>
  <c r="V10" i="3"/>
  <c r="W10" i="3" s="1"/>
  <c r="V249" i="3"/>
  <c r="W249" i="3" s="1"/>
  <c r="V335" i="3"/>
  <c r="W335" i="3" s="1"/>
  <c r="V357" i="3"/>
  <c r="W357" i="3" s="1"/>
  <c r="V166" i="3"/>
  <c r="W166" i="3" s="1"/>
  <c r="V144" i="3"/>
  <c r="W144" i="3" s="1"/>
  <c r="V302" i="3"/>
  <c r="W302" i="3" s="1"/>
  <c r="V151" i="3"/>
  <c r="W151" i="3" s="1"/>
  <c r="V227" i="3"/>
  <c r="W227" i="3" s="1"/>
  <c r="V267" i="3"/>
  <c r="W267" i="3" s="1"/>
  <c r="V6" i="3"/>
  <c r="W6" i="3" s="1"/>
  <c r="V63" i="3"/>
  <c r="W63" i="3" s="1"/>
  <c r="V115" i="3"/>
  <c r="W115" i="3" s="1"/>
  <c r="V37" i="3"/>
  <c r="W37" i="3" s="1"/>
  <c r="V318" i="3"/>
  <c r="W318" i="3" s="1"/>
  <c r="V112" i="3"/>
  <c r="W112" i="3" s="1"/>
  <c r="V291" i="3"/>
  <c r="W291" i="3" s="1"/>
  <c r="V133" i="3"/>
  <c r="W133" i="3" s="1"/>
  <c r="V264" i="3"/>
  <c r="W264" i="3" s="1"/>
  <c r="V36" i="3"/>
  <c r="W36" i="3" s="1"/>
  <c r="V88" i="3"/>
  <c r="W88" i="3" s="1"/>
  <c r="V246" i="3"/>
  <c r="W246" i="3" s="1"/>
  <c r="V95" i="3"/>
  <c r="W95" i="3" s="1"/>
  <c r="V13" i="3"/>
  <c r="W13" i="3" s="1"/>
  <c r="V226" i="3"/>
  <c r="W226" i="3" s="1"/>
  <c r="V59" i="3"/>
  <c r="W59" i="3" s="1"/>
  <c r="V281" i="3"/>
  <c r="W281" i="3" s="1"/>
  <c r="V346" i="3"/>
  <c r="W346" i="3" s="1"/>
  <c r="V195" i="3"/>
  <c r="W195" i="3" s="1"/>
  <c r="V172" i="3"/>
  <c r="W172" i="3" s="1"/>
  <c r="V364" i="3"/>
  <c r="W364" i="3" s="1"/>
  <c r="V21" i="3"/>
  <c r="W21" i="3" s="1"/>
  <c r="V134" i="3"/>
  <c r="W134" i="3" s="1"/>
  <c r="V244" i="3"/>
  <c r="W244" i="3" s="1"/>
  <c r="V309" i="3"/>
  <c r="W309" i="3" s="1"/>
  <c r="V43" i="3"/>
  <c r="W43" i="3" s="1"/>
  <c r="V147" i="3"/>
  <c r="W147" i="3" s="1"/>
  <c r="V124" i="3"/>
  <c r="W124" i="3" s="1"/>
  <c r="V122" i="3"/>
  <c r="W122" i="3" s="1"/>
  <c r="V306" i="3"/>
  <c r="W306" i="3" s="1"/>
  <c r="V47" i="3"/>
  <c r="W47" i="3" s="1"/>
  <c r="V212" i="3"/>
  <c r="W212" i="3" s="1"/>
  <c r="V282" i="3"/>
  <c r="W282" i="3" s="1"/>
  <c r="V56" i="3"/>
  <c r="W56" i="3" s="1"/>
  <c r="V214" i="3"/>
  <c r="W214" i="3" s="1"/>
  <c r="V324" i="3"/>
  <c r="W324" i="3" s="1"/>
  <c r="V141" i="3"/>
  <c r="W141" i="3" s="1"/>
  <c r="V288" i="3"/>
  <c r="W288" i="3" s="1"/>
  <c r="V30" i="3"/>
  <c r="W30" i="3" s="1"/>
  <c r="V146" i="3"/>
  <c r="W146" i="3" s="1"/>
  <c r="V23" i="3"/>
  <c r="W23" i="3" s="1"/>
  <c r="V99" i="3"/>
  <c r="W99" i="3" s="1"/>
  <c r="V233" i="3"/>
  <c r="W233" i="3" s="1"/>
  <c r="V74" i="3"/>
  <c r="W74" i="3" s="1"/>
  <c r="V101" i="3"/>
  <c r="W101" i="3" s="1"/>
  <c r="V243" i="3"/>
  <c r="W243" i="3" s="1"/>
  <c r="V290" i="3"/>
  <c r="W290" i="3" s="1"/>
  <c r="V230" i="3"/>
  <c r="W230" i="3" s="1"/>
  <c r="V208" i="3"/>
  <c r="W208" i="3" s="1"/>
  <c r="V121" i="3"/>
  <c r="W121" i="3" s="1"/>
  <c r="V215" i="3"/>
  <c r="W215" i="3" s="1"/>
  <c r="V336" i="3"/>
  <c r="W336" i="3" s="1"/>
  <c r="V351" i="3"/>
  <c r="W351" i="3" s="1"/>
  <c r="V40" i="3"/>
  <c r="W40" i="3" s="1"/>
  <c r="V20" i="3"/>
  <c r="W20" i="3" s="1"/>
  <c r="V177" i="3"/>
  <c r="W177" i="3" s="1"/>
  <c r="V92" i="3"/>
  <c r="W92" i="3" s="1"/>
  <c r="V98" i="3"/>
  <c r="W98" i="3" s="1"/>
  <c r="V145" i="3"/>
  <c r="W145" i="3" s="1"/>
  <c r="V270" i="3"/>
  <c r="W270" i="3" s="1"/>
  <c r="V91" i="3"/>
  <c r="W91" i="3" s="1"/>
  <c r="V347" i="3"/>
  <c r="W347" i="3" s="1"/>
  <c r="V325" i="3"/>
  <c r="W325" i="3" s="1"/>
  <c r="V186" i="3"/>
  <c r="W186" i="3" s="1"/>
  <c r="V152" i="3"/>
  <c r="W152" i="3" s="1"/>
  <c r="V310" i="3"/>
  <c r="W310" i="3" s="1"/>
  <c r="V159" i="3"/>
  <c r="W159" i="3" s="1"/>
  <c r="V229" i="3"/>
  <c r="W229" i="3" s="1"/>
  <c r="V273" i="3"/>
  <c r="W273" i="3" s="1"/>
  <c r="V32" i="3"/>
  <c r="W32" i="3" s="1"/>
  <c r="V84" i="3"/>
  <c r="W84" i="3" s="1"/>
  <c r="V189" i="3"/>
  <c r="W189" i="3" s="1"/>
  <c r="V126" i="3"/>
  <c r="W126" i="3" s="1"/>
  <c r="V236" i="3"/>
  <c r="W236" i="3" s="1"/>
  <c r="V312" i="3"/>
  <c r="W312" i="3" s="1"/>
  <c r="V178" i="3"/>
  <c r="W178" i="3" s="1"/>
  <c r="V198" i="3"/>
  <c r="W198" i="3" s="1"/>
  <c r="V308" i="3"/>
  <c r="W308" i="3" s="1"/>
  <c r="V242" i="3"/>
  <c r="W242" i="3" s="1"/>
  <c r="V263" i="3"/>
  <c r="W263" i="3" s="1"/>
  <c r="V211" i="3"/>
  <c r="W211" i="3" s="1"/>
  <c r="V188" i="3"/>
  <c r="W188" i="3" s="1"/>
  <c r="V348" i="3"/>
  <c r="W348" i="3" s="1"/>
  <c r="V311" i="3"/>
  <c r="W311" i="3" s="1"/>
  <c r="V68" i="3"/>
  <c r="W68" i="3" s="1"/>
  <c r="V340" i="3"/>
  <c r="W340" i="3" s="1"/>
  <c r="V320" i="3"/>
  <c r="W320" i="3" s="1"/>
  <c r="V120" i="3"/>
  <c r="W120" i="3" s="1"/>
  <c r="V278" i="3"/>
  <c r="W278" i="3" s="1"/>
  <c r="V127" i="3"/>
  <c r="W127" i="3" s="1"/>
  <c r="V266" i="3"/>
  <c r="W266" i="3" s="1"/>
  <c r="V93" i="3"/>
  <c r="W93" i="3" s="1"/>
  <c r="V27" i="3"/>
  <c r="W27" i="3" s="1"/>
  <c r="V283" i="3"/>
  <c r="W283" i="3" s="1"/>
  <c r="V78" i="3"/>
  <c r="W78" i="3" s="1"/>
  <c r="V163" i="3"/>
  <c r="W163" i="3" s="1"/>
  <c r="V140" i="3"/>
  <c r="W140" i="3" s="1"/>
  <c r="V138" i="3"/>
  <c r="W138" i="3" s="1"/>
  <c r="V355" i="3"/>
  <c r="W355" i="3" s="1"/>
  <c r="V31" i="3"/>
  <c r="W31" i="3" s="1"/>
  <c r="V72" i="3"/>
  <c r="W72" i="3" s="1"/>
  <c r="V294" i="3"/>
  <c r="W294" i="3" s="1"/>
  <c r="V272" i="3"/>
  <c r="W272" i="3" s="1"/>
  <c r="V185" i="3"/>
  <c r="W185" i="3" s="1"/>
  <c r="V26" i="3"/>
  <c r="W26" i="3" s="1"/>
  <c r="V218" i="3"/>
  <c r="W218" i="3" s="1"/>
  <c r="V313" i="3"/>
  <c r="W313" i="3" s="1"/>
  <c r="V5" i="3"/>
  <c r="W5" i="3" s="1"/>
  <c r="V54" i="3"/>
  <c r="W54" i="3" s="1"/>
  <c r="V79" i="3"/>
  <c r="W79" i="3" s="1"/>
  <c r="V7" i="3"/>
  <c r="W7" i="3" s="1"/>
  <c r="V167" i="3"/>
  <c r="W167" i="3" s="1"/>
  <c r="V38" i="3"/>
  <c r="W38" i="3" s="1"/>
  <c r="V39" i="3"/>
  <c r="W39" i="3" s="1"/>
  <c r="V222" i="3"/>
  <c r="W222" i="3" s="1"/>
  <c r="V349" i="3"/>
  <c r="W349" i="3" s="1"/>
  <c r="V216" i="3"/>
  <c r="W216" i="3" s="1"/>
  <c r="V129" i="3"/>
  <c r="W129" i="3" s="1"/>
  <c r="V223" i="3"/>
  <c r="W223" i="3" s="1"/>
  <c r="V279" i="3"/>
  <c r="W279" i="3" s="1"/>
  <c r="V297" i="3"/>
  <c r="W297" i="3" s="1"/>
  <c r="V234" i="3"/>
  <c r="W234" i="3" s="1"/>
  <c r="V41" i="3"/>
  <c r="W41" i="3" s="1"/>
  <c r="V194" i="3"/>
  <c r="W194" i="3" s="1"/>
  <c r="V190" i="3"/>
  <c r="W190" i="3" s="1"/>
  <c r="V300" i="3"/>
  <c r="W300" i="3" s="1"/>
  <c r="V250" i="3"/>
  <c r="W250" i="3" s="1"/>
  <c r="V104" i="3"/>
  <c r="W104" i="3" s="1"/>
  <c r="V262" i="3"/>
  <c r="W262" i="3" s="1"/>
  <c r="V111" i="3"/>
  <c r="W111" i="3" s="1"/>
  <c r="V85" i="3"/>
  <c r="W85" i="3" s="1"/>
  <c r="V173" i="3"/>
  <c r="W173" i="3" s="1"/>
  <c r="V142" i="3"/>
  <c r="W142" i="3" s="1"/>
  <c r="V252" i="3"/>
  <c r="W252" i="3" s="1"/>
  <c r="V299" i="3"/>
  <c r="W299" i="3" s="1"/>
  <c r="V8" i="3"/>
  <c r="W8" i="3" s="1"/>
  <c r="V4" i="3"/>
  <c r="W4" i="3" s="1"/>
  <c r="V207" i="3"/>
  <c r="W207" i="3" s="1"/>
  <c r="V29" i="3"/>
  <c r="W29" i="3" s="1"/>
  <c r="V184" i="3"/>
  <c r="W184" i="3" s="1"/>
  <c r="V97" i="3"/>
  <c r="W97" i="3" s="1"/>
  <c r="V191" i="3"/>
  <c r="W191" i="3" s="1"/>
  <c r="V289" i="3"/>
  <c r="W289" i="3" s="1"/>
  <c r="V338" i="3"/>
  <c r="W338" i="3" s="1"/>
  <c r="V102" i="3"/>
  <c r="W102" i="3" s="1"/>
  <c r="V265" i="3"/>
  <c r="W265" i="3" s="1"/>
  <c r="V359" i="3"/>
  <c r="W359" i="3" s="1"/>
  <c r="V94" i="3"/>
  <c r="W94" i="3" s="1"/>
  <c r="V204" i="3"/>
  <c r="W204" i="3" s="1"/>
  <c r="V331" i="3"/>
  <c r="W331" i="3" s="1"/>
  <c r="V295" i="3"/>
  <c r="W295" i="3" s="1"/>
  <c r="V52" i="3"/>
  <c r="W52" i="3" s="1"/>
  <c r="V136" i="3"/>
  <c r="W136" i="3" s="1"/>
  <c r="V24" i="3"/>
  <c r="W24" i="3" s="1"/>
  <c r="V261" i="3"/>
  <c r="W261" i="3" s="1"/>
  <c r="V232" i="3"/>
  <c r="W232" i="3" s="1"/>
  <c r="V225" i="3"/>
  <c r="W225" i="3" s="1"/>
  <c r="V64" i="3"/>
  <c r="W64" i="3" s="1"/>
  <c r="V109" i="3"/>
  <c r="W109" i="3" s="1"/>
  <c r="V220" i="3"/>
  <c r="W220" i="3" s="1"/>
  <c r="V280" i="3"/>
  <c r="W280" i="3" s="1"/>
  <c r="V193" i="3"/>
  <c r="W193" i="3" s="1"/>
  <c r="V34" i="3"/>
  <c r="W34" i="3" s="1"/>
  <c r="V213" i="3"/>
  <c r="W213" i="3" s="1"/>
  <c r="V71" i="3"/>
  <c r="W71" i="3" s="1"/>
  <c r="V53" i="3"/>
  <c r="W53" i="3" s="1"/>
  <c r="V51" i="3"/>
  <c r="W51" i="3" s="1"/>
  <c r="V96" i="3"/>
  <c r="W96" i="3" s="1"/>
  <c r="V254" i="3"/>
  <c r="W254" i="3" s="1"/>
  <c r="V103" i="3"/>
  <c r="W103" i="3" s="1"/>
  <c r="V301" i="3"/>
  <c r="W301" i="3" s="1"/>
  <c r="V168" i="3"/>
  <c r="W168" i="3" s="1"/>
  <c r="V326" i="3"/>
  <c r="W326" i="3" s="1"/>
  <c r="V175" i="3"/>
  <c r="W175" i="3" s="1"/>
  <c r="V181" i="3"/>
  <c r="W181" i="3" s="1"/>
  <c r="V48" i="3"/>
  <c r="W48" i="3" s="1"/>
  <c r="V206" i="3"/>
  <c r="W206" i="3" s="1"/>
  <c r="V316" i="3"/>
  <c r="W316" i="3" s="1"/>
  <c r="V237" i="3"/>
  <c r="W237" i="3" s="1"/>
  <c r="V352" i="3"/>
  <c r="W352" i="3" s="1"/>
  <c r="V25" i="3"/>
  <c r="W25" i="3" s="1"/>
  <c r="V82" i="3"/>
  <c r="W82" i="3" s="1"/>
  <c r="V3" i="3"/>
  <c r="W3" i="3" s="1"/>
  <c r="V248" i="3"/>
  <c r="W248" i="3" s="1"/>
  <c r="V161" i="3"/>
  <c r="W161" i="3" s="1"/>
  <c r="V255" i="3"/>
  <c r="W255" i="3" s="1"/>
  <c r="V253" i="3"/>
  <c r="W253" i="3" s="1"/>
  <c r="V251" i="3"/>
  <c r="W251" i="3" s="1"/>
  <c r="V241" i="3"/>
  <c r="W241" i="3" s="1"/>
  <c r="V245" i="3"/>
  <c r="W245" i="3" s="1"/>
  <c r="V319" i="3"/>
  <c r="W319" i="3" s="1"/>
  <c r="V158" i="3"/>
  <c r="W158" i="3" s="1"/>
  <c r="V268" i="3"/>
  <c r="W268" i="3" s="1"/>
  <c r="V293" i="3"/>
  <c r="W293" i="3" s="1"/>
  <c r="V303" i="3"/>
  <c r="W303" i="3" s="1"/>
  <c r="V73" i="3"/>
  <c r="W73" i="3" s="1"/>
  <c r="V200" i="3"/>
  <c r="W200" i="3" s="1"/>
  <c r="V44" i="3"/>
  <c r="W44" i="3" s="1"/>
  <c r="V179" i="3"/>
  <c r="W179" i="3" s="1"/>
  <c r="V156" i="3"/>
  <c r="W156" i="3" s="1"/>
  <c r="V154" i="3"/>
  <c r="W154" i="3" s="1"/>
  <c r="V333" i="3"/>
  <c r="W333" i="3" s="1"/>
  <c r="V15" i="3"/>
  <c r="W15" i="3" s="1"/>
  <c r="V149" i="3"/>
  <c r="W149" i="3" s="1"/>
  <c r="V287" i="3"/>
  <c r="W287" i="3" s="1"/>
  <c r="V123" i="3"/>
  <c r="W123" i="3" s="1"/>
  <c r="V100" i="3"/>
  <c r="W100" i="3" s="1"/>
  <c r="V160" i="3"/>
  <c r="W160" i="3" s="1"/>
  <c r="V337" i="3"/>
  <c r="W337" i="3" s="1"/>
  <c r="V343" i="3"/>
  <c r="W343" i="3" s="1"/>
  <c r="V66" i="3"/>
  <c r="W66" i="3" s="1"/>
  <c r="V9" i="3"/>
  <c r="W9" i="3" s="1"/>
  <c r="V235" i="3"/>
  <c r="W235" i="3" s="1"/>
  <c r="V360" i="3"/>
  <c r="W360" i="3" s="1"/>
  <c r="V2" i="3"/>
  <c r="W2" i="3" s="1"/>
  <c r="E32" i="10"/>
  <c r="E35" i="10"/>
  <c r="E99" i="10"/>
  <c r="E100" i="10"/>
  <c r="E120" i="10"/>
  <c r="E94" i="10"/>
  <c r="E114" i="10"/>
  <c r="E93" i="10"/>
  <c r="E112" i="10"/>
  <c r="E67" i="10"/>
  <c r="E98" i="10"/>
  <c r="E116" i="10"/>
  <c r="E41" i="10"/>
  <c r="E56" i="10"/>
  <c r="E61" i="10"/>
  <c r="E46" i="10"/>
  <c r="E3" i="10"/>
  <c r="E62" i="10"/>
  <c r="E106" i="10"/>
  <c r="E47" i="10"/>
  <c r="E43" i="10"/>
  <c r="K29" i="2"/>
  <c r="E38" i="10"/>
  <c r="E75" i="10"/>
  <c r="E73" i="10"/>
  <c r="E50" i="10"/>
  <c r="E127" i="10"/>
  <c r="E9" i="10"/>
  <c r="E72" i="10"/>
  <c r="E71" i="10"/>
  <c r="D15" i="17"/>
  <c r="E104" i="10"/>
  <c r="E70" i="10"/>
  <c r="E40" i="10"/>
  <c r="E36" i="10"/>
  <c r="E60" i="10"/>
  <c r="E113" i="10"/>
  <c r="Q39" i="15"/>
  <c r="E40" i="15" s="1"/>
  <c r="E101" i="10"/>
  <c r="E102" i="10"/>
  <c r="E118" i="10"/>
  <c r="E49" i="10"/>
  <c r="E59" i="10"/>
  <c r="E91" i="10"/>
  <c r="E58" i="10"/>
  <c r="E92" i="10"/>
  <c r="E88" i="10"/>
  <c r="E42" i="10"/>
  <c r="E8" i="10"/>
  <c r="E110" i="10"/>
  <c r="AJ35" i="2" s="1"/>
  <c r="P35" i="2" s="1"/>
  <c r="E66" i="10"/>
  <c r="E39" i="10"/>
  <c r="E103" i="10"/>
  <c r="E65" i="10"/>
  <c r="E96" i="10"/>
  <c r="E48" i="10"/>
  <c r="E57" i="10"/>
  <c r="E126" i="10"/>
  <c r="E31" i="10"/>
  <c r="E87" i="10"/>
  <c r="E123" i="10"/>
  <c r="E109" i="10"/>
  <c r="E117" i="10"/>
  <c r="E111" i="10"/>
  <c r="E30" i="10"/>
  <c r="E74" i="10"/>
  <c r="E97" i="10"/>
  <c r="AJ38" i="2" s="1"/>
  <c r="E121" i="10"/>
  <c r="E7" i="10"/>
  <c r="E6" i="10"/>
  <c r="E108" i="10"/>
  <c r="E45" i="10"/>
  <c r="E2" i="10"/>
  <c r="E69" i="10"/>
  <c r="E90" i="10"/>
  <c r="E122" i="10"/>
  <c r="E44" i="10"/>
  <c r="E4" i="10"/>
  <c r="E95" i="10"/>
  <c r="E68" i="10"/>
  <c r="E52" i="10"/>
  <c r="E51" i="10"/>
  <c r="E107" i="10"/>
  <c r="E5" i="10"/>
  <c r="E37" i="10"/>
  <c r="E29" i="10"/>
  <c r="J33" i="2" l="1"/>
  <c r="J30" i="2" s="1"/>
  <c r="V15" i="2" s="1"/>
  <c r="AG35" i="2"/>
  <c r="AH35" i="2" s="1"/>
  <c r="O35" i="2" s="1"/>
  <c r="AJ36" i="2"/>
  <c r="P36" i="2" s="1"/>
  <c r="AJ37" i="2"/>
  <c r="AJ40" i="2"/>
  <c r="AJ39" i="2"/>
  <c r="F15" i="17" l="1"/>
  <c r="AA15" i="2"/>
  <c r="X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François</author>
    <author>a205578</author>
    <author>Sylvain Brasseur</author>
  </authors>
  <commentList>
    <comment ref="E6" authorId="0" shapeId="0" xr:uid="{00000000-0006-0000-0200-000001000000}">
      <text>
        <r>
          <rPr>
            <b/>
            <sz val="9"/>
            <color indexed="81"/>
            <rFont val="Tahoma"/>
            <family val="2"/>
          </rPr>
          <t>Pour faire apparaître les carrières avancées vous devez renseigner la cellule "1ère carrière" afin de signifier que vous avez terminé au moins une carrière.</t>
        </r>
      </text>
    </comment>
    <comment ref="F20" authorId="1" shapeId="0" xr:uid="{00000000-0006-0000-0200-000002000000}">
      <text>
        <r>
          <rPr>
            <b/>
            <sz val="8"/>
            <color indexed="81"/>
            <rFont val="Tahoma"/>
            <family val="2"/>
          </rPr>
          <t>Capacité de Combat</t>
        </r>
      </text>
    </comment>
    <comment ref="G20" authorId="1" shapeId="0" xr:uid="{00000000-0006-0000-0200-000003000000}">
      <text>
        <r>
          <rPr>
            <b/>
            <sz val="8"/>
            <color indexed="81"/>
            <rFont val="Tahoma"/>
            <family val="2"/>
          </rPr>
          <t>Capacité de Tir</t>
        </r>
      </text>
    </comment>
    <comment ref="H20" authorId="1" shapeId="0" xr:uid="{00000000-0006-0000-0200-000004000000}">
      <text>
        <r>
          <rPr>
            <b/>
            <sz val="8"/>
            <color indexed="81"/>
            <rFont val="Tahoma"/>
            <family val="2"/>
          </rPr>
          <t>Force</t>
        </r>
      </text>
    </comment>
    <comment ref="I20" authorId="1" shapeId="0" xr:uid="{00000000-0006-0000-0200-000005000000}">
      <text>
        <r>
          <rPr>
            <b/>
            <sz val="8"/>
            <color indexed="81"/>
            <rFont val="Tahoma"/>
            <family val="2"/>
          </rPr>
          <t>Endurance</t>
        </r>
      </text>
    </comment>
    <comment ref="J20" authorId="1" shapeId="0" xr:uid="{00000000-0006-0000-0200-000006000000}">
      <text>
        <r>
          <rPr>
            <b/>
            <sz val="8"/>
            <color indexed="81"/>
            <rFont val="Tahoma"/>
            <family val="2"/>
          </rPr>
          <t>Agilité</t>
        </r>
      </text>
    </comment>
    <comment ref="K20" authorId="1" shapeId="0" xr:uid="{00000000-0006-0000-0200-000007000000}">
      <text>
        <r>
          <rPr>
            <b/>
            <sz val="8"/>
            <color indexed="81"/>
            <rFont val="Tahoma"/>
            <family val="2"/>
          </rPr>
          <t>Intelligence</t>
        </r>
      </text>
    </comment>
    <comment ref="L20" authorId="1" shapeId="0" xr:uid="{00000000-0006-0000-0200-000008000000}">
      <text>
        <r>
          <rPr>
            <b/>
            <sz val="8"/>
            <color indexed="81"/>
            <rFont val="Tahoma"/>
            <family val="2"/>
          </rPr>
          <t>Force Mentale</t>
        </r>
      </text>
    </comment>
    <comment ref="M20" authorId="1" shapeId="0" xr:uid="{00000000-0006-0000-0200-000009000000}">
      <text>
        <r>
          <rPr>
            <b/>
            <sz val="8"/>
            <color indexed="81"/>
            <rFont val="Tahoma"/>
            <family val="2"/>
          </rPr>
          <t>Sociabilité</t>
        </r>
      </text>
    </comment>
    <comment ref="D21" authorId="1" shapeId="0" xr:uid="{00000000-0006-0000-0200-00000A000000}">
      <text>
        <r>
          <rPr>
            <b/>
            <sz val="8"/>
            <color indexed="81"/>
            <rFont val="Tahoma"/>
            <family val="2"/>
          </rPr>
          <t>talents inclus</t>
        </r>
      </text>
    </comment>
    <comment ref="D24" authorId="1" shapeId="0" xr:uid="{00000000-0006-0000-0200-00000B000000}">
      <text>
        <r>
          <rPr>
            <b/>
            <sz val="8"/>
            <color indexed="81"/>
            <rFont val="Tahoma"/>
            <family val="2"/>
          </rPr>
          <t>exemple : objets magiques, blessures</t>
        </r>
      </text>
    </comment>
    <comment ref="D25" authorId="1" shapeId="0" xr:uid="{00000000-0006-0000-0200-00000C000000}">
      <text>
        <r>
          <rPr>
            <b/>
            <sz val="8"/>
            <color indexed="81"/>
            <rFont val="Tahoma"/>
            <family val="2"/>
          </rPr>
          <t>par expérience</t>
        </r>
      </text>
    </comment>
    <comment ref="F27" authorId="1" shapeId="0" xr:uid="{00000000-0006-0000-0200-00000D000000}">
      <text>
        <r>
          <rPr>
            <b/>
            <sz val="8"/>
            <color indexed="81"/>
            <rFont val="Tahoma"/>
            <family val="2"/>
          </rPr>
          <t>Attaques</t>
        </r>
      </text>
    </comment>
    <comment ref="G27" authorId="1" shapeId="0" xr:uid="{00000000-0006-0000-0200-00000E000000}">
      <text>
        <r>
          <rPr>
            <b/>
            <sz val="8"/>
            <color indexed="81"/>
            <rFont val="Tahoma"/>
            <family val="2"/>
          </rPr>
          <t>Blessures</t>
        </r>
      </text>
    </comment>
    <comment ref="H27" authorId="1" shapeId="0" xr:uid="{00000000-0006-0000-0200-00000F000000}">
      <text>
        <r>
          <rPr>
            <b/>
            <sz val="8"/>
            <color indexed="81"/>
            <rFont val="Tahoma"/>
            <family val="2"/>
          </rPr>
          <t>Bonus de Force</t>
        </r>
      </text>
    </comment>
    <comment ref="I27" authorId="1" shapeId="0" xr:uid="{00000000-0006-0000-0200-000010000000}">
      <text>
        <r>
          <rPr>
            <b/>
            <sz val="8"/>
            <color indexed="81"/>
            <rFont val="Tahoma"/>
            <family val="2"/>
          </rPr>
          <t>Bonus d'Endurance</t>
        </r>
      </text>
    </comment>
    <comment ref="J27" authorId="1" shapeId="0" xr:uid="{00000000-0006-0000-0200-000011000000}">
      <text>
        <r>
          <rPr>
            <b/>
            <sz val="8"/>
            <color indexed="81"/>
            <rFont val="Tahoma"/>
            <family val="2"/>
          </rPr>
          <t>Mouvement</t>
        </r>
      </text>
    </comment>
    <comment ref="K27" authorId="1" shapeId="0" xr:uid="{00000000-0006-0000-0200-000012000000}">
      <text>
        <r>
          <rPr>
            <b/>
            <sz val="8"/>
            <color indexed="81"/>
            <rFont val="Tahoma"/>
            <family val="2"/>
          </rPr>
          <t>Magie</t>
        </r>
      </text>
    </comment>
    <comment ref="L27" authorId="1" shapeId="0" xr:uid="{00000000-0006-0000-0200-000013000000}">
      <text>
        <r>
          <rPr>
            <b/>
            <sz val="8"/>
            <color indexed="81"/>
            <rFont val="Tahoma"/>
            <family val="2"/>
          </rPr>
          <t>Points de Folie</t>
        </r>
      </text>
    </comment>
    <comment ref="M27" authorId="1" shapeId="0" xr:uid="{00000000-0006-0000-0200-000014000000}">
      <text>
        <r>
          <rPr>
            <b/>
            <sz val="8"/>
            <color indexed="81"/>
            <rFont val="Tahoma"/>
            <family val="2"/>
          </rPr>
          <t>Points de Destin</t>
        </r>
      </text>
    </comment>
    <comment ref="D28" authorId="1" shapeId="0" xr:uid="{00000000-0006-0000-0200-000015000000}">
      <text>
        <r>
          <rPr>
            <b/>
            <sz val="8"/>
            <color indexed="81"/>
            <rFont val="Tahoma"/>
            <family val="2"/>
          </rPr>
          <t>talents inclus</t>
        </r>
      </text>
    </comment>
    <comment ref="F28" authorId="1" shapeId="0" xr:uid="{00000000-0006-0000-0200-000016000000}">
      <text>
        <r>
          <rPr>
            <b/>
            <sz val="8"/>
            <color indexed="81"/>
            <rFont val="Tahoma"/>
            <family val="2"/>
          </rPr>
          <t>base : 1</t>
        </r>
      </text>
    </comment>
    <comment ref="H28" authorId="1" shapeId="0" xr:uid="{00000000-0006-0000-0200-000017000000}">
      <text>
        <r>
          <rPr>
            <b/>
            <sz val="8"/>
            <color indexed="81"/>
            <rFont val="Tahoma"/>
            <family val="2"/>
          </rPr>
          <t>base : F/10</t>
        </r>
      </text>
    </comment>
    <comment ref="I28" authorId="1" shapeId="0" xr:uid="{00000000-0006-0000-0200-000018000000}">
      <text>
        <r>
          <rPr>
            <b/>
            <sz val="8"/>
            <color indexed="81"/>
            <rFont val="Tahoma"/>
            <family val="2"/>
          </rPr>
          <t>base : E/10</t>
        </r>
      </text>
    </comment>
    <comment ref="K28" authorId="1" shapeId="0" xr:uid="{00000000-0006-0000-0200-000019000000}">
      <text>
        <r>
          <rPr>
            <b/>
            <sz val="8"/>
            <color indexed="81"/>
            <rFont val="Tahoma"/>
            <family val="2"/>
          </rPr>
          <t>base : 0</t>
        </r>
      </text>
    </comment>
    <comment ref="L28" authorId="1" shapeId="0" xr:uid="{00000000-0006-0000-0200-00001A000000}">
      <text>
        <r>
          <rPr>
            <b/>
            <sz val="8"/>
            <color indexed="81"/>
            <rFont val="Tahoma"/>
            <family val="2"/>
          </rPr>
          <t>base : 0</t>
        </r>
      </text>
    </comment>
    <comment ref="H30" authorId="0" shapeId="0" xr:uid="{00000000-0006-0000-0200-00001B000000}">
      <text>
        <r>
          <rPr>
            <b/>
            <sz val="8"/>
            <color indexed="81"/>
            <rFont val="Tahoma"/>
            <family val="2"/>
          </rPr>
          <t>F actuelle/10</t>
        </r>
      </text>
    </comment>
    <comment ref="I30" authorId="0" shapeId="0" xr:uid="{00000000-0006-0000-0200-00001C000000}">
      <text>
        <r>
          <rPr>
            <b/>
            <sz val="8"/>
            <color indexed="81"/>
            <rFont val="Tahoma"/>
            <family val="2"/>
          </rPr>
          <t>E actuelle/10</t>
        </r>
      </text>
    </comment>
    <comment ref="J30" authorId="1" shapeId="0" xr:uid="{00000000-0006-0000-0200-00001D000000}">
      <text>
        <r>
          <rPr>
            <b/>
            <sz val="8"/>
            <color indexed="81"/>
            <rFont val="Tahoma"/>
            <family val="2"/>
          </rPr>
          <t>tient compte du malus de mouvement dû à l'encombrement</t>
        </r>
      </text>
    </comment>
    <comment ref="D31" authorId="1" shapeId="0" xr:uid="{00000000-0006-0000-0200-00001E000000}">
      <text>
        <r>
          <rPr>
            <b/>
            <sz val="8"/>
            <color indexed="81"/>
            <rFont val="Tahoma"/>
            <family val="2"/>
          </rPr>
          <t>exemple : objets magiques, blessures</t>
        </r>
      </text>
    </comment>
    <comment ref="D32" authorId="1" shapeId="0" xr:uid="{00000000-0006-0000-0200-00001F000000}">
      <text>
        <r>
          <rPr>
            <b/>
            <sz val="8"/>
            <color indexed="81"/>
            <rFont val="Tahoma"/>
            <family val="2"/>
          </rPr>
          <t>par expérience</t>
        </r>
      </text>
    </comment>
    <comment ref="K34" authorId="2" shapeId="0" xr:uid="{00000000-0006-0000-0200-000020000000}">
      <text>
        <r>
          <rPr>
            <b/>
            <sz val="8"/>
            <color indexed="81"/>
            <rFont val="Tahoma"/>
            <family val="2"/>
          </rPr>
          <t>Munitions Médiocres</t>
        </r>
        <r>
          <rPr>
            <sz val="8"/>
            <color indexed="81"/>
            <rFont val="Tahoma"/>
            <family val="2"/>
          </rPr>
          <t xml:space="preserve">
</t>
        </r>
      </text>
    </comment>
    <comment ref="L34" authorId="1" shapeId="0" xr:uid="{00000000-0006-0000-0200-000021000000}">
      <text>
        <r>
          <rPr>
            <b/>
            <sz val="8"/>
            <color indexed="81"/>
            <rFont val="Tahoma"/>
            <family val="2"/>
          </rPr>
          <t>CC ou CT utilisée après application des bonus/malus de qualité</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a205578</author>
  </authors>
  <commentList>
    <comment ref="G3" authorId="0" shapeId="0" xr:uid="{00000000-0006-0000-0400-000001000000}">
      <text>
        <r>
          <rPr>
            <b/>
            <sz val="8"/>
            <color indexed="81"/>
            <rFont val="Tahoma"/>
            <family val="2"/>
          </rPr>
          <t>Nains : Fx20
Chaos: Fx25
Autre: Fx10</t>
        </r>
      </text>
    </comment>
    <comment ref="M3" authorId="0" shapeId="0" xr:uid="{00000000-0006-0000-0400-000002000000}">
      <text>
        <r>
          <rPr>
            <b/>
            <sz val="8"/>
            <color indexed="81"/>
            <rFont val="Tahoma"/>
            <family val="2"/>
          </rPr>
          <t>1co = 20pa = 240 sc
              1pa =   12 sc</t>
        </r>
      </text>
    </comment>
    <comment ref="N3" authorId="0" shapeId="0" xr:uid="{00000000-0006-0000-0400-000003000000}">
      <text>
        <r>
          <rPr>
            <b/>
            <sz val="8"/>
            <color indexed="81"/>
            <rFont val="Tahoma"/>
            <family val="2"/>
          </rPr>
          <t>1co = 20pa = 240 sc
              1pa = 12 sc</t>
        </r>
      </text>
    </comment>
    <comment ref="O3" authorId="0" shapeId="0" xr:uid="{00000000-0006-0000-0400-000004000000}">
      <text>
        <r>
          <rPr>
            <b/>
            <sz val="8"/>
            <color indexed="81"/>
            <rFont val="Tahoma"/>
            <family val="2"/>
          </rPr>
          <t>1co = 20pa = 240 sc
              1pa =   12 sc</t>
        </r>
      </text>
    </comment>
    <comment ref="G5" authorId="0" shapeId="0" xr:uid="{00000000-0006-0000-0400-000005000000}">
      <text>
        <r>
          <rPr>
            <b/>
            <sz val="8"/>
            <color indexed="81"/>
            <rFont val="Tahoma"/>
            <family val="2"/>
          </rPr>
          <t>(F+E)x10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Sylvain Brasseur</author>
  </authors>
  <commentList>
    <comment ref="B2" authorId="0" shapeId="0" xr:uid="{00000000-0006-0000-0500-000001000000}">
      <text>
        <r>
          <rPr>
            <sz val="8"/>
            <color indexed="81"/>
            <rFont val="Tahoma"/>
            <family val="2"/>
          </rPr>
          <t xml:space="preserve">L'accès aux sorts ne sera disponible que si vous avez le Talent adéquat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a205578</author>
    <author>François</author>
  </authors>
  <commentList>
    <comment ref="C13" authorId="0" shapeId="0" xr:uid="{00000000-0006-0000-0600-000001000000}">
      <text>
        <r>
          <rPr>
            <b/>
            <sz val="8"/>
            <color indexed="81"/>
            <rFont val="Tahoma"/>
            <family val="2"/>
          </rPr>
          <t>Capacité de Combat</t>
        </r>
      </text>
    </comment>
    <comment ref="D13" authorId="0" shapeId="0" xr:uid="{00000000-0006-0000-0600-000002000000}">
      <text>
        <r>
          <rPr>
            <b/>
            <sz val="8"/>
            <color indexed="81"/>
            <rFont val="Tahoma"/>
            <family val="2"/>
          </rPr>
          <t>Capacité de Tir</t>
        </r>
      </text>
    </comment>
    <comment ref="E13" authorId="0" shapeId="0" xr:uid="{00000000-0006-0000-0600-000003000000}">
      <text>
        <r>
          <rPr>
            <b/>
            <sz val="8"/>
            <color indexed="81"/>
            <rFont val="Tahoma"/>
            <family val="2"/>
          </rPr>
          <t>Force</t>
        </r>
      </text>
    </comment>
    <comment ref="F13" authorId="0" shapeId="0" xr:uid="{00000000-0006-0000-0600-000004000000}">
      <text>
        <r>
          <rPr>
            <b/>
            <sz val="8"/>
            <color indexed="81"/>
            <rFont val="Tahoma"/>
            <family val="2"/>
          </rPr>
          <t>Endurance</t>
        </r>
      </text>
    </comment>
    <comment ref="G13" authorId="0" shapeId="0" xr:uid="{00000000-0006-0000-0600-000005000000}">
      <text>
        <r>
          <rPr>
            <b/>
            <sz val="8"/>
            <color indexed="81"/>
            <rFont val="Tahoma"/>
            <family val="2"/>
          </rPr>
          <t>Agilité</t>
        </r>
      </text>
    </comment>
    <comment ref="H13" authorId="0" shapeId="0" xr:uid="{00000000-0006-0000-0600-000006000000}">
      <text>
        <r>
          <rPr>
            <b/>
            <sz val="8"/>
            <color indexed="81"/>
            <rFont val="Tahoma"/>
            <family val="2"/>
          </rPr>
          <t>Intelligence</t>
        </r>
      </text>
    </comment>
    <comment ref="I13" authorId="0" shapeId="0" xr:uid="{00000000-0006-0000-0600-000007000000}">
      <text>
        <r>
          <rPr>
            <b/>
            <sz val="8"/>
            <color indexed="81"/>
            <rFont val="Tahoma"/>
            <family val="2"/>
          </rPr>
          <t>Force Mentale</t>
        </r>
      </text>
    </comment>
    <comment ref="J13" authorId="0" shapeId="0" xr:uid="{00000000-0006-0000-0600-000008000000}">
      <text>
        <r>
          <rPr>
            <b/>
            <sz val="8"/>
            <color indexed="81"/>
            <rFont val="Tahoma"/>
            <family val="2"/>
          </rPr>
          <t>Sociabilité</t>
        </r>
      </text>
    </comment>
    <comment ref="C16" authorId="0" shapeId="0" xr:uid="{00000000-0006-0000-0600-000009000000}">
      <text>
        <r>
          <rPr>
            <b/>
            <sz val="8"/>
            <color indexed="81"/>
            <rFont val="Tahoma"/>
            <family val="2"/>
          </rPr>
          <t>Attaques</t>
        </r>
      </text>
    </comment>
    <comment ref="D16" authorId="0" shapeId="0" xr:uid="{00000000-0006-0000-0600-00000A000000}">
      <text>
        <r>
          <rPr>
            <b/>
            <sz val="8"/>
            <color indexed="81"/>
            <rFont val="Tahoma"/>
            <family val="2"/>
          </rPr>
          <t>Blessures</t>
        </r>
      </text>
    </comment>
    <comment ref="E16" authorId="0" shapeId="0" xr:uid="{00000000-0006-0000-0600-00000B000000}">
      <text>
        <r>
          <rPr>
            <b/>
            <sz val="8"/>
            <color indexed="81"/>
            <rFont val="Tahoma"/>
            <family val="2"/>
          </rPr>
          <t>Bonus de Force</t>
        </r>
      </text>
    </comment>
    <comment ref="F16" authorId="0" shapeId="0" xr:uid="{00000000-0006-0000-0600-00000C000000}">
      <text>
        <r>
          <rPr>
            <b/>
            <sz val="8"/>
            <color indexed="81"/>
            <rFont val="Tahoma"/>
            <family val="2"/>
          </rPr>
          <t>Bonus d'Endurance</t>
        </r>
      </text>
    </comment>
    <comment ref="G16" authorId="0" shapeId="0" xr:uid="{00000000-0006-0000-0600-00000D000000}">
      <text>
        <r>
          <rPr>
            <b/>
            <sz val="8"/>
            <color indexed="81"/>
            <rFont val="Tahoma"/>
            <family val="2"/>
          </rPr>
          <t>Mouvement</t>
        </r>
      </text>
    </comment>
    <comment ref="H16" authorId="0" shapeId="0" xr:uid="{00000000-0006-0000-0600-00000E000000}">
      <text>
        <r>
          <rPr>
            <b/>
            <sz val="8"/>
            <color indexed="81"/>
            <rFont val="Tahoma"/>
            <family val="2"/>
          </rPr>
          <t>Magie</t>
        </r>
      </text>
    </comment>
    <comment ref="I16" authorId="0" shapeId="0" xr:uid="{00000000-0006-0000-0600-00000F000000}">
      <text>
        <r>
          <rPr>
            <b/>
            <sz val="8"/>
            <color indexed="81"/>
            <rFont val="Tahoma"/>
            <family val="2"/>
          </rPr>
          <t>Points de Folie</t>
        </r>
      </text>
    </comment>
    <comment ref="J16" authorId="0" shapeId="0" xr:uid="{00000000-0006-0000-0600-000010000000}">
      <text>
        <r>
          <rPr>
            <b/>
            <sz val="8"/>
            <color indexed="81"/>
            <rFont val="Tahoma"/>
            <family val="2"/>
          </rPr>
          <t>Points de Destin</t>
        </r>
      </text>
    </comment>
    <comment ref="E17" authorId="1" shapeId="0" xr:uid="{00000000-0006-0000-0600-000011000000}">
      <text>
        <r>
          <rPr>
            <b/>
            <sz val="8"/>
            <color indexed="81"/>
            <rFont val="Tahoma"/>
            <family val="2"/>
          </rPr>
          <t>F actuelle/10</t>
        </r>
      </text>
    </comment>
    <comment ref="F17" authorId="1" shapeId="0" xr:uid="{00000000-0006-0000-0600-000012000000}">
      <text>
        <r>
          <rPr>
            <b/>
            <sz val="8"/>
            <color indexed="81"/>
            <rFont val="Tahoma"/>
            <family val="2"/>
          </rPr>
          <t>E actuelle/10</t>
        </r>
      </text>
    </comment>
    <comment ref="G17" authorId="0" shapeId="0" xr:uid="{00000000-0006-0000-0600-000013000000}">
      <text>
        <r>
          <rPr>
            <b/>
            <sz val="8"/>
            <color indexed="81"/>
            <rFont val="Tahoma"/>
            <family val="2"/>
          </rPr>
          <t>tient compte du malus de mouvement dû à l'encombrement</t>
        </r>
      </text>
    </comment>
    <comment ref="C40" authorId="0" shapeId="0" xr:uid="{F993E55D-3C38-46DA-8FCE-CF163F83B9F7}">
      <text>
        <r>
          <rPr>
            <b/>
            <sz val="8"/>
            <color indexed="81"/>
            <rFont val="Tahoma"/>
            <family val="2"/>
          </rPr>
          <t>Capacité de Combat</t>
        </r>
      </text>
    </comment>
    <comment ref="D40" authorId="0" shapeId="0" xr:uid="{9232D0E7-941B-43F6-B352-5CABDBBCD9D2}">
      <text>
        <r>
          <rPr>
            <b/>
            <sz val="8"/>
            <color indexed="81"/>
            <rFont val="Tahoma"/>
            <family val="2"/>
          </rPr>
          <t>Capacité de Tir</t>
        </r>
      </text>
    </comment>
    <comment ref="E40" authorId="0" shapeId="0" xr:uid="{8EC76EF9-1ED2-4D6D-B0EC-E5249F1BDBB4}">
      <text>
        <r>
          <rPr>
            <b/>
            <sz val="8"/>
            <color indexed="81"/>
            <rFont val="Tahoma"/>
            <family val="2"/>
          </rPr>
          <t>Force</t>
        </r>
      </text>
    </comment>
    <comment ref="F40" authorId="0" shapeId="0" xr:uid="{EC102E3A-FED9-4B1D-B3B3-95EA53DFE6AE}">
      <text>
        <r>
          <rPr>
            <b/>
            <sz val="8"/>
            <color indexed="81"/>
            <rFont val="Tahoma"/>
            <family val="2"/>
          </rPr>
          <t>Endurance</t>
        </r>
      </text>
    </comment>
    <comment ref="G40" authorId="0" shapeId="0" xr:uid="{953305F1-FFC8-4567-B5AC-EB4F6FA85DD4}">
      <text>
        <r>
          <rPr>
            <b/>
            <sz val="8"/>
            <color indexed="81"/>
            <rFont val="Tahoma"/>
            <family val="2"/>
          </rPr>
          <t>Agilité</t>
        </r>
      </text>
    </comment>
    <comment ref="H40" authorId="0" shapeId="0" xr:uid="{78013391-7A1F-4EAC-AAAF-4D61123435D5}">
      <text>
        <r>
          <rPr>
            <b/>
            <sz val="8"/>
            <color indexed="81"/>
            <rFont val="Tahoma"/>
            <family val="2"/>
          </rPr>
          <t>Intelligence</t>
        </r>
      </text>
    </comment>
    <comment ref="I40" authorId="0" shapeId="0" xr:uid="{CDB0B71C-2DAC-453B-A1B7-F4C06D77F63C}">
      <text>
        <r>
          <rPr>
            <b/>
            <sz val="8"/>
            <color indexed="81"/>
            <rFont val="Tahoma"/>
            <family val="2"/>
          </rPr>
          <t>Force Mentale</t>
        </r>
      </text>
    </comment>
    <comment ref="J40" authorId="0" shapeId="0" xr:uid="{80DDEEEA-61BA-44A7-A6CE-B6053053ACAB}">
      <text>
        <r>
          <rPr>
            <b/>
            <sz val="8"/>
            <color indexed="81"/>
            <rFont val="Tahoma"/>
            <family val="2"/>
          </rPr>
          <t>Sociabilité</t>
        </r>
      </text>
    </comment>
    <comment ref="C43" authorId="0" shapeId="0" xr:uid="{3CC106AB-B369-4880-88C0-D20A304955B8}">
      <text>
        <r>
          <rPr>
            <b/>
            <sz val="8"/>
            <color indexed="81"/>
            <rFont val="Tahoma"/>
            <family val="2"/>
          </rPr>
          <t>Attaques</t>
        </r>
      </text>
    </comment>
    <comment ref="D43" authorId="0" shapeId="0" xr:uid="{1AD88BD0-1290-426A-8802-400A80D9C75B}">
      <text>
        <r>
          <rPr>
            <b/>
            <sz val="8"/>
            <color indexed="81"/>
            <rFont val="Tahoma"/>
            <family val="2"/>
          </rPr>
          <t>Blessures</t>
        </r>
      </text>
    </comment>
    <comment ref="E43" authorId="0" shapeId="0" xr:uid="{77B87A92-18AC-41DD-9615-0846DEB33A03}">
      <text>
        <r>
          <rPr>
            <b/>
            <sz val="8"/>
            <color indexed="81"/>
            <rFont val="Tahoma"/>
            <family val="2"/>
          </rPr>
          <t>Bonus de Force</t>
        </r>
      </text>
    </comment>
    <comment ref="F43" authorId="0" shapeId="0" xr:uid="{34041ED1-2BF1-4A53-8DD9-D6082003C478}">
      <text>
        <r>
          <rPr>
            <b/>
            <sz val="8"/>
            <color indexed="81"/>
            <rFont val="Tahoma"/>
            <family val="2"/>
          </rPr>
          <t>Bonus d'Endurance</t>
        </r>
      </text>
    </comment>
    <comment ref="G43" authorId="0" shapeId="0" xr:uid="{6DF24155-1463-43A4-A3B2-FCFD475FA381}">
      <text>
        <r>
          <rPr>
            <b/>
            <sz val="8"/>
            <color indexed="81"/>
            <rFont val="Tahoma"/>
            <family val="2"/>
          </rPr>
          <t>Mouvement</t>
        </r>
      </text>
    </comment>
    <comment ref="H43" authorId="0" shapeId="0" xr:uid="{6E73C689-38CF-46A8-B875-88D36A3FF7CF}">
      <text>
        <r>
          <rPr>
            <b/>
            <sz val="8"/>
            <color indexed="81"/>
            <rFont val="Tahoma"/>
            <family val="2"/>
          </rPr>
          <t>Magie</t>
        </r>
      </text>
    </comment>
    <comment ref="I43" authorId="0" shapeId="0" xr:uid="{7B9C918E-2679-4099-85A6-CF48AD66DD2A}">
      <text>
        <r>
          <rPr>
            <b/>
            <sz val="8"/>
            <color indexed="81"/>
            <rFont val="Tahoma"/>
            <family val="2"/>
          </rPr>
          <t>Points de Folie</t>
        </r>
      </text>
    </comment>
    <comment ref="J43" authorId="0" shapeId="0" xr:uid="{669AFF21-5DA4-4617-B99B-86E9042017BA}">
      <text>
        <r>
          <rPr>
            <b/>
            <sz val="8"/>
            <color indexed="81"/>
            <rFont val="Tahoma"/>
            <family val="2"/>
          </rPr>
          <t>Points de Destin</t>
        </r>
      </text>
    </comment>
    <comment ref="E44" authorId="1" shapeId="0" xr:uid="{7EAFBC08-10E1-4695-A24E-59D1848233D2}">
      <text>
        <r>
          <rPr>
            <b/>
            <sz val="8"/>
            <color indexed="81"/>
            <rFont val="Tahoma"/>
            <family val="2"/>
          </rPr>
          <t>F actuelle/10</t>
        </r>
      </text>
    </comment>
    <comment ref="F44" authorId="1" shapeId="0" xr:uid="{B22098B5-801A-4F45-86B4-77FBACB54EE8}">
      <text>
        <r>
          <rPr>
            <b/>
            <sz val="8"/>
            <color indexed="81"/>
            <rFont val="Tahoma"/>
            <family val="2"/>
          </rPr>
          <t>E actuelle/10</t>
        </r>
      </text>
    </comment>
    <comment ref="G44" authorId="0" shapeId="0" xr:uid="{38642266-5A66-4F92-A01C-F303B8974598}">
      <text>
        <r>
          <rPr>
            <b/>
            <sz val="8"/>
            <color indexed="81"/>
            <rFont val="Tahoma"/>
            <family val="2"/>
          </rPr>
          <t>tient compte du malus de mouvement dû à l'encombrement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a205578</author>
    <author>François</author>
  </authors>
  <commentList>
    <comment ref="B11" authorId="0" shapeId="0" xr:uid="{00000000-0006-0000-0700-000001000000}">
      <text>
        <r>
          <rPr>
            <b/>
            <sz val="8"/>
            <color indexed="81"/>
            <rFont val="Tahoma"/>
            <family val="2"/>
          </rPr>
          <t>Capacité de Combat</t>
        </r>
      </text>
    </comment>
    <comment ref="C11" authorId="0" shapeId="0" xr:uid="{00000000-0006-0000-0700-000002000000}">
      <text>
        <r>
          <rPr>
            <b/>
            <sz val="8"/>
            <color indexed="81"/>
            <rFont val="Tahoma"/>
            <family val="2"/>
          </rPr>
          <t>Capacité de Tir</t>
        </r>
      </text>
    </comment>
    <comment ref="D11" authorId="0" shapeId="0" xr:uid="{00000000-0006-0000-0700-000003000000}">
      <text>
        <r>
          <rPr>
            <b/>
            <sz val="8"/>
            <color indexed="81"/>
            <rFont val="Tahoma"/>
            <family val="2"/>
          </rPr>
          <t>Force</t>
        </r>
      </text>
    </comment>
    <comment ref="E11" authorId="0" shapeId="0" xr:uid="{00000000-0006-0000-0700-000004000000}">
      <text>
        <r>
          <rPr>
            <b/>
            <sz val="8"/>
            <color indexed="81"/>
            <rFont val="Tahoma"/>
            <family val="2"/>
          </rPr>
          <t>Endurance</t>
        </r>
      </text>
    </comment>
    <comment ref="F11" authorId="0" shapeId="0" xr:uid="{00000000-0006-0000-0700-000005000000}">
      <text>
        <r>
          <rPr>
            <b/>
            <sz val="8"/>
            <color indexed="81"/>
            <rFont val="Tahoma"/>
            <family val="2"/>
          </rPr>
          <t>Agilité</t>
        </r>
      </text>
    </comment>
    <comment ref="G11" authorId="0" shapeId="0" xr:uid="{00000000-0006-0000-0700-000006000000}">
      <text>
        <r>
          <rPr>
            <b/>
            <sz val="8"/>
            <color indexed="81"/>
            <rFont val="Tahoma"/>
            <family val="2"/>
          </rPr>
          <t>Intelligence</t>
        </r>
      </text>
    </comment>
    <comment ref="H11" authorId="0" shapeId="0" xr:uid="{00000000-0006-0000-0700-000007000000}">
      <text>
        <r>
          <rPr>
            <b/>
            <sz val="8"/>
            <color indexed="81"/>
            <rFont val="Tahoma"/>
            <family val="2"/>
          </rPr>
          <t>Force Mentale</t>
        </r>
      </text>
    </comment>
    <comment ref="I11" authorId="0" shapeId="0" xr:uid="{00000000-0006-0000-0700-000008000000}">
      <text>
        <r>
          <rPr>
            <b/>
            <sz val="8"/>
            <color indexed="81"/>
            <rFont val="Tahoma"/>
            <family val="2"/>
          </rPr>
          <t>Sociabilité</t>
        </r>
      </text>
    </comment>
    <comment ref="B14" authorId="0" shapeId="0" xr:uid="{00000000-0006-0000-0700-000009000000}">
      <text>
        <r>
          <rPr>
            <b/>
            <sz val="8"/>
            <color indexed="81"/>
            <rFont val="Tahoma"/>
            <family val="2"/>
          </rPr>
          <t>Attaques</t>
        </r>
      </text>
    </comment>
    <comment ref="C14" authorId="0" shapeId="0" xr:uid="{00000000-0006-0000-0700-00000A000000}">
      <text>
        <r>
          <rPr>
            <b/>
            <sz val="8"/>
            <color indexed="81"/>
            <rFont val="Tahoma"/>
            <family val="2"/>
          </rPr>
          <t>Blessures</t>
        </r>
      </text>
    </comment>
    <comment ref="D14" authorId="0" shapeId="0" xr:uid="{00000000-0006-0000-0700-00000B000000}">
      <text>
        <r>
          <rPr>
            <b/>
            <sz val="8"/>
            <color indexed="81"/>
            <rFont val="Tahoma"/>
            <family val="2"/>
          </rPr>
          <t>Bonus de Force</t>
        </r>
      </text>
    </comment>
    <comment ref="E14" authorId="0" shapeId="0" xr:uid="{00000000-0006-0000-0700-00000C000000}">
      <text>
        <r>
          <rPr>
            <b/>
            <sz val="8"/>
            <color indexed="81"/>
            <rFont val="Tahoma"/>
            <family val="2"/>
          </rPr>
          <t>Bonus d'Endurance</t>
        </r>
      </text>
    </comment>
    <comment ref="F14" authorId="0" shapeId="0" xr:uid="{00000000-0006-0000-0700-00000D000000}">
      <text>
        <r>
          <rPr>
            <b/>
            <sz val="8"/>
            <color indexed="81"/>
            <rFont val="Tahoma"/>
            <family val="2"/>
          </rPr>
          <t>Mouvement</t>
        </r>
      </text>
    </comment>
    <comment ref="G14" authorId="0" shapeId="0" xr:uid="{00000000-0006-0000-0700-00000E000000}">
      <text>
        <r>
          <rPr>
            <b/>
            <sz val="8"/>
            <color indexed="81"/>
            <rFont val="Tahoma"/>
            <family val="2"/>
          </rPr>
          <t>Magie</t>
        </r>
      </text>
    </comment>
    <comment ref="H14" authorId="0" shapeId="0" xr:uid="{00000000-0006-0000-0700-00000F000000}">
      <text>
        <r>
          <rPr>
            <b/>
            <sz val="8"/>
            <color indexed="81"/>
            <rFont val="Tahoma"/>
            <family val="2"/>
          </rPr>
          <t>Points de Folie</t>
        </r>
      </text>
    </comment>
    <comment ref="I14" authorId="0" shapeId="0" xr:uid="{00000000-0006-0000-0700-000010000000}">
      <text>
        <r>
          <rPr>
            <b/>
            <sz val="8"/>
            <color indexed="81"/>
            <rFont val="Tahoma"/>
            <family val="2"/>
          </rPr>
          <t>Points de Destin</t>
        </r>
      </text>
    </comment>
    <comment ref="D15" authorId="1" shapeId="0" xr:uid="{00000000-0006-0000-0700-000011000000}">
      <text>
        <r>
          <rPr>
            <b/>
            <sz val="8"/>
            <color indexed="81"/>
            <rFont val="Tahoma"/>
            <family val="2"/>
          </rPr>
          <t>F actuelle/10</t>
        </r>
      </text>
    </comment>
    <comment ref="E15" authorId="1" shapeId="0" xr:uid="{00000000-0006-0000-0700-000012000000}">
      <text>
        <r>
          <rPr>
            <b/>
            <sz val="8"/>
            <color indexed="81"/>
            <rFont val="Tahoma"/>
            <family val="2"/>
          </rPr>
          <t>E actuelle/10</t>
        </r>
      </text>
    </comment>
    <comment ref="F15" authorId="0" shapeId="0" xr:uid="{00000000-0006-0000-0700-000013000000}">
      <text>
        <r>
          <rPr>
            <b/>
            <sz val="8"/>
            <color indexed="81"/>
            <rFont val="Tahoma"/>
            <family val="2"/>
          </rPr>
          <t>tient compte du malus de mouvement dû à l'encombrement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François</author>
  </authors>
  <commentList>
    <comment ref="A1" authorId="0" shapeId="0" xr:uid="{00000000-0006-0000-0800-000001000000}">
      <text>
        <r>
          <rPr>
            <b/>
            <sz val="8"/>
            <color indexed="81"/>
            <rFont val="Tahoma"/>
            <family val="2"/>
          </rPr>
          <t>en points d'expérience</t>
        </r>
      </text>
    </comment>
    <comment ref="B1" authorId="0" shapeId="0" xr:uid="{00000000-0006-0000-0800-000002000000}">
      <text>
        <r>
          <rPr>
            <b/>
            <sz val="8"/>
            <color indexed="81"/>
            <rFont val="Tahoma"/>
            <family val="2"/>
          </rPr>
          <t>totale de points d'expérience dépensés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Utilisateur</author>
    <author>a205578</author>
  </authors>
  <commentList>
    <comment ref="T1" authorId="0" shapeId="0" xr:uid="{1D73C40D-D7B6-4159-81EC-03725105FD4F}">
      <text>
        <r>
          <rPr>
            <b/>
            <sz val="9"/>
            <color indexed="81"/>
            <rFont val="Tahoma"/>
            <family val="2"/>
          </rPr>
          <t>Nombre minimun de carrières à accomplir pour y accéder</t>
        </r>
      </text>
    </comment>
    <comment ref="AX1" authorId="0" shapeId="0" xr:uid="{11BACAAD-C642-47F7-AE35-E1A2352DEFD5}">
      <text>
        <r>
          <rPr>
            <b/>
            <sz val="9"/>
            <color indexed="81"/>
            <rFont val="Tahoma"/>
            <family val="2"/>
          </rPr>
          <t>Concerne 
homme-bête, orc, créature du chaos</t>
        </r>
      </text>
    </comment>
    <comment ref="AY1" authorId="0" shapeId="0" xr:uid="{D09C0BE0-5E6A-42BB-85A5-D2696ADCCAA3}">
      <text>
        <r>
          <rPr>
            <b/>
            <sz val="9"/>
            <color indexed="81"/>
            <rFont val="Tahoma"/>
            <family val="2"/>
          </rPr>
          <t>Concerne 
homme-bête, orc,
créature du chaos</t>
        </r>
      </text>
    </comment>
    <comment ref="CO1" authorId="0" shapeId="0" xr:uid="{01D30EBF-AA5B-48AD-8AA0-DDAC57359C1B}">
      <text>
        <r>
          <rPr>
            <sz val="9"/>
            <color indexed="81"/>
            <rFont val="Tahoma"/>
            <family val="2"/>
          </rPr>
          <t xml:space="preserve">Le suffixe "son" désigne "le fils de" c'est donc un homme.
Le suffixe "dottir" désigne "la fille de" c'est donc une femme.
</t>
        </r>
      </text>
    </comment>
    <comment ref="AP224" authorId="1" shapeId="0" xr:uid="{00000000-0006-0000-0900-000002000000}">
      <text>
        <r>
          <rPr>
            <b/>
            <sz val="8"/>
            <color indexed="81"/>
            <rFont val="Tahoma"/>
            <family val="2"/>
          </rPr>
          <t>Avec la permission du MJ, tous les personnages possédant au moins une mutation peuvent accéder à la carrière de Maraudeur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C1" authorId="0" shapeId="0" xr:uid="{A0184608-9744-454B-8D93-6F37558F244A}">
      <text>
        <r>
          <rPr>
            <b/>
            <sz val="9"/>
            <color indexed="81"/>
            <rFont val="Tahoma"/>
            <family val="2"/>
          </rPr>
          <t>Pièces d'argent</t>
        </r>
      </text>
    </comment>
    <comment ref="D1" authorId="0" shapeId="0" xr:uid="{0D24BFF4-45B9-4160-A90A-5F5528DDD212}">
      <text>
        <r>
          <rPr>
            <b/>
            <sz val="9"/>
            <color indexed="81"/>
            <rFont val="Tahoma"/>
            <family val="2"/>
          </rPr>
          <t>Sous de cuivre</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Sylvain Brasseur</author>
  </authors>
  <commentList>
    <comment ref="B1" authorId="0" shapeId="0" xr:uid="{00000000-0006-0000-0E00-000001000000}">
      <text>
        <r>
          <rPr>
            <b/>
            <sz val="8"/>
            <color indexed="81"/>
            <rFont val="Tahoma"/>
            <family val="2"/>
          </rPr>
          <t>Pour un article de qualité Moyenne</t>
        </r>
        <r>
          <rPr>
            <sz val="8"/>
            <color indexed="81"/>
            <rFont val="Tahoma"/>
            <family val="2"/>
          </rPr>
          <t xml:space="preserve">
</t>
        </r>
      </text>
    </comment>
  </commentList>
</comments>
</file>

<file path=xl/sharedStrings.xml><?xml version="1.0" encoding="utf-8"?>
<sst xmlns="http://schemas.openxmlformats.org/spreadsheetml/2006/main" count="39963" uniqueCount="17627">
  <si>
    <t>Armure vertueuse</t>
  </si>
  <si>
    <t>Chair immaculée</t>
  </si>
  <si>
    <t>Cœur du griffon</t>
  </si>
  <si>
    <t>Comète de Sigmar</t>
  </si>
  <si>
    <t>Étendard de bravoure</t>
  </si>
  <si>
    <t>Feu de l'âme</t>
  </si>
  <si>
    <t>Gare à la sorcière</t>
  </si>
  <si>
    <t>Imposition des mains</t>
  </si>
  <si>
    <t>Marteau de Sigmar</t>
  </si>
  <si>
    <t>Parole de damnation</t>
  </si>
  <si>
    <t>Rejet de l'hérésie</t>
  </si>
  <si>
    <t>Triomphe</t>
  </si>
  <si>
    <t>Ami des bêtes</t>
  </si>
  <si>
    <t>Bénédiction de la rivière</t>
  </si>
  <si>
    <t>Cœur de bœuf</t>
  </si>
  <si>
    <t>Coup de tonnerre</t>
  </si>
  <si>
    <t>Fureur de Taal</t>
  </si>
  <si>
    <t>Patte d'ours</t>
  </si>
  <si>
    <t>Rage grondante</t>
  </si>
  <si>
    <t>Réconfort de Rhya</t>
  </si>
  <si>
    <t>Seigneur de la nature</t>
  </si>
  <si>
    <t>Vent violent</t>
  </si>
  <si>
    <t>Cœur des loups</t>
  </si>
  <si>
    <t>Décret du roi des neiges</t>
  </si>
  <si>
    <t>Faveur d'Ulric</t>
  </si>
  <si>
    <t>Froid mordant</t>
  </si>
  <si>
    <t>Furie guerrière</t>
  </si>
  <si>
    <t>Hurlement du loup</t>
  </si>
  <si>
    <t>Meute sauvage</t>
  </si>
  <si>
    <t>Morsure de givre</t>
  </si>
  <si>
    <t>Mort aux faibles</t>
  </si>
  <si>
    <t>Muscles de givre</t>
  </si>
  <si>
    <t>Rage effrénée</t>
  </si>
  <si>
    <t>Tempête de glace</t>
  </si>
  <si>
    <t>Chaînes de Verena</t>
  </si>
  <si>
    <t>Châtiment</t>
  </si>
  <si>
    <t>Épée de justice</t>
  </si>
  <si>
    <t>Épreuve du feu</t>
  </si>
  <si>
    <t>Équilibre préservé</t>
  </si>
  <si>
    <t>Ouïe fine</t>
  </si>
  <si>
    <t>Paroles de vérité</t>
  </si>
  <si>
    <t>Réprobation</t>
  </si>
  <si>
    <t>Révélation du passé</t>
  </si>
  <si>
    <t>Sagesse du hibou</t>
  </si>
  <si>
    <t>Verena m'en est témoin</t>
  </si>
  <si>
    <t>Vierge aveugle</t>
  </si>
  <si>
    <t>un poisson (+1)</t>
  </si>
  <si>
    <t>un bout de corde (+1)</t>
  </si>
  <si>
    <t>votre bénédiction confère à un personnage un bonus de +5% en Canotage, Natation et Navigation.</t>
  </si>
  <si>
    <t>une plume de corbeau (+1)</t>
  </si>
  <si>
    <t>vos paroles vibrantes permettent à un personnage de saisir l'ampleur de la nature vraiment pitoyable des morts-vivants. Le personnage est immunisé contre la Peur et la Terreur suscitées par les morts-vivants.</t>
  </si>
  <si>
    <t>vous en appelez à la bénédiction de Morr pour susciter l'indignation de votre dieu en présence des morts-vivants. Toute arme que manie le personnage est considérée comme magique pour ce qui est de blesser les morts-vivants.</t>
  </si>
  <si>
    <t>1 minute (6 rounds) ou jusqu'à déclenchement</t>
  </si>
  <si>
    <t>une bille de cuivre polie (+1)</t>
  </si>
  <si>
    <t>une tenue funéraire déchirée (+1)</t>
  </si>
  <si>
    <t>1 round</t>
  </si>
  <si>
    <t>une pierre d'aigle (+1)</t>
  </si>
  <si>
    <t>vous bénissez un personnage pour qu'il bénéficie de l'intuition martiale de Myrmidia. Cela permet à la cible d'agir en premier au prochain round, quel que soit l'ordre d'initiative. Néanmoins, si deux personnages ont un pouvoir leur permettant d'agir en premier, ils agissent dans l'ordre normal d'initiative.</t>
  </si>
  <si>
    <t>+20% en CT en visant (au lieu de +10%)</t>
  </si>
  <si>
    <t>Pas malus utilisation arme main non directrice</t>
  </si>
  <si>
    <t>mains nues -&gt; arme à une main (pas parade)</t>
  </si>
  <si>
    <t>+10% Dépl. Sil. et Dissimulation milieu rural</t>
  </si>
  <si>
    <t>+10% Dépl. Sil. et Dissimulation souterrain</t>
  </si>
  <si>
    <t>+10% Dépl. Sil. et Dissimulation milieu urbain</t>
  </si>
  <si>
    <t>+1 point de fortune</t>
  </si>
  <si>
    <t>+10% soins, +2 B grave, +20% En éviter amput.</t>
  </si>
  <si>
    <t>+10% CC et dégâts à mains nues</t>
  </si>
  <si>
    <t>+10%Exp. Art. rapport +20%Agi libér., pas. Étr.</t>
  </si>
  <si>
    <t>+10% Crochetage et perception des pièges</t>
  </si>
  <si>
    <t>critiques +1</t>
  </si>
  <si>
    <t>+1 dégâts armes de corps à corps</t>
  </si>
  <si>
    <t>+1 M</t>
  </si>
  <si>
    <t>Peut désarmer Ag VS Ag</t>
  </si>
  <si>
    <t>+1 B</t>
  </si>
  <si>
    <t>+10% évaluation &amp; Marchandage</t>
  </si>
  <si>
    <t>Personnes affectées par Charisme x 10</t>
  </si>
  <si>
    <t>+10 Charisme et comérage face à la noblesse</t>
  </si>
  <si>
    <t>+5% F</t>
  </si>
  <si>
    <t>Si fuite -&gt; +1 M pendant 1D10 rounds</t>
  </si>
  <si>
    <t>Fureur vengeresse</t>
  </si>
  <si>
    <t>Harmonie aethyrique</t>
  </si>
  <si>
    <t>+5% CC VS orques, gobelins et hobgobelins</t>
  </si>
  <si>
    <t>+10% Connaissances générales et Langues</t>
  </si>
  <si>
    <t>+5% CC</t>
  </si>
  <si>
    <t>+10% Focalisation &amp; Sens de la magie</t>
  </si>
  <si>
    <t>36 kg</t>
  </si>
  <si>
    <t>38 kg</t>
  </si>
  <si>
    <t>40 kg</t>
  </si>
  <si>
    <t>52 kg</t>
  </si>
  <si>
    <t>54 kg</t>
  </si>
  <si>
    <t>56 kg</t>
  </si>
  <si>
    <t>68 kg</t>
  </si>
  <si>
    <t>70 kg</t>
  </si>
  <si>
    <t>72 kg</t>
  </si>
  <si>
    <t>74 kg</t>
  </si>
  <si>
    <t>86 kg</t>
  </si>
  <si>
    <t>90 kg</t>
  </si>
  <si>
    <t>+40</t>
  </si>
  <si>
    <t>+10</t>
  </si>
  <si>
    <t>+25</t>
  </si>
  <si>
    <t>+20</t>
  </si>
  <si>
    <t>+15</t>
  </si>
  <si>
    <t>+1</t>
  </si>
  <si>
    <t>+4</t>
  </si>
  <si>
    <t>Tir en puissance</t>
  </si>
  <si>
    <t>quoi</t>
  </si>
  <si>
    <t>commentaire</t>
  </si>
  <si>
    <t>/</t>
  </si>
  <si>
    <t>coût</t>
  </si>
  <si>
    <t>somme</t>
  </si>
  <si>
    <t>carrière de base</t>
  </si>
  <si>
    <t>promotion gratuite</t>
  </si>
  <si>
    <t>+6</t>
  </si>
  <si>
    <t>+2</t>
  </si>
  <si>
    <t>+5</t>
  </si>
  <si>
    <t>+3</t>
  </si>
  <si>
    <t>+30</t>
  </si>
  <si>
    <t>+7</t>
  </si>
  <si>
    <t>+8</t>
  </si>
  <si>
    <t>+35</t>
  </si>
  <si>
    <t>Profil principal</t>
  </si>
  <si>
    <t>Charbonnier, Combattant des tunnels, Contrebandier, Ingénieur, Mercenaire, Pisteur, Ramoneur</t>
  </si>
  <si>
    <t>Homme lige, Maraudeur, Pillard</t>
  </si>
  <si>
    <t>Chevalier du Royaume</t>
  </si>
  <si>
    <t>Apprenti maître des runes, Compagnon maître des runes, Contrebandier, Égoutier, Kossar kislevite, Mercenaire, Mineur, Pilleur de tombes, Porterune, Ratier</t>
  </si>
  <si>
    <t>Égoutier, Geôlier, Pilleur de tombes, Porterune, Ramasseur de fumier, Ramoneur, Trafiquant de cadavres</t>
  </si>
  <si>
    <t>Abbé, Prêtre consacré (ordinaire), Prêtre-guerrier</t>
  </si>
  <si>
    <t>Personnage</t>
  </si>
  <si>
    <t>Profil de personnage</t>
  </si>
  <si>
    <t>CC</t>
  </si>
  <si>
    <t>CT</t>
  </si>
  <si>
    <t>F</t>
  </si>
  <si>
    <t>Ag</t>
  </si>
  <si>
    <t>Int</t>
  </si>
  <si>
    <t>FM</t>
  </si>
  <si>
    <t>Soc</t>
  </si>
  <si>
    <t>Base</t>
  </si>
  <si>
    <t>Avance</t>
  </si>
  <si>
    <t>Actuel</t>
  </si>
  <si>
    <t>Profil secondaire</t>
  </si>
  <si>
    <t>A</t>
  </si>
  <si>
    <t>B</t>
  </si>
  <si>
    <t>BF</t>
  </si>
  <si>
    <t>BE</t>
  </si>
  <si>
    <t>M</t>
  </si>
  <si>
    <t>Mag</t>
  </si>
  <si>
    <t>PF</t>
  </si>
  <si>
    <t>PD</t>
  </si>
  <si>
    <t>E</t>
  </si>
  <si>
    <t>-</t>
  </si>
  <si>
    <t>Lieu de naissance :</t>
  </si>
  <si>
    <t>Signe astral :</t>
  </si>
  <si>
    <t xml:space="preserve">Âge : </t>
  </si>
  <si>
    <t xml:space="preserve">Couleur des yeux : </t>
  </si>
  <si>
    <t xml:space="preserve">Sexe : </t>
  </si>
  <si>
    <t xml:space="preserve">Taille : </t>
  </si>
  <si>
    <t xml:space="preserve">Poids : </t>
  </si>
  <si>
    <t xml:space="preserve">Nbre de frères et sœurs : </t>
  </si>
  <si>
    <t>Détails personnels</t>
  </si>
  <si>
    <t xml:space="preserve">Race : </t>
  </si>
  <si>
    <t xml:space="preserve">Anciennes Carrières : </t>
  </si>
  <si>
    <t xml:space="preserve">Carrière actuelle : </t>
  </si>
  <si>
    <t>Nom</t>
  </si>
  <si>
    <t>Portée</t>
  </si>
  <si>
    <t>Groupe</t>
  </si>
  <si>
    <t>Dégâts</t>
  </si>
  <si>
    <t>Rechargement</t>
  </si>
  <si>
    <t>Attributs</t>
  </si>
  <si>
    <t xml:space="preserve">Type : </t>
  </si>
  <si>
    <t>Armure avancée</t>
  </si>
  <si>
    <t>Points d'armure</t>
  </si>
  <si>
    <t>Nom du joueur :</t>
  </si>
  <si>
    <t>Meneur de jeu :</t>
  </si>
  <si>
    <t>Campagne :</t>
  </si>
  <si>
    <t>Année de campagne :</t>
  </si>
  <si>
    <t>Mouvement</t>
  </si>
  <si>
    <t>Charge</t>
  </si>
  <si>
    <t>Course</t>
  </si>
  <si>
    <t>Points d'Armure</t>
  </si>
  <si>
    <t>Tête</t>
  </si>
  <si>
    <t>Bras droit</t>
  </si>
  <si>
    <t>Bras gauche</t>
  </si>
  <si>
    <t>Corps</t>
  </si>
  <si>
    <t>Jambe droite</t>
  </si>
  <si>
    <t>Jambe gauche</t>
  </si>
  <si>
    <t>01-15</t>
  </si>
  <si>
    <t>16-35</t>
  </si>
  <si>
    <t>36-55</t>
  </si>
  <si>
    <t>56-80</t>
  </si>
  <si>
    <t>81-90</t>
  </si>
  <si>
    <t>91-00</t>
  </si>
  <si>
    <t>Fortune</t>
  </si>
  <si>
    <t>Blessures</t>
  </si>
  <si>
    <t>Liste des actions</t>
  </si>
  <si>
    <t>Action de base</t>
  </si>
  <si>
    <t>Attaque rapide</t>
  </si>
  <si>
    <t>Dégainer</t>
  </si>
  <si>
    <t>Désengagement</t>
  </si>
  <si>
    <t>Incantation</t>
  </si>
  <si>
    <t>Se lever/
monter en selle</t>
  </si>
  <si>
    <t>Utiliser une
compétence</t>
  </si>
  <si>
    <t>Type</t>
  </si>
  <si>
    <t>complète</t>
  </si>
  <si>
    <t>demi</t>
  </si>
  <si>
    <t>variable</t>
  </si>
  <si>
    <t>Actions avancées</t>
  </si>
  <si>
    <t>Attaque brutale</t>
  </si>
  <si>
    <t>Attaque prudente</t>
  </si>
  <si>
    <t>Feinte</t>
  </si>
  <si>
    <t>Manœuvre</t>
  </si>
  <si>
    <t>Parade</t>
  </si>
  <si>
    <t>Agent du Suaire, Chasseur de primes, Chasseur de vampires, Mercenaire, Pisteur, Vagabond</t>
  </si>
  <si>
    <t>Chevalier, Chevalier du Cercle Intérieur, Garde noir</t>
  </si>
  <si>
    <r>
      <t>vous mettez un terme prématuré à un sort actif dans un rayon de 12 mètres (6 cases). Cet effet peut servir à dissiper tout sort en cours, mais pas la magie rituelle. Vous pouvez faire cesser immédiatement le sort ciblé par un test réussi de Focalisation, en subissant un malus de -10% par point dans la caractéristique Magie que possède le lanceur de sorts responsable. Ainsi, si vous tentez de dissiper un sort d'</t>
    </r>
    <r>
      <rPr>
        <i/>
        <sz val="10"/>
        <rFont val="Arial"/>
        <family val="2"/>
      </rPr>
      <t>alarme consacrée</t>
    </r>
    <r>
      <rPr>
        <sz val="10"/>
        <rFont val="Arial"/>
        <family val="2"/>
      </rPr>
      <t xml:space="preserve"> lancé par un sorcier dont la valeur de Magie est de 2, votre test de Focalisation se fera avec -20%. </t>
    </r>
    <r>
      <rPr>
        <i/>
        <sz val="10"/>
        <rFont val="Arial"/>
        <family val="2"/>
      </rPr>
      <t>Dissipation</t>
    </r>
    <r>
      <rPr>
        <sz val="10"/>
        <rFont val="Arial"/>
        <family val="2"/>
      </rPr>
      <t xml:space="preserve"> reste sans effet contre l'invocation de démons ou l'animation de morts-vivants.</t>
    </r>
  </si>
  <si>
    <t>un petit éventail (+1)</t>
  </si>
  <si>
    <t>vous faites appel à l'énergie magique pour déplacer et manipuler de petits objets. Vous pouvez ainsi agir sur un objet léger (encombrement de 10 ou moins) situé dans un rayon de 12 mètres (6 cases) et n'étant pas attaché. Vous pouvez également ouvrir ou fermer toute porte non verrouillée, ou faire tomber tout objet dont l'encombrement ne dépasse pas 50, tant qu'ils sont dans un rayon de 24 mètres (12 cases).</t>
  </si>
  <si>
    <t>une plume d'aigle (+2)</t>
  </si>
  <si>
    <t>vous évoluez brièvement dans les airs, ce qui triple votre valeur de Mouvement, avant de retrouver la terre ferme. Vous pouvez atteindre une hauteur de 6 mètres, ce qui permet de passer par-dessus de certains obstacles.</t>
  </si>
  <si>
    <t>un bâillon (+1)</t>
  </si>
  <si>
    <t>vous réduisez magiquement au silence un personnage situé dans un rayon de 24 mètres (12 cases). La cible peut résister au sort en réussissant un test de Force Mentale. En cas d'échec, elle ne pourra pas parler ni même grogner pendant un nombre de rounds égal à votre valeur de Magie.</t>
  </si>
  <si>
    <t>100 mètres (50 cases)</t>
  </si>
  <si>
    <t>un fer à cheval (+1)</t>
  </si>
  <si>
    <t>une petite clé (+1)</t>
  </si>
  <si>
    <t>vous enchantez une serrure ou un verrou situé à 2 mètres (1 case) pendant 1 semaine. L'ouverture ne pourra être crochetée ou forcée pendant toute cette période. En revanche, le sort ne peut empêcher une porte magiquement verrouillée d'être éventrée ou un coffre d'être fracassé.</t>
  </si>
  <si>
    <t>un cheveu, un rognure d'ongle ou une goutte de sang de la cible (+2)</t>
  </si>
  <si>
    <t>Artisan, Baleinier, Bourgeois, Homme lige, Pêcheur, Scalde</t>
  </si>
  <si>
    <t>Charbonnier, Chasseur</t>
  </si>
  <si>
    <t>Capitaine de navire, Explorateur, Marchand, Navigateur</t>
  </si>
  <si>
    <t>Agitateur, Charlatan, Envoûteur, Malédictor, Vagabond, Vitki</t>
  </si>
  <si>
    <t>Batelier, Paysan</t>
  </si>
  <si>
    <t>Pèlerin du Graal</t>
  </si>
  <si>
    <t>Posture défensive</t>
  </si>
  <si>
    <t>Retardement</t>
  </si>
  <si>
    <t>Saut</t>
  </si>
  <si>
    <t>Car.</t>
  </si>
  <si>
    <t>Acquis</t>
  </si>
  <si>
    <t>+10%</t>
  </si>
  <si>
    <t>+20%</t>
  </si>
  <si>
    <t>Bonus</t>
  </si>
  <si>
    <t>Total</t>
  </si>
  <si>
    <t>Compétences de base</t>
  </si>
  <si>
    <t>(Rappel : si non acquis : Car./2)</t>
  </si>
  <si>
    <t>Canotage</t>
  </si>
  <si>
    <t>Charisme</t>
  </si>
  <si>
    <t>Commandement</t>
  </si>
  <si>
    <t>Commérage</t>
  </si>
  <si>
    <t>Conduite d'attelages</t>
  </si>
  <si>
    <t>Déguisement</t>
  </si>
  <si>
    <t>Déplacement silencieux</t>
  </si>
  <si>
    <t>Dissimulation</t>
  </si>
  <si>
    <t>Équitation</t>
  </si>
  <si>
    <t>Escalade</t>
  </si>
  <si>
    <t>Évaluation</t>
  </si>
  <si>
    <t>Fouille</t>
  </si>
  <si>
    <t>Intimidation</t>
  </si>
  <si>
    <t>Jeu</t>
  </si>
  <si>
    <t>Marchandage</t>
  </si>
  <si>
    <t>Natation</t>
  </si>
  <si>
    <t>Perception</t>
  </si>
  <si>
    <t>Résistance à l'alcool</t>
  </si>
  <si>
    <t>Soins des animaux</t>
  </si>
  <si>
    <t>Survie</t>
  </si>
  <si>
    <t>Compétences avancées</t>
  </si>
  <si>
    <t>Bonus/Malus</t>
  </si>
  <si>
    <t>vos prières réveillent de vieux relents de patriotisme et un sentiment de fraternité envers un humain de l'Empire situé à portée. Si la cible souhaite activement attaquer un nain ou un humain de l'Empire, physiquement ou verbalement, elle doit jouer un test de Force Mentale Assez facile (+10%). En cas d'échec, elle perd ses actions du round et secoue la tête, dubitativement quant à ce qu'elle comptait entreprendre.</t>
  </si>
  <si>
    <t>une flèche (+1)</t>
  </si>
  <si>
    <t>votre bénédiction confère à un personnage un bonus de +5% aux tests de Braconnage et de Pistage.</t>
  </si>
  <si>
    <t>1 minute (6 rounds) ou jusqu'à déclenchement.</t>
  </si>
  <si>
    <t>une outre d'eau (+1)</t>
  </si>
  <si>
    <t>vos prières confèrent à un personnage un bonus de +10% au prochain test d'Orientation ou de survie, tant qu'il est joué pendant la durée du sort.</t>
  </si>
  <si>
    <t>cf. texte</t>
  </si>
  <si>
    <t>le sang d'un loup ayant péri d'une mort violente (+1)</t>
  </si>
  <si>
    <t>une dent de loup (+1)</t>
  </si>
  <si>
    <t>vos mots très durs et les prières que vous aboyez bénissent un personnage en lui conférant la sauvagerie d'Ulric ; il ajoute +1 au résultat de ses coups critiques.</t>
  </si>
  <si>
    <t>une plume de chouette (+1)</t>
  </si>
  <si>
    <t>votre prière solennelle confère une bonne dose de sagesse à un personnage, ce qui lui permet de rejouer un test d'Intelligence raté.</t>
  </si>
  <si>
    <t>une touffe de poils de chiens (+1)</t>
  </si>
  <si>
    <t>1 heure/point de Magie</t>
  </si>
  <si>
    <t>une clochette (+1)</t>
  </si>
  <si>
    <t>votre invocation marque une cible et laisse son empreinte sur son âme. Bien que cette marque soit invisible, les créatures vivantes sentent inconsciemment sa présence, ce qui les rend mal à l'aise et hostiles. La cible subit un malus de -20% aux tests de Sociabilité. En règle générale, ce sort de Magie mineure est lancé de manière tout à fait symbolique, pour chasser quelqu'un d'une communauté, ce qui signifie que la cible l'a sans doute mérité et subit déjà un malus aux tests de Sociabilité.</t>
  </si>
  <si>
    <t>un symbole seigneurial (+1)</t>
  </si>
  <si>
    <t>la cible bénéficie d'un bonus de +10% au prochain test de Force Mentale.</t>
  </si>
  <si>
    <t>2 actions complètes</t>
  </si>
  <si>
    <t>un éclat d'obsidienne (+1)</t>
  </si>
  <si>
    <t>votre sort réprime la puissance d'un objet magique, si bien qu'il devient brièvement tout ce qu'il y a de plus ordinaire. Pour que ce sort prenne effet, vous devez jouer un test de Focalisation Assez difficile (-10%) séparé. Si l'objet est tenu par une autre créature, le test est Difficile (-20%). Pour chaque degré de réussite, les pouvoirs de l'objet sont réprimés pendant 1 round. Ce sort est courant au sein de l'Ordre Doré et du culte de Verena notamment, car ceux-ci ont affaire à des artefacts corrompus, mais un petit nombre de sorciers et de prêtres sans lien avec ces organisations le connaissent également.</t>
  </si>
  <si>
    <t>cheveux elfe</t>
  </si>
  <si>
    <t>cheveux halfling/humain</t>
  </si>
  <si>
    <t>cheveux nain</t>
  </si>
  <si>
    <t>yeux elfe</t>
  </si>
  <si>
    <t>yeux halfling</t>
  </si>
  <si>
    <t>yeux humain</t>
  </si>
  <si>
    <t>yeux nain</t>
  </si>
  <si>
    <t>sexe</t>
  </si>
  <si>
    <t>signes distinctifs</t>
  </si>
  <si>
    <t>Argenté</t>
  </si>
  <si>
    <t>Blond cendré</t>
  </si>
  <si>
    <t>Gris-bleu</t>
  </si>
  <si>
    <t>Bleu</t>
  </si>
  <si>
    <t>Gris clair</t>
  </si>
  <si>
    <t>masculin</t>
  </si>
  <si>
    <t>Marques de vérole</t>
  </si>
  <si>
    <t>1,625m</t>
  </si>
  <si>
    <t>1,025m</t>
  </si>
  <si>
    <t>0,975m</t>
  </si>
  <si>
    <t>1,325m</t>
  </si>
  <si>
    <t>1,275m</t>
  </si>
  <si>
    <t>Paille</t>
  </si>
  <si>
    <t>Blond</t>
  </si>
  <si>
    <t>Noisette</t>
  </si>
  <si>
    <t>féminin</t>
  </si>
  <si>
    <t>Rougeaud</t>
  </si>
  <si>
    <t>1,70m</t>
  </si>
  <si>
    <t>1,05m</t>
  </si>
  <si>
    <t>1,00m</t>
  </si>
  <si>
    <t>1,35m</t>
  </si>
  <si>
    <t>1,30m</t>
  </si>
  <si>
    <t>Roux</t>
  </si>
  <si>
    <t>Vert</t>
  </si>
  <si>
    <t>Marron clair</t>
  </si>
  <si>
    <t>Cuivre</t>
  </si>
  <si>
    <t>Balafre</t>
  </si>
  <si>
    <t>1,725m</t>
  </si>
  <si>
    <t>1,375m</t>
  </si>
  <si>
    <t>Auburn</t>
  </si>
  <si>
    <t>Marron</t>
  </si>
  <si>
    <t>Tatouage</t>
  </si>
  <si>
    <t>1,75m</t>
  </si>
  <si>
    <t>1,10m</t>
  </si>
  <si>
    <t>1,40m</t>
  </si>
  <si>
    <t>Châtain clair</t>
  </si>
  <si>
    <t>Marron foncé</t>
  </si>
  <si>
    <t>Boucle d'oreille</t>
  </si>
  <si>
    <t>1,775m</t>
  </si>
  <si>
    <t>1,125m</t>
  </si>
  <si>
    <t>1,645m</t>
  </si>
  <si>
    <t>1,425m</t>
  </si>
  <si>
    <t>Démagogue, Nomade de la steppe, Politicien, Sorcier de village, Staraja vedma</t>
  </si>
  <si>
    <t>Femme-médecine</t>
  </si>
  <si>
    <t>un bout de laine (+2)</t>
  </si>
  <si>
    <r>
      <t xml:space="preserve">vous embobinez une créature humanoïde (humain, elfe, orque, homme-bête, etc.) située à portée, si bien qu'elle agit selon vos désirs à moins de réussir un test de Force Mentale. À son prochain tour de jeu, vous pouvez décider des actions que la créature va effectuer, ce qu'elle fera sans hésiter. La cible fait tout ce que vous lui demandez, mais elle ne se blesse pas volontairement. Ceci dit, rien ne vous empêche de lui donner un ordre stupide dont l'issue pourrait lui nuire. </t>
    </r>
    <r>
      <rPr>
        <i/>
        <sz val="10"/>
        <rFont val="Arial"/>
        <family val="2"/>
      </rPr>
      <t>Confusion</t>
    </r>
    <r>
      <rPr>
        <sz val="10"/>
        <rFont val="Arial"/>
        <family val="2"/>
      </rPr>
      <t xml:space="preserve"> ne marche pas sur les démons et les morts-vivants.</t>
    </r>
  </si>
  <si>
    <t>un miroir (+2)</t>
  </si>
  <si>
    <t>vous comprenez parfaitement la personne à laquelle vous parlez. Cela signifie que vous passez outre la barrière de la langue, mais également que vous savez ce qu'elle pense vraiment, ainsi que ce qu'elle dit. Cela donne à tout marchand un avantage énorme dans le cadre de ses négociations. Vous bénéficiez d'un bonus de +50% aux tests de Marchandage effectués contre cette personne. Le sort est également utile en cas d'interrogatoire, mais les prêtres de Ranald sont généralement moins intéressés par ce type de chose. En fait, il y a peu de chances qu'ils utilisent le sort dans ce cadre, à moins que quelqu'un n'ose s'en servir contre eux !</t>
  </si>
  <si>
    <t>une touffe de poils de chats (+1)</t>
  </si>
  <si>
    <r>
      <t xml:space="preserve">Ranald vous bénit de son incroyable discrétion. Vous bénéficiez d'un bonus de +20% aux tests de Déplacement silencieux et de Dissimulation. Si vous venez à violer une </t>
    </r>
    <r>
      <rPr>
        <i/>
        <sz val="10"/>
        <rFont val="Arial"/>
        <family val="2"/>
      </rPr>
      <t>alarme magique</t>
    </r>
    <r>
      <rPr>
        <sz val="10"/>
        <rFont val="Arial"/>
        <family val="2"/>
      </rPr>
      <t>, vous pouvez passer outre, à condition de réussir un test de Focalisation.</t>
    </r>
  </si>
  <si>
    <t>une petite balance (+2)</t>
  </si>
  <si>
    <r>
      <t>Ranald vous bénit et vous confère un sacré flair en matière d'estimation. Vous bénéficiez d'un bonus de +20% aux tests d'</t>
    </r>
    <r>
      <rPr>
        <sz val="10"/>
        <rFont val="Arial"/>
        <family val="2"/>
      </rPr>
      <t>É</t>
    </r>
    <r>
      <rPr>
        <sz val="10"/>
        <rFont val="Arial"/>
        <family val="2"/>
      </rPr>
      <t>valuation et de Marchandage.</t>
    </r>
  </si>
  <si>
    <t>2 mètres (1 case)</t>
  </si>
  <si>
    <t>une clef (+1)</t>
  </si>
  <si>
    <t>les yeux d'un faucon (+2)</t>
  </si>
  <si>
    <r>
      <t xml:space="preserve">vos prières vous permettent de détecter magiquement tous les pièges situés à portée. </t>
    </r>
    <r>
      <rPr>
        <i/>
        <sz val="10"/>
        <rFont val="Arial"/>
        <family val="2"/>
      </rPr>
      <t>Sens des pièges</t>
    </r>
    <r>
      <rPr>
        <sz val="10"/>
        <rFont val="Arial"/>
        <family val="2"/>
      </rPr>
      <t xml:space="preserve"> ne désamorce pas les pièges ; il vous permet uniquement de sentir leur présence et de les localiser.</t>
    </r>
  </si>
  <si>
    <t>une boîte pourvue d'un double fond (+2)</t>
  </si>
  <si>
    <t>un masque (+2)</t>
  </si>
  <si>
    <t>en entonnant vos prières, vous empêchez les gens de se souvenir de vous. Toute créature dont vous croisez la route doit réussir un test de Force Mentale sous peine de ne pouvoir se rappeler que deux choses au sujet de votre apparence. Elles doivent être précises, mais c'est vous qui les choisissez. La plupart des utilisateurs de ce sort portent un chapeau et une cape extravagants, qu'ils peuvent facilement ôter et cacher. Cela permet à un prêtre de Ranald de se tailler un nom sans compromettre son identité réelle.</t>
  </si>
  <si>
    <t>vous murmurez quelques prières au dieu des marchands et chacune de vos transactions semble se dérouler à merveille. Vous bénéficiez d'un bonus de +10% aux tests de Marchandage et doublez le nombre de degrés de réussite obtenus.</t>
  </si>
  <si>
    <t>5% de la valeur des objets estimés, pour un minimum de 3 co (+2)</t>
  </si>
  <si>
    <r>
      <t>vous priez Händrich et lui demandez son aide pour estimer un bien. Vous bénéficiez d'un bonus de +20% aux tests d'</t>
    </r>
    <r>
      <rPr>
        <sz val="10"/>
        <rFont val="Arial"/>
        <family val="2"/>
      </rPr>
      <t>É</t>
    </r>
    <r>
      <rPr>
        <sz val="10"/>
        <rFont val="Arial"/>
        <family val="2"/>
      </rPr>
      <t>valuation et doublez le nombre de degrés de réussite obtenus.</t>
    </r>
  </si>
  <si>
    <t>10 minutes/point de Magie</t>
  </si>
  <si>
    <t>5 co (+1)</t>
  </si>
  <si>
    <t>vos prières poussent vos concurrents et alliés à dire du bien de vous. Tous les personnages situés à portée parlent en bien des transactions qu'ils ont effectuées avec vous, quels qu'aient pu être leurs désagréments. Pour toute la durée du sort, vous bénéficiez d'un bonus de +10% aux tests de Sociabilité joués contre tous ceux qui ont eu vent de ces rapports positifs.</t>
  </si>
  <si>
    <t>10% de la dette (+2)</t>
  </si>
  <si>
    <t>20% de la transaction (+2)</t>
  </si>
  <si>
    <t>(</t>
  </si>
  <si>
    <t>)</t>
  </si>
  <si>
    <t>Talents</t>
  </si>
  <si>
    <t>Description et bonus</t>
  </si>
  <si>
    <t>Équipement</t>
  </si>
  <si>
    <t>Enc. max</t>
  </si>
  <si>
    <t>Objet</t>
  </si>
  <si>
    <t>Enc.</t>
  </si>
  <si>
    <t>Localisation</t>
  </si>
  <si>
    <t>Argent</t>
  </si>
  <si>
    <t>Pts d'expérience</t>
  </si>
  <si>
    <t>Folies</t>
  </si>
  <si>
    <t>sur moi</t>
  </si>
  <si>
    <t>balles      x</t>
  </si>
  <si>
    <t>carreaux  x</t>
  </si>
  <si>
    <t>flèches    x</t>
  </si>
  <si>
    <t>exceptionnelle</t>
  </si>
  <si>
    <t>bonne</t>
  </si>
  <si>
    <t>normale</t>
  </si>
  <si>
    <t>médiocre</t>
  </si>
  <si>
    <t>arme</t>
  </si>
  <si>
    <t>munitions</t>
  </si>
  <si>
    <t>armure</t>
  </si>
  <si>
    <t>CC ou CT</t>
  </si>
  <si>
    <t>encombrement</t>
  </si>
  <si>
    <t>Enc. base</t>
  </si>
  <si>
    <t>jambes</t>
  </si>
  <si>
    <t>corps</t>
  </si>
  <si>
    <t>bras</t>
  </si>
  <si>
    <t>tête</t>
  </si>
  <si>
    <t>armure + BE</t>
  </si>
  <si>
    <t>Acrobatie équestre</t>
  </si>
  <si>
    <t>Acuité auditive</t>
  </si>
  <si>
    <t>Acuité visuelle</t>
  </si>
  <si>
    <t>Adresse au tir</t>
  </si>
  <si>
    <t>Ambidextre</t>
  </si>
  <si>
    <t>Armes naturelles</t>
  </si>
  <si>
    <t>Calcul mental</t>
  </si>
  <si>
    <t>Camouflage rural</t>
  </si>
  <si>
    <t>Camouflage souterrain</t>
  </si>
  <si>
    <t>Camouflage urbain</t>
  </si>
  <si>
    <t>Chance</t>
  </si>
  <si>
    <t>Chirurgie</t>
  </si>
  <si>
    <t>Code de la rue</t>
  </si>
  <si>
    <t>Combat de rue</t>
  </si>
  <si>
    <t>Combattant virevoltant</t>
  </si>
  <si>
    <t>Connaissance des pièges</t>
  </si>
  <si>
    <t>Contorsionniste</t>
  </si>
  <si>
    <t>Coups assomants</t>
  </si>
  <si>
    <t>Coups précis</t>
  </si>
  <si>
    <t>Coups puissants</t>
  </si>
  <si>
    <t>Course à pied</t>
  </si>
  <si>
    <t>Désarmement</t>
  </si>
  <si>
    <t>Dur à cuir</t>
  </si>
  <si>
    <t>Dur en affaires</t>
  </si>
  <si>
    <t>Effrayant</t>
  </si>
  <si>
    <r>
      <t>É</t>
    </r>
    <r>
      <rPr>
        <sz val="10"/>
        <rFont val="Arial"/>
        <family val="2"/>
      </rPr>
      <t>loquence</t>
    </r>
  </si>
  <si>
    <t>Étiquette</t>
  </si>
  <si>
    <t>Force accrue</t>
  </si>
  <si>
    <t>Frénésie</t>
  </si>
  <si>
    <t>Fuite</t>
  </si>
  <si>
    <t>Grand voyageur</t>
  </si>
  <si>
    <t>Guerrier né</t>
  </si>
  <si>
    <t>Imitation</t>
  </si>
  <si>
    <t>Incantation de bataille</t>
  </si>
  <si>
    <t>Inspiration divine</t>
  </si>
  <si>
    <t>Intelligent</t>
  </si>
  <si>
    <t>Intrigant</t>
  </si>
  <si>
    <t>Lévitation</t>
  </si>
  <si>
    <t>Linguistique</t>
  </si>
  <si>
    <t>Lutte</t>
  </si>
  <si>
    <t>Magie commune</t>
  </si>
  <si>
    <t>Magie mineure</t>
  </si>
  <si>
    <t>Magie noire</t>
  </si>
  <si>
    <t>Magie vulgaire</t>
  </si>
  <si>
    <t>Mains agiles</t>
  </si>
  <si>
    <t>Maître artilleur</t>
  </si>
  <si>
    <t>Méditation</t>
  </si>
  <si>
    <t>Menaçant</t>
  </si>
  <si>
    <t>Orateur né</t>
  </si>
  <si>
    <t>Parade éclair</t>
  </si>
  <si>
    <t>Envoûteur, Oracle, Sorcier de village</t>
  </si>
  <si>
    <t>Malédictor, Thaumaturge</t>
  </si>
  <si>
    <t>Astrologue, Démagogue, Espion, Herrimault, Hors-la-loi, Monte-en-l'air, Politicien</t>
  </si>
  <si>
    <t>Exorciste, Prêtre</t>
  </si>
  <si>
    <t>Assassin</t>
  </si>
  <si>
    <t>Aubergiste</t>
  </si>
  <si>
    <t>Champion</t>
  </si>
  <si>
    <t>Charlatan</t>
  </si>
  <si>
    <t>Flagellant</t>
  </si>
  <si>
    <t>Médecin</t>
  </si>
  <si>
    <t>Navigateur</t>
  </si>
  <si>
    <t>Pisteur</t>
  </si>
  <si>
    <t>Tueur de démons</t>
  </si>
  <si>
    <t>Tueur de géants</t>
  </si>
  <si>
    <t>carrières</t>
  </si>
  <si>
    <t>Maîtrise</t>
  </si>
  <si>
    <t>Chevalier, Chevalier du Corbeau, Chevalier du soleil, Chevalier Panthère, Croisé, Garde noir, Répurgateur</t>
  </si>
  <si>
    <t>Compagnon sorcier, Maître sorcier</t>
  </si>
  <si>
    <t>Mystique strigany, Scalde, Sorcier de village</t>
  </si>
  <si>
    <t>Astrologue, Bateleur, Charlatan, Chiffonnier, Escroc, Oracle, Sorcier de village, Voleur</t>
  </si>
  <si>
    <t>une fin désagréable et sans doute très sanglante</t>
  </si>
  <si>
    <t>Comte vampire</t>
  </si>
  <si>
    <t>Vampire nouveau-né</t>
  </si>
  <si>
    <t>Infamie éternelle…</t>
  </si>
  <si>
    <t>une corne de taureau (+1)</t>
  </si>
  <si>
    <t>1 minute (6 rounds)/point de Magie</t>
  </si>
  <si>
    <t>12 mètres (6 cases)</t>
  </si>
  <si>
    <t>une mince chaîne en argent (+2)</t>
  </si>
  <si>
    <t>ce sort vous permet de vous lier à un autre lanceur de sorts consentant situé à portée et partageant votre Inspiration divine ou Science de la magie. Vous bénéficiez d'un bonus de +1 aux jets d'incantation par degré de réussite qu'obtiennent sur un test de Focalisation les individus qui vous sont liés. Ceux-ci doivent recourir à la demi-action "utiliser une compétence" pour effectuer le test de Focalisation, qui doit être joué 1 round avant que le sort ainsi bonifié ne soit lancé. Ce sort est rare, mais connu auprès de l'Ordre de la Lumière et de quelques temples ulricains.</t>
  </si>
  <si>
    <t>1 round/point de Magie</t>
  </si>
  <si>
    <t>vous</t>
  </si>
  <si>
    <t>un brin de fléau-des-sorcières (+2)</t>
  </si>
  <si>
    <t>vous vous entourez d'une barrière scintillante d'énergie bleue magique. Les créatures dotées de mutations du Chaos qui tentent de vous attaquer au corps à corps doivent réussir un test de Force Mentale par round sous peine de ne pouvoir s'en prendre à vous, et donc se tourner vers une autre cible ou action pour ce round. En cas de succès, elles subissent un malus de -10% aux tests de Capacité de Combat vous visant.</t>
  </si>
  <si>
    <t>une serrure (+2)</t>
  </si>
  <si>
    <t>1 minute</t>
  </si>
  <si>
    <t>le vœu écrit (+2)</t>
  </si>
  <si>
    <t>la cible du sort jure de mener à bien une action ou au contraire de s'en abstenir. Elle doit le faire de son propre gré, sans nécessairement savoir que le sort lui est lancé. Si elle enfreint son vœu, elle doit réduire aussitôt et à jamais sa valeur d'Endurance de -1d10%. Si elle jure de faire quelque chose, il ne lui suffit pas de se limiter à une tentative ; elle doit parvenir à ses fins pour éviter le malus. Le sort est actif jusqu'à ce que le vœu soit exaucé ou brisé, mais il est possible de le dissiper avant cela. Les prêtresses de Shallya n'apprennent jamais ce sort ; c'est une violation grave de leur engagement.</t>
  </si>
  <si>
    <t xml:space="preserve">vous </t>
  </si>
  <si>
    <t>un nerf de bœuf (+1)</t>
  </si>
  <si>
    <r>
      <t xml:space="preserve">vos coups font énormément souffrir vos victimes. Ils n'infligent pas plus de dommages, mais la douleur est insoutenable. Ainsi, tous ceux que vous touchez au combat subissent un malus de -10% à tous les tests effectués au round qui suit. </t>
    </r>
    <r>
      <rPr>
        <i/>
        <sz val="10"/>
        <rFont val="Arial"/>
        <family val="2"/>
      </rPr>
      <t>Coups douloureux</t>
    </r>
    <r>
      <rPr>
        <sz val="10"/>
        <rFont val="Arial"/>
        <family val="2"/>
      </rPr>
      <t xml:space="preserve"> est généralement utilisé sur des victimes sans défense et n'affecte ni les démons si les morts-vivants.</t>
    </r>
  </si>
  <si>
    <t>une goutte de votre propre sang (+2)</t>
  </si>
  <si>
    <t>toute créature que vous touchez et à laquelle vous infligez au moins un point de Blessures doit réussir un test de Terreur.</t>
  </si>
  <si>
    <t>1 heure</t>
  </si>
  <si>
    <t>60 mètres (30 cases)</t>
  </si>
  <si>
    <t>vêtements voilant les sons (+2)</t>
  </si>
  <si>
    <t>votre pouvoir allié au pouvoir de Manann confère la capacité de respirer sous l'eau comme s'il s'agissait d'air.</t>
  </si>
  <si>
    <t>une tasse d'eau salée (+1)</t>
  </si>
  <si>
    <r>
      <t xml:space="preserve">vous psalmodiez votre prière en direction d'un personnage situé à portée. Ses poumons sont aussitôt remplis d'eau salée, ce qui l'empêche de parler et complique nombre d'actions en ce qui le concerne. Tant que l'eau est présente dans ses poumons, il subit un malus de -10% à tous les tests effectués. À chaque round, la cible a le droit d'entreprendre une demi-action pour jouer un test d'Endurance et recracher l'eau, ce qui met un terme au sort. Si la cible ne réussit pas un test d'Endurance pendant qu'elle est sous l'effet du </t>
    </r>
    <r>
      <rPr>
        <i/>
        <sz val="10"/>
        <rFont val="Arial"/>
        <family val="2"/>
      </rPr>
      <t>visage du noyé</t>
    </r>
    <r>
      <rPr>
        <sz val="10"/>
        <rFont val="Arial"/>
        <family val="2"/>
      </rPr>
      <t>, elle subit un coup d'une valeur de dégâts de 2 au moment où celui-ci s'achève.</t>
    </r>
  </si>
  <si>
    <t>un pieu en bois (+2)</t>
  </si>
  <si>
    <t>vous infligez un coup d'une valeur de dégâts de 8 à un adversaire ayant le talent Mort-vivant.</t>
  </si>
  <si>
    <t>un grand miroir (+2)</t>
  </si>
  <si>
    <t>l'esprit d'un humain mort apparaît devant vous et répond à un nombre de questions égal à votre valeur de Magie. Vous devez cependant disposer de tout ou partie du corps qui accueillait jadis cet esprit. Ce dernier ne saurait mentir et doit répondre, mais il choisit le volume exact d'informations dévoilées. Il est limité aux informations qu'il connaissait de son vivant. Si on lui pose une question à laquelle il n'a pas de réponse, il ne dit rien, mais ladite question entre dans le quota auquel vous avez droit. L'esprit quittant le royaume des morts avec la permission de Morr, tout corps ne peut être pris pour cible qu'une seule fois par ce sort, quel que soit celui qui le lance. Que la première incantation soit couronnée de succès ou non, toute tentative ultérieure visant ce même corps attire automatiquement la colère des dieux.
Vous devez poser l'ensemble de vos questions dans un délai de 1 minute par point de Magie. Une fois ce laps de temps écoulé, l'esprit s'en retourne au royaume des morts.</t>
  </si>
  <si>
    <t>un morceau de charbon (+2)</t>
  </si>
  <si>
    <t>+10%Dégui.,Expr.Art.(parole&amp;dég.),Lan.(accent)</t>
  </si>
  <si>
    <t>permet de lancer des sorts de sa divinité</t>
  </si>
  <si>
    <t>+5% Int</t>
  </si>
  <si>
    <t>+10% Cha. lié aux intrigues, FM -&gt; Cha. d'autrui</t>
  </si>
  <si>
    <t>Vous provoquez la peur (chapitre 9)</t>
  </si>
  <si>
    <t>vous pouvez voler (chapitre 6)</t>
  </si>
  <si>
    <t>+10% Lire/écrire &amp; Langue</t>
  </si>
  <si>
    <t>+10% CC et F sur prise</t>
  </si>
  <si>
    <t>permet de lancer des sorts de magie commune</t>
  </si>
  <si>
    <t>permet de lancer des sorts de magie mineure</t>
  </si>
  <si>
    <t>+20% CC sur les sorts de contact</t>
  </si>
  <si>
    <t>-1/2 action pour la recharge des armes à poudre</t>
  </si>
  <si>
    <t>bonus au jet d'incantation de Mag sur rituels</t>
  </si>
  <si>
    <t>+10% Intimidation &amp; Torture</t>
  </si>
  <si>
    <t>immunisé contre P, T, Ass, poi, mal, émo &amp; esp</t>
  </si>
  <si>
    <t>Personnes affectées par Charisme x 100</t>
  </si>
  <si>
    <t>peut utiliser une arme requérant une formation</t>
  </si>
  <si>
    <t>échange une attaque rapide pour parade gratuite</t>
  </si>
  <si>
    <t>+1 dégâts des sorts de projectiles magiques</t>
  </si>
  <si>
    <t>-1/2 action pour la recharge des armes à dist.</t>
  </si>
  <si>
    <t>+5 Ag</t>
  </si>
  <si>
    <t>+5% En</t>
  </si>
  <si>
    <t>+10% FM contre la magie</t>
  </si>
  <si>
    <t>+10% FM VS Chaos et mutations du Chaos</t>
  </si>
  <si>
    <t>pas de malus en M si armure lourde</t>
  </si>
  <si>
    <t>tests folie à 8 PF et automatique à 14</t>
  </si>
  <si>
    <t>+5% FM</t>
  </si>
  <si>
    <r>
      <t xml:space="preserve">vos prières confèrent la protection de votre dieu à un personnage. Quiconque tente de l'attaquer doit réussir un </t>
    </r>
    <r>
      <rPr>
        <b/>
        <sz val="10"/>
        <rFont val="Arial"/>
        <family val="2"/>
      </rPr>
      <t>test de Force Mentale Assez facile (+10%)</t>
    </r>
    <r>
      <rPr>
        <sz val="10"/>
        <rFont val="Arial"/>
        <family val="2"/>
      </rPr>
      <t>. En cas d'échec, l'assaillant doit choisir une autre cible ou entreprendre une autre action.</t>
    </r>
  </si>
  <si>
    <t>un clou en fer (+1)</t>
  </si>
  <si>
    <t>vos prières confèrent à un personnage un bonus de +5% en Capacité de Combat et Force.</t>
  </si>
  <si>
    <t>un rameau de houx (+1)</t>
  </si>
  <si>
    <t>Magie commune de Manann</t>
  </si>
  <si>
    <t>Bénédiction de Manann</t>
  </si>
  <si>
    <t>Magie commune de Morr</t>
  </si>
  <si>
    <t>Magie commune de Myrmidia</t>
  </si>
  <si>
    <t>Magie commune de Ranald</t>
  </si>
  <si>
    <t>Magie commune de Shallya</t>
  </si>
  <si>
    <t>Magie commune de Sigmar</t>
  </si>
  <si>
    <t>Magie commune de Taal</t>
  </si>
  <si>
    <t>Magie commune d'Ulric</t>
  </si>
  <si>
    <t>Magie commune de Verena</t>
  </si>
  <si>
    <t>page</t>
  </si>
  <si>
    <t>livre</t>
  </si>
  <si>
    <t>Le Tome de la Rédemption</t>
  </si>
  <si>
    <t>Bénédiction du marin</t>
  </si>
  <si>
    <t>Bénédiction de Morr</t>
  </si>
  <si>
    <t>Bénédiction de passage</t>
  </si>
  <si>
    <t>Bénédiction de fureur</t>
  </si>
  <si>
    <t>Bénédiction de Myrmidia</t>
  </si>
  <si>
    <t>Bénédiction de chance</t>
  </si>
  <si>
    <t>Bénédiction de Ranald</t>
  </si>
  <si>
    <t>Bénédiction de calme</t>
  </si>
  <si>
    <t>Bénédiction de Shallya</t>
  </si>
  <si>
    <t>Bénédiction de Sigmar</t>
  </si>
  <si>
    <t>Bénédiction d'unification</t>
  </si>
  <si>
    <t>Bénédiction du chasseur</t>
  </si>
  <si>
    <t>Bénédiction de Taal</t>
  </si>
  <si>
    <t>Bénédiction de la main rouge</t>
  </si>
  <si>
    <t>Bénédiction d'Ulric</t>
  </si>
  <si>
    <t>Bénédiction de sagesse</t>
  </si>
  <si>
    <t>Bénédiction de Verena</t>
  </si>
  <si>
    <t>Anathème</t>
  </si>
  <si>
    <t>Détermination renforcée</t>
  </si>
  <si>
    <t>Dormance</t>
  </si>
  <si>
    <t>Grand prêche</t>
  </si>
  <si>
    <t>Lien</t>
  </si>
  <si>
    <t>Rejet de la souillure</t>
  </si>
  <si>
    <t>Sanctuaire</t>
  </si>
  <si>
    <t>Vœu</t>
  </si>
  <si>
    <t>Coups douloureux</t>
  </si>
  <si>
    <t>Coup terrorisant</t>
  </si>
  <si>
    <t>Manteau du voleur de bétail</t>
  </si>
  <si>
    <t>Menaces de terreur</t>
  </si>
  <si>
    <t>Mine redoutable</t>
  </si>
  <si>
    <t>Regard furieux</t>
  </si>
  <si>
    <t>Aqcuisition du bourgeois</t>
  </si>
  <si>
    <t>Bagou</t>
  </si>
  <si>
    <t>Bonne affaire</t>
  </si>
  <si>
    <t>Bouche à oreille</t>
  </si>
  <si>
    <t>Le temps c'est de l'argent</t>
  </si>
  <si>
    <t>Loyauté achetée</t>
  </si>
  <si>
    <t>Dague de Khaine</t>
  </si>
  <si>
    <t>Dard caudal</t>
  </si>
  <si>
    <t>Lame cachée</t>
  </si>
  <si>
    <t>Le seigneur du meurtre</t>
  </si>
  <si>
    <t>Main ensanglantée</t>
  </si>
  <si>
    <t>Tourment éternel</t>
  </si>
  <si>
    <t>Bénédiction de l'albatros</t>
  </si>
  <si>
    <t>Bon vent</t>
  </si>
  <si>
    <t>Calme plat</t>
  </si>
  <si>
    <t>Déflagration marine</t>
  </si>
  <si>
    <t>Malédiction de l'albatros</t>
  </si>
  <si>
    <t>Marche sur les eaux</t>
  </si>
  <si>
    <t>Marée monstre</t>
  </si>
  <si>
    <t>Navigation bénie</t>
  </si>
  <si>
    <t>Œil de pêcheur</t>
  </si>
  <si>
    <t>Pied marin</t>
  </si>
  <si>
    <t>Respiration aquatique</t>
  </si>
  <si>
    <t>Visage du noyé</t>
  </si>
  <si>
    <t>Destruction de mort-vivant</t>
  </si>
  <si>
    <t>Discours de Morr</t>
  </si>
  <si>
    <t>Ligne de seuil</t>
  </si>
  <si>
    <t>Message onirique</t>
  </si>
  <si>
    <t>Préservation des morts</t>
  </si>
  <si>
    <t>Pressentiment</t>
  </si>
  <si>
    <t>Repos éternel</t>
  </si>
  <si>
    <t>Rêve directeur</t>
  </si>
  <si>
    <t>Révélation</t>
  </si>
  <si>
    <t>Signe du corbeau</t>
  </si>
  <si>
    <t>Sommeil des morts</t>
  </si>
  <si>
    <t>Vision de Morr</t>
  </si>
  <si>
    <t>Appel de la furie</t>
  </si>
  <si>
    <t>Art du combat</t>
  </si>
  <si>
    <t>Champion du Chaos exalté</t>
  </si>
  <si>
    <t>Hiérogrammate</t>
  </si>
  <si>
    <t>Maître hiérogrammate</t>
  </si>
  <si>
    <t>Chef</t>
  </si>
  <si>
    <t>Bateleur, Grand prêtre, Initié, Ménestrel, Moine mendiant, Prêtre, Prêtre consacré</t>
  </si>
  <si>
    <t>Guerrier du Chaos</t>
  </si>
  <si>
    <t>Chevalier de la Quête</t>
  </si>
  <si>
    <t>Aristocrate, Capitaine, Courtisan, Explorateur, Politicien, Sans-visage</t>
  </si>
  <si>
    <t>Chevalier errant</t>
  </si>
  <si>
    <t>Aristocrate, Capitaine, Chevalier de la Quête, Courtisan, Explorateur, Politicien, Sans-visage</t>
  </si>
  <si>
    <t>Chevalier du Royaume, Herrimault</t>
  </si>
  <si>
    <t>Aristocrate, Chevalier, Écuyer, Répurgateur, Sergent</t>
  </si>
  <si>
    <t>Apprenti maître des runes</t>
  </si>
  <si>
    <t>Apprenti sorcier</t>
  </si>
  <si>
    <t>Exorciste, Prêtre (cloîtré)</t>
  </si>
  <si>
    <t>Abbé, Prêtre consacré (cloîtré), Prêtre-guerrier</t>
  </si>
  <si>
    <t>Chasseur, Messager</t>
  </si>
  <si>
    <t>Chevalier du Cercle Intérieur</t>
  </si>
  <si>
    <t>Abbé, Prêtre consacré, Prêtre-guerrier</t>
  </si>
  <si>
    <t>Champion hiérogrammate</t>
  </si>
  <si>
    <t>vos prières vous permettent d'appliquer les résultats de vos tests de Déplacement silencieux et Dissimulation au groupe qui voyage en votre compagnie. Ce groupe peut parfaitement inclure des humains (ou autres créatures similaires) et de grands animaux, comme des chevaux ou du bétail. Manteau du voleur de bétail peut affecter jusqu'à 10 humains et 20 animaux de la taille d'un cheval ou d'un bœuf par point de votre valeur de Magie. Les animaux plus petits, comme les chèvres et les moutons comptent pour moitié.</t>
  </si>
  <si>
    <t>48 mètres (24 cases)</t>
  </si>
  <si>
    <t>un fouet (+2)</t>
  </si>
  <si>
    <t>vos prières menacent un groupe avec une efficacité telle que les individus qui le composent sont submergés par la peur, au point ils se blessent en tentant de prendre la fuite. Disposez le grand gabarit où vous le souhaitez tant qu'il demeure à portée. Toutes les cibles doivent jouer un test de Terreur. Celles qui le ratent subissent un coup d'une valeur de dégâts de 4, sans oublier qu'elles sont victimes des effets de la terreur.</t>
  </si>
  <si>
    <t>un membre d'une victime (+2)</t>
  </si>
  <si>
    <t>vos prières vous confèrent le talent Effrayant.</t>
  </si>
  <si>
    <t>un masque en forme de crâne (+1)</t>
  </si>
  <si>
    <t>vous lancez un regard furieux à la cible et entonnez une prière. La cible doit aussitôt jouer un test de Peur.</t>
  </si>
  <si>
    <t>10% de la valeur des transactions réalisées, pour un minimum de 5 co (+2)</t>
  </si>
  <si>
    <r>
      <t xml:space="preserve">vos prières permettent à un personnage de retenir son souffle quand il reste sous l'eau trop longtemps. Ainsi, il ignore les règles d'asphyxie (cf page 136 de </t>
    </r>
    <r>
      <rPr>
        <i/>
        <sz val="10"/>
        <rFont val="Arial"/>
        <family val="2"/>
      </rPr>
      <t>WJDR</t>
    </r>
    <r>
      <rPr>
        <sz val="10"/>
        <rFont val="Arial"/>
        <family val="2"/>
      </rPr>
      <t>) pendant toute la durée du sort. Il est impossible de lancer ce sort quand on a la tête sous l'eau.</t>
    </r>
  </si>
  <si>
    <r>
      <t xml:space="preserve">vos prières courroucées suscitent une rage de berserk chez un personnage. Celui-ci entre aussitôt en Frénésie (cf. page 98 de </t>
    </r>
    <r>
      <rPr>
        <i/>
        <sz val="10"/>
        <rFont val="Arial"/>
        <family val="2"/>
      </rPr>
      <t>WJDR</t>
    </r>
    <r>
      <rPr>
        <sz val="10"/>
        <rFont val="Arial"/>
        <family val="2"/>
      </rPr>
      <t>). Si le personnage a le talent Frénésie, il reste enragé jusqu'à la fin du combat ; dans le cas contraire, la Frénésie dure 1 minute (6 rounds) ou jusqu'à la fin du combat s'il s'achève avant.</t>
    </r>
  </si>
  <si>
    <t>Bouclier d'Aqshy</t>
  </si>
  <si>
    <t>Boule de feu</t>
  </si>
  <si>
    <t>Cautérisation</t>
  </si>
  <si>
    <t>Cœur ardent</t>
  </si>
  <si>
    <t>Colérique</t>
  </si>
  <si>
    <t>Conflagration fatale</t>
  </si>
  <si>
    <t>Couronne de feu</t>
  </si>
  <si>
    <t>Cuisson éclair</t>
  </si>
  <si>
    <t>Égide d'Aqshy</t>
  </si>
  <si>
    <t>Embrasement de colère</t>
  </si>
  <si>
    <t>Épée ardente de Rhuin</t>
  </si>
  <si>
    <t>Explosion flamboyante</t>
  </si>
  <si>
    <t>Flamme inextinguible</t>
  </si>
  <si>
    <t>Flammes d'U'Zhul</t>
  </si>
  <si>
    <t>Goût du feu</t>
  </si>
  <si>
    <t>Rideau de feu</t>
  </si>
  <si>
    <t>Ruine et destruction</t>
  </si>
  <si>
    <t>Sang bouillant</t>
  </si>
  <si>
    <t>Souffle de feu</t>
  </si>
  <si>
    <t>Vengeance ardente</t>
  </si>
  <si>
    <t>Arme rayonnante</t>
  </si>
  <si>
    <t>Bannissement</t>
  </si>
  <si>
    <t>Bienveillance de Hysh</t>
  </si>
  <si>
    <t>Clairvoyance</t>
  </si>
  <si>
    <t>Colonne de gloire</t>
  </si>
  <si>
    <t>Édifice illuminé</t>
  </si>
  <si>
    <t>Exorcisme</t>
  </si>
  <si>
    <t>Guérison</t>
  </si>
  <si>
    <t>Inspiration lumineuse</t>
  </si>
  <si>
    <t>Lueur purificatrice</t>
  </si>
  <si>
    <t>Lumière aveuglante</t>
  </si>
  <si>
    <t>Lumière immunisante</t>
  </si>
  <si>
    <t>Manteau de lumière</t>
  </si>
  <si>
    <t>Pouvoir de la vérité</t>
  </si>
  <si>
    <t>Rayon de soumission</t>
  </si>
  <si>
    <t>Regard radieux</t>
  </si>
  <si>
    <t>Sentinelle rayonnante</t>
  </si>
  <si>
    <t>Soins de Hysh</t>
  </si>
  <si>
    <t>Yeux de la vérité</t>
  </si>
  <si>
    <t>domaine</t>
  </si>
  <si>
    <t>Catégorie :</t>
  </si>
  <si>
    <t>Domaine :</t>
  </si>
  <si>
    <t>Nom :</t>
  </si>
  <si>
    <t>Difficulté :</t>
  </si>
  <si>
    <t>Temps d'incantation :</t>
  </si>
  <si>
    <t>Portée :</t>
  </si>
  <si>
    <t>Description :</t>
  </si>
  <si>
    <t>catégorie</t>
  </si>
  <si>
    <t>Armure de plomb</t>
  </si>
  <si>
    <t>Défaut</t>
  </si>
  <si>
    <t>Dévoiler l'inconnu</t>
  </si>
  <si>
    <t>Enchantement d'objet</t>
  </si>
  <si>
    <t>Façonnage du métal</t>
  </si>
  <si>
    <t>Flèches d'argent d'Arha</t>
  </si>
  <si>
    <t>Garde d'acier</t>
  </si>
  <si>
    <t>Inscription</t>
  </si>
  <si>
    <t>Loi de l'or</t>
  </si>
  <si>
    <t>Loi de la forme</t>
  </si>
  <si>
    <t>Loi de la logique</t>
  </si>
  <si>
    <t>Loi du temps</t>
  </si>
  <si>
    <t>Malédiction de la rouille</t>
  </si>
  <si>
    <t>Métal révélateur</t>
  </si>
  <si>
    <t>Or du fou</t>
  </si>
  <si>
    <t>Rigidité de corps et d'esprit</t>
  </si>
  <si>
    <t>Rune secrète</t>
  </si>
  <si>
    <t>Soufflet de forge</t>
  </si>
  <si>
    <t>Transmutation de la folie</t>
  </si>
  <si>
    <t>Vision du destin</t>
  </si>
  <si>
    <t>Absorption de la vie</t>
  </si>
  <si>
    <t>immu. peur, Intimidation, troublant, Ter.-&gt;Peur</t>
  </si>
  <si>
    <t>1 round-&gt;+10% F&amp;FM -10% CC&amp;Int-&gt;att proche</t>
  </si>
  <si>
    <t>+10 tests des compétences Métier en rapport</t>
  </si>
  <si>
    <t>permet de lancer des sorts de ce domaine</t>
  </si>
  <si>
    <t>+20% Perception</t>
  </si>
  <si>
    <t>+10% Orientation</t>
  </si>
  <si>
    <t>test FM -&gt; intervention du MJ</t>
  </si>
  <si>
    <t>+5% Soc</t>
  </si>
  <si>
    <t>dégaine gratuite 1/round</t>
  </si>
  <si>
    <t>provoque la terreur</t>
  </si>
  <si>
    <t>ignore 1 point d'armure</t>
  </si>
  <si>
    <t>+1 dégât armes de tir</t>
  </si>
  <si>
    <t>FM pour éviter -10% CC &amp; CT</t>
  </si>
  <si>
    <t>permet de voir dans la nuit à 30m</t>
  </si>
  <si>
    <t>vous pouvez léviter (chapitre 6)</t>
  </si>
  <si>
    <t>Messager, Scribe</t>
  </si>
  <si>
    <t>Marin, Pêcheur, Pillard</t>
  </si>
  <si>
    <t>Agitateur, Chef de bande, Duelliste, Prince des voleurs, Sergent</t>
  </si>
  <si>
    <t>Chef de bande, Démagogue, Frère de la cape, Politicien, Prince des voleurs, Sans-visage</t>
  </si>
  <si>
    <t>Courtisan, Initié, Messager, Prêtre, Prêtre consacré, Valet</t>
  </si>
  <si>
    <t>Bûcheron, Chasseur, Éclaireur, Homme d'armes, Hors-la-loi, Paysan, Pèlerin du Graal, Vagabond</t>
  </si>
  <si>
    <t>Homme lige, Scalde</t>
  </si>
  <si>
    <t>Champion homme-bête</t>
  </si>
  <si>
    <t>Médecin, Racketteur, Voleur</t>
  </si>
  <si>
    <t>Charbonnier, Vagabond</t>
  </si>
  <si>
    <t>Écorcheur d'âmes</t>
  </si>
  <si>
    <t>Aucun</t>
  </si>
  <si>
    <t>Aspirant champion</t>
  </si>
  <si>
    <t>Bouclier de Myrmidia</t>
  </si>
  <si>
    <t>Commandant de légion</t>
  </si>
  <si>
    <t>Commandement inspiré</t>
  </si>
  <si>
    <t>Courroux vengeur</t>
  </si>
  <si>
    <t>Dévotion de la vierge au bouclier</t>
  </si>
  <si>
    <t>Frappe éclair</t>
  </si>
  <si>
    <t>Hébétement</t>
  </si>
  <si>
    <t>Lance de Myrmidia</t>
  </si>
  <si>
    <t>Soleil ardent</t>
  </si>
  <si>
    <t>Vision de l'aigle</t>
  </si>
  <si>
    <t>Abondante fortune</t>
  </si>
  <si>
    <t>Abondance ou disette</t>
  </si>
  <si>
    <t>Affaire en or</t>
  </si>
  <si>
    <t>Bonne fortune</t>
  </si>
  <si>
    <t>Confusion</t>
  </si>
  <si>
    <t>Empathie parfaite</t>
  </si>
  <si>
    <t>Furtivité de Ranald</t>
  </si>
  <si>
    <t>Œil de Ranald</t>
  </si>
  <si>
    <t>Ouverture</t>
  </si>
  <si>
    <t>Sens des pièges</t>
  </si>
  <si>
    <t>Visage du pauvre</t>
  </si>
  <si>
    <t>Visage immémoré</t>
  </si>
  <si>
    <t>Chasuble de pureté</t>
  </si>
  <si>
    <t>Détresse retardée</t>
  </si>
  <si>
    <t>Endurance de Shallya</t>
  </si>
  <si>
    <t>Esprit compatissant</t>
  </si>
  <si>
    <t>Guérison des blessures</t>
  </si>
  <si>
    <t>Guérison de la folie</t>
  </si>
  <si>
    <t>Guérison des poisons</t>
  </si>
  <si>
    <t>Larmes dorées</t>
  </si>
  <si>
    <t>Martyr</t>
  </si>
  <si>
    <t>Purification</t>
  </si>
  <si>
    <t>Résistance à la maladie</t>
  </si>
  <si>
    <t>débouchés</t>
  </si>
  <si>
    <t>Érudit, Grand prêtre, Prêtre consacré, Moine mendiant</t>
  </si>
  <si>
    <t>Au choix</t>
  </si>
  <si>
    <t>Charbonnier, Paysan, Ratier, Serviteur</t>
  </si>
  <si>
    <t>Grenouillère, Maresquier, Médiateur, Sans-visage, Yeoman</t>
  </si>
  <si>
    <t>Chef de bande, Démagogue, Intendant, Sans-visage, Politicien</t>
  </si>
  <si>
    <t>Étudiant, Maître-artisan, Porterune, Scribe</t>
  </si>
  <si>
    <t>Chevalier du Chaos</t>
  </si>
  <si>
    <t>Champion du Chaos</t>
  </si>
  <si>
    <t>Champîon, Chef de bande, Escroc, Frère de la cape, Répurgateur, Sergent</t>
  </si>
  <si>
    <t>Espion, Intendant, Yeoman</t>
  </si>
  <si>
    <t>Artisan</t>
  </si>
  <si>
    <t>Acolyte de Khorne</t>
  </si>
  <si>
    <t>Acolyte de Nurgle</t>
  </si>
  <si>
    <t>Acolyte de Slaanesh</t>
  </si>
  <si>
    <t>Chiffonnier, Paysan, Ratier</t>
  </si>
  <si>
    <t>Connaissances académiques</t>
  </si>
  <si>
    <t>Connaissances générales</t>
  </si>
  <si>
    <t>Expression artistique</t>
  </si>
  <si>
    <t>caractéristique associée</t>
  </si>
  <si>
    <t>Langue</t>
  </si>
  <si>
    <t>Métier</t>
  </si>
  <si>
    <t>Projectile puissant</t>
  </si>
  <si>
    <t>Rechargement rapide</t>
  </si>
  <si>
    <t>Réflexes éclair</t>
  </si>
  <si>
    <t>Résistance accrue</t>
  </si>
  <si>
    <t>Résistance à la magie</t>
  </si>
  <si>
    <t>Résistance au Chaos</t>
  </si>
  <si>
    <t>Résistance aux maladies</t>
  </si>
  <si>
    <t>Résistance aux poisons</t>
  </si>
  <si>
    <t>Robuste</t>
  </si>
  <si>
    <t>Sain d'esprit</t>
  </si>
  <si>
    <t>Sang-froid</t>
  </si>
  <si>
    <t>Sans peur</t>
  </si>
  <si>
    <t>Savoir-faire nain</t>
  </si>
  <si>
    <t>Science de la magie</t>
  </si>
  <si>
    <t>Sens aiguisés</t>
  </si>
  <si>
    <t>Sens de l'orientation</t>
  </si>
  <si>
    <t>Sixième sens</t>
  </si>
  <si>
    <t>Sociable</t>
  </si>
  <si>
    <t>Sombre savoir</t>
  </si>
  <si>
    <t>Sur ses gardes</t>
  </si>
  <si>
    <t>Talent artistique</t>
  </si>
  <si>
    <t>Terrifiant</t>
  </si>
  <si>
    <t>Tir de précision</t>
  </si>
  <si>
    <t>Tireur d'élite</t>
  </si>
  <si>
    <t>Troublant</t>
  </si>
  <si>
    <t>Valeureux</t>
  </si>
  <si>
    <t>Vision nocturne</t>
  </si>
  <si>
    <t>Vol</t>
  </si>
  <si>
    <t>compétences avancées</t>
  </si>
  <si>
    <t>Alphabet secret</t>
  </si>
  <si>
    <t>Baratin</t>
  </si>
  <si>
    <t>Braconnage</t>
  </si>
  <si>
    <t>Crochetage</t>
  </si>
  <si>
    <t>Dressage</t>
  </si>
  <si>
    <t>Emprise sur les animaux</t>
  </si>
  <si>
    <t>Escamotage</t>
  </si>
  <si>
    <t>Esquive</t>
  </si>
  <si>
    <t>Filature</t>
  </si>
  <si>
    <t>Focalisation</t>
  </si>
  <si>
    <t>Hypnotisme</t>
  </si>
  <si>
    <t>Langage mystique</t>
  </si>
  <si>
    <t>Langage secret</t>
  </si>
  <si>
    <t>Lecture sur les lèvres</t>
  </si>
  <si>
    <t>Lire/écrire</t>
  </si>
  <si>
    <t>Navigation</t>
  </si>
  <si>
    <t>Orientation</t>
  </si>
  <si>
    <t>Pistage</t>
  </si>
  <si>
    <t>Préparation de poisons</t>
  </si>
  <si>
    <t>Sens de la magie</t>
  </si>
  <si>
    <t>Soins</t>
  </si>
  <si>
    <t>Torture</t>
  </si>
  <si>
    <t>Ventriloquie</t>
  </si>
  <si>
    <t>caractéristique</t>
  </si>
  <si>
    <t>race</t>
  </si>
  <si>
    <t>Halfling</t>
  </si>
  <si>
    <t>Humain</t>
  </si>
  <si>
    <t>Nain</t>
  </si>
  <si>
    <t>signe astral</t>
  </si>
  <si>
    <t>La Grande Croix</t>
  </si>
  <si>
    <t>Le Trait du Peintre</t>
  </si>
  <si>
    <t>Gnuthus le Buffle</t>
  </si>
  <si>
    <t>Dragomas le Dragon</t>
  </si>
  <si>
    <t>Le Crépuscule</t>
  </si>
  <si>
    <t>Le Fourreau de Grungni</t>
  </si>
  <si>
    <t>Mammit le Sage</t>
  </si>
  <si>
    <t>Mummit le Fou</t>
  </si>
  <si>
    <t>Le Danseur</t>
  </si>
  <si>
    <t>Le Tambour</t>
  </si>
  <si>
    <t>Le Flûtiste</t>
  </si>
  <si>
    <t>Vobist le Pâle</t>
  </si>
  <si>
    <t>La Charrette Brisée</t>
  </si>
  <si>
    <t>La Chèvre Sauvage</t>
  </si>
  <si>
    <t>Cackelfax le Coq</t>
  </si>
  <si>
    <t>Le Grimoire</t>
  </si>
  <si>
    <t>vos prières vous emplissent d'une colère et d'une haine sans borne. Vous avez le droit de retenter tout test de Capacité de Combat ou de Capacité de Tir raté, mais une seule fois. Tant que le sort fait effet, vous devez attaquer le plus proche ennemi en combat au corps à corps et toutes vos attaques doivent prendre la forme d'attaques à outrance, d'attaques rapides ou d'attaques de charge. De plus, vous ne pouvez fuir ou battre en retraite.</t>
  </si>
  <si>
    <t>un étendard à l'image de l'aigle (+2)</t>
  </si>
  <si>
    <t>les prières que vous psalmodiez emplissent les enfants de Myrmidia du dévouement de ses plus courageuses vierges au bouclier. Tous les myrmidéens, Tiléens et Estaliens situés à portée gagnent le talent Sans peur.</t>
  </si>
  <si>
    <t>un talisman gravé d'un éclair (+2)</t>
  </si>
  <si>
    <t>investi de la puissance de Myrmidia, vous bénéficiez de +1 en Attaques et pouvez entreprendre une action d'attaque rapide au prix d'une demi-action. Vous ne pouvez toujours entreprendre qu'une seule action d'attaque par round.</t>
  </si>
  <si>
    <t>un masque en cuivre martelé (+2)</t>
  </si>
  <si>
    <t>vous prenez l'apparence furibonde de Myrmidia. Tout adversaire à qui vous portez un coup au corps à corps doit effectuer un test de Terreur. Chaque attaque réussie entraîne un nouveau test. Les créatures qui ratent leur test sont terrifiées.</t>
  </si>
  <si>
    <t>une pierre à aiguiser (+1)</t>
  </si>
  <si>
    <t>votre arme, qui doit impérativement être une lance, est investie de la puissance de Myrmidia. Elle est considérée comme magique et dotée de l'attribut perforante.</t>
  </si>
  <si>
    <t>vous (grand gabarit)</t>
  </si>
  <si>
    <t>Myrmidia répond à vos prières à l'aide de flammes aveuglantes. Centrez le grand gabarit sur vous-même. Les créatures affectées (amis et ennemis, mais pas vous) subissent un coup d'une valeur de dégâts de 3 qui ne tient pas compte de l'armure. De plus, chaque cible doit réussir un test de Force Mentale sous peine d'être assommée au round suivant. Elle chancelle alors, à moitié aveuglée et tentant d'éteindre les flammèches qui dévorent ses vêtements.</t>
  </si>
  <si>
    <t>une lentille cerclée d'or (+2)</t>
  </si>
  <si>
    <t>Abbé, Ambassadeur, Chantre, Érudit, Politicien, Répurgateur</t>
  </si>
  <si>
    <t>Initié (Taal), Scribe</t>
  </si>
  <si>
    <t>Chasseur, Hors-la-loi, Milicien, Pisteur, Vagabond</t>
  </si>
  <si>
    <t>Bûcheron, Chasseur, Éclaireur, Initié (Myrmidia), Mercenaire, Milicien, Soldat</t>
  </si>
  <si>
    <t>Théda</t>
  </si>
  <si>
    <t>Ulla</t>
  </si>
  <si>
    <t>Wanda</t>
  </si>
  <si>
    <t>Adelbert</t>
  </si>
  <si>
    <t>Albrecht</t>
  </si>
  <si>
    <t>Berthold</t>
  </si>
  <si>
    <t>Dieter</t>
  </si>
  <si>
    <t>Eckhardt</t>
  </si>
  <si>
    <t>Gottfried</t>
  </si>
  <si>
    <t>Gustav</t>
  </si>
  <si>
    <t>Heinz</t>
  </si>
  <si>
    <t>Johann</t>
  </si>
  <si>
    <t>Konrad</t>
  </si>
  <si>
    <t>Leopold</t>
  </si>
  <si>
    <t>Magnus</t>
  </si>
  <si>
    <t>Otto</t>
  </si>
  <si>
    <t>Pieter</t>
  </si>
  <si>
    <t>Rudiger</t>
  </si>
  <si>
    <t>Siegfried</t>
  </si>
  <si>
    <t>Ulrich</t>
  </si>
  <si>
    <t>Waldemar</t>
  </si>
  <si>
    <t>Wolfgang</t>
  </si>
  <si>
    <t>Alexa</t>
  </si>
  <si>
    <t>Alfrida</t>
  </si>
  <si>
    <t>Béatrix</t>
  </si>
  <si>
    <t>Bianka</t>
  </si>
  <si>
    <t>Carlott</t>
  </si>
  <si>
    <t>Elfrida</t>
  </si>
  <si>
    <t>Gabrielle</t>
  </si>
  <si>
    <t>Gretchen</t>
  </si>
  <si>
    <t>Ilsa</t>
  </si>
  <si>
    <t>Klara</t>
  </si>
  <si>
    <t>Jarla</t>
  </si>
  <si>
    <t>Ludmilla</t>
  </si>
  <si>
    <t>Mathilde</t>
  </si>
  <si>
    <t>Régina</t>
  </si>
  <si>
    <t>Solveig</t>
  </si>
  <si>
    <t>Ulrike</t>
  </si>
  <si>
    <t>Werthna</t>
  </si>
  <si>
    <t>Bardin</t>
  </si>
  <si>
    <t>Brokk</t>
  </si>
  <si>
    <t>Dimzad</t>
  </si>
  <si>
    <t>Durak</t>
  </si>
  <si>
    <t>Garil</t>
  </si>
  <si>
    <t>Gottri</t>
  </si>
  <si>
    <t>Grundi</t>
  </si>
  <si>
    <t>Hargin</t>
  </si>
  <si>
    <t>Imrak</t>
  </si>
  <si>
    <t>Jotunn</t>
  </si>
  <si>
    <t>Magnar</t>
  </si>
  <si>
    <t>Mordrin</t>
  </si>
  <si>
    <t>Nargond</t>
  </si>
  <si>
    <t>Orzad</t>
  </si>
  <si>
    <t>Ragnar</t>
  </si>
  <si>
    <t>Snorri</t>
  </si>
  <si>
    <t>Storri</t>
  </si>
  <si>
    <t>Thingrim</t>
  </si>
  <si>
    <t>Urgrim</t>
  </si>
  <si>
    <t>Anika</t>
  </si>
  <si>
    <t>Asta</t>
  </si>
  <si>
    <t>Astrid</t>
  </si>
  <si>
    <t>Berta</t>
  </si>
  <si>
    <t>Birgit</t>
  </si>
  <si>
    <t>Dagmar</t>
  </si>
  <si>
    <t>Elsa</t>
  </si>
  <si>
    <t>Erika</t>
  </si>
  <si>
    <t>Franziska</t>
  </si>
  <si>
    <t>Hunni</t>
  </si>
  <si>
    <t>Ingrid</t>
  </si>
  <si>
    <t>Sigrid</t>
  </si>
  <si>
    <t>Sigrun</t>
  </si>
  <si>
    <t>Thylda</t>
  </si>
  <si>
    <t>description des talents</t>
  </si>
  <si>
    <t>un dé (+1)</t>
  </si>
  <si>
    <t>votre bénédiction confère de la chance à un personnage, ce qui lui permet de rejouer son prochain jet raté, mais avec un malus de -10%. En cas de succès, le test est réussi.</t>
  </si>
  <si>
    <t>un gant dans un bourse (+1)</t>
  </si>
  <si>
    <t>vos prières bénissent un personnage de la main de Ranald, lui conférant un bonus de +5% aux tests de Crochetage et d'Escamotage.</t>
  </si>
  <si>
    <t>contact</t>
  </si>
  <si>
    <t>une coupe remplie d'eau (+1)</t>
  </si>
  <si>
    <t>une infusion (+1)</t>
  </si>
  <si>
    <t>une fois la prière entonnée, Shallya intervient pour contrer une maladie. Le personnage a aussitôt droit à un autre test d'Endurance pour réduire la durée de la maladie d'un jour par degré de réussite. Cette prière ne peut être dite qu'une fois par maladie et par personne.</t>
  </si>
  <si>
    <r>
      <t xml:space="preserve">vos prières apaisantes aident un personnage à surmonter un événement terrible. S'il a gagné un point de Folie durant la minute écoulée, il a droit à un test de Force Mentale pour surmonter l'attaque mentale et se défaire de ce point de Folie. </t>
    </r>
    <r>
      <rPr>
        <i/>
        <sz val="10"/>
        <rFont val="Arial"/>
        <family val="2"/>
      </rPr>
      <t>Bénédiction de calme</t>
    </r>
    <r>
      <rPr>
        <sz val="10"/>
        <rFont val="Arial"/>
        <family val="2"/>
      </rPr>
      <t xml:space="preserve"> ne peut être lancé qu'une fois par combat ou rencontre au cours duquel des points de Folie sont gagnés.</t>
    </r>
  </si>
  <si>
    <t>un fragment de fer météoritique (+1)</t>
  </si>
  <si>
    <t>avec cette prière, l'arme de prédilection de Sigmar est investie de la puissance du dieu. Vous bénissez un marteau de guerre afin qu'il inflige +1 aux dommages.</t>
  </si>
  <si>
    <t>deux aimants (+1)</t>
  </si>
  <si>
    <t>30 secondes</t>
  </si>
  <si>
    <t>un bout de laine (+1)</t>
  </si>
  <si>
    <t>24 heures</t>
  </si>
  <si>
    <t>un morceau de fruit frais (+1)</t>
  </si>
  <si>
    <t>24 heures ou jusqu'à déclenchement</t>
  </si>
  <si>
    <t>un petit miroir (+2)</t>
  </si>
  <si>
    <r>
      <t xml:space="preserve">en lançant </t>
    </r>
    <r>
      <rPr>
        <i/>
        <sz val="10"/>
        <rFont val="Arial"/>
        <family val="2"/>
      </rPr>
      <t>pressentiment</t>
    </r>
    <r>
      <rPr>
        <sz val="10"/>
        <rFont val="Arial"/>
        <family val="2"/>
      </rPr>
      <t xml:space="preserve">, vous jouissez d'un aperçu soudain d'un événement à venir, même si les circonstances précises de celui-ci vous échappent. Vous bénéficiez d'un bonus de +10% à un test effectué dans les 24 heures, sans pour autant être obligé de déclarer son utilisation avant de faire le jet. Vous ne pouvez profiter que d'un </t>
    </r>
    <r>
      <rPr>
        <i/>
        <sz val="10"/>
        <rFont val="Arial"/>
        <family val="2"/>
      </rPr>
      <t>pressentiment</t>
    </r>
    <r>
      <rPr>
        <sz val="10"/>
        <rFont val="Arial"/>
        <family val="2"/>
      </rPr>
      <t xml:space="preserve"> à la fois. Si vous utilisez le sort plus d'une fois au cours d'une période de 24 heures, vous devez réussir un test de Force Mentale par incantation supplémentaire sous peine de gagner 1 point de Folie.</t>
    </r>
  </si>
  <si>
    <t>un pieu en bois parfumé (+2)</t>
  </si>
  <si>
    <t>un bâtonnet d'encens (+2)</t>
  </si>
  <si>
    <t>Acolyte de Tzeentch</t>
  </si>
  <si>
    <t>Compagnon maître des runes</t>
  </si>
  <si>
    <t>Batelier, Matelot, Passeur, Patrouilleur</t>
  </si>
  <si>
    <t>Contrebandier, Coupe-jarret, Hors-la-loi, Naufrageur, Officier en second, Patrouilleur fluvial, Sergent</t>
  </si>
  <si>
    <t>Bandit de grand chemin, Batelier, Contrebandier, Maresquier, Marin, Naufrageur, Patrouilleur, Patrouilleur fluvial</t>
  </si>
  <si>
    <t>Anachorète, Paysan, Vagabond</t>
  </si>
  <si>
    <t>Mercenaire, Paysan, Vagabond</t>
  </si>
  <si>
    <t>Écumeur des marais</t>
  </si>
  <si>
    <t>Monte-en-l'air, Vagabond</t>
  </si>
  <si>
    <t>Espion, Répurgateur</t>
  </si>
  <si>
    <t>Châtain</t>
  </si>
  <si>
    <t>Oreille abîmée</t>
  </si>
  <si>
    <t>1,80m</t>
  </si>
  <si>
    <t>1,15m</t>
  </si>
  <si>
    <t>1,67m</t>
  </si>
  <si>
    <t>1,45m</t>
  </si>
  <si>
    <t>Brun</t>
  </si>
  <si>
    <t>Mauve</t>
  </si>
  <si>
    <t>1,825m</t>
  </si>
  <si>
    <t>1,175m</t>
  </si>
  <si>
    <t>1,695m</t>
  </si>
  <si>
    <t>1,475m</t>
  </si>
  <si>
    <t>Bleu foncé</t>
  </si>
  <si>
    <t>Verrue</t>
  </si>
  <si>
    <t>1,85m</t>
  </si>
  <si>
    <t>1,20m</t>
  </si>
  <si>
    <t>1,72m</t>
  </si>
  <si>
    <t>1,50m</t>
  </si>
  <si>
    <t>Noir</t>
  </si>
  <si>
    <t>Nez cassé</t>
  </si>
  <si>
    <t>1,225m</t>
  </si>
  <si>
    <t>1,745m</t>
  </si>
  <si>
    <t>1,525m</t>
  </si>
  <si>
    <t>Dent en moins</t>
  </si>
  <si>
    <t>1,90m</t>
  </si>
  <si>
    <t>1,25m</t>
  </si>
  <si>
    <t>1,77m</t>
  </si>
  <si>
    <t>1,55m</t>
  </si>
  <si>
    <t>Dentition crasseuse</t>
  </si>
  <si>
    <t>Strabisme</t>
  </si>
  <si>
    <t>Sourcil(s) manquant(s)</t>
  </si>
  <si>
    <t>Doigt en moins</t>
  </si>
  <si>
    <t>Ongle en moins</t>
  </si>
  <si>
    <t>Démarche atypique</t>
  </si>
  <si>
    <t>Odeur bizarre</t>
  </si>
  <si>
    <t>Gros nez</t>
  </si>
  <si>
    <t>Poireau (grain de beauté)</t>
  </si>
  <si>
    <t>Calvitie très localisée</t>
  </si>
  <si>
    <t>Couleur étrange d'un œil (ou des deux)</t>
  </si>
  <si>
    <r>
      <t>l'</t>
    </r>
    <r>
      <rPr>
        <i/>
        <sz val="10"/>
        <rFont val="Arial"/>
        <family val="2"/>
      </rPr>
      <t>œil de pêcheur</t>
    </r>
    <r>
      <rPr>
        <sz val="10"/>
        <rFont val="Arial"/>
        <family val="2"/>
      </rPr>
      <t xml:space="preserve"> vous permet de savoir où trouver la créature cherchée dans la mer. En lançant le sort, il vous suffit de nommer une créature ordinaire. Vous prenez alors conscience du meilleur endroit où la trouver dans votre champ de vision. Si vous pêchez, c'est là où vous avez intérêt à jeter votre filet ou votre ligne. Si vous cherchez des coquillages, c'est sans doute là où vous avez intérêt à plonger.</t>
    </r>
  </si>
  <si>
    <t>Envoûteur, Initié (Ulric), Vierge de glace</t>
  </si>
  <si>
    <t>Apprentie sorcière</t>
  </si>
  <si>
    <t>Aristocrate, Politicien, Prêtre</t>
  </si>
  <si>
    <t>Bourgeois, Cavalcadour, Charlatan, Escroc, Marchand</t>
  </si>
  <si>
    <t>Starja vedma</t>
  </si>
  <si>
    <t>Nomade de la steppe</t>
  </si>
  <si>
    <t>Vierge de glace</t>
  </si>
  <si>
    <t>Démagogue, Envoûteur, Matriarche vedma, Politicien</t>
  </si>
  <si>
    <t>Batelier, Contrebandier, Hors-la-loi, Marin, Matelot, Passeur, Patrouilleur fluvial, Paysan</t>
  </si>
  <si>
    <t>Signes distinctifs :</t>
  </si>
  <si>
    <t>Aluthol</t>
  </si>
  <si>
    <t>Amendil</t>
  </si>
  <si>
    <t>Angran</t>
  </si>
  <si>
    <t>Cavindel</t>
  </si>
  <si>
    <t>Dolwen</t>
  </si>
  <si>
    <t>Eldillor</t>
  </si>
  <si>
    <t>Falandar</t>
  </si>
  <si>
    <t>Farnoth</t>
  </si>
  <si>
    <t>Gildiril</t>
  </si>
  <si>
    <t>Harrond</t>
  </si>
  <si>
    <t>Imhol</t>
  </si>
  <si>
    <t>Larandar</t>
  </si>
  <si>
    <t>Laurenor</t>
  </si>
  <si>
    <t>Mellion</t>
  </si>
  <si>
    <t>Mormaear</t>
  </si>
  <si>
    <t>Ravandil</t>
  </si>
  <si>
    <t>Torendil</t>
  </si>
  <si>
    <t>Urdithane</t>
  </si>
  <si>
    <t>Valahuir</t>
  </si>
  <si>
    <t>Yavandir</t>
  </si>
  <si>
    <t>Alane</t>
  </si>
  <si>
    <t>Altronia</t>
  </si>
  <si>
    <t>Davandrel</t>
  </si>
  <si>
    <t>Eldril</t>
  </si>
  <si>
    <t>Eponia</t>
  </si>
  <si>
    <t>Fanriel</t>
  </si>
  <si>
    <t>Filamir</t>
  </si>
  <si>
    <t>Gallina</t>
  </si>
  <si>
    <t>Halion</t>
  </si>
  <si>
    <t>Iludil</t>
  </si>
  <si>
    <t>Ionor</t>
  </si>
  <si>
    <t>Lindara</t>
  </si>
  <si>
    <t>Lorandara</t>
  </si>
  <si>
    <t>Maruviel</t>
  </si>
  <si>
    <t>Pelgrana</t>
  </si>
  <si>
    <t>Siluvaine</t>
  </si>
  <si>
    <t>Tallana</t>
  </si>
  <si>
    <t>Vivandrel</t>
  </si>
  <si>
    <t>Ulliana</t>
  </si>
  <si>
    <t>Yuviel</t>
  </si>
  <si>
    <t>Adam</t>
  </si>
  <si>
    <t>Albert</t>
  </si>
  <si>
    <t>Axel</t>
  </si>
  <si>
    <t>Carl</t>
  </si>
  <si>
    <t>Edgar</t>
  </si>
  <si>
    <t>Hugo</t>
  </si>
  <si>
    <t>Jakob</t>
  </si>
  <si>
    <t>Ludo</t>
  </si>
  <si>
    <t>Max</t>
  </si>
  <si>
    <t>Niklaus</t>
  </si>
  <si>
    <t>Oskar</t>
  </si>
  <si>
    <t>Paul</t>
  </si>
  <si>
    <t>Ralf</t>
  </si>
  <si>
    <t>Rudi</t>
  </si>
  <si>
    <t>Théo</t>
  </si>
  <si>
    <t>Thomas</t>
  </si>
  <si>
    <t>Udo</t>
  </si>
  <si>
    <t>Viktor</t>
  </si>
  <si>
    <t>Walter</t>
  </si>
  <si>
    <t>Agnès</t>
  </si>
  <si>
    <t>Alice</t>
  </si>
  <si>
    <t>Elena</t>
  </si>
  <si>
    <t>Eva</t>
  </si>
  <si>
    <t>Frida</t>
  </si>
  <si>
    <t>Gréta</t>
  </si>
  <si>
    <t>Hanna</t>
  </si>
  <si>
    <t>Heidi</t>
  </si>
  <si>
    <t>Hilda</t>
  </si>
  <si>
    <t>Janna</t>
  </si>
  <si>
    <t>Karin</t>
  </si>
  <si>
    <t>Leni</t>
  </si>
  <si>
    <t>Marie</t>
  </si>
  <si>
    <t>Pétra</t>
  </si>
  <si>
    <t>Silma</t>
  </si>
  <si>
    <t>Sophia</t>
  </si>
  <si>
    <t>Susi</t>
  </si>
  <si>
    <t>Bourgeois, Chasseur, Messager, Paysan</t>
  </si>
  <si>
    <t>Chef de bande, Explorateur, Pisteur</t>
  </si>
  <si>
    <t>Capitaine, Chef de bande, Hors-la-loi</t>
  </si>
  <si>
    <t>Aristocrate, Assassin, Capitaine, Courtisan, Espion</t>
  </si>
  <si>
    <t>Magie commune (divine)</t>
  </si>
  <si>
    <t>Bénédiction de célérité</t>
  </si>
  <si>
    <t>Bénédiction de courage</t>
  </si>
  <si>
    <t>Bénédiction de protection</t>
  </si>
  <si>
    <t>Bénédiction de puissance</t>
  </si>
  <si>
    <t>Bénédiction de soin</t>
  </si>
  <si>
    <t>Difficulté</t>
  </si>
  <si>
    <t>Temps d'incantation</t>
  </si>
  <si>
    <t>Durée</t>
  </si>
  <si>
    <t>Ingrédient</t>
  </si>
  <si>
    <t>Description</t>
  </si>
  <si>
    <t>1 demi-action</t>
  </si>
  <si>
    <t>1 minute (6 rounds)</t>
  </si>
  <si>
    <t>contact (vous)</t>
  </si>
  <si>
    <t>une écaille de serpent (+1)</t>
  </si>
  <si>
    <t>24 mètres (12 cases)</t>
  </si>
  <si>
    <t>une touffe de poils de chien (+1)</t>
  </si>
  <si>
    <t>vos paroles exaltantes réchauffent le cœur de l'un de vos alliés. Vous permettez ainsi à un personnage sous l'effet de la Peur ou de la Terreur de retrouver son calme et d'agir à nouveau normalement.</t>
  </si>
  <si>
    <t>vos prières confèrent un bonus de +5% en Agilité et un bonus de +1 en mouvement.</t>
  </si>
  <si>
    <t>un morceau de carapace de tortue (+1)</t>
  </si>
  <si>
    <t>vos prières confèrent à un personnage un bonus de +5% en Endurance et en Force Mentale.</t>
  </si>
  <si>
    <t>1 action complète</t>
  </si>
  <si>
    <t>un objet portant le symbole de votre divinité (+1)</t>
  </si>
  <si>
    <r>
      <t xml:space="preserve">vous implorez votre dieu de faire en sorte qu'un marchant local accepte de traiter avec vous. Pendant 1 heure par point de Magie, vous bénéficiez de +20% aux tests de Commérage effectués pour vérifier la disponibilité (cf. page 104 de </t>
    </r>
    <r>
      <rPr>
        <i/>
        <sz val="10"/>
        <rFont val="Arial"/>
        <family val="2"/>
      </rPr>
      <t>WJDR</t>
    </r>
    <r>
      <rPr>
        <sz val="10"/>
        <rFont val="Arial"/>
        <family val="2"/>
      </rPr>
      <t>).</t>
    </r>
  </si>
  <si>
    <t>10% de la valeur des transactions réalisées, pour un minimum de 10 co (+2)</t>
  </si>
  <si>
    <t>vous invoquez un corbeau fantomatique (le symbole de Morr) qui projette l'ombre de la mort sur le champ de bataille. Vous et vos alliés bénéficiez d'un bonus de +1 aux jets de dégâts pendant un nombre de rounds égal à votre valeur de Magie.</t>
  </si>
  <si>
    <t>une petite faux en argent (+2)</t>
  </si>
  <si>
    <t>vos prières plongent un groupe d'ennemis dans un profond sommeil. Utilisez le grand gabarit. Toutes les créatures affectées s'endorment pour 1d10 rounds, à moins de réussir un test de Force Mentale. Les personnages endormis sont sans défense. Cette prière est souvent employée pour apaiser la famille d'un défunt, en particulier ses membres les plus bruyants.</t>
  </si>
  <si>
    <t>un champignon ramassé sur une tombe (+2)</t>
  </si>
  <si>
    <t>vous priez et demandez à Morr de vous accorder une vision concernant un problème auquel vous faites actuellement face. Le MJ effectue secrètement un test de Sociabilité à votre place. En cas de réussite, vous recevez une vision correspondant à votre problème, qui peut vous donner des indices sur les moyens de le résoudre. En cas d'échec, la vision transmise est étrange et semble signifier quelque chose, mais elle n'a en réalité ni queue ni tête.</t>
  </si>
  <si>
    <t>une pointe de lance brisée (+2)</t>
  </si>
  <si>
    <t>vos prières passionnées inspirent à vos alliés une haine farouche de leurs ennemis. Tous les alliés situés à portée peuvent retenter leur première attaque ratée de chaque round.</t>
  </si>
  <si>
    <t>un faisceau de bâtons (+1)</t>
  </si>
  <si>
    <t>vous insufflez à vos alliés toute la maîtrise de Myrmidia. Tous les alliés situés à portée bénéficient d'un bonus de +10% en Capacité de Combat.</t>
  </si>
  <si>
    <t>1 action complète et 1 demi-action</t>
  </si>
  <si>
    <t>un bouclier (+2)</t>
  </si>
  <si>
    <t>vos alliés jouissent de la protection de Myrmidia. Tous les alliés situés à portée gagnent +1 point d'Armure sur toutes les zones, jusqu'à un maximum de 5PA.</t>
  </si>
  <si>
    <t>un bec d'aigle (+1)</t>
  </si>
  <si>
    <t>vous priez Myrmidia pour qu'elle appuie vos paroles par sa force, puis criez vos ordres. Jusqu'à la fin du round, toutes les cibles situées dans votre champ de vision entendent vos ordres, quel que soit leur éloignement. De plus, vous bénéficiez d'un bonus de +10% aux tests de Commandement visant à influencer la cible à ce round.</t>
  </si>
  <si>
    <t>vous et 12 mètres (6 cases)</t>
  </si>
  <si>
    <t>un bâton (+1)</t>
  </si>
  <si>
    <t>le sang d'une femme abusée (+1)</t>
  </si>
  <si>
    <t>vous jouissez d'une aura d'autorité, vos prières inspirant à vos alliés une grande foi en vos capacités. Vous bénéficiez d'un bonus de +20% aux tests de Commandement et de Connaissances académiques (stratégie/tactique). De plus, les alliés situés à portée peuvent retenter tout test de Peur ou de Terreur manqué pendant la durée du sort.</t>
  </si>
  <si>
    <t>Tisseruine</t>
  </si>
  <si>
    <t>Artisan, Érudit</t>
  </si>
  <si>
    <t>Apprenti sorcier, Charlatan, Hors-la-loi, Thaumaturge, Vagabond, Vitki</t>
  </si>
  <si>
    <t>Maraudeur, Marchand, Métayer, Pillard</t>
  </si>
  <si>
    <t>Capitaine, Chef de bande, Guerrier du Chaos, Marin</t>
  </si>
  <si>
    <t>Bourreau, Champion, Initié, Répurgateur</t>
  </si>
  <si>
    <t>Capitaine, Chasseur de vampires, Chef de bande, Franc-archer</t>
  </si>
  <si>
    <t>Ancien de Village, Bandit de grand chemin, Baron du crime, Chef de bande, Démagogue, Explorateur</t>
  </si>
  <si>
    <t>Bateleur, Homme lige</t>
  </si>
  <si>
    <t>Agitateur, Berserk norse, Bourgeois, Escroc, Maraudeur, Mercenaire, Métayer, Oracle, Pillard</t>
  </si>
  <si>
    <t>Maître des runes</t>
  </si>
  <si>
    <t>Chasseur, Collecteur de taxes, Milicien</t>
  </si>
  <si>
    <t>Âme emprisonnée</t>
  </si>
  <si>
    <t>Dernières volontés</t>
  </si>
  <si>
    <t>Douleurs abrégées</t>
  </si>
  <si>
    <t>Étreinte glaciale du trépas</t>
  </si>
  <si>
    <t>Fatalisme</t>
  </si>
  <si>
    <t>Faux du moissonneur d'âmes</t>
  </si>
  <si>
    <t>Fin de la vie</t>
  </si>
  <si>
    <t>Fin des souffrances</t>
  </si>
  <si>
    <t>Libération de la mort</t>
  </si>
  <si>
    <t>Malédiction du pilleur de tombes</t>
  </si>
  <si>
    <t>Membre flétri</t>
  </si>
  <si>
    <t>Messager de la mort</t>
  </si>
  <si>
    <t>Poids des années</t>
  </si>
  <si>
    <t>Protection contre les abominations</t>
  </si>
  <si>
    <t>Réponse des défunts</t>
  </si>
  <si>
    <t>Seuil de la mort</t>
  </si>
  <si>
    <t>Usure du temps</t>
  </si>
  <si>
    <t>Vent de mort</t>
  </si>
  <si>
    <t>Vison de l'au-delà</t>
  </si>
  <si>
    <t>Action secrète</t>
  </si>
  <si>
    <t>Changeforme</t>
  </si>
  <si>
    <t>Charme changeant</t>
  </si>
  <si>
    <t>Confusion universelle</t>
  </si>
  <si>
    <t>Désorientation</t>
  </si>
  <si>
    <t>Destrier d'ombre</t>
  </si>
  <si>
    <t>Illusion ultime</t>
  </si>
  <si>
    <t>Insignifiant</t>
  </si>
  <si>
    <t>Linceul de ténèbres</t>
  </si>
  <si>
    <t>Manteau d'ombre</t>
  </si>
  <si>
    <t>Ombre de la mort</t>
  </si>
  <si>
    <t>Ombres ardentes</t>
  </si>
  <si>
    <t>Parodie de la mort</t>
  </si>
  <si>
    <t>Poignards d'ombre</t>
  </si>
  <si>
    <t>Strangulation</t>
  </si>
  <si>
    <t>Substance de l'ombre</t>
  </si>
  <si>
    <t>Vide amnésique</t>
  </si>
  <si>
    <t>Visage d'épouvante</t>
  </si>
  <si>
    <t>Vision subjective</t>
  </si>
  <si>
    <t>Voile d'invisibilité</t>
  </si>
  <si>
    <t>Abondance</t>
  </si>
  <si>
    <t>Aisance arboricole</t>
  </si>
  <si>
    <t>Bruissement des arbres</t>
  </si>
  <si>
    <t>Canicule</t>
  </si>
  <si>
    <t>Chair d'argile</t>
  </si>
  <si>
    <t>Chutes de feuilles</t>
  </si>
  <si>
    <t>Croissance vitale</t>
  </si>
  <si>
    <t>Éclosion du printemps</t>
  </si>
  <si>
    <t>Fermentation</t>
  </si>
  <si>
    <t>Fluide tellurique</t>
  </si>
  <si>
    <t>Geyser</t>
  </si>
  <si>
    <t>Givre hivernal</t>
  </si>
  <si>
    <t>Malédiction des ronces</t>
  </si>
  <si>
    <t>Murmure de la rivière</t>
  </si>
  <si>
    <t>Passerelle tellurique</t>
  </si>
  <si>
    <t>Père des ronces</t>
  </si>
  <si>
    <t>Piste indécelable</t>
  </si>
  <si>
    <t>Piste révélatrice</t>
  </si>
  <si>
    <t>Purification de la terre</t>
  </si>
  <si>
    <t>Transformation en arbre</t>
  </si>
  <si>
    <t>une clochette en cuivre (+1)</t>
  </si>
  <si>
    <t>un peu d'eau bénite (+1)</t>
  </si>
  <si>
    <t>un anneau de cotte de mailles (+1)</t>
  </si>
  <si>
    <t>les vents de magie tissent une barrière invisible autour de votre corps, vous protégeant des agressions. Vous recevez pendant une minute (6 rounds) un nombre de points d'Armure égal à votre valeur de Magie sur toutes les parties du corps. Ce sort ne peut pas être lancé si vous portez déjà une armure normale. Si vous enfilez une armure alors que le sort est actif, celui-ci prend immédiatement fin.</t>
  </si>
  <si>
    <t>une rose d'hiver (+2)</t>
  </si>
  <si>
    <t>votre magie camoufle l'ensemble de vos difformités. Vous semblez beaucoup plus beau que vous ne l'êtes réellement, affichez un âge de 25 ans environ, et ignorez les malus en Sociabilité issus de changements d'apparence, qu'il s'agisse du vieillissement, de mutations, de marques de sorcière, d'effets secondaires du Chaos, etc. À chaque round où vous êtes sérieusement bousculé, vous devez réussir un test de Force Mentale sans quoi le sort prend fin. Ce sort peut être à l'origine de récits troublants parlant de vedma qui séduisent des hommes dans les régions les plus reculées de l'oblast.</t>
  </si>
  <si>
    <t>1 heure/point de Magie (spéciale)</t>
  </si>
  <si>
    <t>4 mètres (2 cases)</t>
  </si>
  <si>
    <t>un cercle de sel (+2)</t>
  </si>
  <si>
    <t>1d10 minutes</t>
  </si>
  <si>
    <t>une fiole d'eau bénite ou purifiée (+2)</t>
  </si>
  <si>
    <t>vous puisez dans la puissance magique d'un vieux site sacré, comme un ogham, un cercle de pierres ou un bosquet sacré, ce qui vous permet d'alimenter un rituel. Vous pouvez lancer un dé supplémentaire au jet d'incantation d'un rituel après avoir jeté ce sort. Toutefois, ce dé ne compte pas dans le cadre de la Malédiction de Tzeentch, de la colère des dieux, etc. Différentes versions de ce sort sont connues de nombreuses sorcières de glace et de plusieurs kislevites.</t>
  </si>
  <si>
    <r>
      <t xml:space="preserve">vous vous entourez d'un bouclier invisible qui repousse les esprits. Aucune créature ayant le trait </t>
    </r>
    <r>
      <rPr>
        <sz val="10"/>
        <rFont val="Arial"/>
        <family val="2"/>
      </rPr>
      <t>É</t>
    </r>
    <r>
      <rPr>
        <sz val="10"/>
        <rFont val="Arial"/>
        <family val="2"/>
      </rPr>
      <t xml:space="preserve">théré ne peut entrer dans le rayon de l'effet, celles qui s'y trouvent devant en sortir dès leur action suivante. Si vous vous déplacez, le </t>
    </r>
    <r>
      <rPr>
        <i/>
        <sz val="10"/>
        <rFont val="Arial"/>
        <family val="2"/>
      </rPr>
      <t>bouclier fantôme</t>
    </r>
    <r>
      <rPr>
        <sz val="10"/>
        <rFont val="Arial"/>
        <family val="2"/>
      </rPr>
      <t xml:space="preserve"> prend fin. Enfin, des variantes de ce sort sont enseignées par toutes les traditions magiques kislevites.</t>
    </r>
  </si>
  <si>
    <r>
      <t xml:space="preserve">vous priez pour que Händrich bénisse la transaction et que chacun des partis respecte l'accord. Pour passer outre un marché béni par </t>
    </r>
    <r>
      <rPr>
        <i/>
        <sz val="10"/>
        <rFont val="Arial"/>
        <family val="2"/>
      </rPr>
      <t>loyauté achetée</t>
    </r>
    <r>
      <rPr>
        <sz val="10"/>
        <rFont val="Arial"/>
        <family val="2"/>
      </rPr>
      <t xml:space="preserve">, le personnage doit d'abord réussir un test de Force Mentale. En cas d'échec, il doit faire tout ce qui est en son pouvoir pour s'assurer de remplir sa part du marché. En outre, si le personnage manque à sa parole, il subit un malus de -10% aux tests de Charisme, </t>
    </r>
    <r>
      <rPr>
        <sz val="10"/>
        <rFont val="Arial"/>
        <family val="2"/>
      </rPr>
      <t>É</t>
    </r>
    <r>
      <rPr>
        <sz val="10"/>
        <rFont val="Arial"/>
        <family val="2"/>
      </rPr>
      <t>valuation et Marchandage jusqu'à une semaine après le prochain Marktag.</t>
    </r>
  </si>
  <si>
    <t>Batelier, Chasseur, Chiffonnier, Grenouillère, Milicien, Passeur, Paysan</t>
  </si>
  <si>
    <t>Ancien de village, Coupe-jarret, Herrimault, Homme d'armes, Hors-la-loi, Pèlerin du Graal, Vagabond, Yeoman</t>
  </si>
  <si>
    <t>Chasseur, Escroc, Herrimault, Homme d'armes, Paysan</t>
  </si>
  <si>
    <t>Étudiant, Fanatique, Flagellant, Hors-la-loi, Initié</t>
  </si>
  <si>
    <t>Charlatan, Flagellant, Initié, Vagabond</t>
  </si>
  <si>
    <t>Baleinier, Berserk norse, Chef de guerre, Homme lige, Maraudeur, Marin, Scalde</t>
  </si>
  <si>
    <t>Apprenti maître des runes, Combattant des tunnels</t>
  </si>
  <si>
    <t>Prêtre, Prêtre consacré</t>
  </si>
  <si>
    <t>Chevalier, Grand prêtre, Répurgateur</t>
  </si>
  <si>
    <t>Chiffonnier, Coupe-jarret, Égoutier, Ratier, Trafiquant de cadavres</t>
  </si>
  <si>
    <t>Charbonnier, Escroc, Mineur, Paysan, Voleur</t>
  </si>
  <si>
    <t>+10% Charisme &amp; Comérage milieu du crime</t>
  </si>
  <si>
    <t>Peut assomer F VS En (+10%/PA à la tête)</t>
  </si>
  <si>
    <t>permet de lancer des sorts de magie vulgaire</t>
  </si>
  <si>
    <t>Mort-vivant</t>
  </si>
  <si>
    <t>+20% métier artiste &amp; évaluation œuvres d'art</t>
  </si>
  <si>
    <t>+10% Peur, Terreur +10% FM contre Intimidation</t>
  </si>
  <si>
    <t>Érudit, Grand prêtre, Prêtre consacré, Moine mendiant lanceur de sorts</t>
  </si>
  <si>
    <t>Apprenti chaman</t>
  </si>
  <si>
    <t>Chaman, Éclaireur</t>
  </si>
  <si>
    <t>Brute, Éclaireur (créatures)</t>
  </si>
  <si>
    <t>Chaman</t>
  </si>
  <si>
    <t>Brute, Éclaireur (créatures), Grand chaman</t>
  </si>
  <si>
    <t>Apprenti chaman, Chaman</t>
  </si>
  <si>
    <t>Malédictor</t>
  </si>
  <si>
    <t>Mort glorieuse</t>
  </si>
  <si>
    <t>Tueur de trolls</t>
  </si>
  <si>
    <t>Gladiateur</t>
  </si>
  <si>
    <t>Bourgeois, Étudiant, Messager, Paysan, Serviteur</t>
  </si>
  <si>
    <t>une queue écrasée de scorpion (+1)</t>
  </si>
  <si>
    <r>
      <t xml:space="preserve">vous psalmodiez vos prières à la face de votre ennemi, détournant son attention de la véritable menace qui pèse sur lui : la </t>
    </r>
    <r>
      <rPr>
        <i/>
        <sz val="10"/>
        <rFont val="Arial"/>
        <family val="2"/>
      </rPr>
      <t>lame cachée</t>
    </r>
    <r>
      <rPr>
        <sz val="10"/>
        <rFont val="Arial"/>
        <family val="2"/>
      </rPr>
      <t>. Un poignard surgit alors depuis un angle improbable, tenu par un bras qui semble être le vôtre, ce n'est pourtant pas possible. Jouez un test de Capacité de Combat au prix d'une action gratuite. En cas de succès, vous infligez un coup d'une valeur de dégâts égale à votre BF, comme si vous aviez porté un coup avec une arme accompagnée de l'attribut précise.</t>
    </r>
  </si>
  <si>
    <t>le sang d'une créature ayant une valeur d'Attaques de 5 (+2)</t>
  </si>
  <si>
    <t>vous psalmodiez votre prière et êtes investi du pouvoir mortel de Khaine. Vous gagnez +1 en Attaques par point de Magie dont vous disposez, et pouvez entreprendre l'action d'attaque rapide au prix d'une demi-action. Les attaques supplémentaires ne peuvent être utilisées que conjointement à une dague. Vous restez limité à une action d'attaque par round.</t>
  </si>
  <si>
    <t>une fiole de sang d'un homme assassiné (+2)</t>
  </si>
  <si>
    <t>10 minutes</t>
  </si>
  <si>
    <t>le cœur intact d'un cadavre (+2)</t>
  </si>
  <si>
    <t>vous prononcez vos prières au-dessus d'un cadavre frais et revendiquez son âme au nom de Khaine. L'esprit (et le cadavre) est désormais immunisé contre les sorts de Nécromancie et ne connaîtra jamais la paix de Morr car il est expédié dans le Noir Royaume du Seigneur du Meurtre. On dit que ceux qui sont envoyés auprès de Khaine reviennent parfois pour obéir aux ordres de ses prêtres. Si cette rumeur est fondée, ce type d'événement est très rare.</t>
  </si>
  <si>
    <t>une bouteille de vin et un poisson (+2)</t>
  </si>
  <si>
    <t>vous priez Manann depuis le pont d'un navire à flot (rien n'empêche qu'il mouille dans un port). Une fois l'invocation terminée, un albatros descend du ciel et suit l'embarcation où qu'elle se rende. L'animal attend jusqu'à 1 heure que le navire prenne la mer ; après cela, il reste en sa compagnie jusqu'à la mort ou jusqu'à ce que le navire fasse escale dans un port. Tant que le volatile est présent, l'embarcation ne peut pas couler, quels que soient les dégâts subis. Cependant, l'équipage n'est pas protégé et peut parfaitement passer par-dessus bord ou disparaître par d'éventuelles brèches causées dans la coque.</t>
  </si>
  <si>
    <t>un soufflet (+2)</t>
  </si>
  <si>
    <t>96 mètres (48 cases)</t>
  </si>
  <si>
    <t>une dague sculptée dans un os de baleine (+2)</t>
  </si>
  <si>
    <r>
      <t xml:space="preserve">vous privez de vent les voiles d'un navire situé à portée. L'embarcation est parfaitement encalminée et reste immobile, à moins qu'elle ne dispose de rames. SI ce sort est lancé au beau milieu d'une tempête, il crée une zone de calme plat autour du navire et dans un rayon de 100 mètres de celui-ci. La mer est d'huile et le vent inexistant, alors que les bourrasques, la pluie et les vagues se déchaînent au-delà du périmètre protégé. </t>
    </r>
    <r>
      <rPr>
        <i/>
        <sz val="10"/>
        <rFont val="Arial"/>
        <family val="2"/>
      </rPr>
      <t>Calme plat</t>
    </r>
    <r>
      <rPr>
        <sz val="10"/>
        <rFont val="Arial"/>
        <family val="2"/>
      </rPr>
      <t xml:space="preserve"> est centré sur le navire. Si ce dernier se déplace, la zone l'accompagne donc.</t>
    </r>
  </si>
  <si>
    <t>36 mètres (18 cases)</t>
  </si>
  <si>
    <t>une fiole d'eau de mer (+1)</t>
  </si>
  <si>
    <t>un dytique desséché (+2)</t>
  </si>
  <si>
    <t>désormais, vous pouvez marcher sur l'eau, mais également vous déplacer en milieu marécageux comme s'il s'agissait de terre ferme.</t>
  </si>
  <si>
    <t>une poignée de sel (+1)</t>
  </si>
  <si>
    <t>vous psalmodiez cette prière à l'attention d'un navire  situé dans votre champ de vision. Tous les tests de Canotage ou Navigation visant à contrôler ce navire subissent un malus de -10%.</t>
  </si>
  <si>
    <t>une bouteille de vin (+1)</t>
  </si>
  <si>
    <t>une petite ligne de pêche (+1)</t>
  </si>
  <si>
    <t>un éclat de vois tiré d'une épave (+2)</t>
  </si>
  <si>
    <t>un poisson vivant (+1)</t>
  </si>
  <si>
    <t>une feuille de chou imprimée (+2)</t>
  </si>
  <si>
    <t>vous implorez Ranald de manipuler les prix d'un objet ou service. Abondance ou disette pousse en quelque sorte les autochtones à croire que l'objet va devenir beaucoup plus répandu, si bien qu'ils en réduisent le prix, ou au contraire qu'il va devenir beaucoup plus rare, auquel cas sa valeur augmente. Choisissez l'objet ou service visé par le sort. Si vous décidez de le banaliser, son prix chute de 10%. Ce sort ne touche que les transactions se déroulant entre vous et autrui, tant que vous négociez le prix. Tous les arcs (et, par extension, les flèches) pourront ainsi devenir meilleur marché, mais ce ne sera pas le cas des autres armes à distance. De même, le prix du pain et des céréales pourra augmenter, mais cela n'affectera pas les autres denrées alimentaires.
Les rumeurs provoquées par le sort ont tendance à persister après qu'il arrive à terme, une utilisation excessive pouvant même déclencher des émeutes, notamment lorsque l'on parle de disette.</t>
  </si>
  <si>
    <t>une pièce (+1)</t>
  </si>
  <si>
    <t>Ranald vous guide vers la source la moins chère pour un type de bien précis. Lorsque vous entonnez cette prière, vous décidez de la zone géographique, du type et de la quantité de biens, sans oublier la qualité. Si les biens en question ne sont pas disponibles, vous en êtes parfaitement conscient. Sauf circonstances inhabituelles, le bien revient à 90% de son prix habituel. Pour ce qui est des articles Rares ou Très rares, le sort vous guidera vers la seule source disponible, qui vous facturera selon son bon vouloir.</t>
  </si>
  <si>
    <t>(contact) vous</t>
  </si>
  <si>
    <t>une patte de lapin</t>
  </si>
  <si>
    <t>Berserk norse, Gladiateur, Mercenaire</t>
  </si>
  <si>
    <t>Compagnon sorcier, Magister vigilant</t>
  </si>
  <si>
    <t>Acolyte de Khorne, Acolyte de Nurgle, Acolyte du Chaos, Baleinier, Berserk norse, Homme lige, Ingénieur du Chaos, Métayer, Pillard, Scalde</t>
  </si>
  <si>
    <t>un doigt d'homme assassiné (+1)</t>
  </si>
  <si>
    <t>vos prières imprègnent votre dague de la soif de sang de Khaine. Votre arme de corps à corps, qui doit impérativement être une dague, compte comme une arme magique accompagnée de l'attribut précise.</t>
  </si>
  <si>
    <t>une fiole de venin de scorpion (+1)</t>
  </si>
  <si>
    <t>une paire d'osselets argentés (+2)</t>
  </si>
  <si>
    <r>
      <t xml:space="preserve">ce sort est identique à </t>
    </r>
    <r>
      <rPr>
        <i/>
        <sz val="10"/>
        <rFont val="Arial"/>
        <family val="2"/>
      </rPr>
      <t>bonne fortune</t>
    </r>
    <r>
      <rPr>
        <sz val="10"/>
        <rFont val="Arial"/>
        <family val="2"/>
      </rPr>
      <t>, se ce n'est qu'il vous affecte, ainsi que tous les alliés situés à portée. Chaque individu a le droit de décharger le sort sur un test de caractéristique ou de compétence différent.</t>
    </r>
  </si>
  <si>
    <t>Magie divine</t>
  </si>
  <si>
    <t>Domaine de la Bête</t>
  </si>
  <si>
    <t>Domaine des Cieux</t>
  </si>
  <si>
    <t>Domaine du Feu</t>
  </si>
  <si>
    <t>Domaine de la Lumière</t>
  </si>
  <si>
    <t>Domaine du Métal</t>
  </si>
  <si>
    <t>Domaine de la Mort</t>
  </si>
  <si>
    <t>Domaine des Ombres</t>
  </si>
  <si>
    <t>Domaine de la Vie</t>
  </si>
  <si>
    <t>La Reine des Glaces</t>
  </si>
  <si>
    <t>Bénédiction d'endurance</t>
  </si>
  <si>
    <t>Livre de base/Le Tome de la Rédemption</t>
  </si>
  <si>
    <t>146/216</t>
  </si>
  <si>
    <t>Magie commune (occulte)</t>
  </si>
  <si>
    <t>Livre de base</t>
  </si>
  <si>
    <t>Magie commune (vulgaire)</t>
  </si>
  <si>
    <t>Domaine du Chaos</t>
  </si>
  <si>
    <t>Sombre savoir (Peste, Ruse, Warp)</t>
  </si>
  <si>
    <t>Les Fils du Rat Cornu</t>
  </si>
  <si>
    <t>Magie commune (Warp)</t>
  </si>
  <si>
    <t>Livre de base/Les Royaumes de Sorcellerie</t>
  </si>
  <si>
    <t>149/138</t>
  </si>
  <si>
    <t>150/141</t>
  </si>
  <si>
    <t>152/145</t>
  </si>
  <si>
    <t>153/149</t>
  </si>
  <si>
    <t>154/152</t>
  </si>
  <si>
    <t>156/157</t>
  </si>
  <si>
    <t>Manipulation distante</t>
  </si>
  <si>
    <t>Armure aethyrique</t>
  </si>
  <si>
    <t>Arme consacrée</t>
  </si>
  <si>
    <t>Verrou magique</t>
  </si>
  <si>
    <t>Alarme magique</t>
  </si>
  <si>
    <t>Silence</t>
  </si>
  <si>
    <t>Marche dans les airs</t>
  </si>
  <si>
    <t>Dissipation</t>
  </si>
  <si>
    <t>Beauté</t>
  </si>
  <si>
    <t>Bouclier fantôme</t>
  </si>
  <si>
    <t>Dérivation</t>
  </si>
  <si>
    <t>Vazila</t>
  </si>
  <si>
    <t>Brillance</t>
  </si>
  <si>
    <t>Charbons ardents</t>
  </si>
  <si>
    <t>Couronne de flammes</t>
  </si>
  <si>
    <t>Danse des alari</t>
  </si>
  <si>
    <t>Dazh Szheg</t>
  </si>
  <si>
    <t>Invité sacré</t>
  </si>
  <si>
    <t>Appel de Tor</t>
  </si>
  <si>
    <t>Cieux fendus</t>
  </si>
  <si>
    <t>Fureur de Tor</t>
  </si>
  <si>
    <t>Tempête imminente</t>
  </si>
  <si>
    <t>Tonnerre de guerre</t>
  </si>
  <si>
    <t>Trait de Tor</t>
  </si>
  <si>
    <t>Force de l'ursidé</t>
  </si>
  <si>
    <t>Fureur grondante</t>
  </si>
  <si>
    <t>Inflexible Ursun</t>
  </si>
  <si>
    <t>Peau de l'ours des glaces</t>
  </si>
  <si>
    <t>Père ours</t>
  </si>
  <si>
    <t>Sommeil de l'hiver</t>
  </si>
  <si>
    <t>Mains molles</t>
  </si>
  <si>
    <t>Sons</t>
  </si>
  <si>
    <t>Feux follets</t>
  </si>
  <si>
    <t>Fléchette magique</t>
  </si>
  <si>
    <t>Sommeil</t>
  </si>
  <si>
    <t>Flammerole</t>
  </si>
  <si>
    <t>Pare-pluie</t>
  </si>
  <si>
    <t>Rafale</t>
  </si>
  <si>
    <t>Sillage spectral</t>
  </si>
  <si>
    <t>Mauvaise fortune</t>
  </si>
  <si>
    <t>Choc</t>
  </si>
  <si>
    <t>Froid</t>
  </si>
  <si>
    <t>Luminescence</t>
  </si>
  <si>
    <t>Marche hivernale</t>
  </si>
  <si>
    <t>Charmé</t>
  </si>
  <si>
    <t>Gêne</t>
  </si>
  <si>
    <t>Bénédiction de l'orage</t>
  </si>
  <si>
    <t>Bénédiction de Tor</t>
  </si>
  <si>
    <t>Bénédiction de la patte léchée</t>
  </si>
  <si>
    <t>Bénédiction d'Ursun</t>
  </si>
  <si>
    <t>Bénédiction de Dazh</t>
  </si>
  <si>
    <t>Bénédiction du feu</t>
  </si>
  <si>
    <t>Douleur lancinante</t>
  </si>
  <si>
    <t>Faveur</t>
  </si>
  <si>
    <t>Flamme spectrale</t>
  </si>
  <si>
    <t>Marque du Rat Cornu</t>
  </si>
  <si>
    <t>Serviteur rat</t>
  </si>
  <si>
    <t>Vulnérabilité à la contagion</t>
  </si>
  <si>
    <t>Ailes du faucon</t>
  </si>
  <si>
    <t>Apaisement de la bête</t>
  </si>
  <si>
    <t>Asservissement de la bête</t>
  </si>
  <si>
    <t>Déchaînement de la bête</t>
  </si>
  <si>
    <t>Festin des corneilles</t>
  </si>
  <si>
    <t>Griffes de rage</t>
  </si>
  <si>
    <t>L'envol du corbeau</t>
  </si>
  <si>
    <t>L'ours enragé</t>
  </si>
  <si>
    <t>La voix du maître</t>
  </si>
  <si>
    <t>Langage animal</t>
  </si>
  <si>
    <t>Le loup affamé</t>
  </si>
  <si>
    <t>Long sommeil de l'hiver</t>
  </si>
  <si>
    <t>Obstination du bœuf</t>
  </si>
  <si>
    <t>Puissant destrier</t>
  </si>
  <si>
    <t>Retour de cruauté</t>
  </si>
  <si>
    <t>Ruine du cuir</t>
  </si>
  <si>
    <t>Soulagement de la bête</t>
  </si>
  <si>
    <t>Soumission des pleutres</t>
  </si>
  <si>
    <t>Transformation répugnante</t>
  </si>
  <si>
    <t>Ailes célestes</t>
  </si>
  <si>
    <t>Boussole divinatoire</t>
  </si>
  <si>
    <t>Destin fatal</t>
  </si>
  <si>
    <t>Éclair</t>
  </si>
  <si>
    <t>Éclaircie</t>
  </si>
  <si>
    <t>Forme astrale</t>
  </si>
  <si>
    <t>Langage des oiseaux</t>
  </si>
  <si>
    <t>Lentille céleste</t>
  </si>
  <si>
    <t>Lueur stellaire</t>
  </si>
  <si>
    <t>Malédiction</t>
  </si>
  <si>
    <t>Message astral</t>
  </si>
  <si>
    <t>Nettoyage impeccable</t>
  </si>
  <si>
    <t>Premier signe d'Amul</t>
  </si>
  <si>
    <t>Prémonition</t>
  </si>
  <si>
    <t>Présage</t>
  </si>
  <si>
    <t>Regain de fortune</t>
  </si>
  <si>
    <t>Second signe d'Amul</t>
  </si>
  <si>
    <t>Tempête de foudre</t>
  </si>
  <si>
    <t>Tornade</t>
  </si>
  <si>
    <t>Troisième signe d'Amul</t>
  </si>
  <si>
    <t>Appel Shoïka</t>
  </si>
  <si>
    <t>Baiser de la pucelle de glace</t>
  </si>
  <si>
    <t>Blizzard</t>
  </si>
  <si>
    <t>Faucons de Miska</t>
  </si>
  <si>
    <t>Forme du félon de givre</t>
  </si>
  <si>
    <t>Givre mortel</t>
  </si>
  <si>
    <t>Lame de givre</t>
  </si>
  <si>
    <t>Manteau de cristal</t>
  </si>
  <si>
    <t>Marche de la steppe sans fin</t>
  </si>
  <si>
    <t>Mur de glace</t>
  </si>
  <si>
    <t>Permafrost</t>
  </si>
  <si>
    <t>Plaque de glace</t>
  </si>
  <si>
    <t>Tempête de cristaux</t>
  </si>
  <si>
    <t>Tempête de grêle</t>
  </si>
  <si>
    <t>Vent mordant</t>
  </si>
  <si>
    <t>Voix glaçante</t>
  </si>
  <si>
    <t>Bannissement des esprits</t>
  </si>
  <si>
    <t>Convocation d'esprit</t>
  </si>
  <si>
    <t>Forme de la Veuve Vénérable</t>
  </si>
  <si>
    <t>Fortune contée</t>
  </si>
  <si>
    <t>Injonction spirituelle</t>
  </si>
  <si>
    <t>Malédiction de la vedma</t>
  </si>
  <si>
    <t>Passage révélé</t>
  </si>
  <si>
    <t>Patte porte-bonheur</t>
  </si>
  <si>
    <t>Purification corporelle</t>
  </si>
  <si>
    <t>Purification spirituelle</t>
  </si>
  <si>
    <t>Rejet spirituel</t>
  </si>
  <si>
    <t>Vision d'horreur</t>
  </si>
  <si>
    <t>Faveur du Chaos</t>
  </si>
  <si>
    <t>Invocation de démon mineur</t>
  </si>
  <si>
    <t>Sang bouillonnant</t>
  </si>
  <si>
    <t>Tentation du Chaos</t>
  </si>
  <si>
    <t>Main de la destruction</t>
  </si>
  <si>
    <t>Caresse du Chaos</t>
  </si>
  <si>
    <t>Voile de corruption</t>
  </si>
  <si>
    <t>Mot de souffrance</t>
  </si>
  <si>
    <t>Visage de la mort</t>
  </si>
  <si>
    <t>Réanimation</t>
  </si>
  <si>
    <t>Sève nécromantique</t>
  </si>
  <si>
    <t>Main de poussière</t>
  </si>
  <si>
    <t>Appel de Vanhel</t>
  </si>
  <si>
    <t>Contrôle des morts-vivants</t>
  </si>
  <si>
    <t>Chair momifiée</t>
  </si>
  <si>
    <t>Animation des morts</t>
  </si>
  <si>
    <t>Incantation d'éveil</t>
  </si>
  <si>
    <t>Bannissement de morts-vivants</t>
  </si>
  <si>
    <t>Adhérence du grimpeur</t>
  </si>
  <si>
    <t>Armure de ténèbres</t>
  </si>
  <si>
    <t>Destin crépitant</t>
  </si>
  <si>
    <t>Écorchage</t>
  </si>
  <si>
    <t>Escampette</t>
  </si>
  <si>
    <t>Évasion</t>
  </si>
  <si>
    <t>Flot de vermine</t>
  </si>
  <si>
    <t>Flottabilité</t>
  </si>
  <si>
    <t>Frénésie mortelle</t>
  </si>
  <si>
    <t>Malefoudre</t>
  </si>
  <si>
    <t>Malétoiles</t>
  </si>
  <si>
    <t>Maletempête</t>
  </si>
  <si>
    <t>Manteau de contagion</t>
  </si>
  <si>
    <t>Musc de terreur</t>
  </si>
  <si>
    <t>Pelage de l'assassin</t>
  </si>
  <si>
    <t>Peste</t>
  </si>
  <si>
    <t>Plaies suppurantes</t>
  </si>
  <si>
    <t>Pluie toxique</t>
  </si>
  <si>
    <t>Pustule venimeuse</t>
  </si>
  <si>
    <t>Ruine alimentaire</t>
  </si>
  <si>
    <t>Souffle pestilentiel</t>
  </si>
  <si>
    <t>Tourbillon noir</t>
  </si>
  <si>
    <t>Trépas invisible</t>
  </si>
  <si>
    <t>Voile muscidé</t>
  </si>
  <si>
    <t>Exorciste, Prêtre (ordinaire)</t>
  </si>
  <si>
    <t>+9</t>
  </si>
  <si>
    <t>+50</t>
  </si>
  <si>
    <t>+11</t>
  </si>
  <si>
    <t>accès de votre carrière actuelle :</t>
  </si>
  <si>
    <t>accès</t>
  </si>
  <si>
    <t>une robe blanche (+2)</t>
  </si>
  <si>
    <t>1 jour/point de Magie</t>
  </si>
  <si>
    <t>un cœur en argent (+2)</t>
  </si>
  <si>
    <r>
      <t xml:space="preserve">vous implorez la miséricorde de Shallya pour qu'elle repousse d'inévitables souffrances un temps durant. Vous pouvez ainsi toucher une créature et neutraliser les effets d'une maladie, d'un trouble mental, d'un poison ou de quelque autre mal. Une fois le sort arrivé à son terme, la cible subit de nouveau les effets du mal en question. Une cible ne peut bénéficier d'une </t>
    </r>
    <r>
      <rPr>
        <i/>
        <sz val="10"/>
        <rFont val="Arial"/>
        <family val="2"/>
      </rPr>
      <t>détresse retardée</t>
    </r>
    <r>
      <rPr>
        <sz val="10"/>
        <rFont val="Arial"/>
        <family val="2"/>
      </rPr>
      <t xml:space="preserve"> qu'une fois par mal,</t>
    </r>
  </si>
  <si>
    <r>
      <t>vos prières vous immunisent contre les poisons et les maladies, ordinaires ou magiques, pour toute la durée du sort ou jusqu'à ce que vous entrepreniez une action violente contre quelqu'un. De plus, tant que le sort fait effet, les démons et les disciples du Seigneur de la Peste doivent réussir un</t>
    </r>
    <r>
      <rPr>
        <b/>
        <sz val="10"/>
        <rFont val="Arial"/>
        <family val="2"/>
      </rPr>
      <t xml:space="preserve"> test de Force Mentale Difficile (-20%)</t>
    </r>
    <r>
      <rPr>
        <sz val="10"/>
        <rFont val="Arial"/>
        <family val="2"/>
      </rPr>
      <t xml:space="preserve"> pour vous prendre pour cible au moyen d'attaques au corps à corps ou de magie. En cas d'échec, ils tremblent devant la pureté immaculée de Shallya et leur action est perdue pour le round.</t>
    </r>
  </si>
  <si>
    <t>un bandage (+1)</t>
  </si>
  <si>
    <t>un bandeau (+2)</t>
  </si>
  <si>
    <t>vos prières réconfortantes permettent à l'esprit d'une personne de supporter les horreurs du monde. Chaque fois que la cible joue un test de Force Mentale pour éviter de gagner un point de Folie, elle bénéficie d'un bonus de +10%.</t>
  </si>
  <si>
    <t>une sangsue (+1)</t>
  </si>
  <si>
    <t>vos prières soignent un personnage blessé d'un nombre de points de Blessures égal à 1d10 plus votre valeur de Magie.</t>
  </si>
  <si>
    <t>un goupillon d'eau bénite (+2)</t>
  </si>
  <si>
    <t>vos prières soignent un personnage frappé de folie. Un trouble mental est alors neutralisé et tous ses effets sont éliminés. Vous ne pouvez lancer ce sort qu'une seule fois par trouble mental frappant la cible.</t>
  </si>
  <si>
    <t>Guérison des maladies</t>
  </si>
  <si>
    <t>un cataplasme (+2)</t>
  </si>
  <si>
    <t>vos prières soignent un personnage souffrant des effets d'une maladie. Celle-ci est chassée du corps du sujet et tous ses effets sont éliminés. Ce sort ne peut rien pour veux qui sont déjà morts des suites d'une maladie ; pour eux, il est déjà trop tard. Vous ne pouvez lancer ce sort qu'une seule fois par maladie frappant la cible.</t>
  </si>
  <si>
    <t>un crochet de serpent (+1)</t>
  </si>
  <si>
    <t>vos prières soignent une personne souffrant des effets du poison. Le sujet en est débarrassé et tous ses effets sont annulés. Ce sort ne peut rien pour ceux qui sont déjà morts empoisonnés ; pour eux, il est trop tard. On ne peut le lancer qu'une fois par empoisonnement.</t>
  </si>
  <si>
    <t>une larme (+2)</t>
  </si>
  <si>
    <t>une mèche de cheveux de la cible du corps (+2)</t>
  </si>
  <si>
    <t>vous créez un lien d'empathie entre vous et une personne de votre choix située à portée. Tous les dégâts infligés au sujet du sort vous sont en réalité appliqués.</t>
  </si>
  <si>
    <t>une torche enflammée (+2)</t>
  </si>
  <si>
    <t>une fiole d'eau pure (+1)</t>
  </si>
  <si>
    <t>vos prières renforcent les résistances naturelles de la cible. Chaque fois que celle-ci joue un test d'Endurance visant à résister à une maladie, elle bénéficie d'un bonus de +10%.</t>
  </si>
  <si>
    <t>un petit anneau de fer (+1)</t>
  </si>
  <si>
    <t>un halo d'énergie vous protège. Vous bénéficiez de +1 point d'Armure sur toutes les zones, même si le maximum de 5 PA s'applique toujours.</t>
  </si>
  <si>
    <t>une aile de colombe (+2)</t>
  </si>
  <si>
    <t>une plume de griffon en filigrane d'or (+2)</t>
  </si>
  <si>
    <t>vos prières stridentes enhardissent les élus de Sigmar, les emplissant de courage et de détermination. Tous les citoyens de l'Empire et alliés nains situés à portée gagnent le talent Sans peur.</t>
  </si>
  <si>
    <t>une pointe de flèche en or (+2)</t>
  </si>
  <si>
    <r>
      <t xml:space="preserve">vous lancez un projectile enflammé prenant la forme de la célèbre comète à deux queues de Sigmar. L'astre miniature se dirige vers un adversaire de votre choix situé à portée. La </t>
    </r>
    <r>
      <rPr>
        <i/>
        <sz val="10"/>
        <rFont val="Arial"/>
        <family val="2"/>
      </rPr>
      <t>comète de Sigmar</t>
    </r>
    <r>
      <rPr>
        <sz val="10"/>
        <rFont val="Arial"/>
        <family val="2"/>
      </rPr>
      <t xml:space="preserve"> est un projectile magique ayant une valeur de dégâts de 6.</t>
    </r>
  </si>
  <si>
    <t>1 minute (6 rounds)/point de Magie (cf. texte)</t>
  </si>
  <si>
    <t>un prisme (+2)</t>
  </si>
  <si>
    <t>vous êtes investi de la puissance et de la majesté de Sigmar, qui vous font briller tel un phare dans la nuit. Tous vos alliés apeurés ou terrifiés capables de vous voir sont galvanisés par votre foi et votre courage. Ces personnages retrouvent alors leurs moyens et peuvent agir normalement à leur tour de jeu.</t>
  </si>
  <si>
    <t>une amulette en or gravée de la comète de Sigmar (+2)</t>
  </si>
  <si>
    <r>
      <t xml:space="preserve">les flammes purificatrices de Sigmar vous enveloppent tandis que son ire se manifeste sur terre. Centrez sur vous le grand gabarit. Les créatures affectées subissent un coup d'une valeur de dégâts de 3. Les morts-vivants et les démons y sont particulièrement sensibles, puisqu'ils subissent quant à eux un coup d'une valeur de dégâts de 5. Les armures n'offrent aucune protection contre </t>
    </r>
    <r>
      <rPr>
        <i/>
        <sz val="10"/>
        <rFont val="Arial"/>
        <family val="2"/>
      </rPr>
      <t>feu de l'âme</t>
    </r>
    <r>
      <rPr>
        <sz val="10"/>
        <rFont val="Arial"/>
        <family val="2"/>
      </rPr>
      <t>.</t>
    </r>
  </si>
  <si>
    <r>
      <t xml:space="preserve">vos prières implorent Sigmar de vous protéger de ses pires ennemis. Vous bénéficiez d'un bonus de +20% aux tests de Force Mentale visant à résister à toute magie issue du talent Magie Noire. Si le sort en question n'autorise pas de test de Force Mentale, vous avez tout de même droit à un </t>
    </r>
    <r>
      <rPr>
        <b/>
        <sz val="10"/>
        <rFont val="Arial"/>
        <family val="2"/>
      </rPr>
      <t>test de Force Mentale Difficile (-20%)</t>
    </r>
    <r>
      <rPr>
        <sz val="10"/>
        <rFont val="Arial"/>
        <family val="2"/>
      </rPr>
      <t xml:space="preserve"> pour y résister.</t>
    </r>
  </si>
  <si>
    <t>un gant de cuir (+2)</t>
  </si>
  <si>
    <t>votre contact soigne un personnage blessé de 1d10 points de Blessures.</t>
  </si>
  <si>
    <t>un talisman gravé du symbole de Sigmar (+1)</t>
  </si>
  <si>
    <t>votre marteau est investi de la puissance de Sigmar. Votre arme de corps à corps, qui doit impérativement être un marteau, est considérée comme magique et dotée de l'attribut percutante.</t>
  </si>
  <si>
    <t>un petit marteau en argent (+1)</t>
  </si>
  <si>
    <t>vous priez au contact d'un objet inanimé, comme une porte ou un mur, et le renforcez considérablement. Son Endurance est doublée jusqu'à la fin du sort.</t>
  </si>
  <si>
    <t>un marteau miniature forgé dans le bronze (+2)</t>
  </si>
  <si>
    <t>la langue d'un animal (+1)</t>
  </si>
  <si>
    <t>vous implorez Taal, le seigneur des Rivières, de vous laisser traverser son domaine. Vous ignorez les malus découlant du port de dotations lorsque vous nagez dans un cours d'eau (en restant tout de même raisonnable ; à la discrétion du MJ). De plus, vous bénéficiez d'un bonus de +20% aux tests de Natation, et plutôt que de réduire votre valeur de Mouvement de moitié pour fixer votre vitesse à la nage, vous divisez votre valeur actuelle de Force par 10 (arrondi à l'entier supérieur). Par exemple, si vous avez une valeur de Force de 52%, votre valeur de Mouvement à la nage est égale à 6.</t>
  </si>
  <si>
    <t>un carré de peau de bœuf (+2)</t>
  </si>
  <si>
    <t>vos prières confèrent à vos personnages la constitution d'un bœuf. La cible du sort a le droit de rejouer un test d'Endurance raté par round.</t>
  </si>
  <si>
    <t>un petit gong (+2)</t>
  </si>
  <si>
    <r>
      <t xml:space="preserve">vous provoquez un bruyant coup de tonnerre qui éclate quelque part à portée. Utilisez le grand gabarit. Les créatures affectées doivent réussir un test d'Endurance sous peine d'être assommées jusqu'à votre prochain tour de jeu. Le </t>
    </r>
    <r>
      <rPr>
        <i/>
        <sz val="10"/>
        <rFont val="Arial"/>
        <family val="2"/>
      </rPr>
      <t>coup de tonnerre</t>
    </r>
    <r>
      <rPr>
        <sz val="10"/>
        <rFont val="Arial"/>
        <family val="2"/>
      </rPr>
      <t xml:space="preserve"> est si retentissant qu'on l'entend à 1,5 kilomètres à la ronde.</t>
    </r>
  </si>
  <si>
    <t>les bois d'un grand cerf (+3)</t>
  </si>
  <si>
    <t>une touffe de poils de cerf (+1)</t>
  </si>
  <si>
    <t>vous êtes investi de la puissance d'un cerf sauvage. Augmentez votre valeur de Mouvement de +1. Tant que vous êtes sous l'effet du sort, vous pouvez effectuer une charge au prix d'une demi-action.</t>
  </si>
  <si>
    <t xml:space="preserve"> contact (vous)</t>
  </si>
  <si>
    <t>une griffe d'ours (+2)</t>
  </si>
  <si>
    <r>
      <t xml:space="preserve">votre contact confère à un personnage la force de l'ours. La cible de </t>
    </r>
    <r>
      <rPr>
        <i/>
        <sz val="10"/>
        <rFont val="Arial"/>
        <family val="2"/>
      </rPr>
      <t>patte d'ours</t>
    </r>
    <r>
      <rPr>
        <sz val="10"/>
        <rFont val="Arial"/>
        <family val="2"/>
      </rPr>
      <t xml:space="preserve"> bénéficie d'un bonus de +20% en Force.</t>
    </r>
  </si>
  <si>
    <t>une marcotte (+1)</t>
  </si>
  <si>
    <t>vous invoquez un enchevêtrement de plantes grimpantes qui apparaît à portée et gêne les mouvements de vos adversaires. Utilisez le grand gabarit. Les créatures affectées ne peuvent plus se déplacer à moins de réussir un test de Force, auquel cas leur valeur de Mouvement est tout de même réduit de moitié (arrondi à l'entier inférieur) tant qu'elles restent dans la zone d'effet. Ce sort ne peut être utilisé que dans les zones abritant racines et végétation naturelle.</t>
  </si>
  <si>
    <t>une dent de grand prédateur (+1)</t>
  </si>
  <si>
    <t>un bol de lait frais (+2)</t>
  </si>
  <si>
    <t>vous implorez la Déesse Mère de porter assistance à ses enfants. Centrez sur vous le grand gabarit. Les créatures affectées sont aussi ragaillardies que si elles venaient de bénéficier d'une nuit complète de sommeil et de trois jours de guérison naturelle.</t>
  </si>
  <si>
    <t>soutenu par l'autorité de Taal, vous donnez à un animal des ordres qu'il exécute à la lettre. Choisissez un animal situé à portée. Vous décidez de sa prochaine action. Taal ne vous permet cependant pas d'abuser de ses sujets, si bien que vous ne pouvez lui ordonner de commettre un acte manifestement suicidaire, comme s'en prendre à plus gros que lui ou sauter du haut d'une falaise.</t>
  </si>
  <si>
    <t>une poignée de feuilles mortes (+2)</t>
  </si>
  <si>
    <t>un cœur de loup (+2)</t>
  </si>
  <si>
    <t>vos alliés sont habités par l'esprit martial d'Ulric. Tous vos alliés situés à portée réussissent automatiquement les tests de Peur et de Terreur qu'il leur faut jouer. De plus, ils sont immunisés contre les effets liés à la compétence Intimidation ou au talent Troublant.</t>
  </si>
  <si>
    <t>2 actions complètes et 1 demi-action</t>
  </si>
  <si>
    <t>une hache de qualité exceptionnelle (+3)</t>
  </si>
  <si>
    <r>
      <t xml:space="preserve">la haine d'Ulric éprouve à l'égard des faibles, des lâches et des individus déshonorants suinte dans chacune des paroles de mépris de la prière que vous braillez. Un feu froid et argenté frappe une cible située à portée, lui infligeant un coup d'une valeur de dégâts de 8 par round. Cependant, les pieux ulricains, ainsi que les individus courageux et honorables (à la discrétion du MJ), sont immunisés contre le sort, si bien que les flammes ne leur infligent pas de dégâts. Une armure n'offre aucune protection contre le </t>
    </r>
    <r>
      <rPr>
        <i/>
        <sz val="10"/>
        <rFont val="Arial"/>
        <family val="2"/>
      </rPr>
      <t>décret du roi des neiges</t>
    </r>
    <r>
      <rPr>
        <sz val="10"/>
        <rFont val="Arial"/>
        <family val="2"/>
      </rPr>
      <t>.</t>
    </r>
  </si>
  <si>
    <t>une hache (+2)</t>
  </si>
  <si>
    <t>une touffe de poils de loup (+1)</t>
  </si>
  <si>
    <t>vous dégagez une vague de froid à glacer le sang. Toute créature qui vous attaque au corps à corps subit un malus de 10% en Capacité de Combat. Ce sort n'affecte pas les morts-vivants, les créatures immunisées contre le froid et celles qui vivent dans un environnement glacé.</t>
  </si>
  <si>
    <t>une tache de sang frais (+1)</t>
  </si>
  <si>
    <t>l'esprit d'Ulric vous envahit et déchaîne votre soif de sang. Vous bénéficiez d'un bonus de +1 en Attaques. Tant que le sort furie guerrière reste actif, vous devez attaquer l'ennemi le plus proche au corps à corps, toutes vos attaques devant prendre la forme d'attaques à outrance, d'attaques de charge ou d'attaques rapides, et vous ne pouvez ni vous enfuir ni battre en retraite.</t>
  </si>
  <si>
    <t>une langue de loup (+2)</t>
  </si>
  <si>
    <t>vous hurlez tel un véritable loup d'Ulric et instillez la soif de combat à vos compagnons. Jusqu'à votre prochain tour de jeu, tous les alliés situés à portée peuvent attaquer deux fois dans le cadre d'une charge, quelle que soit leur valeur d'Attaques (une charge n'autorise normalement qu'une seule attaque).</t>
  </si>
  <si>
    <t>une petite corne taillée dans un os de loup (+2)</t>
  </si>
  <si>
    <t>vous hurlez vos prières de colère à l'attention d'Ulric et vos alliés se sentent animés par une violence à peine contenue. Tous les alliés situés à portée gagnent le talent Troublant.</t>
  </si>
  <si>
    <t>une bille de sang gelé (+1)</t>
  </si>
  <si>
    <t>vous priez pour qu'Ulric gèle le sang de vos ennemis. Un adversaire situé à portée perd 1d10 points de Blessures (qui ne tiennent pas compte de l'armure et du bonus d'Endurance). De plus, la cible doit réussir un test d'Endurance sous peine de ne pas pouvoir entreprendre la moindre action à son tour de jeu (bien qu'elle puisse alors se tourner vers des actions défensives, l'Esquive, etc.).</t>
  </si>
  <si>
    <t>une griffe de loup brisée (+1)</t>
  </si>
  <si>
    <t>vous récitez une prière caustique qui vous emplit de tout le mépris qu'Ulric ressent à l'égard des faibles et des lâches. Une fois par round, vous pouvez rejouer une attaque ratée contre une cible.</t>
  </si>
  <si>
    <t>une poignée de graisse de loup (+2)</t>
  </si>
  <si>
    <t>une patte de louveteau mort (+3)</t>
  </si>
  <si>
    <t>vous hurlez à l'attention du dieu de la Guerre et tous ceux qui lui sont favorables répondent à votre appel. Tous les alliés situés à portée qui sont pris de frénésie bénéficie de +1 en Attaques et n'ont besoin que d'une demi-action pour entreprendre une attaque rapide. Ils restent cependant limités à une action d'attaque par round.</t>
  </si>
  <si>
    <t>un glaçon (+2)</t>
  </si>
  <si>
    <t>vous invoquez une redoutable tempête de glace cinglante à portée pour décimer vos ennemis. Utilisez le grand gabarit. Toute créature affectée subit un coup d'une valeur de dégâts de 5 et doit réussir un test de Force Mentale sous peine d'être assommée pendant 1 round.</t>
  </si>
  <si>
    <t>des chaînes de fer (+1)</t>
  </si>
  <si>
    <t>vous immobilisez un personnage à l'aide de chaînes d'énergie magique invisibles. À moins de réussir un test de Force Mentale, la cible se retrouve sans défense. À son tour de jeu, elle ne peut rien faire d'autre que tenter de briser les liens, ce qui se traduit par un test opposé de sa Force contre votre compétence de Focalisation.</t>
  </si>
  <si>
    <t>une goutte de sang de la victime du criminel (+2)</t>
  </si>
  <si>
    <t>vous entamez la "prière du châtiment" et les coupables sont frappés du courroux de Verena. Une cible située à portée que vous savez coupable d'un crime doit réussir un test de Force Mentale (+20%) sous peine de subir d'atroces souffrances. Le criminel ne peut désormais plus entreprendre qu'une demi-action par round.</t>
  </si>
  <si>
    <t>un talisman gravé d'une balance (+1)</t>
  </si>
  <si>
    <t>quand tout le reste a échoué, vos prières investissent votre arme, qui doit impérativement être une épée, et qui devient l'instrument de la justice de Verena. Elle est alors considérée comme magique et dotée de l'attribut précise. De plus, elle vous confère un bonus de +10% en Capacité de Combat quand vous attaquez des créatures que vous savez coupable d'un crime.</t>
  </si>
  <si>
    <t>vous soumettez un personnage situé à portée à l'épreuve ultime ; vous l'accusez d'un grave méfait et il est alors englouti par des flammes d'origine divine. Si la cible est innocente des faits qui lui sont reprochés, les flammes ne lui infligent aucun dégât et si dissipent après 1 round. En revanche, si elle est coupable, elle subit à chaque round une valeur de dégâts de 8, pendant un nombre de rounds égale à votre valeur de Magie. Les règles traitant du feu (cf. page 136 de WJDR) s'appliquent. Ce miracle ne s'emploie pas à la légère, et les adeptes qui y recourent déraisonnablement sont sévèrement "corrigés" par leurs doyens.</t>
  </si>
  <si>
    <t>une balance en argent (+2)</t>
  </si>
  <si>
    <t>par vos prières, vous suppliez Verena de rendre justice à ses serviteurs. Tout crime commis à votre encontre une fois le sort lancé (ou jusqu'à 1 minute avant l'incantation) est immédiatement "renvoyé" à son auteur. Si un voleur vous a dérobé votre bourse, la sienne tombe au sol. Si une brute vous envoie un coup de poing d'une valeur de dégâts de 4 en pleine poitrine, elle en subit un elle aussi. Bien évidemment, si vous commettez un crime, vous en êtes également victime à votre tour de jeu.</t>
  </si>
  <si>
    <t>une corne acoustique (+2)</t>
  </si>
  <si>
    <t>vous pouvez écouter tout ce qui se déroule en un lieu situé dans votre champ de vision, quelle que soit la distance qui vous en sépare. Vous entendez comme si vous vous y trouviez.</t>
  </si>
  <si>
    <t>vous pouvez poser une question à un personnage. Si ce dernier est en mesure de la comprendre, il devra y répondre sincèrement à moins de réussir un test de Force Mentale. Notez qu'un personnage ainsi contraint ne pourra énoncer que ce qu'il croit être la vérité, qu'il ait raison ou tort. Il est préférable que le MJ joue le test de Force Mentale en secret. Si la cible réussit son test, elle peut répondre ce qui lui plaît ou se taire. Vous ne pouvez poser à nouveau une même question à un personnage donné, sachant que les paraphrases et les variations autour du même thème ne sont pas valables ; les questions doivent être foncièrement différentes.</t>
  </si>
  <si>
    <t>1 jour/point de Magie (cf. texte)</t>
  </si>
  <si>
    <t>vous accusez de manière très rituelle un personnage d'un crime. Si l'accusé est coupable, il doit en subir les conséquences jusqu'à ce qu'il avoue tout. La cible du sort doit entendre toute la prière, qui dure 1 minute. Si tel est le cas et qu'elle est bien coupable du crime mentionné, le sort prend effet. Dès lors, le personnage doit réussir un test d'Endurance par heure. En cas d'échec, il vomit jusqu'à ne plus rien avoir dans l'estomac, écœuré par sa propre culpabilité (durant l'heure qui suit, il subit un malus de -10% à toutes les caractéristiques de son profil principal). Ce sort dure 1 jour/point de Magie ou jusqu'à l'aveu du criminel auprès des autorités.</t>
  </si>
  <si>
    <t>les yeux d'un hibou (+1)</t>
  </si>
  <si>
    <r>
      <t xml:space="preserve">vous pouvez toucher un objet pour apprendre les trois principaux événements de son passé (définis par le MJ). En général, le sort révèle l'identité du créateur de l'objet, ses plus importants propriétaires ou des incidents célèbres le concernant. </t>
    </r>
    <r>
      <rPr>
        <i/>
        <sz val="10"/>
        <rFont val="Arial"/>
        <family val="2"/>
      </rPr>
      <t>Révélation du passé</t>
    </r>
    <r>
      <rPr>
        <sz val="10"/>
        <rFont val="Arial"/>
        <family val="2"/>
      </rPr>
      <t xml:space="preserve"> ne peut être lancé sur un même objet qu'une seule fois.</t>
    </r>
  </si>
  <si>
    <t>un crâne de hibou (+1)</t>
  </si>
  <si>
    <t>vos prières inondent votre esprit de la sagesse de votre déesse. Doublez le nombre de degrés de réussite obtenus par vos tests d'Intelligence. De plus, vous pouvez rejouer un test d'Intelligence raté, mais cela a pour effet de mettre un terme au sort.</t>
  </si>
  <si>
    <t>un symbole sacré de Verena (+2)</t>
  </si>
  <si>
    <t>en commençant tout simplement votre phrase par "Verena m'en est témoin", la véracité de vos propos saute aux yeux de votre auditoire. Tant que vous ne dites que la vérité, vous bénéficiez d'un bonus de +10% aux tests de Charisme et pouvez doubler le nombre de personnes affectées (après avoir tenu compte de tout talent approprié).</t>
  </si>
  <si>
    <t>un bandeau de soie (+1) qui doit être porté</t>
  </si>
  <si>
    <t>vos prières vous permettent de distinguer la vérité, même quand celle-ci est cachée. En réussissant un test d'Intelligence (que votre MJ peut effectuer en secret), vous savez si votre interlocuteur ment. De plus, un test de Perception vous permet de voir au travers des illusions et déguisements, mais également de remarquer les personnages et objets cachés dans votre champ de vision. Lorsque vous lancez ce sort, vous voyez au travers du bandeau comme s'il n'était pas là.</t>
  </si>
  <si>
    <t>6 mètres (3 cases)</t>
  </si>
  <si>
    <t>un symbole sacré dazhinyi (+2)</t>
  </si>
  <si>
    <t>vos prières font apparaître une vague aveuglante de feu sacré. Toutes les créatures situées à portée doivent réussir un test d'Agilité sous peine d'être éblouies. Les victimes subissent alors un malus de -20% aux tests de Capacité de Combat, Capacité de Tir, Agilité et Perception pendant 1d10 rounds. Les cibles qui n'ont pas d'yeux (ou qui ont les yeux protégés) sont immunisées contre le sort.</t>
  </si>
  <si>
    <t>un morceau de charbon (+1)</t>
  </si>
  <si>
    <t>vous murmurez une prière célébrant Dazh qui se lève se son lit de charbons à l'est. Si elle est inflammable (à la discrétion du MJ), la cible prend aussitôt feu.</t>
  </si>
  <si>
    <t>une flamme ciselée d'or (+2)</t>
  </si>
  <si>
    <r>
      <t xml:space="preserve">vos prières font apparaître des flammes sacrées qui enveloppent tout votre corps. Quiconque tente de vous frapper à l'aide d'une arme de corps à corps doit réussir un test de Force Mentale sous peine de subir un malus de -30 au test de Capacité de Combat alors que la chaleur le repousse. En cas de réussite, le malus n'est que de -10. Tant que la </t>
    </r>
    <r>
      <rPr>
        <i/>
        <sz val="10"/>
        <rFont val="Arial"/>
        <family val="2"/>
      </rPr>
      <t>couronne de flammes</t>
    </r>
    <r>
      <rPr>
        <sz val="10"/>
        <rFont val="Arial"/>
        <family val="2"/>
      </rPr>
      <t xml:space="preserve"> est active, vous êtes immunisé contre les dégâts des attaques de feu.</t>
    </r>
  </si>
  <si>
    <t>1 lieue (4,5 km environ)</t>
  </si>
  <si>
    <t>18 mètres (9 cases)</t>
  </si>
  <si>
    <t>une loupe en or (+2)</t>
  </si>
  <si>
    <t>vous demandez à Dazh d'incinérer vos ennemis et un rayon de lumière sacrée s'abat sur eux. Toutes les créatures situées dans la zone du petit gabarit doivent réussir un test d'Agilité assez difficile (-10) sous peine de subir 1d10+4 points de dégâts (qui ne tiennent pas compte de l'armure). Une cible qui perd au moins 1 point de Blessures prend également feu.</t>
  </si>
  <si>
    <t>spéciale</t>
  </si>
  <si>
    <t>un parchemin de prière dazhinyi (+1)</t>
  </si>
  <si>
    <t>1,5 km</t>
  </si>
  <si>
    <t>un symbole sacré torinyi (+2)</t>
  </si>
  <si>
    <t>vous mugissez des prières à l’attention des cieux et Tor vous répond au moyen d’un coup de tonnerre. Au round suivant, tous les Kislevites situés à portée attaquent deux fois sur une action de charge. Toutefois, Tor ne tolère pas que l’on utilise cette prière à la légère, si bien que vous subissez automatiquement la colère des dieux si votre jet d’incantation échoue.</t>
  </si>
  <si>
    <t>une fiole d’eau de pluie bénite (+2)</t>
  </si>
  <si>
    <t>vous implorez Tor de bénir vos efforts de guerre. Lorsque vous maniez une hache et obtenez un 10 aux dégâts, vous bénéficiez automatiquement de la fureur d’Ulric, sans avoir à relancer le dé.</t>
  </si>
  <si>
    <t>5 minutes/point de Magie</t>
  </si>
  <si>
    <t>un parchemin de prière torinyi (+1)</t>
  </si>
  <si>
    <t>vos prières déclenchent un regain de tension, préparant ceux qui vous entourent au conflit à venir. Quand un personnage situé à portée au moment de l’incantation est surpris, il a droit à un test de Force Mentale Assez facile (+10) pour ne pas être pris au dépourvu et agir normalement.</t>
  </si>
  <si>
    <t>une cymbale en plaqué argent (+2)</t>
  </si>
  <si>
    <t>vos prières amplifient les sons des combats alentour. Tous les ennemis situés à portée doivent réussir un test de Peur.</t>
  </si>
  <si>
    <t>un éclair en argent (+1)</t>
  </si>
  <si>
    <r>
      <t xml:space="preserve">vous implorez Tor de déchaîner toute sa colère et un éclair part en direction de la cible. Il s’agit d’un </t>
    </r>
    <r>
      <rPr>
        <i/>
        <sz val="10"/>
        <rFont val="Arial"/>
        <family val="2"/>
      </rPr>
      <t>projectile magique</t>
    </r>
    <r>
      <rPr>
        <sz val="10"/>
        <rFont val="Arial"/>
        <family val="2"/>
      </rPr>
      <t xml:space="preserve"> qui inflige 1d10+3 points de dégâts (qui ne tiennent pas compte de l’armure). Si la cible est tuée, la foudre poursuit son chemin jusqu’à un autre ennemi (s’il en reste) situé dans un rayon de 4 cases de la cible, et ainsi de suite jusqu’à ce qu’une cible survive.</t>
    </r>
  </si>
  <si>
    <t>une côte d’ours (+1)</t>
  </si>
  <si>
    <t>vos prières vous confèrent une partie de la force d’Ursun. Vous bénéficiez d’un bonus de +10 aux tests de Force, d’un autre bonus de +10 (pour un total de +20) lorsque vous agrippez un adversaire, et vos attaques à mains nues infligent +1 point de dégâts.</t>
  </si>
  <si>
    <t>une griffe d’ours tué par un piège (+1)</t>
  </si>
  <si>
    <t>votre prière vous emplit d’une rage implacable. Vous gagnez les talents Frénésie et Menaçant, et bénéficiez en plus d’un bonus de +10 aux tests de Force Mentale et d’Endurance.</t>
  </si>
  <si>
    <t>une fourrure d’ours des glaces (+3)</t>
  </si>
  <si>
    <t>vos prières puisent directement dans l’orgueil national kislevite. Tous les Kislevites situés à portée gagnent les traits Sans peur et Troublant.</t>
  </si>
  <si>
    <t>une canine d’ours des glaces (+1)</t>
  </si>
  <si>
    <t>vos prières attirent en vous l’esprit d’un ours des glaces. Pour toute la durée du sort, vos attaques infligent +1 point de dégâts, et vous gagnez les talents Sens aiguisés et Troublant. Enfin, vous bénéficiez d’un bonus de +10 aux tests d’Intimidation, Perception et Survie.</t>
  </si>
  <si>
    <t>une langue d’ours (+1)</t>
  </si>
  <si>
    <r>
      <t xml:space="preserve">vos prières attirent l’un des serviteurs d’Ursun. Un ours situé à portée n’attaquera que s’il est lui-même attaqué, et répondra à toutes les questions que vous lui poserez en s’appuyant sur ses connaissances (et non celles d’Ursun). Sa voix est noble et timbrée, et il parle dans la langue maternelle du prêtre. Cette prière ne fonctionne pas sur les lanceurs de sorts utilisant </t>
    </r>
    <r>
      <rPr>
        <i/>
        <sz val="10"/>
        <rFont val="Arial"/>
        <family val="2"/>
      </rPr>
      <t>l’ours enragé</t>
    </r>
    <r>
      <rPr>
        <sz val="10"/>
        <rFont val="Arial"/>
        <family val="2"/>
      </rPr>
      <t>.</t>
    </r>
  </si>
  <si>
    <t>1d10 rounds (par cible)</t>
  </si>
  <si>
    <t>une boule de neige (+2)</t>
  </si>
  <si>
    <t>vos prières vous permettent d’abattre le profond sommeil de l’hiver sur vos ennemis. Toutes les créatures vivantes situées sous le petit gabarit doivent réussir un test de Force Mentale Assez difficile (–10) sous peine de s’endormir pour 1d10 rounds. Les personnages endormis sont sans défense.</t>
  </si>
  <si>
    <t>une goutte d'huile pour lampe (+1)</t>
  </si>
  <si>
    <t>tout objet que vous tenez dans votre main se met à luire avec l’intensité d’une lanterne pendant 1 heure ou jusqu’à ce que vous le lâchiez.</t>
  </si>
  <si>
    <t xml:space="preserve"> </t>
  </si>
  <si>
    <t>une noix de beurre (+1)</t>
  </si>
  <si>
    <t>vous créez un bruit illusoire dans un rayon de 24 mètres (12 cases) dont le volume peut aller du chuchotement au rugissement. La nature du son et son volume sont laissés à votre choix, sachant que vous pouvez tout reproduire sauf des paroles intelligibles. La durée de l’effet ne peut dépasser 1 round.</t>
  </si>
  <si>
    <t>une luciole (+1)</t>
  </si>
  <si>
    <t>vous créez l’illusion de plusieurs lumières lointaines faisant penser à des torches ou des lanternes. Elles apparaissent dans un rayon de 100 mètres de vous (50 cases) et peuvent ensuite être envoyées dans n’importe quelle direction. Elles suivent naturellement les couloirs et les chemins, sans avoir besoin d’être contrôlées ou surveillées. Vous pouvez les diriger plus activement si vous le désirez, mais seulement si vous les gardez en ligne de vue. Vous ne pouvez effectuer aucune autre action tant que vous contrôlez les lumières, qui se déplacent à différentes allures, sans jamais aller moins vite que 8 mètres (4 cases) par round ou dépasser 16 mètres (8 cases) par round. Les lumières persistent pendant 1 heure, avant de faiblir progressivement et de s’évanouir.</t>
  </si>
  <si>
    <t>une fléchette (+1)</t>
  </si>
  <si>
    <r>
      <t xml:space="preserve">vous lancez une fléchette d’énergie magique sur un adversaire situé à 16 mètres (8 cases) ou moins. Malgré sa taille réduite, la fléchette d’énergie frappe avec une force considérable. Une </t>
    </r>
    <r>
      <rPr>
        <i/>
        <sz val="10"/>
        <rFont val="Arial"/>
        <family val="2"/>
      </rPr>
      <t>fléchette magique</t>
    </r>
    <r>
      <rPr>
        <sz val="10"/>
        <rFont val="Arial"/>
        <family val="2"/>
      </rPr>
      <t xml:space="preserve"> est un projectile magique infligeant des dégâts de 3.</t>
    </r>
  </si>
  <si>
    <t>un peu de duvet (+1)</t>
  </si>
  <si>
    <t>votre contact plonge votre adversaire dans un sommeil profond pendant 1d10 rounds à moins qu’il ne réussisse un test de Force Mentale. Les personnages endormis sont considérés comme sans défense. Sommeil est un sort de contact.</t>
  </si>
  <si>
    <t>un morceau de silex (+1)</t>
  </si>
  <si>
    <t>une flamme bleue prend vie dans le creux de votre main et y reste tant que vous ne refermez pas les doigts et que vous ne lancez pas d’autre sort. La flamme est trop petite pour causer le moindre dégât en situation de combat, mais elle produit une lueur équivalente à celle d’une bougie et peut servir à embraser des matériaux inflammables comme une torche ou du chaume.</t>
  </si>
  <si>
    <t>une feuille fraîchement cueillie (+1)</t>
  </si>
  <si>
    <t>ce sort vous protège de la pluie et autres précipitations. Vous restez parfaitement sec, ainsi que votre équipement, même sous les plus fortes averses. Les effets du sort persistent pendant 1 heure, mais vous pouvez y mettre un terme avant cela si vous le désirez.</t>
  </si>
  <si>
    <t>une plume d’oiseau (+1)</t>
  </si>
  <si>
    <t>d’un mouvement de main, vous créez un bref coup de vent dans les environs. Cette rafale suffit à éteindre les bougies et à disperser les feuilles volantes, mais pas à renverser des objets plus lourds.</t>
  </si>
  <si>
    <t>une pincée de sable (+1)</t>
  </si>
  <si>
    <t>vous ne laissez aucune trace visible derrière vous pendant 1 heure, quel que soit le type de terrain sur lequel vous évoluez. Quiconque tente un test de Pistage pour vous retrouver subit un malus de -30%.</t>
  </si>
  <si>
    <t>une poupée représentant grossièrement la victime (+1)</t>
  </si>
  <si>
    <r>
      <t xml:space="preserve">vous pouvez enchanter un objet de manière à ce que son porteur soit frappé de malchance. Il vous faut toucher l’objet pour pouvoir lancer le sort (si l’objet est porté par la personne, la règle concernant les sorts de contact s’applique). Pendant les prochaines 24 heures, le porteur de l’objet maudit subit un malus égal à votre valeur de Magie pour tous ses tests. Un même personnage ne peut être affecté que par un seul sort de </t>
    </r>
    <r>
      <rPr>
        <i/>
        <sz val="10"/>
        <rFont val="Arial"/>
        <family val="2"/>
      </rPr>
      <t>mauvaise fortune</t>
    </r>
    <r>
      <rPr>
        <sz val="10"/>
        <rFont val="Arial"/>
        <family val="2"/>
      </rPr>
      <t xml:space="preserve"> à la fois.</t>
    </r>
  </si>
  <si>
    <t>une petite épingle (+1)</t>
  </si>
  <si>
    <r>
      <t xml:space="preserve">votre contact assomme un adversaire pour un nombre de rounds égal à votre valeur de Magie, à moins qu’il ne réussisse un test de Force Mentale. </t>
    </r>
    <r>
      <rPr>
        <i/>
        <sz val="10"/>
        <rFont val="Arial"/>
        <family val="2"/>
      </rPr>
      <t>Choc</t>
    </r>
    <r>
      <rPr>
        <sz val="10"/>
        <rFont val="Arial"/>
        <family val="2"/>
      </rPr>
      <t xml:space="preserve"> est un sort de contact.</t>
    </r>
  </si>
  <si>
    <t>1 jour</t>
  </si>
  <si>
    <t>une boule de glace (+1)</t>
  </si>
  <si>
    <t>votre contact laisse derrière lui un givre étincelant. Utilisez le petit gabarit. La température de l’air ambiant tombe à 0° dans la zone.</t>
  </si>
  <si>
    <t>une raquette (+1)</t>
  </si>
  <si>
    <t>vous demandez aux esprits de l’hiver de vous ouvrir le passage. Vous ne subissez aucun malus de déplacement en raison du blizzard, des congères, des surfaces gelées, etc.</t>
  </si>
  <si>
    <t>1 minute (6 rounds) (spéciale)</t>
  </si>
  <si>
    <t>une goutte de votre sang (+1)</t>
  </si>
  <si>
    <r>
      <t xml:space="preserve">vous attirez de minuscules esprits de la chance. Lorsque la cible utilise un point de Fortune, lancez 1d10. Sur un résultat de 8, 9 ou 10, le point de Fortune produit les effets désirés, mais n’est pas utilisé. </t>
    </r>
    <r>
      <rPr>
        <i/>
        <sz val="10"/>
        <rFont val="Arial"/>
        <family val="2"/>
      </rPr>
      <t>Charmé</t>
    </r>
    <r>
      <rPr>
        <sz val="10"/>
        <rFont val="Arial"/>
        <family val="2"/>
      </rPr>
      <t xml:space="preserve"> cesse de fonctionner dès que le point de Fortune est ainsi épargné.</t>
    </r>
  </si>
  <si>
    <t>un ongle de la victime (+1)</t>
  </si>
  <si>
    <r>
      <t xml:space="preserve">vous prononcez des paroles terribles et invoquez des esprits chargés de maudire une cible située à portée. Celle-ci a droit à un test de Force Mentale pour résister à l’influence des esprits. Cette malédiction perturbe le sujet, mais n’est absolument pas mortelle, pas plus qu’elle n’impose de pénalité, en dehors d’un certain embarras qui peut se traduire par un léger malus aux tests de Sociabilité (à l’appréciation du MJ, mais pas plus de –10). </t>
    </r>
    <r>
      <rPr>
        <i/>
        <sz val="10"/>
        <rFont val="Arial"/>
        <family val="2"/>
      </rPr>
      <t>Gêne</t>
    </r>
    <r>
      <rPr>
        <sz val="10"/>
        <rFont val="Arial"/>
        <family val="2"/>
      </rPr>
      <t xml:space="preserve"> se manifeste par exemple de l’une des manières suivantes : verrues, furoncles, altération de la couleur des cheveux, flatulences incontrôlables, forte odeur des pieds, crise d’urticaire, etc.</t>
    </r>
  </si>
  <si>
    <t>une plume d’oiseau de feu (+1)</t>
  </si>
  <si>
    <t>la cible touchée bénéficie des bonnes grâces de Dazh. Pour toute la durée du sort, le feu ne lui inflige que la moitié des dégâts ordinaires après les réductions habituelles (arrondir à l’entier supérieur).</t>
  </si>
  <si>
    <t>1 heure (spéciale)</t>
  </si>
  <si>
    <t>une poignée de cendres (+1)</t>
  </si>
  <si>
    <t>vos prières font apparaître un feu de camp bienvenu à portée. Celui-ci n’a pas besoin de combustible et n’embrase pas les objets inflammables, mais il n’en dégage pas moins de la chaleur qui réchauffe les êtres vivants (et eux seuls). Le sort prend fin si une créature s’en approche assez près pour être blessée par les flammes.</t>
  </si>
  <si>
    <t>le bois d’un arbre frappé par la foudre (+1)</t>
  </si>
  <si>
    <t>vos prières modifient les particularités de l’air ambiant, faisant croire aux animaux qu’un orage se lève. Les petits animaux et troupeaux s’éloignent automatiquement de vous à grands pas pour se cacher ou se regrouper. Les autres animaux (et ceux contrôlés par autrui) doivent réussir un test de Force Mentale Facile (+20) sous peine de prendre la fuite.</t>
  </si>
  <si>
    <t>une amulette torinyi en argent (+1)</t>
  </si>
  <si>
    <t>l’arme, qui bénéficie des faveurs de Tor, crépite d’énergie. Elle inflige +1 point de dégâts jusqu’à la fin du sort.</t>
  </si>
  <si>
    <t>de la salive d’ours (+1)</t>
  </si>
  <si>
    <t>vous grognez une supplique à l’attention d’Ursun pour qu’il atténue la douleur d’une blessure. On considère que la cible a bénéficié de soins médicaux.</t>
  </si>
  <si>
    <t>un poisson frais (+1)</t>
  </si>
  <si>
    <t>vos prières confèrent à la cible un bonus de +10 aux tests d’Orientation et de Survie joués dans l’oblast ou durant l’hiver.</t>
  </si>
  <si>
    <t>une larme d’un enfant humain (+1)</t>
  </si>
  <si>
    <t>un morceau de chair humaine (+1)</t>
  </si>
  <si>
    <t>une pincée de poudre de malepierre (+1)</t>
  </si>
  <si>
    <r>
      <t xml:space="preserve">vous bénéficiez d’un bonus de +5% à votre prochain test. Une autre application du sort consiste, si vous recourez à la règle de la Faveur du Rat Cornu (cf. </t>
    </r>
    <r>
      <rPr>
        <b/>
        <sz val="10"/>
        <rFont val="Arial"/>
        <family val="2"/>
      </rPr>
      <t>Chapitre VI : Personnages skavens</t>
    </r>
    <r>
      <rPr>
        <sz val="10"/>
        <rFont val="Arial"/>
        <family val="2"/>
      </rPr>
      <t>), à s’emparer de la faveur du Rat Cornu d’un autre homme-rat situé à 16 mètres ou moins (8 cases). Vous ne savez alors pas forcément quel skaven bénéficiait de la faveur. S’il n’y a aucun skaven doté de la faveur à portée, le sort échoue automatiquement.</t>
    </r>
  </si>
  <si>
    <r>
      <t xml:space="preserve">vous invoquez une bulle d’un feu vert et luisant, qui se met à flotter devant vous. Un liquide visqueux dégouline de cette petite masse brûlante. Vous pouvez projeter cette balle ardente sur une cible située dans un rayon de 8 mètres (4 cases), auquel cas la </t>
    </r>
    <r>
      <rPr>
        <i/>
        <sz val="10"/>
        <rFont val="Arial"/>
        <family val="2"/>
      </rPr>
      <t>flamme spectrale</t>
    </r>
    <r>
      <rPr>
        <sz val="10"/>
        <rFont val="Arial"/>
        <family val="2"/>
      </rPr>
      <t xml:space="preserve"> agit comme un projectile magique doté d’une valeur de dégâts de 1. Sans cela, ce modeste sort produit une luminosité équivalente à celle d’une torche pendant une heure, après quoi la boule verte s’évanouit après quelques secondes de crépitation.</t>
    </r>
  </si>
  <si>
    <t>une dent pourrie (+1)</t>
  </si>
  <si>
    <t>une créature que vous ciblez dans un rayon de 16 mètres (8 cases) doit réussir un test de Force Mentale sous peine d’acquérir une marque inélégante, qui prend par exemple la forme d’une plaie suintante sur le front ou sur le dos de la main. Cette marque reste en place pendant 1d10 heures et inflige un malus de –5% aux tests de Sociabilité jusqu’à la fin des effets. Les Prophètes Gris utilisent ce sort sur leurs messagers.</t>
  </si>
  <si>
    <t>un morceau de fromage moisi (+1)</t>
  </si>
  <si>
    <t>vous invoquez un rat brun ordinaire. Pendant les 1d10 prochaines heures, vous pouvez communiquez avec l’animal comme si vous parliez un langage commun et celui-ci vous obéira, même si cela doit provoquer sa propre mort. Les serviteurs rats peuvent attraper de petits objets, ronger des cordes et effectuer toutes les tâches qu’un rat ordinaire est en mesure de faire, sachant que les missions envisageables sont limitées par l’intelligence animale du sujet.</t>
  </si>
  <si>
    <t>une poignée d’excréments (+1)</t>
  </si>
  <si>
    <t>une cible située dans un rayon de 16 mètres (8 cases) doit réussir un test d’Endurance sous peine de subir un malus de –20% aux tests visant à résister à la maladie, et ce pendant 24 heures. Les cibles dotées du talent Résistance aux maladies peuvent recourir au bonus qui y est associé pour résister aux effets de ce sort.</t>
  </si>
  <si>
    <t>un goutte de colle ou de miel (+2)</t>
  </si>
  <si>
    <t>vous acquérez la capacité de marcher et ramper sur les murs, les plafonds et les voûtes à une vitesse égale à votre valeur de Mouvement. Les effets de ce sort persistent pendant un nombre de rounds égal à votre valeur de Magie. Les objets que vous portez restent soumis normalement à la gravité et tombent au sol s’ils ne sont plus retenus.</t>
  </si>
  <si>
    <t>un morceau de cuir noirci (+2)</t>
  </si>
  <si>
    <t>vous donnez consistance aux ombres qui enveloppent votre corps. En plus de vous rendre difficilement détectable lorsque la luminosité est faible, cette armure de ténèbres vous protège des attaques. Vous gagnez ainsi 1 point d’Armure sur toutes les zones, ainsi qu’un bonus de +20% aux tests de Dissimulation effectués dans la pénombre. Les effets de ce sort persistent pendant un nombre de minutes égal à votre valeur de Magie. Vous ne pouvez lancer ce sort si vous portez une armure normale. Si vous venez à enfiler une armure pendant les effets du sort, ceux-ci prennent aussitôt fin.</t>
  </si>
  <si>
    <t>une bobine de cuivre (+1)</t>
  </si>
  <si>
    <r>
      <t xml:space="preserve">vous envoyez un arc d’énergie verte et crépitante sur un adversaire situé dans un rayon de 12 mètres (6 cases). </t>
    </r>
    <r>
      <rPr>
        <i/>
        <sz val="10"/>
        <rFont val="Arial"/>
        <family val="2"/>
      </rPr>
      <t>Destin crépitant</t>
    </r>
    <r>
      <rPr>
        <sz val="10"/>
        <rFont val="Arial"/>
        <family val="2"/>
      </rPr>
      <t xml:space="preserve"> prend la forme d’un </t>
    </r>
    <r>
      <rPr>
        <i/>
        <sz val="10"/>
        <rFont val="Arial"/>
        <family val="2"/>
      </rPr>
      <t>projectile magique</t>
    </r>
    <r>
      <rPr>
        <sz val="10"/>
        <rFont val="Arial"/>
        <family val="2"/>
      </rPr>
      <t xml:space="preserve"> d’une valeur de dégâts de 2. De plus, quiconque subit des dégâts par le biais de ce sort doit réussir un </t>
    </r>
    <r>
      <rPr>
        <b/>
        <sz val="10"/>
        <rFont val="Arial"/>
        <family val="2"/>
      </rPr>
      <t>test d’Endurance Assez facile (+10%)</t>
    </r>
    <r>
      <rPr>
        <sz val="10"/>
        <rFont val="Arial"/>
        <family val="2"/>
      </rPr>
      <t xml:space="preserve"> sous peine d’être assommé pendant 1 round.</t>
    </r>
  </si>
  <si>
    <t>un morceau de peau humaine, elfe ou naine tannée (+3)</t>
  </si>
  <si>
    <t>des volutes vertes d’énergie Warp lacèrent la chair de la cible jusqu’à l’os. Vous choisissez la victime dans un rayon de 10 mètres (5 cases), qui subit chaque round une attaque d’une valeur de dégâts de 5, quels que soient son bonus d’Endurance et son armure, pendant un nombre de rounds égal à votre valeur de Magie.</t>
  </si>
  <si>
    <t>un scalp d’elfe (+2)</t>
  </si>
  <si>
    <t>vous acquérez une vitesse accrue. Votre valeur de Mouvement augmente de l’équivalent de votre valeur de Magie. Cette vitesse supplémentaire dure pendant une minute (6 rounds), plus 1 round par point de différence entre le résultat de votre jet d’incantation et la difficulté du sort.</t>
  </si>
  <si>
    <t>une patte arrière de rat (+1)</t>
  </si>
  <si>
    <t>dans une bourrasque laissant une fumée à l’odeur de souffre, vous vous téléportez (ou un allié situé dans un rayon de 12 mètres [6 cases]) vers un point que vous avez en ligne de mire au moment de l’incantation. Si vous choisissez de téléporter un allié, celui-ci ne peut être d’une taille supérieure à celle d’un humain. Vous devez être en mesure de voir physiquement le lieu vers lequel a lieu la téléportation, qui doit être dégagé sur au moins 2 mètres de rayon (1 case) de tout objet ou obstruction (hormis la surface sur laquelle le sujet va atterrir).</t>
  </si>
  <si>
    <t>une tome de fromage de bonne qualité (+2)</t>
  </si>
  <si>
    <t>vous convoquez une nuée de rats affamés qui se rue sur vos ennemis pour les attaquer. Centrez le grand gabarit sur vous pour représenter les rats. Toutes les créatures prises dans la zone d’effet (excepté vous) subissent une attaque d’une valeur de dégâts de 1 par round passé dans la nuée. Au cours du round qui suit l’incantation, la nuée de rats se déplace de 12 mètres (6 cases) dans la direction de votre choix. Dès qu’elle s’est déplacée, vous en perdez le contrôle, sachant qu’elle continuera à bouger à chaque round dans une direction déterminée aléatoirement. La nuée reste unie et efficace pendant un nombre de rounds égal à votre valeur de Magie.</t>
  </si>
  <si>
    <t>un morceau de liège (+1)</t>
  </si>
  <si>
    <t>vous devenez aussi flottant qu’une feuille de balsa, ce qui vous permet de fouler les surfaces liquides, telles qu’un lac, des égouts ou une nappe d’huile, comme s’il s’agissait de plans solides. Les effets de ce sort persistent pendant un nombre de rounds égal à votre valeur de Magie.</t>
  </si>
  <si>
    <t>deux gouttes de sang d’un animal enragé (+2)</t>
  </si>
  <si>
    <t>une fine baguette de cuivre (+2)</t>
  </si>
  <si>
    <r>
      <t xml:space="preserve">vous provoquez une faim insoutenable chez un allié de votre choix dans un rayon de 18 mètres (9 cases), à tel point qu’il écume abondamment et que ses yeux expriment une folie meurtrière. Cette créature acquiert alors le talent Rage noire (cf. </t>
    </r>
    <r>
      <rPr>
        <b/>
        <sz val="10"/>
        <rFont val="Arial"/>
        <family val="2"/>
      </rPr>
      <t>Chapitre VI : Personnages skavens</t>
    </r>
    <r>
      <rPr>
        <sz val="10"/>
        <rFont val="Arial"/>
        <family val="2"/>
      </rPr>
      <t>) pendant un nombre de rounds égal à 1d10 plus votre valeur de Magie. Le sujet du sort doit entrer en rage noire dès la fin de l’incantation, sans quoi il perd les avantages du sort.</t>
    </r>
  </si>
  <si>
    <r>
      <t xml:space="preserve">vous produisez un puissant éclair de malefoudre qui jaillit en direction d’un adversaire de votre choix dans un rayon de 48 mètres (24 cases). Il s’agit d’un </t>
    </r>
    <r>
      <rPr>
        <i/>
        <sz val="10"/>
        <rFont val="Arial"/>
        <family val="2"/>
      </rPr>
      <t>projectile magique</t>
    </r>
    <r>
      <rPr>
        <sz val="10"/>
        <rFont val="Arial"/>
        <family val="2"/>
      </rPr>
      <t xml:space="preserve"> doté d’une valeur de dégâts de 5. Pour chaque «1» obtenu par un dé de votre jet d’incantation, vous subissez une attaque d’une valeur de dégâts de 1, car vous ne contrôlez pas parfaitement l’énergie générée.</t>
    </r>
  </si>
  <si>
    <t>un shuriken en argent gravé de runes du Chaos (+3)</t>
  </si>
  <si>
    <r>
      <t xml:space="preserve">vous invoquez un nombre de malétoiles égal à votre valeur de Magie et les lancez vers un ou plusieurs ennemis de votre choix dans un rayon de 36 mètres (18 cases). Les </t>
    </r>
    <r>
      <rPr>
        <i/>
        <sz val="10"/>
        <rFont val="Arial"/>
        <family val="2"/>
      </rPr>
      <t>malétoiles</t>
    </r>
    <r>
      <rPr>
        <sz val="10"/>
        <rFont val="Arial"/>
        <family val="2"/>
      </rPr>
      <t xml:space="preserve"> sont des </t>
    </r>
    <r>
      <rPr>
        <i/>
        <sz val="10"/>
        <rFont val="Arial"/>
        <family val="2"/>
      </rPr>
      <t>projectiles magiques</t>
    </r>
    <r>
      <rPr>
        <sz val="10"/>
        <rFont val="Arial"/>
        <family val="2"/>
      </rPr>
      <t xml:space="preserve"> d’une valeur de dégâts de 2. Dès qu’une </t>
    </r>
    <r>
      <rPr>
        <i/>
        <sz val="10"/>
        <rFont val="Arial"/>
        <family val="2"/>
      </rPr>
      <t>malétoile</t>
    </r>
    <r>
      <rPr>
        <sz val="10"/>
        <rFont val="Arial"/>
        <family val="2"/>
      </rPr>
      <t xml:space="preserve"> inflige des dégâts, la victime doit réussir un </t>
    </r>
    <r>
      <rPr>
        <b/>
        <sz val="10"/>
        <rFont val="Arial"/>
        <family val="2"/>
      </rPr>
      <t>test d’Endurance Difficile (–20%)</t>
    </r>
    <r>
      <rPr>
        <sz val="10"/>
        <rFont val="Arial"/>
        <family val="2"/>
      </rPr>
      <t xml:space="preserve"> sous peine de perdre automatiquement 5 points de Blessures supplémentaires.</t>
    </r>
  </si>
  <si>
    <t>une effigie en cuivre du Rat Cornu (+2)</t>
  </si>
  <si>
    <t>vous invoquez une tempête de malefoudre qui apparaît à l’endroit de votre choix dans un rayon de 48 mètres (24 cases). Cette tempête est constituée d’énergie Warp pure, alimentée par la puissance maléfique du Rat Cornu, et peut intervenir n’importe où, y compris sous terre. Prenez le grand gabarit. Toutes les créatures prises dans la zone d’effet subissent une attaque d’une valeur de dégâts de 5. Pour chaque «1» obtenu par un dé de votre jet d’incantation, vous subissez une attaque d’une valeur de dégâts de 3, car vous perdez en partie le contrôle du Warp.</t>
  </si>
  <si>
    <t>un morceau de chair extrait du dos d’une victime de la peste (+1)</t>
  </si>
  <si>
    <r>
      <t xml:space="preserve">vous imprégnez une couverture, une cape ou un morceau d’étoffe d’une souche particulièrement virulente de Kruts (cf. WJDR, page 136). Quiconque touche ou porte l’objet pendant au moins une minute doit réussir un </t>
    </r>
    <r>
      <rPr>
        <b/>
        <sz val="10"/>
        <rFont val="Arial"/>
        <family val="2"/>
      </rPr>
      <t>test d’Endurance Assez difficile (–10%)</t>
    </r>
    <r>
      <rPr>
        <sz val="10"/>
        <rFont val="Arial"/>
        <family val="2"/>
      </rPr>
      <t xml:space="preserve"> sous peine de contracter la maladie.</t>
    </r>
  </si>
  <si>
    <t>un fragment de fer gravé du symbole du Rat Cornu (+3)</t>
  </si>
  <si>
    <t>vous invoquez un gros nuage de musc démoniaque qui oblige toutes les créatures enveloppées à se recroqueviller de terreur. Le nuage apparaît à l’endroit de votre choix dans un rayon de 36 mètres (18 cases) et persiste pendant un nombre de rounds égal à votre valeur de Magie. Prenez le grand gabarit. Quiconque se retrouve pris dans le nuage doit réussir un test de Terreur (cf. WJDR, page 198) pour en éviter les effets. Les skavens subissent un malus de –10% à ce test. Une créature affectée qui n’est plus enveloppée par le nuage continue à rester prostrée de terreur pendant 1 minute de plus (6 rounds).</t>
  </si>
  <si>
    <t>une écaille de caméléon (+2)</t>
  </si>
  <si>
    <r>
      <t xml:space="preserve">vous faites appel à la nature chaotique et fluctuante du Warp pour changer la structure de votre fourrure, de manière à ce qu’elle prenne la couleur de votre environnement. Quand vous êtes parfaitement immobile, vous bénéficiez d’un bonus de +30% aux tests de Dissimulation. </t>
    </r>
    <r>
      <rPr>
        <i/>
        <sz val="10"/>
        <rFont val="Arial"/>
        <family val="2"/>
      </rPr>
      <t>Pelage de l’assassin</t>
    </r>
    <r>
      <rPr>
        <sz val="10"/>
        <rFont val="Arial"/>
        <family val="2"/>
      </rPr>
      <t xml:space="preserve"> persiste pendant un nombre de rounds égal à votre valeur de Magie.</t>
    </r>
  </si>
  <si>
    <t>plusieurs puces mortes saupoudrées (+3)</t>
  </si>
  <si>
    <r>
      <t xml:space="preserve">vous infectez de la variole verte une ou plusieurs cibles dans un rayon de 18 mètres (9 cases). Prenez le petit gabarit. Toutes les victimes doivent réussir un test d’Endurance sous peine de subir aussitôt les effets de la maladie, ce qui leur fait perdre 5% dans chacune des caractéristiques de leur profil principal. Quand un nouvel individu se rapproche pour la première fois au corps à corps d’une personne ainsi infectée, il doit également réussir un test d’Endurance pour ne pas contracter la variole verte. Ces victimes secondaires souffrent alors des effets normaux de la maladie, et non de la version accélérée qui accable les premières cibles. De même, ces victimes de deuxième contagion ne peuvent transmettre l’épidémie que selon la méthode normale, et non dès que quelqu’un s’en approche. Quiconque réussit l’un des deux tests d’Endurance mentionnés ci-dessus ne peut plus être affecté par un sort de </t>
    </r>
    <r>
      <rPr>
        <i/>
        <sz val="10"/>
        <rFont val="Arial"/>
        <family val="2"/>
      </rPr>
      <t>peste</t>
    </r>
    <r>
      <rPr>
        <sz val="10"/>
        <rFont val="Arial"/>
        <family val="2"/>
      </rPr>
      <t>, même s’il est lancé par un autre sorcier, pendant les 24 prochaines heures.</t>
    </r>
  </si>
  <si>
    <t>une griffe de gobelin encrassée (+2)</t>
  </si>
  <si>
    <r>
      <t xml:space="preserve">vous pouvez provoquer l’infection carabinée des plaies d’un ennemi. </t>
    </r>
    <r>
      <rPr>
        <i/>
        <sz val="10"/>
        <rFont val="Arial"/>
        <family val="2"/>
      </rPr>
      <t>Plaies suppurantes</t>
    </r>
    <r>
      <rPr>
        <sz val="10"/>
        <rFont val="Arial"/>
        <family val="2"/>
      </rPr>
      <t xml:space="preserve"> agit comme un </t>
    </r>
    <r>
      <rPr>
        <i/>
        <sz val="10"/>
        <rFont val="Arial"/>
        <family val="2"/>
      </rPr>
      <t>projectile magique</t>
    </r>
    <r>
      <rPr>
        <sz val="10"/>
        <rFont val="Arial"/>
        <family val="2"/>
      </rPr>
      <t xml:space="preserve"> ayant une portée de 24 mètres (12 cases). Si le sort atteint une cible ayant subi au moins un coup critique, les plaies de celle-ci s’infectent aussitôt. L’infection prend la forme d’une maladie durant 7 jours. La victime ne récupère alors pas normalement ses points de Blessures et subit un malus de –10% aux valeurs de caractéristique de son profil principal. Les personnages dotés de la compétence Soins peuvent réduire la durée de cette maladie selon la règle normale, mais la difficulté du test de Soins correspondant passe alors à Assez difficile (–10%).</t>
    </r>
  </si>
  <si>
    <t>un serpenteau de vipère cavernicole (+3)</t>
  </si>
  <si>
    <t>un scalpel rouillé (+2)</t>
  </si>
  <si>
    <r>
      <t xml:space="preserve">en faisant appel à la puissance du Rat Cornu, vous invoquez un nuage toxique qui flotte à 3,50 mètres du sol environ, apparaissant jusqu’à 36 mètres (18 cases) de vous. Prenez le grand gabarit. Au cours du round qui suit l’incantation du sort, le nuage se met à pleuvoir d’un poison mortel sur toutes les créatures de la zone, qui doivent réussir un test d’Endurance pour éviter de tomber dans un sommeil où les cauchemars s’enchaînent. De plus, toutes les créatures de la zone d’effet doivent réussir un </t>
    </r>
    <r>
      <rPr>
        <b/>
        <sz val="10"/>
        <rFont val="Arial"/>
        <family val="2"/>
      </rPr>
      <t>test d’Endurance Assez difficile (–10%)</t>
    </r>
    <r>
      <rPr>
        <sz val="10"/>
        <rFont val="Arial"/>
        <family val="2"/>
      </rPr>
      <t xml:space="preserve"> à chaque round, sous peine de perdre 2 points de Blessures, indépendamment de leur bonus d’Endurance ou de leur armure. Un personnage endormi qui réussit trois tests d’Endurance consécutifs réussit à surmonter les effets du sort. En outre, on peut réveiller normalement ces créatures. Le nuage toxique reste efficace pendant un nombre de rounds égal à 6 + votre valeur de Magie.</t>
    </r>
  </si>
  <si>
    <r>
      <t xml:space="preserve">vous faites apparaître une pustule suppurante et palpitante à l’une de vos extrémités corporelles. Si vous la sectionnez et ponctionnez (ce qui vous fait perdre 1 point de Blessures, quels que soient votre armure et votre bonus d’Endurance), vous pouvez enduire une arme à une main du pus extrait. Quand une telle arme inflige le moindre dégât, elle inflige également à la victime la perte additionnelle d’un nombre de points de Blessures égal à votre valeur de Magie, à moins que la cible ne réussisse un </t>
    </r>
    <r>
      <rPr>
        <b/>
        <sz val="10"/>
        <rFont val="Arial"/>
        <family val="2"/>
      </rPr>
      <t>test d’Endurance Difficile (–20%)</t>
    </r>
    <r>
      <rPr>
        <sz val="10"/>
        <rFont val="Arial"/>
        <family val="2"/>
      </rPr>
      <t>.</t>
    </r>
  </si>
  <si>
    <t>une poignée de céréales avariées (+1)</t>
  </si>
  <si>
    <t>un bâton d’encens de malepierre embrasé aux deux extrémités (+2)</t>
  </si>
  <si>
    <r>
      <t>vous exhalez un nuage empoisonné et nauséabond en direction de vos ennemis. Prenez le gabarit de flammes. Quiconque se trouve pris dans le cône doit réussir un</t>
    </r>
    <r>
      <rPr>
        <b/>
        <sz val="10"/>
        <rFont val="Arial"/>
        <family val="2"/>
      </rPr>
      <t xml:space="preserve"> test d’Endurance Assez difficile (–10%)</t>
    </r>
    <r>
      <rPr>
        <sz val="10"/>
        <rFont val="Arial"/>
        <family val="2"/>
      </rPr>
      <t xml:space="preserve">, sous peine de subir une attaque d’une valeur de dégâts de 4, quels que soient son bonus d’Endurance et son armure. Vous êtes immunisé contre votre propre </t>
    </r>
    <r>
      <rPr>
        <i/>
        <sz val="10"/>
        <rFont val="Arial"/>
        <family val="2"/>
      </rPr>
      <t>souffle pestilentiel</t>
    </r>
    <r>
      <rPr>
        <sz val="10"/>
        <rFont val="Arial"/>
        <family val="2"/>
      </rPr>
      <t>.</t>
    </r>
  </si>
  <si>
    <t>une fiole en verre contenant de la cendre (+3)</t>
  </si>
  <si>
    <t>vous invoquez un tourbillon de fumée putride et de cendres cinglantes quelque part dans un rayon de 48 mètres (24 cases). Prenez le petit gabarit. Le tourbillon peut se déplacer jusqu’à 10 mètres (5 cases) par round, dans la direction de votre choix. Les créatures affectées par le nuage subissent une attaque d’une valeur de dégâts de 2 et doivent réussir un test d’Endurance sous peine de subir un malus de –20% aux tests de Capacité de Combat, Capacité de Tir et Agilité, ainsi qu’aux tests de Perception basés sur la vue, pendant 1d10 minutes. La trombe persiste pendant un nombre de rounds égal à votre valeur de Magie.</t>
  </si>
  <si>
    <t>30 grammes de malepierre, consommés par la ou les cibles (+3)</t>
  </si>
  <si>
    <r>
      <t xml:space="preserve">le corps de toute créature qui meurt pendant les effets du sort se désagrège en laissant un liquide visqueux, noir et nauséabond. </t>
    </r>
    <r>
      <rPr>
        <i/>
        <sz val="10"/>
        <rFont val="Arial"/>
        <family val="2"/>
      </rPr>
      <t>Trépas invisible</t>
    </r>
    <r>
      <rPr>
        <sz val="10"/>
        <rFont val="Arial"/>
        <family val="2"/>
      </rPr>
      <t xml:space="preserve"> est souvent lancé sur les assassins du clan Eshin avant qu’ils partent en mission, pour s’assurer qu’aucune dépouille skaven ne soit découverte. Ce sort peut affecter un nombre d’alliés égal au quadruple de votre valeur de Magie, et ses effets durent pendant un nombre d’heures lui aussi égal à votre valeur de Magie.</t>
    </r>
  </si>
  <si>
    <t>déjections de nurgling (+2)</t>
  </si>
  <si>
    <t>un morceau de sucre (+1)</t>
  </si>
  <si>
    <t>votre voix apaisante et hypnotique calme un animal situé dans un rayon de 48 mètres (24 cases), à moins qu’il ne réussisse un test de Force Mentale. Vous pouvez vous approcher de la bête et la toucher sans crainte, elle se tiendra tranquille. S’il s’agit d’une monture, vous pouvez la chevaucher avec un bonus de +10% aux tests d’Équitation qui vous seront demandés. L’animal reste bien disposé à votre égard pendant un nombre de rounds égal à votre valeur de Magie, à moins que vous ne l’agressiez, auquel cas, le charme est immédiatement rompu.</t>
  </si>
  <si>
    <r>
      <t xml:space="preserve">vous vous métamorphosez, ainsi que tout votre équipement, en corbeau pour une durée maximale de 1 heure. Vous conservez vos facultés d'esprit, votre Intelligence et votre Force Mentale, mais votre profil devient pour le reste celui d’un corbeau (cf. </t>
    </r>
    <r>
      <rPr>
        <b/>
        <sz val="10"/>
        <rFont val="Arial"/>
        <family val="2"/>
      </rPr>
      <t>Chapitre 11: Le bestiaire</t>
    </r>
    <r>
      <rPr>
        <sz val="10"/>
        <rFont val="Arial"/>
        <family val="2"/>
      </rPr>
      <t>). Cet aspect vous interdit de parler ou de lancer des sorts. Vous pouvez à tout moment mettre un terme à celui-ci et reprendre votre forme normale. Le sort prend fin si vous subissez un coup critique.</t>
    </r>
  </si>
  <si>
    <t>une griffe de chat (+1)</t>
  </si>
  <si>
    <r>
      <t xml:space="preserve">vos ongles se transforment en griffes acérées tandis que vous adoptez un aspect bestial. Vous recevez un bonus de +1 en Attaques, ainsi qu’un bonus de +10% en Capacité de Combat. Par ailleurs, vos griffes sont considérées comme des armes à une main avec l’attribut rapide. </t>
    </r>
    <r>
      <rPr>
        <i/>
        <sz val="10"/>
        <rFont val="Arial"/>
        <family val="2"/>
      </rPr>
      <t>Griffes de rage</t>
    </r>
    <r>
      <rPr>
        <sz val="10"/>
        <rFont val="Arial"/>
        <family val="2"/>
      </rPr>
      <t xml:space="preserve"> persiste pendant un nombre de rounds égal à votre valeur de Magie. Vous ne pouvez manier aucune arme tant que le sort est actif.</t>
    </r>
  </si>
  <si>
    <t>une langue de l’animal dont vous allez adopter la forme (+2)</t>
  </si>
  <si>
    <t>si vous lancez ce sort juste avant d’adopter une forme animale, vous pourrez alors parler une fois métamorphosé. Vous pouvez également lancer ce sort sur un animal situé dans un rayon de 24 mètres (12 cases) pour lui conférer le don de la parole pour un nombre de minutes égal à votre valeur de Magie.</t>
  </si>
  <si>
    <t>un fouet miniature fait de poils tressés d’animaux (+2)</t>
  </si>
  <si>
    <t>vous forcez un animal situé dans un rayon de 24 mètres (12 cases) à obéir à vos ordres, à moins qu’il ne réussisse un test de Force Mentale. À son prochain tour de jeu, c’est vous qui décidez des actions de l’animal, lequel exécute ce que vous lui demandez.</t>
  </si>
  <si>
    <t>une patte de loup (+2)</t>
  </si>
  <si>
    <r>
      <t xml:space="preserve">ce sort agit exactement comme le sort </t>
    </r>
    <r>
      <rPr>
        <i/>
        <sz val="10"/>
        <rFont val="Arial"/>
        <family val="2"/>
      </rPr>
      <t>l'envol du corbeau</t>
    </r>
    <r>
      <rPr>
        <sz val="10"/>
        <rFont val="Arial"/>
        <family val="2"/>
      </rPr>
      <t xml:space="preserve">, si ce n’est que la forme adoptée est celle d’un loup. Pour trouver le profil de cet animal, veuillez consulter le </t>
    </r>
    <r>
      <rPr>
        <b/>
        <sz val="10"/>
        <rFont val="Arial"/>
        <family val="2"/>
      </rPr>
      <t>Chapitre 11: Le bestiaire</t>
    </r>
    <r>
      <rPr>
        <sz val="10"/>
        <rFont val="Arial"/>
        <family val="2"/>
      </rPr>
      <t>.</t>
    </r>
  </si>
  <si>
    <t>une corneille en cage (+2)</t>
  </si>
  <si>
    <t>vous invoquez un vol de corneilles surnaturelles, qui prend forme dans un rayon de 48 mètres (24 cases) et fond sur vos ennemis. Il s’agit de créatures aethyriques vengeresses, aux becs métalliques et aux plumes sanguinolentes. Vous pouvez les invoquer n’importe où, car elles sont capables de traverser n’importe quelle forme ou matière non consciente, comme les arbres, la roche, le métal, etc. Ces «corneilles» apparaissent toujours en nombre (représenté par le grand gabarit). Les ennemis affectés subissent 3 points de Blessures infligés par les oiseaux en furie, qui se dispersent aussi vite qu’ils sont arrivés. Il n'est pas nécessaire de déterminer la localisation des blessures: toutes sont infligées à la tête.</t>
  </si>
  <si>
    <t>vous libérez la bestialité primaire qui dort en chacun de vos alliés. Tous vos compagnons dans un rayon de 12 mètres (6 cases) font preuve de frénésie, comme par le biais du talent du même nom. Aucun jet de dé n’est nécessaire, la frénésie prend effet dès que le sort est lancé. Ce sort n’agit pas sur les animaux, qui sont déjà des bêtes !</t>
  </si>
  <si>
    <t>3 actions complètes</t>
  </si>
  <si>
    <t>une patte d’ours (+3)</t>
  </si>
  <si>
    <t>un faucon vivant (+3)</t>
  </si>
  <si>
    <t>le foie d’un petit animal (+1)</t>
  </si>
  <si>
    <r>
      <t xml:space="preserve">vous obtenez un aperçu de l’avenir en lisant les étoiles. Par le biais du sort </t>
    </r>
    <r>
      <rPr>
        <i/>
        <sz val="10"/>
        <rFont val="Arial"/>
        <family val="2"/>
      </rPr>
      <t>présage</t>
    </r>
    <r>
      <rPr>
        <sz val="10"/>
        <rFont val="Arial"/>
        <family val="2"/>
      </rPr>
      <t>, vous pouvez tenter de découvrir si les astres vous sont favorables dans le cadre d’une action future donnée. Le MJ effectue en secret un test d’Intelligence à votre place. En cas de réussite, le résultat du présage (qu’il soit favorable ou défavorable) reflète la vérité. En cas d’échec, le résultat du présage est faux, mais vous le pensez vrai (ce qui explique pourquoi le MJ s’occupe du test). Dans tous les cas, le MJ doit également jeter 2d10 en secret, représentant le nombre d’heures pendant lequel le présage reste valable. Au-delà de cette période, les résultats font intervenir trop de paramètres pour être estimés. C’est au MJ de déterminer, en fonction de ce qu’il sait, la réponse la plus cohérente à la question posée par le sort.</t>
    </r>
  </si>
  <si>
    <t>un morceau de verre (+1)</t>
  </si>
  <si>
    <t>vous pouvez interpréter certains signes présents dans l’air et autres indices permettant d’anticiper le futur immédiat. À votre prochain tour de jeu, vous pourrez relancer un jet de dés de votre choix, pouvant être de n’importe quel type (test de compétence, jet de dégâts, jet d’incantation, etc.).</t>
  </si>
  <si>
    <t>un diapason (+1)</t>
  </si>
  <si>
    <t>vous faites jaillir un éclair qui va s’abattre sur un adversaire situé dans un rayon maximum de 36 mètres (18 cases). Il s’agit d’un projectile magique d’une valeur de dégâts de 5.</t>
  </si>
  <si>
    <t>un morceau de verre teinté (+2)</t>
  </si>
  <si>
    <r>
      <t xml:space="preserve">ce sort est semblable à </t>
    </r>
    <r>
      <rPr>
        <i/>
        <sz val="10"/>
        <rFont val="Arial"/>
        <family val="2"/>
      </rPr>
      <t>premier signe d’Amul</t>
    </r>
    <r>
      <rPr>
        <sz val="10"/>
        <rFont val="Arial"/>
        <family val="2"/>
      </rPr>
      <t>, si ce n’est que vous avez droit à deux jets relancés dans l’heure qui suit l’incantation. Vous ne pouvez relancer ce sort avant d’avoir utilisé vos deux relances ou d'avoir atteint la fin de l'heure.</t>
    </r>
  </si>
  <si>
    <t>une vessie animale (+2)</t>
  </si>
  <si>
    <t>vous invoquez les vents déchaînés du ciel, qui s’abattent à un maximum de 48 mètres (24 cases) et renversent vos adversaires. Utilisez le grand gabarit. Les victimes se retrouvent à terre et doivent réussir un test d’Endurance, sous peine de rester assommées pendant 1 round. Tant qu’ils restent dans la zone d’effet, les personnages ne peuvent effectuer aucun tir (ni en être la cible) et doivent réussir un test de Force pour pouvoir se déplacer. Les attaques au corps à corps restent possibles, mais avec un malus de –20% à la CC. Tornade persiste pendant un nombre de rounds égal à votre valeur de Magie.</t>
  </si>
  <si>
    <t>un miroir brisé (+2)</t>
  </si>
  <si>
    <r>
      <t xml:space="preserve">vous maudissez un adversaire situé dans un rayon de 24 mètres (12 cases). Pendant les 24 prochaines heures, la victime subit un malus de –10% à tous ses tests et toutes les attaques qu’elle subit se résolvent avec un bonus de +1 aux dégâts. Un même personnage ne peut être affecté par deux sorts de </t>
    </r>
    <r>
      <rPr>
        <i/>
        <sz val="10"/>
        <rFont val="Arial"/>
        <family val="2"/>
      </rPr>
      <t>malédiction</t>
    </r>
    <r>
      <rPr>
        <sz val="10"/>
        <rFont val="Arial"/>
        <family val="2"/>
      </rPr>
      <t xml:space="preserve"> en même temps.</t>
    </r>
  </si>
  <si>
    <t>une plume de colombe (+2)</t>
  </si>
  <si>
    <r>
      <t xml:space="preserve">vous êtes porté dans les airs par des vents sous votre contrôle. Vous pouvez ainsi voler pendant un nombre de minutes égal à votre valeur de Magie, avec une valeur de Mouvement en vol de 6. Pour plus de renseignements sur les déplacements aériens, veuillez consulter le </t>
    </r>
    <r>
      <rPr>
        <b/>
        <sz val="10"/>
        <rFont val="Arial"/>
        <family val="2"/>
      </rPr>
      <t>Chapitre 6: Combat, dégâts et mouvements</t>
    </r>
    <r>
      <rPr>
        <sz val="10"/>
        <rFont val="Arial"/>
        <family val="2"/>
      </rPr>
      <t>. Vous ne pouvez lancer ce sort sur quelqu’un d’autre.</t>
    </r>
  </si>
  <si>
    <t>une carte du ciel (+3)</t>
  </si>
  <si>
    <r>
      <t xml:space="preserve">vous invoquez la lumière des étoiles. Toute la zone dans un rayon de 48 mètres (24 cases) autour de vous est illuminée par une lumière douce qui révèle tout ce qui s’y cache. L’obscurité, qu’elle soit magique ou normale, se retrouve bannie, l’invisible devient visible, les personnages dissimulés ou déguisés sont exposés au grand jour et les zones secrètes (portes, pièces, etc.) sont révélées. </t>
    </r>
    <r>
      <rPr>
        <i/>
        <sz val="10"/>
        <rFont val="Arial"/>
        <family val="2"/>
      </rPr>
      <t>Lueur stellaire</t>
    </r>
    <r>
      <rPr>
        <sz val="10"/>
        <rFont val="Arial"/>
        <family val="2"/>
      </rPr>
      <t xml:space="preserve"> reste actif pendant un nombre de minutes égal à votre valeur de Magie.</t>
    </r>
  </si>
  <si>
    <t>une girouette (+3)</t>
  </si>
  <si>
    <r>
      <t xml:space="preserve">vous invoquez un orage d’éclairs qui se manifeste dans un rayon de 48 mètres (24 cases). Il s’agit d’une tempête du Chaos qui peut être appelée n’importe où, au fond des égouts ou en pleine nature. Utilisez le grand gabarit pour représenter la </t>
    </r>
    <r>
      <rPr>
        <i/>
        <sz val="10"/>
        <rFont val="Arial"/>
        <family val="2"/>
      </rPr>
      <t>tempête de foudre</t>
    </r>
    <r>
      <rPr>
        <sz val="10"/>
        <rFont val="Arial"/>
        <family val="2"/>
      </rPr>
      <t>. Chaque victime subit une attaque d’une valeur de dégâts de 5.</t>
    </r>
  </si>
  <si>
    <t>la corde d’un pendu (+3)</t>
  </si>
  <si>
    <r>
      <t xml:space="preserve">vous recourez à la plus puissante des magies pour altérer le cours même du Destin. Avant de pouvoir lancer ce sort, vous devez vous munir d’une mèche de cheveux ou d’une goutte de sang de votre victime. Vous pouvez alors tenter de la condamner à mort. Pour que le sort puisse agir, vous devez vous trouver à moins de 1,5 kilomètre de votre cible. Si vous réussissez à lancer </t>
    </r>
    <r>
      <rPr>
        <i/>
        <sz val="10"/>
        <rFont val="Arial"/>
        <family val="2"/>
      </rPr>
      <t>destin fatal</t>
    </r>
    <r>
      <rPr>
        <sz val="10"/>
        <rFont val="Arial"/>
        <family val="2"/>
      </rPr>
      <t>, votre cible devra réussir un test Très difficile de Force Mentale (–30%), sans quoi elle perdra 1 point de Destin (les points de Fortune ne peuvent pas servir à relancer ce test). Un personnage dépourvu de points de Destin voit le prochain coup critique dont il est victime agir comme si sa valeur critique était de +10. Cette invocation étant particulièrement effroyable, tous les sorciers présents dans un rayon de 7,5 kilomètres prennent conscience de la perturbation dans l’Aethyr que provoque le sort. Les doyens astromanciens enseignent à leurs disciples que seuls les ennemis les plus abominables méritent l'usage de ce sort.</t>
    </r>
  </si>
  <si>
    <r>
      <t xml:space="preserve">vous pouvez appliquer vos mains sur une plaie ouverte et la refermer par </t>
    </r>
    <r>
      <rPr>
        <i/>
        <sz val="10"/>
        <rFont val="Arial"/>
        <family val="2"/>
      </rPr>
      <t>cautérisation</t>
    </r>
    <r>
      <rPr>
        <sz val="10"/>
        <rFont val="Arial"/>
        <family val="2"/>
      </rPr>
      <t>. Si ce sort ne rend pas de points de Blessures au sujet, il équivaut à des soins médicaux, ce qui peut sauver un blessé critique d’une mort certaine. Avec l’accord du MJ, ce sort peut être employé pour d’autres tâches similaires, comme le marquage au fer rouge, mais il ne peut fonctionner que si vos mains sont nues.</t>
    </r>
  </si>
  <si>
    <t>une allumette (+1)</t>
  </si>
  <si>
    <t>vous pouvez lancer une flèche de feu sur un adversaire situé dans un rayon maximum de 36 mètres (18 cases). Il s’agit d’un projectile magique ayant une valeur de dégâts de 4.</t>
  </si>
  <si>
    <t>une couronne d’or (+1)</t>
  </si>
  <si>
    <t>ce sort crée une majestueuse couronne de flammes ondoyantes au-dessus de votre tête, pour un nombre de rounds équivalent à votre valeur de Magie. Pendant la durée du sort, vous recevez +20% à tous vos tests de Commandement et d’Intimidation. Par ailleurs, vos ennemis doivent réussir un test de Force Mentale avant de pouvoir vous attaquer au corps à corps. S’ils le ratent, il leur faut entreprendre une autre action. Le diadème de feu éclaire comme une torche et peut servir à embraser des matières inflammables, mais ceci demande des gestes tellement inélégants que peu de sorciers Flamboyants y recourent sans bonne raison. Un sorcier Flamboyant ne peut en aucun cas se blesser par le biais de ce sort.</t>
  </si>
  <si>
    <t>une amulette en fer (+1)</t>
  </si>
  <si>
    <t>vous vous enveloppez des courants du vent rouge, qui vous protègent contre les attaques de feu. Vous recevez ainsi un bonus de +20% à votre valeur d’Endurance pendant 10 minutes, applicable uniquement contre les dégâts de feu, comme le souffle d’un dragon, les boules de feu, etc. Vous ne pouvez lancer ce sort sur une autre personne.</t>
  </si>
  <si>
    <t>une bille de soufre (+2)</t>
  </si>
  <si>
    <t>vous générez de l'Aethyr un nombre de boules de feu égal à votre valeur de Magie. Vous pouvez les lancer sur un ou plusieurs de vos adversaires dans un rayon de 48 mètres (24 cases). Les boules de feu sont des projectiles magiques ayant une valeur de dégâts de 3.</t>
  </si>
  <si>
    <t>une torche (+2)</t>
  </si>
  <si>
    <t>une épée de flammes se matérialise entre vos mains. Elle équivaut à une arme magique avec l’attribut percutante et une valeur de dégâts de 4. Vous recevez également pendant toute la durée du sort un bonus de +1 en Attaques, applicable uniquement quand vous maniez l’épée ardente de Rhuin. Le sort reste actif pour un nombre de rounds égal à votre valeur de Magie. Vous pouvez prolonger cette durée en réussissant un test de Force Mentale à chaque round suivant.</t>
  </si>
  <si>
    <t>2 actions complète</t>
  </si>
  <si>
    <t>une fiole contenant une mixture de sang et d’huile (+2)</t>
  </si>
  <si>
    <t>une dague en acier trois fois trempé (+3)</t>
  </si>
  <si>
    <t>vous provoquez 1d10 explosions de flammes sur un ou plusieurs de vos adversaires dans un rayon de 48 mètres (24 cases). Chaque explosion correspond à un projectile magique d’une valeur de dégâts de 4. Dans tous les cas, vous ne pouvez créer moins d'explosions que votre valeur de Magie.</t>
  </si>
  <si>
    <t>une écaille de dragon (+3)</t>
  </si>
  <si>
    <t>une dent de dragon (+3)</t>
  </si>
  <si>
    <r>
      <t xml:space="preserve">Voici le sort le plus destructeur de l’arsenal des sorciers Flamboyants. En invoquant </t>
    </r>
    <r>
      <rPr>
        <i/>
        <sz val="10"/>
        <rFont val="Arial"/>
        <family val="2"/>
      </rPr>
      <t>conflagration fatale</t>
    </r>
    <r>
      <rPr>
        <sz val="10"/>
        <rFont val="Arial"/>
        <family val="2"/>
      </rPr>
      <t>, vous créez un enfer de flammes qui engloutit une zone de votre choix dans un rayon de 48 mètres (24 cases). Utilisez pour cela le grand gabarit. Les victimes subissent un nombre d’attaques égal à votre valeur de Magie et d'une valeur de dégâts de 4. Toute personne qui reste dans la zone après son prochain tour de jeu doit réussir un test de Force Mentale par round passé dans les flammes, sous peine de subir à nouveau les dégâts. Le sort reste actif jusqu’à ce qu’il ne reste plus rien de vivant dans la zone. Le sort constitue une invocation si puissante et violente que tous les sorciers dans un rayon de 7,5 kilomètres prennent conscience de la perturbation de l’Aethyr provoquée par son incantation. Les sorciers de bataille de l’Ordre Flamboyant poursuivent souvent ceux qui recourent à ce sort inconsidérément, pour leur rappeler où se situent les limites, d’une manière plutôt mordante.</t>
    </r>
  </si>
  <si>
    <t>un petit miroir (+1)</t>
  </si>
  <si>
    <t>vous créez un jaillissement lumineux, dans un rayon de 36 mètres (18 cases), qui éblouit les personnes situées dans la zone. Utilisez le petit gabarit. Pendant 1d10 rounds, les créatures affectées subissent un malus de –10% à leurs tests de Capacité de Combat, de Capacité de Tir et d’Agilité, ainsi que pour tous les tests de Perception liés à la vue.</t>
  </si>
  <si>
    <t>une loupe (+1)</t>
  </si>
  <si>
    <t>votre regard focalise l’énergie radieuse sur une cible située dans un rayon de 16 mètres (8 cases). Il s’agit d’un projectile magique d’une valeur de dégâts de 6. Il arrive qu’un simple regard puisse tuer…</t>
  </si>
  <si>
    <t>une bougie (+1)</t>
  </si>
  <si>
    <r>
      <t xml:space="preserve">vous êtes enveloppé d’un champ de lumière qui vous protège des attaques à distance. Tous les projectiles non magiques voient leur valeur de dégâts réduite à 0 (en d’autres termes, les dégâts sont seulement de 1d10). </t>
    </r>
    <r>
      <rPr>
        <i/>
        <sz val="10"/>
        <rFont val="Arial"/>
        <family val="2"/>
      </rPr>
      <t>Manteau de lumière</t>
    </r>
    <r>
      <rPr>
        <sz val="10"/>
        <rFont val="Arial"/>
        <family val="2"/>
      </rPr>
      <t xml:space="preserve"> reste actif pendant un nombre de minutes égal à votre valeur de Magie, durant lesquelles vous ne pouvez effectuer aucun test de Dissimulation à cause de la lumière que vous dégagez.</t>
    </r>
  </si>
  <si>
    <t>une perle en verre transparent (+2)</t>
  </si>
  <si>
    <t>votre contact soigne un personnage blessé d’un nombre de points de Blessures égal à votre valeur de Magie. Il s’agit d’un sort de contact que vous pouvez lancer sur vous-même.</t>
  </si>
  <si>
    <t>une branche de chêne (+2)</t>
  </si>
  <si>
    <r>
      <t xml:space="preserve">vous emprisonnez un démon, situé dans un rayon de 24 mètres (12 cases), dans les tentacules de Hysh, profitant de la pureté de la lumière pour le renvoyer dans les Royaumes du Chaos. Si le sort est lancé avec succès, le </t>
    </r>
    <r>
      <rPr>
        <i/>
        <sz val="10"/>
        <rFont val="Arial"/>
        <family val="2"/>
      </rPr>
      <t>bannissement</t>
    </r>
    <r>
      <rPr>
        <sz val="10"/>
        <rFont val="Arial"/>
        <family val="2"/>
      </rPr>
      <t xml:space="preserve"> se résout par le biais d’un test de Force Mentale opposé. Si vous le remportez, le démon disparaît ; si vous perdez, le démon reste. En cas d’égalité, vous restez tous deux bloqués en plein combat mental. Aucun des deux adversaires ne peut alors entreprendre la moindre action (pas même esquiver) tant que la lutte continue. Effectuez des tests de Force Mentale opposés à chacun de vos tours de jeu jusqu’à ce que l’un des deux l’emporte. </t>
    </r>
    <r>
      <rPr>
        <i/>
        <sz val="10"/>
        <rFont val="Arial"/>
        <family val="2"/>
      </rPr>
      <t>Bannissement</t>
    </r>
    <r>
      <rPr>
        <sz val="10"/>
        <rFont val="Arial"/>
        <family val="2"/>
      </rPr>
      <t xml:space="preserve"> peut également servir à exorciser une créature possédée.</t>
    </r>
  </si>
  <si>
    <t>une page tirée d’un livre (+2)</t>
  </si>
  <si>
    <r>
      <t xml:space="preserve">vous ouvrez votre esprit à </t>
    </r>
    <r>
      <rPr>
        <i/>
        <sz val="10"/>
        <rFont val="Arial"/>
        <family val="2"/>
      </rPr>
      <t>Hysh</t>
    </r>
    <r>
      <rPr>
        <sz val="10"/>
        <rFont val="Arial"/>
        <family val="2"/>
      </rPr>
      <t xml:space="preserve"> et laissez sa sagesse vous apporter la lumière sur un problème intellectuel des plus épineux. Une fois le sort terminé, vous pouvez effectuer un unique test de Connaissances avec un bonus de +30%.</t>
    </r>
  </si>
  <si>
    <t>une sphère de verre (+2)</t>
  </si>
  <si>
    <t>vos yeux brillent de l’éclat de la vérité. Pendant un nombre de rounds égal à votre valeur de Magie, vous pouvez percer les illusions, l’obscurité magique ou normale, l’invisibilité et toutes les formes de déguisement dans un rayon de 48 mètres (24 cases). Toutes les créatures dissimulées vous sont aussi révélées.</t>
  </si>
  <si>
    <t>un disque de mithril poli (+3)</t>
  </si>
  <si>
    <r>
      <t xml:space="preserve">vous créez une explosion de lumière chatoyante, apparaissant dans un rayon de 48 mètres (24 cases), aveuglant toutes les créatures comprises dans la zone. Utilisez le grand gabarit. Toutes les personnes affectées doivent effectuer un test d’Agilité. En cas d'échec, chaque victime est aveuglée, ce qui réduit ses valeurs d’Agilité, de Mouvement et de Capacité de Combat de moitié (arrondies à l’inférieur), tandis que sa Capacité de Tir tombe à 0. De plus, elle rate automatiquement tous ses tests de Perception liés à la vue. Les personnes qui réussissent le test initial ne subissent que l’équivalent du sort </t>
    </r>
    <r>
      <rPr>
        <i/>
        <sz val="10"/>
        <rFont val="Arial"/>
        <family val="2"/>
      </rPr>
      <t>lueur éblouissante</t>
    </r>
    <r>
      <rPr>
        <sz val="10"/>
        <rFont val="Arial"/>
        <family val="2"/>
      </rPr>
      <t>. Dans tous les cas, les effets du sort persistent pendant 1d10 rounds.</t>
    </r>
  </si>
  <si>
    <t>un rameau d’un chêne frappé par la foudre (+3)</t>
  </si>
  <si>
    <t>vous lacérez les vents de l'Aethyr, vous permettant ainsi de bannir un groupe de démons situé dans un rayon de 48 mètres (24 cases). Utilisez le grand gabarit. Les démons affectés doivent réussir un test de Force Mentale, sous peine d’être bannis et renvoyés dans les Royaumes du Chaos.</t>
  </si>
  <si>
    <r>
      <t xml:space="preserve">vous focalisez l’énergie de </t>
    </r>
    <r>
      <rPr>
        <i/>
        <sz val="10"/>
        <rFont val="Arial"/>
        <family val="2"/>
      </rPr>
      <t>Hysh</t>
    </r>
    <r>
      <rPr>
        <sz val="10"/>
        <rFont val="Arial"/>
        <family val="2"/>
      </rPr>
      <t xml:space="preserve"> qui se matérialise en une colonne meurtrière de lumière ardente, quelque part dans un rayon de 48 mètres (24 cases). Utilisez le grand gabarit. Les créatures affectées reçoivent une attaque d’une valeur de dégâts de 4 et doivent réussir un test d’Agilité sous peine de subir également les effets du sort </t>
    </r>
    <r>
      <rPr>
        <i/>
        <sz val="10"/>
        <rFont val="Arial"/>
        <family val="2"/>
      </rPr>
      <t>lueur éblouissante</t>
    </r>
    <r>
      <rPr>
        <sz val="10"/>
        <rFont val="Arial"/>
        <family val="2"/>
      </rPr>
      <t xml:space="preserve">. </t>
    </r>
    <r>
      <rPr>
        <i/>
        <sz val="10"/>
        <rFont val="Arial"/>
        <family val="2"/>
      </rPr>
      <t>Colonne de gloire</t>
    </r>
    <r>
      <rPr>
        <sz val="10"/>
        <rFont val="Arial"/>
        <family val="2"/>
      </rPr>
      <t xml:space="preserve"> étant une invocation surpuissante, tous les sorciers présents dans un rayon de 7,5 kilomètres prennent conscience de la perturbation dans l’Aethyr provoquée par ce sort ; y recourir pour autre chose que la lutte directe contre les démons est très mal perçu par les doyens hiérophantes de l’Ordre de la Lumière.</t>
    </r>
  </si>
  <si>
    <t>une bille d’acier (+1)</t>
  </si>
  <si>
    <t>vous invoquez des sphères miroitantes d’acier qui gravitent autour de votre corps et vous protègent contre les attaques pendant 1 minute (6 rounds) avant de disparaître. Toutes les attaques dirigées contre vous subissent un malus de –10% en Capacité de Combat ou en Capacité de Tir, selon le cas.</t>
  </si>
  <si>
    <t>1d10 actions complètes</t>
  </si>
  <si>
    <t>un morceau de papier vierge (+1)</t>
  </si>
  <si>
    <r>
      <t xml:space="preserve">vous recourez à la magie de la logique pour optimiser un test de compétence ou de caractéristique. Ce sort doit être lancé avant que le test ne soit effectué, sachant que </t>
    </r>
    <r>
      <rPr>
        <i/>
        <sz val="10"/>
        <rFont val="Arial"/>
        <family val="2"/>
      </rPr>
      <t>loi de la logique</t>
    </r>
    <r>
      <rPr>
        <sz val="10"/>
        <rFont val="Arial"/>
        <family val="2"/>
      </rPr>
      <t xml:space="preserve"> peut vous assister vous ou l’un de vos alliés situé dans un rayon de 12 mètres (6 cases). Le temps d’incantation aléatoire (1d10 actions complètes) couvre à la fois l’évaluation du problème et l’incantation à proprement parler. S’il est lancé avec succès, </t>
    </r>
    <r>
      <rPr>
        <i/>
        <sz val="10"/>
        <rFont val="Arial"/>
        <family val="2"/>
      </rPr>
      <t>loi de la logique</t>
    </r>
    <r>
      <rPr>
        <sz val="10"/>
        <rFont val="Arial"/>
        <family val="2"/>
      </rPr>
      <t xml:space="preserve"> octroie un bonus de +20% au test correspondant de compétence ou de caractéristique. Le bonus doit servir dans les 5 minutes qui suivent la fin de l’incantation.</t>
    </r>
  </si>
  <si>
    <t>un clou rouillé (+1)</t>
  </si>
  <si>
    <r>
      <t xml:space="preserve">un objet métallique non magique dans un rayon de 12 mètres (6 cases) rouille sous votre influence, ce qui le rend inutilisable. Vous pouvez ainsi affecter un objet dont l’encombrement ne dépasse pas 75. Veuillez consulter le </t>
    </r>
    <r>
      <rPr>
        <b/>
        <sz val="10"/>
        <rFont val="Arial"/>
        <family val="2"/>
      </rPr>
      <t>Chapitre 5: L’équipement</t>
    </r>
    <r>
      <rPr>
        <sz val="10"/>
        <rFont val="Arial"/>
        <family val="2"/>
      </rPr>
      <t xml:space="preserve"> pour l’encombrement des objets courants.</t>
    </r>
  </si>
  <si>
    <t>une pointe de flèche en argent (+2)</t>
  </si>
  <si>
    <r>
      <t xml:space="preserve">vous créez un nombre de flèches d’argent égal à votre valeur de Magie, que vous pouvez lancer sur l’un ou plusieurs de vos adversaires situés dans un rayon de 48 mètres (24 cases). Les </t>
    </r>
    <r>
      <rPr>
        <i/>
        <sz val="10"/>
        <rFont val="Arial"/>
        <family val="2"/>
      </rPr>
      <t>flèches d’argent d'Arha</t>
    </r>
    <r>
      <rPr>
        <sz val="10"/>
        <rFont val="Arial"/>
        <family val="2"/>
      </rPr>
      <t xml:space="preserve"> sont des projectiles magiques d’une valeur de dégâts de 3, qui disparaissent après avoir infligé leurs dégâts.</t>
    </r>
  </si>
  <si>
    <t>un casque miniature en plomb (+2)</t>
  </si>
  <si>
    <r>
      <t xml:space="preserve">sous votre influence, les armures d’un groupe d’ennemis, situé dans un rayon de 48 mètres (24 cases), se mettent à peser aussi lourd que du plomb. Utilisez le grand gabarit. Les créatures affectées subissent un malus de –10% en Capacité de Combat, Capacité de Tir et Agilité, ainsi qu’un malus de –1 à leur valeur de Mouvement. </t>
    </r>
    <r>
      <rPr>
        <i/>
        <sz val="10"/>
        <rFont val="Arial"/>
        <family val="2"/>
      </rPr>
      <t>Armure de plomb</t>
    </r>
    <r>
      <rPr>
        <sz val="10"/>
        <rFont val="Arial"/>
        <family val="2"/>
      </rPr>
      <t xml:space="preserve"> reste actif pendant 1 minute (6 rounds).</t>
    </r>
  </si>
  <si>
    <t>une fiole en verre vide (+2)</t>
  </si>
  <si>
    <t>vous recourez à la magie pour guider les actions de vos alliés situés dans un rayon de 12 mètres (6 cases). Jusqu’au début de votre prochain tour de jeu, chaque personne affectée a le droit de relancer un unique test ou jet de dégâts. Le second résultat est définitif.</t>
  </si>
  <si>
    <t>un talisman représentant un marteau et une enclume (+2)</t>
  </si>
  <si>
    <t>vous pouvez transformer un objet métallique en un autre. Cela ne change pas le type du métal, uniquement sa forme : vous pouvez, par exemple, transformer un bouclier de métal en urne. Ce sort ne fonctionne pas sur les objets magiques. La qualité de fabrication du nouvel objet, s’il est besoin de la déterminer, dépend d'un test de Focalisation. Façonner un objet de qualité exceptionnelle correspond à un test Très difficile (–30%), tandis qu’un objet de bonne qualité s’obtient par un test Difficile (–20%). Un test de difficulté Moyenne produit un objet de qualité moyenne, alors qu’un test de Focalisation raté, quelle qu’en soit la difficulté, ne donne qu’un objet de qualité médiocre. Il s’agit d’un sort de contact.</t>
  </si>
  <si>
    <t>une plume de griffon (+3)</t>
  </si>
  <si>
    <t>Vous enchantez temporairement un objet, ce qui confère un bonus de +5% à l’une des caractéristiques du porteur. La fonction magique de l’objet doit rester en adéquation avec sa forme : vous pouvez ainsi enchanter une épée pour conférer un bonus en Capacité de Combat ou un serre-tête pour un bonus en Sociabilité. L’objet est considéré comme magique. L’enchantement reste actif pendant 1 heure, sachant qu’un même objet ne peut être enchanté qu'une seule fois. Il s’agit d’un sort de contact.</t>
  </si>
  <si>
    <t>une page de livre écrit par un dément (+3)</t>
  </si>
  <si>
    <t>vous enveloppez de l’étreinte de Chamon un objet magique situé dans un rayon de 24 mètres (12 cases), ce qui neutralise ses pouvoirs. L’objet perd alors toute fonction magique pendant 1d10 rounds.</t>
  </si>
  <si>
    <t>une poignée de terre prise sur une tombe (+1)</t>
  </si>
  <si>
    <t>deux sous de cuivre (+1)</t>
  </si>
  <si>
    <r>
      <t xml:space="preserve">par un simple contact de vos doigts, vous mettez un terme à l’existence d’une personne consentante aux portes de la mort. </t>
    </r>
    <r>
      <rPr>
        <i/>
        <sz val="10"/>
        <rFont val="Arial"/>
        <family val="2"/>
      </rPr>
      <t>Douleurs abrégées</t>
    </r>
    <r>
      <rPr>
        <sz val="10"/>
        <rFont val="Arial"/>
        <family val="2"/>
      </rPr>
      <t xml:space="preserve"> tue ainsi quiconque n'ayant plus que 0 point de Blessures et ayant déjà reçu un coup critique. Il s’agit d’un sort de contact. Ce sort fonctionne sur les monstres, les animaux et même les PJ. Les âmes ainsi libérées sont immunisées contre les sorts tels que </t>
    </r>
    <r>
      <rPr>
        <i/>
        <sz val="10"/>
        <rFont val="Arial"/>
        <family val="2"/>
      </rPr>
      <t>dernières volontés</t>
    </r>
    <r>
      <rPr>
        <sz val="10"/>
        <rFont val="Arial"/>
        <family val="2"/>
      </rPr>
      <t xml:space="preserve"> mais restent des cibles pour la résurrection nécromantique.</t>
    </r>
  </si>
  <si>
    <t>une faux métallique miniature (+1)</t>
  </si>
  <si>
    <t>une faux d’énergie améthyste se matérialise entre vos mains. Elle est considérée comme une arme magique dotée de l’attribut rapide et d’une valeur de dégâts de 5. Vous recevez également un bonus de +10% en Capacité de Combat quand vous la maniez. Ce sort reste actif pendant un nombre de rounds égal à votre valeur de Magie. Vous pouvez prolonger cette durée en réussissant un test de Force Mentale à chaque round suivant.</t>
  </si>
  <si>
    <t>un petit sablier (+2)</t>
  </si>
  <si>
    <r>
      <t xml:space="preserve">par votre influence, un objet non magique dont l’encombrement ne dépasse pas 75 se délabre. Les objets de qualité médiocre ou de qualité moyenne sont réduits en poussière. Les objets de bonne qualité deviennent de qualité médiocre et ceux d’excellente qualité deviennent de qualité moyenne. Reportez-vous au </t>
    </r>
    <r>
      <rPr>
        <b/>
        <sz val="10"/>
        <rFont val="Arial"/>
        <family val="2"/>
      </rPr>
      <t>Chapitre 5 : L’équipement</t>
    </r>
    <r>
      <rPr>
        <sz val="10"/>
        <rFont val="Arial"/>
        <family val="2"/>
      </rPr>
      <t xml:space="preserve"> pour plus de renseignements sur l’encombrement des objets courants et leur qualité. Il s’agit d’un sort de contact.</t>
    </r>
  </si>
  <si>
    <t>un clou de cercueil (+2)</t>
  </si>
  <si>
    <t>grâce à ce sort, vos alliés oublient temporairement leur peur de la mort. Pendant 1 minute (6 rounds), vous bénéficiez, ainsi que tous vos alliés situés dans un rayon de 12 mètres (6 cases), de l’équivalent du talent Sans peur.</t>
  </si>
  <si>
    <t>une fiole de sang (+2)</t>
  </si>
  <si>
    <r>
      <t xml:space="preserve">vous aspirez l’essence vitale d’un ennemi situé dans un rayon de 12 mètres (6 cases), et vous l'utilisez pour vous soigner. La cible perd 1d10 points de Blessures, quels que soient son bonus d’Endurance et son armure, à moins qu’elle ne réussisse un test de Force Mentale. Vous récupérez autant de points de Blessures que vous en avez ôtés à la victime. Vous ne pouvez dépasser votre maximum normal de points de Blessures, mais cela ne doit pas empêcher la cible de perdre les siens. </t>
    </r>
    <r>
      <rPr>
        <i/>
        <sz val="10"/>
        <rFont val="Arial"/>
        <family val="2"/>
      </rPr>
      <t>Absorption de vie</t>
    </r>
    <r>
      <rPr>
        <sz val="10"/>
        <rFont val="Arial"/>
        <family val="2"/>
      </rPr>
      <t xml:space="preserve"> reste sans effet sur les démons et les morts-vivants.</t>
    </r>
  </si>
  <si>
    <t>un morceau de vélin (+2)</t>
  </si>
  <si>
    <r>
      <t xml:space="preserve">vous pouvez poser une question à l’âme libérée d’un personnage qui vient de perdre la vie dans un rayon de 12 mètres (6 cases). Le sort doit être lancé dans la minute qui suit la mort du personnage (6 rounds), sans quoi, son âme aura déjà atteint le royaume de Morr. L’âme n’est pas obligée de répondre la vérité ou même quoi que ce soit. </t>
    </r>
    <r>
      <rPr>
        <i/>
        <sz val="10"/>
        <rFont val="Arial"/>
        <family val="2"/>
      </rPr>
      <t>Dernières volontés</t>
    </r>
    <r>
      <rPr>
        <sz val="10"/>
        <rFont val="Arial"/>
        <family val="2"/>
      </rPr>
      <t xml:space="preserve"> ne peut être lancé sur une créature sans âme, comme un démon ou un mort-vivant.</t>
    </r>
  </si>
  <si>
    <t>une fiole de liquide d’embaumement (+2)</t>
  </si>
  <si>
    <r>
      <t xml:space="preserve">votre influence sur la mort est telle que vous pouvez brièvement repousser l’inévitable. </t>
    </r>
    <r>
      <rPr>
        <i/>
        <sz val="10"/>
        <rFont val="Arial"/>
        <family val="2"/>
      </rPr>
      <t>Seuil de la mort</t>
    </r>
    <r>
      <rPr>
        <sz val="10"/>
        <rFont val="Arial"/>
        <family val="2"/>
      </rPr>
      <t xml:space="preserve"> persiste pendant un nombre de rounds égal à votre valeur de Magie, et vous affecte ainsi que tous vos alliés situés dans un rayon de 24 mètres (12 cases). Quand une personne affectée par le sort est tuée, elle peut alors effectuer une dernière demi-action à son tour de jeu normal, avant de réellement mourir. Dès que l’action est résolue, la mort vient réclamer son dû.</t>
    </r>
  </si>
  <si>
    <t>un peu de lierre coupé sur la tombe d’un prêtre (+3)</t>
  </si>
  <si>
    <r>
      <t xml:space="preserve">vous appelez un vent mortel de </t>
    </r>
    <r>
      <rPr>
        <i/>
        <sz val="10"/>
        <rFont val="Arial"/>
        <family val="2"/>
      </rPr>
      <t>Shyish</t>
    </r>
    <r>
      <rPr>
        <sz val="10"/>
        <rFont val="Arial"/>
        <family val="2"/>
      </rPr>
      <t xml:space="preserve"> qui s’abat quelque part dans un rayon de 48 mètres (24 cases). Utilisez le grand gabarit. Ceux qui sont affectés par le sort perdent 1d10 points de Blessures, quels que soient leur bonus d’Endurance et leur armure. En raison de la nature cataclysmique de cette invocation, tous les sorciers dans un rayon de 7,5 kilomètres prennent conscience de la perturbation de l’Aethyr causée par le sort. Les seigneurs de l’Ordre d’Améthyste ont mille façons aussi cruelles qu’insolites de punir ceux qui recourent à ce sort trop souvent ou sans bonne raison.</t>
    </r>
  </si>
  <si>
    <t>vous vous enveloppez de ténèbres, ce qui vous rend presque indétectable. Vous bénéficiez d’un bonus de +20% aux tests de Dissimulation pendant un nombre de minutes égal à votre valeur de Magie.</t>
  </si>
  <si>
    <t>une mèche de cheveux d’un membre de la race imitée (+1)</t>
  </si>
  <si>
    <t>vous pouvez prendre l’apparence (ce qui inclut les vêtements, l’armure et le reste) d’un autre humanoïde vivant dont la taille n’excède pas trois mètres (humain, elfe, orque, etc.) pour un nombre de rounds égal à dix fois votre valeur de Magie. Le sort ne déguise aucunement votre voix, uniquement votre aspect physique. Vous pouvez ainsi adopter l’apparence d’un orque, mais si vous ne pratiquez pas la langue gobeline, vous seriez bien inspiré de ne pas ouvrir la bouche en présence de peaux-vertes. Si vous vous comportez de manière suspecte, les observateurs auront droit à un test d’Intelligence pour percer l’illusion. Si vous cherchez à ressembler à un individu spécifique, il vous faudra réussir un test de Focalisation pour parfaire le déguisement. Sans cela, vous aurez l’apparence d’un membre sans particularité de la race correspondante.</t>
  </si>
  <si>
    <t>une rasade de bière (+1)</t>
  </si>
  <si>
    <r>
      <t xml:space="preserve">vous pouvez lancer ce sort sur une créature située dans un rayon de 24 mètres (12 cases). La cible doit alors réussir un test de Force Mentale, sous peine de se retrouver désorientée pour un nombre de rounds égal à votre valeur de Magie. La personne ainsi désorientée doit effectuer un jet de pourcentage et consulter la table suivante pour déterminer ce qu’elle fait jusqu’à la fin du sort.
</t>
    </r>
    <r>
      <rPr>
        <b/>
        <sz val="10"/>
        <rFont val="Arial"/>
        <family val="2"/>
      </rPr>
      <t>1d100 Action</t>
    </r>
    <r>
      <rPr>
        <sz val="10"/>
        <rFont val="Arial"/>
        <family val="2"/>
      </rPr>
      <t xml:space="preserve">
01–20 </t>
    </r>
    <r>
      <rPr>
        <b/>
        <sz val="10"/>
        <rFont val="Arial"/>
        <family val="2"/>
      </rPr>
      <t>Indécision.</t>
    </r>
    <r>
      <rPr>
        <sz val="10"/>
        <rFont val="Arial"/>
        <family val="2"/>
      </rPr>
      <t xml:space="preserve"> Vous ne pouvez effectuer qu’une demi-action par round.
21–40 </t>
    </r>
    <r>
      <rPr>
        <b/>
        <sz val="10"/>
        <rFont val="Arial"/>
        <family val="2"/>
      </rPr>
      <t>Course folle.</t>
    </r>
    <r>
      <rPr>
        <sz val="10"/>
        <rFont val="Arial"/>
        <family val="2"/>
      </rPr>
      <t xml:space="preserve"> Vous courez dans une direction aléatoire déterminée par le MJ.
41–60 </t>
    </r>
    <r>
      <rPr>
        <b/>
        <sz val="10"/>
        <rFont val="Arial"/>
        <family val="2"/>
      </rPr>
      <t>Assaut !</t>
    </r>
    <r>
      <rPr>
        <sz val="10"/>
        <rFont val="Arial"/>
        <family val="2"/>
      </rPr>
      <t xml:space="preserve"> Vous devez effectuer une attaque brutale sur le personnage le plus proche, qu’il soit ami ou ennemi. S’il est hors de portée, vous devez vous en rapprocher au plus vite et l’affronter au corps à corps (en effectuant une charge si possible).
61–80 </t>
    </r>
    <r>
      <rPr>
        <b/>
        <sz val="10"/>
        <rFont val="Arial"/>
        <family val="2"/>
      </rPr>
      <t>Passivité.</t>
    </r>
    <r>
      <rPr>
        <sz val="10"/>
        <rFont val="Arial"/>
        <family val="2"/>
      </rPr>
      <t xml:space="preserve"> Vous ne pouvez entreprendre la moindre action ou esquive.
81–00 </t>
    </r>
    <r>
      <rPr>
        <b/>
        <sz val="10"/>
        <rFont val="Arial"/>
        <family val="2"/>
      </rPr>
      <t>Position fœtale.</t>
    </r>
    <r>
      <rPr>
        <sz val="10"/>
        <rFont val="Arial"/>
        <family val="2"/>
      </rPr>
      <t xml:space="preserve"> Vous êtes considéré comme sans défense.</t>
    </r>
  </si>
  <si>
    <t>un schéma représentant votre action illusoire (+2)</t>
  </si>
  <si>
    <r>
      <t xml:space="preserve">Ce sort vous permet de réaliser une action tout en donnant l’impression de faire complètement autre chose. Votre apparence reste la même, mais votre activité apparente est toute différente: ainsi, vous pouvez faire croire à tous que vous feuilletez un livre, alors que vous êtes en réalité en train de mettre votre poing dans la figure de quelqu’un. Si votre activité (une attaque, un sort, un larcin, etc.) affecte quelqu’un d'autre, la victime a droit à un test d’Intelligence pour percer l’illusion. </t>
    </r>
    <r>
      <rPr>
        <i/>
        <sz val="10"/>
        <rFont val="Arial"/>
        <family val="2"/>
      </rPr>
      <t>Action secrète</t>
    </r>
    <r>
      <rPr>
        <sz val="10"/>
        <rFont val="Arial"/>
        <family val="2"/>
      </rPr>
      <t xml:space="preserve"> reste actif pendant 1d10 rounds. Si l’incantation est réussie, le sort dissimule également l’action qui consiste à le lancer.</t>
    </r>
  </si>
  <si>
    <t>les yeux d’un triton (+2)</t>
  </si>
  <si>
    <t>vous créez une zone de ténèbres tourbillonnantes et impénétrables, dans un rayon de 48 mètres (24 cases), pour un nombre de rounds égal à votre valeur de Magie. Utilisez le grand gabarit. Les personnes prises dans la zone d’effet ne peuvent voir, même si elles bénéficient du talent Vision nocturne. De plus, la confusion engendrée par ces ténèbres limite à une demi-action par round les activités de ceux qui ne réussissent pas un test de Force Mentale au début de leur tour de jeu.</t>
  </si>
  <si>
    <t>un voile de tissu très léger (+2)</t>
  </si>
  <si>
    <t>vous vous enveloppez de magie et disparaissez de vue pour 1d10 rounds. Tant que vous restez invisible, aucun tir ne peut vous prendre pour cible, ni même un projectile magique. Toutes vos attaques au corps à corps bénéficient d’un bonus de +20% en Capacité de Combat. Toute personne située dans un rayon de 4 mètres (2 cases) peut tenter un test de Perception Difficile (–20%) pour vous détecter par le biais de ses autres sens : si le test est réussi, elle peut vous attaquer, mais avec un malus de –30% en Capacité de Combat ou en Capacité de Tir, selon le cas. Vous ne pouvez lancer ce sort que sur vous.</t>
  </si>
  <si>
    <t>un lambeau de la toge d’un revenant (+3)</t>
  </si>
  <si>
    <r>
      <t xml:space="preserve">vous adoptez l’apparence d’une créature de pur cauchemar. Vous provoquez ainsi la Terreur (cf. </t>
    </r>
    <r>
      <rPr>
        <b/>
        <sz val="10"/>
        <rFont val="Arial"/>
        <family val="2"/>
      </rPr>
      <t>Chapitre 9: Le meneur de jeu</t>
    </r>
    <r>
      <rPr>
        <sz val="10"/>
        <rFont val="Arial"/>
        <family val="2"/>
      </rPr>
      <t xml:space="preserve"> pour plus de détails) pendant 1 minute (6 rounds).</t>
    </r>
  </si>
  <si>
    <t>un poignard en fer forgé à froid (+3)</t>
  </si>
  <si>
    <r>
      <t xml:space="preserve">vous invoquez un nombre de </t>
    </r>
    <r>
      <rPr>
        <i/>
        <sz val="10"/>
        <rFont val="Arial"/>
        <family val="2"/>
      </rPr>
      <t>poignards d’ombre</t>
    </r>
    <r>
      <rPr>
        <sz val="10"/>
        <rFont val="Arial"/>
        <family val="2"/>
      </rPr>
      <t xml:space="preserve"> égal à votre valeur de Magie, que vous pouvez lancer sur un ou plusieurs de vos adversaires situés dans un rayon de 48 mètres (24 cases). Les </t>
    </r>
    <r>
      <rPr>
        <i/>
        <sz val="10"/>
        <rFont val="Arial"/>
        <family val="2"/>
      </rPr>
      <t>poignards d’ombre</t>
    </r>
    <r>
      <rPr>
        <sz val="10"/>
        <rFont val="Arial"/>
        <family val="2"/>
      </rPr>
      <t xml:space="preserve"> sont des projectiles magiques d’une valeur de dégâts de 3. De plus, leur nature immatérielle ignore toute armure non magique censée réduire les dégâts.</t>
    </r>
  </si>
  <si>
    <t>un prisme en cristal (+3)</t>
  </si>
  <si>
    <t>une épine de ronce (+1)</t>
  </si>
  <si>
    <t>vous faites pousser des épines dans le corps d'un personnage situé dans un rayon de 36 mètres (18 cases), ce qui lui cause d'insoutenables douleurs pendant 1d10 rounds. À chacun de ses tours de jeu suivants, la victime devra réussir un test de Force Mentale, sous peine de perdre 1 point de Blessures quels que soient son bonus d’Endurance et son armure, et de se voir infliger un malus de –20% à tous ses tests pendant un round.</t>
  </si>
  <si>
    <t>une poignée de nourriture pour animaux (+1)</t>
  </si>
  <si>
    <r>
      <t xml:space="preserve">à l’instar des animaux qui s’engraissent pour passer l’hiver, vous permettez au personnage que vous touchez de se nourrir en stockant l’énergie de </t>
    </r>
    <r>
      <rPr>
        <i/>
        <sz val="10"/>
        <rFont val="Arial"/>
        <family val="2"/>
      </rPr>
      <t>Ghyran</t>
    </r>
    <r>
      <rPr>
        <sz val="10"/>
        <rFont val="Arial"/>
        <family val="2"/>
      </rPr>
      <t xml:space="preserve">. Le bénéficiaire du sort n’aura pas besoin de manger pendant 1 semaine, mais il devra toujours étancher sa soif. </t>
    </r>
    <r>
      <rPr>
        <i/>
        <sz val="10"/>
        <rFont val="Arial"/>
        <family val="2"/>
      </rPr>
      <t>Abondance</t>
    </r>
    <r>
      <rPr>
        <sz val="10"/>
        <rFont val="Arial"/>
        <family val="2"/>
      </rPr>
      <t xml:space="preserve"> est un sort de contact que vous pouvez lancer sur vous-même.</t>
    </r>
  </si>
  <si>
    <t>de 1 à 10 demi-actions</t>
  </si>
  <si>
    <t>une dague (+1)</t>
  </si>
  <si>
    <r>
      <t xml:space="preserve">pour vous soigner, vous absorbez l’énergie de la terre sur laquelle vous vous tenez. Il vous faut pour cela vous trouver sur de la terre. Si l’incantation est réussie, </t>
    </r>
    <r>
      <rPr>
        <i/>
        <sz val="10"/>
        <rFont val="Arial"/>
        <family val="2"/>
      </rPr>
      <t>fluide terrestre</t>
    </r>
    <r>
      <rPr>
        <sz val="10"/>
        <rFont val="Arial"/>
        <family val="2"/>
      </rPr>
      <t xml:space="preserve"> vous soigne d’un nombre de points de Blessures égal au nombre de demi-actions que vous passez à lancer le sort (maximum 10). Vous ne pouvez lancer ce sort sur quelqu’un d’autre.</t>
    </r>
  </si>
  <si>
    <t>une fiole de la sueur d’un honnête homme (+2)</t>
  </si>
  <si>
    <t>vos environs immédiats sont irradiés de la chaleur de l’été. Utilisez le grand gabarit. Ceux qui sont pris dans la zone d'effet suent à grosses gouttes et se sentent incroyablement las, comme s’ils venaient de travailler une journée entière sous un soleil de plomb. Ils subissent un malus de –20% à tous leurs tests pendant 1d10 rounds.</t>
  </si>
  <si>
    <t>une clé de fer (+2)</t>
  </si>
  <si>
    <t>vous disparaissez dans la terre et réapparaissez dans un rayon de 48 mètres (24 cases). Votre lieu de départ aussi bien que celui d’arrivée doivent avoir un sol de terre naturelle ; cela signifie par exemple que vous ne pouvez lancer ce sort si vous vous trouvez dans un bâtiment ou une rue pavée.</t>
  </si>
  <si>
    <t>une bonbonne de vin (+2)</t>
  </si>
  <si>
    <r>
      <t xml:space="preserve">vous entrez en communion avec l’esprit d’une rivière. Pour pouvoir lancer ce sort, vous devez être immergé dans la rivière en question au moins jusqu’à la taille. Votre magie et une partie de vous-même se diffusent dans l’eau, vous permettant de poser quelques questions à la rivière. Vous pouvez demander à l’onde tout ce qui s’est passé sur ou dans le cours d’eau depuis 24 heures et jusqu’à 1,5 kilomètre en amont ou en aval. Les réponses seront très générales. Vous pouvez par exemple apprendre que deux bateaux ont descendu la rivière et que l’un d’entre eux était particulièrement grand; vous ne découvrirez pas les noms des embarcations ou de leurs passagers. Si des orques ont attaqué l’un des bateaux, vous en serez éventuellement renseigné, sans pour autant apprendre de quelle tribu ceux-ci étaient issus. </t>
    </r>
    <r>
      <rPr>
        <i/>
        <sz val="10"/>
        <rFont val="Arial"/>
        <family val="2"/>
      </rPr>
      <t>Murmure de la rivière</t>
    </r>
    <r>
      <rPr>
        <sz val="10"/>
        <rFont val="Arial"/>
        <family val="2"/>
      </rPr>
      <t xml:space="preserve"> reste actif pendant un nombre de minutes égal à votre valeur de Magie.</t>
    </r>
  </si>
  <si>
    <t>une poignée d’engrais naturel (+2)</t>
  </si>
  <si>
    <t>En concentrant toute la puissance de la magie de la Vie sur une zone ou un être, vous pouvez, au choix, agir sur une parcelle de terre de la taille d’un champ agricole ou sur un être vivant de n’importe quelle race. Si c’est un champ, il regorgera littéralement de vie et la prochaine récolte promettra d’être des plus riches. S’il s’agit d’un être vivant, le processus de reproduction sera assurément déclenché si toutes les autres conditions normales (en particulier l’accouplement) sont satisfaites.</t>
  </si>
  <si>
    <t>une baguette de sourcier bénie par un prêtre de Taal (+3)</t>
  </si>
  <si>
    <t>Vous faites jaillir un geyser, dans un rayon de 24 mètres (12 cases). Ce sort ne fonctionne que sur de la terre naturelle. Utilisez le grand gabarit. Les créatures prises dans l'éruption d'eau reçoivent une attaque d’une valeur de dégâts de 4 et sont projetées de 4 mètres (2 cases) dans la direction de votre choix. Elles sont aussi mises à terre, et il leur faut réussir un test d’Endurance, sans quoi elles se retrouvent assommées pour 1d10 rounds. Une fois le premier jaillissement passé, une mare se forme dans la zone couverte par le gabarit, procurant de l’eau fraîche et potable pour la prochaine heure.</t>
  </si>
  <si>
    <t>une fiole de neige fondue récoltée au sommet d’une
montagne (+3)</t>
  </si>
  <si>
    <t>Vous recouvrez d’une épaisse couche de givre tout ce qui se trouve dans la zone spécifiée, dans un rayon de 48 mètres (24 cases). Utilisez le grand gabarit. Toute créature affectée reçoit une attaque d’une valeur de dégâts de 4 et doit réussir un test de Force Mentale ou se retrouver sans défense pendant 1 round. Le givre subsiste pendant un nombre de minutes égal à votre valeur de Magie. Les vitesses de déplacement dans la zone sont réduites de moitié.</t>
  </si>
  <si>
    <t>les yeux d’une chimère (+3)</t>
  </si>
  <si>
    <r>
      <t xml:space="preserve">Ce sort est une version plus redoutable du sort </t>
    </r>
    <r>
      <rPr>
        <i/>
        <sz val="10"/>
        <rFont val="Arial"/>
        <family val="2"/>
      </rPr>
      <t>désorientation</t>
    </r>
    <r>
      <rPr>
        <sz val="10"/>
        <rFont val="Arial"/>
        <family val="2"/>
      </rPr>
      <t xml:space="preserve">, pouvant affecter plusieurs cibles. Utilisez le grand gabarit. Toute personne comprise dans la zone d'effet doit réussir un test de Force Mentale, sous peine de subir les effets du sort </t>
    </r>
    <r>
      <rPr>
        <i/>
        <sz val="10"/>
        <rFont val="Arial"/>
        <family val="2"/>
      </rPr>
      <t>désorientation</t>
    </r>
    <r>
      <rPr>
        <sz val="10"/>
        <rFont val="Arial"/>
        <family val="2"/>
      </rPr>
      <t>.</t>
    </r>
  </si>
  <si>
    <t>une fiole de l’eau d’un bassin sacré (+3)</t>
  </si>
  <si>
    <t>163/223</t>
  </si>
  <si>
    <t>163/224</t>
  </si>
  <si>
    <t>164/226</t>
  </si>
  <si>
    <t>164/228</t>
  </si>
  <si>
    <t>165/229</t>
  </si>
  <si>
    <t>165/231</t>
  </si>
  <si>
    <t>166/233</t>
  </si>
  <si>
    <t>167/234</t>
  </si>
  <si>
    <t>167/236</t>
  </si>
  <si>
    <t>une poignée de chandelles de glace (+2)</t>
  </si>
  <si>
    <t>vous invoquez la Veuve Vénérable, lui rappelant les promesses faites à la reine-khan Shoïka, la première tsarine du Kislev, et provoquez l’apparition de tentacules de glace de 6 mètres de long. Les déplacements sont réduits de moitié dans la zone du grand gabarit. De plus, les cibles doivent réussir un test d’Agilité à chaque round, sans quoi les tentacules les agrippent et leur infligent 1d10+4 points de dégâts (qui ne tiennent pas compte de l’armure). De plus, le personnage est victime d’une prise. Pour se libérer, il doit réussir un test de Force. Les tentacules ont quant à eux une Force égale à votre Intelligence.</t>
  </si>
  <si>
    <t>gabarit de flammes</t>
  </si>
  <si>
    <t>une poignée de neige (+2)</t>
  </si>
  <si>
    <t>vous crachez un souffle de pur froid, qui gèle vos ennemis et en fait des statues de glace. Les cibles subissent 1d10+5 points de dégâts (qui ne tiennent pas compte de l’armure). Reportez-vous aux règles de Mort subite en cas de coup critique (un décès se traduisant par une statue gelée). Ceux qui y survivent doivent réussir un test de Force Mentale sous peine d’être assommés pendant 1 round.</t>
  </si>
  <si>
    <t>un flocon de neige (+2)</t>
  </si>
  <si>
    <r>
      <t xml:space="preserve">une tornade de neige et de glace s’élève du sol, gelant et aveuglant tout ce qui se dresse en travers de son chemin. Vous pouvez lancer le </t>
    </r>
    <r>
      <rPr>
        <i/>
        <sz val="10"/>
        <rFont val="Arial"/>
        <family val="2"/>
      </rPr>
      <t>blizzard</t>
    </r>
    <r>
      <rPr>
        <sz val="10"/>
        <rFont val="Arial"/>
        <family val="2"/>
      </rPr>
      <t xml:space="preserve"> en tout point situé dans votre champ de vision. Toutefois, à la discrétion du MJ, vous aurez peut-être besoin de réussir un test de Perception pour distinguer une cible lointaine. Tous ceux qui se trouvent dans un rayon de 24 mètres de la cible subissent 1d10 points de dégâts par round (lancez les dégâts une fois seulement, et appliquez-les aux cibles situées dans la zone) et leur champ de vision est réduit à 6 mètres (3 cases). Le </t>
    </r>
    <r>
      <rPr>
        <i/>
        <sz val="10"/>
        <rFont val="Arial"/>
        <family val="2"/>
      </rPr>
      <t>blizzard</t>
    </r>
    <r>
      <rPr>
        <sz val="10"/>
        <rFont val="Arial"/>
        <family val="2"/>
      </rPr>
      <t xml:space="preserve"> impose aussi un malus de –20 aux tests de Capacité de Tir et Agilité de tous ceux qui se tiennent dans la zone en plus de réduire leur Mouvement de moitié.</t>
    </r>
  </si>
  <si>
    <t>un faucon de cristal (+2)</t>
  </si>
  <si>
    <r>
      <t xml:space="preserve">en faisant appel aux pactes noués par les premières reines-khans, vous convoquez les </t>
    </r>
    <r>
      <rPr>
        <i/>
        <sz val="10"/>
        <rFont val="Arial"/>
        <family val="2"/>
      </rPr>
      <t>faucons de Miska</t>
    </r>
    <r>
      <rPr>
        <sz val="10"/>
        <rFont val="Arial"/>
        <family val="2"/>
      </rPr>
      <t xml:space="preserve">, des esprits glacés de la peur, de la haine et de la terreur. Ces oiseaux de glace se cristallisent dans l’air et piquent en direction de la cible en hurlant. Les cibles situées dans la zone du grand gabarit et celles qui se trouvent dans un rayon de 10 mètres de celui-ci doivent réussir un test de Peur Assez facile (+10). Les </t>
    </r>
    <r>
      <rPr>
        <i/>
        <sz val="10"/>
        <rFont val="Arial"/>
        <family val="2"/>
      </rPr>
      <t>faucons de Miska</t>
    </r>
    <r>
      <rPr>
        <sz val="10"/>
        <rFont val="Arial"/>
        <family val="2"/>
      </rPr>
      <t xml:space="preserve"> restent jusqu’à ce que toutes les créatures affectées aient réussi leur test de Peur.</t>
    </r>
  </si>
  <si>
    <t>une griffe de démon de givre (+3)</t>
  </si>
  <si>
    <t>vous invitez les esprits du froid d’antan à vous transformer (ainsi que vos possessions) en démon du givre hurlant. Vous conservez votre Intelligence et votre Force Mentale, mais vos autres caractéristiques sont celles d’un démon de givre (cf. page 131). Vous gagnez également les compétences, talents et traits de ce monstre. Toutefois, vous ne pouvez plus communiquer que par hurlements, êtes incapable de lancer des sorts et ne pouvez manier la moindre arme. Le sort s’achève si vous prenez un coup critique, si vous dormez, ou tout simplement si vous décidez d’y mettre un terme (action complète).</t>
  </si>
  <si>
    <t>une pierre d’Urszebya (+3)</t>
  </si>
  <si>
    <t>vous faites appel au froid mortel du pays. La cible touchée doit réussir un test d’Endurance Assez difficile (–20) sous peine de subir 1d10+8 points de dégâts par point de votre valeur de Magie (ces dégâts ne tiennent pas compte de l’armure). En cas de réussite, la cible ne subit que 1d10+2 points de dégâts par point de Magie. Les coups critiques obtenus à l’aide de ce sort s’appuient sur les règles de Mort subite, un décès signifiant que la cible a gelé.</t>
  </si>
  <si>
    <t>1 round/point de Magie (spéciale)</t>
  </si>
  <si>
    <t>une chandelle de glace longue de 1 mètre (+2)</t>
  </si>
  <si>
    <t>une lame de glace se forme dans votre main. Considérez qu’il s’agit d’une arme magique dotée de l’attribut précise qui inflige 1d10+2+BF points de dégâts. Toutefois, elle fond instantanément si vous la lâchez. À la fin du sort, vous pouvez maintenir la lame à chaque round en réussissant un test de Force Mentale.</t>
  </si>
  <si>
    <t>une hermine (+2)</t>
  </si>
  <si>
    <t>vous invoquez une brume glacée tourbillonnante qui vous enveloppe. Les créatures situées dans un rayon de 2 mètres subissent un malus de –10 aux tests de Capacité de Combat, Capacité de Tir et Agilité alors que le froid les engourdit. De plus, celles qui tentent de vous attaquer au corps à corps doivent réussir un test d’Endurance. Celles qui le ratent ne peuvent s’empêcher de reculer, perdant leur action du round.</t>
  </si>
  <si>
    <t>une plaque de glace de 30 cm de côté (+2)</t>
  </si>
  <si>
    <t>vous faites apparaître un mur de glace recouvert de neige. Celui-ci peut faire jusqu’à 10 mètres de long sur 6 mètres de haut, à condition de se situer en intégralité dans la portée du sort et de ne pas empiéter sur une zone dégageant de la chaleur (corps vivant, feu, etc., à la discrétion du MJ). Ce mur bouche la vue. Il a un BE 5 et 10 points de Blessures par point de votre valeur de Magie. Enfin, le feu lui inflige des dégâts doublés.</t>
  </si>
  <si>
    <t>vous abaissez votre température corporelle. Vous êtes immunisé contre les effets du gel et les dégâts des attaques de froid.</t>
  </si>
  <si>
    <t>une boule de graisse d’ours gelée (+2)</t>
  </si>
  <si>
    <t>une motte de toundra gelée (+2)</t>
  </si>
  <si>
    <t>vous focalisez les puissants courants de froid du pays. Un givre épais apparaît aussitôt sur les surfaces affectées, réduisant de moitié les déplacements de ceux qui y entrent ou s’y déplacent. Au round où le sort est lancé, les cibles subissent aussi 1d10 points de dégâts (qui ne tiennent pas compte de l’armure) et doivent réussir un test de Force sous peine de perdre leur prochaine demi-action. Au bout d’une minute, toute l’eau de la zone gèle.</t>
  </si>
  <si>
    <t>vous recouvrez une zone d’une fine plaque de verglas. Les créatures situées sous le grand gabarit doivent réussir un test d’Agilité Assez difficile (–10) à chaque fois qu’elles tentent une action incluant un déplacement sous peine de glisser et de tomber, subissant alors 1d10 points de dégâts et perdant le reste de leur tour. En cas de succès, la cible peut se déplacer normalement, mais à la moitié de sa vitesse habituelle.</t>
  </si>
  <si>
    <t>une poignée de glace (+2)</t>
  </si>
  <si>
    <r>
      <t xml:space="preserve">vous lancez 1d10 éclats de glace durs comme des diamants en direction de la cible. Chacun est un </t>
    </r>
    <r>
      <rPr>
        <i/>
        <sz val="10"/>
        <rFont val="Arial"/>
        <family val="2"/>
      </rPr>
      <t>projectile magique</t>
    </r>
    <r>
      <rPr>
        <sz val="10"/>
        <rFont val="Arial"/>
        <family val="2"/>
      </rPr>
      <t xml:space="preserve"> infligeant 1d10+3 points de dégâts.</t>
    </r>
  </si>
  <si>
    <t>un grêlon (+2)</t>
  </si>
  <si>
    <t>vous focalisez la magie de glace et des blocs de glace se mettent à s’abattre au sol à une vitesse terrifiante. Toutes les créatures situées sous le grand gabarit subissent 1d10+2 points de dégâts par round passé dans la zone. De plus, leur champ de vision est réduit à 4 mètres, elles subissent un malus de –20 aux tests de Capacité de Tir et d’Agilité, et réduisent de moitié leur Mouvement. En réussissant un test de Force Mentale Assez difficile (–10) au moyen d’une action complète, vous pouvez déplacer la tempête de 2 mètres par point de Magie.</t>
  </si>
  <si>
    <t>un croc de dragon blanc (+3)</t>
  </si>
  <si>
    <r>
      <t xml:space="preserve">vous focalisez de puissants courants de magie pour en faire un coup de vent glacé. Tous ceux qui vous séparent de la cible sont frappés par des éclats de glace infligeant 1d10+4 points de dégâts. De plus, les créatures auxquelles le sort fait perdre au moins 1 point de Blessures doivent réussir un test de Force Mentale sous peine de se retrouver à terre. </t>
    </r>
    <r>
      <rPr>
        <i/>
        <sz val="10"/>
        <rFont val="Arial"/>
        <family val="2"/>
      </rPr>
      <t>Vent mordant</t>
    </r>
    <r>
      <rPr>
        <sz val="10"/>
        <rFont val="Arial"/>
        <family val="2"/>
      </rPr>
      <t xml:space="preserve"> est un </t>
    </r>
    <r>
      <rPr>
        <i/>
        <sz val="10"/>
        <rFont val="Arial"/>
        <family val="2"/>
      </rPr>
      <t>projectile magique</t>
    </r>
    <r>
      <rPr>
        <sz val="10"/>
        <rFont val="Arial"/>
        <family val="2"/>
      </rPr>
      <t>.</t>
    </r>
  </si>
  <si>
    <t>une langue de glace (+1)</t>
  </si>
  <si>
    <t>vous prenez la parole avec le détachement glacé des reines-khans d’antan. Vous bénéficiez d’un bonus de +10 aux tests de Commandement, Intimidation, Marchandage et Torture, mais subissez un malus de –10 aux tests de Baratin et de Charisme.</t>
  </si>
  <si>
    <t>permanente</t>
  </si>
  <si>
    <t>les organes internes d’un élan (+2)</t>
  </si>
  <si>
    <t>choisissez une créature ayant le trait Éthéré. À moins de remporter un test de Force Mentale opposé contre vous, celle-ci disparaît dans l’Aethyr ou repart là d’où elle est venue.</t>
  </si>
  <si>
    <t>la main d’un adorateur des Dieux Sombres (+2)</t>
  </si>
  <si>
    <t>les esprits vous chuchotent de funestes avertissements lorsque des serviteurs des Dieux Sombres ou des choses souillées par leur mal sont dans les parages. Quand une telle créature, chose ou zone se trouve à portée du sort, vous bénéficiez d’un bonus de +20 aux tests de Sens de la magie applicables.</t>
  </si>
  <si>
    <t>1d10 minute</t>
  </si>
  <si>
    <t>déterminé par le MJ en fonction du type d’esprit convoqué (+2)</t>
  </si>
  <si>
    <t>deux poignées de terre kislevite imprégnées de votre propre sang (+3)</t>
  </si>
  <si>
    <t>vous invitez en vous les plus puissants esprits de la Veuve Vénérable. Vous vous transformez alors (ainsi que vos possessions) en une monstruosité aux cheveux gris de près de 2,50 m de haut, le tout assorti d’yeux luisants, de dents en métal rouillé et de longues griffes en fer. Vous bénéficiez d’un bonus de +20 aux tests de Capacité de Combat, Force et Endurance, mais aussi de +1 en Attaques. Vous gagnez également les traits Armes naturelles, Effrayant, Sans peur et Sens aiguisés. Le sort prend fin lorsque vous réussissez un coup critique, allez dormir ou y mettez volontairement fin au moyen d’une action complète.</t>
  </si>
  <si>
    <t>un objet directement lié à la question posée (+2)</t>
  </si>
  <si>
    <t>vos yeux virent au bleu alors que vous entrez en transe (vous êtes sans défense) et communiez avec les esprits. Un personnage peut alors poser une question (et une seule) au sujet d’un événement à venir. Les esprits offrent une réponse sibylline (le MJ pourra en profiter pour glisser des indices sur l’aventure ou la suivante). Une fois le sort achevé, la cible peut profiter de la phrase prophétique pour relancer les trois tests suivants ratés en lien avec sa question (à la discrétion du MJ). Une fois ses trois jets relancés, vos yeux reprennent leur couleur normale. Vous ne pouvez profiter que d’une seule fortune contée à la fois.</t>
  </si>
  <si>
    <t>un objet de la taille du poing issu de l’endroit cible (+2)</t>
  </si>
  <si>
    <t>Hantement : Malédiction d’anicroche</t>
  </si>
  <si>
    <t>Hantement : Malédiction de cauchemar</t>
  </si>
  <si>
    <t>Hantement : Malédiction gênante</t>
  </si>
  <si>
    <t>Hantement : Malédiction de putréfaction</t>
  </si>
  <si>
    <t>Hantement : Maudit</t>
  </si>
  <si>
    <r>
      <t xml:space="preserve">vous maudissez un édifice précis (ou une partie de celui-ci s’il est de grande taille) ou un élément de relief (comme une colline ou un taillis) de manière à y attirer des esprits malveillants. Choisissez une malédiction parmi celles proposées dans l’encart à la page 116. Une cible ne peut être victime que d’un seul </t>
    </r>
    <r>
      <rPr>
        <i/>
        <sz val="10"/>
        <rFont val="Arial"/>
        <family val="2"/>
      </rPr>
      <t>hantement</t>
    </r>
    <r>
      <rPr>
        <sz val="10"/>
        <rFont val="Arial"/>
        <family val="2"/>
      </rPr>
      <t xml:space="preserve"> à la fois.
En apprenant le sort </t>
    </r>
    <r>
      <rPr>
        <i/>
        <sz val="10"/>
        <rFont val="Arial"/>
        <family val="2"/>
      </rPr>
      <t>hantement</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t>
    </r>
    <r>
      <rPr>
        <b/>
        <sz val="10"/>
        <rFont val="Arial"/>
        <family val="2"/>
      </rPr>
      <t>Malédiction d’anicroche :</t>
    </r>
    <r>
      <rPr>
        <sz val="10"/>
        <rFont val="Arial"/>
        <family val="2"/>
      </rPr>
      <t xml:space="preserve">
Des esprits potaches envahissent l’endroit en gloussant, défaisant les boucles de ceinture et les boutons de chemise, baissant les pantalons et pinçant les fesses. À chaque round, vous devez réussir un test de Force Mentale sous peine d’être victime d’une plaisanterie (à la discrétion du MJ).</t>
    </r>
  </si>
  <si>
    <r>
      <t xml:space="preserve">vous maudissez un édifice précis (ou une partie de celui-ci s’il est de grande taille) ou un élément de relief (comme une colline ou un taillis) de manière à y attirer des esprits malveillants. Choisissez une malédiction parmi celles proposées dans l’encart à la page 116. Une cible ne peut être victime que d’un seul </t>
    </r>
    <r>
      <rPr>
        <i/>
        <sz val="10"/>
        <rFont val="Arial"/>
        <family val="2"/>
      </rPr>
      <t>hantement</t>
    </r>
    <r>
      <rPr>
        <sz val="10"/>
        <rFont val="Arial"/>
        <family val="2"/>
      </rPr>
      <t xml:space="preserve"> à la fois.
En apprenant le sort </t>
    </r>
    <r>
      <rPr>
        <i/>
        <sz val="10"/>
        <rFont val="Arial"/>
        <family val="2"/>
      </rPr>
      <t>hantement</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t>
    </r>
    <r>
      <rPr>
        <b/>
        <sz val="10"/>
        <rFont val="Arial"/>
        <family val="2"/>
      </rPr>
      <t>Malédiction de cauchemar :</t>
    </r>
    <r>
      <rPr>
        <sz val="10"/>
        <rFont val="Arial"/>
        <family val="2"/>
      </rPr>
      <t xml:space="preserve">
Cinq minutes après vous être endormi dans la zone, vous souffrez de terribles cauchemars alors que les esprits s’insinuent dans votre tête. À moins de réussir un test de Force Mentale, vous vous réveillez en hurlant, indiquant ainsi votre position. De plus, pendant l’heure qui suit, vous subissez un malus de –5 aux tests d’Agilité, Capacité de Tir et Capacité de Combat car vous tremblez légèrement en raison de cette mauvaise expérience.</t>
    </r>
  </si>
  <si>
    <r>
      <t xml:space="preserve">vous maudissez un édifice précis (ou une partie de celui-ci s’il est de grande taille) ou un élément de relief (comme une colline ou un taillis) de manière à y attirer des esprits malveillants. Choisissez une malédiction parmi celles proposées dans l’encart à la page 116. Une cible ne peut être victime que d’un seul </t>
    </r>
    <r>
      <rPr>
        <i/>
        <sz val="10"/>
        <rFont val="Arial"/>
        <family val="2"/>
      </rPr>
      <t>hantement</t>
    </r>
    <r>
      <rPr>
        <sz val="10"/>
        <rFont val="Arial"/>
        <family val="2"/>
      </rPr>
      <t xml:space="preserve"> à la fois.
En apprenant le sort </t>
    </r>
    <r>
      <rPr>
        <i/>
        <sz val="10"/>
        <rFont val="Arial"/>
        <family val="2"/>
      </rPr>
      <t>hantement</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t>
    </r>
    <r>
      <rPr>
        <b/>
        <sz val="10"/>
        <rFont val="Arial"/>
        <family val="2"/>
      </rPr>
      <t>Malédiction gênante :</t>
    </r>
    <r>
      <rPr>
        <sz val="10"/>
        <rFont val="Arial"/>
        <family val="2"/>
      </rPr>
      <t xml:space="preserve">
Des esprits mineurs volettent dans la zone et vous pincent. Ils sont bien évidemment gênants et agaçants, ce qui se traduit par un malus de –10 aux tests d’Agilité, Capacité de Tir, Capacité de Combat et Perception (voire d’autres à la discrétion du MJ) tant que l’on est dans la zone. De plus, nul ne peut y dormir et il est impossible d’y lancer des sorts sans la compétence Méditation.</t>
    </r>
  </si>
  <si>
    <r>
      <t xml:space="preserve">vous maudissez un édifice précis (ou une partie de celui-ci s’il est de grande taille) ou un élément de relief (comme une colline ou un taillis) de manière à y attirer des esprits malveillants. Choisissez une malédiction parmi celles proposées dans l’encart à la page 116. Une cible ne peut être victime que d’un seul </t>
    </r>
    <r>
      <rPr>
        <i/>
        <sz val="10"/>
        <rFont val="Arial"/>
        <family val="2"/>
      </rPr>
      <t>hantement</t>
    </r>
    <r>
      <rPr>
        <sz val="10"/>
        <rFont val="Arial"/>
        <family val="2"/>
      </rPr>
      <t xml:space="preserve"> à la fois.
En apprenant le sort </t>
    </r>
    <r>
      <rPr>
        <i/>
        <sz val="10"/>
        <rFont val="Arial"/>
        <family val="2"/>
      </rPr>
      <t>hantement</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t>
    </r>
    <r>
      <rPr>
        <b/>
        <sz val="10"/>
        <rFont val="Arial"/>
        <family val="2"/>
      </rPr>
      <t>Malédiction de putréfaction :</t>
    </r>
    <r>
      <rPr>
        <sz val="10"/>
        <rFont val="Arial"/>
        <family val="2"/>
      </rPr>
      <t xml:space="preserve">
Des esprits de la pourriture sont attirés vers le lieu maudit. Les biens périssables se gâtent très rapidement. La nourriture fraîche moisit en quelques minutes, les conserves ne tiennent qu’une heure et les autres matériaux rouillent, se décomposent ou se corrodent en l’espace d’une journée (à la discrétion du MJ).</t>
    </r>
  </si>
  <si>
    <r>
      <t xml:space="preserve">vous maudissez un édifice précis (ou une partie de celui-ci s’il est de grande taille) ou un élément de relief (comme une colline ou un taillis) de manière à y attirer des esprits malveillants. Choisissez une malédiction parmi celles proposées dans l’encart à la page 116. Une cible ne peut être victime que d’un seul </t>
    </r>
    <r>
      <rPr>
        <i/>
        <sz val="10"/>
        <rFont val="Arial"/>
        <family val="2"/>
      </rPr>
      <t>hantement</t>
    </r>
    <r>
      <rPr>
        <sz val="10"/>
        <rFont val="Arial"/>
        <family val="2"/>
      </rPr>
      <t xml:space="preserve"> à la fois.
En apprenant le sort </t>
    </r>
    <r>
      <rPr>
        <i/>
        <sz val="10"/>
        <rFont val="Arial"/>
        <family val="2"/>
      </rPr>
      <t>hantement</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t>
    </r>
    <r>
      <rPr>
        <b/>
        <sz val="10"/>
        <rFont val="Arial"/>
        <family val="2"/>
      </rPr>
      <t>Maudit :</t>
    </r>
    <r>
      <rPr>
        <sz val="10"/>
        <rFont val="Arial"/>
        <family val="2"/>
      </rPr>
      <t xml:space="preserve">
Des esprits simples mais malicieux hantent la zone et châtient tous ceux qui s’en approchent. Ceux qui entrent dans le lieu hanté doivent réussir un test de Force Mentale sous peine d’être victimes d’une </t>
    </r>
    <r>
      <rPr>
        <i/>
        <sz val="10"/>
        <rFont val="Arial"/>
        <family val="2"/>
      </rPr>
      <t>gêne</t>
    </r>
    <r>
      <rPr>
        <sz val="10"/>
        <rFont val="Arial"/>
        <family val="2"/>
      </rPr>
      <t xml:space="preserve"> (cf. page 113) dont les effets sont déterminés par le MJ.</t>
    </r>
  </si>
  <si>
    <t>une mèche de cheveux de la cible (+1)</t>
  </si>
  <si>
    <r>
      <t xml:space="preserve">les esprits vous donnent un aperçu du sort qui attend la cible. Si elle ne dispose pas déjà d’une malédiction de vedma, déterminez-en une à l’aide de la </t>
    </r>
    <r>
      <rPr>
        <b/>
        <sz val="10"/>
        <rFont val="Arial"/>
        <family val="2"/>
      </rPr>
      <t>Table 8–4</t>
    </r>
    <r>
      <rPr>
        <sz val="10"/>
        <rFont val="Arial"/>
        <family val="2"/>
      </rPr>
      <t xml:space="preserve"> (cf. page 90). De plus, vous bénéficiez d’un bonus de +10 à votre prochain test d’Intimidation ou de Torture contre la cible car vous avez une bonne idée des meilleurs moyens de pression à utiliser contre elle.</t>
    </r>
  </si>
  <si>
    <t>1 minute (6 rounds) / point de Magie</t>
  </si>
  <si>
    <t>une cervelle de renard (+2)</t>
  </si>
  <si>
    <t>vous pliez un esprit à votre volonté. Celui-ci doit réussir un test de Force Mentale opposé contre vous sous peine de passer sous votre contrôle pour toute la durée du sort. Vous pouvez alors l’obliger à entreprendre n’importe quelle action de base. En réussissant un test de Connaissances académiques (esprits) au moyen d’une demi-action, vous pouvez également l’obliger à utiliser un pouvoir spécial ou à entreprendre une action de compétence avancée.</t>
  </si>
  <si>
    <t>un objet personnel de la cible (+2)</t>
  </si>
  <si>
    <t>Malédiction suprême : Malédiction de maladie</t>
  </si>
  <si>
    <t>Malédiction suprême : Malédiction de malheur</t>
  </si>
  <si>
    <t>Malédiction suprême : Malédiction de sorcière</t>
  </si>
  <si>
    <t>Malédiction suprême : Malédiction de vedma</t>
  </si>
  <si>
    <t>Malédiction suprême : Malédiction de folie</t>
  </si>
  <si>
    <r>
      <t>vos yeux virent au rouge alors que vous entrez en transe et distinguez le passé au travers d’une légère brume cramoisie. Dès lors, vous êtes sans défense. Pour recevoir la vision, vous devez commencer par poser une question aux esprits (</t>
    </r>
    <r>
      <rPr>
        <i/>
        <sz val="10"/>
        <rFont val="Arial"/>
        <family val="2"/>
      </rPr>
      <t>Que s’est-il passé ici il y a trois ans ?</t>
    </r>
    <r>
      <rPr>
        <sz val="10"/>
        <rFont val="Arial"/>
        <family val="2"/>
      </rPr>
      <t xml:space="preserve"> ou </t>
    </r>
    <r>
      <rPr>
        <i/>
        <sz val="10"/>
        <rFont val="Arial"/>
        <family val="2"/>
      </rPr>
      <t>Comment cet homme est mort ?</t>
    </r>
    <r>
      <rPr>
        <sz val="10"/>
        <rFont val="Arial"/>
        <family val="2"/>
      </rPr>
      <t xml:space="preserve">). Toutefois, la vision étant offerte du point de vue des esprits des environs (ce qui peut inclure des morts, des esprits de la nature, des farfadets malicieux, etc.), le résultat est souvent déroutant et vague à la fois. Les détails de la vision sont laissés à l’entière appréciation du MJ, qui est invité à faire preuve d’imagination dans sa description de la transe (qui dure aussi longtemps qu’il le juge nécessaire ou jusqu’à ce que vous mettiez fin au sort). Si vous avez déjà lancé </t>
    </r>
    <r>
      <rPr>
        <i/>
        <sz val="10"/>
        <rFont val="Arial"/>
        <family val="2"/>
      </rPr>
      <t>fortune contée</t>
    </r>
    <r>
      <rPr>
        <sz val="10"/>
        <rFont val="Arial"/>
        <family val="2"/>
      </rPr>
      <t xml:space="preserve"> au moment où vous jetez ce sort, l’un de vos yeux est rouge et l’autre est bleu.</t>
    </r>
  </si>
  <si>
    <t>1 heure/point de Magie (ou jusqu’à utilisation)</t>
  </si>
  <si>
    <t>une patte de chien à trois pattes (+2)</t>
  </si>
  <si>
    <t>vous attirez un esprit de la chance jusqu’à l’ingrédient et l’y liez. Celui qui le porte gagne +1 point de Fortune. La patte se désintègre lorsqu’elle est utilisée ou que le sort prend fin. Vous ne pouvez jouir que d’un seul sort de ce type à la fois.</t>
  </si>
  <si>
    <t>immédiate (ou jusqu’à ce que l’action soit accomplie)</t>
  </si>
  <si>
    <r>
      <t xml:space="preserve">vous exigez de la cible qu’elle réalise une action précise sous peine de subir votre courroux. Toutefois, elle a droit à un test de Force Mentale Assez difficile (–10) pour résister. En cas d’échec, elle est victime d’une </t>
    </r>
    <r>
      <rPr>
        <i/>
        <sz val="10"/>
        <rFont val="Arial"/>
        <family val="2"/>
      </rPr>
      <t>malédiction suprême</t>
    </r>
    <r>
      <rPr>
        <sz val="10"/>
        <rFont val="Arial"/>
        <family val="2"/>
      </rPr>
      <t xml:space="preserve"> si elle ne se conforme pas à votre souhait (à la discrétion du MJ). Les cibles auxquelles on ordonne de se faire du mal ou d’agir d’une façon qui leur est nuisible ont droit à un bonus de +30 au test.</t>
    </r>
  </si>
  <si>
    <t>une pleine poignée d’entrailles de poisson (+2)</t>
  </si>
  <si>
    <t>la cible avale les entrailles de poisson alors que vous proférez l’incantation. Les viscères attirent des esprits de guérison qui permettent de chasser les maladies et de résorber les blessures. Si la cible ne vomit pas cet atroce repas (test de Force Mentale nécessaire) et que vous réussissez vous-même un test de Force Mentale, elle est débarrassée d’une maladie (dans les faits, vous la soignez) et regagne un nombre de points de Blessures égal à 1d5 plus votre Magie.</t>
  </si>
  <si>
    <t>une tasse d’urine d’ours (+3)</t>
  </si>
  <si>
    <t>la cible avale l’urine d’ours, ce qui vous permet de vous en prendre aux esprits des Dieux Sombres qui l’habitent. Jouez un test de Force Mentale Assez difficile (–10). En cas de réussite, si la cible est vivante, consentante et réussit un test d’Endurance Assez difficile (–10), elle perd une mutation de votre choix. Toutefois, les pouvoirs du Chaos sont insidieux, si bien que la mutation revient dès que la cible rate un test d’Endurance d’au moins 30 points.</t>
  </si>
  <si>
    <t>un piquant de triton (+2)</t>
  </si>
  <si>
    <t>disposez le centre du grand gabarit n’importe où à portée. Un esprit situé sous celui-ci doit réussir un test de Force Mentale opposé contre vous ou sortir de la zone d’effet dès son action suivante. Ensuite, il ne peut y revenir sans réussir un test de Force Mentale. Toutefois, il n’est plus affecté par le sort dès qu’il en réussit un.</t>
  </si>
  <si>
    <t>un gésier de chouette des neiges (+2)</t>
  </si>
  <si>
    <r>
      <t xml:space="preserve">votre incantation invoque des esprits qui détestent les Dieux Sombres du nord. </t>
    </r>
    <r>
      <rPr>
        <i/>
        <sz val="10"/>
        <rFont val="Arial"/>
        <family val="2"/>
      </rPr>
      <t>Résistance au Chaos</t>
    </r>
    <r>
      <rPr>
        <sz val="10"/>
        <rFont val="Arial"/>
        <family val="2"/>
      </rPr>
      <t xml:space="preserve"> vous affecte ainsi qu’un nombre de cibles situées à portée égal au double de votre valeur de Magie. Les cibles non consentantes ont droit à un test de Force Mentale Difficile (–20) pour annuler l’effet. Les sujets gagnent le talent Résistance au Chaos. En revanche, les lanceurs de sorts affectés (y compris vous) ne peuvent plus jeter de sorts.</t>
    </r>
  </si>
  <si>
    <t>un petit masque (+1)</t>
  </si>
  <si>
    <t>vous imposez une vision infernale à un personnage situé dans un rayon de 24 mètres (12 cases). La cible se retrouve assommée pendant 1 round à moins de réussir un test de Force Mentale. Une fois qu’elle n’est plus assommée, la cible doit réussir un second test de Force Mentale, sans quoi elle reçoit 1 point de Folie.</t>
  </si>
  <si>
    <t>une amulette gravée du symbole d’un dieu du Chaos (+1)</t>
  </si>
  <si>
    <t>vous invoquez les faveurs de l’un des dieux du Chaos. Vous recevez, pendant 1 minute (6 rounds), un bonus de +10% en Capacité de Combat, Endurance, Force Mentale ou Sociabilité en fonction du dieu que vous avez invoqué.</t>
  </si>
  <si>
    <t>une fiole de sang démoniaque (+2)</t>
  </si>
  <si>
    <t>vous crachez du sang brûlant comme de l’acide sur une cible située dans un rayon de 24 mètres (12 cases). La cible subit un nombre d’attaques égal à votre valeur de Magie et d'une valeur de dégâts de 4. Il s’agit d’un projectile magique.</t>
  </si>
  <si>
    <t>un symbole sacré profané (+2)</t>
  </si>
  <si>
    <r>
      <t xml:space="preserve">vous ensorcelez une personne située dans un rayon de 24 mètres (12 cases) et la soumettez à votre volonté. À moins que la cible ne réussisse un test de Force Mentale, c’est vous qui décidez des actions qu’elle entreprend à son prochain tour de jeu. Les morts-vivants sont immunisés contre la </t>
    </r>
    <r>
      <rPr>
        <i/>
        <sz val="10"/>
        <rFont val="Arial"/>
        <family val="2"/>
      </rPr>
      <t>tentation du Chaos</t>
    </r>
    <r>
      <rPr>
        <sz val="10"/>
        <rFont val="Arial"/>
        <family val="2"/>
      </rPr>
      <t>.</t>
    </r>
  </si>
  <si>
    <t>une main récupérée sur un pendu (+2)</t>
  </si>
  <si>
    <t>vous enveloppez votre main d’un halo de magie noire. Elle est alors considérée comme une arme magique ayant l’attribut perforante et une valeur de dégâts de 7. De plus, vous bénéficiez d’un bonus de +10% en Capacité de Combat quand vous attaquez avec cette main. Le sort reste actif pendant un nombre de rounds égal à votre valeur de Magie. Vous pouvez prolonger cette durée en réussissant un test de Force Mentale à chaque round suivant.</t>
  </si>
  <si>
    <t>une corne d’homme-bête (+2)</t>
  </si>
  <si>
    <r>
      <t xml:space="preserve">votre contact canalise l’énergie pure du Chaos dans votre cible et la transforme, à moins qu’elle ne réussisse un test de Force Mentale. En cas d’échec à ce test, la cible doit tirer sur la </t>
    </r>
    <r>
      <rPr>
        <b/>
        <sz val="10"/>
        <rFont val="Arial"/>
        <family val="2"/>
      </rPr>
      <t>Table 11-1: mutations du Chaos</t>
    </r>
    <r>
      <rPr>
        <sz val="10"/>
        <rFont val="Arial"/>
        <family val="2"/>
      </rPr>
      <t xml:space="preserve">, page 227. La mutation se manifeste en quelques secondes et s’avère permanente. Si elle est affectée, la cible doit réussir un second test de Force Mentale, sous peine de se retrouver assommée pendant 1 round en raison de la brutalité et de l’ignominie de la mutation. Il s’agit d’un sort de contact. Les morts-vivants sont immunisés contre la </t>
    </r>
    <r>
      <rPr>
        <i/>
        <sz val="10"/>
        <rFont val="Arial"/>
        <family val="2"/>
      </rPr>
      <t>caresse du Chaos</t>
    </r>
    <r>
      <rPr>
        <sz val="10"/>
        <rFont val="Arial"/>
        <family val="2"/>
      </rPr>
      <t>.</t>
    </r>
  </si>
  <si>
    <t>la lame d’un champion du Chaos (+3)</t>
  </si>
  <si>
    <r>
      <t xml:space="preserve">vous créez un infâme nuage de corruption dans un rayon de 36 mètres (18 cases). Utilisez le grand gabarit. Les personnes affectées doivent réussir un test de Force Mentale, pour éviter de perdre 1 point de Blessures, quels que soient leur bonus d’Endurance et leur armure. Les créatures ainsi blessées continuent à perdre 1 point de Blessures par round jusqu’à ce qu’elles réussissent un test de Force Mentale. Celles qui perdent ainsi plus d'1 point de Blessures doivent également réussir un test d’Endurance, sous peine de se retrouver victimes d’une mutation. Si elles ratent ce dernier test, elles doivent tirer sur la </t>
    </r>
    <r>
      <rPr>
        <b/>
        <sz val="10"/>
        <rFont val="Arial"/>
        <family val="2"/>
      </rPr>
      <t>Table 11-1: mutations du Chaos</t>
    </r>
    <r>
      <rPr>
        <sz val="10"/>
        <rFont val="Arial"/>
        <family val="2"/>
      </rPr>
      <t>, page 227 pour déterminer la mutation qui s'opère.</t>
    </r>
  </si>
  <si>
    <t>le sang d'un démon (+3)</t>
  </si>
  <si>
    <t>vous prononcez le nom secret de l’un des dieux du Chaos, ce qui suffit à infliger d'abominables souffrances à ceux qui vous entourent. Centrez le grand gabarit sur vous-même. Les personnes comprises dans la zone subissent une attaque d’une valeur de dégâts de 8 et doivent réussir un test de Force Mentale sous peine de se retrouver sans défense pendant 1 round. Le sort ne vous affecte pas.</t>
  </si>
  <si>
    <t>un crâne (+1)</t>
  </si>
  <si>
    <t>votre visage prend l’aspect d’un crâne à l’air mauvais, symbole reconnu de la mort. Vous provoquez la Peur pendant 1 minute (6 rounds).</t>
  </si>
  <si>
    <t>1 demi-action par cadavre</t>
  </si>
  <si>
    <t>la poussière issue d’une tombe (+1)</t>
  </si>
  <si>
    <t>vous ranimez les morts, créant un nombre de squelettes ou de zombies égal à votre valeur de Magie. Vous devez vous trouver dans un rayon de 12 mètres (6 cases) de cadavres récents (qui deviennent des zombies) ou de vestiges plus anciens (lesquels font des squelettes).</t>
  </si>
  <si>
    <t>une dent de chauve-souris vampire (+2)</t>
  </si>
  <si>
    <r>
      <t xml:space="preserve">vous buvez le sang d’un cadavre pour soigner vos propres blessures. Le cadavre doit être frais (sa mort doit remonter à moins d’une heure). Si l’incantation est réussie, </t>
    </r>
    <r>
      <rPr>
        <i/>
        <sz val="10"/>
        <rFont val="Arial"/>
        <family val="2"/>
      </rPr>
      <t>sève nécromantique</t>
    </r>
    <r>
      <rPr>
        <sz val="10"/>
        <rFont val="Arial"/>
        <family val="2"/>
      </rPr>
      <t xml:space="preserve"> vous rend 1d10 points de Blessures.</t>
    </r>
  </si>
  <si>
    <t>une main de meurtrier (+2)</t>
  </si>
  <si>
    <r>
      <t xml:space="preserve">votre contact anéantit la chair de vos adversaires vivants, leur ôtant 1d10 points de Blessures, quels que soient leur bonus d’Endurance et leur armure. Les morts-vivants sont immunisés contre </t>
    </r>
    <r>
      <rPr>
        <i/>
        <sz val="10"/>
        <rFont val="Arial"/>
        <family val="2"/>
      </rPr>
      <t>main de poussière</t>
    </r>
    <r>
      <rPr>
        <sz val="10"/>
        <rFont val="Arial"/>
        <family val="2"/>
      </rPr>
      <t>. Il s’agit d’un sort de contact.</t>
    </r>
  </si>
  <si>
    <t>une petite trompe en argent (+2)</t>
  </si>
  <si>
    <t>un morceau de bois pris sur un cercueil profané (+2)</t>
  </si>
  <si>
    <t>vous soumettez un mort-vivant éthéré à votre volonté. Vous pouvez cibler une banshee, un spectre ou un esprit situé(e) dans un rayon de 24 mètres (12 cases). La créature passe sous votre contrôle pendant 24 heures, à moins qu’elle ne réussisse un test de Force Mentale.</t>
  </si>
  <si>
    <t>un lambeau de chair pris sur un revenant (+2)</t>
  </si>
  <si>
    <t>votre chair devient aussi résistante que celle d’un cadavre momifié pendant 1 minute (6 rounds). Pendant cette durée, tous les coups critiques que vous subissez voient leur valeur critique réduite de l’équivalent de votre valeur de Magie.</t>
  </si>
  <si>
    <t>de la poussière prélevée sur une momie (+3)</t>
  </si>
  <si>
    <r>
      <t xml:space="preserve">ce sort est semblable à </t>
    </r>
    <r>
      <rPr>
        <i/>
        <sz val="10"/>
        <rFont val="Arial"/>
        <family val="2"/>
      </rPr>
      <t>réanimation</t>
    </r>
    <r>
      <rPr>
        <sz val="10"/>
        <rFont val="Arial"/>
        <family val="2"/>
      </rPr>
      <t>, si ce n’est que vous créez 2d10 squelettes ou zombies dans un rayon de 24 mètres (12 cases).</t>
    </r>
  </si>
  <si>
    <t>un diadème de fer refroidi dans du sang humain (+3)</t>
  </si>
  <si>
    <r>
      <t xml:space="preserve">ce sort est semblable à </t>
    </r>
    <r>
      <rPr>
        <i/>
        <sz val="10"/>
        <rFont val="Arial"/>
        <family val="2"/>
      </rPr>
      <t>réanimation</t>
    </r>
    <r>
      <rPr>
        <sz val="10"/>
        <rFont val="Arial"/>
        <family val="2"/>
      </rPr>
      <t>, si ce n’est que les morts-vivants créés sont des revenants. Les cadavres employés doivent être ceux de personnages engagés dans une carrière avancée.</t>
    </r>
  </si>
  <si>
    <t>une fiole d’eau bénite (+3)</t>
  </si>
  <si>
    <t>une bride (+1)</t>
  </si>
  <si>
    <t>une lanière de cuir de sanglier tanné (+2)</t>
  </si>
  <si>
    <t>Cuir du sanglier</t>
  </si>
  <si>
    <t>votre peau devient aussi dure que celle d'un sanglier sauvage. Pendant la durée de ce sort, vous réduisez la valeur critique des coups critiques dont vous êtes victime de -1. Toutefois, à cause de la rigidité du cuir, vous subissez également un malus de -10% en Agilité. La transformation dure un nombre de minutes égale à votre valeur de Magie.</t>
  </si>
  <si>
    <t>une dent d'ours (+2)</t>
  </si>
  <si>
    <t>un sabot de bœuf (+2)</t>
  </si>
  <si>
    <t>vous poussez un cri à l'attention de tous vos alliés situés dans un rayon de 48 mètres (24 cases). Ceux qui fuient à cause des effets de la Terreur ou qui sont paralysés par la Peur se trouvent libérés de ces effets et n'ont pas besoin de rejouer de jets de dés dans les circonstances actuelles. Cependant, si de nouvelles sources de Peur ou de Terreur entrent en jeu, il faut y résister selon les règles normales.</t>
  </si>
  <si>
    <t>un crin de destrier (+2)</t>
  </si>
  <si>
    <r>
      <t xml:space="preserve">ce sort agit exactement comme le sort </t>
    </r>
    <r>
      <rPr>
        <i/>
        <sz val="10"/>
        <rFont val="Arial"/>
        <family val="2"/>
      </rPr>
      <t>l'envol du corbeau</t>
    </r>
    <r>
      <rPr>
        <sz val="10"/>
        <rFont val="Arial"/>
        <family val="2"/>
      </rPr>
      <t xml:space="preserve">, si ce n'est que la forme adoptée est celle d'un destrier. Le profil de cet animal figure à la page 231 de </t>
    </r>
    <r>
      <rPr>
        <i/>
        <sz val="10"/>
        <rFont val="Arial"/>
        <family val="2"/>
      </rPr>
      <t>WJDR</t>
    </r>
    <r>
      <rPr>
        <sz val="10"/>
        <rFont val="Arial"/>
        <family val="2"/>
      </rPr>
      <t xml:space="preserve"> et à la page 118 du </t>
    </r>
    <r>
      <rPr>
        <i/>
        <sz val="10"/>
        <rFont val="Arial"/>
        <family val="2"/>
      </rPr>
      <t>Bestiaire du Vieux Monde</t>
    </r>
    <r>
      <rPr>
        <sz val="10"/>
        <rFont val="Arial"/>
        <family val="2"/>
      </rPr>
      <t>.</t>
    </r>
  </si>
  <si>
    <t>une pincée de guano de chauve-souris (+2)</t>
  </si>
  <si>
    <t>vous lancez ce sort en touchant un animal, qu'il soit sauvage ou domestique. Toute créature intelligente qui blesse cet animal ou se montre cruelle de quelque autre façon que ce soit envers lui avant la prochaine pleine lune subit un malus de +10% aux tests de Sociabilité. L'effet se prolonge jusqu'à la pleine lune suivante.</t>
  </si>
  <si>
    <t>une fiole de corne de taureau en poudre (+2)</t>
  </si>
  <si>
    <t>un peu de baume (+1)</t>
  </si>
  <si>
    <t>vous touchez un animal blessé, guérissant un nombre de points de Blessures égale à votre valeur de Magie. Seuls les animaux naturels peuvent être guéris par ce sort. Les créatures magiques (y compris les familiers, même s'ils s'agit d'animaux "ordinaires") et les monstres ne sont pas affectés. Il s'agit d'un sort de contact.</t>
  </si>
  <si>
    <t>un poil d'un chien peureux (+2)</t>
  </si>
  <si>
    <t>d'une voix tonitruante, vous réprimandez vos adversaires en les comparant à de vils animaux qui feraient mieux de trembler de peur devant leur maître. Ce sort répand la panique chez 2d10 cibles situées dans un rayon de 48 mètres (24 cases), en commençant par celles qui sont les plus proches de vous. Chaque victime doit effectuer un test de Peur par round jusqu'à ce qu'elle réussisse et se débarrasse des effets de la Peur, ou jusqu'à ce que vous quittiez les lieux. Vous pouvez également choisir de concentrer les effets de ce sort sur une cible unique, qui devra réussir un test de Terreur Assez difficile (-10%).</t>
  </si>
  <si>
    <t>la peau d'un crapaud bleu (+3)</t>
  </si>
  <si>
    <t>une lentille ébréchée (+3)</t>
  </si>
  <si>
    <t>une bouteille contenant le souffle d'un aigle (+2)</t>
  </si>
  <si>
    <t>une pincée de raifort (+2)</t>
  </si>
  <si>
    <t>une langue d'oiseau (+2)</t>
  </si>
  <si>
    <t>vous pouvez parler et comprendre le langage des oiseaux pendant un nombre de minutes égal à votre valeur de Magie. Cependant, cela ne force pas les oiseaux à vous parler ni à répondre à vos questions. Des oiseaux rusés peuvent même mentir ou demander des faveurs en échange de leur savoir. L'opinion qu'un oiseau aura de vous sera basée sur votre apparence et votre comportement. Toutefois, par la vertu de ce sort, vous gagnez une certaine expérience concernant les coutumes et le comportement des oiseaux, ce qui vous permet par exemple de comprendre pourquoi une volée d'oiseaux agit d'une manière curieuse ou pourquoi un nid a été abandonné.</t>
  </si>
  <si>
    <t>une pincée de sable pur (+1)</t>
  </si>
  <si>
    <t>vous créez un disque qui flotte dans les airs devant vous et grossit tout ce qui se trouve à distance de l'autre côté. Cela vous confère un bonus de +20% aux tentative de perception quand le seul handicap est la distance à laquelle se trouve le sujet de votre observation, ou un bonus de +10% quand il y a d'autres obstacles comme du nuage ou du brouillard. Les astromanciens utilisent souvent ce sort pour observer avec plus de clarté et de précision les étoiles et les autres éléments des cieux, mais on peut aussi s'en servir pour voir le paysage, les bâtiments et même les individus qui se trouvent en des lieux éloignés.</t>
  </si>
  <si>
    <t>une fiole d'encre faite à partir de sang d'aigle (+3)</t>
  </si>
  <si>
    <t>un chiffon propre (+1)</t>
  </si>
  <si>
    <t>une patte de lapin (+2)</t>
  </si>
  <si>
    <r>
      <t xml:space="preserve">vous gagnez un point de Fortune supplémentaire, lequel peut être utilisé à n'importe quel moment durant les 24 heures à venir, mais uniquement pour relancer un test de caractéristique ou de compétence. Quand vous êtes sous l'effet d'un sort de </t>
    </r>
    <r>
      <rPr>
        <i/>
        <sz val="10"/>
        <rFont val="Arial"/>
        <family val="2"/>
      </rPr>
      <t>prémonition</t>
    </r>
    <r>
      <rPr>
        <sz val="10"/>
        <rFont val="Arial"/>
        <family val="2"/>
      </rPr>
      <t>, vous ne pouvez pas être à nouveau sujet à ce sort tant que vous n'avez pas utilisé le point de Fortune ou que la durée du sort n'est pas écoulée.</t>
    </r>
  </si>
  <si>
    <t>les mouvements des cieux révèlent les périodes favorisées par la fortune. La cible de ce sort regagne immédiatement la totalité de ses points de Fortune au lieu d'avoir à attendre le jour suivant. Cependant, ce personnage ne regagnera de nouveau ses points de Fortune le lendemain matin suivant : il les a déjà récupérés. Le surlendemain, il regagnera ses points de Fortune normalement. Ce sort ne peut pas être relancé sur la même cible tant qu'elle n'a pas récupéré ses points de Fortune normalement, au début de la journée. Il s'agit d'un sort de contact.</t>
  </si>
  <si>
    <t>une goutte de votre sang (+2)</t>
  </si>
  <si>
    <t>vous lisez les signes et les présages divins concernant votre avenir. Si vous subissez un coup critique durant les prochaines 24 heures, on relance automatiquement les dés du résultat de ce coup critique. Ensuite, vous appliquez celui des deux résultats que vous préférez. Vous ne pouvez pas relancer ce sort tant que vous n'avez pas utilisé la possibilité de relancer les dés ou que sa durée n'a pas expiré.</t>
  </si>
  <si>
    <t>un dé à coudre de bile (+1)</t>
  </si>
  <si>
    <t>la cible que vous choisissez dans un rayon de 12 mètres (6 cases) doit réussir un test de Force Mentale pour éviter de devenir furieuse envers une autre cible que vous avez désignée. Si la victime manque le test de 20% ou plus, elle attaque la cible désignée. À chaque round, la cible peut tenter un nouveau test de Force Mentale pour se libérer des effets de ce sort.</t>
  </si>
  <si>
    <t>une fourchette en métal (+1)</t>
  </si>
  <si>
    <t>vous pouvez cuir instantanément une portion de nourriture à votre goût ou faire bouillir immédiatement à gros bouillon jusqu'à un litre d'eau (ou de liquide similaire). Il s'agit d'un sort de contact.</t>
  </si>
  <si>
    <t>un bouclier miniature en or (+3)</t>
  </si>
  <si>
    <t>vous et tous les alliés qui vous tiennent les mains (ainsi que tous ceux qui leur tiennent les mains, etc.) êtes totalement immunisés contre les dégâts causés par le feu. Si la chaîne des mains est interrompue, quiconque n'est plus relié à vous-même de manière directe ou indirecte perd immédiatement le bénéfice de cette immunité. Ceux qui sont protégés par l'égide d'Aqshy sont immunisés contre les feux naturels, ainsi que tous les effets de feu magique générés par des sorts dont la difficulté est inférieure à celle de celui-ci, et contre tous les effets de feu créés par des créatures dont la Force Mentale est inférieure à la vôtre. Ce sort dure un nombre de minutes égal à votre valeur de Magie. Vous ne pouvez lancer ce sort que sur vous-même, c'est à dire que vous seul pouvez être le point de départ de la chaîne d'individus protégés.</t>
  </si>
  <si>
    <t>une mèche de cheveux roux (+2)</t>
  </si>
  <si>
    <t>un grain de poivre (+1)</t>
  </si>
  <si>
    <r>
      <t xml:space="preserve">vous conférez un goût à une portion de nourriture ou de boisson. La nourriture devient fortement épicée et les boissons de tout type obtiennent le goût brûlant et les effets d'un alcool fort. Une "portion" de nourriture représente un plat de nourriture que l'on vous sert, un récipient contenant un plat unique (un faitout entier, par exemple), ou un récipient de boisson dont la taille est inférieure ou égale à un fût d'eau ou un tonnelet de bière. Les effets des alcools sont décrits à la page 115 de </t>
    </r>
    <r>
      <rPr>
        <i/>
        <sz val="10"/>
        <rFont val="Arial"/>
        <family val="2"/>
      </rPr>
      <t>WJDR</t>
    </r>
    <r>
      <rPr>
        <sz val="10"/>
        <rFont val="Arial"/>
        <family val="2"/>
      </rPr>
      <t>. Les breuvages qui contiennent déjà de l'alcool deviennent l'équivalent d'alcools forts. La nourriture épicée cause chez ceux qui n'y sont pas habitués (le lanceur du sort est toujours considéré comme habitué à ce genre de nourriture) des douleurs intestinales pendant plusieurs heures, sauf si le convive réussit un test d'Endurance.</t>
    </r>
  </si>
  <si>
    <t>un morceau de tapisserie roussi par le feu (+2)</t>
  </si>
  <si>
    <t>vous créez un rideau de flammes haut de 4 mètres (2 cases) et long de 12 mètres (6 cases). Vous pouvez en modérer le contour à volonté. Bien qu'il soit comme suspendu, tel un rideau affecté par la gravité normale, la "tringle" imaginaire qui le supporte peut être tordue à n'importe quel angle, suivre n'importe quelle courbe ou être suspendue à n'importe quelle hauteur de votre choix. Toute créature adjacente au rideau ou le touchant subit une valeur de dégâts 3, ce qui est également valable si on le traverse. De plus, le rideau lui-même et la fumée qu'il dégage infligent un malus de -20% en Capacité de Tir à tous les projectiles qui sont tirés au travers. Un malus similaire de -20% s'applique à tous les tests liés à la vue et à la perception à travers le rideau. Le rideau peut être agité par la brise ou un vent violent, tout comme le serait un rideau d'étoffe lourde. Cela peut l'amener, selon le bon vouloir du MJ, à toucher les créatures proches (et à infliger les dégâts indiqués plus haut) ou à mettre le feu aux substances combustibles. Ce sort un nombre de minutes égal à votre valeur de Magie.</t>
  </si>
  <si>
    <t>un morceau de charbon chauffé à blanc (+2)</t>
  </si>
  <si>
    <t>la rate d'un ogre (+3)</t>
  </si>
  <si>
    <r>
      <t xml:space="preserve">vous infligez à une cible qui a manqué un test d'Endurance Assez difficile (-10%) une souffrance atroce en faisant bouillir son sang. À chaque round, pendant un nombre de rounds égal à votre valeur de Magie, la victime subit un coup d'une valeur de dégâts de 3, qui tient compte de son Endurance mais pas de son armure. De plus, tant qu'elle est sous l'effet de ce sort, la victime subit un malus de -20% aux tests de Perception en raison des hallucinations et de la douleur. Les cibles qui sont tuées par </t>
    </r>
    <r>
      <rPr>
        <i/>
        <sz val="10"/>
        <rFont val="Arial"/>
        <family val="2"/>
      </rPr>
      <t>sang bouillonnant</t>
    </r>
    <r>
      <rPr>
        <sz val="10"/>
        <rFont val="Arial"/>
        <family val="2"/>
      </rPr>
      <t xml:space="preserve"> explosent dans une gerbe de sang brûlant, infligeant un coup d'une valeur de dégâts de 1 à toutes les créatures situées dans un rayon de 2 mètres (1 case) de la victime. Il s'agit d'un sort de contact.</t>
    </r>
  </si>
  <si>
    <t>trois gouttes du sang de la cible (+3)</t>
  </si>
  <si>
    <t>vous suscitez chez la cible de ce sort un brûlant désir de vengeance à l'égard d'un autre personnage. Vous devez nommer la cible et l'objet de la vendetta pendant l'incantation de ce sort. Si la victime du sort rate un test de Force Mentale Assez difficile (-10%), elle n'a plus qu'une obsession : se venger du personnage nommé. La victime est incapable de dire pourquoi : tout ce qu'elle sait, c'est que son ennemi est un traître et ne mérite que la mort. Le sort dure un an et un jour, ou jusqu'à ce que le vengeance ait été accomplie. Chaque mois, la cible peut effectuer un autre test de Force Mentale pour tenter de se libérer du sort, mais ces tests ultérieurs sont Très difficiles (-30%). Le brasier de la vengeance ardente est difficile à éteindre.</t>
  </si>
  <si>
    <t>un porte-bonheur en argent (+1)</t>
  </si>
  <si>
    <r>
      <t xml:space="preserve">vous enchantez temporairement une arme de mêlée que vous touchez à l'aide du pouvoir radiant de </t>
    </r>
    <r>
      <rPr>
        <i/>
        <sz val="10"/>
        <rFont val="Arial"/>
        <family val="2"/>
      </rPr>
      <t>Hysh</t>
    </r>
    <r>
      <rPr>
        <sz val="10"/>
        <rFont val="Arial"/>
        <family val="2"/>
      </rPr>
      <t>. Pendant un nombre de minutes égal à votre valeur de Magie, l'arme est considérée comme magique et bénéficie d'un bonus aux dégâts de +2 contre les démons. Le porteur d'une arme rayonnante échoue automatiquement aux tests de Dissimulation. Il s'agit d'un sort de contact.</t>
    </r>
  </si>
  <si>
    <t>une mèche de cheveux de la cible, coupée alors qu'elle était en pleine santé (+3)</t>
  </si>
  <si>
    <t>une perle de verre transparente (+1)</t>
  </si>
  <si>
    <t>vous touchez un personnage et réduisez un malus qui affecte son Intelligence, sa Force Mentale ou sa Sociabilité d'un maximum de 10% (un malus de -20% passe à -10%, un malus de -10% ou moins est réduit à zéro, etc.). La réduction du malus est effective pendant un nombre d'heures égal à votre valeur de Magie, mais le fait de lancer ce sort plusieurs fois de suite ne permet pas de cumuler les effets positifs affectant une même caractéristique d'un même personnage. Cependant, vous pouvez le lancer plusieurs fois pour réduire des malus affectant des caractéristiques différentes. Il s'agit d'un sort de contact que vous pouvez lancer sur vous-même.</t>
  </si>
  <si>
    <t>une bougie de cire intacte (+2)</t>
  </si>
  <si>
    <r>
      <t xml:space="preserve">vous utilisez le pouvoir de </t>
    </r>
    <r>
      <rPr>
        <i/>
        <sz val="10"/>
        <rFont val="Arial"/>
        <family val="2"/>
      </rPr>
      <t>Hysh</t>
    </r>
    <r>
      <rPr>
        <sz val="10"/>
        <rFont val="Arial"/>
        <family val="2"/>
      </rPr>
      <t xml:space="preserve"> pour aider un ou plusieurs personnages souffrant de maladie ou empoisonnés. Le sort affecte un nombre maximal de personnages égal à votre valeur de Magie, et tous doivent être situés dans un rayon de 8 mètres (4 cases) de vous. Si ce sort est lancé avec succès, toutes les maladies affectant les cibles voient leur durée réduite de moitié (en arrondissant à l'entier supérieur). Sinon, le sort peut débarrasser chaque cible d'un poison, annulant tous ses effets. Vous devez décider si </t>
    </r>
    <r>
      <rPr>
        <i/>
        <sz val="10"/>
        <rFont val="Arial"/>
        <family val="2"/>
      </rPr>
      <t>guérison</t>
    </r>
    <r>
      <rPr>
        <sz val="10"/>
        <rFont val="Arial"/>
        <family val="2"/>
      </rPr>
      <t xml:space="preserve"> traitera les maladies ou les empoisonnements quand vous lancez le sort.</t>
    </r>
  </si>
  <si>
    <t>un morceau de savon (+1)</t>
  </si>
  <si>
    <t>une bougie de cire bénie par un prêtre de Shallya (+2)</t>
  </si>
  <si>
    <r>
      <t xml:space="preserve">en lançant ce sort, vous allumez un feu de n'importe quelle taille, depuis la flamme d'une bougie jusqu'à un feu de camp. Tous ceux qui se trouvent dans la zone éclairée par cette flamme (sa portée maximale : cf. page 117 de </t>
    </r>
    <r>
      <rPr>
        <i/>
        <sz val="10"/>
        <rFont val="Arial"/>
        <family val="2"/>
      </rPr>
      <t>WJDR</t>
    </r>
    <r>
      <rPr>
        <sz val="10"/>
        <rFont val="Arial"/>
        <family val="2"/>
      </rPr>
      <t>) réussissent automatiquement tous les tests d'Endurance requis pour résister aux maladies tant qu'elle brûle. On peut accroître la taille du feu (en ajoutant du combustible, par exemple) et même le diviser en plusieurs parties (en allumant par exemple une autre bougie à l'aide de la première). Dans ce dernier cas, les feux "engendrés" ont exactement les mêmes effets que les "parents", et ces effets s'appliquent à ceux qui sont illuminés par n'importe lequel de ces feux jusqu'à ce qu'ils s'éloignent.</t>
    </r>
  </si>
  <si>
    <t>une feuille de vélin vierge (+2)</t>
  </si>
  <si>
    <r>
      <t>un personnage que vous touchez devient plus convaincant, mais uniquement s'il parle honnêtement. S'il se conforme à cette restriction, le personnage gagne un bonus de +30% aux tests de Charisme et peut affecter le double du nombre normal d'individus (on effectue le calcul une fois que tous les effets d'</t>
    </r>
    <r>
      <rPr>
        <sz val="10"/>
        <rFont val="Calibri"/>
        <family val="2"/>
      </rPr>
      <t>É</t>
    </r>
    <r>
      <rPr>
        <sz val="10"/>
        <rFont val="Arial"/>
        <family val="2"/>
      </rPr>
      <t>loquence et d'Orateur né ont été pris en compte). Les effets de ce sort n'ont rien d'ostentatoire (la cible n'est pas environnée d'une aura lumineuse ni accompagnée par une musique céleste), et il n'y a donc aucun moyen facile de juger de l'honnêteté du bénéficiaire. Il s'git d'un sort de contact que vous pouvez également lancer sur vous-même.</t>
    </r>
  </si>
  <si>
    <t>un miroir parfait (+3)</t>
  </si>
  <si>
    <t>une rondache (+2)</t>
  </si>
  <si>
    <t>vous créez une boule de lumière brillante de la taille d'une tête d'homme, qui flotte autour de votre corps, se déplaçant lentement ou avec vivacité, selon la situation. La boule dévie les coups qui vous prennent pour cible, vous protégeant ainsi contre les attaques. Une fois par round, la sentinelle radieuse peut parer une attaque au corps à corps qui vous prend pour cible, en utilisant votre Force Mentale en guise de Capacité de Combat. Cette parade n'est pas comptée comme votre parade pour ce round. La boule se dissipe après un nombre de minutes égal à votre valeur de Magie.</t>
  </si>
  <si>
    <t>un casque miniature sculpté dans le plomb (+2)</t>
  </si>
  <si>
    <r>
      <t xml:space="preserve">sous votre influence, les armures d'un groupe d'ennemis situés dans les 48 mètres (24 cases) pèsent aussi lourd que si elles étaient en plomb. Utilisez le grand gabarit. Tous les individus affectés subissent un malus de -10% en Capacité de Combat, Capacité de Tir et Agilité, ainsi qu'un malus de -1 en Mouvement. </t>
    </r>
    <r>
      <rPr>
        <i/>
        <sz val="10"/>
        <rFont val="Arial"/>
        <family val="2"/>
      </rPr>
      <t>Armure de plomb</t>
    </r>
    <r>
      <rPr>
        <sz val="10"/>
        <rFont val="Arial"/>
        <family val="2"/>
      </rPr>
      <t xml:space="preserve"> dure 1 minute (6 rounds).</t>
    </r>
  </si>
  <si>
    <t>une drachme d'extrait de sulfure d'arsenic (+3)</t>
  </si>
  <si>
    <t>un ciseau (+1)</t>
  </si>
  <si>
    <t>en passant votre main sur n'importe quelle surface métallique, vous faites apparaître une inscription ineffaçable sur l'objet. L'inscription peut être de n'importe quelle longueur (du moment qu'elle tient sur l'objet), mais chaque douzaine de mots en plus de la première augmente le temps d'une action complète supplémentaire. L'inscription apparaît avec votre écriture, et ceux qui la connaissent bien pourront vous identifier comme en étant l'auteur.</t>
  </si>
  <si>
    <t>une tige de fer (+1)</t>
  </si>
  <si>
    <r>
      <t xml:space="preserve">vous transmutez un objet solide et inanimé, le rendant dur comme l'acier. Il devient lourd et bien que son apparence ne change pas, on croirait du métal au contact. Généralement, cet effet provoque une augmentation de la valeur d'Encombrement de l'objet, et accroît la difficulté des tests de Force pour défoncer les portes et autres obstacles (comme les fenêtres en verre), renforce les liens de cordes, empêche les torches de prendre feu, etc. Vous devez toucher l'objet pour l'affecter. </t>
    </r>
    <r>
      <rPr>
        <i/>
        <sz val="10"/>
        <rFont val="Arial"/>
        <family val="2"/>
      </rPr>
      <t>Loi de la forme</t>
    </r>
    <r>
      <rPr>
        <sz val="10"/>
        <rFont val="Arial"/>
        <family val="2"/>
      </rPr>
      <t xml:space="preserve"> dure un nombre de minutes égal à votre valeur de Magie.</t>
    </r>
  </si>
  <si>
    <t>un os fossilisé (+2)</t>
  </si>
  <si>
    <r>
      <t xml:space="preserve">vous rendez un objet et inanimé fragile et facilement cassable. L'effet est indécelable au poids et au contact de l'objet. En général, la difficulté visant à détruire l'objet s'en trouve réduite (généralement de 1d10/2 crans), comme quand il s'agit de défoncer une porte ou une fenêtre, de rompre des liens, de briser des barreaux, etc. </t>
    </r>
    <r>
      <rPr>
        <i/>
        <sz val="10"/>
        <rFont val="Arial"/>
        <family val="2"/>
      </rPr>
      <t>Loi du temps</t>
    </r>
    <r>
      <rPr>
        <sz val="10"/>
        <rFont val="Arial"/>
        <family val="2"/>
      </rPr>
      <t xml:space="preserve"> dure un nombre de minutes égal à 1 plus votre valeur de Magie.</t>
    </r>
  </si>
  <si>
    <t>une lentille (+1)</t>
  </si>
  <si>
    <t>vous touchez un objet en métal et vous découvrez son passé, observant les circonstances de sa création et à l'instant où il fut forgé comme si vous y étiez. Par la suite, vous pouvez de vous rappeler un fait particulier concernant ce que vous avez vu en réussissant un test d'Intelligence.</t>
  </si>
  <si>
    <t>une fleur pétrifiée (+2)</t>
  </si>
  <si>
    <r>
      <t xml:space="preserve">vous altérez momentanément la qualité d'un objet inanimé pour le faire paraître plus précieux qu'il ne l'est réellement. Les sous de cuivre deviennent des couronnes d'or, une épée rouillée devient un sabre de qualité exceptionnelle et un dentier de bois brille de l'éclat de l'argent. La valeur de l'objet est multipliée par 10. </t>
    </r>
    <r>
      <rPr>
        <i/>
        <sz val="10"/>
        <rFont val="Arial"/>
        <family val="2"/>
      </rPr>
      <t>Or du fou</t>
    </r>
    <r>
      <rPr>
        <sz val="10"/>
        <rFont val="Arial"/>
        <family val="2"/>
      </rPr>
      <t xml:space="preserve"> dure un nombre d'heures égal à votre valeur de Magie. Vous devez toucher l'objet pour l'affecter.</t>
    </r>
  </si>
  <si>
    <t>un petit disque d'acier (+2)</t>
  </si>
  <si>
    <t>votre corps et votre esprit prennent les propriétés du métal, ce qui les rend forts, résistants et immuables. Vous gagnez l'équivalent de 1 point d'Armure sur toutes les localisations (cumulable avec toute autre armure pour un maximum de 5 PA) et un bonus de +10% en Force Mentale. De plus, vous découvrez que vous êtes bien moins susceptible de changer d'avis pendant la durée du sort ; cet effet n'est pas représenté par des statistiques et doit être interprété selon le bon vouloir du MJ. Ces effets durent un nombre de minutes égal à votre valeur de Magie.</t>
  </si>
  <si>
    <t>une fiole d'encre mêlée de paillettes d'or (+3)</t>
  </si>
  <si>
    <t>un soufflet d'air chaud (+1)</t>
  </si>
  <si>
    <t>vous amenez un feu déjà allumé dans une forge, un foyer ou tout autre réceptacle où la chaleur et le feu sont utilisés à des fins spécifiques par des humains, à brûler à son intensité maximale, et ce sans consumer de combustible supplémentaire pendant 1d10x10 minutes.</t>
  </si>
  <si>
    <t>la cage thoracique d'un geôlier mort (+3)</t>
  </si>
  <si>
    <t>le globe oculaire d'un meurtrier décapité (+3)</t>
  </si>
  <si>
    <t>un sablier (+1)</t>
  </si>
  <si>
    <t>un crâne humain (+2)</t>
  </si>
  <si>
    <t>de la terre issue d'une tombe profanée (+2)</t>
  </si>
  <si>
    <t>vous lancez ce sort en présence d'un cadavre, devant une sépulture ou un cimetière. Quiconque profane le cadavre ou le site à n'importe quel moment dans l'année qui suit subit les effets de la malédiction : un malus de -10% aux tests de Force Mentale, d'Intelligence et de Sociabilité, et ce pendant une semaine. Le coupable gagne également 1 point de Folie.</t>
  </si>
  <si>
    <t>un clou de fer travaillé à froid (+2)</t>
  </si>
  <si>
    <t>un couteau aiguisé (+1)</t>
  </si>
  <si>
    <r>
      <t xml:space="preserve">vous vous imprégnez de </t>
    </r>
    <r>
      <rPr>
        <i/>
        <sz val="10"/>
        <rFont val="Arial"/>
        <family val="2"/>
      </rPr>
      <t>Shysh</t>
    </r>
    <r>
      <rPr>
        <sz val="10"/>
        <rFont val="Arial"/>
        <family val="2"/>
      </rPr>
      <t>, dégageant ainsi une aura menaçante. Vous gagnez un bonus de +10% aux tests d'Intimidation pendant 1 minute (6 rounds).</t>
    </r>
  </si>
  <si>
    <t>un morceau de pierre ou de bois pris sur la clôture d'un cimetière (+2)</t>
  </si>
  <si>
    <t>à partir du moment où vous avez lancé ce sort, et tant que vous restez immobile par la suite, les morts-vivants sont incapables de vous approcher à moins de votre valeur de Magie x 4 mètres (votre valeur de Magie x 2 cases). Les momies, les vampires, les revenants et les spectres peuvent effectuer un test de Force Mentale opposé contre vous afin d'ignorer les effets de cette protection. Selon le bon vouloir du MJ, d'autres morts-vivants puissants dotés d'une volonté de fer peuvent y avoir droit aussi.</t>
  </si>
  <si>
    <t>un morceau d'un des vêtements que le défunt portait de son vivant (+2)</t>
  </si>
  <si>
    <t>un peu de maquillage de bonne qualité (+1)</t>
  </si>
  <si>
    <t>vous altérez de manière subtile le pouvoir de séduction de votre cible, en bien ou en mal, ce qui influe sur ses interactions sociales. L'effet consiste à lui conférer un bonus de +10% ou un malus de -10% (au choix) en Sociabilité pour un nombre d'heures égal à votre valeur de Magie. Une cible non consentante peut effectuer un test de Force Mentale opposé pour éviter les effets de ce sort. Il s'agit d'un sort de contact, que vous pouvez également lancer sur vous-même.</t>
  </si>
  <si>
    <t>un fragment de sabot d'un cheval qui a beaucoup voyagé (+2)</t>
  </si>
  <si>
    <r>
      <t xml:space="preserve">vous invoquez un cheval à la robe sombre et floue qui vous portera, vous et un minimum d'équipement (pas plus que ce que vous pouvez porter sans malus), sans le moindre bruit et à vive allure, jusqu'à ce que vous l'arrêtiez ou jusqu'aux premières lueurs de l'aube. Le cheval a le même profile qu'un cheval de selle ordinaire (cf. page 230 de WJDR), mais il dispose également des compétences Dissimulation (qu'il utilise avec un bonus de +30%) et Orientation. De plus, le </t>
    </r>
    <r>
      <rPr>
        <i/>
        <sz val="10"/>
        <rFont val="Arial"/>
        <family val="2"/>
      </rPr>
      <t>destrier d'ombre</t>
    </r>
    <r>
      <rPr>
        <sz val="10"/>
        <rFont val="Arial"/>
        <family val="2"/>
      </rPr>
      <t xml:space="preserve"> voyage au maximum de sa vitesse sans se fatiguer, vous transportant une fois et demi plus vite qu'un cheval de selle normal. Quand ce sort s'achève, le cheval disparaît dans un coin sombre ou dans une ombre. Vous pouvez aussi désigner un autre individu que le cheval transportera à votre place.</t>
    </r>
  </si>
  <si>
    <t>une pincée de rien en particulier (+1)</t>
  </si>
  <si>
    <t>vous devenez très facile à ignorer. Bien que les gens vous voient tout à fait nettement, ils ont tendance à ne pas vous remarquer et ne se souviennent de rien vous concernant une fois que vous êtes parti. Les individus doivent réussir un test de Force Mentale opposé afin de s'approcher de vous et de vous parler à moins que vous ne vous exprimiez en premier, même s'ils vous avaient remarqué auparavant. (Ils n'ont pas besoin de rejeter les dés en plein milieu d'une conversation, mais si, par exemple, un boutiquier réussit son jet de dés destiné à vous remarquer quand vous entez dans sa boutique mais se trouve occupé à ce moment, il devra réussir un autre jet de dés pour s'approcher de vous et vous parler plus tard au cours de votre visite.) Même ceux qui vous remarquent et vous abordent ou vous parlent doivent réussir un autre test de Force Mentale (qui n'est pas opposé) pour se souvenir de détails précis à votre sujet une fois que vous êtes parti. La nature de ce sort est telle qu'il ne trouble ni n'alarme ceux qui tentent de vous remarquer ou de se souvenir de vous : ils mettent ses effets sur le compte de la distraction, d'un trou de mémoire ou de tout autre phénomène similaire.</t>
  </si>
  <si>
    <t>un lambeau d'étoffe issue de la robe d'un revenant (+2)</t>
  </si>
  <si>
    <t>vous utilisez le pouvoir de l'illusion pour prendre une apparence effrayante et meurtrière. Vous suscitez la Peur pendant 1 minute (6 rounds).</t>
  </si>
  <si>
    <t>le suaire d'un cadavre enterré depuis au moins un an (+2)</t>
  </si>
  <si>
    <t>des bouts d'ongles de la personne à oublier (+1)</t>
  </si>
  <si>
    <t>sous votre influence, un personnage situé dans un rayon de 48 mètres (24 cases) oublie totalement votre existence. Si la cible rate un test de Force Mentale opposé, les souvenirs et connaissances de votre existence sont effacés de son esprit. Elle peut cependant vous remarquer normalement, et se souviendra de tout ce qu'elle percevra de vous à partir de cet instant.</t>
  </si>
  <si>
    <t>+5% CT</t>
  </si>
  <si>
    <t>un garrot qui a été utilisé pour étrangler un homme (+2)</t>
  </si>
  <si>
    <t>un morceau du plus fin velours, en forme de disque parfait (+3)</t>
  </si>
  <si>
    <t>un petit marteau en argent (+2)</t>
  </si>
  <si>
    <t>un globe oculaire de monstre (+1) ou n'importe quel objet de qualité exceptionnelle (+1), selon l'option choisie durant l'incantation du sort</t>
  </si>
  <si>
    <t>un peu de sève (+1)</t>
  </si>
  <si>
    <t>caractéristiques_talents_compétences</t>
  </si>
  <si>
    <t>une poignée de terre humide (+2)</t>
  </si>
  <si>
    <t>une petite statuette d'argile à votre effigie (+3)</t>
  </si>
  <si>
    <t>une feuille de chêne (+2)</t>
  </si>
  <si>
    <t>2 actions complètes ou plus</t>
  </si>
  <si>
    <t>une jeune pousse vivante (+2)</t>
  </si>
  <si>
    <r>
      <t xml:space="preserve">vous canalisez le pouvoir de </t>
    </r>
    <r>
      <rPr>
        <i/>
        <sz val="10"/>
        <rFont val="Arial"/>
        <family val="2"/>
      </rPr>
      <t>Ghyran</t>
    </r>
    <r>
      <rPr>
        <sz val="10"/>
        <rFont val="Arial"/>
        <family val="2"/>
      </rPr>
      <t xml:space="preserve"> pour donner une vitalité spectaculaire à la croissance d'une plante. Après vous être livré à l'incantation pendant une action complète, vous vous concentrez sur une plante ou une graine vivante située à portée de main. Tant que vous continuez à vous concentrer, la plante pousse à une vitesse étonnante : chaque action complète que vous passez à vous concentrer équivaut à une journée de croissance. Une plante peut pousser de l'équivalent d'une saison en quinze minutes, et en une heure, un arbre grandit d'un an. Toutefois, si vous vous concentrez trop longtemps, les plantes pourront dépasser leur cycle de vie normal et mourir. Les plantes ne peuvent pousser que dans un sol normalement capable de accueillir : un chêne ne poussera pas dans le désert, et il est impossible de faire pousser du blé sur de la roche nue.</t>
    </r>
  </si>
  <si>
    <t>une goutte d'eau pure issue d'une source naturelle (+1)</t>
  </si>
  <si>
    <t>une épine de ronce qui a déjà écorché quelqu'un (+2)</t>
  </si>
  <si>
    <t>vous provoquez une éruption de ronces qui jaillissent de la terre nue dans un rayon de 48 mètres (24 cases). Utilisez le grand gabarit. Quiconque est pris dans les ronces voit sa valeur de Mouvement réduite de moitié tant qu'il reste dans la zone affectée, et quiconque tente de se déplacer subit un coup d'une valeur de dégâts de 4. Les ronces et les épines rentrent dans le sol au bout d'un nombre de minutes égal à votre valeur de Magie.</t>
  </si>
  <si>
    <t>une branche tombée d'un arbre (+1)</t>
  </si>
  <si>
    <t>vous tendez l'oreille, à l'affût des signes subtils de la terre et des arbres, ce qui vous confère un bonus de +20% à tous les tests destinés à pister ou à obtenir des informations sur ceux qui ont récemment traversé une étendue sauvage. La plupart du temps, le bonus s'applique aux tests de Pistage, bien qu'il puisse en affecter d'autres selon la situation et la façon dont vous la gérez. Vous pouvez continuer à suivre une piste donnée, conservant les bénéfices du sort, jusqu'à ce qu'elle croise une route faite par l'homme ou une zone cultivée ou habitée.</t>
  </si>
  <si>
    <t>Vous assainissez de toute maladie végétale une parcelle de terre pouvant aller jusqu’à 2 kilomètres carrés. Cela a pour effet de sauver les plantes, les arbres, les cultures et autres végétaux, et immunise la zone contre ces mêmes maladies pour le reste de l’année. Il est également possible de lancer ce sort sur 2d10 personnes malades : la durée de toutes les maladies dont elles sont atteintes est alors réduite de moitié (arrondir à l’entier inférieur).</t>
  </si>
  <si>
    <t>vous permettez à une créature consentante de prendre la forme d'un arbre. Le type d'arbre dépend du caractère de l'individu : un personnage mélancolique endossera la forme d'un saule pleureur, tandis qu'une sorcière maléfique prendra celle d'un chêne noir. La cible conserve sa forme d'arbre pendant un nombre d'heures égal à votre valeur de Magie. Tant qu'elle est sous forme d'arbre, la créature peut voir et entendre normalement. Un personnage sous forme d'arbre est vulnérable à tout ce qui détruirait ordinairement un arbre, comme le feu, les haches, les champignons, etc. Il s'agit d'un sort de contact.</t>
  </si>
  <si>
    <t>non</t>
  </si>
  <si>
    <t>Ambassador</t>
  </si>
  <si>
    <t>Aristocrate, Capitaine, Dilettante, Marchand, Politicien</t>
  </si>
  <si>
    <t>Shades of Empire</t>
  </si>
  <si>
    <t>Admiral</t>
  </si>
  <si>
    <t>Aristocrate, Capitaine de navire</t>
  </si>
  <si>
    <t>Ambassadeur, Dilettante, Explorateur, Maître de guilde</t>
  </si>
  <si>
    <t>oui</t>
  </si>
  <si>
    <t>Hedgecraft Apprentice</t>
  </si>
  <si>
    <t>Apothicaire, Apprenti sorcier, Charlatan, Chirurgien barbier, Dilettante, Fanatique, Hors-la-loi, Initié (Ranald, Taal &amp; Rhya), Scribe, Sorcier de village, Sorcier des marches</t>
  </si>
  <si>
    <t>Cadet</t>
  </si>
  <si>
    <t>Cartographe</t>
  </si>
  <si>
    <t>Cartographer</t>
  </si>
  <si>
    <t>Artisan, Cocher, Étudiant, Messager, Navigateur, Pisteur, Scribe</t>
  </si>
  <si>
    <t>Dilettante, Érudit, Explorateur, Faussaire, Maître-artisan, Scribe, Vagabond</t>
  </si>
  <si>
    <t>Dilettante</t>
  </si>
  <si>
    <t>Apprenti sorcier, Artisan, Astrologue, Catéchiste, Charlatan, Chirurgien-barbier, Courtisan, Étudiant, Initié, Investigateur verennéen, Navigateur, Pilleur de tombes, Raconteur, Vaurien</t>
  </si>
  <si>
    <t>Animal Trainer</t>
  </si>
  <si>
    <t>Ex-Convict</t>
  </si>
  <si>
    <t>Agitateur, Contrebandier, Coupe-jarret, Escroc, Hors-la-loi, Pilleur de tombes, Spadassin, Trafiquant de cadavres, Voleur</t>
  </si>
  <si>
    <t>Bandit de grand chemin, Charlatan, Coupe-jarret, Hors-la-loi, Monte-en-l'air, Racketteur, Receleur, Spadassin, Trafiquant de cadavres, Vagabond</t>
  </si>
  <si>
    <t>Fermier</t>
  </si>
  <si>
    <t>Farmer</t>
  </si>
  <si>
    <t>Career Compendium</t>
  </si>
  <si>
    <t>Seer</t>
  </si>
  <si>
    <t>Pamphleteer</t>
  </si>
  <si>
    <t>Prelate</t>
  </si>
  <si>
    <t>Moine, Prêtre, Prêtre laïque</t>
  </si>
  <si>
    <t>Démagogue, Moine, Politicien, Prêtre</t>
  </si>
  <si>
    <t>Lay Priest</t>
  </si>
  <si>
    <t>Initié, Moine, Prêtre</t>
  </si>
  <si>
    <t>Dilettante, Moine, Prélat, Prêtre</t>
  </si>
  <si>
    <t>Hedgewise</t>
  </si>
  <si>
    <t>Sorcier des marches</t>
  </si>
  <si>
    <t>Dilettante, Médecin, Pisteur, Thaumaturge</t>
  </si>
  <si>
    <t>Hedge Master</t>
  </si>
  <si>
    <t>Dilettante, Envoûteur, Érudit, Espion, Maître-artisan, Sagemarche</t>
  </si>
  <si>
    <t>Rapscallion</t>
  </si>
  <si>
    <t>Bandit de grand chemin, Charlatan, Duelliste, Espion, Receleur</t>
  </si>
  <si>
    <t>base</t>
  </si>
  <si>
    <t>page Carrer Compendium</t>
  </si>
  <si>
    <t>Abbot</t>
  </si>
  <si>
    <t>Dilettante, Érudit, Grand prêtre</t>
  </si>
  <si>
    <t>Le Tome de la Corruption</t>
  </si>
  <si>
    <t>Agitateur, Charlatan, Chirurgien barbier, Dilettante, Hors-la-loi, Magus de Nurgle, Maraudeur, Trafiquant de cadavres</t>
  </si>
  <si>
    <t>Les Maîtres de la Nuit</t>
  </si>
  <si>
    <t>Agent of the Shroud</t>
  </si>
  <si>
    <t>Warhammer, le Jeu de Rôle</t>
  </si>
  <si>
    <t>Agitator</t>
  </si>
  <si>
    <t>Les Voies de la Damnation 2 Les Tours d'Altdorf</t>
  </si>
  <si>
    <t>Lamplighter</t>
  </si>
  <si>
    <t>Les Royaumes Renégats</t>
  </si>
  <si>
    <t>Anchorite</t>
  </si>
  <si>
    <t>Les Chevaliers du Graal</t>
  </si>
  <si>
    <t>Villager Elder</t>
  </si>
  <si>
    <t>Les Héritiers de Sigmar</t>
  </si>
  <si>
    <t>Apothecary</t>
  </si>
  <si>
    <t>Le Bestiaire du Vieux Monde</t>
  </si>
  <si>
    <t>Les Royaumes de Sorcellerie</t>
  </si>
  <si>
    <t>Combattant des tunnels, Compagnon maître des runes, Dilettante, Érudit, Porterune, Scribe</t>
  </si>
  <si>
    <t>Apprentice Wizard</t>
  </si>
  <si>
    <t>Apprentice Witch</t>
  </si>
  <si>
    <t>Horse Archer</t>
  </si>
  <si>
    <t>Enforcer</t>
  </si>
  <si>
    <t>Le Compagnon</t>
  </si>
  <si>
    <t>Stevedore</t>
  </si>
  <si>
    <t>Tradesman</t>
  </si>
  <si>
    <t>Astrologer</t>
  </si>
  <si>
    <t>Ataman</t>
  </si>
  <si>
    <t>Innkeeper</t>
  </si>
  <si>
    <t>Bourgeois, Contrebandier, Fermier, Herrimault, Hors-la-loi, Marchand, Receleur</t>
  </si>
  <si>
    <t>Whaler</t>
  </si>
  <si>
    <t>Highwayman</t>
  </si>
  <si>
    <t>Crime Lord</t>
  </si>
  <si>
    <t>Entertainer</t>
  </si>
  <si>
    <t>Boatman</t>
  </si>
  <si>
    <t>Cult Attendant</t>
  </si>
  <si>
    <t>Dilettante, Écuyer, Intendant, Politicien Prêtre</t>
  </si>
  <si>
    <t>Carcassonne Shepherd</t>
  </si>
  <si>
    <t>Norse Berserker</t>
  </si>
  <si>
    <t>Burgher</t>
  </si>
  <si>
    <t>Agitateur, Artisan, Aubergiste, Dilettante, Maquignon, Marchand, Métayer, Milicien, Muletier, Pamphlétaire, Plaideur, Receleur, Valet, Vendeur de journaux</t>
  </si>
  <si>
    <t>Woodsman</t>
  </si>
  <si>
    <t>Artillerist</t>
  </si>
  <si>
    <t>Captain</t>
  </si>
  <si>
    <t>Sea Captain</t>
  </si>
  <si>
    <t>Amiral, Aristocrate, Érudit, Espion, Explorateur</t>
  </si>
  <si>
    <t>Catechist</t>
  </si>
  <si>
    <t>Chantre, Dilettante, Érudit, Étudiant, Fanatique, Moine, Prêtre, Prêtre consacré, Scribe</t>
  </si>
  <si>
    <t>Horse Master</t>
  </si>
  <si>
    <t>Judicial Champion</t>
  </si>
  <si>
    <t>Cantor</t>
  </si>
  <si>
    <t>Bateleur, Catéchiste, Dilettante, Fanatique, Initié, Ménestrel, Prêtre</t>
  </si>
  <si>
    <t>Charcoal Burner</t>
  </si>
  <si>
    <t>Chasseur</t>
  </si>
  <si>
    <t>Hunter</t>
  </si>
  <si>
    <t>Terreur à Talabheim</t>
  </si>
  <si>
    <t>Horned Hunter</t>
  </si>
  <si>
    <t>Bounty Hunter</t>
  </si>
  <si>
    <t>Vampire Hunter</t>
  </si>
  <si>
    <t>Outlaw Chief</t>
  </si>
  <si>
    <t>Warleader</t>
  </si>
  <si>
    <t>Knight</t>
  </si>
  <si>
    <t>Questing Knight</t>
  </si>
  <si>
    <t>Aristocrate, Capitaine, Champion, Chevalier du Corbeau, Dilettante, Grand maître, Répurgateur</t>
  </si>
  <si>
    <t>Knight of the Verdant Field</t>
  </si>
  <si>
    <t>Knight of the Raven</t>
  </si>
  <si>
    <t>Capitaine, Champion, Chevalier du Cercle Intérieur, Dilettante, Répurgateur, Tueur de morts</t>
  </si>
  <si>
    <t>Grail Knight</t>
  </si>
  <si>
    <t>Knight of the Realm</t>
  </si>
  <si>
    <t>Knight of the Blazing Sun</t>
  </si>
  <si>
    <t>Capitaine, Champion, Chevalier du Cercle Intérieur, Dilettante, Explorateur, Initié</t>
  </si>
  <si>
    <t>Knight Errant</t>
  </si>
  <si>
    <t>Bonepicker</t>
  </si>
  <si>
    <t>Barber-Surgeron</t>
  </si>
  <si>
    <t>Agent du Suaire, Apothicaire, Artisan, Bourreau, Dilettante, Embaumeur, Médecin, Trafiquant de cadavres, Vagabond</t>
  </si>
  <si>
    <t>Coachman</t>
  </si>
  <si>
    <t>Toll Keeper</t>
  </si>
  <si>
    <t>Shieldbreaker</t>
  </si>
  <si>
    <t>Journeyman Runesmith</t>
  </si>
  <si>
    <t>Combattant des tunnels, Dilettante, Érudit, Maître des runes</t>
  </si>
  <si>
    <t>Journeyman Wizard</t>
  </si>
  <si>
    <t>Dilettante, Seigneur vampire</t>
  </si>
  <si>
    <t>Drover</t>
  </si>
  <si>
    <t>Smuggler</t>
  </si>
  <si>
    <t>Foreman</t>
  </si>
  <si>
    <t>Thug</t>
  </si>
  <si>
    <t>Courtier</t>
  </si>
  <si>
    <t>Border Courtier</t>
  </si>
  <si>
    <t>Crusader</t>
  </si>
  <si>
    <t>Estalian Diestro</t>
  </si>
  <si>
    <t>Bear Tamer</t>
  </si>
  <si>
    <t>Bateleur, Dresseur, Initié (Ursun), Prêtre (Ursun)</t>
  </si>
  <si>
    <t>Bateleur, Dresseur, Gladiateur, Initié (Ursun), Soldat</t>
  </si>
  <si>
    <t>Duellist</t>
  </si>
  <si>
    <t>Outrider</t>
  </si>
  <si>
    <t>Cataclyste, Dilettante</t>
  </si>
  <si>
    <t>Swamp Skimmer</t>
  </si>
  <si>
    <t>Les Voies de la Damnation 1 Les Cendres de Middenheim</t>
  </si>
  <si>
    <t>Sewer Jack</t>
  </si>
  <si>
    <t>Embaumeur</t>
  </si>
  <si>
    <t>Envoy</t>
  </si>
  <si>
    <t>Witch</t>
  </si>
  <si>
    <t>Scholar</t>
  </si>
  <si>
    <t>Slaver</t>
  </si>
  <si>
    <t>Esclave</t>
  </si>
  <si>
    <t>Slave</t>
  </si>
  <si>
    <t>Rogue</t>
  </si>
  <si>
    <t>Spy</t>
  </si>
  <si>
    <t>Student</t>
  </si>
  <si>
    <t>Exorcist</t>
  </si>
  <si>
    <t>Explorer</t>
  </si>
  <si>
    <t>Zealot</t>
  </si>
  <si>
    <t>Forger</t>
  </si>
  <si>
    <t>Wise Woman</t>
  </si>
  <si>
    <t>Grave Warden</t>
  </si>
  <si>
    <t>Scourge of God</t>
  </si>
  <si>
    <t>Targeteer</t>
  </si>
  <si>
    <t>Cloaked Brother</t>
  </si>
  <si>
    <t>Watchman</t>
  </si>
  <si>
    <t>Deepwatcher</t>
  </si>
  <si>
    <t>Bodyguard</t>
  </si>
  <si>
    <t>Black Guard</t>
  </si>
  <si>
    <t>Temple Guardian</t>
  </si>
  <si>
    <t>Jailer</t>
  </si>
  <si>
    <t>Pit Fighter</t>
  </si>
  <si>
    <t>Grandmaster</t>
  </si>
  <si>
    <t>Aristocrate, Capitaine, Champion, Dilettante, Répurgateur</t>
  </si>
  <si>
    <t>High Priest</t>
  </si>
  <si>
    <t>Le Duché des Damnés</t>
  </si>
  <si>
    <t>Frogwife</t>
  </si>
  <si>
    <t>Herald</t>
  </si>
  <si>
    <t>Agitateur, Bateleur, Courtisan, Dilettante, Écuyer, Explorateur, Politicien</t>
  </si>
  <si>
    <t>Herrimault</t>
  </si>
  <si>
    <t>Champion hiérogrammate, Dilettante</t>
  </si>
  <si>
    <t>Man-at-Arms</t>
  </si>
  <si>
    <t>Bondsman</t>
  </si>
  <si>
    <t>Hors-la-loi</t>
  </si>
  <si>
    <t>Outlaw</t>
  </si>
  <si>
    <t>Engineer</t>
  </si>
  <si>
    <t>Wall Warden</t>
  </si>
  <si>
    <t>Initiate</t>
  </si>
  <si>
    <t>Steward</t>
  </si>
  <si>
    <t>Gambler</t>
  </si>
  <si>
    <t>Bandit de grand chemin, Bateleur, Charlatan, Démagogue, Dilettante, Escroc, Vaurien</t>
  </si>
  <si>
    <t>Kislevite Kossar</t>
  </si>
  <si>
    <t>Master Vigilant</t>
  </si>
  <si>
    <t>Dilettante, Espion, Maître sorcier, Répurgateur, Seigneur sorcier</t>
  </si>
  <si>
    <t>Dilettante, Guerrier du Chaos, Malédictor</t>
  </si>
  <si>
    <t>Guild Master</t>
  </si>
  <si>
    <t>Dilettante, Seigneur hiérogrammate</t>
  </si>
  <si>
    <t>Master Wizard</t>
  </si>
  <si>
    <t>Astrologue, Dilettante, Érudit, Explorateur, Magister vigilant, Seigneur sorcier</t>
  </si>
  <si>
    <t>Apothicaire, Artisan, Cartographe, Faussaire, Ingénieur, Ingénieur du Chaos, Métayer, Milicien, Navigateur, Sorcier des marches</t>
  </si>
  <si>
    <t>Apprenti maître des runes, Démagogue, Faussaire, Ingénieur, Maître de guilde, Marchand, Milicien, Pamphlétaire</t>
  </si>
  <si>
    <t>Badlander</t>
  </si>
  <si>
    <t>Maledictor</t>
  </si>
  <si>
    <t>Dilettante, Tisseruine</t>
  </si>
  <si>
    <t>Marauder</t>
  </si>
  <si>
    <t>Merchant</t>
  </si>
  <si>
    <t>Swampaire</t>
  </si>
  <si>
    <t>Seaman</t>
  </si>
  <si>
    <t>Marine</t>
  </si>
  <si>
    <t>Hag Mother</t>
  </si>
  <si>
    <t>Physician</t>
  </si>
  <si>
    <t>Astrologue, Dilettante, Érudit, Espion, Maître de guilde, Moine, Moine mendiant</t>
  </si>
  <si>
    <t>Mediator</t>
  </si>
  <si>
    <t>Ministrel</t>
  </si>
  <si>
    <t>Mercenaire</t>
  </si>
  <si>
    <t>Mercenary</t>
  </si>
  <si>
    <t>Messenger</t>
  </si>
  <si>
    <t>Freeholder</t>
  </si>
  <si>
    <t>Militiaman</t>
  </si>
  <si>
    <t>Mineur</t>
  </si>
  <si>
    <t>Miner</t>
  </si>
  <si>
    <t>Friar</t>
  </si>
  <si>
    <t>Catéchiste, Démagogue, Érudit, Fanatique, Initié, Médecin, Moine mendiant, Pèlerin, Prélat, Prêtre laïque, Vagabond</t>
  </si>
  <si>
    <t>Monk</t>
  </si>
  <si>
    <t>Cat Burglar</t>
  </si>
  <si>
    <t>Muleskinner</t>
  </si>
  <si>
    <t>Bandit de grand chemin, Bourgeois, Dresseur, Hors-la-loi, Marchand, Messager, Pisteur</t>
  </si>
  <si>
    <t>Mystic</t>
  </si>
  <si>
    <t>Strigany Mystic</t>
  </si>
  <si>
    <t>Wrecker</t>
  </si>
  <si>
    <t>Astrologue, Capitaine de navire, Cartographe, Dilettante, Érudit, Explorateur, Maître-artisan</t>
  </si>
  <si>
    <t>Noble</t>
  </si>
  <si>
    <t>Steppes Nomad</t>
  </si>
  <si>
    <t>Mate</t>
  </si>
  <si>
    <t>Passeur</t>
  </si>
  <si>
    <t>Ferryman</t>
  </si>
  <si>
    <t>Roadwarden</t>
  </si>
  <si>
    <t>River Warden</t>
  </si>
  <si>
    <t>Peasant</t>
  </si>
  <si>
    <t>Fisherman</t>
  </si>
  <si>
    <t>Pilgrim</t>
  </si>
  <si>
    <t>Grail Pilgrim</t>
  </si>
  <si>
    <t>Battle Pilgrim</t>
  </si>
  <si>
    <t>Penitent</t>
  </si>
  <si>
    <t>Exciseman</t>
  </si>
  <si>
    <t>Agitateur, Dilettante, Hors-la-loi, Marchand, Milicien, Patrouilleur, Plaideur, Voleur</t>
  </si>
  <si>
    <t>Reaver</t>
  </si>
  <si>
    <t>Tomb Robber</t>
  </si>
  <si>
    <t>Combattant des tunnels, Dilettante, Porterune, Voleur</t>
  </si>
  <si>
    <t>Agent du Suaire, Chasseur de vampires, Combattant des tunnels, Dilettante, Ex-détenu, Garde des profondeurs, Ratier, Receleur, Voleur</t>
  </si>
  <si>
    <t>Scout</t>
  </si>
  <si>
    <t>Litigant</t>
  </si>
  <si>
    <t>Politician</t>
  </si>
  <si>
    <t>Runebearer</t>
  </si>
  <si>
    <t>Priest</t>
  </si>
  <si>
    <t>Anointed Priest</t>
  </si>
  <si>
    <t>Warrior Priest</t>
  </si>
  <si>
    <t>Master Thief</t>
  </si>
  <si>
    <t>Baron du crime, Chef de bande, Dilettante, Explorateur, Franc-archer, Frère de la cape</t>
  </si>
  <si>
    <t>Racketeer</t>
  </si>
  <si>
    <t>Raconteur</t>
  </si>
  <si>
    <t>Les Voies de la Damnation 3 Les Forges de Nuln</t>
  </si>
  <si>
    <t>Dung Collector</t>
  </si>
  <si>
    <t>Ramoneur</t>
  </si>
  <si>
    <t>Chemneysweeper</t>
  </si>
  <si>
    <t>Ratier</t>
  </si>
  <si>
    <t>Rat Catcher</t>
  </si>
  <si>
    <t>Fence</t>
  </si>
  <si>
    <t>Bailiff</t>
  </si>
  <si>
    <t>Collecteur de taxes, Contrebandier, Dilettante, Milicien, Politicien, Racketteur, Spadassin</t>
  </si>
  <si>
    <t>Witch Hunter</t>
  </si>
  <si>
    <t>Badlands Ranger</t>
  </si>
  <si>
    <t>Ghost Strider</t>
  </si>
  <si>
    <t>Faceless</t>
  </si>
  <si>
    <t>Skald</t>
  </si>
  <si>
    <t>Scribe</t>
  </si>
  <si>
    <t>Runelord</t>
  </si>
  <si>
    <t>Capitaine, Dilettante, Maître de guilde</t>
  </si>
  <si>
    <t>Wizard Lord</t>
  </si>
  <si>
    <t>Fieldwarden</t>
  </si>
  <si>
    <t>Servant</t>
  </si>
  <si>
    <t>Soldier</t>
  </si>
  <si>
    <t>Hedge Wizard</t>
  </si>
  <si>
    <t>Ice Witch</t>
  </si>
  <si>
    <t>Ambassadeur, Capitaine, Dilettante</t>
  </si>
  <si>
    <t>Protagonist</t>
  </si>
  <si>
    <t>Chasseur de primes, Diestro estalien, Ex-détenu, Garde du corps, Gladiateur, Ramoneur, Régisseur</t>
  </si>
  <si>
    <t>Hag Witch</t>
  </si>
  <si>
    <t>Streltsi</t>
  </si>
  <si>
    <t>Chekist</t>
  </si>
  <si>
    <t>Warlock</t>
  </si>
  <si>
    <t>Apprenti sorcier, Charlatan, Dilettante, Hors-la-loi, Scribe, Vagabond</t>
  </si>
  <si>
    <t>Grave Robber</t>
  </si>
  <si>
    <t>Étudiant, Ex-détenu, Monte-en-l'air, Ramasseur de fumier, Ratier, Receleur, Voleur</t>
  </si>
  <si>
    <t>Daemon Slayer</t>
  </si>
  <si>
    <t>Giant Slayer</t>
  </si>
  <si>
    <t>Killer of the Dead</t>
  </si>
  <si>
    <t>Troll Slayer</t>
  </si>
  <si>
    <t>Vagabond</t>
  </si>
  <si>
    <t>Valet</t>
  </si>
  <si>
    <t>Comte vampire, (Lhamiane, Nécrarque) Dilettante</t>
  </si>
  <si>
    <t>Newssheet Vendor</t>
  </si>
  <si>
    <t>Veteran</t>
  </si>
  <si>
    <t>Ice Maiden</t>
  </si>
  <si>
    <t>Vitki</t>
  </si>
  <si>
    <t>Voleur</t>
  </si>
  <si>
    <t>Thief</t>
  </si>
  <si>
    <t>Yeoman</t>
  </si>
  <si>
    <t>Elfe</t>
  </si>
  <si>
    <t>Les Deux Bœufs</t>
  </si>
  <si>
    <t>localisation</t>
  </si>
  <si>
    <t>Site Web officiel</t>
  </si>
  <si>
    <t>Chief</t>
  </si>
  <si>
    <t>Apprentice Runesmith</t>
  </si>
  <si>
    <t>Interrogator</t>
  </si>
  <si>
    <t>Executor</t>
  </si>
  <si>
    <t>Master Runesmith</t>
  </si>
  <si>
    <t>Ordinaire</t>
  </si>
  <si>
    <t>X</t>
  </si>
  <si>
    <t>Défensive</t>
  </si>
  <si>
    <t>Attributs 1</t>
  </si>
  <si>
    <t>Attributs 2</t>
  </si>
  <si>
    <t>Attributs 3</t>
  </si>
  <si>
    <t>Hache à 1 main</t>
  </si>
  <si>
    <t>Masse/marteau à 1 main</t>
  </si>
  <si>
    <t>Pic de guerre</t>
  </si>
  <si>
    <t>Percutante</t>
  </si>
  <si>
    <t>Assomante</t>
  </si>
  <si>
    <t>Lente</t>
  </si>
  <si>
    <t>Immobilisante</t>
  </si>
  <si>
    <t>Perforante</t>
  </si>
  <si>
    <t>Précise</t>
  </si>
  <si>
    <t>Rapide</t>
  </si>
  <si>
    <t>Spéciale</t>
  </si>
  <si>
    <t>A mitraille</t>
  </si>
  <si>
    <t>Expérimentale</t>
  </si>
  <si>
    <t>Peu Fiable</t>
  </si>
  <si>
    <t>Lance de chasse d'elfe</t>
  </si>
  <si>
    <t>Groupes Armes</t>
  </si>
  <si>
    <t>A 2 Mains</t>
  </si>
  <si>
    <t>A poudre</t>
  </si>
  <si>
    <t>Lourde</t>
  </si>
  <si>
    <t>Cavalerie</t>
  </si>
  <si>
    <t>Fléaux</t>
  </si>
  <si>
    <t>Escrime</t>
  </si>
  <si>
    <t>Arc Long</t>
  </si>
  <si>
    <t>Arbalète</t>
  </si>
  <si>
    <t>Paralysante</t>
  </si>
  <si>
    <t>Lance-Pierre</t>
  </si>
  <si>
    <t>De jet</t>
  </si>
  <si>
    <t>Mécanique</t>
  </si>
  <si>
    <t>Explosif</t>
  </si>
  <si>
    <t>Exotique</t>
  </si>
  <si>
    <t>Pique Tiléene</t>
  </si>
  <si>
    <t>Hache à 2 mains</t>
  </si>
  <si>
    <t>Masse/marteau à 2 mains</t>
  </si>
  <si>
    <t>Marteau du Loup Blanc</t>
  </si>
  <si>
    <t>Kikoup</t>
  </si>
  <si>
    <t>Arme Improvisée</t>
  </si>
  <si>
    <t>Bouclier</t>
  </si>
  <si>
    <t>Brise-épée</t>
  </si>
  <si>
    <t>Dague</t>
  </si>
  <si>
    <t>Demi-lance</t>
  </si>
  <si>
    <t>Fléau d'armes</t>
  </si>
  <si>
    <t>Fleuret</t>
  </si>
  <si>
    <t>Gantelet/Coup de poing</t>
  </si>
  <si>
    <t>Hallebarde</t>
  </si>
  <si>
    <t>Lance d'arçon</t>
  </si>
  <si>
    <t>Lance</t>
  </si>
  <si>
    <t>Main Gauche</t>
  </si>
  <si>
    <t>Morgenstern</t>
  </si>
  <si>
    <t>Rapière</t>
  </si>
  <si>
    <t>Rondache</t>
  </si>
  <si>
    <t>30/60</t>
  </si>
  <si>
    <t>Arbalète à répétition</t>
  </si>
  <si>
    <t>16/32</t>
  </si>
  <si>
    <t>Arbalète de poing</t>
  </si>
  <si>
    <t>Arc</t>
  </si>
  <si>
    <t>24/48</t>
  </si>
  <si>
    <t>Arc court</t>
  </si>
  <si>
    <t>Arc elfique</t>
  </si>
  <si>
    <t>Arc long</t>
  </si>
  <si>
    <t>36/72</t>
  </si>
  <si>
    <t>Arme de jet improvisée</t>
  </si>
  <si>
    <t>6/0</t>
  </si>
  <si>
    <t>Bolas</t>
  </si>
  <si>
    <t>Filet</t>
  </si>
  <si>
    <t>8/16</t>
  </si>
  <si>
    <t>6/12</t>
  </si>
  <si>
    <t>4/8</t>
  </si>
  <si>
    <t>Fouet</t>
  </si>
  <si>
    <t>6/-</t>
  </si>
  <si>
    <t>Fronde</t>
  </si>
  <si>
    <t>Hache/marteau de jet</t>
  </si>
  <si>
    <t>8/-</t>
  </si>
  <si>
    <t>Lasso</t>
  </si>
  <si>
    <t>Arquebuse à répétition</t>
  </si>
  <si>
    <t>Arquebuse</t>
  </si>
  <si>
    <t>Bombe</t>
  </si>
  <si>
    <t>4/20</t>
  </si>
  <si>
    <t>Engin incendiaire</t>
  </si>
  <si>
    <t>Jezzail</t>
  </si>
  <si>
    <t>24/72</t>
  </si>
  <si>
    <t>Long fusil du Hochland</t>
  </si>
  <si>
    <t>48/96</t>
  </si>
  <si>
    <t>Patte-de-canard</t>
  </si>
  <si>
    <t>16/-</t>
  </si>
  <si>
    <t>Pistolet à répétition</t>
  </si>
  <si>
    <t xml:space="preserve">Pistolet  </t>
  </si>
  <si>
    <t>Tromblon</t>
  </si>
  <si>
    <t>Arcubaliste</t>
  </si>
  <si>
    <t>Baliste</t>
  </si>
  <si>
    <t>Oxybèle</t>
  </si>
  <si>
    <t>Scorpion</t>
  </si>
  <si>
    <t>50/100</t>
  </si>
  <si>
    <t>150/300</t>
  </si>
  <si>
    <t>70/150</t>
  </si>
  <si>
    <t>100/200</t>
  </si>
  <si>
    <t>34/68</t>
  </si>
  <si>
    <t>Khopesh</t>
  </si>
  <si>
    <t>Hache d'arme elfique</t>
  </si>
  <si>
    <t>Pavois</t>
  </si>
  <si>
    <t>PA</t>
  </si>
  <si>
    <t>Prix</t>
  </si>
  <si>
    <t>Disponibilité</t>
  </si>
  <si>
    <t>AC</t>
  </si>
  <si>
    <t>Calotte de cuir</t>
  </si>
  <si>
    <t>C</t>
  </si>
  <si>
    <t>Gilet de cuir</t>
  </si>
  <si>
    <t>Veste de cuir</t>
  </si>
  <si>
    <t>Jambières de cuir</t>
  </si>
  <si>
    <t>I</t>
  </si>
  <si>
    <t>Calotte de cuir cloutée</t>
  </si>
  <si>
    <t>Gilet de cuir clouté</t>
  </si>
  <si>
    <t>Veste de cuir cloutée</t>
  </si>
  <si>
    <t>Jambières de cuir cloutées</t>
  </si>
  <si>
    <t>Cagoule de mailles</t>
  </si>
  <si>
    <t>Chemise de mailles</t>
  </si>
  <si>
    <t>Gilet de mailles</t>
  </si>
  <si>
    <t>Jambières de mailles</t>
  </si>
  <si>
    <t>Manteau de mailles</t>
  </si>
  <si>
    <t>Manteau de mailles à manches</t>
  </si>
  <si>
    <t xml:space="preserve">Cagoule d'écailles </t>
  </si>
  <si>
    <t xml:space="preserve">Chemise d'écailles </t>
  </si>
  <si>
    <t xml:space="preserve">Gilet d'écailles </t>
  </si>
  <si>
    <t xml:space="preserve">Jambières d'écailles </t>
  </si>
  <si>
    <t xml:space="preserve">Manteau d'écailles </t>
  </si>
  <si>
    <t>Manteau d'écailles à manches</t>
  </si>
  <si>
    <t>Brassards d'acier</t>
  </si>
  <si>
    <t>Casque</t>
  </si>
  <si>
    <t>Jambières d'acier</t>
  </si>
  <si>
    <t>Plastron</t>
  </si>
  <si>
    <t xml:space="preserve">Cagoule de mailles d'Ithilmar </t>
  </si>
  <si>
    <t>Chemise de mailles d'Ithilmar</t>
  </si>
  <si>
    <t>Gilet de mailles d'Ithilmar</t>
  </si>
  <si>
    <t>Jambières de mailles d'Ithilmar</t>
  </si>
  <si>
    <t>Manteau de mailles d'Ithilmar</t>
  </si>
  <si>
    <t>Manteau de mailles d'Ithilmar à manches</t>
  </si>
  <si>
    <t>Casque de gromril</t>
  </si>
  <si>
    <t>Plastron de gromril</t>
  </si>
  <si>
    <t>R</t>
  </si>
  <si>
    <t>TR</t>
  </si>
  <si>
    <t>Brassards de gromril</t>
  </si>
  <si>
    <t>Jambières de gromril</t>
  </si>
  <si>
    <t>Armures portées</t>
  </si>
  <si>
    <t>Armes portées</t>
  </si>
  <si>
    <t>except.</t>
  </si>
  <si>
    <t>Spécialisation</t>
  </si>
  <si>
    <t>Compétence</t>
  </si>
  <si>
    <t>O4</t>
  </si>
  <si>
    <t>O5</t>
  </si>
  <si>
    <t>O6</t>
  </si>
  <si>
    <t>O7</t>
  </si>
  <si>
    <t>O8</t>
  </si>
  <si>
    <t>O9</t>
  </si>
  <si>
    <t>O10</t>
  </si>
  <si>
    <t>O11</t>
  </si>
  <si>
    <t>O12</t>
  </si>
  <si>
    <t>O13</t>
  </si>
  <si>
    <t>O14</t>
  </si>
  <si>
    <t>O15</t>
  </si>
  <si>
    <t>O16</t>
  </si>
  <si>
    <t>O17</t>
  </si>
  <si>
    <t>O18</t>
  </si>
  <si>
    <t>O19</t>
  </si>
  <si>
    <t>O20</t>
  </si>
  <si>
    <t>Mains Nues</t>
  </si>
  <si>
    <t>+10% en Equitation</t>
  </si>
  <si>
    <t>b31</t>
  </si>
  <si>
    <t>b32</t>
  </si>
  <si>
    <t>b33</t>
  </si>
  <si>
    <t>b34</t>
  </si>
  <si>
    <t>b35</t>
  </si>
  <si>
    <t>b36</t>
  </si>
  <si>
    <t>b37</t>
  </si>
  <si>
    <t>b38</t>
  </si>
  <si>
    <t>b39</t>
  </si>
  <si>
    <t>b40</t>
  </si>
  <si>
    <t>b41</t>
  </si>
  <si>
    <t>b42</t>
  </si>
  <si>
    <t>b43</t>
  </si>
  <si>
    <t>b44</t>
  </si>
  <si>
    <t>b45</t>
  </si>
  <si>
    <t>b46</t>
  </si>
  <si>
    <t>b47</t>
  </si>
  <si>
    <t>b48</t>
  </si>
  <si>
    <t>b49</t>
  </si>
  <si>
    <t>b50</t>
  </si>
  <si>
    <t>+10% E contre les maladies</t>
  </si>
  <si>
    <t>+10% E contre le poison</t>
  </si>
  <si>
    <t>+10% E contre les poisons</t>
  </si>
  <si>
    <t>saut= 1/2 action et portée du saut +1m</t>
  </si>
  <si>
    <t>Nbr. Act. Rech.</t>
  </si>
  <si>
    <t>Posture piquier</t>
  </si>
  <si>
    <t>Viser</t>
  </si>
  <si>
    <t>Rune</t>
  </si>
  <si>
    <t>Rune Majeure</t>
  </si>
  <si>
    <t>Création de runes</t>
  </si>
  <si>
    <t>Vous connaissez une rune et savez l'utiliser</t>
  </si>
  <si>
    <t>Vous connaissez une rune majeure et savez l'utiliser</t>
  </si>
  <si>
    <t>Sort Supplémentaire</t>
  </si>
  <si>
    <t>permet d'avoir un sort de son domaine hors liste</t>
  </si>
  <si>
    <t>Etreinte de l'ours</t>
  </si>
  <si>
    <t>+10 tests prises, +1 F pour dégâts dans les prises</t>
  </si>
  <si>
    <t>Tradition de sorcières</t>
  </si>
  <si>
    <t>Métiers</t>
  </si>
  <si>
    <t>Caractéristique associée</t>
  </si>
  <si>
    <t>Arquebusier</t>
  </si>
  <si>
    <t>Brasseur</t>
  </si>
  <si>
    <t>Charpentier naval</t>
  </si>
  <si>
    <t>Revenus</t>
  </si>
  <si>
    <t>Détaillant</t>
  </si>
  <si>
    <t>Ajusteur/Scieur</t>
  </si>
  <si>
    <t>Spécialiste</t>
  </si>
  <si>
    <t>Banquier/Courtier</t>
  </si>
  <si>
    <t>Carreleur/Couvreur</t>
  </si>
  <si>
    <t>Charretier/Cocher/Roulier</t>
  </si>
  <si>
    <t>Charron</t>
  </si>
  <si>
    <t>Chirurgien</t>
  </si>
  <si>
    <t>Comptable/Percepteur</t>
  </si>
  <si>
    <t>Copiste</t>
  </si>
  <si>
    <t>Coutelier</t>
  </si>
  <si>
    <t>Couturier/Tailleur</t>
  </si>
  <si>
    <t>Crémier/Fromager</t>
  </si>
  <si>
    <t>Fabricant d'arcs</t>
  </si>
  <si>
    <t>Fabricant d'armes</t>
  </si>
  <si>
    <t>Fabricant d'armures</t>
  </si>
  <si>
    <t>Fabricant de colle</t>
  </si>
  <si>
    <t>Fabricant de roues</t>
  </si>
  <si>
    <t>Fondeur</t>
  </si>
  <si>
    <t>Forgeron/Maréchal-ferrant</t>
  </si>
  <si>
    <t>Fourreur</t>
  </si>
  <si>
    <t>Homme de loi</t>
  </si>
  <si>
    <t>Joailler/Bijoutier</t>
  </si>
  <si>
    <t>Libraire/Bibliothécaire</t>
  </si>
  <si>
    <t>Maçon</t>
  </si>
  <si>
    <t>Négociant/Importateur</t>
  </si>
  <si>
    <t>Parfumeur</t>
  </si>
  <si>
    <t>Peintre en bâtiment</t>
  </si>
  <si>
    <t>Salon de beauté</t>
  </si>
  <si>
    <t>Souffleur/Vitrier/Cristallier</t>
  </si>
  <si>
    <t>Teinturier</t>
  </si>
  <si>
    <t>Tenancier de théâtre</t>
  </si>
  <si>
    <t>Vendeur de chevaux</t>
  </si>
  <si>
    <t>Orphèvre</t>
  </si>
  <si>
    <t>Prospecteur</t>
  </si>
  <si>
    <t>Artiste</t>
  </si>
  <si>
    <t>Aubergiste/Hôtelier</t>
  </si>
  <si>
    <t>Barbier/Coiffeur</t>
  </si>
  <si>
    <t>Cuisinier/Marmiton</t>
  </si>
  <si>
    <t>Templier</t>
  </si>
  <si>
    <t>Rodeur</t>
  </si>
  <si>
    <t>Arts</t>
  </si>
  <si>
    <t>Astronomie</t>
  </si>
  <si>
    <t>Démonologie</t>
  </si>
  <si>
    <t>Droit</t>
  </si>
  <si>
    <t>Histoire</t>
  </si>
  <si>
    <t>Ingénierie</t>
  </si>
  <si>
    <t>Généalogie/Héraldique</t>
  </si>
  <si>
    <t>Magie</t>
  </si>
  <si>
    <t>Nécromancie</t>
  </si>
  <si>
    <t>Philosophie</t>
  </si>
  <si>
    <t>Runes</t>
  </si>
  <si>
    <t>Stratégie/Tactique</t>
  </si>
  <si>
    <t>Théologie</t>
  </si>
  <si>
    <t>Con.Académiques</t>
  </si>
  <si>
    <t>48 kg</t>
  </si>
  <si>
    <t>Con.Générales</t>
  </si>
  <si>
    <t>Bretonnie</t>
  </si>
  <si>
    <t>Elfes</t>
  </si>
  <si>
    <t>Empire</t>
  </si>
  <si>
    <t>Estalie</t>
  </si>
  <si>
    <t>Halflings</t>
  </si>
  <si>
    <t>Kislev</t>
  </si>
  <si>
    <t>Nains</t>
  </si>
  <si>
    <t>Norsca</t>
  </si>
  <si>
    <t>Pays perdu</t>
  </si>
  <si>
    <t>Principautés</t>
  </si>
  <si>
    <t>Albion</t>
  </si>
  <si>
    <t>Ind</t>
  </si>
  <si>
    <t>Lustrie</t>
  </si>
  <si>
    <t>Cathay</t>
  </si>
  <si>
    <t>Nippon</t>
  </si>
  <si>
    <t>Arabie</t>
  </si>
  <si>
    <t>Skavens</t>
  </si>
  <si>
    <t>Hommes-bêtes</t>
  </si>
  <si>
    <t>Vampires</t>
  </si>
  <si>
    <t>bretonnien</t>
  </si>
  <si>
    <t>estalien</t>
  </si>
  <si>
    <t>halfling</t>
  </si>
  <si>
    <t>khazalid</t>
  </si>
  <si>
    <t>norse</t>
  </si>
  <si>
    <t>reikspiel</t>
  </si>
  <si>
    <t>queeqish</t>
  </si>
  <si>
    <t>goblinoïde</t>
  </si>
  <si>
    <t>demonik</t>
  </si>
  <si>
    <t>elfe mystique</t>
  </si>
  <si>
    <t>nain mystique</t>
  </si>
  <si>
    <t>magick</t>
  </si>
  <si>
    <t>Exp.Artistique</t>
  </si>
  <si>
    <t>acrobate</t>
  </si>
  <si>
    <t>acteur</t>
  </si>
  <si>
    <t>bouffon</t>
  </si>
  <si>
    <t>chanteur</t>
  </si>
  <si>
    <t>chiromancien</t>
  </si>
  <si>
    <t>clown</t>
  </si>
  <si>
    <t>comédien</t>
  </si>
  <si>
    <t>conteur</t>
  </si>
  <si>
    <t>cracheur de feu</t>
  </si>
  <si>
    <t>danseur</t>
  </si>
  <si>
    <t>jongleur</t>
  </si>
  <si>
    <t>mime</t>
  </si>
  <si>
    <t>musicien</t>
  </si>
  <si>
    <t>Affinité provinciale</t>
  </si>
  <si>
    <t>+10% Connaiss. Générales dans cette province</t>
  </si>
  <si>
    <t>ethnies</t>
  </si>
  <si>
    <t>Sylvanie</t>
  </si>
  <si>
    <t>Maladies</t>
  </si>
  <si>
    <t>+10% vs Peur et Terreur; +10% FM vs Intimidation</t>
  </si>
  <si>
    <t>Vil ensorcelement</t>
  </si>
  <si>
    <t>Permet d'acheter n'importe quel sort pour 200XP</t>
  </si>
  <si>
    <t>Diarrhée sanglante</t>
  </si>
  <si>
    <t>Courante galopante</t>
  </si>
  <si>
    <t>Variole verte</t>
  </si>
  <si>
    <t>Kruts</t>
  </si>
  <si>
    <t>Pourriture de Neiglish</t>
  </si>
  <si>
    <t>Scorbut Dément</t>
  </si>
  <si>
    <t>Fièvre du pied purulent</t>
  </si>
  <si>
    <t>Toux du charançon</t>
  </si>
  <si>
    <t>Sarbacane</t>
  </si>
  <si>
    <t>Vérole des ordures</t>
  </si>
  <si>
    <t>VD1 40</t>
  </si>
  <si>
    <t>WJDR 136</t>
  </si>
  <si>
    <t>WJDR 137</t>
  </si>
  <si>
    <t>Bête intérieure</t>
  </si>
  <si>
    <t>WJDR 202</t>
  </si>
  <si>
    <t>Cœur du désespoir</t>
  </si>
  <si>
    <t>Cœur perdu</t>
  </si>
  <si>
    <t>Corruption du Chaos</t>
  </si>
  <si>
    <t>WJDR 203</t>
  </si>
  <si>
    <t>Délire héroïque</t>
  </si>
  <si>
    <t>Désespéré et fataliste</t>
  </si>
  <si>
    <t>Esclave du jeu</t>
  </si>
  <si>
    <t>WJDR 204</t>
  </si>
  <si>
    <t>Grande peur</t>
  </si>
  <si>
    <t>Hôte du démon</t>
  </si>
  <si>
    <t>WJDR 205</t>
  </si>
  <si>
    <t>Idées venimeuses</t>
  </si>
  <si>
    <t>Lunatique</t>
  </si>
  <si>
    <t>Main du démon</t>
  </si>
  <si>
    <t>Dépendance (Mandragorite)</t>
  </si>
  <si>
    <t>WJDR 206</t>
  </si>
  <si>
    <t>Putréfaction dévorante</t>
  </si>
  <si>
    <t>Pyromanie</t>
  </si>
  <si>
    <t>Rage blasphématoire</t>
  </si>
  <si>
    <t>WJDR 207</t>
  </si>
  <si>
    <t>Soif Insatiable</t>
  </si>
  <si>
    <t>Surins de la mémoire</t>
  </si>
  <si>
    <t>WJDR 208</t>
  </si>
  <si>
    <t>Fébrilité grise</t>
  </si>
  <si>
    <t>Fièvre osseuse</t>
  </si>
  <si>
    <t>Infection du visu</t>
  </si>
  <si>
    <t>Rampante bubonique</t>
  </si>
  <si>
    <t>Trembloblote</t>
  </si>
  <si>
    <t>Variole ocre</t>
  </si>
  <si>
    <t>Peste rouge</t>
  </si>
  <si>
    <t>Croup des marais</t>
  </si>
  <si>
    <t>Fièvre aveuglante</t>
  </si>
  <si>
    <t>Attrape chose</t>
  </si>
  <si>
    <t>Dague coup-de-poing</t>
  </si>
  <si>
    <t>Encensoir à peste</t>
  </si>
  <si>
    <t>Griffes de rat</t>
  </si>
  <si>
    <t>Lame caudale</t>
  </si>
  <si>
    <t>Fumigène</t>
  </si>
  <si>
    <t>Globe de vent toxique</t>
  </si>
  <si>
    <t>Sp.</t>
  </si>
  <si>
    <t>Jezzail à malepierre</t>
  </si>
  <si>
    <t>Lance-feu</t>
  </si>
  <si>
    <t>Mitrailleuse ratling</t>
  </si>
  <si>
    <t>10/30</t>
  </si>
  <si>
    <t>Pistolet à malepierre</t>
  </si>
  <si>
    <t>10/20</t>
  </si>
  <si>
    <t>Art de la mort silencieuse</t>
  </si>
  <si>
    <t>Contagion</t>
  </si>
  <si>
    <t>Vous concoctez des maladies par breuvages</t>
  </si>
  <si>
    <t>Courreur mural</t>
  </si>
  <si>
    <t>+20% Escalade, Mx2 en Escalade</t>
  </si>
  <si>
    <t>Dégâts mains nues= BF-3 et armures pas doublées</t>
  </si>
  <si>
    <t>Combat caudal</t>
  </si>
  <si>
    <t>Vous pouvez manipuler une arme avec votre queue</t>
  </si>
  <si>
    <t>Construction peu fiable</t>
  </si>
  <si>
    <t>Vous êtes victime de défaillances</t>
  </si>
  <si>
    <t>Construction skaven</t>
  </si>
  <si>
    <t>Vous êtes un automate alimenté en malepierre</t>
  </si>
  <si>
    <t>Vous savez produire de la technologie skaven</t>
  </si>
  <si>
    <t>Maître du fouet</t>
  </si>
  <si>
    <t>Modelage de la chair</t>
  </si>
  <si>
    <t>Vous utilisez le Soin pour modeler des abominations</t>
  </si>
  <si>
    <t>Rage Noire</t>
  </si>
  <si>
    <t>Vous êtes pris d'un besoin constant de tuer</t>
  </si>
  <si>
    <t>+20% Commandement et Dressage vs. Skavens</t>
  </si>
  <si>
    <t>2ème carrière</t>
  </si>
  <si>
    <t>3ème carrière</t>
  </si>
  <si>
    <t>4ème carrière</t>
  </si>
  <si>
    <t>Aura démoniaque</t>
  </si>
  <si>
    <t>+2 BE contre les attaques non magiques</t>
  </si>
  <si>
    <t>Ecailles</t>
  </si>
  <si>
    <t>Bonus aux PA</t>
  </si>
  <si>
    <t>Ethéré</t>
  </si>
  <si>
    <t>Vous n'avez ni consistance, ni poids</t>
  </si>
  <si>
    <t>Puissance imparable</t>
  </si>
  <si>
    <t>malus -30% Parade pour parer vos coups</t>
  </si>
  <si>
    <t>Volonté de fer</t>
  </si>
  <si>
    <t>Immu vs. peur, terreur, intimidation et troublant</t>
  </si>
  <si>
    <t>Rompu au chaos</t>
  </si>
  <si>
    <t>Si mutation, +10% pour résist. à une mutation</t>
  </si>
  <si>
    <t>Dévorante</t>
  </si>
  <si>
    <t>Malédiction des rois</t>
  </si>
  <si>
    <t>Béatitude aveugle</t>
  </si>
  <si>
    <t>TC 61</t>
  </si>
  <si>
    <t>Délire de sorcellerie</t>
  </si>
  <si>
    <t>TC 62</t>
  </si>
  <si>
    <t>Monomanie obsessionelle</t>
  </si>
  <si>
    <t>Désespoir désopilant</t>
  </si>
  <si>
    <t>Torpeur mentale</t>
  </si>
  <si>
    <t>Bâton de bray</t>
  </si>
  <si>
    <t>Grimpeur cheveronné</t>
  </si>
  <si>
    <t>Escalade=1/2 action</t>
  </si>
  <si>
    <t>Informe</t>
  </si>
  <si>
    <t>Quelque soit la zone touchée = Corps</t>
  </si>
  <si>
    <t>Vomissure ardente</t>
  </si>
  <si>
    <t>Pied pustuleux</t>
  </si>
  <si>
    <t>CdG 61</t>
  </si>
  <si>
    <t>Epée de naissance</t>
  </si>
  <si>
    <t>+5% CC, +10% Peur, Terreur, BF+1 Blessures</t>
  </si>
  <si>
    <t>Arc court (kislevite)</t>
  </si>
  <si>
    <t>Politique</t>
  </si>
  <si>
    <t>+10% Baratin, Charisme et Marchandage</t>
  </si>
  <si>
    <t>permet d'utiliser la Dhar pour lancer un sort</t>
  </si>
  <si>
    <t>Pilote de Navire</t>
  </si>
  <si>
    <t>+20% Navigation et +10% Con. Genérales</t>
  </si>
  <si>
    <t>Amphibie</t>
  </si>
  <si>
    <t>Pas de malus dans l'eau, Ne peut pas se noyer</t>
  </si>
  <si>
    <r>
      <t xml:space="preserve">une page mentionnant Furie extraite du </t>
    </r>
    <r>
      <rPr>
        <i/>
        <sz val="8"/>
        <rFont val="Arial"/>
        <family val="2"/>
      </rPr>
      <t>Bellona Myrmidia</t>
    </r>
    <r>
      <rPr>
        <sz val="8"/>
        <rFont val="Arial"/>
        <family val="2"/>
      </rPr>
      <t xml:space="preserve"> (+2)</t>
    </r>
  </si>
  <si>
    <t>1d10 demi-action</t>
  </si>
  <si>
    <t>cf,texte</t>
  </si>
  <si>
    <t>vous engagez un combat mental contre un esprit possédant le corps d'un mortel. Vous devez rester dans un rayon de 2 mètres (1 case) de la victime pendant toute la durée de l'incantation, ce qui explique que le sort soit généralement utilisé sur des sujets attachés. Si l'incantation est couronnée de succès, l'esprit et vous devez effectuer un test de Force Mentale opposé. Si vous le remportez, l'esprit est chassé du corps de la victime et cette dernière recouvre son libre arbitre. Dans le cas contraire, l'esprit résiste malgré vos efforts et vous devez patienter durant 24 heures avant de relancer exorcisme. En cas d'égalité, les deux protagonistes sont pris dans leur combat mental. Nul ne peut entreprendre la moindre action tant que dure la lutte. Effectuez des tests de Force Mentale opposés à chaque tour jusqu'à ce que l'un des protagonistes le remporte.</t>
  </si>
  <si>
    <t>Khorne Acolyte</t>
  </si>
  <si>
    <t>Nurgle Acolyte</t>
  </si>
  <si>
    <t>Slaanesh Acolyte</t>
  </si>
  <si>
    <t xml:space="preserve"> Tzeentch Acolyte</t>
  </si>
  <si>
    <t>Mutations</t>
  </si>
  <si>
    <t>Acéphale</t>
  </si>
  <si>
    <t>Ailes</t>
  </si>
  <si>
    <t>Albinos</t>
  </si>
  <si>
    <t>Apparence décharnée</t>
  </si>
  <si>
    <t>Appétit surnaturel</t>
  </si>
  <si>
    <t>Articulations supplémentaires</t>
  </si>
  <si>
    <t>Aspect bestial</t>
  </si>
  <si>
    <t>Atrophie</t>
  </si>
  <si>
    <t>Bec</t>
  </si>
  <si>
    <t>Bête aux milles</t>
  </si>
  <si>
    <t>Bossu</t>
  </si>
  <si>
    <t>Bouche supplémentaire</t>
  </si>
  <si>
    <t>Bras tentaculaire</t>
  </si>
  <si>
    <t>Brute épaisse</t>
  </si>
  <si>
    <t>Centauroïde</t>
  </si>
  <si>
    <t>Changepeau</t>
  </si>
  <si>
    <t>Chaos-morphe</t>
  </si>
  <si>
    <t>Chétif</t>
  </si>
  <si>
    <t>Contact électrique</t>
  </si>
  <si>
    <t>Contact fétide</t>
  </si>
  <si>
    <t>Copie</t>
  </si>
  <si>
    <t>Cornes</t>
  </si>
  <si>
    <t>Corps cristallin</t>
  </si>
  <si>
    <t>Corps de métal</t>
  </si>
  <si>
    <t>Court sur pattes</t>
  </si>
  <si>
    <t>Crachat acide</t>
  </si>
  <si>
    <t>Crâne</t>
  </si>
  <si>
    <t>Crâne embrasé</t>
  </si>
  <si>
    <t>Créature aquatique</t>
  </si>
  <si>
    <t>Crête</t>
  </si>
  <si>
    <t>Crétin</t>
  </si>
  <si>
    <t>Crinière</t>
  </si>
  <si>
    <t>Crises</t>
  </si>
  <si>
    <t>Crocs</t>
  </si>
  <si>
    <t>Croissance</t>
  </si>
  <si>
    <t>Cyclope</t>
  </si>
  <si>
    <t>Démarche étrange</t>
  </si>
  <si>
    <t>Dénué de conscience</t>
  </si>
  <si>
    <t>Dépendance</t>
  </si>
  <si>
    <t>Désossé</t>
  </si>
  <si>
    <t>Destruction spirituelle</t>
  </si>
  <si>
    <t>Doigts/orteils supplémentaires</t>
  </si>
  <si>
    <t>Doigts tentaculaires</t>
  </si>
  <si>
    <t>Enfant du chaos</t>
  </si>
  <si>
    <t>Esprit torturé</t>
  </si>
  <si>
    <t>Flatulences incontrôlables</t>
  </si>
  <si>
    <t>Folie</t>
  </si>
  <si>
    <t>Fort</t>
  </si>
  <si>
    <t>Fourrure</t>
  </si>
  <si>
    <t>Fourrure épaisse</t>
  </si>
  <si>
    <t>Furoncles</t>
  </si>
  <si>
    <t>Garou</t>
  </si>
  <si>
    <t>Grandes oreilles</t>
  </si>
  <si>
    <t>Griffes</t>
  </si>
  <si>
    <t>Guerrier frénétique</t>
  </si>
  <si>
    <t>Handicap sensoriel</t>
  </si>
  <si>
    <t>Hématophobie</t>
  </si>
  <si>
    <t>Hideux</t>
  </si>
  <si>
    <t>Hybride</t>
  </si>
  <si>
    <t>Hypertrophie</t>
  </si>
  <si>
    <t>Illusion de normalité</t>
  </si>
  <si>
    <t>Immunité contre la magie</t>
  </si>
  <si>
    <t>Infâme</t>
  </si>
  <si>
    <t>Instabilité temporelle</t>
  </si>
  <si>
    <t>Intelligence foudroyante</t>
  </si>
  <si>
    <t>Inversé</t>
  </si>
  <si>
    <t>Invisibilité</t>
  </si>
  <si>
    <t>Jambes d'animal</t>
  </si>
  <si>
    <t>Jambes prodigieuses</t>
  </si>
  <si>
    <t>Kyste intelligent</t>
  </si>
  <si>
    <t>Lâcheté</t>
  </si>
  <si>
    <t>Langue perforante</t>
  </si>
  <si>
    <t>Long cou</t>
  </si>
  <si>
    <t>Long nez</t>
  </si>
  <si>
    <t>Longs piquants</t>
  </si>
  <si>
    <t>Longues jambes</t>
  </si>
  <si>
    <t>Maître d'armes</t>
  </si>
  <si>
    <t>Malefrénésie</t>
  </si>
  <si>
    <t>Malin sorcier</t>
  </si>
  <si>
    <t>Mécanoïde</t>
  </si>
  <si>
    <t>Membre menaçant</t>
  </si>
  <si>
    <t>Membre supplémentaire</t>
  </si>
  <si>
    <t>Membres amovibles</t>
  </si>
  <si>
    <t>Membres élastiques</t>
  </si>
  <si>
    <t>Modification esthétique</t>
  </si>
  <si>
    <t>Multiplication</t>
  </si>
  <si>
    <t>Museau</t>
  </si>
  <si>
    <t>Mutation zoologique</t>
  </si>
  <si>
    <t>Nabot</t>
  </si>
  <si>
    <t>Nez supplémentaire</t>
  </si>
  <si>
    <t>Nuage de mouches</t>
  </si>
  <si>
    <t>Obèse</t>
  </si>
  <si>
    <t>Œil supplémentaire</t>
  </si>
  <si>
    <t>Oreille supplémentaire</t>
  </si>
  <si>
    <t>Organe du chaos</t>
  </si>
  <si>
    <t>Patte d'oiseau</t>
  </si>
  <si>
    <t>Peau coriace</t>
  </si>
  <si>
    <t>Peau d'ébène</t>
  </si>
  <si>
    <t>Peau de fer</t>
  </si>
  <si>
    <t>Peau écailleuse</t>
  </si>
  <si>
    <t>Peau métallique</t>
  </si>
  <si>
    <t>Peau rayonnante</t>
  </si>
  <si>
    <t>Peau transparente</t>
  </si>
  <si>
    <t>Perte de membre</t>
  </si>
  <si>
    <t>Peur irraisonnée</t>
  </si>
  <si>
    <t>Pigmentation étrange</t>
  </si>
  <si>
    <t>Pince</t>
  </si>
  <si>
    <t>Polypes</t>
  </si>
  <si>
    <t>Porteur de germes</t>
  </si>
  <si>
    <t>Pseudo-démon</t>
  </si>
  <si>
    <t>Puanteur</t>
  </si>
  <si>
    <t>Putréfaction</t>
  </si>
  <si>
    <t>Quadrupède/bipède</t>
  </si>
  <si>
    <t>Queue</t>
  </si>
  <si>
    <t>Queue de scorpion</t>
  </si>
  <si>
    <t>Queue épineuse</t>
  </si>
  <si>
    <t>Queue préhensile</t>
  </si>
  <si>
    <t>Rapetissement</t>
  </si>
  <si>
    <t>Regard hypnotique</t>
  </si>
  <si>
    <t>Régénération</t>
  </si>
  <si>
    <t>Résistant</t>
  </si>
  <si>
    <t>Ressemblance troublante</t>
  </si>
  <si>
    <t>Retourné</t>
  </si>
  <si>
    <t>Rougeur</t>
  </si>
  <si>
    <t>Ruisselant</t>
  </si>
  <si>
    <t>Sabots fourchus</t>
  </si>
  <si>
    <t>Sautillant</t>
  </si>
  <si>
    <t>Sécrétion acide</t>
  </si>
  <si>
    <t>Séduisant</t>
  </si>
  <si>
    <t>Siamois</t>
  </si>
  <si>
    <t>Soif de sang</t>
  </si>
  <si>
    <t>Spores</t>
  </si>
  <si>
    <t>Squelette</t>
  </si>
  <si>
    <t>Substitution sanguine</t>
  </si>
  <si>
    <t>Télékinésie</t>
  </si>
  <si>
    <t>Télépathie</t>
  </si>
  <si>
    <t>Téléportation</t>
  </si>
  <si>
    <t>Tête d'épingle</t>
  </si>
  <si>
    <t>Tête en ogive</t>
  </si>
  <si>
    <t>Tête énorme</t>
  </si>
  <si>
    <t>Tête sur pattes</t>
  </si>
  <si>
    <t>Têtes multiples</t>
  </si>
  <si>
    <t>Trainée de bave</t>
  </si>
  <si>
    <t>Transe</t>
  </si>
  <si>
    <t>Transfert de membre</t>
  </si>
  <si>
    <t>Trompe</t>
  </si>
  <si>
    <t>Tumeur incroyable</t>
  </si>
  <si>
    <t>Vampire</t>
  </si>
  <si>
    <t>Ventouses</t>
  </si>
  <si>
    <t>Vermiculé</t>
  </si>
  <si>
    <t>Verrues</t>
  </si>
  <si>
    <t>Visage lisse</t>
  </si>
  <si>
    <t>Visage réarrangé</t>
  </si>
  <si>
    <t>Voix étrange</t>
  </si>
  <si>
    <t>Vomi corrosif</t>
  </si>
  <si>
    <t>Yeux globuleux</t>
  </si>
  <si>
    <t>Yeux pédonculaires</t>
  </si>
  <si>
    <t>Bestigor</t>
  </si>
  <si>
    <t>Strigany</t>
  </si>
  <si>
    <t>Tilée</t>
  </si>
  <si>
    <t>strigany</t>
  </si>
  <si>
    <t>classique</t>
  </si>
  <si>
    <t>tiléen</t>
  </si>
  <si>
    <t>eltharin</t>
  </si>
  <si>
    <t>druidique</t>
  </si>
  <si>
    <t>vieux slaan</t>
  </si>
  <si>
    <t>haut nehekharian</t>
  </si>
  <si>
    <t>Prophète Gris, Scribe</t>
  </si>
  <si>
    <t>Skaven</t>
  </si>
  <si>
    <t>Chasseur, Chasseur de primes, Guerrier des clans</t>
  </si>
  <si>
    <t>Coupe-jarret, Guerrier des clans, Mercenaire, Voleur</t>
  </si>
  <si>
    <t>Guerrier des clans</t>
  </si>
  <si>
    <t>Black Skaven</t>
  </si>
  <si>
    <t>Gladiateur, Hors-la-loi, Mercenaire, Vermine de choc</t>
  </si>
  <si>
    <t>Artisan, Garde, Guerrier des clans</t>
  </si>
  <si>
    <t>Clan Chief</t>
  </si>
  <si>
    <t>Coureur nocturne, Grande griffe (Eshin uniquement)</t>
  </si>
  <si>
    <t>Moine de la peste</t>
  </si>
  <si>
    <t>Diacre de la peste, Fanatique, Guerrier des clans, Moine de la peste</t>
  </si>
  <si>
    <t>Le seul débouché possible est la mort.</t>
  </si>
  <si>
    <t>Coureur d’égouts</t>
  </si>
  <si>
    <t>Chef de clan, Maître corrupteur</t>
  </si>
  <si>
    <t>Chef de clan</t>
  </si>
  <si>
    <t>Diacre de la peste</t>
  </si>
  <si>
    <t>Apprenti Prophète Gris</t>
  </si>
  <si>
    <t>Érudit, Seigneur Gris</t>
  </si>
  <si>
    <t>Prophète Gris</t>
  </si>
  <si>
    <t>Coureur d’égouts, Coureur nocturne</t>
  </si>
  <si>
    <t>Skaven noir</t>
  </si>
  <si>
    <t>Rouge</t>
  </si>
  <si>
    <t xml:space="preserve">Couleur de pilosité : </t>
  </si>
  <si>
    <t>1,575m</t>
  </si>
  <si>
    <t>1,6m</t>
  </si>
  <si>
    <t>poil skaven</t>
  </si>
  <si>
    <t>Blanc</t>
  </si>
  <si>
    <t>Gris</t>
  </si>
  <si>
    <t>Armengild</t>
  </si>
  <si>
    <t>Berthe</t>
  </si>
  <si>
    <t>Chrodegard</t>
  </si>
  <si>
    <t>Dhuoda</t>
  </si>
  <si>
    <t>Eleanor</t>
  </si>
  <si>
    <t>Hrotswitha</t>
  </si>
  <si>
    <t>Eloise</t>
  </si>
  <si>
    <t>Isabelle</t>
  </si>
  <si>
    <t>Isolde</t>
  </si>
  <si>
    <t>Lisseut</t>
  </si>
  <si>
    <t>Nimugild</t>
  </si>
  <si>
    <t>Perlesault</t>
  </si>
  <si>
    <t>Rhadegund</t>
  </si>
  <si>
    <t>Rumengild</t>
  </si>
  <si>
    <t>Sirisgard</t>
  </si>
  <si>
    <t>Sonengund</t>
  </si>
  <si>
    <t>Vermengard</t>
  </si>
  <si>
    <t>Walswitha</t>
  </si>
  <si>
    <t>Aiden</t>
  </si>
  <si>
    <t>Aigulf</t>
  </si>
  <si>
    <t>Bertélis</t>
  </si>
  <si>
    <t>Carloman</t>
  </si>
  <si>
    <t>Chrodegang</t>
  </si>
  <si>
    <t>Ferragus</t>
  </si>
  <si>
    <t>Hrodbert</t>
  </si>
  <si>
    <t>Jacen</t>
  </si>
  <si>
    <t>Louis</t>
  </si>
  <si>
    <t>Merovech</t>
  </si>
  <si>
    <t>Odo</t>
  </si>
  <si>
    <t>Orderic</t>
  </si>
  <si>
    <t>Panteleon</t>
  </si>
  <si>
    <t>Piers</t>
  </si>
  <si>
    <t>Redemund</t>
  </si>
  <si>
    <t>Roland</t>
  </si>
  <si>
    <t>Suidbert</t>
  </si>
  <si>
    <t>Theudis</t>
  </si>
  <si>
    <t>Waldon</t>
  </si>
  <si>
    <t>Yonec</t>
  </si>
  <si>
    <t>Arwen</t>
  </si>
  <si>
    <t>Galadriel</t>
  </si>
  <si>
    <t>Gilgalad</t>
  </si>
  <si>
    <t>Elrond</t>
  </si>
  <si>
    <t>Silinde</t>
  </si>
  <si>
    <t>Gimli</t>
  </si>
  <si>
    <t>Thorin</t>
  </si>
  <si>
    <t>Durin</t>
  </si>
  <si>
    <t>Aerin</t>
  </si>
  <si>
    <t>Aredhel</t>
  </si>
  <si>
    <t>Arien</t>
  </si>
  <si>
    <t>Eilinel</t>
  </si>
  <si>
    <t>Elbereth</t>
  </si>
  <si>
    <t>Eledhwen</t>
  </si>
  <si>
    <t>Elenna</t>
  </si>
  <si>
    <t>Enetari</t>
  </si>
  <si>
    <t>Elenwë</t>
  </si>
  <si>
    <t>Elerinna</t>
  </si>
  <si>
    <t>Elwing</t>
  </si>
  <si>
    <t>Emeldiz</t>
  </si>
  <si>
    <t>Estë</t>
  </si>
  <si>
    <t>Finduilas</t>
  </si>
  <si>
    <t>Glingal</t>
  </si>
  <si>
    <t>Glóredhel</t>
  </si>
  <si>
    <t>Idril</t>
  </si>
  <si>
    <t>Ilmarë</t>
  </si>
  <si>
    <t>Indis</t>
  </si>
  <si>
    <t>Izilbêth</t>
  </si>
  <si>
    <t>Isil</t>
  </si>
  <si>
    <t>Kementari</t>
  </si>
  <si>
    <t>Lalaith</t>
  </si>
  <si>
    <t>Laurelin</t>
  </si>
  <si>
    <t>Linaewen</t>
  </si>
  <si>
    <t>Lindorië</t>
  </si>
  <si>
    <t>Luinil</t>
  </si>
  <si>
    <t>Lúthien</t>
  </si>
  <si>
    <t>Melian</t>
  </si>
  <si>
    <t>Míriel</t>
  </si>
  <si>
    <t>Mormegil</t>
  </si>
  <si>
    <t>Morwën</t>
  </si>
  <si>
    <t>Nennvial</t>
  </si>
  <si>
    <t>Nerdanel</t>
  </si>
  <si>
    <t>Nessa</t>
  </si>
  <si>
    <t>Nienor</t>
  </si>
  <si>
    <t>Níniel</t>
  </si>
  <si>
    <t>Ninquelotë</t>
  </si>
  <si>
    <t>Oilossë</t>
  </si>
  <si>
    <t>Rathlóriel</t>
  </si>
  <si>
    <t>Rían</t>
  </si>
  <si>
    <t>Serindë</t>
  </si>
  <si>
    <t>Silmarien</t>
  </si>
  <si>
    <t>Thuringwethil</t>
  </si>
  <si>
    <t>Tintallë</t>
  </si>
  <si>
    <t>Tinúviel</t>
  </si>
  <si>
    <t>Uinen</t>
  </si>
  <si>
    <t>Vairë</t>
  </si>
  <si>
    <t>Vána</t>
  </si>
  <si>
    <t>Varda</t>
  </si>
  <si>
    <t>Yavana</t>
  </si>
  <si>
    <t>Adanedhel</t>
  </si>
  <si>
    <t>Adûnakhôr</t>
  </si>
  <si>
    <t>Aeglos</t>
  </si>
  <si>
    <t>Aegnor</t>
  </si>
  <si>
    <t>Argawaen</t>
  </si>
  <si>
    <t>Aldaron</t>
  </si>
  <si>
    <t>Amandil</t>
  </si>
  <si>
    <t>Amarië</t>
  </si>
  <si>
    <t>Amlach</t>
  </si>
  <si>
    <t>Amras</t>
  </si>
  <si>
    <t>Amrod</t>
  </si>
  <si>
    <t>Anar</t>
  </si>
  <si>
    <t>Anárion</t>
  </si>
  <si>
    <t>Ancalagon</t>
  </si>
  <si>
    <t>Anfauglir</t>
  </si>
  <si>
    <t>Anfauglith</t>
  </si>
  <si>
    <t>Angrod</t>
  </si>
  <si>
    <t>Annael</t>
  </si>
  <si>
    <t>Annatar</t>
  </si>
  <si>
    <t>Aradan</t>
  </si>
  <si>
    <t>Aranrùth</t>
  </si>
  <si>
    <t>Aranwë</t>
  </si>
  <si>
    <t>Astaldo</t>
  </si>
  <si>
    <t>Balan</t>
  </si>
  <si>
    <t>Baragund</t>
  </si>
  <si>
    <t>Barahir</t>
  </si>
  <si>
    <t>Baran</t>
  </si>
  <si>
    <t>Beleg</t>
  </si>
  <si>
    <t>Belegund</t>
  </si>
  <si>
    <t>Bëor</t>
  </si>
  <si>
    <t>Bereg</t>
  </si>
  <si>
    <t>Beren</t>
  </si>
  <si>
    <t>Bregolas</t>
  </si>
  <si>
    <t>Bregor</t>
  </si>
  <si>
    <t>Carcharoth</t>
  </si>
  <si>
    <t>Celeborn</t>
  </si>
  <si>
    <t>Celebrimbor</t>
  </si>
  <si>
    <t>Celebrindal</t>
  </si>
  <si>
    <t>Celegorm</t>
  </si>
  <si>
    <t>Círdan</t>
  </si>
  <si>
    <t>Cirth</t>
  </si>
  <si>
    <t>Círyon</t>
  </si>
  <si>
    <t>Culúrien</t>
  </si>
  <si>
    <t>Curufin</t>
  </si>
  <si>
    <t>Curunír</t>
  </si>
  <si>
    <t>Cuthalion</t>
  </si>
  <si>
    <t>Daeron</t>
  </si>
  <si>
    <t>Dagnir</t>
  </si>
  <si>
    <t>Dairiun</t>
  </si>
  <si>
    <t>Deldúwath</t>
  </si>
  <si>
    <t>Denethor</t>
  </si>
  <si>
    <t>Dimrost</t>
  </si>
  <si>
    <t>Dior</t>
  </si>
  <si>
    <t>Elendë</t>
  </si>
  <si>
    <t>Elendil</t>
  </si>
  <si>
    <t>Elros</t>
  </si>
  <si>
    <t>Elwë</t>
  </si>
  <si>
    <t>Eöl</t>
  </si>
  <si>
    <t>Eönwë</t>
  </si>
  <si>
    <t>Erchamion</t>
  </si>
  <si>
    <t>Eressëa</t>
  </si>
  <si>
    <t>Falathar</t>
  </si>
  <si>
    <t>Fëanor</t>
  </si>
  <si>
    <t>Fëanturi</t>
  </si>
  <si>
    <t>Felagund</t>
  </si>
  <si>
    <t>Finarfin</t>
  </si>
  <si>
    <t>Fingolfin</t>
  </si>
  <si>
    <t>Fingon</t>
  </si>
  <si>
    <t>Finwë</t>
  </si>
  <si>
    <t>Fírimar</t>
  </si>
  <si>
    <t>Galdor</t>
  </si>
  <si>
    <t>Gil-Estel</t>
  </si>
  <si>
    <t>Gil-galad</t>
  </si>
  <si>
    <t>Glorfindel</t>
  </si>
  <si>
    <t>Gondolin</t>
  </si>
  <si>
    <t>Gonnhirrim</t>
  </si>
  <si>
    <t>Gorlim</t>
  </si>
  <si>
    <t>Gorthol</t>
  </si>
  <si>
    <t>Guilin</t>
  </si>
  <si>
    <t>Gundor</t>
  </si>
  <si>
    <t>Gurthang</t>
  </si>
  <si>
    <t>Gwindor</t>
  </si>
  <si>
    <t>Helevorn</t>
  </si>
  <si>
    <t>Imlach</t>
  </si>
  <si>
    <t>Ingwë</t>
  </si>
  <si>
    <t>Irmo</t>
  </si>
  <si>
    <t>Isildur</t>
  </si>
  <si>
    <t>Lenwë</t>
  </si>
  <si>
    <t>Lómelindi</t>
  </si>
  <si>
    <t>Lómion</t>
  </si>
  <si>
    <t>Lorgan</t>
  </si>
  <si>
    <t>Lórindol</t>
  </si>
  <si>
    <t>Mablung</t>
  </si>
  <si>
    <t>Maedhros</t>
  </si>
  <si>
    <t>Maeglin</t>
  </si>
  <si>
    <t>Maglor</t>
  </si>
  <si>
    <t>Magor</t>
  </si>
  <si>
    <t>Mahal</t>
  </si>
  <si>
    <t>Mahtan</t>
  </si>
  <si>
    <t>Meneldil</t>
  </si>
  <si>
    <t>Námo</t>
  </si>
  <si>
    <t>Nandor</t>
  </si>
  <si>
    <t>Nóm</t>
  </si>
  <si>
    <t>Nómin</t>
  </si>
  <si>
    <t>Ohtar</t>
  </si>
  <si>
    <t>Olórin</t>
  </si>
  <si>
    <t>Olwë</t>
  </si>
  <si>
    <t>Ondolindë</t>
  </si>
  <si>
    <t>Oromë</t>
  </si>
  <si>
    <t>Ossë</t>
  </si>
  <si>
    <t>Radagast</t>
  </si>
  <si>
    <t>Radhruin</t>
  </si>
  <si>
    <t>Ragnor</t>
  </si>
  <si>
    <t>Rána</t>
  </si>
  <si>
    <t>Rauros</t>
  </si>
  <si>
    <t>Rorhirrim</t>
  </si>
  <si>
    <t>Rúmil</t>
  </si>
  <si>
    <t>Saeros</t>
  </si>
  <si>
    <t>Salmar</t>
  </si>
  <si>
    <t>Saruman</t>
  </si>
  <si>
    <t>Sauron</t>
  </si>
  <si>
    <t>Seregon</t>
  </si>
  <si>
    <t>Sindar</t>
  </si>
  <si>
    <t>Súlimo</t>
  </si>
  <si>
    <t>Tauron</t>
  </si>
  <si>
    <t>Telchar</t>
  </si>
  <si>
    <t>Telemnar</t>
  </si>
  <si>
    <t>Teleri</t>
  </si>
  <si>
    <t>Thalion</t>
  </si>
  <si>
    <t>Thalos</t>
  </si>
  <si>
    <t>Thigol</t>
  </si>
  <si>
    <t>Thorondor</t>
  </si>
  <si>
    <t>Tilion</t>
  </si>
  <si>
    <t>Tulkas</t>
  </si>
  <si>
    <t>Tuor</t>
  </si>
  <si>
    <t>Turambar</t>
  </si>
  <si>
    <t>Turgon</t>
  </si>
  <si>
    <t>Túrin</t>
  </si>
  <si>
    <t>Uldor</t>
  </si>
  <si>
    <t>Ulfang</t>
  </si>
  <si>
    <t>Ulfast</t>
  </si>
  <si>
    <t>Ulmo</t>
  </si>
  <si>
    <t>Ulwarth</t>
  </si>
  <si>
    <t>Umarth</t>
  </si>
  <si>
    <t>Urthel</t>
  </si>
  <si>
    <t>Urulóki</t>
  </si>
  <si>
    <t>Valandil</t>
  </si>
  <si>
    <t>Valar</t>
  </si>
  <si>
    <t>Valaraukar</t>
  </si>
  <si>
    <t>Vanyar</t>
  </si>
  <si>
    <t>Vása</t>
  </si>
  <si>
    <t>Voronwë</t>
  </si>
  <si>
    <t>Wilwarin</t>
  </si>
  <si>
    <t>Toldaf</t>
  </si>
  <si>
    <t>Sven</t>
  </si>
  <si>
    <t>Fondar</t>
  </si>
  <si>
    <t>Rokgrund</t>
  </si>
  <si>
    <t>Helfa</t>
  </si>
  <si>
    <t>Thorax</t>
  </si>
  <si>
    <t>Ligni</t>
  </si>
  <si>
    <t>Rogni</t>
  </si>
  <si>
    <t>Ungi</t>
  </si>
  <si>
    <t>Haki</t>
  </si>
  <si>
    <t>Drongli</t>
  </si>
  <si>
    <t>Gadrin</t>
  </si>
  <si>
    <t>Gorgi</t>
  </si>
  <si>
    <t>Thorgard</t>
  </si>
  <si>
    <t>Midgard</t>
  </si>
  <si>
    <t>Rorek</t>
  </si>
  <si>
    <t>Morgrim</t>
  </si>
  <si>
    <t>Logan</t>
  </si>
  <si>
    <t>Artuf</t>
  </si>
  <si>
    <t>Korgan</t>
  </si>
  <si>
    <t>Barik</t>
  </si>
  <si>
    <t>Kadri</t>
  </si>
  <si>
    <t>Grimbus</t>
  </si>
  <si>
    <t>Torvald</t>
  </si>
  <si>
    <t>Kalea</t>
  </si>
  <si>
    <t>Furgil</t>
  </si>
  <si>
    <t>Angelina</t>
  </si>
  <si>
    <t>Romarik</t>
  </si>
  <si>
    <t>Alrigason</t>
  </si>
  <si>
    <t>Kragnon</t>
  </si>
  <si>
    <t>Alia</t>
  </si>
  <si>
    <t>Paula</t>
  </si>
  <si>
    <t>Raul</t>
  </si>
  <si>
    <t>Oliver</t>
  </si>
  <si>
    <t>Robert</t>
  </si>
  <si>
    <t>Esméralda</t>
  </si>
  <si>
    <t>Rosie</t>
  </si>
  <si>
    <t>Sam</t>
  </si>
  <si>
    <t>Intelligent, Orateur né, Sain d’esprit</t>
  </si>
  <si>
    <t>Eloquence, Harmonie aethyrique ou Résistance accrue, Magie commune (Chaos), Magie noire, Résistance aux maladies, Rompu au Chaos, Sans peur, Troublant</t>
  </si>
  <si>
    <t>Corruption contrôlée, Dur en affaires ou harmonie aethyrique, Eloquence, Etiquette, Grand voyageur ou Intelligent, Intrigant, Linguistique, Magie commune (Chaos), Magie noire, Résistance à la magie, Rompu au Chaos, Sang-froid, Sociable</t>
  </si>
  <si>
    <t>Valeureux ou Sang-froid, Intelligent ou Sociable, Intrigant, Sens aiguisés ou Sixième sens</t>
  </si>
  <si>
    <t>Combat de rue ou Sang-froid, Eloquence, Fuite</t>
  </si>
  <si>
    <t>Acuité visuelle ou Intelligent, Combat de rue, Fuite</t>
  </si>
  <si>
    <t>Eloquence, Menaçant, Orateur né, Sociable</t>
  </si>
  <si>
    <t>Coups assommants ou Coups précis, Eloquence, Magie commune (Vulgaire)</t>
  </si>
  <si>
    <t>Harmonie aethyrique ou Mains agiles, Intelligent ou Résistance accrue, Magie commune (Occulte)</t>
  </si>
  <si>
    <t>Combat de rue, Intrigant, Maîtrise (Armes paralysantes), Menaçant, Sur ses gardes</t>
  </si>
  <si>
    <t>Dur en affaires ou Intelligent</t>
  </si>
  <si>
    <t>Force accrue, Réflexes éclair ou Robuste</t>
  </si>
  <si>
    <t>Grand voyageur, Guerrier né, Maîtrise (au choix), Sang-froid</t>
  </si>
  <si>
    <t>Calcul mental ou Chance, Etiquette ou Fuite</t>
  </si>
  <si>
    <t>Eloquence, Sang-froid ou Sociable</t>
  </si>
  <si>
    <t>Frénésie, Maîtrise (Armes lourdes), Menaçant, Sur ses gardes</t>
  </si>
  <si>
    <t>Coups précis, Coups puissants, Maîtrise (Armes lourdes)</t>
  </si>
  <si>
    <t>Dur en affaires, Intelligent ou Sociable</t>
  </si>
  <si>
    <t>Lutte, Maîtrise (Fléaux), Menaçant</t>
  </si>
  <si>
    <t>Adresse au tir, Maîtrise (Armes mécaniques) ou Maîtrise (Armes à poudre), Rechargement rapide, Sang-froid, Tir de précision, Tir en puissance, Tireur d’élite</t>
  </si>
  <si>
    <t>Désarmement ou Sur ses gardes, Maîtrise (Armes de cavalerie) ou Maîtrise (Armes lourdes), Maîtrise (Armes de parade) ou Maîtrise (Fléaux), Parade éclair</t>
  </si>
  <si>
    <t>Effrayant, Magie mineure (au choix), Magie mineure (au choix), Magie mineure (au choix), Rompu au Chaos</t>
  </si>
  <si>
    <t>Maîtrise (Armes lourdes), Maîtrise (Armes d’escrime), Maîtrise (Armes de parade), Maîtrise (Fléaux), Parade éclair</t>
  </si>
  <si>
    <t>Force accrue ou Intelligent, Fuite</t>
  </si>
  <si>
    <t>Adresse au tir ou Coups puissants, Camouflage rural, Coups assommants ou Tireur d’élite, Maîtrise (Armes paralysantes)</t>
  </si>
  <si>
    <t>Camouflage souterrain, Coups précis, Coups puissants, Maîtrise (Arbalètes), Rechargement rapide ou Tir en puissance, Valeureux</t>
  </si>
  <si>
    <t>Parade éclair, Rechargement rapide, Sur ses gardes, Tir de précision, Tir en puissance</t>
  </si>
  <si>
    <t>Coups précis, Coups puissants, Force accrue ou résistance accrue, Maîtrise (Armes lourdes), Sans peur, Troublant</t>
  </si>
  <si>
    <t>Camouflage souterrain, Maître du fouet, Maîtrise (Armes paralysantes)</t>
  </si>
  <si>
    <t>Coups puissants, Maîtrise (Armes de cavalerie), Maîtrise (Armes lourdes), Maîtrise (Fléaux)</t>
  </si>
  <si>
    <t>Camouflage rural, Coups puissants ou Tir de précision, Course à pied ou Sens aiguisés, Maîtrise (Arcs longs), Sens de l’orientation</t>
  </si>
  <si>
    <t>Adresse au tir ou Coup au but, Sur ses gardes ou Maître artilleur, Valeureux, Coups précis, Grand voyageur, Maîtrise (Arbalètes) ou Maîtrise (Arcs longs), Maîtrise (Armes lourdes) ou Maîtrise (Armes de parade), Parade éclair, Rechargement rapide, Sain d’esprit, Sang-froid ou Sixième sens, Tireur d’élite</t>
  </si>
  <si>
    <t>Coups puissants, Maîtrise (Armes de cavalerie), Maîtrise (Armes lourdes), Vertu chevaleresque (au choix)</t>
  </si>
  <si>
    <t>Chirurgie, Intelligent ou Résistance aux maladies, Résistance accrue ou Sociable</t>
  </si>
  <si>
    <t>Réflexes éclair ou Tireur d’élite</t>
  </si>
  <si>
    <t>Acuité auditive ou Sang-froid, Coups assommants, Coups précis, Coups puissants, Sens de l’orientation</t>
  </si>
  <si>
    <t>Code de la rue ou Dur en affaires</t>
  </si>
  <si>
    <t>Coups assommants, Coups précis ou Lutte, Désarmement, Réflexes éclair ou Sang-froid, Résistance aux poisons ou Sur ses gardes</t>
  </si>
  <si>
    <t>Art de la mort silencieuse, Adresse au tir, Code de la rue, Combattant virevoltant, Maîtrise (Armes de jet), Maîtrise (Armes de parade), Maîtrise (Armes paralysantes), Parade éclair, Sur ses gardes</t>
  </si>
  <si>
    <t>Camouflage rural, Camouflage souterrain, Course à pied, Maîtrise (Armes de jet) ou Maîtrise (Lance-pierres), Sens de l’orientation</t>
  </si>
  <si>
    <t>Combat de rue, Coups précis, Intrigant, Résistance accrue, Résistance aux poisons, Sociable</t>
  </si>
  <si>
    <t>Coups assommants, Coups précis, Grand voyageur, Linguistique ou Sens de l’orientation, Maîtrise (Armes de parade), Valeureux</t>
  </si>
  <si>
    <t>Force accrue ou Sang-froid, Maîtrise (Armes paralysantes), Sens de l’orientation</t>
  </si>
  <si>
    <t>Adresse au tir ou Rechargement rapide, Camouflage rural ou Camouflage souterrain, Maîtrise (Armes de jet) ou Maîtrise (Armes paralysantes), Sens de l’orientation, Tir de précision ou Tir en puissance</t>
  </si>
  <si>
    <t>Résistance aux maladies, Sixième sens</t>
  </si>
  <si>
    <t>Camouflage souterrain, Résistance aux maladies ou Sur ses gardes</t>
  </si>
  <si>
    <t>Chirurgie, Code de la rue ou Dur en affaires, Résistance aux maladies</t>
  </si>
  <si>
    <t>Dur en affaires ou Grand voyageur</t>
  </si>
  <si>
    <t>Magie noire ou Projectile puissant, Vil ensorcellement</t>
  </si>
  <si>
    <t>Fuite, Intrigant, Linguistique, Sixième sens ou Sociable</t>
  </si>
  <si>
    <t>Inspiration divine (au choix), Intelligent ou Sang-froid, Magie mineure (Exorcisme), Magie mineure (au choix), Menaçant ou Sixième sens, Sain d’esprit ou Valeureux</t>
  </si>
  <si>
    <t>Dur en affaires ou Sang-froid, Fuite ou Sociable, Talent artistique (au choix)</t>
  </si>
  <si>
    <t>Intelligent ou Sang-froid</t>
  </si>
  <si>
    <t>Coups puissants, Maîtrise (Armes lourdes) ou Maîtrise (Fléaux), Sans peur</t>
  </si>
  <si>
    <t>Valeureux ou Force accrue, Résistance aux maladies</t>
  </si>
  <si>
    <t>Adresse au tir, Maîtrise (Arbalètes) ou Maîtrise (Armes de jet), Maîtrise (Arcs longs), Rechargement rapide, Tir de précision, Tir en puissance</t>
  </si>
  <si>
    <t>Acuité auditive, Camouflage urbain, Code de la rue, Imitation ou Linguistique, Intelligent ou Sociable, Intrigant, Sang-froid</t>
  </si>
  <si>
    <t>Combat de rue ou Désarmement, Coups assommants, Coups puissants, Intelligent ou Sang-froid</t>
  </si>
  <si>
    <t>Combat de rue, Coups assommants, Désarmement ou Sur ses gardes, Force accrue ou Résistance accrue, Maîtrise (Armes de jet), Maîtrise (Armes de parade)</t>
  </si>
  <si>
    <t>Adresse au tir ou Tir de précision, Valeureux, Coups puissants ou Tir en puissance, Maîtrise (Arbalètes) ou Maîtrise (Arcs longs), Maîtrise (Armes de cavalerie), Maîtrise (Armes lourdes), Menaçant</t>
  </si>
  <si>
    <t>Coups assommants, Coups puissants, Sang froid ou Valeureux</t>
  </si>
  <si>
    <t>Lutte, Maîtrise (Armes paralysantes), Résistance aux maladies, Résistance aux poisons</t>
  </si>
  <si>
    <t>Coups précis ou Sur ses gardes, Coups puissants, Désarmement ou Lutte, Force accrue ou Sain d’esprit, Maîtrise (Armes lourdes), Maîtrise (Armes de parade), Maîtrise (Fléaux)</t>
  </si>
  <si>
    <t>Combat de rue ou Lutte, Coups précis, Coups puissants, Grand voyageur, Intrigant, Menaçant, Sens aiguisés</t>
  </si>
  <si>
    <t>Camouflage souterrain, Maîtrise (Lance-pierres)</t>
  </si>
  <si>
    <t>Coups précis, Coups puissants, Maîtrise (au choix), Sens de l’orientation</t>
  </si>
  <si>
    <t>Camouflage rural, Grand voyageur, Maîtrise (Arcs longs) ou Tireur d’élite</t>
  </si>
  <si>
    <t>Harmonie aethyrique, Magie commune (Chaos), Résistance accrue</t>
  </si>
  <si>
    <t>Combat de rue, Coups précis, Coups puissants, Maîtrise (Armes lourdes)</t>
  </si>
  <si>
    <t>Coups puissants, Intelligent ou Sang-froid, Maîtrise (Armes lourdes) ou Sur ses gardes, Menaçant, Valeureux</t>
  </si>
  <si>
    <t>Adresse au tir ou Coups assommants, Camouflage rural ou Code de la rue</t>
  </si>
  <si>
    <t>Maître artilleur, Maîtrise (Armes à feu) ou Maîtrise (Armes mécaniques)</t>
  </si>
  <si>
    <t>Maîtrise (Armes mécaniques), Réflexes éclair</t>
  </si>
  <si>
    <t>Maître artilleur, Maîtrise (Armes mécaniques) ou Maîtrise (Armes à poudre)</t>
  </si>
  <si>
    <t>Coups précis, Maîtrise (Armes lourdes)</t>
  </si>
  <si>
    <t>Force accrue, Frénésie, Guerrier né, Maîtrise (Armes lourdes) ou Maîtrise (Fléaux), Résistance à la magie, Résistance accrue, Sur ses gardes, Troublant</t>
  </si>
  <si>
    <t>Coups précis, Effrayant, Harmonie aethyrique, Magie mineure (au choix), Méditation, Projectile puissant, Sang-froid, Sombre savoir (Nurgle)</t>
  </si>
  <si>
    <t>Sens de l’orientation, Sixième sens</t>
  </si>
  <si>
    <t>Harmonie aethyrique ou Mains agiles, Intelligent ou Résistance accrue, Magie commune (Chaos)</t>
  </si>
  <si>
    <t>Horse Coper</t>
  </si>
  <si>
    <t>Dur en affaires ou Fuite, Maîtrise (Armes paralysantes), Sociable</t>
  </si>
  <si>
    <t>Coups précis, Maîtrise (Armes de cavalerie), Maîtrise (Fléaux) ou Maîtrise (Armes lourdes), Sens de l’orientation</t>
  </si>
  <si>
    <t>Calcul mental, Code de la rue ou Dur en affaires</t>
  </si>
  <si>
    <t>Coups assommants, Coups puissants, Désarmement ou Sur ses gardes</t>
  </si>
  <si>
    <t>Adresse au tir ou Coups assommants, Coups puissants ou Rechargement rapide, Désarmement ou Sur ses gardes</t>
  </si>
  <si>
    <t>Coups puissants, Maîtrise (Armes lourdes) ou Rechargement rapide</t>
  </si>
  <si>
    <t>Résistance accrue ou Guerrier né, Maîtrise (Armes lourdes), Sens de l’orientation</t>
  </si>
  <si>
    <t>Camouflage souterrain, Frénésie, Résistance aux maladies, Sans peur</t>
  </si>
  <si>
    <t>Camouflage urbain, Code de la rue, Combat de rue, Connaissance des pièges</t>
  </si>
  <si>
    <t>Camouflage rural ou Grand voyageur, Sixième sens</t>
  </si>
  <si>
    <t>Adresse au tir ou Coups assommants, Camouflage rural ou Sens de l’orientation</t>
  </si>
  <si>
    <t>Pilote de Navire ou Sens de l’orientation</t>
  </si>
  <si>
    <t>Combat de rue, Grand voyageur, Résistance aux maladies</t>
  </si>
  <si>
    <t>Combat de rue ou Maîtrise (Armes à feu), Sociable ou Tireur d’élite</t>
  </si>
  <si>
    <t>Maîtrise (Armes à feu), Rechargement rapide ou Sur ses gardes</t>
  </si>
  <si>
    <t>Force accrue ou Sens de l’orientation, Maîtrise (Armes à poudre)</t>
  </si>
  <si>
    <t>Grand voyageur, Résistance accrue</t>
  </si>
  <si>
    <t>Calcul mental, Dur en affaires, Intelligent ou Sociable, Intrigant</t>
  </si>
  <si>
    <t>Camouflage souterrain ou Connaissance des pièges, Chance ou Sixième sens</t>
  </si>
  <si>
    <t>Adresse au tir, Coups puissants, Maître artilleur, Maîtrise (Armes à feu), Rechargement rapide, Sur ses gardes, Tir de précision</t>
  </si>
  <si>
    <t>Dur en affaires ou Etiquette, Eloquence, Intelligent ou Sociable</t>
  </si>
  <si>
    <t>Course à pied ou Sixième sens, Force accrue ou Résistance accrue, Fuite, Rechargement rapide, Sens de l’orientation</t>
  </si>
  <si>
    <t>Coups assommants ou Coups précis, Incantation de bataille ou Orateur né, Magie commune (Divine)</t>
  </si>
  <si>
    <t>Contagion, Eloquence, Sombre savoir (Peste)</t>
  </si>
  <si>
    <t>Code de la rue, Combat de rue ou Combattant virevoltant, Connaissance des pièges, Maîtrise (Arbalètes), Maîtrise (Armes de jet)</t>
  </si>
  <si>
    <t>Code de la rue, Combat de rue, Coups assommants, Coups puissants, Menaçant</t>
  </si>
  <si>
    <t>Résistance aux maladies ou Sans peur, Sang-froid</t>
  </si>
  <si>
    <t>Code de la rue, Contorsionniste ou Force accrue</t>
  </si>
  <si>
    <t>Calcul mental, Code de la rue ou Dur en affaires, Coups assommants</t>
  </si>
  <si>
    <t>Calcul mental ou Etiquette, Eloquence</t>
  </si>
  <si>
    <t>Coups puissants, Eloquence, Maîtrise (Arbalètes), Maîtrise (Armes de jet), Maîtrise (Armes paralysantes), Menaçant, Parade éclair, Réflexes éclair ou Tireur d’élite, Sixième sens, Valeureux</t>
  </si>
  <si>
    <t>Camouflage rural, Fuite, Résistance accrue, Sens de l’orientation, Sixième sens</t>
  </si>
  <si>
    <t>Eloquence, Rechargement rapide, Tir de précision, Tir en puissance, Troublant</t>
  </si>
  <si>
    <t>Camouflage rural ou Camouflage urbain, Contorsionniste, Coups assommants, Coups précis ou Science de la magie (au choix), Désarmement, Etiquette, Incantation de bataille ou Robuste, Magie mineure (4 au choix), Mains agiles ou Parade éclair, Maîtrise (au choix) ou Méditation, Orateur né, Résistance à la magie, Résistance aux poisons, Sans peur, Troublant</t>
  </si>
  <si>
    <t>Camouflage rural ou Sur ses gardes, Course à pied ou Intelligent, Rechargement rapide ou Tir en puissance, Maîtrise (Lance-pierres)</t>
  </si>
  <si>
    <t>Combat de rue ou Lutte, Coups assommants, Coups puissants, Grand voyageur ou Menaçant</t>
  </si>
  <si>
    <t>Adresse au tir ou Coups puissants, Coups assommants ou Tir en puissance, Coups précis ou Rechargement rapide, Désarmement ou Sur ses gardes, Maîtrise (Armes à feu) ou Maîtrise (Armes lourdes)</t>
  </si>
  <si>
    <t>Magie commune (Vulgaire), Magie vulgaire</t>
  </si>
  <si>
    <t>Magie mineure (3 au choix), Mains agiles, Menaçant ou Troublant</t>
  </si>
  <si>
    <t>Combat de rue, Coups assommants, Coups précis, Coups puissants, Désarmement ou Sur ses gardes, Menaçant ou Sociable</t>
  </si>
  <si>
    <t>Adresse au tir ou Tireur d’élite, Maître artilleur ou Sur ses gardes, Maîtrise (Armes à poudre), Maîtrise (Armes lourdes), Rechargement rapide ou Tir en puissance</t>
  </si>
  <si>
    <t>Coups assommants ou Coups puissants, Désarmement ou Maîtrise (Armes à poudre), Menaçant</t>
  </si>
  <si>
    <t>Adresse au tir, Ingénierie technomage, Maître artilleur, Maitrise (Armes mécaniques) ou Maîtrise (Armes à poudre), Tireur d’élite, Tir de précision</t>
  </si>
  <si>
    <t>Camouflage souterrain, Maître artilleur, Maîtrise (Armes à poudre), Rechargement rapide</t>
  </si>
  <si>
    <t>Code de la rue ou Sain d’esprit, Fuite, Résistance aux maladies</t>
  </si>
  <si>
    <t>Parade éclair, Troublant</t>
  </si>
  <si>
    <t>Coups précis, Maîtrise (Fléaux), Résistance aux poisons, Sans peur</t>
  </si>
  <si>
    <t>Camouflage rural ou Camouflage urbain, Valeureux, Coup au but, Coups précis, Coups puissants, Force accrue ou Résistance accrue, Frénésie Maîtrise (Arbalètes) ou Maîtrise (Armes de jet), Maîtrise (Armes lourdes), Menaçant, Rechargement rapide ou Tir en puissance, Réflexes éclair, Sans peur, Sixième sens, Troublant</t>
  </si>
  <si>
    <t>Camouflage rural ou Course à pied, Grand voyageur, Sens de l’orientation ou Tireur d’élite</t>
  </si>
  <si>
    <t>Dur en affaires ou Grand voyageur, Etiquette, Sang-froid ou Sociable</t>
  </si>
  <si>
    <t>Code de la rue ou Combat de rue, Eloquence</t>
  </si>
  <si>
    <t>Camouflage souterrain, Coups précis, Force accrue ou Résistance accrue, Guerrier né, Maîtrise (Fléaux), Menaçant, Robuste, Valeureux</t>
  </si>
  <si>
    <t>Magie mineure (2 au choix), Magie noire, Méditation, Menaçant, Orateur né, Vil ensorcellement</t>
  </si>
  <si>
    <t>Calcul mental ou Connaissance des pièges, Camouflage urbain ou Code de la rue</t>
  </si>
  <si>
    <t>Etiquette ou Grand Voyageur,Linguistique, Orateur Né, Eloquence ou Intelligent</t>
  </si>
  <si>
    <t>Désarmement, Intelligent ou Guerrier Né, Maitrise (Escrime)</t>
  </si>
  <si>
    <t>Acuité visuelle, Sens de l'orientation, Grand Voyageur ou Calcul Mental</t>
  </si>
  <si>
    <t>Armes naturelles, Aura démoniaque, Harmonie aethyrique, Magie commune (Chaos), Magie mineure (2 au choix), Magie noire, Mains agiles, Menaçant, Sans peur, Sens aiguisés, Sombre savoir (un au choix), Terrifiant, Vision nocturne, Vol (Mouvement en vol = Mouvement x2)</t>
  </si>
  <si>
    <t>Armes naturelles, Aura démoniaque, Coups assommants, Coups précis, Coups puissants, Maîtrise (trois types d’armes au choix), Menaçant, Résistance à la magie, Robuste, Sans peur, Sens aiguisés, Terrifiant, Vision nocturne, Vol (Mouvement en vol = Mouvement x2)</t>
  </si>
  <si>
    <t>Etiquette</t>
  </si>
  <si>
    <t>Etiquette, Grand Voyageur,  Intrigant, Linguistique, Orateur Né, Sain d'esprit, Valeureux</t>
  </si>
  <si>
    <t>Etiquette, Eloquence, Résistance à la magie</t>
  </si>
  <si>
    <t>Code de la rue, Eloquence, Sang froid ou Fuite</t>
  </si>
  <si>
    <t>Eloquence, Intelligent ou Sociable, Magie mineure (au choix), Magie mineure (au choix), Mains agiles</t>
  </si>
  <si>
    <t>Course à pied ou Réflexes éclair, Lutte, Maître artilleur, Maîtrise (3 au choix), Parade éclair, Rechargement rapide, Sur ses gardes, Tir en puissance</t>
  </si>
  <si>
    <t>Effrayant, Maîtrise (2 au choix), Orateur né, Sang-froid, Sens aiguisés, Sur ses gardes</t>
  </si>
  <si>
    <t>Coups assommants, Coups puissants, Désarmement ou Sur ses gardes, Maîtrise (3 au choix), Menaçant, Parade éclair, Résistance accrue ou Sixième sens</t>
  </si>
  <si>
    <t>Coups assommants, Coups puissants, Désarmement ou Sur ses gardes, Maîtrise (2 au choix), Menaçant, Parade éclair, Résistance accrue ou Sixième sens</t>
  </si>
  <si>
    <t>Harmonie aethyrique ou Magie noire, Magie mineure (2 au choix), Mains agiles ou Résistance accrue, Méditation ou Projectile puissant, Science de la magie (au choix) ou Sombre savoir (au choix)</t>
  </si>
  <si>
    <t>Harmonie aethyrique ou Méditation, Magie mineure (2 au choix), Projectile puissant, Saint d’esprit, Sans peur</t>
  </si>
  <si>
    <t>Course à pied, Grand voyageur, Maîtrise (2 au choix), Menaçant, Sain d’esprit, Sans peur</t>
  </si>
  <si>
    <t>Coups assommants ou Intrigant, Dur en affaires ou Harmonie aethyrique, Intelligent, Magie commune (Chaos), Magie mineure (2 au choix), Menaçant, Réflexes éclair, Résistance aux poisons, Sans peur, Sombre savoir (Slaanesh)</t>
  </si>
  <si>
    <t>Dur en affaires ou Harmonie aethyrique, Magie mineure (2 au choix), Méditation, Menaçant, Orateur né, Projectile puissant, Sombre savoir (Tzeentch), Valeureux</t>
  </si>
  <si>
    <t>Intelligent, Magie mineure (2 au choix), Menaçant, Sociable</t>
  </si>
  <si>
    <t>Harmonie aethyrique ou Méditation, Magie mineure (2 au choix), Magie noire ou Sain d’esprit, Mains agiles ou Projectile puissant</t>
  </si>
  <si>
    <t>Coups puissants ou Grand voyageur, Harmonie aethyrique ou Méditation, Incantation de bataille ou Mains agiles, Inspiration divine (au choix), Magie mineure (2 au choix)</t>
  </si>
  <si>
    <t>Coups puissants ou Maîtrise (au choix), Incantation de bataille, Inspiration divine (au choix), Magie mineure (2 au choix), Mains agiles ou Méditation</t>
  </si>
  <si>
    <t>Magie mineure (2 au choix,) Magie noire ou Sain d’esprit, Mains agiles ou Résistance accrue, Méditation ou projectile puissant, Orateur né, Sombre savoir (Warp)</t>
  </si>
  <si>
    <t>Harmonie aethyrique, Incantation de bataille, Magie mineure (2 au choix), Magie noire ou Sain d’esprit, Mains agiles ou Résistance accrue, Maîtrise (Armes de jet), Méditation ou Projectile puissant, Sombre savoir (Ruse)</t>
  </si>
  <si>
    <t>Harmonie aethyrique, Magie mineure (3 au choix), Magie noire, Mains agiles ou Résistance accrue, Méditation ou Projectile puissant, Sombre savoir (au choix), Valeureux</t>
  </si>
  <si>
    <t>Ambidextre ou Course à pied, Dur en affaires ou Code de la rue, Eloquence ou Sixième Sens, Combattant virevoltant ou Sur ses gardes</t>
  </si>
  <si>
    <t>Magie mineure (3 au choix), Méditation ou Projectile puissant, Sain d’esprit ou Valeureux, Sang-froid, Tradition des sorcières (Glace)</t>
  </si>
  <si>
    <t>Charlatan, Dilettante, Diplomate, Escroc, Étudiant, Marchand, Marin, Plaideur, Vagabond</t>
  </si>
  <si>
    <t>Aristocrate, Bedeau, Charlatan, Courtisan des Principautés, Dame d'honneur, Dilettante, Duelliste, Espion, Frère de la cape, Intendant, Politicien</t>
  </si>
  <si>
    <t>talents de votre carrière actuelle :</t>
  </si>
  <si>
    <t>Talents carrières</t>
  </si>
  <si>
    <t>Code de la rue ou Etiquette, Dur en affaires ou Intrigant, Eloquence, Orateur né ou Politique</t>
  </si>
  <si>
    <t>Grand voyageur, Sens de l’orientation ou Pilote de Navire</t>
  </si>
  <si>
    <t>Combattant virevoltant ou Parade éclair, Coups puissants, Désarmement, Grand voyageur ou Pilote de Navire, Maîtrise (Armes d’escrime)</t>
  </si>
  <si>
    <t>Homme-bête</t>
  </si>
  <si>
    <t>Bâton spirituel</t>
  </si>
  <si>
    <t>une goutte de sang (+1)</t>
  </si>
  <si>
    <t>Votre arme, qui est nécessairement un bâton, est pénétrée de la puissance des esprits de votre tribu. Elle inflige des dégâts égaux à votre BF et équivaut à une arme magique pendant 1 minute (6 rounds). Contre une créature éthérée, elle jouit de l’attribut percutante.</t>
  </si>
  <si>
    <t>Flammes vengeresses</t>
  </si>
  <si>
    <t>deux pièces de cuivre (+2)</t>
  </si>
  <si>
    <t>Vous êtes submergé par une telle colère contre les ennemis de votre tribu que des flammes vertes jaillissent de vos yeux en direction d’un adversaire situé dans un rayon de 36 mètres (18 cases). Il s’agit d’un projectile magique ayant une value de dégâts de 4 (ou 6 si la cible est éthérée)</t>
  </si>
  <si>
    <t>Voix des esprits</t>
  </si>
  <si>
    <t>Anéantissement de l'esprit morbide</t>
  </si>
  <si>
    <t>Vision funeste</t>
  </si>
  <si>
    <t>Bouclier spirituel</t>
  </si>
  <si>
    <t>une amulette portant le symbole de votre tribu (+1)</t>
  </si>
  <si>
    <t>Vous parlez avec la voix des esprits de votre tribu et exhortez les membres de votre clan à réaliser des exploits. Vous ainsi que tous vos alliés dans un rayon de 12mètres (6cases) bénéficiez d’un bonus de +1 aux jets de dégâts et d’un bonus de +10% aux tests de Peur, le tout pendant 1 minute (6 rounds)</t>
  </si>
  <si>
    <t>une coupe remplie de neige tout juste fondue (+2)</t>
  </si>
  <si>
    <t>Vous pouvez soigner un malade en triomphant de l’esprit malveillant lié à son affection. Il vous faut d’abord toucher la cible du sort pour pouvoir débuter l’affrontement et effectuer un test de Force Mentale. Si vous obtenez deux degrés de réussite, vous l’emportez sur l’esprit morbide et le sujet est instantanément guéri de tous les effets correspondants. Ce sort ne peut rien pour ceux qui sont déjà morts des suites d’une maladie, il est trop tard pour eux,</t>
  </si>
  <si>
    <t>Vous apparaissez dans les songes d’un personnage et lui précisez son avenir. Vous n’avez pas besoin de pratiquer une langue commune avec la cible, le rêve se contentant de lui montrer de manière très réaliste l’horrible mort qui l’attend. La prochaine fois que la cible du sort vous verra, elle devra effectuer un test de Peur Assez Difficile (-10%). Il est nécessaire que le destinataire de vision funeste soit endormi au moment où le sort est lancé.</t>
  </si>
  <si>
    <t>une défense de sanglier (+2)</t>
  </si>
  <si>
    <t>Les esprits veillent sur votre tribu et la protègent de toute nuisance. Tous vos alliés situés dans un rayon de 24 mètres (12 cases) peuvent alors rejouer une esquive ou une parade manquée par round. Bouclier spirituel persiste un nombre de rounds équivalent à votre valeur de Magie.</t>
  </si>
  <si>
    <t>Sombres savoirs</t>
  </si>
  <si>
    <t>Magie commune (chaos)</t>
  </si>
  <si>
    <t>82/83</t>
  </si>
  <si>
    <t>Bénédiction du maître</t>
  </si>
  <si>
    <t>un demi-litre de sang d'enfant (+1)</t>
  </si>
  <si>
    <t>vous invoquez la puissance des démons pour bénéficier d’une faveur. Augmentez l’une de vos valeurs de caractéristique de +10% pendant un nombre de rounds égal à votre valeur de Magie,</t>
  </si>
  <si>
    <t>Combustion</t>
  </si>
  <si>
    <t>Engourdissement</t>
  </si>
  <si>
    <t>8 mètres (4 cases)</t>
  </si>
  <si>
    <t>un peu de cendre tirée d’une torche usagée (+1)</t>
  </si>
  <si>
    <t>vous créez une étincelle qui jaillit du bout de votre doigt pour atterrir où vous le souhaitez dans un rayon de 8 mètres(4 cases). La flammèche n’inflige aucun dégât, mais si elle se pose sur un objet inflammable et qu’on n’y fait rien, l’objet prend feu en 1d10 rounds (cf. Le feu, page 136 de WJDR).</t>
  </si>
  <si>
    <t>un bouton de lotus noir (+1)</t>
  </si>
  <si>
    <t>votre contact provoque la torpeur d’un adversaire, qui doit réussir un test de Force Mentale sous peine de ricaner bêtement pendant 1d10 rounds. Tant qu’elle est affectée, la cible subit un malus de –20% à tous les tests de caractéristique et de compétence,</t>
  </si>
  <si>
    <t>vous maudissez la victime de votre choix dans un rayon de 12 mètres (6 cases). La cible a droit à un test de Force Mentale pour résister aux effets du sort. Cette malédiction perturbe le sujet, mais n’est absolument pas mortelle, pas plus qu’elle n’impose de pénalité, en dehors d’un certain embarras qui peut se traduire par un malus aux tests de Sociabilité (à l’appréciation du MJ, mais pas plus de –10%). Gêne se manifeste par exemple de l’une des manières suivantes : verrues, furoncles, altération de la couleur des cheveux, flatulences incontrôlables, forte odeur des pieds, crise d’urticaire, etc.</t>
  </si>
  <si>
    <t>Vomissements</t>
  </si>
  <si>
    <t>Yeux du démon</t>
  </si>
  <si>
    <t>un dé à coudre de vomi de troll (+1)</t>
  </si>
  <si>
    <t>les yeux d’un humain pendu depuis trois jours (+1)</t>
  </si>
  <si>
    <t>vous provoquez une petite crise de vomissements chez une cible située dans un rayon de 8 mètres (4 cases), à moins qu’elle ne réussisse un test d’Endurance. La cible subit alors un malus de –10% aux tests de Sociabilité impliquant d’autres individus pour les 1d10 prochains rounds.</t>
  </si>
  <si>
    <t>vos yeux brillent d’une lueur impie verte, qui vous permet de voir comme si vous disposiez du talent Vision nocturne. Si vous détenez déjà ce talent, la portée de votre vision nocturne est doublée (cf. Éclairage, page 117 de WJDR). L’effet dure 1 heure par point de Magie du lanceur de sorts.</t>
  </si>
  <si>
    <t>Entraves</t>
  </si>
  <si>
    <t>Main de dieu</t>
  </si>
  <si>
    <t>un doigt d’un prêtre de Sigmar (+2)</t>
  </si>
  <si>
    <t>vous triturez les Vents de Magie, qui tourbillonnent autour de vous pour réprimer durant quelque temps les effets de la mutation. Pendant un nombre de minutes égal à votre valeur de Magie, vous bénéficiez d’un bonus de +10% à tout test visant à résister à l’acquisition d’une mutation.</t>
  </si>
  <si>
    <t>Pas de côté</t>
  </si>
  <si>
    <t>une sauterelle (+2)</t>
  </si>
  <si>
    <t>vous disparaissez et réapparaissez dans un espace de votre choix, dans un rayon de 10 mètres (5 cases). Étant donné que vous foulez l’Aethyr, il y a 10% de chances que vous attiriez l’attention d’un démon chaque fois que vous lancez ce sort. Si tel est le cas, au lieu de réapparaître à l’emplacement souhaité, un démon mineur choisi par le MJ vous saisit pour vous séquestrer à tout jamais dans les Royaumes du Chaos. À utiliser avec parcimonie.</t>
  </si>
  <si>
    <t>Rejet de mutation</t>
  </si>
  <si>
    <t>une potion de soins (+2)</t>
  </si>
  <si>
    <t>vous touchez un mutant qui perd une mutation de votre choix pendant un nombre de rounds égal à votre valeur de Magie. Si le sujet n’est pas consentant, il a droit à un test de Force Mentale pour résister aux effets. Il s’agit d’un sort de contact, inefficace sur les créatures présentant une instabilité (règle spéciale que l’on retrouve par exemple chez les démons) et sur celles qui n’ont aucune mutation (pour des raisons évidentes).</t>
  </si>
  <si>
    <t>Secousse</t>
  </si>
  <si>
    <t>Varappe</t>
  </si>
  <si>
    <t>un peu de pierre broyée (+1)</t>
  </si>
  <si>
    <t>vous provoquez une légère secousse sismique. Prenez le petit gabarit. Toutes les créatures qui se tiennent au sol dans la zone d’effet doivent réussir un test d’Agilité sous peine de tomber à terre. Vous n’êtes vous-même pas affecté par votre propre secousse.</t>
  </si>
  <si>
    <t>un peu de colle (+1)</t>
  </si>
  <si>
    <t>vos mains et vos pieds deviennent collants et adhèrent à toute surface que vous touchez. Vous bénéficiez de la compétence Escalade (+20%) pendant un nombre de minutes égal à votre valeur de Magie. Si vous disposiez déjà de cette compétence, vous bénéficiez au lieu de cela d’un bonus de +20% aux tests d’Escalade jusqu’à la fin de l’effet.</t>
  </si>
  <si>
    <t>Domaine de Nurgle</t>
  </si>
  <si>
    <t>Beauté intérieure</t>
  </si>
  <si>
    <t>Faveur de Nurgle</t>
  </si>
  <si>
    <t>Gerbe corruptrice</t>
  </si>
  <si>
    <t xml:space="preserve">un morceau de fruit pourri et infesté de vers (+2) </t>
  </si>
  <si>
    <t>vous accélérez le vieillissement d’un individu ou la décrépitude d’un objet. Il s’agit d’un sort de contact. Si l’objet n’est pas organique, il se met à s’effriter, ce qui diminue sa qualité d’un cran. Si l’objet est organique, il mûrit très rapidement, jusqu’à pourrir et à éclater en déversant son contenu nauséabond. Les créatures vivantes ont droit à un test d’Endurance pour résister à ces effets. En cas d’échec, le sujet vieillit de 2d10 ans et perd à jamais –1d10% en Capacité de Combat, Capacité de Tir, Force, Endurance et Agilité.</t>
  </si>
  <si>
    <t>une pincée de vomissement (+2)</t>
  </si>
  <si>
    <t>grâce à faveur de Nurgle, vous absorbez une maladie qui affecte la créature touchée. L’affection est en vous, mais vous ne souffrez pas de ses effets pendant un nombre d’heures égal à votre valeur de Magie. Vous pouvez transférer la maladie à une autre cible en la touchant, mais elle a droit à un test d’Endurance pour résister à cette tentative. Si la cible réussit ce test, la maladie reste en vous, mais vous pouvez retenter de vous en débarrasser, sur la même cible ou une autre. Si le sort prend fin avant que vous ayez pu transmettre l’affection, vous êtes contaminé.</t>
  </si>
  <si>
    <t>un morceau de viande infestée de vers (+2)</t>
  </si>
  <si>
    <t>vous vomissez un jet de sang putride et méphitique, mêlé de pus, de vers et de sécrétions diverses. Prenez le gabarit de flammes. Toute cible touchée par la gerbe doit aussitôt réussir un test d’Endurance Assez difficile (–10%) sous peine de subir trois coups d’une valeur de dégâts de 4. En outre, les créatures affectées ont la nausée et subissent un malus de –10% à tous les tests de compétence et de caractéristique pendant un nombre de minutes égal à votre valeur de Magie.</t>
  </si>
  <si>
    <t>Immonde messager</t>
  </si>
  <si>
    <t>La multitude fait le tout</t>
  </si>
  <si>
    <t>Nuage de miasmes</t>
  </si>
  <si>
    <t>Pestilence réjouissante</t>
  </si>
  <si>
    <t>Prodigieuse santé</t>
  </si>
  <si>
    <t>Puanteur de Nurgle</t>
  </si>
  <si>
    <t>Vent épidémique</t>
  </si>
  <si>
    <t>vous vomissez un torrent de mouches bleues et vertes qui tourbillonnent autour de vous pour former une nuée évoquant vaguement une tête de crapaud. Vous pouvez indiquer un message comptant jusqu’à 25 mots à cette nuée, qui se charge alors de le transmettre au destinataire souhaité. La nuée se déplace à la vitesse de 1,5 km par heure et délivre le message d’une voix étranglée qui rappelle des haut-le-coeur. Une fois la tâche accomplie, les mouches s’enfouissent dans tous les orifices du destinataire et disparaissent. La première fois qu’un individu reçoit un message par le biais de ce sort, il doit réussir un test de Force Mentale sous peine de gagner 1 point de Folie.</t>
  </si>
  <si>
    <t>une poignée d’excréments humains (+1)</t>
  </si>
  <si>
    <t>un organe visqueux d’une victime d’une épidémie (+3)</t>
  </si>
  <si>
    <t>des larmes d’un enfant malade (+2)</t>
  </si>
  <si>
    <t>le cerveau d’un champion du Chaos de Nurgle (+3)</t>
  </si>
  <si>
    <t>le cordon ombilical d’un enfant mort-né (+1)</t>
  </si>
  <si>
    <t>le vent nauséabond d’un grand immonde (+3)</t>
  </si>
  <si>
    <t>votre corps se désagrège pour former une nuée de mouches prenant la forme d’un homme. Tout ce que vous portez sur vous ou dans vos mains tombe au sol. Vous acquérez le talent Vol avec une vitesse en vol égale à votre valeur de Mouvement. Tant que vous restez sous cette forme, vous êtes immunisé contre les dégâts des armes non magiques. Vous ne pouvez être ciblé par des sorts (à l’exception de dissipation), mais restez sujet aux sorts de zone infligeant des dégâts. Vous pouvez altérer votre forme, tant qu’elle reste continue. Cela signifie que vous ne pouvez vous séparer en plusieurs nuées, ce qu’une force extérieure ne peut pas faire davantage. Vous pouvez vous insinuer dans des espaces étroits, dès lors qu’une seule mouche pourrait s’y glisser. La multitude fait le tout persiste pendant un nombre d’heures égal à votre valeur de Magie, mais vous pouvez y mettre un terme quand vous le souhaitez. Si le sort prend fin prématurément et que vous vous trouvez dans un espace trop étroit pour accueillir votre corps, vous mourez aussitôt.</t>
  </si>
  <si>
    <t>une abjecte brume verte s’élève du sol qui vous entoure. Centrez le grand gabarit sur vous-même. Toutes les créatures qui sont dans la zone d’effet subissent un malus de –20% aux tests de caractéristique et de compétence, malus qui dure un nombre de minutes égal à votre valeur de Magie, qu’elles en sortent ou non. Le nuage reste en place pendant un nombre de minutes égal à votre valeur de Magie. Vous êtes vous-même immunisé contre votre propre nuage de miasmes.</t>
  </si>
  <si>
    <t>vous contaminez toutes les créatures situées dans un rayon de 24 mètres (12 cases) d’une terrible maladie. Lancez les dés pour déterminer la maladie invoquée. Les règles de rétablissement sont les mêmes que pour les maladies normales.</t>
  </si>
  <si>
    <t>vous placez vos mains sur le visage de la cible et de petites vrilles vertes poussent comme des poils dans vos paumes à la fin de l’incantation. Après sept secondes d’agonie, les traits de la cible s’altèrent légèrement et tous les défauts, toutes les marques de mauvaise santé, s’évanouissent, quelle que soit leur gravité, cachés derrière un masque de vigueur. Mais aussi parfaite soit la transformation, elle n’en est pas moins dérangeante. Les joues sont trop roses, la mâchoire trop parfaite, les dents un peu trop blanches et les yeux brillent d’une promesse lascive. Prodigieuse santé persiste pendant un nombre d’heures égal à votre valeur de Magie ou dès que la cible perd 1 point de Blessures.</t>
  </si>
  <si>
    <t>des relents nauséabonds émanent de votre corps et polluent l’air environnant. L’odeur est si nocive que ceux qui respirent ces vapeurs attrapent la nausée et se mettent à vomir, presque invalidés par les relents. Toutes les créatures vivantes qui vous sont adjacentes doivent réussir un test d’Endurance sous peine d’être sans défense pendant un nombre de rounds égal à votre valeur de Magie. Même ceux qui réussissent ce test subissent un malus de –10% aux tests de Capacité de Combat. Les vapeurs vous accompagnent pendant un nombre de minutes égal à votre valeur de Magie. Vous êtes immunisé contre votre propre puanteur de Nurgle.</t>
  </si>
  <si>
    <t>vous invoquez les vents immondes de Nurgle pour qu’ils balayent la campagne environnante et sèment la mort et la maladie. Choisissez un point situé dans un rayon de 24 mètres (12 cases) et centrez-y le grand gabarit. Toutes les créatures vivantes qui sont prises dans la zone d’effet doivent réussir un test d’Endurance Difficile (–20%) sous peine de contracter la pourriture de Neiglish. En outre, le nuage est source de Terreur. Il se disperse après un nombre de minutes égal à votre valeur de Magie.</t>
  </si>
  <si>
    <t>24 mètres (12 cases) (grand gabarit)</t>
  </si>
  <si>
    <t>Domaine de Slaanesh</t>
  </si>
  <si>
    <t>Béatitude funeste</t>
  </si>
  <si>
    <t>Douleur euphorisante</t>
  </si>
  <si>
    <t>Insaisissable gloire</t>
  </si>
  <si>
    <t>Langue cinglante</t>
  </si>
  <si>
    <t>Malédiction de la chair</t>
  </si>
  <si>
    <t>Pantin de chair</t>
  </si>
  <si>
    <t>Pavane de Slaanesh</t>
  </si>
  <si>
    <t>Succube</t>
  </si>
  <si>
    <t>Torrent doré</t>
  </si>
  <si>
    <t>Voile du désir</t>
  </si>
  <si>
    <t>un symbole de Slaanesh (+1)</t>
  </si>
  <si>
    <t>d’un simple contact, vous placez une créature vivante dans un état de bien-être euphorique pendant un nombre de rounds égal à votre valeur de Magie. Si la victime souhaite entreprendre une action au cours d’un round donné, elle doit au préalable réussir un test de Force Mentale, sans quoi elle restera immobile à sourire béatement, renonçant à toute action pour le round. Les cibles qui réussissent dans ce cadre trois tests d’Endurance consécutifs mettent un terme aux effets du sort. Béatitude funeste est un sort de contact.</t>
  </si>
  <si>
    <t>une goutte de sueur d’un amant (+2)</t>
  </si>
  <si>
    <t>une dose de liqueur d’amande (+2)</t>
  </si>
  <si>
    <t>pétales de rose écrasés (+1)</t>
  </si>
  <si>
    <t>une excroissance sectionnée, truffée de 144 araignées vivantes (+3)</t>
  </si>
  <si>
    <t>les sens d’une créature située dans un rayon de 12 mètres (6 cases) sont profondément altérés. Le sujet du sort a droit à un test de Force Mentale pour résister aux effets. En cas d’échec, la cible tire du plaisir de la souffrance, tandis que les sources habituelles de plaisir lui deviennent douloureuses. Ces effets persistent pendant un nombre de minutes égal à votre valeur de Magie. En outre, quand la cible inflige ou subit des dégâts, elle bénéficie pendant 1 round d’un bonus (non cumulatif) de +10% aux tests de Capacité de Combat et en Endurance.</t>
  </si>
  <si>
    <t>vous soufflez un air parfumé en plein visage ou dans l’oreille d’une créature vivante adjacente. Elle est aussitôt assaillie de visions glorieuses de ce qu’elle pourrait accomplir, ce qui dans le même temps souille son âme et l’accable de honte. La cible d’insaisissable gloire bénéficie d’un bonus à un test, égal à +10% x votre valeur de Magie, sachant que le test doit être effectué avant un nombre de jours égal à votre valeur de Magie.</t>
  </si>
  <si>
    <t>votre langue s’allonge de plusieurs mètres pour s’insinuer dans les moindres orifices de ceux qu’elle frappe de sa forme lascive et frétillante. Vous pouvez ainsi atteindre des cibles situées dans un rayon de 12 mètres (6 cases). Le sort agit comme un projectile magique. Les créatures frappées par la langue subissent un coup d’une valeur de dégâts de 3 qui ignore l’armure, l’appendice libérant une vague de pure agonie. La langue garde cet aspect et ces pouvoirs pendant un nombre de rounds égal à votre valeur de Magie, sachant que vous pouvez attaquer par ce biais au prix d’une demi-action.</t>
  </si>
  <si>
    <t>une créature située dans un rayon de 24 mètres (12 cases) développe d’horribles appendices dont elle ne contrôle pas la croissance. La cible peut résister à ces effets en réussissant un test de Force Mentale Difficile (–20%). Les effets de malédiction de la chair sont permanents, la victime continuant à développer appendices et excroissances jusqu’à ce qu’elle soit la cible d’une dissipation réussie (auquel cas toutes les malformations disparaissent) ou qu’elle meure. Tant qu’elle est affectée par ce sort, la victime ne peut entreprendre la moindre action et est sans défense.</t>
  </si>
  <si>
    <t>une marionnette (+3)</t>
  </si>
  <si>
    <t>une flasque de vin (+2)</t>
  </si>
  <si>
    <t>la langue d’une vierge (+3)</t>
  </si>
  <si>
    <t>la langue d’une catin (+2)</t>
  </si>
  <si>
    <t>vous prenez le contrôle d’une autre créature, qui devient votre marionnette. Si la cible manque son test de Force Mentale Assez difficile (–10%), ses yeux prennent la couleur des vôtres. En outre, elle se met à rougir et à transpirer, comme sous l’effet de l’excitation ou de la colère. Tant qu’elle est sous votre emprise, la cible est forcée d’obéir à vos instructions psychiques. Si vous lui ordonnez d’agresser ses compagnons, elle devra le faire. Votre contrôle du pantin de chair est tel que vous pouvez même parler par sa bouche. Vous conservez cet ascendant pour un nombre d’heures égal à votre valeur de Magie, mais il vous faut pour cela garder la cible en vue à tout instant. En outre, il vous en coûte une demi-action par round, sans quoi le sort prend aussitôt fin. Les personnes soumises à ce sort se sentent violées dans leur intimité et doivent réussir un test de Force Mentale supplémentaire sous peine de gagner 2 points de Folie. Si vous donnez à la cible une instruction qu’elle a toutes les raisons de considérer comme suicidaire, elle peut tenter un autre test de Force Mentale pour mettre fin à l’emprise.</t>
  </si>
  <si>
    <t>A vue</t>
  </si>
  <si>
    <t>toutes les créatures vivantes situées dans un rayon de 24 mètres (12 cases) doivent réussir un test de Force Mentale Assez difficile (–10%), sans quoi elles seront obligées de danser sans la moindre pudeur aux sons aethyriques de la musique de Slaanesh, pendant un nombre de minutes égal à votre valeur de Magie. Pendant ce temps, elles ne peuvent pas entreprendre la moindre action et sont sans défense. Une créature qui subit une attaque est aussitôt libérée des effets du sort. Le sort s’accompagne d’un effet secondaire: à chaque minute passée à danser, la victime doit réussir un test de Force Mentale Difficile (–20%) sous peine de gagner 1d10/5 points de Folie pour avoir vibré à l’écoute de cette mélodie impie.</t>
  </si>
  <si>
    <t>2 heures/point de Magie</t>
  </si>
  <si>
    <t>Une adoptez une sorte de Forme astrale, cfr. Tome de la Corruption p. 121</t>
  </si>
  <si>
    <t>un rayon de lueur chaude et dorée jaillit de la paume de votre main. Le trait peut affecter une seule et unique cible que vous avez en ligne de mire dans un rayon de 24 mètres (12 cases). La cible éprouve alors une sensation agréable et engourdissante. Si la victime souhaite entreprendre une action au cours d’un round donné, elle doit au préalable réussir un test de Force Mentale, sans quoi elle reste immobile à sourire béatement, renonçant à toute action pour le round. Les cibles qui réussissent dans ce cadre trois tests d’Endurance consécutifs mettent un terme aux effets du sort.</t>
  </si>
  <si>
    <t>un peu d’urine de troll (+3)</t>
  </si>
  <si>
    <t>la créature que vous touchez subit une profonde altération, tandis que des particules roses tourbillonnent contre sa chair, provoquant l’excitation et un plaisir intense. Voile du désir produit plusieurs effets. Tout d’abord, le sort contre tous les effets de l’ivresse, de l’abus de nourriture et du manque de sommeil. Ensuite, il efface tous les signes extérieurs d’atteinte physique, sans pour autant soigner véritablement les blessures. Enfin, il confère à la cible un bonus de +10% aux tests de Sociabilité pendant un nombre d’heures égal à votre valeur de Magie.</t>
  </si>
  <si>
    <t>Domaine de Tzeentch</t>
  </si>
  <si>
    <t>Bénédiction de Tzeentch</t>
  </si>
  <si>
    <t>Confusion bestiale</t>
  </si>
  <si>
    <t>Dissipation de mortel</t>
  </si>
  <si>
    <t>Esclave du Chaos</t>
  </si>
  <si>
    <t>Flammes du destin</t>
  </si>
  <si>
    <t>Flammes incarnates de Tzeentch</t>
  </si>
  <si>
    <t>Invalidation de la magie</t>
  </si>
  <si>
    <t>Ramollissement</t>
  </si>
  <si>
    <t>Stupeur embrasée</t>
  </si>
  <si>
    <t>Tempête de feu de Tzeentch</t>
  </si>
  <si>
    <t>Transformation de Tzeentch</t>
  </si>
  <si>
    <t>le doigt d’un sorcier (+2)</t>
  </si>
  <si>
    <t>vous criez le nom de Tzeentch pour invoquer sa bénédiction. Jetez 1d10. Si le résultat est impair, vous acquérez une mutation. Si le résultat est pair, vous pouvez ajouter un sort de n’importe quel domaine à votre répertoire de la journée.</t>
  </si>
  <si>
    <t>de l’urine de loup (+1)</t>
  </si>
  <si>
    <t>les yeux d’un sorcier (+3)</t>
  </si>
  <si>
    <t>une poignée de sable (+2)</t>
  </si>
  <si>
    <t>une petite météorite (+1)</t>
  </si>
  <si>
    <t>une flèche enflammée (+2)</t>
  </si>
  <si>
    <t>le sang d’une horreur (+2)</t>
  </si>
  <si>
    <t>vous projetez votre conscience au sein d’une autre créature vivante. Le sujet de cette attaque psychique a droit à un test de Force Mentale pour résister à l’intrusion. En cas d’échec, vous prenez le contrôle de ses actes pendant un nombre de minutes égal au double de votre valeur de Magie. Si l’une de vos instructions paraît suicidaire, la cible a droit à un autre test de Force Mentale pour rompre l’enchantement. Tant que vous possédez ainsi un corps de mortel, votre propre enveloppe corporelle reste dans un état cataleptique profond. À la fin des effets du sort, le sujet doit réussir un test de Force Mentale Assez difficile (–10%) sous peine d’acquérir une mutation.</t>
  </si>
  <si>
    <t>2 minutes (12 rounds)/point de Magie</t>
  </si>
  <si>
    <t>des flammes d’un orange très clair jaillissent du sol, tout autour de vous. Dans ces langues de feu apparaissent des images de l’avenir. Vous pouvez rejouer un test de caractéristique ou de compétence au choix effectué avant que ne s’écoule un nombre de minutes égal à votre valeur de Magie.</t>
  </si>
  <si>
    <t>des flammes roses et dégoulinantes d’énergie jaillissent du bout de vos doigts pour frapper une créature située dans un rayon de 6 mètres (3 cases). Il s’agit d’un projectile magique d’une valeur de dégâts de 4 ignorant l’armure.</t>
  </si>
  <si>
    <t>vous psalmodiez les paroles impies des démons, ce qui vous permet d’absorber l’énergie d’un objet magique proche. Vous choisissez un objet magique situé dans un rayon de 6 mètres (3 cases), qui perd aussitôt toutes ses propriétés magiques pendant 1d10 minutes. Vous devez réussir un test d’Endurance Assez difficile (–10%) sous peine d’acquérir une mutation.</t>
  </si>
  <si>
    <t>un peu de cire (+2)</t>
  </si>
  <si>
    <t>liquide crânien d’un dément (+2)</t>
  </si>
  <si>
    <t>un feu de joie alimenté par les ossements de 13 mutants (+3)</t>
  </si>
  <si>
    <t>d’étranges points bleus et luisants apparaissent sur vos mains. Si vous touchez ensuite un objet non magique, celui-ci perd toute fermeté pour devenir mou et malléable. L’acier se tord, le verre se replie, la roche se transforme en argile. Si vous lancez ce sort sur une arme, elle devient molle et se brise si on s’en sert au combat. Une armure ainsi affectée n’offre plus aucune protection, tous les points d’Armure étant annulés dans les zones couvertes correspondantes (d’ailleurs, l’armure se brise en cas de coup porté sur une telle zone). Vous ne pouvez affecter qu’un objet dont le volume ne dépasse pas 1,5 m3. Une fois transformée, vous pouvez modeler la matière à votre guise, même si, dans certains cas, le MJ peut exiger que vous réussissiez un test de Métier approprié. L’objet reste mou comme la cire pendant un nombre de minutes égal à votre valeur de magie.</t>
  </si>
  <si>
    <t>vous créez une tempête impie de flammes pourpres qui s’abat à l’endroit que vous désignez dans un rayon de 24 mètres (12 cases). Prenez le grand gabarit. Toutes les créatures prises dans la zone d’effet subissent quatre attaques d’une valeur de dégâts de 4. Les créatures qui meurent sous l’effet d’une tempête de feu de Tzeentch sont directement incinérées, réduites en cendres roses qui se dissipent sous l’action du vent. Mais ce n’est pas tout. Les cendres tourbillonnent pendant 2 rounds et fusionnent pour engendrer des horreurs roses (cf. page 247), à raison d’une par créature tuée par le sort. Ces monstres ne sont néanmoins pas sous votre emprise et s’attaquent aux créatures les plus proches d’eux. Ils finissent par se lasser de ce monde et retournent vers les Royaumes du Chaos au bout de 1d10 rounds.</t>
  </si>
  <si>
    <t>choisissez une créature située dans un rayon de 12 mètres (6 cases). Cette dernière doit réussir un test de Force Mentale Assez facile (+10%) sous peine de s’évanouir tandis que son corps subit une série de transformations plus horribles les unes que les autres. Chaque round, et ce, pendant un nombre de rounds égal à votre valeur de Magie, la cible doit jouer un test d’Endurance Assez facile (+10%). À la fin des effets du sort, elle acquiert une mutation par test d’Endurance manqué. Jusqu’à la fin du sort, la cible est sans défense.</t>
  </si>
  <si>
    <t>Sang d'ombre</t>
  </si>
  <si>
    <t>le sang d'un vampire (+2)</t>
  </si>
  <si>
    <t>vous lancez ce sort sur une pièce dans laquelle vous vous trouvez. Quiconque tente d'y entrer doit réussir un test de Force Mentale Assez facile (+10%) pour y parvenir. Cela n'empêche pas les gens de lancer des objets dans le bâtiment, y compris de grosses pierres et des bombes incendiaires, aussi est-il avant tout efficace dans des pièces entourées de solides murs de pierre. Les prêtres s'en servent souvent pour protéger leur temple.</t>
  </si>
  <si>
    <t>Chevauchée nocturne</t>
  </si>
  <si>
    <t>Dégradation</t>
  </si>
  <si>
    <t>une dent de destrier arabien (+2)</t>
  </si>
  <si>
    <t>les racines d'une plante carnivore (+3)</t>
  </si>
  <si>
    <t>Fontaines de sang</t>
  </si>
  <si>
    <t>1 minute/point de magie</t>
  </si>
  <si>
    <t>toutes les créatures vivantes situées dans un rayon de 24 mètres (12 cases) se mettent à saigner abondamment, comme si leur sang n'avait qu'une envie: fuir leur corps. Toute créature dans la zone qui subit au moins 1 point de dégât en perd 1 en plus.</t>
  </si>
  <si>
    <t>Regard de Nagash</t>
  </si>
  <si>
    <t>1 round/point de magie</t>
  </si>
  <si>
    <t>un œil de nécromancien (+2)</t>
  </si>
  <si>
    <t>Vague de flétrissure</t>
  </si>
  <si>
    <t>Vigueur infernale</t>
  </si>
  <si>
    <t>cinq pincées de cendres d'un vampire (+3)</t>
  </si>
  <si>
    <t>les phalanges d'un guerrier (+2)</t>
  </si>
  <si>
    <t>Talisman</t>
  </si>
  <si>
    <t>3 tests pour activation</t>
  </si>
  <si>
    <t>4 tests pour activation</t>
  </si>
  <si>
    <t xml:space="preserve">Usage unique. Seuls les maîtres des runes peuvent utiliser cette rune. Cette dernière met fin à un sort à portée de manière prématurée. Permet de dissiper un sort actif mais pas un rituel. La maître des runes doit réussir un jet de Création de Runes avec un malus de -10% par point de Magie du lanceur de sort. La rune n'a aucun effet contre les démons invoqués et les morts vivants animés. </t>
  </si>
  <si>
    <t>Usage unique. La première attaque qui réduit les Blessures du porteur à 0 est annulée. L'attaque ne fait donc aucun point de dégât au porteur.</t>
  </si>
  <si>
    <t>5 tests pour activation</t>
  </si>
  <si>
    <t>6 tests pour activation</t>
  </si>
  <si>
    <t>7 tests pour activation</t>
  </si>
  <si>
    <t>Porteur</t>
  </si>
  <si>
    <t>Armure</t>
  </si>
  <si>
    <t>Arme</t>
  </si>
  <si>
    <t>8 tests pour activation</t>
  </si>
  <si>
    <t>Runes Majeures</t>
  </si>
  <si>
    <t>9 tests pour activation</t>
  </si>
  <si>
    <t>15 tests pour activation</t>
  </si>
  <si>
    <t>Talisman (couronne)</t>
  </si>
  <si>
    <t>Talisman (cor de guerre)</t>
  </si>
  <si>
    <t>Arme (marteau)</t>
  </si>
  <si>
    <t>Permanente: Les attaques de tir non-magiques touchant un personnage protégé par une armure gravée de cette rune ont une valeur de dégâts réduite à 0 (elles ne font qu'1D10 point de dégât). Temporaire: comme permanente mais l'avantage ne dure que 1 minute.</t>
  </si>
  <si>
    <t>Permanente: Les attaques portées à l'aide d'une arme grave de cette rune permettent de doubler le BF aux dégâts mais seulement contre les adversaires ayant une endurance de 50% ou plus. Temporaire: comme permanente mais l'avantage ne dure que 1 minute.</t>
  </si>
  <si>
    <t>Permanente: Le porteur de cette rune gagne 1 point de Fortune supplémentaire par jour. Les personnages pourvus du talent éponyme ne peuvent cependant pas en bénéficier. Temporaire: Le personnage porteur peut utiliser sa rune pour gagner 1 point de Fortune supplémentaire. Ceci peut être fait n'importe quand au prix d'une action gratuite. Les personnages pourvus du talent éponyme ne peuvent cependant pas en bénéficier.</t>
  </si>
  <si>
    <t>Permanente: Le porteur de cette rune est immunisé contre les dégâts de feu de tout types. Ni les flammes d'origine naturelle, ni les attaques de feu ne sauraient affecter un personnage protégé par une rune de fournaise. Temporaire: comme permanente mais l'avantage ne dure que 1 minute.</t>
  </si>
  <si>
    <t>Permanente: Les attaques portées à l'aide d'une arme grave de cette rune bénéficient d'un bonus de +10% en Capacité de Combat. Temporaire: comme permanente mais l'avantage ne dure que 1 minute.</t>
  </si>
  <si>
    <t>Permanente: Un personnage qui manipule une arme grave de cette rune bénéficie d'une bonus de +1 en Attaques. Temporaire: comme permanente mais l'avantage ne dure que 1 minute.</t>
  </si>
  <si>
    <t>Permanente: Le porteur d'un objet gravé de cette rune bénéficie d'un bonus de +10 % aux Tests de  Force mentale visant à résister à la magie. Temporaire: comme permanente mais l'avantage ne dure que 1 minute.</t>
  </si>
  <si>
    <t>Permanente: Quand un personnage porteur d'une armure gravée de cette rune est sur le point de prendre des blessures à cause d'une attaque ou d'un effet ne tenant pas compte des bonus d'Endurance et/ou des points d'Armure, il a droit à un test d'Endurance accompagné d'un malus de -5% par point de dégât subit. En cas de succès, il ne perd tout simplement aucune blessure. Temporaire: comme permanente mais l'avantage ne dure que 1 minute.</t>
  </si>
  <si>
    <t>Permanente: Un personnage porteur d'une armure gravée de cette rune bénéficie d'un bonus de +4 aux Blessures. Temporaire: comme permanente mais l'avantage ne dure que 1 minute.</t>
  </si>
  <si>
    <t>Permanente: Toute arme gravée de cette rune bénéficie d'un bonus de +1 aux jets de dégâts. Temporaire: comme permanente mais l'avantage ne dure que 1 minute.</t>
  </si>
  <si>
    <t xml:space="preserve">Usage unique. Seuls les maîtres des runes peuvent utiliser cette rune. Cette dernière met fin à un sort à portée de manière prématurée. Permet de dissiper un sort actif mais pas un rituel. La maître des runes doit réussir un jet de Création de Runes avec un malus de -10% par point de Magie du lanceur de sort. De plus, l'auteur du sort dissipé ne peut plus lancer celui-ci durant 24h. La rune n'a aucun effet contre les démons invoqués et les morts vivants animés. </t>
  </si>
  <si>
    <t>Permanente: Les attaques portées à l'aide d'une arme grave de cette rune ignorent tous les points d'Armure. Temporaire: comme permanente mais l'avantage ne dure que 1 minute.</t>
  </si>
  <si>
    <t>Seuls les maîtres des runes peuvent utiliser cette rune. Permanente: Son porteur peut entreprendre une demi-action pour réduire de 1 point la caractéristique de Magie d'un lanceur de sorts situé dans un rayon de 48m (24 cases). Ce malus dure durant un nombre de rounds égal à votre valeur de Magie. La rune ne peut pas être réutilisée avant que son effet n'ait pris fin. Temporaire: Comme ci-dessus mais ne fonctionne qu'une seule fois.</t>
  </si>
  <si>
    <t>Permanente: Quand il porte une armure gravée de cette rune, le personnage bénéficie d'un bonus de +10% en Endurance. Temporaire: comme permanente mais l'avantage ne dure que 1 minute.</t>
  </si>
  <si>
    <t>Ce type d'artéfact n'est remis qu'aux puissants seigneurs nains et est toujours permanent. Le porteur de l'objet et un nombre d'alliés égal à sa Sociabilité, qui doivent être situés dans un rayon de 48 mètres (24 cases) sont immunisés contre la Peur et la Terreur.</t>
  </si>
  <si>
    <t>Permanente: Toute arme gravée de cette rune bénéficie d'un bonus de +3 aux jets de dégâts et de l'attribut Percutante. Temporaire: comme permanente mais l'avantage ne dure que 1 minute.</t>
  </si>
  <si>
    <t>Permanente: Les attaques portées à l'aide d'une arme grave de cette rune bénéficient d'un bonus de +30% en Capacité de Combat. Temporaire: comme permanente mais l'avantage ne dure que 1 minute.</t>
  </si>
  <si>
    <t>Grimoire de sorts/ Grimoire Runique</t>
  </si>
  <si>
    <t>1 action gratuite (= action d'incantation pour ce round)</t>
  </si>
  <si>
    <t>Résistance à la corruption</t>
  </si>
  <si>
    <t>Ruse</t>
  </si>
  <si>
    <t>Warp</t>
  </si>
  <si>
    <t>Fabricant d’armes</t>
  </si>
  <si>
    <t>Fabricant d’armures</t>
  </si>
  <si>
    <t>Chasseur de vampires, Chirurgien barbier, Érudit, Étudiant, Initié (Morr), Pilleur de tombes, Sentinelle halfling</t>
  </si>
  <si>
    <t>Chasseur de vampires, Dilettante, Érudit, Espion, Prêtre (Morr), Répurgateur, Tueur de morts</t>
  </si>
  <si>
    <t>Élise</t>
  </si>
  <si>
    <t>Apprenti sorcier, Charlatan, Dilettante, Érudit, Explorateur, Navigateur</t>
  </si>
  <si>
    <t>Éloquence</t>
  </si>
  <si>
    <t>Éclaireur, Messager</t>
  </si>
  <si>
    <t>Cavalcadour, Cocher, Éclaireur, Messager, Nomade de la steppe</t>
  </si>
  <si>
    <t>Bandit de grand chemin, Cavalcadour, Éclaireur, Hors-la-loi, Maquignon, Messager, Patrouilleur, Pisteur</t>
  </si>
  <si>
    <t>Artisan, Chirurgien barbier, Étudiant</t>
  </si>
  <si>
    <t>Apprenti sorcier, Bourgeois, Dilettante, Érudit, Médecin, Trafiquant de cadavres</t>
  </si>
  <si>
    <t>Érudit, Prêtre consacré, Répurgateur</t>
  </si>
  <si>
    <t>Artisan, Cartographe, Contrebandier, Étudiant, Maître-artisan, Messager</t>
  </si>
  <si>
    <t>Artisan, Charlatan, Érudit, Étudiant, Maître-artisan, Receleur, Scribe</t>
  </si>
  <si>
    <t>Dilettante, Érudit, Espion, Initié (Véréna), Répurgateur</t>
  </si>
  <si>
    <t>Bandit de grand chemin, Baron du crime, Espion, Frère de la cape, Monte-en-l'air, Racketteur, Receleur</t>
  </si>
  <si>
    <t>divine</t>
  </si>
  <si>
    <t>occulte</t>
  </si>
  <si>
    <t>glace</t>
  </si>
  <si>
    <t>vedma</t>
  </si>
  <si>
    <t>vulgaire</t>
  </si>
  <si>
    <t>chaos</t>
  </si>
  <si>
    <t>Magies communes</t>
  </si>
  <si>
    <t>Spécialité</t>
  </si>
  <si>
    <t>Provinces</t>
  </si>
  <si>
    <t>Pays Perdu</t>
  </si>
  <si>
    <t>Armure complète</t>
  </si>
  <si>
    <t>Bouclier poli</t>
  </si>
  <si>
    <t>Fléau comète</t>
  </si>
  <si>
    <t>Armure complète de cuir clouté</t>
  </si>
  <si>
    <t>Armure complète de cuir</t>
  </si>
  <si>
    <t>Armure complète de mailles</t>
  </si>
  <si>
    <t>Armure complète de mailles d'Ithilmar</t>
  </si>
  <si>
    <t>Armure complète de peaux brutes</t>
  </si>
  <si>
    <t>Armure complète de plaques</t>
  </si>
  <si>
    <t>Armure complète de plaques de gromril</t>
  </si>
  <si>
    <t>Armure complète d'écailles</t>
  </si>
  <si>
    <t>Armure complète d'obsidienne</t>
  </si>
  <si>
    <t>Manteau de fourrure</t>
  </si>
  <si>
    <t>q4</t>
  </si>
  <si>
    <t>q5</t>
  </si>
  <si>
    <t>q6</t>
  </si>
  <si>
    <t>q7</t>
  </si>
  <si>
    <t>q8</t>
  </si>
  <si>
    <t>q9</t>
  </si>
  <si>
    <t>q10</t>
  </si>
  <si>
    <t>q11</t>
  </si>
  <si>
    <t>q12</t>
  </si>
  <si>
    <t>q13</t>
  </si>
  <si>
    <t>q14</t>
  </si>
  <si>
    <t>q15</t>
  </si>
  <si>
    <t>q16</t>
  </si>
  <si>
    <t>q17</t>
  </si>
  <si>
    <t>q18</t>
  </si>
  <si>
    <t>q19</t>
  </si>
  <si>
    <t>q20</t>
  </si>
  <si>
    <t>Maitrise</t>
  </si>
  <si>
    <t>Calcul de maitrise des armes</t>
  </si>
  <si>
    <t>Esprit ancestral</t>
  </si>
  <si>
    <t>Un de vos ancêtres vous hante dès que vous usez de Pt. Fortune</t>
  </si>
  <si>
    <t>Un de vos ancêtres vous hante (TdRédemption p.85)</t>
  </si>
  <si>
    <t>Bande d'étoffe</t>
  </si>
  <si>
    <t>Bottes basses</t>
  </si>
  <si>
    <t>Bottes cloutées naines</t>
  </si>
  <si>
    <t>Bottes d'équitation</t>
  </si>
  <si>
    <t>Bottes, cuissardes</t>
  </si>
  <si>
    <t>Braies</t>
  </si>
  <si>
    <t>Brayette</t>
  </si>
  <si>
    <t>Canon</t>
  </si>
  <si>
    <t>Cape courte</t>
  </si>
  <si>
    <t>Cape longue</t>
  </si>
  <si>
    <t>Ceinture</t>
  </si>
  <si>
    <t>Ceinturon</t>
  </si>
  <si>
    <t>Chapeau à bords larges</t>
  </si>
  <si>
    <t>Chaperon</t>
  </si>
  <si>
    <t>Chasuble</t>
  </si>
  <si>
    <t>Chaussettes</t>
  </si>
  <si>
    <t>Chaussures</t>
  </si>
  <si>
    <t>Chemise de nuit</t>
  </si>
  <si>
    <t>Corset</t>
  </si>
  <si>
    <t>Costume de scène</t>
  </si>
  <si>
    <t>Doublet</t>
  </si>
  <si>
    <t>Écharpe</t>
  </si>
  <si>
    <t>Gilet/veste</t>
  </si>
  <si>
    <t>Haillons</t>
  </si>
  <si>
    <t>Kilt</t>
  </si>
  <si>
    <t>Manteau léger</t>
  </si>
  <si>
    <t>Manteau lourd</t>
  </si>
  <si>
    <t>Masque</t>
  </si>
  <si>
    <t>Mouchoir</t>
  </si>
  <si>
    <t>Pagne</t>
  </si>
  <si>
    <t>Pardessus</t>
  </si>
  <si>
    <t>Pèlerine</t>
  </si>
  <si>
    <t>Sandales</t>
  </si>
  <si>
    <t>Tablier</t>
  </si>
  <si>
    <t>Co</t>
  </si>
  <si>
    <t>Pa</t>
  </si>
  <si>
    <t>S</t>
  </si>
  <si>
    <t>TC</t>
  </si>
  <si>
    <t>Vêtements</t>
  </si>
  <si>
    <t>Bouilloire</t>
  </si>
  <si>
    <t>Bourse</t>
  </si>
  <si>
    <t>Bouteille</t>
  </si>
  <si>
    <t>Cage (grande)</t>
  </si>
  <si>
    <t>Cage (petite)</t>
  </si>
  <si>
    <t>Caisse métallique (grande)</t>
  </si>
  <si>
    <t>Caisse métallique (petite)</t>
  </si>
  <si>
    <t>Disp.</t>
  </si>
  <si>
    <t>Chope en bois</t>
  </si>
  <si>
    <t>Coffre en bois</t>
  </si>
  <si>
    <t>Coffret en bois</t>
  </si>
  <si>
    <t>Cruche en argile (20 litres)</t>
  </si>
  <si>
    <t>Cruche en argile (4 litres)</t>
  </si>
  <si>
    <t>Flasque en cuir</t>
  </si>
  <si>
    <t>Flasque en métal</t>
  </si>
  <si>
    <t>Gibecière</t>
  </si>
  <si>
    <t>Gobelet</t>
  </si>
  <si>
    <t>Godet (argile ou bois)</t>
  </si>
  <si>
    <t>Malle (grande</t>
  </si>
  <si>
    <t>Malle (petite)</t>
  </si>
  <si>
    <t>Marmite en argile</t>
  </si>
  <si>
    <t>Marmite en fer</t>
  </si>
  <si>
    <t>Outre</t>
  </si>
  <si>
    <t>Panier</t>
  </si>
  <si>
    <t>Pichet en argile</t>
  </si>
  <si>
    <t>Sac (petit)</t>
  </si>
  <si>
    <t>Sac (grand)</t>
  </si>
  <si>
    <t>Sac à dos</t>
  </si>
  <si>
    <t>Sacoche (petite)</t>
  </si>
  <si>
    <t>Sacoche (grande)</t>
  </si>
  <si>
    <t>Seau en bois</t>
  </si>
  <si>
    <t>Seau en métal</t>
  </si>
  <si>
    <t>Tonneau (100 litres)</t>
  </si>
  <si>
    <t>Tonneau (40 litres)</t>
  </si>
  <si>
    <t>Tonneau (16 litres)</t>
  </si>
  <si>
    <t>Verre</t>
  </si>
  <si>
    <t>Récipients</t>
  </si>
  <si>
    <t>Ale (pinte)</t>
  </si>
  <si>
    <t>Beurre (livre)</t>
  </si>
  <si>
    <t>Bière (pinte)</t>
  </si>
  <si>
    <t>Fromage divers (livre)</t>
  </si>
  <si>
    <t>Hydromel (pinte)</t>
  </si>
  <si>
    <t>Lait de chèvre ou vache (1/2l)</t>
  </si>
  <si>
    <t>Mets raffinés</t>
  </si>
  <si>
    <t>Nourriture pour 1 jour (moyenne)</t>
  </si>
  <si>
    <t>Œufs (une douzaine)</t>
  </si>
  <si>
    <t>Poisson fumé (tonnelet)</t>
  </si>
  <si>
    <t>Soupe (bol)</t>
  </si>
  <si>
    <t>Tourte</t>
  </si>
  <si>
    <t>Viande (pièce)</t>
  </si>
  <si>
    <t>Nourriture</t>
  </si>
  <si>
    <t>Allumette</t>
  </si>
  <si>
    <t>Bois de chauffe</t>
  </si>
  <si>
    <t>Bougie de cire</t>
  </si>
  <si>
    <t>Bougie de suif</t>
  </si>
  <si>
    <t>Charbon de bois</t>
  </si>
  <si>
    <t>Huile pour lampe</t>
  </si>
  <si>
    <t>Lampe</t>
  </si>
  <si>
    <t>Lampe-tempête</t>
  </si>
  <si>
    <t>Lanterne</t>
  </si>
  <si>
    <t>Torche non-traitée</t>
  </si>
  <si>
    <t>Torche traitée</t>
  </si>
  <si>
    <t>Eclairage</t>
  </si>
  <si>
    <t>Armoire</t>
  </si>
  <si>
    <t>Bâche</t>
  </si>
  <si>
    <t>Bannière</t>
  </si>
  <si>
    <t>Bibliothèque</t>
  </si>
  <si>
    <t>Billes</t>
  </si>
  <si>
    <t>Boite d'amadou</t>
  </si>
  <si>
    <t>Bureau</t>
  </si>
  <si>
    <t>Canapé</t>
  </si>
  <si>
    <t>Chaise</t>
  </si>
  <si>
    <t>Cloche</t>
  </si>
  <si>
    <t>Corde (au mètre)</t>
  </si>
  <si>
    <t>Couchage portatif</t>
  </si>
  <si>
    <t>Couverts en bois</t>
  </si>
  <si>
    <t>Couverts en métal</t>
  </si>
  <si>
    <t>Couverts en argent</t>
  </si>
  <si>
    <t>Mobilier</t>
  </si>
  <si>
    <t>Couverture</t>
  </si>
  <si>
    <t>Dés en os pipés</t>
  </si>
  <si>
    <t>Dés en os</t>
  </si>
  <si>
    <t>Grappin</t>
  </si>
  <si>
    <t>Maquillage</t>
  </si>
  <si>
    <t>Matelas (laine)</t>
  </si>
  <si>
    <t>Matelas (plumes)</t>
  </si>
  <si>
    <t>Miroir (grand en métal)</t>
  </si>
  <si>
    <t>Miroir (petit en argent)</t>
  </si>
  <si>
    <t>Paquet de cartes</t>
  </si>
  <si>
    <t>Perche (au mètre)</t>
  </si>
  <si>
    <t>Pinces à linge (douzaine)</t>
  </si>
  <si>
    <t>Savon</t>
  </si>
  <si>
    <t>Sommier</t>
  </si>
  <si>
    <t>Tabatière</t>
  </si>
  <si>
    <t>Table</t>
  </si>
  <si>
    <t>Tabouret</t>
  </si>
  <si>
    <t>Tente (grande)</t>
  </si>
  <si>
    <t>Tente (pavillon)</t>
  </si>
  <si>
    <t>Tente (petite)</t>
  </si>
  <si>
    <t>Clavecin</t>
  </si>
  <si>
    <t>Musique</t>
  </si>
  <si>
    <t>Cor de cocher</t>
  </si>
  <si>
    <t>Flûte à bec</t>
  </si>
  <si>
    <t>Harpe (petite)</t>
  </si>
  <si>
    <t>Harpe de poche</t>
  </si>
  <si>
    <t>Luth</t>
  </si>
  <si>
    <t>Mandoline</t>
  </si>
  <si>
    <t>Sifflet</t>
  </si>
  <si>
    <t>Tambour</t>
  </si>
  <si>
    <t>Tambourin</t>
  </si>
  <si>
    <t>Viole</t>
  </si>
  <si>
    <t>Bâton de craie</t>
  </si>
  <si>
    <t>Bâton de fusain</t>
  </si>
  <si>
    <t>Ecriture</t>
  </si>
  <si>
    <t>Encre de couleur</t>
  </si>
  <si>
    <t>Encre noire</t>
  </si>
  <si>
    <t>Encre violette</t>
  </si>
  <si>
    <t>Fermoir</t>
  </si>
  <si>
    <t>Livre enluminé</t>
  </si>
  <si>
    <t>Papier (la feuille)</t>
  </si>
  <si>
    <t>Parchemin (la feuille)</t>
  </si>
  <si>
    <t>Pinceau</t>
  </si>
  <si>
    <t>Stylo à encre</t>
  </si>
  <si>
    <t>Accessoires de déguisement</t>
  </si>
  <si>
    <t>Outils</t>
  </si>
  <si>
    <t>Aiguilles à coudre (par 5)</t>
  </si>
  <si>
    <t>Appeau</t>
  </si>
  <si>
    <t>Limes (Assortiment de)</t>
  </si>
  <si>
    <t>Balance</t>
  </si>
  <si>
    <t>Binette</t>
  </si>
  <si>
    <t>Boulier</t>
  </si>
  <si>
    <t>Brouette</t>
  </si>
  <si>
    <t>Cale en bois</t>
  </si>
  <si>
    <t>Chaine (au mètre)</t>
  </si>
  <si>
    <t>Chandelle horaire</t>
  </si>
  <si>
    <t>Charrue</t>
  </si>
  <si>
    <t>Cire à cacheter</t>
  </si>
  <si>
    <t>Clous (par 10)</t>
  </si>
  <si>
    <t>Coin</t>
  </si>
  <si>
    <t>Colle</t>
  </si>
  <si>
    <t>Enclume</t>
  </si>
  <si>
    <t>Faux</t>
  </si>
  <si>
    <t>Fer à marquer</t>
  </si>
  <si>
    <t>Ficelle (rouleau)</t>
  </si>
  <si>
    <t>Filet de pêche</t>
  </si>
  <si>
    <t>Forge</t>
  </si>
  <si>
    <t>Fourche</t>
  </si>
  <si>
    <t>Hameçon et ligne de pêche</t>
  </si>
  <si>
    <t>Longue-vue</t>
  </si>
  <si>
    <t>Loupe</t>
  </si>
  <si>
    <t>Marteau</t>
  </si>
  <si>
    <t>Masse</t>
  </si>
  <si>
    <t>Mèche</t>
  </si>
  <si>
    <t>Menottes</t>
  </si>
  <si>
    <t>Outils d'artisan (autre)</t>
  </si>
  <si>
    <t>Outils d'artisan (forgeron)</t>
  </si>
  <si>
    <t>Outils d'artisan (graveur)</t>
  </si>
  <si>
    <t>Outils d'artisan (maitre-artisan)</t>
  </si>
  <si>
    <t>Outils d'artisan (médecin)</t>
  </si>
  <si>
    <t>Outils d'artisan (navigateur)</t>
  </si>
  <si>
    <t>Outils de boucher</t>
  </si>
  <si>
    <t>Outils de crochetage</t>
  </si>
  <si>
    <t>Pelle</t>
  </si>
  <si>
    <t>Pied-de-biche</t>
  </si>
  <si>
    <t>Piège à loup</t>
  </si>
  <si>
    <t>Piège à loup (grand)</t>
  </si>
  <si>
    <t>Pierre à aiguiser</t>
  </si>
  <si>
    <t>Pillon et mortier</t>
  </si>
  <si>
    <t>Piolet d'escalade</t>
  </si>
  <si>
    <t>Piolet de mineur</t>
  </si>
  <si>
    <t>Poinçon</t>
  </si>
  <si>
    <t>Pointe</t>
  </si>
  <si>
    <t>Sablier</t>
  </si>
  <si>
    <t>Scie à bois</t>
  </si>
  <si>
    <t>Scie à métaux</t>
  </si>
  <si>
    <t>Soufflet</t>
  </si>
  <si>
    <t>Baiser de la courtisane</t>
  </si>
  <si>
    <t>Potions</t>
  </si>
  <si>
    <t>Bière de Bugman</t>
  </si>
  <si>
    <t>Courage en bouteille</t>
  </si>
  <si>
    <t>Don de Greta</t>
  </si>
  <si>
    <t>Essence de Chaos</t>
  </si>
  <si>
    <t>Feyeyes</t>
  </si>
  <si>
    <t>Lait du Moot</t>
  </si>
  <si>
    <t>Nectar apaisant d'Esmeralda</t>
  </si>
  <si>
    <t>Panacée</t>
  </si>
  <si>
    <t>Potion de soins</t>
  </si>
  <si>
    <t>Aconit napel</t>
  </si>
  <si>
    <t>Poisons</t>
  </si>
  <si>
    <t>Bave de chien enragé</t>
  </si>
  <si>
    <t>Caresse de vipère</t>
  </si>
  <si>
    <t>Cyanure</t>
  </si>
  <si>
    <t>Fumet de manticore</t>
  </si>
  <si>
    <t>Herbe-aux-poules</t>
  </si>
  <si>
    <t>Lotus Noir</t>
  </si>
  <si>
    <t>Passion brulante</t>
  </si>
  <si>
    <t>Salive de chimère</t>
  </si>
  <si>
    <t>Venin de scorpion vert</t>
  </si>
  <si>
    <t>Ail (gousse)</t>
  </si>
  <si>
    <t>Amulette</t>
  </si>
  <si>
    <t>Cataplasme médicinal</t>
  </si>
  <si>
    <t>Crapaudine</t>
  </si>
  <si>
    <t>Eau bénite (flasque)</t>
  </si>
  <si>
    <t>Grimoire</t>
  </si>
  <si>
    <t>Parchemin béni/divin/magique</t>
  </si>
  <si>
    <t>Poudre d'émeraude</t>
  </si>
  <si>
    <t>Relique religieuse</t>
  </si>
  <si>
    <t>Sceau de vertu</t>
  </si>
  <si>
    <t>Verre de Miraeliano</t>
  </si>
  <si>
    <t>Porte-bonheur</t>
  </si>
  <si>
    <t>Brasero (grand)</t>
  </si>
  <si>
    <t>Brasero (moyen)</t>
  </si>
  <si>
    <t>Brasero (petit)</t>
  </si>
  <si>
    <t>Chandelier</t>
  </si>
  <si>
    <t>Chapelet</t>
  </si>
  <si>
    <t>Encens (cône ou bâtonnet)</t>
  </si>
  <si>
    <t>Candélabre</t>
  </si>
  <si>
    <t>Religion</t>
  </si>
  <si>
    <t>Encensoir</t>
  </si>
  <si>
    <t>Goupillon</t>
  </si>
  <si>
    <t>Couronne dentaire</t>
  </si>
  <si>
    <t>Crochet</t>
  </si>
  <si>
    <t>Dentier en bois</t>
  </si>
  <si>
    <t>Jambe de bois</t>
  </si>
  <si>
    <t>Main de vétéran</t>
  </si>
  <si>
    <t>Nez en or</t>
  </si>
  <si>
    <t>Planche de cul-de-jatte</t>
  </si>
  <si>
    <t>Plaque crânienne</t>
  </si>
  <si>
    <t>Prothèses</t>
  </si>
  <si>
    <t>Chat</t>
  </si>
  <si>
    <t>Animaux</t>
  </si>
  <si>
    <t>Cheval (destrier bretonnien)</t>
  </si>
  <si>
    <t>Fontes de selle</t>
  </si>
  <si>
    <t>Harnais</t>
  </si>
  <si>
    <t>Selle</t>
  </si>
  <si>
    <t>Eq. Animaux</t>
  </si>
  <si>
    <t>Barde d'animal de demi-cuir</t>
  </si>
  <si>
    <t>Barde d'animal de cuir</t>
  </si>
  <si>
    <t>Barde d'animal de demi-cuir clouté</t>
  </si>
  <si>
    <t>Barde d'animal de cuir clouté</t>
  </si>
  <si>
    <t>Barde d'animal de demi-mailles</t>
  </si>
  <si>
    <t>Barde d'animal de mailles complètes</t>
  </si>
  <si>
    <t>Barde d'animal de demi-écailles</t>
  </si>
  <si>
    <t>Barde d'animal d'écailles complète</t>
  </si>
  <si>
    <t>Barde d'animal de demi-plaques</t>
  </si>
  <si>
    <t>Barde d'animal de plaques complètes</t>
  </si>
  <si>
    <t>Mule</t>
  </si>
  <si>
    <t>Vache</t>
  </si>
  <si>
    <t>Barge fluviale</t>
  </si>
  <si>
    <t>Carriole</t>
  </si>
  <si>
    <t>Chaland</t>
  </si>
  <si>
    <t>Chariot</t>
  </si>
  <si>
    <t>Navire</t>
  </si>
  <si>
    <t>Transports</t>
  </si>
  <si>
    <t>Trésors</t>
  </si>
  <si>
    <t>Monnaie pré-impériale de bois</t>
  </si>
  <si>
    <t>Monnaie pré-impériale d'or</t>
  </si>
  <si>
    <t>Monnaie pré-impériale d'argent</t>
  </si>
  <si>
    <t>Monnaie pré-impériale de cuivre</t>
  </si>
  <si>
    <t>Monnaie Ancienne (Koku d'or)</t>
  </si>
  <si>
    <t>Monnaie Ancienne (Suvama d'Ind)</t>
  </si>
  <si>
    <t>Monnaie Ancienne (Feuille d'argent)</t>
  </si>
  <si>
    <t>Monnaie Ancienne (Talent tiléen)</t>
  </si>
  <si>
    <t>Perle</t>
  </si>
  <si>
    <t>Perle commune</t>
  </si>
  <si>
    <t>Agate brute</t>
  </si>
  <si>
    <t>Cristal de roche brut</t>
  </si>
  <si>
    <t>Chrysobéryl brute</t>
  </si>
  <si>
    <t>Améthyste brute</t>
  </si>
  <si>
    <t>Ambre brute</t>
  </si>
  <si>
    <t>Diamant brut</t>
  </si>
  <si>
    <t>Grenat brut</t>
  </si>
  <si>
    <t>Hématite brute</t>
  </si>
  <si>
    <t>Hyacinthe brute</t>
  </si>
  <si>
    <t>Jade brute</t>
  </si>
  <si>
    <t>Jais brut</t>
  </si>
  <si>
    <t>Lapis-lazulis brut</t>
  </si>
  <si>
    <t>Malachite brute</t>
  </si>
  <si>
    <t>Obsidienne brute</t>
  </si>
  <si>
    <t>Onyx brute</t>
  </si>
  <si>
    <t>Opale commune brute</t>
  </si>
  <si>
    <t>Opale noire brute</t>
  </si>
  <si>
    <t>Péridot brut</t>
  </si>
  <si>
    <t>Pierre de lune brute</t>
  </si>
  <si>
    <t>Quartz brut</t>
  </si>
  <si>
    <t>Rubis brut</t>
  </si>
  <si>
    <t>Saphir brut</t>
  </si>
  <si>
    <t>Spinelle bleue brute</t>
  </si>
  <si>
    <t>Spinelle commune brute</t>
  </si>
  <si>
    <t>Topaze brute</t>
  </si>
  <si>
    <t>Tourmaline brute</t>
  </si>
  <si>
    <t>Zircon brut</t>
  </si>
  <si>
    <t>Agate taillée</t>
  </si>
  <si>
    <t>Ambre taillée</t>
  </si>
  <si>
    <t>Améthyste taillée</t>
  </si>
  <si>
    <t>Chrysobéryl taillée</t>
  </si>
  <si>
    <t>Calcédoine taillée</t>
  </si>
  <si>
    <t>Cristal de roche taillé</t>
  </si>
  <si>
    <t>Diamant taillé</t>
  </si>
  <si>
    <t>Grenat taillé</t>
  </si>
  <si>
    <t>Hématite taillée</t>
  </si>
  <si>
    <t>Hyacinthe taillée</t>
  </si>
  <si>
    <t>Jade taillée</t>
  </si>
  <si>
    <t>Jais taillé</t>
  </si>
  <si>
    <t>Lapis-lazulis taillé</t>
  </si>
  <si>
    <t>Malachite taillée</t>
  </si>
  <si>
    <t>Obsidienne taillée</t>
  </si>
  <si>
    <t>Onyx taillé</t>
  </si>
  <si>
    <t>Opale commune taillée</t>
  </si>
  <si>
    <t>Opale noire taillée</t>
  </si>
  <si>
    <t>Péridot taillé</t>
  </si>
  <si>
    <t>Pierre de lune taillée</t>
  </si>
  <si>
    <t>Quartz taillé</t>
  </si>
  <si>
    <t>Rubis taillé</t>
  </si>
  <si>
    <t>Saphir taillé</t>
  </si>
  <si>
    <t>Spinelle bleue taillée</t>
  </si>
  <si>
    <t>Spinelle commune taillée</t>
  </si>
  <si>
    <t>Topaze taillée</t>
  </si>
  <si>
    <t>Tourmaline taillée</t>
  </si>
  <si>
    <t>Zircon taillé</t>
  </si>
  <si>
    <t>Anneau en argent</t>
  </si>
  <si>
    <t>Boucles d'oreilles en argent</t>
  </si>
  <si>
    <t>Bracelet en argent</t>
  </si>
  <si>
    <t>Broche/Pendentif en argent</t>
  </si>
  <si>
    <t>Collier en argent</t>
  </si>
  <si>
    <t>Médaillon en argent</t>
  </si>
  <si>
    <t xml:space="preserve">Torque en argent </t>
  </si>
  <si>
    <t>Boucles d'oreilles en bronze</t>
  </si>
  <si>
    <t>Anneau en bronze</t>
  </si>
  <si>
    <t>Bracelet en bronze</t>
  </si>
  <si>
    <t>Broche/Pendentif en bronze</t>
  </si>
  <si>
    <t>Collier en bronze</t>
  </si>
  <si>
    <t>Médaillon en bronze</t>
  </si>
  <si>
    <t>Torque en bronze</t>
  </si>
  <si>
    <t>Anneau en argent et or</t>
  </si>
  <si>
    <t>Boucles d'oreilles en argent et or</t>
  </si>
  <si>
    <t>Bracelet en argent et or</t>
  </si>
  <si>
    <t>Broche/Pendentif en argent et or</t>
  </si>
  <si>
    <t>Collier en argent et or</t>
  </si>
  <si>
    <t>Médaillon en argent et or</t>
  </si>
  <si>
    <t>Torque en argent et or</t>
  </si>
  <si>
    <t>Anneau en argent et pierres fanes</t>
  </si>
  <si>
    <t>Boucles d'oreilles en argent et pierres fanes</t>
  </si>
  <si>
    <t>Bracelet en argent et pierres fanes</t>
  </si>
  <si>
    <t>Broche/Pendentif en argent et pierres fanes</t>
  </si>
  <si>
    <t>Collier en argent et pierres fanes</t>
  </si>
  <si>
    <t>Médaillon en argent et pierres fanes</t>
  </si>
  <si>
    <t>Torque en argent et pierres fanes</t>
  </si>
  <si>
    <t>Boucles d'oreilles en or et pierres précieuses</t>
  </si>
  <si>
    <t>Bracelet en or et pierres précieuses</t>
  </si>
  <si>
    <t>Broche/Pendentif en or et pierres précieuses</t>
  </si>
  <si>
    <t>Collier en or et pierres précieuses</t>
  </si>
  <si>
    <t>Médaillon en or et pierres précieuses</t>
  </si>
  <si>
    <t>Torque en or et pierres précieuses</t>
  </si>
  <si>
    <t>Dentelle (1m²)</t>
  </si>
  <si>
    <t>Laine (1m²)</t>
  </si>
  <si>
    <t>Soie de Cathay (1m²)</t>
  </si>
  <si>
    <t>Toile (1m²)</t>
  </si>
  <si>
    <t>Velours (1m²)</t>
  </si>
  <si>
    <t>Linge de maison (1m²)</t>
  </si>
  <si>
    <t>Peau de cheval</t>
  </si>
  <si>
    <t>Peau de daim</t>
  </si>
  <si>
    <t>Peau de léopard</t>
  </si>
  <si>
    <t>Peau de lion</t>
  </si>
  <si>
    <t>Peau de loup</t>
  </si>
  <si>
    <t>Peau de martre</t>
  </si>
  <si>
    <t>Peau d'ours</t>
  </si>
  <si>
    <t>Peau de raton laveur</t>
  </si>
  <si>
    <t>Peau de renard blanc</t>
  </si>
  <si>
    <t>Peau de renard roux</t>
  </si>
  <si>
    <t>Peau de vison</t>
  </si>
  <si>
    <t>Peau de zibeline noire</t>
  </si>
  <si>
    <t>Teinture bleue cuivrée (une livre)</t>
  </si>
  <si>
    <t>Teinture bleue marine (une livre)</t>
  </si>
  <si>
    <t>Teinture carthame (une livre)</t>
  </si>
  <si>
    <t>Teinture jaune (une livre)</t>
  </si>
  <si>
    <t>Teinture ocre (une livre)</t>
  </si>
  <si>
    <t>Teinture rouge ferreux (une livre)</t>
  </si>
  <si>
    <t>Teinture vermillon (une livre)</t>
  </si>
  <si>
    <t>Teinture verte (une livre)</t>
  </si>
  <si>
    <t>Teinture violette (une livre)</t>
  </si>
  <si>
    <t>Huile d'amande (1l)</t>
  </si>
  <si>
    <t>Huile de carthame (1l)</t>
  </si>
  <si>
    <t>Huile de noisette (1l)</t>
  </si>
  <si>
    <t>Huile de noix (1l)</t>
  </si>
  <si>
    <t>Huile d'olive (1l)</t>
  </si>
  <si>
    <t>Huile de sésame (1l)</t>
  </si>
  <si>
    <t>Huile de tournesol (1l)</t>
  </si>
  <si>
    <t>Miel (1l)</t>
  </si>
  <si>
    <t>Sucre brut (1l)</t>
  </si>
  <si>
    <t>Sucre roux (1l)</t>
  </si>
  <si>
    <t>Avoine (une livre)</t>
  </si>
  <si>
    <t>Lentilles (une livre)</t>
  </si>
  <si>
    <t>Millet (une livre)</t>
  </si>
  <si>
    <t>Pois chiches (une livre)</t>
  </si>
  <si>
    <t>Riz (une livre)</t>
  </si>
  <si>
    <t>Sarrazin (une livre)</t>
  </si>
  <si>
    <t>Seigle (une livre)</t>
  </si>
  <si>
    <t>Farine de blé (une livre)</t>
  </si>
  <si>
    <t>Farine d'orge (une livre)</t>
  </si>
  <si>
    <t>Farine de seigle (une livre)</t>
  </si>
  <si>
    <t>Chocolat (une livre)</t>
  </si>
  <si>
    <t>Piment rouge (une livre)</t>
  </si>
  <si>
    <t>Thé (une livre)</t>
  </si>
  <si>
    <t>Teinture safran (une livre)</t>
  </si>
  <si>
    <t>Canevas  (1m²)</t>
  </si>
  <si>
    <t>Teinture pourpre (une livre)</t>
  </si>
  <si>
    <t>Blé noir (une livre)</t>
  </si>
  <si>
    <t>Orge (une livre)</t>
  </si>
  <si>
    <t>Paprika (une livre)</t>
  </si>
  <si>
    <t>Tabac halfling (une livre)</t>
  </si>
  <si>
    <t>Poisson frais (une anguille)</t>
  </si>
  <si>
    <t>Poisson frais (une livre de fruits de mer)</t>
  </si>
  <si>
    <t>Poisson frais (une morue)</t>
  </si>
  <si>
    <t>Poisson frais (un poisson plat)</t>
  </si>
  <si>
    <t>Sel marin (une livre)</t>
  </si>
  <si>
    <t>Sel de mine (une livre)</t>
  </si>
  <si>
    <t>Confiture (une livre)</t>
  </si>
  <si>
    <t>Poisson frais (une douzaine d'huitres)</t>
  </si>
  <si>
    <t>Poisson frais (une livre d'œufs de poisson)</t>
  </si>
  <si>
    <t>Viande (une conserve)</t>
  </si>
  <si>
    <t>Yourte</t>
  </si>
  <si>
    <t>Kibitka</t>
  </si>
  <si>
    <t>Carpette</t>
  </si>
  <si>
    <t>Lingot d'argent</t>
  </si>
  <si>
    <t>Lingot d'étain</t>
  </si>
  <si>
    <t>Lingot de cuivre</t>
  </si>
  <si>
    <t>Lingot de fer</t>
  </si>
  <si>
    <t>Ambre gris (un sac)</t>
  </si>
  <si>
    <t>Ambre (un sac)</t>
  </si>
  <si>
    <t>Ivoire (une corne)</t>
  </si>
  <si>
    <t>Myrrhe (une livre)</t>
  </si>
  <si>
    <t>Musc (une livre)</t>
  </si>
  <si>
    <t>Canardière à boulet</t>
  </si>
  <si>
    <t>Canardière à mitraille</t>
  </si>
  <si>
    <t>36/108</t>
  </si>
  <si>
    <t>24/-</t>
  </si>
  <si>
    <t>Grue et poulies</t>
  </si>
  <si>
    <t>Cadavre frais</t>
  </si>
  <si>
    <t>Atours royaux (tenue complète)</t>
  </si>
  <si>
    <t>Atours de nobre (tenue complète)</t>
  </si>
  <si>
    <t>Atours (beaux, tenue complète)</t>
  </si>
  <si>
    <t>Uniforme (tenue complète)</t>
  </si>
  <si>
    <t>Capuchon</t>
  </si>
  <si>
    <t>Chapeau simple</t>
  </si>
  <si>
    <t>Robe/Chasuble</t>
  </si>
  <si>
    <t>Vin de table/coupé (Bouteille)</t>
  </si>
  <si>
    <t>Ale (tonnelet)</t>
  </si>
  <si>
    <t>Mercerie/Tannerie</t>
  </si>
  <si>
    <t>Fourrage (pour une journée)</t>
  </si>
  <si>
    <t>Pain (une miche)</t>
  </si>
  <si>
    <t>Besace</t>
  </si>
  <si>
    <t>Symbole religieux (petit)</t>
  </si>
  <si>
    <t>Gamelle</t>
  </si>
  <si>
    <t>Collet</t>
  </si>
  <si>
    <t>Coche/Diligence</t>
  </si>
  <si>
    <t>Tabard héraldique</t>
  </si>
  <si>
    <t>Amie du débauché</t>
  </si>
  <si>
    <t>Liqueur amincissante</t>
  </si>
  <si>
    <t>Musc de sanglier</t>
  </si>
  <si>
    <t>Nectar de coquetterie</t>
  </si>
  <si>
    <t>Potion de beauté</t>
  </si>
  <si>
    <t>Potion de dentition</t>
  </si>
  <si>
    <t>Potion de focalisation</t>
  </si>
  <si>
    <t>Potion de négation de la douleur</t>
  </si>
  <si>
    <t>Potion de pattes de lézard</t>
  </si>
  <si>
    <t>Potion de puissance</t>
  </si>
  <si>
    <t>Potion de virilité</t>
  </si>
  <si>
    <t>Tonique capillaire</t>
  </si>
  <si>
    <t>Tonique de lucidité</t>
  </si>
  <si>
    <t>Chauve-souris</t>
  </si>
  <si>
    <t>Rat</t>
  </si>
  <si>
    <t>Nom de la maladie</t>
  </si>
  <si>
    <t>Référence</t>
  </si>
  <si>
    <t>Nom de la mutation</t>
  </si>
  <si>
    <t>Valeur monétaire</t>
  </si>
  <si>
    <t>CO</t>
  </si>
  <si>
    <t>Nom de l'Objet</t>
  </si>
  <si>
    <t>Degré de qualité</t>
  </si>
  <si>
    <t>Con.Académique</t>
  </si>
  <si>
    <t>Pouvoir</t>
  </si>
  <si>
    <t>Anneau de Saint Horst</t>
  </si>
  <si>
    <t>WJDR 169</t>
  </si>
  <si>
    <t>Lance du Hiérophante</t>
  </si>
  <si>
    <t>Rituels connus</t>
  </si>
  <si>
    <t>Nom du rituel</t>
  </si>
  <si>
    <t>L'éveil du somnolent dragon de Terre</t>
  </si>
  <si>
    <t>La vengeance ardente du cœur brisé</t>
  </si>
  <si>
    <t>WJDR 242</t>
  </si>
  <si>
    <t>Cœur Noir</t>
  </si>
  <si>
    <t>Collier de Khorne</t>
  </si>
  <si>
    <t>+30% FM vs. Magie, +1 Mutation. Test FM ou Enfant du Chaos</t>
  </si>
  <si>
    <t>TdC 191</t>
  </si>
  <si>
    <t>TdC 192</t>
  </si>
  <si>
    <t>Couronne de conquête éternelle</t>
  </si>
  <si>
    <t>Pouvoirs</t>
  </si>
  <si>
    <t>Fourrure de Sharrgu</t>
  </si>
  <si>
    <t>TdC 193</t>
  </si>
  <si>
    <t>Gemme captivante</t>
  </si>
  <si>
    <t>TdC 194</t>
  </si>
  <si>
    <t>Grand Croc</t>
  </si>
  <si>
    <t>+20% Soc. Test FM -10% pr attaq porteur. Test FM -10 % ou +1d10 PF</t>
  </si>
  <si>
    <t>Haches de Khorgor</t>
  </si>
  <si>
    <t>Heaume des Yeux Innombrables</t>
  </si>
  <si>
    <t>+2d10 Initiative (Ag), Désorientation (WJDR p.156)</t>
  </si>
  <si>
    <t>Livre des Secrets</t>
  </si>
  <si>
    <t>Accès Domaine Feu Ombre Mort, Mag+1, Test FM+10% ou Mutation</t>
  </si>
  <si>
    <t>Masse Noire</t>
  </si>
  <si>
    <t>+20% F, Talent Frénésie, Test FM/début Combat ou déclenche Frénésie</t>
  </si>
  <si>
    <t>Pendentif de Slaanesh</t>
  </si>
  <si>
    <t>+1 A/round à chaque blessure, -1A si pas adorateur de Slaanesh</t>
  </si>
  <si>
    <t>Voir Tome de la Corruption p.194</t>
  </si>
  <si>
    <t>Sangles de Slaanesh</t>
  </si>
  <si>
    <t>Tête de mort de Nurgle</t>
  </si>
  <si>
    <t>TdC 195</t>
  </si>
  <si>
    <t>Voir Tome de la Corruption p.195</t>
  </si>
  <si>
    <t>La distillation d'âme hurlante</t>
  </si>
  <si>
    <t>TdC 88</t>
  </si>
  <si>
    <t>Les pérégrinations oniriques de l'anima</t>
  </si>
  <si>
    <t>TdC 89</t>
  </si>
  <si>
    <t>Le rituel d'exorcisme</t>
  </si>
  <si>
    <t>TdC134</t>
  </si>
  <si>
    <t>TdC 233</t>
  </si>
  <si>
    <t>Amulette de cuivre 3 fois bénie</t>
  </si>
  <si>
    <t>+1 dégâts subis, +20% E vs. Poison, Détection du poison</t>
  </si>
  <si>
    <t>RdS 205</t>
  </si>
  <si>
    <t>Anneau de Fauschlag</t>
  </si>
  <si>
    <t>Anneau fatal du feu</t>
  </si>
  <si>
    <t>Bâton de Helstrum</t>
  </si>
  <si>
    <t>RdS 206</t>
  </si>
  <si>
    <t>Bottes de Bovva</t>
  </si>
  <si>
    <t>Enflamme automatiquement de petits objets inflammables</t>
  </si>
  <si>
    <t>Cape elfique</t>
  </si>
  <si>
    <t>Chandelle du Tabellion</t>
  </si>
  <si>
    <t>+20% en INT tant qu'elle brûle. 24h maximum</t>
  </si>
  <si>
    <t>Charme de la vierge</t>
  </si>
  <si>
    <t>La porteuse de ce charme ne peut concevoir d'enfant</t>
  </si>
  <si>
    <t>Charme de Hotek</t>
  </si>
  <si>
    <t>Immu. vs. Feu, +1 PA ttes zones, -20% FM vs. Chaos +1 Mutation si Mut.</t>
  </si>
  <si>
    <t>Charme elfique</t>
  </si>
  <si>
    <t>+5%CC</t>
  </si>
  <si>
    <t>+5%CC et CT</t>
  </si>
  <si>
    <t>+10%CC, CT et FM contre la Peur, Capable de parler</t>
  </si>
  <si>
    <t>+10% FM contre la Peur</t>
  </si>
  <si>
    <t>Crâne enchanté banal</t>
  </si>
  <si>
    <t>Crâne enchanté mineur</t>
  </si>
  <si>
    <t>Crâne enchanté majeur</t>
  </si>
  <si>
    <t>Crâne enchanté supérieur</t>
  </si>
  <si>
    <t>Crâne noir du Calife</t>
  </si>
  <si>
    <t>+10% FM contre la Peur et la Terreur dans un rayon de 8m (4 cases)</t>
  </si>
  <si>
    <t>RdS 207</t>
  </si>
  <si>
    <t>Rune de Fer et de Rancune. Voir Royaumes de Sorcellerie p.213/214</t>
  </si>
  <si>
    <t>Permet de communiquer sur de grandes distances</t>
  </si>
  <si>
    <t>Orbe de Ghrond</t>
  </si>
  <si>
    <t>Parchemin du cinquième savoir</t>
  </si>
  <si>
    <t>Sceau d'argent</t>
  </si>
  <si>
    <t>Serre du Griffon</t>
  </si>
  <si>
    <t>Talisman d'Ulric</t>
  </si>
  <si>
    <t>Montre toujours ce que le lecteur s'attend à voir</t>
  </si>
  <si>
    <t>-10% CC et CT contre le porteur, +20% FM vs. Magie</t>
  </si>
  <si>
    <t>+10% CC</t>
  </si>
  <si>
    <t>Le corps doré</t>
  </si>
  <si>
    <t>RdS 165</t>
  </si>
  <si>
    <t>La danse sans fin</t>
  </si>
  <si>
    <t>Les implacables liens du devoir</t>
  </si>
  <si>
    <t>L'impossible marche du soldat damné</t>
  </si>
  <si>
    <t>Le rite du sang stérile</t>
  </si>
  <si>
    <t>La récolte des bourgeons putrescents</t>
  </si>
  <si>
    <t>RdS 166</t>
  </si>
  <si>
    <t>Amulette de jade</t>
  </si>
  <si>
    <t>TdR 248</t>
  </si>
  <si>
    <t>Bandages rouges</t>
  </si>
  <si>
    <t>Boite de l'ingrédient</t>
  </si>
  <si>
    <t>Cape du loup blanc</t>
  </si>
  <si>
    <t>Histoire/Théologie</t>
  </si>
  <si>
    <t>Runes/Histoire</t>
  </si>
  <si>
    <t>Permet de récupérer tous ses points de blessure. Usage unique.</t>
  </si>
  <si>
    <t>TdR 249</t>
  </si>
  <si>
    <t>Alliés à vue +10% Peur et Terreur, +10% CC à un allié/round si Test C.a</t>
  </si>
  <si>
    <t>Tout commerce fait en présence de cet objet est voué à l'échec</t>
  </si>
  <si>
    <t>Diffuseur noir</t>
  </si>
  <si>
    <t>Filet d'abondance</t>
  </si>
  <si>
    <t>Graisse de Caccino</t>
  </si>
  <si>
    <t>La Peine</t>
  </si>
  <si>
    <t>Pièce de Ranald</t>
  </si>
  <si>
    <t>Hist./Théo./Nécro.</t>
  </si>
  <si>
    <t>TdR 250</t>
  </si>
  <si>
    <t>TdR 251</t>
  </si>
  <si>
    <t>Tt ce qui se trouve dans le filet est transportable quel que soit son poids</t>
  </si>
  <si>
    <t>Les livres enduits de cette graisse ne se désagrègent jamais</t>
  </si>
  <si>
    <t>TdR 239</t>
  </si>
  <si>
    <t>L'appel de démon</t>
  </si>
  <si>
    <t>L'appel de serviteur divin</t>
  </si>
  <si>
    <t>L'architecte du Père W'soran</t>
  </si>
  <si>
    <t>L'invocation du navire des damnés</t>
  </si>
  <si>
    <t>La légion des morts</t>
  </si>
  <si>
    <t>MdN 112</t>
  </si>
  <si>
    <t>La pluie de sang</t>
  </si>
  <si>
    <t>La renaissance dans le sang</t>
  </si>
  <si>
    <t>MdN 113</t>
  </si>
  <si>
    <t>Anneau des Carstein</t>
  </si>
  <si>
    <t>Arc aspic</t>
  </si>
  <si>
    <t>Calice de sang</t>
  </si>
  <si>
    <t>Dague de jais</t>
  </si>
  <si>
    <t>Lame plaintive</t>
  </si>
  <si>
    <t>Planétaire d'Algrund</t>
  </si>
  <si>
    <t>MdN 114</t>
  </si>
  <si>
    <t>Vampire: +3PA tts zones, régénère 1d10pts Blessures/round</t>
  </si>
  <si>
    <t>Toute créature touchée: -10% en F et en E</t>
  </si>
  <si>
    <t xml:space="preserve">Rejouer les Tests réussis de Peur et Terreur dans rayon de 6m (3case) </t>
  </si>
  <si>
    <t>Portrait de dame Zmada</t>
  </si>
  <si>
    <t>Poudre nécrotique</t>
  </si>
  <si>
    <t>Un vampire peut s'y réfugier toute une journée</t>
  </si>
  <si>
    <t>MdN 115</t>
  </si>
  <si>
    <t>Cause 2d10 pts de Blessure, Fait vieillir tout ce qu'elle touche</t>
  </si>
  <si>
    <t>Dons et Vertus</t>
  </si>
  <si>
    <t>Don ou Vertu</t>
  </si>
  <si>
    <t>Bâton de Kaphamon</t>
  </si>
  <si>
    <t>Test FM: lance sort Nbr Projectile magique=Mag. Dégâts 4, portée 48m</t>
  </si>
  <si>
    <t>MdN 61</t>
  </si>
  <si>
    <t>Bandeau de Rathek</t>
  </si>
  <si>
    <t>+4 PA toutes zones</t>
  </si>
  <si>
    <t>MdN 77</t>
  </si>
  <si>
    <t>Si elle inflige une Blessure son porteur a Mag+1 pour le prochain round</t>
  </si>
  <si>
    <t>Timor Noctis</t>
  </si>
  <si>
    <t>Intimidation des M-V</t>
  </si>
  <si>
    <t>contact (vous) 2m (1 case)</t>
  </si>
  <si>
    <t>Condensation</t>
  </si>
  <si>
    <t>un litre d'eau bouillie ou pure (+1)</t>
  </si>
  <si>
    <t>Conviction divine</t>
  </si>
  <si>
    <t>MdN 108</t>
  </si>
  <si>
    <t>Exquises agonies</t>
  </si>
  <si>
    <t>Humeur mélancolique</t>
  </si>
  <si>
    <t>Perfection obsessionelle</t>
  </si>
  <si>
    <t>MdN 109</t>
  </si>
  <si>
    <t>sylvanien</t>
  </si>
  <si>
    <t>Kislev oriental (Gospodar)</t>
  </si>
  <si>
    <t>Kislev oriental (Ungol)</t>
  </si>
  <si>
    <t>Kislev septentrional (Gospodar)</t>
  </si>
  <si>
    <t>Kislev septentrional (Ungol)</t>
  </si>
  <si>
    <t>Kislev méridional (Gospodar)</t>
  </si>
  <si>
    <t>Kislev méridional (Ungol)</t>
  </si>
  <si>
    <t>Kislev occidental (Gospodar)</t>
  </si>
  <si>
    <t>Kislev occidental (Ungol)</t>
  </si>
  <si>
    <t>Province:</t>
  </si>
  <si>
    <t>Traits provinciaux</t>
  </si>
  <si>
    <t>TdC 29</t>
  </si>
  <si>
    <t>TdC 32</t>
  </si>
  <si>
    <t>TdC 33</t>
  </si>
  <si>
    <t>TdC 34</t>
  </si>
  <si>
    <t>TdC 35</t>
  </si>
  <si>
    <t>TdC 36</t>
  </si>
  <si>
    <t>TdC 37</t>
  </si>
  <si>
    <t>TdC 38</t>
  </si>
  <si>
    <t>TdC 39</t>
  </si>
  <si>
    <t>TdC 40</t>
  </si>
  <si>
    <t>TdC 41</t>
  </si>
  <si>
    <t>TdC 42</t>
  </si>
  <si>
    <t>TdC 43</t>
  </si>
  <si>
    <t>TdC 44</t>
  </si>
  <si>
    <t>TdC 45</t>
  </si>
  <si>
    <t>TdC 46</t>
  </si>
  <si>
    <t>TdC 47</t>
  </si>
  <si>
    <t>TdC 48</t>
  </si>
  <si>
    <t>TdC 49</t>
  </si>
  <si>
    <t>TdC 51</t>
  </si>
  <si>
    <t>TdC 52</t>
  </si>
  <si>
    <t>TdC 53</t>
  </si>
  <si>
    <t>TdC 54</t>
  </si>
  <si>
    <t>TdC 56</t>
  </si>
  <si>
    <t>TdC 57</t>
  </si>
  <si>
    <t>Mutation sexuelle</t>
  </si>
  <si>
    <t>Web</t>
  </si>
  <si>
    <t>Dotations carrières</t>
  </si>
  <si>
    <t>Armure légère (gilet de cuir), 1d10 CO</t>
  </si>
  <si>
    <t xml:space="preserve">Armure légère (gilet de cuir), costume de scène ou vêtements confortables, un au choix parmi: instrument de musique (un au choix), outils d'artisan (expression artistique), 3 dagues de jet, 2 haches de jet, </t>
  </si>
  <si>
    <t>Armure légère (veste de cuir), bateau à rames</t>
  </si>
  <si>
    <t>Bâton, sac à dos, livre imprimé</t>
  </si>
  <si>
    <t>Vêtements confortables (tenue complète)</t>
  </si>
  <si>
    <t>Vêtements communs (tenue complète)</t>
  </si>
  <si>
    <t>Vêtements piètres (tenue complète)</t>
  </si>
  <si>
    <t>Vêtements d'hiver (tenue complète)</t>
  </si>
  <si>
    <t>Vêtements religieux (tenue complète)</t>
  </si>
  <si>
    <t>Armure légère (gilet de cuir), Alcool fort (bouteille), Arme à deux mains ou bouclier</t>
  </si>
  <si>
    <t>Boulier, lanterne, vêtements confortables</t>
  </si>
  <si>
    <t>3 torches traitées, boite d'amadou, arme à une main (hache à une main)</t>
  </si>
  <si>
    <t>Carriole, 3 besaces</t>
  </si>
  <si>
    <t>Outils d'artisan (chirurgien-barbier)</t>
  </si>
  <si>
    <t>Armure légère (veste de cuir), 2 torches traitées, 1 mule et 1 carriole, 1 bateau à rames</t>
  </si>
  <si>
    <t>Armure légère (veste de cuir), 2 Vêtements confortables (tenue complète), Accessoires de calligraphie</t>
  </si>
  <si>
    <t>Accessoires de calligraphie</t>
  </si>
  <si>
    <t>Viande (Gibier/Venaisons, une pièce)</t>
  </si>
  <si>
    <t>Atours (beaux, tenue complète) ou dés en os ou paquet de cartes, 1d10 CO</t>
  </si>
  <si>
    <t>Accessoires de calligraphie, 2 Livres collés et imprimés</t>
  </si>
  <si>
    <t>Armure légère (veste de cuir), lanterne, perche au mètre (3m), huile pour lampe, uniforme</t>
  </si>
  <si>
    <t>Arc et 10 flèches, armure légère (gilet de cuir), bouclier</t>
  </si>
  <si>
    <t>Arc et 10 flèches ou arbalète et 10 carreaux, armure légère (veste de cuir), bouclier, grappin, corde au mètre (10m)</t>
  </si>
  <si>
    <t>Pic de guerre/piolet à 2 mains</t>
  </si>
  <si>
    <t>Arbalète et 10 carreaux ou tromblon et poudre et munitions pour 10 tirs, armure légère (veste de cuir)</t>
  </si>
  <si>
    <t>Flasque en cuir, fronde ou bâton</t>
  </si>
  <si>
    <t>Armure légère (veste de cuir), pied-de-biche, lanterne, huile pour lampe, corde au mètre (10m), 2 besaces</t>
  </si>
  <si>
    <t>Arbalète et 10 carreaux, armure légère (gilet de cuir), potion de soins, porte-bonheur</t>
  </si>
  <si>
    <t>Fronde, munitions pour 10 tirs, 4 collets, perche au mètre (3m), 10 Rats, Chien (petit)</t>
  </si>
  <si>
    <t>Armure légère (veste de cuir et calotte de cuir), cheval de selle, selle, harnais, vêtements confortables (tenue complète)</t>
  </si>
  <si>
    <t>Dague, 2 bougies de cire, 5 allumettes, 1 livre enluminé, accessoires de calligraphie</t>
  </si>
  <si>
    <t>Fronde, munitions pour 10 tirs, lanterne, huile pour lampe, pelle, poney, selle, harnais</t>
  </si>
  <si>
    <t>Chope en étain, Vêtements confortables (tenue complète), boite d'amadou, lampe-tempête, huile pour lampe</t>
  </si>
  <si>
    <t>Arc et 10 flèches ou Arme à 2 mains (hallebarde), armure légère (veste de cuir, calotte de cuir), 1 Uniforme (tenue complète)</t>
  </si>
  <si>
    <t>1 Potion au choix, Capuchon</t>
  </si>
  <si>
    <t>Lanterne, huile pour lampe, besace, lampe, piolet de mineur</t>
  </si>
  <si>
    <t>Arme à deux mains, armure légère (gilet de cuir), alcool fort (bouteille)</t>
  </si>
  <si>
    <t>Sac à dos, tente (petite), outre, 7 rations</t>
  </si>
  <si>
    <t>Ration (un jour)</t>
  </si>
  <si>
    <t>Parfum/Eau de toilette</t>
  </si>
  <si>
    <t>Armure légère (gilet de cuir), besace, outils de crochetage, corde au mètre (10m)</t>
  </si>
  <si>
    <t>Filet, 4 dagues de jet, grappin, corde au mètre (10m), 1 dose de poison (au choix)</t>
  </si>
  <si>
    <t>5 dagues, fléau d'armes, 3 menottes</t>
  </si>
  <si>
    <t>Brise-lame ou fléau d'armes, arme à deux mains ou lance de cavalerie, armure moyenne (armure de mailles complète), bouclier, destrier, selle, harnais, unité de troupe de soldats</t>
  </si>
  <si>
    <t>Arme à deux mains, fléau d'armes ou morgenstern, rapière ou fleuret, rondache ou main gauche, corde au mètre (10m)</t>
  </si>
  <si>
    <t>6 Vêtements communs (tenues complètes), 2 Atours (beaux, tenue complète)</t>
  </si>
  <si>
    <t>Arbalète à répétition avec 10 carreaux, armure moyenne (armure de mailles complète), Eau bénite, 4 pieux</t>
  </si>
  <si>
    <t>Pieu</t>
  </si>
  <si>
    <t>Fléau d'armes ou morgenstern, lance de cavalerie, armure lourde (armure de plaques complète), bouclier, symbole religieux (petit), 25 CO, destrier, selle, harnais</t>
  </si>
  <si>
    <t>Knight of the Inner Circle</t>
  </si>
  <si>
    <t>Knight of the Chaos</t>
  </si>
  <si>
    <t>Grimoire, Accessoires de calligraphie</t>
  </si>
  <si>
    <t>Armure légère (veste de cuir et calotte de cuir)</t>
  </si>
  <si>
    <t>Main gauche, rapière, pistolet avec poudre et munitions pour 10 tirs</t>
  </si>
  <si>
    <t>Accessoires de déguisement, 4 pigeons voyageurs</t>
  </si>
  <si>
    <t>Arc et 10 flèches ou arbalète et 10 carreaux, armure lgère (veste de cuir)</t>
  </si>
  <si>
    <t>Objet magique</t>
  </si>
  <si>
    <t>Parfum/Eau de toilette, uniforme (tenue complète), 2 Atours (beaux, tenue complète)</t>
  </si>
  <si>
    <t>Arc et 10 flèches, armure moyenne (manteau de mailles, veste de cuir, jambières de cuir), arme à 2 mains (hache à deux mains)</t>
  </si>
  <si>
    <t>Outils d'artisan (ingénieur/géomètre)</t>
  </si>
  <si>
    <t>Armure légère (veste de cuir), 6 pointes, outils d'artisan (ingénieur/géomètre)</t>
  </si>
  <si>
    <t>Nbr.</t>
  </si>
  <si>
    <t>Outils d'artisan (en fonction du métier), 15 CO</t>
  </si>
  <si>
    <t>Outils d'artisan (apothicaire)</t>
  </si>
  <si>
    <t>Outils d'artisan (apothicaire), 2 objets magiques</t>
  </si>
  <si>
    <t>1000 CO en monnaie ou marchandise</t>
  </si>
  <si>
    <t>Outils d'artisan (médecin), 4 potions de soins</t>
  </si>
  <si>
    <t>Costume de scène, instrument de musique (luth ou mandoline)</t>
  </si>
  <si>
    <t>Grappin, outils de crochetage, corde au mètre (10m)</t>
  </si>
  <si>
    <t>6 cartes géographiques, outils d'artisan (navigateur)</t>
  </si>
  <si>
    <t>Rapière, armure légère (gilet de cuir), longue-vue, outils d'artisan (navigateur), navire</t>
  </si>
  <si>
    <t>Armure légère (veste de cuir)</t>
  </si>
  <si>
    <t>2 pistolets accompagnés de poudres et de munitions pour 20 tirs, cheval de guerre, selle, harnais, atours (beaux, tenue complète)</t>
  </si>
  <si>
    <t>Arme à une main de qualité exeptionelle, armure légère (veste de cuir de qualité exeptionelle)</t>
  </si>
  <si>
    <t>Armure légère (veste de cuir), Vêtements confortables (tenue complète)</t>
  </si>
  <si>
    <t>Gantelet/coup-de-poing, armure moyenne (gilet de maille et gilet de cuir)</t>
  </si>
  <si>
    <t>Pic de guerre/piolet à 2 mains, armure légère (veste de cuir), piolet de mineur, lampe-tempête, pelle, huile pour lampe</t>
  </si>
  <si>
    <t>Livre enluminé, accesoires de calligraphie, Atours (beaux, tenue complète)</t>
  </si>
  <si>
    <t>Symbole religieux (petit), Vêtements religieux (tenue complète)</t>
  </si>
  <si>
    <t>Arbalète de poing avec 10 carreaux ou brise-lame, 2 haches/marteaux de jet ou 3 dagues/étoiles de jet, outils de crochetage de qualité exeptionelle, cape, besace, vêtements confortables (tenue complète), corde au mètre (10m) de qualité exeptionelle, organisation criminelle</t>
  </si>
  <si>
    <t>Calotte</t>
  </si>
  <si>
    <t>Outils d'artisan (graveur), accessoires de calligraphie</t>
  </si>
  <si>
    <t>Arbalète de poing et 10 carreaux, arme à une main de qualité exeptionelle, 4 dagues/étoiles de jet, armure lourde (armure de plaques complète), corde au mètre (10m)</t>
  </si>
  <si>
    <t>Arc elfique et 10 flèches, armure légère (armure de cuir complète de qualité exeptionelle)</t>
  </si>
  <si>
    <t>Armure moyenne (armure de mailles complète), bouclier</t>
  </si>
  <si>
    <t>Arme à deux mains</t>
  </si>
  <si>
    <t>Parfum/Eau de toilette, bourse, 2 Atours (beaux, tenue complète), 1 Uniforme (tenue complète)</t>
  </si>
  <si>
    <t>2 armes au choix, armure moyenne (armure de mailles complète), alcoo fort (bouteille, de bonne qualité)</t>
  </si>
  <si>
    <t>Atours royaux (tenue complète), bijoux ou objets d'art pour 1000 CO</t>
  </si>
  <si>
    <t>Vêtements d'hiver (tenue complète), sac (grand) ou sac à dos, kvas (flasque), rations (7 jours)</t>
  </si>
  <si>
    <t>Flèche hurlante</t>
  </si>
  <si>
    <t>Flèche incendiaire</t>
  </si>
  <si>
    <t>Flèche perforante</t>
  </si>
  <si>
    <t>RdG 96</t>
  </si>
  <si>
    <t>Ignore les PA mais pas les BF</t>
  </si>
  <si>
    <t>Masse à une main de qualité exeptionelle, atours (beaux, tenue complète)</t>
  </si>
  <si>
    <t>Armure légère (veste de cuir et jambières de cuir), lance de cavalerie, arc (kislévite de cavalrie), 20 flèches, Objets Spéciaux (20 flèches perforantes, 5 flèches incendiaires, 5 flèches hurlantes), Cheval de guerre, selle, harnais, rations (7 jours), yourte, fontes de selle, 2 outres, kit de toilletage d'animal, fourrage (pour une journée)</t>
  </si>
  <si>
    <t>Armure moyenne (gilet de mailles et veste de cuir), bouclier, corde au mètre (10m), cheval de selle, selle, harnais, fontes de selle, kit de toilletage d'animal, fourrage (pour une journée)</t>
  </si>
  <si>
    <t>Armure moyenne (gilet de mailles et veste de cuir), bouclier, cheval de selle, selle, harnais,fontes de selle, kit de toilletage d'animal, fourrage (pour une journée)</t>
  </si>
  <si>
    <t>Armure lourde (armure complète de maille), bannière, cheval de guerre, selle, harnais, lance, arme à une main (cimeterre), bouclier, 2 javelines, kvas (flasque)</t>
  </si>
  <si>
    <t>Nécéssaire antipoison, potion de soin, cataplasme médical, koumiss (outre), 2 amulettes ou porte-bonheur, capuchon</t>
  </si>
  <si>
    <t>Vêtements d'hiver (tenue complète de qualité exeptionelle), bijoux pour une valeur de 500 CO, un objet magique</t>
  </si>
  <si>
    <t>Armure légère (armure de cuir complète), uniforme (tenue complète), berdysh, pistolet, poudre et munitions pour 10 coups</t>
  </si>
  <si>
    <t>Armure légère (armure de cuir complète), uniforme (tenue complète), arme à une main (gourdin), cheval de selle, selle, harnais</t>
  </si>
  <si>
    <t>Vêtements d'hiver (tenue complète de bonne qualité), kvas (flasque)</t>
  </si>
  <si>
    <t>Fléau d'armes ou arme à 2 mains, gantelet/coup-de-poing, bouclier ou rondache, armure moyenne (gilet de mailles et veste de cuir)</t>
  </si>
  <si>
    <t>Armure légère (gilet de cuir), alcool fort (bouteille de mauvais qualité)</t>
  </si>
  <si>
    <t>Porte-bonheur ou outils d'artisan (autre), Sac (petit), Tente (petite)</t>
  </si>
  <si>
    <t>Mouvements de combat</t>
  </si>
  <si>
    <t>Pays:</t>
  </si>
  <si>
    <t>Javeline/harpon</t>
  </si>
  <si>
    <t>Pipe en bois</t>
  </si>
  <si>
    <t>Dague, lanterne, huile de baleine (1l), armure légère (veste de cuir), alcool fort (bouteille, de bonne qualité), pipe en bois, javeline/harpon</t>
  </si>
  <si>
    <t>Arme à une main et bouclier ou arme à deux mains, armure moyenne (chemise de mailles, cagoule de mailles et armure de cuir complète), troupe de guerre composée de 2d10 maraudeurs</t>
  </si>
  <si>
    <t>Knight Panther</t>
  </si>
  <si>
    <t>Arme à une main et bouclier ou arme à deux mains, armure moyenne (armure de cuir complète et gilet de mailles), bière (4 pintes), trois gratifications (chacune d’une valeur de 1d10/2 co)</t>
  </si>
  <si>
    <t>Dague ou deux javelines, fléau, arme à deux mains ou demi-lance, arme à une main, armure légère (casque et jambières de cuir), bouclier, 2 tatouages</t>
  </si>
  <si>
    <t>Dés en os, paquet de cartes, 3 poules</t>
  </si>
  <si>
    <t>Arme à une main, bouclier, armure légère (veste de cuir et calotte de cuir), bannière, Parchemin (10 feuilles)</t>
  </si>
  <si>
    <t>Dague, peau d'ours (qualité médiocre)</t>
  </si>
  <si>
    <t>Désolations du chaos</t>
  </si>
  <si>
    <t>Steppes orientales</t>
  </si>
  <si>
    <t>Arme à une main, vêtements religieux (tenue complète)</t>
  </si>
  <si>
    <t>Arme à une main, livre enluminé (livre impie de Hashut), vêtements religieux (tenue complète, de bonne qualité), accessoires de calligraphie</t>
  </si>
  <si>
    <t>Arme à une main de bonne qualité, livre enluminé (livre impie de Hashut), un objet magique, atours (beaux, tenue complète), accessoires de calligraphie</t>
  </si>
  <si>
    <t>Arme à une main de qualité exceptionnelle, livre enluminé de qualité exeptionelle (livre impie de Hashut), trois objets magiques, atours (beaux, tenue complète, de qualité exeptionelle), accessoires de calligraphie</t>
  </si>
  <si>
    <t>Chaos Engineer</t>
  </si>
  <si>
    <t>Armure lourde (armure de plaques), fléau d’armes, arme à deux mains ou lance de cavalerie, arme à une main, bouclier</t>
  </si>
  <si>
    <t>Chaos Champion</t>
  </si>
  <si>
    <t>sac à dos, grimoire, bâton</t>
  </si>
  <si>
    <t>langue des bêtes</t>
  </si>
  <si>
    <t>Crâne humain</t>
  </si>
  <si>
    <t>Armure lourde (plastron, manteau de mailles à manches), arme à deux mains, arme à une main, bannière, meute, 5 crânes humains</t>
  </si>
  <si>
    <t>Sang (une outre)</t>
  </si>
  <si>
    <t>Armure lourde (armure de plaques complète), arme lourde ou fléau de bonne qualité, vêtements religieux (tenue complète, de bonne qualité), symbole religieux (petit), sang (3 outres), culte de Khorne</t>
  </si>
  <si>
    <t>Armure moyenne (gilet de mailles), arme lourde ou fléau, vêtements religieux (tenue complète), symbole religieux (petit), sang (une outre)</t>
  </si>
  <si>
    <t>Armure légère (veste de cuir), arme à une main, une maladie, Vêtments religieux (tenue complète de qualité médiocre)</t>
  </si>
  <si>
    <t>Armure légère (armure de cuir complète), 3 maladies, vêtements religieux (tenue complète), culte de Nurgle</t>
  </si>
  <si>
    <t>Atours (beaux, tenue complète), dague, symbole religieux (petit), vêtements religieux (tenue complète)</t>
  </si>
  <si>
    <t>Armure moyenne (veste de cuir, gilet de mailles), arme à une main de qualité exeptionelle, 4 pieux, chapelet, ail (12 gousses), symbole religieux (petit)</t>
  </si>
  <si>
    <t>Armure lourde (armure de plaques complète), lance d'arçon, arbalète ou arc long ou 2 pistolets, bouclier ou brise-épée ou arme à deux mains, une arme à une main bénie ou en argent, 4 pieux</t>
  </si>
  <si>
    <t>Pelle, brouette, crâne humain</t>
  </si>
  <si>
    <t>Armure lourde (armure de plaques complète), arbalète ou arc long, lance d'arçon, eau bénite (flasque), destrier, selle, harnais, symbole religieux (petit)</t>
  </si>
  <si>
    <t>Outils d'artisan (apothicaire), 2 objets magiques, lame magique ou en argent</t>
  </si>
  <si>
    <t>Eau bénite (flasque), 6 pieux, arme à une main en argent</t>
  </si>
  <si>
    <t>Aucune</t>
  </si>
  <si>
    <t>Village</t>
  </si>
  <si>
    <t>Armure moyenne (armure de mailles complète), arme à deux mains, arme à une main, 2 crânes humains</t>
  </si>
  <si>
    <t>Armure lourde (armure de plaques complète), bouclier, symbole religieux (petit), cheval (destrier bretonnien), selle, harnais</t>
  </si>
  <si>
    <t>Lance d’arçon, armure lourde (armure de plaques complète), bouclier, symbole religieux (petit), cheval (destrier bretonnien), selle, harnais</t>
  </si>
  <si>
    <t>Armure moyenne (gilet de mailles, cagoule de mailles, veste de cuir, casque), lance d’arçon, bouclier, cheval (de guerre), selle, harnais</t>
  </si>
  <si>
    <t>Arc ou arc long, 10 flèches, armure légère (veste de cuir), bouclier</t>
  </si>
  <si>
    <t>Hallebarde, armure légère (veste de cuir et calotte de cuir), uniforme (tenue complète)</t>
  </si>
  <si>
    <t>Outils d’artisan (ingénieur/géomètre)</t>
  </si>
  <si>
    <t>Un mouton ou un porc</t>
  </si>
  <si>
    <t>Hallebarde, arc et 20 flèches, armure moyenne (armure de mailles complète)</t>
  </si>
  <si>
    <t>Hallebarde, armure légère (veste de cuir)</t>
  </si>
  <si>
    <t>Arc et 10 flèches, armure moyenne (chemise de mailles et veste de cuir), groupe de herrimaults, masque ou capuchon</t>
  </si>
  <si>
    <t>Huile pour lampes, 20 allumettes, lampe-tempête, boîte d’amadou, 8 bougies de cire</t>
  </si>
  <si>
    <t>Arbalète, 10 carreaux, armure légère (veste de cuir), lanterne</t>
  </si>
  <si>
    <t>2 objets magiques, grimoire, (1d10+2)/3 sorciers du Chaos, 1 familier démoniaque</t>
  </si>
  <si>
    <t>Brosse à cheveux ou peigne</t>
  </si>
  <si>
    <t>Brosse de rue/balais</t>
  </si>
  <si>
    <t>Brosse de rue/balais, grappin, corde au mètre (10m)</t>
  </si>
  <si>
    <t>Carriole, pelle</t>
  </si>
  <si>
    <t>Gantelet/coup-de-poing, vêtements confortables, chapeau simple</t>
  </si>
  <si>
    <t>Outils de crochetage, loupe, menottes, 2 pigeons voyageurs, 2 cages (petites)</t>
  </si>
  <si>
    <t>Vêtements religieux, livre (collé et imprimé), symbole religieux (petit)</t>
  </si>
  <si>
    <t>Bouclier ou rondache, cheval (destrier), selle, harnais, arme à une main (épée) ou rapière, armure lourde (armure de plaques complète), lance ou lance d'arçon, symbole religieux (petit)</t>
  </si>
  <si>
    <t>Atours (beaux, tenue complète), chapeau simple</t>
  </si>
  <si>
    <t>Dés en os, paquet de cartes, armure légère (gilet de cuir)</t>
  </si>
  <si>
    <t>Armure légère (gilet de cuir), outils d'artisan (outils d'apothicaire), une potion (au hasard)</t>
  </si>
  <si>
    <t>Familier démoniaque, 1d10 grimoires, trois objets magiques, 1d10/2 démons invoqués</t>
  </si>
  <si>
    <t>Valise</t>
  </si>
  <si>
    <t>2d10 parchemins, nécéssaire de calligraphie</t>
  </si>
  <si>
    <t>Maquillage ou parfum/eau-de-toilette, porte-bonheur, vêtements confortables (tenue complète)</t>
  </si>
  <si>
    <t>Livre enluminé, symbole religieux (petit), vêtements religieux (tenue complète), accessoires de calligraphie</t>
  </si>
  <si>
    <t>Carte géographique</t>
  </si>
  <si>
    <t>Arme à deux mains (marteau à deux mains, épée à deux mains ou hallebarde), armure moyenne (armure de mailles complète), symbole religieux (petit)</t>
  </si>
  <si>
    <t>Armure magique, armure lourde (armure de plaques complète), symbole religieux (petit)</t>
  </si>
  <si>
    <t>Armure légère (veste de cuir), vêtements religieux (tenue complète) ou uniforme (tenue complète)</t>
  </si>
  <si>
    <t>Si Test Exp.Art (chant) réussi: +1 au jet d'incantation</t>
  </si>
  <si>
    <t>Vêtements religieux, 1d10 livres (collés et imprimés), symbole religieux (petit), bâton</t>
  </si>
  <si>
    <t>Livre (relié et imprimé), accessoires de calligraphie</t>
  </si>
  <si>
    <t>Bouilloire, un instrument de musique (au choix)</t>
  </si>
  <si>
    <t>Longue-vue, chapeau à bords larges, 1d10 navires</t>
  </si>
  <si>
    <t>Nécéssaire antipoison, cataplasme médicinal, potion de soin, porte-bonheur</t>
  </si>
  <si>
    <t>Nécéssaire antipoison, cataplasme médicinal, bâton, outils d'artisan (apothicaire), 1d10/2 potions de soin, 1d10/2 potions (au hasard), 1d10/2 portes-bonheur ou amulettes</t>
  </si>
  <si>
    <t>Nécéssaire antipoison, 1d10/2 cataplasmes médicinaux, bâton (de bonne qualité), outils d'artisan (apothicaire), 1d10/2 potions de soin, 1d10/2 potions (au hasard), 1d10 portes-bonheur ou amulettes</t>
  </si>
  <si>
    <t>Fleuret ou rapière, armure légère (armure de cuir complète), uniforme (tenue complète), bouclier</t>
  </si>
  <si>
    <t>Arc ou arbalète, armure légère (veste de cuir)</t>
  </si>
  <si>
    <t>Armure légère (veste de cuir, jambières de cuir), arme à une main (épée), arc long, 10 flèches</t>
  </si>
  <si>
    <t>Sac à dos, 1d10 parchemins (feuille), étui à parchemins</t>
  </si>
  <si>
    <t>Armure moyenne (veste de cuir, gilet de mailles), outils d'artisan (graveur) ou outils d'artisan (forgeron)</t>
  </si>
  <si>
    <t>Un objet runique</t>
  </si>
  <si>
    <t>Deux objets runiques</t>
  </si>
  <si>
    <t>Trois objets runiques</t>
  </si>
  <si>
    <t>Accessoires de calligraphie, poney, selle, harnais, 1d10 étuis à parchemin ou cartes, carte géographique</t>
  </si>
  <si>
    <t>Armure moyenne (chemise de mailles et veste de cuir), filet</t>
  </si>
  <si>
    <t>Armure légère (veste de cuir), chapeau simple ou cagoule, corde au mètre (10m), 1d10 pointes</t>
  </si>
  <si>
    <t>Armure légère (veste de cuir), sifflet</t>
  </si>
  <si>
    <t>arc, 10 flèches, armure légère (veste de cuir), canot</t>
  </si>
  <si>
    <t>Pistolet avec balles et poudre pour 10 tirs, armure moyenne (veste de cuir), bouclier, corde au mètre (10m), canot, uniforme (tenue complète)</t>
  </si>
  <si>
    <t>Armure légère (veste de cuir), arme à feu (au choix) avec poudre et munitions pour 10 tirs, outils d'artisan (ingénieur/géomètre), longue-vue</t>
  </si>
  <si>
    <t>Arme à une main (épée), lance d’arçon, armure lourde (armure de plaques complète), bouclier, destrier, bardes de plaques complètes, selle, harnais, 50 CO</t>
  </si>
  <si>
    <t>Accessoires de calligraphie, 3 livres enluminés, outils d'artisan (autres)</t>
  </si>
  <si>
    <t>Haillons, pagne</t>
  </si>
  <si>
    <t>Sac (grand), bottes ou cuissardes</t>
  </si>
  <si>
    <t>Arme improvisée (de bonne qualité), dés en os, limes (assortiment de), vêtements piètres (tenue complète)</t>
  </si>
  <si>
    <t>Principautés frontalières</t>
  </si>
  <si>
    <t>Piolet d'escalade, 10 pointes, corde au mètre (10m)</t>
  </si>
  <si>
    <t>Armure légère (veste de cuir), 3 mules, arc</t>
  </si>
  <si>
    <t>Armure moyenne (gilet de mailles et veste de cuir), corde au mètre (10m)</t>
  </si>
  <si>
    <t>Cataplasme médicinal, outils d'artisan (apothicaire), potion de soin</t>
  </si>
  <si>
    <t>Armure légère (veste de cuir), lanterne, huile pour lampe, corde au mètre (10m)</t>
  </si>
  <si>
    <t>Dague, seau en bois, 1d10 grenouilles/crapauds</t>
  </si>
  <si>
    <t>Filet, lance, sac (grand)</t>
  </si>
  <si>
    <t>+1 M/jour ttes montures si Test Equitation réussi</t>
  </si>
  <si>
    <t>Chevauchée rapide</t>
  </si>
  <si>
    <t>Chance, Coups précis, Coups puissants, Force accrue, Grand voyageur ou Chevauchée rapide, Guerrier né, Maîtrise (Armes lourdes), Résistance accrue, Robuste, Vertu de la Quête</t>
  </si>
  <si>
    <t>Grand voyageur ou Pilote de Navire ou Chevauchée rapide, Linguistique ou Sens de l’orientation</t>
  </si>
  <si>
    <t>Grand voyageur ou Chevauchée rapide, Sens de l’orientation</t>
  </si>
  <si>
    <t>Maîtrise (Arbalètes) ou Maîtrise (Arcs longs), Rechargement rapide, Sens de l’orientation ou Chevauchée rapide, Tir de précision ou Tir en puissance</t>
  </si>
  <si>
    <t>Presse d'imprimerie</t>
  </si>
  <si>
    <t>Accessoires de calligraphie, presse d'imprimerie</t>
  </si>
  <si>
    <t>Armure légère (veste de cuir), arme à une main, accessoires de calligraphie, boulier, 1d10/2 CO</t>
  </si>
  <si>
    <t>Arme à une main, accessoires de calligraphie, livre (relié et imprimé)</t>
  </si>
  <si>
    <t>Livre (collé et imprimé)</t>
  </si>
  <si>
    <t>Livre (relié et imprimé)</t>
  </si>
  <si>
    <t>Objet magique, livre enluminé, Atours (beaux, tenue complète de qualité exeptionelle)</t>
  </si>
  <si>
    <t>Accessoires de calligraphie, livre enluminé, vêtements confortables (tenue complète)</t>
  </si>
  <si>
    <t>Armure légère (veste de cuir), épée à une main ou pistolet avec poudre et munitions pour 10 tirs, dague, atours (beaux, tenue complète)</t>
  </si>
  <si>
    <t>Infantilite</t>
  </si>
  <si>
    <t>Couronne princière</t>
  </si>
  <si>
    <t>Mélange du traitre</t>
  </si>
  <si>
    <t>LRR 84</t>
  </si>
  <si>
    <t>Fouet, symbole religieux (petit)</t>
  </si>
  <si>
    <t>Robe grise, bâton, malepierre (deux fragments d'1/4 d'once)</t>
  </si>
  <si>
    <t>Armure légère (veste de cuir et calotte de cuir), arme à une main, fouet, attrape-choses, 1 rat géant</t>
  </si>
  <si>
    <t>Armure légère (gilet de cuir), arme à une main, fronde ou 4 dagues/étoiles de jet</t>
  </si>
  <si>
    <t>Armure légère (veste de cuir et calotte de cuir), arme à une main, dague ou fronde, bouclier</t>
  </si>
  <si>
    <t>2 armes à une main, maladies (3 au choix), 3d10 mouches</t>
  </si>
  <si>
    <t>Arme lourde, armure légère (veste de cuir et calotte de cuir)</t>
  </si>
  <si>
    <t>Armure légère (gilet de cuir), arme à une main, jezzail ou 2 pistolets à malepierre ou 2 globes de vent toxique</t>
  </si>
  <si>
    <t>Armure légère (veste de cuir et calotte de cuir), arme à une main, dague, coup-de-poing, arbalète de poing, 10 carreaux, 4 étoiles/dagues de jet, corde au mètre (10 m de qualité exceptionnelle)</t>
  </si>
  <si>
    <t>Fléau d'armes, malepierre (une once)</t>
  </si>
  <si>
    <t>2 armes à une main, encensoir à peste, malepierre (deux fragments d'1/4 d'once)</t>
  </si>
  <si>
    <t>Armure légère (veste de cuir et calotte de cuir), arme à une main, 2 dagues coups-de-poing, 2 griffes de rat, 4 étoiles de jet, sarbacane et 10 fléchettes, 3 doses de poison (au choix)</t>
  </si>
  <si>
    <t>Armure légère (armure de cuir complète), cape, arme à une main, fouet, 3 menottes, malepierre (3 onces), 1d10 rats géants ou 1 rat-ogre</t>
  </si>
  <si>
    <t>Armure moyenne (armure de mailles complète), arme à une main de qualité exceptionnelle, fouet de qualité exceptionnelle, 3 menottes, malepierre (5 onces), 1d10/2
Chefs de meute, 1 Maître corrupteur, 2d10 rats géants, 1 rat-ogre</t>
  </si>
  <si>
    <t>Arme à une main, armure moyenne (gilet de mailles, veste de cuir, jambières de cuir, calotte de cuir et casque), bouclier, 2 tatouages</t>
  </si>
  <si>
    <t>Marmite en fer, malepierre (six fragment d'1/4 d'once), 1d10 rats de la peste, 1d10/2 maladies, 1d10 Moines de la peste</t>
  </si>
  <si>
    <t>Robe grise (de bonne qualité), bâton, malepierre (2 onces) , un objet magique skaven</t>
  </si>
  <si>
    <t>Robe grise (de qualité exeptionelle), bâton (de qualité exeptionelle), malepierre (3 onces) , deux objets magiques skaven</t>
  </si>
  <si>
    <t>Arme à une main, 3 étoiles de jet, 3 fumigènes, cape, sac, malepierre (une once)</t>
  </si>
  <si>
    <t>Armure légère (veste de cuir), outil d'artisan (ingénieur/gomètre), jezzail et munitions pour 10 tirs ou 4 globes de vent toxique, malelame, accumulateur à surcharge de puissance, malepierre (65 onces)</t>
  </si>
  <si>
    <t>Malelames</t>
  </si>
  <si>
    <t>Limace de douleur</t>
  </si>
  <si>
    <t>Lame suintante</t>
  </si>
  <si>
    <t>Infligent BF dégâts, ont l’attribut défensive et recouvertes de lotus noir</t>
  </si>
  <si>
    <t>FdRC 73</t>
  </si>
  <si>
    <t>Accumulateur à surcharge de puissance</t>
  </si>
  <si>
    <t>Technomage équipé lance 2X les dés et garde le meilleur résultat</t>
  </si>
  <si>
    <t>FdRC 74</t>
  </si>
  <si>
    <t>Condensateur d'énergie amélioré</t>
  </si>
  <si>
    <t>Masque à gaz du clan Skryre</t>
  </si>
  <si>
    <t>Armure moyenne (gilet de mailles, veste de cuir et calotte de cuir), fléau d'armes ou arme lourde (au choix)</t>
  </si>
  <si>
    <t>Armure du Chaos, objet magique, arme magique, troupe de guerriers</t>
  </si>
  <si>
    <t>Armure du Chaos, armée du Chaos, deux objets magiques, arme magique</t>
  </si>
  <si>
    <t>Armure du chaos</t>
  </si>
  <si>
    <t>Arme du chaos</t>
  </si>
  <si>
    <t>Arme démon</t>
  </si>
  <si>
    <t>Voir Tome de la Corruption pp.195-203</t>
  </si>
  <si>
    <t>Voir Tome de la Corruption pp.204-205</t>
  </si>
  <si>
    <t>TdC 204</t>
  </si>
  <si>
    <t>Amulette de Shesh</t>
  </si>
  <si>
    <t>+10% FM et Soc. -20% FM vs Slaanesh -10% vs Mutation</t>
  </si>
  <si>
    <t>Masque mortuaire de Karitamen</t>
  </si>
  <si>
    <t>+10% Commandement, Intimidation et FM</t>
  </si>
  <si>
    <t>Lames de l’Honorable Trépas</t>
  </si>
  <si>
    <t>Poignard des âmes entravées</t>
  </si>
  <si>
    <t>+20% CC, si inflige 1 Blessure +1Blessure/round jusque Test E -10%</t>
  </si>
  <si>
    <t>Inflige+5 Blessures +1Blessure/round jusque Test E -10%, Franchit les PA</t>
  </si>
  <si>
    <t>Gantelet de Hraklonesh</t>
  </si>
  <si>
    <t>KA 51</t>
  </si>
  <si>
    <t>12/24</t>
  </si>
  <si>
    <t>Sceptre de Valaya</t>
  </si>
  <si>
    <t>Karak 75</t>
  </si>
  <si>
    <t>Karak 76</t>
  </si>
  <si>
    <r>
      <t xml:space="preserve">Permet de lancer </t>
    </r>
    <r>
      <rPr>
        <i/>
        <sz val="10"/>
        <rFont val="Arial"/>
        <family val="2"/>
      </rPr>
      <t xml:space="preserve">Fluide tellurique </t>
    </r>
    <r>
      <rPr>
        <sz val="10"/>
        <rFont val="Arial"/>
        <family val="2"/>
      </rPr>
      <t xml:space="preserve">et </t>
    </r>
    <r>
      <rPr>
        <i/>
        <sz val="10"/>
        <rFont val="Arial"/>
        <family val="2"/>
      </rPr>
      <t>Bouclier de Myrmidia</t>
    </r>
  </si>
  <si>
    <t>Bâton de Valaya</t>
  </si>
  <si>
    <t>400/800</t>
  </si>
  <si>
    <t>Grand canon</t>
  </si>
  <si>
    <t>Canon à répétition feu d'enfer</t>
  </si>
  <si>
    <t>Cryptographie</t>
  </si>
  <si>
    <t>Crâne d'airain</t>
  </si>
  <si>
    <t>VdD1 46</t>
  </si>
  <si>
    <t>Frénésie, Résistance à la Magie, Test FM (58%)/jour: Folie 24h+ 1pt Folie</t>
  </si>
  <si>
    <t>La glorieuse et resplendissante transfiguration</t>
  </si>
  <si>
    <t>VdD2 41</t>
  </si>
  <si>
    <t>La consécration</t>
  </si>
  <si>
    <t>Gants de Jarfreit</t>
  </si>
  <si>
    <t>+10% en CC et en F</t>
  </si>
  <si>
    <t>VdD2 42</t>
  </si>
  <si>
    <t>Amulette de Say-K'Thar</t>
  </si>
  <si>
    <t>Couronne de Pashtilar</t>
  </si>
  <si>
    <t>VdD2 43</t>
  </si>
  <si>
    <t>L'incarnation du désincarné</t>
  </si>
  <si>
    <t>VdD2 55</t>
  </si>
  <si>
    <t>La purification du réceptacle corrompu</t>
  </si>
  <si>
    <t>VdD2 58</t>
  </si>
  <si>
    <t>Sceptre de séparation</t>
  </si>
  <si>
    <t>Sépare une entité d’un objet et la force à retourner dans le Chaos</t>
  </si>
  <si>
    <t>VdD3 79</t>
  </si>
  <si>
    <t>Nom de la folie</t>
  </si>
  <si>
    <t>Fièvre grise</t>
  </si>
  <si>
    <t>TaT 44</t>
  </si>
  <si>
    <t>Bâton du Seigneur Rat</t>
  </si>
  <si>
    <t>TaT 89</t>
  </si>
  <si>
    <t>Permet de lancer un et un seul sort au choix de Magie Mineure</t>
  </si>
  <si>
    <t>Rêves de Morr</t>
  </si>
  <si>
    <t>Vous avez des rêves prophétiques</t>
  </si>
  <si>
    <t>Tiare au diamant noir</t>
  </si>
  <si>
    <t>DdD 35</t>
  </si>
  <si>
    <t>DdD 27</t>
  </si>
  <si>
    <t>DdD 28</t>
  </si>
  <si>
    <t>Broche à l'opale sanglante</t>
  </si>
  <si>
    <t>+20% FM pour résister aux sorts et effets</t>
  </si>
  <si>
    <t>Robe des larmes</t>
  </si>
  <si>
    <t>Attaques portées contre le porteur ne bénéficient jamais de la Fureur d'Ulric</t>
  </si>
  <si>
    <t>+1d10/2 PF mais donne des visions du futur</t>
  </si>
  <si>
    <t>Pierre de sang</t>
  </si>
  <si>
    <t>Le Chaos ne peut porter en 1er une attaque contre celui qui la porte</t>
  </si>
  <si>
    <t>A+1, +20% CC, Réussir un Test E ou obtient la mutation changepeau</t>
  </si>
  <si>
    <t>Ignore le 1er pt de dégât de n'importe quel coup reçu</t>
  </si>
  <si>
    <r>
      <t>Si Test FM réussi :lance sort</t>
    </r>
    <r>
      <rPr>
        <i/>
        <sz val="10"/>
        <rFont val="Arial"/>
        <family val="2"/>
      </rPr>
      <t xml:space="preserve"> Boule de Feu</t>
    </r>
    <r>
      <rPr>
        <sz val="10"/>
        <rFont val="Arial"/>
        <family val="2"/>
      </rPr>
      <t xml:space="preserve"> d'une valeur de Magie de 3</t>
    </r>
  </si>
  <si>
    <t>Dégâts de 4 + venin: La victime réussit un Test de E ou +2 Blessures</t>
  </si>
  <si>
    <t>Test FM -20%: détruit 1d10+2 M-V dans un rayon de 24m, MV testent Peur.</t>
  </si>
  <si>
    <t>Coup de pieds de dégâts égaux au BF</t>
  </si>
  <si>
    <t>1AC: Soigne 1d10 pts de Blessures OU embrase une arme: +2 dégâts/combat</t>
  </si>
  <si>
    <t>Immunise contre le Froid de tout type (magique ou naturel)</t>
  </si>
  <si>
    <t>+20% Dissimulation. L'adversaire teste CT-10% pour toucher le porteur</t>
  </si>
  <si>
    <t>Ingrédient supplémentaire du domaine de la vie, double les bonus des autres</t>
  </si>
  <si>
    <t>+3 en Mouvement +1Point de Folie par semaine</t>
  </si>
  <si>
    <t>Si technomage équipé de malelames leur valeur de dégâts augmentée de +1</t>
  </si>
  <si>
    <t>Donne la mutation: régénération et une autre Mutation aléatoire</t>
  </si>
  <si>
    <t>+4 PA toutes zones contre CT. Non cumulable +1Mutation/Semaine</t>
  </si>
  <si>
    <t>La victime teste son E (-10%) ou Coup Critique +1</t>
  </si>
  <si>
    <t>Inflige BF+4 contre les démons</t>
  </si>
  <si>
    <t>Porteur +1 pt de Fortune; -1pt. Fortune zone 16m (8 cases) et -10% tous Tests</t>
  </si>
  <si>
    <t>Regagne 1 point de blessure/round tant que les Blessures n'atteignent pas 0</t>
  </si>
  <si>
    <t>Les zombies contrôlés par le porteur de la tiare ont +1 PA ttes zones</t>
  </si>
  <si>
    <t>Prix CO</t>
  </si>
  <si>
    <t>%</t>
  </si>
  <si>
    <t>MM</t>
  </si>
  <si>
    <t>Totaux armures:</t>
  </si>
  <si>
    <t>Totaux armes:</t>
  </si>
  <si>
    <t>Garrot</t>
  </si>
  <si>
    <t>Fustibale</t>
  </si>
  <si>
    <t>Lance de jet</t>
  </si>
  <si>
    <t>Amulette du Grand Cornu</t>
  </si>
  <si>
    <t>Permet de récupérer un point de blessure par heure</t>
  </si>
  <si>
    <t>FdRC80</t>
  </si>
  <si>
    <t>Bâton du Grand Cornu</t>
  </si>
  <si>
    <t>FdRC81</t>
  </si>
  <si>
    <t>Cape des ténèbres</t>
  </si>
  <si>
    <t>Les adversaires doivent réussir un Test de FM -10% pour attaquer à distance</t>
  </si>
  <si>
    <t>Lame de corruption</t>
  </si>
  <si>
    <t>Skaven: quand touche Test E (-10%) ou + 3B. Test E +10% ou -1d10% en E</t>
  </si>
  <si>
    <t>Lame fatale</t>
  </si>
  <si>
    <t>Perce-Nain</t>
  </si>
  <si>
    <t>Percutante, dégâts BF+1, skaven: F+20% et Test E/round -20% ou subit 3B</t>
  </si>
  <si>
    <t>+2 Points d'armure sur toutes les zones</t>
  </si>
  <si>
    <t>Malepierre (une once (22 grammes))</t>
  </si>
  <si>
    <t>Malepierre (un fragment de 0,2 g)</t>
  </si>
  <si>
    <t>LC 32</t>
  </si>
  <si>
    <t>La gracieuse bénédiction commerciale de Händrich</t>
  </si>
  <si>
    <t>Conn. Acad</t>
  </si>
  <si>
    <t>Total Encombrement (Sur moi):</t>
  </si>
  <si>
    <t>Total valeurs monétaires:</t>
  </si>
  <si>
    <t>Arme à deux mains ou fléau d'armes, alcool fort (bouteille), symbole religieux (petit), relique religieuse</t>
  </si>
  <si>
    <t>Fléau d'armes ou arme à 2 mains, symbole religieux (petit), relique religieuse, crâne humain</t>
  </si>
  <si>
    <t>Boite à souhait</t>
  </si>
  <si>
    <t>Savon de sorcière</t>
  </si>
  <si>
    <t>Patte de chien porte-bonheur</t>
  </si>
  <si>
    <t>Pistole d'enfer</t>
  </si>
  <si>
    <t>Lambeau de bannière</t>
  </si>
  <si>
    <t>Chemise/chemisier/tunique</t>
  </si>
  <si>
    <t>LHS 37</t>
  </si>
  <si>
    <t>Références</t>
  </si>
  <si>
    <t>www.sden.org</t>
  </si>
  <si>
    <t>Acuité visuelle, Coups assommants, Résistance accrue</t>
  </si>
  <si>
    <t>Cadenas</t>
  </si>
  <si>
    <t>2 cordes au mètre (10m), coffre en bois, cadenas (moyen), vêtements confortables (tenue complète)</t>
  </si>
  <si>
    <t>Batelier, Contrebandier, Collecteur de taxe, Patrouilleur fluvial, Marin</t>
  </si>
  <si>
    <t>Catin, Grenouillère, Mystique strigany, Paysan, Ramasseur de fumier, Ratier, Vagabond</t>
  </si>
  <si>
    <t>Bateleur, Catin, Courtisan</t>
  </si>
  <si>
    <t>Camouflage urbain ou Fuite, Code de la rue ou Dur en affaires, Résistance accrue ou Sociable, Résistance aux maladies</t>
  </si>
  <si>
    <t>Catin, Chiffonnier, Grenouillère, Serviteur</t>
  </si>
  <si>
    <t>Aristocrate, Charlatan, Courtisan, Politicien, Espion</t>
  </si>
  <si>
    <t>Amiral, Aristocrate, Capitaine, Diplomate, Grand prêtre, Seigneur sorcier, Sorcière de glace</t>
  </si>
  <si>
    <t>Chirurgien barbier, Coupe-jarret, Exécuteur, Flagellant, Fouet de dieu, Garde du corps, Geôlier, Tchékiste</t>
  </si>
  <si>
    <t>Exécuteur, Garde du corps, Ratier, Tchékiste</t>
  </si>
  <si>
    <t>Acuité visuelle, Calcul mental, Intelligent, Sens de l’Orientation</t>
  </si>
  <si>
    <t>Dons/Vertus</t>
  </si>
  <si>
    <t>de la Quête</t>
  </si>
  <si>
    <t>du Tempérament chevaleresque</t>
  </si>
  <si>
    <t>de Témérité</t>
  </si>
  <si>
    <t>de Stoïcisme</t>
  </si>
  <si>
    <t>de Sollicitude</t>
  </si>
  <si>
    <t>de Pureté</t>
  </si>
  <si>
    <t>du Pénitent</t>
  </si>
  <si>
    <t>de Noble Dédain</t>
  </si>
  <si>
    <t>de la Joute</t>
  </si>
  <si>
    <t>de l'Idéal</t>
  </si>
  <si>
    <t>d'Héroïsme</t>
  </si>
  <si>
    <t>du Devoir</t>
  </si>
  <si>
    <t>de la Discipline</t>
  </si>
  <si>
    <t>de Confiance</t>
  </si>
  <si>
    <t>du Chevalier impétueux</t>
  </si>
  <si>
    <t>du Chevalier</t>
  </si>
  <si>
    <t>V. Chevaleresque</t>
  </si>
  <si>
    <t>V. du Graal</t>
  </si>
  <si>
    <t>Cœur vailant</t>
  </si>
  <si>
    <t>Egide de lumière</t>
  </si>
  <si>
    <t>Don de la Dame</t>
  </si>
  <si>
    <t>Gorgée du Graal</t>
  </si>
  <si>
    <t>Pèlerine de la Dame</t>
  </si>
  <si>
    <t>Pureté souveraine</t>
  </si>
  <si>
    <t>+20% pour résister à la Peur</t>
  </si>
  <si>
    <t>+10% FM vs. Magie maléfique</t>
  </si>
  <si>
    <t>+20% E vs. Poison</t>
  </si>
  <si>
    <t>+1 PA ttes zones (max.6 PA)</t>
  </si>
  <si>
    <t>Lance 2 dés de dégâts et garde le meilleur</t>
  </si>
  <si>
    <t>Vous bénéficiez d'un Don de la Dame du Lac</t>
  </si>
  <si>
    <t>Quand vous chargez: 1/2 Action, +10% en CC et +1 aux dégâts</t>
  </si>
  <si>
    <t>+1 aux dégâts au corps à corps durant un combat contre un ennemi défié</t>
  </si>
  <si>
    <t>Vous annulez tous les bonus que vos adversaires pourraient tirer en CC du fait du surnombre</t>
  </si>
  <si>
    <t>Si votre valeur de dégâts est &gt;10, vous infligez un coup critique</t>
  </si>
  <si>
    <t>CdG 107</t>
  </si>
  <si>
    <t>CdG 39</t>
  </si>
  <si>
    <t>+1 A quand vous êtes en sous nombre au Corps à corps</t>
  </si>
  <si>
    <t>+10% en CC quand vous maniez une lance d'arçon</t>
  </si>
  <si>
    <t>+10% en CC contre les armes de jet, de tir ou à poudre -10% en CT</t>
  </si>
  <si>
    <t>Vous ne pouvez vous servir d'objet magique. Tte arme est magique entre vos mains. Critiques subis -1</t>
  </si>
  <si>
    <t>Dons de la Dame sans prier, +1 pt Fortune/ jour</t>
  </si>
  <si>
    <t>CdG 108</t>
  </si>
  <si>
    <t>+10% Soc vs. paysans bretonniens</t>
  </si>
  <si>
    <t>Vous pouvez rejouer un Test de Peur ou de Terreur ou pour résister à l'Intimidation</t>
  </si>
  <si>
    <t>si BF de l’adversaire &gt; au vôtre, référez-vous à cette valeur pour déterminer les dégâts infligés</t>
  </si>
  <si>
    <t>Si vous blessez un adversaire en chargeant, attaque gratuite</t>
  </si>
  <si>
    <t>Vous pouvez effectuer 2 charges par round</t>
  </si>
  <si>
    <t>CdG 109</t>
  </si>
  <si>
    <t>Adversaire: Test CC -30% pour vous attaquer, +10% E contre tte attaque qui vous atteint</t>
  </si>
  <si>
    <t>Si attaque rapide en sous-nombre (2 contre 1), A+1</t>
  </si>
  <si>
    <t>+5% en Capacité de Combat et en Force</t>
  </si>
  <si>
    <t>Doublez la valeur de vos critiques contre des adversaires utilisant des armes de tir, de jet ou à poudre</t>
  </si>
  <si>
    <t>vous n’avez pas besoin de dépenser de point de Fortune pour invoquer les Dons de la Dame</t>
  </si>
  <si>
    <t>Immu. Peur, Terreur et Intimidation. +20% FM vs Magie qui affecte l'esprit</t>
  </si>
  <si>
    <t>vous ne pouvez subir de dégâts d’un adversaire tant que vous ne l’avez pas vous-même blessé</t>
  </si>
  <si>
    <t>charge= attaque rapide au lieu d’une attaque standard, +10% en CC.</t>
  </si>
  <si>
    <t>V. du Chevalier</t>
  </si>
  <si>
    <t>D. du Sang</t>
  </si>
  <si>
    <t>du Graal du Chevalier impétueux</t>
  </si>
  <si>
    <t>du Graal de Confiance</t>
  </si>
  <si>
    <t>du Graal de la Discipline</t>
  </si>
  <si>
    <t>du Graal du Devoir</t>
  </si>
  <si>
    <t>du Graal d'Héroïsme</t>
  </si>
  <si>
    <t>du Graal de l'Idéal</t>
  </si>
  <si>
    <t>du Graal de la Joute</t>
  </si>
  <si>
    <t>du Graal de Noble Dédain</t>
  </si>
  <si>
    <t>du Graal du Pénitent</t>
  </si>
  <si>
    <t>du Graal de Pureté</t>
  </si>
  <si>
    <t>du Graal de Sollicitude</t>
  </si>
  <si>
    <t>du Graal de Stoïcisme</t>
  </si>
  <si>
    <t>du Graal de Témérité</t>
  </si>
  <si>
    <t>du Graal du Tempérament chevaleresque</t>
  </si>
  <si>
    <t>Démon exalté</t>
  </si>
  <si>
    <t>Mutation du Chaos</t>
  </si>
  <si>
    <t>Arme du Chaos</t>
  </si>
  <si>
    <t>Armure du Chaos</t>
  </si>
  <si>
    <t>Destrier du Chaos</t>
  </si>
  <si>
    <t>Enfant du Chaos</t>
  </si>
  <si>
    <t>Puissance du Chaos</t>
  </si>
  <si>
    <t>Destrier démoniaque</t>
  </si>
  <si>
    <t>Chiens du Chaos</t>
  </si>
  <si>
    <t>Vous êtes possédé par un démon (Cf. TdC 108)</t>
  </si>
  <si>
    <t>Vous obtenez une mutation</t>
  </si>
  <si>
    <t>Vous gagnez la Talent Frénésie ou augmentez F et E de +10%</t>
  </si>
  <si>
    <t>Vous obtenez une arme du Chaos</t>
  </si>
  <si>
    <t>Des enfants du chaos se mettent à votre service</t>
  </si>
  <si>
    <t>+ 1d10 pts à répartir parmi vos caractéristiques</t>
  </si>
  <si>
    <t>Vous obtenez un destrier du Chaos</t>
  </si>
  <si>
    <t>Vous obtenez une arme démon</t>
  </si>
  <si>
    <t>Vous obtenez un destrier démoniaque</t>
  </si>
  <si>
    <t>TdC 180</t>
  </si>
  <si>
    <t>TdC 181</t>
  </si>
  <si>
    <t>TdC 182</t>
  </si>
  <si>
    <t>Vous gagnez un certain nombre de chiens du Chaos</t>
  </si>
  <si>
    <t>Voir Tome de la Corruption p.182</t>
  </si>
  <si>
    <t>Visage de Khorne</t>
  </si>
  <si>
    <t>Visage de buveur de sang</t>
  </si>
  <si>
    <t>Visage de sanguinaire</t>
  </si>
  <si>
    <t>Visage de chien de Khorne</t>
  </si>
  <si>
    <t>Vous gagnez le talent Effrayant</t>
  </si>
  <si>
    <t>Vous gagnez le talent Troublant et la Mutation morsure venimeuse</t>
  </si>
  <si>
    <t>Vous gagnez le talent Terrifiant</t>
  </si>
  <si>
    <t>Vous gagnez la Mutation morsure venimeuse</t>
  </si>
  <si>
    <t>Visage de juggernaut</t>
  </si>
  <si>
    <t>Peau de Khorne</t>
  </si>
  <si>
    <t>Main de Khorne</t>
  </si>
  <si>
    <t>TdC 183</t>
  </si>
  <si>
    <t>Vous gagnez le talent Armes naturelles et 2 PA à la tête</t>
  </si>
  <si>
    <t>Voir Tome de la Corruption p.183</t>
  </si>
  <si>
    <t>Vous gagnez un collier de Khorne ou une pierre de sang</t>
  </si>
  <si>
    <t>Un de vos appendices inflige BF–1 à mains nues</t>
  </si>
  <si>
    <t>Marque de Khorne</t>
  </si>
  <si>
    <t>Musc de la haine</t>
  </si>
  <si>
    <t>Morsure venimeuse</t>
  </si>
  <si>
    <t>Vous gagnez la Talent Frénésie et toute créature adjaçante est sous Frénésie</t>
  </si>
  <si>
    <t>Vous gagnez la Mutation Régénération</t>
  </si>
  <si>
    <t>Vous gagnez la Mutation Hybride</t>
  </si>
  <si>
    <t>Perte de mémoire</t>
  </si>
  <si>
    <t>Bonus d'agression</t>
  </si>
  <si>
    <t>Main armée</t>
  </si>
  <si>
    <t>Nom de démon</t>
  </si>
  <si>
    <t>Int, FM et Soc –2d10%. Si une tombe à 0 vous devenez un enfant du Chaos.</t>
  </si>
  <si>
    <t xml:space="preserve"> +1d10% en CC, CT et F</t>
  </si>
  <si>
    <t>L'un de vos appendices fusionne avec une arme de votre choix</t>
  </si>
  <si>
    <t>Vous gagnez 3 unités phonétiques</t>
  </si>
  <si>
    <t>TdC 184</t>
  </si>
  <si>
    <t>Visage de Nurgle</t>
  </si>
  <si>
    <t>Langue dévorante</t>
  </si>
  <si>
    <t>Visage de portepeste</t>
  </si>
  <si>
    <t>Visage de la bête</t>
  </si>
  <si>
    <t>Immensité</t>
  </si>
  <si>
    <t>Pouriture de Neiglish</t>
  </si>
  <si>
    <t>Cornes de Nurgle</t>
  </si>
  <si>
    <t>Peau de Nurgle</t>
  </si>
  <si>
    <t>Familier Nurgling</t>
  </si>
  <si>
    <t>Trainée de glaire</t>
  </si>
  <si>
    <t>Marque de Nurgle</t>
  </si>
  <si>
    <t>Vous pouvez attaquer avec votre langue avec une valeur de dégâts de 1</t>
  </si>
  <si>
    <t>Vous gagnez également les talents Troublant et Armes naturelles</t>
  </si>
  <si>
    <t>Vous recevez les talents Armes naturelles et Troublant.</t>
  </si>
  <si>
    <t>E +10%, Ag –10%</t>
  </si>
  <si>
    <t>Vous gagnez la mutation portepeste</t>
  </si>
  <si>
    <t>Vous gagnez la mutation cornes</t>
  </si>
  <si>
    <t>Vous-même et tous les personnages situés dans un rayon de 150 mètres sont affectés par une maladie.</t>
  </si>
  <si>
    <t>Vos blessures ne guérissent plus naturellement. Vos adversaires subissent un malus de –10% en CC</t>
  </si>
  <si>
    <t>Vous gagnez un familier démoniaque</t>
  </si>
  <si>
    <t>Quiconque marche dans cette substance doit réussir un test d’E ou contracter la pourriture de Neiglish.</t>
  </si>
  <si>
    <t>TdC 185</t>
  </si>
  <si>
    <t>TdC 186</t>
  </si>
  <si>
    <t>Voir Tome de la Corruption p.186</t>
  </si>
  <si>
    <t>Visage de gardien des secrets</t>
  </si>
  <si>
    <t>Visage de démonette</t>
  </si>
  <si>
    <t>Visage de bête de Slaanesh</t>
  </si>
  <si>
    <t>Sadomasochiste</t>
  </si>
  <si>
    <t>Pince de crabe</t>
  </si>
  <si>
    <t>Curieuse excroissance</t>
  </si>
  <si>
    <t>Langue préhensile</t>
  </si>
  <si>
    <t>Personnalité grisante</t>
  </si>
  <si>
    <t>Cornes de Slaanesh</t>
  </si>
  <si>
    <t>Musc</t>
  </si>
  <si>
    <t>Queue-rasoir</t>
  </si>
  <si>
    <t>Marque de Slaanesh</t>
  </si>
  <si>
    <t>Vous gagnez les talents Armes naturelles et Effrayant</t>
  </si>
  <si>
    <t>Aucun avantage</t>
  </si>
  <si>
    <t>Dès que vous infligez ou perdez 1 Blessure, +10% en F, E et FM pdt 1d10 rounds.</t>
  </si>
  <si>
    <t>Vous gagnez le talent Armes naturelles</t>
  </si>
  <si>
    <t>Voir Tome de la Corruption p.187</t>
  </si>
  <si>
    <t>TdC 187</t>
  </si>
  <si>
    <t>FM et Soc. +1d10%</t>
  </si>
  <si>
    <t>Vous obtenez la mutation cornes</t>
  </si>
  <si>
    <t>Visage de Tzeentch</t>
  </si>
  <si>
    <t>Visage d'un duc du changement</t>
  </si>
  <si>
    <t>Visage d'horreur</t>
  </si>
  <si>
    <t>Vous gagnez le talent Troublant</t>
  </si>
  <si>
    <t>TdC 188</t>
  </si>
  <si>
    <t>Duplication extatique</t>
  </si>
  <si>
    <t>Si vous êtes tué au combat, votre corps se sépare en deux horreurs bleues</t>
  </si>
  <si>
    <t>Main de Tzeentch</t>
  </si>
  <si>
    <t>Bras lance-flammes</t>
  </si>
  <si>
    <t>Vous gagnez le talent Armes naturelles.</t>
  </si>
  <si>
    <t>Don de la Magie</t>
  </si>
  <si>
    <t>Jugement de Tzeentch</t>
  </si>
  <si>
    <t>Magie de Tzeentch</t>
  </si>
  <si>
    <t>Nouvelle naissance</t>
  </si>
  <si>
    <t>Marque de Tzeentch</t>
  </si>
  <si>
    <t>Mag +1, accès à Magie commune (Chaos), Magie mineure et Sombre savoir (Tzeentch)</t>
  </si>
  <si>
    <t>Tzeentch a jugé bon de vous gratifier d’un objet magique.</t>
  </si>
  <si>
    <t>Vous gagnez le talent Vol</t>
  </si>
  <si>
    <t>Vous devez lancer les dés pour redéfinir toutes les caractéristiques de votre profil principal</t>
  </si>
  <si>
    <t>TdC 189</t>
  </si>
  <si>
    <t>Au CC, votre adversaire test FM ou –10% en CC</t>
  </si>
  <si>
    <t>Voir Tome de la Corruption p.189</t>
  </si>
  <si>
    <t>Types vertus/dons</t>
  </si>
  <si>
    <t>R. du Chaos</t>
  </si>
  <si>
    <t>D. de Khorne</t>
  </si>
  <si>
    <t>D. de Slaanesh</t>
  </si>
  <si>
    <t>D. de Tzeentch</t>
  </si>
  <si>
    <t>D. de Nurgle</t>
  </si>
  <si>
    <t>Absorption psychique</t>
  </si>
  <si>
    <t>Ailes de Tzeentch</t>
  </si>
  <si>
    <t>Ailes de Chauve-souris</t>
  </si>
  <si>
    <t>MdN 98</t>
  </si>
  <si>
    <t>Âme profane</t>
  </si>
  <si>
    <t>Apparence humaine</t>
  </si>
  <si>
    <t>Appel de la foudre</t>
  </si>
  <si>
    <t>Batelier</t>
  </si>
  <si>
    <t>Brume éthérée</t>
  </si>
  <si>
    <t>Carrure de Titan</t>
  </si>
  <si>
    <t>Charge mortelle</t>
  </si>
  <si>
    <t>Coups terribles</t>
  </si>
  <si>
    <t>Défi de l'aube</t>
  </si>
  <si>
    <t>Domination</t>
  </si>
  <si>
    <t>Estocade</t>
  </si>
  <si>
    <t>Explosion de sang</t>
  </si>
  <si>
    <t>Fontaine de Dhar</t>
  </si>
  <si>
    <t>Forme de familier</t>
  </si>
  <si>
    <t>MdN 99</t>
  </si>
  <si>
    <t>Forme de nuée</t>
  </si>
  <si>
    <t>Hôte</t>
  </si>
  <si>
    <t>Image persistante</t>
  </si>
  <si>
    <t>Innocence perdue</t>
  </si>
  <si>
    <t>Vous gagnez le Talent Troublant</t>
  </si>
  <si>
    <t>Invocation de goules</t>
  </si>
  <si>
    <t>Invocation de loups</t>
  </si>
  <si>
    <t>Invocation de vermines</t>
  </si>
  <si>
    <t>Maîtrise de la chair</t>
  </si>
  <si>
    <t>Malédiction des vampires</t>
  </si>
  <si>
    <t>Malédition du revenant</t>
  </si>
  <si>
    <t>Les critiques que vous subissez sont réduits de -2</t>
  </si>
  <si>
    <t>MdN 100</t>
  </si>
  <si>
    <t>MdN 101</t>
  </si>
  <si>
    <t>Malformé</t>
  </si>
  <si>
    <t>Masse monstrueuse</t>
  </si>
  <si>
    <t>Mort ambulante</t>
  </si>
  <si>
    <t>Nécromancien né</t>
  </si>
  <si>
    <t>Parchemins nehekharéens</t>
  </si>
  <si>
    <t>Parfum de sang</t>
  </si>
  <si>
    <t>Rassasié</t>
  </si>
  <si>
    <t>Régénération impie</t>
  </si>
  <si>
    <t>Sang argenté</t>
  </si>
  <si>
    <t>Sang bleu</t>
  </si>
  <si>
    <t>Sang vif</t>
  </si>
  <si>
    <t>Secret aethyrique</t>
  </si>
  <si>
    <t>Sens accrus</t>
  </si>
  <si>
    <t>Sombre majesté</t>
  </si>
  <si>
    <t>Transformation en chauve-souris</t>
  </si>
  <si>
    <t>Transformation en loup</t>
  </si>
  <si>
    <t>Vampirisme</t>
  </si>
  <si>
    <t>Vecteur épidémique</t>
  </si>
  <si>
    <t>Vision de l'au-delà</t>
  </si>
  <si>
    <t>Vorace</t>
  </si>
  <si>
    <t>MdN 102</t>
  </si>
  <si>
    <t>Si vous êtes homme, un sein pousse. Si vous êtes femme, une rangée de cinq seins apparaît.</t>
  </si>
  <si>
    <t>Tte créature vivante dans un rayon de 8 m (4 cases) doit réussir un test de FM ou venir près de vous</t>
  </si>
  <si>
    <t>Vous gagnez le talent Armes naturelles. Sort boule de feu rayon 12 mètres (6 cases).Test CT. Dégâts 3</t>
  </si>
  <si>
    <t>-50% en CC quand maniez lance d'arçon, Visions de la Quête, Pt Fortune pr se soigner 1d10 blessures</t>
  </si>
  <si>
    <t>Voir Chevaliers du Graal p. 109</t>
  </si>
  <si>
    <t>Votre portée sur les Morts-Vivants est de 200 mètres (100 cases)</t>
  </si>
  <si>
    <t>Vous avez le droit  à un Test d'esquive pour éviter les attaques de tir</t>
  </si>
  <si>
    <t>Vous pouvez contrôler un nombre de M-V égal à votre FM+30</t>
  </si>
  <si>
    <t>Si vous faites perdre 1 blessure à une victime lors d'une prise celle-ci perd 1d10% en F</t>
  </si>
  <si>
    <t>Vous êtes porteur de la maladie Scorbut Dément. Si utilisez Vampirisme la victime Test E ou contracte.</t>
  </si>
  <si>
    <t>Vous distinguez les esprits et les âmes normalement invisibles en permanence</t>
  </si>
  <si>
    <t>Vous gagnez le Talent Frénésie dès qu'une créature saigne à moins de 16 mètre (8 cases) de vous</t>
  </si>
  <si>
    <t>Vous êtes immunisé contre les effets de l'argent</t>
  </si>
  <si>
    <t>Vous regagnez 5pts de Blessures/round tant que &gt;0 sauf les blessures infligées par de l'argent</t>
  </si>
  <si>
    <t>Vous pouvez vous retenir de consommer du sang 2X plus longtemps que la normale</t>
  </si>
  <si>
    <t>-10% à tous les test pour ttes les créatures situées dans un rayon de 6m (3 cases) de vous pdt 1d5 round</t>
  </si>
  <si>
    <t>Vous sentez le sang dans un rayon de 16 mètres, la dissimulation échoue automatiquement</t>
  </si>
  <si>
    <t>Vous pouvez lancer un Sort de votre choix du Domaine de la Mort ou du Domaine de la Nécromancie</t>
  </si>
  <si>
    <t>Si vous utilisez le Sombre Savoir (Nécromancie) vous n'en subissez jamais les désagréments</t>
  </si>
  <si>
    <t>Vous gagnez le Talent Terrifiant</t>
  </si>
  <si>
    <t>Quand vous subissez un critique, votre adversaire lance 2X les dés et ne retient que le résultat le plus faible</t>
  </si>
  <si>
    <t>Vous acquérez 6 faiblesses (voir les Maîtres de la Nuit p.106)</t>
  </si>
  <si>
    <r>
      <t>+4 au jet d'incantation pr</t>
    </r>
    <r>
      <rPr>
        <i/>
        <sz val="10"/>
        <rFont val="Arial"/>
        <family val="2"/>
      </rPr>
      <t xml:space="preserve"> animation des morts, appel de Vandel, incantation d'éveil, réanimation ou vigueur infernale</t>
    </r>
  </si>
  <si>
    <t>Vous pouvez réduire la valeur d'A d'un de vos adversaires de 1</t>
  </si>
  <si>
    <t>Invocation d'anciens</t>
  </si>
  <si>
    <t>Vous invoquez plus de M-V que la normale. Voir les Maîtres de la Nuit p.100</t>
  </si>
  <si>
    <t>Tout sorcier à moins de 24 de vous ajoute votre valeur de Mag à son incantation s'il utilise Magie Noire</t>
  </si>
  <si>
    <t>Qd vous subissez 1 Blessure, l'adversaire doit réussir un Test est Ag ou -20% en CC et CT pdt 1d5 rounds</t>
  </si>
  <si>
    <t>Quand vous infligez un critique vous lancez les dés 2X et ne gardez que le résultat qui vous intéresse</t>
  </si>
  <si>
    <t>Test votre Soc vs FM de la victime dans un rayon de 6 mètre. Si raté Domination pdt 1d10 round.</t>
  </si>
  <si>
    <t>Qd vous faite une attaque standard ou charge, vous lancez 2X les dés et gardez le résultat le plus élevé</t>
  </si>
  <si>
    <t>Si vous chargez et battez un test de CC contre votre adversaire, votre attaque ignore ses PA</t>
  </si>
  <si>
    <t>Vous gagnez le Trait Puissance Imparable</t>
  </si>
  <si>
    <t>Pour ne pas subir les dégâts des eaux courantes pdt 100m, Vous pouvez réussir un test de FM</t>
  </si>
  <si>
    <t>Pour ne pas subir la morsure du soleil pdt 1h, Vous pouvez réussir un test de FM (-10% par heure)</t>
  </si>
  <si>
    <t>Vous savez prendre une forme humaine et perdez les Talents Effrayant et Terrifiant sous cette forme</t>
  </si>
  <si>
    <t>Vous êtes immunisé contre les lieux et objets religieux y compris ceux du Chaos mais pas contre la magie</t>
  </si>
  <si>
    <t>Tte créature vivante dans un rayon de 8 m (4 cases) doit réussir un test de FM ou malus de -10% ttes caracs.</t>
  </si>
  <si>
    <t>+10%Exp. Art. rapport +20% Agi libér., pas. Étr.</t>
  </si>
  <si>
    <t>K</t>
  </si>
  <si>
    <t>Traits Provinciaux et Raciaux</t>
  </si>
  <si>
    <t>lustrien</t>
  </si>
  <si>
    <t>druhir</t>
  </si>
  <si>
    <t>hung</t>
  </si>
  <si>
    <t>malla-room-ba-lárin</t>
  </si>
  <si>
    <t>cathayan</t>
  </si>
  <si>
    <t>ebonien</t>
  </si>
  <si>
    <t>haut cathayan</t>
  </si>
  <si>
    <t>ikajo</t>
  </si>
  <si>
    <t>indhya</t>
  </si>
  <si>
    <t>khuresian</t>
  </si>
  <si>
    <t>wayar</t>
  </si>
  <si>
    <t>Apprenti rebouteux</t>
  </si>
  <si>
    <t>Dague de l'Art</t>
  </si>
  <si>
    <t>Haine raciale</t>
  </si>
  <si>
    <t>Joie d'Halétha</t>
  </si>
  <si>
    <t>Fortifier</t>
  </si>
  <si>
    <t>Serrure d'amour</t>
  </si>
  <si>
    <t>Voyage spirituel</t>
  </si>
  <si>
    <t>Oubli de Nepenthe</t>
  </si>
  <si>
    <t>Manteau de branches</t>
  </si>
  <si>
    <t>Poche de protection</t>
  </si>
  <si>
    <t>Protection selon Wyrd</t>
  </si>
  <si>
    <t>Soin selon Nostrum</t>
  </si>
  <si>
    <t>Bannissement spirituel</t>
  </si>
  <si>
    <t>4 actions complètes</t>
  </si>
  <si>
    <t>1d10ans/point de Magie</t>
  </si>
  <si>
    <t>Une pierre sphérique brulée pendant un mois dans un chaudron neuf (+2)</t>
  </si>
  <si>
    <t>Vous prononcez les terribles mots du bannissement, demandant à une créature d'outre plan de retourner à son endroit d'origine. Un esprit ou démon situé à porté de ce sort doit réussir un Test de FM ou immédiatement être banni dans l'aethyr.</t>
  </si>
  <si>
    <t>6 heures</t>
  </si>
  <si>
    <t>Une pierre ponce imbibée de miel (+2)</t>
  </si>
  <si>
    <t>1 semaine/point de Magie</t>
  </si>
  <si>
    <t>Une petite poche de cuir fabriquée avec la peau d'une chauve-souris (+2)</t>
  </si>
  <si>
    <t>Vous murmurez des mots compliquées et des herbes pourpres apparaissent au bout de vos doigts. Toute personne qui transporte ces herbes gagne un bonus de +10% en FM pour résister à la Magie et un bonus de +10% en Endurance pour résister aux maladies et poisons.</t>
  </si>
  <si>
    <t>Les cendres d'une branche de noyer brulée au zénith (+1)</t>
  </si>
  <si>
    <t>Vous chantez ce sort et les branches des taillis s'écartent devant vous. Vous pouvez maintenant voir dans le monde des esprits. Ce que vous voyez est laissé à l'appréciation du MJ mais vous pouvez espérer apercevoir: Des créatures invisibles ou éthérées, des esprits et des démons,...</t>
  </si>
  <si>
    <t>un doigt ou un orteil de la cible (+3)</t>
  </si>
  <si>
    <t>Vous prononcez de puissants mots oubliés et un liquide verdâtre se forme sur les ongles de vos mains. Si ce liquide est absorbé par la cible, celle-ci est aussi tôt guérie d'une maladie.</t>
  </si>
  <si>
    <t>Un ongle de la personne que la cible souhaite oublier (+2)</t>
  </si>
  <si>
    <t>Le cœur fraichement bouilli d'une souris (+3)</t>
  </si>
  <si>
    <t>Une boucle de cheveux de votre cible (+3)</t>
  </si>
  <si>
    <t>Un petit escargot (+1)</t>
  </si>
  <si>
    <t>un os calciné durant un mois sous un paillis d'herbes (+3)</t>
  </si>
  <si>
    <t>Une banche de peuplier polie avec de la cire d'abeille lors de Sonnstil (+2)</t>
  </si>
  <si>
    <t>Vous priez les dieux de la fertilité de bénir votre cible alors que vous lancez ce sort. Sous peu que votre cible ait un partenaire fertile et qu'elle le soit elle-même, elle est assurée de concevoir un enfant. L'effet de ce sort se termine aussi tôt qu'il est utilisé.</t>
  </si>
  <si>
    <t>Spécial (Dure jusque minuit)</t>
  </si>
  <si>
    <t>Un récipient rempli de bave fraiche de crapaud (+1)</t>
  </si>
  <si>
    <t>1 mois/point de Magie</t>
  </si>
  <si>
    <t>Une branche coupée quand Mannslieb est nouvelle (+1)</t>
  </si>
  <si>
    <t>Shades of the Empire</t>
  </si>
  <si>
    <t>Purification de liquide</t>
  </si>
  <si>
    <t>Pluie d'argent</t>
  </si>
  <si>
    <t>AVM 16</t>
  </si>
  <si>
    <t>AVM 17</t>
  </si>
  <si>
    <t>AVM 18</t>
  </si>
  <si>
    <t>AVM 19</t>
  </si>
  <si>
    <t>Armure complète de cuir du Moot</t>
  </si>
  <si>
    <t>TdR</t>
  </si>
  <si>
    <t>au domicile</t>
  </si>
  <si>
    <t>sur ma monture</t>
  </si>
  <si>
    <t>dans le transport</t>
  </si>
  <si>
    <t>Armes non utilisées</t>
  </si>
  <si>
    <t>Calcul de revenus</t>
  </si>
  <si>
    <t>Exeptionnel</t>
  </si>
  <si>
    <t>Bon</t>
  </si>
  <si>
    <t>Moyen</t>
  </si>
  <si>
    <t>Médiocre</t>
  </si>
  <si>
    <t>Qualité</t>
  </si>
  <si>
    <t>Sous/sem</t>
  </si>
  <si>
    <t>Ingénierie technomage</t>
  </si>
  <si>
    <t>Types_eq</t>
  </si>
  <si>
    <t>Groupes d'armes</t>
  </si>
  <si>
    <t>Compétences carrières</t>
  </si>
  <si>
    <t>Charisme, Commérage OU Connaissances académiques (histoire), Connaissances académiques (droit) OU Connaissances générales (empire), Dissimulation, Langue (bretonnien OU tiléen), Langue (reikspiel), Lire/Ecrire, Perception</t>
  </si>
  <si>
    <t>Connaissances académiques (magie), Focalisation, Fouille, Langage mystique (magick), Langue (classique), Lire/Ecrire, Perception, Sens de la Magie</t>
  </si>
  <si>
    <t>Commérage OU Soin des animaux, Conduite d'atelages, Evaluation, Langage secret (langage de guilde), Lire/Ecrire, Marchandage, Métier (deux au choix), Perception</t>
  </si>
  <si>
    <t>Connaissances générales (norsca), Expression artistique (conteur), Intimidation, Langue (norse), Natation, Résistance à l'alcool</t>
  </si>
  <si>
    <t>Alphabet secret (rôdeur), Braconnage ou Pistage, Déplacement silencieux, Dissimulation, Escalade, Langage secret (langage des rôdeurs), Perception</t>
  </si>
  <si>
    <t>Alphabet secret (rôdeur), Braconnage OU Déplacement silencieux, Dissimulation, Fouille OU Natation, Perception, Pistage, Survie</t>
  </si>
  <si>
    <t>Déplacement silencieux, Filature, Fouille, Intimidation, Perception, Pistage, Survie</t>
  </si>
  <si>
    <t>Escalade, Esquive, Filature, Orientation, Perception</t>
  </si>
  <si>
    <t>Esquive, Intimidation, Jeu, Langage secret (langage des voleurs), Résistance à l'alcool</t>
  </si>
  <si>
    <t>Commérage, Connaissances académiques (droit), Esquive, Fouille, Intimidation, Perception, Pistage</t>
  </si>
  <si>
    <t>Esquive, Intimidation, Perception, Soins</t>
  </si>
  <si>
    <t>Déplacement silencieux, Dissimulation, Escalade, Esquive, Fouille OU Soins, Perception, Pistage, Survie</t>
  </si>
  <si>
    <t>Commandement, Escamotage OU Soins, Esquive, Fouille, Intimidation, Perception, Résistance à l'alcool</t>
  </si>
  <si>
    <t>Esquive, Intimidation</t>
  </si>
  <si>
    <t>Canotage, Connaissances générales (Bretonnie, Norsca, Pays Perdu ou Tilée), Escalade, Esquive, Langue (bretonnien, norse ou tiléen), Natation, Navigation, Perception OU Résistance à l'alcool</t>
  </si>
  <si>
    <t>Commérage OU Jeu, Conduite d'attelages OU Natation, Esquive, Fouille, Métier (un au choix), Perception, Soins de animaux, Survie</t>
  </si>
  <si>
    <t>Braconnage OU Canotage, Charisme OU Soins des animaux, Conduite d'attelages OU Métier (fabricant d'arcs), Déplacement silencieux OU Escalade, Dissimulation, Dressage OU Natation, Emprise sur les animaux ou Métier (cuisinier), Expression artistique (chanteur ou danseur) OU Jeu, Métier (fermier) OU Survie</t>
  </si>
  <si>
    <t>Alphabet secret (voleur) OU Connaissances générales (Empire), Crochetage OU Déplacement silencieux, Dissimulation OU Survie, Escalade, Evaluation, Fouille, Langue (classique, khazalid ou eltarin), Lire/Ecrire, Perception</t>
  </si>
  <si>
    <t>Alphabet secret (pisteur), Esquive, Natation, Oreintation, Perception, Survie</t>
  </si>
  <si>
    <t>Charisme, Commandement OU Orientation, Commérage OU Soins des animaux, Conaissances académiques (droit), Connaissances générales (Empire) OU Intimidation, Equitation, Lire/Ecrire, Perception</t>
  </si>
  <si>
    <t xml:space="preserve">Commérage ou Connaissances générales (Empire), Connaissances académiques (une au choix), Langage secret (langage de guilde), Langue (bretonnien), langue (classique), langue (reikspiel ou tiléen), Lire/Ecrire, Métier (calligraphe), Perception </t>
  </si>
  <si>
    <t>Conaissances académiques (nécromancie) OU Connaissances générales (Empire), Déplacement silencieux, Dissimulation, Fouille, Perception, Pistage, Survie</t>
  </si>
  <si>
    <t>Baratin, Commérage, Conduite d'attelages OU Fouille, Escamotage OU Lire/Ecrire, Esquive, Evaluation ou Marchandage, Métier (cuisinier) OU Soins des animaux, Perception</t>
  </si>
  <si>
    <t>Commérage OU Jeu, Conduite d'attelages OU Equitation, Connaissances générales (Empire) OU Perception, Esquive, Intimidation, Soins ou Soins des animaux</t>
  </si>
  <si>
    <t>Charisme OU Intimidation, Emprise sur les animaux OU Métier (apothicaire), Focalisation, Fouille, Hypnotisme OU Soins, Marchandage OU Soins des animaux, Perception, Sens de la magie</t>
  </si>
  <si>
    <t>Commérage OU Marchandage, Equitation, Esquive, Intimidation</t>
  </si>
  <si>
    <t>Esquive, Intimidation, Résistance à l'alcool</t>
  </si>
  <si>
    <t>Alphabet secret (rôdeur ou voleur) OU Expression artistique (chanteur, conteur ou danseur), Commérage Ou Langage secret (langage des rôdeurs ou langage des voleurs), Conaissances générales (Bretonnie, Estalie, Kislev ou Tilée), Déplacement silencieux, Marchandage OU Natation, Orientation, Perception OU Soins, Survie</t>
  </si>
  <si>
    <t>Baratin, Commérage OU Langue (bretonnien ou reikspliel), Connaissances académiques (généalogie/héraldique), Evaluation, Fouille, Lire/Ecrire, Marchandage, Perception</t>
  </si>
  <si>
    <t>Alphabet secret (voleur) OU Langage secret (langage des voleurs), Charisme OU Escalade, Crochetage OU Jeu, Déguisement OU Evaluation, Déplacement silencieux, Dissimulation, Escamotage OU Lire/Ecrire, Fouille, Perception</t>
  </si>
  <si>
    <t>Alphabet secret (voleur), Commérage, Déguisement, Déplacement silencieux, Dissimulation, Escalade, Filature, Perception, Préparation de poisons</t>
  </si>
  <si>
    <t>Charisme, Intimidation, Perception, Soins, Torture</t>
  </si>
  <si>
    <t>Commandement, Connaissances académiques (stratégie/tactique), Connaissances générales (trois au choix), Métier (cartographe ou charpentier naval), Natation, Navigation, Perception</t>
  </si>
  <si>
    <t>Esquive, Perception</t>
  </si>
  <si>
    <t>Connaissances académiques (histoire ou nécromancie), Connaissances générales (Empire), Déplacement silencieux, Dissimulation, Escalade, Esquive, Filature, Fouille, Langue (classique), Perception, Pistage</t>
  </si>
  <si>
    <t>Baratin, Charisme, Commandement, Commérage, Connaissances académiques (droit), Connaissances académiques (histoire), Connaissances générales (Empire), Déguisement, Dissimulation, Esquive, Intimidation, Langue (reikspiel), Perception</t>
  </si>
  <si>
    <t>Charisme, Commérage, Escamotage, Esquive, Intimidation</t>
  </si>
  <si>
    <t>Charisme, Connaissances académiques (théologie), Intimidation, Langue (classique), Soins</t>
  </si>
  <si>
    <t>Commérage, Connaissances générales (Empire), Escamotage, Fouille, Perception, Survie</t>
  </si>
  <si>
    <t>Alphabet secret (pisteur), Connaissances générales (deux au choix), Déplacement silencieux, Dissimulation, Emprise sur les animaux, Equitation, Esquive, Langage secret (langage des rôdeurs), Langue (deux au choix), Orientation, Perecption, Pistage, Soins des animaux</t>
  </si>
  <si>
    <t>Bratin, Charisme, Commérage, Connaissance générales (une au choix), Expression artistique (conteur), Expression artistique (acteur), Langue (une au choix), Lire/Ecrire</t>
  </si>
  <si>
    <t>Astrologue</t>
  </si>
  <si>
    <t>Intimidation, Jeu ou Perception, Résistance à l'alcool, Soins ou Fouille</t>
  </si>
  <si>
    <t>Charisme OU Intimidation, Commandement OU Expression artistique (acteur), Commérage, Connaissances académiques (une au choix) OU Baratin, Connaissances générales (Empire), Langue (reikspiel), Perception</t>
  </si>
  <si>
    <t>Charisme, Commérage, Connaissances académiques (deux au choix), Conniassances académiques (théologie), Connaissances générales (deux au choix), Langage mystique (magick), Langue (classique), Langue (deux au choix), Lire/Ecrire, Perception, Soins, Soins des animaux</t>
  </si>
  <si>
    <t>Charisme, Commérage, Connaissances académiques (deux au choix), Conniassances académiques (théologie), Connaissances générales (deux au choix), Focalisation, Langage mystique (magick), Langue (classique), Langue (deux au choix), Lire/Ecrire, Perception, Sens de la magie, Soins, Soins des animaux</t>
  </si>
  <si>
    <t>Alphabet secret (pisteur), Commérage OU Evaluation, Equitation, Esquive, Perception, Soins des animaux</t>
  </si>
  <si>
    <t>Baratin, Charisme, Commandement, Commérage, Connaissances académiques (généalogie/héraldique ou histoire), Connaissances générales (Empire), Evaluation, Expression artistique (acteur), Langue (reikspiel), Lire/Ecrire, Marchandage, Perception</t>
  </si>
  <si>
    <t>Charisme, Commérage, Connaisances académiques (une au choix), Connaissances académiques (théologie), Connaissances générales (deux au choix), Equitation OU Natation, Focalisation, Langage mystique (magick), Langue (deux au choix), Lire/Ecrire, Perception, Sens de la magie, Soins</t>
  </si>
  <si>
    <t>Charisme, Commérage, Connaisances académiques (trois au choix), Connaissances académiques (théologie), Connaissances générales (deux au choix), Equitation OU Natation, Langage mystique (magick), Langue (deux au choix), Lire/Ecrire, Perception,  Soins</t>
  </si>
  <si>
    <t>Charisme, Commérage, Connaisances académiques (deux au choix), Connaissances académiques (théologie), Connaissances générales (deux au choix), Equitation OU Natation, Focalisation, Langage mystique (magick), Langue (deux au choix), Sens de la magie, Soins</t>
  </si>
  <si>
    <t>Charisme, Commérage, Connaisances académiques (quatre au choix), Connaissances académiques (théologie), Connaissances générales (deux au choix), Equitation OU Natation, Langage mystique (magick), Langue (deux au choix), Perception, Soins</t>
  </si>
  <si>
    <t>Commérage, Connaissances générales (une au choix), Esquive, Fouille, Intimidation, Perception</t>
  </si>
  <si>
    <t>Connaissances académiques (stratégie/tactique), Connaissances académiques (théologie), Connaissances générales (deux au choix), Equitation, Esquive, Focalisation, Langage mystique (magick), Langage secret (langage de bataille), Langue (une au choix), Sens de la magie, Soins</t>
  </si>
  <si>
    <t>arabien</t>
  </si>
  <si>
    <t>Charisme, Connaissances académiques (théologie), Intimidation, Soins</t>
  </si>
  <si>
    <t>Baratin, Commérage, Connaissances académiques (théologie), Intimidation, Soins, Torture</t>
  </si>
  <si>
    <t>Commérage OU Orientation, Connaissances académiques (théologie) OU Résistance à l'alcool, Connaissances générales (une au choix), Expression artistique (conteur), Langue (une au choix), Marchandage, Perception, Soins des animaux, Survie</t>
  </si>
  <si>
    <t>Charisme, Commandement, Commérage, Connaissances générales (Principautés frontalières), Déguisement, Dissimulation, Filature, Fouille, Intimidation, Perception, Pistage, Torture</t>
  </si>
  <si>
    <t>Déplacement silencieux, Dissimulation, Fouille, Natation, Orientation, Perception, Pistage, Survie</t>
  </si>
  <si>
    <t>Déplacement silencieux, Dissimulation, Escalade, Fouille, Orientation, Perception, Pistage, Survie</t>
  </si>
  <si>
    <t>Déplacement silencieux, Dissimulation, Escalade, Perception, Survie</t>
  </si>
  <si>
    <t>Baratin, Connaissances académiques (théologie), Connaissances générales (Principautés frontalières), Perception, Soins, Torture</t>
  </si>
  <si>
    <t>Baratin, Charisme, Commandement, Connaissances académiques (théologie), Intimidation, Langue (une au choix), Torture</t>
  </si>
  <si>
    <t>Alphabet secret (pisteur), Braconnage, Connaissances générales (Principautés frontalières), Déplacement silencieux, Dissimulation, Escalade, Esquive, Langage secret (langage des rôdeurs), Natation, Oreintation, Perception, Pistage, Survie</t>
  </si>
  <si>
    <t>Baratin, Charisme, Commandement, Commérage, Connaissances générales (Principautés frontalières), Dissimulation, Esquive, Fouille, Intimidation, Langue (une au choix), Perception, Préparation de poisons</t>
  </si>
  <si>
    <t>Commérage, Escalade OU Esquive, Expression artistique (chanteur), Fouille OU Perception, Jeu OU Résistance à l'alcool, Langage secret (langage de guilde), Natation</t>
  </si>
  <si>
    <t>Charisme OU Résistance à l'alcool, Commandement, Commérage OU Jeu, Connaissances générales (Empire ou Kislev ou Pays Perdu), Expression artistique (chanteur), Langage secret (langage de guilde), Marchandage, Perception</t>
  </si>
  <si>
    <t>Commandement, Conduite d'attelages, Connaissances académiques (ingénierie), Connaissances académiques (science), Langage secret (langage de bataille), Métier (arquebusier), Perception</t>
  </si>
  <si>
    <t>Déplacement silencieux, Escalade, Esquive, Fouille, Orientation, Perception</t>
  </si>
  <si>
    <t>Alphabet secret (pisteur) OU Pistage, Déplacement silencieux, Dissimulation, Escalade, Esquive, Fouille OU Natation, Perception</t>
  </si>
  <si>
    <t>Commérage, Conduite d’attelages OU Résistance à l’alcool, Connaissances générales (Empire), Escalade, Marchandage, Perception, Survie</t>
  </si>
  <si>
    <t>Baratin OU Escamotage, Charisme, Commérage, Connaissances générales (Empire), Expression artistique (conteur), Lire/Écrire, Marchandage, Perception</t>
  </si>
  <si>
    <t>Commérage, Connaissances générales (Empire), Déplacement silencieux, Escalade, Fouille, Marchandage, Perception, Résistance à l’alcool</t>
  </si>
  <si>
    <t>Conduite d’attelages, Connaissances générales (Empire), Fouille, Marchandage, Perception, Résistance à l’alcool, Soins des animaux</t>
  </si>
  <si>
    <t>Connaissances académiques (droit), Connaissances académiques (ingénierie), Lire/écrire, Marchandage, Métier (cartographe), Orientation, Perception, Survie.</t>
  </si>
  <si>
    <t>Alphabet secret (voleur),Commérage OU Marchandage, Conduite d'attelages, Déplacement silencieux, Escalade, Fouille, Perception</t>
  </si>
  <si>
    <t xml:space="preserve">compétences de votre carrière actuelle: </t>
  </si>
  <si>
    <t>Dotations de carrière actuelle</t>
  </si>
  <si>
    <t>Bol (en bois)</t>
  </si>
  <si>
    <t>Alphabet secret (voleur), Charisme, Commérage, Crochetage, Déguisement, Déplacement silencieux, Dissimulation, Escalade, Escamotage, Esquive, Evaluation, Fouille, Jeu Ou Lecture sur les lèvres, Langege secret (langage des voleurs), Lire/Ecrire, Natation, Perception</t>
  </si>
  <si>
    <t>Commandement, Commérage, Connaissances générales (Empire), Esquive, Evaluation, Filature, Intimidatio, Marchandage, Perception</t>
  </si>
  <si>
    <t>Commérage, Escamotage, Evaluation, Intimidation, Jeu, Marchange, Perception</t>
  </si>
  <si>
    <t>Charisme, Commandement, Commérage, Connaissances académiques (magie), Connaissances académiques (nécromancie), Connaissances académiques (théologie), Connaissances générales (Empire), Déplacement silencieux, Equitation, Fouille, Intimidation, Langue (une au choix), Perception</t>
  </si>
  <si>
    <t>Alphabet secret (pisteur), Braconnage, Déplacement silencieux, Dissimulation, Esquive, Filature, Intimidation, Langage secret (langage des rôdeurs), Lecture sur les lèvres, Orientation, Perception, Pistage, Survie</t>
  </si>
  <si>
    <t>Commandement, Commérage, Connaissances académiques (stratégie/tactique), Connaissances générales (deux au choix), Equitation OU Natation, Esquive, Intimidation, Langage secret (langage de bataille), Langue (tiléen), Perception</t>
  </si>
  <si>
    <t>Connaissances générales (deux au choix), Escalade, Esquive, Intimidation, Résistance à l'alcool</t>
  </si>
  <si>
    <t>Connaissances générales (deux au choix), Esquive, Intimidation, Perception, Résistance à l'alcool</t>
  </si>
  <si>
    <t>Commérage, Connaissances générales (Empire), Esquive, Intimidation, Jeu, Langage secret (langage de bataille), Perception, Résistance à l'alcool</t>
  </si>
  <si>
    <t>Baratin OU Charisme, Commandement, Commérage, Connaissances académiques (généalogie/héraldique OU histoire), Connaissances générales (deux au choix), Équitation , Expression artistique (acteur), Langue (trois au choix), Lire/écrire, Marchandage, Perception</t>
  </si>
  <si>
    <t>Connaissances académiques (magie) OU Intimidation, Connaissances générales (Kislev), Focalisation, Langage mystique (magick), Langue (kislevarin), Orientation OU Perception, Sens de la magie, Survie</t>
  </si>
  <si>
    <t>Commandement OU Orientation, Connaissances académiques (stratégie/tactique), Connaissances générales (Kislev ou Pays des Trolls), Équitation, Esquive, Langue (kislevarin ou ungol), Perception, Résistance à l’alcool, Survie</t>
  </si>
  <si>
    <t>ungol</t>
  </si>
  <si>
    <t>Pays des Trolls</t>
  </si>
  <si>
    <t>Charisme, Conduite d’attelages, Dressage, Emprise sur les animaux, Équitation, Esquive OU Résistance à l’alcool, Perception, Soins des animaux</t>
  </si>
  <si>
    <t>Esprits</t>
  </si>
  <si>
    <t>Alphabet secret (pisteur) OU Orientation, Connaissances générales (Pays des Trolls), Dissimulation OU Soins, Dressage OU Métier (cuisinier), Emprise sur les animaux OU Résistance à l’alcool, Équitation, Expression artistique (danseur) OU Perception, Métier (fabricant d’arcs) OU Pistage, Soins des animaux, Survie</t>
  </si>
  <si>
    <t>Commandement OU Intimidation, Connaissances académiques (magie) , Connaissances académiques (une au choix), Connaissances générales (Kislev), Connaissances générales (une au choix), Équitation OU Survie, Focalisation, Langage mystique (magick), Langue (kislevin), Langue (deux au choix), Lire/écrire, Perception, Sens de la magie</t>
  </si>
  <si>
    <t>Commandement, Connaissances académiques (esprits ou histoire), Connaissances générales (Kislev ou Pays des Trolls), Intimidation, Langage mystique (magick), Langue (ungol), Métier (apothicaire ou herboriste) OU Préparation de poisons, Perception OU Résistance à l’alcool, Sens de la magie, Soins</t>
  </si>
  <si>
    <t>Commandement, Connaissances académiques (droit) OU Intimidation, Connaissances générales (Kislev), Équitation, Esquive OU Filature, Fouille, Perception, Pistage</t>
  </si>
  <si>
    <t>kiselvarin</t>
  </si>
  <si>
    <t>Alphabet secret (astrologue), Charisme, Commérage, Connaissances académiques (astronomie), Connaissances académiques (science), Connaissances générales (Empire), Connaissances générales (Bretonnie, Kislev, Estalie ou Tilée), Expression artistique (conteur), Langue (classique), Langue (bretonnien, kiselvarin, estalien ou tiléen), Lire/Ecrire, Orientation, Perception</t>
  </si>
  <si>
    <t>Charisme OU Intimidation, Commandement, Commérage OU Survie, Connaissances académiques (droit ou histoire), Connaissances académiques (stratégie/tactique ou théologie), Connaissances générales (Kislev ou Pays des Trolls), Équitation, Langue (kiselvarin, Marchandage, Perception</t>
  </si>
  <si>
    <t>Commandement OU Orientation, Connaissances académiques (stratégie/tactique) , Connaissances générales (Kislev ou Pays des Trolls), Équitation, Esquive OU Soins des animaux, Langage secret (langage de bataille), Langue (kiselvarin), Perception, Résistance à l’alcool, Survie</t>
  </si>
  <si>
    <t>Connaissances générales (Kislev ou Pays des Trolls), Dressage OU Emprise sur les animaux, Équitation, Langue (kiselvarin ou ungol), Orientation, Perception, Pistage, Soins des animaux, Survie</t>
  </si>
  <si>
    <t>Commérage OU Résistance à l’alcool, Dressage, Emprise sur les animaux, Expression artistique (une au choix) OU Perception, Langue (kiselvarin), Soins des animaux</t>
  </si>
  <si>
    <t>Charisme OU Résistance à l’alcool, Commérage, Emprise sur les animaux, Équitation, Évaluation, Langue (kiselvarin), Marchandage, Perception, Soins des animaux</t>
  </si>
  <si>
    <t>Connaissances académiques (théologie), Connaissances générales (deux au choix), Langue (bretonnien, estalien, kiselvarin ou tiléen), Langue (classique), Langue (reikspiel), Perception, Soins, Soins des animaux, Survie</t>
  </si>
  <si>
    <t>Alphabet secret (rôdeur) OU Langue (kiselvarin), Canotage, Connaissances générales (Empire ou Kislev), Esquive Ou Résistance à l'alcool, Fouille OU Perception, Jeu OU Orientation, Natation, Navigation OU Survie</t>
  </si>
  <si>
    <t>Canotage, Commandement, Commérage, Connaissances générales (deux au choix), Esquive, Intimidation, Jeu, Langue (bretonnien, kiselvarin ou norse), Métier (charpentier naval), Natation, Navigation, Résistance à l'alcool</t>
  </si>
  <si>
    <t>Alphabet secret (pisteur), Canotage, Commérage ou Langue (kiselvarin), Connaissances générales (Empire ou Kislev), Fouille, Natation, Navigation OU Survie, Orientation, Perception</t>
  </si>
  <si>
    <t>Commérage OU Jeu, Connaissances académiques (Kislev) OU Perception, Esquive, Langue (kiselvarin), Résistance à l’alcool</t>
  </si>
  <si>
    <t>Connaissances générales (une au choix), Esquive, Intimidation, Langage secret (langage de bataille)</t>
  </si>
  <si>
    <t>Commandement, Esquive, Intimidation</t>
  </si>
  <si>
    <t>Khorne Magus</t>
  </si>
  <si>
    <t>Nurgle Magus</t>
  </si>
  <si>
    <t>Slaanesh Magus</t>
  </si>
  <si>
    <t>Tzeentch Magus</t>
  </si>
  <si>
    <t>Commandement, Connaissances académiques (démonologie), Connaissances académiques (une au choix), Connaissances générales (deux au choix), Focalisation, Intimidation, Langage mystique (deux au choix), Lire/écrire, Perception, Préparation de poisons, Sens de la magie</t>
  </si>
  <si>
    <t>Charisme, Commérage, Connaissances académiques (démonologie), Connaissances académiques (deux au choix), Déguisement, Évaluation, Expression artistique (deux au choix), Focalisation, Intimidation, Langage mystique (deux au choix), Langue (trois au choix), Lire/écrire, Résistance à l’alcool, Sens de la magie</t>
  </si>
  <si>
    <t>Baratin, Charisme, Commandement, Commérage, Connaissances académiques (trois au choix), Connaissances générales (quatre au choix), Déguisement, Évaluation, Focalisation, Intimidation, Langage mystique (deux au choix), Langue (trois au choix), Lire/écrire, Perception, Sens de la magie</t>
  </si>
  <si>
    <t>Connaissances académiques (stratégie/tactique), Équitation, Esquive, Langue (deux au choix), Sens de la magie, Torture</t>
  </si>
  <si>
    <t>Connaissances académiques (trois au choix), Connaissances générales (deux au choix), Focalisation, Intimidation, Langage mystique (deux au choix), Langue (trois au choix), Lire/écrire, Sens de la magie</t>
  </si>
  <si>
    <t>Canotage, Natation, Navigation, Orientation, Perception, Résistance à l’alcool</t>
  </si>
  <si>
    <t>Commandement, Esquive, Intimidation, Perception, Résistance à l’alcool</t>
  </si>
  <si>
    <t>Conduite d’attelages, Connaissances générales (Bretonnie, Empire ou Tilée), Équitation, Évaluation, Intimidation, Langue (trois au choix), Marchandage, Pistage, Torture</t>
  </si>
  <si>
    <t>Commérage, Intimidation, Jeu, Résistance à l’alcool</t>
  </si>
  <si>
    <t>Équitation OU Navigation, Fouille, Orientation, Perception, Pistage, Résistance à l’alcool, Soins des animaux</t>
  </si>
  <si>
    <t>Commandement, Commérage, Conduite d’attelages, Connaissances générales (Norsca), Évaluation, Langue (une au choix), Marchandage, Métier (un au choix), Soins des animaux</t>
  </si>
  <si>
    <t>Canotage, Connaissances générales (Bretonnie, Empire, Lustrie, Norsca, Pays Perdu, Terres du Sud ou Tilée), Escalade, Esquive, Langue (bretonnien, estalien, reikspiel ou tiléen), Natation, Navigation, Résistance à l’alcool</t>
  </si>
  <si>
    <t>Terres du Sud</t>
  </si>
  <si>
    <t>Baratin, Charisme, Commérage, Connaissances académiques (histoire), Connaissances générales (Norsca, Désolations du Chaos), Expression artistique (deux au choix), Langue (norse), Langue (deux aux choix) OU Ventriloquie, Perception</t>
  </si>
  <si>
    <t>Charisme, Commérage, Connaissances générales (Bretonnie), Évaluation, Intimidation, Marchandage, Perception, Torture</t>
  </si>
  <si>
    <t>Alphabet secret (pisteur), Braconnage, Déplacement silencieux, Dissimulation, Escalade, Esquive, Perception, Soins des animaux</t>
  </si>
  <si>
    <t>Charisme, Commandement, Connaissances académiques (généalogie/héraldique), Connaissances académiques (religion), Connaissances académiques (stratégie/tactique), Connaissances générales (deux au choix), Équitation, Esquive, Langage secret (langage de bataille), Langue (deux au choix), Perception, Survie</t>
  </si>
  <si>
    <t>Charisme, Commandement, Connaissances académiques (généalogie/héraldique), Connaissances académiques (religion), Connaissances académiques (stratégie/tactique), Connaissances générales (Bretonnie), Équitation, Esquive, Langage secret (langage de bataille), Perception</t>
  </si>
  <si>
    <t>Commandement, Connaissances académiques (généalogie/héraldique ou religion), Connaissances académiques (stratégie/tactique), Équitation, Esquive, Langage secret (langage de bataille), Langue (deux au choix), Perception</t>
  </si>
  <si>
    <t>Connaissances académiques (généalogie/héraldique), Connaissances générales (une au choix), Dressage, Équitation, Esquive, Langue (une au choix), Soins des animaux, Survie</t>
  </si>
  <si>
    <t>Alphabet secret (rôdeur) OU Commérage, Charisme OU Soins des animaux, Déplacement silencieux, Dissimulation, Escalade, Esquive, Perception, Survie</t>
  </si>
  <si>
    <t>Commérage, Esquive, Intimidation, Jeu, Résistance à l’alcool, Perception</t>
  </si>
  <si>
    <t>Commérage, Connaissances académiques (ingénierie), Connaissances académiques (stratégie/tactique), Connaissances générales (Bretonnie), Évaluation, Marchandage, Métier (charpentier), Métier (maçon), Perception</t>
  </si>
  <si>
    <t>Charisme, Commérage, Connaissances générales (Bretonnie), Évaluation, Intimidation, Marchandage, Perception, Soins des animaux</t>
  </si>
  <si>
    <t>Charisme, Commandement, Connaissances générales (Bretonnie), Esquive, Intimidation, Marchandage, Perception, Survie</t>
  </si>
  <si>
    <t>Charisme, Connaissances générales (Bretonnie), Esquive, Intimidation, Perception, Survie</t>
  </si>
  <si>
    <t>Alphabet secret (pisteur ou rôdeur), Charisme, Commandement, Commérage, Connaissances académiques (stratégie/tactique), Connaissances générales (Bretonnie), Déplacement silencieux, Dissimulation, Escalade, Langage secret (langage de bataille), Perception, Pistage, Survie</t>
  </si>
  <si>
    <t>Commérage, Connaissances générales (Bretonnie), Déplacement silencieux, Dissimulation, Équitation, Esquive, Intimidation, Jeu, Langage secret (langage de bataille), Perception, Résistance à l’alcool, Soins des animaux, Survie</t>
  </si>
  <si>
    <t>Charisme, Commérage, Connaissances académiques (nécromancie), Connaissances académiques (théologie), Connaissances académiques (une au choix), Connaissances générales (Empire), Connaissances générales (Tilée), Déguisement, Déplacement silencieux, Dissimulation, Filature, Fouille, Intimidation, Langue (deux au choix), Lire/Ecrire, Perception, Pistage, Soins</t>
  </si>
  <si>
    <t>Connaissances académiques (nécromancie), Déplacement silencieux, Dissimulation, Filature, Intimidation, Pistage, Survie, Torture</t>
  </si>
  <si>
    <t>Charisme, Commérage, Connaissances académiques (esprits), Connaissances générales (une au choix), Equitation, Expression artistique (chanteur), Expression artistique (danseur), Focalisation, Langue (une au choix), Perception, Sens de la magie, Soins</t>
  </si>
  <si>
    <t>Commandement, Esquive, Intimidation, Perception</t>
  </si>
  <si>
    <t>Commandement, Déplacement silencieux, Dissimulation, Esquive, Évaluation, Filature, Intimidation, Perception, Pistage, Survie</t>
  </si>
  <si>
    <t>Conduite d’attelages, Connaissances académiques (ingénierie), Connaissances académiques (magie), Connaissances générales (deux au choix), Langue (deux au choix), Lire/écrire, Métier (arquebusier), Perception</t>
  </si>
  <si>
    <t>Alphabet secret (rôdeur), Braconnage OU Pistage, Déplacement silencieux, Dissimulation, Escalade, Langage secret (langage des rôdeurs), Perception</t>
  </si>
  <si>
    <t>Alphabet secret (un au choix), Charisme, Commandement, Commérage, Connaissances académiques (quatre au choix), Connaissances générales (quatre au choix), Déplacement silencieux, Dissimulation, Equitation, Escalade, Escamotage, Evaluation, Filature, Fouille, Intimidation, Langage secret (au choix), Langue (quatre au choix), Orientation, Perception, Pistage, Préparation de poisons</t>
  </si>
  <si>
    <t>Alphabet secret (rôdeur) ou Langage secret (langage des rôdeurs), Commandement ou Intimidation, Connaissances académiques (stratégie/tactique), Emprise sur les animaux, Équitation, Escalade ou Survie, Esquive, Fouille, Perception, Pistage</t>
  </si>
  <si>
    <t>Alphabet secret (deux au choix), Charisme, Commérage, Connaissances générales (trois au choix), Déguisement, Déplacement silencieux, Dissimulation, Fouille, Langage secret (deux au choix), Langue (quatre au choix), Lire/écrire, Métier (un au choix), Perception</t>
  </si>
  <si>
    <t>Commandement, Connaissances académiques (généalogie/héraldique), Connaissances académiques (stratégie/ tactique), Connaissances générales (Empire), Dressage, Équitation, Esquive, Langage secret (langage de bataille), Langue (deux au choix), Perception</t>
  </si>
  <si>
    <t>Charisme OU Esquive, Commandement, Connaissances académiques (une au choix), Connaissances académiques (stratégie/tactique),  Connaissances générales (trois au choix), Intimidation, Langue (trois au choix), Lire/Ecrire, Natation, Navigation, Perception</t>
  </si>
  <si>
    <t>Focalisation OU Soins des animaux, Commérage OU Résistance à l'alcool, Emprise sur les animaux OU Dissimulation, Marchandage OU Survie, Soins, Sens de la magie OU Préparation de poisons, Perception, Lire/Ecrire OU Langage mystique (magick), Braconnage OU Déplacement silencieux, Métier (apothicaire ou herboriste)</t>
  </si>
  <si>
    <t>Focalisation OU Soins des animaux, Emprise sur les animaux OU Dissimulation, Commandement, Evaluation OU Navigation, Pistage OU Résistance à l'alcool,  Commérage OU Intimidation, Marchandage OU Survie, Perception, Soins, Sens de la magie OU Préparation de poisons, Lire/Ecrire OU Langage mystique (magick), Braconnage OU Déplacement silencieux, Métier (apothicaire ou herboriste)</t>
  </si>
  <si>
    <t>Connaissances académiques (deux au choix), Focalisation OU Soins des animaux, Emprise sur les animaux OU Dissimulation, Commandement, Connaissances générales (Empire), Evaluation, Pistage OU Résistance à l'alcool,  Commérage, Marchandage OU Survie, Perception, Soins, Sens de la magie OU Préparation de poisons, Navigation, Lire/Ecrire OU Langage mystique (magick), Braconnage OU Déplacement silencieux, Métier (apothicaire ou herboriste)</t>
  </si>
  <si>
    <t>Géographie</t>
  </si>
  <si>
    <t>Dissimulation, Escamotage, Esquive, Langage secret (langage des rôdeurs ou langage des voleurs)</t>
  </si>
  <si>
    <t>Baratin, Charisme, Commérage, Connaissances académiques (droit), Évaluation, Lire/écrire, Marchandage</t>
  </si>
  <si>
    <t>Baratin, Charisme, Connaissances académiques (deux au choix), Connaissances académiques (théologie), Connaissances générales (deux au choix), Commérage, Equitation OU Natation, Expression artistique (conteur), Intimidation, Langage secret (langage de guilde), Langue (deux au choix), Langage mystique (magick), Perception, Soins</t>
  </si>
  <si>
    <t>Charisme, Connaissances académiques (deux au choix), Connaissances académiques (théologie), Connaissances générales (deux au choix), Commérage, Equitation OU Natation, Marchandage, Sens de la magie, Soins, Langue (deux au choix), Langage mystique (magick), Lire/Ecrire, Perception, Soins</t>
  </si>
  <si>
    <t>Charisme, Commérage, Connaissances générales (deux au choix), Escamotage,Esquive, Evaluation, Fouille, Jeu, Lecture sur les lèvres, Natation, Perception, Résistance à l'alcool</t>
  </si>
  <si>
    <t>Connaissances académiques (runes), Création de runes, Evaluation, Langage mystique (nain mystique), Lire/Ecrire, Métier (fabricant d'armes ou fabricant d'armures), Métier (forgeron), Perception</t>
  </si>
  <si>
    <t>Charisme, Commandement, Commérage, Connaissances académiques (quatre au choix), Connaissances générales (trois au choix), Création de runes, Esquive, Evaluation, Intimidation, Langage mystique (nain mystique), Langue (trois au choix), Lire/Ecrire, Métier (deux au choix), Perception</t>
  </si>
  <si>
    <t>Charisme, Commérage, Connaissances académiques (démonologie ou nécromancie), Connaissances générales (trois au choix), Déguisement, Dissimulation, Equitation OU Natation, Focalisation, Fouille, Hypnotisme OU Lire/Ecrire, Marchandage, Métier (apothicaire ou herboriste), Perception, Sens de la magie, Soins</t>
  </si>
  <si>
    <t>Braconnage, Dissimulation, Fouille, Natation, Perception, Survie</t>
  </si>
  <si>
    <t>Connaissances académiques (magie), Connaissances générales (skavens), Focalisation, Fouille, Langage mystique (magick), Langue (une au choix), Lire/écrire, Perception, Sens de la magie</t>
  </si>
  <si>
    <t>Commandement, Connaissances générales (skavens), Déplacement silencieux, Dissimulation, Dressage, Escalade, Perception, Survie</t>
  </si>
  <si>
    <t>Connaissances générales (skavens), Déplacement silencieux, Dissimulation, Escalade, Esquive, Orientation, Perception, Survie</t>
  </si>
  <si>
    <t>Connaissances académiques (théologie), Connaissances générales (skavens), Déplacement silencieux, Dissimulation, Escalade, Esquive, Survie</t>
  </si>
  <si>
    <t>Connaissances académiques (ingénierie), Connaissances générales (skavens), Déplacement silencieux, Dissimulation, Escalade, Survie</t>
  </si>
  <si>
    <t>Baratin, Charisme, Commandement, Commérage, Connaissances académiques (histoire ou stratégie/tactique), Connaissances générales (trois au choix), Escalade, Esquive, Évaluation, Intimidation, Langue (trois au choix), Lire/écrire, Perception, Survie</t>
  </si>
  <si>
    <t>Connaissances académiques (théologie), Connaissances académiques (une au choix), Connaissances générales (deux au choix), Focalisation, Langage mystique (magick), Lire/écrire, Natation, Perception, Sens de la magie</t>
  </si>
  <si>
    <t>Esquive, Intimidation, Perception, Survie</t>
  </si>
  <si>
    <t>Commandement, Connaissances académiques (stratégie/tactique), Connaissances générales (deux au choix), Déplacement silencieux, Dissimulation, Escalade, Esquive, Intimidation, Langue (une au choix), Natation, Perception, Survie</t>
  </si>
  <si>
    <t>Braconnage, Connaissances générales (Cathay), Crochetage, Déguisement, Déplacement silencieux, Dissimulation, Escalade, Escamotage, Esquive, Évaluation, Filature, Fouille, Lecture sur les lèvres, Lire/écrire, Natation, Perception, Préparation de poisons</t>
  </si>
  <si>
    <t>Commandement, Connaissances académiques (science), Connaissances académiques (une au choix), Connaissances générales (deux au choix), Dressage, Évaluation, Fouille, Intimidation, Métier (un au choix), Perception, Soins, Soins des animaux, Torture</t>
  </si>
  <si>
    <t>Braconnage, Commandement, Connaissances académiques
(trois au choix), Connaissances générales (trois au choix),
Déplacement silencieux, Dissimulation, Dressage, Emprise sur les animaux, Esquive, Évaluation, Filature, Fouille, Intimidation, Marchandage, Métier (deux au choix), Natation, Orientation, Perception, Pistage, Préparation de poisons, Soins des animaux, Survie, Torture</t>
  </si>
  <si>
    <t>Connaissances académiques (théologie), Connaissances académiques (une au choix), Connaissances générales (deux au choix), Focalisation, Langue (deux au choix), Métier (brasseur), Natation, Perception, Sens de la magie, Soins</t>
  </si>
  <si>
    <t>Commandement, Connaissances académiques (trois au choix), Connaissances générales (trois au choix), Focalisation, Intimidation, Langage mystique (trois au choix), Langue (quatre au choix), Lire/écrire, Sens de la magie</t>
  </si>
  <si>
    <t>Connaissances académiques (magie), Connaissances académiques (une au choix), Connaissances générales (deux au choix), Focalisation, Intimidation, Langage mystique (magick), Langue (deux au choix), Lire/écrire, Sens de la magie</t>
  </si>
  <si>
    <t>Conduite d’attelages ou Équitation, Connaissances académiques (ingénierie), Connaissances académiques (science), Connaissances générales (une au choix), Langue (deux au choix), Lire/écrire, Métier (arquebusier), Métier (forgeron), Perception</t>
  </si>
  <si>
    <t>Commandement OU Évaluation, Esquive, Fouille, Intimidation, Perception</t>
  </si>
  <si>
    <t>Laisse/allonge</t>
  </si>
  <si>
    <t>Robe/Chasuble noble</t>
  </si>
  <si>
    <t>Spears of the Maiden</t>
  </si>
  <si>
    <t>Banker</t>
  </si>
  <si>
    <t xml:space="preserve"> +10</t>
  </si>
  <si>
    <t>Baron du crime, Politicien, Intendant, Racketteur</t>
  </si>
  <si>
    <t>Pikeman</t>
  </si>
  <si>
    <t>Coups assomants, Coups précis, Coups puissants, Désarmement OU Sur ses gardes, Maîtrise (Armes à 2 mains)</t>
  </si>
  <si>
    <t>Commérage OU Marchandage, Conduite d'attelages OU Equitation, Connaissances générales (Tilée), Esquive, Fouille OU Perception, Langage secret (langage de bataille), Langue (tiléen), Jeu OU Soins des animaux</t>
  </si>
  <si>
    <t>Armure légère (caque, veste de cuir), Bouclier, Pique tiléenne</t>
  </si>
  <si>
    <t>Cabriolet Driver</t>
  </si>
  <si>
    <t>Atours (beaux, tenue complète), Chapeau, Cheval de selle, Pousse-pousse</t>
  </si>
  <si>
    <t>Pousse-pousse</t>
  </si>
  <si>
    <t>Cartographe, Conducteur de pousse-pousse, Contremaître, Dilettante, Embaumeur, Émissaire elfe, Fanatique, Faussaire, Fermier, Ingénieur, Ingénieur de siège, Ingénieur du Chaos, Maître-artisan, Marchand, Métayer, Milicien, Pèlerin du Graal</t>
  </si>
  <si>
    <t>Cocher, Collecteur de taxes, Conducteur de pousse-pousse, Contrebandier</t>
  </si>
  <si>
    <t>Aubergiste, Bourgeois, Chiffonnier, Conducteur de pousse-pousse, Contrebandier, Contremaître, Ex-détenu, Faussaire, Intendant, Monte-en-l'air, Pilleur de tombes, Racketteur, Trafiquant de cadavres, Vaurien, Voleur</t>
  </si>
  <si>
    <t>Banquier, Baron du crime, Politicien, Racketteur</t>
  </si>
  <si>
    <t>Banquier, Baron du crime, Charlatan, Prince des voleurs, Racketteur</t>
  </si>
  <si>
    <t>Catrazzan Birdman</t>
  </si>
  <si>
    <t>Assassin, Champion, Duelliste, Homme oiseau de Catrazza, Sergent</t>
  </si>
  <si>
    <t>Adresse au tir, Rechargement rapide, Sur ses gardes, Tir de précision</t>
  </si>
  <si>
    <t>Arbalète avec 20 carreaux, Armure légère (veste de cuir), Masque, Outils d'artisan (ingénieur), Ornithoptère</t>
  </si>
  <si>
    <t>Ornithoptère</t>
  </si>
  <si>
    <t>Republican Guard</t>
  </si>
  <si>
    <t>Assassin, Bandit de grand chemin, Champion, Escroc, Garde républicain, Sergent</t>
  </si>
  <si>
    <t>Allumeur de réverbères, Chiffonier, Combattant des tunnels, Dresseur, Égoutier, Fossoyeur, Garde des profondeurs, Garde républicain, Geôlier, Monte-en-l'air, Ramasseur de fumier, Trafiquant de cadavres, Voleur</t>
  </si>
  <si>
    <t>Sergent</t>
  </si>
  <si>
    <t>Canonnier, Capitaine, Champion de justice, Chevalier, Chevalier du soleil, Chevalier Panthère, Courtisan des Principautés, Croisé, Duelliste, Garde noir, Garde républicain</t>
  </si>
  <si>
    <t>Charisme, Connaissances académiques (stratégie/tactique), Esquive, Fouille OU Jeu, Langage secret (langage de bataille), Perception, Langue (tiléen), Langue (une au choix)</t>
  </si>
  <si>
    <t>Translator</t>
  </si>
  <si>
    <t>Bateleur, Charlatan, Courtisan, Démagogue, Escroc, Héraut, Initié, Interprète, Vaurien</t>
  </si>
  <si>
    <t>Agitateur, Bateleur, Bourgeois, Démagogue, Érudit, Étudiant, Ingénieur, Interprète, Maître-artisan, Messager, Scribe, Vendeur de journaux</t>
  </si>
  <si>
    <t>Bourgeois, Interprète, Serviteur</t>
  </si>
  <si>
    <t>Fireman</t>
  </si>
  <si>
    <t>Commandement, Conduite d’attelages, Connaissances académiques (ingénierie), Escalade, Esquive, Soins</t>
  </si>
  <si>
    <t>Arme à 1 main (hache), Bâche, Casque ou chapeau à bords larges, Corde (10m) ou Chaine (10m), Echelle, Gilet de cuir, Pied-de-biche, Piolet d’escalade, Seau en métal, Uniforme (tenue complète)</t>
  </si>
  <si>
    <t>Agitateur, Bateleur, Bourgeois, Collecteur de taxes, Contrebandier, Garde, Initié, Sapeur Pompier, Serviteur</t>
  </si>
  <si>
    <t>Mercenaire, Milicien, Monte-en-l'air, Ratier, Sapeur Pompier, Spadassin</t>
  </si>
  <si>
    <t>Artisan, Étudiant, Garde des profondeurs, Géomètre, Homme oiseau de Catrazza, Maître-artisan, Mineur, Sapeur Pompier</t>
  </si>
  <si>
    <t>Artisan, Homme d'armes, Paysan, Sapeur Pompier</t>
  </si>
  <si>
    <t>Carrière:</t>
  </si>
  <si>
    <t>Race:</t>
  </si>
  <si>
    <t>Compétences:</t>
  </si>
  <si>
    <t>Talents:</t>
  </si>
  <si>
    <t>Armure:</t>
  </si>
  <si>
    <t>Points d'armure:</t>
  </si>
  <si>
    <t>Armes:</t>
  </si>
  <si>
    <t>Dotations:</t>
  </si>
  <si>
    <t>Aquis?</t>
  </si>
  <si>
    <t>+10%?</t>
  </si>
  <si>
    <t>+20%?</t>
  </si>
  <si>
    <t>Compétence abrégée</t>
  </si>
  <si>
    <t>Gestion des compétences avancées</t>
  </si>
  <si>
    <t>Gestion des Talents</t>
  </si>
  <si>
    <t>Gestion des compétences de base</t>
  </si>
  <si>
    <t>Sorts connus</t>
  </si>
  <si>
    <t>Talent (Spécialité)</t>
  </si>
  <si>
    <t>Spécialité?</t>
  </si>
  <si>
    <t>CARRIERE DE DEPART</t>
  </si>
  <si>
    <t>Races</t>
  </si>
  <si>
    <t>Source</t>
  </si>
  <si>
    <t>Ethnie</t>
  </si>
  <si>
    <t>impérial</t>
  </si>
  <si>
    <t>godpodar</t>
  </si>
  <si>
    <t>Agitateur</t>
  </si>
  <si>
    <t>---</t>
  </si>
  <si>
    <t>Allumeur de réverbères</t>
  </si>
  <si>
    <t>Anachorète</t>
  </si>
  <si>
    <t>LRR 52</t>
  </si>
  <si>
    <t>Apothicaire</t>
  </si>
  <si>
    <t>Apprenti maitre des runes</t>
  </si>
  <si>
    <t>Apprentie sorcière des glaces*</t>
  </si>
  <si>
    <t>WJDR 32</t>
  </si>
  <si>
    <t>Baleinier</t>
  </si>
  <si>
    <t>Bateleur</t>
  </si>
  <si>
    <t>15-19</t>
  </si>
  <si>
    <t>WJDR 33</t>
  </si>
  <si>
    <t>Berger</t>
  </si>
  <si>
    <t>Bourgeois</t>
  </si>
  <si>
    <t>16-17</t>
  </si>
  <si>
    <t>14-15</t>
  </si>
  <si>
    <t>WJDR 34</t>
  </si>
  <si>
    <t>Bûcheron</t>
  </si>
  <si>
    <t>22-23</t>
  </si>
  <si>
    <t>17-18</t>
  </si>
  <si>
    <t>Catin*</t>
  </si>
  <si>
    <t>18-19</t>
  </si>
  <si>
    <t>19-20</t>
  </si>
  <si>
    <t>WEB</t>
  </si>
  <si>
    <t>Cénobite</t>
  </si>
  <si>
    <t>Charbonnier</t>
  </si>
  <si>
    <t>WJDR 35</t>
  </si>
  <si>
    <t>24-25</t>
  </si>
  <si>
    <t>25-26</t>
  </si>
  <si>
    <t>20-21</t>
  </si>
  <si>
    <t>23-24</t>
  </si>
  <si>
    <t>21-27</t>
  </si>
  <si>
    <t>18-22</t>
  </si>
  <si>
    <t>16-18</t>
  </si>
  <si>
    <t>Chasseur de primes</t>
  </si>
  <si>
    <t>WJDR 36</t>
  </si>
  <si>
    <t>21-22</t>
  </si>
  <si>
    <t>Chiffonnier</t>
  </si>
  <si>
    <t>26-27</t>
  </si>
  <si>
    <t>Chirurgien barbier</t>
  </si>
  <si>
    <t>WJDR 37</t>
  </si>
  <si>
    <t>Cocher</t>
  </si>
  <si>
    <t>Collecteur de taxes</t>
  </si>
  <si>
    <t>28-29</t>
  </si>
  <si>
    <t>WJDR 38</t>
  </si>
  <si>
    <t>Combattant des tunnels</t>
  </si>
  <si>
    <t>22-24</t>
  </si>
  <si>
    <t>Conducteur de bestiaux</t>
  </si>
  <si>
    <t>31-32</t>
  </si>
  <si>
    <t>29-30</t>
  </si>
  <si>
    <t>Contrebandier</t>
  </si>
  <si>
    <t>25-27</t>
  </si>
  <si>
    <t>WJDR 39</t>
  </si>
  <si>
    <t>Coupe-jarret</t>
  </si>
  <si>
    <t>21-32</t>
  </si>
  <si>
    <t>28-30</t>
  </si>
  <si>
    <t>Dresseur d'ours</t>
  </si>
  <si>
    <t>36-37</t>
  </si>
  <si>
    <t>34-36</t>
  </si>
  <si>
    <t>Éclaireur</t>
  </si>
  <si>
    <t>34-35</t>
  </si>
  <si>
    <t>Écuyer</t>
  </si>
  <si>
    <t>WJDR 41</t>
  </si>
  <si>
    <t>Égoutier</t>
  </si>
  <si>
    <t>35-36</t>
  </si>
  <si>
    <t>34-40</t>
  </si>
  <si>
    <t>33-34</t>
  </si>
  <si>
    <t>LFRC 94</t>
  </si>
  <si>
    <t>Escroc</t>
  </si>
  <si>
    <t>41-42</t>
  </si>
  <si>
    <t>42-46</t>
  </si>
  <si>
    <t>WJDR 42</t>
  </si>
  <si>
    <t>Étudiant</t>
  </si>
  <si>
    <t>Ex-détenu</t>
  </si>
  <si>
    <t>37-38</t>
  </si>
  <si>
    <t>Exécuteur</t>
  </si>
  <si>
    <t>39-40</t>
  </si>
  <si>
    <t>Fanatique</t>
  </si>
  <si>
    <t>47-48</t>
  </si>
  <si>
    <t>Femme-médecine*</t>
  </si>
  <si>
    <t>46-47</t>
  </si>
  <si>
    <t>LRG 101</t>
  </si>
  <si>
    <t>Fossoyeur</t>
  </si>
  <si>
    <t>Garde</t>
  </si>
  <si>
    <t>49-50</t>
  </si>
  <si>
    <t>43-45</t>
  </si>
  <si>
    <t>Garde des profondeurs</t>
  </si>
  <si>
    <t>Garde du corps</t>
  </si>
  <si>
    <t>46-48</t>
  </si>
  <si>
    <t>WJDR 44</t>
  </si>
  <si>
    <t>Gardien du temple</t>
  </si>
  <si>
    <t>Gardien tribal</t>
  </si>
  <si>
    <t>52-58</t>
  </si>
  <si>
    <t>Geôlier</t>
  </si>
  <si>
    <t>53-54</t>
  </si>
  <si>
    <t>50-51</t>
  </si>
  <si>
    <t>WJDR 45</t>
  </si>
  <si>
    <t>Grenouillère*</t>
  </si>
  <si>
    <t>Homme d'arme</t>
  </si>
  <si>
    <t>LCG 98</t>
  </si>
  <si>
    <t>Homme lige</t>
  </si>
  <si>
    <t>Ingénieur du Chaos</t>
  </si>
  <si>
    <t>LTC 170</t>
  </si>
  <si>
    <t>Initié</t>
  </si>
  <si>
    <t>57-58</t>
  </si>
  <si>
    <t>Joueur</t>
  </si>
  <si>
    <t>WJDR 47</t>
  </si>
  <si>
    <t>Malandrin</t>
  </si>
  <si>
    <t>60-61</t>
  </si>
  <si>
    <t>55-56</t>
  </si>
  <si>
    <t>Maquignon</t>
  </si>
  <si>
    <t>LRG 102</t>
  </si>
  <si>
    <t>Maraudeur (du Chaos)</t>
  </si>
  <si>
    <t>41-58</t>
  </si>
  <si>
    <t>Maresquier</t>
  </si>
  <si>
    <t>Marin</t>
  </si>
  <si>
    <t>65-70</t>
  </si>
  <si>
    <t>Matelot</t>
  </si>
  <si>
    <t>WJDR 48</t>
  </si>
  <si>
    <t>Médiateur</t>
  </si>
  <si>
    <t>LCG 99</t>
  </si>
  <si>
    <t>64-65</t>
  </si>
  <si>
    <t>71-75</t>
  </si>
  <si>
    <t>59-60</t>
  </si>
  <si>
    <t>61-63</t>
  </si>
  <si>
    <t>WJDR 49</t>
  </si>
  <si>
    <t>Messager</t>
  </si>
  <si>
    <t>66-67</t>
  </si>
  <si>
    <t>76-80</t>
  </si>
  <si>
    <t>61-62</t>
  </si>
  <si>
    <t>Milicien</t>
  </si>
  <si>
    <t>68-69</t>
  </si>
  <si>
    <t>63-64</t>
  </si>
  <si>
    <t>WJDR 50</t>
  </si>
  <si>
    <t>66-68</t>
  </si>
  <si>
    <t>Mystique strigany*</t>
  </si>
  <si>
    <t>Naufrageur</t>
  </si>
  <si>
    <t>LC 24</t>
  </si>
  <si>
    <t>71-72</t>
  </si>
  <si>
    <t>70-71</t>
  </si>
  <si>
    <t>WJDR 51</t>
  </si>
  <si>
    <t>LRG 103</t>
  </si>
  <si>
    <t>Oracle</t>
  </si>
  <si>
    <t>LTC 158</t>
  </si>
  <si>
    <t>Patrouilleur</t>
  </si>
  <si>
    <t>WJDR 52</t>
  </si>
  <si>
    <t>Patrouilleur fluvial</t>
  </si>
  <si>
    <t>Paysan</t>
  </si>
  <si>
    <t>70-73</t>
  </si>
  <si>
    <t>Pêcheur</t>
  </si>
  <si>
    <t>WJDR 53</t>
  </si>
  <si>
    <t>Pèlerin</t>
  </si>
  <si>
    <t>LCG 100</t>
  </si>
  <si>
    <t>Pénitent</t>
  </si>
  <si>
    <t>Percepteur</t>
  </si>
  <si>
    <t>Pillard</t>
  </si>
  <si>
    <t>Pilleur de tombes</t>
  </si>
  <si>
    <t>Plaideur</t>
  </si>
  <si>
    <t>Porterune</t>
  </si>
  <si>
    <t>81-82</t>
  </si>
  <si>
    <t>WJDR 54</t>
  </si>
  <si>
    <t>Prêcheur de rue</t>
  </si>
  <si>
    <t>85-86</t>
  </si>
  <si>
    <t>LHS 122</t>
  </si>
  <si>
    <t>Ramasseur de fumier</t>
  </si>
  <si>
    <t>VD3 12</t>
  </si>
  <si>
    <t>Régisseur</t>
  </si>
  <si>
    <t>WJDR 55</t>
  </si>
  <si>
    <t>Scalde</t>
  </si>
  <si>
    <t>LTC 159</t>
  </si>
  <si>
    <t>83-87</t>
  </si>
  <si>
    <t>87-88</t>
  </si>
  <si>
    <t>Sentinelle halfling</t>
  </si>
  <si>
    <t>90-91</t>
  </si>
  <si>
    <t>WJDR 56</t>
  </si>
  <si>
    <t>Serviteur</t>
  </si>
  <si>
    <t>92-93</t>
  </si>
  <si>
    <t>89-90</t>
  </si>
  <si>
    <t>Soldat</t>
  </si>
  <si>
    <t>WJDR 57</t>
  </si>
  <si>
    <t>Sorcier de village</t>
  </si>
  <si>
    <t>95-100</t>
  </si>
  <si>
    <t>Spadassin</t>
  </si>
  <si>
    <t>WJDR 58</t>
  </si>
  <si>
    <t>Tchékiste</t>
  </si>
  <si>
    <t>LRG 105</t>
  </si>
  <si>
    <t>Trafiquant de cadavres</t>
  </si>
  <si>
    <t>94-97</t>
  </si>
  <si>
    <t>WJDR 59</t>
  </si>
  <si>
    <t>88-94</t>
  </si>
  <si>
    <t>95-96</t>
  </si>
  <si>
    <t>WJDR 60</t>
  </si>
  <si>
    <t>Vendeur de journaux</t>
  </si>
  <si>
    <t>99-100</t>
  </si>
  <si>
    <t>98-100</t>
  </si>
  <si>
    <t>*Seul un personnage de sexe féminin peut entreprendre cette carrière.</t>
  </si>
  <si>
    <t>Carrière en rouge : Une seule ethnie particulière peut avoir cette carrière comme carrière de départ.</t>
  </si>
  <si>
    <t>VD1 : Les Voies de la Damnation 1</t>
  </si>
  <si>
    <t>VD2 : Les Voies de la Damnation 2</t>
  </si>
  <si>
    <t>LRR : Les Royaumes Renégats</t>
  </si>
  <si>
    <t>LHS : Les Héritiers de Sigmar</t>
  </si>
  <si>
    <t>SoE : Shades of the Empire</t>
  </si>
  <si>
    <t>LRG : La Reine des Glaces</t>
  </si>
  <si>
    <t>LC : Le Compagnon</t>
  </si>
  <si>
    <t>LTC : Le Tome de la Corruption</t>
  </si>
  <si>
    <t>LTR : Le Tome de la Rédemption</t>
  </si>
  <si>
    <t>LFRC : Les Fils du Rat Cornu</t>
  </si>
  <si>
    <t>TaT : Terreur à Talabheim</t>
  </si>
  <si>
    <t>LMN : Les Maitres de la Nuit</t>
  </si>
  <si>
    <t>LDD : Le Duché des Damnés</t>
  </si>
  <si>
    <t>LCG : Les Chevaliers du Graal</t>
  </si>
  <si>
    <t>CC : Career Compendium</t>
  </si>
  <si>
    <t>5-7</t>
  </si>
  <si>
    <t>6-7</t>
  </si>
  <si>
    <t>9-10</t>
  </si>
  <si>
    <t>12-13</t>
  </si>
  <si>
    <t>1-2</t>
  </si>
  <si>
    <t>1-3</t>
  </si>
  <si>
    <t>2-5</t>
  </si>
  <si>
    <t>6-8</t>
  </si>
  <si>
    <t>11-20</t>
  </si>
  <si>
    <t>5-6</t>
  </si>
  <si>
    <t>10-11</t>
  </si>
  <si>
    <t>7-8</t>
  </si>
  <si>
    <t>11-12</t>
  </si>
  <si>
    <t>2-6</t>
  </si>
  <si>
    <t>8-14</t>
  </si>
  <si>
    <t>5-8</t>
  </si>
  <si>
    <t>4-5</t>
  </si>
  <si>
    <t>6-9</t>
  </si>
  <si>
    <t>1-10</t>
  </si>
  <si>
    <t>Piquier tiléen</t>
  </si>
  <si>
    <t>SotM: Spears of the Maiden</t>
  </si>
  <si>
    <t>Capacité de Tir (CT)</t>
  </si>
  <si>
    <t>Force (F)</t>
  </si>
  <si>
    <t>Agilité (Ag)</t>
  </si>
  <si>
    <t>Intelligence (Int)</t>
  </si>
  <si>
    <t>Force Mentale (FM)</t>
  </si>
  <si>
    <t>Sociabilité (Soc)</t>
  </si>
  <si>
    <t>Mouvement (M)</t>
  </si>
  <si>
    <t>Magie (Mag)</t>
  </si>
  <si>
    <t>Bonus de Force (BF)</t>
  </si>
  <si>
    <t>Bonus d'Endurance (BE)</t>
  </si>
  <si>
    <t>20+2d10</t>
  </si>
  <si>
    <t>30+2d10</t>
  </si>
  <si>
    <t>10+2d10</t>
  </si>
  <si>
    <t>Chiffre des dizaines de la Force</t>
  </si>
  <si>
    <t>Chiffre des dizaines de l'Endurance</t>
  </si>
  <si>
    <t>4-6</t>
  </si>
  <si>
    <t>7-9</t>
  </si>
  <si>
    <t>Blessures de départ (1d10)</t>
  </si>
  <si>
    <t>Points de destin de départ (1d10)</t>
  </si>
  <si>
    <t>1-4</t>
  </si>
  <si>
    <t>8-10</t>
  </si>
  <si>
    <t>Elu</t>
  </si>
  <si>
    <t>Puissant</t>
  </si>
  <si>
    <t>Commun</t>
  </si>
  <si>
    <t>25+2d10</t>
  </si>
  <si>
    <t>15+2d10</t>
  </si>
  <si>
    <t>Voir tableau ci-dessous</t>
  </si>
  <si>
    <t>CARACTERISTIQUES DE DEPART</t>
  </si>
  <si>
    <t>Chef de meute moulder</t>
  </si>
  <si>
    <t>Tirailleur</t>
  </si>
  <si>
    <t>2-4</t>
  </si>
  <si>
    <t>8-12</t>
  </si>
  <si>
    <t>23-27</t>
  </si>
  <si>
    <t>29-33</t>
  </si>
  <si>
    <t>LFRC 93</t>
  </si>
  <si>
    <t>LFRC 95</t>
  </si>
  <si>
    <t>LFRC 96</t>
  </si>
  <si>
    <t>Skaven commun</t>
  </si>
  <si>
    <t>Conducteur de pousse</t>
  </si>
  <si>
    <t>Endurance (E</t>
  </si>
  <si>
    <t>40+2d10</t>
  </si>
  <si>
    <t>Gors</t>
  </si>
  <si>
    <t>Ungors</t>
  </si>
  <si>
    <t>Brays</t>
  </si>
  <si>
    <t>débouchés skavens</t>
  </si>
  <si>
    <t>Grande griffe, Guerrier des clans</t>
  </si>
  <si>
    <t>accès skavens</t>
  </si>
  <si>
    <t>Garde du corps, Guerrier des clans</t>
  </si>
  <si>
    <t>Guerrier des clans, Voleur</t>
  </si>
  <si>
    <t>Talents ordre</t>
  </si>
  <si>
    <t>Compétences ordre</t>
  </si>
  <si>
    <t>TdR247</t>
  </si>
  <si>
    <t>Poisson sacré (Manaan)</t>
  </si>
  <si>
    <t>Dent Noire (Khaine)</t>
  </si>
  <si>
    <t>Patte de crabe (Manaan)</t>
  </si>
  <si>
    <t>Oreiller (Morr)</t>
  </si>
  <si>
    <t>Bouclier bénit (Myrmidia)</t>
  </si>
  <si>
    <t>Brin de gui (Rhya)</t>
  </si>
  <si>
    <t>Dés (Ranald)</t>
  </si>
  <si>
    <t>Chiffon (Ranald)</t>
  </si>
  <si>
    <t>Sceau de dévotion (Sigmar)</t>
  </si>
  <si>
    <t>Corne sculptée (Taal)</t>
  </si>
  <si>
    <t>Talisman de tête de loup (Ulric)</t>
  </si>
  <si>
    <t>Amulette de chouette (Véréna)</t>
  </si>
  <si>
    <t>Canotage, Natation, Métier (charpentier naval)</t>
  </si>
  <si>
    <t>Sens de l'Orientation</t>
  </si>
  <si>
    <t>Orientation, Survie</t>
  </si>
  <si>
    <t>Grand Voyageur, Maitrise (une arme au choix)</t>
  </si>
  <si>
    <t>Connaissances générales (Estalie ou Tilée)</t>
  </si>
  <si>
    <t>Commandement, Connaissances académiques (stratégie/tactique)</t>
  </si>
  <si>
    <t>Maitrise (une arme au choix)</t>
  </si>
  <si>
    <t>Guerrier né, Maitrise (une arme au choix)</t>
  </si>
  <si>
    <t>Frénésie, Maitrise (une arme au choix)</t>
  </si>
  <si>
    <t>Charisme, Crochetage</t>
  </si>
  <si>
    <t>Filature, Intimidation, Jeu</t>
  </si>
  <si>
    <t>Métier (apothicaire), Métier (herboriste)</t>
  </si>
  <si>
    <t>Connaissances générales (nains)</t>
  </si>
  <si>
    <t>Intimidation, Langue (khazalid), Torture</t>
  </si>
  <si>
    <t>Commandement, Langue (khazalid)</t>
  </si>
  <si>
    <t>Langue (khazalid), Torture</t>
  </si>
  <si>
    <t>Intimidation, Langue (khazalid)</t>
  </si>
  <si>
    <t>Perception, Soins</t>
  </si>
  <si>
    <t>Emprise sur les animaux, Orientation</t>
  </si>
  <si>
    <t>Dur à cuire</t>
  </si>
  <si>
    <t>Perception, Pistage, Résistance à l'alcool</t>
  </si>
  <si>
    <t>Frénésie, Menaçant</t>
  </si>
  <si>
    <t>Frénésie, Résistance accrue</t>
  </si>
  <si>
    <t>Connaissances académiques (deux au choix), Hypnotisme, Langue (classique)</t>
  </si>
  <si>
    <t>Grand Voyageur, Sain d'esprit</t>
  </si>
  <si>
    <t>Charisme, Connaissances académiques (droit), Langage secret (un au choix)</t>
  </si>
  <si>
    <t>Langage secret (un au choix), Langue (un au choix), Perception</t>
  </si>
  <si>
    <t>Enfant des mers</t>
  </si>
  <si>
    <t>+5% Natation et Navigation, peut boire de l'eau de mer</t>
  </si>
  <si>
    <t>Soins des animaux, Torture</t>
  </si>
  <si>
    <t>Evaluation</t>
  </si>
  <si>
    <t>Dur en affaires, Intelligent</t>
  </si>
  <si>
    <t>Pistage, Survie</t>
  </si>
  <si>
    <t>T</t>
  </si>
  <si>
    <t>Maîtrise (une au choix)</t>
  </si>
  <si>
    <t>Commandement, Connaissances générales (Tilée)</t>
  </si>
  <si>
    <t>Abbie</t>
  </si>
  <si>
    <t>Abighild</t>
  </si>
  <si>
    <t>Abigund</t>
  </si>
  <si>
    <t>Abigunda</t>
  </si>
  <si>
    <t>Adel</t>
  </si>
  <si>
    <t>Adelind</t>
  </si>
  <si>
    <t>Adeline</t>
  </si>
  <si>
    <t>Adelyn</t>
  </si>
  <si>
    <t>Adelle</t>
  </si>
  <si>
    <t>Agathe</t>
  </si>
  <si>
    <t>Agnete</t>
  </si>
  <si>
    <t>Aldreda</t>
  </si>
  <si>
    <t>Alfreda</t>
  </si>
  <si>
    <t>Alicia</t>
  </si>
  <si>
    <t>Allane</t>
  </si>
  <si>
    <t>Althea</t>
  </si>
  <si>
    <t>Amalie</t>
  </si>
  <si>
    <t>Amalinde</t>
  </si>
  <si>
    <t>Amalyn</t>
  </si>
  <si>
    <t>Anhilda</t>
  </si>
  <si>
    <t>Anna</t>
  </si>
  <si>
    <t>Anthea</t>
  </si>
  <si>
    <t>Arabella</t>
  </si>
  <si>
    <t>Bechilda</t>
  </si>
  <si>
    <t>Bella</t>
  </si>
  <si>
    <t>Bellane</t>
  </si>
  <si>
    <t>Benedicta</t>
  </si>
  <si>
    <t>Berlinda</t>
  </si>
  <si>
    <t>Berlyn</t>
  </si>
  <si>
    <t>Bertha</t>
  </si>
  <si>
    <t>Berthilda</t>
  </si>
  <si>
    <t>Bess</t>
  </si>
  <si>
    <t>Beth</t>
  </si>
  <si>
    <t>Broncea</t>
  </si>
  <si>
    <t>Brunhilda</t>
  </si>
  <si>
    <t>Camilla</t>
  </si>
  <si>
    <t>Carla</t>
  </si>
  <si>
    <t>Carlinda</t>
  </si>
  <si>
    <t>Carlotta</t>
  </si>
  <si>
    <t>Cilicia</t>
  </si>
  <si>
    <t>Cilie</t>
  </si>
  <si>
    <t>Clora</t>
  </si>
  <si>
    <t>Clothilda</t>
  </si>
  <si>
    <t>Connie</t>
  </si>
  <si>
    <t>Constance</t>
  </si>
  <si>
    <t>Constanza</t>
  </si>
  <si>
    <t>Cordelia</t>
  </si>
  <si>
    <t>Dema</t>
  </si>
  <si>
    <t>Demona</t>
  </si>
  <si>
    <t>Desdemona</t>
  </si>
  <si>
    <t>Dorthilda</t>
  </si>
  <si>
    <t>Drachena</t>
  </si>
  <si>
    <t>Drachilda</t>
  </si>
  <si>
    <t>Edhilda</t>
  </si>
  <si>
    <t>Edith</t>
  </si>
  <si>
    <t>Edyth</t>
  </si>
  <si>
    <t>Edythe</t>
  </si>
  <si>
    <t>Elinor</t>
  </si>
  <si>
    <t>Elisinda</t>
  </si>
  <si>
    <t>Elsina</t>
  </si>
  <si>
    <t>Ella</t>
  </si>
  <si>
    <t>Ellene</t>
  </si>
  <si>
    <t>Ellinde</t>
  </si>
  <si>
    <t>Elsbeth</t>
  </si>
  <si>
    <t>Elspeth</t>
  </si>
  <si>
    <t>Elyn</t>
  </si>
  <si>
    <t>Emagunda</t>
  </si>
  <si>
    <t>Emelia</t>
  </si>
  <si>
    <t>Emme</t>
  </si>
  <si>
    <t>Emmalyn</t>
  </si>
  <si>
    <t>Emmanuel</t>
  </si>
  <si>
    <t>Emerlinde</t>
  </si>
  <si>
    <t>Emerlyn</t>
  </si>
  <si>
    <t>Erica</t>
  </si>
  <si>
    <t>Ermina</t>
  </si>
  <si>
    <t>Erminlind</t>
  </si>
  <si>
    <t>Ermintrude</t>
  </si>
  <si>
    <t>Esmaralda</t>
  </si>
  <si>
    <t>Estelle</t>
  </si>
  <si>
    <t>Etheldreda</t>
  </si>
  <si>
    <t>Ethelind</t>
  </si>
  <si>
    <t>Ethelreda</t>
  </si>
  <si>
    <t>Fay</t>
  </si>
  <si>
    <t>Frieda</t>
  </si>
  <si>
    <t>Friedhilda</t>
  </si>
  <si>
    <t>Friedrun</t>
  </si>
  <si>
    <t>Friedrica</t>
  </si>
  <si>
    <t>Gabby</t>
  </si>
  <si>
    <t>Gabriele</t>
  </si>
  <si>
    <t>Galina</t>
  </si>
  <si>
    <t>Gena</t>
  </si>
  <si>
    <t>Genoveva</t>
  </si>
  <si>
    <t>Gerberga</t>
  </si>
  <si>
    <t>Gerda</t>
  </si>
  <si>
    <t>Gerlinde</t>
  </si>
  <si>
    <t>Gertie</t>
  </si>
  <si>
    <t>Gertrud</t>
  </si>
  <si>
    <t>Greta</t>
  </si>
  <si>
    <t>Grizelda</t>
  </si>
  <si>
    <t>Grunhilda</t>
  </si>
  <si>
    <t>Gudrun</t>
  </si>
  <si>
    <t>Gudryn</t>
  </si>
  <si>
    <t>Hedwig</t>
  </si>
  <si>
    <t>Heidrun</t>
  </si>
  <si>
    <t>Helga</t>
  </si>
  <si>
    <t>Herlinde</t>
  </si>
  <si>
    <t>Herwig</t>
  </si>
  <si>
    <t>Hildegart</t>
  </si>
  <si>
    <t>Hildegund</t>
  </si>
  <si>
    <t>Honoria</t>
  </si>
  <si>
    <t>Ida</t>
  </si>
  <si>
    <t>Ingrun</t>
  </si>
  <si>
    <t>Ingrund</t>
  </si>
  <si>
    <t>Irmella</t>
  </si>
  <si>
    <t>Irmine</t>
  </si>
  <si>
    <t>Isabella</t>
  </si>
  <si>
    <t>Isadora</t>
  </si>
  <si>
    <t>Jocelin</t>
  </si>
  <si>
    <t>Johanna</t>
  </si>
  <si>
    <t>Josie</t>
  </si>
  <si>
    <t>Katarine</t>
  </si>
  <si>
    <t>Katheryn</t>
  </si>
  <si>
    <t>Katharina</t>
  </si>
  <si>
    <t>Katerine</t>
  </si>
  <si>
    <t>Keterlind</t>
  </si>
  <si>
    <t>Keterlyn</t>
  </si>
  <si>
    <t>Kitty</t>
  </si>
  <si>
    <t>Kristen</t>
  </si>
  <si>
    <t>Kristena</t>
  </si>
  <si>
    <t>Kristyn</t>
  </si>
  <si>
    <t>Kirsten</t>
  </si>
  <si>
    <t>Kirstyn</t>
  </si>
  <si>
    <t>Lavina</t>
  </si>
  <si>
    <t>Lavinia</t>
  </si>
  <si>
    <t>Leanor</t>
  </si>
  <si>
    <t>Leanora</t>
  </si>
  <si>
    <t>Leticia</t>
  </si>
  <si>
    <t>Letty</t>
  </si>
  <si>
    <t>Lena</t>
  </si>
  <si>
    <t>Lenora</t>
  </si>
  <si>
    <t>Lisa</t>
  </si>
  <si>
    <t>Lisbeth</t>
  </si>
  <si>
    <t>Lizzie</t>
  </si>
  <si>
    <t>Lorinda</t>
  </si>
  <si>
    <t>Lorna</t>
  </si>
  <si>
    <t>Lucinda</t>
  </si>
  <si>
    <t>Lucretia</t>
  </si>
  <si>
    <t>Lucie</t>
  </si>
  <si>
    <t>Mabel</t>
  </si>
  <si>
    <t>Madge</t>
  </si>
  <si>
    <t>Magdalyn</t>
  </si>
  <si>
    <t>Maggie</t>
  </si>
  <si>
    <t>Maghilda</t>
  </si>
  <si>
    <t>Maglind</t>
  </si>
  <si>
    <t>Maglyn</t>
  </si>
  <si>
    <t>Magunda</t>
  </si>
  <si>
    <t>Magreta</t>
  </si>
  <si>
    <t>Maida</t>
  </si>
  <si>
    <t>Marien</t>
  </si>
  <si>
    <t>Marietta</t>
  </si>
  <si>
    <t>Margaret</t>
  </si>
  <si>
    <t>Marget</t>
  </si>
  <si>
    <t>Margreta</t>
  </si>
  <si>
    <t>Marline</t>
  </si>
  <si>
    <t>Marlyn</t>
  </si>
  <si>
    <t>Mathilda</t>
  </si>
  <si>
    <t>Maude</t>
  </si>
  <si>
    <t>May</t>
  </si>
  <si>
    <t>Meg</t>
  </si>
  <si>
    <t>Melicent</t>
  </si>
  <si>
    <t>Miranda</t>
  </si>
  <si>
    <t>Moll</t>
  </si>
  <si>
    <t>Nathilda</t>
  </si>
  <si>
    <t>Nellie</t>
  </si>
  <si>
    <t>Nora</t>
  </si>
  <si>
    <t>Olga</t>
  </si>
  <si>
    <t>Ophelia</t>
  </si>
  <si>
    <t>Osterhild</t>
  </si>
  <si>
    <t>Ostelle</t>
  </si>
  <si>
    <t>Ostia</t>
  </si>
  <si>
    <t>Ottagunda</t>
  </si>
  <si>
    <t>Ottaline</t>
  </si>
  <si>
    <t>Ottilda</t>
  </si>
  <si>
    <t>Ottilyn</t>
  </si>
  <si>
    <t>Perdita</t>
  </si>
  <si>
    <t>Pergale</t>
  </si>
  <si>
    <t>Pergunda</t>
  </si>
  <si>
    <t>Petronella</t>
  </si>
  <si>
    <t>Philomelia</t>
  </si>
  <si>
    <t>Reikhilda</t>
  </si>
  <si>
    <t>Renata</t>
  </si>
  <si>
    <t>Rosabel</t>
  </si>
  <si>
    <t>Rosabella</t>
  </si>
  <si>
    <t>Rosale</t>
  </si>
  <si>
    <t>Rosalia</t>
  </si>
  <si>
    <t>Rosalin</t>
  </si>
  <si>
    <t>Rosalinde</t>
  </si>
  <si>
    <t>Rosamunde</t>
  </si>
  <si>
    <t>Rosanne</t>
  </si>
  <si>
    <t>Rose</t>
  </si>
  <si>
    <t>Roz</t>
  </si>
  <si>
    <t>Rozhilda</t>
  </si>
  <si>
    <t>Salina</t>
  </si>
  <si>
    <t>Saltza</t>
  </si>
  <si>
    <t>Sigismunda</t>
  </si>
  <si>
    <t>Sigunda</t>
  </si>
  <si>
    <t>Solla</t>
  </si>
  <si>
    <t>Styrine</t>
  </si>
  <si>
    <t>Talima</t>
  </si>
  <si>
    <t>Theodora</t>
  </si>
  <si>
    <t>Therese</t>
  </si>
  <si>
    <t>Tilea</t>
  </si>
  <si>
    <t>Ursula</t>
  </si>
  <si>
    <t>Ulrica</t>
  </si>
  <si>
    <t>Valeria</t>
  </si>
  <si>
    <t>Verena</t>
  </si>
  <si>
    <t>Wilfrieda</t>
  </si>
  <si>
    <t>Wilhelmina</t>
  </si>
  <si>
    <t>Winifred</t>
  </si>
  <si>
    <t>Wolfhilde</t>
  </si>
  <si>
    <t>Zemelda</t>
  </si>
  <si>
    <t>Isolda</t>
  </si>
  <si>
    <t>Abelhard</t>
  </si>
  <si>
    <t>Abelhelm</t>
  </si>
  <si>
    <t>Admund</t>
  </si>
  <si>
    <t>Adric</t>
  </si>
  <si>
    <t>Agis</t>
  </si>
  <si>
    <t>Alaric</t>
  </si>
  <si>
    <t>Alberic</t>
  </si>
  <si>
    <t>Aldebrand</t>
  </si>
  <si>
    <t>Aldred</t>
  </si>
  <si>
    <t>Aldric</t>
  </si>
  <si>
    <t>Alfreid</t>
  </si>
  <si>
    <t>Altmar</t>
  </si>
  <si>
    <t>Alric</t>
  </si>
  <si>
    <t>Andred</t>
  </si>
  <si>
    <t>Andric</t>
  </si>
  <si>
    <t>Anshelm</t>
  </si>
  <si>
    <t>Anton</t>
  </si>
  <si>
    <t>Arnulf</t>
  </si>
  <si>
    <t>Axelbrand</t>
  </si>
  <si>
    <t>Baldred</t>
  </si>
  <si>
    <t>Baldric</t>
  </si>
  <si>
    <t>Baldwin</t>
  </si>
  <si>
    <t>Balthasar</t>
  </si>
  <si>
    <t>Barnabas</t>
  </si>
  <si>
    <t>Bart</t>
  </si>
  <si>
    <t>Bartolf</t>
  </si>
  <si>
    <t>Bartomar</t>
  </si>
  <si>
    <t>Bernolt</t>
  </si>
  <si>
    <t>Bertold</t>
  </si>
  <si>
    <t>Bertolf</t>
  </si>
  <si>
    <t>Boris</t>
  </si>
  <si>
    <t>Bruno</t>
  </si>
  <si>
    <t>Burgolf</t>
  </si>
  <si>
    <t>Calvin</t>
  </si>
  <si>
    <t>Casimir</t>
  </si>
  <si>
    <t>Caspar</t>
  </si>
  <si>
    <t>Cedred</t>
  </si>
  <si>
    <t>Conrad</t>
  </si>
  <si>
    <t>Corvin</t>
  </si>
  <si>
    <t>Dankmar</t>
  </si>
  <si>
    <t>Dankred</t>
  </si>
  <si>
    <t>Dekmar</t>
  </si>
  <si>
    <t>Detlef</t>
  </si>
  <si>
    <t>Diebold</t>
  </si>
  <si>
    <t>Diel</t>
  </si>
  <si>
    <t>Dietfried</t>
  </si>
  <si>
    <t>Dietmar</t>
  </si>
  <si>
    <t>Dietmund</t>
  </si>
  <si>
    <t>Dietrich</t>
  </si>
  <si>
    <t>Dirk</t>
  </si>
  <si>
    <t>Donat</t>
  </si>
  <si>
    <t>Durnhelm</t>
  </si>
  <si>
    <t>Eber</t>
  </si>
  <si>
    <t>Eckel</t>
  </si>
  <si>
    <t>Eckhart</t>
  </si>
  <si>
    <t>Edmund</t>
  </si>
  <si>
    <t>Edwin</t>
  </si>
  <si>
    <t>Ehrhart</t>
  </si>
  <si>
    <t>Ehrl</t>
  </si>
  <si>
    <t>Ehrwig</t>
  </si>
  <si>
    <t>Eldred</t>
  </si>
  <si>
    <t>Elmeric</t>
  </si>
  <si>
    <t>Emil</t>
  </si>
  <si>
    <t>Engel</t>
  </si>
  <si>
    <t>Engelbert</t>
  </si>
  <si>
    <t>Engelbrecht</t>
  </si>
  <si>
    <t>Engelhart</t>
  </si>
  <si>
    <t>Eodred</t>
  </si>
  <si>
    <t>Eomund</t>
  </si>
  <si>
    <t>Erdman</t>
  </si>
  <si>
    <t>Erdred</t>
  </si>
  <si>
    <t>Erkenbrand</t>
  </si>
  <si>
    <t>Erasmus</t>
  </si>
  <si>
    <t>Erich</t>
  </si>
  <si>
    <t>Erman</t>
  </si>
  <si>
    <t>Ernst</t>
  </si>
  <si>
    <t>Erwin</t>
  </si>
  <si>
    <t>Eugen</t>
  </si>
  <si>
    <t>Eustasius</t>
  </si>
  <si>
    <t>Ewald</t>
  </si>
  <si>
    <t>Fabian</t>
  </si>
  <si>
    <t>Faustus</t>
  </si>
  <si>
    <t>Felix</t>
  </si>
  <si>
    <t>Ferdinand</t>
  </si>
  <si>
    <t>Fleugweiner</t>
  </si>
  <si>
    <t>Fosten</t>
  </si>
  <si>
    <t>Franz</t>
  </si>
  <si>
    <t>Frediger</t>
  </si>
  <si>
    <t>Fredric</t>
  </si>
  <si>
    <t>Friebald</t>
  </si>
  <si>
    <t>Friedrich</t>
  </si>
  <si>
    <t>Friedzeik</t>
  </si>
  <si>
    <t>Gawin</t>
  </si>
  <si>
    <t>Gerber</t>
  </si>
  <si>
    <t>Gerhart</t>
  </si>
  <si>
    <t>Gerlach</t>
  </si>
  <si>
    <t>Gernar</t>
  </si>
  <si>
    <t>Gerolf</t>
  </si>
  <si>
    <t>Gilbrecht</t>
  </si>
  <si>
    <t>Gisbert</t>
  </si>
  <si>
    <t>Giselbrecht</t>
  </si>
  <si>
    <t>Gismar</t>
  </si>
  <si>
    <t>Goran</t>
  </si>
  <si>
    <t>Gosbert</t>
  </si>
  <si>
    <t>Goswin</t>
  </si>
  <si>
    <t>Gotfried</t>
  </si>
  <si>
    <t>Gothard</t>
  </si>
  <si>
    <t>Gottolf</t>
  </si>
  <si>
    <t>Gotwin</t>
  </si>
  <si>
    <t>Gregor</t>
  </si>
  <si>
    <t>Greimold</t>
  </si>
  <si>
    <t>Grimwold</t>
  </si>
  <si>
    <t>Griswold</t>
  </si>
  <si>
    <t>Guido</t>
  </si>
  <si>
    <t>Gundolf</t>
  </si>
  <si>
    <t>Gundred</t>
  </si>
  <si>
    <t>Gunnar</t>
  </si>
  <si>
    <t>Gunter</t>
  </si>
  <si>
    <t>Gunther</t>
  </si>
  <si>
    <t>Gustaf</t>
  </si>
  <si>
    <t>Hadred</t>
  </si>
  <si>
    <t>Hadwin</t>
  </si>
  <si>
    <t>Hagar</t>
  </si>
  <si>
    <t>Hagen</t>
  </si>
  <si>
    <t>Haldred</t>
  </si>
  <si>
    <t>Halman</t>
  </si>
  <si>
    <t>Hamlyn</t>
  </si>
  <si>
    <t>Hans</t>
  </si>
  <si>
    <t>Harbrand</t>
  </si>
  <si>
    <t>Harman</t>
  </si>
  <si>
    <t>Hartmann</t>
  </si>
  <si>
    <t>Haug</t>
  </si>
  <si>
    <t>Heidric</t>
  </si>
  <si>
    <t>Heimar</t>
  </si>
  <si>
    <t>Heinfried</t>
  </si>
  <si>
    <t>Heinman</t>
  </si>
  <si>
    <t>Heinrich</t>
  </si>
  <si>
    <t>Helmut</t>
  </si>
  <si>
    <t>Henlyn</t>
  </si>
  <si>
    <t>Hermann</t>
  </si>
  <si>
    <t>Herwin</t>
  </si>
  <si>
    <t>Hieronymus</t>
  </si>
  <si>
    <t>Hildebart</t>
  </si>
  <si>
    <t>Hildebrand</t>
  </si>
  <si>
    <t>Hildemar</t>
  </si>
  <si>
    <t>Hildemund</t>
  </si>
  <si>
    <t>Hildred</t>
  </si>
  <si>
    <t>Hildric</t>
  </si>
  <si>
    <t>Horst</t>
  </si>
  <si>
    <t>Igor</t>
  </si>
  <si>
    <t>Ingwald</t>
  </si>
  <si>
    <t>Jander</t>
  </si>
  <si>
    <t>Jekil</t>
  </si>
  <si>
    <t>Jodokus</t>
  </si>
  <si>
    <t>Jonas</t>
  </si>
  <si>
    <t>Jorg</t>
  </si>
  <si>
    <t>Jorn</t>
  </si>
  <si>
    <t>Josef</t>
  </si>
  <si>
    <t>Jost</t>
  </si>
  <si>
    <t>Jurgen</t>
  </si>
  <si>
    <t>Karl</t>
  </si>
  <si>
    <t>Kaspar</t>
  </si>
  <si>
    <t>Klaus</t>
  </si>
  <si>
    <t>Kleber</t>
  </si>
  <si>
    <t>Konradin</t>
  </si>
  <si>
    <t>Kurt</t>
  </si>
  <si>
    <t>Lamprecht</t>
  </si>
  <si>
    <t>Lanfried</t>
  </si>
  <si>
    <t>Lanric</t>
  </si>
  <si>
    <t>Lanwin</t>
  </si>
  <si>
    <t>Leo</t>
  </si>
  <si>
    <t>Levin</t>
  </si>
  <si>
    <t>Liebert</t>
  </si>
  <si>
    <t>Liebrecht</t>
  </si>
  <si>
    <t>Liebwin</t>
  </si>
  <si>
    <t>Lienhart</t>
  </si>
  <si>
    <t>Linus</t>
  </si>
  <si>
    <t>Lodwig</t>
  </si>
  <si>
    <t>Lothar</t>
  </si>
  <si>
    <t>Lucius</t>
  </si>
  <si>
    <t>Ludwig</t>
  </si>
  <si>
    <t>Luitpold</t>
  </si>
  <si>
    <t>Lukas</t>
  </si>
  <si>
    <t>Lupold</t>
  </si>
  <si>
    <t>Lupus</t>
  </si>
  <si>
    <t>Luther</t>
  </si>
  <si>
    <t>Lutolf</t>
  </si>
  <si>
    <t>Madred</t>
  </si>
  <si>
    <t>Mandred</t>
  </si>
  <si>
    <t>Manfred</t>
  </si>
  <si>
    <t>Mathias</t>
  </si>
  <si>
    <t>Maximillian</t>
  </si>
  <si>
    <t>Meiner</t>
  </si>
  <si>
    <t>Meinhart</t>
  </si>
  <si>
    <t>Meinolf</t>
  </si>
  <si>
    <t>Mekel</t>
  </si>
  <si>
    <t>Merkel</t>
  </si>
  <si>
    <t>Nat</t>
  </si>
  <si>
    <t>Nathandar</t>
  </si>
  <si>
    <t>Nicodemus</t>
  </si>
  <si>
    <t>Odamar</t>
  </si>
  <si>
    <t>Odric</t>
  </si>
  <si>
    <t>Odwin</t>
  </si>
  <si>
    <t>Olbrecht</t>
  </si>
  <si>
    <t>Oldred</t>
  </si>
  <si>
    <t>Oldric</t>
  </si>
  <si>
    <t>Ortlieb</t>
  </si>
  <si>
    <t>Ortolf</t>
  </si>
  <si>
    <t>Orwin</t>
  </si>
  <si>
    <t>Oswald</t>
  </si>
  <si>
    <t>Osric</t>
  </si>
  <si>
    <t>Oswin</t>
  </si>
  <si>
    <t>Otfried</t>
  </si>
  <si>
    <t>Otwin</t>
  </si>
  <si>
    <t>Paulus</t>
  </si>
  <si>
    <t>Prospero</t>
  </si>
  <si>
    <t>Ragen</t>
  </si>
  <si>
    <t>Rambrecht</t>
  </si>
  <si>
    <t>Randulf</t>
  </si>
  <si>
    <t>Ranulf</t>
  </si>
  <si>
    <t>Ranald</t>
  </si>
  <si>
    <t>Reikhard</t>
  </si>
  <si>
    <t>Rein</t>
  </si>
  <si>
    <t>Reiner</t>
  </si>
  <si>
    <t>Reinhard</t>
  </si>
  <si>
    <t>Reinolt</t>
  </si>
  <si>
    <t>Reuban</t>
  </si>
  <si>
    <t>Rigo</t>
  </si>
  <si>
    <t>Roderic</t>
  </si>
  <si>
    <t>Rolf</t>
  </si>
  <si>
    <t>Ruben</t>
  </si>
  <si>
    <t>Rudel</t>
  </si>
  <si>
    <t>Rudgar</t>
  </si>
  <si>
    <t>Rudolf</t>
  </si>
  <si>
    <t>Rufus</t>
  </si>
  <si>
    <t>Ruprecht</t>
  </si>
  <si>
    <t>Sebastian</t>
  </si>
  <si>
    <t>Semund</t>
  </si>
  <si>
    <t>Sepp</t>
  </si>
  <si>
    <t>Sieger</t>
  </si>
  <si>
    <t>Siegmund</t>
  </si>
  <si>
    <t>Sigismund</t>
  </si>
  <si>
    <t>Sigric</t>
  </si>
  <si>
    <t>Steffan</t>
  </si>
  <si>
    <t>Tankred</t>
  </si>
  <si>
    <t>Theoderic</t>
  </si>
  <si>
    <t>Tilmann</t>
  </si>
  <si>
    <t>Tomas</t>
  </si>
  <si>
    <t>Trubald</t>
  </si>
  <si>
    <t>Trubert</t>
  </si>
  <si>
    <t>Ulli</t>
  </si>
  <si>
    <t>Ulfred</t>
  </si>
  <si>
    <t>Ulfman</t>
  </si>
  <si>
    <t>Ulman</t>
  </si>
  <si>
    <t>Uto</t>
  </si>
  <si>
    <t>Valdred</t>
  </si>
  <si>
    <t>Valdric</t>
  </si>
  <si>
    <t>Varl</t>
  </si>
  <si>
    <t>Viggo</t>
  </si>
  <si>
    <t>Vilmar</t>
  </si>
  <si>
    <t>Volker</t>
  </si>
  <si>
    <t>Volkhard</t>
  </si>
  <si>
    <t>Volkrad</t>
  </si>
  <si>
    <t>Volkin</t>
  </si>
  <si>
    <t>Voltz</t>
  </si>
  <si>
    <t>Wagner</t>
  </si>
  <si>
    <t>Walbrecht</t>
  </si>
  <si>
    <t>Waldor</t>
  </si>
  <si>
    <t>Waldred</t>
  </si>
  <si>
    <t>Walther</t>
  </si>
  <si>
    <t>Warmund</t>
  </si>
  <si>
    <t>Werner</t>
  </si>
  <si>
    <t>Wilbert</t>
  </si>
  <si>
    <t>Wilfried</t>
  </si>
  <si>
    <t>Wilhelm</t>
  </si>
  <si>
    <t>Woldred</t>
  </si>
  <si>
    <t>Wolfram</t>
  </si>
  <si>
    <t>Wolfhart</t>
  </si>
  <si>
    <t>Wulf</t>
  </si>
  <si>
    <t>Xavier</t>
  </si>
  <si>
    <t xml:space="preserve">Prénom : </t>
  </si>
  <si>
    <t>Nom:</t>
  </si>
  <si>
    <t>prénom homme elfe</t>
  </si>
  <si>
    <t>prénom femme elfe</t>
  </si>
  <si>
    <t>prénom homme halfling</t>
  </si>
  <si>
    <t>prénom femme halfling</t>
  </si>
  <si>
    <t>prénom homme humain</t>
  </si>
  <si>
    <t>prénom femme humain</t>
  </si>
  <si>
    <t>prénom homme nain</t>
  </si>
  <si>
    <t>prénom femme nain</t>
  </si>
  <si>
    <t>Noircairn</t>
  </si>
  <si>
    <t>Sombrebois</t>
  </si>
  <si>
    <t>Branchenoire</t>
  </si>
  <si>
    <t>Plumebleue</t>
  </si>
  <si>
    <t>Ailebleue</t>
  </si>
  <si>
    <t>Coeurhardi</t>
  </si>
  <si>
    <t>Surelance</t>
  </si>
  <si>
    <t>Heaumebrave</t>
  </si>
  <si>
    <t>Brave-Étoile</t>
  </si>
  <si>
    <t>Crêteclaire</t>
  </si>
  <si>
    <t>Dagueclaire</t>
  </si>
  <si>
    <t>Brancheclaire</t>
  </si>
  <si>
    <t>Ruisseaufrais</t>
  </si>
  <si>
    <t>Ondecalme</t>
  </si>
  <si>
    <t>Aiglenoir</t>
  </si>
  <si>
    <t>Mèchenoire</t>
  </si>
  <si>
    <t>Lunesombre</t>
  </si>
  <si>
    <t>Vertefeuille</t>
  </si>
  <si>
    <t>Cygneclair</t>
  </si>
  <si>
    <t>Belleffraie</t>
  </si>
  <si>
    <t>Eauclaire</t>
  </si>
  <si>
    <t>Vivelame</t>
  </si>
  <si>
    <t>Vivelance</t>
  </si>
  <si>
    <t>Ailevive</t>
  </si>
  <si>
    <t>Mainterrible</t>
  </si>
  <si>
    <t>Lameterrible</t>
  </si>
  <si>
    <t>Pied-Ailé</t>
  </si>
  <si>
    <t>Lestepensée</t>
  </si>
  <si>
    <t>Coeurgai</t>
  </si>
  <si>
    <t>Riveheureuse</t>
  </si>
  <si>
    <t>Justevent</t>
  </si>
  <si>
    <t>Ruisseau d'Or</t>
  </si>
  <si>
    <t>Nuage d'Or</t>
  </si>
  <si>
    <t>Cheveux d'Or</t>
  </si>
  <si>
    <t>Bonneracine</t>
  </si>
  <si>
    <t>Noblebois</t>
  </si>
  <si>
    <t>Vertvallon</t>
  </si>
  <si>
    <t>Plumeverte</t>
  </si>
  <si>
    <t>Vertecombe</t>
  </si>
  <si>
    <t>Heaumefaucon</t>
  </si>
  <si>
    <t>Astrefaucon</t>
  </si>
  <si>
    <t>Boisfaucon</t>
  </si>
  <si>
    <t>Œil d'Aigle</t>
  </si>
  <si>
    <t>Vueperçante</t>
  </si>
  <si>
    <t>Œilaigu</t>
  </si>
  <si>
    <t>Coeurpur</t>
  </si>
  <si>
    <t>Flotclément</t>
  </si>
  <si>
    <t>Piedléger</t>
  </si>
  <si>
    <t>Ailefine</t>
  </si>
  <si>
    <t>Longsaut</t>
  </si>
  <si>
    <t>Longueroute</t>
  </si>
  <si>
    <t>Robegrise</t>
  </si>
  <si>
    <t>Dignetour</t>
  </si>
  <si>
    <t>Lunepâle</t>
  </si>
  <si>
    <t>Pâlerameau</t>
  </si>
  <si>
    <t>Flammepure</t>
  </si>
  <si>
    <t>Éclat de Mer</t>
  </si>
  <si>
    <t>Heaume d'Ombres</t>
  </si>
  <si>
    <t>Voix-des-Ombres</t>
  </si>
  <si>
    <t>Astre d'Ombre</t>
  </si>
  <si>
    <t>Lamecuisante</t>
  </si>
  <si>
    <t>Lancepointue</t>
  </si>
  <si>
    <t>Luneclaire</t>
  </si>
  <si>
    <t>Heaumeclair</t>
  </si>
  <si>
    <t>Lamedéliée</t>
  </si>
  <si>
    <t>Arbregrêle</t>
  </si>
  <si>
    <t>Tigemince</t>
  </si>
  <si>
    <t>Feuillelevante</t>
  </si>
  <si>
    <t>Point-du-Jour</t>
  </si>
  <si>
    <t>Astre-au-Front</t>
  </si>
  <si>
    <t>Œil d'Astre</t>
  </si>
  <si>
    <t>Œil de feu</t>
  </si>
  <si>
    <t>Fermeflèche</t>
  </si>
  <si>
    <t>Fortemain</t>
  </si>
  <si>
    <t>Fortetour</t>
  </si>
  <si>
    <t>Aube d'Argent</t>
  </si>
  <si>
    <t>Robe d'Argent</t>
  </si>
  <si>
    <t>Feuille d'Argent</t>
  </si>
  <si>
    <t>Œilsûr</t>
  </si>
  <si>
    <t>Mainsûre</t>
  </si>
  <si>
    <t>Flèchevive</t>
  </si>
  <si>
    <t>Mainpreste</t>
  </si>
  <si>
    <t>Ailepreste</t>
  </si>
  <si>
    <t>Longmât</t>
  </si>
  <si>
    <t>Grandheaume</t>
  </si>
  <si>
    <t>Tendrecoeur</t>
  </si>
  <si>
    <t>Tendrechant</t>
  </si>
  <si>
    <t>Amivrai</t>
  </si>
  <si>
    <t>Œilvrai</t>
  </si>
  <si>
    <t>Sagecoeur</t>
  </si>
  <si>
    <t>Ventsage</t>
  </si>
  <si>
    <t>Mècheblanche</t>
  </si>
  <si>
    <t>Blancroseau</t>
  </si>
  <si>
    <t>Blanchecîme</t>
  </si>
  <si>
    <t>Jeunefeuille</t>
  </si>
  <si>
    <t>Jeunétoile</t>
  </si>
  <si>
    <t>Jeunebois</t>
  </si>
  <si>
    <t>Baidaulne</t>
  </si>
  <si>
    <t>Flaquebière</t>
  </si>
  <si>
    <t>Pommefond</t>
  </si>
  <si>
    <t>Graindorge</t>
  </si>
  <si>
    <t>Grangecoq</t>
  </si>
  <si>
    <t>Laurier</t>
  </si>
  <si>
    <t>Fleurbaie</t>
  </si>
  <si>
    <t>Ventretendu</t>
  </si>
  <si>
    <t>Natteceinte</t>
  </si>
  <si>
    <t>Mûrier</t>
  </si>
  <si>
    <t>Bonnemiche</t>
  </si>
  <si>
    <t>Terrier</t>
  </si>
  <si>
    <t>Chatonnet</t>
  </si>
  <si>
    <t>Tournecolline</t>
  </si>
  <si>
    <t>Cendrecolline</t>
  </si>
  <si>
    <t>Poignecanne</t>
  </si>
  <si>
    <t>Plantechardon</t>
  </si>
  <si>
    <t>Bonhomme</t>
  </si>
  <si>
    <t>Pommesauvage</t>
  </si>
  <si>
    <t>Croupe</t>
  </si>
  <si>
    <t>Bonquignon</t>
  </si>
  <si>
    <t>Pommesablé</t>
  </si>
  <si>
    <t>Piedfrisé</t>
  </si>
  <si>
    <t>Crèmecuite</t>
  </si>
  <si>
    <t>Repiquet</t>
  </si>
  <si>
    <t>Repiquet-Firquin</t>
  </si>
  <si>
    <t>Pâloque</t>
  </si>
  <si>
    <t>Fondeau</t>
  </si>
  <si>
    <t>Bascolline</t>
  </si>
  <si>
    <t>D'En-Bas</t>
  </si>
  <si>
    <t>Lentilledeau</t>
  </si>
  <si>
    <t>Bontrot</t>
  </si>
  <si>
    <t>Loinchamp</t>
  </si>
  <si>
    <t>Vertugadin</t>
  </si>
  <si>
    <t>Prestedaim</t>
  </si>
  <si>
    <t>Fêloque</t>
  </si>
  <si>
    <t>Bonneforme</t>
  </si>
  <si>
    <t>Firquin</t>
  </si>
  <si>
    <t>Piedfollet</t>
  </si>
  <si>
    <t>Sillon</t>
  </si>
  <si>
    <t>Seaudegomme</t>
  </si>
  <si>
    <t>Morfalin</t>
  </si>
  <si>
    <t>Acrevert</t>
  </si>
  <si>
    <t>Vertepomme</t>
  </si>
  <si>
    <t>Vertecolline</t>
  </si>
  <si>
    <t>Ventregrog</t>
  </si>
  <si>
    <t>Bouffet</t>
  </si>
  <si>
    <t>Gronchon</t>
  </si>
  <si>
    <t>Harpied</t>
  </si>
  <si>
    <t>Haricot</t>
  </si>
  <si>
    <t>Haveloque</t>
  </si>
  <si>
    <t>Feufilasse</t>
  </si>
  <si>
    <t>Sonnecor</t>
  </si>
  <si>
    <t>Cruchedor</t>
  </si>
  <si>
    <t>Lactrempe</t>
  </si>
  <si>
    <t>Piedalouette</t>
  </si>
  <si>
    <t>Blancmuguet</t>
  </si>
  <si>
    <t>Rondetaille</t>
  </si>
  <si>
    <t>Longcraie</t>
  </si>
  <si>
    <t>Mangetarte</t>
  </si>
  <si>
    <t>Moellard</t>
  </si>
  <si>
    <t>Préduvet</t>
  </si>
  <si>
    <t>Douxpré</t>
  </si>
  <si>
    <t>Maremoulin</t>
  </si>
  <si>
    <t>Bouillet</t>
  </si>
  <si>
    <t>Tassevalant</t>
  </si>
  <si>
    <t>Fluet</t>
  </si>
  <si>
    <t>Drôlepied</t>
  </si>
  <si>
    <t>Surcolline</t>
  </si>
  <si>
    <t>Cachepétale</t>
  </si>
  <si>
    <t>Souvaillant</t>
  </si>
  <si>
    <t>Florevive</t>
  </si>
  <si>
    <t>Couiglet</t>
  </si>
  <si>
    <t>Herbetremble</t>
  </si>
  <si>
    <t>Râclemoelle</t>
  </si>
  <si>
    <t>Perchefaîte</t>
  </si>
  <si>
    <t>Bergedeau</t>
  </si>
  <si>
    <t>Freux</t>
  </si>
  <si>
    <t>Fripebrique</t>
  </si>
  <si>
    <t>Crêteblonde</t>
  </si>
  <si>
    <t>Bougepanse</t>
  </si>
  <si>
    <t>Brassepied</t>
  </si>
  <si>
    <t>Fauvette</t>
  </si>
  <si>
    <t>Rochevalant</t>
  </si>
  <si>
    <t>Dusuif</t>
  </si>
  <si>
    <t>Du Grand Arbre</t>
  </si>
  <si>
    <t>Piedmêlé</t>
  </si>
  <si>
    <t>Chardonbois</t>
  </si>
  <si>
    <t>Pointepoche</t>
  </si>
  <si>
    <t>Boulevin</t>
  </si>
  <si>
    <t>Boulepuits</t>
  </si>
  <si>
    <t>Blanchefleur</t>
  </si>
  <si>
    <t>Blanchepointe</t>
  </si>
  <si>
    <t>Siffleur</t>
  </si>
  <si>
    <t>Branchesaule</t>
  </si>
  <si>
    <t>Ventreuil</t>
  </si>
  <si>
    <t>Florevent</t>
  </si>
  <si>
    <t>Ridebaie</t>
  </si>
  <si>
    <t>Adelhof</t>
  </si>
  <si>
    <t>Allenstag</t>
  </si>
  <si>
    <t>Altmann</t>
  </si>
  <si>
    <t>Atzwig</t>
  </si>
  <si>
    <t>Bacher</t>
  </si>
  <si>
    <t>Baer</t>
  </si>
  <si>
    <t>Baumann</t>
  </si>
  <si>
    <t>Becker</t>
  </si>
  <si>
    <t>Behn</t>
  </si>
  <si>
    <t>Betz</t>
  </si>
  <si>
    <t>Beyer</t>
  </si>
  <si>
    <t>Bischof</t>
  </si>
  <si>
    <t>Boehm</t>
  </si>
  <si>
    <t>Breitenbach</t>
  </si>
  <si>
    <t>Breuer</t>
  </si>
  <si>
    <t>Dahmbach</t>
  </si>
  <si>
    <t>Delfholt</t>
  </si>
  <si>
    <t>Drakenhof</t>
  </si>
  <si>
    <t>Drauwulf</t>
  </si>
  <si>
    <t>Durrbein</t>
  </si>
  <si>
    <t>Ehrhard</t>
  </si>
  <si>
    <t>Eisenhauer</t>
  </si>
  <si>
    <t>Eschlimann</t>
  </si>
  <si>
    <t>Falkenheim</t>
  </si>
  <si>
    <t>Fehr</t>
  </si>
  <si>
    <t>Fiegler</t>
  </si>
  <si>
    <t>Fleischer</t>
  </si>
  <si>
    <t>Frohlich</t>
  </si>
  <si>
    <t>Frueh</t>
  </si>
  <si>
    <t>Fuchs</t>
  </si>
  <si>
    <t>Gaffwig</t>
  </si>
  <si>
    <t>Gaertner</t>
  </si>
  <si>
    <t>Gebauer</t>
  </si>
  <si>
    <t>Godtgraf</t>
  </si>
  <si>
    <t>Grunenwald</t>
  </si>
  <si>
    <t>Guth</t>
  </si>
  <si>
    <t>Haintz</t>
  </si>
  <si>
    <t>Herz</t>
  </si>
  <si>
    <t>Herzog</t>
  </si>
  <si>
    <t>Hirtzel</t>
  </si>
  <si>
    <t>Hoch</t>
  </si>
  <si>
    <t>Hoefer</t>
  </si>
  <si>
    <t>Hofstetter</t>
  </si>
  <si>
    <t>Jaeger</t>
  </si>
  <si>
    <t>Jochutz</t>
  </si>
  <si>
    <t>Jutzenbach</t>
  </si>
  <si>
    <t>Kalb</t>
  </si>
  <si>
    <t>Kaltenbach</t>
  </si>
  <si>
    <t>Kraemer</t>
  </si>
  <si>
    <t>Krebs</t>
  </si>
  <si>
    <t>Kuhn</t>
  </si>
  <si>
    <t>Kummel</t>
  </si>
  <si>
    <t>Konig</t>
  </si>
  <si>
    <t>Konigsamen</t>
  </si>
  <si>
    <t>Lang</t>
  </si>
  <si>
    <t>Lankdorf</t>
  </si>
  <si>
    <t>Liess</t>
  </si>
  <si>
    <t>Lebengut</t>
  </si>
  <si>
    <t>Lutzen</t>
  </si>
  <si>
    <t>Machholt</t>
  </si>
  <si>
    <t>Meusmann</t>
  </si>
  <si>
    <t>Meyer</t>
  </si>
  <si>
    <t>Mohr</t>
  </si>
  <si>
    <t>Nachtmann</t>
  </si>
  <si>
    <t>Naubhof</t>
  </si>
  <si>
    <t>Netzhoch</t>
  </si>
  <si>
    <t>Neumann</t>
  </si>
  <si>
    <t>Niederlitz</t>
  </si>
  <si>
    <t>Nuhr</t>
  </si>
  <si>
    <t>Oberholtzer</t>
  </si>
  <si>
    <t>Ohrsten</t>
  </si>
  <si>
    <t>Otzlowe</t>
  </si>
  <si>
    <t>Reichert</t>
  </si>
  <si>
    <t>Reifsneider</t>
  </si>
  <si>
    <t>Riese</t>
  </si>
  <si>
    <t>Rohrig</t>
  </si>
  <si>
    <t>Reiss</t>
  </si>
  <si>
    <t>Schaffer</t>
  </si>
  <si>
    <t>Schaumer</t>
  </si>
  <si>
    <t>Scherer</t>
  </si>
  <si>
    <t>Schultz</t>
  </si>
  <si>
    <t>Schummacher</t>
  </si>
  <si>
    <t>Schleiermacher</t>
  </si>
  <si>
    <t>Schreiber</t>
  </si>
  <si>
    <t>Schwalb</t>
  </si>
  <si>
    <t>Steiner</t>
  </si>
  <si>
    <t>Tabbeck</t>
  </si>
  <si>
    <t>Teuber</t>
  </si>
  <si>
    <t>Tolzen</t>
  </si>
  <si>
    <t>Trachsel</t>
  </si>
  <si>
    <t>Weber</t>
  </si>
  <si>
    <t>Wechsler</t>
  </si>
  <si>
    <t>Wirtz</t>
  </si>
  <si>
    <t>Widmann</t>
  </si>
  <si>
    <t>Widmer</t>
  </si>
  <si>
    <t>Veit</t>
  </si>
  <si>
    <t>Vogt</t>
  </si>
  <si>
    <t>Vogel</t>
  </si>
  <si>
    <t>Zumwald</t>
  </si>
  <si>
    <t>Skleet</t>
  </si>
  <si>
    <t>Skre</t>
  </si>
  <si>
    <t>Skrit</t>
  </si>
  <si>
    <t>Snee</t>
  </si>
  <si>
    <t>Vas</t>
  </si>
  <si>
    <t>Vels</t>
  </si>
  <si>
    <t>Vrink</t>
  </si>
  <si>
    <t>prénom skaven</t>
  </si>
  <si>
    <t>Azhak</t>
  </si>
  <si>
    <t>Arrassik</t>
  </si>
  <si>
    <t>Bazat</t>
  </si>
  <si>
    <t>Burck</t>
  </si>
  <si>
    <t>Crittcin</t>
  </si>
  <si>
    <t>Durdrak</t>
  </si>
  <si>
    <t>Frikdwell</t>
  </si>
  <si>
    <t>Gazflem</t>
  </si>
  <si>
    <t>Gnawhakk</t>
  </si>
  <si>
    <t>Geshthisk</t>
  </si>
  <si>
    <t>Grisis</t>
  </si>
  <si>
    <t>Haskiskikk</t>
  </si>
  <si>
    <t>Ikik</t>
  </si>
  <si>
    <t>Khakkin</t>
  </si>
  <si>
    <t>Kratkis</t>
  </si>
  <si>
    <t>Kirkikual</t>
  </si>
  <si>
    <t>Kritslik</t>
  </si>
  <si>
    <t>Malklitch</t>
  </si>
  <si>
    <t>Massmatz</t>
  </si>
  <si>
    <t>Morsnagar</t>
  </si>
  <si>
    <t>Nurgnaard</t>
  </si>
  <si>
    <t>Paskner</t>
  </si>
  <si>
    <t>Prazneth</t>
  </si>
  <si>
    <t>Rassnik</t>
  </si>
  <si>
    <t>Rattquee</t>
  </si>
  <si>
    <t>Rhiquol</t>
  </si>
  <si>
    <t>Rusir</t>
  </si>
  <si>
    <t>Skirsrik</t>
  </si>
  <si>
    <t>Skeerin</t>
  </si>
  <si>
    <t>Skleetrit</t>
  </si>
  <si>
    <t>Skrerisk</t>
  </si>
  <si>
    <t>Skritsch</t>
  </si>
  <si>
    <t>Sneeskabak</t>
  </si>
  <si>
    <t>Thanskik</t>
  </si>
  <si>
    <t>Throskittar</t>
  </si>
  <si>
    <t>Thrasisk</t>
  </si>
  <si>
    <t>Tzarstisk</t>
  </si>
  <si>
    <t>Vart</t>
  </si>
  <si>
    <t>Vastabak</t>
  </si>
  <si>
    <t>Velstar</t>
  </si>
  <si>
    <t>Vrinkth</t>
  </si>
  <si>
    <t>Vermizarr</t>
  </si>
  <si>
    <t>Vittzel</t>
  </si>
  <si>
    <t>Visktak</t>
  </si>
  <si>
    <t>Vossaz</t>
  </si>
  <si>
    <t>Azhassik</t>
  </si>
  <si>
    <t>Azarat</t>
  </si>
  <si>
    <t>Arrck</t>
  </si>
  <si>
    <t>Bazcin</t>
  </si>
  <si>
    <t>Burdrak</t>
  </si>
  <si>
    <t>Crittdwell</t>
  </si>
  <si>
    <t>Durflem</t>
  </si>
  <si>
    <t>Frikhakk</t>
  </si>
  <si>
    <t>Gazhisk</t>
  </si>
  <si>
    <t>Gnawis</t>
  </si>
  <si>
    <t>Geshtiskikk</t>
  </si>
  <si>
    <t>Grisk</t>
  </si>
  <si>
    <t>Haskkin</t>
  </si>
  <si>
    <t>Ikikis</t>
  </si>
  <si>
    <t>Khakkual</t>
  </si>
  <si>
    <t>Kratlik</t>
  </si>
  <si>
    <t>Kirkilitch</t>
  </si>
  <si>
    <t>Kritsmatz</t>
  </si>
  <si>
    <t>Malknagar</t>
  </si>
  <si>
    <t>Massnaard</t>
  </si>
  <si>
    <t>Morsner</t>
  </si>
  <si>
    <t>Nurgneth</t>
  </si>
  <si>
    <t>Pasknik</t>
  </si>
  <si>
    <t>Prazquee</t>
  </si>
  <si>
    <t>Rassquol</t>
  </si>
  <si>
    <t>Rattr</t>
  </si>
  <si>
    <t>Rhirik</t>
  </si>
  <si>
    <t>Rusirin</t>
  </si>
  <si>
    <t>Skirsrit</t>
  </si>
  <si>
    <t>Skeerisk</t>
  </si>
  <si>
    <t>Skleetsch</t>
  </si>
  <si>
    <t>Skreskabak</t>
  </si>
  <si>
    <t>Skritskik</t>
  </si>
  <si>
    <t>Sneeskittar</t>
  </si>
  <si>
    <t>Thansisk</t>
  </si>
  <si>
    <t>Throstisk</t>
  </si>
  <si>
    <t>Thrat</t>
  </si>
  <si>
    <t>Tzartabak</t>
  </si>
  <si>
    <t>Vartar</t>
  </si>
  <si>
    <t>Vasth</t>
  </si>
  <si>
    <t>Velszarr</t>
  </si>
  <si>
    <t>Vrinkzel</t>
  </si>
  <si>
    <t>Azhdrak</t>
  </si>
  <si>
    <t>Azardwell</t>
  </si>
  <si>
    <t>Arrflem</t>
  </si>
  <si>
    <t>Bazhakk</t>
  </si>
  <si>
    <t>Burhisk</t>
  </si>
  <si>
    <t>Crittis</t>
  </si>
  <si>
    <t>Duriskikk</t>
  </si>
  <si>
    <t>Gazkin</t>
  </si>
  <si>
    <t>Gnawkis</t>
  </si>
  <si>
    <t>Geshtkual</t>
  </si>
  <si>
    <t>Grislik</t>
  </si>
  <si>
    <t>Hasklitch</t>
  </si>
  <si>
    <t>Ikimatz</t>
  </si>
  <si>
    <t>Khaknagar</t>
  </si>
  <si>
    <t>Kratnaard</t>
  </si>
  <si>
    <t>Kirkiner</t>
  </si>
  <si>
    <t>Kritsneth</t>
  </si>
  <si>
    <t>Malknik</t>
  </si>
  <si>
    <t>Massquee</t>
  </si>
  <si>
    <t>Morsquol</t>
  </si>
  <si>
    <t>Nurgr</t>
  </si>
  <si>
    <t>Paskrik</t>
  </si>
  <si>
    <t>Prazrin</t>
  </si>
  <si>
    <t>Rassrit</t>
  </si>
  <si>
    <t>Rattrisk</t>
  </si>
  <si>
    <t>Rhisch</t>
  </si>
  <si>
    <t>Rusiskabak</t>
  </si>
  <si>
    <t>Skirsskik</t>
  </si>
  <si>
    <t>Skeeskittar</t>
  </si>
  <si>
    <t>Skleetsisk</t>
  </si>
  <si>
    <t>Skrestisk</t>
  </si>
  <si>
    <t>Skritt</t>
  </si>
  <si>
    <t>Sneetabak</t>
  </si>
  <si>
    <t>Thantar</t>
  </si>
  <si>
    <t>Throth</t>
  </si>
  <si>
    <t>Thrazarr</t>
  </si>
  <si>
    <t>Tzarzel</t>
  </si>
  <si>
    <t>Varflem</t>
  </si>
  <si>
    <t>Vashakk</t>
  </si>
  <si>
    <t>Velshisk</t>
  </si>
  <si>
    <t>Vrinkis</t>
  </si>
  <si>
    <t>Vermiiskikk</t>
  </si>
  <si>
    <t>Vittk</t>
  </si>
  <si>
    <t>Visktkin</t>
  </si>
  <si>
    <t>Vosskis</t>
  </si>
  <si>
    <t>Frikat</t>
  </si>
  <si>
    <t>Gazck</t>
  </si>
  <si>
    <t>Gnawcin</t>
  </si>
  <si>
    <t>Geshtdrak</t>
  </si>
  <si>
    <t>Grisdwell</t>
  </si>
  <si>
    <t>Haskflem</t>
  </si>
  <si>
    <t>Ikihakk</t>
  </si>
  <si>
    <t>Khakhisk</t>
  </si>
  <si>
    <t>Kratis</t>
  </si>
  <si>
    <t>Kirkiiskikk</t>
  </si>
  <si>
    <t>Kritsk</t>
  </si>
  <si>
    <t>Malkkin</t>
  </si>
  <si>
    <t>Masskis</t>
  </si>
  <si>
    <t>Morskual</t>
  </si>
  <si>
    <t>Nurglik</t>
  </si>
  <si>
    <t>Pasklitch</t>
  </si>
  <si>
    <t>Prazmatz</t>
  </si>
  <si>
    <t>Rassnagar</t>
  </si>
  <si>
    <t>Rattnaard</t>
  </si>
  <si>
    <t>Rhiner</t>
  </si>
  <si>
    <t>Rusineth</t>
  </si>
  <si>
    <t>Skirsnik</t>
  </si>
  <si>
    <t>Skeequee</t>
  </si>
  <si>
    <t>Skleetquol</t>
  </si>
  <si>
    <t>Skrer</t>
  </si>
  <si>
    <t>Skritrik</t>
  </si>
  <si>
    <t>Sneerin</t>
  </si>
  <si>
    <t>Thanrit</t>
  </si>
  <si>
    <t>Throrisk</t>
  </si>
  <si>
    <t>Thrasch</t>
  </si>
  <si>
    <t>Tzarskabak</t>
  </si>
  <si>
    <t>Varskik</t>
  </si>
  <si>
    <t>Vasskittar</t>
  </si>
  <si>
    <t>Velssisk</t>
  </si>
  <si>
    <t>Vrinkstisk</t>
  </si>
  <si>
    <t>Vermit</t>
  </si>
  <si>
    <t>Vitttabak</t>
  </si>
  <si>
    <t>Viskttar</t>
  </si>
  <si>
    <t>Vossth</t>
  </si>
  <si>
    <t>Gnawaz</t>
  </si>
  <si>
    <t>Geshtassik</t>
  </si>
  <si>
    <t>Grisat</t>
  </si>
  <si>
    <t>Haskck</t>
  </si>
  <si>
    <t>Ikicin</t>
  </si>
  <si>
    <t>Khakdrak</t>
  </si>
  <si>
    <t>Kratdwell</t>
  </si>
  <si>
    <t>Kirkiflem</t>
  </si>
  <si>
    <t>Kritshakk</t>
  </si>
  <si>
    <t>Malkhisk</t>
  </si>
  <si>
    <t>Massis</t>
  </si>
  <si>
    <t>Morsiskikk</t>
  </si>
  <si>
    <t>Nurgk</t>
  </si>
  <si>
    <t>Paskkin</t>
  </si>
  <si>
    <t>Prazkis</t>
  </si>
  <si>
    <t>Rasskual</t>
  </si>
  <si>
    <t>Rattlik</t>
  </si>
  <si>
    <t>Rhilitch</t>
  </si>
  <si>
    <t>Rusimatz</t>
  </si>
  <si>
    <t>Skirsnagar</t>
  </si>
  <si>
    <t>Skeenaard</t>
  </si>
  <si>
    <t>Skleetner</t>
  </si>
  <si>
    <t>Skreneth</t>
  </si>
  <si>
    <t>Skritnik</t>
  </si>
  <si>
    <t>Sneequee</t>
  </si>
  <si>
    <t>Thanquol</t>
  </si>
  <si>
    <t>Thror</t>
  </si>
  <si>
    <t>Thrarik</t>
  </si>
  <si>
    <t>Tzarrin</t>
  </si>
  <si>
    <t>Varrit</t>
  </si>
  <si>
    <t>Vasrisk</t>
  </si>
  <si>
    <t>Velssch</t>
  </si>
  <si>
    <t>Vrinkskabak</t>
  </si>
  <si>
    <t>Vermiskik</t>
  </si>
  <si>
    <t>Vittskittar</t>
  </si>
  <si>
    <t>Visktsisk</t>
  </si>
  <si>
    <t>Vossstisk</t>
  </si>
  <si>
    <t>Griskual</t>
  </si>
  <si>
    <t>Hasklik</t>
  </si>
  <si>
    <t>Ikilitch</t>
  </si>
  <si>
    <t>Khakmatz</t>
  </si>
  <si>
    <t>Kratnagar</t>
  </si>
  <si>
    <t>Kirkinaard</t>
  </si>
  <si>
    <t>Kritsner</t>
  </si>
  <si>
    <t>Malkneth</t>
  </si>
  <si>
    <t>Massnik</t>
  </si>
  <si>
    <t>Morsquee</t>
  </si>
  <si>
    <t>Nurgquol</t>
  </si>
  <si>
    <t>Paskr</t>
  </si>
  <si>
    <t>Prazrik</t>
  </si>
  <si>
    <t>Rassrin</t>
  </si>
  <si>
    <t>Rattrit</t>
  </si>
  <si>
    <t>Rhirisk</t>
  </si>
  <si>
    <t>Rusisch</t>
  </si>
  <si>
    <t>Skirsskabak</t>
  </si>
  <si>
    <t>Skeeskik</t>
  </si>
  <si>
    <t>Skleetskittar</t>
  </si>
  <si>
    <t>Skresisk</t>
  </si>
  <si>
    <t>Skritstisk</t>
  </si>
  <si>
    <t>Sneet</t>
  </si>
  <si>
    <t>Thantabak</t>
  </si>
  <si>
    <t>Throtar</t>
  </si>
  <si>
    <t>Thrath</t>
  </si>
  <si>
    <t>Tzarzarr</t>
  </si>
  <si>
    <t>Varzel</t>
  </si>
  <si>
    <t>Vasassik</t>
  </si>
  <si>
    <t>Velsat</t>
  </si>
  <si>
    <t>Vrinkck</t>
  </si>
  <si>
    <t>Vermicin</t>
  </si>
  <si>
    <t>Vittdrak</t>
  </si>
  <si>
    <t>Visktdwell</t>
  </si>
  <si>
    <t>Vossflem</t>
  </si>
  <si>
    <t>Vermikis</t>
  </si>
  <si>
    <t>Vittkual</t>
  </si>
  <si>
    <t>Visktlik</t>
  </si>
  <si>
    <t>Vosslitch</t>
  </si>
  <si>
    <t>Kritsnaard</t>
  </si>
  <si>
    <t>Malkner</t>
  </si>
  <si>
    <t>Massneth</t>
  </si>
  <si>
    <t>Morsnik</t>
  </si>
  <si>
    <t>Nurgquee</t>
  </si>
  <si>
    <t>Paskquol</t>
  </si>
  <si>
    <t>Prazr</t>
  </si>
  <si>
    <t>Rassrik</t>
  </si>
  <si>
    <t>Rattrin</t>
  </si>
  <si>
    <t>Rhirit</t>
  </si>
  <si>
    <t>Rusirisk</t>
  </si>
  <si>
    <t>Skirssch</t>
  </si>
  <si>
    <t>Skeeskabak</t>
  </si>
  <si>
    <t>Skleetskik</t>
  </si>
  <si>
    <t>Skreskittar</t>
  </si>
  <si>
    <t>Skritsisk</t>
  </si>
  <si>
    <t>Sneestisk</t>
  </si>
  <si>
    <t>Thant</t>
  </si>
  <si>
    <t>Throtabak</t>
  </si>
  <si>
    <t>Thratar</t>
  </si>
  <si>
    <t>Tzarth</t>
  </si>
  <si>
    <t>Varzarr</t>
  </si>
  <si>
    <t>Vaszel</t>
  </si>
  <si>
    <t>Kirkirit</t>
  </si>
  <si>
    <t>Kritsrisk</t>
  </si>
  <si>
    <t>Malksch</t>
  </si>
  <si>
    <t>Massskabak</t>
  </si>
  <si>
    <t>Morsskik</t>
  </si>
  <si>
    <t>Nurgskittar</t>
  </si>
  <si>
    <t>Pasksisk</t>
  </si>
  <si>
    <t>Prazstisk</t>
  </si>
  <si>
    <t>Rasst</t>
  </si>
  <si>
    <t>Ratttabak</t>
  </si>
  <si>
    <t>Rhitar</t>
  </si>
  <si>
    <t>Rusith</t>
  </si>
  <si>
    <t>Skirszarr</t>
  </si>
  <si>
    <t>Skeezel</t>
  </si>
  <si>
    <t>WJDR 29</t>
  </si>
  <si>
    <t>L’homme écorché</t>
  </si>
  <si>
    <t>TdC 86</t>
  </si>
  <si>
    <t>TdR 62</t>
  </si>
  <si>
    <t>TdR 10</t>
  </si>
  <si>
    <t>TdR 29</t>
  </si>
  <si>
    <t>Liber Manaan</t>
  </si>
  <si>
    <t>Opuscules des enseignements de Véréna</t>
  </si>
  <si>
    <t>TdR 11</t>
  </si>
  <si>
    <t>TdR 12</t>
  </si>
  <si>
    <t>TdR 35</t>
  </si>
  <si>
    <t>TdR 46</t>
  </si>
  <si>
    <t>TdR 40</t>
  </si>
  <si>
    <t>Bellona Myrmidia</t>
  </si>
  <si>
    <t>TdR 50</t>
  </si>
  <si>
    <t>Deus Sigmar</t>
  </si>
  <si>
    <t>TdR 55</t>
  </si>
  <si>
    <t>Le livre de Sigmar</t>
  </si>
  <si>
    <t>Méditations sur le culte de Sigmar</t>
  </si>
  <si>
    <t>TdR 59</t>
  </si>
  <si>
    <t>Admonitions de Sigmar</t>
  </si>
  <si>
    <t>TdC 21</t>
  </si>
  <si>
    <t>TdR 67</t>
  </si>
  <si>
    <t>Le Credo d’Ulric</t>
  </si>
  <si>
    <t>Parchemins de la Vierge Noire</t>
  </si>
  <si>
    <t>TdR 165</t>
  </si>
  <si>
    <t>Un modeste traité sur la nature la magie</t>
  </si>
  <si>
    <t>RdS 18</t>
  </si>
  <si>
    <t>RdS 21</t>
  </si>
  <si>
    <t>Summa Magica</t>
  </si>
  <si>
    <t>RdS 33</t>
  </si>
  <si>
    <t>Liber Chaotica</t>
  </si>
  <si>
    <t>RdS 48</t>
  </si>
  <si>
    <t>Ordonnance impériale sur la sorcellerie</t>
  </si>
  <si>
    <t>RdS 65</t>
  </si>
  <si>
    <t>Almanach d’astronomie</t>
  </si>
  <si>
    <t>Grimoire des Sorcières de glace</t>
  </si>
  <si>
    <t>Codex de L’Ineffable damnation</t>
  </si>
  <si>
    <t>Catalogue de Chair</t>
  </si>
  <si>
    <t>TdC 87</t>
  </si>
  <si>
    <t>Tome de la Corruption</t>
  </si>
  <si>
    <t>TdC 90</t>
  </si>
  <si>
    <t>Livre impie de Hashut</t>
  </si>
  <si>
    <t>TdC 169</t>
  </si>
  <si>
    <t>Histoire de l’Estalie</t>
  </si>
  <si>
    <t>Histoire de la Bretonnie</t>
  </si>
  <si>
    <t>Histoire du Kislev</t>
  </si>
  <si>
    <t>Autre</t>
  </si>
  <si>
    <t>Oui</t>
  </si>
  <si>
    <t>Non</t>
  </si>
  <si>
    <t>Armorial Impérial</t>
  </si>
  <si>
    <t>Armorial du Royaume de Bretonnie</t>
  </si>
  <si>
    <t>Armorial de la République de Tilée</t>
  </si>
  <si>
    <t>Armorial Estalien</t>
  </si>
  <si>
    <t>Catalogue des Arts</t>
  </si>
  <si>
    <t>Sciences</t>
  </si>
  <si>
    <t>Traité de médecine de l'université d'Altdorf</t>
  </si>
  <si>
    <t>Essais chirurgicaux</t>
  </si>
  <si>
    <t>Traité de géologie et minéralogie</t>
  </si>
  <si>
    <t>Chartes et décrets bretonniens</t>
  </si>
  <si>
    <t>Lois du Kislev</t>
  </si>
  <si>
    <t>Codex Impérial</t>
  </si>
  <si>
    <t>Droit estalien</t>
  </si>
  <si>
    <t>Flore et autres plantes impériales</t>
  </si>
  <si>
    <t>Herbier du royaume de Bretonnie</t>
  </si>
  <si>
    <t>La Quête de l'Amour perdu</t>
  </si>
  <si>
    <t>Bestiaire 72</t>
  </si>
  <si>
    <t>La légende de Maldred</t>
  </si>
  <si>
    <t>DdD 6</t>
  </si>
  <si>
    <t>Légendes du Moussillon</t>
  </si>
  <si>
    <t>DdD 29</t>
  </si>
  <si>
    <t>Saga du scarabée de la mort</t>
  </si>
  <si>
    <t xml:space="preserve">Mythes et légendes </t>
  </si>
  <si>
    <t>Les leçons du Rat Cornu</t>
  </si>
  <si>
    <t>FdRC 39</t>
  </si>
  <si>
    <t>FdRC 7</t>
  </si>
  <si>
    <t>FdRC 9</t>
  </si>
  <si>
    <t>Journal de la rue de la Vermine</t>
  </si>
  <si>
    <t>MdlN 3</t>
  </si>
  <si>
    <t>Sermons de Verena</t>
  </si>
  <si>
    <t>MdlN 25</t>
  </si>
  <si>
    <t>Visions de Saint Ehrlich</t>
  </si>
  <si>
    <t>MdlN 41</t>
  </si>
  <si>
    <t>La Noire Malédiction des nécrarques</t>
  </si>
  <si>
    <t>MdlN 56</t>
  </si>
  <si>
    <t>Livre des rancunes</t>
  </si>
  <si>
    <t>Tome de la Sagesse</t>
  </si>
  <si>
    <t>MdlN 31</t>
  </si>
  <si>
    <t>MdlN 60</t>
  </si>
  <si>
    <t>Les livres de Nagash</t>
  </si>
  <si>
    <t>La peste &amp; les Principautés</t>
  </si>
  <si>
    <t>TaT 48</t>
  </si>
  <si>
    <t>TaT 8</t>
  </si>
  <si>
    <t>Tomes du Grand Tribunal des Édits</t>
  </si>
  <si>
    <t>Tome de Droit de Talabheim</t>
  </si>
  <si>
    <t>TaT 19</t>
  </si>
  <si>
    <t>Les skavens existent et ils sont parmi nous</t>
  </si>
  <si>
    <t>FdRC 4</t>
  </si>
  <si>
    <t xml:space="preserve">Carnets de Voyage </t>
  </si>
  <si>
    <t>Livre des profondeurs</t>
  </si>
  <si>
    <t>Traité impérial d'ingénierie</t>
  </si>
  <si>
    <t>Liber Stromfels</t>
  </si>
  <si>
    <t>Langues</t>
  </si>
  <si>
    <t>Dictionnaire Reikspiel/Bretonnien</t>
  </si>
  <si>
    <t>Dictionnaire Reikspiel/Estalien</t>
  </si>
  <si>
    <t>Dictionnaire Reikspiel/Tiléen</t>
  </si>
  <si>
    <t>Dictionnaire Reikspiel/Eltarin</t>
  </si>
  <si>
    <t>Dictionnaire Reikspiel/Kislevarin</t>
  </si>
  <si>
    <t>Dictionnaire Reikspiel/Khazalid</t>
  </si>
  <si>
    <t>Cryptex Impérial</t>
  </si>
  <si>
    <t>Chansons pour toutes les occasions</t>
  </si>
  <si>
    <t>Livre de cuisine impériale</t>
  </si>
  <si>
    <t>Livres</t>
  </si>
  <si>
    <t>A l'Index?</t>
  </si>
  <si>
    <t>Conn. Académiques</t>
  </si>
  <si>
    <t>Livre enluminé, relique religieuse, accesoires de calligraphie, vêtements religieux (tenue complète)</t>
  </si>
  <si>
    <t>Livre (relié et imprimé), carte gographique, longue-vue, outils d'artisan (autre), accessoires de calligraphie</t>
  </si>
  <si>
    <t>Notions de bases d'arabéen, norse et autres</t>
  </si>
  <si>
    <t>Journal de Werner Stoltz</t>
  </si>
  <si>
    <t>Les grands grafs de Middenheim</t>
  </si>
  <si>
    <t>La Conduite à tenir pour les défenseurs de la foi</t>
  </si>
  <si>
    <t>Mathématiques appliquées d'Arabie</t>
  </si>
  <si>
    <t>Types de carrières</t>
  </si>
  <si>
    <t>Guerrier</t>
  </si>
  <si>
    <t>Académicien</t>
  </si>
  <si>
    <t>Gens du Commun</t>
  </si>
  <si>
    <t>Criminel</t>
  </si>
  <si>
    <t>Rôdeur</t>
  </si>
  <si>
    <t>Embalmer</t>
  </si>
  <si>
    <t>Métayer</t>
  </si>
  <si>
    <t>60-65</t>
  </si>
  <si>
    <t>66-73</t>
  </si>
  <si>
    <t>type de rôle</t>
  </si>
  <si>
    <t>35+2d10</t>
  </si>
  <si>
    <t>Berserk norse</t>
  </si>
  <si>
    <t>Kossar kislevite</t>
  </si>
  <si>
    <t>Diestro estalien</t>
  </si>
  <si>
    <t>31-45</t>
  </si>
  <si>
    <t>46-50</t>
  </si>
  <si>
    <t>51-53</t>
  </si>
  <si>
    <t>91-92</t>
  </si>
  <si>
    <t>93-96</t>
  </si>
  <si>
    <t>97-100</t>
  </si>
  <si>
    <t>54-76</t>
  </si>
  <si>
    <t>Compréhension supérieure</t>
  </si>
  <si>
    <t>une pincée de phosphore pur (+2)</t>
  </si>
  <si>
    <t>Destin troublé</t>
  </si>
  <si>
    <t>Instabilité Aethyrique</t>
  </si>
  <si>
    <t>Lumière astrale</t>
  </si>
  <si>
    <t>48 mètres (24 cases) (grand gabarit)</t>
  </si>
  <si>
    <t>24 mètres (12 cases) (petit gabarit)</t>
  </si>
  <si>
    <t>Prédiction défavorable</t>
  </si>
  <si>
    <t>une lentille astronomique broyée (+2)</t>
  </si>
  <si>
    <t>Vision précise</t>
  </si>
  <si>
    <t>Vous gagnez un bonus significatif à votre vue, doublant la distance dans laquelle vous pouvez distinguer les choses avec clarté. Ce sort ne fonctionne pas avec les instruments mais uniquement avec la vue naturelle et vous octroie un bonus de +20 pour apercevoir des choses où seule la distance joue ou un bonus de +10 s'il y a d'autres troubles comme du brouillard ou de la fumée.</t>
  </si>
  <si>
    <t>une plume de griffon (+2)</t>
  </si>
  <si>
    <t>une lentille astronomique polie et neuve (+1)</t>
  </si>
  <si>
    <t>Projection astrale</t>
  </si>
  <si>
    <t>une bande élastique (+1)</t>
  </si>
  <si>
    <t>Tant que perdure ce sort, vos bras prennent une consistance élastique et peuvent s'étirer jusqu'à que 2cm de diamètre et 1 mètre/point de magie en longueur dans toutes les directions.</t>
  </si>
  <si>
    <t>Forme d'aigle</t>
  </si>
  <si>
    <t>Bras bestiaux</t>
  </si>
  <si>
    <t>Bras flexibles</t>
  </si>
  <si>
    <t>Forme de centaure</t>
  </si>
  <si>
    <t>1 heure/point de magie</t>
  </si>
  <si>
    <t>un morceau de peau de centigor ou de minotaure (+2)</t>
  </si>
  <si>
    <t>Peau de cuir</t>
  </si>
  <si>
    <t>votre peau devient aussi dure que du cuir. Pendant la durée de ce sort, vous bénéficiez d'un bonus de +2 d'armure sur toutes les zones de votre corps, Toutefois, à cause de la rigidité du cuir, vous subissez également un malus de -10% en Agilité et vous ne pouvez porter aucune armure. La transformation dure un nombre de minutes égale à votre valeur de Magie.</t>
  </si>
  <si>
    <t>un morceau de cuir non-tanné (+1)</t>
  </si>
  <si>
    <t>une plume d'hippogriffe (+3)</t>
  </si>
  <si>
    <t>De vous épaules surgissent deux larges ailes couvertes de plumes ou de peau de la couleur de votre choix. Vous gagnez le Talent Vol avec une valeur de Mouvement de 6. A chaque fois que vous subissez un point de blessure sous cette forme vous devez réussir un test de Force Mentale difficile (-20%) sous peine de reprendre instantanément votre forme humanoïde. Vous pouvez mettre fin à ce sort volontairement sans effort. Pour plus de renseignements sur les déplacements aériens, veuillez consulter le Chapitre 6: Combat, dégâts et mouvements. Vous ne pouvez lancer ce sort sur quelqu’un d’autre.</t>
  </si>
  <si>
    <t>Domaine de la Métamorphose</t>
  </si>
  <si>
    <t>Forme martiale</t>
  </si>
  <si>
    <t>un morceau de vêtement porté plus d'un an par un sorcier (+2)</t>
  </si>
  <si>
    <t>un morceau de vêtement porté plus d'un an par un guerrier (+2)</t>
  </si>
  <si>
    <t>Tant que perdure ce sort, vous gagnez un bonus de +10 en Force et en Endurance, et un bonus de +2 Blessures. Tout blessure subie tant que le sort est actif est d'abord enlevé de ce bonus.</t>
  </si>
  <si>
    <t>Vos jambes (mais pas vos chaussures ni vêtements) changent de forme vous conférant la mutation centauroïde tant que perdure ce sort. Vous gardez vos statistiques intactes mais votre valeur de mouvement change pour devenir celle de l'animal dont vous adoptez la forme. A chaque fois que vous subissez un point de blessure sous cette forme vous devez réussir un test de Force Mentale difficile (-20%) sous peine de reprendre instantanément votre forme humanoïde. Vous pouvez mettre fin à ce sort volontairement sans effort.</t>
  </si>
  <si>
    <t>Absence passagère</t>
  </si>
  <si>
    <t>un fragment de cerveau d'un dément (+2)</t>
  </si>
  <si>
    <t>Fascination</t>
  </si>
  <si>
    <t>une goutte de liquide céphalo-rachidien d'un dément (+2)</t>
  </si>
  <si>
    <t>Barrière Mentale</t>
  </si>
  <si>
    <t>Tant que perdure le sort, la cible de ce sort reçoit un bonus de +20 en FM et peut une et une seule fois relancer un test de FM, de Peur ou de Terreur manqué à moins que celui-ci ne cause un effet permanant.</t>
  </si>
  <si>
    <t>Tant que perdure le sort, la cible de ce sort reçoit un malus de +20 en FM et doit relancer un test de FM, de Peur ou de Terreur réussi.</t>
  </si>
  <si>
    <t>une pincée de limaille pure de fer (+1)</t>
  </si>
  <si>
    <t>une pincée de limaille rouillée de fer (+1)</t>
  </si>
  <si>
    <t>Faiblesse Mentale</t>
  </si>
  <si>
    <t>une corne de licorne (+2)</t>
  </si>
  <si>
    <t>La cible de ce sort au terme de l'incantation peut effectuer un test de Force Mentale par point de Folie. Pour chaque test réussi, elle perd un point de Folie jusqu'à ce qu'un test échoue ou qu'elle n'ait plus de point de Folie. Si le Test échoue par 3 degré de réussite ou plus, la cible gagne un point de Folie et le sort prend fin. Si vous utilisez le sort plus d'une fois au cours d'une période de 24 heures, vous devez réussir un test de Force Mentale par incantation supplémentaire sous peine de gagner 1 point de Folie.</t>
  </si>
  <si>
    <t>Esprit sain</t>
  </si>
  <si>
    <t>Perturbation</t>
  </si>
  <si>
    <t>une pincée de poudre de pierre d'alun (+1)</t>
  </si>
  <si>
    <t>une pincée de cuivre pur (+2)</t>
  </si>
  <si>
    <t>une plume d'hirondelle (+1)</t>
  </si>
  <si>
    <t>Vous pouvez projeter vos pensées directement dans l'esprit de quelqu'un d'autre. La cible doit réussir un test d'Intelligence modifié selon votre degré de relation (Proche +20, Ami +10, Neutre +0, Connaissance lointaine -20, Ennemi -30) pour parvenir à comprendre votre message. Si la cible échoue, elle est seulement perturbée par des visions n'ayant aucun sens pour elle.</t>
  </si>
  <si>
    <t>Pluie de météorites</t>
  </si>
  <si>
    <t>Domaine de la Conscience</t>
  </si>
  <si>
    <t>vous vous métamorphosez, mais pas vos vêtements ni vos possessions, en aigle. Vous conservez vos facultés d'esprit, votre Intelligence et votre Force Mentale, mais votre profil devient pour le reste celui d’un aigle (cf. Chapitre 11: Le bestiaire). Cet aspect vous interdit de parler ou de lancer des sorts. Vous pouvez à tout moment mettre un terme à celui-ci et reprendre votre forme normale. Le sort prend fin si vous subissez un coup critique. A chaque fois que vous subissez un point de blessure sous cette forme vous devez réussir un test de Force Mentale difficile (-20%) sous peine de reprendre instantanément votre forme humanoïde.</t>
  </si>
  <si>
    <t>Domaine de l'Astrologie</t>
  </si>
  <si>
    <t>Droit de la république de Tilée</t>
  </si>
  <si>
    <t>Canons du Saint Empereur Sigmar</t>
  </si>
  <si>
    <t>Les sursauts de la chair</t>
  </si>
  <si>
    <t>Comp 54</t>
  </si>
  <si>
    <t>Vade-mecum de Goelen</t>
  </si>
  <si>
    <t>Comp 53</t>
  </si>
  <si>
    <t>Principa Herbologium</t>
  </si>
  <si>
    <t>L'art du siège</t>
  </si>
  <si>
    <t>Divagations du Fol Azluhr Tobias-Sol</t>
  </si>
  <si>
    <t>Comp 3</t>
  </si>
  <si>
    <t>Compendium alchimicum</t>
  </si>
  <si>
    <t>La Généalogie des Von Carstein</t>
  </si>
  <si>
    <t>Le Désastre des chutes de Duskany</t>
  </si>
  <si>
    <t>MdlN 5</t>
  </si>
  <si>
    <t>Lai du Chevalier Vampire</t>
  </si>
  <si>
    <t>MdlN 8</t>
  </si>
  <si>
    <t>Charisme, Commérage, Connaissances académiques (droit), Connaissances générales (deux au choix), Evaluation,Intimidation, Jeu, Langage secret (langage de guilde), Langue (deux au choix), Langue (tiléen), Lire/écrire, Marchandage, Métier (banquier)</t>
  </si>
  <si>
    <t>Baratin OU Charisme, Commérage OU Marchandage, Connaissances académiques (droit), Connaissances académiques (généalogie/héraldique ou histoire), Connaissances générales (Empire), Langage secret (langage de guilde), Langue (reikspiel), Lire/écrire, Métier (homme de loi), Perception</t>
  </si>
  <si>
    <t xml:space="preserve">Compétences </t>
  </si>
  <si>
    <t>Acuité auditive, Armes naturelles, Coups puissants, Sens aiguisés</t>
  </si>
  <si>
    <t>Acuité auditive, Sens aiguisés</t>
  </si>
  <si>
    <t>Armes naturelles, Fuite, Sens aiguisés</t>
  </si>
  <si>
    <t>Armes naturelles, Sens aiguisés</t>
  </si>
  <si>
    <t>Cheval (kislevite)</t>
  </si>
  <si>
    <t xml:space="preserve">La Reine des glaces </t>
  </si>
  <si>
    <t>Natation (F), Perception (Int+10%)</t>
  </si>
  <si>
    <t>Ours des cavernes</t>
  </si>
  <si>
    <t>Ours des glaces</t>
  </si>
  <si>
    <t>RdG 134</t>
  </si>
  <si>
    <t>Talents et Traits</t>
  </si>
  <si>
    <t>Perception (Int +20%)</t>
  </si>
  <si>
    <t>Natation (F), Perception (Int+20%), Pistage (Int)</t>
  </si>
  <si>
    <t>Natation (F), Perception (Int)</t>
  </si>
  <si>
    <t>Perception (Int +10%)</t>
  </si>
  <si>
    <t>Armes naturelles, Camouflage rural, Sens aiguisés</t>
  </si>
  <si>
    <t>Déplacement silencieux (Ag), Dissimulation (Ag), Escalade (F), Perception (Int +20%)</t>
  </si>
  <si>
    <t>Perception (Int)</t>
  </si>
  <si>
    <t>Escalade (F), Perception (Int)</t>
  </si>
  <si>
    <t>Cheval (coursier elfique)</t>
  </si>
  <si>
    <t>Le Bestiaire</t>
  </si>
  <si>
    <t>Esquive (Ag), Natation (F), Perception (Int+20%)</t>
  </si>
  <si>
    <t>Lapin</t>
  </si>
  <si>
    <t>Hippogriffe</t>
  </si>
  <si>
    <t>Les chevaliers du graal</t>
  </si>
  <si>
    <t>Acuité auditive, Armes naturelles, Coups puissants, Sens aiguisés, Vol</t>
  </si>
  <si>
    <t>6(8)</t>
  </si>
  <si>
    <t>Esquive (Ag), Perception (Int+10%)</t>
  </si>
  <si>
    <t>2(8)</t>
  </si>
  <si>
    <t>2(7)</t>
  </si>
  <si>
    <t>8(10)</t>
  </si>
  <si>
    <t>1(6)</t>
  </si>
  <si>
    <t>Acuité auditive, Coups puissants, Sens aiguisés</t>
  </si>
  <si>
    <t>LRS 189</t>
  </si>
  <si>
    <t>LRS 190</t>
  </si>
  <si>
    <t>Oiseau de proie diurne (faucon)</t>
  </si>
  <si>
    <t>Oiseau de proie nocturne (chouette)</t>
  </si>
  <si>
    <t>Types suite</t>
  </si>
  <si>
    <t>Serviteur/Suivant</t>
  </si>
  <si>
    <t>Forme animale</t>
  </si>
  <si>
    <t>Forme volante</t>
  </si>
  <si>
    <t>Cheval (monture démoniaque)</t>
  </si>
  <si>
    <t>Acuité auditive, Armes naturelles, Aura démoniaque, Coups précis, Coups puissants, Mutation: Cornes énormes, Sens aiguisés, Vision nocturne, Volonté de fer</t>
  </si>
  <si>
    <t>Cheval (destrier du chaos)</t>
  </si>
  <si>
    <t>Bestiaire 120</t>
  </si>
  <si>
    <t>Bestiaire 121</t>
  </si>
  <si>
    <t>Cheval (cauchemar)</t>
  </si>
  <si>
    <t>Bestiaire 119</t>
  </si>
  <si>
    <t>Acuité auditive, Armes naturelles, Coups précis, Coups puissants, Mutations du chaos, Sens aiguisés</t>
  </si>
  <si>
    <t>Armes naturelles, Coups puissants, Mort-vivant, Vision nocturne</t>
  </si>
  <si>
    <t>Pouvoir de familier</t>
  </si>
  <si>
    <t>Réserve aethyrique</t>
  </si>
  <si>
    <t>Lien psychique</t>
  </si>
  <si>
    <t>Catalyseur magique</t>
  </si>
  <si>
    <t>Voix du maître</t>
  </si>
  <si>
    <t>Main du maître</t>
  </si>
  <si>
    <t>Voix de la raison</t>
  </si>
  <si>
    <t>Personnalité</t>
  </si>
  <si>
    <t>Distrait</t>
  </si>
  <si>
    <t>Ergoteur</t>
  </si>
  <si>
    <t>Maniaque</t>
  </si>
  <si>
    <t>Suffisant</t>
  </si>
  <si>
    <t>Critique</t>
  </si>
  <si>
    <t>Généreux</t>
  </si>
  <si>
    <t>Hyperactif</t>
  </si>
  <si>
    <t>Hypochondriaque</t>
  </si>
  <si>
    <t>Incohérent</t>
  </si>
  <si>
    <t>Intolérant</t>
  </si>
  <si>
    <t>Loyal</t>
  </si>
  <si>
    <t>Vigoureux</t>
  </si>
  <si>
    <t>Optimiste</t>
  </si>
  <si>
    <t>Paranoïaque</t>
  </si>
  <si>
    <t>Agressivité passive</t>
  </si>
  <si>
    <t>Psychotique</t>
  </si>
  <si>
    <t>Complètement cinglé</t>
  </si>
  <si>
    <t>Frimeur</t>
  </si>
  <si>
    <t>Relation</t>
  </si>
  <si>
    <t>Adoration</t>
  </si>
  <si>
    <t>Amitié</t>
  </si>
  <si>
    <t>Solitaire</t>
  </si>
  <si>
    <t>Distant</t>
  </si>
  <si>
    <t>Antagosniste</t>
  </si>
  <si>
    <t>Oeuil supplémentaire</t>
  </si>
  <si>
    <t>Langue barbelée</t>
  </si>
  <si>
    <t>Couleur bizarre</t>
  </si>
  <si>
    <t>Aveugle</t>
  </si>
  <si>
    <t>Corpulent</t>
  </si>
  <si>
    <t>Sourd</t>
  </si>
  <si>
    <t>Doigts supplémentaires</t>
  </si>
  <si>
    <t>Maigre</t>
  </si>
  <si>
    <t>Visage humanoïde</t>
  </si>
  <si>
    <t>Doigts manquants</t>
  </si>
  <si>
    <t>Membre manquant</t>
  </si>
  <si>
    <t>Odeur de musc</t>
  </si>
  <si>
    <t>Sans ombre</t>
  </si>
  <si>
    <t>Coquille ou carapace</t>
  </si>
  <si>
    <t>Gluant</t>
  </si>
  <si>
    <t>Couleur d'yeux étrange</t>
  </si>
  <si>
    <t>Tentacules</t>
  </si>
  <si>
    <t>Yeux troublants</t>
  </si>
  <si>
    <t>Ailes vestigiales</t>
  </si>
  <si>
    <t>Ailes de lévitation</t>
  </si>
  <si>
    <t>Ailes de vol</t>
  </si>
  <si>
    <t>Bizarreries</t>
  </si>
  <si>
    <t>Type:</t>
  </si>
  <si>
    <t>Personnalité:</t>
  </si>
  <si>
    <t>Dégarni</t>
  </si>
  <si>
    <t>Type de Relation:</t>
  </si>
  <si>
    <t>Toux préoccupante</t>
  </si>
  <si>
    <t>Bave</t>
  </si>
  <si>
    <t>Lèvres gercées</t>
  </si>
  <si>
    <t>Conjonctivite</t>
  </si>
  <si>
    <t>Allergique</t>
  </si>
  <si>
    <t>Haleine de chacal</t>
  </si>
  <si>
    <t>Tic nerveux</t>
  </si>
  <si>
    <t>Barbichette</t>
  </si>
  <si>
    <t>Regard insolite</t>
  </si>
  <si>
    <t>Nez qui coule</t>
  </si>
  <si>
    <t>Marques de brûlures</t>
  </si>
  <si>
    <t>Traits marqués</t>
  </si>
  <si>
    <t>Yeux injectés de sang</t>
  </si>
  <si>
    <t>Moustache distinguée</t>
  </si>
  <si>
    <t>Acné prononcée</t>
  </si>
  <si>
    <t>Cou couvert de boutons</t>
  </si>
  <si>
    <t>Crade</t>
  </si>
  <si>
    <t>Peau qui pèle</t>
  </si>
  <si>
    <t>Mains palmées</t>
  </si>
  <si>
    <t>Anneau nasal/piercing</t>
  </si>
  <si>
    <t>Masochiste</t>
  </si>
  <si>
    <t>Sadique</t>
  </si>
  <si>
    <t>Pervers/Salace</t>
  </si>
  <si>
    <t>Discret</t>
  </si>
  <si>
    <t>Grossier/Vulgaire</t>
  </si>
  <si>
    <t>Parfumé/Puant</t>
  </si>
  <si>
    <t>Armure complète de bois laqué</t>
  </si>
  <si>
    <t>Sexe:</t>
  </si>
  <si>
    <t>Type animal</t>
  </si>
  <si>
    <t>Monture</t>
  </si>
  <si>
    <t>Animal de compagnie</t>
  </si>
  <si>
    <t>Familier magique</t>
  </si>
  <si>
    <t>L'Arsenal du Vieux monde</t>
  </si>
  <si>
    <t>Dur en affaires, plus deux au choix (dont Intelligent le plus souvent)</t>
  </si>
  <si>
    <t>Éloquence, Sur ses gardes, plus deux au choix</t>
  </si>
  <si>
    <t>Ouvrier</t>
  </si>
  <si>
    <t>Force accrue, Fuite, plus deux au choix</t>
  </si>
  <si>
    <t>Acuité auditive, Étiquette, Résistance accrue, plus deux au choix</t>
  </si>
  <si>
    <t>Chirurgie, Étiquette, Grand voyageur, Intelligent, Résistance aux maladies, Sociable, plus deux au choix</t>
  </si>
  <si>
    <t>Domestique</t>
  </si>
  <si>
    <t>Domestique expérimenté</t>
  </si>
  <si>
    <t>Acuité auditive, Étiquette, Intelligence, Résistance accrue, Sociable</t>
  </si>
  <si>
    <t>Garde du corps expérimenté</t>
  </si>
  <si>
    <t>Combat de rue, Coups assommants, Désarmement, Force accrue, Maîtrise (armes de jet), Maîtrise (armes de parade), Résistance accrue, Robuste</t>
  </si>
  <si>
    <t>Combat de rue, Coups assommants, Coups puissants, Désarmement, Force accrue, Maîtrise (armes de jet), Maîtrise (armes de parade), Résistance accrue, Robuste</t>
  </si>
  <si>
    <t>Guide</t>
  </si>
  <si>
    <t>Combat de rue, Coups assommants, Coups puissants, Désarmement, Maîtrise (armes de jet), Maîtrise (armes de parade), Force accrue, Résistance accrue, Robuste</t>
  </si>
  <si>
    <t>Acuité visuelle, Course à pied, Grand voyageur, Sens de l'orientation, Sixième sens</t>
  </si>
  <si>
    <t>Pisteur expérimenté</t>
  </si>
  <si>
    <t>Coups assommants, Coups précis, Coups puissants, Maîtrise (armes lourdes), Robuste, Sang-froid, Sur ses gardes</t>
  </si>
  <si>
    <t>Marinier</t>
  </si>
  <si>
    <t>Force accrue, Grand voyageur, Sens de l'orientation, Vision nocturne</t>
  </si>
  <si>
    <t>Médecin de campagne</t>
  </si>
  <si>
    <t>Étiquette, Grand voyageur, Résistance aux maladies, Sangfroid, Sociable</t>
  </si>
  <si>
    <t>Chirurgie, Coups assommants, Étiquette, Grand voyageur, Résistance aux maladies, Sang-froid, Sociable</t>
  </si>
  <si>
    <t>Coups assommants, Coups puissants, Désarmement, Force accrue, Intelligent</t>
  </si>
  <si>
    <t>Mercenaire expérimenté</t>
  </si>
  <si>
    <t>Coups assommants, Coups puissants, Désarmement, Force accrue, Intelligent, Maîtrise (armes lourdes)</t>
  </si>
  <si>
    <t>Héraut</t>
  </si>
  <si>
    <t>Héraut expérimenté</t>
  </si>
  <si>
    <t>Acuité auditive, Course à pied, Grand voyageur, Sens de l'orientation</t>
  </si>
  <si>
    <t>Acuité auditive, Course à pied, Éloquence, Étiquette, Grand voyageur, Sens de l'orientation</t>
  </si>
  <si>
    <t>Harmonie aethyrique, Intelligent, Magie commune (occulte), Sixième sens, Sociable</t>
  </si>
  <si>
    <t>Harmonie aethyrique, Intelligent, Magie commune (occulte), Science de la magie (une au choix), Sixième sens, Sociable</t>
  </si>
  <si>
    <t>Harmonie aethyrique, Intelligent, Magie commune (occulte), Magie mineure (armure aethyrique), Projectile puissant, Science de la magie (une au choix), Sixième sens, Sociable</t>
  </si>
  <si>
    <t>Traducteur</t>
  </si>
  <si>
    <t>Erudit</t>
  </si>
  <si>
    <t>Acuité auditive, Calcul mental, Linguistique</t>
  </si>
  <si>
    <t>Bandit</t>
  </si>
  <si>
    <t>Forgeron</t>
  </si>
  <si>
    <t>Dur en affaires, Robuste, Valeureux</t>
  </si>
  <si>
    <t>Joueur professionnel</t>
  </si>
  <si>
    <t>Mendiant</t>
  </si>
  <si>
    <t>Roué</t>
  </si>
  <si>
    <t>Propriétaire</t>
  </si>
  <si>
    <t>Voleur de grand chemin</t>
  </si>
  <si>
    <t>Combat de rue, Coups puissants, Grand voyageur, Guerrier né, Résistance accrue</t>
  </si>
  <si>
    <t>Acuité visuelle, Code de la rue, Réflexes éclairs, Sociable</t>
  </si>
  <si>
    <t>Acuité auditive, Dur en affaires, Intelligent, Sociable</t>
  </si>
  <si>
    <t>Nurgling</t>
  </si>
  <si>
    <t>2(4)</t>
  </si>
  <si>
    <t>Ambidextre, Aura démoniaque, Sans peur, Troublant, Vision nocturne</t>
  </si>
  <si>
    <t>Chance, Eloquence,Réflexe éclairs, Résistance aux poisons, Robuste, Sociable</t>
  </si>
  <si>
    <t>Eloquence,Réflexes éclairs, Résistance aux poisons, Robuste, Sociable</t>
  </si>
  <si>
    <t>-------------------------------------------------------------------------------------------------------------------------------------</t>
  </si>
  <si>
    <t>Commérage (Soc), Conduite d'attelages (F), Connaissances générales (Empire) (Int), Dressage (Soc), Évaluation (Int), Langage secret (langage de guilde) (Int), Langue (reikspiel) (Int), Lire/écrire (Int), Marchandage (Soc), Métier (deux au choix), Perception (Int)</t>
  </si>
  <si>
    <t>Braconnage (Ag), Commérage (Soc), Conduite d'attelages (F), Connaissances générales (Empire) (Int), Déplacement silencieux (Ag), Dissimulation (Ag), Escalade (F), Esquive (Ag), Langue (reikspliel) (Int), Perception (Int), Soins des animaux (Int)</t>
  </si>
  <si>
    <t>Charisme (Soc), Commérage (Soc), Connaissances générales (Empire) (Int), Dressage (Soc), Escamotage (Ag), Évaluation (Int), Expression artistique (deux au choix) (Soc), Langue (reikspiel) (Int), Perception (Int)</t>
  </si>
  <si>
    <t>Escalade (F), Intimidation (F), Natation (F) (For), Perception (Int), Pistage (Int)</t>
  </si>
  <si>
    <t>Baratin (Soc), Commérage (Soc+10%), Connaissances générales (Empire) (Int), Esquive (Ag), Évaluation (Int), Fouille (Int), Langue (reikspiel) (Int), Lire/écrire (Int), Marchandage (Soc), Métier (cuisinier) (Int), Perception (Int), Soins des animaux (Int)</t>
  </si>
  <si>
    <t>Charisme (Soc), Commérage (Soc), Connaissances académiques (généalogie/héraldique) (Int), Connaissances générales (Empire) (Int), Dressage (Soc), Équitation (Ag), Esquive (Ag), Langue (bretonnien, reikspiel) (Int), Soins des animaux (Int)</t>
  </si>
  <si>
    <t>Charisme (Soc), Commérage (Soc+10%), Connaissances académiques (généalogie/héraldique) (Int), Connaissances générales (Bretonnie, Empire) (Int), Dressage (Soc), Équitation (Ag), Esquive (Ag), Langue (bretonnien, reikspiel) (Int), Soins des animaux (Int)</t>
  </si>
  <si>
    <t>Commérage (Soc), Connaissances générales (Empire) (Int), Esquive (Ag), Intimidation (F), Langue (reikspiel) (Int), Perception (Int), Soins (Int)</t>
  </si>
  <si>
    <t>Commérage (Soc), Connaissances générales (Empire), Esquive (Ag+10%), Intimidation (F), Langue (reikspiel) (Int), Perception (Int), Soins (Int)</t>
  </si>
  <si>
    <t>Commérage (Soc), Conduite d'attelages (F), Connaissances générales (Empire, Tilée) (Int), Esquive (Ag+10%), Intimidation (F), Jeu (Int), Langage secret (langage de bataille) (Int), Langue (reikspiel) (Int), Perception (Int), Soins (Int)</t>
  </si>
  <si>
    <t>Alphabet secret (rôdeur) (Int), Commérage (Soc), Connaissances générales (Bretonnie, Empire) (Int), Déplacement silencieux (Ag), Langage secret (langage des rôdeurs) (Int), Langue (reikspiel) (Int), Natation (F), Orientation (Int), Perception (Int), Survie (Int)</t>
  </si>
  <si>
    <t>Commérage (Soc), Conduite d'attelages (F), Connaissances générales (Empire), Esquive (Ag), Intimidation (F), Jeu (Int), Langue (reikspiel) (Int), Perception (Int), Soins (Int)</t>
  </si>
  <si>
    <t>Commérage (Soc), Connaissances académiques (droit, science) (Int), Connaissances générales (Empire) (Int), Langue (classique (Int), (reikspiel) (Int+10%), Lire/écrire (Int), Perception (Int), Résistance à l'alcool (E), Soins (Int+10%)</t>
  </si>
  <si>
    <t>Commérage (Soc), Connaissances académiques (droit, science) (Int), Connaissances générales (Empire) (Int), Langue (classique (Int), reikspiel (Int+10%)), Lire/écrire (Int), Perception (Int), Résistance à l'alcool (E), Soins (Int)</t>
  </si>
  <si>
    <t>Canotage (F), Charisme (Soc), Commérage (Soc), Conduite d'attelages (F), Connaissances générales (Empire) (Int), Déplacement silencieux (Ag), Dissimulation (Ag), Emprise sur les animaux (Soc), Expression artistique (chanteur) (Soc), Langue (reikspliel), Natation (F), Survie (Int)</t>
  </si>
  <si>
    <t>Commérage (Soc), Conduite d'attelages (F), Connaissances générales (Empire, Tilée) (Int), Esquive (Ag), Jeu (Int), Langage secret (langage de bataille) (Int), Langue (reikspiel, tiléen) (Int), Marchandage (Soc), Perception (Int), Résistance à l'alcool (E)</t>
  </si>
  <si>
    <t>Commérage (Soc), Conduite d'attelages (F), Connaissances générales (Empire, Tilée) (Int), Esquive (Ag), Fouille (Int), Jeu (Int), Langage secret (langage de bataille) (Int), Langue (reikspiel, tiléen) (Int), Marchandage (Soc), Perception (Int), Résistance à l'alcool (E)</t>
  </si>
  <si>
    <t>Commérage (Soc), Conduite d'attelages (F), Connaissances générales (Empire, Tilée) (Int), Esquive (Ag+10%), Fouille (Int), Jeu (Int), Langage secret (langage de bataille) (Int), Langue (reikspiel, tiléen) (Int), Marchandage (Soc), Perception (Int), Résistance à l'alcool (E)</t>
  </si>
  <si>
    <t>Canotage (F), Commérage (Soc), Connaissances générales (Empire, Pays Perdu) (Int), Escalade (Ag), Esquive (Ag), Langue (bretonnien, reikspiel) (Int), Natation (F), Navigation (Ag), Perception (Int), Résistance à l'alcool €</t>
  </si>
  <si>
    <t>Canotage (F), Commérage (Soc), Conduite d'attelages (F), Connaissances générales (Empire) (Int), Déplacement silencieux (Ag), Dissimulation (Ag), Dressage (Soc), Jeu (Int), Langue (reikspiel) (Int), Métier (cuisinier) (Int), Métier (fermier) (Soc), Natation (F)</t>
  </si>
  <si>
    <t>Alphabet secret (rôdeur) (Int), Commérage (Soc), Connaissances générales (Bretonnie, Empire) (Int), Déplacement silencieux (Ag), Équitation (Ag), Langage secret (langage des rôdeurs) (Int), Langue (reikspiel) (Int), Natation (F), Orientation (Int), Perception (Int), Survie (Int)</t>
  </si>
  <si>
    <t>Alphabet secret (rôdeur) (Int), Commérage (Soc), Connaissances générales (Bretonnie, Empire) (Int), Déplacement silencieux (Ag), Dissimulation (Ag), Équitation (Ag), Langage secret (langage des rôdeurs) (Int), Langue (reikspiel) (Int), Natation (F), Orientation (Int), Perception (Int), Survie (Int)</t>
  </si>
  <si>
    <t>Baratin (Soc), Commérage (Soc+10%), Connaissances générales (Empire) (Int), Escamotage (Ag), Esquive (Ag), Fouille (Int), Langue (reikspiel) (Int), Marchandage (Soc), Métier (cuisinier) (Int), Perception (Int)</t>
  </si>
  <si>
    <t>Commérage (Soc), Conduite d'attelages (F), Connaissances générales (Empire) (Int), Esquive (Ag), Intimidation (F), Jeu (Int), Langue (reikspiel) (Int), Perception (Int), Soins (Int)</t>
  </si>
  <si>
    <t>Commérage (Soc), Connaissances académiques (magie) (Int), Connaissances générales (Empire) (Int), Focalisation (FM), Fouille (Int), Langage mystique (magick) (Int), Langue (classique, reikspiel) (Int), Lire/écrire (Int), Perception (Int), Sens de la magie (FM)</t>
  </si>
  <si>
    <t>Commérage (Soc), Conduite d'attelages (F), Connaissances générales (Empire) (Int), Esquive (Ag+10%), Intimidation (F), Jeu (Int), Langue (reikspiel) (Int), Perception (Int), Soins (Int)</t>
  </si>
  <si>
    <t>Baratin (Soc), Connaissances générales (une au choix) (Int), Dissimulation (Ag), Fouille (Int), Langue (une au choix) (Int), Perception (Int)</t>
  </si>
  <si>
    <t>Misogyne/Phallocrate</t>
  </si>
  <si>
    <t>Misandre/Gymnocrate</t>
  </si>
  <si>
    <t>Dépendant</t>
  </si>
  <si>
    <t>Ambigu</t>
  </si>
  <si>
    <t>Amusant</t>
  </si>
  <si>
    <t>Angélique</t>
  </si>
  <si>
    <t>Blasé</t>
  </si>
  <si>
    <t>Capricieux</t>
  </si>
  <si>
    <t>Cérébral</t>
  </si>
  <si>
    <t>Chanceux</t>
  </si>
  <si>
    <t>Cleptomane</t>
  </si>
  <si>
    <t>Communicatif</t>
  </si>
  <si>
    <t>Concentré</t>
  </si>
  <si>
    <t>Conformiste</t>
  </si>
  <si>
    <t>Créatif</t>
  </si>
  <si>
    <t>Décent</t>
  </si>
  <si>
    <t>Délicat</t>
  </si>
  <si>
    <t>Désintéressé</t>
  </si>
  <si>
    <t>Doucereux</t>
  </si>
  <si>
    <t>Douteux</t>
  </si>
  <si>
    <t>Dur</t>
  </si>
  <si>
    <t>Économe</t>
  </si>
  <si>
    <t>Égoïste</t>
  </si>
  <si>
    <t>Excessif</t>
  </si>
  <si>
    <t>Explorateur</t>
  </si>
  <si>
    <t>Fantasque</t>
  </si>
  <si>
    <t>Féminin</t>
  </si>
  <si>
    <t>Fêtard</t>
  </si>
  <si>
    <t>Fier</t>
  </si>
  <si>
    <t>Fidèle</t>
  </si>
  <si>
    <t>Flatteur</t>
  </si>
  <si>
    <t>Fou</t>
  </si>
  <si>
    <t>Fougueux</t>
  </si>
  <si>
    <t>Franc</t>
  </si>
  <si>
    <t>Galant</t>
  </si>
  <si>
    <t>Honorable</t>
  </si>
  <si>
    <t>Hypocrite</t>
  </si>
  <si>
    <t>Hystérique</t>
  </si>
  <si>
    <t>Imaginatif</t>
  </si>
  <si>
    <t>Impatient</t>
  </si>
  <si>
    <t>Impliqué</t>
  </si>
  <si>
    <t>Impulsif</t>
  </si>
  <si>
    <t>Incertain</t>
  </si>
  <si>
    <t>Indépendant</t>
  </si>
  <si>
    <t>Intrépide</t>
  </si>
  <si>
    <t>Logique</t>
  </si>
  <si>
    <t>Mélomane</t>
  </si>
  <si>
    <t>Mythomane</t>
  </si>
  <si>
    <t>Négligent</t>
  </si>
  <si>
    <t>Objectif</t>
  </si>
  <si>
    <t>Pacifique</t>
  </si>
  <si>
    <t>Passionné</t>
  </si>
  <si>
    <t>Passionnel</t>
  </si>
  <si>
    <t>Patient</t>
  </si>
  <si>
    <t>Persévérant</t>
  </si>
  <si>
    <t>Protecteur</t>
  </si>
  <si>
    <t>Pudique</t>
  </si>
  <si>
    <t>Rabat-Joie</t>
  </si>
  <si>
    <t>Rancunier</t>
  </si>
  <si>
    <t>Réaliste</t>
  </si>
  <si>
    <t>Rebelle</t>
  </si>
  <si>
    <t>Sage</t>
  </si>
  <si>
    <t>Sanguin</t>
  </si>
  <si>
    <t>Sans pitié</t>
  </si>
  <si>
    <t>Sécurisant</t>
  </si>
  <si>
    <t>Sensible</t>
  </si>
  <si>
    <t>Sérieux</t>
  </si>
  <si>
    <t>Simple</t>
  </si>
  <si>
    <t>Solidaire</t>
  </si>
  <si>
    <t>Soumis</t>
  </si>
  <si>
    <t>Viril</t>
  </si>
  <si>
    <t>Peureux/Couard</t>
  </si>
  <si>
    <t>Perspicace</t>
  </si>
  <si>
    <t>Cafardeux/Dépressif</t>
  </si>
  <si>
    <t>Adorable</t>
  </si>
  <si>
    <t>Altruiste</t>
  </si>
  <si>
    <t>Cultivé/Instruit</t>
  </si>
  <si>
    <t>Gracieux</t>
  </si>
  <si>
    <t>Irrésistible</t>
  </si>
  <si>
    <t>Minutieux</t>
  </si>
  <si>
    <t>Observateur</t>
  </si>
  <si>
    <t>Pétillant</t>
  </si>
  <si>
    <t>Ponctuel</t>
  </si>
  <si>
    <t>Reconnaissant</t>
  </si>
  <si>
    <t>Rusé</t>
  </si>
  <si>
    <t>Sensuel</t>
  </si>
  <si>
    <t>Agressif</t>
  </si>
  <si>
    <t>Détestable</t>
  </si>
  <si>
    <t>Gênant</t>
  </si>
  <si>
    <t>Imprudent</t>
  </si>
  <si>
    <t>Lâche</t>
  </si>
  <si>
    <t>Manipulateur</t>
  </si>
  <si>
    <t>Mégalomane</t>
  </si>
  <si>
    <t>Nymphomane</t>
  </si>
  <si>
    <t>Râleur</t>
  </si>
  <si>
    <t>Vénal</t>
  </si>
  <si>
    <t>Sarcastique</t>
  </si>
  <si>
    <t>Débrouillard</t>
  </si>
  <si>
    <t xml:space="preserve">Torturé </t>
  </si>
  <si>
    <t>Direct</t>
  </si>
  <si>
    <t>Fouinard/Fouineur</t>
  </si>
  <si>
    <t>Impudique</t>
  </si>
  <si>
    <t>Idiot/Bête</t>
  </si>
  <si>
    <t>Déplaisant/Désagréable</t>
  </si>
  <si>
    <t>Inébranlable/Imperturbable</t>
  </si>
  <si>
    <t>Fainéant/Paresseux</t>
  </si>
  <si>
    <t>Rigide/Obtus</t>
  </si>
  <si>
    <t>Prétentieux/Péteux</t>
  </si>
  <si>
    <t>Puéril/Jeune d'esprit</t>
  </si>
  <si>
    <t>Avare/Radin</t>
  </si>
  <si>
    <t>Rationnel/Réfléchi</t>
  </si>
  <si>
    <t>Têtu/Tenace</t>
  </si>
  <si>
    <t>Agréable</t>
  </si>
  <si>
    <t>Calme/Flegmatique</t>
  </si>
  <si>
    <t>Charmant</t>
  </si>
  <si>
    <t>Décidé</t>
  </si>
  <si>
    <t>Dépensier</t>
  </si>
  <si>
    <t>Exigeant</t>
  </si>
  <si>
    <t>Frivole/Volage</t>
  </si>
  <si>
    <t>Incrédule</t>
  </si>
  <si>
    <t>Indécis</t>
  </si>
  <si>
    <t>Indifférant</t>
  </si>
  <si>
    <t>Ingrat</t>
  </si>
  <si>
    <t>Insatisfait</t>
  </si>
  <si>
    <t>Intègre</t>
  </si>
  <si>
    <t>Mélancolique/Nostalgique</t>
  </si>
  <si>
    <t>Menteur</t>
  </si>
  <si>
    <t>Passif</t>
  </si>
  <si>
    <t>Professionnel</t>
  </si>
  <si>
    <t>Scrupuleux</t>
  </si>
  <si>
    <t>Sincère/Candide</t>
  </si>
  <si>
    <t>Sobre/Spartiate</t>
  </si>
  <si>
    <t>Superficiel</t>
  </si>
  <si>
    <t>Asocial/Antipathique</t>
  </si>
  <si>
    <t>Désordonné/Bordélique</t>
  </si>
  <si>
    <t>Borné/Obstiné/Buté</t>
  </si>
  <si>
    <t>Blagueur/Bon vivant/Comique/Marant</t>
  </si>
  <si>
    <t>Rêveur/Pensif/Contemplatif</t>
  </si>
  <si>
    <t>Confient/Sûr</t>
  </si>
  <si>
    <t>Énigmatique/Mystérieux</t>
  </si>
  <si>
    <t>Attentionné/Bienveillant</t>
  </si>
  <si>
    <t xml:space="preserve">Nerveux/Anxieux/Inquiet </t>
  </si>
  <si>
    <t>Méchant/Mauvais</t>
  </si>
  <si>
    <t>Gentil/Bon</t>
  </si>
  <si>
    <t>Gourmand/Vorace/Glouton</t>
  </si>
  <si>
    <t>Solitaire/Distant/Froid</t>
  </si>
  <si>
    <t>Charismatique/Leader/Autoritaire</t>
  </si>
  <si>
    <t>Émotif/Expansif</t>
  </si>
  <si>
    <t>Téméraire/Audacieux</t>
  </si>
  <si>
    <t>Doux/Tendre</t>
  </si>
  <si>
    <t>Violent/Vindicatif/Belliqueux/Virulent</t>
  </si>
  <si>
    <t>Sordide/Morbide</t>
  </si>
  <si>
    <t>M'as-tu-vu/Snob</t>
  </si>
  <si>
    <t>Ambitieux/Aventureux</t>
  </si>
  <si>
    <t>Cupide/Avide</t>
  </si>
  <si>
    <t>Beau parleur/Pleurnichard/Bavard</t>
  </si>
  <si>
    <t>Bourru/Revêche</t>
  </si>
  <si>
    <t>Habile/Doué/Adroit/Brillant/Ingénieux</t>
  </si>
  <si>
    <t>Grincheux/Loufoque/Geignard</t>
  </si>
  <si>
    <t>Poli/Courtois</t>
  </si>
  <si>
    <t>Impoli/Pimbêche</t>
  </si>
  <si>
    <t>Naïf/Influençable/Crédule</t>
  </si>
  <si>
    <t>Anticonformiste/Excentrique/Original</t>
  </si>
  <si>
    <t>Coléreux/Colérique/Susceptible/Caractériel</t>
  </si>
  <si>
    <t>Arrogant/Insolent/Irrévérencieux</t>
  </si>
  <si>
    <t>Je-sais-tout/Pompeux/Pédant/Hautain</t>
  </si>
  <si>
    <t>Stable/Mature</t>
  </si>
  <si>
    <t>Malicieux/Taquin</t>
  </si>
  <si>
    <t>Courageux/Brave</t>
  </si>
  <si>
    <t>Prudent/Averti</t>
  </si>
  <si>
    <t>Pessimiste/Négatif</t>
  </si>
  <si>
    <t>Sentimental/Romantique</t>
  </si>
  <si>
    <t>Machiavélique/Diabolique</t>
  </si>
  <si>
    <t>Ironique/Sarcastique/Cynique</t>
  </si>
  <si>
    <t>Morose/Triste</t>
  </si>
  <si>
    <t>Narcissique/Egocentrique</t>
  </si>
  <si>
    <t>Méticuleux/Consciencieux/Méthodique</t>
  </si>
  <si>
    <t>Serviable/Dévoué</t>
  </si>
  <si>
    <t>Naturel/Spontané</t>
  </si>
  <si>
    <t>Amical/Aimant/Accueillant/Chaleureux</t>
  </si>
  <si>
    <t>Honnête/Juste/Digne</t>
  </si>
  <si>
    <t>Obéissant/Docile</t>
  </si>
  <si>
    <t>Jaloux/Envieux</t>
  </si>
  <si>
    <t>Exubérant/Extravagant/Extraverti</t>
  </si>
  <si>
    <t>Mou/Faible</t>
  </si>
  <si>
    <t>Traître/Malhonnête/Fourbe</t>
  </si>
  <si>
    <t>Opportuniste/Escroc/Tricheur</t>
  </si>
  <si>
    <t>Intelligent/Malin</t>
  </si>
  <si>
    <t>Content/Gai/Jovial/Joyeux</t>
  </si>
  <si>
    <t>Timide/Réservé</t>
  </si>
  <si>
    <t>Volontaire/Enthousiaste</t>
  </si>
  <si>
    <t>Strict/Sévère/Ferme</t>
  </si>
  <si>
    <t>Maladroit/Gaffeur</t>
  </si>
  <si>
    <t>Humble/Modeste</t>
  </si>
  <si>
    <t>Vaniteux/Vantard/Orgueilleux</t>
  </si>
  <si>
    <t>Compréhensif/Tolérant/Ouvert</t>
  </si>
  <si>
    <t>Apaisant/Rassurant</t>
  </si>
  <si>
    <t>Matérialiste/Possessif</t>
  </si>
  <si>
    <t>Brutal/Rustre</t>
  </si>
  <si>
    <t>Malsain/Sournois/Mesquin/Vicieux</t>
  </si>
  <si>
    <t>Couleur des yeux:</t>
  </si>
  <si>
    <t>Violet</t>
  </si>
  <si>
    <t>yeux animaux</t>
  </si>
  <si>
    <t>Massue</t>
  </si>
  <si>
    <t>Massue à pointe</t>
  </si>
  <si>
    <t>Miséricorde</t>
  </si>
  <si>
    <t>Sabre d'escrime</t>
  </si>
  <si>
    <t>Espadon</t>
  </si>
  <si>
    <t>Pertuisane</t>
  </si>
  <si>
    <t>Arbalète à cric</t>
  </si>
  <si>
    <t>salaires et frais</t>
  </si>
  <si>
    <t>Ours commun</t>
  </si>
  <si>
    <t>5 sc</t>
  </si>
  <si>
    <t>10 sc</t>
  </si>
  <si>
    <t>Rien</t>
  </si>
  <si>
    <t>2 sc</t>
  </si>
  <si>
    <t>3 pa</t>
  </si>
  <si>
    <t>4 pa</t>
  </si>
  <si>
    <t>5 pa</t>
  </si>
  <si>
    <t>2 pa</t>
  </si>
  <si>
    <t>1 pa</t>
  </si>
  <si>
    <t>15 pa</t>
  </si>
  <si>
    <t>10 pa</t>
  </si>
  <si>
    <t>6 pa</t>
  </si>
  <si>
    <t>12 pa</t>
  </si>
  <si>
    <t>O21</t>
  </si>
  <si>
    <t>O22</t>
  </si>
  <si>
    <t>O23</t>
  </si>
  <si>
    <t>Dague, symbole religieux (petit), vêtements religieux (tenue complète), 15CO</t>
  </si>
  <si>
    <t xml:space="preserve">Aby   </t>
  </si>
  <si>
    <t xml:space="preserve">Akim </t>
  </si>
  <si>
    <t xml:space="preserve">Alex   </t>
  </si>
  <si>
    <t xml:space="preserve">Ali   </t>
  </si>
  <si>
    <t xml:space="preserve">Amigos    </t>
  </si>
  <si>
    <t xml:space="preserve">Apache    </t>
  </si>
  <si>
    <t xml:space="preserve">Archie    </t>
  </si>
  <si>
    <t>Atos</t>
  </si>
  <si>
    <t xml:space="preserve">Baboune   </t>
  </si>
  <si>
    <t xml:space="preserve">Bacchus   </t>
  </si>
  <si>
    <t xml:space="preserve">Bali   </t>
  </si>
  <si>
    <t xml:space="preserve">Balou   </t>
  </si>
  <si>
    <t xml:space="preserve">Bandit  </t>
  </si>
  <si>
    <t xml:space="preserve">Baron   </t>
  </si>
  <si>
    <t xml:space="preserve">Barou   </t>
  </si>
  <si>
    <t>Batman</t>
  </si>
  <si>
    <t xml:space="preserve">Bébé   </t>
  </si>
  <si>
    <t xml:space="preserve">Bella   </t>
  </si>
  <si>
    <t xml:space="preserve">Belle   </t>
  </si>
  <si>
    <t xml:space="preserve">Belzebuth    </t>
  </si>
  <si>
    <t xml:space="preserve">Benji    </t>
  </si>
  <si>
    <t xml:space="preserve">Benny    </t>
  </si>
  <si>
    <t>Bergamote</t>
  </si>
  <si>
    <t xml:space="preserve">Betoveen   </t>
  </si>
  <si>
    <t>Betsy</t>
  </si>
  <si>
    <t xml:space="preserve">Bibi   </t>
  </si>
  <si>
    <t xml:space="preserve">Bidule    </t>
  </si>
  <si>
    <t xml:space="preserve">Bill    </t>
  </si>
  <si>
    <t xml:space="preserve">Billy   </t>
  </si>
  <si>
    <t>Biscuit</t>
  </si>
  <si>
    <t xml:space="preserve">Bizounne   </t>
  </si>
  <si>
    <t xml:space="preserve">Blackie    </t>
  </si>
  <si>
    <t xml:space="preserve">Blanc    </t>
  </si>
  <si>
    <t xml:space="preserve">Blanche   </t>
  </si>
  <si>
    <t>Bobby</t>
  </si>
  <si>
    <t xml:space="preserve">Bobette   </t>
  </si>
  <si>
    <t xml:space="preserve">Bobinette   </t>
  </si>
  <si>
    <t xml:space="preserve">Boddy   </t>
  </si>
  <si>
    <t xml:space="preserve">Bonnie   </t>
  </si>
  <si>
    <t xml:space="preserve">Boots    </t>
  </si>
  <si>
    <t xml:space="preserve">Boston  </t>
  </si>
  <si>
    <t>Bottine</t>
  </si>
  <si>
    <t xml:space="preserve">Bouboum   </t>
  </si>
  <si>
    <t xml:space="preserve">Bouda   </t>
  </si>
  <si>
    <t xml:space="preserve">Boudhas  </t>
  </si>
  <si>
    <t xml:space="preserve">Boogie    </t>
  </si>
  <si>
    <t xml:space="preserve">Bougon   </t>
  </si>
  <si>
    <t xml:space="preserve">Brandy   </t>
  </si>
  <si>
    <t xml:space="preserve">Bristy   </t>
  </si>
  <si>
    <t xml:space="preserve">Brutus   </t>
  </si>
  <si>
    <t xml:space="preserve">Bud    </t>
  </si>
  <si>
    <t xml:space="preserve">Buddy   </t>
  </si>
  <si>
    <t xml:space="preserve">Buffy   </t>
  </si>
  <si>
    <t xml:space="preserve">Bullit   </t>
  </si>
  <si>
    <t>Bus</t>
  </si>
  <si>
    <t xml:space="preserve">Cachemire   </t>
  </si>
  <si>
    <t xml:space="preserve">Cachou   </t>
  </si>
  <si>
    <t xml:space="preserve">Cactus   </t>
  </si>
  <si>
    <t xml:space="preserve">Cadeau   </t>
  </si>
  <si>
    <t>Café</t>
  </si>
  <si>
    <t>Calypso</t>
  </si>
  <si>
    <t xml:space="preserve">Candy   </t>
  </si>
  <si>
    <t xml:space="preserve">Canon   </t>
  </si>
  <si>
    <t xml:space="preserve">Capitaine  </t>
  </si>
  <si>
    <t xml:space="preserve">Capri   </t>
  </si>
  <si>
    <t>Capucin</t>
  </si>
  <si>
    <t>Capucine</t>
  </si>
  <si>
    <t xml:space="preserve">Caramel   </t>
  </si>
  <si>
    <t xml:space="preserve">Cartouche   </t>
  </si>
  <si>
    <t xml:space="preserve">Cashew   </t>
  </si>
  <si>
    <t xml:space="preserve">Cassiopée   </t>
  </si>
  <si>
    <t xml:space="preserve">Catchoune  </t>
  </si>
  <si>
    <t xml:space="preserve">Cathy   </t>
  </si>
  <si>
    <t xml:space="preserve">César  </t>
  </si>
  <si>
    <t xml:space="preserve">Chanelle   </t>
  </si>
  <si>
    <t>Chaplin</t>
  </si>
  <si>
    <t xml:space="preserve">Charlemagne    </t>
  </si>
  <si>
    <t>Charlie</t>
  </si>
  <si>
    <t xml:space="preserve">Brown   </t>
  </si>
  <si>
    <t xml:space="preserve">Charlot    </t>
  </si>
  <si>
    <t>Charlotte</t>
  </si>
  <si>
    <t xml:space="preserve">Charly   </t>
  </si>
  <si>
    <t xml:space="preserve">Chatouille   </t>
  </si>
  <si>
    <t xml:space="preserve">Chico   </t>
  </si>
  <si>
    <t xml:space="preserve">Chicklette   </t>
  </si>
  <si>
    <t xml:space="preserve">Chinook     </t>
  </si>
  <si>
    <t xml:space="preserve">Chip   </t>
  </si>
  <si>
    <t xml:space="preserve">Chipie  </t>
  </si>
  <si>
    <t xml:space="preserve">Chloée   </t>
  </si>
  <si>
    <t xml:space="preserve">Choco  </t>
  </si>
  <si>
    <t xml:space="preserve">Choumy   </t>
  </si>
  <si>
    <t xml:space="preserve">Choupette   </t>
  </si>
  <si>
    <t>Chuck</t>
  </si>
  <si>
    <t xml:space="preserve">Cincenne  </t>
  </si>
  <si>
    <t xml:space="preserve">Cléa  </t>
  </si>
  <si>
    <t xml:space="preserve">Clifford   </t>
  </si>
  <si>
    <t xml:space="preserve">Coco   </t>
  </si>
  <si>
    <t xml:space="preserve">Cocotte  </t>
  </si>
  <si>
    <t>Cookie</t>
  </si>
  <si>
    <t xml:space="preserve">Cool   </t>
  </si>
  <si>
    <t xml:space="preserve">Cooper   </t>
  </si>
  <si>
    <t xml:space="preserve">Copine   </t>
  </si>
  <si>
    <t xml:space="preserve">Coquette  </t>
  </si>
  <si>
    <t xml:space="preserve">Coquine   </t>
  </si>
  <si>
    <t xml:space="preserve">Cosco   </t>
  </si>
  <si>
    <t xml:space="preserve">Cotton  </t>
  </si>
  <si>
    <t xml:space="preserve">Cotonnelle   </t>
  </si>
  <si>
    <t xml:space="preserve">Coucoune    </t>
  </si>
  <si>
    <t>Crunchi</t>
  </si>
  <si>
    <t xml:space="preserve">Daffy   </t>
  </si>
  <si>
    <t xml:space="preserve">Daily    </t>
  </si>
  <si>
    <t xml:space="preserve">Daisy   </t>
  </si>
  <si>
    <t xml:space="preserve">Dakota   </t>
  </si>
  <si>
    <t xml:space="preserve">Daphnée   </t>
  </si>
  <si>
    <t xml:space="preserve">Dédé   </t>
  </si>
  <si>
    <t>Delphie</t>
  </si>
  <si>
    <t xml:space="preserve">Désy   </t>
  </si>
  <si>
    <t xml:space="preserve">Dick   </t>
  </si>
  <si>
    <t xml:space="preserve">Dimitra  </t>
  </si>
  <si>
    <t xml:space="preserve">Dixie   </t>
  </si>
  <si>
    <t xml:space="preserve">Doudou   </t>
  </si>
  <si>
    <t xml:space="preserve">Doudouce   </t>
  </si>
  <si>
    <t xml:space="preserve">Duc  </t>
  </si>
  <si>
    <t>Duchesse</t>
  </si>
  <si>
    <t xml:space="preserve">Eko  </t>
  </si>
  <si>
    <t xml:space="preserve">Eli  </t>
  </si>
  <si>
    <t xml:space="preserve">Elmo   </t>
  </si>
  <si>
    <t xml:space="preserve">Elsa   </t>
  </si>
  <si>
    <t xml:space="preserve">Emmy  </t>
  </si>
  <si>
    <t xml:space="preserve">Epi   </t>
  </si>
  <si>
    <t xml:space="preserve">Ester  </t>
  </si>
  <si>
    <t xml:space="preserve">Epson  </t>
  </si>
  <si>
    <t>Enza</t>
  </si>
  <si>
    <t>E.T.</t>
  </si>
  <si>
    <t xml:space="preserve">Fafoin   </t>
  </si>
  <si>
    <t xml:space="preserve">Falcon   </t>
  </si>
  <si>
    <t xml:space="preserve">Fanie   </t>
  </si>
  <si>
    <t xml:space="preserve">Fanny   </t>
  </si>
  <si>
    <t xml:space="preserve">Fée   </t>
  </si>
  <si>
    <t xml:space="preserve">Féfille   </t>
  </si>
  <si>
    <t xml:space="preserve">Félicia    </t>
  </si>
  <si>
    <t xml:space="preserve">Filou   </t>
  </si>
  <si>
    <t xml:space="preserve">Fiona   </t>
  </si>
  <si>
    <t xml:space="preserve">Fiston   </t>
  </si>
  <si>
    <t xml:space="preserve">Flick   </t>
  </si>
  <si>
    <t xml:space="preserve">Flocki   </t>
  </si>
  <si>
    <t xml:space="preserve">Flocon   </t>
  </si>
  <si>
    <t xml:space="preserve">Floffy   </t>
  </si>
  <si>
    <t>Flopie</t>
  </si>
  <si>
    <t xml:space="preserve">Floppy   </t>
  </si>
  <si>
    <t xml:space="preserve">Floyd   </t>
  </si>
  <si>
    <t xml:space="preserve">Fluffy   </t>
  </si>
  <si>
    <t xml:space="preserve">Flyp   </t>
  </si>
  <si>
    <t xml:space="preserve">Fonzo   </t>
  </si>
  <si>
    <t xml:space="preserve">Ford   </t>
  </si>
  <si>
    <t xml:space="preserve">Foxy   </t>
  </si>
  <si>
    <t xml:space="preserve">Fred   </t>
  </si>
  <si>
    <t xml:space="preserve">Friboule   </t>
  </si>
  <si>
    <t xml:space="preserve">Frimousse   </t>
  </si>
  <si>
    <t xml:space="preserve">Fripon   </t>
  </si>
  <si>
    <t xml:space="preserve">Fripouille   </t>
  </si>
  <si>
    <t xml:space="preserve">Frisco   </t>
  </si>
  <si>
    <t xml:space="preserve">Frisou  </t>
  </si>
  <si>
    <t xml:space="preserve">Frisson  </t>
  </si>
  <si>
    <t>Frosty</t>
  </si>
  <si>
    <t>Froufrou</t>
  </si>
  <si>
    <t xml:space="preserve">Gaby  </t>
  </si>
  <si>
    <t xml:space="preserve">Gamin   </t>
  </si>
  <si>
    <t xml:space="preserve">Gamine   </t>
  </si>
  <si>
    <t xml:space="preserve">Garçon   </t>
  </si>
  <si>
    <t xml:space="preserve">Garfield   </t>
  </si>
  <si>
    <t xml:space="preserve">Gazou   </t>
  </si>
  <si>
    <t xml:space="preserve">Gigi   </t>
  </si>
  <si>
    <t xml:space="preserve">Gitane   </t>
  </si>
  <si>
    <t xml:space="preserve">Goofy   </t>
  </si>
  <si>
    <t xml:space="preserve">Goliath   </t>
  </si>
  <si>
    <t>Grisouille</t>
  </si>
  <si>
    <t xml:space="preserve">Grisoune   </t>
  </si>
  <si>
    <t xml:space="preserve">Grisous   </t>
  </si>
  <si>
    <t>Grominet</t>
  </si>
  <si>
    <t xml:space="preserve">Gucci   </t>
  </si>
  <si>
    <t xml:space="preserve">Guimauve   </t>
  </si>
  <si>
    <t>Guismo</t>
  </si>
  <si>
    <t xml:space="preserve">Héra   </t>
  </si>
  <si>
    <t xml:space="preserve">Heïdi   </t>
  </si>
  <si>
    <t xml:space="preserve">Hercule   </t>
  </si>
  <si>
    <t xml:space="preserve">Henry   </t>
  </si>
  <si>
    <t xml:space="preserve">Hermès   </t>
  </si>
  <si>
    <t xml:space="preserve">Honey </t>
  </si>
  <si>
    <t xml:space="preserve">Iseult   </t>
  </si>
  <si>
    <t xml:space="preserve">Irma  </t>
  </si>
  <si>
    <t>Irus</t>
  </si>
  <si>
    <t xml:space="preserve">Jack </t>
  </si>
  <si>
    <t xml:space="preserve">Jeff   </t>
  </si>
  <si>
    <t xml:space="preserve">Jerry   </t>
  </si>
  <si>
    <t xml:space="preserve">Jessie   </t>
  </si>
  <si>
    <t xml:space="preserve">Jimbo   </t>
  </si>
  <si>
    <t xml:space="preserve">Jimmy   </t>
  </si>
  <si>
    <t>Joey</t>
  </si>
  <si>
    <t xml:space="preserve">Joséphine   </t>
  </si>
  <si>
    <t xml:space="preserve">Judy   </t>
  </si>
  <si>
    <t xml:space="preserve">Juliette   </t>
  </si>
  <si>
    <t xml:space="preserve">Junior   </t>
  </si>
  <si>
    <t xml:space="preserve">Jupiter   </t>
  </si>
  <si>
    <t xml:space="preserve">Kali   </t>
  </si>
  <si>
    <t xml:space="preserve">Karamel   </t>
  </si>
  <si>
    <t xml:space="preserve">Karmina  </t>
  </si>
  <si>
    <t xml:space="preserve">Katou   </t>
  </si>
  <si>
    <t xml:space="preserve">Kaval   </t>
  </si>
  <si>
    <t xml:space="preserve">Kelly  </t>
  </si>
  <si>
    <t>Kessy</t>
  </si>
  <si>
    <t xml:space="preserve">Kiki   </t>
  </si>
  <si>
    <t xml:space="preserve">Kim   </t>
  </si>
  <si>
    <t xml:space="preserve">Kimmy   </t>
  </si>
  <si>
    <t xml:space="preserve">Kina   </t>
  </si>
  <si>
    <t xml:space="preserve">Kiwi   </t>
  </si>
  <si>
    <t>Kosto</t>
  </si>
  <si>
    <t xml:space="preserve">Lafille   </t>
  </si>
  <si>
    <t xml:space="preserve">Laika   </t>
  </si>
  <si>
    <t xml:space="preserve">Lali   </t>
  </si>
  <si>
    <t xml:space="preserve">Lasca   </t>
  </si>
  <si>
    <t xml:space="preserve">Lascault   </t>
  </si>
  <si>
    <t>Layka</t>
  </si>
  <si>
    <t xml:space="preserve">Léo   </t>
  </si>
  <si>
    <t>Léonne</t>
  </si>
  <si>
    <t xml:space="preserve">Litaine   </t>
  </si>
  <si>
    <t xml:space="preserve">Louki   </t>
  </si>
  <si>
    <t xml:space="preserve">Loulou   </t>
  </si>
  <si>
    <t xml:space="preserve">Louny   </t>
  </si>
  <si>
    <t xml:space="preserve">Lovely   </t>
  </si>
  <si>
    <t>Lutin</t>
  </si>
  <si>
    <t xml:space="preserve">Macha   </t>
  </si>
  <si>
    <t xml:space="preserve">Macka   </t>
  </si>
  <si>
    <t xml:space="preserve">Maggie   </t>
  </si>
  <si>
    <t xml:space="preserve">Major   </t>
  </si>
  <si>
    <t xml:space="preserve">Mallah   </t>
  </si>
  <si>
    <t xml:space="preserve">Marius   </t>
  </si>
  <si>
    <t>Martens</t>
  </si>
  <si>
    <t>Mascotte</t>
  </si>
  <si>
    <t xml:space="preserve">Mathilda   </t>
  </si>
  <si>
    <t xml:space="preserve">Max   </t>
  </si>
  <si>
    <t xml:space="preserve">Maxou   </t>
  </si>
  <si>
    <t xml:space="preserve">Maya   </t>
  </si>
  <si>
    <t>Meat</t>
  </si>
  <si>
    <t xml:space="preserve">Meeko   </t>
  </si>
  <si>
    <t xml:space="preserve">Merlin   </t>
  </si>
  <si>
    <t xml:space="preserve">Mia   </t>
  </si>
  <si>
    <t xml:space="preserve">Miaousy   </t>
  </si>
  <si>
    <t xml:space="preserve">Mickie   </t>
  </si>
  <si>
    <t xml:space="preserve">Mico   </t>
  </si>
  <si>
    <t>Mignonne</t>
  </si>
  <si>
    <t xml:space="preserve">Milibelle   </t>
  </si>
  <si>
    <t xml:space="preserve">Milou   </t>
  </si>
  <si>
    <t xml:space="preserve">Mimi   </t>
  </si>
  <si>
    <t xml:space="preserve">Mimine   </t>
  </si>
  <si>
    <t xml:space="preserve">Mina  </t>
  </si>
  <si>
    <t xml:space="preserve">Minette   </t>
  </si>
  <si>
    <t>Ming</t>
  </si>
  <si>
    <t xml:space="preserve">Mingo   </t>
  </si>
  <si>
    <t xml:space="preserve">Minou   </t>
  </si>
  <si>
    <t xml:space="preserve">Minoucha   </t>
  </si>
  <si>
    <t xml:space="preserve">Minouche  </t>
  </si>
  <si>
    <t xml:space="preserve">Minoune   </t>
  </si>
  <si>
    <t xml:space="preserve">Minuit   </t>
  </si>
  <si>
    <t>Minus</t>
  </si>
  <si>
    <t xml:space="preserve">Mira   </t>
  </si>
  <si>
    <t xml:space="preserve">Miska  </t>
  </si>
  <si>
    <t xml:space="preserve">Missie   </t>
  </si>
  <si>
    <t xml:space="preserve">Mistigris   </t>
  </si>
  <si>
    <t xml:space="preserve">Mitsou   </t>
  </si>
  <si>
    <t xml:space="preserve">Mitsty   </t>
  </si>
  <si>
    <t>Mobel</t>
  </si>
  <si>
    <t xml:space="preserve">Mollie   </t>
  </si>
  <si>
    <t xml:space="preserve">Momo   </t>
  </si>
  <si>
    <t xml:space="preserve">Monaco   </t>
  </si>
  <si>
    <t xml:space="preserve">Mousse   </t>
  </si>
  <si>
    <t>Moustique</t>
  </si>
  <si>
    <t xml:space="preserve">Mozart   </t>
  </si>
  <si>
    <t xml:space="preserve">Spock   </t>
  </si>
  <si>
    <t xml:space="preserve">Muffin   </t>
  </si>
  <si>
    <t>Muffy</t>
  </si>
  <si>
    <t xml:space="preserve">Mustie   </t>
  </si>
  <si>
    <t xml:space="preserve">Mya  </t>
  </si>
  <si>
    <t>Myrtille</t>
  </si>
  <si>
    <t xml:space="preserve">Nakia  </t>
  </si>
  <si>
    <t xml:space="preserve">Nanoum   </t>
  </si>
  <si>
    <t xml:space="preserve">Nati   </t>
  </si>
  <si>
    <t xml:space="preserve">Négus   </t>
  </si>
  <si>
    <t xml:space="preserve">Nico  </t>
  </si>
  <si>
    <t xml:space="preserve">Nikki   </t>
  </si>
  <si>
    <t xml:space="preserve">Nobel   </t>
  </si>
  <si>
    <t xml:space="preserve">Noël   </t>
  </si>
  <si>
    <t xml:space="preserve">Noireau   </t>
  </si>
  <si>
    <t xml:space="preserve">Nonos   </t>
  </si>
  <si>
    <t xml:space="preserve">Nougat  </t>
  </si>
  <si>
    <t xml:space="preserve">Nouma   </t>
  </si>
  <si>
    <t>Nyah</t>
  </si>
  <si>
    <t xml:space="preserve">Octane    </t>
  </si>
  <si>
    <t xml:space="preserve">Olympia   </t>
  </si>
  <si>
    <t xml:space="preserve">Omer   </t>
  </si>
  <si>
    <t xml:space="preserve">Oréo   </t>
  </si>
  <si>
    <t xml:space="preserve">Oreille   </t>
  </si>
  <si>
    <t xml:space="preserve">Oscar   </t>
  </si>
  <si>
    <t xml:space="preserve">Oxford   </t>
  </si>
  <si>
    <t xml:space="preserve">Oxygène   </t>
  </si>
  <si>
    <t xml:space="preserve">Ozone   </t>
  </si>
  <si>
    <t xml:space="preserve">Pablova   </t>
  </si>
  <si>
    <t xml:space="preserve">Pacha   </t>
  </si>
  <si>
    <t xml:space="preserve">Paco   </t>
  </si>
  <si>
    <t xml:space="preserve">Paff   </t>
  </si>
  <si>
    <t xml:space="preserve">Panfile   </t>
  </si>
  <si>
    <t xml:space="preserve">Parker   </t>
  </si>
  <si>
    <t>Passe-Poil</t>
  </si>
  <si>
    <t xml:space="preserve">Patsy   </t>
  </si>
  <si>
    <t xml:space="preserve">Pawney   </t>
  </si>
  <si>
    <t xml:space="preserve">Peggy   </t>
  </si>
  <si>
    <t xml:space="preserve">Pénéloppe   </t>
  </si>
  <si>
    <t xml:space="preserve">Pepete   </t>
  </si>
  <si>
    <t xml:space="preserve">Peron  </t>
  </si>
  <si>
    <t xml:space="preserve">Pichou  </t>
  </si>
  <si>
    <t xml:space="preserve">Picotine  </t>
  </si>
  <si>
    <t xml:space="preserve">Pinceau   </t>
  </si>
  <si>
    <t>Pino</t>
  </si>
  <si>
    <t xml:space="preserve">Pinotte  </t>
  </si>
  <si>
    <t xml:space="preserve">Pistache   </t>
  </si>
  <si>
    <t xml:space="preserve">Pitch   </t>
  </si>
  <si>
    <t xml:space="preserve">Pitchou   </t>
  </si>
  <si>
    <t>Pitchounette</t>
  </si>
  <si>
    <t xml:space="preserve">Pitou   </t>
  </si>
  <si>
    <t xml:space="preserve">Pitoune   </t>
  </si>
  <si>
    <t xml:space="preserve">Pitsou   </t>
  </si>
  <si>
    <t xml:space="preserve">Pixel   </t>
  </si>
  <si>
    <t xml:space="preserve">Platon   </t>
  </si>
  <si>
    <t>Plume</t>
  </si>
  <si>
    <t xml:space="preserve">Pluto   </t>
  </si>
  <si>
    <t xml:space="preserve">Poffy   </t>
  </si>
  <si>
    <t xml:space="preserve">Poker   </t>
  </si>
  <si>
    <t xml:space="preserve">Polo  </t>
  </si>
  <si>
    <t xml:space="preserve">Polux   </t>
  </si>
  <si>
    <t xml:space="preserve">Pom   </t>
  </si>
  <si>
    <t>Pompette</t>
  </si>
  <si>
    <t xml:space="preserve">Pompon   </t>
  </si>
  <si>
    <t xml:space="preserve">Pongo   </t>
  </si>
  <si>
    <t xml:space="preserve">Poucette   </t>
  </si>
  <si>
    <t xml:space="preserve">Poupette   </t>
  </si>
  <si>
    <t>Poupi</t>
  </si>
  <si>
    <t xml:space="preserve">Poupoune   </t>
  </si>
  <si>
    <t>Pouppy</t>
  </si>
  <si>
    <t>Poutine</t>
  </si>
  <si>
    <t xml:space="preserve">Princesse   </t>
  </si>
  <si>
    <t xml:space="preserve">Prisca   </t>
  </si>
  <si>
    <t xml:space="preserve">Prunelle   </t>
  </si>
  <si>
    <t xml:space="preserve">Puce   </t>
  </si>
  <si>
    <t xml:space="preserve">Puffy   </t>
  </si>
  <si>
    <t>Pumpkin</t>
  </si>
  <si>
    <t>Puncky</t>
  </si>
  <si>
    <t xml:space="preserve">Queen   </t>
  </si>
  <si>
    <t>Quimo</t>
  </si>
  <si>
    <t xml:space="preserve">Raja   </t>
  </si>
  <si>
    <t xml:space="preserve">Rambo  </t>
  </si>
  <si>
    <t xml:space="preserve">Ramses   </t>
  </si>
  <si>
    <t xml:space="preserve">Rasco  </t>
  </si>
  <si>
    <t xml:space="preserve">Rex   </t>
  </si>
  <si>
    <t xml:space="preserve">Ringo   </t>
  </si>
  <si>
    <t xml:space="preserve">Rip   </t>
  </si>
  <si>
    <t xml:space="preserve">Rockie   </t>
  </si>
  <si>
    <t xml:space="preserve">Romano   </t>
  </si>
  <si>
    <t>Roucky</t>
  </si>
  <si>
    <t xml:space="preserve">Royal   </t>
  </si>
  <si>
    <t xml:space="preserve">Rufus   </t>
  </si>
  <si>
    <t xml:space="preserve">Rustine   </t>
  </si>
  <si>
    <t xml:space="preserve">Ryan   </t>
  </si>
  <si>
    <t xml:space="preserve">Rylee </t>
  </si>
  <si>
    <t xml:space="preserve">Sacha   </t>
  </si>
  <si>
    <t xml:space="preserve">Sahib   </t>
  </si>
  <si>
    <t xml:space="preserve">Saika   </t>
  </si>
  <si>
    <t xml:space="preserve">Saki   </t>
  </si>
  <si>
    <t xml:space="preserve">Salsa   </t>
  </si>
  <si>
    <t xml:space="preserve">Sam  </t>
  </si>
  <si>
    <t>Sammie</t>
  </si>
  <si>
    <t xml:space="preserve">Sammy   </t>
  </si>
  <si>
    <t xml:space="preserve">Sandy   </t>
  </si>
  <si>
    <t xml:space="preserve">Saucisse   </t>
  </si>
  <si>
    <t xml:space="preserve">Schultz   </t>
  </si>
  <si>
    <t xml:space="preserve">Scouby   </t>
  </si>
  <si>
    <t xml:space="preserve">Shamie   </t>
  </si>
  <si>
    <t>Shedouk</t>
  </si>
  <si>
    <t xml:space="preserve">Sheila   </t>
  </si>
  <si>
    <t xml:space="preserve">Shiva   </t>
  </si>
  <si>
    <t xml:space="preserve">Simba   </t>
  </si>
  <si>
    <t xml:space="preserve">Sinbad   </t>
  </si>
  <si>
    <t>Smoke</t>
  </si>
  <si>
    <t xml:space="preserve">Snoppy   </t>
  </si>
  <si>
    <t xml:space="preserve">Snow   </t>
  </si>
  <si>
    <t xml:space="preserve">Socquette </t>
  </si>
  <si>
    <t xml:space="preserve">Socrate  </t>
  </si>
  <si>
    <t>Soffy</t>
  </si>
  <si>
    <t xml:space="preserve">Sonate   </t>
  </si>
  <si>
    <t xml:space="preserve">Sony   </t>
  </si>
  <si>
    <t xml:space="preserve">Souki   </t>
  </si>
  <si>
    <t xml:space="preserve">Speedy   </t>
  </si>
  <si>
    <t>Spooky</t>
  </si>
  <si>
    <t xml:space="preserve">Spot   </t>
  </si>
  <si>
    <t xml:space="preserve">Star   </t>
  </si>
  <si>
    <t xml:space="preserve">Suède   </t>
  </si>
  <si>
    <t xml:space="preserve">Sultan  </t>
  </si>
  <si>
    <t xml:space="preserve">Sunny  </t>
  </si>
  <si>
    <t xml:space="preserve">Sybelle  </t>
  </si>
  <si>
    <t>Symphonie</t>
  </si>
  <si>
    <t xml:space="preserve">Tahoe   </t>
  </si>
  <si>
    <t xml:space="preserve">Tania   </t>
  </si>
  <si>
    <t xml:space="preserve">Tasha   </t>
  </si>
  <si>
    <t xml:space="preserve">Tarzan  </t>
  </si>
  <si>
    <t xml:space="preserve">Taz   </t>
  </si>
  <si>
    <t>Tempête</t>
  </si>
  <si>
    <t xml:space="preserve">Téquila   </t>
  </si>
  <si>
    <t xml:space="preserve">Tétinne   </t>
  </si>
  <si>
    <t xml:space="preserve">Thalie   </t>
  </si>
  <si>
    <t xml:space="preserve">Théo   </t>
  </si>
  <si>
    <t xml:space="preserve">Tibébé   </t>
  </si>
  <si>
    <t xml:space="preserve">Tibert   </t>
  </si>
  <si>
    <t xml:space="preserve">Ti-Bi   </t>
  </si>
  <si>
    <t xml:space="preserve">Ti-blanc   </t>
  </si>
  <si>
    <t xml:space="preserve">Tifille   </t>
  </si>
  <si>
    <t>Tigars</t>
  </si>
  <si>
    <t xml:space="preserve">Tiger   </t>
  </si>
  <si>
    <t xml:space="preserve">Tim   </t>
  </si>
  <si>
    <t xml:space="preserve">Timé   </t>
  </si>
  <si>
    <t xml:space="preserve">Timine   </t>
  </si>
  <si>
    <t xml:space="preserve">Tina   </t>
  </si>
  <si>
    <t>Ti-Prout</t>
  </si>
  <si>
    <t xml:space="preserve">Tirelou   </t>
  </si>
  <si>
    <t xml:space="preserve">Titi   </t>
  </si>
  <si>
    <t xml:space="preserve">Ti-Tob   </t>
  </si>
  <si>
    <t xml:space="preserve">Titoute   </t>
  </si>
  <si>
    <t xml:space="preserve">Tobby   </t>
  </si>
  <si>
    <t xml:space="preserve">Tocson  </t>
  </si>
  <si>
    <t xml:space="preserve">Toffu   </t>
  </si>
  <si>
    <t>Tom</t>
  </si>
  <si>
    <t xml:space="preserve">Tommy   </t>
  </si>
  <si>
    <t xml:space="preserve">Tommy Boy   </t>
  </si>
  <si>
    <t xml:space="preserve">Tonka   </t>
  </si>
  <si>
    <t>Tootsie</t>
  </si>
  <si>
    <t xml:space="preserve">Topi   </t>
  </si>
  <si>
    <t xml:space="preserve">Torpille   </t>
  </si>
  <si>
    <t xml:space="preserve">Touti   </t>
  </si>
  <si>
    <t xml:space="preserve">Toutoune   </t>
  </si>
  <si>
    <t>Toxon</t>
  </si>
  <si>
    <t xml:space="preserve">Traicy   </t>
  </si>
  <si>
    <t xml:space="preserve">Tristan   </t>
  </si>
  <si>
    <t xml:space="preserve">Trooper  </t>
  </si>
  <si>
    <t>Twist</t>
  </si>
  <si>
    <t>Blondie</t>
  </si>
  <si>
    <t>Altesse</t>
  </si>
  <si>
    <t>Uno</t>
  </si>
  <si>
    <t xml:space="preserve">Vagabond   </t>
  </si>
  <si>
    <t xml:space="preserve">Vanille   </t>
  </si>
  <si>
    <t xml:space="preserve">Velcro  </t>
  </si>
  <si>
    <t xml:space="preserve">Vena  </t>
  </si>
  <si>
    <t xml:space="preserve">Vénus  </t>
  </si>
  <si>
    <t xml:space="preserve">Vermicelle   </t>
  </si>
  <si>
    <t xml:space="preserve">Vickie  </t>
  </si>
  <si>
    <t>Vicky</t>
  </si>
  <si>
    <t xml:space="preserve">Wendy   </t>
  </si>
  <si>
    <t xml:space="preserve">Winnie  </t>
  </si>
  <si>
    <t xml:space="preserve">Wippet  </t>
  </si>
  <si>
    <t>Xylo</t>
  </si>
  <si>
    <t>Youpie</t>
  </si>
  <si>
    <t xml:space="preserve">Zach   </t>
  </si>
  <si>
    <t xml:space="preserve">Zazou   </t>
  </si>
  <si>
    <t xml:space="preserve">Zeus   </t>
  </si>
  <si>
    <t xml:space="preserve">Zoé   </t>
  </si>
  <si>
    <t>Zouka</t>
  </si>
  <si>
    <t>Adeck</t>
  </si>
  <si>
    <t xml:space="preserve">Abby </t>
  </si>
  <si>
    <t xml:space="preserve">Ajax </t>
  </si>
  <si>
    <t xml:space="preserve">Amanda </t>
  </si>
  <si>
    <t xml:space="preserve">Amy </t>
  </si>
  <si>
    <t xml:space="preserve">Andrea </t>
  </si>
  <si>
    <t xml:space="preserve">Angel </t>
  </si>
  <si>
    <t xml:space="preserve">Aqua </t>
  </si>
  <si>
    <t xml:space="preserve">Ash </t>
  </si>
  <si>
    <t xml:space="preserve">Autumn </t>
  </si>
  <si>
    <t xml:space="preserve">Abba </t>
  </si>
  <si>
    <t>Abril</t>
  </si>
  <si>
    <t>Aïcha</t>
  </si>
  <si>
    <t>Anita</t>
  </si>
  <si>
    <t>Ava</t>
  </si>
  <si>
    <t>Abette</t>
  </si>
  <si>
    <t>Adélaïde</t>
  </si>
  <si>
    <t>Aphrodite</t>
  </si>
  <si>
    <t>Aïka</t>
  </si>
  <si>
    <t>Alessa</t>
  </si>
  <si>
    <t>Alwina</t>
  </si>
  <si>
    <t>Anca</t>
  </si>
  <si>
    <t>Angie</t>
  </si>
  <si>
    <t>Aninka</t>
  </si>
  <si>
    <t>Azzura</t>
  </si>
  <si>
    <t xml:space="preserve">Adonis </t>
  </si>
  <si>
    <t xml:space="preserve">Aladdin </t>
  </si>
  <si>
    <t xml:space="preserve">Amigo </t>
  </si>
  <si>
    <t xml:space="preserve">Apollo </t>
  </si>
  <si>
    <t xml:space="preserve">Astro </t>
  </si>
  <si>
    <t xml:space="preserve">Atari </t>
  </si>
  <si>
    <t xml:space="preserve">Atlas </t>
  </si>
  <si>
    <t xml:space="preserve">Avis </t>
  </si>
  <si>
    <t xml:space="preserve">Aaron </t>
  </si>
  <si>
    <t xml:space="preserve">Abel </t>
  </si>
  <si>
    <t xml:space="preserve">Achille </t>
  </si>
  <si>
    <t xml:space="preserve">Akbar </t>
  </si>
  <si>
    <t xml:space="preserve">Alamo </t>
  </si>
  <si>
    <t xml:space="preserve">Alaska </t>
  </si>
  <si>
    <t xml:space="preserve">Alfa </t>
  </si>
  <si>
    <t xml:space="preserve">Alibaba </t>
  </si>
  <si>
    <t xml:space="preserve">Aramis </t>
  </si>
  <si>
    <t xml:space="preserve">Arenka </t>
  </si>
  <si>
    <t xml:space="preserve">Armani </t>
  </si>
  <si>
    <t xml:space="preserve">Augusta </t>
  </si>
  <si>
    <t xml:space="preserve">Babe </t>
  </si>
  <si>
    <t xml:space="preserve">Barbie </t>
  </si>
  <si>
    <t xml:space="preserve">Beauty </t>
  </si>
  <si>
    <t xml:space="preserve">Bess </t>
  </si>
  <si>
    <t xml:space="preserve">Betsie </t>
  </si>
  <si>
    <t xml:space="preserve">Betty </t>
  </si>
  <si>
    <t xml:space="preserve">Bianca </t>
  </si>
  <si>
    <t xml:space="preserve">Blondy </t>
  </si>
  <si>
    <t>Bagheera</t>
  </si>
  <si>
    <t>Belette</t>
  </si>
  <si>
    <t>Brenda</t>
  </si>
  <si>
    <t>Bijou</t>
  </si>
  <si>
    <t>Brie</t>
  </si>
  <si>
    <t xml:space="preserve">Bach </t>
  </si>
  <si>
    <t xml:space="preserve">Bacon </t>
  </si>
  <si>
    <t xml:space="preserve">Bailey </t>
  </si>
  <si>
    <t xml:space="preserve">Banjo </t>
  </si>
  <si>
    <t xml:space="preserve">Baxter </t>
  </si>
  <si>
    <t xml:space="preserve">Beau </t>
  </si>
  <si>
    <t xml:space="preserve">Bentley </t>
  </si>
  <si>
    <t xml:space="preserve">Bozo </t>
  </si>
  <si>
    <t xml:space="preserve">Brownie </t>
  </si>
  <si>
    <t xml:space="preserve">Baldo </t>
  </si>
  <si>
    <t xml:space="preserve">Basile </t>
  </si>
  <si>
    <t xml:space="preserve">Black </t>
  </si>
  <si>
    <t xml:space="preserve">Boule </t>
  </si>
  <si>
    <t xml:space="preserve">Beethoven </t>
  </si>
  <si>
    <t xml:space="preserve">Bingo </t>
  </si>
  <si>
    <t>Cajun</t>
  </si>
  <si>
    <t>Cameo</t>
  </si>
  <si>
    <t>Caro</t>
  </si>
  <si>
    <t>Cassandra</t>
  </si>
  <si>
    <t>Cecile</t>
  </si>
  <si>
    <t>Chanel</t>
  </si>
  <si>
    <t>Chili</t>
  </si>
  <si>
    <t>Chunky</t>
  </si>
  <si>
    <t>Camille</t>
  </si>
  <si>
    <t>Clochette</t>
  </si>
  <si>
    <t>Caprice</t>
  </si>
  <si>
    <t>Cassy</t>
  </si>
  <si>
    <t>Cissy</t>
  </si>
  <si>
    <t>Cléo</t>
  </si>
  <si>
    <t>Cristal</t>
  </si>
  <si>
    <t>Cybel</t>
  </si>
  <si>
    <t>Cash</t>
  </si>
  <si>
    <t>Cheddar</t>
  </si>
  <si>
    <t>Chester</t>
  </si>
  <si>
    <t>Chopin</t>
  </si>
  <si>
    <t>Cliff</t>
  </si>
  <si>
    <t>Clipper</t>
  </si>
  <si>
    <t>Curry</t>
  </si>
  <si>
    <t>Caïd</t>
  </si>
  <si>
    <t>Canaille</t>
  </si>
  <si>
    <t>Castor</t>
  </si>
  <si>
    <t>Clovis</t>
  </si>
  <si>
    <t>Coyote</t>
  </si>
  <si>
    <t>Caporal</t>
  </si>
  <si>
    <t>Casanova</t>
  </si>
  <si>
    <t xml:space="preserve">Champion </t>
  </si>
  <si>
    <t xml:space="preserve">Champagne </t>
  </si>
  <si>
    <t xml:space="preserve">Colonel </t>
  </si>
  <si>
    <t xml:space="preserve">Cognac </t>
  </si>
  <si>
    <t xml:space="preserve">Conan </t>
  </si>
  <si>
    <t xml:space="preserve">Copain </t>
  </si>
  <si>
    <t xml:space="preserve">Corry </t>
  </si>
  <si>
    <t xml:space="preserve">Costa </t>
  </si>
  <si>
    <t xml:space="preserve">Cozy </t>
  </si>
  <si>
    <t>Danielle</t>
  </si>
  <si>
    <t>Daphné</t>
  </si>
  <si>
    <t>Dawn</t>
  </si>
  <si>
    <t>Debbie</t>
  </si>
  <si>
    <t>Dim-Sum</t>
  </si>
  <si>
    <t>Diva</t>
  </si>
  <si>
    <t>Divine</t>
  </si>
  <si>
    <t>Doris</t>
  </si>
  <si>
    <t xml:space="preserve">Dali </t>
  </si>
  <si>
    <t xml:space="preserve">Dallas </t>
  </si>
  <si>
    <t xml:space="preserve">Detour </t>
  </si>
  <si>
    <t xml:space="preserve">Devil </t>
  </si>
  <si>
    <t xml:space="preserve">Dilbert </t>
  </si>
  <si>
    <t xml:space="preserve">Dingo </t>
  </si>
  <si>
    <t xml:space="preserve">Dragon </t>
  </si>
  <si>
    <t xml:space="preserve">Dream </t>
  </si>
  <si>
    <t xml:space="preserve">Dusty </t>
  </si>
  <si>
    <t xml:space="preserve">Dalton </t>
  </si>
  <si>
    <t xml:space="preserve">Dario </t>
  </si>
  <si>
    <t xml:space="preserve">Diego </t>
  </si>
  <si>
    <t xml:space="preserve">Droopy </t>
  </si>
  <si>
    <t xml:space="preserve">Drakkar </t>
  </si>
  <si>
    <t xml:space="preserve">Don juan </t>
  </si>
  <si>
    <t xml:space="preserve">Echo </t>
  </si>
  <si>
    <t xml:space="preserve">Eclipse </t>
  </si>
  <si>
    <t xml:space="preserve">Edith </t>
  </si>
  <si>
    <t xml:space="preserve">Emily </t>
  </si>
  <si>
    <t xml:space="preserve">Emma </t>
  </si>
  <si>
    <t xml:space="preserve">Eureka </t>
  </si>
  <si>
    <t xml:space="preserve">Eva </t>
  </si>
  <si>
    <t xml:space="preserve">Evelyn </t>
  </si>
  <si>
    <t xml:space="preserve">Elisa </t>
  </si>
  <si>
    <t xml:space="preserve">Edgar </t>
  </si>
  <si>
    <t xml:space="preserve">Ego </t>
  </si>
  <si>
    <t xml:space="preserve">Einstein </t>
  </si>
  <si>
    <t xml:space="preserve">Elliott </t>
  </si>
  <si>
    <t xml:space="preserve">Elvis </t>
  </si>
  <si>
    <t xml:space="preserve">Ervin </t>
  </si>
  <si>
    <t xml:space="preserve">Ewok </t>
  </si>
  <si>
    <t xml:space="preserve">Export </t>
  </si>
  <si>
    <t xml:space="preserve">Elton </t>
  </si>
  <si>
    <t xml:space="preserve">Enzo </t>
  </si>
  <si>
    <t xml:space="preserve">Falafel </t>
  </si>
  <si>
    <t xml:space="preserve">Fancy </t>
  </si>
  <si>
    <t xml:space="preserve">Felicity </t>
  </si>
  <si>
    <t xml:space="preserve">Fiesta </t>
  </si>
  <si>
    <t xml:space="preserve">Fleur </t>
  </si>
  <si>
    <t xml:space="preserve">Flirt </t>
  </si>
  <si>
    <t xml:space="preserve">Frida </t>
  </si>
  <si>
    <t xml:space="preserve">Fudge </t>
  </si>
  <si>
    <t xml:space="preserve">Feline </t>
  </si>
  <si>
    <t xml:space="preserve">Ficelle </t>
  </si>
  <si>
    <t xml:space="preserve">Felix </t>
  </si>
  <si>
    <t xml:space="preserve">Fido </t>
  </si>
  <si>
    <t xml:space="preserve">Finch </t>
  </si>
  <si>
    <t xml:space="preserve">Fizz </t>
  </si>
  <si>
    <t xml:space="preserve">Flannel </t>
  </si>
  <si>
    <t xml:space="preserve">Fletch </t>
  </si>
  <si>
    <t xml:space="preserve">Fox </t>
  </si>
  <si>
    <t xml:space="preserve">Franco </t>
  </si>
  <si>
    <t xml:space="preserve">Freud </t>
  </si>
  <si>
    <t xml:space="preserve">Flipper </t>
  </si>
  <si>
    <t xml:space="preserve">Fidji </t>
  </si>
  <si>
    <t xml:space="preserve">Flic </t>
  </si>
  <si>
    <t xml:space="preserve">Gail </t>
  </si>
  <si>
    <t xml:space="preserve">Gazelle </t>
  </si>
  <si>
    <t xml:space="preserve">Gil </t>
  </si>
  <si>
    <t xml:space="preserve">Ginger </t>
  </si>
  <si>
    <t xml:space="preserve">Girly </t>
  </si>
  <si>
    <t xml:space="preserve">Grace </t>
  </si>
  <si>
    <t xml:space="preserve">Gumball </t>
  </si>
  <si>
    <t xml:space="preserve">Gwen </t>
  </si>
  <si>
    <t xml:space="preserve">Geisha </t>
  </si>
  <si>
    <t xml:space="preserve">Girl </t>
  </si>
  <si>
    <t xml:space="preserve">Gwenda </t>
  </si>
  <si>
    <t xml:space="preserve">Giba </t>
  </si>
  <si>
    <t xml:space="preserve">Gadget </t>
  </si>
  <si>
    <t xml:space="preserve">Gandhi </t>
  </si>
  <si>
    <t xml:space="preserve">Genius </t>
  </si>
  <si>
    <t xml:space="preserve">Gin </t>
  </si>
  <si>
    <t xml:space="preserve">Gordy </t>
  </si>
  <si>
    <t xml:space="preserve">Gregg </t>
  </si>
  <si>
    <t xml:space="preserve">Groucho </t>
  </si>
  <si>
    <t xml:space="preserve">Guru </t>
  </si>
  <si>
    <t xml:space="preserve">Gyros </t>
  </si>
  <si>
    <t xml:space="preserve">Gaspar </t>
  </si>
  <si>
    <t xml:space="preserve">Gino </t>
  </si>
  <si>
    <t xml:space="preserve">Gourou </t>
  </si>
  <si>
    <t xml:space="preserve">Gustave </t>
  </si>
  <si>
    <t xml:space="preserve">Happy </t>
  </si>
  <si>
    <t xml:space="preserve">Hayley </t>
  </si>
  <si>
    <t xml:space="preserve">Heather </t>
  </si>
  <si>
    <t xml:space="preserve">Heidi </t>
  </si>
  <si>
    <t xml:space="preserve">Hershey </t>
  </si>
  <si>
    <t xml:space="preserve">Hilda </t>
  </si>
  <si>
    <t xml:space="preserve">Holly </t>
  </si>
  <si>
    <t xml:space="preserve">Hooch </t>
  </si>
  <si>
    <t xml:space="preserve">Hope </t>
  </si>
  <si>
    <t xml:space="preserve">Haïfa </t>
  </si>
  <si>
    <t xml:space="preserve">Helga </t>
  </si>
  <si>
    <t xml:space="preserve">Hippie </t>
  </si>
  <si>
    <t xml:space="preserve">Haïti </t>
  </si>
  <si>
    <t xml:space="preserve">Hamlet </t>
  </si>
  <si>
    <t>Handsome</t>
  </si>
  <si>
    <t xml:space="preserve">Harley </t>
  </si>
  <si>
    <t xml:space="preserve">Hero </t>
  </si>
  <si>
    <t xml:space="preserve">Homer </t>
  </si>
  <si>
    <t xml:space="preserve">Hoover </t>
  </si>
  <si>
    <t xml:space="preserve">Howard </t>
  </si>
  <si>
    <t xml:space="preserve">Hulk </t>
  </si>
  <si>
    <t xml:space="preserve">Hanko </t>
  </si>
  <si>
    <t xml:space="preserve">Harold </t>
  </si>
  <si>
    <t xml:space="preserve">Husky </t>
  </si>
  <si>
    <t xml:space="preserve">Hubert </t>
  </si>
  <si>
    <t xml:space="preserve">Ibis </t>
  </si>
  <si>
    <t xml:space="preserve">Inca </t>
  </si>
  <si>
    <t xml:space="preserve">Indigo </t>
  </si>
  <si>
    <t xml:space="preserve">Irene </t>
  </si>
  <si>
    <t>Iris</t>
  </si>
  <si>
    <t>Ivy</t>
  </si>
  <si>
    <t>Isis</t>
  </si>
  <si>
    <t xml:space="preserve">Ian </t>
  </si>
  <si>
    <t xml:space="preserve">Ice </t>
  </si>
  <si>
    <t xml:space="preserve">Igloo </t>
  </si>
  <si>
    <t xml:space="preserve">Indy </t>
  </si>
  <si>
    <t xml:space="preserve">Irving </t>
  </si>
  <si>
    <t xml:space="preserve">Iguane </t>
  </si>
  <si>
    <t xml:space="preserve">Isaac </t>
  </si>
  <si>
    <t xml:space="preserve">Jade </t>
  </si>
  <si>
    <t xml:space="preserve">Jasmine </t>
  </si>
  <si>
    <t xml:space="preserve">Jazzy </t>
  </si>
  <si>
    <t xml:space="preserve">Jenny </t>
  </si>
  <si>
    <t xml:space="preserve">Jewel </t>
  </si>
  <si>
    <t xml:space="preserve">Jinx </t>
  </si>
  <si>
    <t xml:space="preserve">Joy </t>
  </si>
  <si>
    <t xml:space="preserve">Julia </t>
  </si>
  <si>
    <t xml:space="preserve">June </t>
  </si>
  <si>
    <t xml:space="preserve">Jane </t>
  </si>
  <si>
    <t xml:space="preserve">Joyce </t>
  </si>
  <si>
    <t>Java</t>
  </si>
  <si>
    <t xml:space="preserve">Jackpot </t>
  </si>
  <si>
    <t>Jasper</t>
  </si>
  <si>
    <t>Jeremy</t>
  </si>
  <si>
    <t xml:space="preserve">Jerky </t>
  </si>
  <si>
    <t xml:space="preserve">Jetset </t>
  </si>
  <si>
    <t xml:space="preserve">Jim </t>
  </si>
  <si>
    <t xml:space="preserve">Joker </t>
  </si>
  <si>
    <t xml:space="preserve">Judge </t>
  </si>
  <si>
    <t xml:space="preserve">Justice </t>
  </si>
  <si>
    <t xml:space="preserve">Jacky </t>
  </si>
  <si>
    <t xml:space="preserve">Jo </t>
  </si>
  <si>
    <t xml:space="preserve">Jules </t>
  </si>
  <si>
    <t xml:space="preserve">Karma </t>
  </si>
  <si>
    <t xml:space="preserve">Katie </t>
  </si>
  <si>
    <t xml:space="preserve">Kellogg </t>
  </si>
  <si>
    <t xml:space="preserve">Kiana </t>
  </si>
  <si>
    <t xml:space="preserve">Kibbles </t>
  </si>
  <si>
    <t xml:space="preserve">Kilo </t>
  </si>
  <si>
    <t xml:space="preserve">Koko </t>
  </si>
  <si>
    <t xml:space="preserve">Krispy </t>
  </si>
  <si>
    <t xml:space="preserve">Kate </t>
  </si>
  <si>
    <t xml:space="preserve">Kenza </t>
  </si>
  <si>
    <t xml:space="preserve">Kova </t>
  </si>
  <si>
    <t xml:space="preserve">Kaiser </t>
  </si>
  <si>
    <t xml:space="preserve">Kalhua </t>
  </si>
  <si>
    <t xml:space="preserve">Kelvin </t>
  </si>
  <si>
    <t xml:space="preserve">Kenny </t>
  </si>
  <si>
    <t xml:space="preserve">Kent </t>
  </si>
  <si>
    <t xml:space="preserve">Killer </t>
  </si>
  <si>
    <t xml:space="preserve">Kryspy </t>
  </si>
  <si>
    <t xml:space="preserve">Karlo </t>
  </si>
  <si>
    <t xml:space="preserve">Kilt </t>
  </si>
  <si>
    <t xml:space="preserve">Kodak </t>
  </si>
  <si>
    <t xml:space="preserve">Keops </t>
  </si>
  <si>
    <t xml:space="preserve">Kourou </t>
  </si>
  <si>
    <t>Lady</t>
  </si>
  <si>
    <t>Lavender</t>
  </si>
  <si>
    <t>Lemon</t>
  </si>
  <si>
    <t>Lili</t>
  </si>
  <si>
    <t>Lips</t>
  </si>
  <si>
    <t>Lola</t>
  </si>
  <si>
    <t>Louise</t>
  </si>
  <si>
    <t>Love</t>
  </si>
  <si>
    <t>Lulu</t>
  </si>
  <si>
    <t>Lara</t>
  </si>
  <si>
    <t>Lea</t>
  </si>
  <si>
    <t xml:space="preserve">Lila </t>
  </si>
  <si>
    <t xml:space="preserve">Lova </t>
  </si>
  <si>
    <t xml:space="preserve">Lassie </t>
  </si>
  <si>
    <t xml:space="preserve">Larry </t>
  </si>
  <si>
    <t xml:space="preserve">Laser </t>
  </si>
  <si>
    <t xml:space="preserve">Lee </t>
  </si>
  <si>
    <t xml:space="preserve">Lenny </t>
  </si>
  <si>
    <t xml:space="preserve">Lewis </t>
  </si>
  <si>
    <t xml:space="preserve">Lexus </t>
  </si>
  <si>
    <t xml:space="preserve">Little </t>
  </si>
  <si>
    <t xml:space="preserve">Loony </t>
  </si>
  <si>
    <t xml:space="preserve">Lotus </t>
  </si>
  <si>
    <t xml:space="preserve">Lucky </t>
  </si>
  <si>
    <t xml:space="preserve">Lamy </t>
  </si>
  <si>
    <t xml:space="preserve">Lennox </t>
  </si>
  <si>
    <t xml:space="preserve">Lord </t>
  </si>
  <si>
    <t xml:space="preserve">Loudvic </t>
  </si>
  <si>
    <t xml:space="preserve">Mado </t>
  </si>
  <si>
    <t xml:space="preserve">Mambo </t>
  </si>
  <si>
    <t xml:space="preserve">Martini </t>
  </si>
  <si>
    <t xml:space="preserve">Mary </t>
  </si>
  <si>
    <t xml:space="preserve">Matilda </t>
  </si>
  <si>
    <t xml:space="preserve">Melody </t>
  </si>
  <si>
    <t xml:space="preserve">Magda </t>
  </si>
  <si>
    <t xml:space="preserve">Michka </t>
  </si>
  <si>
    <t xml:space="preserve">Minnie </t>
  </si>
  <si>
    <t xml:space="preserve">Molly </t>
  </si>
  <si>
    <t xml:space="preserve">Myrtil </t>
  </si>
  <si>
    <t xml:space="preserve">Macho </t>
  </si>
  <si>
    <t xml:space="preserve">Malcolm </t>
  </si>
  <si>
    <t xml:space="preserve">Melvin </t>
  </si>
  <si>
    <t xml:space="preserve">Midget </t>
  </si>
  <si>
    <t xml:space="preserve">Mondo </t>
  </si>
  <si>
    <t xml:space="preserve">Mustang </t>
  </si>
  <si>
    <t xml:space="preserve">Médor </t>
  </si>
  <si>
    <t xml:space="preserve">Mosquito </t>
  </si>
  <si>
    <t xml:space="preserve">Mango </t>
  </si>
  <si>
    <t xml:space="preserve">Nappa </t>
  </si>
  <si>
    <t xml:space="preserve">Nelly </t>
  </si>
  <si>
    <t xml:space="preserve">Neon </t>
  </si>
  <si>
    <t xml:space="preserve">Nicky </t>
  </si>
  <si>
    <t xml:space="preserve">Nike </t>
  </si>
  <si>
    <t xml:space="preserve">Nikita </t>
  </si>
  <si>
    <t xml:space="preserve">Nitro </t>
  </si>
  <si>
    <t xml:space="preserve">Nugget </t>
  </si>
  <si>
    <t xml:space="preserve">Nutmeg </t>
  </si>
  <si>
    <t>Nymph</t>
  </si>
  <si>
    <t xml:space="preserve">Naja </t>
  </si>
  <si>
    <t xml:space="preserve">Nanny </t>
  </si>
  <si>
    <t xml:space="preserve">Nita </t>
  </si>
  <si>
    <t xml:space="preserve">Neige </t>
  </si>
  <si>
    <t xml:space="preserve">Nacho </t>
  </si>
  <si>
    <t xml:space="preserve">Ned </t>
  </si>
  <si>
    <t xml:space="preserve">Neil </t>
  </si>
  <si>
    <t xml:space="preserve">Nestor </t>
  </si>
  <si>
    <t xml:space="preserve">Newton </t>
  </si>
  <si>
    <t xml:space="preserve">Nillson </t>
  </si>
  <si>
    <t xml:space="preserve">Norton </t>
  </si>
  <si>
    <t xml:space="preserve">Nabab </t>
  </si>
  <si>
    <t>Nanar</t>
  </si>
  <si>
    <t xml:space="preserve">Nono </t>
  </si>
  <si>
    <t xml:space="preserve">Odyssey </t>
  </si>
  <si>
    <t xml:space="preserve">Olivia </t>
  </si>
  <si>
    <t xml:space="preserve">Onyx </t>
  </si>
  <si>
    <t xml:space="preserve">Opal </t>
  </si>
  <si>
    <t xml:space="preserve">Ophelia </t>
  </si>
  <si>
    <t xml:space="preserve">Oreao </t>
  </si>
  <si>
    <t xml:space="preserve">Odile </t>
  </si>
  <si>
    <t xml:space="preserve">Osiris </t>
  </si>
  <si>
    <t>Oak</t>
  </si>
  <si>
    <t xml:space="preserve">Oliver </t>
  </si>
  <si>
    <t xml:space="preserve">Omega </t>
  </si>
  <si>
    <t xml:space="preserve">Orbit </t>
  </si>
  <si>
    <t xml:space="preserve">Orscar </t>
  </si>
  <si>
    <t xml:space="preserve">Othello </t>
  </si>
  <si>
    <t xml:space="preserve">Otis </t>
  </si>
  <si>
    <t xml:space="preserve">Ozzy </t>
  </si>
  <si>
    <t xml:space="preserve">Octave </t>
  </si>
  <si>
    <t xml:space="preserve">Orion </t>
  </si>
  <si>
    <t xml:space="preserve">Page </t>
  </si>
  <si>
    <t xml:space="preserve">Paris </t>
  </si>
  <si>
    <t xml:space="preserve">Peaches </t>
  </si>
  <si>
    <t xml:space="preserve">Pearl </t>
  </si>
  <si>
    <t xml:space="preserve">Petra </t>
  </si>
  <si>
    <t xml:space="preserve">Pretzel </t>
  </si>
  <si>
    <t xml:space="preserve">Pudding </t>
  </si>
  <si>
    <t xml:space="preserve">Puff </t>
  </si>
  <si>
    <t>Pacome</t>
  </si>
  <si>
    <t xml:space="preserve">Paloma </t>
  </si>
  <si>
    <t xml:space="preserve">Patty </t>
  </si>
  <si>
    <t xml:space="preserve">Penny </t>
  </si>
  <si>
    <t xml:space="preserve">Prune </t>
  </si>
  <si>
    <t xml:space="preserve">Pavlov </t>
  </si>
  <si>
    <t xml:space="preserve">Peanuts </t>
  </si>
  <si>
    <t xml:space="preserve">Peewee </t>
  </si>
  <si>
    <t xml:space="preserve">Peso </t>
  </si>
  <si>
    <t xml:space="preserve">Pete </t>
  </si>
  <si>
    <t xml:space="preserve">Ping </t>
  </si>
  <si>
    <t xml:space="preserve">Pinto </t>
  </si>
  <si>
    <t xml:space="preserve">Pogo </t>
  </si>
  <si>
    <t>Pablo</t>
  </si>
  <si>
    <t>Pedro</t>
  </si>
  <si>
    <t>Pépé</t>
  </si>
  <si>
    <t>Prosper</t>
  </si>
  <si>
    <t>Prince</t>
  </si>
  <si>
    <t>Pollux</t>
  </si>
  <si>
    <t>Quartz</t>
  </si>
  <si>
    <t>Queeny</t>
  </si>
  <si>
    <t>Quiche</t>
  </si>
  <si>
    <t>Quenelle</t>
  </si>
  <si>
    <t>Quaker</t>
  </si>
  <si>
    <t>Quick</t>
  </si>
  <si>
    <t>Quinn</t>
  </si>
  <si>
    <t>Quito</t>
  </si>
  <si>
    <t>Qasimo</t>
  </si>
  <si>
    <t>Roxanne</t>
  </si>
  <si>
    <t xml:space="preserve">Rainbow </t>
  </si>
  <si>
    <t xml:space="preserve">Raisin </t>
  </si>
  <si>
    <t xml:space="preserve">Reebok </t>
  </si>
  <si>
    <t xml:space="preserve">Rhonda </t>
  </si>
  <si>
    <t xml:space="preserve">Ritzy </t>
  </si>
  <si>
    <t xml:space="preserve">Roma </t>
  </si>
  <si>
    <t xml:space="preserve">Rosalie </t>
  </si>
  <si>
    <t xml:space="preserve">Rose </t>
  </si>
  <si>
    <t xml:space="preserve">Roxy </t>
  </si>
  <si>
    <t xml:space="preserve">Ruby </t>
  </si>
  <si>
    <t xml:space="preserve">Raga </t>
  </si>
  <si>
    <t xml:space="preserve">Rania </t>
  </si>
  <si>
    <t xml:space="preserve">Rica </t>
  </si>
  <si>
    <t xml:space="preserve">Romy </t>
  </si>
  <si>
    <t xml:space="preserve">Rosie </t>
  </si>
  <si>
    <t>Racer</t>
  </si>
  <si>
    <t>Rasta</t>
  </si>
  <si>
    <t>Reboot</t>
  </si>
  <si>
    <t>Rocky</t>
  </si>
  <si>
    <t>Roder</t>
  </si>
  <si>
    <t>Romeo</t>
  </si>
  <si>
    <t>Roy</t>
  </si>
  <si>
    <t>Rupert</t>
  </si>
  <si>
    <t>Rusty</t>
  </si>
  <si>
    <t>Rabbit</t>
  </si>
  <si>
    <t>Raimu</t>
  </si>
  <si>
    <t>Rhino</t>
  </si>
  <si>
    <t>Richie</t>
  </si>
  <si>
    <t>Rocco</t>
  </si>
  <si>
    <t>Réglisse</t>
  </si>
  <si>
    <t>Scarlet</t>
  </si>
  <si>
    <t>Sissy</t>
  </si>
  <si>
    <t>Sun</t>
  </si>
  <si>
    <t>Snuggle</t>
  </si>
  <si>
    <t>Sophie</t>
  </si>
  <si>
    <t>Suzie</t>
  </si>
  <si>
    <t>Sydney</t>
  </si>
  <si>
    <t>Sarah</t>
  </si>
  <si>
    <t>Sharon</t>
  </si>
  <si>
    <t>Siska</t>
  </si>
  <si>
    <t>Starlette</t>
  </si>
  <si>
    <t>Suzette</t>
  </si>
  <si>
    <t>Sakoura</t>
  </si>
  <si>
    <t>Soria</t>
  </si>
  <si>
    <t>Souany</t>
  </si>
  <si>
    <t xml:space="preserve">Sam </t>
  </si>
  <si>
    <t xml:space="preserve">Sausage </t>
  </si>
  <si>
    <t xml:space="preserve">Scampi </t>
  </si>
  <si>
    <t xml:space="preserve">Schwartz </t>
  </si>
  <si>
    <t xml:space="preserve">Scooter </t>
  </si>
  <si>
    <t xml:space="preserve">Scotch </t>
  </si>
  <si>
    <t xml:space="preserve">Scotty </t>
  </si>
  <si>
    <t xml:space="preserve">Scuba </t>
  </si>
  <si>
    <t xml:space="preserve">Shadow </t>
  </si>
  <si>
    <t xml:space="preserve">Sherlock </t>
  </si>
  <si>
    <t xml:space="preserve">Salto </t>
  </si>
  <si>
    <t xml:space="preserve">Sidney </t>
  </si>
  <si>
    <t xml:space="preserve">Sumo </t>
  </si>
  <si>
    <t xml:space="preserve">Silver </t>
  </si>
  <si>
    <t>Smiley</t>
  </si>
  <si>
    <t xml:space="preserve">Souris </t>
  </si>
  <si>
    <t xml:space="preserve">Taffy </t>
  </si>
  <si>
    <t xml:space="preserve">Tammy </t>
  </si>
  <si>
    <t xml:space="preserve">Tara </t>
  </si>
  <si>
    <t xml:space="preserve">Tess </t>
  </si>
  <si>
    <t xml:space="preserve">Thyme </t>
  </si>
  <si>
    <t xml:space="preserve">Tigree </t>
  </si>
  <si>
    <t xml:space="preserve">Tina </t>
  </si>
  <si>
    <t xml:space="preserve">Topaz </t>
  </si>
  <si>
    <t xml:space="preserve">Trixy </t>
  </si>
  <si>
    <t xml:space="preserve">Truffles </t>
  </si>
  <si>
    <t xml:space="preserve">Talia </t>
  </si>
  <si>
    <t xml:space="preserve">Tchita </t>
  </si>
  <si>
    <t xml:space="preserve">Troika </t>
  </si>
  <si>
    <t xml:space="preserve">Teisha </t>
  </si>
  <si>
    <t xml:space="preserve">Tosca </t>
  </si>
  <si>
    <t xml:space="preserve">Trézia </t>
  </si>
  <si>
    <t>Tango</t>
  </si>
  <si>
    <t xml:space="preserve">Tao </t>
  </si>
  <si>
    <t xml:space="preserve">Taxi </t>
  </si>
  <si>
    <t xml:space="preserve">Ted </t>
  </si>
  <si>
    <t xml:space="preserve">Thumper </t>
  </si>
  <si>
    <t xml:space="preserve">Tito </t>
  </si>
  <si>
    <t xml:space="preserve">Turbo </t>
  </si>
  <si>
    <t xml:space="preserve">Twister </t>
  </si>
  <si>
    <t xml:space="preserve">Tattoo </t>
  </si>
  <si>
    <t xml:space="preserve">Teddy </t>
  </si>
  <si>
    <t xml:space="preserve">Tigrou </t>
  </si>
  <si>
    <t xml:space="preserve">Tintin </t>
  </si>
  <si>
    <t xml:space="preserve">Tyson </t>
  </si>
  <si>
    <t xml:space="preserve">Ténor </t>
  </si>
  <si>
    <t xml:space="preserve">Téodor </t>
  </si>
  <si>
    <t xml:space="preserve">Timba </t>
  </si>
  <si>
    <t xml:space="preserve">Tommi </t>
  </si>
  <si>
    <t>Uma</t>
  </si>
  <si>
    <t>Unity</t>
  </si>
  <si>
    <t>Utopia</t>
  </si>
  <si>
    <t>Urielle</t>
  </si>
  <si>
    <t xml:space="preserve">Ulysse </t>
  </si>
  <si>
    <t xml:space="preserve">Uranus </t>
  </si>
  <si>
    <t xml:space="preserve">Udo </t>
  </si>
  <si>
    <t xml:space="preserve">Ulric </t>
  </si>
  <si>
    <t xml:space="preserve">Umaga </t>
  </si>
  <si>
    <t>Uncle</t>
  </si>
  <si>
    <t>Unger</t>
  </si>
  <si>
    <t xml:space="preserve">Ungo </t>
  </si>
  <si>
    <t>Uttley</t>
  </si>
  <si>
    <t xml:space="preserve">Ursulle </t>
  </si>
  <si>
    <t>Vanilla</t>
  </si>
  <si>
    <t>Velcro</t>
  </si>
  <si>
    <t>Velvet</t>
  </si>
  <si>
    <t>Vanda</t>
  </si>
  <si>
    <t>Volga</t>
  </si>
  <si>
    <t>Valentino</t>
  </si>
  <si>
    <t>Van-Dam</t>
  </si>
  <si>
    <t>Vanelli</t>
  </si>
  <si>
    <t>Veggie</t>
  </si>
  <si>
    <t>Victor</t>
  </si>
  <si>
    <t>Vince</t>
  </si>
  <si>
    <t>Vivaldi</t>
  </si>
  <si>
    <t>Volt</t>
  </si>
  <si>
    <t>Vadim</t>
  </si>
  <si>
    <t>Virgile</t>
  </si>
  <si>
    <t>Vizir</t>
  </si>
  <si>
    <t>Vodka</t>
  </si>
  <si>
    <t xml:space="preserve">Wanda </t>
  </si>
  <si>
    <t xml:space="preserve">Wasabe </t>
  </si>
  <si>
    <t xml:space="preserve">Wavy </t>
  </si>
  <si>
    <t xml:space="preserve">Wendy </t>
  </si>
  <si>
    <t xml:space="preserve">Whoopy </t>
  </si>
  <si>
    <t xml:space="preserve">Wiggles </t>
  </si>
  <si>
    <t xml:space="preserve">Wilma </t>
  </si>
  <si>
    <t xml:space="preserve">Windy </t>
  </si>
  <si>
    <t xml:space="preserve">Wynona </t>
  </si>
  <si>
    <t xml:space="preserve">Wania </t>
  </si>
  <si>
    <t xml:space="preserve">Winnie </t>
  </si>
  <si>
    <t xml:space="preserve">Wilo </t>
  </si>
  <si>
    <t xml:space="preserve">Wally </t>
  </si>
  <si>
    <t xml:space="preserve">Waldo </t>
  </si>
  <si>
    <t xml:space="preserve">Walter </t>
  </si>
  <si>
    <t xml:space="preserve">Warrior </t>
  </si>
  <si>
    <t xml:space="preserve">Whiskey </t>
  </si>
  <si>
    <t xml:space="preserve">Whistler </t>
  </si>
  <si>
    <t xml:space="preserve">Wilson </t>
  </si>
  <si>
    <t xml:space="preserve">Wolfgang </t>
  </si>
  <si>
    <t xml:space="preserve">Wonton </t>
  </si>
  <si>
    <t xml:space="preserve">Watson </t>
  </si>
  <si>
    <t xml:space="preserve">Whisky </t>
  </si>
  <si>
    <t xml:space="preserve">Wilfrid </t>
  </si>
  <si>
    <t xml:space="preserve">Willy </t>
  </si>
  <si>
    <t xml:space="preserve">Wilbur </t>
  </si>
  <si>
    <t>Xena</t>
  </si>
  <si>
    <t>Xeres</t>
  </si>
  <si>
    <t>Xavie</t>
  </si>
  <si>
    <t>Xane</t>
  </si>
  <si>
    <t>Xerox</t>
  </si>
  <si>
    <t>Xenon</t>
  </si>
  <si>
    <t>XL</t>
  </si>
  <si>
    <t>Youka</t>
  </si>
  <si>
    <t>Yaya</t>
  </si>
  <si>
    <t>Yolanda</t>
  </si>
  <si>
    <t>Yoyo</t>
  </si>
  <si>
    <t>Yukon</t>
  </si>
  <si>
    <t>Yum Yum</t>
  </si>
  <si>
    <t>Yalta</t>
  </si>
  <si>
    <t>Youli</t>
  </si>
  <si>
    <t>Yahoo</t>
  </si>
  <si>
    <t>Yankee</t>
  </si>
  <si>
    <t>Yazzy</t>
  </si>
  <si>
    <t>Yoda</t>
  </si>
  <si>
    <t>Yogi</t>
  </si>
  <si>
    <t>Yule</t>
  </si>
  <si>
    <t>Yum</t>
  </si>
  <si>
    <t>Yuri</t>
  </si>
  <si>
    <t>Youri</t>
  </si>
  <si>
    <t>Zelda</t>
  </si>
  <si>
    <t>Zena</t>
  </si>
  <si>
    <t>Zephyr</t>
  </si>
  <si>
    <t>Zippo</t>
  </si>
  <si>
    <t>Zara</t>
  </si>
  <si>
    <t>Zazie</t>
  </si>
  <si>
    <t>Zebi</t>
  </si>
  <si>
    <t>Zack</t>
  </si>
  <si>
    <t>Zero</t>
  </si>
  <si>
    <t>Ziggy</t>
  </si>
  <si>
    <t>Zola</t>
  </si>
  <si>
    <t>Zoom</t>
  </si>
  <si>
    <t>Zorro</t>
  </si>
  <si>
    <t>Zulu</t>
  </si>
  <si>
    <t>Zacharie</t>
  </si>
  <si>
    <t>Zen</t>
  </si>
  <si>
    <t>Zeppelin</t>
  </si>
  <si>
    <t>Zouave</t>
  </si>
  <si>
    <t>Zebulon</t>
  </si>
  <si>
    <t>Zenon</t>
  </si>
  <si>
    <t>noms animaux</t>
  </si>
  <si>
    <t xml:space="preserve">Mystic </t>
  </si>
  <si>
    <t xml:space="preserve">Tommy Lee   </t>
  </si>
  <si>
    <t>Attaque standard</t>
  </si>
  <si>
    <t>Coureur d'égouts, Grande griffe, Maître assassin, Maître corrupteur, Maître mutateur, Prêtre de la peste, Technomage</t>
  </si>
  <si>
    <t>Coureur d'égouts Eshin, Maître assassin Eshin, Serviteur</t>
  </si>
  <si>
    <t>Coupe-jarret, Coureur d'égouts Eshin, Coureur nocturne Eshin, Geôlier, Guerrier des clans, Tirailleur Skryre, Vermine de choc</t>
  </si>
  <si>
    <t>Agitateur, Coureur nocturne Eshin, Fanatique, Guerrier des clans, Skaven noir</t>
  </si>
  <si>
    <t>Artisan, Tirailleur</t>
  </si>
  <si>
    <t>Voir les Maîtres de la Nuit p.103</t>
  </si>
  <si>
    <t>Vous savez invoquer un orage. Vol impossible, CT-10%. Voir les Maîtres de la Nuit p.98</t>
  </si>
  <si>
    <t>Vous pouvez prendre une forme éthérée. Voir les Maîtres de la Nuit p.98</t>
  </si>
  <si>
    <t>Vous pouvez prendre la forme d'un petit animal. Voir les Maîtres de la Nuit p.100</t>
  </si>
  <si>
    <t>Vous savez invoquer des goules. Voir les Maîtres de la Nuit p.100</t>
  </si>
  <si>
    <t>Vous savez vous changer en nuage de créatures. Voir les Maîtres de la Nuit p.100</t>
  </si>
  <si>
    <t>Vous savez invoquer des loups ou loups funestes. Voir les Maîtres de la Nuit p.100</t>
  </si>
  <si>
    <t>Vous savez invoquer des rats, chauve-souris et autres vermines. Voir les Maîtres de la Nuit p.100</t>
  </si>
  <si>
    <t>Voir les Maîtres de la Nuit p.102</t>
  </si>
  <si>
    <t>Sorcier du clan Eshin</t>
  </si>
  <si>
    <t>Maître corrupteur</t>
  </si>
  <si>
    <t>Maître assassin</t>
  </si>
  <si>
    <t>Chiffonnier, Chirurgien barbier, Guerrier des clans</t>
  </si>
  <si>
    <t>Coureur d'égouts, Grande griffe, Hors-la-loi, Maître corrupteur, Mercenaire, Technomage, Vermine de choc</t>
  </si>
  <si>
    <t>Contrebandier, Coureur nocturne Eshin, Guerrier des clans, Hors-la-loi, Pilleur de tombes, Serviteur, Trafiquant de cadavres, Vagabond</t>
  </si>
  <si>
    <t>Technomage Skryre</t>
  </si>
  <si>
    <t>Augmentations</t>
  </si>
  <si>
    <t>Pag1 U34</t>
  </si>
  <si>
    <t>Pag1 U35</t>
  </si>
  <si>
    <t>Pag1 U36</t>
  </si>
  <si>
    <t>Pag1 U37</t>
  </si>
  <si>
    <t>Pag1 U38</t>
  </si>
  <si>
    <t>Pag1 U39</t>
  </si>
  <si>
    <t>Type?</t>
  </si>
  <si>
    <t>Totaux</t>
  </si>
  <si>
    <t>ag173</t>
  </si>
  <si>
    <t>y190</t>
  </si>
  <si>
    <t>y191</t>
  </si>
  <si>
    <t>y192</t>
  </si>
  <si>
    <t>y193</t>
  </si>
  <si>
    <t>y194</t>
  </si>
  <si>
    <t>y195</t>
  </si>
  <si>
    <t>Armures non utilisées</t>
  </si>
  <si>
    <t>Armures</t>
  </si>
  <si>
    <t>Disp normale</t>
  </si>
  <si>
    <t>Disp corrigée</t>
  </si>
  <si>
    <t>ER</t>
  </si>
  <si>
    <t>Marques de sorcellerie</t>
  </si>
  <si>
    <t>Marque</t>
  </si>
  <si>
    <t>Marques de Sorcellerie</t>
  </si>
  <si>
    <t>Agité</t>
  </si>
  <si>
    <t>Sale</t>
  </si>
  <si>
    <t>Velu</t>
  </si>
  <si>
    <t>Bestial</t>
  </si>
  <si>
    <t>Aura Sauvage</t>
  </si>
  <si>
    <t>Brutal</t>
  </si>
  <si>
    <t>Petits Amis</t>
  </si>
  <si>
    <t>Empreinte de Ghur</t>
  </si>
  <si>
    <t>RdS 176</t>
  </si>
  <si>
    <t>Pâleur</t>
  </si>
  <si>
    <t>Peau Moite</t>
  </si>
  <si>
    <t>Regard Eteint</t>
  </si>
  <si>
    <t>Puanteur de Cimetière</t>
  </si>
  <si>
    <t>Aura de Mort</t>
  </si>
  <si>
    <t>Visage Squeletique</t>
  </si>
  <si>
    <t>Silhouette Squeletique</t>
  </si>
  <si>
    <t>Voix des Morts</t>
  </si>
  <si>
    <t>Hanté</t>
  </si>
  <si>
    <t>Empreinte de Shyish</t>
  </si>
  <si>
    <t>S. d'Améthyste</t>
  </si>
  <si>
    <t>S. d'Ambre</t>
  </si>
  <si>
    <t>S. Céleste</t>
  </si>
  <si>
    <t>Zéphyr</t>
  </si>
  <si>
    <t>Léger comme une plume</t>
  </si>
  <si>
    <t>Cheveux Blancs</t>
  </si>
  <si>
    <t>Yeux Bleus</t>
  </si>
  <si>
    <t>Visions Troublantes</t>
  </si>
  <si>
    <t>Visions Alarmantes</t>
  </si>
  <si>
    <t>Aura de Tranquilité</t>
  </si>
  <si>
    <t>Fasciné par les étoiles</t>
  </si>
  <si>
    <t>Empreinte d'Azyr</t>
  </si>
  <si>
    <t>RdS 177</t>
  </si>
  <si>
    <t>S. Doré</t>
  </si>
  <si>
    <t>Larmes de Vif-Argent</t>
  </si>
  <si>
    <t>Langue de Plomb</t>
  </si>
  <si>
    <t>Peau Dorée</t>
  </si>
  <si>
    <t>Membres Raides</t>
  </si>
  <si>
    <t>Conducteur de Magie</t>
  </si>
  <si>
    <t>Aura Magnétique</t>
  </si>
  <si>
    <t>Peau en Or</t>
  </si>
  <si>
    <t>Lent</t>
  </si>
  <si>
    <t>Empreinte de Chamon</t>
  </si>
  <si>
    <t>S. Flamboyant</t>
  </si>
  <si>
    <t>Irritable</t>
  </si>
  <si>
    <t>Tatouages Faciaux</t>
  </si>
  <si>
    <t>Yeux Flamboyants</t>
  </si>
  <si>
    <t>Peau Brûlante</t>
  </si>
  <si>
    <t>Vulnérable au Froid</t>
  </si>
  <si>
    <t>Aura de Soufre</t>
  </si>
  <si>
    <t>Enragé</t>
  </si>
  <si>
    <t>Empreinte d'Aqshy</t>
  </si>
  <si>
    <t>RdS 178</t>
  </si>
  <si>
    <t>S. Lumineux</t>
  </si>
  <si>
    <t>Chorale</t>
  </si>
  <si>
    <t>Euréka!</t>
  </si>
  <si>
    <t>Pâle</t>
  </si>
  <si>
    <t>Arrogant</t>
  </si>
  <si>
    <t>Vulnérabilité aux Ténèbres</t>
  </si>
  <si>
    <t>Luminescent</t>
  </si>
  <si>
    <t>Aura de Lumière</t>
  </si>
  <si>
    <t>Empreinte de Hysh</t>
  </si>
  <si>
    <t>Excroissance Végétale</t>
  </si>
  <si>
    <t>Pieds Nus</t>
  </si>
  <si>
    <t>Peau Verte</t>
  </si>
  <si>
    <t>Vulnérabilité au Feu</t>
  </si>
  <si>
    <t>RdS 179</t>
  </si>
  <si>
    <t>Constitution Robuste</t>
  </si>
  <si>
    <t>Révulsion à l'égard du métal</t>
  </si>
  <si>
    <t>Harmonie avec les saisons</t>
  </si>
  <si>
    <t>Empreinte de Ghyran</t>
  </si>
  <si>
    <t>S. d'Ombre</t>
  </si>
  <si>
    <t>S. de Jade</t>
  </si>
  <si>
    <t>Vacillement</t>
  </si>
  <si>
    <t>Trompeur</t>
  </si>
  <si>
    <t>Manteau de Brume</t>
  </si>
  <si>
    <t>Aspect d'Ulgu</t>
  </si>
  <si>
    <t>Anonyme</t>
  </si>
  <si>
    <t>Regard Troublant</t>
  </si>
  <si>
    <t>Intangible</t>
  </si>
  <si>
    <t>Ombre Dénaturée</t>
  </si>
  <si>
    <t>Ténébreux</t>
  </si>
  <si>
    <t>Empreinte d'Ulgu</t>
  </si>
  <si>
    <t>Allergie</t>
  </si>
  <si>
    <t>Apparence Cadavérique</t>
  </si>
  <si>
    <t>Aversion</t>
  </si>
  <si>
    <t>Démence</t>
  </si>
  <si>
    <t>Enlaidissement</t>
  </si>
  <si>
    <t>Faible Constitution</t>
  </si>
  <si>
    <t>Mutation</t>
  </si>
  <si>
    <t>Présence Dérangeante</t>
  </si>
  <si>
    <t>Trépidations</t>
  </si>
  <si>
    <t>WJDR 159</t>
  </si>
  <si>
    <t>WJDR 160</t>
  </si>
  <si>
    <t>Appétit Surnaturel</t>
  </si>
  <si>
    <t>Boitement</t>
  </si>
  <si>
    <t>S. du Chaos</t>
  </si>
  <si>
    <t>Habitude Répugnante</t>
  </si>
  <si>
    <t>Infestation</t>
  </si>
  <si>
    <t>Obésité</t>
  </si>
  <si>
    <t>Rachitisme</t>
  </si>
  <si>
    <t>Tare Comportementale</t>
  </si>
  <si>
    <t>TdC 224</t>
  </si>
  <si>
    <t>TdC 225</t>
  </si>
  <si>
    <t>Odeur de Poisson</t>
  </si>
  <si>
    <t>Envie Pélagique</t>
  </si>
  <si>
    <t>Excroissances Marines</t>
  </si>
  <si>
    <t>Marée</t>
  </si>
  <si>
    <t>Charisme Marin</t>
  </si>
  <si>
    <t>Rouleaux</t>
  </si>
  <si>
    <t>Palmé</t>
  </si>
  <si>
    <t>Connaissance Marine</t>
  </si>
  <si>
    <t>TdR 242</t>
  </si>
  <si>
    <t>P. de Morr</t>
  </si>
  <si>
    <t>Mou</t>
  </si>
  <si>
    <t>Distrait par la Mort</t>
  </si>
  <si>
    <t>Visions Troublantes de Morr</t>
  </si>
  <si>
    <t>Mine de Morr</t>
  </si>
  <si>
    <t>Nuée de Corbeaux</t>
  </si>
  <si>
    <t>Yeux Morts</t>
  </si>
  <si>
    <t>Serviteur de Morr</t>
  </si>
  <si>
    <t>Marqué par Morr</t>
  </si>
  <si>
    <t>P. de Myrmidia</t>
  </si>
  <si>
    <t>TdR 243</t>
  </si>
  <si>
    <t>Vengeur</t>
  </si>
  <si>
    <t>Rites Martiaux</t>
  </si>
  <si>
    <t>Calculateur</t>
  </si>
  <si>
    <t>Juste Fureur</t>
  </si>
  <si>
    <t>Mine de Myrmidia</t>
  </si>
  <si>
    <t>Ami des Aigles</t>
  </si>
  <si>
    <t>Yeux d'Aigle</t>
  </si>
  <si>
    <t>Amour Fanatique</t>
  </si>
  <si>
    <t>Marqué par Myrmidia</t>
  </si>
  <si>
    <t>TdR 244</t>
  </si>
  <si>
    <t>TdR 245</t>
  </si>
  <si>
    <t>P. de Ranald</t>
  </si>
  <si>
    <t>Filou</t>
  </si>
  <si>
    <t>Agile</t>
  </si>
  <si>
    <t>Mine de Ranald</t>
  </si>
  <si>
    <t>Ami des Chats</t>
  </si>
  <si>
    <t>Quelconque</t>
  </si>
  <si>
    <t>Chance de Ranald</t>
  </si>
  <si>
    <t>Irrévérencieux</t>
  </si>
  <si>
    <t>Marqué par Ranald</t>
  </si>
  <si>
    <t>P. de Shallya</t>
  </si>
  <si>
    <t>Pacifiste</t>
  </si>
  <si>
    <t>Âme Sensible</t>
  </si>
  <si>
    <t>Peur du Seigneur des Mouches</t>
  </si>
  <si>
    <t>Indigne</t>
  </si>
  <si>
    <t>Mine de Shallya</t>
  </si>
  <si>
    <t>Pacifisme</t>
  </si>
  <si>
    <t>Mains Guérisseuses</t>
  </si>
  <si>
    <t>Aura de Sérénité</t>
  </si>
  <si>
    <t>Enhardi</t>
  </si>
  <si>
    <t>Marqué par Shallya</t>
  </si>
  <si>
    <t>P. de Sigmar</t>
  </si>
  <si>
    <t>Tétu</t>
  </si>
  <si>
    <t>Porteur du Marteau</t>
  </si>
  <si>
    <t>Méfiant</t>
  </si>
  <si>
    <t>Mine de Sigmar</t>
  </si>
  <si>
    <t>Dawongr (Ami des Nains)</t>
  </si>
  <si>
    <t>Animosité Envers les Peaux-Vertes</t>
  </si>
  <si>
    <t>Symbole d'Unité</t>
  </si>
  <si>
    <t>Marqué par Sigmar</t>
  </si>
  <si>
    <t>P. Taal et Rhya</t>
  </si>
  <si>
    <t>Esprit de la Nature</t>
  </si>
  <si>
    <t>Petits Amis de Taal et Rhya</t>
  </si>
  <si>
    <t>Excroissances Végétales</t>
  </si>
  <si>
    <t>Saisonnier</t>
  </si>
  <si>
    <t>Mine de Taal et Rhya</t>
  </si>
  <si>
    <t>Ami des Animaux</t>
  </si>
  <si>
    <t>Flore Animée</t>
  </si>
  <si>
    <t>Faune Tranquille</t>
  </si>
  <si>
    <t>Sens des Animaux</t>
  </si>
  <si>
    <t>Marqué par Taal et Rhya</t>
  </si>
  <si>
    <t>P. d'Ulric</t>
  </si>
  <si>
    <t>Berserk</t>
  </si>
  <si>
    <t>Yeux du Loup</t>
  </si>
  <si>
    <t>Prédateur</t>
  </si>
  <si>
    <t>Mine d'Ulric</t>
  </si>
  <si>
    <t>Ami des Loups</t>
  </si>
  <si>
    <t>Chef de Meute</t>
  </si>
  <si>
    <t>Connaissance de la Nature</t>
  </si>
  <si>
    <t>Serviteur d'Ulric</t>
  </si>
  <si>
    <t>Marqué par Ulric</t>
  </si>
  <si>
    <t>P. de Véréna</t>
  </si>
  <si>
    <t>Savant</t>
  </si>
  <si>
    <t>Avocat du Diable</t>
  </si>
  <si>
    <t>Cœur Juste</t>
  </si>
  <si>
    <t>Regard Perçant</t>
  </si>
  <si>
    <t>Mine de Véréna</t>
  </si>
  <si>
    <t>Ami des Chouettes</t>
  </si>
  <si>
    <t>Souvenir Eidétique</t>
  </si>
  <si>
    <t>Voix de la Sagesse</t>
  </si>
  <si>
    <t>Illuminé par Véréna</t>
  </si>
  <si>
    <t>Illuminé par Sigmar</t>
  </si>
  <si>
    <t>Marqué par Véréna</t>
  </si>
  <si>
    <t>Vedma</t>
  </si>
  <si>
    <t>Pied-bot</t>
  </si>
  <si>
    <t>Paralysie</t>
  </si>
  <si>
    <t>RdG 110</t>
  </si>
  <si>
    <t>Enrouée</t>
  </si>
  <si>
    <t>Os qui craquent</t>
  </si>
  <si>
    <t>Vieillissement</t>
  </si>
  <si>
    <t>Compagnon Spirituel</t>
  </si>
  <si>
    <t>Grande Longévité</t>
  </si>
  <si>
    <t>Marque des Esprits</t>
  </si>
  <si>
    <t>RdG 111</t>
  </si>
  <si>
    <t>S. de Glace</t>
  </si>
  <si>
    <t>Froide</t>
  </si>
  <si>
    <t>Pyrophobe</t>
  </si>
  <si>
    <t>Gelêe</t>
  </si>
  <si>
    <t>Saisonnière</t>
  </si>
  <si>
    <t>Blanche comme Neige</t>
  </si>
  <si>
    <t>RdG 112</t>
  </si>
  <si>
    <t>Glaciale</t>
  </si>
  <si>
    <t>Insensible</t>
  </si>
  <si>
    <t>Regard de Glace</t>
  </si>
  <si>
    <t>Cœur de Glace</t>
  </si>
  <si>
    <t>Marque du Kislev</t>
  </si>
  <si>
    <t>Types Marques</t>
  </si>
  <si>
    <t>Croissance accélérée cheveux</t>
  </si>
  <si>
    <t>Parchemin de prières (Shallya)</t>
  </si>
  <si>
    <t>Bézoard</t>
  </si>
  <si>
    <t>La page 28 du livre de règles précise que les Avances ne doivent jamais être inférieures aux promotions des carrières ultérieures.                                                                                 Si vous souhaitez au contraire que les Avances apparaissent par défaut telles que dans les livres, cochez la case ci-contre :</t>
  </si>
  <si>
    <t>http://lutain.over-blog.com/article-30899270.html</t>
  </si>
  <si>
    <t>Mer d'algues</t>
  </si>
  <si>
    <t>Baiser de Stromfels</t>
  </si>
  <si>
    <t>Roulis</t>
  </si>
  <si>
    <t>Invocation de requins</t>
  </si>
  <si>
    <t>Vents du naufrage</t>
  </si>
  <si>
    <t>Entraves marines</t>
  </si>
  <si>
    <t>Férocité du requin</t>
  </si>
  <si>
    <t>2 demi-action</t>
  </si>
  <si>
    <t>une portion d'eau salée (+1)</t>
  </si>
  <si>
    <t>une algue séchée d'au moins 1 mètre de long (+1)</t>
  </si>
  <si>
    <t xml:space="preserve">Des algues noires viennent entraver les membres de la victime (au choix du prêtre). S'il s'agit des bras, la cible subit un malus de -20% à tous ses tests de CC et de CT. S'il s'agit des jambes, la cible subit un malus de -10% à tous ses tests de CC et d'Agilité, et voit son Mouvement réduit de moitié. La cible peut effectuer 1/2 action par round pour effectuer un test de Force pour briser les algues.
</t>
  </si>
  <si>
    <t>une poignée de dents de requin (+2)</t>
  </si>
  <si>
    <t>une rasade de sang frais (+1)</t>
  </si>
  <si>
    <t>Un nombre de requins égal au score de Magie apparaissent, au rythme d'un requin toute les minutes. Les requins n'attaquent pas le lanceur de sort, sauf si celui est blessé, mais n'obéissent pas à ses ordres. Ils suivent toute trace de sang, ou à défaut restent dans la zone pendant 1 heure.</t>
  </si>
  <si>
    <t>un morceau d'algue fraiche (+1)</t>
  </si>
  <si>
    <t>un éclat de bois tiré d'une épave (+2)</t>
  </si>
  <si>
    <t>la proue d'un navire ayant coulé (+3)</t>
  </si>
  <si>
    <t>La victime a le sentiment de se retrouver sur le pont d'un navire pris dans une tempête. La cible subit un malus de -10% à toutes ses actions, et doit réussir un test d'Agilité par round pour ne pas tomber (le malus s'applique). En cas de chute, elle doit consommer une demie-action et réussir un test d'agilité (le malus s'applique) pour se relever.</t>
  </si>
  <si>
    <r>
      <t>vous manipulez le vent d'</t>
    </r>
    <r>
      <rPr>
        <i/>
        <sz val="10"/>
        <rFont val="Arial"/>
        <family val="2"/>
      </rPr>
      <t>Azyr</t>
    </r>
    <r>
      <rPr>
        <sz val="10"/>
        <rFont val="Arial"/>
        <family val="2"/>
      </rPr>
      <t xml:space="preserve"> pour écrire un message subtil dans les étoiles. Le message n'est pas détaillé et ne peut servir à transmettre des idées complexes que si vous et le destinataire présumé du message avez discuté des signes que vous envisagiez d'envoyer à l'avance ("un pour la tête, deux pour la mer" par exemple). Afin de reconnaître et d'interpréter les signes que vous avez inscrits dans les astres, ceux qui les cherchent doivent réussir un test de Connaissances académiques (astronomie). En fait, quiconque observe le ciel peut effectuer un tel test pour réaliser qu'un </t>
    </r>
    <r>
      <rPr>
        <i/>
        <sz val="10"/>
        <rFont val="Arial"/>
        <family val="2"/>
      </rPr>
      <t>message astral</t>
    </r>
    <r>
      <rPr>
        <sz val="10"/>
        <rFont val="Arial"/>
        <family val="2"/>
      </rPr>
      <t xml:space="preserve"> a été inscrit dans le ciel. Toutefois, sans avoir une idée des informations que vous envisagiez de transmettre, le sens des signes est difficile à déterminer. Ceci dit, il existe une sorte de "langage des </t>
    </r>
    <r>
      <rPr>
        <i/>
        <sz val="10"/>
        <rFont val="Arial"/>
        <family val="2"/>
      </rPr>
      <t>signes dans les astres</t>
    </r>
    <r>
      <rPr>
        <sz val="10"/>
        <rFont val="Arial"/>
        <family val="2"/>
      </rPr>
      <t xml:space="preserve">" connu des sorciers Célestes et des autres individus qui étudient les cieux. En plaçant un </t>
    </r>
    <r>
      <rPr>
        <i/>
        <sz val="10"/>
        <rFont val="Arial"/>
        <family val="2"/>
      </rPr>
      <t>message astral</t>
    </r>
    <r>
      <rPr>
        <sz val="10"/>
        <rFont val="Arial"/>
        <family val="2"/>
      </rPr>
      <t xml:space="preserve"> à l'intérieur ou à proximité de certaines constellations ou régions du ciel à un moment donné, il est possible de transmettre l'idée de danger, d'opportunité ou de concepts similaires.</t>
    </r>
  </si>
  <si>
    <r>
      <t>votre puissante magie réduit votre cible à sa forme la plus vile, révélant sa véritable personnalité. À moins que la victime ne réussisse un test de Force Mentale Assez difficile (-10%), elle subit une terrible transformation : des poils poussent sur tout son corps, elle perd ses facultés de langage et se comporte de manière aussi étrange qu'inexplicable. Quand vient son tour d'agir, elle doit lancer 1d10 pour savoir ce qu'elle fait durant le round. (Table: RdS p.141)</t>
    </r>
    <r>
      <rPr>
        <sz val="10"/>
        <rFont val="Arial"/>
        <family val="2"/>
      </rPr>
      <t xml:space="preserve">
Les effets du sort sont permanents à moins que vous ne relanciez avec succès le sort sur cette cible, ce qui le révoque, ou qu'on ne lance </t>
    </r>
    <r>
      <rPr>
        <i/>
        <sz val="10"/>
        <rFont val="Arial"/>
        <family val="2"/>
      </rPr>
      <t>dissipation</t>
    </r>
    <r>
      <rPr>
        <sz val="10"/>
        <rFont val="Arial"/>
        <family val="2"/>
      </rPr>
      <t xml:space="preserve"> sur la victime en obtenant deux degrés de réussite au test de focalisation associé. Il s'agit d'un sort de contact.</t>
    </r>
  </si>
  <si>
    <t>tout en restant assis au milieu des branches d'un arbre, vous conversez avec celui-ci, apprenant ainsi ce qu'il a vu et entendu. Les arbres ne mentent pas, mais ils n'ont pas l'esprit très vif, s'expriment lentement et ne sont guère au fait des raisons qui motivent le comportement des humains. Les arbres peuvent ne pas vouloir coopérer avec vous s'ils voient vos compagnons couper du bois, faire un feu de camp ou se livrer à d'autres activités semblables. Ils peuvent également exiger des faveurs avant de répondre à une question ou de fournir une information précieuse. Si l'arbre avec lequel vous vous entendez fait partie d'un bosquet, d'un bois ou d'une forêt, il est susceptible d'avoir des informations concernant ce que les autres arbres savent, car ils se livrent à une conversation permanente concernant ce qui se passe dans les domaines boisés. Après l'heure nécessaire à l'incantation, vous vous entendez pendant une autre heure. Toutefois, en raison de la lenteur avec laquelle s'expriment les arbres, cela équivaut à une minute de conversation humaine.</t>
  </si>
  <si>
    <r>
      <t xml:space="preserve">vous faites appel aux esprits pour maudire quelqu’un. La cible a droit à un test de Force Mentale Assez difficile (–10) pour résister à la malédiction. Choisissez-en une parmi celles de l’encart ci-contre. Une cible ne peut être victime que d’une </t>
    </r>
    <r>
      <rPr>
        <i/>
        <sz val="10"/>
        <rFont val="Arial"/>
        <family val="2"/>
      </rPr>
      <t>malédiction suprême</t>
    </r>
    <r>
      <rPr>
        <sz val="10"/>
        <rFont val="Arial"/>
        <family val="2"/>
      </rPr>
      <t xml:space="preserve"> à la fois. Notez que vous pouvez lever une telle malédiction en lançant une nouvelle fois ce sort sur la cible. En apprenant le sort </t>
    </r>
    <r>
      <rPr>
        <i/>
        <sz val="10"/>
        <rFont val="Arial"/>
        <family val="2"/>
      </rPr>
      <t>malédiction suprême</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et pourra trouver l’inspiration en se reportant à l’Appendice II du </t>
    </r>
    <r>
      <rPr>
        <i/>
        <sz val="10"/>
        <rFont val="Arial"/>
        <family val="2"/>
      </rPr>
      <t>Seigneur Liche</t>
    </r>
    <r>
      <rPr>
        <sz val="10"/>
        <rFont val="Arial"/>
        <family val="2"/>
      </rPr>
      <t xml:space="preserve">.
</t>
    </r>
    <r>
      <rPr>
        <b/>
        <sz val="10"/>
        <rFont val="Arial"/>
        <family val="2"/>
      </rPr>
      <t>Malédiction de vedma :</t>
    </r>
    <r>
      <rPr>
        <sz val="10"/>
        <rFont val="Arial"/>
        <family val="2"/>
      </rPr>
      <t xml:space="preserve">
Vous êtes condamné à vieillir à un rythme alarmant car les esprits de la Veuve Vénérable absorbent votre jeunesse. Vos cheveux poussent et virent au gris, vos ongles s’allongent et prennent une teinte jaunâtre, votre musculature est victime d’atrophie, votre vue baisse et vos idées s’emmêlent. Chaque jour, vous devez réussir un test d’Endurance Assez facile (+10) sous peine de réduire toutes vos caractéristiques de 1 point. Ce vieillissement prématuré se poursuit jusqu’à ce que vous atteigniez –20. Dès lors, vous devez réussir un test d’Endurance Assez facile (+10) quotidien sous peine de mourir de vieillesse.</t>
    </r>
  </si>
  <si>
    <r>
      <t xml:space="preserve">vous faites appel aux esprits pour maudire quelqu’un. La cible a droit à un test de Force Mentale Assez difficile (–10) pour résister à la malédiction. Choisissez-en une parmi celles de l’encart ci-contre. Une cible ne peut être victime que d’une </t>
    </r>
    <r>
      <rPr>
        <i/>
        <sz val="10"/>
        <rFont val="Arial"/>
        <family val="2"/>
      </rPr>
      <t>malédiction suprême</t>
    </r>
    <r>
      <rPr>
        <sz val="10"/>
        <rFont val="Arial"/>
        <family val="2"/>
      </rPr>
      <t xml:space="preserve"> à la fois. Notez que vous pouvez lever une telle malédiction en lançant une nouvelle fois ce sort sur la cible. En apprenant le sort </t>
    </r>
    <r>
      <rPr>
        <i/>
        <sz val="10"/>
        <rFont val="Arial"/>
        <family val="2"/>
      </rPr>
      <t>malédiction suprême</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et pourra trouver l’inspiration en se reportant à l’Appendice II du </t>
    </r>
    <r>
      <rPr>
        <i/>
        <sz val="10"/>
        <rFont val="Arial"/>
        <family val="2"/>
      </rPr>
      <t>Seigneur Liche</t>
    </r>
    <r>
      <rPr>
        <sz val="10"/>
        <rFont val="Arial"/>
        <family val="2"/>
      </rPr>
      <t xml:space="preserve">. </t>
    </r>
    <r>
      <rPr>
        <b/>
        <sz val="10"/>
        <rFont val="Arial"/>
        <family val="2"/>
      </rPr>
      <t xml:space="preserve">Malédiction de maladie : </t>
    </r>
    <r>
      <rPr>
        <sz val="10"/>
        <rFont val="Arial"/>
        <family val="2"/>
      </rPr>
      <t>Cette malédiction attire des esprits de la maladie. Chaque jour, vous devez réussir un test d’Endurance Assez facile (+10) sous peine de contracter une maladie au choix du MJ. Cette malédiction n’inflige qu’une maladie à la fois.</t>
    </r>
  </si>
  <si>
    <r>
      <t xml:space="preserve">vous faites appel aux esprits pour maudire quelqu’un. La cible a droit à un test de Force Mentale Assez difficile (–10) pour résister à la malédiction. Choisissez-en une parmi celles de l’encart ci-contre. Une cible ne peut être victime que d’une </t>
    </r>
    <r>
      <rPr>
        <i/>
        <sz val="10"/>
        <rFont val="Arial"/>
        <family val="2"/>
      </rPr>
      <t>malédiction suprême</t>
    </r>
    <r>
      <rPr>
        <sz val="10"/>
        <rFont val="Arial"/>
        <family val="2"/>
      </rPr>
      <t xml:space="preserve"> à la fois. Notez que vous pouvez lever une telle malédiction en lançant une nouvelle fois ce sort sur la cible. En apprenant le sort </t>
    </r>
    <r>
      <rPr>
        <i/>
        <sz val="10"/>
        <rFont val="Arial"/>
        <family val="2"/>
      </rPr>
      <t>malédiction suprême</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et pourra trouver l’inspiration en se reportant à l’Appendice II du </t>
    </r>
    <r>
      <rPr>
        <i/>
        <sz val="10"/>
        <rFont val="Arial"/>
        <family val="2"/>
      </rPr>
      <t>Seigneur Liche</t>
    </r>
    <r>
      <rPr>
        <sz val="10"/>
        <rFont val="Arial"/>
        <family val="2"/>
      </rPr>
      <t xml:space="preserve">. </t>
    </r>
    <r>
      <rPr>
        <b/>
        <sz val="10"/>
        <rFont val="Arial"/>
        <family val="2"/>
      </rPr>
      <t xml:space="preserve">Malédiction de malheur : </t>
    </r>
    <r>
      <rPr>
        <sz val="10"/>
        <rFont val="Arial"/>
        <family val="2"/>
      </rPr>
      <t>Des esprits malins suivent chacun de vos pas, vous faisant trébucher dans les moments importants, vous obligeant à fermer les yeux lorsque vous avez besoin de voir et vous forçant à cracher des obscénités lorsque vous tentez d’être séduisant. Lorsque vous lancez un dé de pourcentage, le chiffre le plus élevé est toujours celui des dizaines.</t>
    </r>
  </si>
  <si>
    <r>
      <t xml:space="preserve">vous faites appel aux esprits pour maudire quelqu’un. La cible a droit à un test de Force Mentale Assez difficile (–10) pour résister à la malédiction. Choisissez-en une parmi celles de l’encart ci-contre. Une cible ne peut être victime que d’une </t>
    </r>
    <r>
      <rPr>
        <i/>
        <sz val="10"/>
        <rFont val="Arial"/>
        <family val="2"/>
      </rPr>
      <t>malédiction suprême</t>
    </r>
    <r>
      <rPr>
        <sz val="10"/>
        <rFont val="Arial"/>
        <family val="2"/>
      </rPr>
      <t xml:space="preserve"> à la fois. Notez que vous pouvez lever une telle malédiction en lançant une nouvelle fois ce sort sur la cible. En apprenant le sort </t>
    </r>
    <r>
      <rPr>
        <i/>
        <sz val="10"/>
        <rFont val="Arial"/>
        <family val="2"/>
      </rPr>
      <t>malédiction suprême</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et pourra trouver l’inspiration en se reportant à l’Appendice II du </t>
    </r>
    <r>
      <rPr>
        <i/>
        <sz val="10"/>
        <rFont val="Arial"/>
        <family val="2"/>
      </rPr>
      <t>Seigneur Liche</t>
    </r>
    <r>
      <rPr>
        <sz val="10"/>
        <rFont val="Arial"/>
        <family val="2"/>
      </rPr>
      <t xml:space="preserve">. </t>
    </r>
    <r>
      <rPr>
        <b/>
        <sz val="10"/>
        <rFont val="Arial"/>
        <family val="2"/>
      </rPr>
      <t>Malédiction de sorcière :</t>
    </r>
    <r>
      <rPr>
        <sz val="10"/>
        <rFont val="Arial"/>
        <family val="2"/>
      </rPr>
      <t xml:space="preserve">
Des esprits tourbillonnent tout autour de vous, usant la barrière qui sépare le monde matériel de l’Aethyr. Lorsque vous lancez un sort, jetez deux dés de plus qui ne s’ajoutent pas au jet d’incantation. Toutefois, ils comptent dans le cadre de la Malédiction de Tzeentch.</t>
    </r>
  </si>
  <si>
    <t>Deux d'épées du tarot de M. Wilhem</t>
  </si>
  <si>
    <t>Cinq de bâtons du tarot de M. Wilhem</t>
  </si>
  <si>
    <t>+10% à n'importe quel test opposé, -5% à un test de compétence non opposé</t>
  </si>
  <si>
    <t>Permet de contraindre une personne à nier un évènement</t>
  </si>
  <si>
    <t>VdD1 59</t>
  </si>
  <si>
    <t>VdD1 56</t>
  </si>
  <si>
    <t>VdD1 62</t>
  </si>
  <si>
    <t>VdD1 63</t>
  </si>
  <si>
    <r>
      <t>Marietta, la Fille de Nuln</t>
    </r>
    <r>
      <rPr>
        <sz val="10"/>
        <rFont val="Arial"/>
        <family val="2"/>
      </rPr>
      <t xml:space="preserve"> (opéra)</t>
    </r>
  </si>
  <si>
    <t>Ulthuan</t>
  </si>
  <si>
    <t>U</t>
  </si>
  <si>
    <t xml:space="preserve">Compétences: Résistance à l'alcool, Connaissances générales (Empire ou Strigany), Canotage ou Navigation, Langue (reikspiel ou strigany), Natation Talents: 1 talent déterminé aléatoirement </t>
  </si>
  <si>
    <t xml:space="preserve">Compétences: Commérage ou Survie, Connaissances générales (Empire) ou Langue (sylvanien), Langue (reikspiel) Talents: Affinité provinciale (Sylvanie), 2 talents déterminés aléatoirement </t>
  </si>
  <si>
    <t xml:space="preserve">Compétences: Commérage ou Dressage, Connaissances générales (Empire), Langue (reikspiel), Soins des animaux Talents : Affinité Provinciale (Striland), 1 talent déterminé aléatoirement </t>
  </si>
  <si>
    <t xml:space="preserve">Compétences: Connaissances générales (Elfes), Langue (eltarin), Langue (reikspiel) Talents : Acuité visuelle, Harmonie aethyrique OU Maitrise (arcs longs), Intelligent OU Sang-froid, Vision nocturne </t>
  </si>
  <si>
    <t xml:space="preserve">Compétences : Déplacement silencieux, Dissimulation, Filature, Langue (langue des bêtes), Langue (langage sombre), Perception, Pistage, Survie Talents : Camouflage rural, Sens aiguisés </t>
  </si>
  <si>
    <t xml:space="preserve">Compétences: Connaissances générales (Nains), Langue (Reikspliel), Langue (khazalid), Métier (forgeron OU maçon OU mineur) Talents : Fureur vengeresse, Résistance à la magie, Robuste, Savoir-faire nain, Valeureux, Vision nocturne </t>
  </si>
  <si>
    <t xml:space="preserve">Compétences: Connaissances générales (skavens), Langue (queekish), Perception Talents: Harmonie aethyrique, Intelligent, Magie commune (Warp), Sang-froid, Vision nocturne. </t>
  </si>
  <si>
    <t xml:space="preserve">Compétences: Connaissances générales (skavens), Langue (queekish), Natation, Perception. Talents: Robuste, Sang-froid, Vision nocturne. </t>
  </si>
  <si>
    <t>Acuité visuelle, Sens aiguisés, Vol</t>
  </si>
  <si>
    <t>Elfes Noirs</t>
  </si>
  <si>
    <t>Naggaroth</t>
  </si>
  <si>
    <t>Talisman fétide</t>
  </si>
  <si>
    <r>
      <t xml:space="preserve">vous créez une alarme silencieuse centrée sur le point que vous touchez. Si jamais une créature s'approche à moins de 2 mètres (1 case) de ce point, vous en serez immédiatement averti mentalement, quelle que soit la distance à laquelle vous vous trouvez. Endormi, vous serez réveillé. L'alarme ne fournit aucune indication sur l'identité de l'intrus, se contentant de prévenir que quelqu'un l'a déclenchée. Vous ne pouvez avoir plus d'une </t>
    </r>
    <r>
      <rPr>
        <i/>
        <sz val="10"/>
        <rFont val="Arial"/>
        <family val="2"/>
      </rPr>
      <t>alarme magique</t>
    </r>
    <r>
      <rPr>
        <sz val="10"/>
        <rFont val="Arial"/>
        <family val="2"/>
      </rPr>
      <t xml:space="preserve"> active à la fois. Le sort fonctionne jusqu'à son déclenchement ou jusqu'à ce que vous le lanciez ailleurs.</t>
    </r>
  </si>
  <si>
    <t>jusqu'à déclenchement</t>
  </si>
  <si>
    <t>1 objet</t>
  </si>
  <si>
    <t>1 arme</t>
  </si>
  <si>
    <t>1 armure</t>
  </si>
  <si>
    <t>ssissyl'k (saurien)</t>
  </si>
  <si>
    <t>grumbarth (ogre)</t>
  </si>
  <si>
    <t>orgvar (troll)</t>
  </si>
  <si>
    <t>Les Marées de l'histoire</t>
  </si>
  <si>
    <t>De la nature de la pensée</t>
  </si>
  <si>
    <t>VdD3 47</t>
  </si>
  <si>
    <t>VdD3 48</t>
  </si>
  <si>
    <t>Les Arts Sombres</t>
  </si>
  <si>
    <t>Calice de fureur ardente</t>
  </si>
  <si>
    <t>+10% en CC, F et E. test de FM (–20%) ou gain de 2 PF et Frénésie</t>
  </si>
  <si>
    <t>VdD3 30</t>
  </si>
  <si>
    <t>Résistance aux maladies, Résistance au Chaos</t>
  </si>
  <si>
    <t>Connaissances académiques (Droit), Torture</t>
  </si>
  <si>
    <t>1ère carrière</t>
  </si>
  <si>
    <t>Statut marital</t>
  </si>
  <si>
    <t>Statut marital :</t>
  </si>
  <si>
    <t>Adore manger des piments</t>
  </si>
  <si>
    <t>Yasha</t>
  </si>
  <si>
    <r>
      <t xml:space="preserve">Vous créez une illusion simulant la réalité à la quasi perfection, comprenant effets visuels, sonores et olfactifs, dans un rayon de 48 mètres (24 cases). Utilisez le grand gabarit. Vous pouvez donner pratiquement n’importe quelle apparence à la zone d'effet. </t>
    </r>
    <r>
      <rPr>
        <i/>
        <sz val="10"/>
        <rFont val="Arial"/>
        <family val="2"/>
      </rPr>
      <t>Illusion ultime</t>
    </r>
    <r>
      <rPr>
        <sz val="10"/>
        <rFont val="Arial"/>
        <family val="2"/>
      </rPr>
      <t xml:space="preserve"> persiste pendant un nombre de rounds égal à votre valeur de Magie, mais vous pouvez en prolonger la durée en réussissant un test de Force Mentale à chaque round suivant. Le maintien de l’illusion se fait au prix d’une demi-action. De plus, si vous lancez le moindre autre sort, l’illusion disparaît instantanément. Les observateurs ont droit à un test d’Intelligence pour percer l’illusion s’ils ont quelque raison de suspecter une ruse. Les effets précis de l’illusion sont laissés au bon sens du MJ.</t>
    </r>
  </si>
  <si>
    <t>Baratin, Charisme, Sens de la magie</t>
  </si>
  <si>
    <t>Connaissances académiques (droit), Connaissances académiques (théologie), Langue (khazalid)</t>
  </si>
  <si>
    <t>Connaissances académiques (Astronomie), Connaissances académiques (Stratégie/tactique), Connaissances générales (Estalie ou Tilée)</t>
  </si>
  <si>
    <t>Connaissances académiques (Stratégie/tactique)</t>
  </si>
  <si>
    <t>Connaissances académiques (Nécromancie), Perception</t>
  </si>
  <si>
    <t>Baratin, Charisme, Connaissances académiques (Sciences)</t>
  </si>
  <si>
    <t>Connaissances académiques (Nécromancie), Métier (embaumeur)</t>
  </si>
  <si>
    <t>Connaissances académiques (Démonologie), Connaissances académiques (Magie)</t>
  </si>
  <si>
    <t>Lueur éblouissante</t>
  </si>
  <si>
    <t>Magie commune de Solkan</t>
  </si>
  <si>
    <t>Magie commune d'Illuminas</t>
  </si>
  <si>
    <t>Anti-Mutation</t>
  </si>
  <si>
    <t>un disque en or (30 CO) (+2)</t>
  </si>
  <si>
    <t>une pinte de sang du clerc (+1)</t>
  </si>
  <si>
    <t>Ce sort invoque un disque lumineux de 2 mètres de diamètre. Ce disque sert de moyen de locomotion pour le Clerc uniquement. Le disque obéit à des ordres simples tels que : gauche, droite, tout droit, plus vite, ralentit, stop, ... Le disque a le talent Lévitation et une valeur de mouvement de 8. Il inflige un coup de force 5 à tous ceux qui se trouvent sur son passage et qui échouent à un Test d'Esquive.</t>
  </si>
  <si>
    <t>Immolation spontanée</t>
  </si>
  <si>
    <t>Le prêtre peut désigner une cible dont une zone prends immédiatement feu, qu'il s'agisse d'une cible inflammable ou non. Elle subit un coup d'une valeur de dommages de 3 dus au feu au début de chaque round pendant lequel le prêtre reste concentré. Pendant sa concentration, le clerc ne peut faire aucune autre action. Les dégâts sont doublés s'il s'agit d'une créature ou d'un être chaotique. Un prêtre possédant ce sort en est lui-même immunisé.</t>
  </si>
  <si>
    <t>Intervention</t>
  </si>
  <si>
    <t>Domaine des Brumes</t>
  </si>
  <si>
    <t>Marche silencieuse</t>
  </si>
  <si>
    <t>Manteau de brumes</t>
  </si>
  <si>
    <t>Murmure des flots</t>
  </si>
  <si>
    <t>un morceau de coton (+1)</t>
  </si>
  <si>
    <t>un morceau d'écorce (+2)</t>
  </si>
  <si>
    <t>un morceau de semelle (+1)</t>
  </si>
  <si>
    <t>une gourde d'eau pure (+1)</t>
  </si>
  <si>
    <t>vos pas et mouvements n'émettent plus aucun son, vous procurant un bonus de 0 à 20% en Discrétion selon les situations.</t>
  </si>
  <si>
    <t>le sorcier entre en communion avec les courants marins et peut visualiser les évènements et entendre les conversations qui se sont déroulés là où le courant est passé. Pour obtenir une information précise ("que c'est-il passé à cet endroit à telle heure ?"), il faut donc identifier le courant adéquat, ce qui nécessite de très bonnes connaissances marines (jet de Canotage ou Navigation de assez difficile à très difficile). Les informations fournies par les flots ne peuvent pas dater de plus d'une heure. Les visions ou sons ainsi obtenus le sont comme "à travers l'eau", et nécessitent obligatoirement un jet de Perception pour être correctement perçus (difficulté très facile à très difficile selon la situation).</t>
  </si>
  <si>
    <t>Internet</t>
  </si>
  <si>
    <t xml:space="preserve">La cible doit réaliser un Test de FM difficile (-20%). Si celui-ci réussit, une mutation est supprimée et la partie mutante retrouve son aspect d'origine. Si le test est raté, une nouvelle mutation plus ou moins grave (selon les proportions de l'échec) apparaît. </t>
  </si>
  <si>
    <t>Langue (khazalid)</t>
  </si>
  <si>
    <t>Pistage, Déplacement silencieux, Dissimulation</t>
  </si>
  <si>
    <t>Connaissances académiques (Droit)</t>
  </si>
  <si>
    <t>Connaissances académiques (Astronomie), Métier (cuisinier/marmition), Survie</t>
  </si>
  <si>
    <t>Acuité auditive, Camouflage rural OU Camouflage urbain, Chance</t>
  </si>
  <si>
    <t>Natation, Intimidation, Torture</t>
  </si>
  <si>
    <t>Connaissances académiques (Astronomie), Natation, Torture</t>
  </si>
  <si>
    <t>Résistance aux maladies, Résistance aux poisons</t>
  </si>
  <si>
    <t>Invocation de démon</t>
  </si>
  <si>
    <r>
      <t xml:space="preserve">vous invoquez un démon (cf. </t>
    </r>
    <r>
      <rPr>
        <b/>
        <sz val="10"/>
        <rFont val="Arial"/>
        <family val="2"/>
      </rPr>
      <t>Chapitre 11: Le bestiaire</t>
    </r>
    <r>
      <rPr>
        <sz val="10"/>
        <rFont val="Arial"/>
        <family val="2"/>
      </rPr>
      <t>) qui apparaît dans un espace inoccupé situé dans un rayon de 12 mètres (6 cases). Celui-ci reste tangible pendant 1d10 minutes.</t>
    </r>
  </si>
  <si>
    <r>
      <t xml:space="preserve">vous invoquez un nombre de démons (cf. </t>
    </r>
    <r>
      <rPr>
        <b/>
        <sz val="10"/>
        <rFont val="Arial"/>
        <family val="2"/>
      </rPr>
      <t>Chapitre 11: Le bestiaire</t>
    </r>
    <r>
      <rPr>
        <sz val="10"/>
        <rFont val="Arial"/>
        <family val="2"/>
      </rPr>
      <t>) égal à votre valeur de Magie. Ils apparaissent chacun dans un espace inoccupé situé dans un rayon de 12 mètres (6 cases) et restent tangibles pendant 1d10 minutes.</t>
    </r>
  </si>
  <si>
    <t>Domaine de l'Ordre</t>
  </si>
  <si>
    <r>
      <t xml:space="preserve">vous invoquez un ange (adaptez un démon du </t>
    </r>
    <r>
      <rPr>
        <b/>
        <sz val="10"/>
        <rFont val="Arial"/>
        <family val="2"/>
      </rPr>
      <t>Chapitre 11: Le bestiaire</t>
    </r>
    <r>
      <rPr>
        <sz val="10"/>
        <rFont val="Arial"/>
        <family val="2"/>
      </rPr>
      <t>) qui apparaît dans un espace inoccupé situé dans un rayon de 12 mètres (6 cases). Celui-ci reste tangible pendant 1d10 minutes.</t>
    </r>
  </si>
  <si>
    <r>
      <t xml:space="preserve">vous invoquez un nombre d'anges mineurs (adaptez un démon du </t>
    </r>
    <r>
      <rPr>
        <b/>
        <sz val="10"/>
        <rFont val="Arial"/>
        <family val="2"/>
      </rPr>
      <t>Chapitre 11: Le bestiaire</t>
    </r>
    <r>
      <rPr>
        <sz val="10"/>
        <rFont val="Arial"/>
        <family val="2"/>
      </rPr>
      <t>) égal à votre valeur de Magie. Ils apparaissent chacun dans un espace inoccupé situé dans un rayon de 12 mètres (6 cases) et restent tangibles pendant 1d10 minutes.</t>
    </r>
  </si>
  <si>
    <t>une pincée de poudre de diamant (+2)</t>
  </si>
  <si>
    <t>Pétrification</t>
  </si>
  <si>
    <t>une poignée de granit pilé (+2)</t>
  </si>
  <si>
    <t>Ce sort lance un projectile magique qui s’il touche la cible la transforme instantanément en statue de pierre si celle-ci rate un test de FM (la FM de la cible est diminuée de la valeur du jet d’incantation du lanceur de sort à cet effet).  Une personne changée en statue de cette façon ne pourra ni être détruite ni tuée par aucun moyen mais pourra être libérée quand le prêtre le désire, sur annulation du sort ou à l’expiration de celui-ci. La transformation est instantanée.</t>
  </si>
  <si>
    <t>repoussant la puissance du Chaos avec passion, vous implorez votre dieu de vous protéger contre les us des Puissances de la Destruction. Vous gagnez le talent Résistance au Chaos. Tant que le sort fait effet, il vous est impossible de lancer le moindre sort, quel que soit son type.</t>
  </si>
  <si>
    <t>Vous incantez ce sort, enveloppant votre cible d'un voile de magie imperceptible. Un sorcier dont vous avez touché la peau sur le point d'incanter contre la cible de ce sort doit réussir un test de FM Très difficile (-30%) pour réussir à lancer son sort. S'il échoue son test, toutes les actions du sorcier sont perdues pour ce round.</t>
  </si>
  <si>
    <t>vous proférez une invocation à l’attention des esprits pour qu’ils vous protègent contre les Puissances de la Ruine. Une cible, bénéficie d’un bonus de +10 à tout test visant à résister au Chaos, ce qui inclut mutations et pouvoirs découlant de la magie du Chaos.</t>
  </si>
  <si>
    <t>Résistance au feu</t>
  </si>
  <si>
    <t>Ce sort protège contre les dommages dus au feu ou aux armes enflammées. Tous les dégâts d'attaques basées sur le feu, y compris les Boules de Feu, les projectiles magiques et les armes magiques disposant d'une attaque enflammée, sont réduits de moitié (arrondi à l'inférieur) tant que le sort est actif sur le personnage</t>
  </si>
  <si>
    <t>Zone d'annihilation</t>
  </si>
  <si>
    <t>une opale de feu (+2)</t>
  </si>
  <si>
    <t>une dose de poison de lotus noir récolté dans l'ombre (+2)</t>
  </si>
  <si>
    <t>une fiole de sang de démon (+2)</t>
  </si>
  <si>
    <t>Toute créature frappée d’instabilité située dans la zone ou tentant d'y pénétrer, doit immédiatement réussir un test de FM sous peine d’être bannie vers les Royaumes du Chaos. Le prêtre (et uniquement lui) est également protégé de tous les tirs de projectiles et des attaques magiques provenant de démons, tant qu'il se trouve dans cette zone. Pendant qu'il maintient une zone, le personnage ne peut pas se déplacer, attaquer au corps à corps, ni incanter d'autres sorts, sous peine de mettre immédiatement fin au sort. Deux, ou plusieurs zones ne peuvent pas se toucher ni se superposer ou alors elles sont toutes détruites instantanément.</t>
  </si>
  <si>
    <t>Mur de feu</t>
  </si>
  <si>
    <t>vous faites apparaître un mur de feu. Celui-ci peut faire jusqu’à 10 mètres de long sur 6 mètres de haut, à condition de se situer en intégralité dans la portée du sort et de ne pas empiéter sur une zone dégageant du froid ou couverte d'eau (lac, étang, étendue de neige, à la discrétion du MJ). Ce mur bouche la vue. Il a un BE 5 et 10 points de Blessures par point de votre valeur de Magie. Enfin, l'eau lui inflige des dégâts doublés.</t>
  </si>
  <si>
    <t>Incendie</t>
  </si>
  <si>
    <t>Le prêtre peut enflammer une source de matière inflammable située jusqu'à 48 mètres de lui qui subit instantanément un coup d’une valeur de 1D10+10 points de dommage. Ce sort peut être dirigé contre une créature inflammable, comme une momie, auquel cas elle pourra effectuer un Test de FM pour en annuler les effets.</t>
  </si>
  <si>
    <t>votre salive (+1)</t>
  </si>
  <si>
    <t>une amulette en or gravée du symbole de Solkan (+2)</t>
  </si>
  <si>
    <t>une ruban de soie rouge marqué du symbole de Solkan (+2)</t>
  </si>
  <si>
    <t>Le clerc appelle sa divinité pour posséder un autre prêtre pendant une situation extrêmement critique (par exemple, entouré par les forces du chaos menées par un grand démon). Le prêtre possédé a toutes les caractéristiques physiques et psychologiques d'un ange majeur de l'ordre (adaptez les caractéristiques d'un démon voir Bestiaire). Il y a cependant un grand risque a faire une telle chose, le prêtre possédé peut en mourir si au terme du sort il rate un test d'Endurance très difficile (-30%).</t>
  </si>
  <si>
    <t>Arquebuse naine</t>
  </si>
  <si>
    <t>Grande épée de Hoeth</t>
  </si>
  <si>
    <t>Grande hache de Chrace</t>
  </si>
  <si>
    <t>Sous-race:</t>
  </si>
  <si>
    <t>Sous-races</t>
  </si>
  <si>
    <t>Une mutation aléatoire</t>
  </si>
  <si>
    <t>Gnomes</t>
  </si>
  <si>
    <t>Compétences: Connaissances générales (Nains) OU Langue (khazalid) Talents : Fureur vengeresse OU Robuste OU Savoir-faire nain OU Valeureux</t>
  </si>
  <si>
    <t>Compétences: Connaissances générales (Elfes) OU Langue (eltarin) Talents : Acuité visuelle OU Vision nocturne OU Intelligent OU Sang-froid</t>
  </si>
  <si>
    <t>Compétences: Connaissances générales (Halflings) OU Langue (halfling) OU Métier (cuisinier OU fermier) Talents : Résistance au chaos OU Vision nocturne</t>
  </si>
  <si>
    <t>Compétences: Connaissances générales (Elfes Noirs) OU Langue (druhir) Talents: Force accure OU Résistance accrue OU Résistance aux maladies OU Résistance aux poisons</t>
  </si>
  <si>
    <t>Compétences: Connaissances générales (Ogres) OU Langue (Grumbarth) OU Résistance à l'alcool Talents: Combat de Rue OU Coups Puissants OU Désarmement OU Effrayant OU Maitrise (Armes lourdes) OU Sans Peur</t>
  </si>
  <si>
    <t>Compétences de sous-races</t>
  </si>
  <si>
    <t xml:space="preserve">1 Compétence déterminée aléatoirement, 1 Talent déterminé aléatoirement </t>
  </si>
  <si>
    <t>Connaissances générales (Elfes)</t>
  </si>
  <si>
    <t>Sens de la Magie</t>
  </si>
  <si>
    <t>Métier (forgeron)</t>
  </si>
  <si>
    <t>Connaissances générales (Tilée)</t>
  </si>
  <si>
    <t>Déplacement silencieux, Métier (cuisinier/marmiton)</t>
  </si>
  <si>
    <t>Métier (cuisinier/marmiton)</t>
  </si>
  <si>
    <t>Contrebandier, Coupe-jarret, Explorateur, Hors-la-loi</t>
  </si>
  <si>
    <t>Compagnon Sorcier (Ordre Gris), Contrebandier, Coupe-jarret, Espion, Explorateur, Hors-la-loi, Marin, Matelot, Navigateur, Officier en second, Répurgateur</t>
  </si>
  <si>
    <t>Alphabet secret (voleurs), Canotage, Commérage, Déplacement silencieux OU Dissimulation OU Filature, Focalisation, Langage mystique (elfe mystique), Langage secret (langage des voleurs), Lecture sur les lèvres, Lire/écrire, Natation, Perception, Sens de la magie</t>
  </si>
  <si>
    <t>Apprenti sorcier, Marcheur des Brumes</t>
  </si>
  <si>
    <t>Marin, Marcheur des Brumes, Matelot, Pillard</t>
  </si>
  <si>
    <t>Canot/Barquette/Bateau à rames</t>
  </si>
  <si>
    <t>1d10+</t>
  </si>
  <si>
    <t>Peur/ Terreur</t>
  </si>
  <si>
    <t>Points de règles</t>
  </si>
  <si>
    <t>Permanente: Cette rune peut être inscrite sur une outre, une gourde ou tout autre récipient destiné à transporter de la boisson. Quand on invoque le pouvoir de la rune en suivant les contours du doigt, l'ustensile se remplit d'une eau pure et rafraîchissante. Temporaire: comme permanente mais l'avantage ne fonctionne qu'une fois.</t>
  </si>
  <si>
    <r>
      <rPr>
        <b/>
        <sz val="8"/>
        <rFont val="Arial"/>
        <family val="2"/>
      </rPr>
      <t>Test de Peur raté</t>
    </r>
    <r>
      <rPr>
        <i/>
        <sz val="8"/>
        <rFont val="Arial"/>
        <family val="2"/>
      </rPr>
      <t xml:space="preserve">= Round suivant perdu </t>
    </r>
  </si>
  <si>
    <r>
      <rPr>
        <b/>
        <sz val="8"/>
        <rFont val="Arial"/>
        <family val="2"/>
      </rPr>
      <t>Test de Terreur raté</t>
    </r>
    <r>
      <rPr>
        <i/>
        <sz val="8"/>
        <rFont val="Arial"/>
        <family val="2"/>
      </rPr>
      <t>= Round suivant perdu et gain d'un pt. de Folie</t>
    </r>
  </si>
  <si>
    <r>
      <rPr>
        <b/>
        <sz val="8"/>
        <rFont val="Arial"/>
        <family val="2"/>
      </rPr>
      <t>Fureur d'Ulric</t>
    </r>
    <r>
      <rPr>
        <i/>
        <sz val="8"/>
        <rFont val="Arial"/>
        <family val="2"/>
      </rPr>
      <t>: Lorsqu'un personnage obtient un 10 naturel sur un dé de dégâts, il peut refaire un jet d'attaque avec les mêmes modificateurs. S'il est réussi, le personnage peut relancer un dé de dégâts qui s'ajoute aux dégâts déjà obtenus. En cas de 10 naturel sur ce nouveau jet, répéter la procédure.</t>
    </r>
  </si>
  <si>
    <r>
      <rPr>
        <b/>
        <sz val="8"/>
        <rFont val="Arial"/>
        <family val="2"/>
      </rPr>
      <t>Coup critique</t>
    </r>
    <r>
      <rPr>
        <i/>
        <sz val="8"/>
        <rFont val="Arial"/>
        <family val="2"/>
      </rPr>
      <t>= Lancer sur la table des critiques et gain d'un point de folie</t>
    </r>
  </si>
  <si>
    <t>Peau de crocodile</t>
  </si>
  <si>
    <t>Grimoire Mystique de l’Ordre Flamboyant</t>
  </si>
  <si>
    <t>Grimoire Cardinal de l’Ordre Flamboyant</t>
  </si>
  <si>
    <t>Grimoire Mystique de l’Ordre d’Améthyste</t>
  </si>
  <si>
    <t>Grimoire Cardinal de l’Ordre d’Améthyste</t>
  </si>
  <si>
    <t>Grimoire Cardinal de l’Ordre Doré</t>
  </si>
  <si>
    <t>Grimoire Mystique de l’Ordre Doré</t>
  </si>
  <si>
    <t>Grimoire Cardinal de l’Ordre Gris</t>
  </si>
  <si>
    <t>Grimoire Mystique de l’Ordre Gris</t>
  </si>
  <si>
    <t>Grimoire Mystique de l’Ordre Lumineux</t>
  </si>
  <si>
    <t>Grimoire Cardinal de l’Ordre Lumineux</t>
  </si>
  <si>
    <t>Grimoire Mystique de la Confrérie d’Ambre</t>
  </si>
  <si>
    <t>Grimoire Cardinal de la Confrérie d’Ambre</t>
  </si>
  <si>
    <t>Grimoire Mystique du Collège Céleste</t>
  </si>
  <si>
    <t>Grimoire Cardinal du Collège Céleste</t>
  </si>
  <si>
    <t>Grimoire Mystique du Collège de Jade</t>
  </si>
  <si>
    <t>Grimoire Cardinal du Collège de Jade</t>
  </si>
  <si>
    <t>1co = 20pa = 240 sc</t>
  </si>
  <si>
    <t>SC</t>
  </si>
  <si>
    <t>Defenders of the Forest</t>
  </si>
  <si>
    <t>Domaine des Forêts elfiques</t>
  </si>
  <si>
    <t>Domaine d'Athel Loren</t>
  </si>
  <si>
    <t>Chant des arbres</t>
  </si>
  <si>
    <t>spéciale (cf. texte)</t>
  </si>
  <si>
    <t>un globe oculaire de cerf (+1)</t>
  </si>
  <si>
    <t>vous regardez à travers les yeux d'un animal de la forêt. Le sort doit être lancé tant que l’animal est à portée de votre vision sauf si l'animal est votre compagnon. L'animal suivra son propre chemin à moins que vous ne lui donniez des instructions par des moyens magiques. Ce lien visuel peut être maintenu jusqu'à votre Valeur de Magie X150 km aussi longtemps que vous continuez à vous concentrer.</t>
  </si>
  <si>
    <t>Fureur de la forêt</t>
  </si>
  <si>
    <t>une branche de dryade (+2)</t>
  </si>
  <si>
    <t>votre mélodie enchanteresse oblige les arbres dans la zone à se plier et se déplacer. Ce sort peut être lancé sur un bosquet boisé jusqu'à 36 mètres de distance pour tisser instantanément un abri temporaire, créer une habitation permanente (nécessite plusieurs heures), ou déplacer les arbres de 4 mètres par round. De plus, ce sort permet au lanceur de communiquer par télépathie avec les arbres et plantes de la zone touchée et d’en extraire les arcs et lances de la meilleure qualité sans effort.</t>
  </si>
  <si>
    <t>vous invoquez des branches tordues et épineuses qui germent spontanément parmi un groupe d'ennemis. Chaque ennemi pris dans la zone touchée est attaqué par des branches avec un CC de 25 et font 4 points de dégâts une fois par round aussi longtemps que le sort est maintenu ou qu’ils quittent la zone. Les dégâts sont augmentés de 5 si le sort est jeté dans une forêt.</t>
  </si>
  <si>
    <t>36 mètres (18 cases) (petit gabarit)</t>
  </si>
  <si>
    <t>un caillou lisse (+1)</t>
  </si>
  <si>
    <t>Chemin Caché</t>
  </si>
  <si>
    <t>vous rendez intangible un groupe de compagnons dans la zone ciblée. Sous l’effet du Chemin caché, les voyageurs peuvent ignorer les pénalités de terrain et ne subissent pas les éventuels dommages causés par les effets environnementaux. Ils reçoivent également un bonus de +20% en Déplacement Silencieux et Dissimulation. Le sort est immédiatement rompu lorsque les personnages sont engagés dans un combat au corps à corps. Sinon, seuls les projectiles magiques peuvent leur faire du mal pour la durée du sort.</t>
  </si>
  <si>
    <t>Hôtes du crépuscule</t>
  </si>
  <si>
    <t>vous invitez une foule de 2d10 fantômes sombres (Le Bestiaire p.92) à marcher parmi votre groupe de compagnons. Ceux-ci font peur aux adversaires de vos compagnons, les immunisant eux-mêmes contre les effets de peur tant que dure le sort.</t>
  </si>
  <si>
    <t>Bénédiction d'Ariel</t>
  </si>
  <si>
    <t>3 demi-actions</t>
  </si>
  <si>
    <t>un verre d'eau de source fraîche (+1)</t>
  </si>
  <si>
    <t>vous imprégnez un personnage d’une force de vie magique. Au début de chaque tour, celui-ci régénère spontanément 1d10 blessures. La Bénédiction d'Ariel peut ramener un personnage récemment décédé à la vie, à condition que vous le touchez dans la minute de sa mort et il qu’il réussisse un test d'Endurance. Les personnages restaurés de cette façon restent à 0 pts de Blessure au premier tour puis régénèrent normalement mais sont Étourdis tant que dure le sort.</t>
  </si>
  <si>
    <t>Appel de la chasse</t>
  </si>
  <si>
    <t>un cor de chasse (+2)</t>
  </si>
  <si>
    <t>vos alliés sont inspirés par la fureur sauvage de Kurnous. Un nombre de combattants amicaux égal à votre Magiex1d10 reçoit +1 en Attaque pour la durée du combat. Ceux qui ne sont pas déjà engagés au corps à corps lorsque le sort est lancé doivent immédiatement entamer une action de charge en plus de la séquence normale du tour en cours.</t>
  </si>
  <si>
    <t>Prédiction du danger</t>
  </si>
  <si>
    <t>30 minutes</t>
  </si>
  <si>
    <t>une pincée de feuilles de rêve en poudre (+2)</t>
  </si>
  <si>
    <t>vous entrez dans une transe légère qui vous relie à l'environnement naturel. Si la région est une forêt normale ou ordinaire, vous pouvez détecter la nature et l'emplacement approximatif de toute menace imminente (par exemple, «cinquante hommes-bêtes, à 2km au sud-est»). Dans les forêts magiques comme Athel Loren, vous pouvez prédire des événements qui n’ont pas encore eu lieu en réussissant un test de Perception Très Difficile (-30%).</t>
  </si>
  <si>
    <t>Projection Aethyrique</t>
  </si>
  <si>
    <t>un brin de racine de rêve (+3)</t>
  </si>
  <si>
    <t>vous entrez dans une transe légère, projetant votre esprit vers un autre emplacement situé à maximum votre Magie X 100km de distance. Vous ne devez pas avoir visité l'emplacement précédemment, mais il doit être situé près d’une étendue d'eau douce ou de forêts et vous devez connaître son nom. Vous pouvez parler, vous déplacer et traverser les objets solides jusqu'à 5 mètres d'épaisseur, mais ne pouvez pas interagir autrement avec le monde matériel. Votre forme éthérée est uniquement affectée par les attaques magiques. Un seul sort peut être lancé à partir de votre forme éthérée avant de retourner dans votre corps.</t>
  </si>
  <si>
    <t>Le réveil du printemps</t>
  </si>
  <si>
    <t>DotF 26</t>
  </si>
  <si>
    <t>Dance du froid de l'hiver</t>
  </si>
  <si>
    <t>vos mouvements lents trompent vos adversaires, vous permettant de détourner des coups plus vite qu'ils ne vous en croient capable. Pendant la danse vous gagnez une action de Parade supplémentaire à chaque tour, mais vous subissez un malus de -10% aux tentatives d’Esquive.</t>
  </si>
  <si>
    <t>Dance de la réapparition du printemps</t>
  </si>
  <si>
    <t>vous vous déplacez à une vitesse presque surnaturelle, tournant rapidement dans un sens puis l'autre et vos adversaires ont du mal à anticiper où frapper. Tous vos adversaires au corps à corps réduisent leur Attaque de 1 point (pour un minimum de 1) pour la durée de la danse mais vous souffrez d'un malus de -10% dans tous les tests de compétence associés aux Armes.</t>
  </si>
  <si>
    <t>Dance de la vigueur de l'été</t>
  </si>
  <si>
    <t>vous frappez avec précision étonnante, coupant les têtes et perçant les cœurs d'un coup trompeusement élégant. Lors de l'exécution de cette danse, une arme au corps à corps que vous utilisez pour porter une attaque réussie gagne l’attribut Précise</t>
  </si>
  <si>
    <t>Dance du déclin de l'automne</t>
  </si>
  <si>
    <t>vous vous tordez et tournoyez pendant toute la durée de la danse, déviant parfois les attaques, y compris les flèches, comme si vous aviez prévu les coups avant qu'ils ne se soient déchaînés. Vous bénéficiez d'un bonus de +10% à toute tentative de Parade au cours de la danse, mais souffrez d'une pénalité de -2 à tous les jets de blessure contre vos adversaires.</t>
  </si>
  <si>
    <t>Dance de la mort tourbillonnante</t>
  </si>
  <si>
    <t>vous vous déplacez comme un tourbillon parmi vos adversaires, semant la mort sur tous ceux qui vous entourent. Chaque fois que vous infligez des dégâts à un adversaire, vous déclenchez la fureur d'Ulric sur un jet de 8, 9 ou 10. Vous ne pouvez pas faire aucune tentative d’Esquive ou de Parade tant que dure la danse.</t>
  </si>
  <si>
    <t>Dance de la tempête de lames</t>
  </si>
  <si>
    <t>vous faites pleuvoir un déluge de coups sur votre adversaire, vous déplaçant à une vitesse telle que l'œil ne peut pas suivre chaque toucher ni poussée distinctement. Vos adversaires subissent un malus de -20% aux tests d’Esquive et de Parade contre vos attaques au cours de la danse, mais vous souffrez d'un malus de -10% à toute attaque visant à les frapper.</t>
  </si>
  <si>
    <t>Dance de tourbillon des ombres</t>
  </si>
  <si>
    <t>Dance du brouillard tissé</t>
  </si>
  <si>
    <t>vous vous déplacez avec une telle grâce, que vous échappez aux attaques maladroites de vos adversaires, pour qui vous semblez presque impossible à trouver. Vous bénéficiez d'un bonus de +10% à aux tentatives d’Esquive pendant la danse, mais souffrez d'une pénalité de -10% aux tests de compétence d’Arme pour la durée de la danse.</t>
  </si>
  <si>
    <t>vos mouvements sinueux distraient et confondent vos adversaires ce qui vous permet de frapper avant qu'ils ne puissent réagir. Tant que dure la dance, vous pouvez toujours agir le premier contre vos adversaires lors d’un combat, sauf l’un de ceux-ci a une capacité similaire, auquel cas, le tour est résolu normalement par ordre d’Initiative. Toutefois, vous subissez un malus de -1 en Attaque.</t>
  </si>
  <si>
    <t>Expression artistique (une au choix)</t>
  </si>
  <si>
    <t>Saearath</t>
  </si>
  <si>
    <t>Briquet à silex</t>
  </si>
  <si>
    <t>Test d’Expression Artistique (acrobate) à la place de Focalisation. Aucun langage magique nécessaire</t>
  </si>
  <si>
    <t>+45</t>
  </si>
  <si>
    <t>Charisme, Intimidation, Connaissance académique (six choix), Connaissance générale (cinq au choix), Esquive, Focalisation, Langage mystique (elfe mystique), Langage mystique (magick), Langue (cinq au choix), Lecture sur les lèvres, Lire/écrire, Perception, Sens de la magie</t>
  </si>
  <si>
    <t>Quatre objets magiques, 15 grimoires</t>
  </si>
  <si>
    <t>Archmage</t>
  </si>
  <si>
    <t>Apprentice Shaman</t>
  </si>
  <si>
    <t>Apprentice Grey Seer</t>
  </si>
  <si>
    <t>Aspiring Champion</t>
  </si>
  <si>
    <t>Cataclyst</t>
  </si>
  <si>
    <t>Strumpet</t>
  </si>
  <si>
    <t>Shaman</t>
  </si>
  <si>
    <t>Bray Shaman</t>
  </si>
  <si>
    <t>Exalted Champion of Chaos</t>
  </si>
  <si>
    <t>Beastman Champion</t>
  </si>
  <si>
    <t>Moulder Pack Leader</t>
  </si>
  <si>
    <t>Vampire Count</t>
  </si>
  <si>
    <t>Sewage Runner</t>
  </si>
  <si>
    <t xml:space="preserve">Eshin Nightrunner </t>
  </si>
  <si>
    <t>Maid of Honor</t>
  </si>
  <si>
    <t>Exalted Demon</t>
  </si>
  <si>
    <t>Exalted Demon of Khorne</t>
  </si>
  <si>
    <t>Diplomat</t>
  </si>
  <si>
    <t>Geometer</t>
  </si>
  <si>
    <t>Grand Shaman</t>
  </si>
  <si>
    <t>Grand Shaman Bray</t>
  </si>
  <si>
    <t>High Priest (cloistered)</t>
  </si>
  <si>
    <t>Clan Warrior</t>
  </si>
  <si>
    <t>Chaos Warrior</t>
  </si>
  <si>
    <t>Master Assassin</t>
  </si>
  <si>
    <t>Master Corruptor</t>
  </si>
  <si>
    <t>Master Setter</t>
  </si>
  <si>
    <t>Mistwalker</t>
  </si>
  <si>
    <t>Street Preacher</t>
  </si>
  <si>
    <t>Demon Prince</t>
  </si>
  <si>
    <t>Gray Seer</t>
  </si>
  <si>
    <t>Gray Lord</t>
  </si>
  <si>
    <t>Vampire Lord</t>
  </si>
  <si>
    <t>Skirmisher</t>
  </si>
  <si>
    <t>Newborn Vampire</t>
  </si>
  <si>
    <t>Archimage, Dilettante, Espion, Maître sorcier, Répurgateur, Seigneur sorcier</t>
  </si>
  <si>
    <t>Dance du chant du cygne</t>
  </si>
  <si>
    <t>vous vous mettez à décrire une ode à la mort qui plonge vos ennemis dans une profonde torpeur tant vos mouvements sont emplis de tristesse. Le danseur ne peut rien faire d'autre que bouger et toutes les créatures dans la zone d’effet doivent réussir un test de Peur à -20% au début de chaque round pour ne pas arrêter toute action tant que la danse dure.</t>
  </si>
  <si>
    <t>Dance de l'hermine</t>
  </si>
  <si>
    <t>En bougeant votre corps de manière hypnotique, vous parvenez à obnubiler votre adversaire. Si ce dernier échoue à un test de FM, il est considéré comme sans défense tant que vous continuez votre danse. Vous ne pouvez rien faire d'autre que danser.</t>
  </si>
  <si>
    <t>Dance de l'hymne à la guerre</t>
  </si>
  <si>
    <t>Vous interprétez l'hymne à la guerre. Tant que vous continuez de danser et chanter vous gagnez le talent Frénésie</t>
  </si>
  <si>
    <t>Cœur Ardent</t>
  </si>
  <si>
    <t>Flèche de feu stellaire</t>
  </si>
  <si>
    <t>DotF 30</t>
  </si>
  <si>
    <t>Nie le talent d'Aura Démoniaque et malus de -10% aux jets d'instabilité.</t>
  </si>
  <si>
    <t>Lance de Daith</t>
  </si>
  <si>
    <t>Confère une action de Parade gratuite par Round</t>
  </si>
  <si>
    <t>DotF 31</t>
  </si>
  <si>
    <t>Talisman de Qwarr</t>
  </si>
  <si>
    <t>Confère un point de Fortune supplémentaire</t>
  </si>
  <si>
    <t>Combat de Rue, Force accrue,  Maitrise (une arme au choix)</t>
  </si>
  <si>
    <t>Métier (Arquebusier OU Fabricant d'armes OU Fabricant d'armures OU Mineur OU Forgeron)</t>
  </si>
  <si>
    <t>Connaissances académiques (une au choix), Hypnotisme, Intimidation</t>
  </si>
  <si>
    <t>Connaissances académiques (Nécromancie)</t>
  </si>
  <si>
    <t>Intimidation, Métier (embaumeur)</t>
  </si>
  <si>
    <t>Métier (Joailler/Bijoutier OU Forgeron)</t>
  </si>
  <si>
    <t>Connaissances académiques (Ingénierie)</t>
  </si>
  <si>
    <t>Couteau de chasse elfique</t>
  </si>
  <si>
    <t>Marteau de guerre sigmarite</t>
  </si>
  <si>
    <t>Corruption de Neiglen</t>
  </si>
  <si>
    <t>du bois pourri (+1)</t>
  </si>
  <si>
    <t>Le Tome de la Corruption/Gazette de Nuln 1</t>
  </si>
  <si>
    <t>228/47</t>
  </si>
  <si>
    <t>Chevalet de torture</t>
  </si>
  <si>
    <t>Carcan en bois</t>
  </si>
  <si>
    <t>Carcan en acier</t>
  </si>
  <si>
    <t>WHJDR Magie Elfique/ WFRP2 Career Expansion</t>
  </si>
  <si>
    <t>1//29</t>
  </si>
  <si>
    <t>WFRP2 Career Expansion</t>
  </si>
  <si>
    <t>Dragon Slayer</t>
  </si>
  <si>
    <t>Tueur de dragons</t>
  </si>
  <si>
    <t>Une mort Glorieuse</t>
  </si>
  <si>
    <t>Ambidextre, Désarmement OU Sur ses gardes, Lutte, Réflexes éclairs OU Résistance accrue, Résistance aux maladies, Sang Froid</t>
  </si>
  <si>
    <t>un sang brulant sort par de vos mains et embrase tout ce qu'il touche. Il s'agit d'un projectile magique infligeant un coup d'une valeur de dégâts de 4 qui affecte un nombre de cibles égal à votre valeur de magie. Si vous vous coupez et perdez 5 points de blessures pour fournir le sang du sort, vous pouvez doubler le nombre de cibles.</t>
  </si>
  <si>
    <t>Vin elfique (1/2l)</t>
  </si>
  <si>
    <t>Cheval (licorne)</t>
  </si>
  <si>
    <t>Esquive (Ag), Natation (F), Perception (Int+20%), Pistage (Int+20%)</t>
  </si>
  <si>
    <t>Acuité auditive, Armes naturelles, Sans peur, Sens Aiguisés, Vision Nocturne</t>
  </si>
  <si>
    <t>Bestiaire 100</t>
  </si>
  <si>
    <t>Cape en peau de dragon des mers</t>
  </si>
  <si>
    <t>Bestiaire 92</t>
  </si>
  <si>
    <t>Acuité visuelle, Armes naturelles, Sens aiguisés, Vol</t>
  </si>
  <si>
    <t>Griffon</t>
  </si>
  <si>
    <t>Bestiaire 95</t>
  </si>
  <si>
    <t>Perception (Int+10%)</t>
  </si>
  <si>
    <t>2(10)</t>
  </si>
  <si>
    <t>Esquive (Ag), Orientation (Int+10%), Perception (Int+20%)</t>
  </si>
  <si>
    <t>Acuité auditive, Armes naturelles, Coups précis, Coups puissants, Sans peur, Sens aiguisés, Vision nocturne, Vol</t>
  </si>
  <si>
    <t>Arsenal 14</t>
  </si>
  <si>
    <t>VdD3 20/Ars 14</t>
  </si>
  <si>
    <t>Arsenal 52</t>
  </si>
  <si>
    <t>Arsenal 53</t>
  </si>
  <si>
    <t>Arsenal 54</t>
  </si>
  <si>
    <t>Arsenal 55</t>
  </si>
  <si>
    <t>Arsenal 56</t>
  </si>
  <si>
    <t>Arsenal 57</t>
  </si>
  <si>
    <t>Arsenal 58</t>
  </si>
  <si>
    <t>Arsenal 59</t>
  </si>
  <si>
    <t>Arsenal 60</t>
  </si>
  <si>
    <t>Arsenal 61</t>
  </si>
  <si>
    <t>Arsenal 62</t>
  </si>
  <si>
    <t>Arsenal 63</t>
  </si>
  <si>
    <t>Arsenal 64</t>
  </si>
  <si>
    <t>Arsenal 65</t>
  </si>
  <si>
    <t>Arsenal 66</t>
  </si>
  <si>
    <t>Arsenal 67</t>
  </si>
  <si>
    <t>Arsenal 68</t>
  </si>
  <si>
    <t>Arsenal 69</t>
  </si>
  <si>
    <t>Arsenal 70</t>
  </si>
  <si>
    <t>Arsenal 71</t>
  </si>
  <si>
    <t>Arsenal 72</t>
  </si>
  <si>
    <t>Arsenal 73</t>
  </si>
  <si>
    <t>Arsenal 74</t>
  </si>
  <si>
    <t>Arsenal 75</t>
  </si>
  <si>
    <t>Arsenal 77</t>
  </si>
  <si>
    <t>Arsenal 78</t>
  </si>
  <si>
    <t>Arsenal 80</t>
  </si>
  <si>
    <t>Arsenal 81</t>
  </si>
  <si>
    <t>Arsenal 82</t>
  </si>
  <si>
    <t>Arsenal 83</t>
  </si>
  <si>
    <t>Arsenal 86</t>
  </si>
  <si>
    <t>Arsenal 87</t>
  </si>
  <si>
    <t>Tatoueur/Prothésiste</t>
  </si>
  <si>
    <t>Arsenal 112</t>
  </si>
  <si>
    <t>Arsenal 114</t>
  </si>
  <si>
    <t>Arsenal 115</t>
  </si>
  <si>
    <t>Gazette de Nuln 1</t>
  </si>
  <si>
    <t>Lacets en cuir (1m)</t>
  </si>
  <si>
    <t>Tresse de crin</t>
  </si>
  <si>
    <t>Bas de laine</t>
  </si>
  <si>
    <t>Bas de soie</t>
  </si>
  <si>
    <t>Pot à braises</t>
  </si>
  <si>
    <t>Fiole en verre</t>
  </si>
  <si>
    <t>Fiole en grès</t>
  </si>
  <si>
    <t>Marmite de fer (3l)</t>
  </si>
  <si>
    <t>Marmite de fer (5l)</t>
  </si>
  <si>
    <t>Entonnoir en fer</t>
  </si>
  <si>
    <t>Le livre des jours</t>
  </si>
  <si>
    <t>Nécessaire de cartographie</t>
  </si>
  <si>
    <t>Kit de toilettage d'animal</t>
  </si>
  <si>
    <t>Ours commun (dressé)</t>
  </si>
  <si>
    <t>Farine de sarrasin (une livre)</t>
  </si>
  <si>
    <t>Nécessaire d'ébéniste</t>
  </si>
  <si>
    <t>Ether/chloroforme (une bouteille)</t>
  </si>
  <si>
    <t>Œil de verre</t>
  </si>
  <si>
    <t>Aumônière</t>
  </si>
  <si>
    <t>Nécessaire antipoison</t>
  </si>
  <si>
    <t>Nécessaire de rasage</t>
  </si>
  <si>
    <t>Poêle à frire</t>
  </si>
  <si>
    <t>Reliquaire</t>
  </si>
  <si>
    <t>Œil-de-tigre brut</t>
  </si>
  <si>
    <t>Œil-de-tigre taillé</t>
  </si>
  <si>
    <t>Scalp humain</t>
  </si>
  <si>
    <t>Atours de noble (tenue complète)</t>
  </si>
  <si>
    <t>Béret de velours</t>
  </si>
  <si>
    <t>Recueil de chants d'opéra</t>
  </si>
  <si>
    <t>Recueil de chants religieux</t>
  </si>
  <si>
    <t>Recueil de partitions</t>
  </si>
  <si>
    <t>Recueil de poésie</t>
  </si>
  <si>
    <t>Recueil de potiologie</t>
  </si>
  <si>
    <t>Graisse à bottes (une livre)</t>
  </si>
  <si>
    <t>Cire d'abeille (une livre)</t>
  </si>
  <si>
    <t>Les grands principes de l'architecture</t>
  </si>
  <si>
    <t>Cilice en métal</t>
  </si>
  <si>
    <t>Fléau d'armes ou morgenstern, cilice en métal, armure légère (veste de cuir), alcool fort (une bouteille)</t>
  </si>
  <si>
    <t>Grattelle hurlante</t>
  </si>
  <si>
    <t>Purpura noir</t>
  </si>
  <si>
    <t>Malaria nécrophage</t>
  </si>
  <si>
    <t>Mort omniprésente</t>
  </si>
  <si>
    <t>Rupture cérébrale</t>
  </si>
  <si>
    <t>Objets magiques/spéciaux/impies/bénis/reliques et artéfacts</t>
  </si>
  <si>
    <t>DotF: Defender of the Forest</t>
  </si>
  <si>
    <t>N</t>
  </si>
  <si>
    <t>Compétences: Intimidation, Survie OU Marchandage. Talents: Guerrier Né, Sang Froid OU Intelligent, Grand Voyageur OU Intrigant, Résistance aux maladies OU Résistance aux poisons</t>
  </si>
  <si>
    <t xml:space="preserve">Compétences: Langue (une au choix) OU Connaissances académiques (une au choix), Lire/écrire Talents: Harmonie aethyrique OU Maitrise (arcs longs), Intelligent OU Sang-froid, Résistance aux maladies, Grand Voyageur OU Intrigant, Vision nocturne </t>
  </si>
  <si>
    <t>Compétences: Chasse, Braconnage, Dressage OU Emprise sur les animaux, Survie Talents: Acuité auditive OU Adresse au tir OU Camouflage rural</t>
  </si>
  <si>
    <t>Ungor</t>
  </si>
  <si>
    <t>Bray</t>
  </si>
  <si>
    <t>Minautore</t>
  </si>
  <si>
    <t>Centigor</t>
  </si>
  <si>
    <t>CALCUL DE BLESSURES</t>
  </si>
  <si>
    <t>CALCUL DES POINTS DE DESTIN</t>
  </si>
  <si>
    <t>Coup au but</t>
  </si>
  <si>
    <t>après action de visée, +20% en CC au lieu de 10</t>
  </si>
  <si>
    <t>Kurgan</t>
  </si>
  <si>
    <t>Compétences: Connaissances générales (Norsca), Langue (norse), Navigation, Résistance à l'alcool OU Connaissances générales (Désolations du Chaos), Survie. Talents : Affinité provinciale (Iles de Kuldevin), Rompu au Chaos, Sens de l'Orientation, 20% de chances de commencer le jeu avec une mutation. Si mutation, 10% de chance d'être un Ulfwerenar.</t>
  </si>
  <si>
    <t>Compétences: Connaissances générales (nains), Connaissances générales (Terres Sombres), Fouille, Langue (khazalid), Métier (arquebusier) Talents: Robuste, Savoir-faire nain, Valeureux, Vision nocturne, 25% de chances de commencer le jeu avec une mutation</t>
  </si>
  <si>
    <t>Dragon de sang</t>
  </si>
  <si>
    <t>Lahmiane</t>
  </si>
  <si>
    <t>Nécrarque</t>
  </si>
  <si>
    <t>Stryge</t>
  </si>
  <si>
    <t>Von Carstein</t>
  </si>
  <si>
    <t>60+2d10</t>
  </si>
  <si>
    <t>50+2d10</t>
  </si>
  <si>
    <t>Compétences: Charisme, Commandement+10%, Commérage, Connaissances académiques (généalogie/héraldique), Connaissances académiques (histoire), Connaissances académiques (stratégie/tactique), Connaissances générales (quatre au choix), Equitation +10% , Escalade, Esquive +10%, Evalutation, Fouille, Intimidation, Langue (cinq au choix), Perception, Sens de la Magie, Torture Talents: Coups assomants, Coups précis, Coups puissants, Désarmement, Maitrise (armes de cavalerie, armes lourdes), Parade Eclair</t>
  </si>
  <si>
    <t>Compétences: Charisme, Commérage, Commandement, Connaissances académiques (astronomie) +10%, Connaissances académiques (généalogie/héraldique), Connaissances académiques (histoire), Connaissances académiques (magie) +10%, Connaissances académiques (nécromancie) +10%, Connaissances générales (quatre au choix), Déplacement silencieux, Dissimulation, Equitation, Escamotage, Esquive, Evaluation, Filature, Focalisation +10%, Fouille, Intimidation, Langage mystique (magick)+10%, Langue (sixau choix), Lire/Ecrire +10%, Perception, Préparation de Poisons, Sens de la Magie, Torture Talents: Harmonie aethyrique, Magie commune (occulte), Magie mineure (deux au choix), Magie Noire, Mains agiles, Méditation, Sombre Savoir (Nécromancie)</t>
  </si>
  <si>
    <t>Compétences: Commandement, Connaissances générales (une au choix), Dissimulation +10%, Esquive, Fouille, Langue (deux au choix), Perception +10%, Sens de la Magie, Torture Talents: Camouflage rural, Coups puissants, Frénésie</t>
  </si>
  <si>
    <t>Compétences: Charisme, Commandement +10%, Commérage, Connaissances académiques (généalogie/héraldique), Connaissances académiques (histoire), Connaissances académiques (nécromancie), Connaissances générales (quatre au choix), Equitation, Escalade, Esquive, Evaluation, Filature, Focalisation, Fouille, Intimidation, Lagage mystique (magick), Langue (cinq au choix), Perception, Sens de la Magie, Torture Talents: Désarmement, Eloquence, Intrigant, Magie commune (occulte), Magie Noire, Maitrise (Armes d'escrime, Armes de parade), Orateur né</t>
  </si>
  <si>
    <t xml:space="preserve">Compétences: Charisme, Commérage, Commandement, Connaissances générales (une au choix), Déguisement, Déplacement silencieux, Dissimulation, Escalade, Esquive, Evaluation, Filature, Fouille, Intimidation, Langue (deux au choix), Perception, Sens de la Magie, Torture 2 Talent déterminés aléatoirement sur la table des humains. </t>
  </si>
  <si>
    <t>Mutations: aspect bestial, cornes et jambes d’animal, Compétences : Filature, Intimidation, Langue (langue des bêtes), Perception, Pistage, Résistance à l’alcool, Survie Talents : Armes naturelles (sabots), Camouflage rural, Maîtrise (armes de cavalerie, armes de jet), Menaçant, Sens aiguisés</t>
  </si>
  <si>
    <t>estalien/  tiléen</t>
  </si>
  <si>
    <t>Dragon de  sang</t>
  </si>
  <si>
    <t>Sources</t>
  </si>
  <si>
    <t>Orc</t>
  </si>
  <si>
    <t>83-84</t>
  </si>
  <si>
    <t>Capacité de Combat (CC)</t>
  </si>
  <si>
    <t>Attaques (A)</t>
  </si>
  <si>
    <t>Points de Blessures (B)</t>
  </si>
  <si>
    <t>Points de Folie (PF)</t>
  </si>
  <si>
    <t>Points de Destin (PD)</t>
  </si>
  <si>
    <t>Arc (kislévite de cavalerie)</t>
  </si>
  <si>
    <t>Camouflage souterrain, Maîtrise (Lance-pierres), Résistance aux maladies, Résistance aux poisons</t>
  </si>
  <si>
    <t>Braconnage, Déplacement silencieux, Dissimulation, Dressage, Fouille, Métier (ratier), Perception, Soins des animaux</t>
  </si>
  <si>
    <t>Art de la mort silencieuse, Camouflage rural, Connaissance des pièges, Course à pied, Maîtrise (Arbalètes), Maîtrise (Armes de jet)</t>
  </si>
  <si>
    <t>Connaissances générales (skavens), Crochetage, Déguisement, Déplacement silencieux, Dissimulation, Escalade, Escamotage, Esquive, Évaluation, Fouille, Lecture sur les lèvres, Natation, Orientation, Perception, Survie</t>
  </si>
  <si>
    <t>Claymore/brand d'arçon</t>
  </si>
  <si>
    <t>Guisarme</t>
  </si>
  <si>
    <t>Vouge</t>
  </si>
  <si>
    <t>Mutant?</t>
  </si>
  <si>
    <t>Lawman</t>
  </si>
  <si>
    <t>Arme à une main au choix, Perruque et robe d'avoué, 6d10 Co</t>
  </si>
  <si>
    <t>Avoué, Bandit de grand chemin, Dilettante, Hors-la-loi, Passeur, Politicien, Sentinelle halfling, Soldat, Voleur</t>
  </si>
  <si>
    <t>acrobate équestre</t>
  </si>
  <si>
    <t>Connaissances académiques (Ingénierie), Métier (Forgeron) OU Métier (Charpentier)</t>
  </si>
  <si>
    <t>Métier (Forgeron) OU Métier (Charpentier)</t>
  </si>
  <si>
    <t>Dans le jardin des dieux</t>
  </si>
  <si>
    <t>White Dwarf 128</t>
  </si>
  <si>
    <t>Magie Noire</t>
  </si>
  <si>
    <t>Canotage, Connaissances académiques (Astronomie), Natation, Métier (charpentier naval), Orientation</t>
  </si>
  <si>
    <t>Déplacement silencieux, Dissimulation</t>
  </si>
  <si>
    <t>Connaissances générales (Kislev)</t>
  </si>
  <si>
    <t>Connaissances générales (Norsca), Survie</t>
  </si>
  <si>
    <t>Magie Commune (Chaos)</t>
  </si>
  <si>
    <t>Rage Noire, Lutte</t>
  </si>
  <si>
    <t>Soins, Torture</t>
  </si>
  <si>
    <t>Contagion, Menaçant</t>
  </si>
  <si>
    <t>+10 Charisme et commérage face à la noblesse</t>
  </si>
  <si>
    <t>Baratin, Connaissances académiques (Théologie), Déguisement</t>
  </si>
  <si>
    <t>Corruption contrôlée</t>
  </si>
  <si>
    <t>Lancez 2 fois quand mutation et choisissez. -10% pour résister</t>
  </si>
  <si>
    <t>Intimidation, Langage secret (langage de guilde)</t>
  </si>
  <si>
    <t>langage secret</t>
  </si>
  <si>
    <t>langage mystique</t>
  </si>
  <si>
    <t>langage de guilde</t>
  </si>
  <si>
    <t>langage des rôdeurs</t>
  </si>
  <si>
    <t>langage des voleurs</t>
  </si>
  <si>
    <t>langage de bataille</t>
  </si>
  <si>
    <t>langage sombre</t>
  </si>
  <si>
    <t>Evaluation, langage Secret (langage de guilde)</t>
  </si>
  <si>
    <t>Compétences: Charisme, Commérage +20%, Connaissances académiques (astronomie)+10%, Connaissances académiques (histoire), Connaissances académiques (nécromancie), Connaissances académiques (philosophie), Connaissances générales (cinq au choix), Déguisement +20%, Déplacement silencieux, Equitation, Escalade, Esquive, Evalutation +20%, Expression artistique (deux au choix), Filature, Focalisation, Fouille, Intimidation, langage mystique (magick), Langue (cinq au choix), Lire/Ecrire, Marchandage+20%, Perception +10%, Préparation de poisons +10%, Sens de la Magie, Torture Traits: Arme en main, Eloquence, Etiquette, Intrigant, Magie commune (occulte), Magie noire, Maitrise (Armes de parade)</t>
  </si>
  <si>
    <t>Commérage (Soc), Connaissances générales (Empire) (Int), Esquive (Ag), Intimidation (F), Jeu (Int), langage secret (langage des voleurs) (Int), Langue (reikspiel) (Int), Résistance à l'alcool (E)</t>
  </si>
  <si>
    <t>Connaissances académiques (deux au choix), Hypnotisme, langage secret (un au choix)</t>
  </si>
  <si>
    <t>Code de la rue, Camouflage Rural</t>
  </si>
  <si>
    <t>Intimidation,  Langage secret (langage de guilde), Langue (langue des bêtes)</t>
  </si>
  <si>
    <t>Exorcisme mineur</t>
  </si>
  <si>
    <t>Exorcisme majeur</t>
  </si>
  <si>
    <t>Connaissances académiques (Magie)</t>
  </si>
  <si>
    <t>Canotage, Natation</t>
  </si>
  <si>
    <t>Enfant des Mers</t>
  </si>
  <si>
    <t>Connaissances académiques (Nécromancie), Connaissances générales (Estalie)</t>
  </si>
  <si>
    <t>Gants (cuir)</t>
  </si>
  <si>
    <t>Gants (laine)</t>
  </si>
  <si>
    <t>Coton d'Arabie (1m²)</t>
  </si>
  <si>
    <t>Cochon</t>
  </si>
  <si>
    <t>Baignoire en fonte</t>
  </si>
  <si>
    <t>Banc en bois</t>
  </si>
  <si>
    <t>Commode</t>
  </si>
  <si>
    <t>Fauteuil</t>
  </si>
  <si>
    <t>Lit</t>
  </si>
  <si>
    <t>Meuble à tiroirs</t>
  </si>
  <si>
    <t>Alambic</t>
  </si>
  <si>
    <t>Boule de cristal</t>
  </si>
  <si>
    <t>Prisme</t>
  </si>
  <si>
    <t>Jarre</t>
  </si>
  <si>
    <t>Cornemuse</t>
  </si>
  <si>
    <t>Mort Bleue</t>
  </si>
  <si>
    <t>SableP 125</t>
  </si>
  <si>
    <t xml:space="preserve">Compétences: Commérage, Connaissances générales (Bretonnie), Langue (bretonnien), Résistance à l’alcool Talents : Affinité provinciale (Bordelaux), 1 talent déterminé aléatoirement </t>
  </si>
  <si>
    <t xml:space="preserve">Compétences: Commandement ou Marchandage, Connaissances générales (Kislev), Langue (kislevarin), Résistance à l’alcool. talents : Affinité provinciale (Kislev méridional), 1 talent déterminé aléatoirement. </t>
  </si>
  <si>
    <t xml:space="preserve">Compétences: Commérage ou Soins des animaux, Connaissances générales (Kislev), Langue (kislevarin). talents : Affinité provinciale (Kislev méridional), Résistance accrue, 1 talent déterminé aléatoirement. </t>
  </si>
  <si>
    <t xml:space="preserve">Compétences: Connaissances générales (Kislev), Intimidation ou Langue (kislevarin, reikspiel), Résistance à l’alcool. talents : Affinité provinciale (Kislev occidental), 1 talent déterminé aléatoirement. </t>
  </si>
  <si>
    <t xml:space="preserve">Compétences: Connaissances générales (Kislev), Langue (kislevarin), Soins des animaux ou Survie. talents : Affinité provinciale (Kislev occidental), Résistance accrue, 1 talent déterminé aléatoirement. </t>
  </si>
  <si>
    <t xml:space="preserve">Compétences: Connaissances générales (Kislev), Langue (kislevarin), Résistance à l’alcool, Talents : Affinité provinciale (Kislev oriental), Guerrier né, 1 talent
déterminé aléatoirement. </t>
  </si>
  <si>
    <t xml:space="preserve">Compétences: Connaissances générales (Kislev), Équitation ou Métier (mineur), Langue (kislevarin ou ungol). talents : Affinité provinciale (Kislev oriental), Résistance accrue, 1 talent déterminé aléatoirement. </t>
  </si>
  <si>
    <t xml:space="preserve">Compétences: Connaissances générales (Kislev), Intimidation ou Résistance à l’alcool, Langue (kislevarin). talents : Affinité provinciale (Kislev septentrional), Guerrier né ou Menaçant, 1 talent déterminé aléatoirement. </t>
  </si>
  <si>
    <t xml:space="preserve">Compétences: Connaissances générales (Kislev) ou Survie, Équitation ou Soins des animaux, Langue (kislevarin ou ungol). talents : Affinité provinciale (Kislev septentrional), Résistance accrue, 1 talent déterminé aléatoirement. </t>
  </si>
  <si>
    <t xml:space="preserve">Compétences: Connaissances générales (Norsca), Langue (khazalid), Langue (norse), Métier (forgeron, maçon ou mineur), Résistance à l’alcool Talents : Affinité provinciale (une tribu de Norsca), Fureur vengeresse, Résistance à la magie, Robuste, Rompu au Chaos, Savoir-faire nain, Valeureux, Vision nocturne, 5% de chance de démarrer le jeu avec une mutation. </t>
  </si>
  <si>
    <t xml:space="preserve">Compétences: Connaissances générales (skavens), Langue (queekish), Perception. Talents: Vision nocturne. </t>
  </si>
  <si>
    <t>Tribus al’rahem</t>
  </si>
  <si>
    <t>Tribus athiopos</t>
  </si>
  <si>
    <t>Tribus éboniennes</t>
  </si>
  <si>
    <t>Tribus ghutanes</t>
  </si>
  <si>
    <t>Tribus kahides</t>
  </si>
  <si>
    <t>Tribus malalukes</t>
  </si>
  <si>
    <t>Tribus muktarhines</t>
  </si>
  <si>
    <t>Tribus muziles</t>
  </si>
  <si>
    <t>Tribus qu’sharies</t>
  </si>
  <si>
    <t>Tribus scythes</t>
  </si>
  <si>
    <t>Tribus turjukes</t>
  </si>
  <si>
    <t>Tribus zamezies</t>
  </si>
  <si>
    <t>Fils du désert</t>
  </si>
  <si>
    <t>Parmi les Morts</t>
  </si>
  <si>
    <t>sudron</t>
  </si>
  <si>
    <t>Compétences: Connaissances générales (Arabie ou Terres du Sud), équitation ou Emprise sur les animaux, Langue (arabien). Talents : Dur en affaires, 1 talent déterminé aléatoirement.</t>
  </si>
  <si>
    <t>Compétences: Commérage, Connaissances générales (Arabie), Langue (arabien). Talents : Fils du Désert, 1 talent déterminé aléatoirement.</t>
  </si>
  <si>
    <t>Compétences: Commérage, Connaissances générales (Arabie), Langue (arabien). Talents : Fils du Désert, Harmonie æthyrique.</t>
  </si>
  <si>
    <t>Compétences: Charisme, Connaissances générales (Arabie), Langue (arabien). Talents : étiquette ou Fils du Désert, 1 talent déterminé aléatoirement.</t>
  </si>
  <si>
    <t>Compétences: Connaissances générales (Arabie), équitation, Langue (arabien). Talents : Fils du Désert, Parmi les Morts ou Valeureux.</t>
  </si>
  <si>
    <t>Compétences: Connaissances générales (Arabie), Intimidation, Langue (arabien). Talents : Fils du Désert, Sans peur.</t>
  </si>
  <si>
    <t>Compétences: Connaissances générales (Arabie), Dissimulation ou Marchandage, Langue (arabien), Lire/écrire. Talents : Fils du Désert.</t>
  </si>
  <si>
    <t>Compétences: Connaissances académiques (histoire) ou Orientation, Connaissances générales (Arabie), Langue (arabien). Talents : Fils du Désert, Parmi les Morts ou Camouflage désertique.</t>
  </si>
  <si>
    <t>Compétences: Connaissances générales (Arabie ou Terres des Morts), équitation, Langue (arabien). Talents : Acrobatie équestre ou Fils du Désert, Parmi les Morts.</t>
  </si>
  <si>
    <t>Compétences: Connaissances générales (Arabie), équitation, Langue (arabien). Talents : Fils du Désert, Maîtrise (arcs longs).</t>
  </si>
  <si>
    <t>Compétences: Connaissances générales (Arabie), Escalade ou Filature, Langue (arabien). Talents : Camouflage désertique ou Pistage, Fils du Désert.</t>
  </si>
  <si>
    <t>Compétences: Commérage ou Braconnage, Connaissances générales (Arabie), Langue (arabien). Talents : Sociable, 1 talent déterminé aléatoirement.</t>
  </si>
  <si>
    <t>Terres des Morts</t>
  </si>
  <si>
    <t>Camouflage désertique</t>
  </si>
  <si>
    <t>+10% Dépl. Sil. et Dissimulation dans le désert</t>
  </si>
  <si>
    <t>arabéen</t>
  </si>
  <si>
    <t>nomade</t>
  </si>
  <si>
    <t>Sahir Mubtadi</t>
  </si>
  <si>
    <t>Chamelier</t>
  </si>
  <si>
    <t>Concubine*</t>
  </si>
  <si>
    <t>Eunuque</t>
  </si>
  <si>
    <t>Janissaire</t>
  </si>
  <si>
    <t>Pillard du désert</t>
  </si>
  <si>
    <t>SP: Sables Périlleux</t>
  </si>
  <si>
    <t>SP 208</t>
  </si>
  <si>
    <t>SP 209</t>
  </si>
  <si>
    <t>26-28</t>
  </si>
  <si>
    <t>42-43</t>
  </si>
  <si>
    <t>51-52</t>
  </si>
  <si>
    <t>65-66</t>
  </si>
  <si>
    <t>67-68</t>
  </si>
  <si>
    <t>93-94</t>
  </si>
  <si>
    <t>97-98</t>
  </si>
  <si>
    <t>74-75</t>
  </si>
  <si>
    <t>78-79</t>
  </si>
  <si>
    <t>16-20</t>
  </si>
  <si>
    <t>23-25</t>
  </si>
  <si>
    <t>33-35</t>
  </si>
  <si>
    <t>39-41</t>
  </si>
  <si>
    <t>----</t>
  </si>
  <si>
    <t>57-60</t>
  </si>
  <si>
    <t>67-70</t>
  </si>
  <si>
    <t>Connaissances générales (Arabie)</t>
  </si>
  <si>
    <t>Charisme, Commérage, Lire/écrire</t>
  </si>
  <si>
    <t>Grand Voyageur</t>
  </si>
  <si>
    <t>Connaissances académiques (histoire)</t>
  </si>
  <si>
    <t>Intriguant, Valeureux</t>
  </si>
  <si>
    <t>Connaissances académiques (théologie), Expression artistique (acrobate ou musicien)</t>
  </si>
  <si>
    <t>Sixième Sens</t>
  </si>
  <si>
    <t>Hypnotisme, Ventriloquie</t>
  </si>
  <si>
    <t>Orateur Né</t>
  </si>
  <si>
    <t>Combat de Rue, Frénésie</t>
  </si>
  <si>
    <t>Intimidation, Torture</t>
  </si>
  <si>
    <t>Sain d’esprit</t>
  </si>
  <si>
    <t>Sans Peur</t>
  </si>
  <si>
    <t>un diamant d’une valeur minimale de 100 Co (+3)</t>
  </si>
  <si>
    <t>Drain de magie mineur</t>
  </si>
  <si>
    <t>Drain de magie majeur</t>
  </si>
  <si>
    <t>Les pouvoirs de la victime se trouvent grandement diminués. Lorsqu'elle souhaite lancer un sort, elle subit un malus de -11 à son jet d’incantation.</t>
  </si>
  <si>
    <t>Les pouvoirs de la victime se trouvent diminués. Lorsqu'elle souhaite lancer un sort, elle subit un malus de -5 à son jet d’incantation.</t>
  </si>
  <si>
    <t>Connaissances générales (Arabie), Orientation</t>
  </si>
  <si>
    <t>Connaissances générales (Arabie), Survie</t>
  </si>
  <si>
    <t>Connaissances générales (Arabie), Charisme</t>
  </si>
  <si>
    <t>Chirurgie, Sociable</t>
  </si>
  <si>
    <t>L’Emprise Sombre</t>
  </si>
  <si>
    <t>SablesP 82</t>
  </si>
  <si>
    <t>Qua’rum</t>
  </si>
  <si>
    <t>SablesP 68</t>
  </si>
  <si>
    <t>Les Bénédictions aux Vivants et aux Morts</t>
  </si>
  <si>
    <t>Traité des divinités antiques d'Arabie</t>
  </si>
  <si>
    <t>53-56</t>
  </si>
  <si>
    <t>96-98</t>
  </si>
  <si>
    <t>Nomades</t>
  </si>
  <si>
    <t>95-99</t>
  </si>
  <si>
    <t>Servile</t>
  </si>
  <si>
    <t>Réservoir</t>
  </si>
  <si>
    <t>Altérité spirituelle</t>
  </si>
  <si>
    <t>Fils du Sable</t>
  </si>
  <si>
    <t>Présence Anormale</t>
  </si>
  <si>
    <t>Jouet des Djinns</t>
  </si>
  <si>
    <t>Qareen</t>
  </si>
  <si>
    <t>Acuité surnaturelle</t>
  </si>
  <si>
    <t>Voix de la Nadahha</t>
  </si>
  <si>
    <t>Marque de Kshar</t>
  </si>
  <si>
    <t>Sawit</t>
  </si>
  <si>
    <t>SablesP235</t>
  </si>
  <si>
    <t>Sahir</t>
  </si>
  <si>
    <t>Ombres de l’esprit</t>
  </si>
  <si>
    <t>Âme froide</t>
  </si>
  <si>
    <t>Corps embaumé</t>
  </si>
  <si>
    <t>Conduit magique</t>
  </si>
  <si>
    <t>Rapacité</t>
  </si>
  <si>
    <t>Voix intérieures</t>
  </si>
  <si>
    <t>Aspect de l’ifrit</t>
  </si>
  <si>
    <t>Le prix de l’avidité</t>
  </si>
  <si>
    <t>Au fond de l’abîme</t>
  </si>
  <si>
    <t>Marque du Sihr</t>
  </si>
  <si>
    <t>N°Type de marque</t>
  </si>
  <si>
    <t>+ 10% Orientation (désert), Pénalités météo -5%.</t>
  </si>
  <si>
    <t>+1 aux dégâts des sorts de projectiles magiques</t>
  </si>
  <si>
    <t>mains nues = arme à une main (pas parade)</t>
  </si>
  <si>
    <t>Après action de visée, +20% en CC au lieu de 10</t>
  </si>
  <si>
    <t>Critiques +1</t>
  </si>
  <si>
    <t>Immunisé contre la Peur contre les Morts-Vivants</t>
  </si>
  <si>
    <t>Immu. peur, Intimidation, troublant, Ter.-&gt;Peur</t>
  </si>
  <si>
    <t>Inscription magique</t>
  </si>
  <si>
    <t>Aspect du djinn</t>
  </si>
  <si>
    <t>Sable aveuglant</t>
  </si>
  <si>
    <t>Puissance virile</t>
  </si>
  <si>
    <t>Charme de la quarinah</t>
  </si>
  <si>
    <t>Tatouage Protecteur</t>
  </si>
  <si>
    <t>une pointe de bronze (+1)</t>
  </si>
  <si>
    <t>des arabesques ambrées parcourent le corps du sujet et le protègent du danger. Le total de points de Blessure perdus lors du prochain jet d’attaque réussi par un ennemi est réduit de 1, après quoi les arabesques disparaissent.</t>
  </si>
  <si>
    <t>quelques gouttes de sueur de fauve (+1)</t>
  </si>
  <si>
    <t>Chance Vertueuse</t>
  </si>
  <si>
    <t>deux pièces de cuivre (+1)</t>
  </si>
  <si>
    <t>quelques cheveux roux (+1)</t>
  </si>
  <si>
    <r>
      <t xml:space="preserve">La cible du sort peut relancer le jet de dés raté dans les 24 heures qui suivent la réussite du sort. Le sort ne peut pas être lancé sur soi-même et un personnage ne peut bénéficier de plusieurs </t>
    </r>
    <r>
      <rPr>
        <i/>
        <sz val="10"/>
        <rFont val="Arial"/>
        <family val="2"/>
      </rPr>
      <t>Chance vertueuse</t>
    </r>
    <r>
      <rPr>
        <sz val="10"/>
        <rFont val="Arial"/>
        <family val="2"/>
      </rPr>
      <t xml:space="preserve"> à la fois.</t>
    </r>
  </si>
  <si>
    <r>
      <t xml:space="preserve">Durant les prochaines 24 heures, le bénéficiaire a +5% en Force Mentale, +2% en Sociabilité et +2% en Endurance. Le sort ne peut pas être lancé sur soi-même et un personnage ne peut pas bénéficier de plusieurs </t>
    </r>
    <r>
      <rPr>
        <i/>
        <sz val="10"/>
        <rFont val="Arial"/>
        <family val="2"/>
      </rPr>
      <t>Puissance virile</t>
    </r>
    <r>
      <rPr>
        <sz val="10"/>
        <rFont val="Arial"/>
        <family val="2"/>
      </rPr>
      <t xml:space="preserve"> à la fois. Les autres effets potentiels du sort sont laissés à la discrétion du MJ.</t>
    </r>
  </si>
  <si>
    <r>
      <t xml:space="preserve">Le bénéficiaire a +5% en Sociabilité durant 24h. Le sort ne peut pas être lancé sur soi-même et un personnage ne peut pas bénéficier de plusieurs </t>
    </r>
    <r>
      <rPr>
        <i/>
        <sz val="10"/>
        <rFont val="Arial"/>
        <family val="2"/>
      </rPr>
      <t>Charme de la quarinah</t>
    </r>
    <r>
      <rPr>
        <sz val="10"/>
        <rFont val="Arial"/>
        <family val="2"/>
      </rPr>
      <t xml:space="preserve"> à la fois.</t>
    </r>
  </si>
  <si>
    <t>Magie commune (sahir)</t>
  </si>
  <si>
    <t>Magie commune (zawit)</t>
  </si>
  <si>
    <t>Sables Périlleux</t>
  </si>
  <si>
    <t>Magie commune de l'Unique</t>
  </si>
  <si>
    <t>Domaine du Sihr</t>
  </si>
  <si>
    <t>une plume noire (+1)</t>
  </si>
  <si>
    <t>une fiole d’encre de seiche (+1)</t>
  </si>
  <si>
    <t>une petite pierre du désert (+1)</t>
  </si>
  <si>
    <t>Tant que dure le sort vous bénéficiez du talent Menaçant. Il est cependant sans effet sur les esprits, les démons, les djinns et toutes les créatures immatérielles en général.</t>
  </si>
  <si>
    <t>vous êtes capable d’écrire un texte qui ne pourra être compris que par vous ou par ceux à qui vous en confierez la clé de chiffrage. Comme il ne s’agit pas d'une langue commune, il n’est pas possible de déchiffrer le texte avec la compétence Lire/écrire mais uniquement en faisant un test de compétence Très Difficile (-30%) dans langage mystique adéquat.</t>
  </si>
  <si>
    <t>tant que dure l'effet du sort, la cible doit appliquer un malus à ses tests de Capacité de combat (-5%) et de Capacité de Tir (-10%).</t>
  </si>
  <si>
    <t>Livre de base/Le Tome de la Rédemption/La Reine des Glaces/Sables Périlleux</t>
  </si>
  <si>
    <t>Asservissement du Sylphe</t>
  </si>
  <si>
    <t>une fiole d’air marin (+1)</t>
  </si>
  <si>
    <t>Vous disposez du talent Lévitation pendant l’heure qui suit l’asservissement, après quoi le sylphe reprend instantanément sa liberté, quelle que soit votre situation.</t>
  </si>
  <si>
    <t>Conversation spirituelle</t>
  </si>
  <si>
    <t>une fiole d’eau pure (+2)</t>
  </si>
  <si>
    <t>Si une créature immatérielle se trouve à portée, elle apparaît devant le mage et accepte de répondre à une question avant de disparaître. Si aucune créature n’est à portée, le sort est sans effet. Un esprit répondra à une question directe sans chercher à mentir à son interlocuteur, mais ne délivrera pas systématiquement toutes les informations utiles. à la question “Herrman est-il passé ici”, il répondra “oui” s’il a aperçu Herrman dans les parages, mais ne fournira pas obligatoirement la durée qui s’est écoulée, ni de détails sur son entourage, ses vêtements ou son état de santé. L’esprit invoqué est incapable de répondre à une question qui dépasse ses connaissances personnelles, et ne peut donc en général pas renseigner sur ce qui se serait passé à l’extérieur de son habitat, s’il est lié à une zone géographique précise.</t>
  </si>
  <si>
    <t>une boule de glaise (+1)</t>
  </si>
  <si>
    <t>Toucher de Laniph</t>
  </si>
  <si>
    <t>un long cheveu de femme brune (+1)</t>
  </si>
  <si>
    <t>Armée des dunes</t>
  </si>
  <si>
    <t>Sceau de Solomon</t>
  </si>
  <si>
    <t>Invocation de serpents</t>
  </si>
  <si>
    <t>Caresse de Laniph</t>
  </si>
  <si>
    <t>Puissance du djinn</t>
  </si>
  <si>
    <t>Constellations diurnes</t>
  </si>
  <si>
    <t>Invocation de djinn</t>
  </si>
  <si>
    <t>Frappe solaire</t>
  </si>
  <si>
    <t>Oasis miraculeuse</t>
  </si>
  <si>
    <t>Mirage</t>
  </si>
  <si>
    <t>Labyrinthe de l’âme</t>
  </si>
  <si>
    <t>Prison de verre</t>
  </si>
  <si>
    <t>Création d’Ushabti</t>
  </si>
  <si>
    <t>Fermentation alchimique</t>
  </si>
  <si>
    <t>Vent de Sembid</t>
  </si>
  <si>
    <t>Tempête de sable</t>
  </si>
  <si>
    <t>Sceau de protection</t>
  </si>
  <si>
    <t>Portail spirituel</t>
  </si>
  <si>
    <t>Soif de l’or</t>
  </si>
  <si>
    <t>Malédiction de Sidi Noumane</t>
  </si>
  <si>
    <t>Malédiction du djinn</t>
  </si>
  <si>
    <t>Abnégation du juste</t>
  </si>
  <si>
    <t>Châtiment des hérétiques</t>
  </si>
  <si>
    <t>Compassion de l’Unique</t>
  </si>
  <si>
    <t>Colère d’Ormazd</t>
  </si>
  <si>
    <t>Humanité salvatrice</t>
  </si>
  <si>
    <t>Effort des vertueux</t>
  </si>
  <si>
    <t>Foi inébranlable</t>
  </si>
  <si>
    <t>Malédiction de la peau bleue</t>
  </si>
  <si>
    <t>Vaisseaux du désert</t>
  </si>
  <si>
    <t>Révélation du péché</t>
  </si>
  <si>
    <t>Pour la durée du sort, vous avez l’apparence d’une personne quelconque. Vos poids, voix et odeur restent cependant les mêmes. Quelqu’un ne prêtant pas une attention particulière à votre présence ne distinguera pas la supercherie. Quelqu’un vous examinant plus attentivement remarquera que quelque chose cloche en réussissant un test d’Intelligence Assez Difficile (-10%).</t>
  </si>
  <si>
    <t>+10% en Charisme et +10% en Sociabilité contre toute personne qui serait attirée par vous en temps normal. En contrepartie, les mêmes tests sont effectués avec un malus de -5% lorsque vous vous adressez à une personne qui ne serait pas potentiellement attiré par vous en temps normal. Si un test est réussi avec plus de deux degrés de réussite (plus de 20% d’écart), la ou les personnes concernées vous suivent partout et vous harcèlent de leurs faveurs pour au moins la durée du sort.</t>
  </si>
  <si>
    <t>SablesP 15</t>
  </si>
  <si>
    <t>Véritable récit de la saga d’Erik l’Égaré</t>
  </si>
  <si>
    <t>Merveilleux Voyages de Marco Polare</t>
  </si>
  <si>
    <t>SablesP 24</t>
  </si>
  <si>
    <t>Histoire de l'Arabie</t>
  </si>
  <si>
    <t>Les Mille et Une Années d’Errance</t>
  </si>
  <si>
    <t>SablesP 26</t>
  </si>
  <si>
    <t>Sigmar l'Empereur! / La Vie de Sigmar</t>
  </si>
  <si>
    <t>Comp 20/ SablesP 26</t>
  </si>
  <si>
    <t>Armées du Marteau, les Croisades Oubliées</t>
  </si>
  <si>
    <t>SablesP 34</t>
  </si>
  <si>
    <t>Du sang sur le Reik de Tobias Helmgart</t>
  </si>
  <si>
    <t>Vaisseau du désert</t>
  </si>
  <si>
    <t>SablesP 65</t>
  </si>
  <si>
    <t>Cheval (étalon arabien)</t>
  </si>
  <si>
    <t>Iguane géant</t>
  </si>
  <si>
    <t>Hippopotame</t>
  </si>
  <si>
    <t>Abaque</t>
  </si>
  <si>
    <t>Astrolabe</t>
  </si>
  <si>
    <t>Bière de racine (pinte)</t>
  </si>
  <si>
    <t>Tord-boyaux (bouteille)</t>
  </si>
  <si>
    <t>Boisson</t>
  </si>
  <si>
    <t>Couscous (Al-koskoso complet/pers)</t>
  </si>
  <si>
    <t>Cigare (à l’unité)</t>
  </si>
  <si>
    <t>Narguilé</t>
  </si>
  <si>
    <t>Tente (arabienne)</t>
  </si>
  <si>
    <t>Tenue de désert (tenue complète)</t>
  </si>
  <si>
    <t>Turban</t>
  </si>
  <si>
    <t>Peau de panthère</t>
  </si>
  <si>
    <t>Arsenal 14/ SablesP 65</t>
  </si>
  <si>
    <t>Peau de jaguar</t>
  </si>
  <si>
    <t>Esclave (adulte)</t>
  </si>
  <si>
    <t>Esclave (enfant)</t>
  </si>
  <si>
    <t>Esclave (vieillard)</t>
  </si>
  <si>
    <t>SablesP 110</t>
  </si>
  <si>
    <t>Litanies de la nuit glacée</t>
  </si>
  <si>
    <t>L’équilibre des Six Matières</t>
  </si>
  <si>
    <t>Le Manuel des Tortures en Arabie</t>
  </si>
  <si>
    <t>Cartographie de la mort: une étude néhékharéenne</t>
  </si>
  <si>
    <t>Sciences/Histoire</t>
  </si>
  <si>
    <t>Mémoire du Forgétoile</t>
  </si>
  <si>
    <t>Réflexions sur la Mortalité, l’Immortalité et l’Immoralité</t>
  </si>
  <si>
    <t>Lame dimashquine</t>
  </si>
  <si>
    <t>Journal d’Expédition de Johannes Steinkopf</t>
  </si>
  <si>
    <t>SablesP 115</t>
  </si>
  <si>
    <t>Sciences/Nécromancie</t>
  </si>
  <si>
    <t>Dictionnaire Reikspiel/Arabéen</t>
  </si>
  <si>
    <t>Magie commune (vedma)</t>
  </si>
  <si>
    <t>Magie commune (glace)</t>
  </si>
  <si>
    <t>Magie commune de Dazh</t>
  </si>
  <si>
    <t>Magie commune de Tor</t>
  </si>
  <si>
    <t>Magie commune d'Ursun</t>
  </si>
  <si>
    <t>Domaine de la Glace</t>
  </si>
  <si>
    <t>Domaine de Vedma</t>
  </si>
  <si>
    <t>Domaine de Manann</t>
  </si>
  <si>
    <t>Domaine de Morr</t>
  </si>
  <si>
    <t>Domaine de Myrmidia</t>
  </si>
  <si>
    <t>Domaine de Ranald</t>
  </si>
  <si>
    <t>Domaine de Shallya</t>
  </si>
  <si>
    <t>Domaine de Solkan</t>
  </si>
  <si>
    <t>Domaine de Sigmar</t>
  </si>
  <si>
    <t>Domaine de Stormfels</t>
  </si>
  <si>
    <t>Domaine de Taal et Rhya</t>
  </si>
  <si>
    <t>Domaine de Verena</t>
  </si>
  <si>
    <t>Domaine de Grunndred</t>
  </si>
  <si>
    <t>Domaine de Händrich</t>
  </si>
  <si>
    <t>Domaine de Khaine</t>
  </si>
  <si>
    <t>Domaine de Loec</t>
  </si>
  <si>
    <t>Domaine de Dazh</t>
  </si>
  <si>
    <t>Domaine de Tor</t>
  </si>
  <si>
    <t>Domaine des esprits</t>
  </si>
  <si>
    <t>Domaine de l'Unique</t>
  </si>
  <si>
    <t>Domaine d'Illuminas</t>
  </si>
  <si>
    <t>Domaine d'Ulric</t>
  </si>
  <si>
    <t>Domaine d'Ursun</t>
  </si>
  <si>
    <t>Domaine d'Hashut</t>
  </si>
  <si>
    <t>Bénédiction de la Lumière</t>
  </si>
  <si>
    <t>Bénédiction de l’Unique</t>
  </si>
  <si>
    <t>2 rounds</t>
  </si>
  <si>
    <t>10 minutes (60 rounds)</t>
  </si>
  <si>
    <t>une pincée de poussière d’os humain (+1)</t>
  </si>
  <si>
    <t>une goutte d’eau de l’Oasis du Prophète Éternel (+1)</t>
  </si>
  <si>
    <t>Les tensions en cours s’apaisent et, pour la durée du sort, ceux qui y sont soumis perdent toute velléité et stopperont tout combat en cours et n’en commenceront pas un nouveau. Ils communiqueront également plus facilement et les tests de Sociabilité bénéficieront tous d’un bonus de 10%. Une fois la durée du sort écoulée, ce sentiment d’unité disparaîtra progressivement et si les personnes présentes n’ont pas encore réglé leurs différends, ils risquent de recommencer à se battre. Les non-humains ne sont pas affectés par le sort.</t>
  </si>
  <si>
    <t>1 heure (ou jusqu’à l’arrêt volontaire)</t>
  </si>
  <si>
    <t>500m</t>
  </si>
  <si>
    <t>vous matérialisez, à l’endroit souhaité, une troupe d’une vingtaine de silhouettes menaçantes. Ceux qui peuvent les observer y verront automatiquement une menace et réagiront en conséquence, les prenant systématiquement en compte dans leurs actions. Ces ombres ne sont qu’un mirage et ne peuvent ni se déplacer ni combattre, mais paraissent tout ce qu’il y a de plus réel et de plus vivant. Elles donnent l’impression de bouger, de respirer et d’être prêtes à agir. L’illusion se dissipe si une créature entre en contact avec eux, mais uniquement pour cette créature. Seuls ceux qui constatent eux-mêmes qu’elles sont intangibles verront les ombres s’évanouir. Il ne s’agit pas d’une illusion d’optique, mais d’une intervention surnaturelle, et les animaux, démons, créatures immatérielles et morts-vivants réagiront de la même façon que les personnages.</t>
  </si>
  <si>
    <t>les cendres d’un décédé (+2)</t>
  </si>
  <si>
    <t>votre peau s’enveloppe de flammes et vos yeux rougeoient. Vos vêtements et votre matériel ne brûlent pas, mais ceux qui essaient de vous toucher subissent 2 points de blessures. Vous gagnez également le talent Menaçant pour la durée du sort.</t>
  </si>
  <si>
    <t>un os blanchi d’au moins 3 guerriers différents morts sur le champ de bataille (+2)</t>
  </si>
  <si>
    <t>les cheveux d’une prostituée rousse (+2)</t>
  </si>
  <si>
    <t>une boussole (+1)</t>
  </si>
  <si>
    <t>vous êtes capable de voir le ciel étoilé, même en plein jour ou dans la pire des tempêtes. Pour la durée du sort, vous êtes capable de vous repérer dans l’espace, du temps que vous pouvez contemplez le ciel. Vous réussissez automatiquement tous vos tests d’Orientation.</t>
  </si>
  <si>
    <t>variable (voir texte)</t>
  </si>
  <si>
    <t>une fiole de sang humain (+3)</t>
  </si>
  <si>
    <t>Éclat de la tempête</t>
  </si>
  <si>
    <t>un sextant (+1)</t>
  </si>
  <si>
    <t>une série de petits éclairs jaillissent de vos doigts droit devant vous. Il s’agit d’un projectile magique d’une valeur de dégâts de 3. Si la cible est touchée, elle perd 1 action complète, qu’elle subisse des dégâts ou non.</t>
  </si>
  <si>
    <t>Fer iridescent</t>
  </si>
  <si>
    <t>un morceau de métal forgé (+1) ou damasquiné (+3)</t>
  </si>
  <si>
    <t>un objet métallique se nimbe de flammes aux reflets multicolores. Il est considéré comme magique pour la durée du sort. Au combat, vous gagnez +1 en Attaques tant que vous utilisez l’objet enchanté, dont la valeur de dégâts augmente de 1. L’objet est obligatoirement en fer ou en acier.</t>
  </si>
  <si>
    <t>une flasque de vin (+1)</t>
  </si>
  <si>
    <t>vous altérez la nature d’un liquide dans un rayon de 10 mètres pour le transformer en vin. La quantité de liquide que vous pouvez transformer est de 1 litre multiplié par votre valeur de Magie. Plusieurs jeteurs de sorts peuvent s’associer pour renforcer la Fermentation alchimique et augmenter la quantité de liquide transformée. Chaque sorcier s’ajoutant à l’ensemble permet de doubler le volume transformé (le multiplicateur est cumulatif), mais la difficulté augmente de 3 tandis que le temps d’incantation augmente d’une action complète. Ainsi, si trois sahir ayant chacun une valeur de Magie de 2 jettent ensemble le sort, la difficulté sera de 9 et le volume transformable de 8 litres. Il n’y a pas de limite à cette augmentation hormis la difficulté, et un groupe de sorciers aguerris peut réussir à changer toute l’eau d’une oasis en vin. En cas d’association, chaque sorcier doit effectuer son test avec la nouvelle difficulté. L’échec de l’un d’entre eux ne remet pas en cause la réussite du sort, mais réduit la quantité transformée.</t>
  </si>
  <si>
    <t>Feu alchimique</t>
  </si>
  <si>
    <t>Soif de l'or</t>
  </si>
  <si>
    <t>vous pliez les vents à votre volonté: Ils soufflent à la vitesse et dans la direction désirée. Le souffle est suffisant pour gonfler les voiles d’un navire de grand tonnage et le faire avancer à sa vitesse maximum.</t>
  </si>
  <si>
    <t>3 minutes (18 rounds)</t>
  </si>
  <si>
    <t>contact (vous)/5 mètres</t>
  </si>
  <si>
    <t>deux piments des Terres du Sud (+1)</t>
  </si>
  <si>
    <t>vos mains s’enveloppent de flammes qui ne vous brûlent pas. En revanche, vos attaques à mains nues sont considérées comme enflammées, les règles du feu (page 136 de WJDR) s’appliquant à chaque attaque réussie pour toute la durée du sort. Vos poings ont une valeur de dégâts égale à votre Bonus de Force +1. Ces flammes peuvent être lancées à une distance de 5 mètres et sont alors considérées comme un projectile magique ayant une valeur de dégâts de 4.</t>
  </si>
  <si>
    <t>une longue-vue (+2)</t>
  </si>
  <si>
    <t>un rayon de lumière pure et dévastatrice surgit de vos yeux et frappe toutes les cibles en ligne droite sur 48 mètres (24 cases) et sur une largeur d’un mètre (1 demi-case). Les victimes peuvent faire un test d’Agilité Difficile (-20%) pour tenter de l’esquiver, sous peine de subir 6 points de dégâts. Les cibles inflammables prennent feu. L’utilisation de ce sort est très mal vue des autorités arabiennes quand il prend pour cible des Arabiens, y compris si ces derniers sont de simples victimes collatérales. La puissance du soleil est l’apanage de l’Unique, et accaparer sa force de cette façon peut être considéré comme une hérésie par les fidèles les plus pieux.</t>
  </si>
  <si>
    <t>un talisman traditionnel arabien (+2)</t>
  </si>
  <si>
    <t>vous faites appel aux génies des environs et cherchez le soutien de l’un d’entre eux. Si vous réussissez à lancer le sort, l’un d’entre eux se matérialise dans un rayon de 10 mètres et obéit à une de vos demandes, à condition que vous réussissiez un test de Force Mentale. Si vous échouez à ce test, le comportement de l’entité est au choix du MJ. En cas de réussite, le MJ peut interpréter la demande selon son bon vouloir, si elle est trop floue. Vous pouvez choisir la nature de l’esprit dans la liste figurant à la page 254. L’entité sera automatiquement un génie de rang inférieur, mais vous pouvez appliquer un niveau de difficulté supplémentaire au sort pour augmenter la puissance du génie invoqué. Une fois l’ordre exécuté, le génie disparaît.</t>
  </si>
  <si>
    <t>trois crochets de cobra (+2)</t>
  </si>
  <si>
    <t>50 mètres (25 cases)</t>
  </si>
  <si>
    <t>un bâton sculpté (+1)</t>
  </si>
  <si>
    <t>une mèche de cheveux d’une femme adultère (+2)</t>
  </si>
  <si>
    <t>la chair d’au moins trois ghul différentes (+3)</t>
  </si>
  <si>
    <t>trois billes de verre colorées (+1)</t>
  </si>
  <si>
    <t>une poignée de sel et une feuille de palmier (+2)</t>
  </si>
  <si>
    <t>une clé en or (+2)</t>
  </si>
  <si>
    <t>un récipient enchanté (+2)</t>
  </si>
  <si>
    <t>un anneau d’or ou d‘argent (+1)</t>
  </si>
  <si>
    <t>trois pièces d’or (+2)</t>
  </si>
  <si>
    <t>votre cible perd le fil de ses pensées, et bien plus. Elle s’égare dans son propre esprit et est incapable d’agir, de bouger ou de parler pour toute la durée du sort. Une fois le sort achevé, elle doit réussir un test de Force Mentale Assez Difficile (-10%), sous peine de n’être capable que de se déplacer durant 2 rounds. Le sort est totalement inefficace contre les créatures dénuées de conscience, comme les animaux ou les morts-vivants de bas niveau.</t>
  </si>
  <si>
    <t>votre cible est irrémédiablement métamorphosée en mule. Elle conserve ses valeurs d’Intelligence et de Force Mentale mais le reste de son profil devient celui de l’animal. Elle est incapable de parler, mais un individu capable de lire les pensées et qui tenterait de lire celles de la mule remarquera immédiatement qu’une intelligence humaine s’y trouve. Quelqu’un capable de déceler la magie remarquera également la nature spéciale de la créature. Il est possible pour un personnage ayant le talent Inspiration divine de lever la malédiction, en réussissant chaque jour un test de Force Mentale Assez Difficile (-20%) pendant une semaine, chaque point de Magie du prêtre retirant un niveau de difficulté. En cas d’échec, toute la procédure est à recommencer.</t>
  </si>
  <si>
    <t>vous projetez devant vous ce que votre esprit imagine. L’illusion n’a aucune consistance matérielle, n’émet aucune odeur ni aucun son et ne peut agir sur la réalité. Ceux qui peuvent la voir ne peuvent se laisser intimider s’ils ont assisté à son lancement.</t>
  </si>
  <si>
    <t>vous faites jaillir une source du sol, suffisamment pour étancher la soif de cinq personnes. Vous pouvez doubler, tripler ou quadrupler le niveau de difficulté pour multiplier d’autant les effets. La source reste active pendant une journée si votre valeur de Magie est de 1, pendant une semaine si elle est de 2, pendant un mois si elle est de 3 et pendant un an si elle est de 4.</t>
  </si>
  <si>
    <t>vous ouvrez un passage dimensionnel entre deux endroits que vous avez déjà visités. L’entrée comme la sortie doivent être des ouvertures délimitant clairement un changement de lieu, comme des seuils de portes, de petites entrées de grotte, la sortie d’une tente, etc. Le nombre d’individus ou de créatures qui peuvent franchir le passage avant qu’il ne se referme est égal à la valeur de Magie du lanceur de sort multiplié par 2. Si l’entrée ou la sortie sont endommagées au point de ne plus constituer une véritable délimitation, le sort échoue automatiquement.</t>
  </si>
  <si>
    <t>à l’aide d’un récipient spécifiquement conçu pour cette tâche, traditionnellement une bouteille en verre ou une urne de céramique, vous condamnez un être ou un objet à l’emprisonnement éternel. Dans le cas d’un objet, sa taille est limitée à 10 mètres multipliée par votre nombre de points de Magie. Dans le cas d’un être vivant, la cible peut résister au sort et un test de Force Mentale opposé doit vous départager. Les morts-vivants les plus faibles sont considérés comme des objets dans ce cas précis. Ce qui est enfermé dans la prison de verre ne vieillit pas et ne peut mourir de faim ou de soif. Son environnement surnaturel pourvoit à tous ses besoins et paraît bien plus vaste que ce que le contenant le laisse penser, bien que la créature emprisonnée s’y sente en permanence à l’étroit. Briser la bouteille ou la déboucher libère ce qui y est enfermé. Sans bouteille enchantée, la difficulté passe à 30.</t>
  </si>
  <si>
    <t>pour toute la durée du sort, votre cible bénéficie des effets du talent Menaçant. Elle est également investie de la force surnaturelle d’un djinn, et bénéficie d’un bonus de +10% en Capacité de Combat et +10% en Force. Ce sort peut être lancé sur vous-même. Vous pouvez viser une personne par point de Magie dont vous disposez.</t>
  </si>
  <si>
    <t>vous matérialisez un pentagramme devant vous ou une autre créature dans un rayon de deux mètres. Toutes les pertes de points de Blessure sont réduites de 2 pour toute la durée du sort, la réduction se cumulant avec celles accordées par une armure, par exemple. Le sceau de Solomon nécessite d’être maintenu, et vous ne pouvez lancer d’autres sorts tant que celui-ci est actif.</t>
  </si>
  <si>
    <t>vous désignez un objet à une distance maximum de 24 mètres dans votre champ de vision. Pour la durée du sort, toutes les créatures conscientes qui peuvent voir cet objet le considèrent comme la chose la plus précieuse qu’elles aient jamais vue. Les animaux et les morts-vivants de bas niveau comme les squelettes et les zombies ne sont pas concernés, mais les créatures cupides comme les vouivres y verront un trésor de plus à amasser. Chaque créature concernée par le sort peut faire un test de Force Mentale Difficile (-20%) pour résister à la tentation. En cas de réussite, leur vision de l’objet ne change pas, mais elles pourront agir normalement sans être obsédée par lui.</t>
  </si>
  <si>
    <t>vous invoquez les esprits du désert et leur commandez de s’étouffer vos ennemis dans un nuage tourbillonnant de sable et de poussière. Tout ennemi dans un rayon de 48 mètres autour de vous est sujet à un malus de -10% à tous leurs jets. Ces malus sont cumulables avec ceux d’autres sorts ou d’autres éléments, comme les contraintes environnementales. Vous n’êtes pas affectés, mais vous ne pouvez empêcher vos alliés d’en subir les effets: pour ces derniers, les malus sont limités à -5%. Tant que le sort est actif, il est impossible d’utiliser des armes de jet. Après la fin du sort, les ennemis doivent dépenser une action complète pour se remettre de l’attaque.</t>
  </si>
  <si>
    <t>2 minutes (12 rounds)</t>
  </si>
  <si>
    <t>instantanée/1 heure</t>
  </si>
  <si>
    <t>16 mètres (8 cases)</t>
  </si>
  <si>
    <t>contact (vous)/12 mètres (6 cases)</t>
  </si>
  <si>
    <t>vous priez pour le salut de l’âme d’un individu. Ce dernier peut effectuer un test de Volonté pour perdre 1d6 points de Folie. En cas d’échec, la cible est immobilisée pendant 24 heures, en proie à ses peurs les plus enfouies. Au terme de ces 24 heures, il gagne un point de Folie. Dans tous les cas, l’abnégation du juste ne peut être utilisée plus d’une fois par mois sur une même personne. Chaque utilisation vous inflige 1d3 points de Blessures.</t>
  </si>
  <si>
    <t>la puissance de votre dieu parcourt votre corps et d’une imprécation puissante, vous frappez votre ennemi. Une cible, humaine ou non, qui n’a pas foi en l’Unique subit un coup d’une valeur de dégâts de 4 et perd une action.</t>
  </si>
  <si>
    <t>vos imprécations attirent sur vos ennemis la colère du dieu solaire. Votre poing dressé irradie d’une lumière brûlante qui inflige 1d6 points de Blessure plus votre valeur de Magie à tous les démons et morts-vivants à portée.</t>
  </si>
  <si>
    <t>vos prières soignent un personnage blessé d’un nombre de points de Blessures égal à 1d10 plus votre valeur de magie.</t>
  </si>
  <si>
    <t>vos prières attirent sur vos ennemis la puissance écrasante du soleil. Pour toute la durée du sort, la cible subit un malus de -20% à ses tests de Volonté et ses tests de Capacité de Combat. Il doit par ailleurs effectuer un test de Force Mentale Assez difficile (-10%) sous peine d’être assommé pendant 1d3 rounds.</t>
  </si>
  <si>
    <t>vos prières promettent à ceux qui les entendent la protection de l’Unique et une mort vertueuse. Pour toute la durée du sort, vous et vos alliés à portée pouvez relancer leurs tests d’Endurance et de Survie ratés. Tous peuvent également continuer à combattre comme si leurs blessures ne les handicapaient pas. à la fin du sort cependant, la réalité vous rattrape vous et vos alliés subissent immédiatement le contrecoup de leurs blessures. Les états Légèrement blessé, Gravement blessé et Assommé ne s’appliquent qu’au terme du sort, de même que les effets des coups critiques.</t>
  </si>
  <si>
    <t>vos prières renforcent la volonté de vos alliés. Tous ceux qui se trouvent à portée réussissent automatiquement leurs tests de Peur et de Terreur pour toute la durée du sort. Ils sont également immunisés contre les effets du talent Intimidation et gagnent un bonus de +10% à leurs tests de Connaissances académiques (théologie).</t>
  </si>
  <si>
    <t>de votre main dressée s’étend un halo de lumière qui renforce les êtres humains dans un rayon de 12 mètres. Tous les humains concernés gagnent +10% à leur Capacité de Combat et +10% à leur de Force Mentale pour la durée du sort. La lumière salvatrice ne fait pas de distinction entre les hommes et vous ne pouvez pas choisir qui sera affectée. Elle n’a en revanche aucun effet sur les morts vivants, même s’ils furent un jour humains.</t>
  </si>
  <si>
    <t>la peau de vos cibles se teinte de bleu et les rend insensibles aux variations climatiques pour 24 heures. Les prêtres des dieux anciens utilisaient déjà ce sort pour protéger leur peuple des vicissitudes du désert. Le nombre de cibles que vous pouvez viser est égal à votre valeur de Magie multipliée par 3. La malédiction de la peau bleue octroie également un malus de -15% à tous les tests de Sociabilité pour toute la durée du sort.</t>
  </si>
  <si>
    <t>vos prières révèlent la vraie nature des gens. Les créatures démoniaques et morts vivantes présentes dans un rayon de 10 mètres voient immédiatement leur nature révélée aux yeux de tous, même si elles étaient cachées. Elles subissent également 1d3 points de Blessures et sont assommées pendant 1 round. Les créatures mortelles et intelligentes à portée sont atteintes d’un malaise proportionnel à leur culpabilité et ceux qui les observent peuvent le constater (la façon dont la culpabilité se manifeste et si le sujet ressent la moindre culpabilité pour ses actes restent à la discrétion du MJ). Pour le reste de la durée du sort, vous gagnez en outre +10% à vos tests d’Intelligence destinés à percevoir le mensonge.</t>
  </si>
  <si>
    <t>vous implorez l’Unique de vous soutenir durant les épreuves imposées par le désert et permettez à un groupe d’individus d’endurer la soif pendant une journée entière, quelles que soient les conditions météorologiques ou la chaleur. La taille du groupe est de 5 multipliée par vos points de Magie. Si vous le souhaitez, vous pouvez faire partie du groupe ciblé.</t>
  </si>
  <si>
    <t>SablesP 247</t>
  </si>
  <si>
    <t>La création d’une bouteille enchantée</t>
  </si>
  <si>
    <t>La ruine d’Umar</t>
  </si>
  <si>
    <t>L'absorption d'un génie (She’al akra)</t>
  </si>
  <si>
    <t>La vengeance d’Ormazd (Anti mutation)</t>
  </si>
  <si>
    <t>Arc de Shah’Razad</t>
  </si>
  <si>
    <t>Arc elfique Précise, Rapide, relance 1x/round tests de CT sauf vs. elfes.</t>
  </si>
  <si>
    <t>Astrolabe du désir</t>
  </si>
  <si>
    <t>Pointe à l'utilisateur l’objet de son plus grand désir, où qu’il soit dans le monde.</t>
  </si>
  <si>
    <t>Bouteille enchantée</t>
  </si>
  <si>
    <t>Permet d’emprisonner une créature, matérielle ou immatérielle, pour l’éternité</t>
  </si>
  <si>
    <t>Ceinture du Cobra</t>
  </si>
  <si>
    <t>Corde magique</t>
  </si>
  <si>
    <t>Obéit à son propriétaire. Peut frapper comme un PM de valeur 3.</t>
  </si>
  <si>
    <t>Livre des Morts (Liber Mortis)</t>
  </si>
  <si>
    <t>Peut octroyer le talent Sombre Savoir (nécromancie) avec Magie à 2 + Folie</t>
  </si>
  <si>
    <t>Tapis volant</t>
  </si>
  <si>
    <t>Domaine de Nagash (Nécromancie)</t>
  </si>
  <si>
    <t>sahir</t>
  </si>
  <si>
    <t>zawit</t>
  </si>
  <si>
    <t>Acuité auditive, Fils du désert, Fuite, Sens aiguisés.</t>
  </si>
  <si>
    <t>Natation (F), Intimidation (F), Perception (Int+10%)</t>
  </si>
  <si>
    <t>Natation (F+20%), Perception (Int+10%)</t>
  </si>
  <si>
    <t>Armes naturelles, Résistance aux maladies, Sens de l’orientation</t>
  </si>
  <si>
    <t>Cheval (pure sang arabien)</t>
  </si>
  <si>
    <t>Natation (F), Perception (Int+20%)</t>
  </si>
  <si>
    <t>Natation (F), Perception (Int+10%), Pistage (Int)</t>
  </si>
  <si>
    <t>Armes naturelles, Coups assommants, Coups puissants, Sens aiguisés, Troublant, Valeureux</t>
  </si>
  <si>
    <t>Natation (F), Intimidation (F), Perception (Int+10%), Pistage (Int)</t>
  </si>
  <si>
    <t>Armes naturelles, Coups assommants, Coups puissants, Fils du désert, Menaçant, Sens aiguisés, Troublant, Volonté de fer</t>
  </si>
  <si>
    <t>15 sc</t>
  </si>
  <si>
    <t>Escalade (F+20%), Natation (F), Perception (Int+10%), Pistage (Int)</t>
  </si>
  <si>
    <t>Armes naturelles, Coups assommants, Sens aiguisés</t>
  </si>
  <si>
    <t>Escalade (F+10%), Natation (F+20%), Perception (Int+10%), Pistage (Int)</t>
  </si>
  <si>
    <t>1 co</t>
  </si>
  <si>
    <t>Crocodile</t>
  </si>
  <si>
    <t>Armes naturelles, Écailles (1)</t>
  </si>
  <si>
    <t>Perception (Int+20%)</t>
  </si>
  <si>
    <t>Déplacement silencieux (Ag), Esquive (Ag), Perception (Int+20%)</t>
  </si>
  <si>
    <t>Oiseau (vautour)</t>
  </si>
  <si>
    <t>Oiseau (vautour géant)</t>
  </si>
  <si>
    <t>Acuité visuelle, Fils du désert, Fuite, Sens aiguisés, Sens de l’orientation, Vol</t>
  </si>
  <si>
    <t>Acuité visuelle, Armes naturelles, Fils du désert, Sens aiguisés, Sens de l’orientation, Troublant, Vol</t>
  </si>
  <si>
    <t>néhékharéen</t>
  </si>
  <si>
    <t>Nehekhara</t>
  </si>
  <si>
    <t>Les Sept Voyages de Sembid le Marin</t>
  </si>
  <si>
    <t>SablesP 14</t>
  </si>
  <si>
    <t>une héliolite (+3)</t>
  </si>
  <si>
    <t>un bandeau de tissu blanc propre (+1)</t>
  </si>
  <si>
    <t>un parchemin qui décrit la colère (+1)</t>
  </si>
  <si>
    <t>une rose des sables (+2)</t>
  </si>
  <si>
    <t>une once de graisse de chameau (+1)</t>
  </si>
  <si>
    <t>un lambeau de bannière (+1)</t>
  </si>
  <si>
    <t>une dose de venin de cobra bleu (+2)</t>
  </si>
  <si>
    <t>un aimant (+2)</t>
  </si>
  <si>
    <t>un morceau de camisole de force(+2)</t>
  </si>
  <si>
    <t>Appel de la tempête de sable</t>
  </si>
  <si>
    <t>De la poussière à la poussière</t>
  </si>
  <si>
    <t>1x/jour en AC, réduit votre corps (et tous objets et vêtements portés) en un petit nuage de poussière</t>
  </si>
  <si>
    <t>1x/jour en AC, tempête de sable, 100 m diamètre centrée sur vs. -20% à tout test de Perception.</t>
  </si>
  <si>
    <t>Mahtmasi</t>
  </si>
  <si>
    <t>Compétences: Commandement, Connaissances académiques (histoire, nécromancie, science), Connaissances générales (quatre au choix), Déguisement, Déplacement silencieux +10%, Dissimulation +20%, Équitation, Escalade +10%, Esquive +20%, Fouille, Évaluation, Filature, Intimidation, Langue (deux au choix), Perception, Sens de la magie, Torture. Talents: Coups précis, Dégainement rapide, Camouflage rural, Maîtrise (armes de jet). Traits : Armes naturelles (crocs, griffes), Don du sang (malédiction des revenants, nécromancien né, vampirisme et un don de Mahtmasi au choix), Effrayant, Mort-vivant, Sens aiguisés, Troublant, Vision nocturne.</t>
  </si>
  <si>
    <t>+10% Dépl. Sil. et Dissimulation milieu désertique</t>
  </si>
  <si>
    <t>Les carnets de voyage de Brahim Jellahl</t>
  </si>
  <si>
    <t>Venin de cobra bleu</t>
  </si>
  <si>
    <t>Venin de scorpion géant</t>
  </si>
  <si>
    <t>SablesP 293</t>
  </si>
  <si>
    <t>SablesP 277</t>
  </si>
  <si>
    <t>Venin d'aspic</t>
  </si>
  <si>
    <t>SablesP 278</t>
  </si>
  <si>
    <t>Venin de cobra royal</t>
  </si>
  <si>
    <t xml:space="preserve">Sables Périlleux </t>
  </si>
  <si>
    <t>Charlatan, Démagogue, Fanatique, Flagellant, Guide, Initié, Hors-la-loi</t>
  </si>
  <si>
    <t>Arc et 10 flèches, armure légère (gilet de cuir), bâton, 4d10 moutons, chien (de Berger)</t>
  </si>
  <si>
    <t>Armure légère (veste de cuir et jambières de cuir) chien (de Berger), cheval de selle, selle, harnais, lasso, rations (7 jours), 2 outres, kvas (flasque), yourte</t>
  </si>
  <si>
    <t>Carriole, cheval (de trait) ou bœuf, arme improvisée ou fléau d'arme, chien (de Berger)</t>
  </si>
  <si>
    <t>Acolyte de Nurgle, Apothicaire, Chiffonnier, Chirurgien barbier, Embaumeur, Ex-détenu, Fossoyeur, Guide, Ramasseur de fumier, Ratier</t>
  </si>
  <si>
    <t>Camouflage rural, Camouflage urbain, Camouflage désertique, Fuite, Linguistique, Sens de l’orientation</t>
  </si>
  <si>
    <t>Sac à dos, 5 rations, cape, tente (grande) OU tente arabienne, outre.</t>
  </si>
  <si>
    <t>Sourcier/Fontainier</t>
  </si>
  <si>
    <t>Fabricant de jouets</t>
  </si>
  <si>
    <t>Lock Keeper</t>
  </si>
  <si>
    <t>Convoyeur/Livreur</t>
  </si>
  <si>
    <t>Création personelle</t>
  </si>
  <si>
    <t>Sycophant</t>
  </si>
  <si>
    <t>Avoué, Charlatan, Champion de justice, Chasseur de primes, Collecteur de taxes, Démagogue, Etudiant (droit), Exécuteur, Flagellant, Fouet de dieu, Hors-la-loi, Politicien, Prêcheur de rue, Prophète, Racketteur, Répurgateur, Vagabond, Vaurien</t>
  </si>
  <si>
    <t>Acuité auditive, Camouflage rural OU Camouflage urbain OU Combat de rue, Code de la rue, Fuite, Politique</t>
  </si>
  <si>
    <t>Baratin, Commérage, Crochetage, Escalade OU Filature, Fouille, Intimidation, Perception</t>
  </si>
  <si>
    <t>Arme à 1 main (dague), Cape longue, Chapeau à bords larges, Cloche OU Sifflet OU Tambour, Outils de crochetage, Pied-de-biche</t>
  </si>
  <si>
    <t>Charlatan, Démagogue, Dilettante, Escroc, Ex-détenu, Fanatique, Herrimault, Hors-la-loi, Pamphlétaire, Politicien, Prêcheur de rue, Raconteur, Sycophante</t>
  </si>
  <si>
    <t>Démagogue, Dilettante, Érudit, Fanatique, Initié, Moine, Sycophante</t>
  </si>
  <si>
    <t>Ancien de Village, Démagogue, Escroc, Herrimault, Sycophante</t>
  </si>
  <si>
    <t>Démagogue, Dilettante, Érudit, Marchand, Politicien, Sycophante</t>
  </si>
  <si>
    <t>Cartographe, Cavalcadour, Chasseur de vampires, Chef de bande, Explorateur, Frère de la cape, Rôdeur des Principautés, Rôdeur fantôme, Sergent, Sycophante</t>
  </si>
  <si>
    <t>Chef de bande, Politicien, Prince des voleurs, Receleur, Sycophante</t>
  </si>
  <si>
    <t>Agitateur, Bateleur, Démagogue, Dilettante, Escroc, Fanatique, Interprète, Messager, Pamphlétaire, Scribe, Sycophante</t>
  </si>
  <si>
    <t>Agitateur, Catéchiste, Espion, Frère de la cape, Garde, Geôlier, Initié, Médiateur, Ménestrel, Pamphlétaire, Pisteur, Raconteur, Vendeur de journaux</t>
  </si>
  <si>
    <t>Collecteur de taxes, Scribe, Etudiant, Sycophante</t>
  </si>
  <si>
    <t>Fanatique, Moine, Pénitent, Prêtre, Prêtre consacré, Sycophante</t>
  </si>
  <si>
    <t>Agitateur, Fanatique, Initié, Paysan, Sycophante</t>
  </si>
  <si>
    <t>Banquier, Bourreau, Contremaître, Coupe-jarret, Espion, Ex-détenu, Garde du corps, Garde Républicain, Guide, Maître de guilde, Marchand, Monte-en-l'air, Politicien, Receleur, Régisseur, Spadassin,  Sycophante, Tchékiste</t>
  </si>
  <si>
    <t xml:space="preserve">Dilettante, Joueur, Raconteur, Sycophante, Vagabond </t>
  </si>
  <si>
    <t>Prophet</t>
  </si>
  <si>
    <t>Camouflage urbain OU Éloquence, Code de la rue OU Grand voyageur, Fuite OU Valeureux, Imitation ou Magie commune (divine), Intelligent OU Orateur né, Sain d’esprit OU Sans peur.</t>
  </si>
  <si>
    <t>Baratin OU Langage mystique (magick), Charisme, Commandement OU Intimidation OU Hypnotisme, Connaissances académiques (théologie OU philosophie OU astronomie OU histoire OU esprits), Connaissances générales (une contrée au choix), Dissimulation, Expression artistique (acteur), Langue (deux au choix), Lire/écrire, Perception, Ventriloquie OU Commérage OU Escamotage OU Soins OU Résistance à l’alcool.</t>
  </si>
  <si>
    <t>n’importe quel colifichet religieux</t>
  </si>
  <si>
    <t>Écumeur des marais, Hors-la-loi, Malandrin, Mystique, Prophète, Vagabond</t>
  </si>
  <si>
    <t>Agitateur, Catéchiste, Dilettante, Flagellant, Gardien du temple, Hors-la-loi, Initié, Moine, Pénitent, Prêcheur de rue, Prophète</t>
  </si>
  <si>
    <t>Abbé, Chantre, Démagogue, Dilettante, Érudit, Fanatique, Intendant, Médecin, Moine, Prêtre, Prophète</t>
  </si>
  <si>
    <t>Abbé lanceur de sorts, Chantre, Démagogue, Érudit, Fanatique, Intendant, Médecin, Moine, Prêtre,  Prophète</t>
  </si>
  <si>
    <t>Charlatan, Démagogue, Escroc, Prophète, Sorcier de village</t>
  </si>
  <si>
    <t>Abbé, Bedeau, Catéchiste, Chantre, (Myrmidia) Chevalier du soleil, Démagogue, Érudit, Exorciste, Flagellant, Grand prêtre, Prêtre-guerrier, Prophète, Répurgateur</t>
  </si>
  <si>
    <t>Abbé, Bedeau, Catéchiste, Chantre, (Myrmidia) Chevalier du soleil, Démagogue, Érudit, Exorciste, Flagellant, Grand prêtre (cloîtré), Prêtre-guerrier, Prophète, Répurgateur</t>
  </si>
  <si>
    <t>Charlatan, Courtisan, Démagogue, Fouet de Dieu, Vagabond</t>
  </si>
  <si>
    <t>Belly Dancer</t>
  </si>
  <si>
    <t>Acolyte de Slaanesh, Bateleur, Courtisan, Espion, Ménestrel, Monte-en-l’air, Sahir Mubtadi</t>
  </si>
  <si>
    <t>Baratin, Charisme, Déguisement, Déplacement silencieux, Escamotage, Expression artistique (danseur), Expression artistique (deux au choix), Connaissances générales (Arabie), Langue (deux au choix), Métier (artiste)</t>
  </si>
  <si>
    <t>Almée (Danseuse du ventre), Bandit de grand chemin, Chantre, Charlatan, Démagogue, Dilettante, Espion, Étudiant, Sycophante</t>
  </si>
  <si>
    <t>Almée (Danseuse du ventre), Charlatan, Chiffonnier, Ex-détenu, Malandrin, Ramoneur, Ratier, Trafiquant de cadavres, Voleur</t>
  </si>
  <si>
    <t>Askari</t>
  </si>
  <si>
    <t>Chameau ou cheval (pur-sang arabien), deux armes au choix, Tenue de désert (tenue complète), tente arabienne.</t>
  </si>
  <si>
    <t>Askari, Bourreau, Chasseur de primes, Exécuteur, Geôlier, Mercenaire, Racketteur, Régisseur, Spadassin</t>
  </si>
  <si>
    <t>Askari, Canonnier, Capitaine, Champion de justice, Chevalier, Chevalier du soleil, Chevalier Panthère, Courtisan des Principautés, Croisé, Duelliste, Garde noir, Garde républicain</t>
  </si>
  <si>
    <t>13-19</t>
  </si>
  <si>
    <t>38-45</t>
  </si>
  <si>
    <t>59-63</t>
  </si>
  <si>
    <t>77-79</t>
  </si>
  <si>
    <t>75-76</t>
  </si>
  <si>
    <t>Caravaneer</t>
  </si>
  <si>
    <t>Concubine</t>
  </si>
  <si>
    <t>Dervish</t>
  </si>
  <si>
    <t>Eunuch</t>
  </si>
  <si>
    <t>Caravan Guard</t>
  </si>
  <si>
    <t>Harem Guard</t>
  </si>
  <si>
    <t>Janissary</t>
  </si>
  <si>
    <t>Slave Trader</t>
  </si>
  <si>
    <t>Meharist</t>
  </si>
  <si>
    <t>Murid</t>
  </si>
  <si>
    <t>Murshid</t>
  </si>
  <si>
    <t>Desert Raider</t>
  </si>
  <si>
    <t>Sahir Râb</t>
  </si>
  <si>
    <t>Sahir Tilmid</t>
  </si>
  <si>
    <t>Timariot</t>
  </si>
  <si>
    <t>Chef de bande, Mercenaire, Pisteur, Sans-visage, Sergent</t>
  </si>
  <si>
    <t>Camouflage rural, Coups assommants, Force accrue OU Résistance accrue, Maîtrise (armes lourdes), Maîtrise (une au choix)</t>
  </si>
  <si>
    <t>Hallebarde, une arme au choix, armure moyenne (armure de mailles complète), cheval de selle avec selle et harnais</t>
  </si>
  <si>
    <t>Alphabet secret (nomades), Canotage ou Escalade, Commérage, Connaissances générales (Arabie), Langage secret (désert), Marchandage, Orientation, Soins des animaux, Survie.</t>
  </si>
  <si>
    <t>Monture (au choix), manteau du désert, tente arabienne, 500 co en marchandises</t>
  </si>
  <si>
    <t xml:space="preserve"> Caravanier, Escroc, Trafiquant de cadavres, Érudit, Pisteur, Racketteur</t>
  </si>
  <si>
    <t>Artisan, Caravanier, Catin, Charbonnier, Charlatan, Contrebandier, Espion, Grenouillère, Raconteur, Ramasseur de fumier, Serviteur, Vagabond</t>
  </si>
  <si>
    <t>Allumeur de réverbères, Caravanier, Égoutier, Fossoyeur, Gardien du temple, Geôlier, Soldat, Streltsi, Tchékiste</t>
  </si>
  <si>
    <t>Caravanier, Conducteur de bestiaux, Milicien, Muletier, Patrouilleur, Serviteur, Vendeur de journaux</t>
  </si>
  <si>
    <t>Caravanier, Cocher, Paysan, Serviteur, Soldat</t>
  </si>
  <si>
    <t>Askari, Bourgeois, Caravanier, Marchand</t>
  </si>
  <si>
    <t>Coups assommants, Course à pied ou Grand voyageur, Sociable OU Dur en affaires.</t>
  </si>
  <si>
    <t>Commérage, Connaissances générales (Arabie), Dressage, Emprise sur les animaux, Équitation, Perception OU Résistance à l’alcool, Soins des animaux.</t>
  </si>
  <si>
    <t>Œil de la chimère (rubis taillé arabien)</t>
  </si>
  <si>
    <t>SablesP 280</t>
  </si>
  <si>
    <t>Charisme, Commérage, Connaissances académiques (héraldique), Connaissances générales (Arabie), Connaissances générales (une au choix), Expression artistique (chanteur OU danseur OU musicien), Jeu, Lire/écrire.</t>
  </si>
  <si>
    <t>Cénobite, Étudiant, Initié, Moine, Pèlerin</t>
  </si>
  <si>
    <t>Agitateur, Anachorète, Démagogue, Fouet de dieu, Moine mendiant*, Mystique, Prêtre.</t>
  </si>
  <si>
    <t>Ambidextre OU Acrobatie équestre, Adresse au tir OU Coups précis, Combattant virevoltant, Désarmant OU Méditation, Frénésie OU Valeureux.</t>
  </si>
  <si>
    <t>Connaissances académiques (théologie), Connaissances académiques (théologie OU philosophie), Connaissances générales (Arabie), Déplacement silencieux, Équitation, Esquive Expression artistique (acrobate OU danseur OU musicien), Hypnotisme</t>
  </si>
  <si>
    <t>2 cimeterres, uniforme (robe de derviche), symbole religieux</t>
  </si>
  <si>
    <t>Derviche, Hors-la-loi, Mystique, Serviteur, Vagabond</t>
  </si>
  <si>
    <t>Catéchiste, Démagogue, Derviche, Érudit, Flagellant, Frère de la cape, Interprète, Moine mendiant, Prêtre, Prélat, Prêtre laïque, Prophète</t>
  </si>
  <si>
    <t>Démagogue, Derviche, Fanatique, Hors-la-loi, Initié, Moine, Vagabond</t>
  </si>
  <si>
    <t>Derviche, Flagellant, Sycophante</t>
  </si>
  <si>
    <t>(Morr) Agent du Suaire, Ataman, Bedeau, Chantre, Chevalier du Champ Vedoyant, Derviche, Flagellant, (Morr) Garde noir, Initié, Moine, Moine mendiant, Prélat, Prêtre laïque</t>
  </si>
  <si>
    <t>21-29</t>
  </si>
  <si>
    <t>Gardien de Harem, Gladiateur, Serviteur, Vagabond</t>
  </si>
  <si>
    <t>Commérage, Conduite d’attelage, Intimidation, Survie, Torture</t>
  </si>
  <si>
    <r>
      <t>Eunuque, Règle spéciale (</t>
    </r>
    <r>
      <rPr>
        <i/>
        <sz val="10"/>
        <rFont val="Arial"/>
        <family val="2"/>
      </rPr>
      <t>Les Fils du rat cornu p.94</t>
    </r>
    <r>
      <rPr>
        <sz val="10"/>
        <rFont val="Arial"/>
        <family val="2"/>
      </rPr>
      <t>)</t>
    </r>
  </si>
  <si>
    <t>Caravanier, Contrebandier, Guide, Méhariste, Mercenaire, Pillard du désert</t>
  </si>
  <si>
    <t>Armure légère (veste de cuir), tente arabienne, une arme (au choix), tenue du désert</t>
  </si>
  <si>
    <t>Champion, Eunuque, Garde du corps, Gardien du temple, Héraut, Intendant.</t>
  </si>
  <si>
    <t>Commérage, Connaissances académiques (généalogie/héraldique), Connaissances générales (Arabie), Connaissances générales (deux au choix), Déplacement silencieux, Intimidation, Langue (arabien), Langue (deux au choix), Lire/écrire ou Perception.</t>
  </si>
  <si>
    <t>Askari, Cadet, Gardien de Harem, Messager, Raconteur, Valet</t>
  </si>
  <si>
    <t>Coups assommants OU Tir en puissance, Coups précis ou Intrigant, Coups puissants OU Ambidextre, Étiquette OU Lutte, Robuste OU Sang-froid, Valeureux.</t>
  </si>
  <si>
    <t>Connaissances générales (Arabie), Esquive, Fouille, Jeu ou Lire/écrire, Langue (arabien), Perception ou Intimidation, Soins</t>
  </si>
  <si>
    <t>Armure légère (gilet de cuir), bouclier, uniforme, lance ou arc et 10 flèches.</t>
  </si>
  <si>
    <t>Baron du crime, Bourgeois, Escroc, Marchand, Maître de guilde, Politicien.</t>
  </si>
  <si>
    <t>Code de la rue, Coups assommants, Dur en affaires OU Fuite, Linguistique OU Orateur né</t>
  </si>
  <si>
    <t>Baratin, Charisme, Commandement OU Conduite d’attelage, Connaissances générales (une au choix), Connaissances générales (Arabie ou Skavens), Évaluation OU Intimidation, Langage secret (langage de guilde) OU Torture, Langue (trois au choix), Lire/écrire, Marchandage, Métier (marchand)</t>
  </si>
  <si>
    <t>Commérage, Connaissances générales (Arabie, désert), Équitation, Langage secret (nomades), Orientation, Pistage, Soins des animaux, Survie.</t>
  </si>
  <si>
    <t>Chameau, lance, tente arabienne, tenue du désert</t>
  </si>
  <si>
    <t>Démagogue, Érudit, Murshid, Mystique, Prophète</t>
  </si>
  <si>
    <t>Coups assommant OU Coups précis, Valeureux OU Étiquette, Harmonie æthirique, Esquive OU Mains agiles, Grand voyageur, Magie mineure (deux au choix), Méditation OU Sur ses gardes, Tradition des sorcières (Sihr).</t>
  </si>
  <si>
    <t>Dur en affaires ou Mains agiles, Magie mineure (au choix) ou Sens de l'orientation, Magie mineure (au choix) ou Course à pied, Chance ou Tradition de sorcières (magicien), Méditation ou Sain d'Esprit</t>
  </si>
  <si>
    <t>Baron du crime, Chef de bande, Frère de la cape, Mercenaire, Moine, Murid, Pamphlétaire, Politicien, Sans-visage</t>
  </si>
  <si>
    <t xml:space="preserve">Anachorète, Cénobite, Derviche, Murid </t>
  </si>
  <si>
    <t>Aristocrate, Démagogue. Érudit, Prophète</t>
  </si>
  <si>
    <t>Effrayant OU Sain d’esprit, Guerrier né OU Orateur né, Lévitation, Magie mineure (deux au choix).</t>
  </si>
  <si>
    <t>Commérage, Connaissances académiques (démonologie, esprit, théologie), Connaissances académiques (deux au choix), Connaissances générales (Arabie, désert), Équitation, Évaluation, Expression artistique (conteur), Focalisation, Langage mystique (haut néhékharéen, magick), Langue (arabien), Langue (deux au choix), Lire/écrire, Marchandage, Sens de la magie, Soins</t>
  </si>
  <si>
    <t>Grimoire de parchemins antiques</t>
  </si>
  <si>
    <t>Chasseur, Garde de caravane, Hors-la-loi, Méhariste, Paysan</t>
  </si>
  <si>
    <t>Chasseur de primes, Contrebandier, Eclaireur, Hors-la-loi, Garde de caravane, Mercenaire, Méhariste.</t>
  </si>
  <si>
    <t>Adresse au tir OU Coups assommants, Camouflage désertique, Fuite OU Grand voyageur OU Parmi les Morts, Sens de l’orientation.</t>
  </si>
  <si>
    <t>Cheval (Pur-sang arabien), Cimeterre, Tenue du désert</t>
  </si>
  <si>
    <t>Conseiller</t>
  </si>
  <si>
    <t>Magus de Nurgle, Magus de Slaanesh, Magus de Tzeentch, Magus du Chaos, Oracle, Sahir, Vitki</t>
  </si>
  <si>
    <t>Harmonie aethyrique OU Sixième sens, Dissimulation OU Intelligent, Intrigant OU Étiquette, Magie mineure (deux au choix), Sain d’esprit OU Sombre savoir (au choix), Magie noire OU Vil ensorcellement.</t>
  </si>
  <si>
    <t>Charisme OU Commandement, Commérage OU Préparation de poisons, Connaissances académiques (magie, nécromancie), Connaissances académiques (deux au choix), Connaissances générales (Arabie), Connaissances générales (deux au choix) Focalisation, Langage mystique (haut néhékharéen), Langage mystique (un au choix), Langue (trois au choix), Lire/écrire, Sens de la magie.</t>
  </si>
  <si>
    <t>Traditions de sorcières</t>
  </si>
  <si>
    <t>Acolyte de Tzeentch, Bateleur, Courtisan, Escroc, Sahir Tilmid</t>
  </si>
  <si>
    <t>Aristocrate, Baron du crime, Courtisan, Courtisan des Principautés, Démagogue, Dilettante, Frère de la cape, Intendant, Racketteur, Sans-visage, Sahir Mubtadi</t>
  </si>
  <si>
    <t>Aristocrate, Acolyte de Tzeentch, Courtisan, Érudit, Maledictor, Sahir Râb</t>
  </si>
  <si>
    <t>Aristocrate, Démagogue</t>
  </si>
  <si>
    <t>Charisme, Connaissances académiques (magie), Connaissances générales (Arabie), Focalisation, Langage mystique (haut néhékharéen), Langue (arabien), Lire/écrire, Marchandage OU Métier (calligraphe ou artiste), Sens de la magie OU Ventriloquie.</t>
  </si>
  <si>
    <t>Harmonie aethyrique OU Résistance accrue, Chance OU Intelligent, Magie commune (Sihr)</t>
  </si>
  <si>
    <t>Acolyte de Tzeentch, Charlatan, Courtisan, Mercenaire, Sahir</t>
  </si>
  <si>
    <t>Au choix, Sahir, Sahir Mubtadi, Sahir Tilmid</t>
  </si>
  <si>
    <t>Atours (beaux, tenue complète) (de bonne qualité ou de qualité exceptionnelle)</t>
  </si>
  <si>
    <t>Atours (beaux, tenue complète) (bonne qualité), arme à une main.</t>
  </si>
  <si>
    <t>Trois bouteilles enchantées (contenant chacune un djinn), Atours (beaux, tenue complète), parchemins, accessoires de calligraphie</t>
  </si>
  <si>
    <t>Atours (beaux, tenue complète), parchemins, accessoires de calligraphie</t>
  </si>
  <si>
    <t>Trois bouteilles enchantées (contenant chacune un djinn dont un royal), Atours (beaux, tenue complète) (de qualité exceptionnelle), parchemins, accessoires de calligraphie.</t>
  </si>
  <si>
    <t>Atours (beaux, tenue complète), deux bouteilles enchantées</t>
  </si>
  <si>
    <t>Sheikh</t>
  </si>
  <si>
    <t>Askari, Capitaine, Chef de bande, Champion</t>
  </si>
  <si>
    <t>Aristocrate, Baron du crime, Politicien</t>
  </si>
  <si>
    <t>Agitateur, Ambassadeur, Ataman, Chef de bande, Courtisan des Principautés, Dilettante, Explorateur, Marchand, Politicien, Sheikh</t>
  </si>
  <si>
    <t>Coups assommants, Coups précis OU Intrigant, Coups puissants OU Désarmement, Maîtrise (armes à feu ou armes lourdes ou arcs longs), Sens de l’orientation, Résistance aux poisons OU Sociable, Sur ses gardes OU Valeureux.</t>
  </si>
  <si>
    <t>Alphabet secret (nomades), Braconnage, Commandement, Connaissances générales (Arabie), Emprise sur les animaux, Équitation, Intimidation, Langage secret (un au choix), Orientation, Pistage, Soins des animaux, Survie</t>
  </si>
  <si>
    <t>Commérage, Connaissances générales (Arabie), Fouille, Langage secret (nomades), Orientation, Perception, Survie.</t>
  </si>
  <si>
    <t>Charisme, Commérage, Connaissances académiques (astronomie, démonologie, esprit), Connaissances générales (Arabie), Déplacement silencieux, Équitation, Évaluation, Expression artistique (conteur), Focalisation, Langage secret (désert), Langage mystique (haut néhékharéen), Langue (arabien), Langue (une au choix), Lire/écrire, Marchandage, Perception, Sens de la magie</t>
  </si>
  <si>
    <t>Braconnage, Connaissances générales (Arabie), Déplacement silencieux, Évaluation OU Fouille, Équitation, Langage secret (désert), Perception OU Résistance à l’alcool, Pistage, Survie.</t>
  </si>
  <si>
    <t>Charisme OU Commandement, Commérage OU Préparation de poisons, Connaissances académiques (magie, nécromancie), Connaissances académiques (deux au choix), Connaissances générales (Arabie), langage mystique (haut néhékharéen), Langage mystique (deux au choix), Langue (trois au choix), Lire/écrire, Sens de la magie.</t>
  </si>
  <si>
    <t>Charisme OU Commandement, Connaissances académiques (esprit), Connaissances académiques (une au choix), Connaissances générales (Arabie), Connaissances générales (une au choix), Focalisation, Langage mystique (haut néhékharéen), Langue (arabien), Langue (une au choix), Lire/écrire, Sens de la magie.</t>
  </si>
  <si>
    <t>Au moins un cheval (Pur-sang arabien), tente arabienne, tenue du désert (de qualité exceptionnelle)</t>
  </si>
  <si>
    <t>Anachorète, Envoûteur, Murid, Raconteur, Vagabond</t>
  </si>
  <si>
    <t>Acuité auditive OU Acuité visuelle, Camouflage désertique, Coup puissant OU Résistance accrue, Incantation de bataille OU Intelligent, Magie commune (Sihr).</t>
  </si>
  <si>
    <t>Alphabet secret (nomades), Commandement OU Marchandage, Connaissances académiques (esprit ou théologie), Connaissances générales (Arabie), Expression artistique (conteur), Équitation, Focalisation, Langage mystique (haut néhékharéen), Langage secret (nomades), Langue (arabien), Lire/écrire, Sens de la magie</t>
  </si>
  <si>
    <t>Trois bouteilles enchantées, atours (Beaux, tenue complète), parchemins, accessoires de calligraphie.</t>
  </si>
  <si>
    <t>Agitateur, Bourgeois, Capitaine, Chevalier, Collecteur de taxes, Courtisan, Intendant, Régisseur</t>
  </si>
  <si>
    <t>Aristocrate, Capitaine, Chasseur de vampires, Chevalier du Cercle Intérieur, Chevalier du Corbeau, Chevalier du soleil, Chevalier errant, Chevalier Panthère, Croisé, Garde noir, Initié, Timariote</t>
  </si>
  <si>
    <t>Acolyte de Khorne, Acolyte de Nurgle, Acolyte de Slaanesh, Acolyte de Tzeentch, Allumeur de réverbères, Bandit de grand chemin, Bourgeois, Capitaine, Concubine, Derviche, Étudiant, Fanatique, Héraut, Interprète, Oracle, Percepteur, Plaideur, Scalde, Scribe, Serviteur, Timariote, Vendeur de journaux</t>
  </si>
  <si>
    <t>Adresse au tir OU Coup précis, Coup assommant OU Intriguant, Étiquette OU Dur en affaires, Maître artilleur, Maîtrise (arc long ou armes à feu), Tireur d’élite.</t>
  </si>
  <si>
    <t>Charisme, Commandement OU Intidimidation, Braconnage, Commérage, Connaissances académiques (ingéniérie), Connaissances générales (Arabie, une au choix), Équitation, Langage secret (langage de bataille, langage de guilde), Langue (arabien, une au choix), Lire/écrire, Marchandage, Orientation, Perception.</t>
  </si>
  <si>
    <t>Bourse, 2 Atours (beaux, tenue complète) , arc (n’importe lequel) ou arme à feu (n’importe laquelle), lance</t>
  </si>
  <si>
    <t>Connaissances académiques (histoire, nécromancie, théologie), Langage mystique (haut néhékharéen), Langue (néhékharéen), Sens de la magie</t>
  </si>
  <si>
    <t>Connaissances générales (Pays des Morts)</t>
  </si>
  <si>
    <t>Connaissances académiques (nécromancie), Métier (embaumeur)</t>
  </si>
  <si>
    <t>Langue (arabéen), Pistage</t>
  </si>
  <si>
    <t>Perception, Pistage</t>
  </si>
  <si>
    <t>Langage secret (un au choix), Langue (une au choix)</t>
  </si>
  <si>
    <t>Connaissances académiques (théologie), Langue (khazalid)</t>
  </si>
  <si>
    <t>Connaissances académiques (théologie), Torture</t>
  </si>
  <si>
    <t>Langue (une au choix), Perception</t>
  </si>
  <si>
    <t>Néhékharéen</t>
  </si>
  <si>
    <t>Minautores</t>
  </si>
  <si>
    <t>20+d210</t>
  </si>
  <si>
    <t>Menaçant, Sens aiguisés</t>
  </si>
  <si>
    <t>Commandement, Langage secret (langage de bataille), Langue (néhékharéen)</t>
  </si>
  <si>
    <t>Commandement, Connaissances académiques (histoire, théologie), Langue (néhékharéen), Sens de la magie</t>
  </si>
  <si>
    <t>Éloquence, Menaçant</t>
  </si>
  <si>
    <t>Bœuf/Gnou</t>
  </si>
  <si>
    <t>Buffle</t>
  </si>
  <si>
    <t>Fils du rat crochu</t>
  </si>
  <si>
    <t>Anaton</t>
  </si>
  <si>
    <t>Larracus</t>
  </si>
  <si>
    <t>Venetius</t>
  </si>
  <si>
    <t>Varo</t>
  </si>
  <si>
    <t>Ignacio</t>
  </si>
  <si>
    <t>Gaïus</t>
  </si>
  <si>
    <t>Julion</t>
  </si>
  <si>
    <t>Cato</t>
  </si>
  <si>
    <t>Elianu</t>
  </si>
  <si>
    <t>Mikael</t>
  </si>
  <si>
    <t>Uriel</t>
  </si>
  <si>
    <t>Judd</t>
  </si>
  <si>
    <t>Pasanius</t>
  </si>
  <si>
    <t>Learchus</t>
  </si>
  <si>
    <t>Elen</t>
  </si>
  <si>
    <t>Bellatrice</t>
  </si>
  <si>
    <t>Winnifer</t>
  </si>
  <si>
    <t>Zargona</t>
  </si>
  <si>
    <t>Troda</t>
  </si>
  <si>
    <t>Zylra</t>
  </si>
  <si>
    <t>Zaskinella</t>
  </si>
  <si>
    <t>Velma</t>
  </si>
  <si>
    <t>Vama</t>
  </si>
  <si>
    <t>Vanyra</t>
  </si>
  <si>
    <t>Trunni</t>
  </si>
  <si>
    <t>Sindri</t>
  </si>
  <si>
    <t>Sarras</t>
  </si>
  <si>
    <t>Royna</t>
  </si>
  <si>
    <t>Runella</t>
  </si>
  <si>
    <t>Askima</t>
  </si>
  <si>
    <t>Grimilda</t>
  </si>
  <si>
    <t>Harga</t>
  </si>
  <si>
    <t>Kargul</t>
  </si>
  <si>
    <t>Molagra</t>
  </si>
  <si>
    <t>Melandra</t>
  </si>
  <si>
    <t>Sifna</t>
  </si>
  <si>
    <t>Bergule</t>
  </si>
  <si>
    <t>Karstin</t>
  </si>
  <si>
    <t>Merla</t>
  </si>
  <si>
    <t>Snarri</t>
  </si>
  <si>
    <t>Svava</t>
  </si>
  <si>
    <t>Faratinr</t>
  </si>
  <si>
    <t>Tauriel</t>
  </si>
  <si>
    <t>Niko</t>
  </si>
  <si>
    <t>Ana</t>
  </si>
  <si>
    <t>Cassi</t>
  </si>
  <si>
    <t>Eliza</t>
  </si>
  <si>
    <t>Gwenn</t>
  </si>
  <si>
    <t>Jenn</t>
  </si>
  <si>
    <t>Kat</t>
  </si>
  <si>
    <t>Keira</t>
  </si>
  <si>
    <t>Luusi</t>
  </si>
  <si>
    <t>Mika</t>
  </si>
  <si>
    <t>Mira</t>
  </si>
  <si>
    <t>Mari</t>
  </si>
  <si>
    <t>Stasi</t>
  </si>
  <si>
    <t>Zanne</t>
  </si>
  <si>
    <t>Shawna</t>
  </si>
  <si>
    <t>Alek</t>
  </si>
  <si>
    <t>Benn</t>
  </si>
  <si>
    <t>Brandis</t>
  </si>
  <si>
    <t>Donn</t>
  </si>
  <si>
    <t>Drew</t>
  </si>
  <si>
    <t>Erik</t>
  </si>
  <si>
    <t>Gregg</t>
  </si>
  <si>
    <t>John</t>
  </si>
  <si>
    <t>Kris</t>
  </si>
  <si>
    <t>Marc</t>
  </si>
  <si>
    <t>Mikal</t>
  </si>
  <si>
    <t>Alain</t>
  </si>
  <si>
    <t>Redgar</t>
  </si>
  <si>
    <t>Samm</t>
  </si>
  <si>
    <t>Wil</t>
  </si>
  <si>
    <t>Thom</t>
  </si>
  <si>
    <t>Abbe</t>
  </si>
  <si>
    <t>Adelman</t>
  </si>
  <si>
    <t>Adelheid</t>
  </si>
  <si>
    <t>Adenauer</t>
  </si>
  <si>
    <t>Aldringer</t>
  </si>
  <si>
    <t>Altenstein</t>
  </si>
  <si>
    <t>Alvens</t>
  </si>
  <si>
    <t>Altman</t>
  </si>
  <si>
    <t>Amsdorl</t>
  </si>
  <si>
    <t>Andech</t>
  </si>
  <si>
    <t>Appel</t>
  </si>
  <si>
    <t>Arduin</t>
  </si>
  <si>
    <t>Arneth</t>
  </si>
  <si>
    <t>Askanien</t>
  </si>
  <si>
    <t>Astor</t>
  </si>
  <si>
    <t>Auerbach</t>
  </si>
  <si>
    <t>Andrea</t>
  </si>
  <si>
    <t>Auerswald</t>
  </si>
  <si>
    <t>Baader</t>
  </si>
  <si>
    <t>Babenberger</t>
  </si>
  <si>
    <t>Bachem</t>
  </si>
  <si>
    <t>Bachofen</t>
  </si>
  <si>
    <t>Backe</t>
  </si>
  <si>
    <t>Barhdt</t>
  </si>
  <si>
    <t>Balke</t>
  </si>
  <si>
    <t>Bartenstein</t>
  </si>
  <si>
    <t>Bartel</t>
  </si>
  <si>
    <t>Basserman</t>
  </si>
  <si>
    <t>Bassewitz</t>
  </si>
  <si>
    <t>Battenberg</t>
  </si>
  <si>
    <t>Bauer</t>
  </si>
  <si>
    <t>Bausch</t>
  </si>
  <si>
    <t>Balde</t>
  </si>
  <si>
    <t>Bayern</t>
  </si>
  <si>
    <t>Becher</t>
  </si>
  <si>
    <t>Beck</t>
  </si>
  <si>
    <t>Zimmer</t>
  </si>
  <si>
    <t>Zindendorf</t>
  </si>
  <si>
    <t>Zimermann</t>
  </si>
  <si>
    <t>Zeigler</t>
  </si>
  <si>
    <t>Zedkin</t>
  </si>
  <si>
    <t>Zeutner</t>
  </si>
  <si>
    <t>Zeigner</t>
  </si>
  <si>
    <t>Beheim</t>
  </si>
  <si>
    <t>Behrens</t>
  </si>
  <si>
    <t>Below</t>
  </si>
  <si>
    <t>Benoel</t>
  </si>
  <si>
    <t>Benigsen</t>
  </si>
  <si>
    <t>Benz</t>
  </si>
  <si>
    <t>Benzenberg</t>
  </si>
  <si>
    <t>Berschtold</t>
  </si>
  <si>
    <t>Bernstorff</t>
  </si>
  <si>
    <t>Bessel</t>
  </si>
  <si>
    <t>Bethman</t>
  </si>
  <si>
    <t>Billunger</t>
  </si>
  <si>
    <t>Blinder</t>
  </si>
  <si>
    <t>Birckenstock</t>
  </si>
  <si>
    <t>Bishoffwerder</t>
  </si>
  <si>
    <t>Bissen</t>
  </si>
  <si>
    <t>Blucher</t>
  </si>
  <si>
    <t>Bodmer</t>
  </si>
  <si>
    <t>Böhm</t>
  </si>
  <si>
    <t>Böckler</t>
  </si>
  <si>
    <t>Bolz</t>
  </si>
  <si>
    <t>Brackmamn</t>
  </si>
  <si>
    <t>Braden</t>
  </si>
  <si>
    <t>Brauer</t>
  </si>
  <si>
    <t>Braun</t>
  </si>
  <si>
    <t>Bredt</t>
  </si>
  <si>
    <t>Brenner</t>
  </si>
  <si>
    <t>Brück</t>
  </si>
  <si>
    <t>Bunsen</t>
  </si>
  <si>
    <t>Burkarl</t>
  </si>
  <si>
    <t>Butzer</t>
  </si>
  <si>
    <t>Carlsberg</t>
  </si>
  <si>
    <t>Dalman</t>
  </si>
  <si>
    <t>Dahrendorf</t>
  </si>
  <si>
    <t>Dalwig</t>
  </si>
  <si>
    <t>Dehler</t>
  </si>
  <si>
    <t>Derflinger</t>
  </si>
  <si>
    <t>Diepenbrock</t>
  </si>
  <si>
    <t>Dieback</t>
  </si>
  <si>
    <t>Diethman</t>
  </si>
  <si>
    <t>Dobner</t>
  </si>
  <si>
    <t>Döring</t>
  </si>
  <si>
    <t>Dornberg</t>
  </si>
  <si>
    <t>Doersmark</t>
  </si>
  <si>
    <t>Drebach</t>
  </si>
  <si>
    <t>Droysen</t>
  </si>
  <si>
    <t>Dukuitz</t>
  </si>
  <si>
    <t>Duer</t>
  </si>
  <si>
    <t>Eberard</t>
  </si>
  <si>
    <t>Eberstein</t>
  </si>
  <si>
    <t>Ebner</t>
  </si>
  <si>
    <t>Ek</t>
  </si>
  <si>
    <t>Eggenberg</t>
  </si>
  <si>
    <t>Ehllers</t>
  </si>
  <si>
    <t>Einchendorff</t>
  </si>
  <si>
    <t>Eimen</t>
  </si>
  <si>
    <t>Einen</t>
  </si>
  <si>
    <t>Eisner</t>
  </si>
  <si>
    <t>Ermenricht</t>
  </si>
  <si>
    <t>Erberger</t>
  </si>
  <si>
    <t>Eulenburg</t>
  </si>
  <si>
    <t>Faber</t>
  </si>
  <si>
    <t>Falkenhorst</t>
  </si>
  <si>
    <t>Ficken</t>
  </si>
  <si>
    <t>Ficher</t>
  </si>
  <si>
    <t>Friedburg</t>
  </si>
  <si>
    <t>Fromm</t>
  </si>
  <si>
    <t>Furstenber</t>
  </si>
  <si>
    <t>Galbenz</t>
  </si>
  <si>
    <t>Gadner</t>
  </si>
  <si>
    <t>Gasmaien</t>
  </si>
  <si>
    <t>Gebhard</t>
  </si>
  <si>
    <t>Gebwilher</t>
  </si>
  <si>
    <t>Geibel</t>
  </si>
  <si>
    <t>Gemmigen</t>
  </si>
  <si>
    <t>Gentz</t>
  </si>
  <si>
    <t>Gerlicht</t>
  </si>
  <si>
    <t>Germanicus</t>
  </si>
  <si>
    <t>Gerstenmaier</t>
  </si>
  <si>
    <t>Geblen</t>
  </si>
  <si>
    <t>Glatz</t>
  </si>
  <si>
    <t>Goeben</t>
  </si>
  <si>
    <t>Gönner</t>
  </si>
  <si>
    <t>Gortz</t>
  </si>
  <si>
    <t>Gobler</t>
  </si>
  <si>
    <t>Gottschalk</t>
  </si>
  <si>
    <t>Gravenitz</t>
  </si>
  <si>
    <t>Grimmels</t>
  </si>
  <si>
    <t>Groeben</t>
  </si>
  <si>
    <t>Groeber</t>
  </si>
  <si>
    <t>Gurtner</t>
  </si>
  <si>
    <t>Habsburger</t>
  </si>
  <si>
    <t>Hänel</t>
  </si>
  <si>
    <t>Häuser</t>
  </si>
  <si>
    <t>Hainish</t>
  </si>
  <si>
    <t>Halder</t>
  </si>
  <si>
    <t>Hallberg</t>
  </si>
  <si>
    <t>Hammer</t>
  </si>
  <si>
    <t>Hardenberg</t>
  </si>
  <si>
    <t>Harkort</t>
  </si>
  <si>
    <t>Hasen</t>
  </si>
  <si>
    <t>Hassel</t>
  </si>
  <si>
    <t>Haugwitz</t>
  </si>
  <si>
    <t>Hauschofer</t>
  </si>
  <si>
    <t>Haussmann</t>
  </si>
  <si>
    <t>Hegel</t>
  </si>
  <si>
    <t>Heim</t>
  </si>
  <si>
    <t>Heimburg</t>
  </si>
  <si>
    <t>Henckem</t>
  </si>
  <si>
    <t>Henning</t>
  </si>
  <si>
    <t>Heb</t>
  </si>
  <si>
    <t>Hessen</t>
  </si>
  <si>
    <t>Heuss</t>
  </si>
  <si>
    <t>Hintz</t>
  </si>
  <si>
    <t>Hirch</t>
  </si>
  <si>
    <t>Hoegner</t>
  </si>
  <si>
    <t>Hoepner</t>
  </si>
  <si>
    <t>Hoelz</t>
  </si>
  <si>
    <t>Hornick</t>
  </si>
  <si>
    <t>Horgnik</t>
  </si>
  <si>
    <t>Hoech</t>
  </si>
  <si>
    <t>Hofbauer</t>
  </si>
  <si>
    <t>Hollstein</t>
  </si>
  <si>
    <t>Hiber</t>
  </si>
  <si>
    <t>Hundt</t>
  </si>
  <si>
    <t>Hutter</t>
  </si>
  <si>
    <t>Ilgen</t>
  </si>
  <si>
    <t>Isenburg</t>
  </si>
  <si>
    <t>Kass</t>
  </si>
  <si>
    <t>Kahl</t>
  </si>
  <si>
    <t>Kaisen</t>
  </si>
  <si>
    <t>Kaiser</t>
  </si>
  <si>
    <t>Kalten</t>
  </si>
  <si>
    <t>Kapp</t>
  </si>
  <si>
    <t>Kardoff</t>
  </si>
  <si>
    <t>Karlman</t>
  </si>
  <si>
    <t>Karlstadt</t>
  </si>
  <si>
    <t>Kaunitz</t>
  </si>
  <si>
    <t>Kehr</t>
  </si>
  <si>
    <t>Keil</t>
  </si>
  <si>
    <t>Keller</t>
  </si>
  <si>
    <t>Kerkow</t>
  </si>
  <si>
    <t>Kern</t>
  </si>
  <si>
    <t>Kesselring</t>
  </si>
  <si>
    <t>Kettler</t>
  </si>
  <si>
    <t>Kleist</t>
  </si>
  <si>
    <t>Klüber</t>
  </si>
  <si>
    <t>Köller</t>
  </si>
  <si>
    <t>Korner</t>
  </si>
  <si>
    <t>Kraus</t>
  </si>
  <si>
    <t>Kranz</t>
  </si>
  <si>
    <t>Krupper</t>
  </si>
  <si>
    <t>Küchler</t>
  </si>
  <si>
    <t>Külz</t>
  </si>
  <si>
    <t>Kunschak</t>
  </si>
  <si>
    <t>Kurz</t>
  </si>
  <si>
    <t>Landsberg</t>
  </si>
  <si>
    <t>Lavater</t>
  </si>
  <si>
    <t>Leber</t>
  </si>
  <si>
    <t>Lehemenn</t>
  </si>
  <si>
    <t>Lendorff</t>
  </si>
  <si>
    <t>Leibnitz</t>
  </si>
  <si>
    <t>Lenz</t>
  </si>
  <si>
    <t>Leuschner</t>
  </si>
  <si>
    <t>Leyen</t>
  </si>
  <si>
    <t>Lichten</t>
  </si>
  <si>
    <t>Lieber</t>
  </si>
  <si>
    <t>Liebermann</t>
  </si>
  <si>
    <t>Lietz</t>
  </si>
  <si>
    <t>Lodron</t>
  </si>
  <si>
    <t>Löbeln</t>
  </si>
  <si>
    <t>Löwen</t>
  </si>
  <si>
    <t>Lornsen</t>
  </si>
  <si>
    <t>Lugger</t>
  </si>
  <si>
    <t>Lutzow</t>
  </si>
  <si>
    <t>Lutz</t>
  </si>
  <si>
    <t>Lynar</t>
  </si>
  <si>
    <t>Mackensen</t>
  </si>
  <si>
    <t>Maïer</t>
  </si>
  <si>
    <t>Mansfeld</t>
  </si>
  <si>
    <t>Manstein</t>
  </si>
  <si>
    <t>Manteaffel</t>
  </si>
  <si>
    <t>Massenbac</t>
  </si>
  <si>
    <t>Mattahaus</t>
  </si>
  <si>
    <t>Mehring</t>
  </si>
  <si>
    <t>Meïern</t>
  </si>
  <si>
    <t>Meinder</t>
  </si>
  <si>
    <t>Meinhard</t>
  </si>
  <si>
    <t>Meinwerk</t>
  </si>
  <si>
    <t>Meiser</t>
  </si>
  <si>
    <t>Mende</t>
  </si>
  <si>
    <t>Mensdorf</t>
  </si>
  <si>
    <t>Menzel</t>
  </si>
  <si>
    <t>Merkatz</t>
  </si>
  <si>
    <t>Mierendorf</t>
  </si>
  <si>
    <t>Milch</t>
  </si>
  <si>
    <t>Mittermaier</t>
  </si>
  <si>
    <t>Möhler</t>
  </si>
  <si>
    <t>Möser</t>
  </si>
  <si>
    <t>Moritz</t>
  </si>
  <si>
    <t>Müller</t>
  </si>
  <si>
    <t>Mülner</t>
  </si>
  <si>
    <t>Münster</t>
  </si>
  <si>
    <t>Murner</t>
  </si>
  <si>
    <t>Nader</t>
  </si>
  <si>
    <t>Naumann</t>
  </si>
  <si>
    <t>Natzmen</t>
  </si>
  <si>
    <t>Nebe</t>
  </si>
  <si>
    <t>Neippeng</t>
  </si>
  <si>
    <t>Nesselroole</t>
  </si>
  <si>
    <t>Ober</t>
  </si>
  <si>
    <t>Oberrhein</t>
  </si>
  <si>
    <t>Oesfeld</t>
  </si>
  <si>
    <t>Ostereich</t>
  </si>
  <si>
    <t>Otter</t>
  </si>
  <si>
    <t>Oexl</t>
  </si>
  <si>
    <t>Olbricht</t>
  </si>
  <si>
    <t>Oldenburg</t>
  </si>
  <si>
    <t>Oldendorp</t>
  </si>
  <si>
    <t>Ollenhauer</t>
  </si>
  <si>
    <t>Oppeneim</t>
  </si>
  <si>
    <t>Oster</t>
  </si>
  <si>
    <t>Osterman</t>
  </si>
  <si>
    <t>Petersen</t>
  </si>
  <si>
    <t>Platner</t>
  </si>
  <si>
    <t>Plener</t>
  </si>
  <si>
    <t>Pleb</t>
  </si>
  <si>
    <t>Radeck</t>
  </si>
  <si>
    <t>Radowitz</t>
  </si>
  <si>
    <t>Rainer</t>
  </si>
  <si>
    <t>Ratzel</t>
  </si>
  <si>
    <t>Raumer</t>
  </si>
  <si>
    <t>Reben</t>
  </si>
  <si>
    <t>Recke</t>
  </si>
  <si>
    <t>Reden</t>
  </si>
  <si>
    <t>Reinbeck</t>
  </si>
  <si>
    <t>Renner</t>
  </si>
  <si>
    <t>Richter</t>
  </si>
  <si>
    <t>Riesedel</t>
  </si>
  <si>
    <t>Riezler</t>
  </si>
  <si>
    <t>Ritter</t>
  </si>
  <si>
    <t>Rödern</t>
  </si>
  <si>
    <t>Rosenberg</t>
  </si>
  <si>
    <t>Rotmann</t>
  </si>
  <si>
    <t>Rudhart</t>
  </si>
  <si>
    <t>Rüchel</t>
  </si>
  <si>
    <t>Ruge</t>
  </si>
  <si>
    <t>Rustow</t>
  </si>
  <si>
    <t>Ruppecht</t>
  </si>
  <si>
    <t>Saldern</t>
  </si>
  <si>
    <t>Salzmann</t>
  </si>
  <si>
    <t>Schaffle</t>
  </si>
  <si>
    <t>Scharnhorst</t>
  </si>
  <si>
    <t>Schedel</t>
  </si>
  <si>
    <t>Schiner</t>
  </si>
  <si>
    <t>Schleicher</t>
  </si>
  <si>
    <t>Schlieffen</t>
  </si>
  <si>
    <t>Shölzer</t>
  </si>
  <si>
    <t>Schmidt</t>
  </si>
  <si>
    <t>Schmerling</t>
  </si>
  <si>
    <t>Schoen</t>
  </si>
  <si>
    <t>Schonburg</t>
  </si>
  <si>
    <t>Schörner</t>
  </si>
  <si>
    <t>Schonberg</t>
  </si>
  <si>
    <t>Schröder</t>
  </si>
  <si>
    <t>Schwarz</t>
  </si>
  <si>
    <t>Schweitzer</t>
  </si>
  <si>
    <t>Seipel</t>
  </si>
  <si>
    <t>Seitz</t>
  </si>
  <si>
    <t>Semler</t>
  </si>
  <si>
    <t>Senft</t>
  </si>
  <si>
    <t>Seuffer</t>
  </si>
  <si>
    <t>Seyss</t>
  </si>
  <si>
    <t>Sinzendorf</t>
  </si>
  <si>
    <t>Schlutter</t>
  </si>
  <si>
    <t>Soden</t>
  </si>
  <si>
    <t>Spaen</t>
  </si>
  <si>
    <t>Sparr</t>
  </si>
  <si>
    <t>Speckbacker</t>
  </si>
  <si>
    <t>Speidel</t>
  </si>
  <si>
    <t>Spender</t>
  </si>
  <si>
    <t>Spiegel</t>
  </si>
  <si>
    <t>Spittler</t>
  </si>
  <si>
    <t>Sprecher</t>
  </si>
  <si>
    <t>Stahl</t>
  </si>
  <si>
    <t>Staufer</t>
  </si>
  <si>
    <t>Staufenberg</t>
  </si>
  <si>
    <t>Stephen</t>
  </si>
  <si>
    <t>Steger</t>
  </si>
  <si>
    <t>Stein</t>
  </si>
  <si>
    <t>Steinacker</t>
  </si>
  <si>
    <t>Sternberg</t>
  </si>
  <si>
    <t>Stoldberg</t>
  </si>
  <si>
    <t>Strasser</t>
  </si>
  <si>
    <t>Straub</t>
  </si>
  <si>
    <t>Streicher</t>
  </si>
  <si>
    <t>Straumer</t>
  </si>
  <si>
    <t>Sturm</t>
  </si>
  <si>
    <t>Suder</t>
  </si>
  <si>
    <t>Sulz</t>
  </si>
  <si>
    <t>Suttner</t>
  </si>
  <si>
    <t>Tarnow</t>
  </si>
  <si>
    <t>Tauser</t>
  </si>
  <si>
    <t>Thalmann</t>
  </si>
  <si>
    <t>Thugern</t>
  </si>
  <si>
    <t>Traun</t>
  </si>
  <si>
    <t>Trautman</t>
  </si>
  <si>
    <t>Ulbricht</t>
  </si>
  <si>
    <t>Ullstein</t>
  </si>
  <si>
    <t>Uslar</t>
  </si>
  <si>
    <t>Varn</t>
  </si>
  <si>
    <t>Vincke</t>
  </si>
  <si>
    <t>Volmar</t>
  </si>
  <si>
    <t>Vogelberg</t>
  </si>
  <si>
    <t>Vob</t>
  </si>
  <si>
    <t>Wakerbatch</t>
  </si>
  <si>
    <t>Waithz</t>
  </si>
  <si>
    <t>Walburg</t>
  </si>
  <si>
    <t>Waldeck</t>
  </si>
  <si>
    <t>Waldman</t>
  </si>
  <si>
    <t>Waldstein</t>
  </si>
  <si>
    <t>Wartenberg</t>
  </si>
  <si>
    <t>Weck</t>
  </si>
  <si>
    <t>Wedel</t>
  </si>
  <si>
    <t>Weich</t>
  </si>
  <si>
    <t>Weigondt</t>
  </si>
  <si>
    <t>Welden</t>
  </si>
  <si>
    <t>Welfen</t>
  </si>
  <si>
    <t>Welser</t>
  </si>
  <si>
    <t>Wels</t>
  </si>
  <si>
    <t>Wenzel</t>
  </si>
  <si>
    <t>Werther</t>
  </si>
  <si>
    <t>Werthman</t>
  </si>
  <si>
    <t>Wichmann</t>
  </si>
  <si>
    <t>Withelm</t>
  </si>
  <si>
    <t>Windech</t>
  </si>
  <si>
    <t>Witzleben</t>
  </si>
  <si>
    <t>Wolfo</t>
  </si>
  <si>
    <t>Woldemar</t>
  </si>
  <si>
    <t>Wolschradt</t>
  </si>
  <si>
    <t>Wonget</t>
  </si>
  <si>
    <t>Wurtem</t>
  </si>
  <si>
    <t>Wullem</t>
  </si>
  <si>
    <t>Wyneken</t>
  </si>
  <si>
    <t>Zahringer</t>
  </si>
  <si>
    <t>Lichtenberg</t>
  </si>
  <si>
    <t>Lietzmann</t>
  </si>
  <si>
    <t>Grimmelsnausen</t>
  </si>
  <si>
    <t>Groebener</t>
  </si>
  <si>
    <t>Aglari</t>
  </si>
  <si>
    <t>Anardil</t>
  </si>
  <si>
    <t>Arafinwë</t>
  </si>
  <si>
    <t>Arachné</t>
  </si>
  <si>
    <t>Arcadia</t>
  </si>
  <si>
    <t>Ardamírë</t>
  </si>
  <si>
    <t xml:space="preserve">Ardamir </t>
  </si>
  <si>
    <t>Argadil</t>
  </si>
  <si>
    <t>Ariarhen</t>
  </si>
  <si>
    <t>Arminas</t>
  </si>
  <si>
    <t>Artaher</t>
  </si>
  <si>
    <t>Artanis</t>
  </si>
  <si>
    <t>Ashana</t>
  </si>
  <si>
    <t>Astal</t>
  </si>
  <si>
    <t>Athelleen</t>
  </si>
  <si>
    <t>Barmahir</t>
  </si>
  <si>
    <t>Belwen</t>
  </si>
  <si>
    <t>Brindal</t>
  </si>
  <si>
    <t>Caliawen</t>
  </si>
  <si>
    <t>Carafinwë</t>
  </si>
  <si>
    <t>Castamir</t>
  </si>
  <si>
    <t>Celebrían</t>
  </si>
  <si>
    <t>Celeanar</t>
  </si>
  <si>
    <t>Circë</t>
  </si>
  <si>
    <t>Ciryandil</t>
  </si>
  <si>
    <t>Dairiun,</t>
  </si>
  <si>
    <t>Danica</t>
  </si>
  <si>
    <t>Danywen</t>
  </si>
  <si>
    <t>Daenara</t>
  </si>
  <si>
    <t>Dhaunare</t>
  </si>
  <si>
    <t>Dralsa</t>
  </si>
  <si>
    <t>Diningal</t>
  </si>
  <si>
    <t>Eärendil</t>
  </si>
  <si>
    <t>Earwen</t>
  </si>
  <si>
    <t>Elemmacil</t>
  </si>
  <si>
    <t>Elemire</t>
  </si>
  <si>
    <t>Elentir</t>
  </si>
  <si>
    <t>Endaria</t>
  </si>
  <si>
    <t>Eänwen</t>
  </si>
  <si>
    <t>Eldalótë</t>
  </si>
  <si>
    <t>Eönwë,</t>
  </si>
  <si>
    <t>Estrid</t>
  </si>
  <si>
    <t>Fíriel</t>
  </si>
  <si>
    <t>Galata</t>
  </si>
  <si>
    <t>Galdor,</t>
  </si>
  <si>
    <t>Gilestel</t>
  </si>
  <si>
    <t>Heldaria</t>
  </si>
  <si>
    <t>Irwaen</t>
  </si>
  <si>
    <t>Imarune</t>
  </si>
  <si>
    <t>Itarill</t>
  </si>
  <si>
    <t>Kardryar</t>
  </si>
  <si>
    <t>Lalwendë</t>
  </si>
  <si>
    <t>Limstella</t>
  </si>
  <si>
    <t>Macalaure</t>
  </si>
  <si>
    <t>Manîthil</t>
  </si>
  <si>
    <t>Nandil</t>
  </si>
  <si>
    <t>Nenwende</t>
  </si>
  <si>
    <t>Ñolofinwë</t>
  </si>
  <si>
    <t>Númendil</t>
  </si>
  <si>
    <t>Qorwyn</t>
  </si>
  <si>
    <t>Silana</t>
  </si>
  <si>
    <t>Siltiama</t>
  </si>
  <si>
    <t>Sirthaal</t>
  </si>
  <si>
    <t>Unyen</t>
  </si>
  <si>
    <t>Vàna</t>
  </si>
  <si>
    <t>Virani</t>
  </si>
  <si>
    <t>Volanarë</t>
  </si>
  <si>
    <t>Wondrel</t>
  </si>
  <si>
    <t>Yarayn</t>
  </si>
  <si>
    <t>Ylengil</t>
  </si>
  <si>
    <t>Yndreth</t>
  </si>
  <si>
    <t>Yndris</t>
  </si>
  <si>
    <t>Anario</t>
  </si>
  <si>
    <t>Arcadio</t>
  </si>
  <si>
    <t>Atanatar</t>
  </si>
  <si>
    <t>Aulendil</t>
  </si>
  <si>
    <t>Aulendur</t>
  </si>
  <si>
    <t>Boromir</t>
  </si>
  <si>
    <t>Bronweg</t>
  </si>
  <si>
    <t>Bruithwir</t>
  </si>
  <si>
    <t>Calimehtar</t>
  </si>
  <si>
    <t>Calimmacil</t>
  </si>
  <si>
    <t>Calion</t>
  </si>
  <si>
    <t>Calywen</t>
  </si>
  <si>
    <t>Ciryaher</t>
  </si>
  <si>
    <t>Ciryatan</t>
  </si>
  <si>
    <t>Dovahkiin</t>
  </si>
  <si>
    <t>Duinhir</t>
  </si>
  <si>
    <t>Eärendur</t>
  </si>
  <si>
    <t>Eldacar</t>
  </si>
  <si>
    <t>Elendur</t>
  </si>
  <si>
    <t>Falastur</t>
  </si>
  <si>
    <t>Fantur</t>
  </si>
  <si>
    <t>Faramir</t>
  </si>
  <si>
    <t>Herendil</t>
  </si>
  <si>
    <t>Herumor</t>
  </si>
  <si>
    <t>Herunúmes</t>
  </si>
  <si>
    <t>Hyamendacil</t>
  </si>
  <si>
    <t>éclat argenté</t>
  </si>
  <si>
    <t>Lastalaica</t>
  </si>
  <si>
    <t>Legolas</t>
  </si>
  <si>
    <t>Mardil</t>
  </si>
  <si>
    <t>Narmacil</t>
  </si>
  <si>
    <t>Ostoher</t>
  </si>
  <si>
    <t>Palantir</t>
  </si>
  <si>
    <t>Pelendul</t>
  </si>
  <si>
    <t>Rómendacil</t>
  </si>
  <si>
    <t>Russandol</t>
  </si>
  <si>
    <t>Siriondil</t>
  </si>
  <si>
    <t>Tarannon</t>
  </si>
  <si>
    <t>Targen</t>
  </si>
  <si>
    <t>Terendul</t>
  </si>
  <si>
    <t>Turindo</t>
  </si>
  <si>
    <t>Turucàno</t>
  </si>
  <si>
    <t>Tyeplerinquar</t>
  </si>
  <si>
    <t>Valacar</t>
  </si>
  <si>
    <t>Vorondil</t>
  </si>
  <si>
    <t xml:space="preserve">Eldarion </t>
  </si>
  <si>
    <t>Chassautomne</t>
  </si>
  <si>
    <t>Feublanc</t>
  </si>
  <si>
    <t>Orcyan</t>
  </si>
  <si>
    <t>Lacfeu</t>
  </si>
  <si>
    <t>Mornerivière</t>
  </si>
  <si>
    <t>Cendrelame</t>
  </si>
  <si>
    <t>Fiersoleil</t>
  </si>
  <si>
    <t>Sombremontagne</t>
  </si>
  <si>
    <t>Dasmi</t>
  </si>
  <si>
    <t>Liaberyl</t>
  </si>
  <si>
    <t>Choca</t>
  </si>
  <si>
    <t>Poda</t>
  </si>
  <si>
    <t>Redpon</t>
  </si>
  <si>
    <t>Nandban</t>
  </si>
  <si>
    <t>Dulo</t>
  </si>
  <si>
    <t>Bail</t>
  </si>
  <si>
    <t>Relas</t>
  </si>
  <si>
    <t>Popwise</t>
  </si>
  <si>
    <t>Nemo</t>
  </si>
  <si>
    <t>Meper</t>
  </si>
  <si>
    <t>Mondmi</t>
  </si>
  <si>
    <t>Grimo</t>
  </si>
  <si>
    <t>Ololo</t>
  </si>
  <si>
    <t>Mitin</t>
  </si>
  <si>
    <t>Mosbo</t>
  </si>
  <si>
    <t>Munru</t>
  </si>
  <si>
    <t>Dacome</t>
  </si>
  <si>
    <t>Rielisum</t>
  </si>
  <si>
    <t>Samie</t>
  </si>
  <si>
    <t>Vila</t>
  </si>
  <si>
    <t>Marteau d’Algrim</t>
  </si>
  <si>
    <t>Talisman de Daagon</t>
  </si>
  <si>
    <t>Tablettes d’Akarzan</t>
  </si>
  <si>
    <t>SablesP 170</t>
  </si>
  <si>
    <t>Écorchecoeur</t>
  </si>
  <si>
    <t>Cylostra</t>
  </si>
  <si>
    <t>Superior Genius</t>
  </si>
  <si>
    <t>Royal Genius</t>
  </si>
  <si>
    <t>Génie Royal</t>
  </si>
  <si>
    <t>Génie Supérieur</t>
  </si>
  <si>
    <t>Vie de servitude éternelle</t>
  </si>
  <si>
    <t>Alphabet secret (nomades), Baratin, Charisme, Connaissances académiques (démonologie, histoire, magie, théologie), Connaissances générales (Arabie), Équitation, Focalisation, Intimidation, Langage mystique (demonik), Langue (arabien, deux au choix), Lire/écrire, Marchandage, Orientation, Perception, Sens de la magie, Survie.</t>
  </si>
  <si>
    <t>Coups puissants, Éloquence, Magie mineure (deux au choix), Maîtrise (une au choix), Mains agiles, Orateur né</t>
  </si>
  <si>
    <t>Alphabet secret (nomades), Baratin, Charisme, Connaissances académiques (démonologie, histoire, magie, théologie), Connaissances générales (Arabie), Équitation, Focalisation, Intimidation, Langage mystique (demonik), Langue (arabien, deux au choix), Lire/écrire, Marchandage, Orientation, Perception, Sens de la magie, Survie</t>
  </si>
  <si>
    <t>Apprentie sorcière, Oracle, Sorcier de village, Sorcier des marches, Staraja vedma,Talib (Dresseur de djinn), Vierge de glace</t>
  </si>
  <si>
    <t>Talib (Dresseur de djinn)</t>
  </si>
  <si>
    <t>Ligne</t>
  </si>
  <si>
    <t>liste triée</t>
  </si>
  <si>
    <t>ligne triée</t>
  </si>
  <si>
    <t>Calculs inspiration divine</t>
  </si>
  <si>
    <t>Yeux en forme d'amandes</t>
  </si>
  <si>
    <t>Respiration sifflante</t>
  </si>
  <si>
    <t>Marque de naissance</t>
  </si>
  <si>
    <t>Tache de vin</t>
  </si>
  <si>
    <t>Vitiligo</t>
  </si>
  <si>
    <t>Jambes arquées</t>
  </si>
  <si>
    <t>Large d'épaules</t>
  </si>
  <si>
    <t>Fosette au menton</t>
  </si>
  <si>
    <t>Yeux vairons</t>
  </si>
  <si>
    <t>Taches de rousseur</t>
  </si>
  <si>
    <t>Longs doigts</t>
  </si>
  <si>
    <t>Bec de lièvre</t>
  </si>
  <si>
    <t>Fanfaron</t>
  </si>
  <si>
    <t>Grands pieds</t>
  </si>
  <si>
    <t>Vert clair</t>
  </si>
  <si>
    <t>Ver foncé</t>
  </si>
  <si>
    <t>Miel</t>
  </si>
  <si>
    <t>Ambre</t>
  </si>
  <si>
    <t>Emeraude</t>
  </si>
  <si>
    <t>Acajou</t>
  </si>
  <si>
    <t>catégorie magie</t>
  </si>
  <si>
    <t>Parmi les morts</t>
  </si>
  <si>
    <t>Tri des sous-races</t>
  </si>
  <si>
    <t>Compétences: Connaissances générales (Terres des morts) ou Langue (Nehekhareen), Langue (arabien), Survie Talents: Affinité provinciale (Terre des morts), Camouflage désertique, Fils du désert OU Parmi les morts</t>
  </si>
  <si>
    <t>Byttigen</t>
  </si>
  <si>
    <t>Iles de Kuldevind</t>
  </si>
  <si>
    <t>Tri ethnies</t>
  </si>
  <si>
    <t>Tri naissance</t>
  </si>
  <si>
    <t>Triskel albionnais</t>
  </si>
  <si>
    <t>Pierre à aiguiser de Tudwal Tudglyd</t>
  </si>
  <si>
    <t>Tt homme qui subit 1 blessure d'une arme aiguisée avec cette pierre meurt</t>
  </si>
  <si>
    <t>Chaudron d'abondance</t>
  </si>
  <si>
    <t>Sur ordre: ne se désemplit jamais d'un délicieux bouillon</t>
  </si>
  <si>
    <t>Blanche Poignée</t>
  </si>
  <si>
    <t>Anachorète, Érudit, Escroc, Fanatique, Moine, Moine mendiant, Murid, Murshid, Mystique, Pèlerin exalté, Prêtre, Prêtre consacré</t>
  </si>
  <si>
    <t>Sorcerer-Prophet</t>
  </si>
  <si>
    <t>Daemonsmith</t>
  </si>
  <si>
    <t>Daemonsmith Champion</t>
  </si>
  <si>
    <t>Daemonsmith Master</t>
  </si>
  <si>
    <t>Plague Deacon</t>
  </si>
  <si>
    <t>Plague Monk</t>
  </si>
  <si>
    <t>Plague Priest</t>
  </si>
  <si>
    <t>Technomage</t>
  </si>
  <si>
    <t>Tri catégorie magie</t>
  </si>
  <si>
    <t>Dieu:</t>
  </si>
  <si>
    <t>Agnostique</t>
  </si>
  <si>
    <t>Athée</t>
  </si>
  <si>
    <t>Gunndred</t>
  </si>
  <si>
    <t>La Gueule</t>
  </si>
  <si>
    <t>Dieux et déesses</t>
  </si>
  <si>
    <t>Ordres et sectes</t>
  </si>
  <si>
    <t>Tri Dieux et déesses</t>
  </si>
  <si>
    <t>Ordre:</t>
  </si>
  <si>
    <t>Affinité Provinciale (Reikwald), Sens de l'Orientation</t>
  </si>
  <si>
    <t>Commérage, Intimidation</t>
  </si>
  <si>
    <t>Dressage, Orientation</t>
  </si>
  <si>
    <t>Langue (langue des bêtes)</t>
  </si>
  <si>
    <t>Langue (bretonnien)</t>
  </si>
  <si>
    <t>Affinité Provinciale (Sylvanie)</t>
  </si>
  <si>
    <t>Affinité Provinciale (Solland)</t>
  </si>
  <si>
    <t>Le livre des Lamentations</t>
  </si>
  <si>
    <t>-50% CT à tout ennemi qui tente de toucher un régiment qui en est équipé</t>
  </si>
  <si>
    <t>Sistrum blanc</t>
  </si>
  <si>
    <t>Royaumes Ogres</t>
  </si>
  <si>
    <t>Gemme noire de Lazarus Mourn</t>
  </si>
  <si>
    <t>Peut octroyer le talent Sombre Savoir (nécromancie) + Folie</t>
  </si>
  <si>
    <t>Armure de Morkar</t>
  </si>
  <si>
    <t>Voir Tome de la Corruption pp.195-203 + S'anime d'elle-même</t>
  </si>
  <si>
    <t>Couronne de Domination</t>
  </si>
  <si>
    <t>Immunise alliés Peur et Terreur. Les provoque à tt autre rayon de 8m (4 cases)</t>
  </si>
  <si>
    <t>Oriflamme du Fort du Sang</t>
  </si>
  <si>
    <t>Œil de Sheerian</t>
  </si>
  <si>
    <t>+1d10/2 PF mais donne +50% en Esquive</t>
  </si>
  <si>
    <t>Tueuse de rois</t>
  </si>
  <si>
    <t>Marteau des Temps Anciens</t>
  </si>
  <si>
    <r>
      <t>Arrach’tripes</t>
    </r>
    <r>
      <rPr>
        <sz val="8"/>
        <color rgb="FFA49993"/>
        <rFont val="Verdana"/>
        <family val="2"/>
      </rPr>
      <t> </t>
    </r>
  </si>
  <si>
    <t>Tous les Morts-Vivants: -20% en CT contre le porteur</t>
  </si>
  <si>
    <t>Relique en or du Dieu Serpent Sotek</t>
  </si>
  <si>
    <t>Couronne de Bretonnie</t>
  </si>
  <si>
    <t>La Destructrice</t>
  </si>
  <si>
    <t>Armure de Minuit</t>
  </si>
  <si>
    <t>Bouclier Tueur de Sorts Suprême</t>
  </si>
  <si>
    <r>
      <t xml:space="preserve">Projectile infligeant la </t>
    </r>
    <r>
      <rPr>
        <i/>
        <sz val="10"/>
        <rFont val="Arial"/>
        <family val="2"/>
      </rPr>
      <t>Pourriture de Neiglish</t>
    </r>
  </si>
  <si>
    <t>Cape en peau du Dragon Fyrska</t>
  </si>
  <si>
    <t>Permanente: Quand le porteur d'une armure gravée de cette rune perd des Blessures en raison d'une attaque ou d'un effet tenant compte du bonus des points d'Armure, on relance les dégâts et on garde le résultat le plus faible. Temporaire: comme permanente mais l'avantage ne dure que 1 minute.</t>
  </si>
  <si>
    <t>Permanente: Tous les sorts lancés dans un rayon de 48 mètres (24 cases) d'un objet gravé de cette rune subissent un malus de -1d10 à leur jet d'incantation. Temporaire: comme permanente mais l'avantage ne dure que 1 minute.</t>
  </si>
  <si>
    <t>Angrulok</t>
  </si>
  <si>
    <t>Agrilaz</t>
  </si>
  <si>
    <t>Affûte-hache</t>
  </si>
  <si>
    <t>Attrape-cime</t>
  </si>
  <si>
    <t>Barbe-tempête</t>
  </si>
  <si>
    <t>Brisedoigt</t>
  </si>
  <si>
    <t>Barbefolle</t>
  </si>
  <si>
    <t>Barbe-de-feu</t>
  </si>
  <si>
    <t>Barbefendue</t>
  </si>
  <si>
    <t>Barberouge</t>
  </si>
  <si>
    <t>Barbes Noires</t>
  </si>
  <si>
    <t>Bugman</t>
  </si>
  <si>
    <t>Barbe de Fer</t>
  </si>
  <si>
    <t>Brise-Etoile</t>
  </si>
  <si>
    <t>Blanchebarbe</t>
  </si>
  <si>
    <t>Barbefoudre</t>
  </si>
  <si>
    <t>Brisefoudre</t>
  </si>
  <si>
    <t>Barbedrue</t>
  </si>
  <si>
    <t>Branedimm</t>
  </si>
  <si>
    <t>Bouclier-de-pierre</t>
  </si>
  <si>
    <t>Barbe-neige</t>
  </si>
  <si>
    <t>Brise-heaume</t>
  </si>
  <si>
    <t>Barbe-hérissé</t>
  </si>
  <si>
    <t>Barbe-marteau</t>
  </si>
  <si>
    <t>Barbe-dure</t>
  </si>
  <si>
    <t>Brise-crinière</t>
  </si>
  <si>
    <t>Brise-pierre</t>
  </si>
  <si>
    <t>Balderen</t>
  </si>
  <si>
    <t>Brûle-hache</t>
  </si>
  <si>
    <t>Barbe-froide</t>
  </si>
  <si>
    <t>Barbe-noire</t>
  </si>
  <si>
    <t>Barbe-flamboyante</t>
  </si>
  <si>
    <t>Barbe-gravier</t>
  </si>
  <si>
    <t>Barbe-d'or</t>
  </si>
  <si>
    <t>Brasse-or</t>
  </si>
  <si>
    <t>Boule-nez</t>
  </si>
  <si>
    <t>Baril-de-cuivre</t>
  </si>
  <si>
    <t>Coup de Tonnerre</t>
  </si>
  <si>
    <t>Cordetonerre</t>
  </si>
  <si>
    <t>Crin d'acier</t>
  </si>
  <si>
    <t>Cheveuxpaille</t>
  </si>
  <si>
    <t>Côte</t>
  </si>
  <si>
    <t>Fines</t>
  </si>
  <si>
    <t>Crinière-de-fer</t>
  </si>
  <si>
    <t>Crinière-d'argent</t>
  </si>
  <si>
    <t>Crachefer</t>
  </si>
  <si>
    <t>Craghelm</t>
  </si>
  <si>
    <t>Coupe-tunnel</t>
  </si>
  <si>
    <t>Casque-robuste</t>
  </si>
  <si>
    <t>Casque-aigri</t>
  </si>
  <si>
    <t>Cœur-tonnant</t>
  </si>
  <si>
    <t>Coupe-maille</t>
  </si>
  <si>
    <t>Crache-fer</t>
  </si>
  <si>
    <t>Crin-noir</t>
  </si>
  <si>
    <t>Cuivre-raide</t>
  </si>
  <si>
    <t>Chope-de-Bronze</t>
  </si>
  <si>
    <t>Cœur-de-pierre</t>
  </si>
  <si>
    <t>Defervêtu</t>
  </si>
  <si>
    <t>Donarkhun</t>
  </si>
  <si>
    <t>Drazhkarak</t>
  </si>
  <si>
    <t>Dordegruden</t>
  </si>
  <si>
    <t>Drakki</t>
  </si>
  <si>
    <t>Deux-bottes</t>
  </si>
  <si>
    <t>Drakkaz</t>
  </si>
  <si>
    <t>Drong</t>
  </si>
  <si>
    <t>Silver</t>
  </si>
  <si>
    <t>Dos-Dragon</t>
  </si>
  <si>
    <t>Dos cassé</t>
  </si>
  <si>
    <t>Dur-poing</t>
  </si>
  <si>
    <t>Dresse-brandon</t>
  </si>
  <si>
    <t>Doigt-de-silex</t>
  </si>
  <si>
    <t>Elgram</t>
  </si>
  <si>
    <t>Frontaustère</t>
  </si>
  <si>
    <t>Forte-Barbe</t>
  </si>
  <si>
    <t>Fièrebarbe</t>
  </si>
  <si>
    <t>Frappe-rune</t>
  </si>
  <si>
    <t>Forgefeu</t>
  </si>
  <si>
    <t>Frappes-Marteaux</t>
  </si>
  <si>
    <t>Front Noir</t>
  </si>
  <si>
    <t>Front-doré</t>
  </si>
  <si>
    <t>Forge-doré</t>
  </si>
  <si>
    <t>Fléau-rouge</t>
  </si>
  <si>
    <t>Frappe-marteau</t>
  </si>
  <si>
    <t>Fier-roc</t>
  </si>
  <si>
    <t>Front-de-cuivre</t>
  </si>
  <si>
    <t>Fausset-de-fer</t>
  </si>
  <si>
    <t>Frappe-de-fer</t>
  </si>
  <si>
    <t>Grintzagaz</t>
  </si>
  <si>
    <t>Grimbul</t>
  </si>
  <si>
    <t>Grodrik</t>
  </si>
  <si>
    <t>Grisemine</t>
  </si>
  <si>
    <t>Gros  Bide</t>
  </si>
  <si>
    <t>Gromdalgard</t>
  </si>
  <si>
    <t>Gandrin</t>
  </si>
  <si>
    <t>Gobidrengha</t>
  </si>
  <si>
    <t>Grakniz</t>
  </si>
  <si>
    <t>Glaive de Feu</t>
  </si>
  <si>
    <t>Grosse-pierre</t>
  </si>
  <si>
    <t>Grindal</t>
  </si>
  <si>
    <t>Garaz</t>
  </si>
  <si>
    <t>Gris-lac</t>
  </si>
  <si>
    <t>Geirgnash</t>
  </si>
  <si>
    <t>Gronde-marteau</t>
  </si>
  <si>
    <t>Gros-marteau</t>
  </si>
  <si>
    <t>Heaume</t>
  </si>
  <si>
    <t>D'argent</t>
  </si>
  <si>
    <t>Holheart</t>
  </si>
  <si>
    <t>Hache Brillante</t>
  </si>
  <si>
    <t>Hache Claire</t>
  </si>
  <si>
    <t>Heldour</t>
  </si>
  <si>
    <t>Hache-rouge</t>
  </si>
  <si>
    <t>Hache-rapide</t>
  </si>
  <si>
    <t>Hache-de-pierre</t>
  </si>
  <si>
    <t>Hlavengr</t>
  </si>
  <si>
    <t>Heaume-de-fer</t>
  </si>
  <si>
    <t>Hallmundr</t>
  </si>
  <si>
    <t>Hazkal</t>
  </si>
  <si>
    <t>Izorgrund</t>
  </si>
  <si>
    <t>Jormgard</t>
  </si>
  <si>
    <t>Karangaz</t>
  </si>
  <si>
    <t>Kamerad</t>
  </si>
  <si>
    <t>Kandroom</t>
  </si>
  <si>
    <t>Klinkagrul</t>
  </si>
  <si>
    <t>Kanstone</t>
  </si>
  <si>
    <t>Kazador</t>
  </si>
  <si>
    <t>Le Brusque</t>
  </si>
  <si>
    <t>La Meacérée</t>
  </si>
  <si>
    <t>Le Rancunier</t>
  </si>
  <si>
    <t>Le Fou</t>
  </si>
  <si>
    <t>Le Borgne</t>
  </si>
  <si>
    <t>Large-Front</t>
  </si>
  <si>
    <t>Le Dément</t>
  </si>
  <si>
    <t>La Barrique</t>
  </si>
  <si>
    <t>Le Roc</t>
  </si>
  <si>
    <t>Le Furtif</t>
  </si>
  <si>
    <t>Le Robuste</t>
  </si>
  <si>
    <t>Le Taureau</t>
  </si>
  <si>
    <t>La Sage</t>
  </si>
  <si>
    <t>La Manivelle</t>
  </si>
  <si>
    <t>Lance-hostile</t>
  </si>
  <si>
    <t>Libre-pierre</t>
  </si>
  <si>
    <t>Main de Granit</t>
  </si>
  <si>
    <t>Marteau de Pierre</t>
  </si>
  <si>
    <t>Marteau de Fer</t>
  </si>
  <si>
    <t>Maindefer</t>
  </si>
  <si>
    <t>Marteau Noir</t>
  </si>
  <si>
    <t>Manche de hache</t>
  </si>
  <si>
    <t>Mâchefer</t>
  </si>
  <si>
    <t>Main de Feu</t>
  </si>
  <si>
    <t>Main-ferme</t>
  </si>
  <si>
    <t>Makhzad</t>
  </si>
  <si>
    <t>Marteau-chope</t>
  </si>
  <si>
    <t>Main-tranchant</t>
  </si>
  <si>
    <t>Marteau-rouge</t>
  </si>
  <si>
    <t>Mâchepierre</t>
  </si>
  <si>
    <t>Marteau-sur-enclume</t>
  </si>
  <si>
    <t>Marteau-de-forge</t>
  </si>
  <si>
    <t>Marteau-de-givre</t>
  </si>
  <si>
    <t>Marteau-roche</t>
  </si>
  <si>
    <t>Main-de-forge</t>
  </si>
  <si>
    <t>Nosebiter</t>
  </si>
  <si>
    <t>Navaerong</t>
  </si>
  <si>
    <t>Ottardin</t>
  </si>
  <si>
    <t>Orteil-en-fer</t>
  </si>
  <si>
    <t>Orteil-d'acier</t>
  </si>
  <si>
    <t>Poingmarteau</t>
  </si>
  <si>
    <t>Picdefer</t>
  </si>
  <si>
    <t>Poing de Fer</t>
  </si>
  <si>
    <t>Porteur de Hache</t>
  </si>
  <si>
    <t>Peau de Pierre</t>
  </si>
  <si>
    <t>Pas de Chance</t>
  </si>
  <si>
    <t>Patte Folle</t>
  </si>
  <si>
    <t>Pioche-Noir</t>
  </si>
  <si>
    <t>Pousse-marteau</t>
  </si>
  <si>
    <t>Poing de pierre</t>
  </si>
  <si>
    <t>Poing-martel</t>
  </si>
  <si>
    <t>Porte-pierre</t>
  </si>
  <si>
    <t>Pic-dorée</t>
  </si>
  <si>
    <t>Poing d'or</t>
  </si>
  <si>
    <t>Perdore</t>
  </si>
  <si>
    <t>Pierre-cuivrée</t>
  </si>
  <si>
    <t>Poing-de-bronze</t>
  </si>
  <si>
    <t>Rictus-dément</t>
  </si>
  <si>
    <t>Raspiron</t>
  </si>
  <si>
    <t>Sourcil-de-pierre</t>
  </si>
  <si>
    <t>Sourcil-de-laiton</t>
  </si>
  <si>
    <t>Sauve-serment</t>
  </si>
  <si>
    <t>Sourcil-fumant</t>
  </si>
  <si>
    <t>Sourcil-d'argent</t>
  </si>
  <si>
    <t>Serment du rocher</t>
  </si>
  <si>
    <t>Solerment</t>
  </si>
  <si>
    <t>Tueur de Dragon</t>
  </si>
  <si>
    <t>Tête en fer</t>
  </si>
  <si>
    <t>Tape-la-tête</t>
  </si>
  <si>
    <t>Tonnefer</t>
  </si>
  <si>
    <t>Taille-pierre</t>
  </si>
  <si>
    <t>Tueur-de-vert</t>
  </si>
  <si>
    <t>Trouveur-d'or</t>
  </si>
  <si>
    <t>Tir-funeste</t>
  </si>
  <si>
    <t>Tripe-bière</t>
  </si>
  <si>
    <t>Table-pierre</t>
  </si>
  <si>
    <t>Tranche-profond</t>
  </si>
  <si>
    <t>Tonneau-de-rancunes</t>
  </si>
  <si>
    <t>Tranchegrob</t>
  </si>
  <si>
    <t>Unndadram</t>
  </si>
  <si>
    <t>Uthatok</t>
  </si>
  <si>
    <t>Urjyr</t>
  </si>
  <si>
    <t>Varrvarag</t>
  </si>
  <si>
    <t>Valasniz</t>
  </si>
  <si>
    <t>Vieux-crin</t>
  </si>
  <si>
    <t>Yadrisnev</t>
  </si>
  <si>
    <t>Zhargorog</t>
  </si>
  <si>
    <t>Ziflinskaud</t>
  </si>
  <si>
    <t>Zhargrun</t>
  </si>
  <si>
    <t>clans skaven</t>
  </si>
  <si>
    <t>nom famille elfe</t>
  </si>
  <si>
    <t>nom famille empire</t>
  </si>
  <si>
    <t>nom famille halfling</t>
  </si>
  <si>
    <t>nom famille nain</t>
  </si>
  <si>
    <t>Eshin</t>
  </si>
  <si>
    <t>Pestilens</t>
  </si>
  <si>
    <t>Skryre</t>
  </si>
  <si>
    <t>Ektrik</t>
  </si>
  <si>
    <t>Esk</t>
  </si>
  <si>
    <t>Faisandé</t>
  </si>
  <si>
    <t>Feesik</t>
  </si>
  <si>
    <t>Ferrik</t>
  </si>
  <si>
    <t>Flem</t>
  </si>
  <si>
    <t>Gangrène</t>
  </si>
  <si>
    <t>Grikk</t>
  </si>
  <si>
    <t>Gritus</t>
  </si>
  <si>
    <t>Grutnik</t>
  </si>
  <si>
    <t>Kador</t>
  </si>
  <si>
    <t>Kreepus</t>
  </si>
  <si>
    <t>Krizzor</t>
  </si>
  <si>
    <t>Malecorne</t>
  </si>
  <si>
    <t>Mawrl</t>
  </si>
  <si>
    <t>Morbidus</t>
  </si>
  <si>
    <t>Mordkin</t>
  </si>
  <si>
    <t>Mors</t>
  </si>
  <si>
    <t>Rictus</t>
  </si>
  <si>
    <t>Scorbut</t>
  </si>
  <si>
    <t>Scruten</t>
  </si>
  <si>
    <t>Septik</t>
  </si>
  <si>
    <t>Skaar</t>
  </si>
  <si>
    <t>Skab</t>
  </si>
  <si>
    <t>Skaul</t>
  </si>
  <si>
    <t>Skitteritch</t>
  </si>
  <si>
    <t>Skrapp</t>
  </si>
  <si>
    <t>Sleekit</t>
  </si>
  <si>
    <t>Spittel</t>
  </si>
  <si>
    <t>Treecherik</t>
  </si>
  <si>
    <t>Troglodik</t>
  </si>
  <si>
    <t>Verms</t>
  </si>
  <si>
    <t>Volkn</t>
  </si>
  <si>
    <t>Vrrtkin</t>
  </si>
  <si>
    <t>Empêche quiconque la porte de se métamorphoser (loup-garou,…)</t>
  </si>
  <si>
    <t>Baguette de Jade</t>
  </si>
  <si>
    <t>Augmente la portée des sorts à distance du porteur de 2d6m (2d3 cases)</t>
  </si>
  <si>
    <t>Baguette de poussière</t>
  </si>
  <si>
    <r>
      <t xml:space="preserve">Permet de lancer </t>
    </r>
    <r>
      <rPr>
        <i/>
        <sz val="10"/>
        <rFont val="Arial"/>
        <family val="2"/>
      </rPr>
      <t xml:space="preserve">Destruction de mort-vivant </t>
    </r>
    <r>
      <rPr>
        <sz val="10"/>
        <rFont val="Arial"/>
        <family val="2"/>
      </rPr>
      <t xml:space="preserve">et </t>
    </r>
    <r>
      <rPr>
        <i/>
        <sz val="10"/>
        <rFont val="Arial"/>
        <family val="2"/>
      </rPr>
      <t>Dissipation</t>
    </r>
  </si>
  <si>
    <t>Manteau d'Esmeralda</t>
  </si>
  <si>
    <t>vous invoquez Dazh afin qu'il vous bénisse tout le temps que vous passez chez autrui. Si votre hôte abuse de sa position ou vous traite mal, Dazh le maudit alors. La malédiction, fixée par le MJ, pourra prendre la forme suivante : les feux refusent de s'allumer, les feux ne dégagent aucune chaleur, ou le combustible brûle quatre fois plus vite que d'habitude. La malédiction dure jusqu'à ce que votre hôte vous présente ses excuses ou demande pardon dans un temple de Dazh.</t>
  </si>
  <si>
    <r>
      <t xml:space="preserve">Sorts de </t>
    </r>
    <r>
      <rPr>
        <i/>
        <sz val="10"/>
        <rFont val="Arial"/>
        <family val="2"/>
      </rPr>
      <t>Pare-pluie</t>
    </r>
    <r>
      <rPr>
        <sz val="10"/>
        <rFont val="Arial"/>
        <family val="2"/>
      </rPr>
      <t xml:space="preserve"> et </t>
    </r>
    <r>
      <rPr>
        <i/>
        <sz val="10"/>
        <rFont val="Arial"/>
        <family val="2"/>
      </rPr>
      <t>Bénédiction du Feu</t>
    </r>
    <r>
      <rPr>
        <sz val="10"/>
        <rFont val="Arial"/>
        <family val="2"/>
      </rPr>
      <t xml:space="preserve"> permanents</t>
    </r>
  </si>
  <si>
    <t>La Cheminée</t>
  </si>
  <si>
    <t>Tour bouteille de Grimnyth le Grand</t>
  </si>
  <si>
    <t>Traité ethnographique et culturel</t>
  </si>
  <si>
    <t>Fourreau de Barrakûl</t>
  </si>
  <si>
    <t>Sur ordre: Pipe qui ne se désemplit jamais de tabac et ne peut pas s'éteindre</t>
  </si>
  <si>
    <t>Gants de Toue Eleth</t>
  </si>
  <si>
    <t>ENC</t>
  </si>
  <si>
    <t>Tapis</t>
  </si>
  <si>
    <t>Épopée de Marco Colombo</t>
  </si>
  <si>
    <t>Histoire/Sciences</t>
  </si>
  <si>
    <t>SablesP 290/Web</t>
  </si>
  <si>
    <t>Paque sacrée en or des anciens</t>
  </si>
  <si>
    <t>Gritak</t>
  </si>
  <si>
    <t>Rikkett</t>
  </si>
  <si>
    <t>DoD 11</t>
  </si>
  <si>
    <t>Harpe de Rhymer</t>
  </si>
  <si>
    <t>Permet d'attirer et de calmer les esprits</t>
  </si>
  <si>
    <t>Dod 28</t>
  </si>
  <si>
    <t>Fléau d'Asyendil</t>
  </si>
  <si>
    <t>Arc elfique Précise, Percutante, si cible manquée, le porteur subit 1 Blessure</t>
  </si>
  <si>
    <t>DotF 29</t>
  </si>
  <si>
    <t>Pierre de la mare cristal</t>
  </si>
  <si>
    <t>En cas de Blessure: Test de FM. Guérit 1 Blessure par degré de réussite</t>
  </si>
  <si>
    <t>DoD 29</t>
  </si>
  <si>
    <t>Defender of the Forest</t>
  </si>
  <si>
    <t>Wardancer</t>
  </si>
  <si>
    <t xml:space="preserve">Combat de Rue, Combat virevoltant, Coups précis OU Réflexes éclairs, Désarmement OU Coups puissants, Inspiration Divine (Domaine de Loec), Maîtrise (Armes à 2 Mains), </t>
  </si>
  <si>
    <t>Maquillage, une arme au choix, tatouages et peintures de guerre</t>
  </si>
  <si>
    <t>Bladesinger</t>
  </si>
  <si>
    <t>Danseur de guerre</t>
  </si>
  <si>
    <t>Assassin, Champion, Chasseur de Vampires, Chef de bande</t>
  </si>
  <si>
    <t>Agent du Suaire, Chantelame, Chasseur de primes, Chevalier, Fossoyeur, Garde noir, Pilleur de tombes, Pisteur, Rôdeur fantôme, Sentinelle halfling</t>
  </si>
  <si>
    <t>Esquive, Expression artistique (danseur), Expression artistique (une au choix), Intimidation, Perception</t>
  </si>
  <si>
    <t>Commandement, Escamotage, Esquive, Expression artistique (danseur), Expression artistique (une au choix), Intimidation, Perception, Résistance à l'alcool,</t>
  </si>
  <si>
    <t>Expression artistique (acrobate OU danseur)</t>
  </si>
  <si>
    <t>Tabatier</t>
  </si>
  <si>
    <t>Laboureur/ Bordier</t>
  </si>
  <si>
    <t>Chaumier</t>
  </si>
  <si>
    <t>Dinandier/Bronzeur</t>
  </si>
  <si>
    <t>Lapidaire</t>
  </si>
  <si>
    <t>Pipier</t>
  </si>
  <si>
    <t>Marchand de tourtes/Friturier</t>
  </si>
  <si>
    <t>Marchand de tissu/Mercier</t>
  </si>
  <si>
    <t>Glacier/Tailleur de glace</t>
  </si>
  <si>
    <t>Poudrier/Salpêtrier</t>
  </si>
  <si>
    <t>Panacher/Plumacier</t>
  </si>
  <si>
    <t>Notaire/Huissier/Appariteur</t>
  </si>
  <si>
    <t>Viticulteur/Vigneron</t>
  </si>
  <si>
    <t>Tisserand/Mulquinier</t>
  </si>
  <si>
    <t>Mineur/Tailleur de pierres</t>
  </si>
  <si>
    <t>Meunier/Torréfacteur</t>
  </si>
  <si>
    <t>Ferblantier/Brutiste</t>
  </si>
  <si>
    <t>Fabricant de bougies/Cirier</t>
  </si>
  <si>
    <t>Chapelier/Modiste</t>
  </si>
  <si>
    <t>Cardeur/Houppier</t>
  </si>
  <si>
    <t>Brasseur/Cervoisier</t>
  </si>
  <si>
    <t>Bourrelier/Celier/Gorelier</t>
  </si>
  <si>
    <t>Blanchisseur/Lavendier</t>
  </si>
  <si>
    <t>Balayeur/Décrotteur</t>
  </si>
  <si>
    <t>Ferreur/Marqueur/Plombeur</t>
  </si>
  <si>
    <t>Orpailleur</t>
  </si>
  <si>
    <t>Tanneur/Corroyeur</t>
  </si>
  <si>
    <t>Tripotier</t>
  </si>
  <si>
    <t>Perruquier/Tresseur</t>
  </si>
  <si>
    <t>Maraîcher/Primeur/Verdurier</t>
  </si>
  <si>
    <t>Cirquassien/Balliste</t>
  </si>
  <si>
    <t>Tonnelier/Barillier/Cerclier</t>
  </si>
  <si>
    <t>Hongreur/Chatraire</t>
  </si>
  <si>
    <t>Boucher/Tripier</t>
  </si>
  <si>
    <t>Cafetier/Buvetier</t>
  </si>
  <si>
    <t>Sclupteur/Bustier</t>
  </si>
  <si>
    <t>Sabotier/Galocher</t>
  </si>
  <si>
    <t>Clocheteur/Campagnier</t>
  </si>
  <si>
    <t>Chasublier/Frangeur</t>
  </si>
  <si>
    <t>Ramoneur/Fumiste</t>
  </si>
  <si>
    <t>Charpentier/Menuisier/Ebeniste</t>
  </si>
  <si>
    <t>Vannier/Mandrier</t>
  </si>
  <si>
    <t>Mosaïste</t>
  </si>
  <si>
    <t>Camelot/Pacquetier</t>
  </si>
  <si>
    <t>Plâtrier/Plafonneur</t>
  </si>
  <si>
    <t>Quincaillier</t>
  </si>
  <si>
    <t>Orphèvre/Horloger</t>
  </si>
  <si>
    <t>Aiguiseur/Rémouleur</t>
  </si>
  <si>
    <t>Rempailleur/Chaisier</t>
  </si>
  <si>
    <t>Saunier/Bosselier</t>
  </si>
  <si>
    <t>Gemmeur/Résignier</t>
  </si>
  <si>
    <t>Fondeur/Rétameur</t>
  </si>
  <si>
    <t>Apiculteur/Ruchier</t>
  </si>
  <si>
    <t>Gardien de phare/Sémaphoriste</t>
  </si>
  <si>
    <t>Miniaturiste/Santonnier</t>
  </si>
  <si>
    <t>Outilleur/Taillandier</t>
  </si>
  <si>
    <t>Boulanger/Tamelier</t>
  </si>
  <si>
    <t>Tavernier/Cabaretier</t>
  </si>
  <si>
    <t>Cartier/Tarotier</t>
  </si>
  <si>
    <t>Bourselier/Tassetier</t>
  </si>
  <si>
    <t>Ratier/Taupier</t>
  </si>
  <si>
    <t>Eboueur/Tombelier</t>
  </si>
  <si>
    <t>Potier/Tourneur</t>
  </si>
  <si>
    <t>Nacrier/Ivoirier</t>
  </si>
  <si>
    <t>Connaissances générales (Principautés Frontalières)</t>
  </si>
  <si>
    <t>Maitrise (Arbalètes), Tireur d'Elite</t>
  </si>
  <si>
    <t>Déplacement Silencieux, Dissimulation, Escamotage</t>
  </si>
  <si>
    <t>Camouflage urbain, Combat de Rue</t>
  </si>
  <si>
    <t>Manuscrits perdus de Léonardo di Miragliano</t>
  </si>
  <si>
    <t>Acuité visuelle, Maitrise (Arbalètes), Sens de l'orientation</t>
  </si>
  <si>
    <t>Connaissances générales (Tilée), Métier (Convoyeur)</t>
  </si>
  <si>
    <t>Acuité visuelle, Maitrise (Arbalètes)</t>
  </si>
  <si>
    <t>Nains du Chaos</t>
  </si>
  <si>
    <t>Hommes-lézards</t>
  </si>
  <si>
    <t>Connaissances générales (Empire)</t>
  </si>
  <si>
    <t>Mann</t>
  </si>
  <si>
    <t>Willi</t>
  </si>
  <si>
    <t>Ignatius</t>
  </si>
  <si>
    <t>Affinité Provinciale (une au choix)</t>
  </si>
  <si>
    <t>Alphabet secret (Pisteur), Connaissances académiques (droit)</t>
  </si>
  <si>
    <t>Chandelier on or</t>
  </si>
  <si>
    <t>DoF 27</t>
  </si>
  <si>
    <t>CdG 121</t>
  </si>
  <si>
    <t>Truffe (50g)</t>
  </si>
  <si>
    <t>CdG 12-13</t>
  </si>
  <si>
    <t>CdG 11</t>
  </si>
  <si>
    <t>Cognac (bouteille de la Couronne de Parravon)</t>
  </si>
  <si>
    <t>Tapisserie</t>
  </si>
  <si>
    <t>Gabare (18 m de long)</t>
  </si>
  <si>
    <t>Compagnon 26</t>
  </si>
  <si>
    <t>Reikaak (bateau du Reik)</t>
  </si>
  <si>
    <t>Reikworms</t>
  </si>
  <si>
    <t>LC 28</t>
  </si>
  <si>
    <t>LC 41</t>
  </si>
  <si>
    <t>Arsenal 40</t>
  </si>
  <si>
    <t>Arsenal 42</t>
  </si>
  <si>
    <t>Urne de Klovis Wurznelle</t>
  </si>
  <si>
    <t>LC 98</t>
  </si>
  <si>
    <t>Racine de mandragore/Mandragorite</t>
  </si>
  <si>
    <t>Solerets de plates</t>
  </si>
  <si>
    <t>Le sang de mille morts incorporé, ramène les cendres contenues à la Non-Vie</t>
  </si>
  <si>
    <t>Pistage, Sens de la Magie</t>
  </si>
  <si>
    <t>Camouflage rural OU Camouflage urbain, Déguisement OU Déplacement Silencieux, Eloquence</t>
  </si>
  <si>
    <t>D. de Khaine</t>
  </si>
  <si>
    <t>Main de Khaine</t>
  </si>
  <si>
    <t>Si Test de FM d'un adversaire/combat raté : Diminue de 1 sa Valeur d'Attaque jusqu'à la fin du combat</t>
  </si>
  <si>
    <t>Si Test de FM d'un adversaire/combat raté : Diminue de 10% sa Valeur de CC jusqu'à la fin du combat</t>
  </si>
  <si>
    <t>Danse du Destin</t>
  </si>
  <si>
    <t>+10% en Esquive</t>
  </si>
  <si>
    <t>Marque de Khaine</t>
  </si>
  <si>
    <t>+1 Attaque. Doit réussir un test de FM sous peine de devoir poursuivre chaque adversaire</t>
  </si>
  <si>
    <t>Si inflige 1 blessure, test de FM ennemi ou perd toutes ses Atk pour le round</t>
  </si>
  <si>
    <t>Armure de servitude à Khaine</t>
  </si>
  <si>
    <t>Mark de fer noir (Hasnut)</t>
  </si>
  <si>
    <t>Sceau de Ghrond</t>
  </si>
  <si>
    <t>Livre de Furion de Clar Karond</t>
  </si>
  <si>
    <r>
      <t xml:space="preserve">Livre en peau d'orc; confère le Talent </t>
    </r>
    <r>
      <rPr>
        <i/>
        <sz val="10"/>
        <rFont val="Arial"/>
        <family val="2"/>
      </rPr>
      <t xml:space="preserve">Magie Noire </t>
    </r>
    <r>
      <rPr>
        <sz val="10"/>
        <rFont val="Arial"/>
        <family val="2"/>
      </rPr>
      <t>au porteur</t>
    </r>
  </si>
  <si>
    <t>Fureur Noire, Frénésie</t>
  </si>
  <si>
    <t>Dissimulation, Intimidation</t>
  </si>
  <si>
    <t>Connaissances académiques (Histoire), Connaissances académiques (Géographie), Métier (Cartographe)</t>
  </si>
  <si>
    <t>Calligraphe/Enlumineur</t>
  </si>
  <si>
    <t>Langue (une au choix), Métier (Calligraphe/Enlumineur)</t>
  </si>
  <si>
    <t>Connaissances académiques (Droit), Eloquence, Lire/écrire, Langage secret (langage de guilde), Métier (Homme de loi)</t>
  </si>
  <si>
    <t>Connaissances académiques (Droit), Métier (Homme de loi)</t>
  </si>
  <si>
    <t>Roulotte</t>
  </si>
  <si>
    <t>LHS 93</t>
  </si>
  <si>
    <t>Connaissances générales (Skavens), Dissimulation</t>
  </si>
  <si>
    <t>Discrétion, Pistage</t>
  </si>
  <si>
    <t>Peste pourpre</t>
  </si>
  <si>
    <t>Désolations du Chaos</t>
  </si>
  <si>
    <t>Connaissances générales (Hommes-bêtes)</t>
  </si>
  <si>
    <t>Discrétion</t>
  </si>
  <si>
    <t>DotF 28</t>
  </si>
  <si>
    <t>Connaissances académiques (histoire), Connaissances générales (Arabie)</t>
  </si>
  <si>
    <t>Science de la magie (Domaine des Ombres)</t>
  </si>
  <si>
    <t>Vin Rouge (Réserve Spéciale de Gasconnie)</t>
  </si>
  <si>
    <t>Vin Blanc (Grenzstadler)</t>
  </si>
  <si>
    <t>Vin Blanc (Loningbruck, Cuvée Rubis)</t>
  </si>
  <si>
    <t>Vin Rouge (Bilbali)</t>
  </si>
  <si>
    <t>Vin Rouge (Gewürztraminek)</t>
  </si>
  <si>
    <t>Vin Rouge (Du patron en pichet 1/2l)</t>
  </si>
  <si>
    <t>Vin Blanc (Du patron en pichet 1/2l)</t>
  </si>
  <si>
    <t>Vin Blanc (Vin jaune d'Aulenbacher)</t>
  </si>
  <si>
    <t>LRdS 234</t>
  </si>
  <si>
    <t>LRdS 235</t>
  </si>
  <si>
    <t>Vin Rouge (Annaliese)</t>
  </si>
  <si>
    <t>Vin Rouge (Cuvée Manann)</t>
  </si>
  <si>
    <t>Vin Blanc-Rosé (Whistler, Cuvée Prestige)</t>
  </si>
  <si>
    <t>Sombre Savoir</t>
  </si>
  <si>
    <t>LRdS 198</t>
  </si>
  <si>
    <t>LRdS 199</t>
  </si>
  <si>
    <t>Potion de perception exacerbée</t>
  </si>
  <si>
    <t>LRdS 200</t>
  </si>
  <si>
    <t>Domaine de la Dame du Lac</t>
  </si>
  <si>
    <t>Médaille de la Dame du lac</t>
  </si>
  <si>
    <t>Inspiration Divine (Domaine de la Dame du lac)</t>
  </si>
  <si>
    <t>Force accrue, Magie Mineure (trois au choix)</t>
  </si>
  <si>
    <t>Chance, Magie commune (occulte), Orateur Né, Sixième Sens</t>
  </si>
  <si>
    <t>Magnus 4 67</t>
  </si>
  <si>
    <t>Anneau de Trolitude</t>
  </si>
  <si>
    <t>Compétences : Déplacement silencieux, Dissimulation, Natation, Perception, Pistage. Traits : Armes naturelles, Sens aiguisés, Troublant, Vision nocturne Mutation: Garou</t>
  </si>
  <si>
    <t>Dragons et draconides</t>
  </si>
  <si>
    <t/>
  </si>
  <si>
    <t>Sables Périlleux/Lustria</t>
  </si>
  <si>
    <t>Tigre à dents de Sabre</t>
  </si>
  <si>
    <t>Lustria</t>
  </si>
  <si>
    <t>Escalade (F+10%), Natation (F+10%), Perception (Int+10%), Pistage (Int+10%)</t>
  </si>
  <si>
    <t>Peau de tigre à dents de sabre</t>
  </si>
  <si>
    <t>Magie haute</t>
  </si>
  <si>
    <t>permet de lancer des sorts de haute magie</t>
  </si>
  <si>
    <t>Vraie magie</t>
  </si>
  <si>
    <t>Malédiction de Tzeentch: Retirez un dé d'incantation (min 1.)</t>
  </si>
  <si>
    <t>Homme-lézard</t>
  </si>
  <si>
    <t>65+2d10</t>
  </si>
  <si>
    <t>accès monstre</t>
  </si>
  <si>
    <t>débouchés monstre</t>
  </si>
  <si>
    <t>rouge</t>
  </si>
  <si>
    <t>Aqshy</t>
  </si>
  <si>
    <t>couleur</t>
  </si>
  <si>
    <t>collège</t>
  </si>
  <si>
    <t>nom du vent</t>
  </si>
  <si>
    <t>blanc</t>
  </si>
  <si>
    <t>Hysh</t>
  </si>
  <si>
    <t>jaune</t>
  </si>
  <si>
    <t>Chamon</t>
  </si>
  <si>
    <t>Ghyran</t>
  </si>
  <si>
    <t>pierre</t>
  </si>
  <si>
    <t>jade</t>
  </si>
  <si>
    <t>bleu ciel</t>
  </si>
  <si>
    <t>Azyr</t>
  </si>
  <si>
    <t>Ulgu</t>
  </si>
  <si>
    <t>violet</t>
  </si>
  <si>
    <t>Shyish</t>
  </si>
  <si>
    <t>améthyste</t>
  </si>
  <si>
    <t>ambre</t>
  </si>
  <si>
    <t>Ghur</t>
  </si>
  <si>
    <t>Collège de Jade</t>
  </si>
  <si>
    <t>Ordre Gris</t>
  </si>
  <si>
    <t>Ordre Doré</t>
  </si>
  <si>
    <t>Forêts elfiques</t>
  </si>
  <si>
    <t>Ordre Lumineux</t>
  </si>
  <si>
    <t>Ordre d'Améthyste</t>
  </si>
  <si>
    <t>Ordre Flamboyant</t>
  </si>
  <si>
    <t>Chi</t>
  </si>
  <si>
    <t>rose</t>
  </si>
  <si>
    <t>brun foncé</t>
  </si>
  <si>
    <t>bleu foncé</t>
  </si>
  <si>
    <t>praticien</t>
  </si>
  <si>
    <t>Athel Loren</t>
  </si>
  <si>
    <t>Mage elfe</t>
  </si>
  <si>
    <t>Dhar</t>
  </si>
  <si>
    <t>noir</t>
  </si>
  <si>
    <t>malepierre</t>
  </si>
  <si>
    <t>Confrérie d'Ambre</t>
  </si>
  <si>
    <t>Haute Magie</t>
  </si>
  <si>
    <t>toutes</t>
  </si>
  <si>
    <t>Quaysh</t>
  </si>
  <si>
    <t>pierre de pouvoir</t>
  </si>
  <si>
    <t>Ambrespectre</t>
  </si>
  <si>
    <t>Lumiante</t>
  </si>
  <si>
    <t>Saphir véritable</t>
  </si>
  <si>
    <t>saphir</t>
  </si>
  <si>
    <t>Mortegemme</t>
  </si>
  <si>
    <t>Vitaellum</t>
  </si>
  <si>
    <t>Cristal de Brume</t>
  </si>
  <si>
    <t>Pierre d'or</t>
  </si>
  <si>
    <t>or</t>
  </si>
  <si>
    <t>Rubis igné</t>
  </si>
  <si>
    <t>rubis</t>
  </si>
  <si>
    <t>cristal de roche</t>
  </si>
  <si>
    <t>argenté</t>
  </si>
  <si>
    <t>vert-brun</t>
  </si>
  <si>
    <t>gris foncé</t>
  </si>
  <si>
    <t>gris clair</t>
  </si>
  <si>
    <t>diamant</t>
  </si>
  <si>
    <t xml:space="preserve">Tour du Givre d’Erengrad </t>
  </si>
  <si>
    <t>Veuve Vénérable</t>
  </si>
  <si>
    <t>Glace éternelle</t>
  </si>
  <si>
    <t xml:space="preserve">Maison des Vedma d’Erengrad </t>
  </si>
  <si>
    <t>Orbe de sorcellerie</t>
  </si>
  <si>
    <t>Ogham</t>
  </si>
  <si>
    <t>Magie commune (des taillis)</t>
  </si>
  <si>
    <t xml:space="preserve">Sang-froid ou Mains agiles, Magie commune (des taillis) ou Camouflage Rural </t>
  </si>
  <si>
    <t>des taillis</t>
  </si>
  <si>
    <t>Apothicaire, Sorcier des taillis, Apprenti sorcier, Charlatan, Envoûteur, Hors-la-loi, Initié, Oracle, Vagabond, Vitki</t>
  </si>
  <si>
    <t>Sorcier des taillis</t>
  </si>
  <si>
    <t>Prêtre de Dazh</t>
  </si>
  <si>
    <t>Prêtre de Solkan</t>
  </si>
  <si>
    <t>Prêtre de Grunndred</t>
  </si>
  <si>
    <t>Prêtre de Händrich</t>
  </si>
  <si>
    <t>Prophétesse du Graal</t>
  </si>
  <si>
    <t>Prêtre de l'Unique</t>
  </si>
  <si>
    <t>Prêtre de Manann</t>
  </si>
  <si>
    <t>Prêtre de Morr</t>
  </si>
  <si>
    <t>Prêtre de Myrmidia</t>
  </si>
  <si>
    <t>Prêtre de Ranald</t>
  </si>
  <si>
    <t>Prêtre de Shallya</t>
  </si>
  <si>
    <t>Prêtre de Sigmar</t>
  </si>
  <si>
    <t>Prêtre de Stormfels</t>
  </si>
  <si>
    <t>Prêtre de Taal ou Prêtre de Rhya</t>
  </si>
  <si>
    <t>Prêtre de Tor</t>
  </si>
  <si>
    <t>Prêtre de Verena</t>
  </si>
  <si>
    <t>Vedma ou Mystique</t>
  </si>
  <si>
    <t>Prêtre d'Illuminas</t>
  </si>
  <si>
    <t>Prêtre d'Ulric</t>
  </si>
  <si>
    <t>Initié de l'Unique</t>
  </si>
  <si>
    <t>Initié de Manann</t>
  </si>
  <si>
    <t>Initié de Morr</t>
  </si>
  <si>
    <t>Initié de Myrmidia</t>
  </si>
  <si>
    <t>Initié de Ranald</t>
  </si>
  <si>
    <t>Initié de Shallya</t>
  </si>
  <si>
    <t>Initié de Sigmar</t>
  </si>
  <si>
    <t>Initié de Solkan</t>
  </si>
  <si>
    <t>Magie commune de Taal et Rhya</t>
  </si>
  <si>
    <t>Initié de Taal ou Initié de Rhya</t>
  </si>
  <si>
    <t>Initié de Tor</t>
  </si>
  <si>
    <t>Initié de Verena</t>
  </si>
  <si>
    <t>Initié d'illuminas</t>
  </si>
  <si>
    <t>Initié d'Ulric</t>
  </si>
  <si>
    <t>Initié d'Ursun</t>
  </si>
  <si>
    <t>spinelle rose</t>
  </si>
  <si>
    <t>Psynelle</t>
  </si>
  <si>
    <t>Rose des sables sacrée</t>
  </si>
  <si>
    <t>gypse</t>
  </si>
  <si>
    <t>topaze</t>
  </si>
  <si>
    <t>argent</t>
  </si>
  <si>
    <t>quartz fumé</t>
  </si>
  <si>
    <t>perle</t>
  </si>
  <si>
    <t>Pierre des esprits</t>
  </si>
  <si>
    <t>Malepierre</t>
  </si>
  <si>
    <t>Amulette de malepierre (Rat cornu)</t>
  </si>
  <si>
    <t>Tour Blanche de Hœth</t>
  </si>
  <si>
    <t>Covens de Tilée</t>
  </si>
  <si>
    <t>Harmonie æthyrique OU Magie noireOU Sur ses gardes, Mains agiles OU Méditation, Magie mineure (deux au choix), Sang-froid OU Étiquette, Projectile puissant, Tradition de sorcières (Sihr)</t>
  </si>
  <si>
    <t>Zawit</t>
  </si>
  <si>
    <t>Chaomancien</t>
  </si>
  <si>
    <t>Sorcière de glace</t>
  </si>
  <si>
    <t>Tisse-sort</t>
  </si>
  <si>
    <t>Métamorphe</t>
  </si>
  <si>
    <t>Entropiste</t>
  </si>
  <si>
    <t>Druide</t>
  </si>
  <si>
    <t>Marcheur des brumes</t>
  </si>
  <si>
    <t>Astromancien</t>
  </si>
  <si>
    <t>Umbramancien</t>
  </si>
  <si>
    <t>Pyromancien</t>
  </si>
  <si>
    <t>Alchimiste</t>
  </si>
  <si>
    <t>Archimage</t>
  </si>
  <si>
    <t>Apprentie sorcière de glace</t>
  </si>
  <si>
    <t>Nécromancien</t>
  </si>
  <si>
    <t>Magus de Nurgle</t>
  </si>
  <si>
    <t>Magus de Slaanesh</t>
  </si>
  <si>
    <t>Magus de Tzeentch</t>
  </si>
  <si>
    <t>Staraja vedma</t>
  </si>
  <si>
    <t>Acuité visuelle ou Chance, Camouflage rural ou Sixième sens, Harmonie aethyrique, Magie mineure (3 au choix), Tradition des sorcières (Vedma)</t>
  </si>
  <si>
    <t>Matriarche vedma</t>
  </si>
  <si>
    <t>Démoniste</t>
  </si>
  <si>
    <t>Hiérophante</t>
  </si>
  <si>
    <t>Domaine de Hoeth</t>
  </si>
  <si>
    <t>Domaine des Anciens</t>
  </si>
  <si>
    <t>Mage-prêtre slaan</t>
  </si>
  <si>
    <t>hiéroglyphes slaans</t>
  </si>
  <si>
    <t>hiéroglyphes néhékarhéens</t>
  </si>
  <si>
    <t>Compétences : Connaissances académiques (généalogie/héraldique), Langage secret (hiéroglyphes néhékarhéens), Langue (néhékharéen). Traits : Effrayant, Étiquette, Mort-vivant, Vision nocturne</t>
  </si>
  <si>
    <t>Slaan</t>
  </si>
  <si>
    <t>débouchés slaan</t>
  </si>
  <si>
    <t>pygméen</t>
  </si>
  <si>
    <t>Wizard Prince</t>
  </si>
  <si>
    <t>Seigneur Sorcier</t>
  </si>
  <si>
    <t>Espion</t>
  </si>
  <si>
    <t>Charisme, Connaissances académique (six au choix), Connaissances générale (cinq au choix), Esquive, Focalisation, Intimidation, Langage mystique (elfe mystique), Langage mystique (magick), Langue (cinq au choix), Lecture sur les lèvres, Lire/écrire, Perception, Sens de la magie</t>
  </si>
  <si>
    <t>D</t>
  </si>
  <si>
    <t>P</t>
  </si>
  <si>
    <t>Wan Tsou</t>
  </si>
  <si>
    <t>Han Kou</t>
  </si>
  <si>
    <t>Shuang Hsi</t>
  </si>
  <si>
    <t>Wei An</t>
  </si>
  <si>
    <t>Datai</t>
  </si>
  <si>
    <t>Ping Dong</t>
  </si>
  <si>
    <t>Kun Tsou</t>
  </si>
  <si>
    <t>Song Jiang</t>
  </si>
  <si>
    <t>Shan Jiao</t>
  </si>
  <si>
    <t>Khuresh</t>
  </si>
  <si>
    <t>Palefrenier/Maitre piqueux</t>
  </si>
  <si>
    <t>Pâtissier/Confiseur</t>
  </si>
  <si>
    <t>Architecte</t>
  </si>
  <si>
    <t>+2 en Force</t>
  </si>
  <si>
    <t>Statue de Brahmir en bois</t>
  </si>
  <si>
    <t>Provoque Peur et Terreur chez tout adorateur du Chaos rayon de 8m (4 cases)</t>
  </si>
  <si>
    <t>1d4 heures</t>
  </si>
  <si>
    <t>Verrouillage</t>
  </si>
  <si>
    <t>12 mètres (6 cases)  (petit gabarit)</t>
  </si>
  <si>
    <t>36 mètres (18 cases) (grand gabarit)</t>
  </si>
  <si>
    <t>Apothéose</t>
  </si>
  <si>
    <t>ramène l'esprit d'un être sous forme éthérée tant que dure le sort.</t>
  </si>
  <si>
    <t>l'objet magique désigné par l'archimage ne fonctionne pas tant que perdure le sort</t>
  </si>
  <si>
    <t>une poignée de sable de trois déserts différents (+2)</t>
  </si>
  <si>
    <t>le corps du défunt (+2)</t>
  </si>
  <si>
    <t>6 mètres (3 cases) (grand gabarit)</t>
  </si>
  <si>
    <t>tout effet de sort cesse immédiatement et aucun sort ne peut-être lancé dans la zone couverte par le gabarit.</t>
  </si>
  <si>
    <t>10 minute/point de magie</t>
  </si>
  <si>
    <t>Force des anciens</t>
  </si>
  <si>
    <t>vos prières vous confèrent une partie de la force des Anciens. Vous bénéficiez d’un bonus de +20 aux tests de Force, d’un autre bonus de +10 (pour un total de +30) lorsque vous agrippez un adversaire, et vos attaques à mains nues infligent +2 point de dégâts.</t>
  </si>
  <si>
    <t>vos prières soignent tous les personnages blessés dans le gabarit d'un nombre de points de Blessures égal à 1d20 plus votre valeur de Magie. Le sort le guérit aussi de toute maladie et poison.</t>
  </si>
  <si>
    <t>Neuralise</t>
  </si>
  <si>
    <t>la cible doit réussir un test opposé de Force Mentale sous peine de devenir totalement amnésique. Seul le lanceur du sort peut révoquer cela.</t>
  </si>
  <si>
    <t>Tempête de Qhaysh</t>
  </si>
  <si>
    <t>Polochon de Nurgle</t>
  </si>
  <si>
    <t>Criquet en cage (Dragon Céleste)</t>
  </si>
  <si>
    <t>Pierre de pouvoir (Ambrespectre)</t>
  </si>
  <si>
    <t>Pierre de pouvoir (Cristal de Brume)</t>
  </si>
  <si>
    <t>Pierre de pouvoir (Glace éternelle)</t>
  </si>
  <si>
    <t>Pierre de pouvoir (Lumiante)</t>
  </si>
  <si>
    <t>Pierre de pouvoir (Mortegemme)</t>
  </si>
  <si>
    <t>Pierre de pouvoir (Ogham)</t>
  </si>
  <si>
    <t>Pierre de pouvoir (Orbe de sorcellerie)</t>
  </si>
  <si>
    <t>Pierre de pouvoir (Pierre des esprits)</t>
  </si>
  <si>
    <t>Pierre de pouvoir (Pierre d'or)</t>
  </si>
  <si>
    <t>Pierre de pouvoir (Psynelle)</t>
  </si>
  <si>
    <t>Pierre de pouvoir (Rose des sables sacrée)</t>
  </si>
  <si>
    <t>Pierre de pouvoir (Rubis igné)</t>
  </si>
  <si>
    <t>Pierre de pouvoir (Saphir véritable)</t>
  </si>
  <si>
    <t>Pierre de pouvoir (Vitaellum)</t>
  </si>
  <si>
    <t>+2d10 Mag. Pour les Domaines de la Bête ou de la Métamorphose uniquement. A usage Unique</t>
  </si>
  <si>
    <t>+2d10 Mag. Pour le Domaine de le Glace uniquement. Usage unique</t>
  </si>
  <si>
    <t>+2d10 Mag. Pour le Domaine de la Lumière uniquement. Usage unique</t>
  </si>
  <si>
    <t>+2d10 Mag. Pour le Domaine de la Mort uniquement. Usage unique</t>
  </si>
  <si>
    <t>+2d10 Mag. Pour la magie elfique uniquement. Usage unique</t>
  </si>
  <si>
    <t>+2d10 Mag. Pour n'importe quel domaine de sorcellerie. Usage unique</t>
  </si>
  <si>
    <t>+2d10 Mag. Pour le Domaine des Esprits uniquement. Usage unique</t>
  </si>
  <si>
    <t>+2d10 Mag. Pour le Domaine du Métal uniquement. Usage unique</t>
  </si>
  <si>
    <t>+2d10 Mag. Pour le Domaine de la Conscience uniquement. Usage unique</t>
  </si>
  <si>
    <t>+2d10 Mag. Pour le Domaine du Sihr uniquement. Usage unique</t>
  </si>
  <si>
    <t>+2d10 Mag. Pour le Domaine du Feu uniquement. Usage unique</t>
  </si>
  <si>
    <t>+2d10 Mag. Pour les Domaines des Cieux ou de l'Astrologie uniquement. Usage unique</t>
  </si>
  <si>
    <t>+2d10 Mag. Pour le Domaine de la Vie uniquement. Usage unique</t>
  </si>
  <si>
    <t>+2d10 Mag. Pour les Domaines de l'Ombre ou des Brumes uniquement. Usage unique</t>
  </si>
  <si>
    <t>Sanctuaire de vie</t>
  </si>
  <si>
    <t>Immortalité</t>
  </si>
  <si>
    <t>tant que perdure ce sort, tout effet qui devrait vous tuer vous laisse à 1 point de Blessure à la place. Vous ne pouvez pas lancer d'autre sort tant que celui-ci est actif et il ne peut pas être lancé en réaction.</t>
  </si>
  <si>
    <t>Tradition de Sorcières</t>
  </si>
  <si>
    <t>Sombres Savoirs</t>
  </si>
  <si>
    <t>Magie Haute</t>
  </si>
  <si>
    <t>Sciences de la Magie</t>
  </si>
  <si>
    <t>Inspirations Divines</t>
  </si>
  <si>
    <t>Sciences de la magie</t>
  </si>
  <si>
    <t>Inspirations divines</t>
  </si>
  <si>
    <t>Beaume Calmepeste (pot)</t>
  </si>
  <si>
    <t>Liqueur de Tzeentch</t>
  </si>
  <si>
    <t>Informateur</t>
  </si>
  <si>
    <t>Œil de Morkar</t>
  </si>
  <si>
    <t>Peut servir d'ingrédient: Bonus d'incantation= Valeur de Magie du lanceur</t>
  </si>
  <si>
    <t>TdC 91</t>
  </si>
  <si>
    <t>TdC 93</t>
  </si>
  <si>
    <t>TdC 92</t>
  </si>
  <si>
    <t>kurgan/ hung</t>
  </si>
  <si>
    <t>Kurgan/ Hung</t>
  </si>
  <si>
    <t>Heaume de Fer et de Sang</t>
  </si>
  <si>
    <t>Idole de Jade</t>
  </si>
  <si>
    <t>Tout sort dans un rayon de 12m utilise la Dhar. Test FM (+10%) ou 1d2 pt Folie</t>
  </si>
  <si>
    <t>Géant</t>
  </si>
  <si>
    <t>Ogre</t>
  </si>
  <si>
    <t>Troll</t>
  </si>
  <si>
    <t>55+2d10</t>
  </si>
  <si>
    <t>10+d210</t>
  </si>
  <si>
    <t>45+2d10</t>
  </si>
  <si>
    <t>5+2d10</t>
  </si>
  <si>
    <t>Créatures du Chaos</t>
  </si>
  <si>
    <t>Créature du Chaos</t>
  </si>
  <si>
    <t>Compétences : Escalade, Intimidation, Langue (langage sombre, grumbarth), Perception, Résistance à l’alcool, Survie. Talents : Armes naturelles (poings), Coups assommants, Coups précis, Coups puissants, Parade éclair, Puissance imparable, Terrifiant, Volonté de fer +1d2 mutations + Toutes les attaques: Attribut Perctuante</t>
  </si>
  <si>
    <t>Royaumes des Montagnes Irrana</t>
  </si>
  <si>
    <t xml:space="preserve">Compétences: Connaissances générales (Estalie), Langue (estalien), Survie. Talents: Affinité provinciale (Royaumes des Montagnes Irrana), 1 talent déterminé aléatoirement </t>
  </si>
  <si>
    <t>Colonie de Santa Magritta</t>
  </si>
  <si>
    <t>L</t>
  </si>
  <si>
    <t>Royaume d'Astarios</t>
  </si>
  <si>
    <t>Principauté de Catalina</t>
  </si>
  <si>
    <t>Royaume d'Avila</t>
  </si>
  <si>
    <t>Royaume de Santoyo</t>
  </si>
  <si>
    <t>Royaume de Navareno</t>
  </si>
  <si>
    <t>Duché de Gualcazar</t>
  </si>
  <si>
    <t>Duché d'Alquezaro</t>
  </si>
  <si>
    <t>Duché de Barboza</t>
  </si>
  <si>
    <t>Duché de San Luis</t>
  </si>
  <si>
    <t>Duché d'Obregon</t>
  </si>
  <si>
    <t>Royaumes Côtiers</t>
  </si>
  <si>
    <t>République de Remas</t>
  </si>
  <si>
    <t>République de Verezzo</t>
  </si>
  <si>
    <t>Principauté de Trantio</t>
  </si>
  <si>
    <t>Principauté de Luccini</t>
  </si>
  <si>
    <t>Principauté de Pavona</t>
  </si>
  <si>
    <t>Principauté de Miragliano</t>
  </si>
  <si>
    <t>Principauté de Sartosa</t>
  </si>
  <si>
    <t>Principauté de Tobaro</t>
  </si>
  <si>
    <t xml:space="preserve">Compétences: Commérage OU Navigation, Connaissances générales (Tilée), Langue (Tiléen). Talents: Affinité provinciale (Principauté de Sartosa), 1 talent déterminé aléatoirement </t>
  </si>
  <si>
    <t xml:space="preserve">Compétences: Métier (un au choix) OU Navigation, Connaissances générales (Tilée), Langue (Tiléen). Talents: Affinité provinciale (Principauté de Tobaro) OU Pilote de Navire, 1 talent déterminé aléatoirement </t>
  </si>
  <si>
    <t xml:space="preserve">Compétences: Commérage OU Métier (un au choix), Connaissances générales (Estalie), Langue (estalien), Marchandage. Talents: Affinité provinciale (Principauté de Catalina), 1 talent déterminé aléatoirement </t>
  </si>
  <si>
    <t xml:space="preserve">Compétences: Commérage OU Métier (un au choix), Connaissances générales (Estalie), Langue (estalien), Marchandage. Talents: Affinité provinciale (Royaume d'Avila), 1 talent déterminé aléatoirement </t>
  </si>
  <si>
    <t xml:space="preserve">Compétences: Commérage OU Métier (un au choix), Connaissances générales (Estalie), Langue (estalien), Marchandage. Talents: Affinité provinciale (Royaume de Santoyo), 1 talent déterminé aléatoirement </t>
  </si>
  <si>
    <t xml:space="preserve">Compétences: Commérage OU Métier (un au choix), Connaissances générales (Estalie), Langue (estalien), Marchandage. Talents: Affinité provinciale (Royaume de Navareno), 1 talent déterminé aléatoirement </t>
  </si>
  <si>
    <t xml:space="preserve">Compétences: Commérage OU Métier (un au choix), Connaissances générales (Estalie), Langue (estalien), Marchandage. Talents: Affinité provinciale (Duché de Gualcazar), 1 talent déterminé aléatoirement </t>
  </si>
  <si>
    <t xml:space="preserve">Compétences: Commérage OU Métier (un au choix), Connaissances générales (Estalie), Langue (estalien), Marchandage. Talents: Affinité provinciale (Duché d'Alquezaro), 1 talent déterminé aléatoirement </t>
  </si>
  <si>
    <t xml:space="preserve">Compétences: Commérage OU Métier (un au choix), Connaissances générales (Estalie), Langue (estalien), Marchandage. Talents: Affinité provinciale (Duché de Barboza), 1 talent déterminé aléatoirement </t>
  </si>
  <si>
    <t xml:space="preserve">Compétences: Commérage OU Métier (un au choix), Connaissances générales (Estalie), Langue (estalien), Marchandage. Talents: Affinité provinciale (Duché de San Luis), 1 talent déterminé aléatoirement </t>
  </si>
  <si>
    <t xml:space="preserve">Compétences: Commérage OU Métier (un au choix), Connaissances générales (Estalie), Langue (estalien), Marchandage. Talents: Affinité provinciale (Duché d'Obregon), 1 talent déterminé aléatoirement </t>
  </si>
  <si>
    <t>Côte des Vampires</t>
  </si>
  <si>
    <t xml:space="preserve">Compétences: Connaissances générales (Lustrie ou Hommes-lézards), Langue (sylvanien ou lustrien), Survie,  Talents: Affinité provinciale (Côte des Vampires), 2 talents déterminés aléatoirement </t>
  </si>
  <si>
    <t>Jungles de Lustrie</t>
  </si>
  <si>
    <t>Sens de l'Orientation, Chance</t>
  </si>
  <si>
    <t>Rêves de Morr, Science de la magie (Domaine de l'Astrologie)</t>
  </si>
  <si>
    <t>Solution de mercure</t>
  </si>
  <si>
    <t>WJDR 209</t>
  </si>
  <si>
    <t>Purge médicinale</t>
  </si>
  <si>
    <t>Arsenal 69/ WJDR 122</t>
  </si>
  <si>
    <t>Arsenal 72/ WJDR 122</t>
  </si>
  <si>
    <t>Arsenal 73/ WJDR 122</t>
  </si>
  <si>
    <t>Main de Gloire</t>
  </si>
  <si>
    <t>Arcanes Impitoyables</t>
  </si>
  <si>
    <t>Extinction des âmes</t>
  </si>
  <si>
    <t>Marche entre les mondes</t>
  </si>
  <si>
    <t>Précision selon Hoeth</t>
  </si>
  <si>
    <r>
      <t xml:space="preserve">tout test manqué permettant de viser pour projectile (magique ou non) peut être relancé une fois pour chaque allié dans la zone du gabarit. En outre tous les alliés dans le gabarit gagnent les Talents </t>
    </r>
    <r>
      <rPr>
        <i/>
        <sz val="10"/>
        <rFont val="Arial"/>
        <family val="2"/>
      </rPr>
      <t>Tir de précision</t>
    </r>
    <r>
      <rPr>
        <sz val="10"/>
        <rFont val="Arial"/>
        <family val="2"/>
      </rPr>
      <t xml:space="preserve"> et </t>
    </r>
    <r>
      <rPr>
        <i/>
        <sz val="10"/>
        <rFont val="Arial"/>
        <family val="2"/>
      </rPr>
      <t>Tireur d'élite</t>
    </r>
    <r>
      <rPr>
        <sz val="10"/>
        <rFont val="Arial"/>
        <family val="2"/>
      </rPr>
      <t xml:space="preserve"> tant que perdure le sort.</t>
    </r>
  </si>
  <si>
    <t>Fureur d'Asuryan</t>
  </si>
  <si>
    <r>
      <t xml:space="preserve">vous priez pour que le Père de tous les Dieux déchaîne toute sa fureur. Tous les personnages situés sous le grand gabarit subissent 2d6 coups d'une valeur de dégâts de 5. La forme que prend la </t>
    </r>
    <r>
      <rPr>
        <i/>
        <sz val="10"/>
        <rFont val="Arial"/>
        <family val="2"/>
      </rPr>
      <t xml:space="preserve">fureur de'Asuryan </t>
    </r>
    <r>
      <rPr>
        <sz val="10"/>
        <rFont val="Arial"/>
        <family val="2"/>
      </rPr>
      <t xml:space="preserve">dépend de l'environnement, mais elle s'accompagne le plus souvent d'éclairs, de flammes et de lumière intense. Ce sort est un </t>
    </r>
    <r>
      <rPr>
        <i/>
        <sz val="10"/>
        <rFont val="Arial"/>
        <family val="2"/>
      </rPr>
      <t>projectile magique</t>
    </r>
    <r>
      <rPr>
        <sz val="10"/>
        <rFont val="Arial"/>
        <family val="2"/>
      </rPr>
      <t>.</t>
    </r>
  </si>
  <si>
    <r>
      <t xml:space="preserve">vous priez pour que le Roi des Dieux déchaîne toute sa fureur. Un personnage situé à portée subit 1d10 coups d'une valeur de dégâts de 4. La forme que prend la </t>
    </r>
    <r>
      <rPr>
        <i/>
        <sz val="10"/>
        <rFont val="Arial"/>
        <family val="2"/>
      </rPr>
      <t>fureur de Taal</t>
    </r>
    <r>
      <rPr>
        <sz val="10"/>
        <rFont val="Arial"/>
        <family val="2"/>
      </rPr>
      <t xml:space="preserve"> dépend de l'environnement, mais elle s'accompagne le plus souvent d'éclairs, de crevasses, de montées des eaux ou de forêts venant à la vie. Ce sort est un </t>
    </r>
    <r>
      <rPr>
        <i/>
        <sz val="10"/>
        <rFont val="Arial"/>
        <family val="2"/>
      </rPr>
      <t>projectile magique</t>
    </r>
    <r>
      <rPr>
        <sz val="10"/>
        <rFont val="Arial"/>
        <family val="2"/>
      </rPr>
      <t>.</t>
    </r>
  </si>
  <si>
    <t>Contemplation</t>
  </si>
  <si>
    <t>si vous étiez en train d'incanter un sort, vous l'annulez et récupérez immédiatement toutes les actions que vous avez dépensées pour se faire. Vous pouvez immédiatement les consommer pour lancer un autre sort.</t>
  </si>
  <si>
    <t>Magie commune de La Gueule</t>
  </si>
  <si>
    <t>Moelle épinière</t>
  </si>
  <si>
    <t>un os à la moelle (2)</t>
  </si>
  <si>
    <t>Gruau de sang</t>
  </si>
  <si>
    <t>pour chaque Blessure de vous vous infligez en lançant ce sort vous gagnez un bonus équivalent à votre prochain test d'incantation</t>
  </si>
  <si>
    <t>Collège Céleste/ Conclave de Xen Huong</t>
  </si>
  <si>
    <t>Domaine de La Gueule</t>
  </si>
  <si>
    <t>Bouillie d'os</t>
  </si>
  <si>
    <t>Craque dents</t>
  </si>
  <si>
    <r>
      <t xml:space="preserve">les ogres veulent se perfectionner... En plus résistant. Augmentez de 10% la valeur d'Endurance l'Allié choisi et il gagne le Talent </t>
    </r>
    <r>
      <rPr>
        <i/>
        <sz val="10"/>
        <rFont val="Arial"/>
        <family val="2"/>
      </rPr>
      <t>Résistance Accrue</t>
    </r>
    <r>
      <rPr>
        <sz val="10"/>
        <rFont val="Arial"/>
        <family val="2"/>
      </rPr>
      <t xml:space="preserve"> tant que perdure ce sort</t>
    </r>
  </si>
  <si>
    <t>Engloutissement de cerveaux</t>
  </si>
  <si>
    <t>vos yeux émettent une lueur malsaine qui instille la terreur chez un animal ordinaire situé dans un rayon de 12 mètres (6 cases). La cible a droit à un test de Force Mentale pour résister à ces effets. En cas d’échec, elle se comporte étrangement. Cfr. Tome de la Corruption p.232. L’animal retrouve son état normal au bout d’un nombre de minutes égal à votre valeur de Magie, à moins de mourir avant cela.</t>
  </si>
  <si>
    <t>12 mètres (6 cases) (petit gabarit)</t>
  </si>
  <si>
    <t>les ogres veulent se perfectionner... toute créature (allié ou ennemi) sous le gabarit doit réussir un test de Terreur.</t>
  </si>
  <si>
    <t>Tripes de Troll</t>
  </si>
  <si>
    <t>une brouette de tripes de troll (+3)</t>
  </si>
  <si>
    <t>Il faut vivre pour pouvoir manger! Vos beuglements soignent un personnage blessé d'un nombre de points de Blessures égal à 2d6.</t>
  </si>
  <si>
    <t>La Mâchoire</t>
  </si>
  <si>
    <t>une mâchoire complète (+2)</t>
  </si>
  <si>
    <t>la cible de votre sort se sent comme mâchée et en est gênée: Diminuez sa valeur d'Initiative jusqu'à la fin du combat.</t>
  </si>
  <si>
    <t>2 action complètes</t>
  </si>
  <si>
    <t>nom anglais</t>
  </si>
  <si>
    <t>Magie commune (du Serpent)</t>
  </si>
  <si>
    <t>Maelstrom de Wendala</t>
  </si>
  <si>
    <t>Initiée de Rigg</t>
  </si>
  <si>
    <t>2 heure/point de Magie</t>
  </si>
  <si>
    <t>le prochain projectile (magique ou non) qui devrait vous atteindre est dévié vers une direction aléatoire</t>
  </si>
  <si>
    <t>Armure d'épines</t>
  </si>
  <si>
    <t>une tige rose portant des épines (+2)</t>
  </si>
  <si>
    <r>
      <t xml:space="preserve">vous grognez quelques prières à l'attention de Taal qui vous emplissent de rage. Vous gagnez le talent </t>
    </r>
    <r>
      <rPr>
        <i/>
        <sz val="10"/>
        <rFont val="Arial"/>
        <family val="2"/>
      </rPr>
      <t>Effrayant</t>
    </r>
    <r>
      <rPr>
        <sz val="10"/>
        <rFont val="Arial"/>
        <family val="2"/>
      </rPr>
      <t xml:space="preserve"> et êtes pris de frénésie, comme si vous aviez le talent </t>
    </r>
    <r>
      <rPr>
        <i/>
        <sz val="10"/>
        <rFont val="Arial"/>
        <family val="2"/>
      </rPr>
      <t>Frénésie</t>
    </r>
    <r>
      <rPr>
        <sz val="10"/>
        <rFont val="Arial"/>
        <family val="2"/>
      </rPr>
      <t>. Augmentez votre valeur d'Attaques de +1.</t>
    </r>
  </si>
  <si>
    <t>Chant des sirènes</t>
  </si>
  <si>
    <r>
      <t xml:space="preserve">vous faites appel aux esprits pour maudire quelqu’un. La cible a droit à un test de Force Mentale Assez difficile (–10) pour résister à la malédiction. Une cible ne peut être victime que d’une </t>
    </r>
    <r>
      <rPr>
        <i/>
        <sz val="10"/>
        <rFont val="Arial"/>
        <family val="2"/>
      </rPr>
      <t>malédiction suprême</t>
    </r>
    <r>
      <rPr>
        <sz val="10"/>
        <rFont val="Arial"/>
        <family val="2"/>
      </rPr>
      <t xml:space="preserve"> à la fois. Notez que vous pouvez lever une telle malédiction en lançant une nouvelle fois ce sort sur la cible. En apprenant le sort </t>
    </r>
    <r>
      <rPr>
        <i/>
        <sz val="10"/>
        <rFont val="Arial"/>
        <family val="2"/>
      </rPr>
      <t>malédiction suprême</t>
    </r>
    <r>
      <rPr>
        <sz val="10"/>
        <rFont val="Arial"/>
        <family val="2"/>
      </rPr>
      <t xml:space="preserve">, vous avez accès à l’une des malédictions suivantes. Vous pouvez ensuite en apprendre de nouvelles pour 100 px chacune (le MJ pourra cependant exiger qu’une autre vedma vous l’enseigne). Le MJ est bien évidemment invité à créer des malédictions propres à sa campagne et pourra trouver l’inspiration en se reportant à l’Appendice II du </t>
    </r>
    <r>
      <rPr>
        <i/>
        <sz val="10"/>
        <rFont val="Arial"/>
        <family val="2"/>
      </rPr>
      <t>Seigneur Liche</t>
    </r>
    <r>
      <rPr>
        <sz val="10"/>
        <rFont val="Arial"/>
        <family val="2"/>
      </rPr>
      <t xml:space="preserve">. </t>
    </r>
    <r>
      <rPr>
        <b/>
        <sz val="10"/>
        <rFont val="Arial"/>
        <family val="2"/>
      </rPr>
      <t xml:space="preserve">Malédiction de folie : </t>
    </r>
    <r>
      <rPr>
        <sz val="10"/>
        <rFont val="Arial"/>
        <family val="2"/>
      </rPr>
      <t>De minuscules esprits malicieux s’installent dans votre tête. Chaque jour, vous devez réussir un test de Force Mentale Assez facile (+10) sous peine de gagner 1 point de Folie. Dès que vous développez un trouble mental, les esprits cessent de vous empoisonner la vie.</t>
    </r>
  </si>
  <si>
    <t>Magie Commune (du serpent)</t>
  </si>
  <si>
    <t>Frénésie, Science de la Magie (Domaine du Serpent)</t>
  </si>
  <si>
    <t>un gros coquillage (+2)</t>
  </si>
  <si>
    <t>une dose de poison invoqué (+2)</t>
  </si>
  <si>
    <t>Multiplication du poison</t>
  </si>
  <si>
    <t>vous multipliez un flacon de poison ou de drogue un nombre de fois égal à votre valeur de Magie. Les flacons ainsi obtenus tout comme leur contenu disparaissent au bout d'une minute mais font effet normalement. Vous ne pouvez lancer ce sort qu'une fois par jour.</t>
  </si>
  <si>
    <t>Domaine de la Dhar</t>
  </si>
  <si>
    <t>Festin magique</t>
  </si>
  <si>
    <t>Foudre funeste</t>
  </si>
  <si>
    <r>
      <t xml:space="preserve">vous invoquez un orage d’éclairs de Dhar qui se manifeste dans un rayon de 48 mètres (24 cases). Il s’agit d’une tempête du Chaos qui peut être appelée n’importe où, au fond des égouts ou en pleine nature. Utilisez le grand gabarit pour représenter la </t>
    </r>
    <r>
      <rPr>
        <i/>
        <sz val="10"/>
        <rFont val="Arial"/>
        <family val="2"/>
      </rPr>
      <t>tempête de foudre</t>
    </r>
    <r>
      <rPr>
        <sz val="10"/>
        <rFont val="Arial"/>
        <family val="2"/>
      </rPr>
      <t>. Chaque victime subit une 4d6 attaques d’une valeur de dégâts de 5.</t>
    </r>
  </si>
  <si>
    <t>Zone d'antimagie</t>
  </si>
  <si>
    <t>tout prochain projectile (magique ou non) et sort néfaste lancé depuis l'extérieur du gabarit est retourné vers son lanceur.</t>
  </si>
  <si>
    <t>vous provoquez un accès de douleur intense chez une cible située dans un rayon de 12 mètres (6 cases). La victime doit réussir un test d’Endurance sous peine de subir un malus de –5% aux tests de Capacité de Combat, Capacité de Tir et Agilité pendant 1d10 rounds.</t>
  </si>
  <si>
    <t>Mot de douleur</t>
  </si>
  <si>
    <t>vous prononcez le nom secret de l’un des dieux du Chaos, ce qui suffit à infliger d'abominables souffrances à ceux qui vous entourent. Centrez le grand gabarit sur vous-même. Les ennemis compris dans la zone subissent 2d6 attaques d’une valeur de dégâts de 6 et doivent réussir un test de Force Mentale sous peine de se retrouver sans défense pendant 1 round. Le sort ne vous affecte pas.</t>
  </si>
  <si>
    <t>Dissipation mineure de mortel</t>
  </si>
  <si>
    <t>sélectionnez une créature située dans un rayon de 6 mètres (3 cases). La cible doit réussir un test de Force Mentale Très difficile (–30%) sous peine d’être aspirée dans les Royaumes du Chaos pour le plus grand divertissement des démons. Ce sort n'affecte pas les mutants, les créatures du Chaos, les Morts-Vivants ni les Vampires.</t>
  </si>
  <si>
    <t>toutes les créatures ennemies situées sous le gabarit doivent réussir un test de Force Mentale Très difficile (–30%) sous peine de mourir instantanément. Sinon, seul un sort de protection peut prémunir la victime de ce sort funeste. Ce sort n'affecte pas les mutants, les créatures du Chaos, les Morts-Vivants ni les Vampires.</t>
  </si>
  <si>
    <t>Extinction du mal</t>
  </si>
  <si>
    <t>Prince sorcier</t>
  </si>
  <si>
    <t>Sombre Savoir (Domaine de la Gueule)</t>
  </si>
  <si>
    <t>Tri Ordres et sectes</t>
  </si>
  <si>
    <t>Jungles des Terres du Sud</t>
  </si>
  <si>
    <t xml:space="preserve">Compétences: Connaissances générales (Terres du Sud ou Homme-lézards), Langue (sudron ou pygméen), Orientation, Survie. Talents: Affinité provinciale (Jungles des Terres du Sud), 1 talent déterminé aléatoirement </t>
  </si>
  <si>
    <t>Transformation de Kadon</t>
  </si>
  <si>
    <t>un crane d'hydre (+3)</t>
  </si>
  <si>
    <r>
      <t xml:space="preserve">ce sort agit exactement comme le sort </t>
    </r>
    <r>
      <rPr>
        <i/>
        <sz val="10"/>
        <rFont val="Arial"/>
        <family val="2"/>
      </rPr>
      <t>l'envol du corbeau</t>
    </r>
    <r>
      <rPr>
        <sz val="10"/>
        <rFont val="Arial"/>
        <family val="2"/>
      </rPr>
      <t>, si ce n’est que la forme adoptée est celle d’un ours. Pour trouver le profil de cet animal, veuillez consulter la page 119 du</t>
    </r>
    <r>
      <rPr>
        <b/>
        <sz val="10"/>
        <rFont val="Arial"/>
        <family val="2"/>
      </rPr>
      <t xml:space="preserve"> bestiaire</t>
    </r>
    <r>
      <rPr>
        <sz val="10"/>
        <rFont val="Arial"/>
        <family val="2"/>
      </rPr>
      <t>.</t>
    </r>
  </si>
  <si>
    <t>Transmutation finale</t>
  </si>
  <si>
    <t>une boule de cristal (+1)</t>
  </si>
  <si>
    <t>une pioche (+1)</t>
  </si>
  <si>
    <t>Chaine d'éclairs</t>
  </si>
  <si>
    <t>un diapason en or gravé de runes (+3)</t>
  </si>
  <si>
    <t>ce sort agit exactement comme le sort clair si ce n'est que l'éclair rebondit d'ennemi en ennemis jusqu'a 4d4 fois. Ce sort constitue une invocation si puissante et violente que tous les sorciers dans un rayon de 7,5 kilomètres prennent conscience de la perturbation de l’Aethyr provoquée par son incantation. Les sorciers de bataille de la Collège Céleste poursuivent souvent ceux qui recourent à ce sort inconsidérément, pour leur rappeler où se situent les limites, d’une manière plutôt mordante.</t>
  </si>
  <si>
    <t>Rasoir de l'esprit d'Okkam</t>
  </si>
  <si>
    <t>une lame de rasoir (+1)</t>
  </si>
  <si>
    <t>Comète de Casandora</t>
  </si>
  <si>
    <t>Bulle de Savants</t>
  </si>
  <si>
    <t>un petit grimoire (+3)</t>
  </si>
  <si>
    <t>Cage de flammes fulminantes</t>
  </si>
  <si>
    <t>Regard de Mork</t>
  </si>
  <si>
    <t>Main de Gork</t>
  </si>
  <si>
    <t>Pied de Gork</t>
  </si>
  <si>
    <t>Magie commune de Gork et Mork</t>
  </si>
  <si>
    <t>une chaussette puante (+1)</t>
  </si>
  <si>
    <t>une gant moisi (+1)</t>
  </si>
  <si>
    <t>contact (vous) (gabarit de cône)</t>
  </si>
  <si>
    <t>une pièce d'armure rouillée (+1)</t>
  </si>
  <si>
    <t>Langage mystique (demonik), Sens de la magie</t>
  </si>
  <si>
    <t>un clou (+1)</t>
  </si>
  <si>
    <r>
      <t xml:space="preserve">Votre massue est investie de la malice de Mork. Votre arme de corps à corps, qui ne doit impérativement pas comporter de métal , est considérée comme magique et dotée de l'attribut </t>
    </r>
    <r>
      <rPr>
        <i/>
        <sz val="10"/>
        <rFont val="Arial"/>
        <family val="2"/>
      </rPr>
      <t>Percutante</t>
    </r>
    <r>
      <rPr>
        <sz val="10"/>
        <rFont val="Arial"/>
        <family val="2"/>
      </rPr>
      <t>.</t>
    </r>
  </si>
  <si>
    <t>Coup Sournois</t>
  </si>
  <si>
    <t>Domaine de Gork et Mork</t>
  </si>
  <si>
    <t>une dose de poil à gratter (+2)</t>
  </si>
  <si>
    <t>Malédiction de Mauvaise Lune</t>
  </si>
  <si>
    <t>un rat mort (+1)</t>
  </si>
  <si>
    <t>Langage mystique (demonik)</t>
  </si>
  <si>
    <t>Domaine de Zuvassin</t>
  </si>
  <si>
    <t>Feu purificateur de Malal</t>
  </si>
  <si>
    <t>une pistole d'enfer (+2)</t>
  </si>
  <si>
    <t>Ogre mage</t>
  </si>
  <si>
    <t>Magus de Zuvassin</t>
  </si>
  <si>
    <t>Porte peste</t>
  </si>
  <si>
    <t>Apprenti Chamane</t>
  </si>
  <si>
    <t>Détection du Chaos</t>
  </si>
  <si>
    <t>lorsque ce sort est lancé, l'image de la cible apparait au lanceur telle qu'elle était avant d'être souillé par le Chaos. Le lanceur prend instantanément conscience de chaque effet que le Chaos a eu sur la cible: Cela inclut toutes les mutations, les maladies, les dons et tous les effets psychologiques (tels que la folie) acquis lors de rencontres avec le Chaos.</t>
  </si>
  <si>
    <t>Désévolution</t>
  </si>
  <si>
    <t>permanent</t>
  </si>
  <si>
    <r>
      <t xml:space="preserve">Les anciens se souviennent des temps immémoriaux et si le sort est lancé avec succès, ils transforment la cible (située dans un rayon de 24 mètres (12 cases)). Si elle ne dépense pas un point de destin, elle régresse jusqu'à son état originel. Si elle dépense un point de Destin, la cible est à jamais immunisée contre ce sort. Elle prend un aspect primitif, parfois reptilien ou amphibien. (Les orcs et homme-bête prennent l'aspect d'un Cube Gélatineux). Concrètement la cible garde sa conscience intacte, gagne le Talent </t>
    </r>
    <r>
      <rPr>
        <i/>
        <sz val="10"/>
        <rFont val="Arial"/>
        <family val="2"/>
      </rPr>
      <t>Effrayant,</t>
    </r>
    <r>
      <rPr>
        <sz val="10"/>
        <rFont val="Arial"/>
        <family val="2"/>
      </rPr>
      <t xml:space="preserve"> mais perd la moitié de son Int et de sa Soc, sa Valeur de Magie est réduite à 0 tout comme ses compétences Lire/écrire et Langue. Dans le meilleur des cas la cible passera pour un Homme-bête ou un Homme-Lézard. Seul le lanceur du sort, un rituel très puissant et ancien ou un Sanctuaire de Vie peuvent rendre son aspect originel à la cible.</t>
    </r>
  </si>
  <si>
    <t>Annihilation</t>
  </si>
  <si>
    <t>C. Perso</t>
  </si>
  <si>
    <t>Le rituel d'infinité</t>
  </si>
  <si>
    <t>Apprenti Sorcier</t>
  </si>
  <si>
    <t>Homme bête Peau-verte</t>
  </si>
  <si>
    <t>Peau-Verte</t>
  </si>
  <si>
    <t>Domaine de Mordig/le Grand Ghul</t>
  </si>
  <si>
    <t>Vent du désert de Khsar</t>
  </si>
  <si>
    <t>Lames de Djaf</t>
  </si>
  <si>
    <t>Protection de Neru</t>
  </si>
  <si>
    <t>Vengeance d'Usirian</t>
  </si>
  <si>
    <t xml:space="preserve">Dessication d'Usekhp </t>
  </si>
  <si>
    <t>une pierre de sel gemme (+2)</t>
  </si>
  <si>
    <t>2 rounds/point de Magie</t>
  </si>
  <si>
    <t>contact vous (grand gabarit)</t>
  </si>
  <si>
    <t>toutes les unités alliées sous le grand gabarit sont portées par le sort et voient leur valeur de mouvement doublée pour ce round.</t>
  </si>
  <si>
    <t>une poupée percée d'une aiguille (+1)</t>
  </si>
  <si>
    <t>une aile de vautour (+2)</t>
  </si>
  <si>
    <t>Lame maudite de Djaf</t>
  </si>
  <si>
    <t>votre cimeterre est investi du don de Djaf. Votre arme de corps à corps, qui ne doit impérativement pas comporter de métal, est considérée comme enduite du poison Venin de cobra bleu jusqu'à la fin du combat.</t>
  </si>
  <si>
    <t>Harmonie aethirique, Sombre savoir (Domaine de Mordig/Le Grand Ghul)</t>
  </si>
  <si>
    <t>une pièce d'armure polie par le désert (+1)</t>
  </si>
  <si>
    <t>le prochain sort (bénéfique ou maléfique) qui devrait vous atteindre est dévié vers une direction aléatoire</t>
  </si>
  <si>
    <t>le sol de toutes les unités situées sous l'unité ciblée se transforme en sables mouvants. Le déplacement devient difficile et la cibles doit réussir un Test de Force qui débute à Assez difficile (-10%) mais chaque échec augmente la difficulté d'un cran. Si la difficulté dépasse Très Difficile (-30%) la victime est ensevelie sous le sable et commence à étouffer et seuls ses alliés peuvent alors la sauver.</t>
  </si>
  <si>
    <t>instantanée</t>
  </si>
  <si>
    <t>vous suscitez la destruction instantanée par le feu d'un objet non vivant. Si vous avez une valeur de Magie de 1, vous pouvez affecter des objets représentant au maximum un encombrement de 10 (des objets qui tiennent dans la paume de votre main). Si elle est de 2, vous pouvez affecter des objets représentant un encombrement de 50 (des objets que l'on peut facilement porter avec soi) ; si elle est de 3, des objets représentant un encombrement de 200 (des objets que l'on peut soulever relativement facilement) ; et si elle est de 4, des objets représentant un encombrement de 1000 (des objets qui peuvent être traînés par un cheval). Une fois le sort lancé, les restes exacts de l'objet dépendent de sa nature et c'est au MJ d'en décider au cas par cas. Une feuille de parier est réduite en cendres. Une robuste chaise de bois se transforme en un tas de bouts de bois calcinés. Une épée sera noircie et les bandes de cuir de sa poignée détruites, mais la lame restera intacte. La règle générale, c'est que tout objet qui serait détruit par un incendie prolongé sera détruit par ruine et destruction. Une fois le sort terminé, les restes de l'objet sont froids au toucher. Il s'agit d'un sort de contact.</t>
  </si>
  <si>
    <t>Clieg</t>
  </si>
  <si>
    <t>Cogg</t>
  </si>
  <si>
    <t>Hubert</t>
  </si>
  <si>
    <t>Maben</t>
  </si>
  <si>
    <t>Ivar</t>
  </si>
  <si>
    <t>Skip</t>
  </si>
  <si>
    <t>Thoresen</t>
  </si>
  <si>
    <t>Aughem</t>
  </si>
  <si>
    <t>Gerhardt</t>
  </si>
  <si>
    <t>Grassnecker</t>
  </si>
  <si>
    <t>Lars</t>
  </si>
  <si>
    <t>Bière banale (tonnelet)</t>
  </si>
  <si>
    <t>Bière du Griffon (tonnelet)</t>
  </si>
  <si>
    <t>JdR Mag N°50 90</t>
  </si>
  <si>
    <t>Gobelin</t>
  </si>
  <si>
    <t>Hobgobelin</t>
  </si>
  <si>
    <t>Peaux-Vertes</t>
  </si>
  <si>
    <t>LRS : Les Royaumes de Sorcellerie</t>
  </si>
  <si>
    <t>Web: Lien Internet</t>
  </si>
  <si>
    <t>fratrie</t>
  </si>
  <si>
    <t>age départ</t>
  </si>
  <si>
    <t>Taille</t>
  </si>
  <si>
    <t>1,95m</t>
  </si>
  <si>
    <t>2,00m</t>
  </si>
  <si>
    <t>2,25m</t>
  </si>
  <si>
    <t>2,50m</t>
  </si>
  <si>
    <t>3,0m</t>
  </si>
  <si>
    <t>42 kg</t>
  </si>
  <si>
    <t>44 kg</t>
  </si>
  <si>
    <t>46 kg</t>
  </si>
  <si>
    <t>50 kg</t>
  </si>
  <si>
    <t>58 kg</t>
  </si>
  <si>
    <t>60 kg</t>
  </si>
  <si>
    <t>62 kg</t>
  </si>
  <si>
    <t>64 kg</t>
  </si>
  <si>
    <t>66 kg</t>
  </si>
  <si>
    <t>76 kg</t>
  </si>
  <si>
    <t>78 kg</t>
  </si>
  <si>
    <t>80 kg</t>
  </si>
  <si>
    <t>82 kg</t>
  </si>
  <si>
    <t>84 kg</t>
  </si>
  <si>
    <t>88 kg</t>
  </si>
  <si>
    <t>92 kg</t>
  </si>
  <si>
    <t>94 kg</t>
  </si>
  <si>
    <t>96 kg</t>
  </si>
  <si>
    <t>98 kg</t>
  </si>
  <si>
    <t>102 kg</t>
  </si>
  <si>
    <t>104 kg</t>
  </si>
  <si>
    <t>106 kg</t>
  </si>
  <si>
    <t>110 kg</t>
  </si>
  <si>
    <t>112 kg</t>
  </si>
  <si>
    <t>114 kg</t>
  </si>
  <si>
    <t>116 kg</t>
  </si>
  <si>
    <t>118 kg</t>
  </si>
  <si>
    <t>120 kg</t>
  </si>
  <si>
    <t>122 kg</t>
  </si>
  <si>
    <t>124 kg</t>
  </si>
  <si>
    <t>126 kg</t>
  </si>
  <si>
    <t>128 kg</t>
  </si>
  <si>
    <t>130 kg</t>
  </si>
  <si>
    <t>132 kg</t>
  </si>
  <si>
    <t>134 kg</t>
  </si>
  <si>
    <t>136 kg</t>
  </si>
  <si>
    <t>138 kg</t>
  </si>
  <si>
    <t>140 kg</t>
  </si>
  <si>
    <t>142 kg</t>
  </si>
  <si>
    <t>144 kg</t>
  </si>
  <si>
    <t>146 kg</t>
  </si>
  <si>
    <t>148 kg</t>
  </si>
  <si>
    <t>150 kg</t>
  </si>
  <si>
    <t>152 kg</t>
  </si>
  <si>
    <t>154 kg</t>
  </si>
  <si>
    <t>156 kg</t>
  </si>
  <si>
    <t>158 kg</t>
  </si>
  <si>
    <t>160 kg</t>
  </si>
  <si>
    <t>162 kg</t>
  </si>
  <si>
    <t>164 kg</t>
  </si>
  <si>
    <t>166 kg</t>
  </si>
  <si>
    <t>168 kg</t>
  </si>
  <si>
    <t>170 kg</t>
  </si>
  <si>
    <t>172 kg</t>
  </si>
  <si>
    <t>174 kg</t>
  </si>
  <si>
    <t>176 kg</t>
  </si>
  <si>
    <t>178 kg</t>
  </si>
  <si>
    <t>180 kg</t>
  </si>
  <si>
    <t>182 kg</t>
  </si>
  <si>
    <t>184 kg</t>
  </si>
  <si>
    <t>186 kg</t>
  </si>
  <si>
    <t>188 kg</t>
  </si>
  <si>
    <t>190 kg</t>
  </si>
  <si>
    <t>192 kg</t>
  </si>
  <si>
    <t>194 kg</t>
  </si>
  <si>
    <t>196 kg</t>
  </si>
  <si>
    <t>198 kg</t>
  </si>
  <si>
    <t>200 kg</t>
  </si>
  <si>
    <t>202 kg</t>
  </si>
  <si>
    <t>204 kg</t>
  </si>
  <si>
    <t>206 kg</t>
  </si>
  <si>
    <t>208 kg</t>
  </si>
  <si>
    <t>210 kg</t>
  </si>
  <si>
    <t>212 kg</t>
  </si>
  <si>
    <t>214 kg</t>
  </si>
  <si>
    <t>216 kg</t>
  </si>
  <si>
    <t>218 kg</t>
  </si>
  <si>
    <t>220 kg</t>
  </si>
  <si>
    <t>222 kg</t>
  </si>
  <si>
    <t>224 kg</t>
  </si>
  <si>
    <t>226 kg</t>
  </si>
  <si>
    <t>228 kg</t>
  </si>
  <si>
    <t>230 kg</t>
  </si>
  <si>
    <t>232 kg</t>
  </si>
  <si>
    <t>234 kg</t>
  </si>
  <si>
    <t>236 kg</t>
  </si>
  <si>
    <t>238 kg</t>
  </si>
  <si>
    <t>240 kg</t>
  </si>
  <si>
    <t>242 kg</t>
  </si>
  <si>
    <t>244 kg</t>
  </si>
  <si>
    <t>246 kg</t>
  </si>
  <si>
    <t>248 kg</t>
  </si>
  <si>
    <t>250 kg</t>
  </si>
  <si>
    <t>252 kg</t>
  </si>
  <si>
    <t>254 kg</t>
  </si>
  <si>
    <t>256 kg</t>
  </si>
  <si>
    <t>258 kg</t>
  </si>
  <si>
    <t>260 kg</t>
  </si>
  <si>
    <t>262 kg</t>
  </si>
  <si>
    <t>264 kg</t>
  </si>
  <si>
    <t>266 kg</t>
  </si>
  <si>
    <t>268 kg</t>
  </si>
  <si>
    <t>270 kg</t>
  </si>
  <si>
    <t>272 kg</t>
  </si>
  <si>
    <t>274 kg</t>
  </si>
  <si>
    <t>276 kg</t>
  </si>
  <si>
    <t>278 kg</t>
  </si>
  <si>
    <t>280 kg</t>
  </si>
  <si>
    <t>282 kg</t>
  </si>
  <si>
    <t>284 kg</t>
  </si>
  <si>
    <t>286 kg</t>
  </si>
  <si>
    <t>288 kg</t>
  </si>
  <si>
    <t>290 kg</t>
  </si>
  <si>
    <t>292 kg</t>
  </si>
  <si>
    <t>294 kg</t>
  </si>
  <si>
    <t>296 kg</t>
  </si>
  <si>
    <t>298 kg</t>
  </si>
  <si>
    <t>300 kg</t>
  </si>
  <si>
    <t>Poids</t>
  </si>
  <si>
    <t>Psionique</t>
  </si>
  <si>
    <t>SableP 358</t>
  </si>
  <si>
    <t>Site Web officiel/Sables Périlleux</t>
  </si>
  <si>
    <t>SableP 320</t>
  </si>
  <si>
    <t>Sables 347</t>
  </si>
  <si>
    <t>148/219/113/286</t>
  </si>
  <si>
    <t>une bouteille d’eau de mer (+2)</t>
  </si>
  <si>
    <t>quelques gouttes du sang d’un homme maudit (+1)</t>
  </si>
  <si>
    <t>SablesP 301</t>
  </si>
  <si>
    <t>SablesP 300</t>
  </si>
  <si>
    <t>SablesP 299</t>
  </si>
  <si>
    <t>SablesP 298</t>
  </si>
  <si>
    <t>SablesP 269</t>
  </si>
  <si>
    <t>SablesP 296</t>
  </si>
  <si>
    <t>SablesP 297</t>
  </si>
  <si>
    <t>Howdah (siège de bois sur camélidé)</t>
  </si>
  <si>
    <t>SablesP 74</t>
  </si>
  <si>
    <t>Tajine</t>
  </si>
  <si>
    <t>Zazwa (petite casserole munie d’une pipe)</t>
  </si>
  <si>
    <t>Djellaba</t>
  </si>
  <si>
    <t>Haïk</t>
  </si>
  <si>
    <t>Seroual</t>
  </si>
  <si>
    <t>Caftan (long manteau arabien)</t>
  </si>
  <si>
    <t>Karakou (veste arabienne de velours)</t>
  </si>
  <si>
    <t>Fez (chapeau arabien de velours)</t>
  </si>
  <si>
    <t>Chèche (Voile du désert arabien)</t>
  </si>
  <si>
    <t>Burnous (manteau arabien en laine)</t>
  </si>
  <si>
    <t>Arsenal 14/ SablesP 76</t>
  </si>
  <si>
    <t>Lin (1m²)</t>
  </si>
  <si>
    <t>SablesP 76</t>
  </si>
  <si>
    <t>Soie d'Arabie (1m²)</t>
  </si>
  <si>
    <t>Peau de vache/gnou (cuir)</t>
  </si>
  <si>
    <t>Peau de gazelle</t>
  </si>
  <si>
    <t>Peau de lion ébonnien</t>
  </si>
  <si>
    <t>Peau de mouton/chèvre</t>
  </si>
  <si>
    <t>Calcaire atalan (livre)</t>
  </si>
  <si>
    <t>Granit (livre)</t>
  </si>
  <si>
    <t>Grés (livre)</t>
  </si>
  <si>
    <t>Marbre de Ka Sabar (livre)</t>
  </si>
  <si>
    <t>Pierre de taille</t>
  </si>
  <si>
    <t>Construction</t>
  </si>
  <si>
    <t>Pierres précieuses</t>
  </si>
  <si>
    <t>Bijoux</t>
  </si>
  <si>
    <t>Calcédoine brute</t>
  </si>
  <si>
    <t>Teinture indigo (une livre)</t>
  </si>
  <si>
    <t>Huile d'argan (1l)</t>
  </si>
  <si>
    <t>Huile d'arachide (1l)</t>
  </si>
  <si>
    <t>Huile de palme (1l)</t>
  </si>
  <si>
    <t>Huile</t>
  </si>
  <si>
    <t>Bois de Cyprès (m²)</t>
  </si>
  <si>
    <t>Bois de Cèdre (m²)</t>
  </si>
  <si>
    <t>Bois de Gommier blanc (m²)</t>
  </si>
  <si>
    <t>Bois de Kadd (m²)</t>
  </si>
  <si>
    <t>Bois de Mahogany (m²)</t>
  </si>
  <si>
    <t>Bois de Palmier (m²)</t>
  </si>
  <si>
    <t>Bois d'Acacia (m²)</t>
  </si>
  <si>
    <t>Bois précieux</t>
  </si>
  <si>
    <t>Bois d'Amarante (m²)</t>
  </si>
  <si>
    <t>Bois d'Eucalyptus kureshi (m²)</t>
  </si>
  <si>
    <t>Bois de Pin arabien (m²)</t>
  </si>
  <si>
    <t>Bois de Liquidambar de Naggaroth (m²)</t>
  </si>
  <si>
    <t>Bois de Sycomore kislevite (m²)</t>
  </si>
  <si>
    <t>Aoilym (livre)</t>
  </si>
  <si>
    <t>Amande (livre)</t>
  </si>
  <si>
    <t>Baie de Khufa (livre)</t>
  </si>
  <si>
    <t>Banane (livre)</t>
  </si>
  <si>
    <t>Fèves de Cacao (livre)</t>
  </si>
  <si>
    <t>Datte (livre)</t>
  </si>
  <si>
    <t>Figue (livre)</t>
  </si>
  <si>
    <t>Kiwano (livre)</t>
  </si>
  <si>
    <t>Kiwi (livre)</t>
  </si>
  <si>
    <t>Noix de coco (livre)</t>
  </si>
  <si>
    <t>Orange (livre)</t>
  </si>
  <si>
    <t>Safou (livre)</t>
  </si>
  <si>
    <t>Salak (livre)</t>
  </si>
  <si>
    <t>Waad (livre)</t>
  </si>
  <si>
    <t>Pomme/Poire (livre)</t>
  </si>
  <si>
    <t>Cerise (livre)</t>
  </si>
  <si>
    <t>Fruits</t>
  </si>
  <si>
    <t>Mangue (livre)</t>
  </si>
  <si>
    <t>Abricot (livre)</t>
  </si>
  <si>
    <t>Prune/Pêche (livre)</t>
  </si>
  <si>
    <t>Rhubarbe (livre)</t>
  </si>
  <si>
    <t>Citron/Pamplemousse (livre)</t>
  </si>
  <si>
    <t>Pastèque/Melon (livre)</t>
  </si>
  <si>
    <t>Raisin de table (livre)</t>
  </si>
  <si>
    <t>Ananas (livre)</t>
  </si>
  <si>
    <t>Fraise/Framboise (livre)</t>
  </si>
  <si>
    <t>Myrtille/Groseille (livre)</t>
  </si>
  <si>
    <t>Epice et Plante</t>
  </si>
  <si>
    <t>SablesP 77</t>
  </si>
  <si>
    <t>Légumes</t>
  </si>
  <si>
    <t>Aubergine (une livre)</t>
  </si>
  <si>
    <t>Carotte (une livre)</t>
  </si>
  <si>
    <t>Citrouille (une livre)</t>
  </si>
  <si>
    <t>Concombre (une livre)</t>
  </si>
  <si>
    <t>Courgette (une livre)</t>
  </si>
  <si>
    <t>Gombo (une livre)</t>
  </si>
  <si>
    <t>Igname (une livre)</t>
  </si>
  <si>
    <t>Navet (une livre)</t>
  </si>
  <si>
    <t>Oignon (une livre)</t>
  </si>
  <si>
    <t>Poivron rouge (une livre)</t>
  </si>
  <si>
    <t>Poivron vert (une livre)</t>
  </si>
  <si>
    <t>Pomme de terre (une livre)</t>
  </si>
  <si>
    <t>Tomate (une livre)</t>
  </si>
  <si>
    <t>Chou fleur (une livre)</t>
  </si>
  <si>
    <t>Pois/Haricots (une livre)</t>
  </si>
  <si>
    <t>Asperge/Salsifis (une livre)</t>
  </si>
  <si>
    <t>Endive (une livre)</t>
  </si>
  <si>
    <t>Champignons des bois (une livre)</t>
  </si>
  <si>
    <t>Farine</t>
  </si>
  <si>
    <t>Farine d'arachide (une livre)</t>
  </si>
  <si>
    <t>SablesP 78</t>
  </si>
  <si>
    <t>Arsenal 14/SablesP 77</t>
  </si>
  <si>
    <t>Farine de caroube (une livre)</t>
  </si>
  <si>
    <t>Farine de haricot blanc (une livre)</t>
  </si>
  <si>
    <t>Farine de fonio (une livre)</t>
  </si>
  <si>
    <t>Farine d'igname (une livre)</t>
  </si>
  <si>
    <t>Farine de pois (une livre)</t>
  </si>
  <si>
    <t>Farine de sorgho (une livre)</t>
  </si>
  <si>
    <t>Anis (une livre)</t>
  </si>
  <si>
    <t>Ase (une livre)</t>
  </si>
  <si>
    <t>Badiane (une livre)</t>
  </si>
  <si>
    <t>Cumin (une livre)</t>
  </si>
  <si>
    <t>Diar (une livre)</t>
  </si>
  <si>
    <t>Fleur d’olla (une livre)</t>
  </si>
  <si>
    <t>Gomme arabienne (une livre)</t>
  </si>
  <si>
    <t>Malibir (une livre)</t>
  </si>
  <si>
    <t>Mélisse (une livre)</t>
  </si>
  <si>
    <t>Muscade (une livre)</t>
  </si>
  <si>
    <t>Poivre noir (une livre)</t>
  </si>
  <si>
    <t>Poivre rouge (une livre)</t>
  </si>
  <si>
    <t>Poivre vert (une livre)</t>
  </si>
  <si>
    <t>Qanjao (une livre)</t>
  </si>
  <si>
    <t>Tamarin (une livre)</t>
  </si>
  <si>
    <t>Vanille (une livre)</t>
  </si>
  <si>
    <t>Wilelaiki (une livre)</t>
  </si>
  <si>
    <t>Origan séché (une livre)</t>
  </si>
  <si>
    <t>Thym séché (une livre)</t>
  </si>
  <si>
    <t>Clous de Girofle (une livre)</t>
  </si>
  <si>
    <t>Romarin séché (une livre)</t>
  </si>
  <si>
    <t>Sables 80</t>
  </si>
  <si>
    <t>Bouzouk (luth arabien)</t>
  </si>
  <si>
    <t>Davul (tambour arabien)</t>
  </si>
  <si>
    <t>Daff (tambourin arabien)</t>
  </si>
  <si>
    <t>Darbouka (tambourin à clochettes arabien)</t>
  </si>
  <si>
    <t>Taïko (tambour à deux faces nippon)</t>
  </si>
  <si>
    <t>Riqq (tambourin arabien)</t>
  </si>
  <si>
    <t>Sajat (la paire de cimbales)</t>
  </si>
  <si>
    <t>Castagnettes estaliennes (la paire)</t>
  </si>
  <si>
    <t>Cornemuse albionnaise</t>
  </si>
  <si>
    <t>Agoun (pour un plat)</t>
  </si>
  <si>
    <t>Ata (la pièce)</t>
  </si>
  <si>
    <t>Bazeen</t>
  </si>
  <si>
    <t>Bsissa</t>
  </si>
  <si>
    <t>Chorba</t>
  </si>
  <si>
    <t>Feqqas (les 10)</t>
  </si>
  <si>
    <t>Harcha</t>
  </si>
  <si>
    <t>Hommos</t>
  </si>
  <si>
    <t>Kefta (les 3)</t>
  </si>
  <si>
    <t>Kefjeti</t>
  </si>
  <si>
    <t>Kesra</t>
  </si>
  <si>
    <t>Makkroud</t>
  </si>
  <si>
    <t>Mkhalaa (1 pour 5 personnes)</t>
  </si>
  <si>
    <t>Mopane</t>
  </si>
  <si>
    <t>Sder</t>
  </si>
  <si>
    <t>Taghella</t>
  </si>
  <si>
    <t>Tahricht</t>
  </si>
  <si>
    <t>Cassoulet garni (complet pour une personne)</t>
  </si>
  <si>
    <t>Salade garnie (complète pour une personne)</t>
  </si>
  <si>
    <t>SablesP 81</t>
  </si>
  <si>
    <t>Plat traditionnel cathayen</t>
  </si>
  <si>
    <t>Plat traditionnel nippon</t>
  </si>
  <si>
    <t>SablesP 87</t>
  </si>
  <si>
    <t>Arsenal 14/ SablesP 77</t>
  </si>
  <si>
    <t>Arsenal 73/ SablesP78</t>
  </si>
  <si>
    <t>SablesP 266</t>
  </si>
  <si>
    <t>SablesP 75</t>
  </si>
  <si>
    <t>Al-koskoso(complet pour une personne)</t>
  </si>
  <si>
    <t>Viande (Plat de Venaisons en sauce)</t>
  </si>
  <si>
    <t>Jus de baie de Khufa/Arbi (1l)</t>
  </si>
  <si>
    <t>Lait battu/Dough (1l)</t>
  </si>
  <si>
    <t>Jus de tubercules chufa/Horchata (1l)</t>
  </si>
  <si>
    <t>Boisson chaude aux fleurs/Karkadé (1l)</t>
  </si>
  <si>
    <t>Alcool de lait de jument/Kimiz (1l)</t>
  </si>
  <si>
    <t>Lait d’olla (1l)</t>
  </si>
  <si>
    <t>Alcool de palmier/Legmi (1l)</t>
  </si>
  <si>
    <t>Alcool de sorgho/Tialva</t>
  </si>
  <si>
    <t>SablesP 84</t>
  </si>
  <si>
    <t>Pastis/ Arag (1l)</t>
  </si>
  <si>
    <t>Sirop de fruit/Sorbet/Sharab (1l)</t>
  </si>
  <si>
    <t>Pastis fort/Arak (1l)</t>
  </si>
  <si>
    <t>Porto estalien (1l)</t>
  </si>
  <si>
    <t>Grapa tiléene (1l)</t>
  </si>
  <si>
    <t>Cognac bretonnien (1l)</t>
  </si>
  <si>
    <t>Eau-de-vie bretonnienne (1l)</t>
  </si>
  <si>
    <t>SablesP 83</t>
  </si>
  <si>
    <t>Alcool fort local (1l)</t>
  </si>
  <si>
    <t>Tabak turjuk/Balikesir (une livre)</t>
  </si>
  <si>
    <t>Tabac d'Inja/Bosikappal (une livre)</t>
  </si>
  <si>
    <t>Tabac puissant/Celikhan (une livre)</t>
  </si>
  <si>
    <t>Tabac épicé/Dokha (une livre)</t>
  </si>
  <si>
    <t>Hashish (une livre)</t>
  </si>
  <si>
    <t>Racines d'Iboga (une livre)</t>
  </si>
  <si>
    <t>Tabac léger/Izmir (une livre)</t>
  </si>
  <si>
    <t>Sirop de tabac/Mu’assel (une livre)</t>
  </si>
  <si>
    <t>Tabac parfumé/Naswār (une livre)</t>
  </si>
  <si>
    <t>Noix de gola (une livre)</t>
  </si>
  <si>
    <t>Opium (une livre)</t>
  </si>
  <si>
    <t>Tabac arabéen/Sherazi (une livre)</t>
  </si>
  <si>
    <t>Guerrier Né</t>
  </si>
  <si>
    <t>Connaissances académiques (théologie)</t>
  </si>
  <si>
    <t>Connaissances générales (Estalie)</t>
  </si>
  <si>
    <t>Affinité provinciale (Cité-État de Magritta), Grand Voyageur</t>
  </si>
  <si>
    <t xml:space="preserve">Connaissances académiques (droit), Métier (homme de loi)
</t>
  </si>
  <si>
    <t>Plat de pâtes tiléenes au piestou</t>
  </si>
  <si>
    <t>Bandit de grand chemin, Chamelier/Cornac, Cartographe, Collecteur de taxes, Conducteur de bestiaux, Conducteur de pousse-pousse, Contrebandier, Herrimault, Hors-la-loi, Passeur, Patrouilleur, Pisteur</t>
  </si>
  <si>
    <t>Apothicaire, Astrologue, Compagnon sorcier, Dilettante, Érudit, Scribe, Shugenja/Sädhu</t>
  </si>
  <si>
    <t>Agitateur, Ancien de Village, Avoué, Baron du crime, Catéchiste, Charlatan, Chasseur de vampires, Chef de bande, Contremaître, Derviche, Escroc, Femme-médecine, Flagellant, Frère de la cape, Herrimault, Hors-la-loi, Initié, Joueur, Maître-artisan, Médiateur, Ménestrel, Moine, Moine mendiant, Murshid, Mystique, Pamphlétaire, Pèlerin, Plaideur, Politicien, Prêcheur de rue, Prélat, Prêtre consacré, Raconteur, Répurgateur, Sans-visage, Sahir Râb, Shugenja/Sädhu, Staraja vedma, Sycophante, Vendeur de journaux</t>
  </si>
  <si>
    <t>Prêtre, Prêtre consacré, Shugenja/Sädhu</t>
  </si>
  <si>
    <t>Shugenja/Sähdu</t>
  </si>
  <si>
    <t>Camel Driver/ Mahout</t>
  </si>
  <si>
    <t>Royaume de Kosala</t>
  </si>
  <si>
    <t xml:space="preserve">Compétences: Connaissances académiques (histoire), Connaissances générales (Inja), Langue (Injahya). Talents: Affinité provinciale (Royaume de Kosala), 1 talent déterminé aléatoirement </t>
  </si>
  <si>
    <t>Royaume de Kurya</t>
  </si>
  <si>
    <t xml:space="preserve">Compétences: Commérage OU Métier (un au choix), Connaissances générales (Inja), Langue (Injahya). Talents: Affinité provinciale (Royaume de Kurya), 1 talent déterminé aléatoirement </t>
  </si>
  <si>
    <t>ex-Empire Constantin</t>
  </si>
  <si>
    <t>ex-Royaume Strigany</t>
  </si>
  <si>
    <t xml:space="preserve">ex-Empire Maghadan </t>
  </si>
  <si>
    <t>Royaume de Lankshmana</t>
  </si>
  <si>
    <t>Compétences: Commérage OU Expression artistique (une au choix), Connaissances générales (Inja), Langue (Injahya). Talents: Affinité provinciale (Royaume de Lankshmana), Talent artistique</t>
  </si>
  <si>
    <t>Royaume de Gandharva</t>
  </si>
  <si>
    <t>Compétences: Connaissances académiques (Théologie ou Philosophie), Connaissances générales (Inja), Langue (Injahya), Résistance à l'alcool, Survie. Talents: Affinité provinciale (Royaume de Gandharva), Méditation</t>
  </si>
  <si>
    <t>Jungles de Kamyaka et Dandaka</t>
  </si>
  <si>
    <t>Royaume de Bahlluka</t>
  </si>
  <si>
    <t xml:space="preserve">Compétences: Connaissances générales (Inja), Langue (Injahya ou pygméen), Orientation, Survie. Talents: Affinité provinciale (Jungles de Kamyaka et Dandaka), 1 talent déterminé aléatoirement </t>
  </si>
  <si>
    <t xml:space="preserve">Compétences: Connaissances générales (Lustrie ou Homme-lézards), Langue (lustrien ou pygméen), Orientation, Survie. Talents: Affinité provinciale (Jungles de Lustrie), 1 talent déterminé aléatoirement </t>
  </si>
  <si>
    <t>Amazonie</t>
  </si>
  <si>
    <t>Royaume de Panchala</t>
  </si>
  <si>
    <t>Royaume de Singha</t>
  </si>
  <si>
    <t>Amazones</t>
  </si>
  <si>
    <t>Connaissances générales (Nippon)</t>
  </si>
  <si>
    <t>Guerrier Né, Maitrise (une au choix) ou Lutte, Valeureux</t>
  </si>
  <si>
    <t>Connaissances générales (Kislev), Métier (homme de loi), Perception, Pistage, Résistance à l'alcool</t>
  </si>
  <si>
    <t>Coups Puissants, Guerrier Né</t>
  </si>
  <si>
    <t>Connaissances générales (Kislev), Perception, Résistance à l'alcool</t>
  </si>
  <si>
    <t>Commandement, Connaissances générales (Désolations du Chaos), Équitation, Fouille, Intimidation, Langue (norse, Kurgan ou hung), Orientation, Perception, Pistage, Soins des animaux, Survie</t>
  </si>
  <si>
    <t>vieux kanjis cathayens</t>
  </si>
  <si>
    <t>vieux kanjis nipponais</t>
  </si>
  <si>
    <t>vieux sanscrit indhya</t>
  </si>
  <si>
    <t>Duché de Saragosse</t>
  </si>
  <si>
    <t xml:space="preserve">Compétences: Commérage OU Métier (un au choix), Connaissances générales (Estalie), Langue (estalien), Marchandage. Talents: Affinité provinciale (Duché de Saragosse), 1 talent déterminé aléatoirement </t>
  </si>
  <si>
    <t>Royaume de Tigarre</t>
  </si>
  <si>
    <t>Duché de Cantonie</t>
  </si>
  <si>
    <t xml:space="preserve">Compétences: Commérage OU Métier (un au choix), Connaissances générales (Estalie), Langue (estalien), Marchandage. Talents: Affinité provinciale (Duché de Cantonie), 1 talent déterminé aléatoirement </t>
  </si>
  <si>
    <t>Ile d'Harakaï</t>
  </si>
  <si>
    <t>Ile de Kapado</t>
  </si>
  <si>
    <t>Ile de Shinzen</t>
  </si>
  <si>
    <t>Ile de Shugintsu</t>
  </si>
  <si>
    <t>Sheeva</t>
  </si>
  <si>
    <t>Les Diatribes de Drivot</t>
  </si>
  <si>
    <t>Les écrits de Stillmensch</t>
  </si>
  <si>
    <t>Connaissances générales (Amazones), Langage mystique (vieux slaan), Préparation de poisons, Survie</t>
  </si>
  <si>
    <t>Harmonie aethyrique ou Magie noire, Magie mineure (2 au choix), Lutte OU Combat de Rue OU Maîtrise (une au choix), Inspiration Divine (une au choix), une au choix parmi : Science de la magie ou Sombre savoir</t>
  </si>
  <si>
    <t>Colonie Skeggi de Lustrie</t>
  </si>
  <si>
    <t>Griffe des Anciens</t>
  </si>
  <si>
    <t>Arme à 1 main, Perforante, Réussir un Test E ou obtient une Mutation</t>
  </si>
  <si>
    <t>Bâton/Gantelet du Soleil</t>
  </si>
  <si>
    <t>Amulette de la Lune (Rigg)</t>
  </si>
  <si>
    <t>Armes naturelles, Coups précis, Coups puissants, Sans peur, Sens aiguisés, Vision nocturne</t>
  </si>
  <si>
    <t>Terradon</t>
  </si>
  <si>
    <t>Amulette Bouclier amazone</t>
  </si>
  <si>
    <t>Pour chaque Blessure lancez 1d10. Si résultat&gt;Blessure, elles sont annulées.</t>
  </si>
  <si>
    <t>Pour chaque sort lancé sur le Porteur: +1 Mag à son prochain test d'incantation</t>
  </si>
  <si>
    <t>Armure de Cristal d'Azur amazone</t>
  </si>
  <si>
    <t>Usage Unique: la cible doit relancer sont test d'Attaque ou d'Incantation</t>
  </si>
  <si>
    <t>Décoction de Racines Bleues</t>
  </si>
  <si>
    <t>SablesP 299/ Web</t>
  </si>
  <si>
    <t>RdS 206/ Web</t>
  </si>
  <si>
    <t>Pièce de bronze (Nippon)</t>
  </si>
  <si>
    <t>Chandelle du Vide</t>
  </si>
  <si>
    <t>Tant qu'elle brûle a les Pouvoirs de familier: Main du Maître et Voix du Maître</t>
  </si>
  <si>
    <t>Encensoir Saint</t>
  </si>
  <si>
    <r>
      <t xml:space="preserve">Confère le Talent </t>
    </r>
    <r>
      <rPr>
        <i/>
        <sz val="10"/>
        <rFont val="Arial"/>
        <family val="2"/>
      </rPr>
      <t>Projectile puissant</t>
    </r>
  </si>
  <si>
    <t>LRdS 198/ Web</t>
  </si>
  <si>
    <t>Jeton du Dragon de Jade (Cathay)</t>
  </si>
  <si>
    <t>Lancez un d10: (1-5) -1d4 Mag;(6-10)+ 1d4 Mag pour le prochain test d'Incantation</t>
  </si>
  <si>
    <t>Gong de Tsao Tsao</t>
  </si>
  <si>
    <t>Quand il résonne: les Structures et armes de guerre subissent 1d6 x6 Blessures</t>
  </si>
  <si>
    <t>Couronne de Bilbali</t>
  </si>
  <si>
    <t>Couronne royale exceptionnelle: +20% en Charisme</t>
  </si>
  <si>
    <t>Alliés à vue: La valeur de CC et de CT de leur 1ère atk est doublée/combat</t>
  </si>
  <si>
    <t>Bâton de Tomas le Pur</t>
  </si>
  <si>
    <t>L'art de l'habileté politique de Gossipa Lotta</t>
  </si>
  <si>
    <t>Chroniques Tiléenes</t>
  </si>
  <si>
    <t>Armure d'or de Mambrinio</t>
  </si>
  <si>
    <t>Immunise contre la Fureur d'Ulric (seul le 1er dé de Blessure compte)</t>
  </si>
  <si>
    <t>Sang d'auroch</t>
  </si>
  <si>
    <t>un taureau vivant (+2)</t>
  </si>
  <si>
    <t>une dizaine de dents (+1)</t>
  </si>
  <si>
    <t>des os frais (+1)</t>
  </si>
  <si>
    <t>Domaine de La Gueule (Gastromancie)</t>
  </si>
  <si>
    <t>Magie commune (La Gueule), Résistance aux maladies, Résistance aux poisons</t>
  </si>
  <si>
    <t>Gastronomie</t>
  </si>
  <si>
    <t>Connaissances académiques (Gastronomie), Métier (cuisinier/marmiton)</t>
  </si>
  <si>
    <t>Connaissances académiques (Gastronomie) OU Métier (brasseur)</t>
  </si>
  <si>
    <t>Pygmées</t>
  </si>
  <si>
    <t>Compétences: Connaissances générales (Lustrie ou Terres du Sud ou Khuresh), Orientation, Survie</t>
  </si>
  <si>
    <t>Connaissances académiques (Théologie), Orientation, Pistage, Survie + Folie (Dépendance (Feuilles de Koka))</t>
  </si>
  <si>
    <t>Grundadrakk</t>
  </si>
  <si>
    <t>Iles du Dragon</t>
  </si>
  <si>
    <t xml:space="preserve">Connaissances générales (Dragons et draconides), Escalade, Langue (deux au choix), Perception, Pistage, Survie </t>
  </si>
  <si>
    <t>Agitateur, Fanatique, Hors-la-loi, Magus de Khorne, Maraudeur, Vétéran/Longue Barbe</t>
  </si>
  <si>
    <t>Capitaine, Cavalcadour, Franc-archer, Mercenaire, Nomade de la steppe, Pisteur, Vétéran/Longue Barbe</t>
  </si>
  <si>
    <t>Chamelier/Cornac, Garde du corps, Méhariste, Sergent, Vétéran/Longue Barbe</t>
  </si>
  <si>
    <t>Champion, Chef de bande, Héraut, Intendant, Sheikh, Vétéran/Longue Barbe</t>
  </si>
  <si>
    <t>Maraudeur, Métayer, Navigateur, Pillard, Vétéran/Longue Barbe</t>
  </si>
  <si>
    <t>Gladiateur, Homme lige, Maraudeur, Marin, Mercenaire, Pillard, Sergent, Vétéran/Longue Barbe</t>
  </si>
  <si>
    <t>Artisan, Capitaine, Maître de guilde, Mercenaire, Vétéran/Longue Barbe</t>
  </si>
  <si>
    <t>Capitaine, Champion, Guerrier du Chaos, Pillard, Vétéran/Longue Barbe</t>
  </si>
  <si>
    <t>Pisteur, Prêtre, Vétéran/Longue Barbe</t>
  </si>
  <si>
    <t>Capitaine, Champion, Chevalier du Cercle Intérieur, Répurgateur, Vétéran/Longue Barbe</t>
  </si>
  <si>
    <t>Contrebandier, Égoutier, Garde des profondeurs, Gladiateur, Pilleur de tombes, Porterune, Sergent, Vétéran/Longue Barbe</t>
  </si>
  <si>
    <t>Aristocrate, Chevalier, Sergent, Vétéran/Longue Barbe</t>
  </si>
  <si>
    <t>Aristocrate, Capitaine, Champion de justice, Chevalier du Cercle Intérieur, Explorateur, Initié, Vétéran/Longue Barbe</t>
  </si>
  <si>
    <t>Chantelame, Hors-la-loi, Vétéran/Longue Barbe</t>
  </si>
  <si>
    <t>Vétéran/Longue Barbe</t>
  </si>
  <si>
    <t>Artisan, Aubergiste, Marchand, Paysan, Vétéran/Longue Barbe</t>
  </si>
  <si>
    <t>Archer monté, Chasseur, Chasseur de primes, Chasseur de vampires, Homme oiseau de Catrazza, Prince des voleurs, Rôdeur fantôme, Vétéran/Longue Barbe</t>
  </si>
  <si>
    <t>Assassin, Baron du crime, Courtisan, Démagogue, Espion, Moine, Pisteur, Politicien, Prince des voleurs, Répurgateur, Vétéran/Longue Barbe</t>
  </si>
  <si>
    <t>Assassin, Baron du crime, Charlatan, Démagogue, Dilettante, Espion, Pisteur, Politicien, Prince des voleurs, Répurgateur, Sycophante, Vétéran/Longue Barbe</t>
  </si>
  <si>
    <t>Contrebandier, Explorateur, Ingénieur, Mercenaire, Sergent, Vétéran/Longue Barbe</t>
  </si>
  <si>
    <t>Chasseur, Chevaucheur d'Aigle de Guerre/Terradon, Danseur de guerre, Éclaireur, Pisteur, Vagabond, Vétéran/Longue Barbe</t>
  </si>
  <si>
    <t>Démagogue, Médiateur, Pèlerin du Graal, Pisteur, Vagabond, Vétéran/Longue Barbe, Voleur</t>
  </si>
  <si>
    <t>Berserk norse, Chef de guerre, Garde du corps, Maraudeur, Mercenaire, Métayer, Pillard, Scalde, Vétéran/Longue Barbe</t>
  </si>
  <si>
    <t>Chevalier, Sergent, Vétéran/Longue Barbe.</t>
  </si>
  <si>
    <t>Dilettante, Érudit, Seigneur des runes, Vétéran/Longue Barbe</t>
  </si>
  <si>
    <t>Askari, Pillard du désert, Sergent, Vétéran/Longue Barbe</t>
  </si>
  <si>
    <t>Batelier, Hors-la-loi, Matelot, Vétéran/Longue Barbe, Voleur</t>
  </si>
  <si>
    <t>Prophète, Sans-visage, Sergent, Vagabond, Vétéran/Longue Barbe</t>
  </si>
  <si>
    <t>Cavalcadour, Chevalier, Courtisan, Duelliste, Sergent, Vétéran/Longue Barbe</t>
  </si>
  <si>
    <t>Apprenti maître des runes, Combattant des tunnels, Interprète, Pilleur de tombes, Pisteur, Ratier, Vétéran/Longue Barbe</t>
  </si>
  <si>
    <t>Ancien de Village, Aristocrate, Baron du crime, Chef de bande, Chevalier de la Quête, Chevalier du Graal, Chevalier du Royaume, Démagogue, Intendant, Pèlerin exalté, Politicien, Vétéran/Longue Barbe, Yeoman</t>
  </si>
  <si>
    <t>Bourgeois, Ingénieur, Ingénieur de siège, Mercenaire, Milicien, Soldat, Vétéran/Longue Barbe</t>
  </si>
  <si>
    <t>Espion, Maître de guilde, Vétéran/Longue Barbe</t>
  </si>
  <si>
    <t>Bourreau, Espion, Garde, Geôlier, Mercenaire, Racketteur, Sergent, Soldat, Vétéran/Longue Barbe</t>
  </si>
  <si>
    <t>Fanatique, Garde du corps, Grande griffe, Mercenaire, Vétéran/Longue Barbe</t>
  </si>
  <si>
    <t>Courtisan, Dilettante, Envoûteur, Pisteur, Sergent,Sorcière de glace, Vétéran/Longue Barbe</t>
  </si>
  <si>
    <t>Canonnier, Contrebandier, Dilettante, Explorateur, Homme oiseau de Catrazza, Maître-artisan, Maître de guilde, Pamphlétaire, Pistolier/Foudroyeur</t>
  </si>
  <si>
    <t>Pistolier/Foudroyeur</t>
  </si>
  <si>
    <t>Grande griffe, Ingénieur, Pistolier/Foudroyeur</t>
  </si>
  <si>
    <t>Artisan, Garde du corps, Grande griffe, Ingénieur, Mercenaire, Pistolier/Foudroyeur</t>
  </si>
  <si>
    <t>Commandement, Esquive, Langage Secret (langage de bataille), Lire/écrire</t>
  </si>
  <si>
    <t>Coups Puissants, Menaçant</t>
  </si>
  <si>
    <t>Natation, Pistage, Préparation de poisons, Survie</t>
  </si>
  <si>
    <t xml:space="preserve">Amulette du Cœur de Dragon </t>
  </si>
  <si>
    <r>
      <t>Sort permanant:</t>
    </r>
    <r>
      <rPr>
        <i/>
        <sz val="10"/>
        <rFont val="Arial"/>
        <family val="2"/>
      </rPr>
      <t xml:space="preserve"> Linceul de ténèbres</t>
    </r>
  </si>
  <si>
    <t>Connaissances générales (Terres des Morts)</t>
  </si>
  <si>
    <t>Urfsjordings</t>
  </si>
  <si>
    <t>Compétences: Connaissances générales (Norsca), Escalade, Intimidation, Langue (norse), Perception, Pistage, Survie Talents: Coups précis, Coups puissants, Effrayant, Maîtrise (armes lourdes), Sens aiguisés Mutations: aspect bestial (ours) ou jambes d’animal (ours)</t>
  </si>
  <si>
    <t>Croc d'ours de la Tribu de Beorg</t>
  </si>
  <si>
    <t>Mutation: Garou (ours)</t>
  </si>
  <si>
    <t>Histoire de l’Empire/Historiata Imperiatus</t>
  </si>
  <si>
    <t>MdlN 76/ Web</t>
  </si>
  <si>
    <t>Bannière de Malédiction</t>
  </si>
  <si>
    <t>Grand Voyageur, Mort-Vivant, Parmi les morts</t>
  </si>
  <si>
    <t>Maitrise (arc long), Mort-Vivant, Parmi les morts</t>
  </si>
  <si>
    <t>Connaissance des pièges, Magie commune (occulte), Magie Mineure (deux au choix)</t>
  </si>
  <si>
    <t>Morille</t>
  </si>
  <si>
    <t>Ponppon</t>
  </si>
  <si>
    <t>Frogon</t>
  </si>
  <si>
    <t>Hanes</t>
  </si>
  <si>
    <t>Mythe Dawi</t>
  </si>
  <si>
    <t>Traité sur l’Engeance du Chaos de Dieter Liebnitz</t>
  </si>
  <si>
    <t>Divinations de Nowl l’Aveugle</t>
  </si>
  <si>
    <t>Mutations: aspect bestial, cornes (2 fois), croissance (ghorgon uniquement), bras supplémentaires (2 fois ghorgon uniquement) et jambes d’animal, Compétences : Intimidation, Langue (langage sombre), Perception, Pistage, Survie Talents : Camouflage rural, Coups précis, Coups puissants, Effrayant, Maîtrise (armes lourdes), Sens aiguisés, Sens de la magie (cygor et ghorgon uniquement)</t>
  </si>
  <si>
    <t>Connaissances générales (skavens), Dissimulation, Dressage</t>
  </si>
  <si>
    <t>Connaissances générales (Bretonnie)</t>
  </si>
  <si>
    <t>Affinité provinciale (Forêt d'Arden), Force accrue</t>
  </si>
  <si>
    <t>Dressage OU Emprise sur les animaux</t>
  </si>
  <si>
    <t>Connaissances générales (Empire), Dressage OU Emprise sur les animaux</t>
  </si>
  <si>
    <t>yeux monstre</t>
  </si>
  <si>
    <t>Baratin, Connaissances générales (peuple qui vous a réduit en esclavage), Dissimulation, Fouille, Langue (celle du peuple qui vous a réduit en esclavage), Perception</t>
  </si>
  <si>
    <t>Connaissances générales (skavens OU Hommes-bêtes OU Hommes-lézards), Déplacement silencieux, Dissimulation, Escalade, Survie</t>
  </si>
  <si>
    <t>VD2 13</t>
  </si>
  <si>
    <t>LRR 53</t>
  </si>
  <si>
    <t>LRS 217</t>
  </si>
  <si>
    <t>SoE 60</t>
  </si>
  <si>
    <t>LRG 98</t>
  </si>
  <si>
    <t>LTC 156</t>
  </si>
  <si>
    <t>LCG 96</t>
  </si>
  <si>
    <t>SoE 92</t>
  </si>
  <si>
    <t>CC 44</t>
  </si>
  <si>
    <t>SotM 59</t>
  </si>
  <si>
    <t>CC 62</t>
  </si>
  <si>
    <t>VD1 29</t>
  </si>
  <si>
    <t>LMN 93</t>
  </si>
  <si>
    <t>SP 210</t>
  </si>
  <si>
    <t>CC 72</t>
  </si>
  <si>
    <t>CC 77</t>
  </si>
  <si>
    <t>LC 84</t>
  </si>
  <si>
    <t>LTR 196</t>
  </si>
  <si>
    <t>SP 212</t>
  </si>
  <si>
    <t>LDD 29</t>
  </si>
  <si>
    <t>LTC 171</t>
  </si>
  <si>
    <t>LMN 95</t>
  </si>
  <si>
    <t>LC 25</t>
  </si>
  <si>
    <t>LRG 104</t>
  </si>
  <si>
    <t xml:space="preserve"> LC 25</t>
  </si>
  <si>
    <t>LTR 177</t>
  </si>
  <si>
    <t>LCG 101</t>
  </si>
  <si>
    <t>LTR 118</t>
  </si>
  <si>
    <t>TaT 12</t>
  </si>
  <si>
    <t>SP 215</t>
  </si>
  <si>
    <t>SoTM 59</t>
  </si>
  <si>
    <t>TaT 17</t>
  </si>
  <si>
    <t>LHS 123</t>
  </si>
  <si>
    <t>SP 217</t>
  </si>
  <si>
    <t>LTC 160</t>
  </si>
  <si>
    <t>LFRC 97</t>
  </si>
  <si>
    <t>VD2 19</t>
  </si>
  <si>
    <t>WJDR 61</t>
  </si>
  <si>
    <t>21-25</t>
  </si>
  <si>
    <t>26-30</t>
  </si>
  <si>
    <t>93-100</t>
  </si>
  <si>
    <t>89-92</t>
  </si>
  <si>
    <t>86-87</t>
  </si>
  <si>
    <t>80-85</t>
  </si>
  <si>
    <t>75-77</t>
  </si>
  <si>
    <t>50-69</t>
  </si>
  <si>
    <t>40-49</t>
  </si>
  <si>
    <t>31-39</t>
  </si>
  <si>
    <t>13-15</t>
  </si>
  <si>
    <t>4-12</t>
  </si>
  <si>
    <t>Lupin</t>
  </si>
  <si>
    <t>Maîtrise (Lance-pierre), Sens de l'orientation</t>
  </si>
  <si>
    <t>Braconnage, Connaissances académiques (Gastronomie), Esquive, Métier (cuisinier/marmiton), Pistage</t>
  </si>
  <si>
    <t>Marchandage, Préparation de poisons</t>
  </si>
  <si>
    <t>La vie d’un mercenaire dans les Principautés Frontalières de Detlev Veidt</t>
  </si>
  <si>
    <t>Histoire/Stratégie/Tactique</t>
  </si>
  <si>
    <t>Connaissances générales (Lustrie) ou Connaissances générales (Hommes-lézards), Navigation, Survie</t>
  </si>
  <si>
    <t>Connaissances générales (droit), Connaissances générales (une au choix), Métier (Homme de loi)</t>
  </si>
  <si>
    <t>+5% CC VS orques, Gobelin/Snotlings et Hobgobelins</t>
  </si>
  <si>
    <t>Barakgrund</t>
  </si>
  <si>
    <t>Broie-Gobelin</t>
  </si>
  <si>
    <t>Maitrise (trois arme au choix)</t>
  </si>
  <si>
    <t>Acrobatie équestre, Maîtrise ( cavalerie)</t>
  </si>
  <si>
    <t>Coups assomants, Coups Puissants, Maîtrise (lourde et fléaux)</t>
  </si>
  <si>
    <t>Fureur vengeresse, Maitrise (lourde)</t>
  </si>
  <si>
    <t>Maitrise (lourde), Menaçant</t>
  </si>
  <si>
    <t>Frénésie, Maitrise (lourde)</t>
  </si>
  <si>
    <t>Maitrise (lourde)</t>
  </si>
  <si>
    <t>Maitrise (à poudre)</t>
  </si>
  <si>
    <t>Maitrise (à poudre), Grand Voyageur</t>
  </si>
  <si>
    <t>Maitrise (à poudre) ou Maitrise (Explosifs)</t>
  </si>
  <si>
    <t>Maitrise (à poudre) ou Maitrise (Arbalètes) ou Maitrise ( Parade)</t>
  </si>
  <si>
    <t>Maîtrise (2 mains), Grand Voyageur</t>
  </si>
  <si>
    <t>Frénésie, Maîtrise (Arbalète et 2 mains), Rechargement rapide</t>
  </si>
  <si>
    <t>Frénésie, Grand Voyageur, Maîtrise (Arbalète et 2 mains), Sans Peur</t>
  </si>
  <si>
    <t>Fils du Désert, Maîtrise (2 mains)</t>
  </si>
  <si>
    <t>Guerrier Né, Maitrise (2 mains)</t>
  </si>
  <si>
    <t>Coups Puissant, Frénésie, Maitrise (2 mains)</t>
  </si>
  <si>
    <t>Désarmement, Maitrise (escrime)</t>
  </si>
  <si>
    <t>Connaissances générales (Tilée), Déplacement silencieux, Dissimulation, Esquive</t>
  </si>
  <si>
    <r>
      <t>Petit gabarit: Talent</t>
    </r>
    <r>
      <rPr>
        <i/>
        <sz val="10"/>
        <rFont val="Arial"/>
        <family val="2"/>
      </rPr>
      <t xml:space="preserve"> Troublant</t>
    </r>
    <r>
      <rPr>
        <sz val="10"/>
        <rFont val="Arial"/>
        <family val="2"/>
      </rPr>
      <t xml:space="preserve"> face à toute unité ennemie</t>
    </r>
  </si>
  <si>
    <t>Marteau des Sorcières</t>
  </si>
  <si>
    <t>Confère le Talent Résistance à la magie</t>
  </si>
  <si>
    <t>Van Hel</t>
  </si>
  <si>
    <t>Von Blodfel</t>
  </si>
  <si>
    <t>Hasburg</t>
  </si>
  <si>
    <t>H</t>
  </si>
  <si>
    <t>Jungles de Khuresh</t>
  </si>
  <si>
    <t>Iles Perdues d'Elithis</t>
  </si>
  <si>
    <t xml:space="preserve">Compétences: Connaissances générales (Elfes), Connaissances générales (Khuresh), Langue (eltarin). Talents : Affinité provinciale (Iles Perdues d'Elithis) </t>
  </si>
  <si>
    <t>Sultanat d'Aiir</t>
  </si>
  <si>
    <t>Sultanat d'Alhaka</t>
  </si>
  <si>
    <t>Sheikat d'Al-Itzarr</t>
  </si>
  <si>
    <t>Sultanat d'Amhabal</t>
  </si>
  <si>
    <t>Emirat de Bur-Shitrak</t>
  </si>
  <si>
    <t>Emirat de Copher</t>
  </si>
  <si>
    <t>Royaume de Dimashque</t>
  </si>
  <si>
    <t>Sultanat d'El Kabbath</t>
  </si>
  <si>
    <t>Califat d'El Kalabad</t>
  </si>
  <si>
    <t>Emirat de Gobi-Alain</t>
  </si>
  <si>
    <t>Sultanant d'Istrabul</t>
  </si>
  <si>
    <t>Principauté de Jubail/Iles Sorcières</t>
  </si>
  <si>
    <t>Emirat de Kadira</t>
  </si>
  <si>
    <t>Califats de Kamt</t>
  </si>
  <si>
    <t>Califat de Ka-Sabar</t>
  </si>
  <si>
    <t>Royaume de Khalibon</t>
  </si>
  <si>
    <t>Sheikat de Lashiek</t>
  </si>
  <si>
    <t>Sheikat de Lazzara</t>
  </si>
  <si>
    <t>Califat de Mahabbah</t>
  </si>
  <si>
    <t>Califat de Martek</t>
  </si>
  <si>
    <t>Califat de Ra'Ban</t>
  </si>
  <si>
    <t>Sultanat de Ras Karim</t>
  </si>
  <si>
    <t>Califat de Sanaà</t>
  </si>
  <si>
    <t>Califat de Shaharazar</t>
  </si>
  <si>
    <t>Royaume de Songhai</t>
  </si>
  <si>
    <t>Califat de Sudrat</t>
  </si>
  <si>
    <t>Califat de Teshert</t>
  </si>
  <si>
    <t>Emirat de Zarekten</t>
  </si>
  <si>
    <t>Royaumes Perdus</t>
  </si>
  <si>
    <t>Royaume de Sud</t>
  </si>
  <si>
    <t>Compétences : Dressage, Connaissances générales (Arabie), Langue (arabien). Talents : Fils du désert, 1 talent déterminé aléatoirement.</t>
  </si>
  <si>
    <t>Compétences : Commérage ou Lire/écrire, Connaissances générales (Arabie), Langue (arabien). Talents : 2 talents déterminés aléatoirement.</t>
  </si>
  <si>
    <t>Compétences : Connaissances générales (Arabie), Orientation, Langue (arabien). Talents : Fils du désert, 1 talent déterminé aléatoirement.</t>
  </si>
  <si>
    <t xml:space="preserve">Compétences: Connaissances générales (Estalie ou Lustrie), Langue (estalien ou lustrien), Survie. Talents: Affinité provinciale (Cité-Etat de Santa Magritta), Linguistique, 1 talent déterminé aléatoirement </t>
  </si>
  <si>
    <t>Colonie arabéene de Sudenburg</t>
  </si>
  <si>
    <t>Colonie arabéene d'Antoch</t>
  </si>
  <si>
    <t>Compétences : Commérage, Connaissances générales (Arabie), Langue (arabien). Talents : Affinité Provinciale (Colonie arabéene d'Antoch), Fils du Désert ou Linguistique, 1 talent déterminé aléatoirement.</t>
  </si>
  <si>
    <t>Compétences : Commérage, Connaissances générales (Arabie), Langue (arabien). Talents : Affinité Provinciale (Colonie arabéene de Sudenburg), Fils du Désert ou Linguistique, 1 talent déterminé aléatoirement.</t>
  </si>
  <si>
    <t>Tortue géante</t>
  </si>
  <si>
    <t>Requin</t>
  </si>
  <si>
    <t>Ile de la Tortue</t>
  </si>
  <si>
    <t xml:space="preserve">Compétences: Connaissances générales (Lustrie ou Hommes-lézards), Langue (lustrien ou pygméen), Survie,  Talents: Affinité provinciale (Ile de la Tortue), 2 talents déterminés aléatoirement </t>
  </si>
  <si>
    <t>Royaume de Gomorh</t>
  </si>
  <si>
    <t>Colonie lustrienne de Porto Real</t>
  </si>
  <si>
    <t>Compétences: Canotage, Connaissances générales (Lustrie), Langue (estalien ou lustrien), Survie. Talents: Affinité provinciale (Colonie de Porto Real), Linguistique, Lutte ou Maitrise (une au choix)</t>
  </si>
  <si>
    <t>G</t>
  </si>
  <si>
    <t>Massershloss</t>
  </si>
  <si>
    <t>Walandrie</t>
  </si>
  <si>
    <t>Affinité Provinciale (une au choix), Rêves de Morr</t>
  </si>
  <si>
    <t>Connaissances académiques (Théologie), Esquive, Orientation, Survie</t>
  </si>
  <si>
    <t>Vraie Magie</t>
  </si>
  <si>
    <t xml:space="preserve">Compétences: Connaissances générales (Kislev) ou Survie, Équitation ou Soins des animaux, Langue (kislevarin ou ungol). talents : Affinité provinciale (Pays des Trolls), Résistance accrue, 1 talent déterminé aléatoirement. </t>
  </si>
  <si>
    <t>Canotage (F), Commérage (Soc), Connaissances générales (Empire (Int+10%), Kislev (Int)), Langage secret (langage des rôdeurs) (Int), Langue (kiselvarin (Int), reikspiel (Int)), Natation (F), Navigation (Ag), Orientation (Int), Perception (Int), Résistance à l'alcool (E), Survie (Int)</t>
  </si>
  <si>
    <t>Canotage (F), Commérage (Soc), Connaissances générales (Empire, Kislev) (Int), Langue (kiselvarin, reikspiel) (Int), Natation (F), Navigation (Ag), Orientation (Int), Perception (Int), Résistance à l'alcool (E), Survie (Int)</t>
  </si>
  <si>
    <t>Canotage (F), Commérage (Soc), Connaissances académiques (astronomie) (Int), Connaissances générales (Empire (Int+10%), Kislev (Int)), Langage secret (langage des rôdeurs) (Int), Langue (kiselvarin, reikspiel) (Int), Métier (cartographe) (Ag), Natation (F), Navigation (Ag+10%), Orientation (Int), Perception (Int), Résistance à l'alcool (E), Survie (Int)</t>
  </si>
  <si>
    <t>Colonie des Terres Sombres de Chernozavtra</t>
  </si>
  <si>
    <t>Colonie des Principautés de Ravenburg</t>
  </si>
  <si>
    <t>Colonie des Principautés de Rutgarburg</t>
  </si>
  <si>
    <t>Compétences : Commérage, Connaissances générales (Principautés Frontalières), Marchandage. Talents : Affinité Provinciale (Colonie des Principautés de Ravenburg), Linguistique, 1 talent déterminé aléatoirement.</t>
  </si>
  <si>
    <t>Compétences : Commérage, Connaissances générales (Principautés Frontalières), Marchandage. Talents : Affinité Provinciale (Colonie des Principautés de Rutgarburg), Linguistique, 1 talent déterminé aléatoirement.</t>
  </si>
  <si>
    <t>Connaissances générales (Désolations du Chaos), Torture</t>
  </si>
  <si>
    <t xml:space="preserve">Compétences: Chasse, Connaissances générales (Elfes et Ulthuan), Langue (eltarin). Talents : Affinité provinciale (Royaume de Chrace) </t>
  </si>
  <si>
    <t xml:space="preserve">Compétences: Connaissances générales (Elfes et Ulthuan), Langue (eltarin). Talents : Affinité provinciale (Royaume de Cothique) </t>
  </si>
  <si>
    <t xml:space="preserve">Compétences: Connaissances générales (Elfes et Ulthuan), Langue (eltarin), Sens de la Magie. Talents : Affinité provinciale (Royaume de Saphery), Méditation </t>
  </si>
  <si>
    <t xml:space="preserve">Compétences: Connaissances générales (Elfes et Ulthuan), Langue (eltarin). Talents : Affinité provinciale (Yvresse) </t>
  </si>
  <si>
    <t xml:space="preserve">Compétences: Connaissances générales (Elfes, Dragons et draconides et Ulthuan), Langue (eltarin). Talents : Affinité provinciale (Royaume de Caledor) </t>
  </si>
  <si>
    <t>Natation, Navigation</t>
  </si>
  <si>
    <t>Enfant des mers, Grand Voyageur, Maitrise (Arbalète ou à poudre et 2 mains), Pilote de navire</t>
  </si>
  <si>
    <t>Affinité Provinciale (Principauté de Sartosa), Enfant des mers, Grand Voyageur, Maitrise (à poudre ou escrime), Pilote de navire</t>
  </si>
  <si>
    <t>Acuité visuelle, Maitrise (arc long), Pilote de navire</t>
  </si>
  <si>
    <t>Connaissances académiques (droit), Métier (Homme de loi)</t>
  </si>
  <si>
    <t xml:space="preserve">Compétences: Conduite d'attelages, Connaissances générales (Elfes et Ulthuan), Langue (eltarin), Navigation. Talents : Affinité provinciale (Royaume de Tiranoc) </t>
  </si>
  <si>
    <t xml:space="preserve">Compétences: Connaissances générales (Elfes noirs et Elfes), Langue (eltarin), orientation, Survie. Talents : Affinité provinciale (Royaume perdu de Nagarythe) </t>
  </si>
  <si>
    <t>Phare des Brumes des Iles Mouvantes</t>
  </si>
  <si>
    <t>Charisme, Connaissances académiques (Science), Langue (une au choix), Métier (un au choix)</t>
  </si>
  <si>
    <t>Belladone/Belle-dame</t>
  </si>
  <si>
    <t>Tabac</t>
  </si>
  <si>
    <t>Drogues</t>
  </si>
  <si>
    <t>Wymund l’Anachorète</t>
  </si>
  <si>
    <t>Wymenos</t>
  </si>
  <si>
    <t>L’Hermite</t>
  </si>
  <si>
    <t>Signe de l’Endurance</t>
  </si>
  <si>
    <t>Azurios</t>
  </si>
  <si>
    <t>Le Divisé</t>
  </si>
  <si>
    <t>Signe de Clairvoyance</t>
  </si>
  <si>
    <t>Verros</t>
  </si>
  <si>
    <t>Signe de Précision et de Perfection</t>
  </si>
  <si>
    <t>Nuthios</t>
  </si>
  <si>
    <t>Le Buffle</t>
  </si>
  <si>
    <t>Signe du Dévouement et de la Loyauté</t>
  </si>
  <si>
    <t>Drakonos</t>
  </si>
  <si>
    <t>Le Dragon</t>
  </si>
  <si>
    <t>Signe de Bravoure</t>
  </si>
  <si>
    <t>Tartotes</t>
  </si>
  <si>
    <t>Signe d’Illusion et de Mystère</t>
  </si>
  <si>
    <t>Gileon</t>
  </si>
  <si>
    <t>Signe des Armes et de la Guerre</t>
  </si>
  <si>
    <t>Mammius</t>
  </si>
  <si>
    <t>Le Savant</t>
  </si>
  <si>
    <t>Signe de Sagesse</t>
  </si>
  <si>
    <t>Mammios</t>
  </si>
  <si>
    <t>Signe d’Intuition</t>
  </si>
  <si>
    <t>Hashoor</t>
  </si>
  <si>
    <t>Les Bœufs</t>
  </si>
  <si>
    <t>Signe de la Terre et de la Belle Ouvrage</t>
  </si>
  <si>
    <t>Adamnos</t>
  </si>
  <si>
    <t>Signe de Séduction et d’Amour</t>
  </si>
  <si>
    <t>Lupios</t>
  </si>
  <si>
    <t>Le Guerrier</t>
  </si>
  <si>
    <t>Signe du Plaisir et des Excès</t>
  </si>
  <si>
    <t>Sangist</t>
  </si>
  <si>
    <t>Signe du Roublard</t>
  </si>
  <si>
    <t>Vobist</t>
  </si>
  <si>
    <t>Le Pâle</t>
  </si>
  <si>
    <t>Signe de Doute et d’Incertitude</t>
  </si>
  <si>
    <t>Kharnos</t>
  </si>
  <si>
    <t>Le Jeté</t>
  </si>
  <si>
    <t>Signe de l'Orgueil</t>
  </si>
  <si>
    <t>Talios</t>
  </si>
  <si>
    <t>La Chèvre</t>
  </si>
  <si>
    <t>Signe de Passions Interdites</t>
  </si>
  <si>
    <t>Le Chaudron de Rhya</t>
  </si>
  <si>
    <t>Rionyes</t>
  </si>
  <si>
    <t>Le Chaudron</t>
  </si>
  <si>
    <t>Signe de Miséricorde, Mort et Création</t>
  </si>
  <si>
    <t>Kakeros</t>
  </si>
  <si>
    <t>Le Coq</t>
  </si>
  <si>
    <t>Signe de Richesse et de Négoce</t>
  </si>
  <si>
    <t>Alyoi</t>
  </si>
  <si>
    <t>Le Guérisseur</t>
  </si>
  <si>
    <t>Signe de Compétence et d’Étude</t>
  </si>
  <si>
    <t>L’Étoile du Sorcier</t>
  </si>
  <si>
    <t>Solkios</t>
  </si>
  <si>
    <t>L’Étoile</t>
  </si>
  <si>
    <t>Signe de Magie</t>
  </si>
  <si>
    <t>L’Enlumineur</t>
  </si>
  <si>
    <t>La Ceinture</t>
  </si>
  <si>
    <t>date naissance</t>
  </si>
  <si>
    <t>Nom classique</t>
  </si>
  <si>
    <t>Qualificatif</t>
  </si>
  <si>
    <t>Interprétation</t>
  </si>
  <si>
    <t>Date de naissance du joueur :</t>
  </si>
  <si>
    <t>14/9 - 24/9</t>
  </si>
  <si>
    <t>24/11 - 21/12</t>
  </si>
  <si>
    <t>27/1 - 14/2</t>
  </si>
  <si>
    <t>15/2 - 29/2</t>
  </si>
  <si>
    <t>1/3 - 13/3</t>
  </si>
  <si>
    <t>1/4 – 20/4</t>
  </si>
  <si>
    <t>21/4 -7/5</t>
  </si>
  <si>
    <t>20/7 – 07/8</t>
  </si>
  <si>
    <t>08/8 – 24/08</t>
  </si>
  <si>
    <t>25/08- 13/9</t>
  </si>
  <si>
    <t>25/09 - 04/10</t>
  </si>
  <si>
    <t>22/12 - 6/1</t>
  </si>
  <si>
    <t>7/1 - 26/1</t>
  </si>
  <si>
    <t>8/5 -24/05</t>
  </si>
  <si>
    <t>30/06 – 19/07</t>
  </si>
  <si>
    <t>21/10/ 23-11</t>
  </si>
  <si>
    <t>14/3 – 31/03</t>
  </si>
  <si>
    <t>25/05 – 13/6</t>
  </si>
  <si>
    <t>14/06 – 29/06</t>
  </si>
  <si>
    <t>05/10 - 20/10</t>
  </si>
  <si>
    <t>+10% en Force lorsque vous utilisez le talent Coups assommants.</t>
  </si>
  <si>
    <t>Si elles sont également dotées de l'attribut percutante, celui-ci ne s'applique que pendant le premier round de combat au corps à corps.</t>
  </si>
  <si>
    <t>En cas de réussite, la cible est immobilisée</t>
  </si>
  <si>
    <t>La valeur critique de tout coup critique augmente de 2</t>
  </si>
  <si>
    <t>Ignore 1 point d'Armure</t>
  </si>
  <si>
    <t>L'adversaire bénéficie d'un bonus de +10% lorsqu'il essaie de parer ou d'esquiver</t>
  </si>
  <si>
    <t>L'adversaire subit d'un malus de -10% lorsqu'il essaie de parer ou d'esquiver</t>
  </si>
  <si>
    <t>Aboyeuse</t>
  </si>
  <si>
    <t>Son porteur gagne le talent Effrayant</t>
  </si>
  <si>
    <t>Absorption de magie</t>
  </si>
  <si>
    <t>Tant qu’on la tient en main, elle absorbe tout sort dirigé contre son maître. Le sort est emprisonné dans la lame et son porteur peut le renvoyer à celui qui l’a lancé. Le sort reste captif de la lame pendant 1d10 rounds ou jusqu’à ce qu’elle en absorbe un autre.</t>
  </si>
  <si>
    <t>Affaiblissante</t>
  </si>
  <si>
    <t>Aléatoire</t>
  </si>
  <si>
    <t>Aliénation</t>
  </si>
  <si>
    <t>Quand elle inflige au moins 1 point de Blessures à un adversaire, celui-ci doit réussir un test de Force Mentale sous peine de gagner 1 point de Folie.</t>
  </si>
  <si>
    <t>Animée</t>
  </si>
  <si>
    <t>Sur un ordre mental du porteur (demi-action), elle s’envole de sa main et continue à se battre contre son adversaire. Elle poursuit le combat tant que le personnage est dans un rayon de 6 mètres (3 cases)</t>
  </si>
  <si>
    <t>0(4)</t>
  </si>
  <si>
    <t>Assurance</t>
  </si>
  <si>
    <t>+10% aux tests de Force Mentale</t>
  </si>
  <si>
    <t>Contre les créatures affligées d’instabilité (comme les démons). Quand elle frappe une créature, on considère que cette dernière perd un point de Blessures, que ce soit vrai ou non, si bien qu’elle doit infliger des dégâts à son prochain tour de jeu sous peine d’être renvoyée dans les Royaumes du Chaos.</t>
  </si>
  <si>
    <t>Barbelée</t>
  </si>
  <si>
    <t>+1 point de dégâts à chaque coup.</t>
  </si>
  <si>
    <t>Boomerang</t>
  </si>
  <si>
    <t>On peut la projeter comme une lance (dégâts BF, portée 8/—). Si elle touche sa cible, elle s’extirpe elle-même de la blessure (infligeant au passage un coup d’une valeur de dégâts de 1) et revient dans la main de son porteur. Sinon, elle reste là où elle est tombée.</t>
  </si>
  <si>
    <t>Buveuse de sang</t>
  </si>
  <si>
    <t>Chantante</t>
  </si>
  <si>
    <t>Couarde</t>
  </si>
  <si>
    <t>Cracheuse de feu</t>
  </si>
  <si>
    <t>Débilitante</t>
  </si>
  <si>
    <t>Déchireuse</t>
  </si>
  <si>
    <t>Dégénérescente</t>
  </si>
  <si>
    <t>Dématérialisation</t>
  </si>
  <si>
    <t>Dent de Tzeentch</t>
  </si>
  <si>
    <t>Désenchantement</t>
  </si>
  <si>
    <t>Dévastatrice</t>
  </si>
  <si>
    <t>Dévoreuse d’esprit</t>
  </si>
  <si>
    <t>Effilée</t>
  </si>
  <si>
    <t>Empoisonnée</t>
  </si>
  <si>
    <t>Enchantée</t>
  </si>
  <si>
    <t>Enflammée</t>
  </si>
  <si>
    <t>Ensorcelée</t>
  </si>
  <si>
    <t>Envoûtante</t>
  </si>
  <si>
    <t>Étincelante</t>
  </si>
  <si>
    <t>Exterminatrice</t>
  </si>
  <si>
    <t>Féroce</t>
  </si>
  <si>
    <t>Fielleuse</t>
  </si>
  <si>
    <t>Force magique</t>
  </si>
  <si>
    <t>Gelée</t>
  </si>
  <si>
    <t>Haineuse</t>
  </si>
  <si>
    <t>Hurlante</t>
  </si>
  <si>
    <t>Immunité</t>
  </si>
  <si>
    <t>Impérieuse</t>
  </si>
  <si>
    <t>Impunité</t>
  </si>
  <si>
    <t>Infectieuse</t>
  </si>
  <si>
    <t>Inflexible</t>
  </si>
  <si>
    <t>Inhibitrice</t>
  </si>
  <si>
    <t>Intelligente</t>
  </si>
  <si>
    <t>Invocatrice</t>
  </si>
  <si>
    <t>Morbide</t>
  </si>
  <si>
    <t>Mutagène</t>
  </si>
  <si>
    <t>Peur</t>
  </si>
  <si>
    <t>Protectrice</t>
  </si>
  <si>
    <t>Puissante</t>
  </si>
  <si>
    <t>Putrescente</t>
  </si>
  <si>
    <t>Relique</t>
  </si>
  <si>
    <t>Résistante</t>
  </si>
  <si>
    <t>Respiration</t>
  </si>
  <si>
    <t>Retour de magie</t>
  </si>
  <si>
    <t>Riposte</t>
  </si>
  <si>
    <t>Sanctifiée</t>
  </si>
  <si>
    <t>Sanguinaire</t>
  </si>
  <si>
    <t>Sauvage</t>
  </si>
  <si>
    <t>Thaumaturge</t>
  </si>
  <si>
    <t>Tronçonneuse</t>
  </si>
  <si>
    <t>Tueuse</t>
  </si>
  <si>
    <t>Vigoureuse</t>
  </si>
  <si>
    <t>Visqueuse</t>
  </si>
  <si>
    <t>Vive</t>
  </si>
  <si>
    <t>Vocifératrice</t>
  </si>
  <si>
    <t>Volante</t>
  </si>
  <si>
    <t>Voleuse</t>
  </si>
  <si>
    <t>+10% en Sociabilité</t>
  </si>
  <si>
    <t>Une fois par combat, son porteur peut lui ordonner de libérer un jet de flammes impies au prix d’une demi-action. Il s’agit d’un projectile magique. La cible de cette attaque subit trois coups d’une valeur de dégâts de 3 qui ne tiennent pas compte des points d’Armure.</t>
  </si>
  <si>
    <t>Attribut "Cracheuse de Feu" et Talent  "Rechargement Rapide"</t>
  </si>
  <si>
    <t>Attribut: Absorption de magie</t>
  </si>
  <si>
    <t>Attribut Animée: se change en vipère ayant le talent Sans Peur pdt. 6 rounds</t>
  </si>
  <si>
    <t>Quand elle inflige au moins 1 point de Blessures à un adversaire, celui-ci perd à jamais 1d10% à sa valeur d’Endurance de départ.</t>
  </si>
  <si>
    <t>Au round qui suit un coup ayant infligé des dégâts, le porteur bénéficie un bonus de +20% à son prochain test de Capacité de Combat s’il attaque le même adversaire.</t>
  </si>
  <si>
    <t>Quand elle est utilisée contre un démon ou un lanceur de sorts, son porteur bénéficie de la fureur d’Ulric si le jet de dégâts donne un 9 ou un 10, au lieu d’un 10 habituellement.</t>
  </si>
  <si>
    <t>Tueuse de vampires/Pieu de Sigmar</t>
  </si>
  <si>
    <t>Une fois par jour, son porteur peut faire appel à l’essence de la lame pour porter un coup puissant, augmentant sa valeur de Force à 100% pour cette seule attaque. Le porteur peut annoncer l’utilisation de cette capacité une fois qu’il a déterminé s’il touchait, mais avant de déduire les points d’Armure et le bonus d’Endurance des dégâts</t>
  </si>
  <si>
    <t>Attributs rapide et précise.</t>
  </si>
  <si>
    <t>Quand elle inflige au moins 1 point de Blessures, sa victime doit réussir un test d’Endurance sous peine de mourir sous un nombre de rounds égal à son bonus d’Endurance.</t>
  </si>
  <si>
    <t>Si inflige 1 blessure, +3 Blessures supplémentaires sans tenir compte des Points d'Armure ni du Bonus d'Endurance</t>
  </si>
  <si>
    <t>En cas de coup au but, la cible doit réussir un test d’Agilité sous peine de prendre feu</t>
  </si>
  <si>
    <t>Engourdissante</t>
  </si>
  <si>
    <t>Tous les ennemis situés dans un rayon de 6 mètres (3 cases) doivent réussir un test de Force Mentale comme s’ils étaient sous l’effet d’un sort de désorientation (cf. page 156 de WJDR) pour la durée du combat. Une fois qu’il a réussi ou raté le test, un ennemi ne peut plus subir l’effet de désorientation pendant une journée.</t>
  </si>
  <si>
    <t>Au combat, elle dégage une lueur aveuglante, imposant un malus de –10% à tous les tests de Capacité de Combat des adversaires.</t>
  </si>
  <si>
    <t>Celui qui s’en sert voit sa valeur d’Attaques augmenter de +1.</t>
  </si>
  <si>
    <t>Indestructible</t>
  </si>
  <si>
    <r>
      <t xml:space="preserve">Arme à 1 main en métal avec les Attributs </t>
    </r>
    <r>
      <rPr>
        <i/>
        <sz val="10"/>
        <rFont val="Arial"/>
        <family val="2"/>
      </rPr>
      <t>Perforante</t>
    </r>
    <r>
      <rPr>
        <sz val="10"/>
        <rFont val="Arial"/>
        <family val="2"/>
      </rPr>
      <t xml:space="preserve"> et </t>
    </r>
    <r>
      <rPr>
        <i/>
        <sz val="10"/>
        <rFont val="Arial"/>
        <family val="2"/>
      </rPr>
      <t>Indestructible</t>
    </r>
  </si>
  <si>
    <t>Lancez les dés sur la Table 14–9 5 (Tome de la Corruption p.202) : types de créatures pour déterminer la nature de cette créature. Quand il combat contre ce type de créature, le porteur bénéficie d’un bonus de +10% en Capacité de Combat et en Force, et d’un bonus de +1 en Attaques.</t>
  </si>
  <si>
    <r>
      <t xml:space="preserve">Attribut </t>
    </r>
    <r>
      <rPr>
        <i/>
        <sz val="10"/>
        <rFont val="Arial"/>
        <family val="2"/>
      </rPr>
      <t>Barbelée</t>
    </r>
    <r>
      <rPr>
        <sz val="10"/>
        <rFont val="Arial"/>
        <family val="2"/>
      </rPr>
      <t xml:space="preserve"> + Les attaques portées avec ce cimeterre ignorent tous les PA</t>
    </r>
  </si>
  <si>
    <t>Quand elle inflige au moins 1 point de Blessures, sa victime doit réussir un test d’Endurance sous peine d’en subir 5 de plus qui ne tiennent compte ni des points d’Armure ni du bonus d’Endurance.</t>
  </si>
  <si>
    <r>
      <t xml:space="preserve">Confère l'Attribut </t>
    </r>
    <r>
      <rPr>
        <i/>
        <sz val="10"/>
        <rFont val="Arial"/>
        <family val="2"/>
      </rPr>
      <t>Vol</t>
    </r>
    <r>
      <rPr>
        <sz val="10"/>
        <rFont val="Arial"/>
        <family val="2"/>
      </rPr>
      <t xml:space="preserve"> (voir WJDR p.139) si test de FM réussi</t>
    </r>
  </si>
  <si>
    <t>Attributs rapide et percutante.</t>
  </si>
  <si>
    <t>Une fois par combat, le porteur peut ordonner à la lame (demi-action) de pousser un hurlement aigu qui tourmente ceux qui l’entendent. Tous ceux qui sont situés dans un rayon de 20 mètres (10 cases) et entendent ce cri doivent réussir un test de Force Mentale Assez difficile (–10%) sous peine d’être victimes de la Peur.</t>
  </si>
  <si>
    <t>Illusoire</t>
  </si>
  <si>
    <t>Tant qu’elle est en possession de son porteur, elle crée une illusion de normalité et dissimule totalement toute mutation ou autre trait étrange, si bien que l’intéressé ressemble à un représentant ordinaire de sa race et de son sexe. Il perd accès aux talents suivants s’il les a : Troublant, Effrayant et Terrifiant.</t>
  </si>
  <si>
    <t>Celui qui la porte bénéficie d’un bonus de +10% aux tests de Sociabilité tant qu’il l’a en main.</t>
  </si>
  <si>
    <t>Chaque fois que la lame inflige au moins 1 point de Blessures, la victime doit réussir un test d’Endurance sous peine de contracter la maladie.</t>
  </si>
  <si>
    <t>+10% en Force Mentale</t>
  </si>
  <si>
    <t>+10% à l’Intelligence</t>
  </si>
  <si>
    <t>Quand son porteur tue un adversaire un portail apparaît à 1d10 x 2 mètres (1d10 cases) de la victime, dans une direction déterminée aléatoirement. Il en sort un démon mineur standard (cf. page 226 de WJDR) ou un autre serviteur mineur approprié. Il ne peut être contrôlé et attaque au hasard, en commençant par la créature la plus proche de lui. Il demeure dans ce monde jusqu’à ce qu’il ait tué une créature ou que 1d10 rounds se soient écoulés.</t>
  </si>
  <si>
    <t>Confère le talent Lévitation</t>
  </si>
  <si>
    <t>Monstrueuse (Minotaure)</t>
  </si>
  <si>
    <t>Monstrueuse (Spectre)</t>
  </si>
  <si>
    <t>Monstrueuse (Squelette)</t>
  </si>
  <si>
    <t>Monstrueuse (Araignée)</t>
  </si>
  <si>
    <t>Monstrueuse (Basilic)</t>
  </si>
  <si>
    <t>Monstrueuse (Dragon)</t>
  </si>
  <si>
    <t>Si son porteur réussit à toucher un adversaire et lui inflige au moins 1 point de Blessures, la victime doit réussir un test de Force Mentale Assez difficile (–10%) sous peine de mourir sous un nombre de rounds égal à son bonus d’Endurance.</t>
  </si>
  <si>
    <t>Quand il l’utilise au combat, son porteur gagne le talent Effrayant.</t>
  </si>
  <si>
    <t>Sur l’ordre de son porteur (demi-action), une fois par combat, la lame peut vomir un fluide corrosif sur une cible située dans un rayon de 2 mètres (1 case). Le jet touche automatiquement et inflige un coup d’une valeur de dégâts de 5 ignorant les points d’Armure.</t>
  </si>
  <si>
    <t>Monstrueuse (Troll)/Corrosive</t>
  </si>
  <si>
    <t>Attributs équilibrée et défensive</t>
  </si>
  <si>
    <t>Son porteur gagne +1 point d’Armure à toutes les zones tant qu’il la brandit.</t>
  </si>
  <si>
    <t>Courageuse</t>
  </si>
  <si>
    <t>Pour fuir un combat, le porteur doit réussir un test de Force Mentale, sinon l’objet refuse de quitter le champ de bataille, se débattant dans ses mains et tombant à terre. Il inflige un coup critique à son porteur et ne peut pas être repris avant la fin du combat.</t>
  </si>
  <si>
    <t>Attributs Armes et Autres</t>
  </si>
  <si>
    <t>Permet de dépasser la limite d'armure de 6.</t>
  </si>
  <si>
    <t>+30% en Force</t>
  </si>
  <si>
    <t>+20% en Endurance</t>
  </si>
  <si>
    <t>Quand cet objet touche un ennemi, il lui laisse une petite partie d’elle-même. Quand il inflige au moins 1 point de Blessures à un adversaire, celui-ci en perd 5 points de plus qui ne tiennent pas compte de son armure ou de son bonus d’Endurance dans les 1d10 rounds.</t>
  </si>
  <si>
    <r>
      <t xml:space="preserve">Attributs </t>
    </r>
    <r>
      <rPr>
        <i/>
        <sz val="10"/>
        <rFont val="Arial"/>
        <family val="2"/>
      </rPr>
      <t>Féroce, Indestructible, Précise et</t>
    </r>
    <r>
      <rPr>
        <sz val="10"/>
        <rFont val="Arial"/>
        <family val="2"/>
      </rPr>
      <t xml:space="preserve"> </t>
    </r>
    <r>
      <rPr>
        <i/>
        <sz val="10"/>
        <rFont val="Arial"/>
        <family val="2"/>
      </rPr>
      <t>Relique</t>
    </r>
  </si>
  <si>
    <t>+10% en Endurance</t>
  </si>
  <si>
    <t>Tant qu’il la tient, son porteur peut respirer sans danger, même sous l’eau. Il est donc immunisé contre les gaz toxiques, le musc et autres odeurs étranges et délétères.</t>
  </si>
  <si>
    <t>Capable de renvoyer tout projectile magique visant son porteur à celui qui l’a lancé. Pour ce faire, l’intéressé doit être en position de parade et réussir un test de Capacité de Combat. S’il y parvient, il renvoie le projectile qui touche automatiquement celui qui l’a lancé.</t>
  </si>
  <si>
    <t>Quand elle inflige au moins 1 point de Blessures à une créature dotée du talent Mortvivant, cette dernière doit réussir un test de Force Mentale sous peine d’être totalement détruite. Les morts-vivants puissants comme les vampires, liches et autres bénéficient d’un bonus de +30% à ces tests.</t>
  </si>
  <si>
    <t>+10% aux tests de Capacité de Combat.</t>
  </si>
  <si>
    <t>Son porteur peut lui ordonner (demi-action) de plonger dans un sommeil profond une créature vivante située dans un rayon de 10 mètres (5 cases), et ce pendant 1d10 rounds. La cible a droit à un test de Force Mentale Assez difficile (–10%) pour résister à l’effet. En cas d’échec, rien ne peut la réveiller en dehors d’un acte de violence. Pire encore, tant qu’elle dort, elle est sujette à d’horribles cauchemars et gagne 1 point de Folie.</t>
  </si>
  <si>
    <t>Quand son porteur réussit à tuer une créature, il bénéficie d’un bonus de +10% en Capacité de Combat et en Force pendant 1d10 rounds.</t>
  </si>
  <si>
    <t>Quand elle frappe une cible et lui inflige au moins 1 point de Blessures, la victime doit réussir un test d’Endurance sous peine de subir un autre coup d’une valeur de dégâts de 3 ignorant les points d’Armure au round suivant.</t>
  </si>
  <si>
    <t>+10% en Force</t>
  </si>
  <si>
    <t>Chaque fois qu’elle inflige au moins 1 point de Blessures à un adversaire, ce dernier doit réussir un test d’Endurance sous peine de tomber violemment malade et de devoir passer son prochain tour à se vider les entrailles. De plus, tous les assaillants qui s’en prennent à la victime bénéficient d’un bonus de +10% aux tests de Capacité de Combat.</t>
  </si>
  <si>
    <t>Quand il la brandit, son porteur ajoute +1d10 à ses jets d’initiative</t>
  </si>
  <si>
    <t>Tous les personnages qui entendent le hurlement de l'objet doivent réussir un test de Force Mentale Assez difficile (–10%) sous peine de subir un malus de –20% aux tests de Capacité de Combat et de Capacité de Tir pendant 1d10/2 rounds. Qu’ils réussissent ou non ce test, ils sont immunisés contre les cris de l’objet pendant 1 jour.</t>
  </si>
  <si>
    <t>Chaque fois que la lame inflige au moins 1 point de Blessures, son porteur peut choisir une caractéristique du profil principal de la victime et la réduire de –5%. Le porteur ajoute ensuite +5% à sa propre valeur correspondante. Par conséquent, s’il inflige une perte de –5% en Force, sa propre Force augmente de +5%. Les bonus et malus perdurent le temps du combat.</t>
  </si>
  <si>
    <t>Pas besoin d'effectuer un test de CT pour toucher l'ennemi lorsque vous tirez avec une objet à mitraille. Il suffit de tracer une ligne aussi longue que la portée maximum de l'objet</t>
  </si>
  <si>
    <t>+10% aux tentatives de parade avec une telle objet en main</t>
  </si>
  <si>
    <t>Sur jet d'attaque de 96-98, l'objet s'enraye et ne peut plus tirer jusqu'à ce qu'un test de Métier (arquebusier) soit réussi. Sur un jet d'attaque de 99-00, l'objet explose en infligeant une valeur de dégâts de 7,</t>
  </si>
  <si>
    <t>Lorsque vous touchez l'adversaire avec une telle objet, lancez 2dl0 pour les dégâts et conservez le meilleur résultat.</t>
  </si>
  <si>
    <t>Sur un jet d'attaque de 96-99, l'objet s'enraye et ne peut plus tirer jusqu'à ce qu'un test de Métier (arquebusier) soit réussi. Sur un jet d'attaque de 00, l'objet explose en infligeant ses dégâts normaux à son porteur.</t>
  </si>
  <si>
    <t>Reportez-vous à la description de l'objet pour les règles particulières qui la concernent</t>
  </si>
  <si>
    <t>Dès qu’une cible vivante est touchée et blessée par cette objet, elle doit réussir un test d’Endurance sous peine de voir sa valeur de Force réduite à jamais de –1d10%</t>
  </si>
  <si>
    <t>Lancez dix fois les dés sur la Table 14–3 : propriétés des objets du Chaos (Tome de la Corruption p.197), notez les résultats et numérotez-les de 1 à 10. Au début de son tour de jeu au combat, le porteur lance 1d10 pour savoir quelle propriété affiche l’objet lors de ce round.</t>
  </si>
  <si>
    <t>Si son porteur se met en position de parade, il peut tenter de dévier un projectile, qui ne peut être qu’une flèche, un carreau ou une objet de jet. De plus, cette objet gagne l’attribut Défensive</t>
  </si>
  <si>
    <t>Si son fil dentelé cause au moins 1 point de Blessures, l’objet assoiffée en inflige 4 de plus en buvant le sang de son adversaire.</t>
  </si>
  <si>
    <t>Au début de chaque combat, le porteur doit réussir un test de Force Mentale, sinon l’objet refuse de se battre, se débattant dans ses mains et tombant à terre. Il  impose un malus de –20% aux tests de Capacité de Combat pendant la durée du combat. Relancez les dés sur la Table 14–3 : propriétés des objets du Chaos (Tome de la Corruption p.197) pour obtenir une deuxième propriété.</t>
  </si>
  <si>
    <t>Dès que cette objet touche une cible, cette dernière obtient automatiquement (1d10+2)/4 mutations. L’objet n’a pas besoin d’infliger de points de Blessures à sa cible.</t>
  </si>
  <si>
    <t>Cette objet dispose de l’attribut Rapide. Les victimes de ses coups doivent réussir un test de Force Mentale Assez difficile (–10%) sous peine de réduire toutes les caractéristiques de leur profil principal de –5% par round pendant 1d10 rounds, subissant une sorte de dématérialisation. Si l’une des caractéristiques de la victime tombe à 0%, elle disparaît complètement, aspirée dans les Royaumes du Chaos. Toutefois, si la victime parvient à survivre à cette expérience, tous les malus accumulés disparaissent. Des coups répétés durant la dématérialisation n’ont d’autre effet que d’infliger des dégâts normaux.</t>
  </si>
  <si>
    <t>Elle dispose de l’attribut perforante. De plus, si l’attaque est couronnée de succès, elle inflige un coup d’une valeur de dégâts de 6 (le bonus de Force ne s’applique pas). S’il s’agit en soi d’une objet puissante, elle ravage également son porteur. À la fin de chaque combat où elle a servi, son porteur doit réussir un test d’Endurance Assez difficile (–10%) sous peine d’obtenir une mutation.</t>
  </si>
  <si>
    <t>Quand une objet dévoreuse d’esprit frappe un adversaire, au lieu d’infliger des dégâts, elle réduit ses valeurs d’Intelligence, de Force Mentale et de Sociabilité de –1d10% chacune. Les coups multiples sont cumulables. Si l’objet réduit une valeur à 0%, l’âme de la victime est dévorée par l’objet, laissant derrière elle un cadavre intact. Les caractéristiques affectées reviennent à leur valeur d’origine au bout d’une journée.</t>
  </si>
  <si>
    <t>Attribut rapide et confère à son porteur un bonus de +10% aux tests de Capacité de Combat. De plus, elle peut blesser les créatures immunisées contre les objets normales.</t>
  </si>
  <si>
    <t>Chaque fois qu’elle touche un adversaire, elle réduit à jamais sa valeur d’Agilité de –1d10%. On modifie son profil en conséquence. L’objet n’a pas besoin de faire perdre de points de Blessures pour affecter l’ennemi de cette façon</t>
  </si>
  <si>
    <t>L'objet dispose d’une valeur de Force Mentale égale à 2d10+40. Au début de chaque round de combat, le porteur et son objet doivent jouer un test de Force Mentale. Celui qui obtient le plus de degrés de réussite l’emporte. Si l’objet est victorieuse, elle prend le contrôle de son porteur et agit comme bon lui semble. Si le porteur l’emporte, il contrôle la lame pour le round. En cas d’ex aequo, c’est le porteur qui garde le contrôle. Relancez les dés sur la Table 14–3 : propriétés des objets du Chaos (Tome de la Corruption p.197) pour gagner une deuxième propriété.</t>
  </si>
  <si>
    <t>Si son porteur dispose d’une valeur de Magie supérieure ou égale à 1, il peut jouer un jet d’incantation spécial au prix d’une demi-action pour en accroître la puissance. La difficulté du sort est égale à 7. En cas de succès, la valeur de dégâts de base de l’objet augmente de +1 pour chaque dé lancé au jet d’incantation. Cet avantage dure pendant tout le combat.</t>
  </si>
  <si>
    <t>Cette objet bizarre peut être utilisée en tant qu’objet à une main dotée de l’attribut rapide ou en tant que fouet infligeant des coups d’une valeur de dégâts de BF. Le porteur décide de la forme qu’elle prend à chaque round.</t>
  </si>
  <si>
    <t>Quand il la dégaine, son porteur bénéficie de +5 points de Blessures. Ces points ne sont pas perdus en premier, et si l’objet est rengainée ou si elle tombe, toutes les blessures subies s’appliquent toujours</t>
  </si>
  <si>
    <t>Quand cette objet réussit à toucher un personnage dont la valeur de Magie est supérieure ou égale à 1 et lui inflige au moins 1 point de Blessures, la victime doit réussir un test de Force Mentale Assez difficile (–10%) sous peine de réduire sa valeur de Magie de –1 pendant 1d10 heures. Les attaques multiples sont cumulables.</t>
  </si>
  <si>
    <t>Quand une objet morbide inflige au moins 1 point de Blessures, la victime est submergée par le chagrin et la mélancolie, subissant un malus de –10% aux tests de caractéristique et de compétence pendant 1d10 rounds. Les coups multiples sont cumulables.</t>
  </si>
  <si>
    <t>Les cibles frappées par une objet mutagène doivent réussir un test d’Endurance sous peine d’obtenir une mutation.</t>
  </si>
  <si>
    <t>Lancez les dés sur la Table 14–9 : types de créatures (Tome de la Corruption p.197) pour déterminer duquel il s’agit. Ce type de créature inspire désormais la Peur au porteur de l’objet. Si la créature dispose déjà du talent Effrayant, elle gagne à la place le talent Terrifiant, qui ne s’applique qu’au porteur. Si la créature a déjà le talent Terrifiant, le porteur rate automatiquement ses tests de Force Mentale joués pour résister à la Terreur. Relancez les dés sur la Table 14–3 : propriétés des objets du Chaos (Tome de la Corruption p.202) pour gagner une deuxième propriété.</t>
  </si>
  <si>
    <t>+20% aux tests de Capacité de Combat contre les créatures du Chaos (mutants, démons et leurs semblables). De plus, chaque semaine où l’objet reste en possession de son porteur, ce dernier doit réussir un test de Force Mentale sous peine de perdre un présent du Chaos. On commence par les mutations, puis les récompenses, et finalement les dons. Si le personnage perd tous ses dons et survit, il est libéré de l’emprise du Chaos et peut retourner dans ses pénates.</t>
  </si>
  <si>
    <t>Le porteur bénéficie d’une parade gratuite (en plus de la limite normale d’une parade par round) tant qu’il tient cette objet.</t>
  </si>
  <si>
    <t>Le porteur de cette objet gagne le talent Frénésie s’il n’en dispose pas déjà. Si c’est le cas, il augmente sa valeur d’Attaques de +1 lors de ses crises de Frénésie.</t>
  </si>
  <si>
    <t>Une fois par combat, le porteur peut ordonner (demi-action) au sorcier de lancer un sort du domaine du Chaos (cf. page de WJDR). C’est le porteur qui choisit tous les facteurs du sort, mais il utilise la valeur de Magie du sorcier (3). Si le sort provoque la Malédiction de Tzeentch, et par conséquent un effet secondaire, toutes les conséquences s’appliquent au propriétaire de l’objet.</t>
  </si>
  <si>
    <t>Toutes les attaques portées avec une tronçonneuse infligent des coups d’une valeur de dégâts de BF+2. La tronçonneuse ignore tous les points d’Armure des zones qu’elle touche et réduit lesdits points d’Armure de 1 sur ces zones. Si elle est parée par une objet non magique, elle la détruit.</t>
  </si>
  <si>
    <t>Si un coup porté par cette objet lui inflige au moins 1 point de Blessures, la victime doit réussir un test d’Endurance Assez difficile (–10%) sous peine d’être transformée en pierre. Tant qu’il a l’objet en main durant un combat, son porteur gagne le talent Troublant.</t>
  </si>
  <si>
    <t>Quand il l’a en main, son porteur gagne le talent Lévitation, avec une valeur de Mouvement en lévitation égale à sa valeur de Mouvement ordinaire. De plus, une fois par combat, il peut donner à l’objet l’ordre psychique de cracher un jet de flammes. Utilisez le gabarit de flammes. Tous les personnages situés sous le gabarit doivent réussir un test d’Agilité sous peine de subir trois coups d’une valeur de dégâts de 4 ignorant les points d’Armure.</t>
  </si>
  <si>
    <t>Cette objet dispose de l’attribut perforante. De plus, dès que son porteur inflige au moins 1 point de Blessures avec cette objet, il doit réussir un test de Force Mentale Assez difficile (–10%) sous peine d’être en proie à une incontrôlable Frénésie. Il doit attaquer la créature la plus proche (amie ou ennemie) pendant les 1d10 rounds suivants.</t>
  </si>
  <si>
    <t>Si cette objet inflige au moins 1 point de Blessures, elle absorbe également à jamais 1d10% de la Force de sa victime. Les morts-vivants sont immunisés contre cet effet.</t>
  </si>
  <si>
    <t>Toutes les créatures vivantes situées dans un rayon de 10 mètres (5 cases) doivent immédiatement réussir un test de Force Mentale sous peine d’être obligées de consacrer leur prochaine action à s’approcher de l’objet (et de son porteur). Une fois qu’elles ne peuvent pas s’approcher davantage, les victimes sont captivées par le chant de l’objet. Elles ne peuvent ni bouger, ni attaquer, ni se défendre. Par la suite, à chaque round, elles ont droit à un nouveau test de Force Mentale pour se libérer de cette emprise. Une fois qu’elles le réussissent, elles ne peuvent plus être affectées par le chant de l’objet pendant une journée.</t>
  </si>
  <si>
    <t>Lancez 1d100 sur la Table 14–9 (Tome de la Corruption p.202): types de créatures pour déterminer à quel genre d’être elle est liée. Quand l’objet inflige au moins 1 point de Blessures à une telle créature, cette dernière doit réussir un test d’Endurance Assez difficile (–10%) sous peine d’être aussitôt tuée et réduite à un tas de fine poussière noire. Chaque fois que l’objet tue une créature de cette façon, son porteur gagne 1 point de Folie.</t>
  </si>
  <si>
    <t>Son porteur gagne le talent Vol, son Mouvement en vol étant équivalent à sa valeur de Mouvement +2 quand son objet est tirée.</t>
  </si>
  <si>
    <t>Les objets dotés de cet attribut sont conçues pour être utilisés avec la main non directrice, généralement en duo avec une rapière ou un fleuret. Quand vous utilisez une tel objet, vous ne subissez pas le malus de -20% normalement associé à la Capacité de Combat pour l'utilisation d'une arme dans votre main non directrice</t>
  </si>
  <si>
    <t>Katana</t>
  </si>
  <si>
    <t>Personnalisée 1</t>
  </si>
  <si>
    <t>Personnalisée 2</t>
  </si>
  <si>
    <t>Personnalisée 3</t>
  </si>
  <si>
    <t>Personalisée</t>
  </si>
  <si>
    <t>Personnalisée</t>
  </si>
  <si>
    <t>vieil hellènéen</t>
  </si>
  <si>
    <t>ex-Ligue Achéenne</t>
  </si>
  <si>
    <t>Ancien Royaume d'Aran-Cabal/Aran-Sul</t>
  </si>
  <si>
    <t xml:space="preserve">Compétences: Connaissances générales (Norsca), Langue (langage sombre), Langue (norse), Résistance à l’alcool, Survie Talents : Affinité provinciale (une tribu de Norsca), Robuste, Rompu au Chaos, Valeureux, 5% de chance de démarrer le jeu avec une mutation. </t>
  </si>
  <si>
    <t>Ex-Ligue Achéenne</t>
  </si>
  <si>
    <t>ex-Empire Kemet/Pharaonia</t>
  </si>
  <si>
    <t>ex-Grand Empire des Quatre Nations</t>
  </si>
  <si>
    <t>Archéologue</t>
  </si>
  <si>
    <t>kurgan</t>
  </si>
  <si>
    <t>Terres Sombres</t>
  </si>
  <si>
    <t>vieil occidental</t>
  </si>
  <si>
    <t>ghazhak (gobelin)</t>
  </si>
  <si>
    <t>harghazharh (hobgobelin)</t>
  </si>
  <si>
    <t>orrakh (orque)</t>
  </si>
  <si>
    <t>morvique (morveux)</t>
  </si>
  <si>
    <t>Compétences: Connaissances générales (Peaux-Vertes) OU Langue (goblinoïde) Talents: Combat de Rue OU Coups Puissants OU Menaçant</t>
  </si>
  <si>
    <t>Compétences: Connaissances générales (Peaux-Vertes), Déplacement Silencieux, Dissimulation, Equitation, Escalade, Langue (harghazharh), Perception, Soin des animaux, Survie, Talents : Acrobatie équestre, Camouflage Rural, Rechargement rapide, Tir en puissance, Vision nocturne</t>
  </si>
  <si>
    <t>Compétences: Connaissances générales (Peaux-Vertes), Escalade, Langue (orrakh), Intimidation, Perception, Survie, Torture Talents : Combat de Rue, Coups puissants, Lutte, Menaçant</t>
  </si>
  <si>
    <t>Commérage (Soc), Connaissances académiques (généalogie/ héraldique, histoire) (Int), Connaissances générales (Empire) (Int+10%), Langage secret (langage de guilde)  (Int), Langue (bretonnien, classique, eltharin, ghazhak (gobelin), khazalid, reikspiel, tiléen) (Int), Lire/écrire, Métier (calligraphe) (Ag), Perception (Int)</t>
  </si>
  <si>
    <t>Connaissances générales (Nains du Chaos), Connaissances générales (peaux-vertes)</t>
  </si>
  <si>
    <t xml:space="preserve">Compétences: Commandement ou Marchandage, Connaissances générales (Kislev ou ghazhakhs), Langue (kislevarin et ghazhakh (gobelin)), Résistance à l’alcool, Survie. talents : Affinité provinciale (Colonie des Terres Sombres de Chernozavtra), 1 talent déterminé aléatoirement. </t>
  </si>
  <si>
    <t>gnômique</t>
  </si>
  <si>
    <t xml:space="preserve">Compétences: Connaissances générales (Gnomes), Expression artistique (bouffon), Langue (gnomique et khazalid), Métier (un au choix), 1 talent déterminé aléatoirement </t>
  </si>
  <si>
    <t xml:space="preserve">Compétences: Connaissances générales (Gnomes) OU Expression artistique (bouffon), Langue (gnômique ou khazalid)  1 talent déterminé aléatoirement </t>
  </si>
  <si>
    <t>J</t>
  </si>
  <si>
    <t>Ramalia</t>
  </si>
  <si>
    <t>Compétences: Connaissances générales (Elfes Noirs), Connaissances générales (Naggaroth), Langue (druhir). Talents : Affinité provinciale (Naggaroth), 1 talent déterminé aléatoirement.</t>
  </si>
  <si>
    <t>Compétences: Connaissances générales (Elfes Noirs), Connaissances générales (Naggaroth), Langue (reikspiel ou eltarin ou kazalid). Talents : Affinité provinciale (Ramalia), 1 talent déterminé aléatoirement.</t>
  </si>
  <si>
    <t>Colonie de Lustrie d'Iquitos</t>
  </si>
  <si>
    <t>Racines de sang (une livre)</t>
  </si>
  <si>
    <t>Norsca 21</t>
  </si>
  <si>
    <t>Fleur de Glace (une dose)</t>
  </si>
  <si>
    <t>LC 98/ Norsca 22</t>
  </si>
  <si>
    <t>Sauge mortifère (une livre)</t>
  </si>
  <si>
    <t>Toucher de Sylra (une livre)</t>
  </si>
  <si>
    <t>Souffle de Tchar</t>
  </si>
  <si>
    <t>Norsca 23</t>
  </si>
  <si>
    <t>Tribus du sud (Baersonling)</t>
  </si>
  <si>
    <t>Tribus du sud (Bjornling)</t>
  </si>
  <si>
    <t>Tribus du sud (Sarl)</t>
  </si>
  <si>
    <t>Tribus du sud (Skaelings)</t>
  </si>
  <si>
    <t>Tribus du nord (Aesling)</t>
  </si>
  <si>
    <t>Compétences: Connaissances générales (Norsca), Escalade, Langue (norse), Résistance à l'alcool, Survie. Talents : Affinité provinciale (Sud de la Norsca), Rompu au Chaos, 1 talent déterminé aléatoirement, 20% de chances de commencer le jeu avec une mutation. Si mutation, 10% de chance d'être un Ulfwerenar.</t>
  </si>
  <si>
    <t>Compétences: Connaissances générales (Norsca), Escalade OU Navigation, Langue (norse),  Résistance à l'alcool, Survie. Talents : Affinité provinciale (Sud de la Norsca), Rompu au Chaos, 1 talent déterminé aléatoirement, 10% de chances de commencer le jeu avec une mutation. Si mutation, 5% de chance d'être un Ulfwerenar.</t>
  </si>
  <si>
    <t>Compétences: Connaissances générales (Norsca), Langue (norse), Navigation, Résistance à l'alcool, Survie. Talents : Affinité provinciale (Sud de la Norsca), Rompu au Chaos, 1 talent déterminé aléatoirement, 2% de chances de commencer le jeu avec une mutation. Si mutation, 1% de chance d'être un Ulfwerenar.</t>
  </si>
  <si>
    <t>Compétences: Connaissances générales (Norsca), Langue (norse), Navigation OU Escalade, Résistance à l'alcool, Survie. Talents : Affinité provinciale (Nord de la Norsca), Guerrier Né, Rompu au Chaos, 30% de chances de commencer le jeu avec une mutation. Si mutation, 15% de chance d'être un Ulfwerenar.</t>
  </si>
  <si>
    <t>Tribus du nord (Graeling)</t>
  </si>
  <si>
    <t>Compétences: Connaissances générales (Norsca), Langue (norse), Navigation OU Escalade, Résistance à l'alcool, Survie. Talents : Affinité provinciale (Nord de la Norsca), Résistance accrue, Rompu au Chaos, 20% de chances de commencer le jeu avec une mutation. Si mutation, 10% de chance d'être un Ulfwerenar.</t>
  </si>
  <si>
    <t>Tribus du nord (Varg)</t>
  </si>
  <si>
    <t>Le drain de vie</t>
  </si>
  <si>
    <t>Liche 10</t>
  </si>
  <si>
    <t>La non-vie de Nagash (Lichéfaction)</t>
  </si>
  <si>
    <t>Dague draineuse d'âme de Nagash</t>
  </si>
  <si>
    <t>WFRP2 Liche</t>
  </si>
  <si>
    <t>Liche</t>
  </si>
  <si>
    <t>Damnation éternelle</t>
  </si>
  <si>
    <t>Mort-Vivant, Terrifiant, Vision Nocturne</t>
  </si>
  <si>
    <t>Connaissances académiques (nécromancie), Intimidation, Perception, Sens de la Magie</t>
  </si>
  <si>
    <t>Duché de Parravon</t>
  </si>
  <si>
    <t xml:space="preserve">Compétences: Commérage, Connaissances générales (Bretonnie), Langue (bretonnien) Talents : Affinité provinciale (Duché de Parravon), Grand voyageur ou Sixième sens, 1 talent déterminé aléatoirement </t>
  </si>
  <si>
    <t>Duché de Bordeleaux</t>
  </si>
  <si>
    <t>Duché d'Artenois</t>
  </si>
  <si>
    <t xml:space="preserve">Compétences: Commérage ou Perception, Connaissances générales (Bretonnie) ou Survie, Langue (bretonnien) Talents : Affinité Provinciale (Duché d'Artenois), 2 talents déterminés aléatoirement </t>
  </si>
  <si>
    <t>Duché d'Aquitanie</t>
  </si>
  <si>
    <t xml:space="preserve">Compétences: Commérage, Connaissances générales (Bretonnie), Langue (bretonnien) Talents : Affinité Provinciale (Duché d'Aquitanie), Sang-froid, 1 talent déterminé aléatoirement </t>
  </si>
  <si>
    <t>Duché de Quenelles</t>
  </si>
  <si>
    <t xml:space="preserve">Compétences: Commérage, Connaissances générales (Bretonnie), Langue (bretonnien) Talents : Affinité provinciale (Duché de Quenelles), Fureur vengeresse, 1 talent déterminé aléatoirement </t>
  </si>
  <si>
    <t>Duché de Moussillon</t>
  </si>
  <si>
    <t xml:space="preserve">Compétences: Commérage, Connaissances générales (Bretonnie), Langue (bretonnien) Talents : Affinité provinciale (Duché de Moussillon), Sain d’esprit, 1 talent déterminé aléatoirement </t>
  </si>
  <si>
    <t>Duché de Monfort</t>
  </si>
  <si>
    <t>Duché de Lyonesse</t>
  </si>
  <si>
    <t xml:space="preserve">Compétences: Commérage, Connaissances générales (Bretonnie), Langue (bretonnien) Talents : Affinité provinciale (Duché de Lyonesse), Intrigant, 1 talent déterminé aléatoirement </t>
  </si>
  <si>
    <t>Duché de L'Anguille</t>
  </si>
  <si>
    <t xml:space="preserve">Compétences: Commérage ou Marchandage, Connaissances générales (Bretonnie), Évaluation ou Navigation, Langue (bretonnien) Talents : Affinité Provinciale (Duché de L'Anguille), 1 talent déterminé aléatoirement </t>
  </si>
  <si>
    <t>Duché de Gisoreux</t>
  </si>
  <si>
    <t xml:space="preserve">Compétences: Charisme ou Survie, Commérage, Connaissances générales (Bretonnie), Langue (bretonnien) Talents : Affinité provinciale (Duché de Gisoreux), 1 talent déterminé aléatoirement </t>
  </si>
  <si>
    <t>Duché de Couronne</t>
  </si>
  <si>
    <t xml:space="preserve">Compétences: Commérage, Connaissances générales (Bretonnie), Équitation, Langue (bretonnien) Talents : Affinité provinciale (Duché de Couronne), Acrobatie équestre </t>
  </si>
  <si>
    <t>Duché de Brionne</t>
  </si>
  <si>
    <t xml:space="preserve">Compétences: Commérage, Connaissances générales (Bretonnie), Expression artistique (chanteur) ou Expression artistique (musicien), Langue (bretonnien) Talents : Affinité provinciale (Duché de Brionne), 1 talent déterminé aléatoirement </t>
  </si>
  <si>
    <t>Grand comté d'Averland</t>
  </si>
  <si>
    <t>Affinité Provinciale (Grand comté d'Averland), Maitrise (à poudre)</t>
  </si>
  <si>
    <t>Affinité Provinciale (Grand comté d'Averland)</t>
  </si>
  <si>
    <t>Grande baronnie du Hochland</t>
  </si>
  <si>
    <t>Affinité Provinciale (Grande baronnie du Hochland)</t>
  </si>
  <si>
    <t>Grands-duchés de Middenheim et du Middenland</t>
  </si>
  <si>
    <t xml:space="preserve">Compétences: Commérage ou Intimidation, Connaissances générales (Empire), Langue (reikspiel) Talents : Affinité provinciale (Grands-duchés de Middenheim et du Middenland), Guerrier né ou Menaçant, 1 talent déterminé aléatoirement </t>
  </si>
  <si>
    <t>Affinité provinciale (Grande baronnie du Hochland ou Grands-duchés de Middenheim et du Middenland), Maitrise (fléaux)</t>
  </si>
  <si>
    <t>Affinité Provinciale (Grands-duchés de Middenheim et du Middenland), Course à pied</t>
  </si>
  <si>
    <t>Affinité Provinciale (Grands-duchés de Middenheim et du Middenland)</t>
  </si>
  <si>
    <t>Grande baronnie du Nordland</t>
  </si>
  <si>
    <t xml:space="preserve">Compétences: Connaissances générales (Empire), Langue (norse) ou Résistance à l'alcool, Langue (reikspiel) Talents : Affinité provinciale (Grande baronnie du Nordland), Résistance accrue ou Valeureux, 1 talent déterminé aléatoirement </t>
  </si>
  <si>
    <t>Ligue de l'Ostermark</t>
  </si>
  <si>
    <t xml:space="preserve">Compétences: Commérage ou Langue (kiselvarin), Connaissances générales (Empire), Langue (reikspiel), Résistance à l'alcool Talents : Affinité provinciale (Ligue de l'Ostermark), 1 talent déterminé aléatoirement </t>
  </si>
  <si>
    <t>Affinité Provinciale (Ligue de l'Ostermark)</t>
  </si>
  <si>
    <t>Grande principauté d'Ostland</t>
  </si>
  <si>
    <t xml:space="preserve">Compétences: Commérage ou Survie, Connaissances générales (Empire), Langue (reikspiel) Talents : Affinité provinciale (Grande principauté d'Ostland), Résistance accrue ou Sang-froid, 1 talent déterminé aléatoirement </t>
  </si>
  <si>
    <t>Affinité Provinciale (Grande principauté d'Ostland)</t>
  </si>
  <si>
    <t>Affinité provinciale (Grande principauté d'Ostland), Frénésie</t>
  </si>
  <si>
    <t>Grande principauté du Reikland</t>
  </si>
  <si>
    <t xml:space="preserve">Compétences: Commandement ou Commérage, Connaissances générales (Empire), Langue (reikspiel) Talents : Affinité Provinciale (Grande principauté du Reikland), Intelligent ou Sociable, 1 talent déterminé aléatoirement </t>
  </si>
  <si>
    <t>Affinité Provinciale (Grande principauté du Reikland)</t>
  </si>
  <si>
    <t>Affinité Provinciale (Grande principauté du Reikland), Magie Noire, Sombre Savoir</t>
  </si>
  <si>
    <t>Affinité Provinciale (Grande principauté du Reikland), Étiquette, Maitrise (2 mains), Valeureux, Ne peut jamais acquérir le Talent : Chance</t>
  </si>
  <si>
    <t>Affinité provinciale (Grand comté du Stirland), Menaçant</t>
  </si>
  <si>
    <t>Affinité provinciale (Grand comté du Stirland), Politique, Maîtrise (lourde)</t>
  </si>
  <si>
    <t>Grand comté du Stirland</t>
  </si>
  <si>
    <t>Affinité Provinciale (Grand comté du Stirland)</t>
  </si>
  <si>
    <t>Grand-duché du Talabecland</t>
  </si>
  <si>
    <t xml:space="preserve">Compétences: Commérage ou Pistage, Connaissances générales (Empire), Langue (reikspiel), Survie Talents : Affinité provinciale (Grand-duché du Talabecland), 1 talent déterminé aléatoirement </t>
  </si>
  <si>
    <t>Affinité Provinciale (Grand-duché du Talabecland)</t>
  </si>
  <si>
    <t>Grand comté du Wissenland</t>
  </si>
  <si>
    <t>Lieux de naissance</t>
  </si>
  <si>
    <t>Kukri</t>
  </si>
  <si>
    <t>Wakizashi</t>
  </si>
  <si>
    <t>Jitte/Saï</t>
  </si>
  <si>
    <t>Fauchon</t>
  </si>
  <si>
    <t>Chaîne à pointes</t>
  </si>
  <si>
    <t>Nunchaku</t>
  </si>
  <si>
    <t>Choppa orque</t>
  </si>
  <si>
    <t>Bec de corbin</t>
  </si>
  <si>
    <t>Berdyish/Bardiche kislevite</t>
  </si>
  <si>
    <t>Fourche/Trident</t>
  </si>
  <si>
    <t>Fouet d'acier/Wushu</t>
  </si>
  <si>
    <t>Kusarigama</t>
  </si>
  <si>
    <t>Faucille</t>
  </si>
  <si>
    <t>Sang de Dragon</t>
  </si>
  <si>
    <t>Tome of Dragons 26</t>
  </si>
  <si>
    <t>Best 87/ToD 26</t>
  </si>
  <si>
    <t>ToD: WFRP2: Tome of Dragons</t>
  </si>
  <si>
    <t>Armure Dragon</t>
  </si>
  <si>
    <t>5 PA ttes zones, E+5%, aucun malus d'armure, adaptative</t>
  </si>
  <si>
    <t>2 PA bras et torse: Immu vs. environnement et malus terrain. Atk au CàC Empoisonnée (Lotus noir)</t>
  </si>
  <si>
    <t>3 PA ttes zones: +20 Endurance et +10 aux tests pour résister au feu et feu de dragon</t>
  </si>
  <si>
    <t>TdD 26</t>
  </si>
  <si>
    <t>Mucus protecteur de peau de dragon</t>
  </si>
  <si>
    <t>12 tests pour activation</t>
  </si>
  <si>
    <t>Cor dragon d'Ulthuan</t>
  </si>
  <si>
    <t>ToD 31</t>
  </si>
  <si>
    <t>Croc de Livakh</t>
  </si>
  <si>
    <t>Tôme des Dragons (Liber Draconis)</t>
  </si>
  <si>
    <t>Manteau de Taal</t>
  </si>
  <si>
    <t>Tod 32</t>
  </si>
  <si>
    <r>
      <rPr>
        <i/>
        <sz val="10"/>
        <rFont val="Arial"/>
        <family val="2"/>
      </rPr>
      <t xml:space="preserve">Relique, Sanctifiée. </t>
    </r>
    <r>
      <rPr>
        <sz val="10"/>
        <rFont val="Arial"/>
        <family val="2"/>
      </rPr>
      <t>Protège son porteur de tout souffle de dragon</t>
    </r>
  </si>
  <si>
    <t>Pic de guerre: Lente, Percutante, Perforante + Rune majeure permanente de Tueur de Dragon</t>
  </si>
  <si>
    <t>ToD 32</t>
  </si>
  <si>
    <t>Aura de Croissance</t>
  </si>
  <si>
    <t>Toucher glacial</t>
  </si>
  <si>
    <t>ToD 35</t>
  </si>
  <si>
    <t>Mort explosive</t>
  </si>
  <si>
    <t>Immunité contre le feu</t>
  </si>
  <si>
    <t>Immunité contre le froid</t>
  </si>
  <si>
    <t>ToD 36</t>
  </si>
  <si>
    <t>TdC 44/ToD 36</t>
  </si>
  <si>
    <t>Résistance à l'acide</t>
  </si>
  <si>
    <t>Couronne de chair</t>
  </si>
  <si>
    <t>Aura enflammée</t>
  </si>
  <si>
    <t>ToD 38</t>
  </si>
  <si>
    <t>10 tests pour activation</t>
  </si>
  <si>
    <t>Permanente: Cette rune affecte une zone qu'elle protège d'un type de magie choisie par celui qui pose la runes (Chaos, Démons ou Magie). Elle doit être inscrite sur un objet immobile. Si l'objet est détruit ou déplacé, l'effet cesse. Plusieurs objets doivent être marqués de la même rune pour créer une zone d'effet entre eux (trois au minimum). La taille de la zone qui peut être affectée par les runes de protection est également déterminée par le nombre d'objets inscrits. Trois runes peuvent créer une zone d'effet maximale à peu près égale à une pièce de taille normale; cinq runes pourraient garder une maison de taille moyenne; dix runes un immense château ou une forteresse (ou un petit village); vingt à trente runes pourraient protéger une ville… etc. De grandes zones délimitées par des runes de protection en auront donc beaucoup et en détruire quelques-unes aura peu d'effet. Les runes détruites peuvent être remplacées et si nécessaire, la zone délimitée peut être augmentée en ajoutant de plus de runes protectrices à une date ultérieure. Temporaire: comme permanente mais l'avantage ne dure que 8 jours.</t>
  </si>
  <si>
    <t>Permanente: Cette rune affecte une zone qu'elle protège d'un et un seul type d'ennemis précis (Elfes, Nains, Ogres, Dragons, Loups,...) grâce à un élémentaire majeur de l'élément choisi aussi par celui qui pose la runes. Elle doit être inscrite sur un objet immobile. Si l'objet est détruit ou déplacé, l'effet cesse. Dès qu'un ennemi tente de franchir la rune, l'élémentaire Majeur apparait et attaque. Plusieurs objets doivent être marqués de la même rune pour créer une zone d'effet entre eux (trois au minimum). La taille de la zone qui peut être affectée par les runes d'élémentalisme est également déterminée par le nombre d'objets inscrits. Trois runes peuvent créer une zone d'effet maximale à peu près égale à une pièce de taille normale; cinq runes pourraient garder une maison de taille moyenne; dix runes un immense château ou une forteresse (ou un petit village); vingt à trente runes pourraient protéger une ville… etc. De grandes zones délimitées par des runes d'élémentalise en auront donc beaucoup et en détruire quelques-unes aura peu d'effet. Les runes détruites peuvent être remplacées et si nécessaire, la zone délimitée peut être augmentée en ajoutant de plus de runes protectrices à une date ultérieure. Temporaire: comme permanente mais à usage unique.</t>
  </si>
  <si>
    <t>Talisman (prothèse)</t>
  </si>
  <si>
    <t>Permanente: Une prothèse faite de métal pur qui porte cette rune fonctionne comme un organe normal, fonctionnel et vivant qui répond aux stimuli nerveux du porteur. Temporaire: Comme permanente mais ne fonctionne qu'un jour.</t>
  </si>
  <si>
    <t>Permanente: Un personnage portant un objet inscrit avec cette rune gagne le Talent Résistance au Chaos. Temporaire: comme permanente mais l'avantage ne dure que 1 minute.</t>
  </si>
  <si>
    <t>Codex Greenskin 17</t>
  </si>
  <si>
    <t>Champignons crocs de sang (une livre)</t>
  </si>
  <si>
    <t>Codex Greenskin 18</t>
  </si>
  <si>
    <t>Champignons à pois jaunes (une livre)</t>
  </si>
  <si>
    <t>Champignons bleus à pointe spore (une livre)</t>
  </si>
  <si>
    <t>Projectile de Waaagh</t>
  </si>
  <si>
    <t>un champignon à pois jaunes (+2)</t>
  </si>
  <si>
    <t>Vous pouvez lancer un éclair vert d'énergie Waaagh à un seul adversaire. Projectile de Waaagh est un Projectile magique d'une valeur de dégâts de 2.</t>
  </si>
  <si>
    <t>Lumière Verte</t>
  </si>
  <si>
    <t>30 mètres (15 cases)</t>
  </si>
  <si>
    <t>Vous pouvez faire briller n'importe quel objet à portée de main d'une couleur verdâtre très brillante (comme une lanterne) pendant une heure ou jusqu'à ce que vous le lâchiez. Même brillant, l'objet ne blesse pas les yeux des Peaux-Vertes.</t>
  </si>
  <si>
    <t>Magie commune de Gork</t>
  </si>
  <si>
    <t>Magie commune de Mork</t>
  </si>
  <si>
    <t>Magie commune (Gork)</t>
  </si>
  <si>
    <t>Magie commune (Mork)</t>
  </si>
  <si>
    <t>Domaine de Gork</t>
  </si>
  <si>
    <t>Domaine de Mork</t>
  </si>
  <si>
    <t>Magie de la Waaagh</t>
  </si>
  <si>
    <t>WFRP2 Codex Greenskins</t>
  </si>
  <si>
    <t>Apprenti Chaman Orc</t>
  </si>
  <si>
    <t>Apprenti Chaman Gobelin</t>
  </si>
  <si>
    <t>vert brillant</t>
  </si>
  <si>
    <t>vert sinople</t>
  </si>
  <si>
    <t>Waaagh</t>
  </si>
  <si>
    <t>aucune</t>
  </si>
  <si>
    <t>Chamane Orc</t>
  </si>
  <si>
    <t>Chamane Gobelin</t>
  </si>
  <si>
    <t>permet de lancer des sorts de la magie Waaagh</t>
  </si>
  <si>
    <t>Et c'est parti!</t>
  </si>
  <si>
    <t>2 minute (6 rounds)</t>
  </si>
  <si>
    <t>18 mètres (9 cases) (petit gabarit)</t>
  </si>
  <si>
    <t>Pouvoir du Squig</t>
  </si>
  <si>
    <t>une règle (+1)</t>
  </si>
  <si>
    <t>Gork va le réparer</t>
  </si>
  <si>
    <t>Explosion cérébrale/Regard de Mork</t>
  </si>
  <si>
    <t>Apprenti Maître des Runes</t>
  </si>
  <si>
    <t>Maître des Runes</t>
  </si>
  <si>
    <t>Frappe mon gars!</t>
  </si>
  <si>
    <t xml:space="preserve">vous faites briller la lumière de Morrsleib même en plein jour ou dans un bâtiment: Toute créature alliée ou ennemie située sous la gabarit doit réussir un test dans une caractéristique aléatoire (1-2 Force, 3-4 Endurance, 5-6 Initiative, 7-8 Agilité, 9-10 Force Mentale) ou subir 3 points de Blessure. </t>
  </si>
  <si>
    <t>vous pouvez lancer un éclair vert d'énergie Waaagh à un seul adversaire. Projectile de Waaagh est un Projectile magique d'une valeur de dégâts de 2d4</t>
  </si>
  <si>
    <t>un allié (ou vous-même) gagne +30% en Endurance et +10% en Force tant que perdure ce sort.</t>
  </si>
  <si>
    <r>
      <t>les ogres veulent se perfectionner... En plus fort. Augmentez de 10% la valeur de Force de l'Allié choisi et il gagne le Talent</t>
    </r>
    <r>
      <rPr>
        <i/>
        <sz val="10"/>
        <rFont val="Arial"/>
        <family val="2"/>
      </rPr>
      <t xml:space="preserve"> Coups Puissants</t>
    </r>
    <r>
      <rPr>
        <sz val="10"/>
        <rFont val="Arial"/>
        <family val="2"/>
      </rPr>
      <t xml:space="preserve"> tant que perdure ce sort</t>
    </r>
  </si>
  <si>
    <t>Tu es faible!</t>
  </si>
  <si>
    <t>diminue de 10% la valeur de Force et de 20% les Valeurs de CC et de CT de l'Ennemi choisi tant que perdure ce sort</t>
  </si>
  <si>
    <t>Camouflage rural OU Camouflage urbain, Magie commune (Gork OU Mork)</t>
  </si>
  <si>
    <t>Camouflage rural OU Camouflage urbain OU Ventriloquie, Sombre Savoir (Domaine de Gork OU Mork)</t>
  </si>
  <si>
    <t>Déchaînement de la Waaagh</t>
  </si>
  <si>
    <t xml:space="preserve">
Tout le monde gagne +1 Attaque et + 10% en CT et en CC. De plus, toutes les peaux-vertes deviennent intrépides et donc totalement immunisées contre la peur et la terreur. Ce sort provoque une si grande explosion de Waaagh que toute personne avec le Sens de la Magie ressent cette énergie jusqu'à 10 km de distance.</t>
  </si>
  <si>
    <t>Harmonie aethyrique ou Méditation, Inspiration divine (Esprits) OU Magie de la Waaagh (Gork OU Mork), Mains agiles, Orateur né</t>
  </si>
  <si>
    <t>Squig</t>
  </si>
  <si>
    <t>Esquive (Ag)</t>
  </si>
  <si>
    <t>Armes naturelles, Troublant, Vision nocturne, Volonté de fer</t>
  </si>
  <si>
    <t>Lézard/Iguane</t>
  </si>
  <si>
    <t>Old World Animals</t>
  </si>
  <si>
    <t>Perception (Int), Survie (Int)</t>
  </si>
  <si>
    <t>Sens aiguisé</t>
  </si>
  <si>
    <t>Oiseau (poule)</t>
  </si>
  <si>
    <t>Oiseau (canard/faisan/oie/paon)</t>
  </si>
  <si>
    <t>1(7)</t>
  </si>
  <si>
    <t>Déplacement silencieux (Ag), Esquive (Ag), Navigation (Int+20%), Natation (oiseaux nageurs uniquement) (F+20%), Perception (Int+20%), Survie (Int+10%)</t>
  </si>
  <si>
    <t>Oiseau (petit (pigeon/merle…))</t>
  </si>
  <si>
    <t>1(8)</t>
  </si>
  <si>
    <t>Déplacement silencieux (Ag), Esquive (Ag), Navigation (Int+10%), Natation (oiseaux nageurs uniquement) (F+10%), Perception (Int+20%)</t>
  </si>
  <si>
    <t>Sens de l'orientation, Vol</t>
  </si>
  <si>
    <t>Camouflage rural, Fuite</t>
  </si>
  <si>
    <t>Armes naturelles, Sens aiguisés, Vision nocturne</t>
  </si>
  <si>
    <t>Sables Périlleux/Old World Bestiary</t>
  </si>
  <si>
    <t>357/13</t>
  </si>
  <si>
    <t>Les Royaumes de Sorcellerie/Sables Périlleux</t>
  </si>
  <si>
    <t>190/357</t>
  </si>
  <si>
    <t>Déplacement silencieux (Ag+10%), Natation (F), Perception (Int), Pistage (Int), Survie (Int+20%)</t>
  </si>
  <si>
    <t>Sables Périlleux/ Old World Animals</t>
  </si>
  <si>
    <t>357/14</t>
  </si>
  <si>
    <t>Les Royaumes de Sorcellerie/Old World Animals</t>
  </si>
  <si>
    <t>189/18</t>
  </si>
  <si>
    <t>Amphibien</t>
  </si>
  <si>
    <t>Déplacement silencieux (Ag+20%), Escalade (F+20%), Esquive (Ag+10%), Natation (F+20%), Perception (Int), Survie (Int+20%)</t>
  </si>
  <si>
    <t>Perception (Int), Natation (F), Survie (Int)</t>
  </si>
  <si>
    <t>Sens aiguisés, Vision nocturne</t>
  </si>
  <si>
    <t>Raton-laveur</t>
  </si>
  <si>
    <t>Camouflage Rural</t>
  </si>
  <si>
    <t>Déplacement silencieux (Ag+10%), Dissimulation (Ag+10%), Esquive (Ag), Natation (F)+10%, Perception (Int+10%), Pistage (Int), Survie (Int+20%)</t>
  </si>
  <si>
    <t>Canidé (renard)</t>
  </si>
  <si>
    <t>Canidé (chien de race)</t>
  </si>
  <si>
    <t>Canidé (petit chien)</t>
  </si>
  <si>
    <t>Canidé (chien de guerre kislevite)</t>
  </si>
  <si>
    <t>Canidé (chien de guerre/truffier)</t>
  </si>
  <si>
    <t>Canidé (loup)</t>
  </si>
  <si>
    <t>Félin (chat)</t>
  </si>
  <si>
    <t>Félin (jaguar/couguar/puma)</t>
  </si>
  <si>
    <t>Félin (lion)</t>
  </si>
  <si>
    <t>Félin (lynx/serval/ocelot)</t>
  </si>
  <si>
    <t>Serpent (aspic)</t>
  </si>
  <si>
    <t>Serpent (cobra bleu)</t>
  </si>
  <si>
    <t>Serpent (cobra royal)</t>
  </si>
  <si>
    <t>Serpent (couleuvre)</t>
  </si>
  <si>
    <t>Serpent (serpent des roches)</t>
  </si>
  <si>
    <t>Singe (chimpanzé)</t>
  </si>
  <si>
    <t>Singe (gorille)</t>
  </si>
  <si>
    <t>Sang-froid (saurien de monte)</t>
  </si>
  <si>
    <t>Pieuvre/Calamar géant (kraken)</t>
  </si>
  <si>
    <t>Grenouille/crapaud</t>
  </si>
  <si>
    <t>Félin (lion géant (nasir))</t>
  </si>
  <si>
    <t>Chameau/dromadaire</t>
  </si>
  <si>
    <t>Oiseau (aigle (grand))</t>
  </si>
  <si>
    <t>Canidé (chien de berger)</t>
  </si>
  <si>
    <t>Cheval (de guerre)</t>
  </si>
  <si>
    <t>Cheval (de selle)</t>
  </si>
  <si>
    <t>Cheval (poney)</t>
  </si>
  <si>
    <t>Cheval (poney de guerre)</t>
  </si>
  <si>
    <t>Déplacement silencieux (Ag), Esquive (Ag), Navigation (Int+10%), Perception (Int+20%), Ventriloquie (Soc)</t>
  </si>
  <si>
    <t>Déplacement silencieux (Ag +20%), Escalade (F+10%), Perception (Int), Pistage (Int +10%), Survie (Int +20%)</t>
  </si>
  <si>
    <t>Blaireau/glouton/carcajou</t>
  </si>
  <si>
    <t>Castor/rat musqué</t>
  </si>
  <si>
    <t>190/27</t>
  </si>
  <si>
    <t>Phoque</t>
  </si>
  <si>
    <t>Amphibien, Vision nocturne</t>
  </si>
  <si>
    <t>Amphibien, Camouflage rural, Vision nocturne</t>
  </si>
  <si>
    <t>Armes naturelles, Fuite, Sens aiguisés, Vision nocturne</t>
  </si>
  <si>
    <t>Serpent (vipère)</t>
  </si>
  <si>
    <t>Déplacement silencieux (Ag+20%), Escalade (F+20%), Natation (F), Perception (Int), Survie (Int+20%)</t>
  </si>
  <si>
    <t>Déplacement silencieux (Ag+20%), Natation (F), Perception (Int +20%)</t>
  </si>
  <si>
    <t>Serpent constricteur (anaconda/boa)</t>
  </si>
  <si>
    <t>Morse</t>
  </si>
  <si>
    <t>Amphibien, Coups puissants</t>
  </si>
  <si>
    <t>Déplacement silencieux (Ag+10%), Natation (F+20%), Perception (Int+10%), Pistage (Int), Survie (Int+20%)</t>
  </si>
  <si>
    <t>Dauphin/beluga</t>
  </si>
  <si>
    <t>Web/ Old world Animals</t>
  </si>
  <si>
    <t>-/30</t>
  </si>
  <si>
    <t>Déplacement silencieux (Ag), Natation (F+20%), Perception (Int+10%), Pistage (Int+20%), Survie (Int+20%)</t>
  </si>
  <si>
    <t>Amphibien, Troublant</t>
  </si>
  <si>
    <t>Créature aquatique, Sens de l'orientation</t>
  </si>
  <si>
    <t>Amphibien, Déplacement silencieux (Ag), Natation (F), Perception (Int +10%)</t>
  </si>
  <si>
    <t>Mouflon/bélier sauvage</t>
  </si>
  <si>
    <t>Déplacement silencieux (Ag+20%), Natation (F+10%), Perception (Int+20%), Survie (Int +20%)</t>
  </si>
  <si>
    <t>Orque</t>
  </si>
  <si>
    <t xml:space="preserve">Natation (Int+20%), Navigation (Int +20%), Perception (Int +10%), Survie (Int +20%), </t>
  </si>
  <si>
    <t>Déplacement silencieux (Ag +10%), Dissimulation (Ag +10%), Natation (F+20%), Perception (Int), Survie (Int+20%)</t>
  </si>
  <si>
    <t>Commérage (Soc), Connaissances académiques (magie)  (Int+10%), Connaissances générales (Empire) (Int), Focalisation (FM+10%), Fouille (Int), Langage mystique (magick) (Int), Langue (classique, reikspiel) (Int), Lire/écrire (Int), Perception (Int), Sens de la magie (FM)</t>
  </si>
  <si>
    <t>Commérage (Soc), Connaissances académiques (histoire) (Int), Connaissances générales (Empire)  (Int+10%), Langage secret (langage de guilde) (Int), Langue (bretonnien, classique, reikspiel, tiléen) (Int), Lire/écrire (Int), Métier (calligraphe) (Ag), Perception (Int)</t>
  </si>
  <si>
    <t>Commérage (Soc), Connaissances académiques (histoire) (Int), Connaissances générales (Empire)  (Int+10%), Langage secret (langage de guilde) (Int), Langue (bretonnien, classique, reikspiel, tiléen) (Int), Lire/écrire (Int) ,Métier (calligraphe) (Ag), Perception (Int)</t>
  </si>
  <si>
    <t>Baratin (Soc) +10%, Commérage (Soc+10%), Connaissances académiques (généalogie/héraldique) (Int), Connaissances générales (Empire) (Int), Esquive (Ag), Évaluation (Int), Fouille (Int), Langue (bretonnien, reikspiel) (Int), Lire/écrire (Int), Marchandage (Soc), Métier (cuisinier) (Int), Perception  (Int+10%), Soins des animaux (Int)</t>
  </si>
  <si>
    <t>Déplacement silencieux (Ag +10%), Natation (F +20%), Navigation (Int +20%), Perception (Int +10%), Survie (Int +20%),</t>
  </si>
  <si>
    <t>Déplacement silencieux (Ag), Escalade (F+20%), Perception (Int), Survie (Int+20%)</t>
  </si>
  <si>
    <t>Dissimulation (Ag +20%), Escalade (F), Intimidation (F +10%), Natation (F) (For), Perception (Int +10%), Pistage (Int)</t>
  </si>
  <si>
    <t>Déplacement silencieux (Ag +10%), Natation (F+20%), Perception (Int +10%), Pistage (Int +10%), Survie (Int +20%)</t>
  </si>
  <si>
    <t>Déplacement silencieux (Ag +20%), Escalade (F +20%), Escamotage (Ag +20%), Natation (F +20%), Perception (Int), Survie(Int +20%)</t>
  </si>
  <si>
    <t>Dissimulation (Ag +20%), Natation (F+20%)</t>
  </si>
  <si>
    <t>Coups puissants, Coups précis, Créature aquatique, Sens de l'Orientation</t>
  </si>
  <si>
    <t>Baleine/cachalot</t>
  </si>
  <si>
    <t>Natation (F+20%), Navigation (Int+20%), Perception (Int+10)%, Survie (Int+20%)</t>
  </si>
  <si>
    <t>Dragon</t>
  </si>
  <si>
    <t>Warhawk/Terradon Rider</t>
  </si>
  <si>
    <t>Verenean Investigator/Estalian Inquisitor</t>
  </si>
  <si>
    <t>Cheval (pégase)</t>
  </si>
  <si>
    <t>Cheval (pégase iridescent)</t>
  </si>
  <si>
    <t>Canidé (loup géant/ouargue)</t>
  </si>
  <si>
    <t>Déplacement silencieux (Ag), Dissimulation (Ag), Natation (F), Perception (Int +10%), Pistage (Int)</t>
  </si>
  <si>
    <t>20 sc</t>
  </si>
  <si>
    <t>Manticore</t>
  </si>
  <si>
    <t>Araignée géante</t>
  </si>
  <si>
    <t>Déplacement silencieux (Ag+10%), Dissimulation (Ag+10%), Escalade, Perception (Int+10%)</t>
  </si>
  <si>
    <t>Oiseau (faucon de guerre (grand))</t>
  </si>
  <si>
    <t>Oiseau (autruche (culchan))</t>
  </si>
  <si>
    <t>Le Bestiaire/Old World Animals</t>
  </si>
  <si>
    <t>109/12</t>
  </si>
  <si>
    <t>Vouivre</t>
  </si>
  <si>
    <t>4(8)</t>
  </si>
  <si>
    <t>Race 2 (serviteurs)</t>
  </si>
  <si>
    <t>Zombie</t>
  </si>
  <si>
    <t>Effrayant, Mort-Vivant, Vision nocturne</t>
  </si>
  <si>
    <t>Armes naturelles, Fils du désert (Antilope uniquement), Fuite, Sens aiguisés</t>
  </si>
  <si>
    <t>Old world Animals</t>
  </si>
  <si>
    <t>Garde du corps Vétéran</t>
  </si>
  <si>
    <t>Compétences: Conduite d’attelage ou équitation, Connaissances générales (Arabie), Langue (arabien). Talents : Grand voyageur ou Sang-froid, Affinité provinciale (Califat de Ka-Sabar)</t>
  </si>
  <si>
    <t>Compétences: Connaissances générales (Arabie) ou Soins des animaux, Escalade, Langue (arabien). Talents : Robuste, Affinité provinciale (Califat de Mahabbah)</t>
  </si>
  <si>
    <t>Compétences: Commérage ou Escalade, Connaissances générales (Arabie), Langue (arabien). Talents : Survie, Affinité provinciale (Califat de Martek)</t>
  </si>
  <si>
    <t>Compétences: Dissimulation ou Torture, Connaissances générales (Arabie) ou Connaissances académiques (théologie), Langue (arabien).Talents : Affinité provinciale (Califat de Shaharazar), 1 talent déterminé aléatoirement.</t>
  </si>
  <si>
    <t>Compétences: Code la rue, Connaissances générales (Arabie), Expression artistique (au choix), Langue (arabien). Talents : Affinité provinciale (Califat de Teshert)</t>
  </si>
  <si>
    <t>Compétences: Baratin ou Métier (cartographe) ou Langue (au choix), Connaissances générales (Arabie), Langue (arabien). Talents : Affinité provinciale (Califat d'El Kalabad), 1 talent déterminé aléatoirement.</t>
  </si>
  <si>
    <t>Compétences: Baratin, Connaissances académiques (théologie) ou Connaissances générales (Arabie), Dissimulation, Langue (arabien). Talents :  Affinité provinciale (Califats de Kamt)</t>
  </si>
  <si>
    <t xml:space="preserve">Compétences: Braconnage ou Connaissances générales (Arabie), Langue (arabien), Soin des animaux. Talents : Camouflage rural, Fils du désert, Affinité provinciale (Emirat de Bur-Shitrak) </t>
  </si>
  <si>
    <t>Compétences: Connaissances générales (Arabie), Langue (arabien), Évaluation ou Marchandage. Talents : Dur en affaires,  Affinité provinciale (Emirat de Copher)</t>
  </si>
  <si>
    <t>Compétences: Connaissances générales (Arabie), Dissimulation ou Langue (reikspiel ou bretonnien), Langue (arabien). Talents : Sur ses gardes, Affinité provinciale (Emirat de Gobi-Alain)</t>
  </si>
  <si>
    <t>Compétences: Commérage, Connaissances générales (Arabie), Langue (arabien). Talents : Sociable, Affinité provinciale (Emirat de Kadira)</t>
  </si>
  <si>
    <t>Compétences: Canotage, Connaissances générales (Arabie), Langue (arabien). Talents : Affinité provinciale (Principauté de Jubail/Iles Sorcières), 1 talent déterminé aléatoirement.</t>
  </si>
  <si>
    <t>Compétences: Commérage ou Connaissances académiques (philosophie), Connaissances générales (Arabie), Langue (arabien). Talents : Affinité provinciale (Royaume de Dimashque), Éloquence ou Métier (forgeron)</t>
  </si>
  <si>
    <t>Compétences: Expression artistique (au choix), Connaissances générales (Arabie) ou Connaissances académiques (arts), Langue (arabien). Talents : Affinité provinciale (Royaume de Gomorh), Contortionniste ou Talent artistique</t>
  </si>
  <si>
    <t>Compétences: Connaissances générales (Arabie), Déguisement ou Intimidation, Langue (arabien). Talents : Affinité provinciale (Royaume de Khalibon), Camouflage urbain ou Intrigant</t>
  </si>
  <si>
    <t>Compétences: Connaissances générales (Arabie) ou Connaissances académiques (astronomie ou droit ou histoire ou philosophie ou science), Langue (arabien), Lire/écrire. Talents : Affinité provinciale (Sheikat d'Al-Itzarr),  Calcul mental ou Orateur né, Éloquence ou Linguistique</t>
  </si>
  <si>
    <t>Compétences: Connaissances générales (Arabie), Langue (arabien), Navigation. Talents : Sens aiguisés, Affinité provinciale (Sheikat de Lashiek)</t>
  </si>
  <si>
    <t>Compétences: Connaissances générales (Arabie), Langue (arabien), Navigation ou Langue (une au choix). Talents : Grand Voyageur, Affinité provinciale (Sheikat de Lazzara)</t>
  </si>
  <si>
    <t>Compétences: Connaissances générales (Arabie), Langue (arabien), Soin des animaux ou Emprise sur les animaux. Talents : Affinité provinciale (Sheikat d'Istrabul), 1 talent déterminé aléatoirement.</t>
  </si>
  <si>
    <t>Compétences: Connaissances générales (Arabie), Langue (arabien), Natation ou Métier (marchand ou charpentier naval). Talents : Affinité provinciale (Sultanat d'Aiir), Sens de l’orientation</t>
  </si>
  <si>
    <t xml:space="preserve">Compétences: Commérage ou Alphabet secret (voleur), Connaissances générales (Arabie), Langue (arabien). Talents : Code de la rue ou étiquette, Affinité provinciale (Sultanat d'Alhaka) </t>
  </si>
  <si>
    <t xml:space="preserve">Compétences: Commérage ou Marchandage, Connaissances générales (Arabie), Langue (arabien). Talents : Camouflage urbain, Affinité provinciale (Sultanat d'Amhabal) </t>
  </si>
  <si>
    <t>Sultanat de Djambiya</t>
  </si>
  <si>
    <t>Compétences: Commérage ou Évaluation, Connaissances générales (Arabie), Langue (arabien). Talents : Sur ses gardes, Affinité provinciale (Sultanat de Djambiya)</t>
  </si>
  <si>
    <t>Compétences: Commérage ou Baratin, Connaissances générales (Arabie), Langue (arabien). Talents :  Affinité provinciale (Sultanat de Ras Karim), 1 talents déterminé aléatoirement.</t>
  </si>
  <si>
    <t>Compétences: Commérage ou Perception, Connaissances générales (Arabie), Langue (arabien). Talents : Code de la rue ou Harmonie aethyrique, Affinité provinciale (Sultanat d'El Kabbath)</t>
  </si>
  <si>
    <t>Mutations: aspect bestial, cornes et jambes d’animal Compétences: Déplacement silencieux Intimidation, Natation Talents: Camouflage rural, Intelligent, Menaçant, Sens aiguisés</t>
  </si>
  <si>
    <t>Mutations: aspect bestial, cornes et jambes d’animal Compétences: Déplacement silencieux, Intimidation, Talents: Camouflage rural, Menaçant, Sens aiguisés</t>
  </si>
  <si>
    <t>Mutations: aspect bestial, cornes et jambes d’animal Compétences: Dissimulation, Escalade, Intimidation Talents: Camouflage rural, Coups puissants, Intelligent, Menaçant, Sens aiguisés</t>
  </si>
  <si>
    <t>Mutations: amphibien, aspect bestial, cornes et jambes d’animal Compétences: Intimidation, Natation Talents: Camouflage rural, Menaçant, Sens aiguisés</t>
  </si>
  <si>
    <t>Mutations: ailes, aspect bestial, cornes et jambes d’animal Compétences: Intimidation Talents: Camouflage rural, Menaçant, Sens aiguisés, Torture, Vol</t>
  </si>
  <si>
    <t>Mutations: aspect bestial, cornes et jambes d’animal Compétences: Intimidation Talents: Camouflage rural, Contagion, Menaçant, Sens aiguisés, Torture</t>
  </si>
  <si>
    <t>Mutations: aspect bestial, cornes et jambes d’animal Compétences: Intimidation Talents: Camouflage rural, Force accrue, Menaçant, Sens aiguisés</t>
  </si>
  <si>
    <t>Mutations: aspect bestial, cornes et jambes d’animal Compétences: Intimidation Talents: Camouflage rural, Force accrue, Intelligent, Menaçant, Sens aiguisés</t>
  </si>
  <si>
    <t>Mutations: aspect bestial, cornes et jambes d’animal Compétences: Intimidation Talents: Camouflage rural, Frénésie, Menaçant, Sens aiguisés, Torture</t>
  </si>
  <si>
    <t>Mutations: aspect bestial, cornes et jambes d’animal Compétences: Intimidation Talents: Camouflage rural, Menaçant, Sens aiguisés, Torture</t>
  </si>
  <si>
    <t>Mutations: aspect bestial, cornes (2 fois), croissance, bras supplémentaires (2 fois) et jambes d’animal, Compétences : Intimidation, Langue (langage sombre), Perception, Pistage, Survie Talents : Camouflage rural, Coups précis, Coups puissants, Effrayant, Maîtrise (armes lourdes), Sens aiguisés, Sens de la magie</t>
  </si>
  <si>
    <t>Cheval (de somme/de bât)</t>
  </si>
  <si>
    <t>Cheval (de trait)</t>
  </si>
  <si>
    <t>LRS 190/Arsenal 81</t>
  </si>
  <si>
    <t>Cheval (pur sang arabien)</t>
  </si>
  <si>
    <t>Cochon/porc</t>
  </si>
  <si>
    <t>Canidé (hyène)</t>
  </si>
  <si>
    <t>Canidé (chien mukkavi))</t>
  </si>
  <si>
    <t>Cheval (âne/canasson)</t>
  </si>
  <si>
    <t>Reine des glaces</t>
  </si>
  <si>
    <t>SablesP 357</t>
  </si>
  <si>
    <t>Bestiaire 85</t>
  </si>
  <si>
    <t>Bestiaire 90</t>
  </si>
  <si>
    <t>Bestiaire 97</t>
  </si>
  <si>
    <t>Bestiaire 101</t>
  </si>
  <si>
    <t>Bestiaire 107</t>
  </si>
  <si>
    <t>Bestiaire 110</t>
  </si>
  <si>
    <t>Bestiaire 116</t>
  </si>
  <si>
    <t>Old World Animals 34</t>
  </si>
  <si>
    <t>Old World Animals 26</t>
  </si>
  <si>
    <t>Old World Animals 35</t>
  </si>
  <si>
    <t>Old World Animals 16</t>
  </si>
  <si>
    <t>Old World Animals 17</t>
  </si>
  <si>
    <t>Old World Animals 31</t>
  </si>
  <si>
    <t>Old World Animals 10</t>
  </si>
  <si>
    <t>Old World Animals 11</t>
  </si>
  <si>
    <t>Old World Animals 29</t>
  </si>
  <si>
    <t>Old World Animals 24</t>
  </si>
  <si>
    <t>Old World Animals 25</t>
  </si>
  <si>
    <t>Old World Animals 30</t>
  </si>
  <si>
    <t>Old World Animals 32</t>
  </si>
  <si>
    <t>Arsenal/Old World Animals</t>
  </si>
  <si>
    <t>83/18</t>
  </si>
  <si>
    <t>Déplacement silencieux (Ag), Natation (F), Perception (Int), Survie (Int)</t>
  </si>
  <si>
    <t>Acuité auditive, Armes naturelles, Sens aiguisés,</t>
  </si>
  <si>
    <t>Serpent (coatl)</t>
  </si>
  <si>
    <t>Serpent (coalt)</t>
  </si>
  <si>
    <t>Lustria 6</t>
  </si>
  <si>
    <t>Lustria 7</t>
  </si>
  <si>
    <t>Grenouille/crapaud (géant)</t>
  </si>
  <si>
    <t>Lustria 8</t>
  </si>
  <si>
    <t>Escargot (géant)</t>
  </si>
  <si>
    <t>Escalade (F+20%), Perception (Int+20%)</t>
  </si>
  <si>
    <t>Sables P 337/Old World Animals 8</t>
  </si>
  <si>
    <t>Sables Périlleux/Old World Animals</t>
  </si>
  <si>
    <t>337/8</t>
  </si>
  <si>
    <t>Félin (tigre à dents de sabre)</t>
  </si>
  <si>
    <t>SablesP 339</t>
  </si>
  <si>
    <t>SablesP 324</t>
  </si>
  <si>
    <t>SablesP 323</t>
  </si>
  <si>
    <t>Old World Animals 17/SablesP 324</t>
  </si>
  <si>
    <t>SablesP 325</t>
  </si>
  <si>
    <t>SablesP 327</t>
  </si>
  <si>
    <t>Sables P 329</t>
  </si>
  <si>
    <t>Cheval (mule/zèbre)</t>
  </si>
  <si>
    <t>Sanglier/cochon sauvage</t>
  </si>
  <si>
    <t>CdG 106/Bestiaire 105</t>
  </si>
  <si>
    <t>Chèvre/mouton/chamois</t>
  </si>
  <si>
    <t>Antilope/okapi/onyx</t>
  </si>
  <si>
    <t>Old World Animals 14</t>
  </si>
  <si>
    <t>Daim/cerf/renne</t>
  </si>
  <si>
    <t>Félin (panthère/léopard)</t>
  </si>
  <si>
    <t>Coups précis, Orateur né, Magie commune (Divine)</t>
  </si>
  <si>
    <t>Magie commune (Divine), Sens de l'Orientation</t>
  </si>
  <si>
    <t>Maîtrise (jet)</t>
  </si>
  <si>
    <t>Commandement, Magie commune (Divine)</t>
  </si>
  <si>
    <t>Coups assommants, Coups précis, Orateur né, Incantation de bataille</t>
  </si>
  <si>
    <t>Compétences: Déplacement silencieux, Dissimulation, Escalade, Langue (ghazhakh (gobelin)), Intimidation, Perception, Survie Talents: Armes naturelles, Mutation: Immunité contre le feu</t>
  </si>
  <si>
    <t>Venimeux</t>
  </si>
  <si>
    <t>Déplacement silencieux (Ag+20%), Perception (Int +20%), Venimeux</t>
  </si>
  <si>
    <t>Déplacement silencieux (Ag+20%), Natation (F), Perception (Int +20%), Venimeux</t>
  </si>
  <si>
    <t>Déplacement silencieux (Ag+20%)</t>
  </si>
  <si>
    <t>Familier</t>
  </si>
  <si>
    <t>Serviteurs, Formes animales, Animaux et Familier</t>
  </si>
  <si>
    <t>Animal d'élevage</t>
  </si>
  <si>
    <t>ethnies2</t>
  </si>
  <si>
    <t>Principautés Frontalières</t>
  </si>
  <si>
    <t>Inja</t>
  </si>
  <si>
    <t>Farfadet/fée/pixie</t>
  </si>
  <si>
    <t>Déplacement silencieux (Ag+20%), Natation (F+10%),  Perception (Int), Survie (Int +20%)</t>
  </si>
  <si>
    <t>Scorpion (géant)</t>
  </si>
  <si>
    <t>Mutations: aspect bestial, cornes et jambes d’animal Compétences: Intimidation Talents: Absorption de magie, Camouflage rural, Menaçant, Rompu au chaos, Sens aiguisé</t>
  </si>
  <si>
    <t>Mutations: ailes, aspect bestial, cornes et jambes d’animal Compétences: Charisme, Commandement, Intimidation, Pistage, Perception,  Talents: Menaçant, Sens aiguisés, Vol</t>
  </si>
  <si>
    <t>Serviteur/Familier/Forme Animale/Monture</t>
  </si>
  <si>
    <t>Mutations: aspect bestial, cornes et jambes d’animal Compétences: Intimidation, Pistage, Talents: Acuité auditive, Armes naturelles, Coups puissants, Fuite, Menaçant, Sens de l’orientation.</t>
  </si>
  <si>
    <t>Acuité auditive, Armes naturelles, Coups puissants, Fuite, Menaçant, Sens de l’orientation.</t>
  </si>
  <si>
    <t>Mutations: aspect bestial, cornes et jambes d’animal Compétences: Intimidation, Natation, Pistage, Survie Talents: Armes naturelles, Coups puissants, Créature aquatique, Sens aiguisés, Vision nocturne, Volonté de fer</t>
  </si>
  <si>
    <t>Mutations: aspect bestial, cornes et jambes d’animal Compétences: Intimidation, Pistage, Survie Talents: Armes naturelles, Coups précis, Fuite, Sens aiguisés, Vision nocturne, Vol</t>
  </si>
  <si>
    <t>Arthropogor</t>
  </si>
  <si>
    <t>Bestigor/Vraigor</t>
  </si>
  <si>
    <t>Bovigor</t>
  </si>
  <si>
    <t>Crocogor</t>
  </si>
  <si>
    <t>Cygor</t>
  </si>
  <si>
    <t>Dracogor</t>
  </si>
  <si>
    <t>Ghorgon</t>
  </si>
  <si>
    <t>Gorol</t>
  </si>
  <si>
    <t>Harpie</t>
  </si>
  <si>
    <t>Insectigor</t>
  </si>
  <si>
    <t>Khorngor</t>
  </si>
  <si>
    <t>Loxogor</t>
  </si>
  <si>
    <t>Malagor</t>
  </si>
  <si>
    <t>Naga</t>
  </si>
  <si>
    <t>Pestigor</t>
  </si>
  <si>
    <t>Rakshasa</t>
  </si>
  <si>
    <t>Slaangor</t>
  </si>
  <si>
    <t>Squalogor</t>
  </si>
  <si>
    <t>Ymir</t>
  </si>
  <si>
    <t>Mutations: aspect bestial, cornes et jambes d’animal Compétences: Intimidation, Perception, Sens de la Magie Talents: Camouflage rural, Menaçant, Sens aiguisés</t>
  </si>
  <si>
    <t>Tzaangor</t>
  </si>
  <si>
    <t>Principaux Hommes-bêtes</t>
  </si>
  <si>
    <t>Peaux-vertes</t>
  </si>
  <si>
    <t>Canidé (chien du chaos)</t>
  </si>
  <si>
    <t>Déplacement silencieux (Ag), Natation (F), Perception (Int+10%), Pistage (Int+10%)</t>
  </si>
  <si>
    <t>Sanglebouc (sanglier du chaos)</t>
  </si>
  <si>
    <t>Déplacement silencieux (Ag), Dissimulation (Ag), Perception (Int), Pistage (Int+10%), Survie (Int)</t>
  </si>
  <si>
    <t>Silencieux</t>
  </si>
  <si>
    <t>+20% Déplacement silencieux &amp; +10% Dissimulation</t>
  </si>
  <si>
    <t>'+20% Déplacement silencieux &amp; +10% Dissimulation</t>
  </si>
  <si>
    <t>Baiser de jouvence (une application)</t>
  </si>
  <si>
    <t>LTdC 119</t>
  </si>
  <si>
    <t>Déplacement silencieux (Ag), Dissimulation (Ag), Escalade (F), Perception (Int+10%), Pistage (Int)</t>
  </si>
  <si>
    <t>Acuité visuelle, Armes naturelles, Coups précis, Écailles (3), Effrayant, Résistance aux poisons, Sans peur, Sens aiguisés, Venimeux, Vision nocturne</t>
  </si>
  <si>
    <t>Précis fantastique de Reinholt Schent</t>
  </si>
  <si>
    <t>TdC 119</t>
  </si>
  <si>
    <t>Braconnage (Ag), Charisme (Soc), Commandement (Soc), Commérage (Soc+20%), Connaissances générales (dragons et draconides, Terres du Sud) (Int), Escalade (F+10%), Fouille (Int), Intimidation (F+20%), Langue (quatre au choix) (Int), Marchandage (Soc+10%), Orientation (Int), Perception (Int+10%), Pistage (Int), Survie (Int), Torture (Soc+10%)</t>
  </si>
  <si>
    <t>Acuité auditive, Armes naturelles, Coups assommants, Coups précis, Coups puissants, Désarmement, Dur en affaires, Écailles (4), Linguistique, Menaçant, Sens aiguisés, Terrifiant, Vision nocturne</t>
  </si>
  <si>
    <t>Gootslang</t>
  </si>
  <si>
    <t>SablesP 338</t>
  </si>
  <si>
    <t>Basilic</t>
  </si>
  <si>
    <t>Venin de coalt</t>
  </si>
  <si>
    <t>Venin de basilic</t>
  </si>
  <si>
    <t>TdC 120</t>
  </si>
  <si>
    <t>TdC 125</t>
  </si>
  <si>
    <t>Serpent (amphisbène)</t>
  </si>
  <si>
    <t>Déplacement silencieux (Ag+10%), Dissimulation (Ag), Esquive (Ag+10%), Perception (Int)</t>
  </si>
  <si>
    <t>LTdC 118</t>
  </si>
  <si>
    <t>5(10)</t>
  </si>
  <si>
    <t>Esquive (Ag+10%), Survie (Int)</t>
  </si>
  <si>
    <t>Belette/furet/fouine/écureuil</t>
  </si>
  <si>
    <t>Armes naturelles, Camouflage rural, Puanteur, Sens aiguisés</t>
  </si>
  <si>
    <t>Chimère</t>
  </si>
  <si>
    <t>LTdC 120</t>
  </si>
  <si>
    <t>Venin de ver des marais</t>
  </si>
  <si>
    <t>TdC 126</t>
  </si>
  <si>
    <t>Grand Voyageur, Sens aiguisés</t>
  </si>
  <si>
    <t>Journal de Janko Bernstorff</t>
  </si>
  <si>
    <t>Poing-menaçant</t>
  </si>
  <si>
    <t>La Juste</t>
  </si>
  <si>
    <t>Le Roux</t>
  </si>
  <si>
    <t>Le Sévère</t>
  </si>
  <si>
    <t>Triste-Rancune</t>
  </si>
  <si>
    <t>Diablotin</t>
  </si>
  <si>
    <t>4(4)</t>
  </si>
  <si>
    <t>Charisme (Soc+20%), Commérage (Soc), Dissimulation (Ag+10%), Esquive (Ag+10%), Focalisation (FM), Fouille (Int), Intimidation (F), Langage mystique (démonik) (Int), Langue (deux au choix) (Int), Natation (F), Torture (Soc)</t>
  </si>
  <si>
    <t>ce sort agit exactement comme le sort l'envol du corbeau, si ce n'est que la forme adoptée est celle d'un animal épique. Le sort constitue une invocation si puissante et violente que tous les sorciers dans un rayon de 7,5 kilomètres prennent conscience de la perturbation de l’Aethyr provoquée par son incantation. Les sorciers de bataille de la Confrérie d'Ambre et des Seigneurs Métamorphes poursuivent souvent ceux qui recourent à ce sort inconsidérément, pour leur rappeler où se situent les limites, d’une manière plutôt mordante.</t>
  </si>
  <si>
    <t>nom famille cathay</t>
  </si>
  <si>
    <t>Xen</t>
  </si>
  <si>
    <t>Jou</t>
  </si>
  <si>
    <t>Chin</t>
  </si>
  <si>
    <t>Wan</t>
  </si>
  <si>
    <t>Yin</t>
  </si>
  <si>
    <t>Yang</t>
  </si>
  <si>
    <t>Ting</t>
  </si>
  <si>
    <t>Sung</t>
  </si>
  <si>
    <t>Wu</t>
  </si>
  <si>
    <t>Yuen</t>
  </si>
  <si>
    <t>Liu</t>
  </si>
  <si>
    <t>Chen</t>
  </si>
  <si>
    <t>Huang</t>
  </si>
  <si>
    <t>Zhao</t>
  </si>
  <si>
    <t>Zhou</t>
  </si>
  <si>
    <t>Xu</t>
  </si>
  <si>
    <t>Ma</t>
  </si>
  <si>
    <t>Zhu</t>
  </si>
  <si>
    <t>Hu</t>
  </si>
  <si>
    <t>Guo</t>
  </si>
  <si>
    <t>He</t>
  </si>
  <si>
    <t>Gao</t>
  </si>
  <si>
    <t>Lin</t>
  </si>
  <si>
    <t>Luo</t>
  </si>
  <si>
    <t>Zheng</t>
  </si>
  <si>
    <t>Liang</t>
  </si>
  <si>
    <t>Tsung</t>
  </si>
  <si>
    <t>Lao</t>
  </si>
  <si>
    <t>Long</t>
  </si>
  <si>
    <t>Li</t>
  </si>
  <si>
    <t>Cal</t>
  </si>
  <si>
    <t>Jian</t>
  </si>
  <si>
    <t>Ouyang</t>
  </si>
  <si>
    <t>Fan</t>
  </si>
  <si>
    <t>Bu</t>
  </si>
  <si>
    <t>Koku</t>
  </si>
  <si>
    <t>nom famille estalie</t>
  </si>
  <si>
    <t>García</t>
  </si>
  <si>
    <t>Fernández</t>
  </si>
  <si>
    <t>González</t>
  </si>
  <si>
    <t>Rodríguez</t>
  </si>
  <si>
    <t>Gómez</t>
  </si>
  <si>
    <t>Flores</t>
  </si>
  <si>
    <t>Hernández</t>
  </si>
  <si>
    <t>Muñoz</t>
  </si>
  <si>
    <t>Rojas</t>
  </si>
  <si>
    <t>Mora</t>
  </si>
  <si>
    <t>Jimenez</t>
  </si>
  <si>
    <t>López</t>
  </si>
  <si>
    <t>Benítez</t>
  </si>
  <si>
    <t>Martínez</t>
  </si>
  <si>
    <t>Quispe</t>
  </si>
  <si>
    <t>Sanchez</t>
  </si>
  <si>
    <t>Pérez</t>
  </si>
  <si>
    <t>Martin</t>
  </si>
  <si>
    <t>Ruiz</t>
  </si>
  <si>
    <t>Lorca</t>
  </si>
  <si>
    <t>Galeano</t>
  </si>
  <si>
    <t>Nunez</t>
  </si>
  <si>
    <t>José</t>
  </si>
  <si>
    <t>Dato</t>
  </si>
  <si>
    <t>Iglesias</t>
  </si>
  <si>
    <t>Maragal</t>
  </si>
  <si>
    <t>Piñol</t>
  </si>
  <si>
    <t>Farré</t>
  </si>
  <si>
    <t>Gabarra</t>
  </si>
  <si>
    <t>Casas</t>
  </si>
  <si>
    <t>Perpiñá</t>
  </si>
  <si>
    <t>Jufré</t>
  </si>
  <si>
    <t>Pijuan</t>
  </si>
  <si>
    <t>Roselló</t>
  </si>
  <si>
    <t>Alvarez</t>
  </si>
  <si>
    <t>Carlos</t>
  </si>
  <si>
    <t>Román</t>
  </si>
  <si>
    <t>Perón</t>
  </si>
  <si>
    <t>Abatucci</t>
  </si>
  <si>
    <t>Acampora</t>
  </si>
  <si>
    <t>Acciari</t>
  </si>
  <si>
    <t>Acciaro</t>
  </si>
  <si>
    <t>Acerbi</t>
  </si>
  <si>
    <t>Acerbo</t>
  </si>
  <si>
    <t>Achenza</t>
  </si>
  <si>
    <t>Adamo</t>
  </si>
  <si>
    <t>Addeo</t>
  </si>
  <si>
    <t>Adone</t>
  </si>
  <si>
    <t>Adoni</t>
  </si>
  <si>
    <t>Agati</t>
  </si>
  <si>
    <t>Aghion</t>
  </si>
  <si>
    <t>Agnelli</t>
  </si>
  <si>
    <t>Agnello</t>
  </si>
  <si>
    <t>Agnese</t>
  </si>
  <si>
    <t>Agnesetta</t>
  </si>
  <si>
    <t>Agnesi</t>
  </si>
  <si>
    <t>Agnesina</t>
  </si>
  <si>
    <t>Agnesini</t>
  </si>
  <si>
    <t>Agnesio</t>
  </si>
  <si>
    <t>Agnesotti</t>
  </si>
  <si>
    <t>Agostino</t>
  </si>
  <si>
    <t>Aiassa</t>
  </si>
  <si>
    <t>Alario</t>
  </si>
  <si>
    <t>Alberici</t>
  </si>
  <si>
    <t>Alberico</t>
  </si>
  <si>
    <t>Alberighi</t>
  </si>
  <si>
    <t>Alberigo</t>
  </si>
  <si>
    <t>Alberisio</t>
  </si>
  <si>
    <t>Albertino</t>
  </si>
  <si>
    <t>Albrisio</t>
  </si>
  <si>
    <t>Albrizio</t>
  </si>
  <si>
    <t>Albrizzi</t>
  </si>
  <si>
    <t>Albrizzio</t>
  </si>
  <si>
    <t>Aldisio</t>
  </si>
  <si>
    <t>Alesi</t>
  </si>
  <si>
    <t>Alessandra</t>
  </si>
  <si>
    <t>Alessandrelli</t>
  </si>
  <si>
    <t>Alessandri</t>
  </si>
  <si>
    <t>Alessandrini</t>
  </si>
  <si>
    <t>Alessandrino</t>
  </si>
  <si>
    <t>Alessandro</t>
  </si>
  <si>
    <t>Alestra</t>
  </si>
  <si>
    <t>Alighieri</t>
  </si>
  <si>
    <t>Alloa</t>
  </si>
  <si>
    <t>Allocchio</t>
  </si>
  <si>
    <t>Allocchis</t>
  </si>
  <si>
    <t>Allocco</t>
  </si>
  <si>
    <t>Allochis</t>
  </si>
  <si>
    <t>Alloisio</t>
  </si>
  <si>
    <t>Alloiso</t>
  </si>
  <si>
    <t>Allosi</t>
  </si>
  <si>
    <t>Alteri</t>
  </si>
  <si>
    <t>Alterio</t>
  </si>
  <si>
    <t>Altieri</t>
  </si>
  <si>
    <t>Altiero</t>
  </si>
  <si>
    <t>Alvise</t>
  </si>
  <si>
    <t>Alvisi</t>
  </si>
  <si>
    <t>Alvisio</t>
  </si>
  <si>
    <t>Amaro</t>
  </si>
  <si>
    <t>Ambesi</t>
  </si>
  <si>
    <t>Americi</t>
  </si>
  <si>
    <t>Americo</t>
  </si>
  <si>
    <t>Amerighi</t>
  </si>
  <si>
    <t>Amerigo</t>
  </si>
  <si>
    <t>Amprimo</t>
  </si>
  <si>
    <t>Anceschi</t>
  </si>
  <si>
    <t>Ancona</t>
  </si>
  <si>
    <t>Anconetani</t>
  </si>
  <si>
    <t>Anconetti</t>
  </si>
  <si>
    <t>Anconi</t>
  </si>
  <si>
    <t>Andreani</t>
  </si>
  <si>
    <t>Andréani</t>
  </si>
  <si>
    <t>Andreetta</t>
  </si>
  <si>
    <t>Andreetto</t>
  </si>
  <si>
    <t>Andrei</t>
  </si>
  <si>
    <t>Andreo</t>
  </si>
  <si>
    <t>Andreossi</t>
  </si>
  <si>
    <t>Andreotti</t>
  </si>
  <si>
    <t>Angioi</t>
  </si>
  <si>
    <t>Antonelli</t>
  </si>
  <si>
    <t>Antonionni</t>
  </si>
  <si>
    <t>Anzil</t>
  </si>
  <si>
    <t>Anzilutti</t>
  </si>
  <si>
    <t>Aprile</t>
  </si>
  <si>
    <t>Arbini</t>
  </si>
  <si>
    <t>Arbino</t>
  </si>
  <si>
    <t>Archi</t>
  </si>
  <si>
    <t>Arco</t>
  </si>
  <si>
    <t>Arcoleo</t>
  </si>
  <si>
    <t>Arculeo</t>
  </si>
  <si>
    <t>Arditi</t>
  </si>
  <si>
    <t>Ardito</t>
  </si>
  <si>
    <t>Arditti</t>
  </si>
  <si>
    <t>Armandi</t>
  </si>
  <si>
    <t>Armando</t>
  </si>
  <si>
    <t>Armandola</t>
  </si>
  <si>
    <t>Armandoni</t>
  </si>
  <si>
    <t>Armanelli</t>
  </si>
  <si>
    <t>Armanetti</t>
  </si>
  <si>
    <t>Armani</t>
  </si>
  <si>
    <t>Armanini</t>
  </si>
  <si>
    <t>Armanni</t>
  </si>
  <si>
    <t>Armano</t>
  </si>
  <si>
    <t>Arnaldi</t>
  </si>
  <si>
    <t>Arnaldo</t>
  </si>
  <si>
    <t>Astrologi</t>
  </si>
  <si>
    <t>Auda</t>
  </si>
  <si>
    <t>Audifreddi</t>
  </si>
  <si>
    <t>Audifredi</t>
  </si>
  <si>
    <t>Audisio</t>
  </si>
  <si>
    <t>Audizio</t>
  </si>
  <si>
    <t>Augusto</t>
  </si>
  <si>
    <t>Autenzio</t>
  </si>
  <si>
    <t>Autieri</t>
  </si>
  <si>
    <t>Autiero</t>
  </si>
  <si>
    <t>Babbucci</t>
  </si>
  <si>
    <t>Bagni</t>
  </si>
  <si>
    <t>Bailo</t>
  </si>
  <si>
    <t>Bajardo</t>
  </si>
  <si>
    <t>Barat</t>
  </si>
  <si>
    <t>Baratta</t>
  </si>
  <si>
    <t>Baratteri</t>
  </si>
  <si>
    <t>Barattero</t>
  </si>
  <si>
    <t>Baratti</t>
  </si>
  <si>
    <t>Barattieri</t>
  </si>
  <si>
    <t>Barattini</t>
  </si>
  <si>
    <t>Barattino</t>
  </si>
  <si>
    <t>Baratto</t>
  </si>
  <si>
    <t>Barattola</t>
  </si>
  <si>
    <t>Barattolo</t>
  </si>
  <si>
    <t>Barbieri</t>
  </si>
  <si>
    <t>Bariani</t>
  </si>
  <si>
    <t>Barilla</t>
  </si>
  <si>
    <t>Bartolomeo</t>
  </si>
  <si>
    <t>Bartolotti</t>
  </si>
  <si>
    <t>Bartolozzi</t>
  </si>
  <si>
    <t>Basaïa</t>
  </si>
  <si>
    <t>Baschenis</t>
  </si>
  <si>
    <t>Basini</t>
  </si>
  <si>
    <t>Basinio</t>
  </si>
  <si>
    <t>Bataglia</t>
  </si>
  <si>
    <t>Bataglini</t>
  </si>
  <si>
    <t>Bataglione</t>
  </si>
  <si>
    <t>Battaggia</t>
  </si>
  <si>
    <t>Battaglia</t>
  </si>
  <si>
    <t>Battaglieri</t>
  </si>
  <si>
    <t>Battaglin</t>
  </si>
  <si>
    <t>Battaglini</t>
  </si>
  <si>
    <t>Battaglino</t>
  </si>
  <si>
    <t>Battaglio</t>
  </si>
  <si>
    <t>Battagliola</t>
  </si>
  <si>
    <t>Battaglioli</t>
  </si>
  <si>
    <t>Battaglione</t>
  </si>
  <si>
    <t>Battaglioni</t>
  </si>
  <si>
    <t>Battagliotti</t>
  </si>
  <si>
    <t>Battaia</t>
  </si>
  <si>
    <t>Battista</t>
  </si>
  <si>
    <t>Battistella</t>
  </si>
  <si>
    <t>Battistelli</t>
  </si>
  <si>
    <t>Battisti</t>
  </si>
  <si>
    <t>Battistini</t>
  </si>
  <si>
    <t>Battistutta</t>
  </si>
  <si>
    <t>Battistutti</t>
  </si>
  <si>
    <t>Bazzarin</t>
  </si>
  <si>
    <t>Bazzarini</t>
  </si>
  <si>
    <t>Bazzaro</t>
  </si>
  <si>
    <t>Beata</t>
  </si>
  <si>
    <t>Beati</t>
  </si>
  <si>
    <t>Beatini</t>
  </si>
  <si>
    <t>Beato</t>
  </si>
  <si>
    <t>Beccaria</t>
  </si>
  <si>
    <t>Bellini</t>
  </si>
  <si>
    <t>Bello</t>
  </si>
  <si>
    <t>Benagli</t>
  </si>
  <si>
    <t>Benaglia</t>
  </si>
  <si>
    <t>Benaglio</t>
  </si>
  <si>
    <t>Bencivenga</t>
  </si>
  <si>
    <t>Bencivengo</t>
  </si>
  <si>
    <t>Bencivenni</t>
  </si>
  <si>
    <t>Benedetti</t>
  </si>
  <si>
    <t>Benedetto</t>
  </si>
  <si>
    <t>Bentivegna</t>
  </si>
  <si>
    <t>Bentivenga</t>
  </si>
  <si>
    <t>Benvenga</t>
  </si>
  <si>
    <t>Bergamo</t>
  </si>
  <si>
    <t>Bernado</t>
  </si>
  <si>
    <t>Bernardino</t>
  </si>
  <si>
    <t>Bertholdi</t>
  </si>
  <si>
    <t>Bertolotti</t>
  </si>
  <si>
    <t>Bertolozzi</t>
  </si>
  <si>
    <t>Bertoni</t>
  </si>
  <si>
    <t>Bertuzzi</t>
  </si>
  <si>
    <t>Biaggi</t>
  </si>
  <si>
    <t>Biagi</t>
  </si>
  <si>
    <t>Bianca</t>
  </si>
  <si>
    <t>Bianchi</t>
  </si>
  <si>
    <t>Bianco</t>
  </si>
  <si>
    <t>Bianconi</t>
  </si>
  <si>
    <t>Bich</t>
  </si>
  <si>
    <t>Biondelli</t>
  </si>
  <si>
    <t>Biondo</t>
  </si>
  <si>
    <t>Blondi</t>
  </si>
  <si>
    <t>Boddi</t>
  </si>
  <si>
    <t>Boia</t>
  </si>
  <si>
    <t>Bonadona</t>
  </si>
  <si>
    <t>Bonamici</t>
  </si>
  <si>
    <t>Bonasoli</t>
  </si>
  <si>
    <t>Bonassoli</t>
  </si>
  <si>
    <t>Bonomelli</t>
  </si>
  <si>
    <t>Bonometti</t>
  </si>
  <si>
    <t>Bonomo</t>
  </si>
  <si>
    <t>Borghese</t>
  </si>
  <si>
    <t>Boschetti</t>
  </si>
  <si>
    <t>Bosco</t>
  </si>
  <si>
    <t>Bosseda</t>
  </si>
  <si>
    <t>Bosselli</t>
  </si>
  <si>
    <t>Bossello</t>
  </si>
  <si>
    <t>Bossi</t>
  </si>
  <si>
    <t>Bosso</t>
  </si>
  <si>
    <t>Bottari</t>
  </si>
  <si>
    <t>Brama</t>
  </si>
  <si>
    <t>Briganti</t>
  </si>
  <si>
    <t>Brogio</t>
  </si>
  <si>
    <t>Brogiolo</t>
  </si>
  <si>
    <t>Brolese</t>
  </si>
  <si>
    <t>Brugiolo</t>
  </si>
  <si>
    <t>Brunelli</t>
  </si>
  <si>
    <t>Bruni</t>
  </si>
  <si>
    <t>Bugatti</t>
  </si>
  <si>
    <t>Bugatto</t>
  </si>
  <si>
    <t>Bugno</t>
  </si>
  <si>
    <t>Bugnone</t>
  </si>
  <si>
    <t>Bulgarelli</t>
  </si>
  <si>
    <t>Bulgari</t>
  </si>
  <si>
    <t>Bulgarini</t>
  </si>
  <si>
    <t>Bulgaro</t>
  </si>
  <si>
    <t>Buonadonna</t>
  </si>
  <si>
    <t>Buonamici</t>
  </si>
  <si>
    <t>Buonamico</t>
  </si>
  <si>
    <t>Bussone</t>
  </si>
  <si>
    <t>Caccavella</t>
  </si>
  <si>
    <t>Caccavelli</t>
  </si>
  <si>
    <t>Caccavello</t>
  </si>
  <si>
    <t>Calà</t>
  </si>
  <si>
    <t>Calderoni</t>
  </si>
  <si>
    <t>Callini</t>
  </si>
  <si>
    <t>Calvelli</t>
  </si>
  <si>
    <t>Calvetti</t>
  </si>
  <si>
    <t>Calvetto</t>
  </si>
  <si>
    <t>Calvi</t>
  </si>
  <si>
    <t>Calvini</t>
  </si>
  <si>
    <t>Calvino</t>
  </si>
  <si>
    <t>Calvo</t>
  </si>
  <si>
    <t>Calzolàio</t>
  </si>
  <si>
    <t>Calzolari</t>
  </si>
  <si>
    <t>Campanella</t>
  </si>
  <si>
    <t>Campanelli</t>
  </si>
  <si>
    <t>Campanello</t>
  </si>
  <si>
    <t>Campigli</t>
  </si>
  <si>
    <t>Campiglia</t>
  </si>
  <si>
    <t>Campiglio</t>
  </si>
  <si>
    <t>Campino</t>
  </si>
  <si>
    <t>Caneparo</t>
  </si>
  <si>
    <t>Canetto</t>
  </si>
  <si>
    <t>Cannella</t>
  </si>
  <si>
    <t>Cantara</t>
  </si>
  <si>
    <t>Cantera</t>
  </si>
  <si>
    <t>Canzano</t>
  </si>
  <si>
    <t>Cao</t>
  </si>
  <si>
    <t>Capuani</t>
  </si>
  <si>
    <t>Caramante</t>
  </si>
  <si>
    <t>Caramaro</t>
  </si>
  <si>
    <t>Caramico</t>
  </si>
  <si>
    <t>Carbonari</t>
  </si>
  <si>
    <t>Carboni</t>
  </si>
  <si>
    <t>Carlo</t>
  </si>
  <si>
    <t>Carradori</t>
  </si>
  <si>
    <t>Carretto</t>
  </si>
  <si>
    <t>Carta</t>
  </si>
  <si>
    <t>Cas</t>
  </si>
  <si>
    <t>Casabelle</t>
  </si>
  <si>
    <t>Casalta</t>
  </si>
  <si>
    <t>Casamagna</t>
  </si>
  <si>
    <t>Casari</t>
  </si>
  <si>
    <t>Casarini</t>
  </si>
  <si>
    <t>Casaroli</t>
  </si>
  <si>
    <t>Casarotti</t>
  </si>
  <si>
    <t>Casarotto</t>
  </si>
  <si>
    <t>Casaviecchi</t>
  </si>
  <si>
    <t>Case</t>
  </si>
  <si>
    <t>Cassaro</t>
  </si>
  <si>
    <t>Castaglio</t>
  </si>
  <si>
    <t>Castagliulo</t>
  </si>
  <si>
    <t>Castagliuolo</t>
  </si>
  <si>
    <t>Castelli</t>
  </si>
  <si>
    <t>Castello</t>
  </si>
  <si>
    <t>Castiglio</t>
  </si>
  <si>
    <t>Castronovo</t>
  </si>
  <si>
    <t>Cataldi</t>
  </si>
  <si>
    <t>Cataldo</t>
  </si>
  <si>
    <t>Cataudo</t>
  </si>
  <si>
    <t>Catoni</t>
  </si>
  <si>
    <t>Catonio</t>
  </si>
  <si>
    <t>Cavalere</t>
  </si>
  <si>
    <t>Cavaleri</t>
  </si>
  <si>
    <t>Cavalero</t>
  </si>
  <si>
    <t>Cavaletti</t>
  </si>
  <si>
    <t>Cavaletto</t>
  </si>
  <si>
    <t>Cavalletti</t>
  </si>
  <si>
    <t>Cavalletto</t>
  </si>
  <si>
    <t>Cavalli</t>
  </si>
  <si>
    <t>Cavallo</t>
  </si>
  <si>
    <t>Ceccaldi</t>
  </si>
  <si>
    <t>Cenatempo</t>
  </si>
  <si>
    <t>Cenatiempo</t>
  </si>
  <si>
    <t>Cerret</t>
  </si>
  <si>
    <t>Cerreti</t>
  </si>
  <si>
    <t>Cervio</t>
  </si>
  <si>
    <t>Cestare</t>
  </si>
  <si>
    <t>Cestaroli</t>
  </si>
  <si>
    <t>Chiantello</t>
  </si>
  <si>
    <t>Chiodaro</t>
  </si>
  <si>
    <t>Chiodarolo</t>
  </si>
  <si>
    <t>Ciotta</t>
  </si>
  <si>
    <t>Claudio</t>
  </si>
  <si>
    <t>Clavena</t>
  </si>
  <si>
    <t>Clavenna</t>
  </si>
  <si>
    <t>Clemente</t>
  </si>
  <si>
    <t>Clementelli</t>
  </si>
  <si>
    <t>Clementina</t>
  </si>
  <si>
    <t>Clementini</t>
  </si>
  <si>
    <t>Clôdio</t>
  </si>
  <si>
    <t>Colombo</t>
  </si>
  <si>
    <t>Colpi</t>
  </si>
  <si>
    <t>Colpo</t>
  </si>
  <si>
    <t>Cona</t>
  </si>
  <si>
    <t>Conte</t>
  </si>
  <si>
    <t>Conti</t>
  </si>
  <si>
    <t>Contini</t>
  </si>
  <si>
    <t>Cortesi</t>
  </si>
  <si>
    <t>Cortina</t>
  </si>
  <si>
    <t>Corveddu</t>
  </si>
  <si>
    <t>Costagliola</t>
  </si>
  <si>
    <t>Costagliuola</t>
  </si>
  <si>
    <t>Costante</t>
  </si>
  <si>
    <t>Costantino</t>
  </si>
  <si>
    <t>Crisostomi</t>
  </si>
  <si>
    <t>Crisostomo</t>
  </si>
  <si>
    <t>Cristiani</t>
  </si>
  <si>
    <t>Cristiano</t>
  </si>
  <si>
    <t>Cristofano</t>
  </si>
  <si>
    <t>Cristoforo</t>
  </si>
  <si>
    <t>Croce</t>
  </si>
  <si>
    <t>Cucitore</t>
  </si>
  <si>
    <t>Culpi</t>
  </si>
  <si>
    <t>Culpo</t>
  </si>
  <si>
    <t>Cuntigh</t>
  </si>
  <si>
    <t>Cuocuo</t>
  </si>
  <si>
    <t>Da Valle</t>
  </si>
  <si>
    <t>Dal Magro</t>
  </si>
  <si>
    <t>Dal Re</t>
  </si>
  <si>
    <t>Dalla Valle</t>
  </si>
  <si>
    <t>Dan Ponte</t>
  </si>
  <si>
    <t>Daniele</t>
  </si>
  <si>
    <t>Daniello</t>
  </si>
  <si>
    <t>Darco</t>
  </si>
  <si>
    <t>Davalle</t>
  </si>
  <si>
    <t>Davide</t>
  </si>
  <si>
    <t>De Barnardi</t>
  </si>
  <si>
    <t>De Bertolis</t>
  </si>
  <si>
    <t>De Conti</t>
  </si>
  <si>
    <t>De Filippi</t>
  </si>
  <si>
    <t>De Martini</t>
  </si>
  <si>
    <t>De Martino</t>
  </si>
  <si>
    <t>De Marzi</t>
  </si>
  <si>
    <t>De Marzio</t>
  </si>
  <si>
    <t>De Marzo</t>
  </si>
  <si>
    <t>De Massari</t>
  </si>
  <si>
    <t>De Matteo</t>
  </si>
  <si>
    <t>De Michelis</t>
  </si>
  <si>
    <t>De Pretsi</t>
  </si>
  <si>
    <t>De Santis</t>
  </si>
  <si>
    <t>De Tomaso</t>
  </si>
  <si>
    <t>Debertolis</t>
  </si>
  <si>
    <t>Del Duca</t>
  </si>
  <si>
    <t>Del Moro</t>
  </si>
  <si>
    <t>Del Sellaio</t>
  </si>
  <si>
    <t>Delarco</t>
  </si>
  <si>
    <t>Deledda</t>
  </si>
  <si>
    <t>Deletto</t>
  </si>
  <si>
    <t>Della</t>
  </si>
  <si>
    <t>Della Casa</t>
  </si>
  <si>
    <t>Dell'Anna</t>
  </si>
  <si>
    <t>Delmonte</t>
  </si>
  <si>
    <t>Delmonti</t>
  </si>
  <si>
    <t>Demichelis</t>
  </si>
  <si>
    <t>Deriva</t>
  </si>
  <si>
    <t>Derivo</t>
  </si>
  <si>
    <t>Desiderio</t>
  </si>
  <si>
    <t>Di Costanzo</t>
  </si>
  <si>
    <t>Di Duca</t>
  </si>
  <si>
    <t>Di Marco</t>
  </si>
  <si>
    <t>Di Marzi</t>
  </si>
  <si>
    <t>Di Marzio</t>
  </si>
  <si>
    <t>Di Marzo</t>
  </si>
  <si>
    <t>Di Mascio</t>
  </si>
  <si>
    <t>Di Renzo</t>
  </si>
  <si>
    <t>Di Scipio</t>
  </si>
  <si>
    <t>Di Stefano</t>
  </si>
  <si>
    <t>Diletta</t>
  </si>
  <si>
    <t>Diletto</t>
  </si>
  <si>
    <t>D'Incà</t>
  </si>
  <si>
    <t>Dino</t>
  </si>
  <si>
    <t>D'Isanto</t>
  </si>
  <si>
    <t>Dolce</t>
  </si>
  <si>
    <t>Dominici</t>
  </si>
  <si>
    <t>Doppia</t>
  </si>
  <si>
    <t>Duranti</t>
  </si>
  <si>
    <t>Enzo</t>
  </si>
  <si>
    <t>Ercole</t>
  </si>
  <si>
    <t>Ercoleo</t>
  </si>
  <si>
    <t>Ercoli</t>
  </si>
  <si>
    <t>Erculeo</t>
  </si>
  <si>
    <t>Fabri</t>
  </si>
  <si>
    <t>Fabrini</t>
  </si>
  <si>
    <t>Fabro</t>
  </si>
  <si>
    <t>Fanucchi</t>
  </si>
  <si>
    <t>Farigu</t>
  </si>
  <si>
    <t>Farina</t>
  </si>
  <si>
    <t>Farione</t>
  </si>
  <si>
    <t>Farrauto</t>
  </si>
  <si>
    <t>Fedel</t>
  </si>
  <si>
    <t>Fedele</t>
  </si>
  <si>
    <t>Fedeli</t>
  </si>
  <si>
    <t>Federicci</t>
  </si>
  <si>
    <t>Federici</t>
  </si>
  <si>
    <t>Federico</t>
  </si>
  <si>
    <t>Federighi</t>
  </si>
  <si>
    <t>Federigi</t>
  </si>
  <si>
    <t>Feliciano</t>
  </si>
  <si>
    <t>Ferlicchi</t>
  </si>
  <si>
    <t>Ferlichi</t>
  </si>
  <si>
    <t>Ferracin</t>
  </si>
  <si>
    <t>Ferracini</t>
  </si>
  <si>
    <t>Ferracino</t>
  </si>
  <si>
    <t>Ferrari</t>
  </si>
  <si>
    <t>Ferrazzin</t>
  </si>
  <si>
    <t>Ferrazzini</t>
  </si>
  <si>
    <t>Ferrazzino</t>
  </si>
  <si>
    <t>Ferreti</t>
  </si>
  <si>
    <t>Ferreto</t>
  </si>
  <si>
    <t>Ferretti</t>
  </si>
  <si>
    <t>Ferretto</t>
  </si>
  <si>
    <t>Ferri</t>
  </si>
  <si>
    <t>Ferricelli</t>
  </si>
  <si>
    <t>Ferrìn</t>
  </si>
  <si>
    <t>Ferrini</t>
  </si>
  <si>
    <t>Ferrino</t>
  </si>
  <si>
    <t>Ferro</t>
  </si>
  <si>
    <t>Ferrovecchio</t>
  </si>
  <si>
    <t>Ferrucci</t>
  </si>
  <si>
    <t>Fiammingo</t>
  </si>
  <si>
    <t>Filadelfi</t>
  </si>
  <si>
    <t>Filadelfio</t>
  </si>
  <si>
    <t>Filadelfo</t>
  </si>
  <si>
    <t>Filipini</t>
  </si>
  <si>
    <t>Filippone</t>
  </si>
  <si>
    <t>Flammingo</t>
  </si>
  <si>
    <t>Fontana</t>
  </si>
  <si>
    <t>Fonte</t>
  </si>
  <si>
    <t>Forcolin</t>
  </si>
  <si>
    <t>Formajaroli</t>
  </si>
  <si>
    <t>Formosi</t>
  </si>
  <si>
    <t>Forno</t>
  </si>
  <si>
    <t>Forti</t>
  </si>
  <si>
    <t>Fortini</t>
  </si>
  <si>
    <t>Francesco</t>
  </si>
  <si>
    <t>Francese</t>
  </si>
  <si>
    <t>Francesi</t>
  </si>
  <si>
    <t>Frangi</t>
  </si>
  <si>
    <t>Franzone</t>
  </si>
  <si>
    <t>Franzoni</t>
  </si>
  <si>
    <t>Frederici</t>
  </si>
  <si>
    <t>Frederico</t>
  </si>
  <si>
    <t>Gabrieli</t>
  </si>
  <si>
    <t>Gagliardini</t>
  </si>
  <si>
    <t>Gagliardo</t>
  </si>
  <si>
    <t>Gagliardone</t>
  </si>
  <si>
    <t>Gàio</t>
  </si>
  <si>
    <t>Galante</t>
  </si>
  <si>
    <t>Galardi</t>
  </si>
  <si>
    <t>Galardo</t>
  </si>
  <si>
    <t>Gallerini</t>
  </si>
  <si>
    <t>Galli</t>
  </si>
  <si>
    <t>Gallini</t>
  </si>
  <si>
    <t>Gallino</t>
  </si>
  <si>
    <t>Gallo</t>
  </si>
  <si>
    <t>Gallucci</t>
  </si>
  <si>
    <t>Galluccio</t>
  </si>
  <si>
    <t>Galluci</t>
  </si>
  <si>
    <t>Gallucio</t>
  </si>
  <si>
    <t>Ganassi</t>
  </si>
  <si>
    <t>Garaffa</t>
  </si>
  <si>
    <t>Garaffi</t>
  </si>
  <si>
    <t>Garaffo</t>
  </si>
  <si>
    <t>Garda</t>
  </si>
  <si>
    <t>Garrafa</t>
  </si>
  <si>
    <t>Gemini</t>
  </si>
  <si>
    <t>Gennai</t>
  </si>
  <si>
    <t>Gennaioli</t>
  </si>
  <si>
    <t>Gennari</t>
  </si>
  <si>
    <t>Gennarino</t>
  </si>
  <si>
    <t>Gennaro</t>
  </si>
  <si>
    <t>Gentile</t>
  </si>
  <si>
    <t>Gentilella</t>
  </si>
  <si>
    <t>Gentileschi</t>
  </si>
  <si>
    <t>Gentiletti</t>
  </si>
  <si>
    <t>Gentilezza</t>
  </si>
  <si>
    <t>Gentili</t>
  </si>
  <si>
    <t>Gentilini</t>
  </si>
  <si>
    <t>Gentiliny</t>
  </si>
  <si>
    <t>Gentilucci</t>
  </si>
  <si>
    <t>Ghio</t>
  </si>
  <si>
    <t>Ghion</t>
  </si>
  <si>
    <t>Ghiona</t>
  </si>
  <si>
    <t>Ghione</t>
  </si>
  <si>
    <t>Ghioni</t>
  </si>
  <si>
    <t>Ghiotti</t>
  </si>
  <si>
    <t>Ghiotto</t>
  </si>
  <si>
    <t>Ghiozzi</t>
  </si>
  <si>
    <t>Ghisolfi</t>
  </si>
  <si>
    <t>Ghisolfo</t>
  </si>
  <si>
    <t>Giacalone</t>
  </si>
  <si>
    <t>Trapani</t>
  </si>
  <si>
    <t>Giacchi</t>
  </si>
  <si>
    <t>Giaccomo</t>
  </si>
  <si>
    <t>Giaccòn</t>
  </si>
  <si>
    <t>Giaccone</t>
  </si>
  <si>
    <t>Giacconi</t>
  </si>
  <si>
    <t>Giachi</t>
  </si>
  <si>
    <t>Giaco</t>
  </si>
  <si>
    <t>Giacobi</t>
  </si>
  <si>
    <t>Giacomi</t>
  </si>
  <si>
    <t>Giacomo</t>
  </si>
  <si>
    <t>Giacon</t>
  </si>
  <si>
    <t>Giacòn</t>
  </si>
  <si>
    <t>Giacone</t>
  </si>
  <si>
    <t>Giaconi</t>
  </si>
  <si>
    <t>Giacopuccio</t>
  </si>
  <si>
    <t>Giambatista</t>
  </si>
  <si>
    <t>Gian</t>
  </si>
  <si>
    <t>Gianella</t>
  </si>
  <si>
    <t>Gianelli</t>
  </si>
  <si>
    <t>Gianello</t>
  </si>
  <si>
    <t>Gianetta</t>
  </si>
  <si>
    <t>Gianetti</t>
  </si>
  <si>
    <t>Gianetto</t>
  </si>
  <si>
    <t>Giani</t>
  </si>
  <si>
    <t>Gianina</t>
  </si>
  <si>
    <t>Gianinazzi</t>
  </si>
  <si>
    <t>Gianinetti</t>
  </si>
  <si>
    <t>Gianini</t>
  </si>
  <si>
    <t>Gianino</t>
  </si>
  <si>
    <t>Gianni</t>
  </si>
  <si>
    <t>Giardinelli</t>
  </si>
  <si>
    <t>Giardoni</t>
  </si>
  <si>
    <t>Giaretta</t>
  </si>
  <si>
    <t>Gigliotti</t>
  </si>
  <si>
    <t>Gilberto</t>
  </si>
  <si>
    <t>Giliberti</t>
  </si>
  <si>
    <t>Giliberto</t>
  </si>
  <si>
    <t>Giordani</t>
  </si>
  <si>
    <t>Giordano</t>
  </si>
  <si>
    <t>Giorgelli</t>
  </si>
  <si>
    <t>Giorgetti</t>
  </si>
  <si>
    <t>Giorgini</t>
  </si>
  <si>
    <t>Giorgio</t>
  </si>
  <si>
    <t>Giovannoni</t>
  </si>
  <si>
    <t>Girardelli</t>
  </si>
  <si>
    <t>Girardi</t>
  </si>
  <si>
    <t>Girardini</t>
  </si>
  <si>
    <t>Trentin</t>
  </si>
  <si>
    <t>Grabrielo</t>
  </si>
  <si>
    <t>Grande</t>
  </si>
  <si>
    <t>Grandi</t>
  </si>
  <si>
    <t>Grassi</t>
  </si>
  <si>
    <t>Grassini</t>
  </si>
  <si>
    <t>Grasso</t>
  </si>
  <si>
    <t>Greco</t>
  </si>
  <si>
    <t>Gregori</t>
  </si>
  <si>
    <t>Grisostomi</t>
  </si>
  <si>
    <t>Grossi</t>
  </si>
  <si>
    <t>Grossin</t>
  </si>
  <si>
    <t>Grosso</t>
  </si>
  <si>
    <t>Guantieri</t>
  </si>
  <si>
    <t>Guantiero</t>
  </si>
  <si>
    <t>Guccio</t>
  </si>
  <si>
    <t>Guglielma</t>
  </si>
  <si>
    <t>Guglielmacci</t>
  </si>
  <si>
    <t>Guglielmani</t>
  </si>
  <si>
    <t>Guglielmazzi</t>
  </si>
  <si>
    <t>Guglielmella</t>
  </si>
  <si>
    <t>Guglielmetti</t>
  </si>
  <si>
    <t>Guglielmetto</t>
  </si>
  <si>
    <t>Guglielmi</t>
  </si>
  <si>
    <t>Guglielmina</t>
  </si>
  <si>
    <t>Guglielminetti</t>
  </si>
  <si>
    <t>Guglielminetto</t>
  </si>
  <si>
    <t>Guglielmini</t>
  </si>
  <si>
    <t>Guglielminno</t>
  </si>
  <si>
    <t>Guglielmino</t>
  </si>
  <si>
    <t>Guglielminotti</t>
  </si>
  <si>
    <t>Guglielmo</t>
  </si>
  <si>
    <t>Guglielmone</t>
  </si>
  <si>
    <t>Guglielmoni</t>
  </si>
  <si>
    <t>Guglielmotti</t>
  </si>
  <si>
    <t>Gurrieri</t>
  </si>
  <si>
    <t>Guzzo</t>
  </si>
  <si>
    <t>Iannone</t>
  </si>
  <si>
    <t>Inzaghi</t>
  </si>
  <si>
    <t>Isgrò</t>
  </si>
  <si>
    <t>Isola</t>
  </si>
  <si>
    <t>Ivaldi</t>
  </si>
  <si>
    <t>Ivoldo</t>
  </si>
  <si>
    <t>Jacomino</t>
  </si>
  <si>
    <t>La Duca</t>
  </si>
  <si>
    <t>Lamacchia</t>
  </si>
  <si>
    <t>Lanfredi</t>
  </si>
  <si>
    <t>Lanfredo</t>
  </si>
  <si>
    <t>Laurito</t>
  </si>
  <si>
    <t>Mantoue</t>
  </si>
  <si>
    <t>Lavagnino</t>
  </si>
  <si>
    <t>Lavagno</t>
  </si>
  <si>
    <t>Leonardi</t>
  </si>
  <si>
    <t>Leonardini</t>
  </si>
  <si>
    <t>Leonardo</t>
  </si>
  <si>
    <t>Leone</t>
  </si>
  <si>
    <t>Leonelli</t>
  </si>
  <si>
    <t>Leonetti</t>
  </si>
  <si>
    <t>Leoni</t>
  </si>
  <si>
    <t>Lepori</t>
  </si>
  <si>
    <t>Leto</t>
  </si>
  <si>
    <t>Lieto</t>
  </si>
  <si>
    <t>Linda</t>
  </si>
  <si>
    <t>Lissandro</t>
  </si>
  <si>
    <t>Livrieri</t>
  </si>
  <si>
    <t>Lodovico</t>
  </si>
  <si>
    <t>Lorenzi</t>
  </si>
  <si>
    <t>Lorenzino</t>
  </si>
  <si>
    <t>Lorenzo</t>
  </si>
  <si>
    <t>Luca</t>
  </si>
  <si>
    <t>Luciano</t>
  </si>
  <si>
    <t>Lucio</t>
  </si>
  <si>
    <t>Luigi</t>
  </si>
  <si>
    <t>Lupa</t>
  </si>
  <si>
    <t>Lupi</t>
  </si>
  <si>
    <t>Lupina</t>
  </si>
  <si>
    <t>Lupinacca</t>
  </si>
  <si>
    <t>Lupinacci</t>
  </si>
  <si>
    <t>Lupinelli</t>
  </si>
  <si>
    <t>Lupini</t>
  </si>
  <si>
    <t>Cosenza</t>
  </si>
  <si>
    <t>Lupinno</t>
  </si>
  <si>
    <t>Lupino</t>
  </si>
  <si>
    <t>Lupo</t>
  </si>
  <si>
    <t>Luppi</t>
  </si>
  <si>
    <t>Luppino</t>
  </si>
  <si>
    <t>Luppo</t>
  </si>
  <si>
    <t>Macellaro</t>
  </si>
  <si>
    <t>Maestriani</t>
  </si>
  <si>
    <t>Maestro</t>
  </si>
  <si>
    <t>Maggioli</t>
  </si>
  <si>
    <t>Maggiorana</t>
  </si>
  <si>
    <t>Maggiorano</t>
  </si>
  <si>
    <t>Maggiore</t>
  </si>
  <si>
    <t>Magliulo</t>
  </si>
  <si>
    <t>Magliuolo</t>
  </si>
  <si>
    <t>Maiorana</t>
  </si>
  <si>
    <t>Maiorano</t>
  </si>
  <si>
    <t>Majorana</t>
  </si>
  <si>
    <t>Malerba</t>
  </si>
  <si>
    <t>Malverti</t>
  </si>
  <si>
    <t>Mancinella</t>
  </si>
  <si>
    <t>Mancinelli</t>
  </si>
  <si>
    <t>Mancini</t>
  </si>
  <si>
    <t>Mancino</t>
  </si>
  <si>
    <t>Maniglio</t>
  </si>
  <si>
    <t>Mannone</t>
  </si>
  <si>
    <t>Manzo</t>
  </si>
  <si>
    <t>Manzoni</t>
  </si>
  <si>
    <t>Marandi</t>
  </si>
  <si>
    <t>Marcat</t>
  </si>
  <si>
    <t>Marcheselli</t>
  </si>
  <si>
    <t>Marchesi</t>
  </si>
  <si>
    <t>Marchesini</t>
  </si>
  <si>
    <t>Marchisello</t>
  </si>
  <si>
    <t>Marchisio</t>
  </si>
  <si>
    <t>Marciano</t>
  </si>
  <si>
    <t>Marco</t>
  </si>
  <si>
    <t>Marcodini</t>
  </si>
  <si>
    <t>Marconi</t>
  </si>
  <si>
    <t>Mardegan</t>
  </si>
  <si>
    <t>Maretti</t>
  </si>
  <si>
    <t>Mario</t>
  </si>
  <si>
    <t>Marnetto</t>
  </si>
  <si>
    <t>Marocca</t>
  </si>
  <si>
    <t>Marocchi</t>
  </si>
  <si>
    <t>Marocco</t>
  </si>
  <si>
    <t>Marrocca</t>
  </si>
  <si>
    <t>Marrocchi</t>
  </si>
  <si>
    <t>Marrocco</t>
  </si>
  <si>
    <t>Martini</t>
  </si>
  <si>
    <t>Martino</t>
  </si>
  <si>
    <t>Martinozzi</t>
  </si>
  <si>
    <t>Marzi</t>
  </si>
  <si>
    <t>Marzio</t>
  </si>
  <si>
    <t>Marzo</t>
  </si>
  <si>
    <t>Massai</t>
  </si>
  <si>
    <t>Massacceci</t>
  </si>
  <si>
    <t>Massarelli</t>
  </si>
  <si>
    <t>Massari</t>
  </si>
  <si>
    <t>Massarini</t>
  </si>
  <si>
    <t>Massarino</t>
  </si>
  <si>
    <t>Massaroni</t>
  </si>
  <si>
    <t>Massarotti</t>
  </si>
  <si>
    <t>Mastrorilli</t>
  </si>
  <si>
    <t>Matranga</t>
  </si>
  <si>
    <t>Mattei</t>
  </si>
  <si>
    <t>Matteo</t>
  </si>
  <si>
    <t>Matteotti</t>
  </si>
  <si>
    <t>Mattucci</t>
  </si>
  <si>
    <t>Mauri</t>
  </si>
  <si>
    <t>Maurizio</t>
  </si>
  <si>
    <t>Mazzia</t>
  </si>
  <si>
    <t>Mazzola</t>
  </si>
  <si>
    <t>Médicis</t>
  </si>
  <si>
    <t>Mela</t>
  </si>
  <si>
    <t>Melchione</t>
  </si>
  <si>
    <t>Melchioni</t>
  </si>
  <si>
    <t>Melchionne</t>
  </si>
  <si>
    <t>Melchionni</t>
  </si>
  <si>
    <t>Melquioni</t>
  </si>
  <si>
    <t>Menella</t>
  </si>
  <si>
    <t>Menin</t>
  </si>
  <si>
    <t>Menini</t>
  </si>
  <si>
    <t>Menino</t>
  </si>
  <si>
    <t>Menna</t>
  </si>
  <si>
    <t>Mennini</t>
  </si>
  <si>
    <t>Mercante</t>
  </si>
  <si>
    <t>Michele</t>
  </si>
  <si>
    <t>Michelini</t>
  </si>
  <si>
    <t>Michelino</t>
  </si>
  <si>
    <t>Milazzi</t>
  </si>
  <si>
    <t>Milazzo</t>
  </si>
  <si>
    <t>Minna</t>
  </si>
  <si>
    <t>Misso</t>
  </si>
  <si>
    <t>Modenese</t>
  </si>
  <si>
    <t>Modenesi</t>
  </si>
  <si>
    <t>Molinare</t>
  </si>
  <si>
    <t>Molinari</t>
  </si>
  <si>
    <t>Mombelli</t>
  </si>
  <si>
    <t>Monacello</t>
  </si>
  <si>
    <t>Monaci</t>
  </si>
  <si>
    <t>Monaco</t>
  </si>
  <si>
    <t>Monari</t>
  </si>
  <si>
    <t>Monaro</t>
  </si>
  <si>
    <t>Monbello</t>
  </si>
  <si>
    <t>Monciatti</t>
  </si>
  <si>
    <t>Monico</t>
  </si>
  <si>
    <t>Morandín</t>
  </si>
  <si>
    <t>Morandini</t>
  </si>
  <si>
    <t>Morando</t>
  </si>
  <si>
    <t>Moranduzzo</t>
  </si>
  <si>
    <t>Morassi</t>
  </si>
  <si>
    <t>Morella</t>
  </si>
  <si>
    <t>Morelli</t>
  </si>
  <si>
    <t>Morellini</t>
  </si>
  <si>
    <t>Morello</t>
  </si>
  <si>
    <t>Morini</t>
  </si>
  <si>
    <t>Morricone</t>
  </si>
  <si>
    <t>Mugnaro</t>
  </si>
  <si>
    <t>Mungai</t>
  </si>
  <si>
    <t>Murgia</t>
  </si>
  <si>
    <t>Nasi</t>
  </si>
  <si>
    <t>Neri</t>
  </si>
  <si>
    <t>Nerini</t>
  </si>
  <si>
    <t>Nero</t>
  </si>
  <si>
    <t>Niccolo</t>
  </si>
  <si>
    <t>Nico</t>
  </si>
  <si>
    <t>Nicola</t>
  </si>
  <si>
    <t>Nicolosi</t>
  </si>
  <si>
    <t>Niro</t>
  </si>
  <si>
    <t>Campobasso</t>
  </si>
  <si>
    <t>Oliva</t>
  </si>
  <si>
    <t>Olivero</t>
  </si>
  <si>
    <t>Olivetti</t>
  </si>
  <si>
    <t>Olmi</t>
  </si>
  <si>
    <t>Omodei</t>
  </si>
  <si>
    <t>Ongarelli</t>
  </si>
  <si>
    <t>Ongari</t>
  </si>
  <si>
    <t>Ongaro</t>
  </si>
  <si>
    <t>Orefice</t>
  </si>
  <si>
    <t>Orfei</t>
  </si>
  <si>
    <t>Orféi</t>
  </si>
  <si>
    <t>Orfeo</t>
  </si>
  <si>
    <t>Orlandi</t>
  </si>
  <si>
    <t>Orlandini</t>
  </si>
  <si>
    <t>Orlanducci</t>
  </si>
  <si>
    <t>Orsini</t>
  </si>
  <si>
    <t>Ozzello</t>
  </si>
  <si>
    <t>Pacchiano</t>
  </si>
  <si>
    <t>Pacino</t>
  </si>
  <si>
    <t>Paludi</t>
  </si>
  <si>
    <t>Pambianchi</t>
  </si>
  <si>
    <t>Pambianco</t>
  </si>
  <si>
    <t>Panebianco</t>
  </si>
  <si>
    <t>Panella</t>
  </si>
  <si>
    <t>Panelli</t>
  </si>
  <si>
    <t>Panetta</t>
  </si>
  <si>
    <t>Panetti</t>
  </si>
  <si>
    <t>Panini</t>
  </si>
  <si>
    <t>Panont</t>
  </si>
  <si>
    <t>Paolillo</t>
  </si>
  <si>
    <t>Paolino</t>
  </si>
  <si>
    <t>Paolo</t>
  </si>
  <si>
    <t>Papini</t>
  </si>
  <si>
    <t>Paracchini</t>
  </si>
  <si>
    <t>Paracchino</t>
  </si>
  <si>
    <t>Parachini</t>
  </si>
  <si>
    <t>Parachino</t>
  </si>
  <si>
    <t>Asti</t>
  </si>
  <si>
    <t>Parietti</t>
  </si>
  <si>
    <t>Parlante</t>
  </si>
  <si>
    <t>Paschi</t>
  </si>
  <si>
    <t>Paschiero</t>
  </si>
  <si>
    <t>Pasco</t>
  </si>
  <si>
    <t>Pascutti</t>
  </si>
  <si>
    <t>Pascuttini</t>
  </si>
  <si>
    <t>Pascutto</t>
  </si>
  <si>
    <t>Pase</t>
  </si>
  <si>
    <t>Pasi</t>
  </si>
  <si>
    <t>Pasinetti</t>
  </si>
  <si>
    <t>Pasini</t>
  </si>
  <si>
    <t>Pasino</t>
  </si>
  <si>
    <t>Pasolini</t>
  </si>
  <si>
    <t>Passalacqua</t>
  </si>
  <si>
    <t>Passalaqua</t>
  </si>
  <si>
    <t>Pastore</t>
  </si>
  <si>
    <t>Pastre</t>
  </si>
  <si>
    <t>Pecoraro</t>
  </si>
  <si>
    <t>Pellecchia</t>
  </si>
  <si>
    <t>Pellicciàio</t>
  </si>
  <si>
    <t>Penacini</t>
  </si>
  <si>
    <t>Penacino</t>
  </si>
  <si>
    <t>Pennaccini</t>
  </si>
  <si>
    <t>Pennaccino</t>
  </si>
  <si>
    <t>Pennacini</t>
  </si>
  <si>
    <t>Pennacino</t>
  </si>
  <si>
    <t>Pensalfini</t>
  </si>
  <si>
    <t>Pera</t>
  </si>
  <si>
    <t>Perazza</t>
  </si>
  <si>
    <t>Pesce</t>
  </si>
  <si>
    <t>Pesci</t>
  </si>
  <si>
    <t>Peyla</t>
  </si>
  <si>
    <t>Piantoni</t>
  </si>
  <si>
    <t>Piccoli</t>
  </si>
  <si>
    <t>Piccolini</t>
  </si>
  <si>
    <t>Piero</t>
  </si>
  <si>
    <t>Pietro</t>
  </si>
  <si>
    <t>Pinelli</t>
  </si>
  <si>
    <t>Pini</t>
  </si>
  <si>
    <t>Pireda</t>
  </si>
  <si>
    <t>Piredda</t>
  </si>
  <si>
    <t>Pireddu</t>
  </si>
  <si>
    <t>Pirone</t>
  </si>
  <si>
    <t>Pironi</t>
  </si>
  <si>
    <t>Cagliari</t>
  </si>
  <si>
    <t>Pisciotta</t>
  </si>
  <si>
    <t>Pistis</t>
  </si>
  <si>
    <t>Rimini</t>
  </si>
  <si>
    <t>Plazza</t>
  </si>
  <si>
    <t>Polifrone</t>
  </si>
  <si>
    <t>Polifroni</t>
  </si>
  <si>
    <t>Politano</t>
  </si>
  <si>
    <t>Poma</t>
  </si>
  <si>
    <t>Ponte</t>
  </si>
  <si>
    <t>Ponti</t>
  </si>
  <si>
    <t>Ponticelli</t>
  </si>
  <si>
    <t>Portelli</t>
  </si>
  <si>
    <t>Portilano</t>
  </si>
  <si>
    <t>Portinàio</t>
  </si>
  <si>
    <t>Prati</t>
  </si>
  <si>
    <t>Prato</t>
  </si>
  <si>
    <t>Prete</t>
  </si>
  <si>
    <t>Preti</t>
  </si>
  <si>
    <t>Pretino</t>
  </si>
  <si>
    <t>Prode</t>
  </si>
  <si>
    <t>Proietti</t>
  </si>
  <si>
    <t>Proietto</t>
  </si>
  <si>
    <t>Projetti</t>
  </si>
  <si>
    <t>Projetto</t>
  </si>
  <si>
    <t>Pronzati</t>
  </si>
  <si>
    <t>Pucci</t>
  </si>
  <si>
    <t>Puccinelli</t>
  </si>
  <si>
    <t>Puccini</t>
  </si>
  <si>
    <t>Puccio</t>
  </si>
  <si>
    <t>Pugliese</t>
  </si>
  <si>
    <t>Raiola</t>
  </si>
  <si>
    <t>Rajola</t>
  </si>
  <si>
    <t>Ré</t>
  </si>
  <si>
    <t>Reale</t>
  </si>
  <si>
    <t>Remondi</t>
  </si>
  <si>
    <t>Renzacci</t>
  </si>
  <si>
    <t>Renzetti</t>
  </si>
  <si>
    <t>Renzi</t>
  </si>
  <si>
    <t>Renzini</t>
  </si>
  <si>
    <t>Renzo</t>
  </si>
  <si>
    <t>Renzoni</t>
  </si>
  <si>
    <t>Repetto</t>
  </si>
  <si>
    <t>Ricardo</t>
  </si>
  <si>
    <t>Richardi</t>
  </si>
  <si>
    <t>Rio</t>
  </si>
  <si>
    <t>Rioli</t>
  </si>
  <si>
    <t>Ristori</t>
  </si>
  <si>
    <t>Ristorini</t>
  </si>
  <si>
    <t>Rivola</t>
  </si>
  <si>
    <t>Roberti</t>
  </si>
  <si>
    <t>Robertini</t>
  </si>
  <si>
    <t>Rocca</t>
  </si>
  <si>
    <t>Roccelli</t>
  </si>
  <si>
    <t>Roccetti</t>
  </si>
  <si>
    <t>Rocchetti</t>
  </si>
  <si>
    <t>Rocchi</t>
  </si>
  <si>
    <t>Rocchietti</t>
  </si>
  <si>
    <t>Rocchini</t>
  </si>
  <si>
    <t>Rocchino</t>
  </si>
  <si>
    <t>Rocchio</t>
  </si>
  <si>
    <t>Rocci</t>
  </si>
  <si>
    <t>Roccio</t>
  </si>
  <si>
    <t>Roma</t>
  </si>
  <si>
    <t>Roman</t>
  </si>
  <si>
    <t>Romanelli</t>
  </si>
  <si>
    <t>Romani</t>
  </si>
  <si>
    <t>Romano</t>
  </si>
  <si>
    <t>Rosa</t>
  </si>
  <si>
    <t>Rossellini</t>
  </si>
  <si>
    <t>Rossini</t>
  </si>
  <si>
    <t>Rossino</t>
  </si>
  <si>
    <t>Rosso</t>
  </si>
  <si>
    <t>Ruffinati</t>
  </si>
  <si>
    <t>Ruffinato</t>
  </si>
  <si>
    <t>Ruffinatti</t>
  </si>
  <si>
    <t>Ruffinella</t>
  </si>
  <si>
    <t>Ruffinengo</t>
  </si>
  <si>
    <t>Ruffinetto</t>
  </si>
  <si>
    <t>Ruffini</t>
  </si>
  <si>
    <t>Ruffino</t>
  </si>
  <si>
    <t>Ruffinoni</t>
  </si>
  <si>
    <t>Ruggieri</t>
  </si>
  <si>
    <t>Ruocco</t>
  </si>
  <si>
    <t>Ruta</t>
  </si>
  <si>
    <t>Sàggio</t>
  </si>
  <si>
    <t>Saladino</t>
  </si>
  <si>
    <t>Sandrelli</t>
  </si>
  <si>
    <t>Sandri</t>
  </si>
  <si>
    <t>Sandrigo</t>
  </si>
  <si>
    <t>Sandrin</t>
  </si>
  <si>
    <t>Sandrini</t>
  </si>
  <si>
    <t>Sandrolini</t>
  </si>
  <si>
    <t>Sandron</t>
  </si>
  <si>
    <t>Sandroni</t>
  </si>
  <si>
    <t>Sandrucci</t>
  </si>
  <si>
    <t>Sante</t>
  </si>
  <si>
    <t>Santi</t>
  </si>
  <si>
    <t>Santini</t>
  </si>
  <si>
    <t>Santinon</t>
  </si>
  <si>
    <t>Santinone</t>
  </si>
  <si>
    <t>Santinoni</t>
  </si>
  <si>
    <t>Sapiento</t>
  </si>
  <si>
    <t>Sardena</t>
  </si>
  <si>
    <t>Sarubbi</t>
  </si>
  <si>
    <t>Sarubbo</t>
  </si>
  <si>
    <t>Savorgnan</t>
  </si>
  <si>
    <t>Scalabrin</t>
  </si>
  <si>
    <t>Scalabrini</t>
  </si>
  <si>
    <t>Scalabrino</t>
  </si>
  <si>
    <t>Scogna</t>
  </si>
  <si>
    <t>Scognamiglio</t>
  </si>
  <si>
    <t>Scognamillo</t>
  </si>
  <si>
    <t>Scortatore</t>
  </si>
  <si>
    <t>Scugnamillo</t>
  </si>
  <si>
    <t>Sebastiani</t>
  </si>
  <si>
    <t>Sebastianni</t>
  </si>
  <si>
    <t>Sega</t>
  </si>
  <si>
    <t>Seghetti</t>
  </si>
  <si>
    <t>Seghettini</t>
  </si>
  <si>
    <t>Seghetto</t>
  </si>
  <si>
    <t>Seghezza</t>
  </si>
  <si>
    <t>Seghezzi</t>
  </si>
  <si>
    <t>Seghezzo</t>
  </si>
  <si>
    <t>Seghi</t>
  </si>
  <si>
    <t>Sgarlatta</t>
  </si>
  <si>
    <t>Sgro</t>
  </si>
  <si>
    <t>Sgrò</t>
  </si>
  <si>
    <t>Sgròi</t>
  </si>
  <si>
    <t>Sgròj</t>
  </si>
  <si>
    <t>Silva</t>
  </si>
  <si>
    <t>Silvola</t>
  </si>
  <si>
    <t>Simone</t>
  </si>
  <si>
    <t>Simoni</t>
  </si>
  <si>
    <t>Sindaco</t>
  </si>
  <si>
    <t>Sini</t>
  </si>
  <si>
    <t>Sorabella</t>
  </si>
  <si>
    <t>Sperandei</t>
  </si>
  <si>
    <t>Spina</t>
  </si>
  <si>
    <t>Spinelli</t>
  </si>
  <si>
    <t>Spino</t>
  </si>
  <si>
    <t>Spinosa</t>
  </si>
  <si>
    <t>Spinosi</t>
  </si>
  <si>
    <t>Spinoso</t>
  </si>
  <si>
    <t>Sponga</t>
  </si>
  <si>
    <t>Sponton</t>
  </si>
  <si>
    <t>Springolo</t>
  </si>
  <si>
    <t>Stazzo</t>
  </si>
  <si>
    <t>Stazzu</t>
  </si>
  <si>
    <t>Stefani</t>
  </si>
  <si>
    <t>Stefano</t>
  </si>
  <si>
    <t>Taccon</t>
  </si>
  <si>
    <t>Taddei</t>
  </si>
  <si>
    <t>Taddeucci</t>
  </si>
  <si>
    <t>Taddio</t>
  </si>
  <si>
    <t>Tadei</t>
  </si>
  <si>
    <t>Tadeo</t>
  </si>
  <si>
    <t>Tadiello</t>
  </si>
  <si>
    <t>Tagliabue</t>
  </si>
  <si>
    <t>Tagliaferi</t>
  </si>
  <si>
    <t>Tagliafero</t>
  </si>
  <si>
    <t>Tagliaferri</t>
  </si>
  <si>
    <t>Tagliaferro</t>
  </si>
  <si>
    <t>Tagliafico</t>
  </si>
  <si>
    <t>Tagliagambe</t>
  </si>
  <si>
    <t>Tagliamonte</t>
  </si>
  <si>
    <t>Tarissi</t>
  </si>
  <si>
    <t>Tarisso</t>
  </si>
  <si>
    <t>Tavernàio</t>
  </si>
  <si>
    <t>Tegolaio</t>
  </si>
  <si>
    <t>Teobaldo</t>
  </si>
  <si>
    <t>Teodorico</t>
  </si>
  <si>
    <t>Tessarolo</t>
  </si>
  <si>
    <t>Tessitore</t>
  </si>
  <si>
    <t>Tirello</t>
  </si>
  <si>
    <t>Toglione</t>
  </si>
  <si>
    <t>Tomasi</t>
  </si>
  <si>
    <t>Tomasino</t>
  </si>
  <si>
    <t>Tomaso</t>
  </si>
  <si>
    <t>Torniolo</t>
  </si>
  <si>
    <t>Toselli</t>
  </si>
  <si>
    <t>Tosello</t>
  </si>
  <si>
    <t>Tosetti</t>
  </si>
  <si>
    <t>Tosetto</t>
  </si>
  <si>
    <t>Tosi</t>
  </si>
  <si>
    <t>Tosini</t>
  </si>
  <si>
    <t>Tosoni</t>
  </si>
  <si>
    <t>Tramonte</t>
  </si>
  <si>
    <t>Tramonti</t>
  </si>
  <si>
    <t>Ubaldeschi</t>
  </si>
  <si>
    <t>Ubaldi</t>
  </si>
  <si>
    <t>Ubaldini</t>
  </si>
  <si>
    <t>Ubaldo</t>
  </si>
  <si>
    <t>Uboldi</t>
  </si>
  <si>
    <t>Uccelino</t>
  </si>
  <si>
    <t>Uccellini</t>
  </si>
  <si>
    <t>Uccello</t>
  </si>
  <si>
    <t>Uccellotti</t>
  </si>
  <si>
    <t>Ungarellei</t>
  </si>
  <si>
    <t>Ungari</t>
  </si>
  <si>
    <t>Ungaro</t>
  </si>
  <si>
    <t>Usignolo</t>
  </si>
  <si>
    <t>Uzzeni</t>
  </si>
  <si>
    <t>Valbonesi</t>
  </si>
  <si>
    <t>Valente</t>
  </si>
  <si>
    <t>Valentini</t>
  </si>
  <si>
    <t>Valli</t>
  </si>
  <si>
    <t>Vallini</t>
  </si>
  <si>
    <t>Vallone</t>
  </si>
  <si>
    <t>Vecchiato</t>
  </si>
  <si>
    <t>Vela</t>
  </si>
  <si>
    <t>Ventre</t>
  </si>
  <si>
    <t>Verrecchia</t>
  </si>
  <si>
    <t>Verziero</t>
  </si>
  <si>
    <t>Vesari</t>
  </si>
  <si>
    <t>Vetràio</t>
  </si>
  <si>
    <t>Vicentin</t>
  </si>
  <si>
    <t>Vicentini</t>
  </si>
  <si>
    <t>Vincenzino</t>
  </si>
  <si>
    <t>Vincenzo</t>
  </si>
  <si>
    <t>Vini</t>
  </si>
  <si>
    <t>Viretti</t>
  </si>
  <si>
    <t>Viretto</t>
  </si>
  <si>
    <t>Visconti</t>
  </si>
  <si>
    <t>Visentin</t>
  </si>
  <si>
    <t>Visentini</t>
  </si>
  <si>
    <t>Vivo</t>
  </si>
  <si>
    <t>Vivona</t>
  </si>
  <si>
    <t>Vivone</t>
  </si>
  <si>
    <t>Volpino</t>
  </si>
  <si>
    <t>Xodo</t>
  </si>
  <si>
    <t>Zandonà</t>
  </si>
  <si>
    <t>Zavatta</t>
  </si>
  <si>
    <t>Zavattari</t>
  </si>
  <si>
    <t>Zavattaro</t>
  </si>
  <si>
    <t>Zavatteri</t>
  </si>
  <si>
    <t>Zavattero</t>
  </si>
  <si>
    <t>Zavatti</t>
  </si>
  <si>
    <t>Zavettieri</t>
  </si>
  <si>
    <t>Zavettiero</t>
  </si>
  <si>
    <t>Zavitteri</t>
  </si>
  <si>
    <t>Zilioli</t>
  </si>
  <si>
    <t>Ziliotto</t>
  </si>
  <si>
    <t>Zilli</t>
  </si>
  <si>
    <t>Zilocchi</t>
  </si>
  <si>
    <t>Zin</t>
  </si>
  <si>
    <t>Zinelli</t>
  </si>
  <si>
    <t>Zinetti</t>
  </si>
  <si>
    <t>Zini</t>
  </si>
  <si>
    <t>Zino</t>
  </si>
  <si>
    <t>Zitelli</t>
  </si>
  <si>
    <t>Zitello</t>
  </si>
  <si>
    <t>Zito</t>
  </si>
  <si>
    <t>Zocchetti</t>
  </si>
  <si>
    <t>Zocchetto</t>
  </si>
  <si>
    <t>Zocchi</t>
  </si>
  <si>
    <t>Zocco</t>
  </si>
  <si>
    <t>Zoccoli</t>
  </si>
  <si>
    <t>Zoccolo</t>
  </si>
  <si>
    <t>Zoccoloni</t>
  </si>
  <si>
    <t>Zorzanello</t>
  </si>
  <si>
    <t>Zorzetti</t>
  </si>
  <si>
    <t>Zorzetto</t>
  </si>
  <si>
    <t>Zorzi</t>
  </si>
  <si>
    <t>Zorzin</t>
  </si>
  <si>
    <t>Zorzini</t>
  </si>
  <si>
    <t>Zorzo</t>
  </si>
  <si>
    <t>Zorzoli</t>
  </si>
  <si>
    <t>Zubizarreta</t>
  </si>
  <si>
    <t>Zuccarelli</t>
  </si>
  <si>
    <t>Zuccari</t>
  </si>
  <si>
    <t>Zuccaro</t>
  </si>
  <si>
    <t>Zuccheri</t>
  </si>
  <si>
    <t>Zucchero</t>
  </si>
  <si>
    <t>Zulian</t>
  </si>
  <si>
    <t>Zuliani</t>
  </si>
  <si>
    <t>nom famille tilée</t>
  </si>
  <si>
    <t>Nanchao</t>
  </si>
  <si>
    <t>Compétences: Connaissances générales (Cathay), Connaissances générales (Kuresh ou Inja), Commérage, Langue (cathayan), Survie. Talents: Affinité provinciale (Nanchao), Lutte OU Maitrise (une au choix)</t>
  </si>
  <si>
    <t>Taiguo</t>
  </si>
  <si>
    <t>Chingaï</t>
  </si>
  <si>
    <t>Compétences: Connaissances générales (Cathay), Commérage, Langue (cathayan), Survie. Talents: Affinité provinciale (Taiguo), Talent Artistique</t>
  </si>
  <si>
    <t>Xizang</t>
  </si>
  <si>
    <t>Compétences: Connaissances générales (Cathay), Commérage, Langue (cathayan), Métier (mineur). Talents: Affinité provinciale (Xizang), Méditation</t>
  </si>
  <si>
    <t>Compétences: Connaissances générales (Cathay), Commérage, Langue (cathayan), Métier (mineur). Talents: Affinité provinciale (Chingaï), 1 talent déterminé aléatoirement</t>
  </si>
  <si>
    <t>Huangdong</t>
  </si>
  <si>
    <t>Compétences: Connaissances générales (Cathay), Commérage, Langue (cathayan), Marchandage. Talents: Affinité provinciale (Huangdong), Dur en affaires</t>
  </si>
  <si>
    <t>Yiangzhou</t>
  </si>
  <si>
    <t>Koryo</t>
  </si>
  <si>
    <t>Xian Bei</t>
  </si>
  <si>
    <t>Yiangchi</t>
  </si>
  <si>
    <t>Chan-chi</t>
  </si>
  <si>
    <t>Sich-Wan</t>
  </si>
  <si>
    <t>Jianyang</t>
  </si>
  <si>
    <t>Ho-Pei</t>
  </si>
  <si>
    <t>Compétences: Connaissances générales (Cathay), Commérage, Langue (cathayan), Métier (pêcheur). Talents: Affinité provinciale (Yiangzhou), Méditation</t>
  </si>
  <si>
    <t>Compétences: Connaissances générales (Cathay), Commérage, Langue (cathayan), Métier (pêcheur). Talents: Affinité provinciale (Koryo), Maîtrise ou Lutte</t>
  </si>
  <si>
    <t>Compétences: Connaissances générales (Cathay), Commérage, Langue (cathayan), Métier (potier). Talents: Affinité provinciale (Yiangchi), 1 talent déterminé aléatoirement</t>
  </si>
  <si>
    <t>Une collection de cas confirmés de Sung Tzu</t>
  </si>
  <si>
    <t>Compétences: Connaissances générales (Cathay), Commérage, Langue (cathayan), Expression artistique (une au choix). Talents: Affinité provinciale (Ho-Pei), Talent Artistique</t>
  </si>
  <si>
    <t>Lance feu</t>
  </si>
  <si>
    <t>Guerrier né, Volonté de fer, Maîtrise (deux au choix)</t>
  </si>
  <si>
    <t>Connaissances académiques (droit), Intimidation, Métier (Homme de loi)</t>
  </si>
  <si>
    <t>Désarmement, Maitrise (escrime, jet)</t>
  </si>
  <si>
    <t>Charisme (Soc), Escalade (Ag+10%), Intimidation (F+20%), Langue (quatre au choix) (Int), Perception (Int+20%), Sens de la magie (FM)</t>
  </si>
  <si>
    <t>Sans peur, Maîtrise (à 2 mains et exotique)</t>
  </si>
  <si>
    <t>Esquive, Intimidation, Perception</t>
  </si>
  <si>
    <t>Commérage, Déplacement silencieux, Dissimulation, Escamotage, Esquive, Intimidation</t>
  </si>
  <si>
    <t>Acrobatie équestre, Sens de l'orientation</t>
  </si>
  <si>
    <t>Maîtrise (Arc Long), Rechargement rapide, Tir de précision, Tireur d'Elite</t>
  </si>
  <si>
    <t>Connaissances académiques (théologie), Connaissances générales (Arabie), Dissimulation</t>
  </si>
  <si>
    <t>Connaissances académiques (théologie), Connaissances générales (nécromancie), Dissimulation</t>
  </si>
  <si>
    <t>Intelligent, Sens aiguisés</t>
  </si>
  <si>
    <t>Connaissances académiques (théologie), Connaissances académiques (une au choix), Dissimulation</t>
  </si>
  <si>
    <t>Désarmement, Lutte, Intelligent, Méditation</t>
  </si>
  <si>
    <t>Cœur d'Avelorn</t>
  </si>
  <si>
    <t>Confère le Talent Résistance à la magie + Usage unique: confère 1 point de Destin</t>
  </si>
  <si>
    <t>Parchemin de Hoeth</t>
  </si>
  <si>
    <t>Usage Unique: Annule un sort lancé ou reçu</t>
  </si>
  <si>
    <t>Couronne de guerre de Saphery</t>
  </si>
  <si>
    <r>
      <rPr>
        <i/>
        <sz val="10"/>
        <rFont val="Arial"/>
        <family val="2"/>
      </rPr>
      <t>Enchantée</t>
    </r>
    <r>
      <rPr>
        <sz val="10"/>
        <rFont val="Arial"/>
        <family val="2"/>
      </rPr>
      <t xml:space="preserve"> + Augmente de +1 la Magie si elle est supérieure à 0</t>
    </r>
  </si>
  <si>
    <t>Diadème des ombres de Nagarythe</t>
  </si>
  <si>
    <t>Diadème d'ithilmar de l'étoile d'Avelorn</t>
  </si>
  <si>
    <r>
      <t xml:space="preserve">1X/Combat: Petit gabarit centré sur le porteur: Tous les alliés: </t>
    </r>
    <r>
      <rPr>
        <i/>
        <sz val="10"/>
        <rFont val="Arial"/>
        <family val="2"/>
      </rPr>
      <t>Récupération de 10 Blessures</t>
    </r>
  </si>
  <si>
    <t>Petit gabarit: +1 dé d'incantation pour les Domaines de la Vie et de Lumière</t>
  </si>
  <si>
    <t>Bâton d'Avelorn</t>
  </si>
  <si>
    <t>1X/ Combat: +10% CC et CT au groupe entier jusqu'à la fin du combat</t>
  </si>
  <si>
    <t>Guerrier né, Maîtrise (deux au choix) Volonté de fer</t>
  </si>
  <si>
    <t>Force accrue, Guerrier né, Maîtrise (deux au choix), Volonté de fer</t>
  </si>
  <si>
    <t>Fourreau de Charandis</t>
  </si>
  <si>
    <t>+1 PA tte zones/Immunité au poison</t>
  </si>
  <si>
    <t>Consécration</t>
  </si>
  <si>
    <t>7 mètres (3 cases)</t>
  </si>
  <si>
    <t>Catharsis Magique</t>
  </si>
  <si>
    <t>2 action complète</t>
  </si>
  <si>
    <t>Couronne d'or d'Atrazar</t>
  </si>
  <si>
    <t>1X/Combat: Annule toutes les Blessures causées par une attaque quelle qu'elle soit</t>
  </si>
  <si>
    <t>Usage unique +1 Blessure supplémentaire à une attaque</t>
  </si>
  <si>
    <t>1X/Combat Petit gabarit: Terreur (ou Peur aux M-V et à ceux qui y sont normalement immunisés)</t>
  </si>
  <si>
    <t>Livre de Hoeth</t>
  </si>
  <si>
    <t>Confère le Talent Vraie magie tant qu'il est porté</t>
  </si>
  <si>
    <t>Gargouille</t>
  </si>
  <si>
    <t>4(6)</t>
  </si>
  <si>
    <t>Esquive (Ag), Langage mystique (démonik) (Int), Langue (langage sombre) (Int), Perception (Int)</t>
  </si>
  <si>
    <t>Armes naturelles, Aura démoniaque, Effrayant, Vision nocturne, Vol, Volonté de fer</t>
  </si>
  <si>
    <t>Odorat</t>
  </si>
  <si>
    <t>Ouïe</t>
  </si>
  <si>
    <t>Toucher</t>
  </si>
  <si>
    <t>Vue</t>
  </si>
  <si>
    <t>+10% Orientation &amp; Jeu +20% Estimation</t>
  </si>
  <si>
    <t>+10% en Per. visuelle &amp; Lect. sur les lèvres</t>
  </si>
  <si>
    <t>- au 3 malus d'incantation sorts divins avec armure</t>
  </si>
  <si>
    <t>Acuité olfactive</t>
  </si>
  <si>
    <t>Acuité gustative</t>
  </si>
  <si>
    <t>Acuité tactile</t>
  </si>
  <si>
    <t>+20% en Perception (ouïe)</t>
  </si>
  <si>
    <t>+20% en Perception (toucher)</t>
  </si>
  <si>
    <t>O24</t>
  </si>
  <si>
    <t>O25</t>
  </si>
  <si>
    <t>O26</t>
  </si>
  <si>
    <t>O27</t>
  </si>
  <si>
    <t>+20% en Perception (goût</t>
  </si>
  <si>
    <t>+10% en Perception (odorat) et +10% en Pistage</t>
  </si>
  <si>
    <t>Acuité olfactive, Armes naturelles, Coups puissants,</t>
  </si>
  <si>
    <t>Acuité olfactive, Armes naturelles</t>
  </si>
  <si>
    <t>Acuité olfactive, Armes naturelles, Fuite</t>
  </si>
  <si>
    <t>Acuité olfactive, Armes naturelles, Frénésie, Silencieux, Troublant + Mutation: soif de sang. 25% de chances Mutation: Longs piquants</t>
  </si>
  <si>
    <t>Acuité auditive, Acuité olfactive, Armes naturelles, Coups précis, Fuite</t>
  </si>
  <si>
    <t>Acuité olfactive, Armes naturelles, Vision nocturne</t>
  </si>
  <si>
    <t>Acuité olfactive, Armes naturelles, Coups précis, Coups puissants, Étreinte de l’ours, Troublant</t>
  </si>
  <si>
    <t>Acuité olfactive, Armes naturelles, Coups précis, Coups puissants, Effrayant, Étreinte de l’ours, Frénésie</t>
  </si>
  <si>
    <t>Acuité olfactive, Armes naturelles, Coups puissants, Coups précis, Créature aquatique, Vision nocturne, Volonté de fer</t>
  </si>
  <si>
    <t>Acuité olfactive, Armes naturelles, Camouflage rural, Coups puissants, Frénésie, Silencieux, Troublant</t>
  </si>
  <si>
    <t>Acuité olfactive, Armes naturelles, Carapace (1), Vision nocturne</t>
  </si>
  <si>
    <t>Acuité gustative, Acuité olfactive, Camouflage urbain, Fuite, Sens aiguisés</t>
  </si>
  <si>
    <t>Acuité auditive, Acuité gustative, Étiquette, Intelligences Résistance accrue, Sociable</t>
  </si>
  <si>
    <t>Mercenaire vétéran</t>
  </si>
  <si>
    <t>draconik</t>
  </si>
  <si>
    <t>Charisme (Soc), Commandement (Soc+20%), Commérage (Soc), Connaissances académiques (Histoire) (Int+20%), Connaissances générales (Dragons et draconides (Int+20%), Elfes (Int+10%), Nains (Int)), Escalade (Ag+10%), Evaluation (Int+10%), Focalisation (FM), Fouille (Int), Intimidation (F+20%), Langage mystique (draconik), Langue (quatre au choix) (Int), Perception (Int+20%), Sens de la Magie (FM)</t>
  </si>
  <si>
    <t>Epique</t>
  </si>
  <si>
    <t>Licorne</t>
  </si>
  <si>
    <t>Pégase iridescent</t>
  </si>
  <si>
    <t>Pégase</t>
  </si>
  <si>
    <t>Cheval dragon (qilin cathayen)</t>
  </si>
  <si>
    <t>Dragon-lion (Pixiu)</t>
  </si>
  <si>
    <t>Eléphant (grootslang)</t>
  </si>
  <si>
    <t>Phénix cœur de givre</t>
  </si>
  <si>
    <t>Phénix spire de feu</t>
  </si>
  <si>
    <t>Hydre</t>
  </si>
  <si>
    <t>Dragon du chaos</t>
  </si>
  <si>
    <t>Escalade (Ag+10%), Fouille (Int), Perception (Int+20%)</t>
  </si>
  <si>
    <t>vous crachez un torrent de flammes, semblable au souffle des dragons. Utilisez le gabarit de flammes. Les victimes du sort subissent une attaque d’une valeur de dégâts de 8. Un test de Force Mentale réussi de leur part réduit l’attaque à une valeur de dégâts de 4. Il va sans dire que le commun des mortels, vous voyant cracher le feu de la sorte, ne manquera pas de vous prendre pour quelque démon du Chaos et réagira en conséquence.</t>
  </si>
  <si>
    <t>Souffle draconique</t>
  </si>
  <si>
    <t>vous crachez une véritable tempête de flammes, digne du souffle des dragons légendaires. Utilisez le gabarit de flammes. Les victimes du sort subissent une attaque d’une valeur de dégâts de 12. Un test de Force Mentale réussi de leur part réduit l’attaque à une valeur de dégâts de 1d4. Il va sans dire que le commun des mortels, vous voyant cracher le feu de la sorte, ne manquera pas de vous prendre pour quelque démon du Chaos et réagira en conséquence.</t>
  </si>
  <si>
    <t>Acuité visuelle, Coups assomants, Coups précis, Coups puissants, Ecailles (5), Puissance imparable, Sain d'Esprit, Sombre Savoir (Chaos), Terrifiant, Vision nocturne, Vol, Volonté de fer + 1d3 mutations</t>
  </si>
  <si>
    <t>Dragon bleu (céleste)</t>
  </si>
  <si>
    <t>Dragon orange (solaire)</t>
  </si>
  <si>
    <t>Dragon argenté (stellaire)</t>
  </si>
  <si>
    <t>Charisme (Soc), Commandement (Soc+20%), Commérage (Soc), Connaissances académiques (Histoire) (Int+20%), Connaissances générales (Dragons et draconides (Int+20%), Elfes (Int+10%), Nains (Int)), Escalade (Ag+10%), Evaluation (Int+10%), Focalisation (FM), Fouille (Int), Intimidation (F+20%), Langage mystique (draconik), Langue (tiléen + 3 au choix) (Int), Perception (Int+20%), Sens de la Magie (FM)</t>
  </si>
  <si>
    <t>Charisme (Soc), Commandement (Soc+20%), Commérage (Soc), Connaissances académiques (Histoire) (Int+20%), Connaissances générales (Dragons et draconides (Int+20%), Elfes (Int+10%), Nains (Int)), Escalade (Ag+10%), Evaluation (Int+10%), Focalisation (FM), Fouille (Int), Intimidation (F+20%), Langage mystique (draconik), Langue (cathayen + 3 au choix) (Int), Perception (Int+20%), Sens de la Magie (FM)</t>
  </si>
  <si>
    <t>Tome of Dragons</t>
  </si>
  <si>
    <t>Charisme (Soc), Commandement (Soc+20%), Commérage (Soc), Connaissances académiques (Nécromancie) (Int+20%), Connaissances générales (Naggaroth (Int+20%), Elfes noirs (Int+10%), Nains du chaos  (Int)), Escalade (Ag+10%), Evaluation (Int+10%), Focalisation (FM), Fouille (Int), Intimidation (F+20%), Langage mystique (demonik), Langue (druhir + 3 au choix) (Int), Perception (Int+20%), Sens de la Magie (FM)</t>
  </si>
  <si>
    <t>Acuité visuelle, Coups assomants, Coups précis, Coups puissants, Ecailles (5), Puissance imparable, Sain d'Esprit, Sombre Savoir (Nécromancie), Terrifiant, Vision nocturne, Vol</t>
  </si>
  <si>
    <t>Charisme (Soc), Commandement (Soc+20%), Commérage (Soc), Connaissances académiques (Nécromancie) (Int+20%), Connaissances générales (Terres Sombres (Int+20%), Nains du chaos (Int+10%), Peaux-Vertes (Int)), Escalade (Ag+10%), Evaluation (Int+10%), Focalisation (FM), Fouille (Int), Intimidation (F+20%), Langage mystique (draconik), Langue (druhir + 3 au choix) (Int), Perception (Int+20%), Sens de la Magie (FM)</t>
  </si>
  <si>
    <t>Acuité visuelle, Coups assomants, Coups précis, Coups puissants, Ecailles (4), Puissance imparable, Sain d'Esprit, Science de la magie (Mort), Terrifiant, Vision nocturne, Vol</t>
  </si>
  <si>
    <t>Acuité visuelle, Coups assomants, Coups précis, Coups puissants, Crachat acide, Ecailles (5), Puissance imparable, Résistance à l'acide, Sain d'Esprit, Science de la magie (Vie), Terrifiant, Vision nocturne, Vol</t>
  </si>
  <si>
    <t>Empire souterrain</t>
  </si>
  <si>
    <t>Acuité visuelle, Coups assomants, Coups précis, Coups puissants, Ecailles (5), Puissance imparable, Sain d'Esprit, Science de la magie (Métal), Terrifiant, Vision nocturne, Vol</t>
  </si>
  <si>
    <t>Escalade (F), Perception (Int), Déplacement silencieux (Ag+20%), Escalade (F+20%), Natation (F+20%), Survie (Int+20%)</t>
  </si>
  <si>
    <t>Salamandre/triton</t>
  </si>
  <si>
    <t>Charisme (Soc), Commandement (Soc+20%), Commérage (Soc), Connaissances académiques (Histoire) (Int+20%), Connaissances générales (Dragons et draconides (Int+20%), Arabie (Int+20%)), Escalade (Ag+10%), Evaluation (Int+10%), Focalisation (FM), Fouille (Int), Intimidation (F+20%), Langage mystique (draconik), Langue (arabien + 3 au choix) (Int), Perception (Int+20%), Sens de la Magie (FM)</t>
  </si>
  <si>
    <t>Charisme (Soc), Commandement (Soc+20%), Commérage (Soc), Connaissances académiques (Histoire) (Int+20%), Connaissances générales (Dragons et draconides (Int+20%), Elfes (Int+10%), Nains (Int)), Escalade (Ag+10%), Evaluation (Int+10%), Focalisation (FM), Fouille (Int), Intimidation (F+20%), Langage mystique (draconik), Langue (eltharin+ 3 au choix) (Int), Perception (Int+20%), Sens de la Magie (FM)</t>
  </si>
  <si>
    <t>Dragon sinople (des forêts)</t>
  </si>
  <si>
    <t>Dragon vert (des jungles)</t>
  </si>
  <si>
    <t>Dragon blanc (des toundras)</t>
  </si>
  <si>
    <t>Charisme (Soc), Commandement (Soc+20%), Commérage (Soc), Connaissances académiques (Histoire) (Int+20%), Connaissances générales (Kislev (Int+20%), Norsca (Int+10%), Nains (Int+10%)), Escalade (Ag+10%), Evaluation (Int+10%), Focalisation (FM), Fouille (Int), Intimidation (F+20%), Langage mystique (draconik), Langue (norse + 3 au choix) (Int), Perception (Int+20%), Sens de la Magie (FM)</t>
  </si>
  <si>
    <t>Acuité visuelle, Coups assomants, Coups précis, Coups puissants, Immunité au feu, Ecailles (5), Puissance imparable, Sain d'Esprit, Tradition de Sorcières (Sihr), Terrifiant, Vision nocturne, Vol</t>
  </si>
  <si>
    <t>Acuité visuelle, Coups assomants, Coups précis, Coups puissants, Immunité au froid, Ecailles (5), Puissance imparable, Sain d'Esprit, Tradition de Sorcières (Glace), Terrifiant, Toucher glacial, Vision nocturne, Vol</t>
  </si>
  <si>
    <t>Dragon doré (du métal)</t>
  </si>
  <si>
    <t>Charisme (Soc), Commandement (Soc+20%), Commérage (Soc), Connaissances académiques (Histoire) (Int+20%), Connaissances générales (Nagaroth (Int+20%), Terres sombres (Int+10%), Nains du chaos (Int+10%)), Escalade (Ag+10%), Evaluation (Int+10%), Focalisation (FM), Fouille (Int), Intimidation (F+20%), Langage mystique (draconik), Langue (druhir ou ghazhak ou harghazhak + 3 au choix) (Int), Perception (Int+20%), Sens de la Magie (FM)</t>
  </si>
  <si>
    <t>Charisme (Soc), Commandement (Soc+20%), Commérage (Soc), Connaissances académiques (Histoire) (Int+20%), Connaissances générales (Ulthuan (Int+20%), Elfes (Int+20%)), Escalade (Ag+10%), Evaluation (Int+10%), Focalisation (FM), Fouille (Int), Intimidation (F+20%), Langage mystique (draconik), Langue (eltharin+ 3 au choix) (Int), Perception (Int+20%), Sens de la Magie (FM)</t>
  </si>
  <si>
    <t>Dragon squelette (des os)</t>
  </si>
  <si>
    <t>Dragon spectre (des esprits)</t>
  </si>
  <si>
    <t>Dragon azur (des tempêtes)</t>
  </si>
  <si>
    <t>Dragon camin (des cimetières)</t>
  </si>
  <si>
    <t>Dragon ombre (des marais)</t>
  </si>
  <si>
    <t>Humains</t>
  </si>
  <si>
    <t>Charisme (Soc), Commandement (Soc+20%), Commérage (Soc), Connaissances académiques (Histoire) (Int+20%), Connaissances générales (Sylvanie (Int+20%), Vampires (Int+20%)), Focalisation (FM), Fouille (Int), Intimidation (F+20%), Langage mystique (demonik), Langue (sylvanien+ 3 au choix) (Int), Perception (Int+20%), Sens de la Magie (FM)</t>
  </si>
  <si>
    <t>Charisme (Soc), Commandement (Soc+20%), Commérage (Soc), Connaissances académiques (Histoire) (Int+20%), Connaissances générales (Steppes orientales (Int+20%), Nehekhara (Int+20%)), Focalisation (FM), Fouille (Int), Intimidation (F+20%), Langage mystique (draconik), Langue (kurgan, hung + 2 au choix) (Int), Perception (Int+20%), Sens de la Magie (FM)</t>
  </si>
  <si>
    <t>Acuité visuelle, Coups assomants, Coups précis, Coups puissants, Ecailles (5), Puissance imparable, Sain d'Esprit, Science de la magie (Brumes), Terrifiant, Vision nocturne, Vol</t>
  </si>
  <si>
    <t>Acuité visuelle, Coups assomants, Coups précis, Coups puissants, Ecailles (5), Puissance imparable, Sain d'Esprit, Science de la magie (Ombre), Terrifiant, Vision nocturne, Vol</t>
  </si>
  <si>
    <t>Acuité visuelle, Coups assomants, Coups précis, Coups puissants, Ecailles (5), Puissance imparable, Sain d'Esprit, Sombre Savoir (Warp), Terrifiant, Vision nocturne, Vol</t>
  </si>
  <si>
    <t>Charisme (Soc), Commandement (Soc+20%), Commérage (Soc), Connaissances académiques (Histoire) (Int+20%), Connaissances générales (Empire sousterrain (Int+20%), Skavens (Int+20%)), Focalisation (FM), Fouille (Int), Intimidation (F+20%), Langage mystique (demonik), Langue (queeqish + 3 au choix) (Int), Perception (Int+20%), Sens de la Magie (FM)</t>
  </si>
  <si>
    <t>Dragon malepierre (démon-dragon)</t>
  </si>
  <si>
    <t>Dragon zombie</t>
  </si>
  <si>
    <t>Acuité visuelle, Coups assomants, Coups précis, Coups puissants, Ecailles (5), Puissance imparable, Sain d'Esprit, Science de la magie (Bête), Terrifiant, Vision nocturne, Vol Volonté de fer Mutations: Fourrure épaisse, Puanteur</t>
  </si>
  <si>
    <t>Acuité visuelle, Coups assomants, Coups précis, Coups puissants, Ecailles (5), Puissance imparable, Sain d'Esprit, Science de la magie (Lumière), Terrifiant, Vision nocturne, Vol</t>
  </si>
  <si>
    <t>Charisme (Soc), Commandement (Soc+20%), Commérage (Soc), Connaissances académiques (histoire) (Int+20%), Connaissances générales (Empire sousterrain (Int+20%), Skavens (Int+10%), Elfes  (Int)), Escalade (Ag+10%), Evaluation (Int+10%), Focalisation (FM), Fouille (Int), Intimidation (F+20%), Langage mystique (magick), Langue (druhir + 3 au choix) (Int), Perception (Int+20%), Sens de la Magie (FM)</t>
  </si>
  <si>
    <t>Dragon rouge (des volcans)</t>
  </si>
  <si>
    <t>Dragon mauve (des rêves)</t>
  </si>
  <si>
    <t>Charisme (Soc), Commandement (Soc+20%), Commérage (Soc), Connaissances académiques (histoire) (Int+20%), Connaissances générales (Nippon (Int+20%), Ind (Int+10%), Elfes (Int)), Escalade (Ag+10%), Evaluation (Int+10%), Focalisation (FM), Fouille (Int), Intimidation (F+20%), Langage mystique (magick), Langue (nipponais, indhya + 2 au choix) (Int), Perception (Int+20%), Sens de la Magie (FM)</t>
  </si>
  <si>
    <t>nipponais</t>
  </si>
  <si>
    <t>Charisme (Soc), Commandement (Soc+20%), Commérage (Soc), Connaissances académiques (Histoire) (Int+20%), Connaissances générales (Terres du Sud (Int+20%), Hommes-lézards (Int+10%), Lustrie (Int+10%)), Escalade (Ag+10%), Evaluation (Int+10%), Focalisation (FM), Fouille (Int), Intimidation (F+20%), Langage mystique (draconik), Langue (ssissyl'k (saurien) + 3 au choix) (Int), Perception (Int+20%), Sens de la Magie (FM)</t>
  </si>
  <si>
    <t>Dragon brun (sauvage)</t>
  </si>
  <si>
    <t>Dragon jaune (du désert)</t>
  </si>
  <si>
    <t>Dragon noir (des ténèbres)</t>
  </si>
  <si>
    <t>Charisme (Soc), Commandement (Soc+20%), Commérage (Soc), Connaissances académiques (Histoire) (Int+20%), Connaissances générales (Bretonnie(Int+20%), Humains (Int+20%)), Focalisation (FM), Fouille (Int), Intimidation (F+20%), Langage mystique (draconik), Langue (bretonnien + 3 au choix) (Int), Perception (Int+20%), Sens de la Magie (FM)</t>
  </si>
  <si>
    <t>Vivacité</t>
  </si>
  <si>
    <t>+10% en Initiative</t>
  </si>
  <si>
    <t>Acuité visuelle, Coups assomants, Coups précis, Coups puissants, Ecailles (5), Science de la magie (Cieux), Puissance imparable, Sain d'Esprit, Terrifiant, Vision nocturne, Vivacité, Vol</t>
  </si>
  <si>
    <t>Acuité visuelle, Coups assomants, Coups précis, Coups puissants, Science de la Magie (Cieux), Ecailles (5), Puissance imparable, Sain d'Esprit, Terrifiant, Vision nocturne,  Vivacité, Vol</t>
  </si>
  <si>
    <t>Acuité visuelle, Coups assomants, Coups précis, Coups puissants, Ecailles (5), Puissance imparable, Sain d'Esprit, Science de la magie (Conscience), Terrifiant, Vision nocturne,  Vivacité, Vol</t>
  </si>
  <si>
    <t>Acuité visuelle, Coups assomants, Coups précis, Coups puissants, Ecailles (5), Inspiration Divine (Domaine de l'Ordre), Immunité au feu, Puissance imparable, Sain d'Esprit, Terrifiant, Vision nocturne,  Vivacité, Vol</t>
  </si>
  <si>
    <t>Coups assomants, Coups précis, Coups puissants, Ethéré, Mort-Vivant, Puissance imparable, Sain d'Esprit, Terrifiant, Tradition de sorcières (Vedma), Vision nocturne,  Vivacité, Vol</t>
  </si>
  <si>
    <t>Acuité auditive, Armes naturelles, Coups puissants, Sens aiguisés, Vivacité, Vol</t>
  </si>
  <si>
    <t>Acuité auditive, Armes naturelles, Aura enflammée, Coups puissants, Fils du désert, Sens aiguisés, Vivacité, Vol</t>
  </si>
  <si>
    <t>Armes naturelles, Camouflage Rural, Coups assommants, Sens aiguisés, Vivacité,</t>
  </si>
  <si>
    <t>Armes naturelles, Coups assommants, Sens aiguisés, Vision Nocturne, Vivacité</t>
  </si>
  <si>
    <t>Vivacité, Vol</t>
  </si>
  <si>
    <t>Coups précis, Sens aiguisés, Sens de l'orientation, Vivacité, Vol</t>
  </si>
  <si>
    <t>Coups précis, Sens aiguisés, Sens de l'orientation, Vision nocturne, Vivacité, Vol</t>
  </si>
  <si>
    <t>Acuité auditive, Acuité visuelle, Armes naturelles, Coups puissants, Sens aiguisés, Vivacité</t>
  </si>
  <si>
    <t>Acuité auditive, Armes naturelles, Coups précis, Résistance aux maladies, Sens aiguisés, Sens de l’orientation, Vivacité</t>
  </si>
  <si>
    <t>Acuité auditive, Armes naturelles, Coups précis, Coups puissants, Sans peur, Sens aiguisés, Vision nocturne, Vivacité, Vol</t>
  </si>
  <si>
    <t>Armes naturelles, Effrayant, Frénésie, Sens aiguisés, Venimeux, Vivacité, Vol, Volonté de fer Mutations: Fourrure épaisse, Puanteur</t>
  </si>
  <si>
    <t>Acuité visuelle, Coups assomants, Coups précis, Coups puissants, Ecailles (5), Puissance imparable, Sain d'Esprit, Inspiration Divine (Solkan), Terrifiant, Vision nocturne,  Vivacité, Vol</t>
  </si>
  <si>
    <t>Dragon ivoire (des plaines)</t>
  </si>
  <si>
    <t>Dragon gris (des souterrains)</t>
  </si>
  <si>
    <t>Charisme (Soc), Commandement (Soc+20%), Commérage (Soc), Connaissances académiques (histoire) (Int+20%), Connaissances générales (Ex-Ligue Achéenne, Ind (Int+10%), Principautés Frontalières (Int)), Escalade (Ag+10%), Evaluation (Int+10%), Focalisation (FM), Fouille (Int), Intimidation (F+20%), Langage mystique (magick), Langue (classique + 3 au choix) (Int), Perception (Int+20%), Sens de la Magie (FM)</t>
  </si>
  <si>
    <t>Chevaucheur de Dragon</t>
  </si>
  <si>
    <t>Chevaucheur d'Aigle de Guerre/Terradon</t>
  </si>
  <si>
    <t xml:space="preserve">Joueur, Hors-la-loi, Vagabond, Vétéran </t>
  </si>
  <si>
    <t>Linguistique, Sur ses gardes ou Rechargement rapide, Tir de précision ou Acrobatie Équestre, Tireur d’élite, Vivacité, Volonté de fer</t>
  </si>
  <si>
    <t>Équitation, Escalade, Esquive, Intimidation OU Jeu, Perception, Soins des animaux</t>
  </si>
  <si>
    <t>Un dragon au choix</t>
  </si>
  <si>
    <t>Dragon Rider</t>
  </si>
  <si>
    <t>talents et traits</t>
  </si>
  <si>
    <t>Linguistique, Acuité auditive, Sociable</t>
  </si>
  <si>
    <t>TALENTS ALEATOIRES</t>
  </si>
  <si>
    <t>3-4</t>
  </si>
  <si>
    <t>13-14</t>
  </si>
  <si>
    <t>15-16</t>
  </si>
  <si>
    <t>27-28</t>
  </si>
  <si>
    <t>43-44</t>
  </si>
  <si>
    <t>45-46</t>
  </si>
  <si>
    <t>69-70</t>
  </si>
  <si>
    <t>73-74</t>
  </si>
  <si>
    <t>77-78</t>
  </si>
  <si>
    <t>79-80</t>
  </si>
  <si>
    <t>88-89</t>
  </si>
  <si>
    <t>94-95</t>
  </si>
  <si>
    <t>69-97</t>
  </si>
  <si>
    <t>+10% Résistance à l'alcool</t>
  </si>
  <si>
    <t>Traité de cuisine d'Inja</t>
  </si>
  <si>
    <t>Traité de cuisine du Cathay</t>
  </si>
  <si>
    <t>La haute gastronomie bretonnienne</t>
  </si>
  <si>
    <t>Splendeurs de Tilée</t>
  </si>
  <si>
    <t>Recueil de cuisine du Nippon</t>
  </si>
  <si>
    <t>Al-koskoso et autres plats d'Arabie</t>
  </si>
  <si>
    <t>Les secrets de la cuisine estalienne</t>
  </si>
  <si>
    <t>Guide de survie culinaire</t>
  </si>
  <si>
    <t>98-99</t>
  </si>
  <si>
    <t>Origine</t>
  </si>
  <si>
    <t>Pilote de navire</t>
  </si>
  <si>
    <t>Terres des morts</t>
  </si>
  <si>
    <t>Estalie/Tilée</t>
  </si>
  <si>
    <t>Talent</t>
  </si>
  <si>
    <t>Résultat</t>
  </si>
  <si>
    <t>Résultat de 100</t>
  </si>
  <si>
    <t>Empire/Pays Perdu/Norsca</t>
  </si>
  <si>
    <t>Baratin OU Lecture sur les lèvres, Charisme, Commérage, Connaissances générales (Empire), Escamotage OU Lire/ecrire, Evaluation, Langue (bretonnien, kiselvarin, reikspiel ou tiléen), Marchandage, Métier (cafetier/buvetier), Perception, Résistance à l'alcool</t>
  </si>
  <si>
    <t>Comptoir</t>
  </si>
  <si>
    <t xml:space="preserve"> 3 Armoires, 12 Chaises, 20 Chopes en bois, 1 Comptoir, 12 Couvertures, Dés en os, Paquet de cartes, 3 Lits, 3 Somiers, 3 Tables, 120m² de linge de maison, 500 CO en Boissons</t>
  </si>
  <si>
    <t>Code de la rue, Dur en affaires OU Harmonie aethyrique, Etiquette, Magie commune (Chaos), Magie noire, Rompu au Chaos, Sens aiguisés, Sociable</t>
  </si>
  <si>
    <t>Code de la rue ou Etiquette, Combat de rue ou Dur en affaires, Coups assommants, Fêtard</t>
  </si>
  <si>
    <t>+0</t>
  </si>
  <si>
    <t>Serviteur, Valet</t>
  </si>
  <si>
    <t>Aubergiste, Bourgeois, Hors-la-loi, Marchand, Maître-artisan, Régisseur</t>
  </si>
  <si>
    <t>Commandement, Connaissances académiques (Gastronomie), Métier (cuisinier/marmiton), Lire/Écrire, Perception, Résistance à l’alcool</t>
  </si>
  <si>
    <t>Bourgeois, Chef coq, Fermier, Métayer, Serviteur</t>
  </si>
  <si>
    <t>Bourgeois, Cavalcadour, Chef coq, Conducteur de bestiaux, Messager, Nomade de la steppe</t>
  </si>
  <si>
    <t>Argent départ</t>
  </si>
  <si>
    <t>Vous provoquez une soif insoutenable chez un ennemi de votre choix. Cette créature perd 1d10 x10% en Endurance et en Force tant que perdure le sort ou jusqu’à ce qu’elle boive n’importe quoi.</t>
  </si>
  <si>
    <t>un cimeterre rouillé (+1)</t>
  </si>
  <si>
    <t>Cognac estalien (1l)</t>
  </si>
  <si>
    <t>Mezcal lustrien (1l)</t>
  </si>
  <si>
    <t>Uisce d'Albion (1l)</t>
  </si>
  <si>
    <t>Alcool de riz/Saké nippon(1l)</t>
  </si>
  <si>
    <t>Aquavit norse (1l)</t>
  </si>
  <si>
    <t>Vin Blanc (des Elfes des Mers (1l))</t>
  </si>
  <si>
    <t>Jus de fruit (1l)</t>
  </si>
  <si>
    <t>Sculpture sur bois lustrienne</t>
  </si>
  <si>
    <t>Argenterie de Kislev</t>
  </si>
  <si>
    <t>Porcelaine de Cathay</t>
  </si>
  <si>
    <t>Œuvre d'art des Elfes des Mers (petite)</t>
  </si>
  <si>
    <t>Fourrures de Norsca (une caisse)</t>
  </si>
  <si>
    <t>Cuir de Tilée (une caisse)</t>
  </si>
  <si>
    <t>Le Duc de Tilée</t>
  </si>
  <si>
    <t>Le Petit Prince du Kislev</t>
  </si>
  <si>
    <t>La Chambre sanglante</t>
  </si>
  <si>
    <t>Les Enfants sages</t>
  </si>
  <si>
    <t>L'infernale machinerie du désir</t>
  </si>
  <si>
    <t>Le Marchand de Sorcellerie</t>
  </si>
  <si>
    <t>Prendre un Chat pour Femme</t>
  </si>
  <si>
    <t>Songe d'une vie d'épée</t>
  </si>
  <si>
    <t>Muse de Moussilon : Vers érotiques Bretonniens</t>
  </si>
  <si>
    <t>Mille et Une blagues Norses</t>
  </si>
  <si>
    <t>Luccinia de Guiseppe Pastrami (opéra)</t>
  </si>
  <si>
    <t>L'anneau des Umberogens (opéra)</t>
  </si>
  <si>
    <t>Le Barbare de Seville (opéra)</t>
  </si>
  <si>
    <t>Ile d'Albany</t>
  </si>
  <si>
    <t>Ile de Morien/Galles</t>
  </si>
  <si>
    <t>Ile d'Aeryn</t>
  </si>
  <si>
    <t>Ile de la Grande Albion</t>
  </si>
  <si>
    <t>runes futhark norses</t>
  </si>
  <si>
    <t>Esclave/Thrall, Fanatique, Serviteur</t>
  </si>
  <si>
    <t>Esclave/Thrall, Escroc, Fanatique, Guerrier des clans, Hors-la-loi</t>
  </si>
  <si>
    <t>Esclave/Thrall, Maître mutateur</t>
  </si>
  <si>
    <t>Esclave/Thrall, Maître mutateur Moulder</t>
  </si>
  <si>
    <t>Chasseur de primes, Coupe-jarret, Esclave/Thrall, Grande griffe, Maître corrupteur, Mercenaire, Vagabond</t>
  </si>
  <si>
    <t>Chasseur de primes, Coupe-jarret, Esclave/Thrall, Grande griffe, Maître corrupteur Moulder, Mercenaire, Vagabond</t>
  </si>
  <si>
    <t>Contrebandier, Esclave/Thrall, Guerrier des clans, Receleur, Trafiquant de cadavres</t>
  </si>
  <si>
    <t>Bourreau, Esclave/Thrall, Trafiquant de cadavres, Vagabond</t>
  </si>
  <si>
    <t>Batelier, Esclave/Thrall, Voleur</t>
  </si>
  <si>
    <t>Bourreau, Coureur nocturne (Eshin), Esclave/Thrall, Garde du corps, Guerrier des clans, Mercenaire</t>
  </si>
  <si>
    <t>Chasseur, Chasseur de primes, Chef de clan, Esclave/Thrall, Espion, Garde du corps, Maître assassin, Mercenaire, Pisteur, Sorcier du clan Eshin, Vétéran/Longue Barbe</t>
  </si>
  <si>
    <t>Chasseur, Chasseur de primes, Chef de clan, Esclave/Thrall, Espion, Garde du corps, Maître assassin Eshin, Mercenaire, Pisteur, Sorcier du clan Eshin, Vétéran/Longue Barbe</t>
  </si>
  <si>
    <t>Chasseur de primes, Contrebandier, Coureur d’égouts, Esclave/Thrall, Garde du corps, Grande griffe, Hors-la-loi, Mercenaire, Sorcier du clan Eshin, Vagabond, Voleur</t>
  </si>
  <si>
    <t>Chasseur de primes, Contrebandier, Coureur d’égouts Eshin, Esclave/Thrall, Garde du corps, Grande griffe, Hors-la-loi, Mercenaire, Sorcier du clan Eshin, Vagabond, Voleur</t>
  </si>
  <si>
    <t>Encenseur à peste, Esclave/Thrall, Prêtre de la peste</t>
  </si>
  <si>
    <t>Encenseur à peste Pestilens, Esclave/Thrall, Prêtre de la peste Pestilens</t>
  </si>
  <si>
    <t>Esclave/Thrall, Gardien de Harem,</t>
  </si>
  <si>
    <t>Agitateur, Encenseur à peste Pestilens, Esclave/Thrall, Hors-la-loi</t>
  </si>
  <si>
    <t>Artisan, Esclave/Thrall, Guerrier des clans, Mercenaire, Tirailleur Skryre</t>
  </si>
  <si>
    <t>Bourreau, Chasseur de primes, Esclave/Thrall, Geôlier, Mercenaire</t>
  </si>
  <si>
    <t>Bourreau, Esclave/Thrall, Garde, Garde du corps, Guerrier des clans</t>
  </si>
  <si>
    <t>Bourreau, Chef de clan, Coureur d’égouts, Esclave/Thrall, Maître corrupteur, Vétéran/Longue Barbe</t>
  </si>
  <si>
    <t>Bourreau, Chef de clan, Coureur d’égouts Eshin, Esclave/Thrall, Maître corrupteur Moulder, Technomage Skryre, Vétéran/Longue Barbe</t>
  </si>
  <si>
    <t>Esclave/Thrall, Vagabond, Vétéran/Longue Barbe, Voleur</t>
  </si>
  <si>
    <t>Chef de clan, Esclave/Thrall, Espion, Prince des voleurs</t>
  </si>
  <si>
    <t>Chef de clan, Esclave/Thrall, Maître mutateur, Médecin, Vétéran/Longue Barbe</t>
  </si>
  <si>
    <t>Chef de clan, Esclave/Thrall, Maître mutateur Moulder, Médecin, Vétéran/Longue Barbe</t>
  </si>
  <si>
    <t>Chasseur, Coureur nocturne Eshin, Esclave/Thrall, Vétéran/Longue Barbe</t>
  </si>
  <si>
    <t>Esclave/Thrall, Guerrier des clans, Pisteur</t>
  </si>
  <si>
    <t>Esclave/Thrall, Guerrier des clans, Mercenaire, Pisteur</t>
  </si>
  <si>
    <t>Bourreau, Diacre de la peste, Encenseur à peste, Esclave/Thrall, Fanatique, Grande griffe</t>
  </si>
  <si>
    <t>Bourreau, Diacre de la peste Pestilens, Encenseur à peste Pestilens, Esclave/Thrall, Fanatique, Grande griffe</t>
  </si>
  <si>
    <t>Esclave/Thrall, Voleur</t>
  </si>
  <si>
    <t>Agitateur, Esclave/Thrall, Espion, Messager, Voleur</t>
  </si>
  <si>
    <t>Coureur d’égouts, Esclave/Thrall, Maître sorcier</t>
  </si>
  <si>
    <t>Coureur d’égouts Eshin, Esclave/Thrall, Maître sorcier</t>
  </si>
  <si>
    <t>Bourreau, Chef de clan, Esclave/Thrall, Mercenaire, Vétéran/Longue Barbe</t>
  </si>
  <si>
    <t>Esclave/Thrall, Guerrier des clans, Pisteur, Voleur</t>
  </si>
  <si>
    <t>Coureur nocturne Eshin, Esclave/Thrall, Guerrier des clans, Pilleur de tombes</t>
  </si>
  <si>
    <t>Agitateur, Bateleur, Dilettante, Escroc, Guerrier du Chaos, Magus de Slaanesh, Noble/Jarl</t>
  </si>
  <si>
    <t>Agitateur, Artisan, Bourgeois, Contrebandier, Dilettante, Escroc, Étudiant, Guerrier du Chaos, Magus de Tzeentch, Noble/Jarl, Scribe</t>
  </si>
  <si>
    <t>Bateleur, Concubine, Escroc, Ménestrel, Noble/Jarl, Serviteur</t>
  </si>
  <si>
    <t>Cavalcadour, Noble/Jarl, Nomade de la steppe, Paysan</t>
  </si>
  <si>
    <t>Apothicaire, Apprenti sorcier, Charlatan, Compagnon sorcier, Dilettante, Érudit, Étudiant, Maître sorcier, Médecin, Mystique strigany, Navigateur, Noble/Jarl</t>
  </si>
  <si>
    <t>Capitaine, Cavalcadour, Noble/Jarl, Nomade de la steppe, Vétéran/Longue Barbe</t>
  </si>
  <si>
    <t>Accessoires de calligraphie, Atours de Noble/Jarl (tenue complète), Boulier, 5000 CO</t>
  </si>
  <si>
    <t>Diestro estalien, Écuyer, Étudiant, Mercenaire, Milicien, Noble/Jarl, Patrouilleur, Soldat</t>
  </si>
  <si>
    <t>Chevalier, Écuyer, Noble/Jarl</t>
  </si>
  <si>
    <t>Agitateur, Almée, Courtisan, Garde du Corps, Espion, Étudiant, Noble/Jarl, Raconteur, Sahir Mubtadi</t>
  </si>
  <si>
    <t>Armure moyenne (gilet de mailles et veste de cuir), 2 atours de Noble/Jarl (tenue complète), une dose de poison (au choix)</t>
  </si>
  <si>
    <t>Ambassadeur, Assassin, Espion, Explorateur, Noble/Jarl, Politicien</t>
  </si>
  <si>
    <t>Bedeau, Cadet, Gardien du temple, Héraut, Noble/Jarl, Valet</t>
  </si>
  <si>
    <t>Cadet, Cavalcadour, Chevalier, Chevalier du soleil, Chevalier errant, Chevalier Panthère, Garde noir, Hors-la-loi, Noble/Jarl, Sergent, Vétéran/Longue Barbe</t>
  </si>
  <si>
    <t>Acolyte de Slaanesh, Acolyte de Tzeentch, Agitateur, Assassin, Bateleur, Catin, Diestro estalien, Duelliste, Émissaire elfe, Guide, Joueur, Maquignon, Marin, Médiateur, Mystique, Mystique strigany, Noble/Jarl, Raconteur, Sahir Mubtadi, Scalde, Valet, Vendeur de journaux, Voleur</t>
  </si>
  <si>
    <t>Acolyte de Tzeentch, Cadet, Concubine, Dilettante, Émissaire elfe, Faussaire, Ménestrel, Noble/Jarl, Pilleur de tombes, Sycophante, Valet</t>
  </si>
  <si>
    <t>Baron du crime, Dilettante, Marchand, Noble/Jarl, Receleur, Sans-visage</t>
  </si>
  <si>
    <t>Cheval (pur-sang arabien), atours de Noble/Jarl, cimeterre</t>
  </si>
  <si>
    <t>Cheval (pur-sang arabien), atours de Noble/Jarl, cimeterre, Grimoire de parchemins antiques</t>
  </si>
  <si>
    <t>Cadet, Ingénieur, Noble/Jarl</t>
  </si>
  <si>
    <t>Almée (Danseuse du ventre), Aristocrate, Concubine, Étudiant, Noble/Jarl, Politicien</t>
  </si>
  <si>
    <t>Acuité auditive, Armes naturelles, Coups puissants, Fourrure épaisse, Fuite, Menaçant, Sens de l’orientation</t>
  </si>
  <si>
    <t>Rat Géant</t>
  </si>
  <si>
    <t>Rat-Loup</t>
  </si>
  <si>
    <t>Les fils du Rat Cornu</t>
  </si>
  <si>
    <t>Déplacement silencieux (Ag), Dissimulation (Ag), Natation (F+10%), Perception (Int+10%)</t>
  </si>
  <si>
    <t>Acuité olfactive, Armes naturelles, Camouflage souterrain, Sens aiguisés, Vision nocturne</t>
  </si>
  <si>
    <t>Déplacement silencieux (Ag+10%), Natation (F), Perception (Int+10%), Pistage (Int+10%), Survie (Int)</t>
  </si>
  <si>
    <t>Rat-Ogre</t>
  </si>
  <si>
    <t>Escalade (F), Esquive (Ag), Intimidation (F+10%), Perception (Int)</t>
  </si>
  <si>
    <t>Armes naturelles, Coups précis, Coups puissants, Effrayant, Sans peur, Vision nocturne</t>
  </si>
  <si>
    <t>Mante géante (trégara)</t>
  </si>
  <si>
    <t>Serpent (vipère cavernicole)</t>
  </si>
  <si>
    <t>Dissimulation (Ag+10%), Perception (Int+20%), Pistage (Int+20%)</t>
  </si>
  <si>
    <t>Ver lanterne</t>
  </si>
  <si>
    <t>Dissimulation (Ag), Perception (Int)</t>
  </si>
  <si>
    <t>Champignons de feu (une livre)</t>
  </si>
  <si>
    <t>Champignons limon vert</t>
  </si>
  <si>
    <t>Norsca 27</t>
  </si>
  <si>
    <t>Luxure des berserkers (une dose)</t>
  </si>
  <si>
    <t>Baldurich</t>
  </si>
  <si>
    <t>Halsbret</t>
  </si>
  <si>
    <t>Gropenfrotteur</t>
  </si>
  <si>
    <t>Surhardt</t>
  </si>
  <si>
    <t>Reuter</t>
  </si>
  <si>
    <t>Maranaeur</t>
  </si>
  <si>
    <t>Skelgard</t>
  </si>
  <si>
    <t>Poingtonerre</t>
  </si>
  <si>
    <t>Bediensteter</t>
  </si>
  <si>
    <t>Bertram</t>
  </si>
  <si>
    <t>Weiss</t>
  </si>
  <si>
    <t>Brassepot</t>
  </si>
  <si>
    <t>Dustermann</t>
  </si>
  <si>
    <t>Krudt</t>
  </si>
  <si>
    <t>Slerd</t>
  </si>
  <si>
    <t>La Crypte des secrets</t>
  </si>
  <si>
    <t>Coups précis, Coups puissants, Sans peur</t>
  </si>
  <si>
    <t>Pazival</t>
  </si>
  <si>
    <t>Tristan</t>
  </si>
  <si>
    <t>Elizabet</t>
  </si>
  <si>
    <t>Aschaffenberg</t>
  </si>
  <si>
    <t>Gurerian</t>
  </si>
  <si>
    <t>Lechart</t>
  </si>
  <si>
    <t>Wuder</t>
  </si>
  <si>
    <t>Knud</t>
  </si>
  <si>
    <t>Erieta</t>
  </si>
  <si>
    <t>Robb</t>
  </si>
  <si>
    <t>Crâne volant</t>
  </si>
  <si>
    <t>0(8)</t>
  </si>
  <si>
    <t>Esquive (Ag+10%)</t>
  </si>
  <si>
    <t>Armes naturelles, Effrayant, Lévitation, Sans Peur, Vision nocturne</t>
  </si>
  <si>
    <t>Grod</t>
  </si>
  <si>
    <t>Squelette animé</t>
  </si>
  <si>
    <t>Effrayant, Mort-Vivant</t>
  </si>
  <si>
    <t>Hachoir/Chandelier volant</t>
  </si>
  <si>
    <t>0(5)</t>
  </si>
  <si>
    <t>Ludovicus</t>
  </si>
  <si>
    <t>Hanike</t>
  </si>
  <si>
    <t>Fer à marquer volant</t>
  </si>
  <si>
    <t>Lévitation, Sans Peur</t>
  </si>
  <si>
    <t>Ours empaillé</t>
  </si>
  <si>
    <t>Franke</t>
  </si>
  <si>
    <t>Kopfgeld</t>
  </si>
  <si>
    <t>Aufwiegler</t>
  </si>
  <si>
    <t>Prahmhandler</t>
  </si>
  <si>
    <t>Von Pfeifraucher</t>
  </si>
  <si>
    <t>Lastkahn</t>
  </si>
  <si>
    <t>Hautechose</t>
  </si>
  <si>
    <t>Glimbrin</t>
  </si>
  <si>
    <t>Vonreuter</t>
  </si>
  <si>
    <t>Sothelin</t>
  </si>
  <si>
    <t>Jonah</t>
  </si>
  <si>
    <t>Anya</t>
  </si>
  <si>
    <t>Charognard Volant</t>
  </si>
  <si>
    <t>2(6)</t>
  </si>
  <si>
    <t>Sanne</t>
  </si>
  <si>
    <t>Ondurin</t>
  </si>
  <si>
    <t>Zombie canin</t>
  </si>
  <si>
    <t>Armes naturelles, Effrayant, Mort-Vivant</t>
  </si>
  <si>
    <t>Oppenheimer</t>
  </si>
  <si>
    <t>Garten</t>
  </si>
  <si>
    <t>Fischer</t>
  </si>
  <si>
    <t>Holst</t>
  </si>
  <si>
    <t>Georg</t>
  </si>
  <si>
    <t>Marguerit</t>
  </si>
  <si>
    <t>Lindt</t>
  </si>
  <si>
    <t>Oldenlitz</t>
  </si>
  <si>
    <t>Uhl</t>
  </si>
  <si>
    <t>Jaune</t>
  </si>
  <si>
    <t>Animation d'objets</t>
  </si>
  <si>
    <t>de la poussière prélevée sur un objet momifié (+3)</t>
  </si>
  <si>
    <t>ce sort est semblable à réanimation, si ce n’est que vous créez 2d10 armes et/ou armures animées dans un rayon de 24 mètres (12 cases).</t>
  </si>
  <si>
    <t>Hegakin</t>
  </si>
  <si>
    <t>Elgrom</t>
  </si>
  <si>
    <t>Intelligent, Intrigant, Politique</t>
  </si>
  <si>
    <t>Commérage, Escamotage, Marchandage</t>
  </si>
  <si>
    <t>Harlock</t>
  </si>
  <si>
    <t>Todt</t>
  </si>
  <si>
    <t>Vert brillant</t>
  </si>
  <si>
    <t>Pièce d'or de Gorlaz (Slaanesh)</t>
  </si>
  <si>
    <t>KA: Karak Azgal</t>
  </si>
  <si>
    <t>KA 15</t>
  </si>
  <si>
    <t>Législateur</t>
  </si>
  <si>
    <t>Karak Azgal</t>
  </si>
  <si>
    <t>Pommebaie</t>
  </si>
  <si>
    <t>Fléchette</t>
  </si>
  <si>
    <t>Brisedroits</t>
  </si>
  <si>
    <t>Langmans</t>
  </si>
  <si>
    <t>Studel</t>
  </si>
  <si>
    <t>Arsenal 73/ WJDR 122/ KA 29</t>
  </si>
  <si>
    <t>Arsenal 72/98/ WJDR 122/ KA 29</t>
  </si>
  <si>
    <t>Arsenal 72/ WJDR 122/ KA 29</t>
  </si>
  <si>
    <t>Arsenal 68/ KA 29</t>
  </si>
  <si>
    <t>Arsenal 66/ KA 29</t>
  </si>
  <si>
    <t>Arsenal 74/ KA 29</t>
  </si>
  <si>
    <t>WJDR 122/ KA 29</t>
  </si>
  <si>
    <t>Arsenal 68 /KA 29</t>
  </si>
  <si>
    <t>Arsenal 57/ KA 29</t>
  </si>
  <si>
    <t>Arsenal 56/ KA 29</t>
  </si>
  <si>
    <t>Arsenal 53/ KA 29</t>
  </si>
  <si>
    <t>Bouilloire, Boîte d'amadou ou Briquet à silex, 3 Marmites en fer, 3, Couteaux de cuisine (Dagues), Couverts en métal, 2 Écuelles de Fer, 5 Éponges, Poêle à frire, 1 Savon, 500 CO en Nourriture</t>
  </si>
  <si>
    <t>KA 29</t>
  </si>
  <si>
    <t>Paquet de cartes marquées</t>
  </si>
  <si>
    <t>Arsenal 62/ KA 29</t>
  </si>
  <si>
    <t>Arsenal 63/ KA 29</t>
  </si>
  <si>
    <t>Cosimir</t>
  </si>
  <si>
    <t>Knorren</t>
  </si>
  <si>
    <t>Anneau de fer</t>
  </si>
  <si>
    <t>+1 PA au bras qui le porte</t>
  </si>
  <si>
    <t>Karak 28</t>
  </si>
  <si>
    <t>Grundenwald</t>
  </si>
  <si>
    <t>Helgenheimer</t>
  </si>
  <si>
    <t>Araignée des cavernes</t>
  </si>
  <si>
    <t>0 co</t>
  </si>
  <si>
    <t>Déplacement silencieux (Ag+10%), Dissimulation (Ag), Perception (Int+20%)</t>
  </si>
  <si>
    <t>Mucus d'araignée géante</t>
  </si>
  <si>
    <t>Mucus d'araignée des cavernes</t>
  </si>
  <si>
    <t>KA 41</t>
  </si>
  <si>
    <t>Déplacement silencieux (Ag+20%), Dissimulation (Ag+20%), Perception (Int)</t>
  </si>
  <si>
    <t>Mucus d'araignée soyeuse</t>
  </si>
  <si>
    <t>Venin de serpent caméléon</t>
  </si>
  <si>
    <t>Squig (monstrueux)</t>
  </si>
  <si>
    <t>Ver des roches</t>
  </si>
  <si>
    <t>Vouivre terrestre</t>
  </si>
  <si>
    <t>Vouivre volante</t>
  </si>
  <si>
    <t>Istilam</t>
  </si>
  <si>
    <t>Brumocéane</t>
  </si>
  <si>
    <t>Brumedemer</t>
  </si>
  <si>
    <t>Discrétion, Intimidation, Métier (homme de loi)</t>
  </si>
  <si>
    <t>Grimoire ancien nain</t>
  </si>
  <si>
    <t>Permet d'acquérir Connaissances académiques (runes)</t>
  </si>
  <si>
    <t>KA 47</t>
  </si>
  <si>
    <t>Skreet</t>
  </si>
  <si>
    <t>Vechiare</t>
  </si>
  <si>
    <t>Abrag</t>
  </si>
  <si>
    <t>Dirg</t>
  </si>
  <si>
    <t>Chittin</t>
  </si>
  <si>
    <t>Frife</t>
  </si>
  <si>
    <t>Husk</t>
  </si>
  <si>
    <t>Kisk</t>
  </si>
  <si>
    <t>Kilik</t>
  </si>
  <si>
    <t>Slike</t>
  </si>
  <si>
    <t>Talent de Clan</t>
  </si>
  <si>
    <t>Tri poil</t>
  </si>
  <si>
    <t>Mouder</t>
  </si>
  <si>
    <t>Charogne/Raklur</t>
  </si>
  <si>
    <t>Maîtrise (Armes à feu)</t>
  </si>
  <si>
    <t>Skruk</t>
  </si>
  <si>
    <t>Farquan</t>
  </si>
  <si>
    <t>Skitar</t>
  </si>
  <si>
    <t>Vrask</t>
  </si>
  <si>
    <t>Nurglitch</t>
  </si>
  <si>
    <t>Manglrr</t>
  </si>
  <si>
    <t>Rogneur/Gnaw</t>
  </si>
  <si>
    <t>Toxer</t>
  </si>
  <si>
    <t>Vrrmik</t>
  </si>
  <si>
    <t>Maître d'arme</t>
  </si>
  <si>
    <t>Sarkopt/Mange</t>
  </si>
  <si>
    <t>Nostril</t>
  </si>
  <si>
    <t>Scrak</t>
  </si>
  <si>
    <t>Kritislik</t>
  </si>
  <si>
    <t>Shissik</t>
  </si>
  <si>
    <t>Crâneux/Skully</t>
  </si>
  <si>
    <t>Gristl</t>
  </si>
  <si>
    <t>Garrot-Balafré</t>
  </si>
  <si>
    <t>Pustule</t>
  </si>
  <si>
    <t>Sabordeur/Skuttle</t>
  </si>
  <si>
    <t xml:space="preserve">Grasshk </t>
  </si>
  <si>
    <t>Affinité provinciale (Amazonie)</t>
  </si>
  <si>
    <t>Affinité provinciale (Royaumes des Montagnes Irrana)</t>
  </si>
  <si>
    <t>Terres arides</t>
  </si>
  <si>
    <t>Compétences: Canotage ou Natation, Connaissances générales (Arabie), Langue (arabien). Talents : Valeureux, Affinité provinciale (Califat de Sudrat)</t>
  </si>
  <si>
    <t>Compétences: Canotage ou Pistage, Connaissances générales (Terres du Sud), Langue (arabien), Langue (sudron), Métier (orfèvre) ou Survie. Talents : Affinité provinciale (Royaule de Songhai)</t>
  </si>
  <si>
    <t>Compétences: Camouflage rural ou Emprise sur les animaux, Connaissances générales (Arabie), Langue (arabien). Talents : Harmonie aethirique ou Résistance au poison,  Affinité provinciale (Royaume de Sud)</t>
  </si>
  <si>
    <t>Compétences: Camouflage désertique, Connaissances générales (Terres du sud, Langue (sudron ou langage sombre), Survie. Talents : Affinité provinciale (Terres arides), Fils du Désert</t>
  </si>
  <si>
    <t>Affinité provinciale (Terres arides)</t>
  </si>
  <si>
    <t>Discrétion, Langue (ghazhak (gobelin)), Préparation de poison</t>
  </si>
  <si>
    <t>Kratch</t>
  </si>
  <si>
    <t>Affinité provinciale (Norsca)</t>
  </si>
  <si>
    <t>Squig-rat</t>
  </si>
  <si>
    <t>Champignon Bile-de-nain</t>
  </si>
  <si>
    <t>Champignon Bonnet-de-fou</t>
  </si>
  <si>
    <t>Les fils du Rat Cornu/ KA 53</t>
  </si>
  <si>
    <t>Rat-Démon</t>
  </si>
  <si>
    <t>Esquive (Ag), intimidation (F), Langage mystique (démonik) (int), Langue (langage sombre, queekish) (Int), Perception (Int)</t>
  </si>
  <si>
    <t>Effrayant, Sans Peur, Vision Nocturne + Mutations: aspect bestial, cornes, fourrure épaisse, griffes, jambes d'animal, queue épineuse.</t>
  </si>
  <si>
    <t>Le Bestiaire/ Karak Azgal</t>
  </si>
  <si>
    <t>101/59</t>
  </si>
  <si>
    <t>Grott</t>
  </si>
  <si>
    <t>Karmir</t>
  </si>
  <si>
    <t>Damin</t>
  </si>
  <si>
    <t>TdC 50</t>
  </si>
  <si>
    <t>Création perso</t>
  </si>
  <si>
    <t>Grimald</t>
  </si>
  <si>
    <t>Elamina</t>
  </si>
  <si>
    <t>Katanya</t>
  </si>
  <si>
    <t>Dwalik</t>
  </si>
  <si>
    <t>Nori</t>
  </si>
  <si>
    <t>Golendil</t>
  </si>
  <si>
    <t>Athrandor</t>
  </si>
  <si>
    <t>Faragund</t>
  </si>
  <si>
    <t>Rorgrim</t>
  </si>
  <si>
    <t>Squig (des cavernes)</t>
  </si>
  <si>
    <t>Armes naturelles, Troublant, Vision nocturne, Volonté de fer + Mutation queue épineuse et 3 autres aléatoires</t>
  </si>
  <si>
    <t>Sorland</t>
  </si>
  <si>
    <t>Hohenlohe</t>
  </si>
  <si>
    <t>Janike</t>
  </si>
  <si>
    <t>Regimius</t>
  </si>
  <si>
    <t>Janko</t>
  </si>
  <si>
    <t>Nierhaus</t>
  </si>
  <si>
    <t>Finch</t>
  </si>
  <si>
    <t>Hartmut</t>
  </si>
  <si>
    <t>Sieglief</t>
  </si>
  <si>
    <t>Craquepot</t>
  </si>
  <si>
    <t>Bogie</t>
  </si>
  <si>
    <t>Ulthvas</t>
  </si>
  <si>
    <t>Daubler</t>
  </si>
  <si>
    <t>Baumer</t>
  </si>
  <si>
    <t>Christoph</t>
  </si>
  <si>
    <t>Jirl</t>
  </si>
  <si>
    <t>Silke</t>
  </si>
  <si>
    <t>Honorius</t>
  </si>
  <si>
    <t>Tobal</t>
  </si>
  <si>
    <t>Carsta</t>
  </si>
  <si>
    <t>Gladisch</t>
  </si>
  <si>
    <t>Arendt</t>
  </si>
  <si>
    <t>Kippenberg</t>
  </si>
  <si>
    <t>Scheidt</t>
  </si>
  <si>
    <t>Viredebord</t>
  </si>
  <si>
    <t>Timon</t>
  </si>
  <si>
    <t>Gopfert</t>
  </si>
  <si>
    <t>Guilberg</t>
  </si>
  <si>
    <t>Skell</t>
  </si>
  <si>
    <t>Gugula</t>
  </si>
  <si>
    <t>Nelrich</t>
  </si>
  <si>
    <t>Asorak</t>
  </si>
  <si>
    <t>Les fils du Rat Cornu/ TàT 93</t>
  </si>
  <si>
    <t>Agitateur, Bateleur, Bourgeois, Collecteur de taxes, Contrebandier, Garde/Chapeau noir, Guide, Initié, Sapeur Pompier, Serviteur</t>
  </si>
  <si>
    <t>Combattant des tunnels, Contrebandier, Garde/Chapeau noir, Mercenaire, Ratier, Sergent, Vétéran/Longue Barbe</t>
  </si>
  <si>
    <t>Chasseur de vampires, Garde/Chapeau noir, Initié (Morr), Milicien, Trafiquant de cadavres</t>
  </si>
  <si>
    <t>Écuyer, Garde/Chapeau noir, Gardien de Harem, Initié, Mercenaire, Soldat</t>
  </si>
  <si>
    <t>Bourreau, Égoutier, Exécuteur, Garde/Chapeau noir, Garde du corps, Ratier, Régisseur, Sycophante</t>
  </si>
  <si>
    <t>Chasseur, Collecteur de taxes, Dresseur d'ours, Flagellant, Garde/Chapeau noir, Gardien du temple, Messager, Sapeur Pompier, Tchékiste</t>
  </si>
  <si>
    <t>Garde/Chapeau noir, Kossar kislevite</t>
  </si>
  <si>
    <t>Coupe-jarret, Garde/Chapeau noir, Kossar kislevite, Spadassin, Streltsi</t>
  </si>
  <si>
    <t>Chasseur, Chasseur de primes, Garde/Chapeau noir, Patrouilleur, Patrouilleur Fluvial</t>
  </si>
  <si>
    <t>Garde/Chapeau noir, Patrouilleur fluvial, Pêcheur</t>
  </si>
  <si>
    <t>Combattant des tunnels, Garde/Chapeau noir, Geôlier, Milicien, Paysan, Ramasseur de fumier, Ratier</t>
  </si>
  <si>
    <t>Caravanier, Garde/Chapeau noir, Patrouilleur, Soldat, Spadassin, Pillard du désert, Vétéran/Longue Barbe.</t>
  </si>
  <si>
    <t>Combattant des tunnels, Garde/Chapeau noir, Pilleur de tombes, Ratier, Soldat</t>
  </si>
  <si>
    <t>Eunuque, Garde/Chapeau noir, Gardien du temple</t>
  </si>
  <si>
    <t>Fanatique, Garde/Chapeau noir, Gardien de Harem, Initié, Milicien</t>
  </si>
  <si>
    <t>Garde/Chapeau noir, Milicien, Soldat.</t>
  </si>
  <si>
    <t>Bourgeois, Émissaire elfe, Étudiant, Garde/Chapeau noir, Percepteur, Scribe</t>
  </si>
  <si>
    <t>Allumeur de réverbères, Garde/Chapeau noir, Milicien, Ramoneur</t>
  </si>
  <si>
    <t>Archer monté, Berserk norse, Cadet, Canonnier, Chasseur de primes, Coupe-jarret, Démagogue, Éclaireur, Écumeur des marais, Égoutier, Garde/Chapeau noir, Garde de caravane, Garde des profondeurs, Garde du corps, Gardien du temple, Garde républicain, Gladiateur, Homme lige, Kossar kislevite, Maraudeur, Milicien, Mineur, Pèlerin du Graal, Pillard, Pillard du désert, Ramoneur, Sapeur Pompier, Sahir Tilmid, Scalde, Sentinelle halfling, Soldat, Streltsi, Tchékiste, Yeoman</t>
  </si>
  <si>
    <t>Peek</t>
  </si>
  <si>
    <t>Brouwer</t>
  </si>
  <si>
    <t>Van Haagen</t>
  </si>
  <si>
    <t>Reiva</t>
  </si>
  <si>
    <t>Manzel</t>
  </si>
  <si>
    <t>Buisman</t>
  </si>
  <si>
    <t>Gaff</t>
  </si>
  <si>
    <t>Calcine</t>
  </si>
  <si>
    <t>Affinité provinciale (Pays Perdu), Sans Peur, Terrifiant</t>
  </si>
  <si>
    <t>Natation, Perception</t>
  </si>
  <si>
    <t>Crispijn</t>
  </si>
  <si>
    <t>Selena</t>
  </si>
  <si>
    <t>Arnolt</t>
  </si>
  <si>
    <t>Wendel</t>
  </si>
  <si>
    <t>Ott</t>
  </si>
  <si>
    <t>Schade</t>
  </si>
  <si>
    <t>Neytz</t>
  </si>
  <si>
    <t>Schnee</t>
  </si>
  <si>
    <t>Von Speider</t>
  </si>
  <si>
    <t>Lauer</t>
  </si>
  <si>
    <t>Gephardt</t>
  </si>
  <si>
    <t>Hägen</t>
  </si>
  <si>
    <t>Fochtenberger</t>
  </si>
  <si>
    <t>De la griffe de la noblesse: Histoire et héraldique de lignées de choix</t>
  </si>
  <si>
    <t>Seibolt</t>
  </si>
  <si>
    <t>Freiborg</t>
  </si>
  <si>
    <t>Lórinoc</t>
  </si>
  <si>
    <t>Geisel</t>
  </si>
  <si>
    <t>Orbach</t>
  </si>
  <si>
    <t>Coriael</t>
  </si>
  <si>
    <t>Anneau en or et multiples pierres précieuses</t>
  </si>
  <si>
    <t>Anneau en or serti d'une émeraude</t>
  </si>
  <si>
    <t>Valderpeer</t>
  </si>
  <si>
    <t>Brighalter</t>
  </si>
  <si>
    <t>Eisenbach</t>
  </si>
  <si>
    <t>Goule</t>
  </si>
  <si>
    <t>Déplacement silencieux (Ag), Dissimulation (Ag), Escalade (F), Filature (Ag), Fouille (Int), Langue (reikspiel) (Int), Perception (Int), Survie (Int)</t>
  </si>
  <si>
    <t>Armes naturelles, Camouflage rural, Effrayant, Sans Peur, Venimeux, Vision nocturne</t>
  </si>
  <si>
    <t>Mort Jaune</t>
  </si>
  <si>
    <t>Furoncles de la miséricorde</t>
  </si>
  <si>
    <t>Sonaille de Ruprecht</t>
  </si>
  <si>
    <t>Bestiaire d'Arabie</t>
  </si>
  <si>
    <t>Bestiaire des Terres du Sud</t>
  </si>
  <si>
    <t>Bestiaire de Khuresh</t>
  </si>
  <si>
    <t>Bestiaire de Lustrie</t>
  </si>
  <si>
    <t>Bestiaire de Cathay</t>
  </si>
  <si>
    <t>Bestiaire des Royaumes d'Inja</t>
  </si>
  <si>
    <t>Bestiaire du Nippon</t>
  </si>
  <si>
    <t>Estlemann</t>
  </si>
  <si>
    <t>Drabben</t>
  </si>
  <si>
    <t>Kohl</t>
  </si>
  <si>
    <t>Raush</t>
  </si>
  <si>
    <t>Bromelhoff</t>
  </si>
  <si>
    <t>Anden</t>
  </si>
  <si>
    <t>Trent</t>
  </si>
  <si>
    <t>Ansel</t>
  </si>
  <si>
    <t>Vorman</t>
  </si>
  <si>
    <t>Hahn</t>
  </si>
  <si>
    <t>Alphabet secret (voleur), Déplacement Silencieux, Dissimulation, Esquive, Perception</t>
  </si>
  <si>
    <t>242/141</t>
  </si>
  <si>
    <t>100/143</t>
  </si>
  <si>
    <t>Os sacré (Morr)</t>
  </si>
  <si>
    <t>Sceau des mouches (Nurgle)</t>
  </si>
  <si>
    <t>Croissance interrompue</t>
  </si>
  <si>
    <t>Vérole brune</t>
  </si>
  <si>
    <t>Liber Pestilencia</t>
  </si>
  <si>
    <t>Chaque page décrit une maladie qu'on attrape si un test d'Endurance est manqué</t>
  </si>
  <si>
    <t>LMT 153</t>
  </si>
  <si>
    <t>Maître en magie noire</t>
  </si>
  <si>
    <t>Vous obtenez une armure du Chaos</t>
  </si>
  <si>
    <t>si vous parvenez à blesser un adversaire à l’issue d’une charge, vous pouvez aussitôt effectuer une attaque supplémentaire contre la même cible.</t>
  </si>
  <si>
    <t>Pour 1/2 action vous pouvez vous transformer en chauve-souris vampirique mais vous conservez Intelligence et Pts de Blessure</t>
  </si>
  <si>
    <t>+3 au jet d'incantation pour tout sort du Domaine de La Nécromancie</t>
  </si>
  <si>
    <t>Chauve-souris vampire</t>
  </si>
  <si>
    <t>Esquive, Perception (Int+20%)</t>
  </si>
  <si>
    <t>Sens aiguisés, Vision nocturne, Vol</t>
  </si>
  <si>
    <t>Von Eulenhaus</t>
  </si>
  <si>
    <t>Wunderlich</t>
  </si>
  <si>
    <t>Keppler</t>
  </si>
  <si>
    <t>Weychardt</t>
  </si>
  <si>
    <t>Bosh</t>
  </si>
  <si>
    <t>Sundler</t>
  </si>
  <si>
    <t>Altdorper</t>
  </si>
  <si>
    <t>Sashs</t>
  </si>
  <si>
    <t>Wilke</t>
  </si>
  <si>
    <t>Drurer</t>
  </si>
  <si>
    <t>Pirkenheimer</t>
  </si>
  <si>
    <t>Friedank</t>
  </si>
  <si>
    <t>Scheurl</t>
  </si>
  <si>
    <t>Vladek</t>
  </si>
  <si>
    <t>Von Waldek</t>
  </si>
  <si>
    <t>Dortinger</t>
  </si>
  <si>
    <t>Falkensteiner</t>
  </si>
  <si>
    <t>Von Schtuck</t>
  </si>
  <si>
    <t>Feschitz</t>
  </si>
  <si>
    <t>Von Rang</t>
  </si>
  <si>
    <t>Kinspelt</t>
  </si>
  <si>
    <t>Hoshstetter</t>
  </si>
  <si>
    <t>Brantner</t>
  </si>
  <si>
    <t>Johannes</t>
  </si>
  <si>
    <t>Oswalt</t>
  </si>
  <si>
    <t>Torsten</t>
  </si>
  <si>
    <t>Jerimais</t>
  </si>
  <si>
    <t>Lettilin</t>
  </si>
  <si>
    <t>Hanskart</t>
  </si>
  <si>
    <t>Filgar</t>
  </si>
  <si>
    <t>Dieric</t>
  </si>
  <si>
    <t>Bartolomous</t>
  </si>
  <si>
    <t>Severin</t>
  </si>
  <si>
    <t>Malthus</t>
  </si>
  <si>
    <t>Albus</t>
  </si>
  <si>
    <t>Lorenz</t>
  </si>
  <si>
    <t>Mirmidia</t>
  </si>
  <si>
    <t>Rubeus</t>
  </si>
  <si>
    <t>Alastor</t>
  </si>
  <si>
    <t>Dolores</t>
  </si>
  <si>
    <t>Pomona</t>
  </si>
  <si>
    <t>Hermione</t>
  </si>
  <si>
    <t>Luna</t>
  </si>
  <si>
    <t>Severus</t>
  </si>
  <si>
    <t>LMT1 110</t>
  </si>
  <si>
    <t>LMT1 106</t>
  </si>
  <si>
    <t>LMT1 130</t>
  </si>
  <si>
    <t>LMT1 149</t>
  </si>
  <si>
    <t>Le Tome de la Corruption/LMT1</t>
  </si>
  <si>
    <t>LMT1 159</t>
  </si>
  <si>
    <t>SablesP 10/ LMT1 124</t>
  </si>
  <si>
    <t>Le Bestiaire/ Les Milles Trônes 1</t>
  </si>
  <si>
    <t>Les Milles Trônes 1</t>
  </si>
  <si>
    <t>Extrait d'herbe suffocante</t>
  </si>
  <si>
    <t>Les Milles Trônes 1 143</t>
  </si>
  <si>
    <t>Les Milles Trônes 1 91</t>
  </si>
  <si>
    <t>Les Milles Trônes 1 119</t>
  </si>
  <si>
    <t>Les Milles Trônes 1 61</t>
  </si>
  <si>
    <t>Les Milles Trônes 2 171</t>
  </si>
  <si>
    <t>Canotage, Commérage, Déplacement silencieux, Natation, Survie</t>
  </si>
  <si>
    <t>Baratin, Commérage, Expression artistique (une au choix), Perception</t>
  </si>
  <si>
    <t>MdN 115/ LMT 2 185</t>
  </si>
  <si>
    <t>Grandes heures de l'empire</t>
  </si>
  <si>
    <t>LMT 185</t>
  </si>
  <si>
    <t>Heldenhammer</t>
  </si>
  <si>
    <t>Interprétations de Kadon</t>
  </si>
  <si>
    <t>Affinité provinciale (Grande principauté du Reikland), Grand Voyageur</t>
  </si>
  <si>
    <t>Affinité provinciale (Grande principauté du Reikland), Frénésie, Grand Voyageur</t>
  </si>
  <si>
    <t>Charisme, Commérage, Perception, Soins</t>
  </si>
  <si>
    <t>Connaissances académiques (théologie), Soins</t>
  </si>
  <si>
    <t>LMT 2 211ff</t>
  </si>
  <si>
    <t>LMT 2 211</t>
  </si>
  <si>
    <t>Créatures périlleuses par Odric de Wurtbad</t>
  </si>
  <si>
    <t>MdlN 16/LMT 211</t>
  </si>
  <si>
    <t>Les Vampires et leur lignée de Maximullian Sommers</t>
  </si>
  <si>
    <t>Treatis Necris de Gottlieb le Rigoriste</t>
  </si>
  <si>
    <t>De la nature de l’âme de Tranicus</t>
  </si>
  <si>
    <t>Encyclopédie des morts-vivants de J.G Melber</t>
  </si>
  <si>
    <t>Les Milles Trônes 2 211</t>
  </si>
  <si>
    <t>Donnacanto</t>
  </si>
  <si>
    <t>LMT 2 213</t>
  </si>
  <si>
    <r>
      <t xml:space="preserve">Demi-lance: </t>
    </r>
    <r>
      <rPr>
        <i/>
        <sz val="10"/>
        <rFont val="Arial"/>
        <family val="2"/>
      </rPr>
      <t>Chantante:</t>
    </r>
    <r>
      <rPr>
        <sz val="10"/>
        <rFont val="Arial"/>
        <family val="2"/>
      </rPr>
      <t xml:space="preserve"> Tout allié à portée de voix peut relancer un test de peur et +10% test Peur</t>
    </r>
  </si>
  <si>
    <t>L'union des âmes</t>
  </si>
  <si>
    <t>LMT 2 222</t>
  </si>
  <si>
    <t>Rouleaux de Zandri</t>
  </si>
  <si>
    <t>LMT 2 225</t>
  </si>
  <si>
    <t>Tablettes strygiennes</t>
  </si>
  <si>
    <t>Boite-puzzle de Miragliano</t>
  </si>
  <si>
    <t>Boite impossible à ouvrir sans des moyens importants ou la solution</t>
  </si>
  <si>
    <t>Triptyque de Lanfranchi</t>
  </si>
  <si>
    <t>Armure Scorpion de Sokth</t>
  </si>
  <si>
    <t>Mot de Pouvoir Taru de Phakth</t>
  </si>
  <si>
    <t>Mot de Pouvoir Yxus de Khsar</t>
  </si>
  <si>
    <t>Mot de Pouvoir Odet de Djaf</t>
  </si>
  <si>
    <t>Mot de Pouvoir Luna de Asaph</t>
  </si>
  <si>
    <t>Mots de pouvoir des dieux antiques</t>
  </si>
  <si>
    <t>Anneau de Vahanesh</t>
  </si>
  <si>
    <t>LMT 2 226</t>
  </si>
  <si>
    <t>Mot de Pouvoir Fash de Neru</t>
  </si>
  <si>
    <t>contact (petit gabarit)</t>
  </si>
  <si>
    <t>Les Milles Trônes</t>
  </si>
  <si>
    <t>Zuvassin</t>
  </si>
  <si>
    <t>L'objet ne peut pas être enlevé ni déposé par son porteur sans un sort puissant ou un rituel d'Exorcisme</t>
  </si>
  <si>
    <r>
      <rPr>
        <i/>
        <sz val="10"/>
        <rFont val="Arial"/>
        <family val="2"/>
      </rPr>
      <t xml:space="preserve">Maudite. </t>
    </r>
    <r>
      <rPr>
        <sz val="10"/>
        <rFont val="Arial"/>
        <family val="2"/>
      </rPr>
      <t xml:space="preserve">Donne mutation: </t>
    </r>
    <r>
      <rPr>
        <i/>
        <sz val="10"/>
        <rFont val="Arial"/>
        <family val="2"/>
      </rPr>
      <t>Régénération</t>
    </r>
    <r>
      <rPr>
        <sz val="10"/>
        <rFont val="Arial"/>
        <family val="2"/>
      </rPr>
      <t xml:space="preserve"> + 1 Mutation et 1Pt. Folie/mois</t>
    </r>
  </si>
  <si>
    <t>Maudite</t>
  </si>
  <si>
    <r>
      <rPr>
        <i/>
        <sz val="10"/>
        <rFont val="Arial"/>
        <family val="2"/>
      </rPr>
      <t>Maudite</t>
    </r>
    <r>
      <rPr>
        <sz val="10"/>
        <rFont val="Arial"/>
        <family val="2"/>
      </rPr>
      <t>. Le porteur regagne 1 point de blessure/round</t>
    </r>
  </si>
  <si>
    <r>
      <rPr>
        <i/>
        <sz val="10"/>
        <rFont val="Arial"/>
        <family val="2"/>
      </rPr>
      <t>Enchantée</t>
    </r>
    <r>
      <rPr>
        <sz val="10"/>
        <rFont val="Arial"/>
        <family val="2"/>
      </rPr>
      <t>. Donne un bonus de +4 à tout test d'incantation d'un rituel de Nécromancie</t>
    </r>
  </si>
  <si>
    <r>
      <rPr>
        <i/>
        <sz val="10"/>
        <rFont val="Arial"/>
        <family val="2"/>
      </rPr>
      <t>Maudite</t>
    </r>
    <r>
      <rPr>
        <sz val="10"/>
        <rFont val="Arial"/>
        <family val="2"/>
      </rPr>
      <t xml:space="preserve">, +3pts d'Armure à la tête, Mutations </t>
    </r>
    <r>
      <rPr>
        <i/>
        <sz val="10"/>
        <rFont val="Arial"/>
        <family val="2"/>
      </rPr>
      <t>Cornes</t>
    </r>
    <r>
      <rPr>
        <sz val="10"/>
        <rFont val="Arial"/>
        <family val="2"/>
      </rPr>
      <t xml:space="preserve"> et </t>
    </r>
    <r>
      <rPr>
        <i/>
        <sz val="10"/>
        <rFont val="Arial"/>
        <family val="2"/>
      </rPr>
      <t>Peau de Fer</t>
    </r>
    <r>
      <rPr>
        <sz val="10"/>
        <rFont val="Arial"/>
        <family val="2"/>
      </rPr>
      <t>.</t>
    </r>
  </si>
  <si>
    <r>
      <t xml:space="preserve">Attribut </t>
    </r>
    <r>
      <rPr>
        <i/>
        <sz val="10"/>
        <rFont val="Arial"/>
        <family val="2"/>
      </rPr>
      <t>Commandement</t>
    </r>
    <r>
      <rPr>
        <sz val="10"/>
        <rFont val="Arial"/>
        <family val="2"/>
      </rPr>
      <t xml:space="preserve"> et </t>
    </r>
    <r>
      <rPr>
        <i/>
        <sz val="10"/>
        <rFont val="Arial"/>
        <family val="2"/>
      </rPr>
      <t>Fielleuse</t>
    </r>
    <r>
      <rPr>
        <sz val="10"/>
        <rFont val="Arial"/>
        <family val="2"/>
      </rPr>
      <t xml:space="preserve"> (gobelinoïdes) + Talent</t>
    </r>
    <r>
      <rPr>
        <i/>
        <sz val="10"/>
        <rFont val="Arial"/>
        <family val="2"/>
      </rPr>
      <t xml:space="preserve"> Fureur Vengeresse</t>
    </r>
  </si>
  <si>
    <r>
      <t>Attribut</t>
    </r>
    <r>
      <rPr>
        <i/>
        <sz val="10"/>
        <rFont val="Arial"/>
        <family val="2"/>
      </rPr>
      <t xml:space="preserve"> Fielleuse</t>
    </r>
    <r>
      <rPr>
        <sz val="10"/>
        <rFont val="Arial"/>
        <family val="2"/>
      </rPr>
      <t xml:space="preserve"> (Nains) et </t>
    </r>
    <r>
      <rPr>
        <i/>
        <sz val="10"/>
        <rFont val="Arial"/>
        <family val="2"/>
      </rPr>
      <t>Exterminatrice</t>
    </r>
    <r>
      <rPr>
        <sz val="10"/>
        <rFont val="Arial"/>
        <family val="2"/>
      </rPr>
      <t xml:space="preserve"> (Nains), Non-skaven: Test FM-10% ou PF</t>
    </r>
  </si>
  <si>
    <t>Maudite: Adorable peluche parfumée qui transmet de façon persistante moults maladies</t>
  </si>
  <si>
    <r>
      <rPr>
        <i/>
        <sz val="10"/>
        <rFont val="Arial"/>
        <family val="2"/>
      </rPr>
      <t>Indestructible</t>
    </r>
    <r>
      <rPr>
        <sz val="10"/>
        <rFont val="Arial"/>
        <family val="2"/>
      </rPr>
      <t>. Permet de loger confortablement 6 personnes à l'intérieur</t>
    </r>
  </si>
  <si>
    <r>
      <rPr>
        <i/>
        <sz val="10"/>
        <rFont val="Arial"/>
        <family val="2"/>
      </rPr>
      <t>Maudite</t>
    </r>
    <r>
      <rPr>
        <sz val="10"/>
        <rFont val="Arial"/>
        <family val="2"/>
      </rPr>
      <t>: Tte personne avec Sens de la Magie peut percevoir les pensées du porteur</t>
    </r>
  </si>
  <si>
    <t>Calice des Secrets Partagés</t>
  </si>
  <si>
    <t>LMT 2 272</t>
  </si>
  <si>
    <t>Vent Fétide</t>
  </si>
  <si>
    <t>+10 CC, F et +1A vs. Elfes. Tte blessure causée: Test d'Endurance ou mort</t>
  </si>
  <si>
    <t>Dent de gangrène</t>
  </si>
  <si>
    <t>Maudite: Tte Blessure reçue par le porteur ne peut être guérie sans un test de Soin</t>
  </si>
  <si>
    <t>LMT 272</t>
  </si>
  <si>
    <t>Serpent (caméléon)</t>
  </si>
  <si>
    <t>Serpent (des roches)</t>
  </si>
  <si>
    <t>Serpent (cyclope)</t>
  </si>
  <si>
    <t>Les Milles Trônes 2</t>
  </si>
  <si>
    <t>Dissimulation (Ag), Esquive (Ag), NatationF+20%)</t>
  </si>
  <si>
    <t>Clef de Tzeentch</t>
  </si>
  <si>
    <t>Clef de Slaanesh</t>
  </si>
  <si>
    <t>Clef de Nurgle</t>
  </si>
  <si>
    <t>LMT 2 277</t>
  </si>
  <si>
    <t>Confère +10% en Endurance à son porteur</t>
  </si>
  <si>
    <t>Fausse clef de Tzeentch</t>
  </si>
  <si>
    <t>LMT 2 279</t>
  </si>
  <si>
    <t>Fausse clef de Slaanesh</t>
  </si>
  <si>
    <t>Fausse clef de Khorne</t>
  </si>
  <si>
    <r>
      <rPr>
        <i/>
        <sz val="10"/>
        <rFont val="Arial"/>
        <family val="2"/>
      </rPr>
      <t xml:space="preserve">Maudite. </t>
    </r>
    <r>
      <rPr>
        <sz val="10"/>
        <rFont val="Arial"/>
        <family val="2"/>
      </rPr>
      <t>Son porteur ne peut pas lancer de sort et sa valeur de magie est réduite à 0.</t>
    </r>
  </si>
  <si>
    <r>
      <rPr>
        <i/>
        <sz val="10"/>
        <rFont val="Arial"/>
        <family val="2"/>
      </rPr>
      <t>Maudite</t>
    </r>
    <r>
      <rPr>
        <sz val="10"/>
        <rFont val="Arial"/>
        <family val="2"/>
      </rPr>
      <t>. Confère -10% en Endurance à son porteur</t>
    </r>
  </si>
  <si>
    <t>Fausse clef de Nurgle</t>
  </si>
  <si>
    <r>
      <rPr>
        <i/>
        <sz val="10"/>
        <rFont val="Arial"/>
        <family val="2"/>
      </rPr>
      <t>Maudite</t>
    </r>
    <r>
      <rPr>
        <sz val="10"/>
        <rFont val="Arial"/>
        <family val="2"/>
      </rPr>
      <t>.+10% en Endurance à son porteur qui ne peut plus faire de test pour résister aux maladies</t>
    </r>
  </si>
  <si>
    <t>Bric-Broc</t>
  </si>
  <si>
    <t>Intimidation (F), Perception (Int)</t>
  </si>
  <si>
    <t>Abomination arachnéenne</t>
  </si>
  <si>
    <t>Déplacement silencieux (Ag+10%), Dissimulation (Ag+10%), Natation (F), Perception (Int+10%)</t>
  </si>
  <si>
    <t>Armes naturelles, Carapace, Coups précis, Coups puissants, Effrayant, Grimpeur chevronné, Mutations (pigmentation étrange, régénération), Sens aiguisés, Venimeux, Vision nocture</t>
  </si>
  <si>
    <t>Aura d'assujettissement</t>
  </si>
  <si>
    <t>LMT2 298</t>
  </si>
  <si>
    <t>Loup de sang</t>
  </si>
  <si>
    <t>Dissimulation (Ag), Esquive (Ag), Natation (F), Perception (Int+20%), Pistage (Int)</t>
  </si>
  <si>
    <t>Armes naturelles, Chef de meute, Effrayant, Mort-Vivant, Sens aiguisés</t>
  </si>
  <si>
    <t>Maîtres de la nuit/ToD</t>
  </si>
  <si>
    <t>129/21</t>
  </si>
  <si>
    <t>Cauchemar ailé</t>
  </si>
  <si>
    <t>ce sort agit exactement comme le sort l'envol du corbeau, si ce n'est que la forme adoptée est celle d'un animal animé (souvent un mort-vivant). Le sort constitue une invocation si puissante et violente que tous les sorciers dans un rayon de 7,5 kilomètres prennent conscience de la perturbation de l’Aethyr provoquée par son incantation.</t>
  </si>
  <si>
    <t>1 minute (6 rounds) /pt de magie</t>
  </si>
  <si>
    <t>Armes naturelles, Ecailles (2), Effrayant, Mort-Vivant, Terrifiant, Vision nocturne, Vol</t>
  </si>
  <si>
    <t>Homme d'osier</t>
  </si>
  <si>
    <t>Amalgame, Armes naturelles, Effrayant</t>
  </si>
  <si>
    <t>Main animée</t>
  </si>
  <si>
    <t>Déplacement silencieux (Ag+20%), Dissimulation (Ag+10%), Escalade, Esquive (Ag+10%)</t>
  </si>
  <si>
    <t>Mort-Vivant, Partiel</t>
  </si>
  <si>
    <t>Consommables</t>
  </si>
  <si>
    <t>Types_co</t>
  </si>
  <si>
    <t>Epices et Plantes</t>
  </si>
  <si>
    <t>Potion</t>
  </si>
  <si>
    <t>Poison</t>
  </si>
  <si>
    <t>Pierres Précieuses</t>
  </si>
  <si>
    <t>tiléen antique</t>
  </si>
  <si>
    <t>La Chute/Malédiction de Kavzar</t>
  </si>
  <si>
    <t>Une brève histoire des cultes de l'Empire</t>
  </si>
  <si>
    <t xml:space="preserve">Compétences: Commérage OU Marchandage, Connaissances générales (Estalie), Langue (estalien), Survie. Talents: Affinité provinciale (Royaumes Côtiers), 1 talent déterminé aléatoirement </t>
  </si>
  <si>
    <t>Mot de Pouvoir Mah de Basth</t>
  </si>
  <si>
    <t>O</t>
  </si>
  <si>
    <t>Plaine de Zharr</t>
  </si>
  <si>
    <t>Hégémonie Hobgobeline</t>
  </si>
  <si>
    <t>Forteresse des nains du chaos</t>
  </si>
  <si>
    <t>Compétences: Connaissances générales (nains), Fouille, Langue (khazalid), Survie Talents: Robuste, Valeureux, Vision nocturne, 25% de chances de commencer le jeu avec une mutation</t>
  </si>
  <si>
    <t>Compétences: Connaissances générales (Terres Sombres), Langue (harghazharh (hobgobelin)), Orientation, Survie. Talents: Affinité provinciale (Hégémonie Hobgobeline), 1 talent déterminé aléatoirement, 25% de chances de commencer le jeu avec une mutation.</t>
  </si>
  <si>
    <t>Colonie de Pigbarter</t>
  </si>
  <si>
    <t xml:space="preserve">Compétences: Connaissances générales (Peaux-Vertes), Langue (une au choix), Marchandage, Survie. Talents: Affinité provinciale (Colonie de Pigbarter), Résistance au poison, 25% de chances de commencer le jeu avec une mutation. </t>
  </si>
  <si>
    <t>Forteresse naine de la Norsca</t>
  </si>
  <si>
    <t xml:space="preserve">Compétences: Connaissances générales (Terres Sombres), Langue (langage sombre), Orientation, Survie. Talents: Affinité provinciale (Plaine de Zharr), Résistance au poison, 30% de chances de commencer le jeu avec une mutation. </t>
  </si>
  <si>
    <t>Plaine des Os</t>
  </si>
  <si>
    <t>Désert Hurlant</t>
  </si>
  <si>
    <t xml:space="preserve">Compétences: Connaissances générales (Terres Sombres), Langue (langage sombre), Orientation, Survie. Talents: Affinité provinciale (Désert Hurlant), Fils du désert, 30% de chances de commencer le jeu avec une mutation. </t>
  </si>
  <si>
    <t>Terre des loups</t>
  </si>
  <si>
    <t xml:space="preserve">Compétences: Commérage, Connaissances générales (Peaux-Vertes), Langue (ghazhak (gobelin)), Survie. Talents: Affinité provinciale (Terre des loups), Sens de l'Orientation, 25% de chances de commencer le jeu avec une mutation. </t>
  </si>
  <si>
    <t>Affinité provinciale (Duché de Parravon), Fuite</t>
  </si>
  <si>
    <t>Masse bestiale de Bastogne</t>
  </si>
  <si>
    <t>Rune majeure de Tueur de Dragon, Monstrueuse (Dragon)</t>
  </si>
  <si>
    <t>Fléau des Morts-vivants</t>
  </si>
  <si>
    <t xml:space="preserve"> Toute unité de morts-vivants au contact perd automatiquement 1D6 Blessures sans PA ni BE</t>
  </si>
  <si>
    <t>Icône de la Dame du Lac</t>
  </si>
  <si>
    <t>Diminue de 5 crans les Coups critiques reçus +Résistance à la magie</t>
  </si>
  <si>
    <t>Trait: Retour de magie pour toutes les unités sous le grand gabarit</t>
  </si>
  <si>
    <t>Tt objet magique (sauf les armes) de tout ennemi au contact sont désactivés</t>
  </si>
  <si>
    <t>faites un test de (Sociabilité +Magie X10) contre la Force Mentale d'un vampire. En cas de réussite : ce vampire ne peut pas vous attaquer durant 2 rounds. Si vous obtenez un double vous subissez la colère des dieux (WJDR p.144) (résultat -10)</t>
  </si>
  <si>
    <t>faites un test de (Sociabilité +Magie X10) contre la Force Mentale d'un vampire. En cas de réussite: annule un Baiser de Sang s'il est prononcé dans la minute qui suit l'infection. Si vous obtenez un double vous subissez la colère des dieux (WJDR p.144) (résultat -10)</t>
  </si>
  <si>
    <t>faites un test de (Sociabilité +Magie X10) contre la Force Mentale d'un vampire. En cas de réussite: inflige 1d10+2 point de dégâts à tous les vampires proches. Si vous obtenez un double vous subissez la colère des dieux (WJDR p.144) (résultat -10)</t>
  </si>
  <si>
    <t>faites un test de (Sociabilité +Magie X10) contre la Force Mentale d'un vampire. En cas de réussite: une aura démonique apparait autour de tous les vampires proches. Si vous obtenez un double vous subissez la colère des dieux (WJDR p.144) (résultat -10)</t>
  </si>
  <si>
    <t>faites un test de (Sociabilité +Magie X10) contre la Force Mentale d'un vampire. En cas de réussite: repousse un vampire pour un round de combat. Si vous obtenez un double vous subissez la colère des dieux (WJDR p.144) (résultat -10)</t>
  </si>
  <si>
    <t>faites un test de (Sociabilité +Magie X10) contre la Force Mentale d’un vampire. En cas de réussite : ce vampire est aveuglé pendant 2 rounds. Si vous obtenez un double vous subissez la colère des dieux (WJDR p.144) (résultat -10)</t>
  </si>
  <si>
    <r>
      <t xml:space="preserve">Très utile dans les marais ou les jungles ce sort éloigne les petites vermines (comme les cafards, les moustiques, les mouches,…). Il peut éloigner sort de </t>
    </r>
    <r>
      <rPr>
        <i/>
        <sz val="10"/>
        <rFont val="Arial"/>
        <family val="2"/>
      </rPr>
      <t>Voile Muscidé</t>
    </r>
    <r>
      <rPr>
        <sz val="10"/>
        <rFont val="Arial"/>
        <family val="2"/>
      </rPr>
      <t xml:space="preserve"> mais prévient toutefois pas la mutation Nuage de Mouches.</t>
    </r>
  </si>
  <si>
    <t>Ovate</t>
  </si>
  <si>
    <t>Trappeur</t>
  </si>
  <si>
    <t>Inventeur</t>
  </si>
  <si>
    <t>Compétences: Connaissances générales (Cathay), Commérage, Langue (cathayan), Métier (herboriste). Talents: Affinité provinciale (Jianyang), 1 talent déterminé aléatoirement</t>
  </si>
  <si>
    <t>Connaissances académiques (Nécromancie), Connaissances générales (Tilée), Métier (herboriste OU Fabriquant d'armes)</t>
  </si>
  <si>
    <t>Commérage (Soc), Connaissances académiques (droit, science) (Int), Connaissances générales (Empire) (Int), Langue (classique(Int), reikspiel (Int+10%), Lire/écrire (Int), Métier (herboriste) (Int), Perception (Int), Résistance à l'alcool (E), Soins (Int+10%)</t>
  </si>
  <si>
    <t>Charisme (Soc), Commérage (Soc), Connaissances académiques (science) (Int), Connaissances générales (Empire) (Int), Langue (classique, reikspiel) (Int), Lire/écrire (Int), Marchandage (Soc), Métier (herboriste) (Int), Perception (Int), Préparation de poisons (Int), Résistance à l'alcool (E), Soins (Int+20%)</t>
  </si>
  <si>
    <t>Bâton</t>
  </si>
  <si>
    <t>Bâton de sourcier</t>
  </si>
  <si>
    <t>Bâton, Bâton de sourcier, Gibecière ou sac (grand), Symbole religieux (petite faucille en argent)</t>
  </si>
  <si>
    <t>Apprenti sorcier, Astrologue, Chirurgien barbier, Dilettante, Érudit, Maître-artisan, Marchand, Médecin, Ovate, Sorcier des taillis, Trafiquant de cadavres</t>
  </si>
  <si>
    <t>Herrimault, Homme d'armes, Hors-la-loi, Ovate, Pèlerin du Graal, Pisteur, Vagabond, Vétéran/Longue Barbe, Yeoman</t>
  </si>
  <si>
    <t>Dilettante, Écuyer, Étudiant, Héraut, Mercenaire, Ovate, Pistolier/Foudroyeur, Sergent</t>
  </si>
  <si>
    <t>Apprenti sorcier, Chirurgien barbier, Étudiant, Sorcier des taillis, Sorcier de village</t>
  </si>
  <si>
    <t>Acolyte de Nurgle, Apothicaire, Dilettante, Étudiant, Initié, Sorcier des taillis</t>
  </si>
  <si>
    <t>Acolyte de Khorne, Agitateur, Artisan, Catéchiste, Champion de justice, Chantre, Initié, Moine mendiant, Paysan, Pèlerin, Prêcheur de rue, Sorcier des taillis, Vendeur de journaux</t>
  </si>
  <si>
    <t>Acolyte de Tzeentch, Apprenti maître des runes, Apprenti sorcier, Sorcier des taillis, Cartographe, Catéchiste, Faussaire, Initié, Sorcier des taillis, Thaumaturge, Vendeur de journaux</t>
  </si>
  <si>
    <t>Apprenti magicien, Femme-médecine, Mystique, Mystique strigany, Sorcier des taillis</t>
  </si>
  <si>
    <t>La Chanson de Gilles (saga)</t>
  </si>
  <si>
    <t>Natation (F+10%), Perception (Int+10%)</t>
  </si>
  <si>
    <t>Amibe</t>
  </si>
  <si>
    <t>Déplacement silencieux (Ag+10%), Natation (F)</t>
  </si>
  <si>
    <t>Brochet</t>
  </si>
  <si>
    <t>Baleine (cachalot)</t>
  </si>
  <si>
    <t>Baleine (béhémot)</t>
  </si>
  <si>
    <t>Natation (F+10%), Orientation (Int), Perception (Int)</t>
  </si>
  <si>
    <t>Armes naturelles, Coups puissants, Coups précis, Créature aquatique, Sens de l'orientation</t>
  </si>
  <si>
    <t>Armes naturelles, Coups puissants, Créature aquatique, Puissance imparable, Terrfiant, Volonté de fer</t>
  </si>
  <si>
    <t>Le Compagnon/LMT 2</t>
  </si>
  <si>
    <t>121/291</t>
  </si>
  <si>
    <t>Amalgame, Armes naturelles, Commandement, Effrayant, Mort-vivant</t>
  </si>
  <si>
    <t>Caméléosangsue</t>
  </si>
  <si>
    <t>Créature Aquatique, Venimeux</t>
  </si>
  <si>
    <t>du sang frais</t>
  </si>
  <si>
    <t>Le Compagnon 122</t>
  </si>
  <si>
    <t>Baratin (Soc), Connaissances générales (elfes) (Int), Déplacement silencieux (Ag), Dissimulation (Ag+20%), Équitation (Ag), Esquive (Ag), Expression artistique (chanteur, musicien) (Ag), Filature (Ag), Langage secret (langage des rôdeurs) (Int), Langue (eltharin, malla-room-ba-larin) (Int), Perception (Int+20%), Sens de la magie (FM), Survie (Int+20%)</t>
  </si>
  <si>
    <t>Ambidextre, Armes naturelles, Camouflage rural, Contorsionniste, Fuite, Imitation, Lévitation, Résistance à la magie, Sens aiguisés, Venimeux, Vision nocturne</t>
  </si>
  <si>
    <t>Naïade</t>
  </si>
  <si>
    <t>Charisme (Soc), Déplacement silencieux (Ag+10%), Dissimulation (Ag+10%), Esquive (Ag+10%), Intimidation (F), Langage secret (langage des rôdeurs) (Int), Langue (eltharin, reikspiel) (Int), Natation (F+20%), Navigation (Ag), Orientation (Int+10%), Perception (Int+10%), Soins (Int+10%), Survie (Int).</t>
  </si>
  <si>
    <t>Ambidextre, Amphibie, Armes naturelles, Volonté de fer</t>
  </si>
  <si>
    <t>Pieuvre (des marais)</t>
  </si>
  <si>
    <t>Dissimulation (Ag), Intimidation (F), Natation (f+10%)</t>
  </si>
  <si>
    <t>Créature aquatique, Effrayant, Puissance imparable, Volonté de fer</t>
  </si>
  <si>
    <t>10 co</t>
  </si>
  <si>
    <t>Crabe géant (prométhéen)</t>
  </si>
  <si>
    <t>Armes naturelles, Carapace (4), Coups puissants, Créature aquatique, Effrayant, Puissance imparable</t>
  </si>
  <si>
    <t>Mutations: aspect bestial, jambes d’animal Compétences: Dissimulation, Expression artistique (chanteur), Hypnotisme, Langue (tribale), Natation, Orientation, Perception Talents: Armes naturelles, Contorsionniste, Créature aquatique, Écailles (1), Sens aiguisés</t>
  </si>
  <si>
    <t>tribale</t>
  </si>
  <si>
    <t>Sirène</t>
  </si>
  <si>
    <t xml:space="preserve">Armes naturelles, Contorsionniste, Créature aquatique, Écailles (1), Sens aiguisés Mutations: aspect bestial, jambes d’animal </t>
  </si>
  <si>
    <t>Dissimulation (Ag), Expression artistique (chanteur) (Soc), Hypnotisme (FM), Langue (tribale) (Int), Natation (F), Orientation (Int), Perception (Int)</t>
  </si>
  <si>
    <t>Zombie fongique</t>
  </si>
  <si>
    <t>Vrilles fongiques</t>
  </si>
  <si>
    <t>LC126</t>
  </si>
  <si>
    <t>Nerwen</t>
  </si>
  <si>
    <t>Noms de Khaine</t>
  </si>
  <si>
    <t>LMT 1: Les Milles Trônes Tome I</t>
  </si>
  <si>
    <t>LMT 2: Les Milles Trônes Tome II</t>
  </si>
  <si>
    <t>Drogues (Stimulant)</t>
  </si>
  <si>
    <t>Délice de Renald/Poudre Hilarante (une dose)</t>
  </si>
  <si>
    <t>Chimérine (une dose)</t>
  </si>
  <si>
    <t xml:space="preserve">Bistorte (une dose) </t>
  </si>
  <si>
    <t>Feuille de Koka (une dose)</t>
  </si>
  <si>
    <t>Folleracine (une dose)</t>
  </si>
  <si>
    <t>Poussière de démon (une dose)</t>
  </si>
  <si>
    <t>Fleur de Lune/Chevelure d'elfe</t>
  </si>
  <si>
    <t>Feuilles de Qat/Kaht (une livre)</t>
  </si>
  <si>
    <t>Oreille-de-boeuf (une dose)</t>
  </si>
  <si>
    <t>Drogues (Hallucinogène)</t>
  </si>
  <si>
    <t>Poussière d'étoiles (une dose)</t>
  </si>
  <si>
    <t>Drogues (Médicament)</t>
  </si>
  <si>
    <t>Drogues (Halluc. et Stim)</t>
  </si>
  <si>
    <t>Arsenal 71/ WJDR 122/ KA 29/ CG 18</t>
  </si>
  <si>
    <t>CG: Codex Greenskins</t>
  </si>
  <si>
    <t>Sécrétion de caméléosangsue (une dose)</t>
  </si>
  <si>
    <t>Vin Rouge (d'Eataine)</t>
  </si>
  <si>
    <t>Vin Rouge (Pétillant tiléen (1l)</t>
  </si>
  <si>
    <t>Grog (pinte)</t>
  </si>
  <si>
    <t>Bière de la réserve lycantrhopique (tonnelet)</t>
  </si>
  <si>
    <t>Bière norse (tonnelet)</t>
  </si>
  <si>
    <t>Cidre bretonnien (1l)</t>
  </si>
  <si>
    <t>Brandy bretonnien (1l)</t>
  </si>
  <si>
    <t>Vin Blanc (Clairet de l'Anguille) (1l)</t>
  </si>
  <si>
    <t>Champagne de Couronne (1l)</t>
  </si>
  <si>
    <t>Champagne de Morceaux (1l)</t>
  </si>
  <si>
    <t>Vin Rosé de Quenelles (1l)</t>
  </si>
  <si>
    <t>Vin Blanc (Château les Corveaux) (1l)</t>
  </si>
  <si>
    <t>Vin Blanc (Desghulles (1l))</t>
  </si>
  <si>
    <t>Bière de Bellok le nain (tonnelet)</t>
  </si>
  <si>
    <t>Bière (Réserve de Grolin) (tonnelet)</t>
  </si>
  <si>
    <t>Bière naine de Zhufbar (tonnelet)</t>
  </si>
  <si>
    <t>Tabac lustrien (une livre)</t>
  </si>
  <si>
    <t>Tabac bretonnien "mauvaise herbe" (une livre)</t>
  </si>
  <si>
    <t>Tabac nain "noir baiser" (une livre)</t>
  </si>
  <si>
    <t>Tabac nain des Monts du Bord du Monde (une livre)</t>
  </si>
  <si>
    <t>Vin Blanc (tiléen de Policella)</t>
  </si>
  <si>
    <t>Bière de sorgho/Dolo (tonnelet)</t>
  </si>
  <si>
    <t>Bière halfling (Volonté de porc) (tonnelet)</t>
  </si>
  <si>
    <t>Rhum brun (1l)</t>
  </si>
  <si>
    <t>Rhum Alte Geheerentode de Marienbourg (1l)</t>
  </si>
  <si>
    <t>Vodka/Kvas kislevite banale (1l)</t>
  </si>
  <si>
    <t>Vodka/Kvas kislevite Chesnochnaya (1l)</t>
  </si>
  <si>
    <t>Vodka/Kvas Joyau du Kislev (1l)</t>
  </si>
  <si>
    <t>Alcool</t>
  </si>
  <si>
    <t>Bière</t>
  </si>
  <si>
    <t>Vin</t>
  </si>
  <si>
    <t>Colonie de Lustrie de Nuova Luccini</t>
  </si>
  <si>
    <t>Compétences: Connaissances générales (Lustrie), Langue (lustrien ou norse), Navigation, Orientation, Survie. Talents : Affinité provinciale (Colonie Skeggi de Lustrie), Rompu au Chaos, Résistance aux maladies</t>
  </si>
  <si>
    <t>Compétences: Connaissances générales (Lustrie), Langue (tiléen), Navigation, Orientation, Survie. Talents : Affinité provinciale (Colonie de Lustrie de Nuova Luccini), Résistance aux maladies, 1 talent déterminé aléatoirement</t>
  </si>
  <si>
    <t>Duché de Gasconnie</t>
  </si>
  <si>
    <t xml:space="preserve">Compétences: Commérage, Connaissances générales (Bretonnie), Langue (bretonnien) Talents : Affinité provinciale (Duché de Gasconnie), Épée de naissance ou Guerrier né, 1 talent déterminé aléatoirement </t>
  </si>
  <si>
    <t>CdG 10</t>
  </si>
  <si>
    <t>Vin Rouge (Valfleuryssois bretonnien)</t>
  </si>
  <si>
    <t>CdG 72</t>
  </si>
  <si>
    <t>La Légende de Maldred (saga)</t>
  </si>
  <si>
    <t>LDD 6</t>
  </si>
  <si>
    <t>BVM: Bestiaire du Vieux Monde</t>
  </si>
  <si>
    <t>LCS: La Crypte des Secrets</t>
  </si>
  <si>
    <t>ADV: Arsenal du Vieux Monde</t>
  </si>
  <si>
    <t>LSL: Le Seigneur Liche</t>
  </si>
  <si>
    <t>Nor: Norsca - WFRP2 Rules</t>
  </si>
  <si>
    <t>Old World Animals/Swords of the South</t>
  </si>
  <si>
    <t>17/128</t>
  </si>
  <si>
    <t>Déplacement silencieux (Ag +20%), Dissimulation (Ag), Escalade (F +20%), Esquive (Ag), Perception (Int +10%), Pistage (Int), Natation (F +20%), Survie (Int +20%)</t>
  </si>
  <si>
    <t>Le Compagnon/Sword of the South</t>
  </si>
  <si>
    <t>125/133</t>
  </si>
  <si>
    <t>SotS: Swords of the South</t>
  </si>
  <si>
    <t>Le Scarabée de la Mort (saga)</t>
  </si>
  <si>
    <t>LSL 11</t>
  </si>
  <si>
    <t>Squelette de grand félin (Bastheti)</t>
  </si>
  <si>
    <t>Le Seigneur Liche</t>
  </si>
  <si>
    <t>Déplacement silencieux (Ag+20%), Dissimulation (Ag), Esquive (Ag), Perception (Int)</t>
  </si>
  <si>
    <t>Armes naturelles, Effrayant, Mort-vivant, Vision nocturne</t>
  </si>
  <si>
    <t>Gardien des tombes</t>
  </si>
  <si>
    <t>Esquive (Ag+10%), Perception (Int+20%)</t>
  </si>
  <si>
    <t>Coups puissants, Effrayant, Mort-vivant, Parade éclair, Vision nocturne</t>
  </si>
  <si>
    <t>Statue de pierre animée (Ushabti)</t>
  </si>
  <si>
    <t>Armes naturelles, Coups précis, Coups puissants, Effrayant, Maîtrise (armes lourdes), Mort-Vivant, Puissance imparable, Vision nocturne</t>
  </si>
  <si>
    <t>Momie</t>
  </si>
  <si>
    <t>Coups assommants, Effrayant, Maîtrise (armes lourdes, fléaux), Mort-vivant, Vision nocturne</t>
  </si>
  <si>
    <t>Commandement (Soc), Connaissances académiques (généalogie/héraldique (Int), histoire (Int+10%), nécromancie (Int+10%), Équitation (Ag+10%), Évaluation (Int), Langue (nehekharéen) (Int), Lire/écrire (Int+20%), Perception (Int)</t>
  </si>
  <si>
    <t>Nain mort-vivant</t>
  </si>
  <si>
    <t>Effrayant, Mort-vivant, Vision nocturne</t>
  </si>
  <si>
    <t>Zombie momifié</t>
  </si>
  <si>
    <t>CotOO: Children of the Old Ones</t>
  </si>
  <si>
    <t>LSL 104</t>
  </si>
  <si>
    <t>LSL105/CotOO 7</t>
  </si>
  <si>
    <t>LSL 105</t>
  </si>
  <si>
    <t>de la Bougeotte</t>
  </si>
  <si>
    <t>des Cendres</t>
  </si>
  <si>
    <t>des Milles plaies</t>
  </si>
  <si>
    <t>des Rois des Tombes</t>
  </si>
  <si>
    <t>du Pardon</t>
  </si>
  <si>
    <t>du Devoir Inachevé</t>
  </si>
  <si>
    <t>des Vents de magie</t>
  </si>
  <si>
    <t>de l'Albatros</t>
  </si>
  <si>
    <t>de la Peau Bleue</t>
  </si>
  <si>
    <t>Malédiction des Cieux</t>
  </si>
  <si>
    <t>des Cieux</t>
  </si>
  <si>
    <t>des Ronces</t>
  </si>
  <si>
    <t>Gênante</t>
  </si>
  <si>
    <t>de Putréfaction</t>
  </si>
  <si>
    <t>de Folie</t>
  </si>
  <si>
    <t>de Maladie</t>
  </si>
  <si>
    <t>de Malheur</t>
  </si>
  <si>
    <t>de Sorcière</t>
  </si>
  <si>
    <t>de Vedma</t>
  </si>
  <si>
    <t>Promesse maudite</t>
  </si>
  <si>
    <t>de Sidi Noumane</t>
  </si>
  <si>
    <t>du Djinn</t>
  </si>
  <si>
    <t>de Mauvaise Lune</t>
  </si>
  <si>
    <t>d’un geste grandiloquent, vous faites instantanément pourrir de la nourriture, qui devient parfaitement immangeable. Prenez le grand gabarit. Vous pouvez affecter toute nourriture comprise dans la zone d’effet. Ce sort est particulièrement efficace pour plonger les populations de la surface dans la famine. Toute créature qui ingère malgré tout de la nourriture affectée par le sort contracte aussitôt la courante galopante.</t>
  </si>
  <si>
    <r>
      <t xml:space="preserve">en fouettant l’air de vos bras, vous invoquez un nuage de moucherons et de mouches très agressifs. Centrez le petit gabarit sur vous. La nuée se déplace avec vous et persiste pendant un nombre de rounds égal au double de votre valeur de Magie. Les adversaires qui sont pris dans la nuée subissent un malus de –20% à tous leurs tests. Le </t>
    </r>
    <r>
      <rPr>
        <i/>
        <sz val="10"/>
        <rFont val="Arial"/>
        <family val="2"/>
      </rPr>
      <t>voile muscidé</t>
    </r>
    <r>
      <rPr>
        <sz val="10"/>
        <rFont val="Arial"/>
        <family val="2"/>
      </rPr>
      <t xml:space="preserve"> limite également la visibilité de tous vos ennemis, qui subissent un malus de –20% aux tests de Capacité de Tir vous prenant pour cible.</t>
    </r>
  </si>
  <si>
    <t>de la Chair</t>
  </si>
  <si>
    <t>des Vies Passées</t>
  </si>
  <si>
    <t>LSL 106</t>
  </si>
  <si>
    <t>LSL 88</t>
  </si>
  <si>
    <t>LSL 93</t>
  </si>
  <si>
    <t>LSL 91</t>
  </si>
  <si>
    <t>Souffle de la Mort</t>
  </si>
  <si>
    <t>LSL 107</t>
  </si>
  <si>
    <t>LRG 113</t>
  </si>
  <si>
    <t>LRG 116</t>
  </si>
  <si>
    <t>Hantement de d’Anicroche</t>
  </si>
  <si>
    <t>Hantement de de Cauchemar</t>
  </si>
  <si>
    <t>Domaine de Vedma (Znarkharja)</t>
  </si>
  <si>
    <t>Domaine de Vedma (Vorozheja)</t>
  </si>
  <si>
    <t>Domaine de Vedma (Koldunja)</t>
  </si>
  <si>
    <t>Convocation d’esprit</t>
  </si>
  <si>
    <t>Passé révélé</t>
  </si>
  <si>
    <t>Chuchotements de la souillure</t>
  </si>
  <si>
    <t>LRG 118</t>
  </si>
  <si>
    <t>LRG 90/118</t>
  </si>
  <si>
    <t>SableP 290</t>
  </si>
  <si>
    <t>SableP 295</t>
  </si>
  <si>
    <t>TdC 230</t>
  </si>
  <si>
    <t>LRS 163</t>
  </si>
  <si>
    <t>LRS 142</t>
  </si>
  <si>
    <t>LTR 224</t>
  </si>
  <si>
    <t>Revenant elfe</t>
  </si>
  <si>
    <t>Charisme (Soc), Esquive (Ag), Langue (eltharin) (Int), Perception (Int)</t>
  </si>
  <si>
    <t>Acuité visuelle, Effrayant, Mort-vivant, Vision nocturne</t>
  </si>
  <si>
    <t>Squig (des tombes)</t>
  </si>
  <si>
    <t>Dissimulation (Ag), Esquive (Ag)</t>
  </si>
  <si>
    <t>Armes naturelles, Fils du Désert, Troublant, Vision nocturne + 1d3 Mutations</t>
  </si>
  <si>
    <t>Sacrifié</t>
  </si>
  <si>
    <t>Armes naturelles, Éthéré, Mort-vivant, Terrifiant, Vision nocturne</t>
  </si>
  <si>
    <t>Gardien runique</t>
  </si>
  <si>
    <t>Coups puissants, Effrayant, Mort-vivant</t>
  </si>
  <si>
    <t>Incarcéré</t>
  </si>
  <si>
    <t>Magie noire, Sombre savoir (Chaos), Terrifiant + 3 à 6 mutations</t>
  </si>
  <si>
    <t>Résidus</t>
  </si>
  <si>
    <t>Effrayant, Éthéré, Mort-vivant, Vision nocturne</t>
  </si>
  <si>
    <t>Tempérament de feu</t>
  </si>
  <si>
    <t>FM +20% contre Charisme et Intimidation; -10% pour résister Folie</t>
  </si>
  <si>
    <t>Compétences: Connaissances générales (Lustrie ou Amazones), Filature OU Dressage OU Intimidation, Langue (lustrien ou pygméen), Orientation, Survie. Talents: Affinité provinciale (Amazonie), Tempérament de feu</t>
  </si>
  <si>
    <t xml:space="preserve">Compétences: Commérage OU Métier (un au choix), Connaissances générales (Estalie), Langue (estalien), Marchandage. Talents: Affinité provinciale (Royaume de Tigarre), Tempérament de feu </t>
  </si>
  <si>
    <t>Littéraire</t>
  </si>
  <si>
    <t>+10% dans une Connaissance Académique</t>
  </si>
  <si>
    <t>'+10% dans une Connaissance Académique</t>
  </si>
  <si>
    <t>b51</t>
  </si>
  <si>
    <t>b52</t>
  </si>
  <si>
    <t>b53</t>
  </si>
  <si>
    <t>b54</t>
  </si>
  <si>
    <t>b55</t>
  </si>
  <si>
    <t>Compétences: Commérage OU Marchandage OU Métier (un au choix), Connaissances générales (Estalie), Langue (estalien). Talents: Affinité provinciale (Royaume d'Astarios), Littéraire</t>
  </si>
  <si>
    <t>Linguistique, Littéraire (un au choix)</t>
  </si>
  <si>
    <t>Fauconnier</t>
  </si>
  <si>
    <t>Swords of the South</t>
  </si>
  <si>
    <t>Falconer</t>
  </si>
  <si>
    <t>10</t>
  </si>
  <si>
    <t>Bûcheron, Charbonnier, Chasseur, Dresseur, Initié (Myrmidia), Noble, Prêtre, Serviteur</t>
  </si>
  <si>
    <t>Bateleur, Dresseur, Initié (Myrmidia), Régisseur</t>
  </si>
  <si>
    <t xml:space="preserve">Connaissances académiques (Théologie ou Généalogie/héraldique), Dissimulation, Dressage, Perception, Soin des animaux, Survie </t>
  </si>
  <si>
    <t>Allumeur de réverbères, Bûcheron, Chasseur, Fauconnier, Mineur, Pisteur, Ramoneur, Vagabond</t>
  </si>
  <si>
    <t>Bateleur, Chasseur, Dresseur d'ours, Fauconnier</t>
  </si>
  <si>
    <t>Bateleur, Chasseur, Dresseur d'ours, Fauconnier, Fermier, Muletier, Paysan, Ratier</t>
  </si>
  <si>
    <t>Chef coq, Exécuteur, Fauconnier, Garde du corps, Geôlier, Géomètre, Timariote</t>
  </si>
  <si>
    <t>Appeau de chasse</t>
  </si>
  <si>
    <t>Appeau de chasse, armure légère (veste de cuir), arme à une main (hache), nécessaire antipoison</t>
  </si>
  <si>
    <t>Spears of the Maiden/Swords ot the South</t>
  </si>
  <si>
    <t>58/118</t>
  </si>
  <si>
    <t>Coupe-Jarret, Garde/Chapeau noir, Mercenaire, Milicien, Spadassin, Soldat</t>
  </si>
  <si>
    <t>Oreille absolue</t>
  </si>
  <si>
    <t>+10% en Expression artistique</t>
  </si>
  <si>
    <t>Etiquette, Oreille absolue</t>
  </si>
  <si>
    <t>Incantation, Oreille absolue</t>
  </si>
  <si>
    <t>Chance OU Contorsionniste OU Oreille absolue, Étiquette, Intrigant, Sociable, Troublant.</t>
  </si>
  <si>
    <t>Intelligent, Linguistique OU Oreille absolue, Littéraire (un au choix), Sociable OU Grand Voyageur</t>
  </si>
  <si>
    <t>Alphabet secret (runes futhark norses), Eloquence ou Incantation ou Oreille absolue, Imitation, Intelligent, Sociable</t>
  </si>
  <si>
    <t>Archer monté, Cavalier ailé/Jinete estalien, Conducteur de bestiaux, Éclaireur, Écuyer, Hors-la-loi, Maquignon, Mercenaire, Noble/Jarl, Nomade de la steppe, Patrouilleur, Pisteur, Pistolier/Foudroyeur, Soldat</t>
  </si>
  <si>
    <t>Archer monté, Ataman, Cavalier ailé/Jinete estalien, Conducteur de bestiaux, Maquignon, Marchand, Sergent</t>
  </si>
  <si>
    <t>Cavalier ailé/Jinete estalien, Chasseur de primes, Combattant des tunnels, Mercenaire, Sergent, Streltsi, Tchékiste, Vétéran/Longue Barbe</t>
  </si>
  <si>
    <t>Cavalier ailé/Jinete estalien, Chasseur de primes, Garde, Mercenaire, Sergent, Tchékiste, Vétéran/Longue Barbe</t>
  </si>
  <si>
    <t>Winged Lancer/ Tilean Horseman</t>
  </si>
  <si>
    <t>Capitaine, Cavalcadour, Diestro estalien, Pisteur, Vétéran/Longue Barbe</t>
  </si>
  <si>
    <t>La Reine des Glaces/Swords of the South</t>
  </si>
  <si>
    <t>99/117</t>
  </si>
  <si>
    <t>Cavalcadour, Éclaireur, Kossar kislevite, Milicien, Noble/Jarl, Paysan, Soldat, Streltsi, Torero</t>
  </si>
  <si>
    <t>SotS 117</t>
  </si>
  <si>
    <t>Chasseur de primes, Dilettante, Érudit, Espion, Garde/Chapeau noir, Initié (Véréna), Flagellant, Interprète, Monte-en-l'air, Patrouilleur, Patrouilleur fluvial, Prêtre (Véréna), Répurgateur, Voleur</t>
  </si>
  <si>
    <t>Argousin, Chasseur de vampires, Franc-archer, Investigateur verenéen/Inquisiteur estalien, Mercenaire, Pisteur, Spadassin</t>
  </si>
  <si>
    <t>Assassin, Explorateur, Frère de la cape, Investigateur verenéen/Inquisiteur estalien, Prince des voleurs, Racketteur, Sycophante</t>
  </si>
  <si>
    <t>Bourreau, Démagogue, Fouet de dieu, Investigateur verenéen/Inquisiteur estalien, Pénitent, Prêtre, Soldat, Tueur de morts, Vétéran/Longue Barbe</t>
  </si>
  <si>
    <t>Baron du crime, Investigateur verenéen/Inquisiteur estalien, Prince des voleurs, Racketteur, Receleur, Vagabond</t>
  </si>
  <si>
    <t>Argousin, Bandit de grand chemin, Cadet, Cavalcadour, Collecteur de taxes, Éclaireur, Garde de caravane, Hors-la-loi, Investigateur verenéen/Inquisiteur estalien, Messager, Patrouilleur fluvial, Pisteur, Sergent</t>
  </si>
  <si>
    <t>Bedeau, Catéchiste, Chantre, (Myrmidia) Chevalier du soleil, Dilettante, (Ursun) Dresseur d'ours, Érudit, Exorciste, Flagellant (Morr), Fauconnier (Myrmidia), Garde noir, Intenant, (Véréna) Investigateur verenéen/Inquisiteur estalien, Prélat, Prêtre consacré, Prêtre laïque, Prêtre-guerrier, Prophète</t>
  </si>
  <si>
    <t>Bedeau, Catéchiste, Chantre, (Myrmidia) Chevalier du soleil, Dilettante, (Ursun) Dresseur d'ours, Érudit, Exorciste, Flagellant (Morr), Fauconnier (Myrmidia), Garde noir, Intenant, (Véréna) Investigateur verenéen/Inquisiteur estalien, Prélat, Prêtre consacré (cloîtré), Prêtre laïque, Prêtre-guerrier, Prophète</t>
  </si>
  <si>
    <t>Bedeau, Catéchiste, Chantre, (Myrmidia) Chevalier du soleil, Dilettante, (Ursun) Dresseur d'ours, Érudit, Exorciste, Flagellant (Morr), Fauconnier (Myrmidia), Garde noir, Intenant, (Véréna) Investigateur verenéen/Inquisiteur estalien, Prélat, Prêtre consacré (ordinaire), Prêtre laïque, Prêtre-guerrier, Prophète</t>
  </si>
  <si>
    <t>Agent du Suaire, Archimage, Argousin, Assassin, Champion, Champion de justice, Chasseur de vampires, Chevalier du Cercle Intérieur, Chevalier du Corbeau, Chevalier Panthère, Exorciste, Fouet de dieu, Frère de la cape, Grand maître, Grand prêtre, Investigateur verenéen/Inquisiteur estalien, Magister vigilant, Marcheur des Brumes, Prêtre consacré, Prêtre-guerrier, Sycophante</t>
  </si>
  <si>
    <t>Capitaine, Champion, Chevalier du Cercle Intérieur, Chevalier Panthère, Démagogue, Frère de la cape, Garde noir, Initié, Investigateur verenéen/Inquisiteur estalien, Tueur de morts</t>
  </si>
  <si>
    <t>Bateleur, Charlatan, Dilettante, Escroc, Ex-détenu, Investigateur verenéen/Inquisiteur estalien, Joueur, Monte-en-l'air, Pilleur de tombes, Ramoneur, Receleur</t>
  </si>
  <si>
    <t>Les Héritiers de Sigmar/ Swords of the South</t>
  </si>
  <si>
    <t>124/120</t>
  </si>
  <si>
    <t>Camouflage urbain ou Sang froid, Code de la rue ou Menaçant, Combat de rue ou Sain d’esprit ou Volonté de fer, Intelligent ou Sens aiguisés</t>
  </si>
  <si>
    <t>Torero estalien</t>
  </si>
  <si>
    <t>SotS 119</t>
  </si>
  <si>
    <t>9</t>
  </si>
  <si>
    <t>47-49</t>
  </si>
  <si>
    <t>Estalian Bullfighter</t>
  </si>
  <si>
    <t>Coups précis, Etiquette, Fuite OU Réflexes éclairs, Sang froid OU Valeureux, Sur ses gardes</t>
  </si>
  <si>
    <t>Beaux atours (tenue complète), Cape longue, Parfum/Eau de toilette, 1d10 Javelines (banderillas)</t>
  </si>
  <si>
    <t>Batelier, Diestro estalien, Gladiateur</t>
  </si>
  <si>
    <t>Bateleur, Charlatan, Courtisan des Principautés, Diestro estalien, Dueliste, Noble, Gladiateur</t>
  </si>
  <si>
    <t>Berserk norse, Combattant des tunnels, Coupe-jarret, Dresseur d'ours, Eunuque, Spadassin, Toréro estalien</t>
  </si>
  <si>
    <t>Bandit de grand chemin, Cadet, Dilettante, Duelliste, Escroc, Garde du corps, Spadassin, Toréro estalien</t>
  </si>
  <si>
    <t>Acolyte de Slaanesh, Allumeur de réverbères, Almée (Danseuse du ventre), Chantre, Dresseur, Dresseur d'ours, Escroc, Fauconnier, Héraut, Joueur, Mystique strigany, Raconteur, Sahir Mubtadi, Toréro estalien, Vagabond, Vendeur de journaux, Voleur</t>
  </si>
  <si>
    <t>Acolyte de Slaanesh, Acolyte de Tzeentch, Concubine, Diplomate, Écuyer, Intendant, Toréro estalien</t>
  </si>
  <si>
    <t>Incantation, Menaçant, Résistance aux maladies, Sang-Froid</t>
  </si>
  <si>
    <t>Liber Fanatica I/ Web</t>
  </si>
  <si>
    <t>36/-</t>
  </si>
  <si>
    <t>Lanceur de sort</t>
  </si>
  <si>
    <t>Combattant virevoltant ou Réflexes éclair, Coups précis ou Sur ses gardes, Coups puissants, Maîtrise (Armes d’escrime), Tempérament de Feu</t>
  </si>
  <si>
    <t>Paquet de cartes ou dés en os, drogue hallucinogène (une au choix), bijoux pour 20CO</t>
  </si>
  <si>
    <t>Commandement ou Intimidation, Connaissances académiques (magie), Connaissances générales (Kislev), Équitation OU Survie, Focalisation, Langage mystique (magick), Langue (kislevarin), Lire/écrire OU Orientation, Perception, Sens de la magie</t>
  </si>
  <si>
    <t>Pirate/Corsaire</t>
  </si>
  <si>
    <t>Pirate/Corsair</t>
  </si>
  <si>
    <t>Guide du joueur elfe/Web</t>
  </si>
  <si>
    <t>7/-</t>
  </si>
  <si>
    <t>Canotage, Commérage, Escalade, Esquive, Intimidation, Jeu, Natation, Navigation, Résistance à l’alcool</t>
  </si>
  <si>
    <t>Coups assomants, Combattant virevoltant OU Coups puissants, Désarmement, Enfant des mers OU Pilote de navire, Grand voyageur, Sur ses gardes</t>
  </si>
  <si>
    <t>Hameçon et ligne de pêche, javeline/harpon</t>
  </si>
  <si>
    <t>Grappin, hameçon et ligne de pêche, rhum brun (1l), sabre d'escrime, une prothèse au choix, veste de cuir</t>
  </si>
  <si>
    <t>GdJE: Guide du Joueur Elfe</t>
  </si>
  <si>
    <t>Web/GdJE 7</t>
  </si>
  <si>
    <t>Mercanti/Colporteur</t>
  </si>
  <si>
    <t>Chamelier/Cornac, Éclaireur, Garde de caravane, Guide, Mercanti/Colporteur, Vagabond</t>
  </si>
  <si>
    <t>Chasseur, Mercanti/Colporteur, Mineur, Paysan</t>
  </si>
  <si>
    <t>Acolyte de Nurgle, Agitateur, Astrologue, Bateleur, Catin, Compagnon sorcier, Conducteur de pousse-pousse, Contrebandier, Courtisan, Dilettante, Envoûteur, Émissaire elfe, Escroc, Ex-détenu, Faussaire, Frère de la cape, Joueur, Maquignon, Ménestrel, Mercanti/Colporteur, Mystique, Mystique strigany, Oracle, Pénitent, Prêcheur de rue, Raconteur, Receleur, Sahir Tilmid, Sorcier des taillis, Sorcier de village, Sycophante, Thaumaturge, Toréro estalien, Voleur, Vaurien</t>
  </si>
  <si>
    <t>Chiffonnier, Mercanti/Colporteur, Paysan</t>
  </si>
  <si>
    <t>Ancien de village, Artisan, Batelier, Chiffonnier, Herrimault, Maresquier, Mercanti/Colporteur,  Pèlerin du Graal, Serviteur, Vagabond</t>
  </si>
  <si>
    <t>Agitateur, Avoué, Bateleur, Concubine, Dilettante, Escroc, Étudiant, Interprète, Marin, Mercanti/Colporteur, Soldat, Talib (Dresseur de djinn), Vagabond</t>
  </si>
  <si>
    <t>Chiffonnier, Mercanti/Colporteur, Paysan, Ratier, Vagabond</t>
  </si>
  <si>
    <t>Allumeur de réverbères, Catin, Cénobite, Escroc, Eunuque, Grenouillère, Mercanti/Colporteur, Paysan</t>
  </si>
  <si>
    <t>Agitateur, Allumeur de réverbères, Almée (Danseuse du ventre), Aubergiste, Bourgeois, Catin, Chamelier/Cornac, Chef coq, Dilettante, Espion,  Fauconnier, Mercanti/Colporteur, Messager, Valet, Vendeur de journaux, Voleur</t>
  </si>
  <si>
    <t>Camp Follower/Peddler</t>
  </si>
  <si>
    <t>Artisan, Berger/Pâtre, Chasseur, Grenouillère, Herrimault, Hors-la-loi, Maresquier, Paysan, Vagabond</t>
  </si>
  <si>
    <t>Berger/Pâtre, Herrimault, Mercenaire, Pèlerin exalté, Vagabond</t>
  </si>
  <si>
    <t>Berger/Pâtre, Homme d'armes, Ingénieur de siège, Maresquier, Mercenaire</t>
  </si>
  <si>
    <t>Agitateur, Aubergiste, Berger/Pâtre, Bûcheron, Charlatan, Chasseur, Chevalier errant, Cocher, Escroc, Grenouillère, Homme d'armes, Maresquier, Médiateur, Noble/Jarl, Paysan, Pèlerin du Graal</t>
  </si>
  <si>
    <t>Berger/Pâtre, Bûcheron, Chasseur, Maresquier, Paysan, Vagabond</t>
  </si>
  <si>
    <t>Berger/Pâtre, Éclaireur, Herrimault, Hors-la-loi, Ingénieur de siège, Médiateur, Vétéran/Longue Barbe, Yeoman</t>
  </si>
  <si>
    <t>Bandit de grand chemin, Berger/Pâtre, Cavalcadour, Démagogue, Ex-détenu, Naufrageur, Pèlerin du Graal, Pénitent, Pillard du désert, Vagabond, Vétéran/Longue Barbe, Voleur</t>
  </si>
  <si>
    <t>Batelier, Charlatan, Combattant des tunnels, Ex-détenu, Faussaire, Marcheur des Brumes, Marin, Naufrageur, Passeur, Pirate/Corsaire, Receleur, Voleur</t>
  </si>
  <si>
    <t>Capitaine, Capitaine de navire, Dilettante, Espion, Marchand, Pirate/Corsaire, Rôdeur des Principautés</t>
  </si>
  <si>
    <t>Batelier, Paysan, Pirate/Corsaire</t>
  </si>
  <si>
    <t>Armure lourde (armure de plaques), fléau d’armes, arme à deux mains ou lance de cavalerie, arme à une main, bouclier, un objet magique, 2d10 Esclave/Thrall</t>
  </si>
  <si>
    <t>Banquier, Chef de bande, Démagogue, Frère de la cape, Intendant, Maître de guilde, Marchand d'Esclave/Thrall, Monte-en-l'air, Politicien, Prince des voleurs, Receleur, Sans-visage, Sheikh</t>
  </si>
  <si>
    <t>Acolyte de Tzeentch, Allumeur de réverbères, Aubergiste, Chamelier/Cornac, Chef coq, Embaumeur, Maquignon, Marchand d'Esclave/Thrall, Muletier, Sapeur Pompier, Scalde, Serviteur, Timariote</t>
  </si>
  <si>
    <t>Assassin, Baron du crime, Capitaine, Courtisan des Principautés, Démagogue, Marchand d'Esclave/Thrall, Rôdeur des Principautés, Sans-visage, Sheikh</t>
  </si>
  <si>
    <t>Armure moyenne (armure de mailles complète), bouclier, malepierre 3 onces), 3d10 Guerriers des clans et 5d10 Esclave/Thrall</t>
  </si>
  <si>
    <t>Objet magique, 1000 CO, 1000 CO en bijoux, sang (2 outres), 1d10 Esclave/Thrall</t>
  </si>
  <si>
    <t>Almée (Danseuse du ventre), Bateleur, Catin, Charlatan, Démagogue, Ex-détenu, Guide, Herrimault, Hors-la-loi, Joueur, Marchand d'Esclave/Thrall, Médiateur, Prophète, Raconteur, Ramoneur, Serviteur, Voleur</t>
  </si>
  <si>
    <t>Arme à une main, cheval de trait, carriole, cheval de selle, selle, harnais, 3 menottes, corde au mètre (10m), 1d10 Esclave/Thrall</t>
  </si>
  <si>
    <t>Armure légère (armure de cuir complète), arme à une main, bouclier, malepierre (une once), 1d10 Guerriers des clans, Coureurs nocturnes, Esclave/Thrall ou Vermines de choc</t>
  </si>
  <si>
    <t>3 Esclave/Thrall, 500 CO</t>
  </si>
  <si>
    <t>1d10 Esclave/Thrall, 5 vaches et 1 bœuf ou 40 moutons ou 25 porcs</t>
  </si>
  <si>
    <t>3 Objets magiques, 2000 CO, sang (10 outres), 2d10 Esclave/Thrall</t>
  </si>
  <si>
    <t>Manouvrier</t>
  </si>
  <si>
    <t>Arrimeur/Docker</t>
  </si>
  <si>
    <t>Ambassadeur, Apothicaire, Arrimeur/Docker, Artisan, Aubergiste, Avoué, Bourgeois, Capitaine, Cavalcadour, Chamelier/Cornac, Chef coq, Émissaire elfe, Érudit, Explorateur, Fermier, Garde Républicain, Intendant, Maître-artisan, Maquignon, Marchand d'Esclave/Thrall, Métayer, Muletier, Officier en second, Pamphlétaire, Pêcheur, Percepteur, Pirate/Corsaire, Plaideur</t>
  </si>
  <si>
    <t>Allumeur de réverbères, Sorcier des taillis, Archer monté, Arrimeur/Docker, Artisan, Berger/Pâtre, Catin, Cavalier ailé/Jinete estalien, Chamelier/Cornac, Charbonnier, Chiffonnier, Conducteur de pousse-pousse, Contremaître, Dresseur, Écumeur des marais, Égoutier, Exécuteur, Fanatique, Fermier, Fossoyeur, Grenouillère, Herrimault, Homme d'armes, Hors-la-loi, Ingénieur de siège, Malandrin, Maresquier, Médiateur, Milicien, Muletier, Naufrageur, Ovate, Pêcheur, Pèlerin du Graal, Politicien, Pillard du désert, Prêcheur de rue, Ramasseur de fumier, Ramoneur, Serviteur, Vendeur de journaux</t>
  </si>
  <si>
    <t>Laborer</t>
  </si>
  <si>
    <t>Arrimeur/Docker, Artisan, Batelier, Contrebandier, Contremaître, Coupe-jarret, Garde du corps, Joueur, Marin, Matelot, Milicien, Voleur</t>
  </si>
  <si>
    <t>Commérage, Conduite d'attelages, Escalade, Jeu OU Intimidation, Marchandage, Métier (maçon ou charpentier ou charpentier naval), Résistance à l'alcool</t>
  </si>
  <si>
    <t>Artisan, Batelier, Contrebandier, Contremaître, Coupe-jarret, Marchand, Matelot, Manouvrier, Voleur</t>
  </si>
  <si>
    <t>Arrimeur/Docker, Contrebandier, Manouvrier, Marcheur des Brumes, Maresquier, Marin, Matelot, Naufrageur, Navigateur, Patrouilleur fluvial, Pêcheur, Pirate/Corsaire, Toréro estalien</t>
  </si>
  <si>
    <t>Batelier, Manouvrier, Paysan</t>
  </si>
  <si>
    <t>Baleinier, Contrebandier, Escroc, Manouvrier, Marcheur des Brumes, Matelot, Naufrageur, Navigateur, Officier en second, Pillard, Pirate/Corsaire, Raconteur</t>
  </si>
  <si>
    <t>Arrimeur/Docker, Batelier, Manouvrier, Marcheur des Brumes, Marin, Naufrageur, Patrouilleur fluvial, Pêcheur, Pillard, Pirate/Corsaire</t>
  </si>
  <si>
    <t>Contrebandier, Coupe-jarret, Hors-la-loi, Manouvrier, Marcheur des Brumes, Naufrageur, Officier en second, Patrouilleur fluvial, Pirate/Corsaire, Sergent</t>
  </si>
  <si>
    <t>Bateleur, Berger/Pâtre, Bûcheron, Caravanier, Chiffonnier, Conducteur de pousse-pousse, Écumeur des marais, Guide, Joueur, Malandrin, Manouvrier, Moine, Pèlerin du Graal, Pisteur, Raconteur, Voleur, Vaurien</t>
  </si>
  <si>
    <t>Acolyte de Tzeentch, Arrimeur/Docker, Bourgeois, Canonnier, Chirurgien barbier, Dilettante, Faussaire, Garde, Grenouillère, Homme oiseau de Catrazza, Manouvrier, Mercanti/Colporteur, Paysan</t>
  </si>
  <si>
    <t>Arrimeur/Docker, Artisan, Manouvrier, Paysan, Scribe</t>
  </si>
  <si>
    <t>Arrimeur/Docker, Ex-détenu, Exécuteur, Manouvrier, Marcheur des Brumes, Maresquier, Matelot, Ramasseur de fumier, Spadassin</t>
  </si>
  <si>
    <t>Artisan, Bourgeois, Bûcheron, Chasseur cornu, Fermier, Fossoyeur, Maître-artisan, Manouvrier, Marchand, Paysan, Pêcheur, Percepteur, Ramoneur, Régisseur, Sapeur Pompier</t>
  </si>
  <si>
    <t>Arrimeur/Docker, Bateleur, Bourreau, Catin, Collecteur de taxes, Contrebandier, Escroc, Herrimault, Hors-la-loi, Manouvrier, Milicien, Mystique strigany, Naufrageur, Percepteur, Pilleur de tombes, Ratier, Serviteur, Spadassin, Trafiquant de cadavres, Vagabond</t>
  </si>
  <si>
    <t>72-73</t>
  </si>
  <si>
    <t>12</t>
  </si>
  <si>
    <t>91-93</t>
  </si>
  <si>
    <t>95-97</t>
  </si>
  <si>
    <t>73-81</t>
  </si>
  <si>
    <t>89-93</t>
  </si>
  <si>
    <t>49-69</t>
  </si>
  <si>
    <t>70-80</t>
  </si>
  <si>
    <t>85-94</t>
  </si>
  <si>
    <t>76-78</t>
  </si>
  <si>
    <t>82-83</t>
  </si>
  <si>
    <t>Précepteur</t>
  </si>
  <si>
    <t xml:space="preserve">Vous savez comment instruire d’autres personnes. </t>
  </si>
  <si>
    <t>Dur en affaires ou Intrigant, Eloquence, Etiquette, Intelligent ou Orateur né, Linguistique ou Sociable, Précepteur</t>
  </si>
  <si>
    <t>Acuité gustative, Acuité olfactive OU Ambidextre, Éloquence OU Troublant, Fêtard, Sociable OU Étiquette, Vivacité OU Sang Froid OU Littéraire (Gastronomie) OU Précepteur</t>
  </si>
  <si>
    <t>Dur en affaires, Incantation de bataille, Maîtrise (une au choix), Intriguant, Linguistique, Méditation, Précepteur</t>
  </si>
  <si>
    <t>Force accrue ou projectile puissant, Frénésie, Harmonie aethyrique ou Méditation, Magie mineure (2 au choix) ou Maîtrise (au choix), Orateur né, Précepteur, Sain d’esprit, Sans peur</t>
  </si>
  <si>
    <t>Valeureux, Intrigant, Magie mineure (4 au choix), Mains agiles, Menaçant, Précepteur, Projectile puissant, Sain d’esprit</t>
  </si>
  <si>
    <t>Art de la mort silencieuse, Camouflage urbain, Combat caudal, Coureur mural, Maîtrise (Armes de jet), Maîtrise (Armes paralysantes), Maîtrise (au choix), Parade éclair, Précepteur, Sur ses gardes</t>
  </si>
  <si>
    <t>Chirurgie, Dur en affaires, Intrigant, Maître du fouet, Modelage de la chair, Précepteur, Troublant</t>
  </si>
  <si>
    <t>Coups puissants ou Désarmement, Maîtrise (Armes lourdes) ou Maîtrise (Fléaux), Précepteur, Rune (10 au choix), Rune majeure (2 au choix)</t>
  </si>
  <si>
    <t>Acuité auditive ou Acuité visuelle, Chirurgie, Dur en affaires, Intrigant, Maître du fouet, Précepteur, Sang-froid, Sans peur, Sens aiguisés, Troublant</t>
  </si>
  <si>
    <t>Dur en affaires OU Orateur né, Expression artistique (chiromancien) OU Intelligent, Harmonie æthyrique OU Lévitation, Linguistique OU Sans peur, Magie commune (sahir), Magie mineure (deux au choix), Magie noire OU Vil ensorcellement OU Précepteur</t>
  </si>
  <si>
    <t>Harmonie aethyrique, Magie mineure (2 au choix), Magie noire ou Sain d’esprit, Mains agiles ou résistance accrue, Méditation, Orateur né, Précepteur, Projectile puissant, Sombre savoir (Warp)</t>
  </si>
  <si>
    <t>Connaissances académiques (quatre au choix), Intimidation, Langage mystique (trois au choix), Langue (deux au choix), Précepteur</t>
  </si>
  <si>
    <t>Coups précis ou Rechargement rapide, Coups puissants ou Tir en puissance, Force accrue ou Résistance accrue, Maîtrise (2 au choix), Précepteur</t>
  </si>
  <si>
    <t>Abbé, Agent du Suaire, Apprenti sorcier, Astrologue, Catéchiste, Dilettante, Diplomate, Embaumeur, Explorateur, Intendant, Investigateur verenéen/Inquisiteur estalien, Marchand, Médecin, Moine, Moine mendiant, Murid,  Ovate, Pamphlétaire, Prophète, Savant</t>
  </si>
  <si>
    <t>Calcul Mental, Linguistique, Littéraire (trois au choix), Précepteur</t>
  </si>
  <si>
    <t>Herboriste</t>
  </si>
  <si>
    <t>Démagogue, Marchand, Raconteur, Erudit</t>
  </si>
  <si>
    <t>Wiseman/Professor</t>
  </si>
  <si>
    <t>Explorateur, Initié (Véréna), Médecin, Navigateur</t>
  </si>
  <si>
    <t>Astrologue, Baleinier, Batelier, Dilettante, Marcheur des Brumes, Marin, Officier en second, Pêcheur, Pillard, Savant/Professeur, Scribe</t>
  </si>
  <si>
    <t>Conaissances académiques (deux au choix), Connaissances générales (deux au choix), Evaluation OU Métier (précepteur/instructeur), Langage mystique (un au choix), Langue (classique), Lire/Ecrire</t>
  </si>
  <si>
    <t>Accessoires de calligraphie, 5 Livres (dans les domaines d'études choisis)</t>
  </si>
  <si>
    <t>Rang</t>
  </si>
  <si>
    <t>Noble Lord</t>
  </si>
  <si>
    <t>Ambassadeur, Ataman, Capitaine de navire, Chevalier, Chevalier de la Quête, Chevalier du Cercle Intérieur, Chevalier du Graal, Chevalier du Royaume, Courtisan des Principautés, Croisé, Courtisan, Dame d'honneur, Grand maître, Politicien</t>
  </si>
  <si>
    <t>Ambassadeur, Amiral, Capitaine, Capitaine de navire, Chevalier, Chevalier du soleil, Chevalier Panthère, Croisé, Dilettante, Érudit, Sans-visage</t>
  </si>
  <si>
    <t>Eloquence, Maîtrise (Armes d’escrime), Orateur né</t>
  </si>
  <si>
    <t>Charisme, Commandement, Commérage, Connaissances académiques (généalogie/héraldique), Connaissances académiques (histoire ou stratégie/tactique), Connaissances générales (Empire), Equitation, Evaluation, Langue (classique), Langue (reikspliel), Lire/Ecrire, Perception</t>
  </si>
  <si>
    <t>Rapière ou fleuret de qualité exeptionelle, Atours de nobre (tenue complète) de qualité exeptionelle, 500 CO, Bijoux pour 500 CO, destrier, selle, harnais</t>
  </si>
  <si>
    <t>32-33</t>
  </si>
  <si>
    <t>35-37</t>
  </si>
  <si>
    <t>Maître de guilde, Marchand, Receleur</t>
  </si>
  <si>
    <t>Ingénieur/Engingneur, Sergent</t>
  </si>
  <si>
    <t>Ancien de Village, Askari, Bandit de grand chemin, Baron du crime, Démagogue, Esclavagiste skaven, Pisteur, Prince des voleurs, Racketteur, Rôdeur des Principautés, Rôdeur fantôme, Sans-visage, Vétéran/Longue Barbe, Yeoman</t>
  </si>
  <si>
    <t>Acolyte de Slaanesh, Acolyte de Tzeentch, Chef de guerre, Esclavagiste skaven, Magus de Khorne, Magus de Nurgle, Magus de Slaanesh, Magus de Tzeentch, Magus du Chaos, Maraudeur</t>
  </si>
  <si>
    <t>Chef de guerre, Esclavagiste skaven, Guerrier du Chaos, Mercenaire, Pillard</t>
  </si>
  <si>
    <t>Banquier, Dilettante, Esclavagiste skaven, Espion, Fermier, Maître de guilde, Marchand d'Esclave/Thrall, Milicien, Pirate/Corsaire, Politicien, Racketteur</t>
  </si>
  <si>
    <t>Aubergiste, Esclavagiste skaven, Guide, Maître-artisan, Maraudeur, Marchand</t>
  </si>
  <si>
    <t>Baleinier, Chef de guerre, Esclavagiste skaven, Maraudeur, Matelot, Mercenaire, Navigateur, Officier en second, Vétéran/Longue Barbe</t>
  </si>
  <si>
    <t>Derviche, Talib (Dresseur de djinn)</t>
  </si>
  <si>
    <t>Brute</t>
  </si>
  <si>
    <t>Combat de rue, Coups précis, Coups puissants, Maîtrise (Armes lourdes) ou Maîtrise (Fléaux)</t>
  </si>
  <si>
    <t>Armure moyenne (gilet de mailles et veste de cuir), arme à deux mains ou fléau d'armes</t>
  </si>
  <si>
    <t>Aristocrate, Chevalier, Prêtre (Myrmidia), Prêtre consacré (Myrmidia), Sergent</t>
  </si>
  <si>
    <t>Astrologue, Charlatan, Dilettante, Érudit, Magister vigilant, Maître des runes, Maître sorcier</t>
  </si>
  <si>
    <t>Chef, Maître hiérogrammate</t>
  </si>
  <si>
    <t>Valeureux, Intrigant, Magie mineure (4 au choix), Mains agiles, Menaçant, Projectile puissant, Sain d’esprit</t>
  </si>
  <si>
    <t>Arme à deux mains (hallebarde) OU Arquebuse avec poudre et munitions pour 10 tirs, Armure légère (armure de cuir complète), bouclier, uniforme (tenue complète)</t>
  </si>
  <si>
    <t>Abbé, Bedeau, Catéchiste, Chantre, (Myrmidia) Chevalier du soleil, Démagogue, Érudit, Exorciste, Flagellant, Grand prêtre (ordinaire), Prêtre-guerrier, Prophète, Répurgateur</t>
  </si>
  <si>
    <t>Chef de clan, Esclave</t>
  </si>
  <si>
    <t>Amiral, Astrologue, Capitaine, Capitaine de navire, Chevalier de la Quête, Chevalier du Graal, Chevalier du Royaume, Chevalier du soleil, Croisé, Diplomate, Érudit, Espion, Héraut, Ingénieur, Interprète, Maître sorcier, Marcheur des Brumes, Navigateur, Officier en second, Pisteur, Prince des voleurs, Sans-visage, Savant/Professeur, Seigneur sorcier</t>
  </si>
  <si>
    <t>Chasseur de vampires, Chevalier, Prêtre (Morr), Répurgateur, Sergent</t>
  </si>
  <si>
    <t>Chef de meute moulder, Esclave/Thrall, Mercenaire, Pisteur</t>
  </si>
  <si>
    <t>Chef de meute moulder, Guerrier des clans</t>
  </si>
  <si>
    <t>Chef de meute moulder, Coureur nocturne, Esclave/Thrall, Guerrier des clans, Moine de la peste, Vermine de choc</t>
  </si>
  <si>
    <t>Artisan, Chasseur de primes, Chef de meute moulder, Chiffonnier, Chirurgien barbier, Coupe-jarret, Coureur nocturne, Encenseur à peste, Esclave/Thrall, Fanatique, Garde du corps, Geôlier, Grande griffe, Hors-la-loi, Mercenaire, Moine de la peste, Pilleur de tombes, Tirailleur, Trafiquant de cadavres, Vagabond, Voleur</t>
  </si>
  <si>
    <t>Artisan, Chasseur de primes, Chef de meute moulder Moulder, Chiffonnier, Chirurgien barbier, Coupe-jarret, Coureur nocturne Eshin, Encenseur à peste Pestilens, Esclave/Thrall, Fanatique, Garde du corps, Geôlier, Grande griffe, Hors-la-loi, Mercenaire, Moine de la peste Pestilens, Pilleur de tombes, Tirailleur Skryre, Trafiquant de cadavres, Vagabond, Voleur</t>
  </si>
  <si>
    <t>Chef de meute moulder, Grande griffe</t>
  </si>
  <si>
    <t>Chasseur, Chasseur de primes, Chef de meute moulder, Coupe-jarret, Coureur d'égouts Eshin, Coureur nocturne, Garde, Garde du corps, Guerrier des clans, Mineur, Skaven noir, Technomage, Tirailleur, Vermine de choc</t>
  </si>
  <si>
    <t>Chef de meute moulder, Chirurgien barbier, Coureur nocturne Eshin, Guerrier des clans, Hors-la-loi</t>
  </si>
  <si>
    <t>Acolyte de Slaanesh, Acolyte de Tzeentch, Chef de guerre, Esclavagiste skaven, Magus de Khorne, Magus de Nurgle, Magus de Slaanesh, Magus de Tzeentch</t>
  </si>
  <si>
    <t>Franc-archer,  Ingénieur</t>
  </si>
  <si>
    <t>Aubergiste, Dresseur, Marchand, Milicien, Politicien</t>
  </si>
  <si>
    <t>Bedeau, Chef coq, Conducteur de pousse-pousse, Dilettante, Écuyer, Escroc, Étudiant, Héraut</t>
  </si>
  <si>
    <t>Ancien de Village, Askari, Banquier, Bedeau, Courtisan, Érudit, Gardien de Harem, Ingénieur de siège, Moine mendiant, Politicien, Prêtre, Timariote</t>
  </si>
  <si>
    <t>Contrebandier, Dilettante, Maître-artisan, Maraudeur</t>
  </si>
  <si>
    <t>Amiral, Canonnier, Contremaître, Ingénieur, Maître-artisan, Marchand, Médecin, Seigneur des runes, Seigneur sorcier, Shugenja/Sädhu</t>
  </si>
  <si>
    <t>Agitateur, Ambassadeur, Ataman, Banquier, Baron du crime, Bedeau, Capitaine, Charlatan, Chevalier de la Quête, Chevalier du Graal, Chevalier du Royaume, Collecteur de taxes, Contremaître, Courtisan, Dame d'honneur, Démagogue, Diplomate, Femme-médecine, Fermier, Frère de la cape, Grand prêtre, Héraut, Marchand, Noble/Jarl, Pamphlétaire, Paysan, Plaideur, Prélat, Racketteur, Régisseur, Sheikh, Staraja vedma, Sycophante</t>
  </si>
  <si>
    <t>Agitateur, Démagogue, Dilettante, Marchand, Politicien</t>
  </si>
  <si>
    <t>Chef de Bande, Esclavagiste skaven, Marchand</t>
  </si>
  <si>
    <t>Batelier, Contrebandier, Coupe-jarret, Initié (Stromfels), Marin, Matelot, Pêcheur</t>
  </si>
  <si>
    <t>Garde de caravane, Pillard du désert, Soldat</t>
  </si>
  <si>
    <t>Almée (Danseuse du ventre), Chantre, Interprète</t>
  </si>
  <si>
    <t>Almée (Danseuse du ventre), Catin, Chantre, Charlatan, Dame d'honneur, Danseur de guerre, Dresseur, Dresseur d'ours, Escroc, Joueur, Pamphlétaire, Raconteur, Scalde, Vagabond, Voleur</t>
  </si>
  <si>
    <t>Derviche, Érudit, Initié, Médecin, Moine</t>
  </si>
  <si>
    <t>Agent du Suaire, Agitateur, Apothicaire, Apprenti maître des runes, Apprenti sorcier, Astrologue, Avoué, Cadet, Cartographe, Catéchiste, Chirurgien barbier, Derviche, Dilettante, Émissaire elfe, Érudit, Faussaire, Géomètre, Ingénieur, Initié, Interprète, Joueur, Médecin, Pamphlétaire, Pénitent, Plaideur, Raconteur, Sahir Mubtadi, Vendeur de journaux</t>
  </si>
  <si>
    <t>Agent du Suaire, Agitateur, Apothicaire, Apprenti maître des runes, Apprenti sorcier, Astrologue, Cadet, Cartographe, Catéchiste, Chirurgien barbier, Dilettante, Émissaire elfe, Érudit, Faussaire, Géomètre, Ingénieur, Initié, Interprète, Joueur, Médecin, Pamphlétaire, Pénitent, Plaideur, Raconteur, Vendeur de journaux</t>
  </si>
  <si>
    <t>Agitateur, Apprenti maître des runes, Apprenti sorcier, Avoué, Cartographe, Chasseur cornu, Contremaître, Dilettante, Érudit, Géomètre, Initié, Interprète, Navigateur, Pamphlétaire, Percepteur, Plaideur</t>
  </si>
  <si>
    <t>Maître sorcier</t>
  </si>
  <si>
    <t>Apothicaire, Ovate, Paysan, Sorcier de village</t>
  </si>
  <si>
    <t>Apothicaire, Bourreau, Chirurgien barbier, Embaumeur, Érudit, Étudiant, Moine mendiant, Sorcier des taillis, Savant/Professeur</t>
  </si>
  <si>
    <t>Envoûteur, Sorcier des taillis, Vitki</t>
  </si>
  <si>
    <t>Champion, Chevalier, Vétéran/Longue Barbe</t>
  </si>
  <si>
    <t>Almée (Danseuse du ventre), Cadet, Archer monté, Astrologue, Ataman, Cavalcadour, Cavalier ailé/Jinete estalien, Chevalier errant, Courtisan, Courtisan des Principautés, Dilettante, Diplomate, Écuyer, Escroc, Étudiant, Fauconnier, Herrimault, Joueur, Pistolier/Foudroyeur, Politicien, Sahir Mubtadi</t>
  </si>
  <si>
    <t>Capitaine, Champion, Chasseur de vampires, Chevalier du Cercle Intérieur, Chevalier du Corbeau, Prêtre (Morr)</t>
  </si>
  <si>
    <t>Agent du Suaire, Chasseur de vampires, Chevalier du Corbeau, Flagellant, Répurgateur</t>
  </si>
  <si>
    <t>Tueur de géants (Nain)</t>
  </si>
  <si>
    <t>Tueur de géants, Tueur de morts (Nain)</t>
  </si>
  <si>
    <t>* La Carrière de Chasseur Cornu est une</t>
  </si>
  <si>
    <t>carrière avancée</t>
  </si>
  <si>
    <t>Type de carrière:</t>
  </si>
  <si>
    <t>Rang:</t>
  </si>
  <si>
    <t>Khuresh/Lustrie/ Terres du Sud</t>
  </si>
  <si>
    <t>Naggaroth/ Principautés Frontalières</t>
  </si>
  <si>
    <t>Envoûteur</t>
  </si>
  <si>
    <t>Acolyte de Slaanesh, Vagabond, Voleur</t>
  </si>
  <si>
    <t>Vagabond, Magus de Slaanesh</t>
  </si>
  <si>
    <t xml:space="preserve">Artisan, Cartographe, Contrebandier, , Maître-artisan, </t>
  </si>
  <si>
    <t>Agitateur, Artisan, Batelier, Chiffonnier, Coupe-jarret, Esclave/Thrall, Garde, Geôlier, , Mineur, Vagabond, Voleur</t>
  </si>
  <si>
    <t>Chasseur de primes, Coureur d'égouts, , Mineur, Vagabond</t>
  </si>
  <si>
    <t>Seigneur Gris</t>
  </si>
  <si>
    <t>Acolyte de Tzeentch, Cadet, Émissaire elfe, Faussaire, Ménestrel, , Pilleur de tombes, Valet</t>
  </si>
  <si>
    <t>Maraudeur, Pillard</t>
  </si>
  <si>
    <t>Champion, Guerrier du Chaos, Pillard</t>
  </si>
  <si>
    <t>Bateleur, Chasseur</t>
  </si>
  <si>
    <t>Batelier, Contrebandier</t>
  </si>
  <si>
    <t>Cataclyste</t>
  </si>
  <si>
    <t>Contrebandier, Maraudeur</t>
  </si>
  <si>
    <t>Batelier, Chasseur</t>
  </si>
  <si>
    <t>Batelier, Contrebandier, Esclavagiste skaven</t>
  </si>
  <si>
    <t>Contrebandier, Pillard</t>
  </si>
  <si>
    <t>Batelier, Pillard</t>
  </si>
  <si>
    <t>82-84</t>
  </si>
  <si>
    <t>Ingénieur, Ingénieur du Chaos</t>
  </si>
  <si>
    <t>41-68</t>
  </si>
  <si>
    <t>Esclavagiste skaven, Maraudeur</t>
  </si>
  <si>
    <t>Messager, Voleur</t>
  </si>
  <si>
    <t>Acolyte de Slaanesh, Acolyte de Tzeentch</t>
  </si>
  <si>
    <t>Marin, Pillard</t>
  </si>
  <si>
    <t>Capitaine de navire</t>
  </si>
  <si>
    <t>Batelier, Contrebandier, Maresquier, Marin</t>
  </si>
  <si>
    <t>Messager, Pisteur</t>
  </si>
  <si>
    <t>Batelier, Contrebandier, Marin</t>
  </si>
  <si>
    <t>Marchand, Marin</t>
  </si>
  <si>
    <t>Artisan, Chasseur, Grenouillère, Herrimault, Maresquier</t>
  </si>
  <si>
    <t>Agitateur, Voleur</t>
  </si>
  <si>
    <t>Chef de guerre, Maraudeur, Marin</t>
  </si>
  <si>
    <t>Chef de guerre, Esclavagiste skaven, Maraudeur, Officier en second</t>
  </si>
  <si>
    <t>Chef de guerre, Maraudeur</t>
  </si>
  <si>
    <t>Chef de guerre, Esclavagiste skaven, Maraudeur</t>
  </si>
  <si>
    <t>Coupe-Jarret, Garde</t>
  </si>
  <si>
    <t>Garde du corps, Chasseur de primes</t>
  </si>
  <si>
    <t>Contrebandier, Coupe-jarret, Marin</t>
  </si>
  <si>
    <t>Contrebandier, Marin, Officier en second</t>
  </si>
  <si>
    <t>Agitateur, Fanatique</t>
  </si>
  <si>
    <t>Fanatique, Flagellant</t>
  </si>
  <si>
    <t>Moine de la Peste Pestilens</t>
  </si>
  <si>
    <t>Fanatique, Guerrier des clans, Moine de la Peste Pestilens</t>
  </si>
  <si>
    <t>Agitateur, Guerrier des clans, Moine de la Peste Pestilens Pestilens, Vermine de choc</t>
  </si>
  <si>
    <t>Chef de meute moulder, Coureur nocturne, Esclave/Thrall, Guerrier des clans, Moine de la Peste Pestilens, Tirailleur, Vermine de choc</t>
  </si>
  <si>
    <t>Chef de clan, Esclave/Thrall</t>
  </si>
  <si>
    <t>Chef de bande</t>
  </si>
  <si>
    <t>Agitateur, Bateleur, Marin</t>
  </si>
  <si>
    <t>Pilleur de tombes, Trafiquant de cadavres</t>
  </si>
  <si>
    <t>Assassin, Champion</t>
  </si>
  <si>
    <t>Tueur de morts</t>
  </si>
  <si>
    <t>Chef de bande, Pisteur</t>
  </si>
  <si>
    <t>Ingénieur, Ingénieur de siège</t>
  </si>
  <si>
    <t>Agitateur, Pillard</t>
  </si>
  <si>
    <t>Assassin, Garde, Pisteur, Tirailleur</t>
  </si>
  <si>
    <t>Chasseur, Flagellant, Garde</t>
  </si>
  <si>
    <t>Chasseur de primes, Garde du corps</t>
  </si>
  <si>
    <t>Chasseur de primes, Garde</t>
  </si>
  <si>
    <t>Coupe-jarret, Garde</t>
  </si>
  <si>
    <t>Bourreau, Garde</t>
  </si>
  <si>
    <t>Chasseur de vampires</t>
  </si>
  <si>
    <t>Ingénieur de siège</t>
  </si>
  <si>
    <t>débouchés de votre carrière actuelle* :</t>
  </si>
  <si>
    <t>Malus d'encombrement :</t>
  </si>
  <si>
    <t>Stat. Spéciales</t>
  </si>
  <si>
    <t>+5% CC, +10% vs. Peur et Terreur, BF+1 Blessures</t>
  </si>
  <si>
    <t>De l'apprenti au maître</t>
  </si>
  <si>
    <t>Spécial</t>
  </si>
  <si>
    <t>12 heures</t>
  </si>
  <si>
    <t>un outil ayant servi à construire un grand temple (+2)</t>
  </si>
  <si>
    <t>Dans le cadre du lancement de ce sort, vous devez regarder un autre individu en train de créer quelque chose utilisant Expression artistique ou Métier. Jusqu'au prochain lever de soleil (ou 12h selon ce qui se produit en premier), vous gagnez la compétence que vous avez observée. Vous ne pouvez l'utiliser que pour un nombre de tests équivalent à votre caractéristique de Magie, puis la connaissance disparaît de vos mains.</t>
  </si>
  <si>
    <t>Arène du jugement</t>
  </si>
  <si>
    <t>une flèche brisée (+1)</t>
  </si>
  <si>
    <t>Balise dans la tempête</t>
  </si>
  <si>
    <t>un bec de chouette (+1)</t>
  </si>
  <si>
    <t>Embellir un objet</t>
  </si>
  <si>
    <t>un pinceau neuf (+1)</t>
  </si>
  <si>
    <t>Œil pour œil</t>
  </si>
  <si>
    <t>une lame argentée (+2)</t>
  </si>
  <si>
    <t>Lorsque vous lancez ce sort, vous voyez les attaques de vos ennemis venir vers vous au ralenti. Vous pouvez parer autant de fois par tour que votre valeur de Magie mais vous ne pouvez parer qu'une et une seule fois par attaque individuelle.</t>
  </si>
  <si>
    <t>une anneau d'argent (+2)</t>
  </si>
  <si>
    <t>Lorsque vous lancez ce sort, vous exigez que vos ennemis se rendent (en effectuant des tests de Charisme ou de Commandement selon les instructions du MJ). Tous les ennemis qui peuvent vous voir et à portée du sort qui cessent de se battre guérissent immédiatement de 1d10 blessures et cessent également d'être effrayés, terrifiés ou sujets à la frénésie s'ils l'étaient auparavant. Ceux qui ne se rendent pas souffrent de -10% sur leurs prochains jets de CC et CT jusqu'à la fin du combat. Pendant l'heure suivante, si les sujets du sort attaquent ou dirigent des blessures vers vous ou un nombre de vos alliés égal à votre valeur de magie, ils perdent 1d0 points de Blessures.</t>
  </si>
  <si>
    <t>Muse de l'artisan</t>
  </si>
  <si>
    <t>1 heure/jusqu'à activation</t>
  </si>
  <si>
    <t>un stylet (+1)</t>
  </si>
  <si>
    <t>Vous invoquez la maîtrise artistique que Myrmidia confère, et la passez entre vos mains ou celles de celui que vous touchez. La cible gagne + 30% lors de son prochain test d'Expression Artistique ou Marchandage.</t>
  </si>
  <si>
    <t>Prévision du danger</t>
  </si>
  <si>
    <t>Visage d'Empena</t>
  </si>
  <si>
    <t>Trouver la Voie</t>
  </si>
  <si>
    <t>Aux pleurs de Morr et au sourire de Shallya</t>
  </si>
  <si>
    <t>Don d'écriture</t>
  </si>
  <si>
    <t>Centrez le Grand Gabarit sur vous. Tous ceux qui sont en dessous (allié comme ennemi) regagnent immédiatement 2 Blessures,</t>
  </si>
  <si>
    <t>une épée brisée (+2)</t>
  </si>
  <si>
    <t>Gardez la ligne</t>
  </si>
  <si>
    <t>Coup intrépide</t>
  </si>
  <si>
    <t>Leçon de Senera</t>
  </si>
  <si>
    <t>Carte des Cieux</t>
  </si>
  <si>
    <t>Partager la souffrance</t>
  </si>
  <si>
    <t>Signes dans les étoiles</t>
  </si>
  <si>
    <t>Chant du Cœur Enthousiaste</t>
  </si>
  <si>
    <t>Nuit sans étoiles</t>
  </si>
  <si>
    <t>Récit de Bataille</t>
  </si>
  <si>
    <t>Appel de l'Ouest</t>
  </si>
  <si>
    <t>un bouclier ayant sauvé une vie (+2)</t>
  </si>
  <si>
    <t>un anneau de fer (+1)</t>
  </si>
  <si>
    <t>Ne craignez aucune lame</t>
  </si>
  <si>
    <t>un anneau de cuivre (+1)</t>
  </si>
  <si>
    <t>une épée rouillée (+2)</t>
  </si>
  <si>
    <t>un masque en feutre (+1)</t>
  </si>
  <si>
    <t>un morceau de parchemin annoté d'une prière à Véréna (+1)</t>
  </si>
  <si>
    <t>voir description</t>
  </si>
  <si>
    <t>une lance ayant tué un de vos alliés (+2)</t>
  </si>
  <si>
    <t>un cerclet d'argent (+2)</t>
  </si>
  <si>
    <t>un charme gravé d'un soleil (+2)</t>
  </si>
  <si>
    <t>Sauter en première ligne est maintenant votre point fort. Lorsque vous chargez, vous pouvez effectuer deux attaques sur votre cible.</t>
  </si>
  <si>
    <t>une plume de canard (+1)</t>
  </si>
  <si>
    <t>Vous gagnez + 20% à tous les tests de navigation tant que vous pouvez voir le ciel, même si vous êtes dans un endroit totalement inconnu.</t>
  </si>
  <si>
    <t>une serre de chouette</t>
  </si>
  <si>
    <r>
      <t xml:space="preserve">La Déesse vous permet de comprendre même ce qui se trouve en dehors de votre domaine d'études. Pendant la durée du sort, vous gagnez une compétence de Connaissance Académique de votre choix. Vous pouvez lancer le sort </t>
    </r>
    <r>
      <rPr>
        <i/>
        <sz val="10"/>
        <rFont val="Arial"/>
        <family val="2"/>
      </rPr>
      <t>Sagesse du hibou</t>
    </r>
    <r>
      <rPr>
        <sz val="10"/>
        <rFont val="Arial"/>
        <family val="2"/>
      </rPr>
      <t xml:space="preserve"> pendant que celui de </t>
    </r>
    <r>
      <rPr>
        <i/>
        <sz val="10"/>
        <rFont val="Arial"/>
        <family val="2"/>
      </rPr>
      <t>Maîtresse du tout</t>
    </r>
    <r>
      <rPr>
        <sz val="10"/>
        <rFont val="Arial"/>
        <family val="2"/>
      </rPr>
      <t xml:space="preserve"> est actif.</t>
    </r>
  </si>
  <si>
    <t>Maîtresse du tout</t>
  </si>
  <si>
    <t>une plume de martin-pêcheur (+1)</t>
  </si>
  <si>
    <t>8 heures</t>
  </si>
  <si>
    <t>24h/point de Magie</t>
  </si>
  <si>
    <t>un texte de serment écrit (+2)</t>
  </si>
  <si>
    <t>La cible récupère immédiatement la moitié de ses blessures perdues. Vous perdez immédiatement le nombre de blessures soignées sur la cible.</t>
  </si>
  <si>
    <t>une fiole d'encre fabriqué avec du sang (+3)</t>
  </si>
  <si>
    <t>une plume de colombe (+1)</t>
  </si>
  <si>
    <t>2 round/point de Magie</t>
  </si>
  <si>
    <t>un capuchon de faucon (+1)</t>
  </si>
  <si>
    <t>une cible à vue</t>
  </si>
  <si>
    <t>une poignée de poudre-flash (+2)</t>
  </si>
  <si>
    <t>contact (vous)/spéciale</t>
  </si>
  <si>
    <t>un charme gravé d'une lune (+2)</t>
  </si>
  <si>
    <t>Vous connaissez instantanément l'itinéraire à emprunter pour vous rendre où que vous soyez, lorsque vous lancez le sort dans un endroit qui vous est familier (en supposant que cet endroit se trouve à moins d'une heure de trajet). S'il est plus éloigné, vous aurez simplement une idée générale de la direction à prendre.</t>
  </si>
  <si>
    <t>Trouver le point faible</t>
  </si>
  <si>
    <t>En utilisant le manche de la lance, vous tracez un cercle au sol (grand gabarit). Tant que vous et tous vos alliés à vue restez dans le cercle, ils gagnent + 10% en Force Mentale et Endurance. Les ennemis doivent réussir un test de Force Mentale pour oser franchir la ligne, mais peuvent attaquer normalement. Si la ligne ne forme pas un cercle, le sort disparaît. Il s'estompera également si vous vous en éloignez de plus de dix mètres. Sinon, il s'estompe au prochain lever ou coucher de soleil.</t>
  </si>
  <si>
    <t>Combat honorable</t>
  </si>
  <si>
    <t>Centrez le grand gabarit sur vous-même. Tous les ennemis affectés doivent faire un test de Force Mentale difficile (-20%) ou se sentir poussés à se battre honorablement. Cela signifie qu'ils ne peuvent vous engager, vous et vos alliés, qu'en tête à tête. Ce sort prend fin immédiatement dès que vous ou l'un de vos alliés obtenez un résultat impair. Le MJ peut décider que des adversaires significativement plus petits ou plus faibles (rats, Snotlings) peuvent attaquer en plus grand nombre et que des adversaires grands ou puissants (géants, dragons) ne peuvent pas être combattus en tête-à-tête.</t>
  </si>
  <si>
    <t>La cible de ce sort ne subit aucune pénalité à son test de CT ou de CC ou d'Agilité en raison du terrain ou des conditions difficiles. Cela comprend les conditions environnementales telles que la pluie ou la neige ou le mouvement d'un navire, mais pas l'obscurité.</t>
  </si>
  <si>
    <t>Marche clairvoyante</t>
  </si>
  <si>
    <t>Repos des Braves</t>
  </si>
  <si>
    <t>Vous et tous les alliés à vue pouvez dormir pendant huit heures, quels que soient le temps ou le terrain, le niveau de bruit ou le niveau de lumière, et vous réveiller en vous sentant frais et fort. Vous devez réellement rester immobile pendant les huit heures et dormir. Ce sort garantit un tel repos que si vous dormiez dans un lit de plumes dans un palais.</t>
  </si>
  <si>
    <t>Vous et la cible prêtez serment, chacun promettant quelque chose d'une valeur approximativement égale (comme ne pas nuire à l'autre). La cible doit le faire de son plein gré et être consciente du lancement du sort. Si vous ou elle enfreignez le vœu, le briseur de la promesse subit immédiatement un coup de Force 8 sur le corps qui ignore l'armure.</t>
  </si>
  <si>
    <t>Serment solennel</t>
  </si>
  <si>
    <t>Les ennemis doivent réussir un test de Force Mentale pour attaquer la cible. Le sort prend fin si la cible attaque ou agit de manière hostile (feindre une attaque, se moquer, etc.).</t>
  </si>
  <si>
    <t>Le ciel au-dessus d'une zone allant jusqu'à cent mètres carrés devient très sombre, car les étoiles s'assombrissent et la lune passe derrière un nuage. Pendant la journée, cela n'a aucun effet visible, pendant la nuit, cela rend tous les tests de Perception basés sur la vision d'un cran plus difficiles. Il réduit également la distance de vision maximale des sources lumineuses (et de la Vision Nocturne) de 4 mètres (2 cases). Tous eux qui effectuent des tests de Dissimulation dans cette zone reçoivent un bonus de + 10%.</t>
  </si>
  <si>
    <t>En lançant ce sort, vous devez également effectuer un test d'Expression artistique (+ 20%). S'il réussit également, vos ennemis fixent immédiatement toute leur attention sur vous et vos performances. Tous les alliés (à vue lors de l'incantation) gagnent + 30% à toues leurs tests de Dissimulation et de Déplacement silencieux contre eux tant que perdure ce sort.</t>
  </si>
  <si>
    <t>Distraction</t>
  </si>
  <si>
    <t>Ce sort ne peut être lancé que sur une personne sur le point de mourir, que ce soit de maladie, d'âge ou, si elle est au combat, si elle a été suffisamment endommagée pour qu'elle utilise les règles critiques de Mort Subite. La cible meurt instantanément, paisiblement, calmement et sans douleur. Le cadavre est préservé de la décomposition et est immunisé contre la nécromancie pendant les 24 heures suivantes. Ce sort peut également être lancé sur une cible qui n'est pas en train de mourir, tant que la cible est vous-même. Les prêtres de Morr l'utilisent parfois en dernier recours pour éviter d'être capturés ou torturés.</t>
  </si>
  <si>
    <t>Domaine de Lileath</t>
  </si>
  <si>
    <t>Comme les fidèles commandent les soldats de Lileath, ils doivent également se tourner vers ceux qui ne peuvent pas combattre. Tous les alliés à portée de voix, vous entendent aussi clairement que s'ils se tenaient à côté de vous et peuvent vous comprendre quelle que soit la langue qu'ils parlent. Votre voix semble apaisante, sage, ceux qui l'entendent gagnent un bonus de + 10% aux tests de Force Mentale pour résister aux tests d'intimidation et aux effets de Peur ou de Terreur pendant l'heure suivante.</t>
  </si>
  <si>
    <t>Une nouvelle étoile semble scintiller dans le ciel à l'endroit où vous souhaitez la placer. Elle peut être vue sur des centaines de kilomètres et peut donc être utilisée pour envoyer des communications vitales sur de longues distances, bien que les destinataires doivent généralement faire un test de Connaissances Académiques (astronomie) pour identifier le changement et interpréter sa signification. Il peut également être utilisé pour intimider et effrayer les ennemis, car il existe une légende d'une étoile sorcière qui se lève lorsque le destin sombre demeure. De même, cela pourrait donner des bonus situationnels aux tentatives de persuader les autres de la colère, de la bénédiction ou du consentement de Lileath. Ce sort ne peut jamais être jeté plus d’une fois par nuit, et jouer avec les étoiles pour des raisons frivoles est extrêmement mal vu par les Prêtres de Lileath.</t>
  </si>
  <si>
    <t>Pendant toute la durée de ce sort, vos performances déchirent le cœur de tous ceux qui les écoutent. Tout test d'Expression Artistique effectués par vous (et autant d'alliés que votre caractéristique de Magie) tant que le sort est en vigueur réussit automatiquement avec trois degrés de succès. Un public de 1d10 personnes maximum en sera réduit à pleurer de joie ou de tristesse selon résultat. Cela confère un bonus de + 30% aux tests de Sociabilité ultérieurs avec les membres du public, et tous les membres du public doivent passer un test de Force Mentale (-20%) pour causer ou diriger tout préjudice ou désavantage envers l'un des artistes. Les effets s'estompent après quelques heures.</t>
  </si>
  <si>
    <t>Le bras de Shallya</t>
  </si>
  <si>
    <t>Requiem funeste</t>
  </si>
  <si>
    <t>En lançant ce sort, vous devez également faire un test de compétence d'Expression Artistique. Si ce test réussit aussi, votre performance est si inspirante qu'elle accorde la paix intérieure à une cible. Elle perdent 1d4 points de folie.</t>
  </si>
  <si>
    <t>Magie Mineure (trois au choix)</t>
  </si>
  <si>
    <t>Connaissances académiques (Astronomie), Soins</t>
  </si>
  <si>
    <t>Intimidation, Focalisation, Langage mystique (magick), Sens de la Magie</t>
  </si>
  <si>
    <t>Alphabet Secret (Astrologue), Connaissances académiques (astronomie), Focalisation, Langage mystique (magick), Méditation, Sens de la Magie</t>
  </si>
  <si>
    <t>Empahtie animale</t>
  </si>
  <si>
    <t>Empathie animale</t>
  </si>
  <si>
    <t>+10% en Equitation et Soin des animaux</t>
  </si>
  <si>
    <t>Adresse au tir, Camouflage rural ou Empathie animale, Course à pied, Fuite</t>
  </si>
  <si>
    <t>Camouflage rural ou Empathie animale, Course à pied ou Résistance accrue, Maîtrise (Armes lourdes)</t>
  </si>
  <si>
    <t>Grand voyageur ou Sur ses gardes ou Empathie Animale, Maîtrise (Armes à feu)</t>
  </si>
  <si>
    <t>Acuité Auditive, Acuité Visuelle, Camouflage rural ou Empathie Animale</t>
  </si>
  <si>
    <t>Grand voyageur, Sens de l’orientation ou Empathie Animale</t>
  </si>
  <si>
    <t xml:space="preserve">Charisme, Connaissances générales (Estalie), Esquive, Expression artistique (acteur) ou Equitation ou Empathie Animale, Langue (estalien), </t>
  </si>
  <si>
    <t>Connaissances académiques (astronomie), Orientation</t>
  </si>
  <si>
    <t>Empathie Animale</t>
  </si>
  <si>
    <t>Runes Perdues</t>
  </si>
  <si>
    <t>d'Anti-magie</t>
  </si>
  <si>
    <t>du Destin</t>
  </si>
  <si>
    <t>d'Eau</t>
  </si>
  <si>
    <t>de Bravoure</t>
  </si>
  <si>
    <t>de Fer</t>
  </si>
  <si>
    <t>de Feu</t>
  </si>
  <si>
    <t>du Fléau</t>
  </si>
  <si>
    <t>de Fortune</t>
  </si>
  <si>
    <t>de Foudre</t>
  </si>
  <si>
    <t>de Fournaise</t>
  </si>
  <si>
    <t>de Frappe</t>
  </si>
  <si>
    <t>de Fureur</t>
  </si>
  <si>
    <t>Gardienne</t>
  </si>
  <si>
    <t>de Pierre</t>
  </si>
  <si>
    <t>de Protection Chaotique</t>
  </si>
  <si>
    <t>de Résistance</t>
  </si>
  <si>
    <t>de Robustesse</t>
  </si>
  <si>
    <t>Tranchante</t>
  </si>
  <si>
    <t>Tueuse de sort</t>
  </si>
  <si>
    <t>de Vitesse</t>
  </si>
  <si>
    <t>d'Acier</t>
  </si>
  <si>
    <t>d'Alaric le Fou</t>
  </si>
  <si>
    <t>de Dissipation</t>
  </si>
  <si>
    <t>d'Elémentalisme</t>
  </si>
  <si>
    <t>de Gromril</t>
  </si>
  <si>
    <t>d'Inflexibilité</t>
  </si>
  <si>
    <t>d'Insulte</t>
  </si>
  <si>
    <t>de Protection</t>
  </si>
  <si>
    <t>de Rapidité</t>
  </si>
  <si>
    <t>des Rois</t>
  </si>
  <si>
    <t>de Skalf Marteau Noir</t>
  </si>
  <si>
    <t>de Snorri Heaume d'Argent</t>
  </si>
  <si>
    <t>de Vol</t>
  </si>
  <si>
    <t>d'Espoir</t>
  </si>
  <si>
    <t>Talisman (anneau)</t>
  </si>
  <si>
    <t>de Vigueur</t>
  </si>
  <si>
    <t>Talisman (bannière)</t>
  </si>
  <si>
    <t>de Vitalité</t>
  </si>
  <si>
    <t>Permanente: +1 en Mouvement, +10% en Force et +10% en Endurance du porteur et de ses compagnons dans un rayon de 3 mètres. Temporaire: comme permanente mais l'avantage ne dure que 1 minute.</t>
  </si>
  <si>
    <t>Tueuse de Chaos</t>
  </si>
  <si>
    <t>Protectrice de Dragon</t>
  </si>
  <si>
    <t>Tueuse de Dragon</t>
  </si>
  <si>
    <t>Tueuse de Démon</t>
  </si>
  <si>
    <t>Tueuse de Géants</t>
  </si>
  <si>
    <t>Permanente: Si une arme sur laquelle est inscrite cette rune inflige la moindre blessure à un géant ou à un troll, ce dernier doit effectuer un test d'Endurance très difficile (-30%) ou être immédiatement tué. Temporaire: Comme ci-dessus mais ne fonctionne qu'une seule fois durant 5 minutes (ou un projectile).</t>
  </si>
  <si>
    <t>d'Arnek Ragnasson</t>
  </si>
  <si>
    <r>
      <t xml:space="preserve">Permanente: Permet un fois par combat de lancer automatiquement le Sort </t>
    </r>
    <r>
      <rPr>
        <i/>
        <sz val="10"/>
        <rFont val="Arial"/>
        <family val="2"/>
      </rPr>
      <t>Tempête de Foudre</t>
    </r>
    <r>
      <rPr>
        <sz val="10"/>
        <rFont val="Arial"/>
        <family val="2"/>
      </rPr>
      <t>. Temporaire: Comme ci-dessus mais ne fonctionne qu'une seule fois</t>
    </r>
  </si>
  <si>
    <t>de Skaldor</t>
  </si>
  <si>
    <r>
      <t xml:space="preserve">Permanente: Quand il porte une armure gravée de cette rune, le personnage bénéficie de 7 points de Protection et le Trait </t>
    </r>
    <r>
      <rPr>
        <i/>
        <sz val="10"/>
        <rFont val="Arial"/>
        <family val="2"/>
      </rPr>
      <t>Immunité au feu</t>
    </r>
    <r>
      <rPr>
        <sz val="10"/>
        <rFont val="Arial"/>
        <family val="2"/>
      </rPr>
      <t>. Temporaire: comme permanente mais l'avantage ne dure que 1 minute.</t>
    </r>
  </si>
  <si>
    <t>Le Livre de la Maîtrise Runique</t>
  </si>
  <si>
    <t>RdTeRdK: Runes de Thungni et Runes de Klauser</t>
  </si>
  <si>
    <t>RdTeRdK 27</t>
  </si>
  <si>
    <t>Luxquodratum</t>
  </si>
  <si>
    <t>d'Animosité</t>
  </si>
  <si>
    <t>de Puissance</t>
  </si>
  <si>
    <t>Les Runes de Thungni et les Runes de Klauser</t>
  </si>
  <si>
    <t>15/214/19</t>
  </si>
  <si>
    <t>10/211/5</t>
  </si>
  <si>
    <t>Domaine des Artistes-mages</t>
  </si>
  <si>
    <t>Barde</t>
  </si>
  <si>
    <t>Seigneur des Runes</t>
  </si>
  <si>
    <t>Coups assommants ou Coups précis, Maîtrise (au choix), Rune (10 au choix), Précepteur, Rune majeure (2 au choix) ou Rune perdue (1 au choix)</t>
  </si>
  <si>
    <t>Rune Perdue</t>
  </si>
  <si>
    <t>Vous connaissez une rune perdue et savez l'utiliser</t>
  </si>
  <si>
    <t>Don Sélénien</t>
  </si>
  <si>
    <t>une sélénite (+1)</t>
  </si>
  <si>
    <t>Argentée</t>
  </si>
  <si>
    <t>Dégâts doublés contre les Vampires et les Loups-Garous</t>
  </si>
  <si>
    <t>Magie commune de Lileath</t>
  </si>
  <si>
    <t>Domaine d'Arianka</t>
  </si>
  <si>
    <t>Lunatisme</t>
  </si>
  <si>
    <t>Sous l'influence de Morrsleib et Mannsleib, vous provoquez chez la cible une humeur changeante, déconcertante, impromptue, comme si elle n'était pas maître de ses émotions. Cela ce traduit par un malus de -20% en Sociabilité tant que perdure ce sort.</t>
  </si>
  <si>
    <t>Calcul mental, Évaluation</t>
  </si>
  <si>
    <t>Métier (un au choix)</t>
  </si>
  <si>
    <t>Œil expert</t>
  </si>
  <si>
    <t>un monocle (+1)</t>
  </si>
  <si>
    <t>vous suppliez Händrich de ne pas vous maudire pour ne pas vous être acquitté de la dette que vous avez contractée envers lui, partant du principe que plus il se montrera patient, plus le jeu en vaudra la chandelle. Si vous parvenez à lancer le sort, vous bénéficiez d'une semaine supplémentaire pour payer vos dettes envers le dieu des Marchands (c'est-à-dire jusqu'au Marktag suivant). En cas d'échec, vos dettes sont doublées et vous êtes aussitôt maudit.</t>
  </si>
  <si>
    <t>L'objet inspecté deviendra terne ou plus ou moins brillant selon sa valeur marchande réelle. La réussite de ce sort permet donc au prêtre d'avoir une idée très précise de la valeur d'un objet. L'incantateur aura, de plus, une connaissance intuitive de l'origine et de l'histoire de cet objet.</t>
  </si>
  <si>
    <t>Sang de Loup-Garou</t>
  </si>
  <si>
    <t>Sang de Vampire</t>
  </si>
  <si>
    <t>Usage unique: Valeur de dégâts de 12 Blessures vs. tout être sensible à la lumière</t>
  </si>
  <si>
    <t>Connaissances générales (Norsca)</t>
  </si>
  <si>
    <t>Mort-Vivant, Parmi les Morts</t>
  </si>
  <si>
    <t>Effrayant, Fuite, Ingénierie skaven</t>
  </si>
  <si>
    <t>Warhammer, le Jeu de Rôle/SotS</t>
  </si>
  <si>
    <t>41/118</t>
  </si>
  <si>
    <t>Squire/Swordhand</t>
  </si>
  <si>
    <t>Cadet, Cavalcadour, Chevalier, Chevalier du soleil, Chevalier errant, Chevalier Panthère, Diestro estalien, Garde noir, Hors-la-loi, Noble/Jarl, Sergent, Vétéran/Longue Barbe</t>
  </si>
  <si>
    <t>Cavalier ailé/Jinete estalien, Écuyer/Porte-épée, Toréro estalien</t>
  </si>
  <si>
    <t>Guitare estalienne</t>
  </si>
  <si>
    <t>Estalian Maestro</t>
  </si>
  <si>
    <t>Estalian Verderaro Maestro</t>
  </si>
  <si>
    <t>Maestro estalien</t>
  </si>
  <si>
    <t>destreza</t>
  </si>
  <si>
    <t>Le livre des Actes de Barak Varr</t>
  </si>
  <si>
    <t>Libro de Destreza</t>
  </si>
  <si>
    <t>SofS 120</t>
  </si>
  <si>
    <t>Cocher, Collecteur de taxes, Conducteur de bestiaux, Diestro estalien, Duelliste, Éclaireur, Ex-détenu, Hors-la-loi, Joueur, Maestro estalien, Ménestrel, Muletier, Passeur, Patrouilleur, Sans-visage, Vaurien</t>
  </si>
  <si>
    <t>Aristocrate, Chasseur de vampires, Écuyer, Garde Républicain, Janissaire, Maestro estalien, Pistolier/Foudroyeur, Prêtre-guerrier, Sergent, Timariote</t>
  </si>
  <si>
    <t>Abbé, Agent du Suaire, Apothicaire, Apprenti maître des runes, Apprenti sorcier, Aristocrate, Astrologue, Avoué, Capitaine de navire, Cartographe, Catéchiste, Compagnon maître des runes, Compagnon sorcier, Embaumeur, Étudiant, Exorciste, Faussaire, Géomètre, Guide, Grand prêtre, Homme oiseau de Catrazza, Interprète, Investigateur verenéen/Inquisiteur estalien, Maestro estalien, Maître des runes, Maître sorcier, Médecin, Moine, Moine mendiant, Murshid, Navigateur, Pamphlétaire, Prêtre, Prêtre consacré, Sahir, Scribe, Shugenja/Sädhu, Sorcier des marches</t>
  </si>
  <si>
    <t>Cocher, Conducteur de bestiaux, Conducteur de pousse-pousse, Éclaireur, Garde/Chapeau noir, Maestro estalien, Messager, Passeur, Patrouilleur fluvial, Percepteur</t>
  </si>
  <si>
    <t>Champion, Champion de justice, Chantelame, Chef de bande, Courtisan des Principautés, Diplomate, Duelliste, Espion, Franc-archer, Frère de la cape,Maestro Verdadero estalien</t>
  </si>
  <si>
    <t>Aristocrate, Explorateur, Maestro Verdadero estalien, Navigateur, Officier en second</t>
  </si>
  <si>
    <t>Almée (Danseuse du ventre), Catin, Chevalier de la Quête, Chevalier du Graal, Chevalier du Royaume, Courtisan des Principautés, Dilettante, Dame d'honneur, Héraut, Noble/Jarl, Pistolier/Foudroyeur, Politicien, Maestro Verdadero estalien, Raconteur, Sahir, Sahir Mubtadi, Sahir Tilmid, Timariote, Vierge de glace</t>
  </si>
  <si>
    <t>Capitaine, Chef de bande, Courtisan, Maestro Verdadero estalien, Noble/Jarl, Politicien, Sergent, Toréro estalien</t>
  </si>
  <si>
    <t>Assassin, Capitaine, Capitaine de Navire, Champion, Courtisan, Courtisan des Principautés</t>
  </si>
  <si>
    <t>Myrmidon</t>
  </si>
  <si>
    <t>Chevalier, Gladiateur, Maestro estalien, Vétéran</t>
  </si>
  <si>
    <t xml:space="preserve">Sang-froid, Coups précis, Désarmement OU Coups puissants, Lutte, Maîtrise (Parade ou à 2 mains), Maîtrise (Paralysante ou Fléau), </t>
  </si>
  <si>
    <t xml:space="preserve">Connaissances académiques (Théologie), Esquive, Langue (Estalien), Langage secret (langage de bataille), </t>
  </si>
  <si>
    <t>Aristocrate, Capitaine, Chevalier du Graal, Courtisan, Explorateur, Myrmidon, Politicien, Sans-visage</t>
  </si>
  <si>
    <t>Chasseur de primes, Homme lige, Mercenaire, Myrmidon, Spadassin, Toréro estalien, Tueur de trolls, Vétéran/Longue Barbe</t>
  </si>
  <si>
    <t>Askari, Ataman, Champion, Champion de justice, Chef de bande, Croisé, Fermier, Franc-archer, Frère de la cape, Garde de caravane, Garde républicain, Myrmidon, Sans-visage, Sergent, Timariote</t>
  </si>
  <si>
    <t>Askari, Assassin, Champion de justice, Chantelame, Chef de guerre, Chevalier du Cercle Intérieur, Chevalier du Corbeau, Chevalier du soleil, Chevalier Panthère, Duelliste, Fouet de dieu, Franc-archer, Garde noir, Gardien de Harem, Grand maître, Maestro Verdadero estalien, Myrmidon, Répurgateur, Vétéran/Longue Barbe</t>
  </si>
  <si>
    <t>Chasseur, Garde du corps, Gladiateur, Homme oiseau de Catrazza, Kossar kislevite, Piquier, Mercenaire, Pillard du désert, Sentinelle halfling, Streltsi, Sycophante</t>
  </si>
  <si>
    <t>Bourreau, Ex-détenu, Exécuteur, Garde du corps, Gladiateur, Marcheur des Brumes, Mercenaire, Piquier, Pirate/Corsaire, Racketteur, Tchékiste</t>
  </si>
  <si>
    <t>Assassin, Bandit de grand chemin, Berserk norse, Cadet, Cavalcadour, Champion, Champion de justice, Combattant des tunnels, Duelliste, Écuyer, Égoutier, Franc-archer, Garde/Chapeau noir, Garde des profondeurs, Homme oiseau de Catrazza, Janissaire, Kossar kislevite, Maestro estalien, Matelot, Méhariste, Mercenaire, Milicien, Myrmidon, Patrouilleur, Patrouilleur fluvial, Pèlerin exalté, Piquier, Pisteur, Pistolier/Foudroyeur, Soldat, Streltsi, Tchékiste, Vétéran/Longue Barbe, Vierge de glace, Yeoman</t>
  </si>
  <si>
    <t>Coupe-jarret, Duelliste, Ex-détenu, Garde de caravane, Gladiateur, Piquier, Racketteur, Tchékiste, Voleur</t>
  </si>
  <si>
    <t>Piquier, Soldat</t>
  </si>
  <si>
    <t>Estalian Tercio</t>
  </si>
  <si>
    <t>Champion de justice, Garde du corps, Garde républicain, Chasseur de primes, Hors-la-loi, Garde Républicain, Sergent, Tercio estalien, Vétéran/Longue Barbe</t>
  </si>
  <si>
    <t>Fanatique, Garde du corps, Grande griffe, Mercenaire, Tercio estalien, Vétéran/Longue Barbe</t>
  </si>
  <si>
    <t>Capitaine, Champion de justice, Dueliste, Vététan</t>
  </si>
  <si>
    <t>Ambassadeur, Archer monté, Aristocrate, Canonnier, Cavalier ailé/Jinete estalien, Chef de bande, Chef de guerre, Chevalier, Chevalier de la Quête, Chevalier du Cercle Intérieur, Chevalier du Corbeau, Chevalier du Graal, Chevalier du Royaume, Chevalier du soleil, Chevalier Panthère, Courtisan des Principautés, Croisé, Esclavagiste skaven, Explorateur, Garde noir, Garde Républicain, Grand maître, Maestro Verdadero estalien, Répurgateur, Rôdeur des Principautés, Rôdeur fantôme, Seigneur des runes, Sergent, Sorcière de glace, Tercio estalien, Timariote</t>
  </si>
  <si>
    <t>Croisé, Garde Républicain, Myrmidon, Piquier, Sergent, Sycophante, Tercio estalien, Vétéran/Longue Barbe</t>
  </si>
  <si>
    <t>Bandit de grand chemin, Courtisan, Diestro estalien, Franc-archer, Garde Républicain, Pistolier/Foudroyeur, Sergent, Spadassin, Tercio estalien, Toréro estalien, Vaurien</t>
  </si>
  <si>
    <t>Coups précis, Coups puissants, Maître artilleur, Maîtrise (à poudre, parade, à 2 mains), Parade éclair, Tir en puissance, Sur ses gardes, Valeureux</t>
  </si>
  <si>
    <t>armure complète de cuir, chemise de mailles, casque, lance OU hallebarde, pistolet, main-gauche ou rondache ou 2 javellines, bouteille de vin de qualité exeptionelle, porte-bonheur</t>
  </si>
  <si>
    <t>Vache/gnou (génisse)</t>
  </si>
  <si>
    <t>Vache/gnou/auroch (taureau)</t>
  </si>
  <si>
    <t>Armes naturelles, Effrayant, Puissance imparable, Sens aiguisés, Vision nocturne, Volonté de fer</t>
  </si>
  <si>
    <t>Iguane géant/Lézard de Komo</t>
  </si>
  <si>
    <t>Sables Périlleux/SotS</t>
  </si>
  <si>
    <t>328/132</t>
  </si>
  <si>
    <t>Déplacement silencieux (Ag), Dissimulation (Ag+10%), Escalade (F+10%), Perception (Int), Pistage (Int)</t>
  </si>
  <si>
    <t>Old World Animals/SotS</t>
  </si>
  <si>
    <t>24/132</t>
  </si>
  <si>
    <t>Discrétion (Ag +20%), Natation (F+20%), Perception (Int +10%), Survie (Int +20%)</t>
  </si>
  <si>
    <t>Schnaps impérial (1l)</t>
  </si>
  <si>
    <t>Coups précis, Coups puissants, Maîtrise (à 2 Mains, lourdes, parade, escrime), Parade éclair, Sans peur, Vol</t>
  </si>
  <si>
    <t>Charisme (Ag+10%), Commandement (Ag), Esquive (Ag+10%), Intimidation (F), Perception (Int)</t>
  </si>
  <si>
    <t>Ange/Kenku nipponais</t>
  </si>
  <si>
    <t>Invocation mineure d'ange</t>
  </si>
  <si>
    <t>Invocation majeure d'anges</t>
  </si>
  <si>
    <t>Cheval (hagranym)</t>
  </si>
  <si>
    <t>Escalade (Ag+20%), Esquive (Ag) Perception (Int+20%)</t>
  </si>
  <si>
    <t>Acuité sensitive</t>
  </si>
  <si>
    <t xml:space="preserve">Acuité sensitive, Armes naturelles, Créature aquatique, </t>
  </si>
  <si>
    <t>Acuité sensitive, Amphibien, Venimeux, Vision nocturne</t>
  </si>
  <si>
    <t>Acuité sensitive, Camouflage urbain, Fuite</t>
  </si>
  <si>
    <t>Acuité sensitive,  Amphibien, Camouflage urbain, Fuite, Vision nocturne</t>
  </si>
  <si>
    <t>Acuité sensitive, Armes naturelles, Écailles (1), Venimeux</t>
  </si>
  <si>
    <t>Acuité sensitive, Armes naturelles</t>
  </si>
  <si>
    <t>Acuité sensitive, Armes naturelles, Venimeux</t>
  </si>
  <si>
    <t>Acuité sensitive, Armes naturelles, Vol</t>
  </si>
  <si>
    <t>Acuité auditive, Acuité sensitive, Armes naturelles, Menaçant, Sens aiguisés.</t>
  </si>
  <si>
    <t>Acuité auditive, Acuité sensitive, Armes naturelles, Menaçant</t>
  </si>
  <si>
    <t>Acuité sensitive, Armes naturelles, Camouflage désertique</t>
  </si>
  <si>
    <t>Acuité sensitive, Acuité auditive, Armes naturelles, Coups assommants, Écailles (3), Effrayant, Lutte, Menaçant.</t>
  </si>
  <si>
    <t>Acuité sensitive, Amphibie, Carapace (2), Coups assommants, Effrayant, Sans peur, Vision nocturne.</t>
  </si>
  <si>
    <t>Acuité auditive, Acuité sensitive, Armes naturelles, Ecailles, Menaçant, Résistance au poison, Venimeux</t>
  </si>
  <si>
    <t>Acuité auditive, Acuité sensitive, Armes naturelles, Carapace (3) Coups puissants, Fils du désert, Vénéneux</t>
  </si>
  <si>
    <t>Acuité auditive, Acuité sensitive, Armes naturelles, Coups assommants, Écailles (3), Effrayant, Lutte, Menaçant.</t>
  </si>
  <si>
    <t>Acuité auditive, Acuité sensitive, Armes naturelles, Coups puissants, Force accrue, Sens aiguisés, Soif de Sang</t>
  </si>
  <si>
    <t>Félin (léonazul (lion bleu)</t>
  </si>
  <si>
    <t>Armes naturelles, Coups assommants, Coups puissants, Effrayant, Menaçant, Sens aiguisés, Volonté de fer</t>
  </si>
  <si>
    <t>Loutre</t>
  </si>
  <si>
    <t>Félin (lion géant (léonazul))</t>
  </si>
  <si>
    <t>Cockatrice</t>
  </si>
  <si>
    <t>Jabberwock</t>
  </si>
  <si>
    <t>Escalade (Ag), Intimidation (F), Natation (F)</t>
  </si>
  <si>
    <t>Armes naturelles, Coups précis, Coups puissants, Régénération, Terrifiant, Venimeux, Vision nocturne, Volonté de fer</t>
  </si>
  <si>
    <t>Venin de jabberwock</t>
  </si>
  <si>
    <t>LTdC 124</t>
  </si>
  <si>
    <t>Ver des brèches</t>
  </si>
  <si>
    <t>Ver des marais</t>
  </si>
  <si>
    <t>Déplacement silencieux (Ag), Dissimulation (Ag), Perception (Int+20%)</t>
  </si>
  <si>
    <t>Armes naturelles, Écailles (3), Troublant, Venimeux</t>
  </si>
  <si>
    <t>Ver solaire</t>
  </si>
  <si>
    <t>Dissimulation (Ag +20%)</t>
  </si>
  <si>
    <t>Acuité sensitive, Troublant</t>
  </si>
  <si>
    <t>Antilope/okapi/oryx</t>
  </si>
  <si>
    <t>Les délices du Sanglochon</t>
  </si>
  <si>
    <t>Les félicités du Moot</t>
  </si>
  <si>
    <t>Grenouille (géante)/Horreur du gouffre</t>
  </si>
  <si>
    <t>Amphibien, Armes naturelles, Ecailles, Sens aiguisés,  Venimeux,  Vision nocturne</t>
  </si>
  <si>
    <t>Lustria/Web</t>
  </si>
  <si>
    <t>Lapin/lièvre</t>
  </si>
  <si>
    <t>Lemming/cobaye/cochon d'Inja</t>
  </si>
  <si>
    <t>Lézard/iguane/orvet</t>
  </si>
  <si>
    <t>Acuité auditive, Armes naturelles, Fuite,</t>
  </si>
  <si>
    <t>Dragon corail (des mers)/léviathan</t>
  </si>
  <si>
    <t>Rhinocéros</t>
  </si>
  <si>
    <t>Acuité auditive, Armes naturelles, Coups puissants, Frénésie Menaçant, Sens de l’orientation.</t>
  </si>
  <si>
    <t>Scarabée (géant)</t>
  </si>
  <si>
    <t>Acuité sensitive, Carapace (2), Fils du Désert, Lévitation, Sans Peur, Vision nocturne</t>
  </si>
  <si>
    <t>Chimère/sphinx</t>
  </si>
  <si>
    <t>Mutations: aspect bestial et jambes d’animal, Compétences : Filature, Intimidation, Langue (langue des bêtes, eltharin), Langage mystique (druidique), Perception, Pistage, Survie Talents : Armes naturelles (sabots), Camouflage rural, Ecailles (2), Maîtrise (armes lourdes), Menaçant, Sens aiguisés</t>
  </si>
  <si>
    <t>Artificiel/Invoqué</t>
  </si>
  <si>
    <t>Arsenic/Extrait de rubis sulfureux</t>
  </si>
  <si>
    <t>Acuité visuelle, Coups assomants, Coups précis, Coups puissants, Ecailles (5), Puissance imparable, Sain d'Esprit, Science de la magie (Feu), Terrifiant, Venimeux, Vision nocturne,  Vivacité, Vol</t>
  </si>
  <si>
    <t>Venin noir de dragon de mer</t>
  </si>
  <si>
    <t>Ciguë aquatique</t>
  </si>
  <si>
    <t>Fléau des Hommes Elfe Noir</t>
  </si>
  <si>
    <t>Kaikalla</t>
  </si>
  <si>
    <t>Venin de Lustrie</t>
  </si>
  <si>
    <t>Sang de Sigmar/Mercure</t>
  </si>
  <si>
    <t>Acide elfe noir Arha Urith</t>
  </si>
  <si>
    <t>Venin fuligineux de Dragon de Feu</t>
  </si>
  <si>
    <t>Armorial des Tsars du Kislev</t>
  </si>
  <si>
    <t>Poisons, venins et mucus: un précis de toxicologie</t>
  </si>
  <si>
    <t>Charisme OU Intimidation, Commandement, Commérage OU Résistance à l’alcool, Connaissances académiques (histoire ou esprits ou médecine), Connaissances générales (Kislev ou Pays des Trolls), Expression artistique (conteur), Langue (ungol), Métier (apothicaire ou herboriste) OU Préparation de poisons, Perception, Sens de la magie, Soins</t>
  </si>
  <si>
    <t>Connaissances académiques (médecine), Chirurgie, Coups assommants, Résistance aux maladies</t>
  </si>
  <si>
    <t>Connaissances académiques (médecine) ou Etiquette ou Résistance aux poisons, Résistance accrue ou Sociable</t>
  </si>
  <si>
    <t>Précepteur, Rune (au choix), Rune (au choix)</t>
  </si>
  <si>
    <t>Connaissances académiques (médecine), Commérage, Langage secret (langage de guilde), Langue (classique), Lire/Ecrire, Marchandage, Métier (apothicaire), Perception, Préparation de poisons OU Soins</t>
  </si>
  <si>
    <t>Médecine</t>
  </si>
  <si>
    <t>Connaissances académiques (médecine), Soins</t>
  </si>
  <si>
    <t>Connaissances académiques (Médecine) OU Soins, Métier (apothicaire OU herboriste OU brasseur)</t>
  </si>
  <si>
    <t xml:space="preserve">Connaissances académiques (une au choix), Connaissances académiques (médecine) OU Métier (herboriste) OU Soins </t>
  </si>
  <si>
    <t xml:space="preserve">Connaissances académiques (médecine) ou Soins, Métier (apothicaire ou herboriste), </t>
  </si>
  <si>
    <t>Connaissances générales (Kislev), Soins des animaux</t>
  </si>
  <si>
    <t>Le récit secret d’Harkon</t>
  </si>
  <si>
    <t>Bellum Strategia (Myrmidia)</t>
  </si>
  <si>
    <t>L’art de la guerre (Myrmidia)</t>
  </si>
  <si>
    <t>La Clé d'Hermès (Ecate)</t>
  </si>
  <si>
    <t>Braconnage, Métier (trappeur), Pistage</t>
  </si>
  <si>
    <t>Connaissances académiques (esprits), Dressage, Soins des animaux</t>
  </si>
  <si>
    <t>Affinité Provinciale (Grand-duché du Talabecland), Etiquette</t>
  </si>
  <si>
    <t>Villes de Naggaroth</t>
  </si>
  <si>
    <t>Montagnes de l’Échine Noire</t>
  </si>
  <si>
    <t>Compétences:  Connaissances générales (Elfes Noirs), Déplacement Silencieux, Langue (druhir),  Orientation, Perception, Survie. Talents : Talents : Affinité provinciale (Montagnes de l’Échine Noire), 1 talent déterminé aléatoirement.</t>
  </si>
  <si>
    <t>Liqueur de Sang (une dose)</t>
  </si>
  <si>
    <t>Ombre pourpre estalienne</t>
  </si>
  <si>
    <t>P. de Manann</t>
  </si>
  <si>
    <t>Acuité visuelle, Amphibien, Coups assomants, Coups précis, Coups puissants, Ecailles (5), Inspiration Divine (Manann), Puissance imparable, Sain d'Esprit, Terrifiant, Venimeux, Vision nocturne, Vol</t>
  </si>
  <si>
    <t>Marqué par Manann</t>
  </si>
  <si>
    <t>Mine de Manann</t>
  </si>
  <si>
    <t>Allumeur de réverbères, Apprentie sorcière, Catéchiste, Catin, Chantre, Chasseur de vampires, Chevalier, Chevalier du soleil, Croisé, Dilettante, (Ursun) Dresseur d'ours, Étudiant, Fanatique (Morr),  Fauconnier (Myrmidia), Fossoyeur, Fouet de dieu, Gardien du temple (Vérénéen), Interprète, Investigateur verenéen/Inquisiteur estalien, Myrmidon, Ovate, Pèlerin, Pénitent, Pirate/Corsaire (Manann ou Stormfels), Prêcheur de rue, Raconteur, Répurgateur, Savant/Professeur (Véréna), Scribe, Sorcier des taillis, Sorcier de village</t>
  </si>
  <si>
    <t>Batelier, Contrebandier, Coupe-jarret, Explorateur, Initié (Manann ou Stormfels), Pêcheur, Matelot, Marin, Marchand</t>
  </si>
  <si>
    <t>Batelier, Contrebandier, Escroc, Hors-la-loi, Initié (Manann ou Stormfels), Matelot, Marchand, Marin, Navigateur, Officier en second, Pêcheur</t>
  </si>
  <si>
    <t>Venin de l'Alliance</t>
  </si>
  <si>
    <t>Q</t>
  </si>
  <si>
    <t>Domaine de Teiyogtei</t>
  </si>
  <si>
    <t>Royaume du Chaos</t>
  </si>
  <si>
    <t>Royaume du Grand Sorcier</t>
  </si>
  <si>
    <t>Terres du Maître de la Peste</t>
  </si>
  <si>
    <t>Domaine du Prince du Chaos</t>
  </si>
  <si>
    <t>Fief du Dieu du Sang</t>
  </si>
  <si>
    <t>La Forge des Âmes</t>
  </si>
  <si>
    <t>Compétences: Connaissances générales (Royaume du Chaos), Langue (Langage sombre), Survie Talents : Affinité provinciale (Terres du Maître de la Peste), Contagion, Guerrier né, Résistance accrue, Rompu au Chaos, +3d4 mutations + 3 Folies.</t>
  </si>
  <si>
    <t xml:space="preserve">Hydromel du Cercle de la Paresse </t>
  </si>
  <si>
    <t>Compétences: Connaissances générales (Royaume du Chaos), Langue (Langage sombre), Survie Talents : Guerrier né, Résistance accrue, Rompu au Chaos, +3d4 mutations + 3 Folies.</t>
  </si>
  <si>
    <t>Chroniques d’Hexoatl</t>
  </si>
  <si>
    <t>Sujet précis</t>
  </si>
  <si>
    <t>Sigmar</t>
  </si>
  <si>
    <t>Myrmidia</t>
  </si>
  <si>
    <t>Alchimie</t>
  </si>
  <si>
    <t>Biologie</t>
  </si>
  <si>
    <t>Economie</t>
  </si>
  <si>
    <t>Climatologie</t>
  </si>
  <si>
    <t>Géologie/Minéralogie</t>
  </si>
  <si>
    <t>Hydrologie/Océanologie</t>
  </si>
  <si>
    <t>Vulcanologie</t>
  </si>
  <si>
    <t>Mathématiques/Statistiques</t>
  </si>
  <si>
    <t>Temporalité</t>
  </si>
  <si>
    <t>Herboristerie/Botanique</t>
  </si>
  <si>
    <t>Zoologie</t>
  </si>
  <si>
    <t>Achéologie/Paléontologie</t>
  </si>
  <si>
    <t>Agronomie</t>
  </si>
  <si>
    <t>Anthropologie/Sociologie</t>
  </si>
  <si>
    <t>ethnies3</t>
  </si>
  <si>
    <t>Désolation du Chaos</t>
  </si>
  <si>
    <t>Codex de bataille</t>
  </si>
  <si>
    <t>Ecate</t>
  </si>
  <si>
    <t>Khorne</t>
  </si>
  <si>
    <t>Nurgle</t>
  </si>
  <si>
    <t>Tzeentch</t>
  </si>
  <si>
    <t>Slaanesh</t>
  </si>
  <si>
    <t>Grand Livre du Désespoir</t>
  </si>
  <si>
    <t>La Contrainte des Démons</t>
  </si>
  <si>
    <t>Liber carnagia</t>
  </si>
  <si>
    <t>Liber Infectius</t>
  </si>
  <si>
    <t>Liber Mutatis</t>
  </si>
  <si>
    <t>Liber Sinicitus</t>
  </si>
  <si>
    <t>Royaumes des nains</t>
  </si>
  <si>
    <t>Le Grand livre des esprits</t>
  </si>
  <si>
    <t>Architecture</t>
  </si>
  <si>
    <t>Précis de cartographie impériale</t>
  </si>
  <si>
    <t>L'Épée d'Urtur</t>
  </si>
  <si>
    <t>Manann</t>
  </si>
  <si>
    <t>De la mer et des hommes</t>
  </si>
  <si>
    <t>Grimoire Verum</t>
  </si>
  <si>
    <t>Shallya</t>
  </si>
  <si>
    <t>Le bréviaire de la souffrance</t>
  </si>
  <si>
    <t>Ulric</t>
  </si>
  <si>
    <t>Le Geistbuch</t>
  </si>
  <si>
    <t>Solkan</t>
  </si>
  <si>
    <t>Le livre des Lois</t>
  </si>
  <si>
    <t>Morr</t>
  </si>
  <si>
    <t>Le livre des portes</t>
  </si>
  <si>
    <t>Rhya</t>
  </si>
  <si>
    <t>Le livre des verts feuillages</t>
  </si>
  <si>
    <t>Le testament de Pergunda</t>
  </si>
  <si>
    <t>Les Contes de l’albatros</t>
  </si>
  <si>
    <t>Les mystères du dix</t>
  </si>
  <si>
    <t>Les psaumes du Corbeau</t>
  </si>
  <si>
    <t>Taal</t>
  </si>
  <si>
    <t>Les Rituels de l’ancien bosquet</t>
  </si>
  <si>
    <t>Les Sentiers de l’été</t>
  </si>
  <si>
    <t>Liber Lupus</t>
  </si>
  <si>
    <t>Liber Spiritum</t>
  </si>
  <si>
    <t>Stormfels</t>
  </si>
  <si>
    <t>Litanies de la Main Pourpre</t>
  </si>
  <si>
    <t>Minuit et le chat noir</t>
  </si>
  <si>
    <t>Véréna</t>
  </si>
  <si>
    <t>Teutognengeschichte</t>
  </si>
  <si>
    <t>Verrah Rubicon</t>
  </si>
  <si>
    <t>Ormazd/L'Unique</t>
  </si>
  <si>
    <t>Mes voyages au Kislev du Frère Begel</t>
  </si>
  <si>
    <t>Journal de Johan Beckstein</t>
  </si>
  <si>
    <t>Carnosaure</t>
  </si>
  <si>
    <t>Armes naturelles, Ecailles (3), Frénésie, Sans Peur, Terrifiant</t>
  </si>
  <si>
    <t>Terradon/Ptérodactyle</t>
  </si>
  <si>
    <t>LRdS</t>
  </si>
  <si>
    <t>SotM 60</t>
  </si>
  <si>
    <t>Domaine de l'Illusion</t>
  </si>
  <si>
    <t>Initié de Lileath</t>
  </si>
  <si>
    <t>Prêtre de Khaine</t>
  </si>
  <si>
    <t>Prêtre de Lileath</t>
  </si>
  <si>
    <t>Prêtre d'Arianka</t>
  </si>
  <si>
    <t>Prêtresse de Rigg</t>
  </si>
  <si>
    <t>Domaine de Rigg/du Serpent</t>
  </si>
  <si>
    <t>Illusionniste</t>
  </si>
  <si>
    <t>Collège Impérial d’Illusionnisme ou de Lugenheim (la Maison des Mensonges)</t>
  </si>
  <si>
    <t>Toucher de l'Almée</t>
  </si>
  <si>
    <t>Soleil pourpre de Xereus</t>
  </si>
  <si>
    <t>Bête Sauvage d'Horros</t>
  </si>
  <si>
    <t>Habitants d'en dessous</t>
  </si>
  <si>
    <t>Prestige de Teclis</t>
  </si>
  <si>
    <t>Anti-parasites</t>
  </si>
  <si>
    <t>Digestion</t>
  </si>
  <si>
    <t>un brin d'herbe fraiche (+1)</t>
  </si>
  <si>
    <t>Pendant la durée du sort, le lanceur de sort peut digérer toute substance végétale normalement immangeable et se nourrir de celle-ci. Cela lui permet de manger de l'herbe, des feuilles et les autres plantes. Le goût de la substance ne sera affecté d'aucune manière. Notez que pour survivre uniquement en mangeant de l'herbe, le sorcier devra en récolter une grande quantité et dépenser beaucoup de temps pour cela.</t>
  </si>
  <si>
    <t>un brin de gui frais (+1)</t>
  </si>
  <si>
    <t>vous écartez un nuage du ciel ou, dans le cas où le ciel est complètement obscurci par les nuages, vous éclaircissez une zone d'environ 100 mètres de diamètre dans la couverture nuageuse, toutes les variations météorologiques et géologiques s'apaisent: Le vent se calme, la pluie cesse, la poussière et le sable ne se soulèvent plus.. Les nuages continuent à se déplacer et à se former naturellement après que le sort a été lancé : la période de temps pendant laquelle vous disposerez d'une portion de ciel clair dépend du temps qu'il fait. Quand il est lancé pendant une pluie, ce sort interrompt également les précipitations, bien qu'il soit d'empêcher les gouttes de tomber sur un point donné du sol, car les vents les poussent et les emportent d'une manière qu'il est assez difficile de discerner et de prévoir.</t>
  </si>
  <si>
    <t>Prédiction du temps météorologique</t>
  </si>
  <si>
    <t>Magie commune (druidique)</t>
  </si>
  <si>
    <t>Ovate/Druide</t>
  </si>
  <si>
    <t>Le Livre d'Ashur</t>
  </si>
  <si>
    <t>Domaine de la Déesse mère (Ancienne Foi)</t>
  </si>
  <si>
    <t>une tasse de sang tirée quand Morrslieb est pleine (+3)</t>
  </si>
  <si>
    <t>Le bonus d'Endurance de la cible est doublé contre les dégâts causés par les attaques électriques, même magiques. Le bonus d'Endurance de la cible ne peut dépasser 10 en aucun cas.</t>
  </si>
  <si>
    <t>Pathologie</t>
  </si>
  <si>
    <t>Décomposition</t>
  </si>
  <si>
    <t>une feuille de chêne morte (+2)</t>
  </si>
  <si>
    <t>Sur l'incantation de ce sort, un rayon de lumière vert foncé part de l'index du lanceur jusqu'à une distance de 48 mètres. Toute matière organique (comme le bois, le cuir ou les accessoires de vêtement) se trouvant sur son trajet se décomposera et tombera instantanément en poussière. Si ce sort est lancé sur les vêtements ou l'armure d'un personnage ou d'un monstre, il leur sera accordé un Test de Force Mentale pour en éviter les effets. Rien de ce qui est vivant, ou animé magiquement, ne pourra être affecté par ce sort, à l'exception des Zombies qui, frappés par le rayon, deviendront immédiatement des Squelettes, avec les Caractéristiques de ces derniers.</t>
  </si>
  <si>
    <t>Invocation d'essaim</t>
  </si>
  <si>
    <t>une échantillon préservé des créatures invoquées (+2)</t>
  </si>
  <si>
    <t>Ce sort permet au druide de commander de petites créatures naturelles: Il peut évoquer une nuée de scarabées, de serpents, de lézards, d'araignées, de rats, de moustiques, de mouches, de grenouilles, de crapauds, de fourmis, de tiques, de scorpions ou de chauves-souris. La nuée apparaît dans les 48 mètres du lanceur, matérialisée par le petit gabarit et suivra des instructions simples. Tous ceux qui se trouvent sous le gabarit (alliés ou ennemis) subissent un malus de -10% en CC, -10% en CT, et -30% en Perception. En outre ils subissent 1 point de Blessure par round.</t>
  </si>
  <si>
    <t>Coup de lune</t>
  </si>
  <si>
    <t>deux sélénites (+2)</t>
  </si>
  <si>
    <t>Sélénite brute</t>
  </si>
  <si>
    <t>Livre d'Ashur 36</t>
  </si>
  <si>
    <t>Sélénite taillée</t>
  </si>
  <si>
    <t>Extinction du Feu</t>
  </si>
  <si>
    <t>Des nuages s’amoncellent dans le ciel, et au bout de 1d10 rounds, un déluge d’eau, de neige ou de grêle s’abat sur la zone. À chaque round, les cibles doivent réussir un test de Force sous peine de réduire leurs déplacements de moitié. Ce sort ne peut être lancé que si le ciel est déjà couvert.</t>
  </si>
  <si>
    <t>Apothicaire; Astrologue, Dilettante, Embaumeur, Envoûteur, Érudit, Étudiant, Interprète, Scribe, , Sorcier des taillis, Sorcier de village, Thaumaturge</t>
  </si>
  <si>
    <t>Ovate Elder</t>
  </si>
  <si>
    <t>Chasseur, Hors-la-loi, Sorcier des marches</t>
  </si>
  <si>
    <t>Ovate Aîné, Sorcier des taillis</t>
  </si>
  <si>
    <t>Acolyte de Khorne, Acolyte de Nurgle, Agitateur, Anachorète, Aubergiste, Berger/Pâtre, Bûcheron, Cénobite, Charlatan, Chef coq, Chasseur cornu, Chevaucheur de Dragon, Cocher, Collecteur de taxes, Conducteur de bestiaux, Conducteur de pousse-pousse, Danseur de guerre, Écuyer, Envoûteur, Escroc, Ex-détenu, Fanatique, Homme d'armes, Homme oiseau de Catrazza, Marcheur des Brumes, Maresquier, Matelot, Mercenaire, Milicien, Muletier, Naufrageur, Nomade de la steppe, Ovate, Ovate ainé, Paysan, Patrouilleur, Pèlerin, Percepteur, Pillard du désert, Piquier, Prêcheur de rue, Rôdeur des Principautés, Sorcier de village, Sorcier des taillis, Sycophante, Thaumaturge</t>
  </si>
  <si>
    <t>Chasseur, Initié (Taal et Rhya), Hors-la-loi, Ovate Ainé, Sorcier des taillis</t>
  </si>
  <si>
    <t>Métier (herboriste), Métier (Trappeur ou Sourcier/Fontainier)</t>
  </si>
  <si>
    <t>Alphabet secret (pisteur), Braconnage, Connaissance des pièges, Focalisation, Langage mystique (druidique), Magie commune (druidique), Pistage, Sens de la magie, Soin des animaux</t>
  </si>
  <si>
    <t>Charisme, Commandement, Commérage, Connaissances académiques (généalogie/héraldique, stratégie/tactique), Connaissances générales (Arabie), Équitation, Langage secret (langage de bataille), Langue (arabien), Orientation, Survie.</t>
  </si>
  <si>
    <t>Connaissances générales (Estalie), Esquive, jeu OU Marchandage, Intimidation, Langage secret (langage de bataille), Soin</t>
  </si>
  <si>
    <t>Commandement, Connaissances académiques (démonologie ou esprits), Connaissances académiques (histoire ou nécromancie) , Connaissances académiques (une au choix), Connaissances générales (Kislev ou Pays des Trolls), Connaissances générales (une au choix), Emprise sur les animaux, Focalisation, Intimidation, Langage mystique (magick), Langage mystique (une au choix), Langue (ungol), Métier (apothicaire ou herboriste), Perception, Préparation de poisons OU Soins, Sens de la magie, Soins des animaux</t>
  </si>
  <si>
    <t>Alphabet secret (pisteur), Braconnage, Connaissances académiques (Théologie), Connaissance des pièges, Inspiration Divine (Domaine de la Déesse Mère), Langage mystique (druidique), Pistage, Sens de la magie, Soin des animaux</t>
  </si>
  <si>
    <t>Connaissances académiques (démonologie), Connaissances générales (une au choix), Déguisement, Focalisation, Intimidation, Langage mystique (démonik), Lire/écrire, Sens de la magie, Soins, Survie, Torture</t>
  </si>
  <si>
    <t>Charisme, Commérage ou Intimidation, Connaissances académiques (démonologie), Déguisement OU Évaluation, Expression artistique (une au choix) OU Résistance à l’alcool, Focalisation, Jeu, Langage mystique (démonik), Lire/écrire, Sens de la magie</t>
  </si>
  <si>
    <t>Charisme OU Commandement, Commérage OU Intimidation, Connaissances académiques (démonologie), Connaissances académiques (une au choix), Connaissances générales (une au choix) OU Déguisement, Évaluation, Préparation de poisons, Focalisation, Langage mystique (démonik), Langue (une au choix) OU Métier (un au choix), Lire/écrire, Perception, Sens de la magie</t>
  </si>
  <si>
    <t>Charisme (Soc), Commandement (Soc+20%), Commérage (Soc), Connaissances académiques (Histoire) (Int+20%), Connaissances générales (Dragons et draconides (Int+20%),Désolations du Chaos (Int+10%), Hommes-bêtes (Int)), Escalade (Ag+10%), Evaluation (Int+10%), Focalisation (FM), Fouille (Int), Intimidation (F+20%), Langage mystique (démonik), Langue (langage sombre +3 au choix) (Int), Perception (Int+20%), Sens de la Magie (FM)</t>
  </si>
  <si>
    <t>Commandement, Connaissances générales (deux au choix), Équitation ou Navigation, Esquive, Intimidation, Langage mystique (démonik), Langue (trois au choix), Perception, Survie</t>
  </si>
  <si>
    <t>Commandement, Connaissances générales (une au choix, Khorne uniquement) OU Sens de la magie, Esquive, Expression artistique (conteur), Focalisation OU Torture (Khorne uniquement), Intimidation, Langage mystique (démonik), Langue (langage sombre), Perception, Soins</t>
  </si>
  <si>
    <t>Connaissances générales (trois au choix), Équitation, Langage mystique (démonik), Langue (deux au choix)</t>
  </si>
  <si>
    <t>Connaissances académiques (magie), Connaissances académiques (une au choix), Connaissances générales (Terres Sombres), Focalisation, Intimidation, Langage mystique (démonik), Langue (deux au choix), Lire/écrire, Sens de la magie</t>
  </si>
  <si>
    <t>Déplacement silencieux (Ag), Dissimulation (Ag+10%), Esquive (Ag), Langage mystique (démonik) (Int), Langue (langage sombre) (Int), Natation (F), Perception (Int)</t>
  </si>
  <si>
    <t>Commandement, Connaissances générales (Désolations du Chaos), Connaissances générales (Norsca), Équitation OU Navigation, Esquive, Intimidation, Langage mystique (démonik), Langue (langage sombre, norse, kurgan ou hung), Perception, Survie</t>
  </si>
  <si>
    <t>Charisme, Commandement, Connaissances académiques (démonologie), Esquive, Intimidation, Langage mystique (démonik), Langue (quatre aux choix), Perception, selon le dieu: Préparation de poisons (Nurgle), Sens de la magie (Tzeentch), Torture (Slaanesh)</t>
  </si>
  <si>
    <t>Charisme, Commandement, Connaissances académiques (démonologie), Esquive, Intimidation, Langage mystique (démonik), Langue (quatre aux choix), Perception</t>
  </si>
  <si>
    <t>Commandement, Connaissances académiques (démonologie ou nécromancie), Connaissances académiques (théologie), Focalisation, Hypnotisme, Intimidation, Langage mystique (démonik), Langage mystique (magick), Langue (une au choix), Perception, Sens de la magie</t>
  </si>
  <si>
    <t>Commandement, Connaissances générales (deux au choix), Connaissances générales (une au choix, Khorne uniquement) OU Sens de la magie, Expression artistique (conteur), Focalisation OU Torture (Khorne uniquement), Intimidation, Langage mystique (démonik), Langue (trois au choix), Perception, Soins</t>
  </si>
  <si>
    <t>Connaissances académiques (magie), Connaissances académiques (théologie), Focalisation, Fouille, Langage mystique (démonik), Langage mystique (magick), Lire/écrire, Perception, Sens de la magie</t>
  </si>
  <si>
    <t>Commérage, Connaissances académiques (démonologie), Connaissances académiques (magie), Connaissances académiques (nécromancie), Connaissances générales (Empire), Connaissances générales (une au choix), Equitation, Focalisation, Fouille, Intimidation, Langage mystique (démonik), Langage mystique (magick), Langue (deux au choix), Lire/Ecrire, Perception, Sens de la magie, Torture</t>
  </si>
  <si>
    <t>Connaissances académiques (magie), Connaissances académiques (deux au choix), Connaissances générales (deux au choix), Focalisation, Intimidation, Lire/écrire, Sens de la magie, Langage mystique (démonik), Langue (trois au choix)</t>
  </si>
  <si>
    <t>Connaissances académiques (démonologie), Connaissances académiques (magie), Focalisation, Fouille, Langage mystique (démonik), Langue (une au choix), Lire/écrire, Perception, Sens de la magie</t>
  </si>
  <si>
    <t>Baratin OU Langage mystique (démonik ou magick), Emprise sur les animaux, Expression artistique (chiromancien) OU Focalisation, Perception OU Sens de la magie</t>
  </si>
  <si>
    <t>Focalisation (FM+10%), Langage mystique (démonik) (Int), Langue (langage sombre) (Int), Sens de la magie (FM+30%)</t>
  </si>
  <si>
    <t>Commandement, Connaissances académiques (magie), Connaissances académiques (théologie), Connaissances académiques (une au choix), Connaissances générales (deux au choix), Focalisation, Intimidation, Langage mystique (démonik ou magick), Langue (deux au choix), Lire/écrire, Sens de la magie</t>
  </si>
  <si>
    <t>Connaissances académiques (trois au choix), Connaissances générales (trois au choix), Focalisation, Intimidation, Langage mystique (démonik), Langue (quatre au choix), Lire/écrire, Sens de la magie</t>
  </si>
  <si>
    <t>Connaissances académiques (démonologie), Connaissances académiques (une au choix), Connaissances générales (une au choix), Équitation OU Natation, Focalisation, Fouille, Intimidation, Langage mystique (démonik), Langage mystique (magick), Langue (deux au choix), Perception, Sens de la magie</t>
  </si>
  <si>
    <t>Dressage, Expression artistique (conteur), Focalisation, Hypnotisme, Intimidation, Langage mystique (démonik), Langue (langage sombre), Perception, Sens de la magie, Survie</t>
  </si>
  <si>
    <t>Transfert de Folie</t>
  </si>
  <si>
    <t>Permet au lanceur de transférer 1D6 points de folie sur la cible si celle-ci échoue à un test de Force Mentale. Chaque incantation de ce sort fait gagner 1 point de folie au lanceur.</t>
  </si>
  <si>
    <t>un être vivant ayant bu 1l de sang de démon (+3)</t>
  </si>
  <si>
    <t>LRdS 185</t>
  </si>
  <si>
    <t>Ti mon Kiki</t>
  </si>
  <si>
    <t>un doudou volé à un enfant (+2)</t>
  </si>
  <si>
    <t>Le chaman en appelle à Mork pour rendre un groupe d'orques ou de gobelins, se trouvant à moins de 24 mètres de lui, particulièrement résistant tant que dure le sort. Le groupe affecté bénéficie d'un bonus de +10% en Endurance et porte toutes ses attaques avant que les adversaires aient l'occasion de frapper. Les orques et les gobelins redeviennent "normaux" au début du round suivant dès la fin du sort. Le sort est souvent utilisé au moment de charger un camp ennemi ou de pair avec une formation de combat.</t>
  </si>
  <si>
    <t>un nombre d'Alliés égal à votre Valeur de Magie à portée gagne +20 aux tests d'Initiative tant que perdure ce sort.</t>
  </si>
  <si>
    <t>Dur comme des Griffes</t>
  </si>
  <si>
    <t>un crachat de troll (+3)</t>
  </si>
  <si>
    <t>Une gigantesque main griffue verte descend d'une ouverture qui palpite dans le ciel au-dessus de la cible, qu'elle attrape et soulève très haut au rythme de 3 mètres par round. La victime peut tenter de se libérer chaque round par un test de Force; sur une réussite, elle plonge vers le sol et encaisse les dommages normaux d'une chute (voir Livre de Base p.138). La main disparaît ensuite dans un immense le trou qui se referme derrière elle. Si le prisonnier n'a pu se libérer avant la fin du sort, elle le laisse tomber avant de franchir l'ouverture. Très peu de gens ont été emmenés dans le trou, et aucun n'en est revenu.</t>
  </si>
  <si>
    <t>le poing de Gork vous frappe avec véhémence et vous confère et + 20% en Force et en CC tant que perdure ce sort. Vous subissez 1d6 points de Blessure vu que votre dieu n'est pas très délicat.</t>
  </si>
  <si>
    <t>Feu purificateur de Zuvassin</t>
  </si>
  <si>
    <t>un tonneau de Zuvassin (+3)</t>
  </si>
  <si>
    <t>un éclair d'énergie bleue s'échappe des mains du lanceur et touche automatiquement une cible et lui inflige 3 pts de Blessures. Contre les créatures du Chaos (Démons, Hommes-Bêtes, Guerriers du Chaos, etc.), le Feu Purificateur de Malal inflige 2d4 Blessures à la place. Cette attaque est un projectile magique.</t>
  </si>
  <si>
    <t>Cette magique provoque l'échauffement et l'évaporation des matières du Chaos: Plus la victime contient de Chaos, plus la chaleur est importante même si celle-ci n'inflige pas de brûlure physique et ne laisse pas de traces. Le Feu Purificateur inflige 1d6 points de Blessure par mutation détruite et lorsque qu'il traite une créature ou un adepte du Chaos, il inflige 4D6 Blessures supplémentaires. Tous ces dégâts ne tiennent pas compte des PA ni du BE et ne s'appliquent pas aux membres du culte de Zuvassin. Les victimes qui tombent à 0 Blessures subissent un Coup Critique. Les survivants gagnent un Point de Folie par point de Blessure perdu dans le Feu Purificateur. Ce qui reste après le passage -que ce soit mort ou vivant - est complètement libéré du Chaos: Même un Homme-bête redeviendra complètement Humain. Toutefois l' action intérieure se révèlera ensuite par une fièvre élevée accompagnée de délires, de douleurs articulaires et d'une faiblesse intense pendant 2d4 jours.</t>
  </si>
  <si>
    <t>Les pérégrinations de Yin-Tuan</t>
  </si>
  <si>
    <t>Grimoire des Jours Anciens</t>
  </si>
  <si>
    <t>La Flamme Éternelle</t>
  </si>
  <si>
    <t>Journaux du Père Igyori Rhyurvic de Brünmarl</t>
  </si>
  <si>
    <t>Recueil des Divinations célestines/Livre Céleste des Divinations</t>
  </si>
  <si>
    <t>Tribus du nord (Sortsvinaers)</t>
  </si>
  <si>
    <t>Compétences: Connaissances générales (Norsca), Langue (langage sombre), Navigation OU Escalade, Résistance à l'alcool, Survie. Talents : Affinité provinciale (Nord de la Norsca), Résistance accrue, Rompu au Chaos, 20% de chances de commencer le jeu avec une mutation.</t>
  </si>
  <si>
    <t>de Défense enflammée</t>
  </si>
  <si>
    <t>de Valaya</t>
  </si>
  <si>
    <t>13 tests pour activation</t>
  </si>
  <si>
    <t>de Stromni Barbe rouge</t>
  </si>
  <si>
    <t>de Snorri Spangelheim</t>
  </si>
  <si>
    <t>Permanente: Tout sort lancé sur un groupe d'individus comprenant le porteur de cette rune échoue automatiquement; les actions et les composants de sorts du lanceur de ce sort sont normalement utilisés. Temporaire: comme permanente mais l'avantage ne dure que 1 minute.</t>
  </si>
  <si>
    <t>de Sarcasmes</t>
  </si>
  <si>
    <t>14 tests pour activation</t>
  </si>
  <si>
    <t>Permanente: Si les ennemis échouent à un test de CC ou de CT avec une marge inférieure à 30, ils chargent imprudemment le porteur et attaquent avec un modificateur de -10 en CC et en CT pour la durée du combat. Si la marge d'échec est de 30 ou plus, les ennemis s'enfuient comme s'ils étaient sujets à la peur. Si la rune figure sur une bannière, le porteur et ses associés (jusqu'à 3 mètres de la bannière) bénéficient de ses effets. Temporaire: comme permanente mais l'avantage ne dure que 1 minute.</t>
  </si>
  <si>
    <t>de Diamant</t>
  </si>
  <si>
    <t>de Terreur/du Désarroi</t>
  </si>
  <si>
    <t>de Bannissement/de Conjuration</t>
  </si>
  <si>
    <t>de Purification</t>
  </si>
  <si>
    <t>Tuevermine</t>
  </si>
  <si>
    <t>2 tests pour activation</t>
  </si>
  <si>
    <t>Permanente: Cette rune est le plus souvent inscrite sur la margelle d'un puits souterrain ou sur les murs d'un réduit. Elle y purifie l'air et l'eau et peut même venir à bout des fumées toxiques et des contaminations métalliques. L'eau tirée d'un puits protégé par la rune, est toujours aussi fraîche et pure que celle de la première fonte au sommet des montagnes.  Elle doit être inscrite sur un objet immobile. Si l'objet est détruit ou déplacé, l'effet cesse. Plusieurs objets doivent être marqués de la même rune pour créer une zone d'effet entre eux (trois au minimum). La taille de la zone qui peut être affectée par les runes de purification est également déterminée par le nombre d'objets inscrits. Une rune peut créer une zone d'effet maximale à peu près égale à une pièce de taille normale; trois runes pourraient garder une maison de taille moyenne; dix runes un immense château ou une forteresse (ou un petit village); vingt à trente runes pourraient protéger une ville… etc. De grandes zones délimitées par des runes de purification en auront donc beaucoup et en détruire quelques-unes aura peu d'effet. Les runes détruites peuvent être remplacées et si nécessaire, la zone délimitée peut être augmentée en ajoutant de plus de runes protectrices à une date ultérieure. Temporaire: La rune temporaire reste active jusqu'à l'aube du jour qui suit son activation.</t>
  </si>
  <si>
    <t>Chercheuse</t>
  </si>
  <si>
    <t>de Tiédeur</t>
  </si>
  <si>
    <t>les créatures mort vivantes à portée sont éblouies, malgré leur absence de vision naturelle. Elles perdent toute une action par round. La bénédiction de la Lumière éclaire également les lieux comme en plein jour, malgré l’absence de source de lumière artificielle ou naturelle, et peut être perçue à vue assez loin. Cette bénédiction peut donc être utilisée pour envoyer un signal.</t>
  </si>
  <si>
    <t>de Signal/de Lumière</t>
  </si>
  <si>
    <r>
      <t xml:space="preserve">Permanente: Cette rune une fois activée (une fois par combat) permet de lancer automatiquement le Sort </t>
    </r>
    <r>
      <rPr>
        <i/>
        <sz val="10"/>
        <rFont val="Arial"/>
        <family val="2"/>
      </rPr>
      <t>Mur de feu</t>
    </r>
    <r>
      <rPr>
        <sz val="10"/>
        <rFont val="Arial"/>
        <family val="2"/>
      </rPr>
      <t>. Temporaire: Comme ci-dessus mais ne fonctionne qu'une seule fois</t>
    </r>
  </si>
  <si>
    <t>de Prothèse vivante</t>
  </si>
  <si>
    <t>de Sanctuaire</t>
  </si>
  <si>
    <t>1 tests pour activation</t>
  </si>
  <si>
    <r>
      <t xml:space="preserve">Permanente: Cette rune une fois activée permet de lancer automatiquement le sort </t>
    </r>
    <r>
      <rPr>
        <i/>
        <sz val="10"/>
        <rFont val="Arial"/>
        <family val="2"/>
      </rPr>
      <t xml:space="preserve">Anti-parasites </t>
    </r>
    <r>
      <rPr>
        <sz val="10"/>
        <rFont val="Arial"/>
        <family val="2"/>
      </rPr>
      <t>et affecte une zone qu'elle protège de la même façon . Elle doit être inscrite sur un objet immobile. Si l'objet est détruit ou déplacé, l'effet cesse. Plusieurs objets doivent être marqués de la même rune pour créer une zone d'effet entre eux (trois au minimum). La taille de la zone qui peut être affectée par les rune tuevermine est également déterminée par le nombre d'objets inscrits. Une rune peut créer une zone d'effet maximale à peu près égale à une pièce de taille normale; trois runes pourraient garder une maison de taille moyenne; dix runes un immense château ou une forteresse (ou un petit village); vingt à trente runes pourraient protéger une ville… etc. De grandes zones délimitées par des runes tuevermines en auront donc beaucoup et en détruire quelques-unes aura peu d'effet. Les runes détruites peuvent être remplacées et si nécessaire, la zone délimitée peut être augmentée en ajoutant de plus de runes protectrices à une date ultérieure.  Temporaire: La rune temporaire reste active jusqu'à l'aube du jour qui suit son activation.</t>
    </r>
  </si>
  <si>
    <t>Brisante/de Rupture</t>
  </si>
  <si>
    <t>Empena était une jeune fille au Bouclier qui se tint son poste de garde sans jamais frissonner tout au long de l'hiver le plus froid que les montagnes estaliennes aient jamais vu . Arborer son visage, c'est ne montrer aucune émotion. Pendant ce temps, personne ne peut discerner vos véritables intentions, sentiments ou pensées en vous examinant (mais ils peuvent vérifier d'autres preuves, bien sûr). Aucun test de Perception ne peut percevoir vos véritables motifs, ni pénétrer votre déguisement si vous réussissez également un tel test. Sous un examen magique, vous devez toutefois réussir un test d'opposition en Focalisation pour maintenir votre illusion. Vous devrez peut-être faire des tests de Charisme tout en utilisant ce sort, car ne pas trahir un mensonge n'est pas la même chose que convaincre les autres de sa vérité. Vous gagnez cependant + 10% à de tels tests tant que le sort est actif.</t>
  </si>
  <si>
    <t>de Révélation</t>
  </si>
  <si>
    <t>Permanente: Comme une Rune de Fournaise si ce n'est que toute arme portant cette rune protège en sus son porteur de tout souffle de dragon (aucun dommage) et de la peur et de la terreur infligées par un dragon. Tous les alliés à moins de 48 mètres (24 cases) bénéficient aussi de la protection contre la peur et la terreur. L'arme ignore également les PA et BE des dragons (écailles). Lorsque cette rune se rapproche d'un dragon, elle brille faiblement. Cela se produit à environ 900m de portée. La rune peut également être inscrite sur un projectile (boulon, pierre, flèche… etc.) et même sur des balles tirées par des armes à poudre. Temporaire: Comme ci-dessus mais ne fonctionne qu'une seule fois durant 5 minutes (ou un projectile).</t>
  </si>
  <si>
    <t>de Force/de Clivage</t>
  </si>
  <si>
    <t>d'Explosion</t>
  </si>
  <si>
    <t xml:space="preserve">Les nains se servent de cette rune dans les opérations minières, et uniquement sous une forme temporaire. Ces runes une fois activées simultanément permettent de lancer automatiquement le sort Explosion flamboyante qui se déclenche 1d6 minutes après activation. Elle affecte une zone de la même façon et doit être inscrite sur un objet immobile: Si l'objet est détruit ou déplacé, l'effet cesse. Plusieurs objets doivent être marqués de la même rune pour créer une zone d'effet entre eux (trois au minimum). La taille de la zone qui peut être affectée par les rune d'explosion est également déterminée par le nombre d'objets inscrits. Une seule rune peut créer une zone d'effet maximale à peu près égale à une pièce de taille normale; trois runes une maison de taille moyenne; dix runes un immense château ou une forteresse (ou un petit village); vingt à trente runes une ville… etc. De grandes zones délimitées par des runes d'Explosion en auront donc beaucoup et en détruire quelques-unes aura peu d'effet. Les runes détruites peuvent être remplacées et si nécessaire, la zone délimitée peut être augmentée en ajoutant de plus de runes protectrices à une date ultérieure.  </t>
  </si>
  <si>
    <t>Chansonnier/Chroniqueur</t>
  </si>
  <si>
    <t>Dealer</t>
  </si>
  <si>
    <t>Cordonnier/Savetier</t>
  </si>
  <si>
    <t>Chirurgie, Contagion</t>
  </si>
  <si>
    <t>Connaissances académiques (médecine), Préparation de poisons</t>
  </si>
  <si>
    <t>Test de Faim</t>
  </si>
  <si>
    <t>Test de Soif</t>
  </si>
  <si>
    <t>Mon encombrement :</t>
  </si>
  <si>
    <t>LLdA: Le Livre d'Ashur</t>
  </si>
  <si>
    <t>Boussole</t>
  </si>
  <si>
    <t>une aiguille en fer (+1)</t>
  </si>
  <si>
    <t>ce sort permet de connaître la direction du Nord. Il est aussi possible de choisir une autre direction afin de garder un cap pendant toute la durée du sort. Ce sort n’est pas affecté par les sources électromagnétiques puissantes, magiques ou non.</t>
  </si>
  <si>
    <t>Agenda de Memol l'Oublieux</t>
  </si>
  <si>
    <t>une feuille de parchemin vierge (+1)</t>
  </si>
  <si>
    <t>la feuille de parchemin vierge retranscrit automatiquement toute notion de rendez-vous ou de durée tant que dure le sort. Attention de changer régulièrement de page sinon elle deviendra vite illisible.</t>
  </si>
  <si>
    <t>Encre de nuit</t>
  </si>
  <si>
    <t>un silex (+1)</t>
  </si>
  <si>
    <t>vos forcez le personnage ciblé à laisser tomber ce qu'il tient dans ses mains. Le sujet peut résister au sort s'il réussit un test de Force Mentale</t>
  </si>
  <si>
    <t>Magie divine (magie commune divine)</t>
  </si>
  <si>
    <t>Magie Commune occulte</t>
  </si>
  <si>
    <t>Magie commune de Rigg/Serpent</t>
  </si>
  <si>
    <t>Parfum selon Xamara</t>
  </si>
  <si>
    <t>toucher (contact)</t>
  </si>
  <si>
    <t>une petite fiole vide (+1)</t>
  </si>
  <si>
    <t>le zawit est entouré d'une légère fragrance, un nuage de parfum subtil, qui est différent pour chaque personne qui le sent. Trop discret pour apporter un quelconque avantage mais de luxe et de bon goût.</t>
  </si>
  <si>
    <t>Zone de saveur</t>
  </si>
  <si>
    <t>une pomme caramélisée (+2)</t>
  </si>
  <si>
    <t>Ce sort crée une zone centrée sur l'enchanteur où toute nourriture consommée paraît bien meilleure qu'en réalité. Un repas normal ressemble à un festin à la cour de l'Empereur, et même les provisions de voyage sont savoureuses. Zone de Saveur n'affecte pas la qualité de la nourriture - des aliments pourris rendront toujours malade, un plat empoisonné sera toujours toxique. Pendant qu'il maintient le sort, le prêtre ne peut ni lancer d'autres sorts ni utiliser la compétence Méditation. Si deux zones ou plus se touchent ou se chevauchent, elles sont toutes instantanément détruites.</t>
  </si>
  <si>
    <t>Trou de mémoire</t>
  </si>
  <si>
    <t>1d6 rounds</t>
  </si>
  <si>
    <t>une gomme (+2)</t>
  </si>
  <si>
    <t>L’Enchanteur oppose un vide contre un événement précis passé dans la minute. Cela n’affecte pas la mémoire mais la bloque le temps du sortilège. Dès que le sort s’achève, la victime se rappelle alors de tout et peut agir en conséquence. Elle s’oppose à ce sort grâce à un Test de Force Mentale.</t>
  </si>
  <si>
    <t xml:space="preserve">vos prières attirent le pouvoir mortel du scorpion jusqu'à votre lame. Votre arme de corps à corps, qui doit impérativement être une dague, inflige +1 dommage. </t>
  </si>
  <si>
    <t>Dard Caudal</t>
  </si>
  <si>
    <t>vous psalmodiez de noires prières au Prince Scorpion et vos mains se mettent à saigner, ce qui fait de vous un élu de Khaine. En réalité, elles dégoulinent du sang de l'individu assassiné et éclaboussent vos adversaires au combat. Tout ennemi désirant vous charger doit avant tout réussir un test de Force Mentale. En cas d'échec, l'assaillant perd son action de charge du round, pétrifié par la vision de tout ce sang. En outre, tous ceux qui vous affrontent subissent un malus de -10% aux tests de Capacité de Combat et d'Agilité car ils tentent instinctivement d'éviter le terrifiant ichor.</t>
  </si>
  <si>
    <t>votre juste prière emplit un hérétique d'un désespoir tel qu'il est confronté à la perspective de sa propre damnation. L'hérétique (tel que le définit le MJ, mais qui inclut les cultistes du Chaos, les nécromanciens, les envoûteurs, les traîtres à l'Empire et autres individus constituant des ennemis par nature en raison de leurs activités, de leur carrière et de leurs dieux et non de leur race) subit un malus de -20% aux tests de Volonté visant à résister aux sorts découlant d'une Inspiration divine, mais également contre les utilisations des compétences Intimidation et Torture.</t>
  </si>
  <si>
    <r>
      <t xml:space="preserve">avec l’aide des esprits, vous altérez la réalité autour de vos cibles, de sorte que le destin leur soit totalement défavorable. Pendant 18 rounds, toutes les créatures dans un rayon de 10 mètres autour d’un point précis que vous déterminez à une distance maximale de 50 mètres (25 cases) doivent relancer tous leurs jets de dés réussis, avec une difficulté Difficile (-20%). Lorsque le sort cesse, son lanceur doit faire un test de Force mentale Assez Facile (+10%). En cas d’échec, 1d10 esprits apparaissent immédiatement et agissent tel que la Table 8-7 des </t>
    </r>
    <r>
      <rPr>
        <i/>
        <sz val="10"/>
        <rFont val="Arial"/>
        <family val="2"/>
      </rPr>
      <t>Sables Périlleux:</t>
    </r>
    <r>
      <rPr>
        <sz val="10"/>
        <rFont val="Arial"/>
        <family val="2"/>
      </rPr>
      <t xml:space="preserve"> esprits capricieux l’indique.</t>
    </r>
  </si>
  <si>
    <t>Esprit sylvain</t>
  </si>
  <si>
    <t>Parade éclair, Sans Peur</t>
  </si>
  <si>
    <t>Animation de l'esprit sylvain</t>
  </si>
  <si>
    <t>1 demi-action par esprit</t>
  </si>
  <si>
    <t>un morceau de jonc sanguinaire (+1)</t>
  </si>
  <si>
    <t>vous animez un nombre d'esprits sylvains égal à votre valeur de Magie. Vous devez vous trouver dans un rayon de 12 mètres (6 cases) d'une forêt ou de toute autre étendue boisée d'où ils surgissent.</t>
  </si>
  <si>
    <t>Art topiaire</t>
  </si>
  <si>
    <t>1 minute/point de Magie</t>
  </si>
  <si>
    <t>une graine, un noyau ou un fruit de la plante à affecter</t>
  </si>
  <si>
    <r>
      <t xml:space="preserve">Le tisse-sort s'adresse à une graine qui va ensuite pousser naturellement selon la forme décidée au départ. Par exemple, un arbre va devenir une maison vivante, avec des portes, des fenêtres et des escaliers. Dans ce cas, il n'atteindra probablement sa maturité qu'au bout de 80 à 100 ans. À plus court terme, cela permet de donner une forme précise à des buissons, une allure inhabituelle à des fleurs et des fruits, etc. Pour que sa réalisation soit à la fois esthétique et inhabituelle, le mage doit posséder une compétence d'Expression Artistique. La vitesse de croissance peut être augmentée en lançant </t>
    </r>
    <r>
      <rPr>
        <i/>
        <sz val="10"/>
        <rFont val="Arial"/>
        <family val="2"/>
      </rPr>
      <t>Croissance vitale</t>
    </r>
    <r>
      <rPr>
        <sz val="10"/>
        <rFont val="Arial"/>
        <family val="2"/>
      </rPr>
      <t>.</t>
    </r>
  </si>
  <si>
    <t>Albionais</t>
  </si>
  <si>
    <t>Charisme (Soc), Commandement (Soc+20%), Commérage (Soc), Connaissances académiques (Histoire) (Int+20%), Connaissances générales (Albion (Int+20%), Humains (Int+20%)), Focalisation (FM), Fouille (Int), Intimidation (F+20%), Langage mystique (draconik), Langue (Albionais + 3 au choix) (Int), Perception (Int+20%), Sens de la Magie (FM)</t>
  </si>
  <si>
    <t>Bûcheron, Charbonnier, Chasseur cornu, Dresseur, Gardien tribal/Amazone/Fianna d'Albion, Ovate, Ovate ainé</t>
  </si>
  <si>
    <t>Colonie Albionnaise de Neuland</t>
  </si>
  <si>
    <t>Compétences : Commérage, Connaissances générales (Albion), Langue (Albionais). Talents : Affinité Provinciale (Colonie Albionnaise de Neuland), 2 talents déterminés aléatoirement.</t>
  </si>
  <si>
    <t>Gardien tribal/Amazone/Fianna d'Albion</t>
  </si>
  <si>
    <t>Bateleur, Gardien tribal/Amazone/Fianna d'Albion</t>
  </si>
  <si>
    <t>Caravanier, Conducteur de bestiaux, Gardien tribal/Amazone/Fianna d'Albion, Homme d'armes, Messager, Patrouilleur, Soldat</t>
  </si>
  <si>
    <t>Bedeau, Cartographe, Cocher, Conducteur de bestiaux, Conducteur de pousse-pousse, Éclaireur, Faussaire, Gardien tribal/Amazone/Fianna d'Albion, Héraut, Interprète, Maquignon, Muletier, Pamphlétaire, Patrouilleur, Percepteur, Pisteur, Soldat, Vendeur de journaux</t>
  </si>
  <si>
    <t>Archer monté, Berger/Pâtre, Bûcheron, Cavalier ailé/Jinete estalien, Champion, Charbonnier, Chasseur, Chasseur cornu, Chasseur de primes, Chevalier du Champ Vedoyant, Cocher, Conducteur de bestiaux, Éclaireur, Frère de la cape, Gardien tribal/Amazone/Fianna d'Albion, Guide, Herrimault, Messager, Mineur, Muletier,Nomade de la steppe, Patrouilleur, Porterune, Sorcier des taillis, Sentinelle halfling, Vagabond, Vierge de glace, Yeoman</t>
  </si>
  <si>
    <t>Anachorète, Bateleur, Berger/Pâtre, Bûcheron, Caravanier, Cartographe, Cénobite, Charbonnier, Chasseur cornu, Chevaucheur de Dragon, Chirurgien barbier, Écumeur des marais, Émissaire elfe, Envoûteur, Eunuque, Ex-détenu, Gardien tribal/Amazone/Fianna d'Albion, Grenouillère, Herrimault, Homme d'armes, Hors-la-loi, Malandrin, Maresquier, Mercanti/Colporteur, Monte-en-l'air, Nomade de la steppe, Oracle, Pèlerin, Pèlerin du Graal, Pèlerin exalté, Pénitent, Sentinelle halfling, Soldat, Sorcier de village, Sycophante, Talib (Dresseur de djinn), Thaumaturge</t>
  </si>
  <si>
    <t>Acolyte de Khorne, Archer monté, Askari, Baleinier, Berger/Pâtre, Berserk norse, Canonnier, Cavalier ailé/Jinete estalien, Chef de guerre, Chevalier du Champ Vedoyant, Chevalier Panthère, Chevaucheur de Dragon, Combattant des tunnels, Croisé, Danseur de guerre, Écuyer, Égoutier, Flagellant, Frère de la cape, Garde des profondeurs, Gardien tribal/Amazone/Fianna d'Albion, Gladiateur, Herrimault, Homme d'armes, Homme oiseau de Catrazza, Homme lige, Hors-la-loi, Janissaire, Kossar kislevite, Maître des runes, Méhariste, Mercenaire, Naufrageur, Pèlerin exalté, Pillard, Piquier, Pistolier/Foudroyeur, Porterune, Sapeur Pompier, Soldat, Shugenja/Sädhu, Streltsi, Tchékiste, Tercio estalien, Vierge de glace</t>
  </si>
  <si>
    <t>Kithband Warrior/Amazon/Albion Fianna</t>
  </si>
  <si>
    <t>Vin de table/coupé (Bouteille), chope en bois, un au choix  parmi: bolas, lasso, filet</t>
  </si>
  <si>
    <t>Affinité Provinciale (Ostermark)</t>
  </si>
  <si>
    <t>Chroniques d’Ostermark</t>
  </si>
  <si>
    <t>Versets de Macadamnus de Greill</t>
  </si>
  <si>
    <t>SablesP 279/ Mordheim 52</t>
  </si>
  <si>
    <t>Arsenal 72/ WJDR 122/ Mordheim 52</t>
  </si>
  <si>
    <t>Mordheim 54</t>
  </si>
  <si>
    <t>Mordheim 55</t>
  </si>
  <si>
    <t>Pistolet de duel</t>
  </si>
  <si>
    <t>1d4 Mutations, Soif de Sang</t>
  </si>
  <si>
    <t>(Coups Précis OU Coups Assommants, Maitrise (fouet)) OU (Magie commune (Divine), Incantation de bataille)</t>
  </si>
  <si>
    <t>Charisme, Commérage, Connaissances Académiques (Théologie), Équitation OU Natation, Lire/Écrire</t>
  </si>
  <si>
    <t>Mordheim 130</t>
  </si>
  <si>
    <t>Œil omniscient de Numas</t>
  </si>
  <si>
    <t>Le Porteur peut voir à travers les murs et les obstacles qui lui bouchent la ligne de vue</t>
  </si>
  <si>
    <t>Mordheim 125</t>
  </si>
  <si>
    <t>Clef de Khorne/Cagoule d'exécuteur noir</t>
  </si>
  <si>
    <r>
      <t xml:space="preserve">Confère le Talent </t>
    </r>
    <r>
      <rPr>
        <i/>
        <sz val="10"/>
        <rFont val="Arial"/>
        <family val="2"/>
      </rPr>
      <t>Frénésie</t>
    </r>
    <r>
      <rPr>
        <sz val="10"/>
        <rFont val="Arial"/>
        <family val="2"/>
      </rPr>
      <t xml:space="preserve"> à son porteur</t>
    </r>
  </si>
  <si>
    <t>Confère +10% en Sociabilité à son porteur</t>
  </si>
  <si>
    <t>Confère +1 en Magie à son porteur</t>
  </si>
  <si>
    <t>Miséricorde du Comte de Ventimiglia</t>
  </si>
  <si>
    <t>Bottes de Pieter</t>
  </si>
  <si>
    <t>Permet de se déplacer sur toutes les surfaces (même verticales ou à la renverse)</t>
  </si>
  <si>
    <t>Livre des Ombres du Désespoir</t>
  </si>
  <si>
    <t>Malal</t>
  </si>
  <si>
    <t>Ouvrages interdits</t>
  </si>
  <si>
    <t>Necoho</t>
  </si>
  <si>
    <t>Tribu du Corbeau Charogne</t>
  </si>
  <si>
    <t>Tribu du Chien</t>
  </si>
  <si>
    <t xml:space="preserve">Tribu du Grand Aigle </t>
  </si>
  <si>
    <t>Tribu de Serpent Suprême</t>
  </si>
  <si>
    <t>Mutations: aspect bestial, cornes et jambes d’animal Compétences: Commandement, Connaissances académiques (histoire), Connaissances générales (Désolations du Chaos), Escalade, Intimidation, Langue (langage sombre), Langue (deux au choix), Perception, Survie Talents : Armes naturelles, Écailles (2), Effrayant, Maîtrise (armes lourdes), Résistance au poison, Sain d’esprit, Vision nocturne</t>
  </si>
  <si>
    <t>Dwergi/Ratling</t>
  </si>
  <si>
    <t>Amalgame du Chaos</t>
  </si>
  <si>
    <t>Armes naturelles, Aura démoniaque, Coups assommants, Coups puissants, Mort-Vivant, Puissance Monstrueuse, Terrifiant, Vision nocturne + Mutations: bête aux mille bras, bête aux mille jambes, bête aux mille visages.</t>
  </si>
  <si>
    <t>Canidé (loup de la nuit/funeste)</t>
  </si>
  <si>
    <t>Dragonnet</t>
  </si>
  <si>
    <t>Acuité visuelle, Coups précis, Coups puissants, Ecailles (1), Sain d'Esprit, Vision nocturne, Vol</t>
  </si>
  <si>
    <t>Draconomicon/Codex Draconis</t>
  </si>
  <si>
    <t>Liber Bubonicus</t>
  </si>
  <si>
    <t>Le Rat cornu</t>
  </si>
  <si>
    <t>Le Rat cornu/Nurgle</t>
  </si>
  <si>
    <t>Toute créature volante dans un rayon de 24m (12 cases) est contrainte de se poser</t>
  </si>
  <si>
    <t>Ajoutez 10 par livre de nourriture consommée dans les 12h avant de faire le test</t>
  </si>
  <si>
    <t>Fièvre cérébrale mauve</t>
  </si>
  <si>
    <t>Yeux purulents</t>
  </si>
  <si>
    <t>Liber Mortis de Frederick Van Hal</t>
  </si>
  <si>
    <t>Liber malefic de Marius Holseher</t>
  </si>
  <si>
    <t>Liber Malificorum</t>
  </si>
  <si>
    <t>Grimoire Dæmonicus</t>
  </si>
  <si>
    <t>Pandemonius</t>
  </si>
  <si>
    <t>Encyclopédie d'Ikit la Griffe</t>
  </si>
  <si>
    <t>Fléau écarlate/Variole rouge</t>
  </si>
  <si>
    <t>Recueil des encycliques des Grands Théogonistes</t>
  </si>
  <si>
    <t>Humble Traité sur la Nature de la Magie</t>
  </si>
  <si>
    <t>Les races ancestrales de Volans</t>
  </si>
  <si>
    <t>+20% en Perception auditive</t>
  </si>
  <si>
    <t>Compétences : Commandement, Connaissances académiques (magie), Connaissances générales (Lustrie ou Terres du  Sud ou Khuresh), Connaissances générales (deux au choix), Focalisation, Langage mystique (magick), Langage mystique (vieux slaan), Langage secret (hiéroglyphes slaans), Langue (ssissyl'k (saurien)), Natation, Sens de la magie, Perception</t>
  </si>
  <si>
    <t>Compétences : Connaissances générales (Chaos), Fouille, Langue (langage sombre, grumbarth), Perception, Résistance à l’alcool Talents : Combat de rue, Coups puissants, Désarmement, Effrayant, Maîtrise (armes lourdes), Sans peur +(1d2)-1 mutations</t>
  </si>
  <si>
    <t>Compétences : Escalade OU Natation, Intimidation, Perception, Langue (langage sombre). Talents : Armes naturelles (griffes), Effrayant, Maîtrise (armes lourdes), Sans peur, Vision nocturne +1d2 mutations + Mutation: Régénération</t>
  </si>
  <si>
    <t>Mutations: aspect bestial et jambes d’animal, Talents: Camouflage rural, Sens aiguisés</t>
  </si>
  <si>
    <t>Mutations: aspect bestial et jambes d’animal Talents: Camouflage rural, Sens aiguisés</t>
  </si>
  <si>
    <t>Compétences : Commandement, Connaissances générales (Lustrie ou Terres du Sud ou Khuresh), Esquive, Langue (ssissyl'k (saurien)), Perception, Survie Talents : Amphibien, Armes naturelles, Écailles (3), Guerrier Né, Réflexes Éclairs, Sang-froid</t>
  </si>
  <si>
    <t xml:space="preserve">Compétences : Connaissances générales (Lustrie ou Terres du Sud ou Khuresh), Dissimulation, Emprise sur les animaux, Équitation, Évaluation, Langue (ssissyl'k (saurien)), Marchandage, Natation, Perception, Survie Talents : Amphibien, Armes naturelles, Camouflage Rural, Écailles (1), Empathie animale, Résistance accrue, Sang-froid, Talent artistique
</t>
  </si>
  <si>
    <t>Skink</t>
  </si>
  <si>
    <t>Saurus</t>
  </si>
  <si>
    <t>Kroxigor</t>
  </si>
  <si>
    <t>Coups précis, Coups puissants, dur à cuiree, Maîtrise (Armes lourdes) ou maîtrise (Fléaux), Réflexes éclair ou Résistance accrue, Rompu au Chaos</t>
  </si>
  <si>
    <t>Compétences: Commérage ou évaluation, Connaissances générales (Arabie), Langue (arabien). Talents :  Affinité provinciale (Califat de Ra'Ban), dur à cuiree</t>
  </si>
  <si>
    <t>Contorsionniste ou Oreille absolue, dur à cuiree, Éloquence OU Intrigant, Étiquette OU Sociable, Talent artistique OU Troublant</t>
  </si>
  <si>
    <t>Compétences: Connaissances générales (Désolations du Chaos OU Steppes Orientales), Equitation, Langue (Kurgan ou Hung), Survie Talents: dur à cuiree, Guerrier Né, Résistance accure, Rompu au Chaos, 25% de chances de commencer le jeu avec une mutation</t>
  </si>
  <si>
    <t>Camouflage rural, dur à cuiree, Fuite, Résistance aux poisons, Valeureux</t>
  </si>
  <si>
    <t>dur à cuiree ou Résistance accrue, Harmonie aethyrique ou Magie mineure (au choix), Magie commune (Glace)</t>
  </si>
  <si>
    <t>dur à cuiree ou Sang-froid, Maîtrise (Armes de cavalerie) ou Chevauchée rapide ou Empathie animale, Rechargement rapide ou Sur ses gardes, Tir de précision ou Tir en puissance</t>
  </si>
  <si>
    <t>dur à cuire, Mains agiles, Harmonie aethyrique, Projectile puissant, Magie haute (une au choix), Magie mineure (tous), Méditation, Magie haute (Domaine de Hoeth ou Domaine des Anciens), Vraie magie</t>
  </si>
  <si>
    <t>Camouflage désertique, Coups assommants, dur à cuiree, Étiquette OU Menaçant, Grand voyageur OU Guerrier né, Maîtrise (armes de cavalerie), Robuste, Sens aiguisés, Valeureux</t>
  </si>
  <si>
    <t>Compétences: Commérage ou équitation, Connaissances générales (Arabie), Langue (arabien). Talents : dur à cuire ou étiquette, Fils du Désert.</t>
  </si>
  <si>
    <t>dur à cuire</t>
  </si>
  <si>
    <t>Combat de rue ou dur à cuiree, Coups puissants ou Menaçant, Grand voyageur</t>
  </si>
  <si>
    <t>dur à cuiree, Mains agiles, Harmonie aethyrique, Projectile puissant, Magie haute (Domaine de la Dhar), Magie mineure (tous), Méditation, Précepteur</t>
  </si>
  <si>
    <t>dur à cuiree ou Etiquette, Eloquence, Grand voyageur</t>
  </si>
  <si>
    <t>Course à pied ou dur à cuiree, Parade éclair, Rechargement rapide, Sur ses gardes, Tir de précision, Tir en puissance</t>
  </si>
  <si>
    <t>Intelligent ou Harmonie Aethyrique, Acuité visuelle ou dur à cuiree, Magie mineure (au choix) ou Vision nocturne, Magie mineure (au choix) ou Sixième Sens, Magie mineure (au choix) ou Valeureux</t>
  </si>
  <si>
    <t>dur à cuiree, Force accrue OU Fuite, Réflexes éclair, Sang-froid, Valeureux</t>
  </si>
  <si>
    <t>dur à cuiree, Force accrue, Guerrier né, Précepteur</t>
  </si>
  <si>
    <t>Acuité auditive ou Fuite, dur à cuiree ou Etiquette, Résistance accrue ou Réflexes éclair</t>
  </si>
  <si>
    <t>Combat de rue, Coups puissants, dur à cuiree, Maîtrise (Armes lourdes), Réflexes éclair ou Résistance accrue</t>
  </si>
  <si>
    <t>dur à cuiree ou Sain d’esprit, Magie commune (Vedma), Magie mineure (3 au choix), Mains agiles, Méditation</t>
  </si>
  <si>
    <t>dur à cuiree ou Résistance accrue, Magie noire, Sombre savoir (au choix)</t>
  </si>
  <si>
    <t>Combat de rue, Coups puissants, Désarmement ou Sur ses gardes, dur à cuiree, Maîtrise (Armes lourdes), Réflexes éclair ou Résistance accrue</t>
  </si>
  <si>
    <t>Peste macabre /noire</t>
  </si>
  <si>
    <t>Chroniques des Origines</t>
  </si>
  <si>
    <t>Cloche de ruine</t>
  </si>
  <si>
    <t>Augmente d'une demi-action de temps d'incantation de tout ennemi qui l'entend résonner</t>
  </si>
  <si>
    <t>Mauvais Djinn</t>
  </si>
  <si>
    <t>Colère de Khsar</t>
  </si>
  <si>
    <t>Paradis perdu</t>
  </si>
  <si>
    <t>SablesP 255</t>
  </si>
  <si>
    <t>Compétences: Déplacement silencieux, Dissimulation, Équitation OU Natation, Escalade, Langue (ghazhakh (gobelin)), Intimidation, Perception, Survie Talents: Vision nocturne</t>
  </si>
  <si>
    <t>Épique</t>
  </si>
  <si>
    <t>Coureur mural</t>
  </si>
  <si>
    <t>Acuité visuelle OU Pilote de Navire, dur à cuire, Force accrue, Grand voyageur, Sang-froid</t>
  </si>
  <si>
    <t>Armes naturelles, Coups précis, Coups puissants, Terrifiant, Vision nocturne, Vol, Volonté de fer</t>
  </si>
  <si>
    <t>Acrobatie équestre ou Chevauchée rapide, Adresse au tir, Ambidextre, Combattant virevoltant, Étiquette, Maître artilleur, Maîtrise (Armes d’escrime), Maîtrise (Armes à feu), Tir en puissance</t>
  </si>
  <si>
    <t>Charisme, Commérage, Connaissances générales (Empire), Déplacement silencieux, Dressage, Équitation, Évaluation, Soins des animaux</t>
  </si>
  <si>
    <t>2 pistolets accompagnés de poudres et de munitions pour 20 tirs, capuchon ou masque, cheval de selle, selle, harnais, atours de noble (tenue complète)</t>
  </si>
  <si>
    <t>Équitation OU Dressage OU Emprise sur les animaux</t>
  </si>
  <si>
    <t>Armes naturelles, Coups puissants, Sens aiguisés, Terrifiant, Vision nocturne, Vol, Volonté de fer</t>
  </si>
  <si>
    <t>Calcul Mental, Dur en affaires, Étiquette OU Code de la rue, Éloquence OU Intrigant</t>
  </si>
  <si>
    <t>Épuisante</t>
  </si>
  <si>
    <t>Vers des égouts</t>
  </si>
  <si>
    <t>Étiquette, Soins</t>
  </si>
  <si>
    <t>Coups précis, Coups puissants, Écailles (3), Puissance imparable, Sens aiguisés, Terrifiant, Vision nocturne, Volonté de fer</t>
  </si>
  <si>
    <t>Code de la rue, Dur en affaires ou Intrigant, Éloquence, Maîtrise (Arbalètes) ou Maîtrise (Armes de parade), Menaçant, Résistance aux poisons, Sixième sens</t>
  </si>
  <si>
    <t>Alphabet secret (voleur), Charisme, Commandement, Commérage, Connaissances générales (Empire), Esquive, Évaluation, Intimidation, Langage secret (langage des voleurs), Marchandage, Perception, Torture</t>
  </si>
  <si>
    <t>Arbalète de poing avec 10 carreaux ou brise-lame, nécessaire antipoison, 100 CO, Vêtements confortables (tenue complète), organisation criminelle</t>
  </si>
  <si>
    <t>Équilibrée</t>
  </si>
  <si>
    <t>Mutations: aspect bestial, cornes (2 fois), membres supplémentaires (8 fois minimum) et jambes d’animal, Compétences : Intimidation, Langue (langage sombre), Perception, Pistage, Survie Talents : Armes naturelles, Camouflage rural, Carapace (2), Effrayant, Sens aiguisés, Venimeux (Arachnogor et Scopigor uniquement)</t>
  </si>
  <si>
    <t>Charisme, Équitation, Connaissances académiques (Généalogie/Héraldique), Focalisation, Langage mystique (magick), Sens de la Magie</t>
  </si>
  <si>
    <t>Acrobatie équestre OU Oreille absolue, Adresse au tir, Éloquence OU Fêtard, Force accrue, Imitation, Lutte, Maîtrise (Armes de jet), Réflexes éclair ou Sur ses gardes</t>
  </si>
  <si>
    <r>
      <t xml:space="preserve">Charisme, Commérage OU Évaluation, Connaissances générales (Empire), Expression artistique (deux au choix), Langue (reikspiel), Natation OU Soin des animaux, Perception, </t>
    </r>
    <r>
      <rPr>
        <i/>
        <sz val="10"/>
        <rFont val="Arial"/>
        <family val="2"/>
      </rPr>
      <t>une au choix parmi</t>
    </r>
    <r>
      <rPr>
        <sz val="10"/>
        <rFont val="Arial"/>
        <family val="2"/>
      </rPr>
      <t>:  Baration, Emprise sur les animaux, Dressage, Équitation, Escalade, Escamotage, Hypnotisme, Ventriloquie</t>
    </r>
  </si>
  <si>
    <t>Écailles</t>
  </si>
  <si>
    <t>Arrimeur/Docker, Contrebandier, Éclusier, Grenouillère, Manouvrier, Naufrageur, Passeur, Patrouilleur fluvial, Pirate/Corsaire</t>
  </si>
  <si>
    <t>Canotage, Commérage OU Résistance à l'alcool, Connaissances générales (Empire OU Kislev), Langage secret (langage des rôdeurs) ou Langue (kiselvarin), Natation, Navigation, Orientation, Perception, Survie</t>
  </si>
  <si>
    <t>Tribus touarègues</t>
  </si>
  <si>
    <t>Armes naturelles, Coups précis, Coups puissants, Terrifiant, Venimeux, Vision nocturne, Vol, Volonté de fer +1d3 Mutations</t>
  </si>
  <si>
    <t xml:space="preserve">Apollon </t>
  </si>
  <si>
    <t>Dur en affaires, Éloquence</t>
  </si>
  <si>
    <t>Charisme, Commérage, Connaissances académiques (théologie), Connaissances générales (une au choix), Lire/Écrire, Langue (classique), Langue (une au choix), Perception</t>
  </si>
  <si>
    <t>Ricane sans arrêt</t>
  </si>
  <si>
    <t>+10% en Équitation et Soin des animaux</t>
  </si>
  <si>
    <t>Utiliser langue pour lécher un adversaire qui doit réussir un test d’E ou désorientation pendant 1d10h</t>
  </si>
  <si>
    <t>Acuité visuelle, Coups assommants, Coups précis, Coups puissants, Immunité au feu, Puissance imparable, Sain d'Esprit, Terrifiant, Toucher glacial, Vision nocturne,  Vivacité, Vol</t>
  </si>
  <si>
    <t>Acuité visuelle, Coups assommants, Coups précis, Coups puissants, Immunité au froid, Puissance imparable, Sain d'Esprit, Terrifiant, Toucher glacial, Vision nocturne,  Vivacité, Vol</t>
  </si>
  <si>
    <t>Épée de naissance</t>
  </si>
  <si>
    <t>Commérage OU Lire/Écrire, Conduite d'attelages, Connaissances générales (empire) OU Résistance à l'alcool, Évaluation, Fouille, Langue (bretonnien, kiselvarin OU tiléen), Langue (reikspiel), Marchandage, Perception</t>
  </si>
  <si>
    <t>Curieux/Intéressé</t>
  </si>
  <si>
    <t>Acuité sensitive, Coups assommants, Coups précis, Créature aquatique, Lutte, Puissance imparable, Terrifiant</t>
  </si>
  <si>
    <t>Éthéré</t>
  </si>
  <si>
    <t>Commandement OU Évaluation, Équitation OU Fouille, Esquive, Intimidation, Perception, Resistance à l'alcool</t>
  </si>
  <si>
    <t>Coups assommants</t>
  </si>
  <si>
    <t>Berger, Chasseur, Chevalier du Champ Verdoyant, Herrimault, Homme d'armes, Hors-la-loi, Milicien, Pisteur, Vagabond</t>
  </si>
  <si>
    <t>Arme à deux mains (hache à deux mains), Armure légère (veste de cuir), nécessaire antipoison</t>
  </si>
  <si>
    <t>Échanson/Sommelier</t>
  </si>
  <si>
    <t>Étreinte de l'ours</t>
  </si>
  <si>
    <t>Commandement, Connaissances académiques (stratégie/tactique), Connaissances générales (Bretonnie, Empire ou Tilée), Équitation, Langage secret (langage de bataille), Langue (classique), Langue (bretonnien, reikspiel ou tiléen), Lire/Écrire, Perception,</t>
  </si>
  <si>
    <t>Écrivain/Romancier</t>
  </si>
  <si>
    <t>Épiderme tacheté</t>
  </si>
  <si>
    <t>Armes naturelles, Coups précis, Coups puissants, Écailles (4), Puissance imparable, Terrifiant, Vision nocturne, Volonté de fer</t>
  </si>
  <si>
    <t xml:space="preserve">Athéna </t>
  </si>
  <si>
    <t>Éleveur/Vendeur d'animaux</t>
  </si>
  <si>
    <t>Épines</t>
  </si>
  <si>
    <t>Vous obtenez une mutation. Toutes les Caractériels + ou –1d10%</t>
  </si>
  <si>
    <t>Armes naturelles, Coups précis, Coups puissants, Écailles (4), Puissance imparable, Terrifiant, Vision nocturne, Vol, Volonté de fer</t>
  </si>
  <si>
    <t>Commandement, Commérage, Connaissances académiques (stratégie/tactique), Connaissances générales (trois au choix), Équitation, Esquive, Langage secret (langage de bataille), Langue (kiselvarin ou tiléen), Lire/Écrire, Soins des animaux</t>
  </si>
  <si>
    <t>Épicier/Prêteur sur gage</t>
  </si>
  <si>
    <t>Chamelier/Cornac, Contrebandier, Éclaireur, Garde/Chapeau noir, Garde de Caravane, Messager, Vagabond</t>
  </si>
  <si>
    <t>Camouflage désertique, Fils du désert OU Parmi les Morts, Fuite, Grand voyageur OU Robuste, Sens de l’orientation.</t>
  </si>
  <si>
    <t>Épinglier/Aiguilletier</t>
  </si>
  <si>
    <t xml:space="preserve">Compétences: Commérage, Connaissances générales (Bretonnie), Langue (bretonnien) Talents : Affinité provinciale (Duché de Monfort), dur à cuire, 1 talent déterminé aléatoirement </t>
  </si>
  <si>
    <t>Dépressif/Désespéré/Déprimé</t>
  </si>
  <si>
    <t>Connaissances académiques (géographie), Équitation OU Survie, Langue (deux au choix), Lire/Écrire, Métier (cartographe), Navigation, Perception</t>
  </si>
  <si>
    <t>Ne peut être détruite sans moyens conséquents (rituel, dans un lieu précis ou à un moment précis,…)</t>
  </si>
  <si>
    <t>Éloquence, Précepteur</t>
  </si>
  <si>
    <t>Connaissances académiques (une au choix), Connaissances académiques (théologie), Connaissances générales (deux au choix), Langue (classique), Langue (une au choix), Lire/Écrire</t>
  </si>
  <si>
    <t>Regard de flétrissure</t>
  </si>
  <si>
    <t>Grimpeur chevronné</t>
  </si>
  <si>
    <t>Bateleur, Chiffonnier, Escroc, Mercanti/Colporteur, Paysan, Serviteur</t>
  </si>
  <si>
    <t>Charlatan, Chiffonnier, Courtisan, Dame d'honneur, Escroc, Initié (Shallya), Mercanti/Colporteur, Serviteur, Voleur</t>
  </si>
  <si>
    <t>Alphabet secret (voleur) OU Langage secret (langage des voleurs), Baratin, Charisme OU Escamotage, Commérage OU Marchandage, Expression artistique (acteur ou danseur), Perception, Résistance à l'alcool</t>
  </si>
  <si>
    <t>Compétences: Connaissances générales (Cathay), Commérage, Langue (cathayan), Métier (éleveur de vers à soie). Talents: Affinité provinciale (Chan-chi), 1 talent déterminé aléatoirement</t>
  </si>
  <si>
    <t>Étiquette, Perception</t>
  </si>
  <si>
    <t>dur à cuire ou Sang-froid, Force accrue, Maîtrise (Armes paralysantes)</t>
  </si>
  <si>
    <t>Cheval de guerre ou cheval de selle, harnais, selle, fonte de selle, kit de toilettage d'animal, fourrage (pour une journée), lasso, fouet, armure légère (veste de cuir et jambières de cuir)</t>
  </si>
  <si>
    <t>Yeux Étranges</t>
  </si>
  <si>
    <t>Coups précis ou Coups puissants, dur à cuire ou Résistance accrue, Maîtrise (Armes de cavalerie)</t>
  </si>
  <si>
    <t>Compétences: Connaissances générales (Cathay), Commérage OU Marchandage, Équitation OU Évaluation, Étiquette, Langue (cathayan). Talents: Affinité provinciale (Datai), Lutte OU Maitrise (une au choix)</t>
  </si>
  <si>
    <t>dur à cuire, Résistance aux poisons, Sain d’esprit, Valeureux</t>
  </si>
  <si>
    <t>Compétences: Canotage OU Équitation OU Natation, Connaissances générales (Cathay ou Désolations du Chaos), Langue (cathayan), Résistance à l'alcool, Survie. Talents: Affinité provinciale (Han Kou), Sur ses gardes</t>
  </si>
  <si>
    <t>Connaissances académiques (histoire), Équitation</t>
  </si>
  <si>
    <t>Charisme, Commérage, Connaissances académiques (esprits), Connaissances générales (une au choix), Équitation, Expression artistique (chanteur), Expression artistique (conteur), Expression artistique (danseur), Focalisation, Intimidation, Langue (une au choix), Perception, Sens de la magie, Soins</t>
  </si>
  <si>
    <t>Gran-chaman Bray</t>
  </si>
  <si>
    <t>Éloquence, Harmonie aethyrique ou Méditation, Magie noire, Mains agiles, Science de la magie (Bêtes), Science de la magie (Mort), Science de la magie (Ombre), Sombre savoir (Nurgle), Sombre savoir (Slaanesh) ou Sombre savoir (Tzeentch), Coups assommants, Coups précis, Éloquence, Force accrue, Maîtrise (Armes lourdes)</t>
  </si>
  <si>
    <t>Bâton de Bray, plantes hallucinogènes (petit sac), 2 scalps humains , 2 crânes humains</t>
  </si>
  <si>
    <t>Haine irrationnelle</t>
  </si>
  <si>
    <t>Mutations: albinos, aspect bestial, cornes et jambes d’animal Compétences: Déplacement silencieux, Dissimulation, Filature, Intimidation, Perception, Pistage, Survie Talents: Armes naturelles, Camouflage rural, Effrayant, Grimpeur chevronné, Sens aiguisés, Vision nocturne</t>
  </si>
  <si>
    <t>Esquive, Évaluation, Intimidation, Perception</t>
  </si>
  <si>
    <t>6 armes au choix (toutes de qualité exceptionnelle), armure moyenne (gilet de mailles et veste de cuir)</t>
  </si>
  <si>
    <t>Compétences: Connaissances générales (Cathay), Commérage OU Marchandage, Équitation OU Évaluation, Étiquette, Langue (cathayan). Talents: Affinité provinciale (Kun Tsou), Lutte OU Maitrise (une au choix)</t>
  </si>
  <si>
    <t>Éloquence, Force accrue, Résistance accrue, Rompu au Chaos, Sans peur, Sociable, Troublant</t>
  </si>
  <si>
    <t>Élégant/Coquet/Distingué</t>
  </si>
  <si>
    <t>Compétences: Connaissances générales (Cathay), Commérage OU Marchandage, Équitation OU Évaluation, Étiquette, Langue (cathayan). Talents: Affinité provinciale (Ping Dong), Lutte OU Maitrise (une au choix)</t>
  </si>
  <si>
    <t>Compétences : Connaissances générales (Lustrie ou Terres du Sud ou Khuresh), Langue (ssissyl'k (saurien)), Natation, Survie Talents : Amphibien, Armes naturelles, Coups puissants, dur à cuire, Écailles (3), Effrayant, Frénésie, Maîtrise (à 2 Mains), Résistance accrue, Robuste, Sang-froid, Sans Peur, Volonté de fer</t>
  </si>
  <si>
    <t>Éloquence, Magie mineure (2 au choix), Magie noire, Méditation ou Projectile puissant, Précepteur, Sombre savoir (Nains du Chaos)</t>
  </si>
  <si>
    <t>Compétences: Connaissances générales (Cathay), Commérage OU Marchandage, Équitation OU Évaluation, Étiquette, Langue (cathayan). Talents: Affinité provinciale (Shuang Hsi), Lutte OU Maitrise (une au choix)</t>
  </si>
  <si>
    <t>Énervant/Chieur/Irritant</t>
  </si>
  <si>
    <t>Désarmement ou Parade Éclair, Coups puissants ou Sur ses gardes, Coups assommants, Menaçant, Sans Peur</t>
  </si>
  <si>
    <t>Compétences: Connaissances générales (Cathay), Commérage, Langue (cathayan), Métier (distillateur ou cuisinier/marmiton). Talents: Affinité provinciale (Sich-Wan), 1 talent déterminé aléatoirement</t>
  </si>
  <si>
    <t>Acuité olfactive, Ambidextre, Armes naturelles, Aura démoniaque, Intrigant, Lévitation, Magie mineure (une au choix), Magie noire, Magie vulgaire (Chaos), Sans peur, Troublant, Vision nocturne Mutation: Lévitation + une au hasard</t>
  </si>
  <si>
    <t>Charisme, Connaissances académiques (théologie), Connaissances générales (une au choix), Expression artistique (chanteur), Expression artistique (musicien), Langue (deux au choix), Lire/Écrire, Perception</t>
  </si>
  <si>
    <t>Compétences: Commérage OU Marchandage, Équitation OU Évaluation, Connaissances générales (Cathay), Langue (cathayan). Talents: Affinité provinciale (Song Jiang), Combat de Rue OU Lutte</t>
  </si>
  <si>
    <t>Charisme (Soc), Commérage (Soc), Connaissances académiques (Histoire) (Int+20%), Connaissances générales (Dragons et draconides (Int), Escalade (Ag+10%), Évaluation (Int+10%), Fouille (Int), Intimidation (F+20%), Langue (une au choix) (Int), Perception (Int+20%)</t>
  </si>
  <si>
    <t>Étonnant/Surprenant</t>
  </si>
  <si>
    <t>Alphabet secret (rôdeur), Commérage OU Conduite d'attelages, Connaissances générales (Empire), Dissimulation, Escalade, Fouille, Marchandage, Perception, Survie</t>
  </si>
  <si>
    <t>Œil du dieu</t>
  </si>
  <si>
    <t>Code de la rue ou Intrigant, Éloquence, Fuite, Grand voyageur, Imitation</t>
  </si>
  <si>
    <t>Baratin, Charisme, Commérage, Connaissances générales (Bretonnie ou Tilée), Déguisement, Escamotage, Évaluation, Jeu, Langage secret (langage des voleurs), Langue (bretonnien ou tiléen), Langue (reikspiel), Marchandage, Perception</t>
  </si>
  <si>
    <t>Instabilité dimensionnelle</t>
  </si>
  <si>
    <t>Compétences: Connaissances générales (une au choix), Commérage OU Marchandage, Équitation OU Évaluation, Étiquette, Langue (cathayan). Talents: Affinité provinciale (Wan Tsou), Lutte OU Maitrise (une au choix)</t>
  </si>
  <si>
    <t>Argousin, Berger/Pâtre, Charbonnier, Chasseur de primes, Chevalier du Champ Verdoyant, Dresseur, Fauconnier, Franc-archer, Gardien tribal/Amazone/Fianna d'Albion, Herrimault, Homme d'armes, Pillard du désert, Maresquier, Médiateur, Mineur, Muletier, Ovate, Pèlerin du Graal, Pisteur, Sentinelle halfling, Soldat</t>
  </si>
  <si>
    <t>Camouflage rural ou Tireur d’élite, dur à cuire ou Maîtrise (Arcs longs), Rechargement rapide, Réflexes éclair ou Résistance accrue</t>
  </si>
  <si>
    <t>Arc long, 10 flèches, 2 collets, nécessaire antipoison</t>
  </si>
  <si>
    <t>Compétences: Connaissances générales (Cathay), Commérage OU Marchandage, Équitation OU Évaluation, Étiquette, Langue (cathayan). Talents: Affinité provinciale (Wei An), Lutte OU Maitrise (une au choix)</t>
  </si>
  <si>
    <t>Course à pied ou Résistance accrue, dur à cuire, Frénésie</t>
  </si>
  <si>
    <t>Compétences: Connaissances générales (Cathay), Équitation OU Marchandage, Langue (cathayan), Survie. Talents: Affinité provinciale (Xian Bei), Maîtrise ou Lutte</t>
  </si>
  <si>
    <t>Armes naturelles, Camouflage rural, Coups assommants, Coups puissants, Étreinte de l'ours, Sens aiguisés, Vision nocturne, Vivacité</t>
  </si>
  <si>
    <t>Chef de meute moulder, Coureur d'égouts, Coureur nocturne Eshin, Garde du corps, Guerrier des clans</t>
  </si>
  <si>
    <t>Arbalète, 10 carreaux, filet, armure légère (gilet de cuir et calotte de cuir), menottes, corde au mètre (10m)</t>
  </si>
  <si>
    <t>Commandement, Connaissances académiques (stratégie/tactique), Équitation OU Escalade, Esquive, Évaluation, Intimidation, Perception, Survie</t>
  </si>
  <si>
    <t>Création personnelle</t>
  </si>
  <si>
    <t xml:space="preserve">Compétences: Commérage ou Évaluation, Navigation ou Métier (marchand), Langue (reikspiel), Connaissances générales (Pays Perdu) Talents: Affinité provinciale (Pays Perdu), Dur en affaires, 1 talent déterminé aléatoirement </t>
  </si>
  <si>
    <t>Alphabet secret (pisteur ou voleur), Commandement, Connaissances académiques (stratégie/tactique), Connaissances générales (Empire), Déplacement silencieux, Dissimulation, Équitation, Escalade, Langage secret (langage de bataille), Langage secret (langage des voleurs), Perception, Pistage</t>
  </si>
  <si>
    <t>Arc et 10 flèches ou arbalète et 10 carreaux, armure légère (veste de cuir et chemise de mailles), cheval de selle, selle, harnais, kit de toilettage d'animal, fourrage (pour une journée)</t>
  </si>
  <si>
    <t>Compétences: Connaissances générales (Royaumes Ogres), Langue (grumbarth (ogre)), Survie Talents : Affinité provinciale (Royaumes Ogres), dur à cuire, Guerrier né, Résistance accrue</t>
  </si>
  <si>
    <t>Coups assommants, Coups puissants, Désarmement ou Sur ses gardes, Éloquence, Maîtrise (2 au choix), Menaçant, Orateur né, Parade éclair, Résistance accrue ou Sixième sens</t>
  </si>
  <si>
    <t xml:space="preserve">Compétences: Connaissances générales (Steppes Orientales), Équitation, Langue (Kurgan ou Hung), Survie Talents : Affinité provinciale (Steppes orientales) dur à cuire, Guerrier né, Résistance accrue, Rompu au Chaos, 25% de chances de commencer le jeu avec une mutation. </t>
  </si>
  <si>
    <t xml:space="preserve">Bételgeuse   </t>
  </si>
  <si>
    <t>Connaissances académiques (généalogie/héraldique ou religion), Connaissances académiques (stratégie/tactique), Équitation, Esquive, Langage secret (langage de bataille), Langue (deux au choix), Perception</t>
  </si>
  <si>
    <t xml:space="preserve">Compétences: Commérage ou Équitation, Connaissances générales (Empire), Langue (Reikspiel), Métier (mineur) OU Soins des animaux. Talents: Affinité provinciale (Grand comté d'Averland), 1 talent déterminé aléatoirement </t>
  </si>
  <si>
    <t>Combustibilité</t>
  </si>
  <si>
    <t>Coups assommants, Coups précis, Étiquette, Grand voyageur, Maîtrise (Armes d’escrime), Maîtrise (Armes de parade), Parade éclair, Valeureux</t>
  </si>
  <si>
    <t>Alphabet secret (pisteur ou templier), Charisme, Commandement, Connaissances académiques (généalogie/héraldique ou religion), Connaissances académiques (stratégie/tactique), Connaissances générales (trois au choix), Dressage, Équitation, Esquive, Langage secret (langage de bataille), Langue (bretonnien, estalien, kiselvarin ou tiléen), Lire/Écrire, Perception</t>
  </si>
  <si>
    <t>Rondache ou main gauche, rapière ou fleuret, armure lourde (armure de plaques complète de qualité exceptionnelle), symbole religieux (petit), 25 CO</t>
  </si>
  <si>
    <t>Oiseau (corbeau dressé)</t>
  </si>
  <si>
    <t>+5% en CC si vous combattez avec 3 alliés, -10% en CC si l'un d'eux est absent</t>
  </si>
  <si>
    <t>Oiseau (moyen (albatros/corbeau...))</t>
  </si>
  <si>
    <t>dur à cuire, Élu du Chaos, Maîtrise (au choix), Menaçant</t>
  </si>
  <si>
    <t>Oiseau (perroquet/mainate/ara...)</t>
  </si>
  <si>
    <t>Connaissances académiques (histoire), Connaissances académiques (nécromancie), Connaissances académiques (stratégie/tactique), Connaissances académiques (théologie), Connaissances académiques (une au choix), Dressage, Équitation, Esquive, Langage secret (langage de bataille), Langue (bretonnien ou kislevarin), Lire/Écrire, Perception, Pistage</t>
  </si>
  <si>
    <t xml:space="preserve">Compétences: Commérage ou Dissimulation, Connaissances générales (Empire), Langue (reikspiel) Talents: Affinité provinciale (Grande baronnie du Hochland), Camouflage Rural ou Tireur d'Elite, 1 talent déterminé aléatoirement </t>
  </si>
  <si>
    <t>+20% Navigation et +10% Connaissances Générales</t>
  </si>
  <si>
    <t>Chance, Coups précis, Coups puissants, Éloquence, Force accrue, Guerrier né, Maîtrise (Armes lourdes), Résistance accrue, Résistance au Chaos, Robuste, Sixième sens, Valeureux, Vertu du Graal (au choix)</t>
  </si>
  <si>
    <t>Mauvais œil</t>
  </si>
  <si>
    <t>Coup précis, Désarmement, Étiquette, Grand voyageur ou Chevauchée rapide, Maîtrise (Armes de cavalerie), Maîtrise (Armes d’escrime), Maîtrise (Armes de parade), Valeureux</t>
  </si>
  <si>
    <t>Alphabet secret (templier), Commandement, Connaissances académiques (histoire), Connaissances académiques (stratégie/tactique), Connaissances académiques (théologie), Connaissances générales (Estalie ou Tilée), Équitation, Esquive, Langage secret (langage de bataille), Langue (estalien ou tiléen), Lire/Écrire, Perception</t>
  </si>
  <si>
    <t>Coups puissants, Étiquette, Grand voyageur ou Chevauchée rapide, Maîtrise (Armes de cavalerie), Vertu du chevalier</t>
  </si>
  <si>
    <t>Entre vos mains, ttes lances d’arçon = magiques infligent BF+2 dégâts et perdent l’attribut Épuisante</t>
  </si>
  <si>
    <t>Perte de Vigueur</t>
  </si>
  <si>
    <t>Coups précis, Dur en affaires, Étiquette, Guerrier né, Maîtrise (Armes de cavalerie), Maîtrise (au choix), Robuste, Sang-froid</t>
  </si>
  <si>
    <t>Adresse au tir, Réflexes éclair, Sens de l'orientation, Sur ses gardes ou Rechargement rapide, Tir de précision ou Acrobatie Équestre</t>
  </si>
  <si>
    <t>Putois/sconse/moufette</t>
  </si>
  <si>
    <t>Catin, Contrebandier, Esclave, Fossoyeur, Grenouillère, Manouvrier, Maresquier, Mercanti/Colporteur, Monte-en-l'air, Receleur, Trafiquant de cadavres, Ramasseur de fumier</t>
  </si>
  <si>
    <t>Code de la rue ou Sang-froid, dur à cuire ou Résistance aux maladies</t>
  </si>
  <si>
    <t>Charisme OU Commérage, Conduite d'attelages, Connaissances générales (Empire), Évaluation, Fouille, Marchandage, Perception, Soins des animaux</t>
  </si>
  <si>
    <t>Charisme, Conduite d'attelages OU Natation, Langue (bretonnien, reikspiel ou tiléen), Lire/écrire, Marchandage, Métier (apothicaire), Perception, Soins</t>
  </si>
  <si>
    <t xml:space="preserve">Compétences: Connaissances générales (Empire), Langue (reikspiel), Métier (fermier ou mineur) Talents : Affinité Provinciale (Grand comté du Wissenland), dur à cuire ou Sang-froid, 1 talent déterminé aléatoirement </t>
  </si>
  <si>
    <t>Évaluation, langage secret (langage de l'ordre), Marchandage</t>
  </si>
  <si>
    <t>Alphabet secret (rôdeur), Commérage OU Marchandage, Conduite d'attelages, Équitation OU Soins, Langue (bretonnien, kiselvarin OU tiléen), Métier (Convoyeur Livreur), Orientation, Perception, Soins des animaux</t>
  </si>
  <si>
    <t>Tromblon avec poudre et munitions pour 10 tirs, armure moyenne (gilet de maille et veste de cuir), instrument de musique (cor de cocher)</t>
  </si>
  <si>
    <t>Code de la rue, Étiquette</t>
  </si>
  <si>
    <t>Allumeur de réverbères, Cocher, Éclusier, Patrouilleur, Patrouilleur fluvial, Régisseur, Timariote</t>
  </si>
  <si>
    <t xml:space="preserve">Commérage OU Marchandage, Esquive, Évaluation, Fouille, Langue (bretonnien, kiselvarin ou tiléen), Lire/Écrire, Perception </t>
  </si>
  <si>
    <t>Coffre en bois, arbalète et 10 carreaux, armure moyenne (gilet de mailles et gilet de cuir), bouclier, 1d10 CO</t>
  </si>
  <si>
    <t>si Blessures à adversaire augmentées d’un nombre égal à ses PA pour la zone concernée</t>
  </si>
  <si>
    <t>Visions Étranges</t>
  </si>
  <si>
    <t xml:space="preserve">Arbalète et 10 carreaux, armure moyenne (manteau de mailles, veste de cuir et jambières de cuir), bouclier, grappin, corde au mètre (10m), outre </t>
  </si>
  <si>
    <t>dur à cuire ou Talent artistique (au choix), Rune (6 au choix)</t>
  </si>
  <si>
    <t>Commérage, Connaissances académiques (histoire), Connaissances académiques (runes), Connaissances générales (deux au choix), Création de runes, Esquive, Évaluation, Intimidation, Langage mystique (nain mystique), Langue (deux au choix), Lire/Écrire, Métier (deux au choix), Perception</t>
  </si>
  <si>
    <t>Si combat avec 3 alliés, bonus pour eux de +1A et +10% F, -10% en F et E pour vs si l'un d'eux absent</t>
  </si>
  <si>
    <t>Charisme OU Intimidation, Commérage, Connaissances académiques (magie), Connaissances académiques (une au choix), Connaissances générales (deux au choix), Équitation OU Natation, Focalisation, Langage mystique (magick), Langue (deux au choix), Lire/Écrire, Sens de la magie</t>
  </si>
  <si>
    <t>Poissonnier</t>
  </si>
  <si>
    <t>Sur ses gardes ou Combattant virevoltant, Camouflage souterrain ou Grand voyageur, Coups puissants ou sombre savoir (au choix), Éloquence, Harmonie aethyrique ou Sixième sens, Intrigant, Magie commune (Occulte) ou Maîtrise (au choix), Magie noire</t>
  </si>
  <si>
    <t>Charisme, Commandement, Commérage, Connaissances académiques (deux au choix), Connaissances générales (une au choix), Déplacement silencieux, Dissimulation, Équitation, Escalade, Esquive, Évaluation, Filature OU Pistage, Fouille, Intimidation, Langage secret (au choix), Langue (trois au choix), Lire/Écrire, Perception, Soins, Torture</t>
  </si>
  <si>
    <t>Camouflage rural ou Grand voyageur ou Empathie Animale, Maîtrise (Armes paralysantes), Sens de l’orientation</t>
  </si>
  <si>
    <t>Précepteur/Instructeur/Enseignant</t>
  </si>
  <si>
    <t>Aquatique, Acuité sensitive, Armes naturelles Résistance au Chaos, Sans Peur, Troublant, Venimeux, Vision nocturne</t>
  </si>
  <si>
    <t>Artisan, Cocher, Éclaireur, Messager, Paysan, Vagabond, Valet</t>
  </si>
  <si>
    <t>Charlatan, Espion, Guide, Passeur, Patrouilleur, Hors-la-loi, Receleur</t>
  </si>
  <si>
    <t>Dur en affaires OU Étiquette, Intelligent OU Force Mentale, Sens de l'Orientation</t>
  </si>
  <si>
    <t>Charisme, Conduite d'attelages, Connaissances académiques (généalogie/héraldique), Connaissances académiques (histoire), Connaissances générales (une au choix), Commérage, Langue (une au choix), Langue (langue du pays d'origine), Marchandage, Navigation, Soins des animaux</t>
  </si>
  <si>
    <t>Acolyte de Tzeentch, Allumeur de réverbères, Arrimeur/Docker, Aubergiste, Batelier, Caravanier, Chiffonnier, Cocher, Combattant des tunnels, Éclusier, Égoutier, Garde de caravane, Garde des profondeurs, Ingénieur, Ingénieur du Chaos, Manouvrier, Marcheur des Brumes, Marin, Matelot, Mercanti/Colporteur, Mineur, Passeur, Patrouilleur fluvial, Pillard du désert, Pirate/Corsaire, Régisseur</t>
  </si>
  <si>
    <t>Batelier, Chiffonnier, Coureur nocturne Eshin</t>
  </si>
  <si>
    <t>Alphabet secret (voleur) OU Langue (bretonnien ou kiselvarin), Canotage, Commérage ou Langage secret (langage des voleurs), Conduite d'attelages, Déplacement silencieux, Évaluation, Fouille, Marchandage, Natation, Perception</t>
  </si>
  <si>
    <t>République de Galicée</t>
  </si>
  <si>
    <t xml:space="preserve">Compétences: Commérage OU Métier (un au choix), Connaissances générales (Estalie), Langue (estalien), Marchandage. Talents: Affinité provinciale (République de Galicée), 1 talent déterminé aléatoirement </t>
  </si>
  <si>
    <t>Démagogue, Maître de guilde, Politicien, Racketteur, Receleur</t>
  </si>
  <si>
    <t>Code de la rue, Éloquence</t>
  </si>
  <si>
    <t>Déplacement silencieux (Ag+10%), Dissimulation (Ag), Escalade (F+20%), Fouille (Int), Perception (Int+10%), Survie (Int)</t>
  </si>
  <si>
    <t>Acuité sensitive, Ambidextre, Armes naturelles, Contorsionniste, Tir de précision</t>
  </si>
  <si>
    <t>Dur en affaires ou Étiquette, Éloquence, Intelligent ou Sociable, Intrigant ou Maîtrise (Armes d’escrime)</t>
  </si>
  <si>
    <t>Baratin, Charisme, Commandement ou Expression artistique (une au choix), Commérage, Connaissances académiques (arts ou histoire) OU Jeu, Connaissances générales (Bretonnie ou Tilée), Équitation, Évaluation, Langue (bretonnien ou tiléen), Langue (reikspliel), Lire/Écrire, Perception</t>
  </si>
  <si>
    <t>4 Atours de noble (tenue complète), 100 CO, Valet</t>
  </si>
  <si>
    <t>Saigneur/Équarisseur</t>
  </si>
  <si>
    <t>Ver fouettard (nuée)</t>
  </si>
  <si>
    <t>Armes naturelles, Carapace (2), Contorsionniste, Effrayant, Fuite, Grimpeur chevronné, Sens aiguisés, Vision nocturne</t>
  </si>
  <si>
    <t>Connaissances académiques (histoire), Connaissances académiques (stratégie/tactique), Connaissances générales (trois au choix), Équitation, Langage secret (langage de bataille), Langue (arabien, bretonnien, estalien ou tiléen), Orientation, Perception, Survie</t>
  </si>
  <si>
    <t>Armure lourde (armure de plaques complète de qualité exceptionnelle), symbole religieux (petit), 2 cartes géographiques</t>
  </si>
  <si>
    <t>Dur en affaires, Étiquette, Intelligent ou Sociable, Intrigant</t>
  </si>
  <si>
    <t>Charisme, Commandement OU Évaluation, Commérage,  Connaissances académiques (arts ou histoire), Connaissances académiques (généalogie/héraldique), Connaissances générales (une au choix), Équitation, Expression artistique (deux au choix), Langue (une au choix), Lire/Écrire, Marchandage, Perception</t>
  </si>
  <si>
    <t>Maquillage ou parfum/eau-de-toilette, atours de Noble/Jarl (tenue complète de qualité exceptionnelle)</t>
  </si>
  <si>
    <t xml:space="preserve">Compétences: Connaissances générales (Khuresh), Langue (khuresian ou pygméen), Orientation, Survie, Talents : Affinité provinciale (Jungles de Khuresh), dur à cuire, Guerrier né, Résistance accrue, 25% de chances de commencer le jeu avec une mutation. </t>
  </si>
  <si>
    <t>Armes naturelles, Carapace (2), Grimpeur chevronné, Sens aiguisés, Terrifiant, Venimeux, Vision nocturne</t>
  </si>
  <si>
    <t>Squelettique</t>
  </si>
  <si>
    <t>Démagogue</t>
  </si>
  <si>
    <t>Code de la rue ou Étiquette , Combat de rue, Éloquence, Orateur né ou Politique</t>
  </si>
  <si>
    <t>Geneviève</t>
  </si>
  <si>
    <t>Armes naturelles, Carapace (2), Effrayant, Grimpeur chevronné, Sens aiguisés, Venimeux, Vision nocturne</t>
  </si>
  <si>
    <t>Compétences: Commérage OU Équitation, Connaissances générales (Inja), Langue (Injahya). Talents: Affinité provinciale (Bhalluka), Lutte OU Maîtrise (une au choix)</t>
  </si>
  <si>
    <t>Coups assommants, Coups précis, Éloquence, Mage commune (Warp)</t>
  </si>
  <si>
    <t>Armes naturelles, Effrayant, Mort-Vivant, Vol</t>
  </si>
  <si>
    <t>Connaissances académiques (science), Connaissances générales (Estalie), Esquive, Langue (estalien), Lire/Écrire</t>
  </si>
  <si>
    <t>Nécessaire antipoison, potion de soin, cataplasme médical, koumiss (outre), 2 amulettes ou porte-bonheur, capuchon</t>
  </si>
  <si>
    <t>Si vous subissez au moins 2 Blessures, l'attaquant doit réussir un Test FM -10% ou gagner un Pt. de folie</t>
  </si>
  <si>
    <t>Abbé, Acolyte de Nurgle, Acolyte de Slaanesh, Acolyte de Tzeentch, Agent du Suaire, Agitateur, Ambassadeur, Amiral, Apothicaire, Apprenti maître des runes, Apprenti sorcier, Aristocrate, Artisan, Astrologue, Bedeau, Bourgeois, Cadet, Capitaine, Cartographe, Catéchiste, Champion hiérogrammate, Chantre, Chevalier du Cercle Intérieur, Chevalier du Corbeau, Chevalier du soleil, Chirurgien barbier, Collecteur de taxes, Compagnon maître des runes, Compagnon sorcier, Comte vampire, Courtisan, Diestro estalien, Écorcheur d'âmes, Embaumeur, Émissaire elfe, Érudit, Étudiant, Explorateur, Fanatique, Frère de la cape, Grand maître, Héraut, Hiérogrammate, Ingénieur, Ingénieur du Chaos, Initié, Intendant, Investigateur verenéen/Inquisiteur estalien, Joueur, Magister vigilant, Magus de Nurgle, Magus de Slaanesh, Magus de Tzeentch, Maître des runes, Maître hiérogrammate, Maître sorcier, Malédictor, Marchand, Médecin, Ménestrel, Moine mendiant, Navigateur, Noble/Jarl, Pamphlétaire, Percepteur, Pilleur de tombes, Plaideur, Politicien, Prêtre, Prêtre laïque, Prince des voleurs, Régisseur, Sorcier des taillis, Scribe, Seigneur des runes, Seigneur hiérogrammate, Seigneur sorcier, Serviteur, Sorcière de glace, Sorcier des marches, Thaumaturge, Valet, Vampire nouveau-né (Lhamiane, Nécrarque), Vendeur de journaux, Vierge de glace, Voleur</t>
  </si>
  <si>
    <t>Alphabet secret (un au choix) OU Langage secret (un au choix), Baratin, Connaissances académiques (une au choix), Connaissances générales (deux au choix), Commérage OU Évaluation, Langue (deux au choix), Lire/Écrire, Navigation, Métier (artiste, calligraphe ou cartographe), Perception</t>
  </si>
  <si>
    <t xml:space="preserve">Compétences: Équitation, Connaissances générales (Inja), Langue (Injahya), Survie. Talents: Affinité provinciale (Royaume de Panchala), 1 talent déterminé aléatoirement </t>
  </si>
  <si>
    <t>Vous avez un reflet dans les miroirs et en présence de lumière quelconque vous disposez d'une ombre</t>
  </si>
  <si>
    <t>Émissaire Elfe, Érudit, Interprète, Noble/Jarl</t>
  </si>
  <si>
    <t>Dur en affaires ou Grand Voyageur, Éloquence ou Intrigant, Étiquette ou Linguistique</t>
  </si>
  <si>
    <t>Baratin OU Charisme, Commandement OU Expression artistique (acteur), Commérage, Connaissances générales (une au choix), Langue (une au choix), Lire/Écrire, Marchandage, Perception</t>
  </si>
  <si>
    <t>Atours de noble (tenue complète), 10 parchemins (feuille), valise</t>
  </si>
  <si>
    <t>Compétences: Équitation, Connaissances générales (Inja), Langue (Injahya), Survie. Talents: Affinité provinciale (Royaume de Singha), Grand Voyageur</t>
  </si>
  <si>
    <t>Coups assommants, Empathie Animale, Étiquette ou Maitrise (Paralysantes)</t>
  </si>
  <si>
    <t>Commandement, Conduite d'attelages OU Navigation, Connaissances générales (une au choix), Dressage, Emprise sur les animaux, Équitation, Langue (une au choix), Métier (deux au choix parmi: éleveur, palefrenier ou vendeur de chevaux), Perception, Soins des animaux</t>
  </si>
  <si>
    <t>Appeau de chasse, kit de toilettage d'animal, fourrage (pour une journée)</t>
  </si>
  <si>
    <t>Évaluation, Marchandage</t>
  </si>
  <si>
    <t>Éloquence ou Réflexes éclair ou Empathie Animale, Force accrue ou Sang-froid, Lutte ou Résistance accrue</t>
  </si>
  <si>
    <t>Armure légère (veste de cuir), chaine au mètre (5m), fouet, lance, kit de toilettage d'animal, ours (dressé)</t>
  </si>
  <si>
    <t>Adresse au tir, Ambidextre ou Désarmement, Combattant virevoltant, Coups précis, Coups puissants, Étiquette, Maître artilleur, Maîtrise (Armes d’escrime), Maîtrise (Armes à feu), Maîtrise (Armes de parade), Sur ses gardes, Tir en puissance</t>
  </si>
  <si>
    <t>Cheval (destrier)</t>
  </si>
  <si>
    <t>Bandit de grand chemin, Berger/Pâtre, Caravanier, Cavalcadour, Cavalier ailé/Jinete estalien, Chevalier du Champ Verdoyant, Cocher, Conducteur de bestiaux, Conducteur de pousse-pousse, Guide, Mercenaire, Patrouilleur, Pisteur</t>
  </si>
  <si>
    <t>Déplacement silencieux, Équitation, Fouille, Orientation, Perception, Pistage, Soins des animaux, Survie</t>
  </si>
  <si>
    <t>Arc et 10 flèches ou arbalète et 10 carreaux, filet, fouet ou lasso, armure légère (veste de cuir), bouclier, corde au mètre (10m), cheval de selle, selle, harnais, kit de toilettage d'animal, fourrage (pour une journée)</t>
  </si>
  <si>
    <t>Coups puissants, Éloquence, Sixième sens</t>
  </si>
  <si>
    <t>Commandement OU Préparation de poisons, Déplacement silencieux, Dissimulation, Équitation OU Escalade, Esquive, Filature, Orientation, Perception, Pistage, Survie</t>
  </si>
  <si>
    <t>Vil ensorcèlement</t>
  </si>
  <si>
    <t>Canotage, Évaluation, Fouille, Natation, Navigation, Métier (Sourcier/Fontainier), Perception</t>
  </si>
  <si>
    <t>Élu du Chaos, Magie mineure (3 au choix), Menaçant, Sain d’esprit</t>
  </si>
  <si>
    <t>dur à cuire, Menaçant</t>
  </si>
  <si>
    <t>Connaissances générales (Kislev), Dressage, Équitation OU Emprise sur les animaux, Résistance à l'alcool, Soins des animaux, Survie</t>
  </si>
  <si>
    <t>Coups puissants, Étiquette ou Fuite, Maîtrise (cavalerie ou escrime)</t>
  </si>
  <si>
    <t>Charisme OU Commérage, Connaissances académiques (généalogie/héraldique) OU Connaissances générales (Bretonnie), Dressage, Équitation, Esquive, Langue (bretonnien ou reikspiel), Soins des animaux</t>
  </si>
  <si>
    <t>Demi-lance, armure moyenne (gilet de mailles, cagoule de mailles et veste de cuir), bouclier, cheval de selle, selle, harnais, kit de toilettage d'animal, fourrage (pour une journée)</t>
  </si>
  <si>
    <t>Course à pied OU Résistance accrue, dur à cuire, Frénésie</t>
  </si>
  <si>
    <t>Adversaires doivent réussir un Test de FM-20% ou subir Terreur</t>
  </si>
  <si>
    <t>Connaissances académiques (nécromancie), Connaissances académiques (science), Escamotage, Évaluation, Langue (classique), Lire/Écrire, Marchandage, Métier (embaumeur), Perception, Soins</t>
  </si>
  <si>
    <t>Boulier, tablier, outils d'artisan (chirurgien-barbier), accessoires de calligraphie, crâne humain, ether/chloroforme (une bouteille)</t>
  </si>
  <si>
    <t xml:space="preserve">Cacahouète   </t>
  </si>
  <si>
    <t>Charisme, Commérage, Connaissances générales (Empire OU Pays Perdu), Évaluation, Langage secret (langage de guilde), Lire/Écrire, Marchandage, Métier (marchand), Natation, Perception</t>
  </si>
  <si>
    <t>dur à cuire, Maitrise (une arme au choix)</t>
  </si>
  <si>
    <t>Coups puissants, dur à cuire, Frénésie, Guerrier né, Maîtrise (Fléaux), Menaçant, Rage noire, Résistance aux maladies, Sans peur</t>
  </si>
  <si>
    <t>Charisme, Commérage, Connaissances générales (deux au choix), Équitation OU Natation, Focalisation, Fouille, Intimidation OU Soins des animaux, Marchandage, Métier (apothicaire ou herboriste), Perception, Sens de la magie, Soins</t>
  </si>
  <si>
    <t>Connaissances académiques (Runes), Évaluation, langage mystique (nain mystique), Métier (forgeron)</t>
  </si>
  <si>
    <t>Velléitaire</t>
  </si>
  <si>
    <t>Connaissances académiques (trois au choix), Connaissances générales (trois au choix), Évaluation OU Métier (cartographe), Langue (trois au choix), Langue (classique), Lire/Écrire, Perception</t>
  </si>
  <si>
    <t>Acuité auditive ou Acuité visuelle, dur à cuire ou Fuite</t>
  </si>
  <si>
    <t>Éléphant</t>
  </si>
  <si>
    <t>Chance ou Sixième sens, Code de la rue ou Fuite, Éloquence</t>
  </si>
  <si>
    <t>Alphabet secret (voleur) OU Jeu, Baratin, Charisme, Commérage OU Marchandage, Évaluation, Expression artistique (acteur ou conteur), Fouille OU Langage secret (langage des voleurs), Langue (reikspliel), Perception</t>
  </si>
  <si>
    <t>Éléphant (mammouth norse)</t>
  </si>
  <si>
    <t>Almée (Danseuse du ventre), Agent du Suaire, Archimage, Argousin, Capitaine de navire, Charlatan, Courtisan, Courtisan des Principautés, Dame d'honneur, Diplomate, Explorateur, Frère de la cape, Ingénieur de siège, Investigateur verenéen/Inquisiteur estalien, Maestro estalien, Magister vigilant, Marchand, Marcheur des Brumes, Médecin, Ménestrel, Prince sorcier, Sorcier des marches, Shugenja/Sädhu, Vaurien</t>
  </si>
  <si>
    <t>Charisme, Commérage, Connaissances générales (deux au choix), Crochetage, Déguisement, Déplacement silencieux, Dissimulation, Escamotage, Expression artistique (acteur), Filature, Langage secret (un au choix), Langue (trois au choix), Lecture sur les lèvres</t>
  </si>
  <si>
    <t xml:space="preserve">Compétences: Connaissances générales (Norsca), Dissimulation, Escalade, Langue (norse), Survie. Talents :Camouflage Rural, Résistance aux maladies, 3 mutations aléatoires. </t>
  </si>
  <si>
    <t xml:space="preserve">Vous coute 1/2 action pour qu'une cible à 6m qui doive réussir un test FM ou être paralysée. </t>
  </si>
  <si>
    <t>Calcul mental ou Grand voyageur, Étiquette ou Linguistique, Intelligent ou Sociable</t>
  </si>
  <si>
    <t>Charisme OU Résistance à l'alcool, Commérage OU Connaissances académiques (une au choix), Connaissances académiques (une au choix), Fouille OU Soins, Langue (classique), Langue (reikspiel), Lire/Écrire, Perception</t>
  </si>
  <si>
    <t>Compétences: Connaissances générales (Lustrie), Langue (lustrien ou norse), Navigation, Orientation, Survie. Talents : Affinité provinciale (Colonie de Lustrie d'Iquitos), Rompu au Chaos, Résistance aux maladies</t>
  </si>
  <si>
    <t>Code de la rue, Étiquette, Politique</t>
  </si>
  <si>
    <t xml:space="preserve">Câline   </t>
  </si>
  <si>
    <t>dur à cuire, Effrayant, Fuite, Robuste, Sur ses gardes</t>
  </si>
  <si>
    <t>Code de la rue ou Grand voyageur, Coups assommants ou Maîtrise (Armes paralysantes), Dur en affaires, Éloquence, Menaçant</t>
  </si>
  <si>
    <t>Fuite, Résistance à la maladie ou Contorsionniste, Combat de rue ou Lutte</t>
  </si>
  <si>
    <t>Armes naturelles, Camouflage souterrain, Carapace (2), Grimpeur chevronné, Lutte</t>
  </si>
  <si>
    <t>Coupe-Jarret, Garde du corps, Geôlier, Milicien, Paysan, Soldat, Sycophante</t>
  </si>
  <si>
    <t>Bourreau, Coupe-Jarret, Garde du Corps, Geôlier, Régisseur</t>
  </si>
  <si>
    <t>Coups puissants, Force accrue, Lutte, Maitrise (armes lourdes), Menaçant, Sain d'esprit</t>
  </si>
  <si>
    <t>Arme à deux mains (hache à deux mains ou épée à deux mains), corde au mètre (10m), capuchon</t>
  </si>
  <si>
    <t>Les individus dotés du 3è deuil doivent réussir un test de FM pour détecter un anomalie chez vous.</t>
  </si>
  <si>
    <t>Vous voyez dans le noir jusqu'à 30 mètres (15 cases) en utilisant une forme d'écholocation</t>
  </si>
  <si>
    <t>Alphabet secret (pisteur), Commandement, Conduite d'attelages, Connaissances académiques (droit ou histoire), Connaissances générales (trois au choix), Équitation, Escalade, Évaluation, Langage secret (langage des rôdeurs), Langue (trois au choix), Lire/Écrire, Métier (cartographe), Natation, Orientation, Perception, Pistage, Survie</t>
  </si>
  <si>
    <t>Arc et 10 flèches ou arbalète et 10 carreaux, armure légère (veste de cuir et chemise de mailles), arme à une main, bouclier, 6 cartes géographiques, cheval de selle, selle, harnais, 1000 CO en monnaie ou en marchandises, kit de toilettage d'animal, fourrage (pour une journée)</t>
  </si>
  <si>
    <t>Compétences: Connaissances générales (Norsca), Équitation OU Conduite d'attelages, Langue (norse), Résistance à l'alcool OU Dressage, Survie. Talents : Affinité provinciale (Nord de la Norsca), Résistance accrue, Rompu au Chaos, 30% de chances de commencer le jeu avec une mutation. Si mutation, 15% de chance d'être un Ulfwerenar.</t>
  </si>
  <si>
    <t>dur à cuire ou Sociable, Éloquence, Force accrue ou Sang-froid Maîtrise (Fléaux)</t>
  </si>
  <si>
    <t>Charisme, Connaissances académiques (théologie), Connaissances générales (Empire), Intimidation, Lire/Écrire</t>
  </si>
  <si>
    <t xml:space="preserve">Cannelle   </t>
  </si>
  <si>
    <t>Alphabet secret (voleur), Charisme, Connaissances académiques (arts), Connaissances générales (deux au choix), Évaluation, Langue (une au choix), Lire/Écrire, Marchandage, Métier (artiste), Métier (calligraphe), Métier (forgeron), Perception</t>
  </si>
  <si>
    <t>Appeau de chasse, cage (petite), dague, gants en cuir, kit de toilettage d'animal, oiseau de proie (un au choix), piège à loup, veste en cuir</t>
  </si>
  <si>
    <t>Dur en affaires, dur à cuire, Maitrise (Fléaux) ou Maitrise (Armes de parade)</t>
  </si>
  <si>
    <t>Braconnage, Charisme OU Intimidation, Conduite d'attelages, Équitation, Évaluation, Emprise sur les animaux, Marchandage, Métier (fermier), Soins des animaux</t>
  </si>
  <si>
    <t xml:space="preserve">Compétences: Commérage ou Équitation, Connaissances générales (Nippon), Langue (nipponais). Talents: Affinité provinciale (Ile de Kapado), 1 talent déterminé aléatoirement </t>
  </si>
  <si>
    <t>Conduite d'attelages, Connaissances académiques (théologie), Connaissances générales (Empire), Esquive, Évaluation, Fouille, Perception, Survie</t>
  </si>
  <si>
    <t xml:space="preserve">Compétences: Commérage ou Équitation, Connaissances générales (Nippon), Langue (nipponais). Talents: Affinité provinciale (Ile de Shinzen), 1 talent déterminé aléatoirement </t>
  </si>
  <si>
    <t>Chance, Éloquence, Force accrue, Menaçant, Résistance accrue, Résistance au Chaos, Sixième sens</t>
  </si>
  <si>
    <t xml:space="preserve">Compétences: Commérage ou Équitation, Connaissances générales (Nippon), Langue (nipponais). Talents: Affinité provinciale (Ile de Shugintsu), 1 talent déterminé aléatoirement </t>
  </si>
  <si>
    <t xml:space="preserve">Compétences: Commérage ou Équitation, Connaissances générales (Nippon), Langue (nipponais). Talents: Affinité provinciale (Ile d'Harakaï), 1 talent déterminé aléatoirement </t>
  </si>
  <si>
    <t>Armure légère (veste de cuir), arme à une main, garrot, cape, accessoires de déguisement de bonne qualité, 3 vêtements confortables (tenue complète), une dose de poison (au choix)</t>
  </si>
  <si>
    <t>Argousin, Artisan, Éclusier, Égoutier, Garde de caravane, Garde des profondeurs, Gardien du temple, Garde républicain, Gardien de Harem, Investigateur verenéen/Inquisiteur estalien, Janissaire, Mercenaire, Patrouilleur, Piquier, Plaideur, Racketteur, Sapeur Pompier, Sergent, Soldat, Streltsi, Sycophante, Tchékiste</t>
  </si>
  <si>
    <t>Connaissance des pièges, Coups assommants OU Coups précis, Course à pied, Fils du désert, Maîtrise (armes de jet), Sang froid OU Sens de l’orientation, Sur ses gardes.</t>
  </si>
  <si>
    <t>Camouflage souterrain, Évaluation, Résistance aux maladies, Résistance aux poisons, Sens de l’orientation</t>
  </si>
  <si>
    <t>Concubine, Coupe-jarret, Diestro estalien, Exécuteur, Gardien de Harem, Geôlier, Homme lige, Manouvrier, Mercenaire, Piquier</t>
  </si>
  <si>
    <t>Rondache, 2 Gantelets/coups-de-poing, 2 haches de jet ou 2 dagues de jet, armure légère (veste de cuir)</t>
  </si>
  <si>
    <t>Compétences: Connaissances générales (Peaux-Vertes), Équitation OU Natation, Escalade, Langue (goblinoïde), Perception, Survie, Torture Talents : Combat de Rue</t>
  </si>
  <si>
    <t>Connaissances académiques (nécromancie), Connaissances académiques (théologie), Équitation, Esquive, Intimidation, Langage secret (langage de bataille), Langue (deux au choix), Lire/Écrire, Perception</t>
  </si>
  <si>
    <t>Duelliste, Garde/Chapeau noir, Mercenaire, Piquier, Ratier, Sergent, Soldat, Vétéran/Longue Barbe</t>
  </si>
  <si>
    <t>Capitaine, Champion de Justice, Chevalier, Duelliste, Marchand, Mercenaire, Racketteur</t>
  </si>
  <si>
    <t>Coups précis, Coups puissants, Désarmement, dur à cuire, Lutte, Sur ses gardes, Maitrise (armes à 2 mains)</t>
  </si>
  <si>
    <t>Pique tiléenne de qualité exceptionnelle, Armure lourde de qualité exceptionnelle (Armure de plaques complète), Bijoux pour une valeur de 200 CO</t>
  </si>
  <si>
    <t>Acuité auditive OU Acuité visuelle, Coups assommants, Désarmement, dur à cuire OU Étiquette OU Intrigant, Menaçant OU Sain d’esprit, Sens aiguisés OU Sociable.</t>
  </si>
  <si>
    <t>Dissimulation (Ag), Escalade (F), Intimidation (F)</t>
  </si>
  <si>
    <t xml:space="preserve">Compétences: Commérage ou Équitation, Connaissances générales (Tilée), Langue (Tiléen). Talents: Affinité provinciale (Principauté de Luccini), 1 talent déterminé aléatoirement </t>
  </si>
  <si>
    <t>Étudiant, Scribe, Soldat</t>
  </si>
  <si>
    <t>Érudit, Guide, Ingénieur, Régisseur</t>
  </si>
  <si>
    <t>Armure légère (veste de cuir), outil d'artisan (ingénieur/géomètre), accessoires de calligraphie</t>
  </si>
  <si>
    <t xml:space="preserve">Compétences: Métier (un au choix) OU Équitation, Connaissances générales (Tilée), Langue (Tiléen). Talents: Affinité provinciale (Principauté de Miragliano), 1 talent déterminé aléatoirement </t>
  </si>
  <si>
    <t>Armes naturelles, Effrayant, Sans Peur, Troublant, Vision nocturne, Volonté de fer + 1 mutation parmi: Peau écailleuse, Régénération, Peau coriace, Imposant ou Sanguinaire</t>
  </si>
  <si>
    <t>Clémentine</t>
  </si>
  <si>
    <t xml:space="preserve">Compétences: Métier (un au choix) OU Équitation, Connaissances générales (Tilée), Langue (Tiléen). Talents: Affinité provinciale (Principauté de Pavona), 1 talent déterminé aléatoirement </t>
  </si>
  <si>
    <t>Charisme, Commérage, Connaissances académiques (esprits), Connaissances générales (deux au choix), Équitation, Expression artistique (chanteur), Expression artistique (danseur), Focalisation, Intimidation, Langage mystique (démonik ou magick), Langue (deux au choix), Perception, Sens de la magie, Soins</t>
  </si>
  <si>
    <t>Chaman Bray</t>
  </si>
  <si>
    <t>Bâton de Bray (de bonne qualité), plantes hallucinogènes (3 petits sacs), un objet magique, 5 scalps humains, 5 crânes humains</t>
  </si>
  <si>
    <t>Alphabet secret (templier), Charisme, Commandement, Connaissances académiques (généalogie/héraldique ou théologie), Connaissances académiques (stratégie/tactique), Connaissances générales (trois au choix), Dressage, Équitation, Esquive, Intimidation, Langage secret (langage de bataille), Langue (bretonnien, estalien, kiselvarin ou tiléen), Lire/Écrire, Perception</t>
  </si>
  <si>
    <t xml:space="preserve">Compétences: Métier (un au choix) OU Équitation, Connaissances générales (Tilée), Langue (Tiléen). Talents: Affinité provinciale (Principauté de Trantio), 1 talent déterminé aléatoirement </t>
  </si>
  <si>
    <t>Étiquette, Harmonie aethyrique ou Méditation ,Incantation de bataille ou Projectile puissant, Magie mineure (2 au choix), Mains agiles ou Sain d’esprit</t>
  </si>
  <si>
    <t>Charisme, Commérage, Connaissances académiques (trois au choix), Connaissances académiques (théologie), Connaissances générales (deux au choix), Équitation OU Natation, Focalisation, Intimidation, Langage mystique (magick), Langue (trois au choix), Sens de la magie, Soins</t>
  </si>
  <si>
    <t xml:space="preserve">Compétences: Métier (un au choix) OU Équitation, Connaissances générales (Tilée), Langue (Tiléen). Talents: Affinité provinciale (République de Remas), 1 talent déterminé aléatoirement </t>
  </si>
  <si>
    <t>Armes naturelles, Coups puissants, Crachat acide, Carapace (2), Terrifiant</t>
  </si>
  <si>
    <t xml:space="preserve">Compétences: Commérage ou Équitation, Connaissances générales (Tilée), Langue (Tiléen). Talents: Affinité provinciale (République de Verezzo), 1 talent déterminé aléatoirement </t>
  </si>
  <si>
    <t>Affinité Provinciale (Grande principauté du Reikland), Étiquette</t>
  </si>
  <si>
    <t>Charisme, Commérage, Connaissances académiques (quatre au choix), Connaissances académiques (théologie), Connaissances générales (deux au choix), Équitation OU Natation, Intimidation, Langage mystique (magick), Langue (trois au choix), Perception, Soins</t>
  </si>
  <si>
    <t>Compétences: Connaissances générales (Elfes, elfes noirs et Ulthuan), Langue (eltarin), Survie. Talents : Affinité provinciale (Iles du Nord), dur à cuire</t>
  </si>
  <si>
    <t>Compétences: Connaissances générales (Elfes et Ulthuan), Expression artistique (une au choix), Langue (eltarin). Talents : Affinité provinciale (Royaume d'Avelorn), Étiquette</t>
  </si>
  <si>
    <t>Camouflage rural ou dur à cuire, Code de la rue, Dur en affaire, Valeureux</t>
  </si>
  <si>
    <t>Commérage, Connaissances générales (une au choix), Évaluation, Fouille, Marchandage, Métier (cuisinier), Perception</t>
  </si>
  <si>
    <t>Armes naturelles, Coups puissants, Effrayant, Mort-Vivant, Sens aiguisés, Vol</t>
  </si>
  <si>
    <t>Allumeur de réverbères, Caravanier, Conducteur de pousse-pousse, Éclaireur, Escroc, Garde de caravane, Géomètre, Interprète, Messager, Pillard du désert, Prêcheur de rue, Vagabond</t>
  </si>
  <si>
    <t>Alphabet secret (un au choix) OU Escalade, Canotage OU Déguisement, Commérage, Connaissances générales (désert OU montagne), Langage secret (un au choix), Langue (deux au choix), Marchandage, Orientation, Perception OU Pistage, Survie</t>
  </si>
  <si>
    <t xml:space="preserve">Compétences: Connaissances générales (Elfes et Ulthuan), Étiquette, Langue (eltarin), Navigation. Talents : Affinité provinciale (Royaumes d'Eataine et de Lothern) </t>
  </si>
  <si>
    <t>Éloquence, Étiquette, Orateur né</t>
  </si>
  <si>
    <t>Baratin, Charisme, Commérage, Connaissances académiques (généalogie/héraldique), Connaissances académiques (histoire), Connaissances générales (Kislev, Bretonnie ou Tilée),  Connaissances générales (Empire), Équitation, Évaluation, Langue (bretonnien, kiselvarin ou tiléen), Langue (reikspiel), Lire/Écrire, Marchandage, Perception</t>
  </si>
  <si>
    <t xml:space="preserve">Compétences: Connaissances générales (Elfes et Ulthuan), Équitation, Langue (eltarin). Talents : Affinité provinciale (Royaume d'Ellyrion) </t>
  </si>
  <si>
    <t>Charisme (Soc), Commandement (Soc+20%), Commérage (Soc), Connaissances académiques (Histoire) (Int+20%), Connaissances générales (Terres des morts (Int+20%), Nehekhara (Int+20%)), Escalade (Ag+10%), Évaluation (Int+10%), Fouille (Int), Intimidation (F+20%), Langue (néhékaréen+ 3 au choix) (Int), Perception (Int+20%)</t>
  </si>
  <si>
    <t>Coups assommants, Coups précis, Coups puissants, Mort-Vivant, Puissance imparable, Sans Peur, Terrifiant, Vision nocturne, Vol</t>
  </si>
  <si>
    <t>Acuité Visuelle, Coups assommants, Coups précis, Coups puissants, Ecailles (5), Mort-Vivant, Nuage de mouches, Puissance imparable, Sans Peur, souffle pestilentiel, Terrifiant, Vision nocturne, Vol</t>
  </si>
  <si>
    <t>Épée/Hache volante</t>
  </si>
  <si>
    <t>Artisan, Chasseur de primes,  Érudit, Franc-archer, Ingénieur, Hors-la-loi, Sergent, Vétéran/Longue Barbe</t>
  </si>
  <si>
    <t>Baratin OU Navigation, Connaissances académiques (ingénierie ou sciences), Esquive, Langage secret (langage de bataille), Langue (classique), Perception, Lire/Écrire, Métier (charpentier)</t>
  </si>
  <si>
    <t xml:space="preserve">Compétences: Commérage, Connaissances générales (Ex-Ligue Achéenne), Langage secret (vieil hellènéen), Langue (bretonnien ou reikspiel ou tiléen),  Talents: Affinité provinciale (Ex-Ligue Achéenne), 2 talents déterminés aléatoirement </t>
  </si>
  <si>
    <t>Émaciée</t>
  </si>
  <si>
    <t>Alphabet secret (voleur) OU Commérage, Braconnage OU Natation, Conduite d'attelages OU Équitation, Connaissances générales (Empire) OU Soins des animaux, Déplacement silencieux, Dissimulation, Escalade, Esquive, Perception</t>
  </si>
  <si>
    <t xml:space="preserve">Compétences: Commérage, Connaissances générales (Principautés frontalières), Langue (bretonnien ou reikspiel ou tiléen) Talents: Affinité provinciale (Massershloss), 2 talents déterminés aléatoirement </t>
  </si>
  <si>
    <t>Conduite d'attelages OU Équitation, Connaissances académiques (ingénierie), Connaissances académiques (science), Connaissances générales (nains ou tilée), Langue (khazalid ou tiléen), Lire/Écrire, Métier (arquebusier), Perception</t>
  </si>
  <si>
    <t xml:space="preserve">Compétences: Commérage, Connaissances générales (Principautés frontalières), Langue (bretonnien ou reikspiel ou tiléen) Talents: Affinité provinciale (une principauté frontalière), Guerrier Né, 1 talent déterminé aléatoirement </t>
  </si>
  <si>
    <t xml:space="preserve">Compétences: Commérage, Connaissances académiques (Gastronomie), Connaissances générales (Principautés frontalières), Langue (bretonnien ou reikspiel) Talents: Affinité provinciale (Vlandrie ou Walnie), Linguistique, 1 talents déterminés aléatoirement </t>
  </si>
  <si>
    <t>Étiquette, Sans Peur</t>
  </si>
  <si>
    <t>Tromblon, arme à une main, armure moyenne (armure de mailles complète), outils d'artisan (ingénieur/géomètre), 6 pointes</t>
  </si>
  <si>
    <t>Compétences: Connaissances générales (Albion), Langue (Albionais), Orientation ou Équitation, Résistance à l'alcool. Talents : Affinité provinciale (Ile d'Aeryn), Chance</t>
  </si>
  <si>
    <t>Conduite d'attelages, Connaissances académiques (ingénierie)</t>
  </si>
  <si>
    <t>(Morr) Agent du Suaire, Bedeau, Chantre, (Taal) Chasseur cornu, (Myrmidia) Chevalier du Champ Verdoyant, Chirurgien barbier, Démagogue, Derviche,  Dilettante, (Ursun) Dresseur d'ours, Fanatique,  Fauconnier (Myrmidia), Gardien du temple, (Véréna) Investigateur verenéen/Inquisiteur estalien, Marcheur des Brumes, Moine, Moine mendiant, Pénitent, (Manann ou Stormfels) Pirate/Corsaire, Prêtre, Prêtre laïque, Prêcheur de rue, Scribe, Sycophante, Talib (Dresseur de djinn)</t>
  </si>
  <si>
    <t>Éloquence, Force accrue ou Réflexes éclair, Guerrier né ou Sociable</t>
  </si>
  <si>
    <t>Charisme, Connaissances académiques (astronomie OU histoire), Connaissances académiques (théologie), Langue (classique), Langue (reikspiel), Lire/Écrire, Perception, Soins</t>
  </si>
  <si>
    <t xml:space="preserve">Compétences: Connaissances générales (Albion), Langue (Albionais), Orientation ou Équitation, Survie. Talents : Affinité provinciale (Ile d'Albany), Méditation </t>
  </si>
  <si>
    <t>Calcul mental, Éloquence</t>
  </si>
  <si>
    <t>Charisme, Commandement, Commérage, Connaissances académiques (droit), Connaissances générales (Empire), Équitation, Évaluation, Fouille, Intimidation, Langue (reikspliel), Lire/Écrire, Marchandage, Métier (marchand), Perception</t>
  </si>
  <si>
    <t>Accessoires de calligraphie, 2 Atours de noble (tenue complète)</t>
  </si>
  <si>
    <t>Compétences: Connaissances générales (Albion), Langue (Albionais), Orientation ou Équitation, Métier (mineur ou fermier ou éleveur). Talents : Affinité provinciale (Ile de Morien/Galles), 1 talent déterminé aléatoirement.</t>
  </si>
  <si>
    <t>Étudiant, Guide, Messager, Moine, Porterune, Raconteur, Scribe, Vendeur de Journaux</t>
  </si>
  <si>
    <t>Agitateur, Apprenti sorcier, Diplomate, Érudit, Explorateur, Initié, Investigateur vérénéen, Ménestrel, Pamphlétaire, Raconteur, Valet</t>
  </si>
  <si>
    <t>Alphabet secret (un au choix) OU Langage secret (un au choix), Commérage OU Connaissances académiques (une au choix), Expression artistique (conteur ou chanteur), Fouille OU Perception, Langue (trois au choix), Langage mystique (un au choix), Lire/Écrire, Métier (calligraphe)</t>
  </si>
  <si>
    <t>Accessoires de calligraphie, Bougie de cire, Étui à parchemins, Loupe, Parchemins (5), Livre imprimé et collé.</t>
  </si>
  <si>
    <t>Compétences: Connaissances générales (Albion), Langue (Albionais), Orientation ou Équitation. Talents : Affinité provinciale (Ile de la Grande Albion), 1 talent déterminé aléatoirement.</t>
  </si>
  <si>
    <t>Étiquette, Grand Voyageur</t>
  </si>
  <si>
    <t>Bateleur, Chevaucheur de Dragon, Escroc, Étudiant, Mercenaire, Noble/Jarl, Vagabond, Voleur</t>
  </si>
  <si>
    <t>Chance ou Fuite, Code de la rue ou Étiquette, Fêtard</t>
  </si>
  <si>
    <t>Alphabet secret (voleur) OU Lire/Écrire, Baratin, Charisme, Commérage OU Langage secret (langage des voleurs), Escamotage, Évaluation, Jeu, Perception</t>
  </si>
  <si>
    <t>Commérage OU Jeu, Connaissances générales (Kislev), Esquive, Fouille, Langue (kiselvarin), Perception, Résistance à l'alcool, Survie</t>
  </si>
  <si>
    <t>Bandit de grand chemin, Chevalier, Érudit, Espion, Maestro Verdadero estalien, Myrmidon, Patrouilleur, Sergent</t>
  </si>
  <si>
    <t>Coups assommants ou Coups puissants, Combattant virevoltant, Désarmement,  Maîtrise (Parade), Réflexes éclair, Sur ses gardes</t>
  </si>
  <si>
    <t>Connaissances Académiques (Science), Connaissances Académiques (une au choix), Esquive, Intimidation, Langue (Estalien), Lire/Écrire, Perception, langage secret (Destreza)</t>
  </si>
  <si>
    <t>Rapière ou fleuret de qualité exceptionnelle, Atours de noble (tenue complète) de qualité exceptionnelle</t>
  </si>
  <si>
    <t>Ambidextre, Parade Éclair</t>
  </si>
  <si>
    <t>Connaissances Académiques (deux au choix), Esquive, Langue (Estalien, Classique), Lire/Écrire, Perception, langage secret (Destreza)</t>
  </si>
  <si>
    <t>Au moins 10 Rapières et/ou fleurets de qualité exceptionnelle, Au moins 10 atours de noble (tenue complète) de qualité exceptionnelle</t>
  </si>
  <si>
    <t>Commérage, Connaissances académiques (démonologie), Connaissances académiques (magie), Connaissances académiques (nécromancie), Connaissances générales (Empire), Connaissances générales (une au choix), Équitation, Focalisation, Fouille, Intimidation, Langage mystique (démonik), Langage mystique (magick), Langue (deux au choix), Lire/Écrire, Perception, Sens de la magie, Torture</t>
  </si>
  <si>
    <t xml:space="preserve">Compétences: Connaissances générales (Dragons et draconides), Langue (langage sombre), Orientation, Survie. Talents: Affinité provinciale (Iles du Dragon), 1 talent déterminé aléatoirement, 25% de chances de commencer le jeu avec une mutation. </t>
  </si>
  <si>
    <t>Cléopâtre</t>
  </si>
  <si>
    <t>Charisme, Dur en Affaires, Éloquence, Étiquette, Marchandage, Orateur Né, Politique</t>
  </si>
  <si>
    <t>Langage secret (Langage de guilde)</t>
  </si>
  <si>
    <t xml:space="preserve">Compétences: Connaissances générales (Dragons et draconides, Terres Sombres), Langue (langage sombre), Orientation, Survie. Talents: Affinité provinciale (Plaine des Os), Fils du désert, 30% de chances de commencer le jeu avec une mutation. </t>
  </si>
  <si>
    <t>Préparation de poisons, Intimidation, Torture</t>
  </si>
  <si>
    <t>Serein/Tranquille/Paisible</t>
  </si>
  <si>
    <t>Dague de qualité exceptionnelle, culte de Slaanesh, symbole religieux (petit, de qualité exceptionnelle), vêtements religieux (tenue complète, de qualité exceptionnelle), 30 CO</t>
  </si>
  <si>
    <t>Atours (beaux, tenue complète), dague, symbole religieux (petit), vêtements religieux (tenue complète, de qualité exceptionnelle), 30 CO</t>
  </si>
  <si>
    <t xml:space="preserve">Compétences: Connaissances générales (Désolations du Chaos), Équitation, Langue (Kurgan ou Hung), Survie Talents : Affinité provinciale (Désolations du chaos), dur à cuire, Guerrier né, Résistance accrue, Rompu au Chaos, 25% de chances de commencer le jeu avec une mutation. </t>
  </si>
  <si>
    <t>Compétences: Connaissances générales (Désolations du Chaos), Équitation, Langue (Kurgan ou Hung), Survie Talents : Affinité provinciale (Désolations du chaos), Contagion, dur à cuire, Résistance accrue, Rompu au Chaos, + 1d4 Mutations</t>
  </si>
  <si>
    <t>Compétences: Connaissances générales (Désolations du Chaos), Équitation, Langue (Kurgan ou Hung), Survie Talents : Affinité provinciale (Désolations du chaos), Contagion, dur à cuire, Résistance accrue, Séduisant, Rompu au Chaos  + 1d4 Mutations</t>
  </si>
  <si>
    <t>Charisme (Soc), Connaissances académiques (théologie) (Int), Connaissances générales (Empire) (Int), Commérage (Soc), Langue (classique (Int), reikspiel (Int+10%)), Lire/Écrire (Int), Perception (Int) , Soins (Int)</t>
  </si>
  <si>
    <t>Coups puissants, Éloquence, Force accrue, Guerrier né Résistance aux poisons, Robuste</t>
  </si>
  <si>
    <t>Dur en affaires, Étiquette, Linguistique, Précepteur</t>
  </si>
  <si>
    <t>Charisme, Commandement, Commérage, Connaissances académiques (histoire), Connaissances générales (Empire), Évaluation, Langage secret (langage de guilde), Langue (bretonnien, estalien, kiselvarin ou norse), Langue (reikspiel), Marchandage, Métier (deux au choix), Perception</t>
  </si>
  <si>
    <t>Accessoires de calligraphie, 100 CO</t>
  </si>
  <si>
    <t>Compétences: Connaissances générales (Désolations du Chaos), Équitation, Langue (Kurgan ou Hung), Survie Talents : dur à cuire, Résistance accrue, Rompu au Chaos, Soif de sang, + 1d4 Mutations</t>
  </si>
  <si>
    <t>Charisme (Soc), Connaissances académiques (théologie, astronomie) (Int), Connaissances générales (Empire) (Int), Commérage (Soc), Langue (classique (Int), reikspiel (Int+10%)), Lire/Écrire (Int), Natation (F), Perception (Int) , Soins (Int)</t>
  </si>
  <si>
    <t>Éloquence, Force accrue, Réflexes éclairs, Résistance aux poisons, Robuste</t>
  </si>
  <si>
    <t>Commandement, Commérage, Connaissances académiques (trois au choix), Connaissances générales (trois au choix), Création de runes, Esquive, Évaluation, Intimidation, Langage mystique (nain mystique), Langue (trois au choix), Lire/Écrire, Métier (deux au choix), Perception</t>
  </si>
  <si>
    <t>Compétences: Connaissances générales (Désolations du Chaos), Équitation, Langue (Kurgan ou Hung), Survie Talents : Contagion, dur à cuire, Résistance accrue, Rompu au Chaos + 1d4 Mutations</t>
  </si>
  <si>
    <t>Charisme (Soc), Connaissances académiques (théologie, histoire) (Int), Connaissances générales (Empire) (Int), Commérage (Soc), Intimidation (F), Langue (classique (Int), reikspiel (Int+10%)), Lire/Écrire (Int), Perception (Int) , Soins (Int)</t>
  </si>
  <si>
    <t>Éloquence, Guerrier né, Réflexes éclairs, Résistance aux poisons, Robuste</t>
  </si>
  <si>
    <t>Compétences: Connaissances générales (Désolations du Chaos), Équitation, Langue (Kurgan ou Hung), Sens de la magie, Survie Talents :dur à cuire, Résistance accrue, Rompu au Chaos, Vil ensorcèlement + 1d4 Mutations</t>
  </si>
  <si>
    <t>Charisme (Soc), Connaissances académiques (théologie, histoire) (Int), Connaissances générales (Empire) (Int), Commérage (Soc), Langue (classique (Int), reikspiel (Int+10%)) (Int), Lire/Écrire (Int), Perception (Int) , Soins (Int)</t>
  </si>
  <si>
    <t>Coups précis, Éloquence, Force accrue, Guerrier né, Résistance aux poisons, Robuste</t>
  </si>
  <si>
    <t>Compétences: Connaissances générales (Royaume du Chaos), Langue (Langage sombre), Survie Talents : Affinité provinciale (Domaine du Prince du Chaos), dur à cuire, Guerrier né, Résistance accrue, Rompu au Chaos, Séduisant, Troublant +3d4 mutations + 3 Folies.</t>
  </si>
  <si>
    <t>Charisme (Soc), Connaissances académiques (astronomie, théologie) (Int), Connaissances générales (Empire) (Int), Commérage (Soc), Escamotage (Ag), Langue (classique (Int), reikspiel (Int+10%), Lire/Écrire (Int), Perception (Int) , Soins (Int)</t>
  </si>
  <si>
    <t>Éloquence, Réflexes éclairs, Résistance aux poisons, Robuste, Sociable</t>
  </si>
  <si>
    <t>Charisme OU Intimidation, Commérage OU Équitation, Connaissances académiques (magie), Connaissances académiques (deux au choix), Connaissances générales (deux au choix), Focalisation, Langage mystique (démonik ou elfe mystique), Langage mystique (magick), Langue (trois au choix), Lire/Écrire, Sens de la magie</t>
  </si>
  <si>
    <t>Compétences: Connaissances générales (Royaume du Chaos), Langue (Langage sombre), Survie Talents : Affinité provinciale (Fief du Dieu du Sang), dur à cuire, Frénésie, Guerrier né, Résistance accrue, Rompu au Chaos, Soif de Sang +3d4 mutations + 3 Folies.</t>
  </si>
  <si>
    <t>Charisme (Soc), Connaissances académiques (histoire, théologie) (Int), Connaissances générales (Empire) (Int), Commérage (Soc), Langue (classique (Int), reikspiel (Int+10%)), Lire/Écrire (Int), Perception (Int) , Soins (Int +10%)</t>
  </si>
  <si>
    <t>Étiquette ou Talent artistique (au choix), Précepteur</t>
  </si>
  <si>
    <t>Commérage, Conduite d'attelages, Évaluation, Langage secret (langage de guilde), Langue (bretonnien, kiselvarin ou tiléen), Marchandage, Métier (trois au choix), Perception</t>
  </si>
  <si>
    <t>Compétences: Connaissances générales (Royaume du Chaos), Langue (Langage sombre), Survie Talents : Affinité provinciale (La Forge des Âmes), dur à cuire, Guerrier né, Résistance accrue, Rompu au Chaos, Soif de Sang +3d4 mutations + 3 Folies.</t>
  </si>
  <si>
    <t>Charisme (Soc), Connaissances académiques (histoire, théologie) (Int), Connaissances générales (Empire, nains) (Int), Commérage (Soc), Langue (classique (Int), reikspiel (Int+10%)), Lire/Écrire (Int), Perception (Int) , Soins (Int)</t>
  </si>
  <si>
    <t>Éloquence, Force accrue, Guerrier né, Résistance aux poisons, Robuste</t>
  </si>
  <si>
    <t>Compétences: Connaissances générales (Royaume du Chaos), Langue (Langage sombre), Sens de la Magie, Survie Talents : Affinité provinciale (Royaume du Grand Sorcier), dur à cuire, Guerrier né, Résistance accrue, Rompu au Chaos, Vil Ensorcèlement +3d4 mutations + 3 Folies.</t>
  </si>
  <si>
    <t>Affinité Provinciale (Grande principauté du Reikland), Éloquence, Politique</t>
  </si>
  <si>
    <t>Charisme (Soc), Connaissances académiques (astronomie, théologie) (Int), Connaissances générales (Empire) (Int), Commérage (Soc), Langue (classique (Int), reikspiel (Int+10%)), Lire/Écrire (Int), Perception (Int) , Soins (Int), Survie (Int)</t>
  </si>
  <si>
    <t>Charisme (Soc), Connaissances académiques (histoire, théologie) (Int), Connaissances générales (Empire) (Int), Commérage (Soc), Langue (classique (Int), reikspiel (Int+10%)), Lire/Écrire (Int), Perception (Int+10%) , Soins (Int)</t>
  </si>
  <si>
    <t>Arrimeur/Docker, Batelier, Chiffonnier, Marin, Matelot, Vagabond</t>
  </si>
  <si>
    <t>Combat de rue OU dur à cuire, Force accrue OU Coups Assommants, Linguistique OU Menaçant, Résistance accrue</t>
  </si>
  <si>
    <t>Vil ensorcèlement, Sombre Savoir</t>
  </si>
  <si>
    <t>Canotage (F), Charisme (Soc), Commérage (Soc +10%), Connaissances académiques (astronomie (Int+20%), théologie (Int+10%), sciences (Int)), Connaissances générales (Empire (Int +20%), Norsca (Int)), nains (Int)), Focalisation (FM), Langage mystique (magick) (Int), Langue (classique (Int+10%), reikspiel (Int+20%)), Lire/Écrire (Int+10%), Métier (charpentier naval) (Int), Natation (F+20%), Navigation (Ag), Perception (Int) , Sens de la magie (FM), Soins (Int+10%)</t>
  </si>
  <si>
    <t>Éloquence, Force accrue, Grand voyageur, Harmonie aethyrique, Inspiration divine (Manann), Magie mineure (deux au choix), Mains agiles, Réflexes éclairs, Résistance aux poisons, Robuste</t>
  </si>
  <si>
    <t>Atours (beaux, tenue complète de qualité exceptionnelle), lasso ou fouet, 1d5 Cheveux, 1d10 CO</t>
  </si>
  <si>
    <t>Affinité Provinciale (Grande principauté du Reikland), Éloquence, Magie Commune (Chaos), Politique</t>
  </si>
  <si>
    <t>Charisme (Soc), Commérage (Soc +10%), Connaissances académiques (histoire (Int+10%), nécromancie (Int +20%) théologie (Int+10%)), Connaissances générales (Empire (Int +20%, Principautés frontalières (Int), nains (Int)), Équitation (Ag+10%), Focalisation (FM), Intimidation (F), Langage mystique (magick) (Int), Langue (classique (Int+10%), reikspiel (Int+20%)), Lire/Écrire (Int+10%), Métier (embaumeur) (Int), Perception (Int) , Sens de la magie (FM), Soins (Int+10%)</t>
  </si>
  <si>
    <t>Coups puissants, Éloquence, Grand Voyageur, Guerrier né, Inspiration divine (Morr), Magie mineure (deux au choix), Mains agiles, Méditation, Menaçant, Réflexes éclairs, Résistance aux poisons, Robuste</t>
  </si>
  <si>
    <t>Charisme (Soc), Commandement (Soc), Commérage (Soc +10%), Connaissances académiques (histoire (Int+10%), théologie (Int+10%), stratégie/tactique (Int+10%), Connaissances générales (Empire (Int +10%), Estalie (Int), Tilée (Int), nains (Int)), Équitation (Ag), Focalisation (FM), Langage mystique (magick) (Int), Langue (classique (Int+10%), reikspiel (Int+20%)), Lire/Écrire (Int+10%), Natation (F), Perception (Int) , Sens de la magie (FM), Soins (Int+10%)</t>
  </si>
  <si>
    <t>Coups précis, Coups puissants, Éloquence, Force accrue, Guerrier né, Harmonie aethyrique, Incantation de bataille, Inspiration divine (Myrmidia), Magie mineure (deux au choix), Maitrise (armes de jet, armes lourdes, fléaux), Résistance aux poisons, Robuste</t>
  </si>
  <si>
    <t>Superstitieux</t>
  </si>
  <si>
    <t>Charisme, Commérage, Conduite d'attelages, Connaissances générales (deux au choix), Équitation, Évaluation, Langage secret (langage de guilde), Langue (bretonnien, estalien, kiselvarin ou norse), Langue (reikspiel), Lire/Écrire, Marchandage, Métier (marchand)</t>
  </si>
  <si>
    <t>Charisme (Soc), Commérage (Soc+10%), Connaissances académiques (astronomie (Int), droit (Int+10%), histoire (Int), théologie (Int+10%)), Connaissances générales (Empire (Int +20%) Pays Perdu (Int), nains (Int)), Déplacement silencieux (Ag), Dissimulation (Ag), Équitation (Ag), Escamotage (Ag), Focalisation (FM), Langage mystique (magick) (Int), Langue (classique (Int+10%), reikspiel (Int+20%)), Lire/Écrire (Int+10%), Natation (F), Perception (Int) , Sens de la magie (FM), Soins (Int+10%)</t>
  </si>
  <si>
    <t>Chance, Éloquence, Grand Voyageur, Harmonie aethyrique, Inspiration divine (Ranald), Magie mineure (deux au choix), Mains agiles, Réflexe éclairs, Résistance aux poisons, Robuste, Sociable</t>
  </si>
  <si>
    <t>Brigande</t>
  </si>
  <si>
    <t>Vil ensorcèlement, Magie Commune (Chaos)</t>
  </si>
  <si>
    <t>Charisme (Soc), Commérage (Soc+10%), Connaissances académiques (histoire (Int+20%), philosophie (Int), théologie (Int+20%)), Connaissances générales (Bretonnie (Int), Empire (Int +20%), nains (Int)), Équitation (Ag), Focalisation (FM), Langage mystique (magick) (Int), Langue (classique (Int+10%), reikspiel (Int+20%)), Lire/Écrire (Int+10%), Métier (herboriste) (Int), Perception (Int) , Sens de la magie (FM), Soins (Int+20%)</t>
  </si>
  <si>
    <t>Éloquence, Grand Voyageur, Harmonie aethyrique, Inspiration divine (Shallya), Mains agiles, Magie mineure (deux au choix), Réflexes éclairs, Résistance aux maladies, Résistance aux poisons, Robuste, Sociable</t>
  </si>
  <si>
    <t>Code de la rue OU Étiquette, Combattant virevoltant OU Coups précis, Linguistique, Magie mineure (deux au choix), Science de la magie (Domaine des Brumes), Sixième sens</t>
  </si>
  <si>
    <t>Marchandage, Évaluation</t>
  </si>
  <si>
    <t>Charisme (Soc), Commandement (Soc), Commérage (Soc +10%), Connaissances académiques (astronomie (Int+20%), stratégie/tactique (Int), théologie (Int+10%)), Connaissances générales (Empire) (Int +20%), nains (Int+20%)), Équitation (Ag+10%), Focalisation (FM), Langage mystique (magick) (Int), Langue (classique (Int+10%), khazalid (Int), reikspiel (Int+20%)), Lire/Écrire (Int+10%), Perception (Int) , Sens de la magie (FM), Soins (Int+10%)</t>
  </si>
  <si>
    <t>Coups puissants, Éloquence, Force accrue, Grand Voyageur, Guerrier né, Harmonie aethyrique, Incantation de bataille, Inspiration divine (Sigmar), Magie mineure (deux au choix), Maitrise (armes lourdes), Résistance aux poisons, Robuste</t>
  </si>
  <si>
    <t>Théâtral/Expressif</t>
  </si>
  <si>
    <t>Camouflage rural, dur à cuire, Maîtrise (Armes paralysantes), Réflexes éclair ou Résistance accrue, Tireur d’élite</t>
  </si>
  <si>
    <t>Charisme (Soc), Commérage (Soc+10%), Connaissances académiques (astronomie (Int+20%), théologie (Int+10%)), Connaissances générales (Empire (Int +10%), Kislev (Int), halflings (Int), nains (Int)), Emprise sur les animaux (Soc), Équitation (Ag), Focalisation (FM), Langage mystique (magick) (Int), Langue (classique Int+10%, reikspiel Int+20%) (Int), Lire/Écrire (Int+10%), Natation (F), Orientation (Int), Perception (Int) , Sens de la magie (FM), Soins (Int+10%), Survie (Int)</t>
  </si>
  <si>
    <t>Éloquence, Grand Voyageur, Guerrier né, Harmonie aethyrique, Inspiration divine (Taal et Rhya), Mains agiles, Magie mineure (deux au choix), Méditation, Réflexes éclairs, Résistance aux poisons, Robuste, Sens de l'orientation</t>
  </si>
  <si>
    <t>Batelier, Berserk norse, Contrebandier, Éclusier, Émissaire elfe, Esclavagiste skaven, Manouvrier, Marcheur des Brumes, Passeur, Patrouilleur fluvial, Pêcheur, Pirate/Corsaire</t>
  </si>
  <si>
    <t>Combat de rue ou dur à cuire, Combattant virevoltant ou Coups puissants, Grand voyageur</t>
  </si>
  <si>
    <t>Charisme (Soc), Commérage (Soc +10%), Connaissances académiques (droit (Int+20%), histoire (Int+10%), philosophie (Int), théologie (Int+10%)), Connaissances générales (Empire (Int +20%), Tilée (Int), nains (Int)), Équitation (Ag), Focalisation (FM), Hypnotisme (FM), Langage mystique (magick) (Int), langage secret (langage de guilde) (Int), Langue (classique Int+10%, reikspiel Int+20%) (Int), Lire/Écrire (Int+10%), Natation (F), Perception (Int+10%) , Sens de la magie (FM), Soins (Int+10%)</t>
  </si>
  <si>
    <t>Éloquence, Grand Voyageur, Harmonie aethyrique, Inspiration divine (Véréna), Mains agiles, Magie mineure (deux au choix), Méditation, Réflexes éclairs, Résistance aux poisons, Robuste, Sociable</t>
  </si>
  <si>
    <t>Canotage, Commérage OU Langage secret (langage de bataille), Connaissances générales (Pays Perdu) ou Jeu, Esquive, Intimidation, Natation, Résistance à l'alcool</t>
  </si>
  <si>
    <t>Charisme (Soc), Commérage (Soc +10%), Connaissances académiques (généalogie/héraldique (Int), histoire (Int+10%), stratégie/tactique (Int), théologie (Int+10%)), Connaissances générales (Empire (Int +10%), Kislev (Int), Norsca (Int), nains (Int)), Équitation (Ag), Focalisation (FM), Intimidation (F), Langage mystique (magick) (Int), Langue (classique Int+10%, reikspiel Int+20%) (Int), Lire/Écrire (Int+10%), Natation (F), Perception (Int) , Sens de la magie (FM), Soins (Int+10%)</t>
  </si>
  <si>
    <t>Coups puissants, Éloquence, Force accrue, Frénésie, Grand Voyageur, Guerrier né, Harmonie aethyrique, Incantation de bataille, Inspiration divine (Ulric), Magie mineure (deux au choix), Maitrise (armes lourdes), Résistance aux poisons, Robuste</t>
  </si>
  <si>
    <t>Nécessaire antipoison, outils d'artisan (apothicaire), 3 potions au choix, cataplasme médical, koumiss (outre), 2 amulettes ou porte-bonheur, capuchon</t>
  </si>
  <si>
    <t>Canotage (F), Charisme (Soc), Commérage (Soc +10%), Connaissances académiques (astronomie (Int), théologie (Int+10%)), Connaissances générales (Empire (Int +10%), nains (Int)), Focalisation (FM), Langage mystique (magick) (Int), Langue (classique (Int+10%), reikspiel (Int+20%)), Lire/Écrire (Int+10%), Métier (charpentier naval) (Int), Natation (F) (F+10%), Navigation (Ag), Perception (Int) , Sens de la magie (FM), Soins (Int+10%)</t>
  </si>
  <si>
    <t>Commérage, Connaissances académiques (sciences), Langue (classique), Lire/Écrire, Métier (apothicaire), Perception, Préparation de poisons, Soins</t>
  </si>
  <si>
    <t>Charisme (Soc), Commérage (Soc +10%), Connaissances académiques (histoire (Int), nécromancie (Int +10%) théologie (Int+10%)), Connaissances générales (Empire (Int +10%), nains (Int)), Équitation (Ag), Focalisation (FM), Intimidation (F), Langage mystique (magick) (Int), Langue (classique (Int+10%), reikspiel (Int+20%)), Lire/Écrire (Int+10%), Métier (embaumeur) (Int), Perception (Int) , Sens de la magie (FM), Soins (Int+10%)</t>
  </si>
  <si>
    <t>Éloquence, Guerrier né, Menaçant, Réflexes éclairs, Résistance aux poisons, Robuste</t>
  </si>
  <si>
    <t>Dur en affaires, Éloquence, Grand voyageur, Sociable</t>
  </si>
  <si>
    <t>Charisme (Soc), Commandement (Soc), Commérage (Soc +10%), Connaissances académiques (histoire (Int), théologie (Int+10%), stratégie/tactique (Int), Connaissances générales (Empire (Int +10, nains (Int)), Équitation (Ag), Focalisation (FM), Langage mystique (magick) (Int), Langue (classique (Int+10%), reikspiel (Int+20%)), Lire/Écrire (Int+10%), Perception (Int) , Sens de la magie (FM), Soins (Int+10%)</t>
  </si>
  <si>
    <t>Coups précis, Éloquence, Force accrue, Guerrier né, Maitrise (armes de jet, armes lourdes, fléaux), Résistance aux poisons, Robuste</t>
  </si>
  <si>
    <t>Camouflage désertique OU Grand voyageur, Coups assommants OU Coups puissants, dur à cuire, Maîtrise (armes de cavalerie), Robuste, Sens de l’orientation.</t>
  </si>
  <si>
    <t>Charisme (Soc), Commérage (Soc+10%), Connaissances académiques (astronomie (Int), droit (Int), théologie (Int+10%)), Connaissances générales (Empire (Int +10%), nains (Int)), Déplacement silencieux (Ag), Dissimulation (Ag), Escamotage (Ag), Focalisation (FM), Langage mystique (magick) (Int), Langue (classique (Int+10%), reikspiel (Int+20%)), Lire/Écrire (Int+10%), Natation (F), Perception (Int) , Sens de la magie (FM), Soins (Int+10%)</t>
  </si>
  <si>
    <t>Éloquence ou Incantation, Étiquette ou Oreille absolue</t>
  </si>
  <si>
    <t>Charisme, Commérage, Connaissances générales (deux au choix), Expression artistique (chanteur), Expression artistique (musicien), Langue (bretonnien, eltarin ou tiléen), Lire/Écrire, Perception</t>
  </si>
  <si>
    <t>Charisme (Soc), Commérage (Soc+10%), Connaissances académiques (histoire (Int+10%), théologie (Int+20%)), Connaissances générales (Empire (Int +10%), nains (Int)), Équitation (Ag), Focalisation (FM), Langage mystique (magick) (Int), Langue (classique (Int+10%), reikspiel (Int+20%)), Lire/Écrire (Int+10%), Métier (apothicaire) (Int), Métier (herboriste) (Int), Perception (Int) , Sens de la magie (FM), Soins (Int+20%)</t>
  </si>
  <si>
    <t>Éloquence, Réflexes éclairs, Résistance aux maladies, Résistance aux poisons, Robuste, Sociable</t>
  </si>
  <si>
    <t>Combat de rue ou Dur en affaires, dur à cuire ou Sociable, Fuite, Grand voyageur ou Résistance aux maladies</t>
  </si>
  <si>
    <t>Charisme OU Évaluation, Commérage, Conduite d'attelages Ou Soins des animaux, Fouille, Marchandage, Perception, une au choix parmi: Escamotage, Langue (bretonnien, kiselvarin ou tiléen), Métier (au choix)</t>
  </si>
  <si>
    <t>Charisme (Soc), Commandement (Soc), Commérage (Soc+10%), Connaissances académiques (astronomie (Int), théologie (Int+10%)), Connaissances générales (Empire) (Int +10%), nains (Int+10%)), Équitation (Ag), Focalisation (FM), Langage mystique (magick) (Int), Langue (classique (Int+10%), khazalid (Int), reikspiel (Int+20%)), Lire/Écrire (Int+10%), Perception (Int) , Sens de la magie (FM), Soins (Int+10%)</t>
  </si>
  <si>
    <t>Éloquence, Force accrue, Guerrier né, Maitrise (armes lourdes), Résistance aux poisons, Robuste</t>
  </si>
  <si>
    <t>Cadet, Cavalcadour, Chasseur de primes, Chevalier du Champ Verdoyant, Combattant des tunnels, Garde du corps, Garde Républicain, Homme lige, Hors-la-loi, Joueur, Piquier, Sergent, Vétéran/Longue Barbe, Yeoman</t>
  </si>
  <si>
    <t>Commérage OU Marchandage, Conduite d'attelages OU Équitation, Connaissances générales (Bretonnie, Kislev ou Tilée), Esquive, Fouille OU Perception, Jeu OU Soins des animaux, Langage secret (langage de bataille), Langue (tiléen) OU Natation</t>
  </si>
  <si>
    <t>Arbalète et 10 carreaux, armure moyenne (gilet de mailles et veste de cuir), potion de soins</t>
  </si>
  <si>
    <t>Charisme (Soc), Commérage (Soc+10%), Connaissances académiques (astronomie (Int+10%), théologie (Int+10%)), Connaissances générales (Empire (Int +10%), nains (Int)), Emprise sur les animaux (Soc), Focalisation (FM), Langage mystique (magick) (Int), Langue (classique Int+10%, reikspiel Int+20%) (Int), Lire/Écrire (Int+10%), Natation (F), Orientation (Int), Perception (Int) , Sens de la magie (FM), Soins (Int+10%), Survie (Int)</t>
  </si>
  <si>
    <t>Éloquence, Guerrier né, Réflexes éclairs, Résistance aux poisons, Robuste, Sens de l'orientation</t>
  </si>
  <si>
    <t>Alphabet secret (pisteur), Commérage ou Connaissances générales (Empire ou Pays Perdu), Équitation, Langue (reikspliel), Natation, Métier(Convoyeur/Livreur), Orientation, Parception, Soins des animaux, Survie</t>
  </si>
  <si>
    <t>Armure légère (veste de cuir), étui à parchemins ou cartes, cheval de selle ou poney, selle, harnais, bouclier, kit de toilettage d'animal, fourrage (pour une journée)</t>
  </si>
  <si>
    <t>Course à pied, dur à cuire</t>
  </si>
  <si>
    <t>Charisme (Soc), Commérage (Soc+10%), Connaissances académiques (droit (Int+10%), histoire (Int+10%), théologie (Int+10%)), Connaissances générales (Empire (Int +10%), nains (Int)), Équitation (Ag), Focalisation (FM), Hypnotisme (FM), Langage mystique (magick) (Int), langage secret (langage de guilde) (Int), Langue (classique Int+10%, reikspiel Int+20%) (Int), Lire/Écrire (Int+10%), Perception (Int+10%) , Sens de la magie (FM), Soins (Int+10%)</t>
  </si>
  <si>
    <t>Dur en affaires, Éloquence, Intelligent, Intrigant, Sociable</t>
  </si>
  <si>
    <t>Charisme (Soc), Commérage (Soc+10%), Connaissances académiques (généalogie/héraldique (Int), histoire (Int), théologie (Int+10%)), Connaissances générales (Empire) (Int +10%), nains (Int)), Focalisation (FM), Intimidation (F), Langage mystique (magick) (Int), Langue (classique Int+10%, reikspiel Int+20%) (Int), Lire/Écrire (Int+10%), Perception (Int) , Sens de la magie (FM), Soins (Int+10%)</t>
  </si>
  <si>
    <t>Coups puissants, Éloquence, Force accrue, Frénésie, Guerrier né, Maitrise (armes lourdes), Résistance aux poisons, Robuste</t>
  </si>
  <si>
    <t>Cadet, Cavalier ailé/Jinete estalien, Chevalier du Champ Verdoyant, Égoutier, Exécuteur, Gardien du temple, Hors-la-loi, Janissaire, Maître-artisan, Maresquier, Mercenaire, Messager, Piquier, Sapeur Pompier, Sentinelle halfling, Sergent, Voleur</t>
  </si>
  <si>
    <t>Équitation, Intimidation, Langue (arabéen), Lutte</t>
  </si>
  <si>
    <t>Conduite d'attelages OU Dissimulation, Escalade, Évaluation OU Survie, Métier (mineur ou prospecteur), Orientation, Perception, Soins des animaux</t>
  </si>
  <si>
    <t>Livre enluminé,, symbole religieux (petit), accessoires de calligraphie, vêtements religieux (tenue complète)</t>
  </si>
  <si>
    <t>Connaissances générales (dragons et draconiens), Dressage OU Emprise sur les animaux, Équitation, Soins des animaux</t>
  </si>
  <si>
    <t>Charisme (Soc), Connaissances académiques (astronomie OU histoire) (Int), Connaissances académiques (théologie+10%) (Int), Langue (classique, kiselvarin et reikspiel) (Int), Lire/Écrire (Int), Perception (Int+10%), Soins (Int +10%)</t>
  </si>
  <si>
    <t>Éloquence, Guerrier né, Magie commune (Divine), Réflexes éclair, Sens de l'Orientation</t>
  </si>
  <si>
    <t>Connaissances académiques (théologie), Connaissances générales (deux au choix), Connaissances générales (deux au choix), Langage mystique (magick), Langue (deux au choix), Langue (classique), Lire/Écrire, Perception, Soins, Soins des animaux, Survie</t>
  </si>
  <si>
    <t>Charisme (Soc), Commandement (Soc+10%), Connaissances académiques (astronomie OU histoire) (Int), Connaissances académiques (théologie+10%) (Int), Langue (classique, kiselvarin et reikspiel) (Int), Lire/Écrire (Int), Perception (Int+10%), Soins (Int)</t>
  </si>
  <si>
    <t>Éloquence, Force accrue, Magie commune (Divine), Sociable, Valeureux</t>
  </si>
  <si>
    <t>Connaissances académiques (théologie), Connaissances générales (deux au choix), Connaissances générales (deux au choix), Focalisation, Langage mystique (magick), Langue (deux au choix), Langue (classique), Lire/Écrire, Perception, Sens de la magie, Soins, Soins des animaux, Survie</t>
  </si>
  <si>
    <t>Charisme (Soc), Connaissances académiques (astronomie) (Int), Connaissances académiques (théologie) (Int+10%), Connaissances générales (Kislev) (Int+10%) Langue (classique, kiselvarin et reikspiel) (Int), Lire/Écrire (Int), Perception (Int+10%), Soins (Int), Soins de animaux (Int +10%)</t>
  </si>
  <si>
    <t>Alphabet secret (voleur), Commérage, Crochetage, Déplacement silencieux, Dissimulation, Escalade, Évaluation, Fouille, Langage secret (langage des voleurs), Marchandage, Perception</t>
  </si>
  <si>
    <t>Charisme (Soc +10%), Commérage (Soc), Connaissances académiques (astronomie, sciences et théologie) (Int+10%), Connaissances générales (Empire, Trolls) (Int), Connaissances générales (Kislev (Int+10%), Dressage (Soc), Équitation (Ag), Focalisation (FM), Langage mystique (magick) (Int), Langue (classique, kiselvarin, reikspiel) (Int+10%), Lire/Écrire (Int+10%), Métier (cuisinier/marmiton) (Int), Perception (Int+20%), Sens de la magie (FM), Soins (Int+10%), Soins de animaux (Int +10%) , Survie (Int)</t>
  </si>
  <si>
    <t>Éloquence, Coups assommants, Incantation de bataille, Guerrier né, Magie commune (Divine), Réflexes éclair, Sens de l'Orientation</t>
  </si>
  <si>
    <t>Commérage, Connaissances générales (Principautés frontalières), Évaluation, Langue (une au choix), Marchandage, Orientation, Perception, Soins des animaux, Survie</t>
  </si>
  <si>
    <t>Charisme (Soc +10%), Commérage (Soc), Connaissances académiques (astronomie, sciences et théologie) (Int+10%), Connaissances générales (Empire, Trolls) (Int), Connaissances générales (Kislev (Int+10%), Dressage (Soc), Équitation (Ag), Focalisation, Langage mystique (magick), Langue (classique, kiselvarin, reikspiel) (Int+10%), Lire/Écrire (Int+10%), Métier (cuisinier/marmiton) (Int), Perception (Int+20%), Sens de la magie (FM), Soins (Int+10%), Soins de animaux (Int +10%) , Survie (Int)</t>
  </si>
  <si>
    <t>Éloquence, Force accrue, Magie commune (Divine), Maîtrise (lourde), Menaçant, Sociable, Valeureux</t>
  </si>
  <si>
    <t xml:space="preserve">Charisme (Soc +10%), Commérage (Soc), Connaissances académiques (astronomie, sciences et théologie) (Int+10%), Connaissances générales (Empire, Trolls) (Int), Connaissances générales (Kislev (Int+10%), Dressage (Soc), Équitation (Ag), Focalisation (FM), Langage mystique (magick) (Int), Langue (classique, kiselvarin, reikspiel) (Int+10%), Lire/Écrire (Int+10%), Perception (Int+20%), Sens de la magie (FM), Soins (Int+10%), Soins de animaux (Int +10%) </t>
  </si>
  <si>
    <t>Champion, Champion de justice, Initié (Myrmidia), Sergent</t>
  </si>
  <si>
    <t>3 Armes de qualité exceptionnelle, symbole religieux de Myrmidia</t>
  </si>
  <si>
    <t>Adresse au tir, Camouflage rural, dur à cuire, Réflexes éclairs</t>
  </si>
  <si>
    <t>Alphabet secret (astrologue ou rôdeur), Charisme, Commérage, Conduite d'attelages OU Équitation, Connaissances académiques (nécromancie), Escamotage, Évaluation, Expression artistique (une au choix), Hypnotisme OU Métier (apothicaire), Langue (strigany), Marchandage</t>
  </si>
  <si>
    <t>Connaissances académiques (astronomie ou géographie), Connaissances générales (deux au choix), Langue (classique), Lire/Écrire, Métier (cartographe), Natation, Orientation, Perception</t>
  </si>
  <si>
    <t>Chance ou Éloquence, Étiquette, Intelligent ou Maîtrise (Armes d’escrime), Intrigant ou Maîtrise (Armes de parade)</t>
  </si>
  <si>
    <t xml:space="preserve">Baratin OU Commandement, Charisme, Commérage OU Jeu, Connaissances générales (Empire), Équitation, Expression artistique (musicien) OU Résistance à l'alcool, Langue (reikspiel), Lire/Écrire, </t>
  </si>
  <si>
    <t>Fleuret, main gauche, Atours de noble (tenue complète), cheval de selle, selle, harnais, 1d10 CO, bijoux pour 6d10 CO</t>
  </si>
  <si>
    <t>Archer monté, Ataman, Cavalcadour, Conducteur de bestiaux, Hors-la-loi, Kossar kislevite, Maquignon, Pisteur, Vagabond</t>
  </si>
  <si>
    <t>Camouflage rural ou dur à cuire</t>
  </si>
  <si>
    <t>Armure légère (veste de cuir et jambières de cuir); cheval de selle, selle, harnais, 2 outres, rations (7 jours), fontes de selle, koumiss (flasque), yourte, Arc (kislévite de cavalerie), 10 flèches</t>
  </si>
  <si>
    <t>Connaissances générales (Terres Sombres), Dressage OU Emprise sur les animaux, Équitation, Soins des animaux</t>
  </si>
  <si>
    <t>Coups puissants, dur à cuire, Étiquette, Guerrier né, Maîtrise (armes de cavalerie)</t>
  </si>
  <si>
    <t>Écuyer expérimenté</t>
  </si>
  <si>
    <t>Chance ou Magie commune (Vulgaire), Éloquence, Magie vulgaire ou Sens aiguisés</t>
  </si>
  <si>
    <t>Dressage OU Emprise sur les animaux, Équitation, Soins des animaux</t>
  </si>
  <si>
    <t>Écuyer Vétéran</t>
  </si>
  <si>
    <t>Érudit</t>
  </si>
  <si>
    <t>WJRF 1ère édition - Livre de Base</t>
  </si>
  <si>
    <t>Apothicaire, Berger/Pâtre/Pâtre, Bûcheron, Chasseur, Érudit, Paysan</t>
  </si>
  <si>
    <t>dur à cuire, Métier (herboriste), Métier (Trappeur ou Sourcier/Fontainier)</t>
  </si>
  <si>
    <t>Bâton de qualité exceptionnelle, Couverture, Peau d'animal (une au choix), Symbole religieux (petite faucille en or), Tente (petite)</t>
  </si>
  <si>
    <t>Talent artistique ou Éloquence, Code de la rue ou Politique</t>
  </si>
  <si>
    <t>Baratin, Connaissances académiques (une au choix), Connaissances générales (Bretonnie, Kislev ou Tilée), Connaissances générales (Empire), Commérage, Dissimulation, Expression artistique (conteur) ou Métier (artiste), Langue (une au choix), Lire/Écrire, Métier (calligraphe ou marchand), Perception</t>
  </si>
  <si>
    <t>Commérage (Soc), Conduite d'attelages (F), Connaissances générales (Empire), Évaluation (Int), langage secret (langage de guilde) (Int), Langue (reikspliel) (Int), Lire/Écrire (Int), Métier (fabricant d'armes, fabricant d'armures, forgeron) (F), Perception (Int)</t>
  </si>
  <si>
    <t>Canotage, Charisme, Commérage OU Intimidation, Connaissances générales (Empire), Évaluation OU Langage secret (langage des rôdeurs), Marchandage, Métier (passeur), Natation, Perception</t>
  </si>
  <si>
    <t>Alphabet secret (pisteur) OU Pistage, Commérage OU Connaissances générales (Empire), Conduite d'attelages, Équitation, Fouille, Orientation, Perception, Soins des animaux, Survie</t>
  </si>
  <si>
    <t>Pistolet avec balles et poudre pour 10 tirs, armure moyenne (gilet de maille et veste de cuir), bouclier, corde au mètre (10m), cheval de guerre ou poney, selle, harnais, fontes de selle, kit de toilettage d'animal, fourrage (pour une journée), uniforme (tenue complète)</t>
  </si>
  <si>
    <t>Affinité Provinciale (Royaume perdu de Nagarythe), dur à cuire, Sens aiguisés</t>
  </si>
  <si>
    <t>Argousin, Batelier, Collecteur de taxes, Contrebandier, Éclusier, Investigateur verenéen/Inquisiteur estalien, Marin, Matelot, Naufrageur, Patrouilleur, Sergent</t>
  </si>
  <si>
    <t>Artisan, Berger/Pâtre, Écumeur des marais, Exécuteur, Fanatique, Grenouillère, Herrimault, Ingénieur de siège, Maresquier, Serviteur</t>
  </si>
  <si>
    <t>Camouflage rural ou dur à cuire, Fuite ou Maîtrise (Lance-pierres)</t>
  </si>
  <si>
    <t>Baleinier, Éclusier, Marchand, Marcheur des Brumes, Marin, Matelot, Métayer, Milicien, Navigateur, Pirate/Corsaire</t>
  </si>
  <si>
    <t>Combat de rue ou Sens de l’orientation, dur à cuire ou Intelligent</t>
  </si>
  <si>
    <t>Canotage, Connaissances générales (Empire ou Pays Perdu),  Langue (reikspiel ou norse), Marchandage OU Résistance à l'alcool, Métier (marchand) OU Orientation, Natation, Navigation, Perception, Survie</t>
  </si>
  <si>
    <t>Étiquette, Lutte, Maitrise (deux au choix), Volonté de fer</t>
  </si>
  <si>
    <t>Alphabet secret (pisteur), Charisme (Soc), Commérage (Soc), Connaissances académiques (généalogie/héraldique) (Int), Connaissances générales (Empire, Pays Perdu) (Int), Équitation (Ag), Langue (reikspiel) (Int+10%), Natation (F), Orientation (Int), Perception (Int), Soins des animaux (Int), Survie (Int)</t>
  </si>
  <si>
    <t>Alphabet secret (pisteur), Charisme (Soc), Commérage (Soc), Connaissances académiques (généalogie/héraldique) (Int), Connaissances générales (Empire, Pays Perdu) (Int), Équitation (Ag), Langue (bretonnien (Int), reikspiel (Int+10%)), Natation (F), Orientation (Int), Perception (Int), Soins des animaux (Int), Survie (Int)</t>
  </si>
  <si>
    <t>dur à cuire ou Résistance accrue, Étiquette, Maîtrise (Armes lourdes), Sain d’esprit ou Valeureux</t>
  </si>
  <si>
    <t>Coups assommants, dur à cuire, Éloquence, Force accrue, Fuite, Résistance accrue, Sain d’esprit, Valeureux</t>
  </si>
  <si>
    <t>Coups assommants, dur à cuire, Résistance accrue</t>
  </si>
  <si>
    <t>Interprète</t>
  </si>
  <si>
    <t>Connaissances académiques (histoire) (Int+10%), Expression artistique (conteur) (Soc), Perception (Soc+10%), Langue (Reikspiel, Arabéen, Cathayen) (Int+10%), Langage mystique (magick), Langage secret (vieil hellènéen) (Int), Lire/Écrire int), Métier (calligraphe/enlumineur) (Ag)</t>
  </si>
  <si>
    <t>Étiquette, Maîtrise (Arc Long), Rechargement rapide, Tir de précision, Tireur d'Elite</t>
  </si>
  <si>
    <t>Baratin (Soc), Charisme (Soc), Commérage (Soc+10%),  Connaissances générales (Empire), Évaluation (Int), Expression artistique (acteur) (Soc), Jeu (Int), langage secret (langage des voleurs) (Int), Langue (reikspliel) +10%, Perception (Int)</t>
  </si>
  <si>
    <t>Calcul Mental, Code de la rue, Course à pied, Éloquence, Sixième sens</t>
  </si>
  <si>
    <t>Commérage (Soc), Connaissances académiques (droit) (Int), Connaissances générales (nains) (Int+10%), Esquive (Ag), Intimidation (F), Jeu (Int), Langage secret (langage de bataille) (Int), Langue (khazalid, reikspiel) (Int), Métier (forgeron, maçon ou mineur) (F/Ag/F), Perception (Int+10%), Résistance à l'alcool, Soins</t>
  </si>
  <si>
    <t>Coups assommants, Coups précis, Coups puissants, Désarmement, Maîtrise (armes lourdes, armes à poudre), Résistance accrue, Sur ses gardes, Valeureux</t>
  </si>
  <si>
    <t>Acuité auditive, dur à cuire, Fuite, Résistance aux maladies</t>
  </si>
  <si>
    <t>Affinité provinciale (Grands-duchés de Middenheim et du Middenland),Camouflage rural, Coups assommants, Fuite</t>
  </si>
  <si>
    <t>Alphabet secret (pisteur), Commérage (Soc), Connaissances générales (Empire, Pays Perdu) (Int), Équitation (Ag), Langue (reikspiel) (Int+10%), Natation (F), Orientation (Int), Perception (Int), Soins des animaux (Int), Survie (Int)</t>
  </si>
  <si>
    <t>Éloquence, Grand Voyageur, Méditation, Sociable</t>
  </si>
  <si>
    <t>Acuité visuelle, Camouflage rural, dur à cuire, Fuite</t>
  </si>
  <si>
    <t>Éloquence, Imitation, Réflexes éclairs, Sociable</t>
  </si>
  <si>
    <t>Alphabet secret (voleur), Charisme (Soc), Commérage (Soc), Connaissances générales (Empire), Déplacement silencieux (Ag), Dissimulation (Ag), Escamotage (Ag), Évaluation (Int), Fouille (Int), Jeu (Int), Langue (reikspliel) (Int), Perception (Int)</t>
  </si>
  <si>
    <t>dur à cuire, Éloquence, Guerrier né, Réflexes éclair, Sang froid</t>
  </si>
  <si>
    <t>dur à cuire, Éloquence, Orateur Né, Réflexes éclair, Sang froid, Sociable</t>
  </si>
  <si>
    <t>Connaissances académiques (histoire, théologie, nécromancie), Intimidation, Lire/Écrire</t>
  </si>
  <si>
    <t>Camouflage rural, Coups assommants, Déplacement silencieux, Survie</t>
  </si>
  <si>
    <t>Commérage (Soc), Conduite d'attelages (F), Connaissances générales (Empire), Évaluation (Int), Fouille (Int), Langue (kiselvarin (Int), reikspiel (Int +10%)), Lire/Écrire (Int), Marchandage (Soc), Perception (Int), Résistance à l'alcool €</t>
  </si>
  <si>
    <t>Conduite d'attelages, Expression artistique (chant), Intimidation, Langue (classique), Lire/Écrire, Métier (embaumeur)</t>
  </si>
  <si>
    <t>Baratin (Soc), Charisme (Soc), Commérage (Soc),  Connaissances générales (Empire) (Int), Équitation (Ag), Jeu (Int), Langue (reikspliel)  (Int+10%), Lire/Écrire (Int), Résistance à l'alcool (E)</t>
  </si>
  <si>
    <t>Coups assommants, Désarmement, Force accrue, Lutte, Réflexes éclairs, Résistance aux poisons, Sur ses gardes</t>
  </si>
  <si>
    <t>Pick poquet</t>
  </si>
  <si>
    <t>Père des ours</t>
  </si>
  <si>
    <t>émeraude</t>
  </si>
  <si>
    <t>École astrale de Padula</t>
  </si>
  <si>
    <t>WFRP2 - Rune Expansion/Les Royaumes de Sorcellerie/Les Runes de Thungni et les Runes de Klauser</t>
  </si>
  <si>
    <t>vous enchantez une arme de corps à corps, de tir ou encore jusqu'à 5 munitions (flèches, carreaux, balles pour arme à feu, etc.). Ces objets n'acquièrent aucun bonus, mais ils sont considérés comme magiques, ce qui les rend efficaces contre les fantôme, les esprits et certains autres monstres. Les armes consacrées le restent pendant une heure.</t>
  </si>
  <si>
    <t>vous invoquez une force magique invisible qui vient lier les mains d’un adversaire situé dans un rayon de 12 mètres (6 cases) et lui fait lâcher ce qu’il tient. La cible peut entreprendre une demi action par round pour tenter un test de Force visant à briser ces liens. Entraves persiste un nombre de minutes égal à votre valeur de Magie.</t>
  </si>
  <si>
    <t>La voix de la cible s'entend très distinctement  sur un rayon de 500 mètres, sans pour autant casser les oreilles de ceux qui se trouvent au plus près. Le sort dure jusqu'à ce que la cible cesse de parler ; les simples pauses visant à reprendre son souffle ne comptent pas, mais la fin du discours marque aussi la fin du sort. Les prêtres utilisent ce sort pour prêcher face à de grandes assemblées de fidèles, alors que les sorciers s'en servent pour communiquer sur les champs de bataille.</t>
  </si>
  <si>
    <t>Votre simple contact protège contre les M-V. Aucune créature avec le Talent Mort Vivant ne peut vous approcher à moins de 2m sans réussir un Test de FM. Si la créature est dénue de conscience c'est le nécromancien qui la contrôle qui effectue le test. Vous pouvez lancer ce sort sur vous.</t>
  </si>
  <si>
    <t>si quelqu'un tente de vous voler votre cheval, vous en prenez aussitôt conscience. Au Kislev, on pense que les vazila, des esprits, surveillent les chevaux et entrent en contact avec leur propriétaire si nécessaire. Des variantes de ce sort sont connues de toutes les traditions magiques kislevites.</t>
  </si>
  <si>
    <t>vos prières rendent 1 point de Blessures à un personnage blessé, lequel ne peut bénéficier d'un tel sort qu'une seule fois par bataille ou rencontre durant laquelle il a perdu des points de Blessures.</t>
  </si>
  <si>
    <t>une goutte de citronnelle (+1)</t>
  </si>
  <si>
    <t>Ce sort amène le Druide en harmonie avec les forces élémentaires naturelles du lieu où il se trouve. Cela lui permet de prévoir le temps qu'il fera dans les environs dans les prochaines 24 heures. Seules les conditions climatiques naturelles peuvent être prévisibles. Les variations dues à l'influence de la magie ne peuvent pas être prévues.</t>
  </si>
  <si>
    <t>Vous passez vos mains sur un réceptacle tel une jarre, un tonneau, une flasque ou une bouteille, purifiant du même coup le liquide qui y est contenu. Ce sort enlève toute impureté non-magique ce qui inclut les contaminants, poisons, infections et pollutions rendant le liquide parfaitement potable. Très utile sur les potions périmées.</t>
  </si>
  <si>
    <t>votre peau se couvre de fines épines. Quiconque vous touche au corps à corps, subit en retour 1 point de Blessure de par les éclats de pointes qu'il fait jaillir</t>
  </si>
  <si>
    <t>Évocation d'un Disque Flamboyant</t>
  </si>
  <si>
    <r>
      <t xml:space="preserve">votre cible bénéficie des Talents </t>
    </r>
    <r>
      <rPr>
        <i/>
        <sz val="10"/>
        <rFont val="Arial"/>
        <family val="2"/>
      </rPr>
      <t>Sans Peu</t>
    </r>
    <r>
      <rPr>
        <sz val="10"/>
        <rFont val="Arial"/>
        <family val="2"/>
      </rPr>
      <t xml:space="preserve">r et </t>
    </r>
    <r>
      <rPr>
        <i/>
        <sz val="10"/>
        <rFont val="Arial"/>
        <family val="2"/>
      </rPr>
      <t xml:space="preserve">Frénésie </t>
    </r>
    <r>
      <rPr>
        <sz val="10"/>
        <rFont val="Arial"/>
        <family val="2"/>
      </rPr>
      <t>tant que perdure ce sort.</t>
    </r>
  </si>
  <si>
    <t>vos prières passionnées remplissent un personnage de la fureur du juste, ce qui lui permet de rejouer une attaque au corps à corps ratée.</t>
  </si>
  <si>
    <r>
      <t xml:space="preserve">votre prière permet à un personnage de prendre pleinement conscience des notions d'injustice et de tyrannie. Tant qu'il est sous l'effet de ce sort, il doit réussir un </t>
    </r>
    <r>
      <rPr>
        <b/>
        <sz val="10"/>
        <rFont val="Arial"/>
        <family val="2"/>
      </rPr>
      <t>test de Force Mentale Assez facile (+10%)</t>
    </r>
    <r>
      <rPr>
        <sz val="10"/>
        <rFont val="Arial"/>
        <family val="2"/>
      </rPr>
      <t xml:space="preserve"> s'il souhaite commettre un crime. En cas d'échec, soudain rongé par la culpabilité, la cible ne passe pas à l'acte.</t>
    </r>
  </si>
  <si>
    <t>une plume de rossignol (+1)</t>
  </si>
  <si>
    <t>ce sort fait apparaitre une main fantomatique qui saisit une unité alliée et la dépose n'importe où sous le grand gabarit. La cible hébétée ne peut pas attaquer ce tour.</t>
  </si>
  <si>
    <t>Sous les effets de ce sort, vous perdez non seulement votre peur, mais aussi votre sens de la préservation de vous. Cela vous permet de vous rapprocher de votre adversaire beaucoup plus rapidement et beaucoup plus près qu'aucun combattant sensé ne le ferait, ouvrant des opportunités que d'autres ne trouveraient jamais. Vous gagnez + 20% en CC. Cependant, en se précipitant si près de la lame de vos adversaires, ceux-ci gagnent +1 Blessure toutes leurs attaques.</t>
  </si>
  <si>
    <t>Écrasement solaire</t>
  </si>
  <si>
    <t>Les poumons de la victime se remplissent d'eau salée. Tans que l'eau est dans ses poumons, la victime subit un malus de -10% à toutes ses actions. A chaque round, la victime peut, au prix d'une demie-action, jouer un test d'Endurance pour essayer de faire sortir l'eau de ses poumons, ce qui met fin au sortilège en cas de réussite. La victime encaisse 1 point de dégât par round où l'eau est présente dans ses poumons.</t>
  </si>
  <si>
    <t>Tous vos alliés sont frappés d'un féroce appétit de sang. Ils gagnent un bonus de +10% en CC, et gagnent le talent Frénésie à proximité du sang (cad si eux-mêmes ou un adversaire ou allié situé à moins de 3 mètres à perdu au moins 1B).</t>
  </si>
  <si>
    <t>Les eaux aux alentours d'un bateau ou d'un canot à portée de vue s'emplissent d'algues, gênant et ralentissant sa navigation. Tous les tests de Canotage, Natation et Navigation dans ces eaux subissent un malus de -20%. Pour quitter la zone, un navire doit réussir un jet de Navigation, un canot deux jets de Canotage, un nageur trois jets de Natation.</t>
  </si>
  <si>
    <t>Le prêtre attire l'attention de Stromfels sur les mers l'entourant dans une zone de 3 kilomètres. Le ciel se couvre, puis la foudre se met à tonner au milieu des vents qui rugissent, tandis que la mer se déchaîne. Tout bateau pris dans la tempête doit effectuer un test de Navigation. En cas d'échec, le navire sombre s'il était en pleine mer, ou bien d'écrase contre des récifs s'il était en bord de côte. En cas de réussite de moins de 30, le bateau, une perte de l'équipage passe par-dessus bord, et le navire subit de lourds dégâts : voiles déchirées (en pleine mer), ou coque endommagée (en bord de côte), ce qui lui confère un malus de 30% aux jets de Navigation tant qu'il n'est pas réparé. En cas de réussite de 30 ou plus, le navire est sain et sauf. Pour les canots, utilisez les mêmes règles, avec un jet de Canotage à -20%. Toute personne tombant à l'eau doit effectuer un jet de Natation à -30% pour ne pas mourir noyé. NB : si le prêtre de Stromfels est dans un bateau, il n'est pas épargné.</t>
  </si>
  <si>
    <t>Pendant toute la durée de ce sort, vous pouvez ressentir la menace d'une bataille imminant. Quelle qu'en soit la source, vous ne pouvez pas pris par surprise au premier round.</t>
  </si>
  <si>
    <t>La cible de ce sort devient experte pour trouver les faiblesses des défenses de son ennemi. Tant que dure ce sort, elle gagne + 20% à son CC ou CT lors de l'utilisation de l'action Viser, au lieu de + 10%. Si la cible a également le Talent Tireur d'élite, le bonus passe à + 30% pour les attaques appropriées. Vous ne pouvez lancer ce sort qu'une fois par combat.</t>
  </si>
  <si>
    <t>Manann bénit le navire, qui bénéficie alors de vents favorables. Le vent souffle depuis un angle idéal pour que l'embarcation arrive à destination, et suffisamment fort pour qu'il se déplace à sa vitesse maximale (sans risquer l'intégrité des voiles ou de la coque). Le sort fonctionne, que vous connaissiez ou non le moyen de vous rendre à destination, tant que cette dernière vous est connue (il faut que vous y soyez déjà passé). Dans le cas contraire, vous devez préciser la direction à suivre. Le navire doit contourner tous les dangers qui se présentent, mais le vent confère un bonus de +10% aux tests en découlant.</t>
  </si>
  <si>
    <r>
      <t xml:space="preserve">un véritable torrent d'eau salée jaillit de votre main tendue. Il s'agit d'un </t>
    </r>
    <r>
      <rPr>
        <i/>
        <sz val="10"/>
        <rFont val="Arial"/>
        <family val="2"/>
      </rPr>
      <t>projectile magique</t>
    </r>
    <r>
      <rPr>
        <sz val="10"/>
        <rFont val="Arial"/>
        <family val="2"/>
      </rPr>
      <t xml:space="preserve"> d'une valeur de dégâts de 4. La cible d'une </t>
    </r>
    <r>
      <rPr>
        <i/>
        <sz val="10"/>
        <rFont val="Arial"/>
        <family val="2"/>
      </rPr>
      <t>déflagration marine</t>
    </r>
    <r>
      <rPr>
        <sz val="10"/>
        <rFont val="Arial"/>
        <family val="2"/>
      </rPr>
      <t xml:space="preserve"> doit réussir un test de Force sous peine d'être projetée au sol. Le sort éteint également les flammes dans un rayon de 4 mètres. L'eau venant tout droit de l'océan, il n'est pas rare qu'elle soit accompagnée de sable, de poissons et de crustacés, ces derniers étant assurément étonnés du sort qui leur est réservé.</t>
    </r>
  </si>
  <si>
    <t>vous priez pour que Manann accorde sa bénédiction au départ d'un voyage en mer. Tous les tests d'Orientation ensuite entrepris bénéficient d'un bonus +10% tant que vous restez à bord. Le sort dure jusqu'à votre prochain port d'escale.</t>
  </si>
  <si>
    <t>votre prière maudit un personnage, qui a alors le sentiment de se trouver sur le pont d'un navire pris dans la tempête. La cible doit réussir un test d'Agilité par round pour rester debout. En cas d'échec, il lui faut entreprendre une demi-action et réussir un test d'Agilité pour se relever. Si elle doit jouer un tel test, elle subit un malus de -30% qui se cumule avec les malus déjà applicables.</t>
  </si>
  <si>
    <t>vous tracez au sol une ligne longue de 8 mètres tout en psalmodiant à l'attention de Morr. Tout mort-vivant doit réussir un test de Force Mentale pour la franchir ; ceux qui en sont dépourvus échouent automatiquement. Cette ligne conserve son pouvoir jusqu'au lever du soleil, chaque mort-vivant n'ayant droit qu'à une tentative pour la franchir. Si cette ligne ne constitue pas un cercle, les morts-vivants peuvent parfaitement en faire le tour. En règle générale, elle prend donc la forme d'une boucle ou est tracée en travers d'un passage.</t>
  </si>
  <si>
    <t>vous apparaissez dans les songes d'un personnage et délivrez un message ne dépassant pas 30 secondes. Le rêveur doit être quelqu'un que vous avez rencontré personnellement, doit parler une langue que vous connaissez et doit dormir au moment où le sort est lancé.</t>
  </si>
  <si>
    <t>vous enrayez provisoirement la décomposition d'un cadavre, ce qui vous permet de le préserver. Tant que le sort faite effet, le corps ne peut pas être animé par un sort de Nécromancie.</t>
  </si>
  <si>
    <t>vous psalmodiez une prière solennelle au-dessus d'un cadavre, vous assurant ainsi que son âme prend bien la direction du Royaume de Morr. Le cadavre est à jamais immunisé contre les sorts de Nécromancie. Si la cible est un mort-vivant, elle doit réussir un test de Force Mentale sous peine d'être aussitôt détruite. Si la cible n'a pas de Force Mentale, elle n'a droit à aucun test pour éviter la destruction. Le prêtre doit toucher la cible tout au long de l'incantation. Ce rituel est pratiqué sur de nombreux cadavres du Vieux Monde, mais seuls les individus ayant le talent Inspiration divine peuvent user de son pouvoir.</t>
  </si>
  <si>
    <t>vous recevez un rêve au sujet d'une ligne de conduite que Morr veut vous voir adopter. Ce rêve est toujours clair mais jamais complet. De plus, il n'aborde jamais les motivation de Morr. La vision vous montre généralement en train de réaliser une action précise, en un lieu précis. D'une façon ou d'une autre, vous connaissez le nom du lieu en question, son emplacement exact et la date convenue, même si tout ne vous paraît pas clair de prime abord. Vous n'avez aucun contrôle sur le contenu du rêve et rien ne vous garantit que vous survivrez aux actions entrevues.
Des incantations successives délivrent quasi systématiquement le même rêve, du moins jusqu'à ce que le prêtre ait fait ce qui lui est demandé ou que le temps qui lui est imparti soit écoulé. Ne pas se conformer au rêve revient à enfreindre les règles du culte ; si vous avez prié pour bénéficier d'un tel rêve, vous avez tout intérêt à l'observer.</t>
  </si>
  <si>
    <r>
      <t xml:space="preserve">Morr vous offre une vision abordant un fait important de l'avenir d'un personnage. Souvent, il s'agit de la façon dont il va mourir, mais pas toujours. Le fait est toujours isolé ; vous apprendrez ainsi que quelqu'un va être tué par des orques, mais pas où ni comment. Si le sort est lancé sur un personnage joueur, le MJ doit utiliser le fait en question dans le sens de l'aventure en cours. </t>
    </r>
    <r>
      <rPr>
        <i/>
        <sz val="10"/>
        <rFont val="Arial"/>
        <family val="2"/>
      </rPr>
      <t>Révélation</t>
    </r>
    <r>
      <rPr>
        <sz val="10"/>
        <rFont val="Arial"/>
        <family val="2"/>
      </rPr>
      <t xml:space="preserve"> ne peut être lancé qu'une fois par personnage. Le MJ demeure l'arbitre ultime quant à la qualité de l'information apprise.</t>
    </r>
  </si>
  <si>
    <t>répondant à vos prières, Myrmidia vous envoie des visions d'un affrontement proche comme si vous étiez un aigle volant au-dessus du champ de bataille. Vous pouvez distinguer un combat précis se déroulant dans un rayon d'une lieue (4 km) par point de Magie. Vous distinguez toutes les actions principales et déplacements des participants, et bénéficiez ainsi d'un bonus de +10% aux tests de Connaissances académiques (stratégie/tactique) liés à cet affrontement. De plus, le régiment allié et les chefs d'unité sont dans votre champ de vision. Ceci dit, on considère que vous n'êtes pas conscient des combats qui vous entourent, si bien que vos adversaires bénéficient d'un bonus de +30% aux tests visant à vous toucher. Enfin, vous ne pouvez effectuer que des actions d'incantation.</t>
  </si>
  <si>
    <t>Grâce à ce sort, le lanceur envoie une forme de folie lunaire sur les créatures se trouvant dans l'aire d'effet, que ce soit un seul élément ou un groupe. Le sort ne peut être lancé qu'en présence de lumière lunaire ; le lanceur doit donc se trouver en extérieur, de nuit et alors que la couverture nuageuse n'est pas totale. Les créatures visées sont environnées de particules luisantes de lumière lunaire qui affaiblissent leur résolution et les rendent très rapidement folles. Toute créature affectée souffre d'hallucinations: elle perd 10% en Force et en Endurance, et -20 en CC. A la fin du sort, les créatures affectées doivent réussir un Test de Force Mentale ou acquérir 1D4 Points de Folie. Ce sort ne peut pas affecter les créatures ayant 6 ou moins en lnt, ou les créatures immunisées contre les effets psychologiques, comme les Morts-vivants ou les Démons. Dès que quelqu'un utilise Coup de Lune, la puissance du sort est telle que toute personne ayant une Inspiration Divine dans un rayon de 24km le ressentent. Lileath elle-même punira celui qui use d'une telle puissance sans une raison valable.</t>
  </si>
  <si>
    <t>A votre contact, une arme devient de qualité exceptionnelle (avec les bonus inhérents) et est considérée comme Argentée tant que perdure le sort.</t>
  </si>
  <si>
    <t>Faveur de la Reddition</t>
  </si>
  <si>
    <t>Vous et jusqu'à dix alliés en ligne de vue pouvez voyager comme s'ils n'étaient pas entravés même si les conditions indiquaient normalement que le terrain est gênant. Le sort dure une minute par point dans votre caractéristique de Magie pour les déplacements locaux, ou une heure pour les mouvements plus lointains. Cela n'affecte que les voyages à long terme: cela ne change pas la distance à laquelle quelqu'un peut se déplacer tour à tour.</t>
  </si>
  <si>
    <r>
      <t xml:space="preserve">vous transmettez la chance de Ranald à un personnage. Le sujet du sort peut maintenant inverser l'ordre des dizaines et des unités du jet de pourcentage d'un test de compétence ou de caractéristique. Par exemple, un test de Dissimulation donnant 82% peut être transformé en 28%. Un même personnage ne peut bénéficier que d'un seul sort de </t>
    </r>
    <r>
      <rPr>
        <i/>
        <sz val="10"/>
        <rFont val="Arial"/>
        <family val="2"/>
      </rPr>
      <t>bonne fortune</t>
    </r>
    <r>
      <rPr>
        <sz val="10"/>
        <rFont val="Arial"/>
        <family val="2"/>
      </rPr>
      <t xml:space="preserve"> à la fois.</t>
    </r>
  </si>
  <si>
    <t>Vous appliquez l'œil et la main d'un maitre-artisan sur un objet que vous nommez. Le niveau de qualité de l’objet monte d’un cran (de médiocre à normal, de normale à bon, de bon à exceptionnel). Vous pouvez embellir autant d'objets que votre valeur de caractéristique Magie. Les armes améliorées de cette manière gagnent les bonus standards. Cependant, Ranald fronce les sourcils face aux manigances à but purement lucratif: toute tentative de vendre des objets améliorés par ce sort fait immédiatement disparaître le glamour alors que la tromperie est révélée.</t>
  </si>
  <si>
    <r>
      <t xml:space="preserve">vous déverrouillez une serrure ou un verrou, ou soulevez un loquet. L'objet visé ne peut être refermé le tems du sort (à moins que vous n'en décidiez autrement). </t>
    </r>
    <r>
      <rPr>
        <i/>
        <sz val="10"/>
        <rFont val="Arial"/>
        <family val="2"/>
      </rPr>
      <t>Ouverture</t>
    </r>
    <r>
      <rPr>
        <sz val="10"/>
        <rFont val="Arial"/>
        <family val="2"/>
      </rPr>
      <t xml:space="preserve"> peut s'imposer sur un </t>
    </r>
    <r>
      <rPr>
        <i/>
        <sz val="10"/>
        <rFont val="Arial"/>
        <family val="2"/>
      </rPr>
      <t>verrou magique</t>
    </r>
    <r>
      <rPr>
        <sz val="10"/>
        <rFont val="Arial"/>
        <family val="2"/>
      </rPr>
      <t xml:space="preserve"> en réussissant un test de Focalisation.</t>
    </r>
  </si>
  <si>
    <t>les objets précieux que vous et vos alliés portez sont introuvables en cas de fouille réalisée contre votre gré ou sans votre consentement. Même si votre sac de pièces d'or est ouvert et retourné, les inspecteurs du trésor public n'y trouveront que quelques miettes et une moitié de biscuit, ou autres objets dénués de valeur. Les prêtres pensent que Ranald garde vos biens pendant toute la durée du sort et prétend même que le dieu des Escrocs ne restitue pas toujours les objets qui lui sont confiés.</t>
  </si>
  <si>
    <t>vous faites appel au pouvoir de Shallya pour redonner un coup de fouet momentané à la cible. La valeur d'Endurance de la créature touchée augmente de 10%, ce qui a pour effet d'augmenter également son bonus d'Endurance (+1).</t>
  </si>
  <si>
    <t>votre bénédiction soigne tout effet critique autre que 4, 9 ou 10, tant qu'elle est lancée dans les 2 rounds qui suivent. Ce sort ne rappelle pas les morts à la vie et doit donc être lancé avant qu'un personnage ne périsse. De plus, il ne peut rien contre les points de Folie découlant de coups critiques.</t>
  </si>
  <si>
    <t>Quand vous frappez, vous frappez avec le bras de la Sœur, dans le but d'étourdir, vous réussissez automatiquement votre Test de force. Si vous frappez pour blesser tant que le sort est en vigueur, il se termine immédiatement.</t>
  </si>
  <si>
    <r>
      <t xml:space="preserve">Nurgle, dieu du Chaos des Maladies et du la Putréfaction, est abhorré par Shallya. Ce sort vous permet de cibler un démon ou un fidèle de Nurgle situé à portée et de l'accabler de la puissance purificatrice de Shallya, véritable anathème pour les serviteurs du Seigneur Pestiféré. La cible de </t>
    </r>
    <r>
      <rPr>
        <i/>
        <sz val="10"/>
        <rFont val="Arial"/>
        <family val="2"/>
      </rPr>
      <t>purification</t>
    </r>
    <r>
      <rPr>
        <sz val="10"/>
        <rFont val="Arial"/>
        <family val="2"/>
      </rPr>
      <t xml:space="preserve"> perd 1d10 points de Blessures, quels que soient son bonus d'Endurance et son armure, et doit réussir un test de Force Mentale sous peine d'être assommée pendant 1 round.</t>
    </r>
  </si>
  <si>
    <t>un parchemin bénit sur lequel est écrit la prière (+2)</t>
  </si>
  <si>
    <t>vos prières, très pressantes, poussent vos alliés à redoubler d'efforts contre les ennemis de Sigmar. Tous les alliés situés à portée bénéficient de +1 en Attaques quand ils affrontent des suppôts du Chaos, des morts-vivants ou des peaux-vertes.</t>
  </si>
  <si>
    <t>avec l'aide de Taal, vous pouvez converser avec un animal et un seul situé à portée. Vous bénéficiez d'un bonus de +20% aux tests d'Emprise sur les animaux liés à la cible. Les animaux n'ont pas l'habitude de communiquer avec des hommes, si bien qu'ils ont parfois du mal à articuler leurs pensées. C'est au MJ de décider la quantité d'informations que l'animal connaît, sans oublier que la vision du monde d'un animal moyen est fort limitée, quand elle n'est pas nulle.</t>
  </si>
  <si>
    <t>Jaillissement  du cerf</t>
  </si>
  <si>
    <t>Plantes immobilisâtes</t>
  </si>
  <si>
    <t>Réconfort de Rhys</t>
  </si>
  <si>
    <t>un os maxillaire de l'espèce animale visée (+2)</t>
  </si>
  <si>
    <t>vous faites appel au Roi des Dieux, qui vous répond avec la plus grande des férocités. Centrez le grand gabarit sur vous. Les créatures affectées (ce qui ne vous inclut pas) sont frappées par des vents furieux et subissent un malus de -20% en Capacité de Combat et en Agilité. Au début de chaque round, tous les sujets doivent réussir un test d'Endurance sous peine d'être assommés. Aucune arme à distance ne peut être utilisée, que ce soit par vous ou l'une des victimes du sort. De plus, vous ne pouvez pas être pris pour cible par des attaques de projectiles non magiques (ce qui exclut armes à poudre et artillerie).</t>
  </si>
  <si>
    <t>votre contact réveille le berserk qui sommeille en l'un de vos alliés. On considère alors que le sujet du sort est doté du talent Frénésie. Les cibles qui ne sont pas consentantes ont le droit à un test de Force Mentale pour résister au sort.</t>
  </si>
  <si>
    <t>vos prières vous propagent des ondes de froid dans tout le corps et une gelée blanche vous recouvre la peau. Vous êtes immunisé contre l'hypothermie. Ce sort ne peut être tenté qu'une fois par jour.</t>
  </si>
  <si>
    <t>une opale de feu d'une valeur d'au moins 50 Co (+2)</t>
  </si>
  <si>
    <t>un aiment doré (+1)</t>
  </si>
  <si>
    <t>vous demandez à votre dieu d'illuminer la nuit, ce qu'il fait en vous envoyant ses guerriers. Les cieux s'illuminent de flammes surnaturelles alors que les guerriers dansent. Ce sort produit  assez de lumière pour voir correctement.</t>
  </si>
  <si>
    <t>un gros œil de chat (+2)</t>
  </si>
  <si>
    <t>Vous prenez conscience de toutes les batailles qui ont eu lieu dans la zone dans laquelle vous vous trouvez, au cours de la dernière année. Vous savez combien de personnes ont combattu de chaque côté, combien de victimes ont été infligées à chaque camp et qui a finalement remporté le conflit. Vous obtenez également une idée de la façon dont ils se sont battus et de leurs compétences respectives au combat. Au-delà de cela, vous ne savez pas qui s'est battu ni pour qui ou pourquoi il s'est battu, les motivations restent inaccessibles. Les batailles datant de plus d'un an peuvent nécessiter un test de focalisation pour être perçues clairement (au bon vouloir du MJ).</t>
  </si>
  <si>
    <t>Épargner les Innocents</t>
  </si>
  <si>
    <t>un cerclet d'or (+2)</t>
  </si>
  <si>
    <t>Lorsque vous lancez ce sort, vous et une cible êtes enfermés dans un combat à mort. Une aura magique s'élève, vous entourant seulement vous deux (juste assez pour couvrir vos deux cases avec environ un rayon d'une case) - toutes les autres cibles (aliées ou ennemies) qui pourraient être se retrouvées prisonnières sont rejetées. Mis à part un sort de Dissipation, l'aura reste totalement impénétrable à tout et n'importe qui jusqu'à ce que vous ou la cible soyez mort.</t>
  </si>
  <si>
    <t>vous embobinez par vos chants toutes les créature humanoïdes (humain, elfe, orque, homme-bête, etc.) situées sous le gabarit, si bien qu'elles agissent de façon hébétée moins de réussir un test de Force Mentale. À son prochain tour de jeu, les créatures effectueront leurs actions comme si elles allaient s'endormir. Les cibles ne se blesseront pas volontairement. Chant des sirènes ne marche pas sur les démons et les morts-vivants.</t>
  </si>
  <si>
    <t>Ce sort étouffe tous les feux, même magiques se trouvant dans l’aire d’effet, de la bougie au feu de forêt. Bien que ces effets soient immédiats, le sort tant qu'il est actif prévient tout départ de feu et empêche tous les sorts basés sur le feu de fonctionner à l’intérieur de l’aire d’effet. Tous les élément aux de feu auront leur taille réduite de 1 par round passé dans l’aire d’effet. Les objets magiques qui ont des effets basés sur le feu seront neutralisés jusqu’à ce qu’ils soient déplacés hors de l’aire d’effet.</t>
  </si>
  <si>
    <t>Vous incantez d'obscurs mots de magie et vous enveloppez de l'obscurité des broussailles, de l'espace entre le monde matériel et immatériel. Vous gagnez le Trait Éthéré. Vous pouvez prolonger les effets de la Forme Astrale après la fin de la durée normale en réussissant un Test de FM au début de chaque round suivant. Le MJ détermine ce qui se produit si ce sort se termine alors que vous êtes intégré dans un objet.</t>
  </si>
  <si>
    <t>Vous chantez d'anciens mots de pouvoir, demandant à toutes les âmes impures d'évacuer les lieux. Choisissez une race. Tout membre de cette race présent dans un rayon de  100 mètres (50 cases) centré sur vous doit au début de chaque round réussir un Test de FM ou immédiatement utiliser une action pour se diriger dans la direction opposée à la vôtre. Tout être affecté par ce sort contournera les obstacles au bon vouloir du MJ pour vous éviter et peut utiliser les actions qu'il lui reste et son Initiative normalement.</t>
  </si>
  <si>
    <t>Ce sort redonne à un animal (Familier ou Monture et ni fantastique, ni géant ni épique) sa santé, s'il est blessé, empoisonné, malade, etc. Le lanceur doit être capable de le toucher durant l'incantation. Il ne rendra pas la vie à un animal mort pas plus qu'il n'enlèvera les effets d'un Coup Critique.</t>
  </si>
  <si>
    <t>Protection des Éclairs</t>
  </si>
  <si>
    <t>du minerai de fer natif (+2)</t>
  </si>
  <si>
    <t>un miroir (+1)</t>
  </si>
  <si>
    <t>Ce sort rend phosphorescent l'encre de l'écrit ciblé qui peut dès lors être lu dans l'obscurité la plus totale. La luminosité dégagée ne dépasse pas celle d'une allumette et ne consume pas le support.</t>
  </si>
  <si>
    <t xml:space="preserve">votre contact gèle un objet de votre choix, le rendant extrêmement froid au toucher. Une personne qui touche cet objet tant que dure le sort ou si vous lancez le sort directement sur de la chair, la victime subit 1 pt de dégât de froid. Vous pouvez façonner l'eau comme vous le souhaitez (neige, glaçon, stalactite,…). </t>
  </si>
  <si>
    <t>Vous prononcez précautionneusement des mots qui sculptent dans votre main une lame de bois magique. Cette arme compte comme une dague et inflige +1d10 points de Blessure à tout esprit ou toute créature souillé par le Chaos. La fureur d'Ulric ne s'applique pas à ce dé supplémentaire. Vous pouvez prolonger les effets de la Dague de l'Art après la fin de la durée normale en réussissant un Test de FM au début de chaque round suivant.,</t>
  </si>
  <si>
    <t>Votre sort trompe le corps de votre cible et le force à se sentir frais et alerte. La cible gagne un bonus de +5% en Agilité et Intelligence et +1 en Mouvement. A la fin du sort, la cible doit réussir un Test d'Endurance ou souffrir d'une pénalité de -10% en Agilité et Intelligence et -1 en Mouvement pendant 1 minute (6 rounds).</t>
  </si>
  <si>
    <t>Vous prononcez des mots de magie et formez assez d'un liquide brumeux dans vos paumes que pour emplir une petite tasse. La cible consentante qui absorbe ce breuvage oublie immédiatement un individu ainsi que tout évènement, action ou sentiment impliquant cette personne qui est littéralement effacée de sa mémoire.</t>
  </si>
  <si>
    <t>Votre sort attire la fortune. Durant toute la durée de ce sort, la cible gagne 1d10 sous de pièces trouvées sur le sol, dans le fond de poches, derrières les oreilles ou dans le rembourrage de chaises… Toutefois si vous ne lancez pas ce sort avec succès, vous subissez immédiatement la Malédiction de Tzeentch. Si vous lancez ce sort avec succès mais que vous déclenchez la Malédiction de Tzeentch, celle-ci est aggravée d'un rang.</t>
  </si>
  <si>
    <t>Vous murmurez des formules secrètes et formez dans le creux de vos paumes assez d'un liquide rosacé pour emplir une petite tasse. Si la cible boit ce philtre, elle tombera immédiatement amoureuse de la première personne issue de sa race pour laquelle elle éprouverait normalement des sentiments amoureux. C'est au MJ de déterminer les extrêmes de ce que le sentiment amoureux provoque.</t>
  </si>
  <si>
    <t>Vous quittez votre corps physique et envoyez votre esprit dans l'aethyr. Celui-ci apparait dans un rayon de 2m (1 case) de votre corps. Vous êtes complètement invisible et silencieux pour tout être présent sur le plan physique. Vous êtes toujours contraint aux limites physiques mais êtes immunisés à toutes les formes de dégâts non-magiques. Même si un objet vous heurtera toujours, il nous peut vous faire aucun mal à moins d'être magique. Vous ne pouvez interagir avec aucun objet du plan physique car votre esprit ne peut s'y agripper. Les entités suivantes vous sont maintenant visibles et peuvent interagir avec votre esprit: les créatures invisibles ou éthérées, les esprits et démons. Votre corps puisque, laissé derrière vous est considéré comme sans défense tant que vous maintenez ce sort. Vous pouvez y mettre fin en touchant votre corps alors que vous êtes sous la forme d'un esprit.</t>
  </si>
  <si>
    <t>un instrument de musique de qualité exceptionnelle (+3)</t>
  </si>
  <si>
    <t>Tous devraient être capables de lire et avec ce sortilège, ils le peuvent. La cible acquiert la compétence Lire/Écrire (ou +10% si elle l'a déjà) tant que perdure le sort.</t>
  </si>
  <si>
    <t>En lançant ce sort, vous devez également faire un test de compétence d'Expression Artistique. Si ce test réussit aussi, votre performance est si déchirante et remplie de toute l'obscurité de votre âme que les cibles doivent réussir en test de Force Mentale ou gagner 1d4 points de Folie.</t>
  </si>
  <si>
    <r>
      <t xml:space="preserve">des ailes vous poussent dans le dos, suffisamment puissantes pour vous porter dans les airs. Vous pouvez voler pendant un nombre de minutes égal à votre valeur de Magie, avec une valeur de Mouvement en vol de 4. Pour plus de renseignements sur les déplacements aériens, veuillez consulter le </t>
    </r>
    <r>
      <rPr>
        <b/>
        <sz val="10"/>
        <rFont val="Arial"/>
        <family val="2"/>
      </rPr>
      <t>Chapitre 6: Combat, dégâts et mouvements</t>
    </r>
    <r>
      <rPr>
        <sz val="10"/>
        <rFont val="Arial"/>
        <family val="2"/>
      </rPr>
      <t>. Il va sans dire que le commun des mortels, voyant un tel être évoluer dans les airs, vous prendra pour un démon du Chaos et réagira en conséquence.</t>
    </r>
  </si>
  <si>
    <t>vous brisez l'esprit sauvage d'un animal (qui peut être domestiqué) situé dans les 12 mètres (6 cases). Les animaux pouvant être affectés comprennent les chevaux, les chiens et certains oiseaux de proie. Cela ne comprend pas les animaux ordinairement sauvages comme les loups, les ours, les serpents etc. L'animal visé a droit à un test de Force Mentale pour ignorer les effets du sort. En cas d'échec, il restera à tout jamais docile à l'égard des humains, des elfes et des halflings, bien qu'il soit toujours susceptible d'être effrayé (à juste titre) par des créatures comme les peaux-vertes, les skavens et les êtres souillés par le Chaos.</t>
  </si>
  <si>
    <t>le cœur d’un loup (+2)</t>
  </si>
  <si>
    <t>vous touchez un personnage, une créature ou un animal consentant, qui plonge immédiatement dans un sommeil semblable à l'hibernation d'un ours. Cet état persiste durant de nombreux mois, jusqu'au prochain solstice ou équinoxe qui suit celui qui vient (c'est à dire pendant le reste de la saison actuelle et la totalité de la saison suivante). Durant cette période de sommeil, le personnage n'a pas besoin de manger ni de boire. En raison de la nature magique de l'hibernation, tous les effets des maladies, poisons ou afflictions similaires que subit le sujet sont interrompus. Les dégâts et symptômes éventuels ne s'accumulent plus, bien que tous les malus et autres maux déjà en effet continuent de s'appliquer tant que le sujet hiberne. Un malus aux tests de Force Mentale découlant d'un poison continue ainsi à affecter un personnage en hibernation, mais un poison aux effets progressifs ne fait pas empirer son état de santé. Toutefois, la guérison naturelle se fait normalement. Le sujet de ce sort ne peut pas être réveillé par des moyens naturels : c'est le lanceur de sort qui peut provoquer un réveil prématuré d'une seule pensée. Vous pouvez aussi lancer ce sort sur vous-même. dans ce cas, vous pouvez si vous le désirez désigner un autre individu, qui doit être présent au moment où vous lancez le sort, et qui pourra vous réveiller avant l'expiration du sort au prix d'une action gratuite. Il s'agit d'un sort de contact.</t>
  </si>
  <si>
    <t>vous touchez un personnage, une créature un  animal, et tous les objets en cuir qu'il porte ou transporte (ceintures, bourses, sangles, fourreaux et même armure) se flétrissent et sont à jamais réduits en poussière. Il s'agit d'un sort de contact.</t>
  </si>
  <si>
    <r>
      <t xml:space="preserve">vous suivez les signes qui apparaissent dans le ciel pour localiser un objet qui a été perdu ou qu'on a caché. Vous pouvez tenter de trouver un objet de type général ("une source d'eau potable", par exemple, ou "Mon royaume pour un cheval !"), ou quelque chose de plus spécifique ("ma bourse", ou "l'épée volée de mon compagnon Karl"). En lançant ce sort, vous pressentez fortement dans quelle direction vous pourrez trouver l'objet spécifié, mais vous n'avez aucune idée de la distance. Quand vous cherchez un objet de type général, vous savez dans quelle direction on peut trouver le plus proche exemplaire de ce type d'objet. Si vous voulez chercher un objet spécifique, il doit vous être familier, soit que vous l'ayez examiné vous-même, soit qu'on vous l'ait décrit avec un grand luxe de détails. Il faut généralement lancer plusieurs </t>
    </r>
    <r>
      <rPr>
        <i/>
        <sz val="10"/>
        <rFont val="Arial"/>
        <family val="2"/>
      </rPr>
      <t>boussoles divinatoires</t>
    </r>
    <r>
      <rPr>
        <sz val="10"/>
        <rFont val="Arial"/>
        <family val="2"/>
      </rPr>
      <t xml:space="preserve"> pour effectuer une triangulation et découvrir précisément la localisation de l'objet recherché. La direction indiquée par </t>
    </r>
    <r>
      <rPr>
        <i/>
        <sz val="10"/>
        <rFont val="Arial"/>
        <family val="2"/>
      </rPr>
      <t>boussole divinatoire</t>
    </r>
    <r>
      <rPr>
        <sz val="10"/>
        <rFont val="Arial"/>
        <family val="2"/>
      </rPr>
      <t xml:space="preserve"> ne tient aucun compte des obstacles comme les plans d'eau, les murs de château, etc.</t>
    </r>
  </si>
  <si>
    <t>vous relaxez votre esprit afin qu'il s'évade de votre corps. Une fois sous forme astrale, vous êtes invisible mais vous pouvez voir et entendre normalement. Si vous pouvez allez où bon vous semble, vous êtes toujours limité par les lois du monde des mortels, et comme vous êtes désincarné, vous ne pouvez pas manipuler les objets solides. Vous pouvez, en faisant un effort de volonté, traverser des ouvertures par lesquelles vous pourriez normalement passer, comme entrer par une fenêtre ouverte ou vous glisser derrière un garde lorsqu'il ouvre une porte. Vous pouvez rester sous cette forme pendant un nombre d'heures égal à votre valeur de Magie, mais vous devez revenir dans votre corps avant que le sort s'achève. Si on vous en empêche d'une façon ou d'une autre, votre conscience revient dans votre corps, mais vous devez réussir un test d Force Mentale Difficile (-20%) pour éviter de gagner 1 point de Folie. Vous ne pouvez pas lancer ce sort sur autrui.</t>
  </si>
  <si>
    <r>
      <t xml:space="preserve">tout élément d'équipement lié à la perception (télescope, miroir, fenêtre, etc.) est nettoyé de façon impeccable. Les jeunes sorciers Célestes utilisent souvent ce sort pour nettoyer et polir l'équipement astronomique de leurs aînés (ils le font en douce car tenter de se soustraire aux corvées grâce à la magie est un motif de punition). Bien des apprentis utilisent </t>
    </r>
    <r>
      <rPr>
        <i/>
        <sz val="10"/>
        <rFont val="Arial"/>
        <family val="2"/>
      </rPr>
      <t>nettoyage impeccable</t>
    </r>
    <r>
      <rPr>
        <sz val="10"/>
        <rFont val="Arial"/>
        <family val="2"/>
      </rPr>
      <t xml:space="preserve"> et font ensuite quelques taches discrètes afin de dissimuler leur ouvrage magique, qui surpasse en tout point ce que la plupart des gens sont capables d'accomplir avec un chiffon et une brosse.</t>
    </r>
  </si>
  <si>
    <t>un barreau de prison (+3)</t>
  </si>
  <si>
    <t>vous emprisonnez une cible située dans un rayon de 24 mètres (12 cases), dans les barreaux serrés d'Aqshy. Si le sort est lancé avec succès, la cible ne peut plus bouger sans dépenser un point de destin ou elle meurt instantanément. Si elle dépense un point de Destin, la cible est à jamais immunisée contre ce sort. Ce sort constitue une invocation si puissante et contraignante que tous les sorciers dans un rayon de 7,5 kilomètres prennent conscience de la perturbation de l’Aethyr provoquée par son incantation. Les sorciers de bataille de la Collège Flamboyant poursuivent souvent ceux qui recourent à ce sort inconsidérément, pour leur rappeler où se situent les limites, d’une manière plutôt brûlante.</t>
  </si>
  <si>
    <t>vous libérez l’ardeur enfouie dans le cœur de vos alliés. Tous vos compagnons dans un rayon de 30 mètres (15 cases) reçoivent un bonus de +20% à leurs tests de Peur et de Terreur pendant les 10 prochaines minutes. Le bénéfice de ce sort est perdu s’ils s’écartent de plus de 30 mètres (15 cases).</t>
  </si>
  <si>
    <t>la victime de votre choix est consumée par la haine. La cible doit réussir un test de Force Mentale Assez difficile (-10%) pour résister aux effets de ce sort. En cas d'échec, elle gagne un bonus de +10% en Capacité de Combat et en Endurance. Toutefois, à chaque round, elle perd également 1 point de Blessures en raison des  feux de la rage qui la consument. La victime attaque la créature la plus proche, qu'il s'agisse d'un allié ou d'un ennemi. Elle peut se libérer de ce sort en réussissant un test de Force Mentale Assez difficile (-10%), au prix d'une action gratuite qu'elle peut entreprendre à la fin de chaque tour. Il s'agit d'un sort de contact.</t>
  </si>
  <si>
    <t>choisissez un feu situé dans les 12 mètres (6 cases) et dont la taille ne dépasse pas celle d'un feu de camp. Il devient impossible à éteindre par le vent ou par l'eau, qu'ils soient magiques ou naturels. Cet effet dure un jour si vous avez 1 en Magie, une semaine si vous avez 2, un mois si vous avez 3 et un an si vous avez 4. En plus d'être inextinguible, le feu ne consomme aucun combustible tant que dure le sort. Si les combustibles qui alimentaient le feu sont dispersés, les flammes subsistent sur les petits morceaux : un feu de camp inextinguible qu'on aurait dispersé à coups de pied, par exemple, continue de brûler les morceaux de bois qui le composaient. Une fois que le sort expire, le feu continue de brûler normalement jusqu'à ce que les combustibles soient consumés ou qu'il soit éteint par un agent extérieur.</t>
  </si>
  <si>
    <r>
      <t xml:space="preserve">vous enveloppez un personnage du pouvoir guérisseur de </t>
    </r>
    <r>
      <rPr>
        <i/>
        <sz val="10"/>
        <rFont val="Arial"/>
        <family val="2"/>
      </rPr>
      <t>Hysh</t>
    </r>
    <r>
      <rPr>
        <sz val="10"/>
        <rFont val="Arial"/>
        <family val="2"/>
      </rPr>
      <t xml:space="preserve"> et tous les dégâts et maladies qui l'affectent sont guéris. Cela comprend toutes les Blessures subies , les maladies dont il souffre actuellement, les poisons qu'il a en ce moment dans le corps, et autres effets semblables. Il s'agit d'un sort de contact que vous pouvez également lancer sur vous-même.</t>
    </r>
  </si>
  <si>
    <t>un diamant d’une valeur d’au moins 100 Co (+3)</t>
  </si>
  <si>
    <t>Distorsion du temps de Birona</t>
  </si>
  <si>
    <t>vous distordez le temps comme si tout ce qui se passe autour de vous s'arrêtait. Jouez immédiatement un nouveau round uniquement pour vous. Le sort constitue une invocation si puissante et violente que tous les sorciers dans un rayon de 7,5 kilomètres prennent conscience de la perturbation de l’Aethyr provoquée par son incantation. Les sorciers de bataille de la Collège Lumineux poursuivent souvent ceux qui recourent à ce sort inconsidérément, pour leur rappeler où se situent les limites, d’une manière plutôt mordante.</t>
  </si>
  <si>
    <t>vous illuminez l'intérieur d'un bâtiment comme s'il était en plein jour. Avec une valeur de Magie de 1 vous pouvez affecter un bâtiment de la taille d'une masure ; avec une valeur de 2 un bâtiment ou une maison comportant plusieurs pièces, mais de taille modérée ; avec une valeur de 3 un grand manoir ; et avec une valeur de 4 n'importe quel bâtiment d'un seul tenant, quelle que soit sa taille. La lumière brille dans les pièces, les greniers, les placards et dans tout autre espace défini par un plafond et des murs faits par la main de l'homme. En plus d'illuminer l'intérieur de l'édifice, la lumière brille à travers les portes, les fenêtres, et même les interstices séparant planches et bardeaux. Il s'agit d'un sort de contact : vous devez toucher un élément structurel solide du bâtiment (mur, poutre, etc.) pour qu'il soit affecté.</t>
  </si>
  <si>
    <t>une faible lueur passe sur la surface de n'importe quel objet ou personnage, et ce dernier se retrouve d'une impeccable propreté. La poussière diaprait, les ternissures s'estompent, les odeurs rances sont éliminées et la barbe de plusieurs jours est nettement coupée. Quant à la nourriture et aux boissons gâtées, on peut les purifier (et même les rendre savoureuses si elles l'étaient à l'origine) grâce à ce sort. Il s'agit d'un sort de contact.</t>
  </si>
  <si>
    <t>un trait de lumière étincelante jaillit de votre main. Si vous utilisez le miroir, la lumière émane de celui-ci et il se brise quand le sort s'achève, Utilisez le gabarit de cône. Toutes les créatures des Royaumes du Chaos (c’est-à-dire les démons) prises dans la zone d'action de ce sort doivent réussir un test de Force Mentale accompagné d'un bonus de -10% multiplié par votre valeur de Magie. ceux qui échouent ne peuvent pas entreprendre d'action de déplacement tant que vous maintenez le rayon en place. Vous pouvez projeter le cône de lumière pendant un nombre de rounds égal à votre valeur de Magie. Vous pouvez allonger la durée de ce sort d'un round supplémentaire par point de Blessures que vous sacrifiez.</t>
  </si>
  <si>
    <r>
      <t xml:space="preserve">ce sort vous permet de percer tous les secrets d'un objet, d'apprendre sa composition ainsi que toutes les propriétés spéciales ordinaires qu'il peut avoir. Par exemple, un sorcier Doré utilisant </t>
    </r>
    <r>
      <rPr>
        <i/>
        <sz val="10"/>
        <rFont val="Arial"/>
        <family val="2"/>
      </rPr>
      <t>dévoiler l'inconnu</t>
    </r>
    <r>
      <rPr>
        <sz val="10"/>
        <rFont val="Arial"/>
        <family val="2"/>
      </rPr>
      <t xml:space="preserve"> pourrait apprendre les propriétés médicinales de la crapaudine (cf. page 74 de l'</t>
    </r>
    <r>
      <rPr>
        <i/>
        <sz val="10"/>
        <rFont val="Arial"/>
        <family val="2"/>
      </rPr>
      <t>Arsenal du Vieux Monde</t>
    </r>
    <r>
      <rPr>
        <sz val="10"/>
        <rFont val="Arial"/>
        <family val="2"/>
      </rPr>
      <t>).
En plus des effets normaux de ce sort, vous pouvez effectuer un test spécial de Focalisation Assez difficile (-10%) pour découvrir les propriétés particulières d'un objet magique. Vous bénéficiez d'un bonus de +10% multiplié par votre valeur de Magie. Pour chaque degré de réussite, vous apprenez un des traits spéciaux de l'objet magique. Dans le cas d'objets maudits, souillés ou gâtés d'une façon ou d'une autre, vous découvrez leur propriété dangereuse en dernier.</t>
    </r>
  </si>
  <si>
    <t>un petit fourreau doré très ouvragé d’une valeur minimale de 75 Co (+3)</t>
  </si>
  <si>
    <r>
      <t xml:space="preserve">ce sort peut être lancé de deux façons : pour enregistrer un message secret ou pour lire un message consigné de la sorte. La première méthode fonctionne comme le sort </t>
    </r>
    <r>
      <rPr>
        <i/>
        <sz val="10"/>
        <rFont val="Arial"/>
        <family val="2"/>
      </rPr>
      <t>inscription</t>
    </r>
    <r>
      <rPr>
        <sz val="10"/>
        <rFont val="Arial"/>
        <family val="2"/>
      </rPr>
      <t xml:space="preserve">, mais au lieu d'être visible pour tous, le message est invisible même quand on examine attentivement l'objet. Afin de voir le message inscrit à l'aide de </t>
    </r>
    <r>
      <rPr>
        <i/>
        <sz val="10"/>
        <rFont val="Arial"/>
        <family val="2"/>
      </rPr>
      <t>rune secrète</t>
    </r>
    <r>
      <rPr>
        <sz val="10"/>
        <rFont val="Arial"/>
        <family val="2"/>
      </rPr>
      <t xml:space="preserve">, le sort doit être lancé de la deuxième manière, rendant le message visible. Les sorciers Dorés utilisent fréquemment ce message pour communiquer entre eux. D'ordinaire, ils relancent </t>
    </r>
    <r>
      <rPr>
        <i/>
        <sz val="10"/>
        <rFont val="Arial"/>
        <family val="2"/>
      </rPr>
      <t>rune secrète</t>
    </r>
    <r>
      <rPr>
        <sz val="10"/>
        <rFont val="Arial"/>
        <family val="2"/>
      </rPr>
      <t xml:space="preserve"> sur un objet dont ils ont déchiffré le message, afin de tenir celui-ci à l'abri des yeux des curieux.</t>
    </r>
  </si>
  <si>
    <r>
      <t xml:space="preserve">vous tentez de transformer un esprit malade en esprit sain, ce qui reste une tâche périlleuse. L’incantation du sort s’accompagne d’un test de Focalisation. S’il est réussi, la cible perd 1d10 points de Folie. En revanche, si le test est raté, la cible gagne 1d10 points de Folie. Il s’agit d’un sort de contact que vous ne pouvez lancer sur vous-même. </t>
    </r>
    <r>
      <rPr>
        <i/>
        <sz val="10"/>
        <rFont val="Arial"/>
        <family val="2"/>
      </rPr>
      <t>Transmutation de la folie</t>
    </r>
    <r>
      <rPr>
        <sz val="10"/>
        <rFont val="Arial"/>
        <family val="2"/>
      </rPr>
      <t xml:space="preserve"> n’agit pas sur les animaux.</t>
    </r>
  </si>
  <si>
    <t>ce sort fonctionne comme l'Or du fou si ce n'est qu'il est permanent et peut aussi cibler un être vivant. Une telle cible doit réussir un test de Force Mentale contre vous dépenser un point de Destin ou bien être tuée et pétrifiée. Si elle dépense un point de Destin, la cible est à jamais immunisée contre ce sort. Tous les sorciers situés dans un rayon de 7,5 kilomètres sont conscients de la perturbation qu'il provoque dans l'Aethyr. Les seigneurs du Collège Doré voient d'un mauvais œil ceux qui usent de d'une magie aussi puissante sans raison valable.</t>
  </si>
  <si>
    <t>vous emprisonnez l'âme de votre victime, en la scellant dans un réceptacle durable de votre choix, comme une bouteille, une fiole ou une bourse. Tant que l'âme est captive, le corps de la victime, véritable légume, est réduit aux fonctions vitales essentielles (respirer, avaler, excréter) sans initiative ni conscience. Bien qu'elle soit en vie d'un point de vue technique, cette coquille vide ne peut ni se déplacer ni même se lever de sa propre volonté, et doit être nourrie par autrui pour éviter de pourrir de faim ou de déshydratation. Les dégâts, les maladies, les poisons et autres sources de pertes de points de Blessures l'affectent normalement. Elle guérit naturellement et peut être soignée comme d'ordinaire par magie ou par l'utilisation de la compétence Soins. Vous pouvez rendre l'âme emprisonnée à son corps à tout moment en ouvrant le réceptacle scellé en présence de son corps. Tout prête de Morr et tout autre sorcier d'Améthyste qui connaît ce sort peut en faire autant. Dans tous les cas, l'individu qui a recouvré son corps gagne aussitôt 1-5 (1d10/2) points de Folie en raison de cette expérience traumatisante. Si la bouteille est ouverte loin du corps ou par quelqu'un qui ne connaît pas les rituels appropriés, l'âme se perd dans le vaste monde, condamnée à errer et à devenir un fantôme. Reportez-vous au Bestiaire du Vieux Monde, page 92, pour plus de détails au sujet des fantômes. Si l'âme est perdue, on peut maintenir le corps en vie, mais cela n'a guère d'intérêt. Il s'agit d'un sort de contact. En raison du déchirement de la trame de la vie et de la mort qu'implique la nature de cette conjuration, tous les sorciers situés dans un rayon de 7,5 kilomètres sont conscients de la perturbation qu'il provoque dans l'Aethyr. Les seigneurs de l'Ordre d'Améthyste voient d'un mauvais œil ceux qui usent de d'une magie aussi puissante sans raison valable.</t>
  </si>
  <si>
    <t>vous utilisez les tentacules glaciaux de Shyish pour lier vos ennemis présents dans une zone d'effet située dans un rayon de 48 mètres (24 cases). Utilisez le grand gabarit. Tous ceux qui sont affectés doivent réussir un test de Force Mentale pour éviter d'être assommés. Ils peuvent rejouer un test au début de leur tour pour tenter de briser l'étreinte. Ils restent assommés jusqu'à ce qu'ils réussissent ce test.</t>
  </si>
  <si>
    <t>vous extirpez de force l'âme d'une cible située dans un rayon de 12 mètres (6 cases). La victime meurt immédiatement et ses restes se flétrissent d'horrible manière, ne laissant qu'une coquille desséchée, à moins qu'elle ne réussisse un test de Force Mentale opposé contre vous, auquel cas le sort échoue. En raison du déchirement de la trame de la vie et de la mort qu'implique la nature même de cette conjuration, tous les sorciers situés dans un rayon de 7,5 kilomètres sont conscients de la perturbation qu'il provoque dans l'Aethyr. Les seigneurs de l'Ordre d'Améthyste ne voient pas d'un très bon œil ceux qui usent d'une magie aussi puissante à la légère.</t>
  </si>
  <si>
    <t>vous prononcez des paroles de consolation pour un individu lourdement affecté par le récent trépas d'un parent. La douleur du sujet s'apaise à mesure qu'il accepte cette fatalité. Tout effet de Peur ou de Terreur, tout malus de caractéristique et tout effet de Folie infligé par le décès est éliminé ou annulé.</t>
  </si>
  <si>
    <r>
      <t xml:space="preserve">vous invoquez le vent de Magie pourpre pour qu'il tourbillonne autour d'une créature ciblée possédant le talent </t>
    </r>
    <r>
      <rPr>
        <sz val="10"/>
        <rFont val="Calibri"/>
        <family val="2"/>
      </rPr>
      <t>É</t>
    </r>
    <r>
      <rPr>
        <sz val="10"/>
        <rFont val="Arial"/>
        <family val="2"/>
      </rPr>
      <t xml:space="preserve">théré et située dans un rayon de 12 mètres (6 cases). La cible doit réussir un test de Force Mentale pour éviter de prendre brutalement conscience de son état. En cas d'échec, elle subit un malus de -10% aux tests de Capacité de Combat et ne peut effectuer qu'une demi-action à son prochain tour. Au round suivant, le fantôme doit tenter un autre test de Force Mentale pour se libérer des effets de </t>
    </r>
    <r>
      <rPr>
        <i/>
        <sz val="10"/>
        <rFont val="Arial"/>
        <family val="2"/>
      </rPr>
      <t>libération de la mort</t>
    </r>
    <r>
      <rPr>
        <sz val="10"/>
        <rFont val="Arial"/>
        <family val="2"/>
      </rPr>
      <t>. Les fantômes qui échouent trois fois d'affilée à ces tests sont libérés du monde des mortels.</t>
    </r>
  </si>
  <si>
    <r>
      <t xml:space="preserve">vous endormez un des membres (bras ou jambe) d'une cible située dans un rayon de 24 mètres (12 cases). Vous pouvez choisir le membre affecté, et celui-ci devient totalement inutile pour un nombre de minutes égal à votre valeur de Magie. Tant que l'effet persiste, la cible subit les mêmes inconvénients que ceux associés à l'amputation d'une jambe ou d'un bras (cf. page 134 de </t>
    </r>
    <r>
      <rPr>
        <i/>
        <sz val="10"/>
        <rFont val="Arial"/>
        <family val="2"/>
      </rPr>
      <t>WJDR</t>
    </r>
    <r>
      <rPr>
        <sz val="10"/>
        <rFont val="Arial"/>
        <family val="2"/>
      </rPr>
      <t>). La victime recouvre l'usage du membre endormi à la fin du sort.</t>
    </r>
  </si>
  <si>
    <t>un personnage situé dans un rayon de 12 mètres (6 cases) se met à vieillir à vue d’œil. La cible doit réussir un test de Force Mentale, sous peine de perdre de façon permanente 1d10% de sa valeur de Force et d’Endurance. Si ce sort affecte les animaux, il reste sans effet sur les démons et les morts-vivants. De même, il n’agit pas sur les objets ou les matières naturelles comme la nourriture, les plantes, le cuir, etc.</t>
  </si>
  <si>
    <t>vous pouvez poser une question et obtenir une réponse de la part d'un défunt particulier, tant qu'il est possible de répondre à cette question par un nombre de coups frappés différent de zéro ("Combien de voleurs sont venus dans votre maison la nuit où vous avez été battu à mort ?"), ou s'il est possible de répondre par oui ou par non ("Vous serait-il agréable que nous emmenions votre corps lors de notre pèlerinage à Altdorf ?"). Dans le cas de questions dont la réponse est oui ou non, l'esprit du défunt frappe une fois pour "oui" et deux fois pour "non". Quelle que soit la question, l'esprit n'est absolument pas forcé de répondre, n'en sait pas plus que de son vivant et peut mentir s'il le désire. L'acte de répondre en lui-même n'est ni agréable ni particulièrement odieux au défunt, bien qu'il puisse être émotionnellement pénible en raison des vivants qui sont présents ou de la nature de la question. Ce sort doit être lancé en présence du cadavre du défunt ou de l'un de ses descendants vivants. La rumeur prétend que les morts répondent en frappant aux portes du royaume de Morr.</t>
  </si>
  <si>
    <t>vous invoquez une sphère violette qui flotte au dessus du sol. Toutes les cibles situées sous le grand gabarit doivent réussir un test d'Initiative subissent 2d6 points de Blessure contre vous OU dépenser un point de Destin ou bien être tuée et pétrifiée par la peur de demain. Si elle dépense un point de Destin, la cible est à jamais immunisée contre ce sort. Tous les sorciers situés dans un rayon de 7,5 kilomètres sont conscients de la perturbation qu'il provoque dans l'Aethyr. Les seigneurs du Collège d'Améthyste voient d'un mauvais œil ceux qui usent de d'une magie aussi puissante sans raison valable.</t>
  </si>
  <si>
    <t>une améthyste d’une valeur minimale de 50 Co (+3)</t>
  </si>
  <si>
    <t>pendant 1 heure, vous voyez des esprits et des âmes, normalement invisibles à l’œil nu. Quand un être vivant trépasse, vous pouvez voir son âme quitter son corps.</t>
  </si>
  <si>
    <t>vous rendez les ombres qui vous entourent brûlantes comme de l'acide. Tous les ennemis situés dans un rayon de 18 mètres (9 cases) et qui sont touchés par une ombre projetée par toute source de lumière d'intensité supérieure ou égale à celle d'une torche au moment où vous lancez le sort subissent un coups d'une valeur de dégâts de 3. L'absence de lumière en elle-même n'est pas considérée comme une ombre lors de l'utilisation de ce sort : les cibles doivent être touchées par une ombre distincte projetée par une lumière qui tomber sur un objet. Le simple fait d'être en intérieur ne compte pas : la structure d'un bâtiment ne "projette pas d'ombre" à l'intérieur d'elle-même. Comme toujours, c'est le MJ qui a le dernier mot en la matière.</t>
  </si>
  <si>
    <t>sous votre influence, un individu apparaît et se comporte comme s'il était mort. Cette personne continue à ressentir son environnement par l'ouïe, l'odorat et la vue (si ses yeux sont ouverts), mais elle ne peut bouger d'aucune façon jusqu'à ce que le sort s'achève. Toutefois, elle continue à avoir besoin d'air et des autres éléments indispensables à la vie. Cet état persiste jusqu'à ce que vous décidiez d'y mettre fin d'une pensée ou jusqu'à ce qu'un nombre de jours égal à votre valent de Magie se soit écoulé. Une cible non consentante peut résister à ce sort en réussissant un test de Force Mentale. Il s'agit d'un sort de contact, que vous pouvez également lancer sur vous-même.</t>
  </si>
  <si>
    <t>Votre cible doit réussir un test de Force Mentale contre vous dépenser un point de Destin ou bien être tuée par mort cérébrale. Si elle dépense un point de Destin, la cible est à jamais immunisée contre ce sort. Tous les sorciers situés dans un rayon de 7,5 kilomètres sont conscients de la perturbation qu'il provoque dans l'Aethyr. Les seigneurs du Collège Gris et du Phare des Brumes voient d'un mauvais œil ceux qui usent de d'une magie aussi puissante sans raison valable.</t>
  </si>
  <si>
    <r>
      <t xml:space="preserve">vous envoyez des cordes d'ombre d'un noir d'encre étrangler une cible située dans un rayon de 12 mètres (6 cases), l'empêchant totalement de respirer et la forçant à effectuer un test d'Endurance pour résister aux effets du sort. Vous pouvez maintenir ce sort au prix d'une demi-action à chaque round, mais vous ne pouvez plus lancer d'autres sorts pendant ce temps. Si vous maintenez le sort, le test d'Endurance est affecté d'un malus de -10% par round jusqu'à ce qu'il soit raté, auquel cas la victime commence à subir des dégâts. Le premier round d'échec provoque un coup d'une valeur de dégâts de 1 ignorant l'armure, et à chaque round consécutif, cette valeur de dégâts augmente de 1. La victime n'a plus droit aux tests d'Endurance pour résister aux dégâts une fois qu'elle en a manqué un : les dégâts continuent de s'accumuler jusqu'à ce que vous arrêtiez de vous-même de vous concentrer sur le sort, ou qu'on vous y force. Les règles de concentration (cf. </t>
    </r>
    <r>
      <rPr>
        <i/>
        <sz val="10"/>
        <rFont val="Arial"/>
        <family val="2"/>
      </rPr>
      <t>Contraintes incantatoires</t>
    </r>
    <r>
      <rPr>
        <sz val="10"/>
        <rFont val="Arial"/>
        <family val="2"/>
      </rPr>
      <t>, page 144 de WJDR) s'appliquent.</t>
    </r>
  </si>
  <si>
    <r>
      <t xml:space="preserve">choisissez un personnage ou un objet doté d'une valeur d'Encombrement inférieure ou égale à 200, et qui se trouve entièrement dans l'ombre. La cible de </t>
    </r>
    <r>
      <rPr>
        <i/>
        <sz val="10"/>
        <rFont val="Arial"/>
        <family val="2"/>
      </rPr>
      <t>substance de l'ombre</t>
    </r>
    <r>
      <rPr>
        <sz val="10"/>
        <rFont val="Arial"/>
        <family val="2"/>
      </rPr>
      <t xml:space="preserve"> devient invisible et silencieuse. Elle devient également partiellement intangible. Cela signifie qu'on ne peut plus l'affecter physiquement : on ne peut pas attaquer un personnage sous l'effet de ce sort, ni pousser, ramasser ou même trébucher sur un objet affecté ,etc. Toutefois, la cible, elle, peut affecter physiquement le monde comme si elle était tangible. Un personnage sous l'effet du sort peut se déplacer et effectuer des attaques, un morceau de corde peut servir à suspendre un objet, un sorcier peut lancer des sorts, etc. Les effets de ce sort se prolongent indéfiniment tant que la cible demeure entièrement dans l'ombre, mais se terminent dès que l'ombre qui la dissimule et interrompue, ne fût-ce qu'un instant. L'absence de lumière en elle-même n'est pas considérée comme une ombre lors de l'utilisation de ce sort : les cibles doivent être touchées par une ombre distincte projetée par une lumière qui tombe sur un objet.</t>
    </r>
  </si>
  <si>
    <t>sous votre influence, un objet de taille modérée (dont l'encombrement ne dépasse pas 75) apparaît sans valeur ou précieux, au choix. Les objets sans valeur semblent rouillés, brisés ou pourris selon leur nature, tandis que les objets précieux semblent avoir été faits avec soin, richement décorés et fabriqués avec une grande ingéniosité. Les défauts et qualités apparents de l'objet n'affectent pas son comportement réel : une épée normale enchantée de manière à paraître sans valeur coupe toujours aussi bien, et une flèche tordue enchantée de manière à ressembler à un chef-d'œuvre d'artisanat ne vole pas mieux. Les tests destinés à évaluer l'objet dont la nature est dissimulée par le sort subissent un malus de -20%. Cet effet se prolonge un nombre d'heures égal à votre valeur de Magie.</t>
  </si>
  <si>
    <t>vous conférez à un personnage ou à une créature la capacité de grimper et de surmonter les obstacles naturels, ce qui lui donne un bonus de +20% à tous ses tests d'Escalade et de manœuvres de combat effectués sur des surfaces naturelles. Le bonus s'applique la plupart du temps aux tests d'Escalade et d'Agilité. Il s'agit d'un sort de contact que vous pouvez également lancer sur vous-même.</t>
  </si>
  <si>
    <r>
      <t xml:space="preserve">votre peau se durcit jusqu'à devenir aussi dense que de l'argile. Vos valeurs de Force et d'Endurance sont doublées, mais vos valeurs d'Agilité et de Mouvement sont réduites de moitié (arrondir à l'entier inférieur). </t>
    </r>
    <r>
      <rPr>
        <i/>
        <sz val="10"/>
        <rFont val="Arial"/>
        <family val="2"/>
      </rPr>
      <t>Chair d'argile</t>
    </r>
    <r>
      <rPr>
        <sz val="10"/>
        <rFont val="Arial"/>
        <family val="2"/>
      </rPr>
      <t xml:space="preserve"> dure un nombre de minutes égal à votre valeur de Magie.</t>
    </r>
  </si>
  <si>
    <t>vous invoquez un tourbillon de feuilles qui vous enveloppe durant un nombre de minutes égal à votre valeur de Magie. Tant que vous êtes dissimulé par les feuilles virevoltantes, tous les tests de Capacité de Tir qui vous prennent pour cible subissent un malus de -20, bien que vous-même ne soyez pas affecté. Vous ne pouvez lancer ce sort que sur vous-même.</t>
  </si>
  <si>
    <t>vous convertissez une quantité de liquide (assez pour étancher la soif d'une douzaine de personnes pendant une journée), aussi saumâtre ou sale soit-elle, en un breuvage légèrement fermenté de votre choix (ale, bière, vin, hydromel, etc.). Le liquide inutilisé revient à sa forme originelle dans les 24 heures. Il s'agit d'un sort de contact.</t>
  </si>
  <si>
    <t>Un ennemi doit réussir un test de Force ou dépenser un point de Destin. Si il dépense un point de Destin, la cible est à jamais immunisée contre ce sort. Si elle échoue le test, elle est submergée par  une meute de taupes, de suricates, de chiens de prairies ou un bataillon de mineurs nains qui surgissent du sol (même si celui-ci est dur) et l'y aspirent ,... et elle meurt. Tous les sorciers situés dans un rayon de 7,5 kilomètres sont conscients de la perturbation qu'il provoque dans l'Aethyr. Les seigneurs du Collège de Jade voient d'un mauvais œil ceux qui usent de d'une magie aussi puissante sans raison valable.</t>
  </si>
  <si>
    <t>de la mousse qui pousse sans avoir été foulée depuis une décennie (+2)</t>
  </si>
  <si>
    <t>vous vous déplacez dans les étendues sauvages comme s'il s'agissait des routes les mieux entretenues de l'Empire, et ce sans laisser la moindre trace de votre passage. "Les étendues sauvages" comprennent toutes les étendues généralement inhabitées par les humains, mais en aucun cas les terres cultivées, quelles qu'elles soient. Le sort s'achève quand vous croisez une route faite par l'homme, une piste ou un sentier généralement utilisé par des créatures intelligentes, quand vous entrez dans un bâtiment construit par l'homme, quand vous coupez du bois vivant pour faire un feu ou un abri, ou quand vous avez parcouru plus de 150 kilomètres. Vous pouvez étendre les effets de ce sort à un nombre d'individus (en plus de vous) égal à votre valeur de Magie, et vous pouvez le lancer plusieurs fois pour affecter encore plus de personnages. Il s'agit d'un sort de contact.</t>
  </si>
  <si>
    <t xml:space="preserve">d'épais volutes de brumes apparaissent autour de vous. Les personnes prises dans la zone disposent d'un bonus de +10% en Discrétion et de -20% en Perception. Les tirs à distance depuis ou vers cette zone se font avec un malus de -20%. La confusion engendrée limite à une demi-action par round les activités de ceux qui ne réussissent pas un test de Perception. Notez que ces brumes sont naturelles et non magiques. Ce sortilège est donc inefficace par grand vent, où si le lieu et le moment ne sont pas à minima propices à la formation de brumes.
</t>
  </si>
  <si>
    <t>vous invoquez une comète qui s'abat violement sur le sol. Toutes les cibles situées sous le grand gabarit subissent 2d6 points de Blessures. Tous les sorciers situés dans un rayon de 7,5 kilomètres sont conscients de la perturbation qu'il provoque dans l'Aethyr. Les seigneurs des Covens tiléens, les Prêtres de Sigmar, les Sorciers-Prêtres Slaan et Amazones voient d'un mauvais œil que l'on dérange ainsi les cieux et ceux qui usent de d'une magie aussi puissante sans raison valable sont sévèrement châtiés.</t>
  </si>
  <si>
    <r>
      <t xml:space="preserve">Vous utilisez </t>
    </r>
    <r>
      <rPr>
        <i/>
        <sz val="10"/>
        <rFont val="Arial"/>
        <family val="2"/>
      </rPr>
      <t xml:space="preserve">Azyr </t>
    </r>
    <r>
      <rPr>
        <sz val="10"/>
        <rFont val="Arial"/>
        <family val="2"/>
      </rPr>
      <t>pour filtrer vos émotions de la distraction extérieure, vous permettant de vous concentrer sur un sujet d'étude. Lors de votre prochain test vous bénéficiez d'un bonus de +10 pour trouver une solution à un problème courant, un bonus de +20 pour les calculs mathématiques ou un bonus de +30 pour les calculs d'astronomie.  Cependant tant que ce sort est actif et n'a pas été utilisé, tous les autres tests se font avec un malus de -20. Vous pouvez interrompre ce sort volontairement pour éviter cette pénalité. Si vous utilisez le sort plus d'une fois au cours d'une période de 24 heures, vous devez réussir un test de Force Mentale par incantation supplémentaire sous peine de gagner 1 point de Folie.</t>
    </r>
  </si>
  <si>
    <r>
      <t xml:space="preserve">Vous manipulez </t>
    </r>
    <r>
      <rPr>
        <i/>
        <sz val="10"/>
        <rFont val="Arial"/>
        <family val="2"/>
      </rPr>
      <t>Azyr</t>
    </r>
    <r>
      <rPr>
        <sz val="10"/>
        <rFont val="Arial"/>
        <family val="2"/>
      </rPr>
      <t xml:space="preserve"> pour interférer avec les actions de la victime, la forçant a rater automatiquement son prochain test de compétence, qui donne à la place le plus mauvais résultat possible. Quand ce sort est lancé avec succès le lanceur doit spécifier à quelle type d'action précise Destin Troublé s'applique (jet d'attaque, jet d'esquive,...).</t>
    </r>
  </si>
  <si>
    <r>
      <t xml:space="preserve">Vous manipulez </t>
    </r>
    <r>
      <rPr>
        <i/>
        <sz val="10"/>
        <rFont val="Arial"/>
        <family val="2"/>
      </rPr>
      <t>Azyr</t>
    </r>
    <r>
      <rPr>
        <sz val="10"/>
        <rFont val="Arial"/>
        <family val="2"/>
      </rPr>
      <t xml:space="preserve"> pour interférer avec les capacités de la victime à user des vents de magie. Le prochain sort lancé par la victime échoue automatiquement mais les dés d'incantation doivent tout de même être lancés pour la Malédiction de Tzeentch.</t>
    </r>
  </si>
  <si>
    <t>Ce sort ne peut être lancé que dans des endroits éclairés par de la lumière naturelle. Tout ce qui se trouve dans la zone du gabarit est illuminé d'une lumière douce révélant tous les objets et personnes cachés naturellement ou par magie.</t>
  </si>
  <si>
    <t xml:space="preserve">Vous lancez ce sort en regardant vers les cieux, concentrant la poussière de l'air en petites pierres qui s'abattent sur vos ennemis telles de petites météorites. Toute personne située sous le petit gabarit subit une blessure d'une valeur de 4. </t>
  </si>
  <si>
    <t>Vous manipulez Azyr pour interférer avec les actions de la victime, la forçant a relancer automatiquement son prochain test de compétence réussi.</t>
  </si>
  <si>
    <t>Votre corps astral se sépare de votre corps physique, ressemblant à un fantôme. Vous pouvez projeter votre conscience avec une valeur de mouvement de 12 dans un rayon de 100m et voir tout ce qui y est visible sans pouvoir toutefois interagir avec des objets ni pouvoir parler. Votre corps physique reste en état de stase, sans défense ni pouvoir de percevoir ce qui l'entoure durant la durée du sort. Vous pouvez y mettre un terme instantanément sans effort.</t>
  </si>
  <si>
    <r>
      <rPr>
        <i/>
        <sz val="10"/>
        <rFont val="Arial"/>
        <family val="2"/>
      </rPr>
      <t xml:space="preserve">Ghur </t>
    </r>
    <r>
      <rPr>
        <sz val="10"/>
        <rFont val="Arial"/>
        <family val="2"/>
      </rPr>
      <t>imprègne vos bras qui se transforment pour prendre une forme bestiale. Vos mains se terminent par de longues griffes et vous ne pouvez plus tenir d'objet. Ces griffes vous confèrent le Talent Armes Naturelles, ont l'Attribut Rapide, vous donnent un bonus de +20 en CC et de +1 aux jets de dégâts tant que perdure ce sort. Vous pouvez maintenir le sort actif au-delà de sa durée normale en réussissant au début de chaque round un test de Force Mentale.</t>
    </r>
  </si>
  <si>
    <t>Vous pouvez modifier vos traits et l'aspect de votre corps. Votre masse reste identique et vous ne pouvez adopter que des formes humanoïdes. Vous pouvez avoir des modifications d'apparence telles des bras supplémentaires, des ailes, de la fourrure, une queue, de petites cornes mais ceux-ci sont purement esthétiques, non fonctionnels et ne vous octroient un malus cumulatif de -5 en Agilité par changement non naturel. Le sort ne déguise aucunement votre voix, uniquement votre aspect physique. Vous pouvez ainsi adopter l’apparence d’un orque, mais si vous ne pratiquez pas la langue gobeline, vous seriez bien inspiré de ne pas ouvrir la bouche en présence de peaux-vertes. Si vous vous comportez de manière suspecte, les observateurs auront droit à un test d’Intelligence pour percer l’illusion. Si vous cherchez à ressembler à un individu spécifique, il vous faudra réussir un test de Focalisation pour parfaire le déguisement. Sans cela, vous aurez l’apparence d’un membre sans particularité de la race correspondante.</t>
  </si>
  <si>
    <t>La cible de se sort doit immédiatement réussir un test de Volonté ou être instantanément assommée. En combat, elle est considérée comme sans défense.</t>
  </si>
  <si>
    <t>vous ouvrez vos esprits au Chi et laissez sa sagesse vous apporter la lumière sur un problème intellectuel des plus épineux. Une fois le sort terminé, toutes les cibles situées sous le gabarit peuvent effectuer un unique test de Connaissances avec un bonus de +50%. Tous les sorciers situés dans un rayon de 7,5 kilomètres sont conscients de la perturbation qu'il provoque dans l'Aethyr. Les Seigneurs psymanciens voient d'un mauvais œil qu'on utilise le Chi de façon aussi ostentatoire et ceux qui usent de d'une magie aussi puissante sans raison valable sont sévèrement châtiés.</t>
  </si>
  <si>
    <t>La victime de ce sort doit réussir un Test de Force Mentale sous peine d'être fascinée par le lanceur de sort. Tant que celui-ci maintient le sort au prix d'une demi-action par round et reste à vue de la cible, celle-ci le considère comme très attractif ou pour le moins comme un ami. La cible obéira aux demandes du lanceur tant que celui-ci ne lui demande pas de se blesser, de blesser quelqu'un d'autre ou de commettre une action qu'elle ne commettrait pas naturellement sans quoi la cible a immédiatement droit à un nouveau test de Force Mentale facile (+20%). Tant que le sort est actif, la cible défendra le lanceur de sort si celui-ci est attaqué.</t>
  </si>
  <si>
    <t>La cible de ce sort doit réussir un test de Force Mentale ou être confuse et subir un malus de -20 à tous ses tests de compétence tant que perdure le sort.</t>
  </si>
  <si>
    <t>Avec l'aide des vents d'Aethyr, vous pouvez déplacer des objets dont l'encombrement n'excède pas 50 avec votre esprit. L'objet peut être déplacé dans un rayon de 2m par point de magie du lanceur. Les cibles conscientes peuvent tenter un test de Force Mentale facile (+20) pour résister à votre sort. Tout objet projeté pour faire des dégâts sera considéré comme une arme de jet improvisée.</t>
  </si>
  <si>
    <t>une tige issue du cœur d'un arbre (+1)</t>
  </si>
  <si>
    <t>une poignée de cheveux d'un cadavre (+2)</t>
  </si>
  <si>
    <t>Œil errant</t>
  </si>
  <si>
    <r>
      <t xml:space="preserve">vous convoquez un esprit en un lieu inoccupé situé dans la portée du sort. Parmi les exemples possibles de profils, on trouve celui des dryades (page 91 du </t>
    </r>
    <r>
      <rPr>
        <i/>
        <sz val="10"/>
        <rFont val="Arial"/>
        <family val="2"/>
      </rPr>
      <t>Bestiaire du Vieux Monde</t>
    </r>
    <r>
      <rPr>
        <sz val="10"/>
        <rFont val="Arial"/>
        <family val="2"/>
      </rPr>
      <t xml:space="preserve">), des reflets (page 135), des esprits (page 91 du </t>
    </r>
    <r>
      <rPr>
        <i/>
        <sz val="10"/>
        <rFont val="Arial"/>
        <family val="2"/>
      </rPr>
      <t>Bestiaire du Vieux Monde</t>
    </r>
    <r>
      <rPr>
        <sz val="10"/>
        <rFont val="Arial"/>
        <family val="2"/>
      </rPr>
      <t xml:space="preserve">), des farfadets (page 125 du </t>
    </r>
    <r>
      <rPr>
        <i/>
        <sz val="10"/>
        <rFont val="Arial"/>
        <family val="2"/>
      </rPr>
      <t>Compagnon</t>
    </r>
    <r>
      <rPr>
        <sz val="10"/>
        <rFont val="Arial"/>
        <family val="2"/>
      </rPr>
      <t xml:space="preserve">) et des naïades (page 123 du </t>
    </r>
    <r>
      <rPr>
        <i/>
        <sz val="10"/>
        <rFont val="Arial"/>
        <family val="2"/>
      </rPr>
      <t>Compagnon</t>
    </r>
    <r>
      <rPr>
        <sz val="10"/>
        <rFont val="Arial"/>
        <family val="2"/>
      </rPr>
      <t>). Vous devez réussir un test de Force Mentale pour contrôler l’esprit. En cas d’échec, le MJ en prend le contrôle, sachant que la créature ne sera peut-être pas très contente…</t>
    </r>
  </si>
  <si>
    <t>immédiate</t>
  </si>
  <si>
    <t>on dit que Laniph était dotée d’un appétit débridé, et il est possible de faire appel à son esprit. La cible est rapidement entourée d’une lumière violacée qui prend de temps à autre la forme de mains féminines. La caresse de Laniph lui inflige une douloureuse torture, mais sans laisser de marques visibles. La victime perd 1d6+3 points de Blessure sans qu’une armure puisse la protéger. Un test de Force Mentale Assez Difficile (-10%) de la part de la cible réduit la perte de points de Blessure de 4, bien qu’elle ne puisse jamais être inférieure à 2. En cas de décès, la cible ne présentera aucune blessure imputable au sort, et semblera avoir été emporter par une crise cardiaque. à la discrétion du MJ, l’analyse du corps par un détenteur du troisième œil peut révéler l’origine magique de la mort.</t>
  </si>
  <si>
    <t>vous invoquez l’âme d’un défunt et lui permettez de s’incarner dans une statue. L’objet acquiert la souplesse et la vivacité d’un véritable être humain tout en conservant la robustesse et la force que lui confère la pierre. L’incarnation peut parler, bouger, se battre ou danser comme aurait pu le faire de son vivant l’individu réincarné, et est en tout point la personne qu’il a été, si le jeteur de sort en décide ainsi. L’incarnation reste active pendant une heure si votre valeur de Magie est de 1, pendant une journée si elle est de 2, pendant une semaine si elle est de 3 et pendant un mois si elle est de 4. Il est impératif de disposer d’une statue, de préférence de taille humaine. Toute statue plus grande rendra le test pour lancer le sort Difficile (-20%), voire Très Difficile (-30%). L’esprit invoqué correspondra toujours à la représentation de la statue, à savoir un soldat pour un soldat, une danseuse pour une danseuse, etc. Au terme de la durée du sort, l’esprit quitte la statue qui reprend sa posture initiale.</t>
  </si>
  <si>
    <t>vous appelez à vous les serpents d’Arabie, dont le culte survit encore dans certaines parties de la péninsule. Si le sort échoue, 1d4 serpents apparaissent à proximité et obéissent à un ordre simple (attaquer une ou plusieurs cibles, pénétrer dans une maison, etc.). Au terme de la durée du sort, ils s’échappent sauf s’ils sont en plein combat. L’espèce de serpent invoqué est déterminée à l’aide de la table suivante 
01-45: Serpent des roches, 46-74: Aspic, 75-89 :Cobra royal, 90-100: Cobra bleu (les profils sont disponibles à la page 277 des Sables Périlleux)</t>
  </si>
  <si>
    <t>ce sort particulièrement vicieux et sournois prend une cible située dans un rayon de 24 mètres (12 cases). Si elle ne dépense pas un point de destin, le sort agit comme si elle n'était jamais née. Si elle dépense un point de Destin, la cible est à jamais immunisée contre ce sort. La cible meurt instantanément et disparait dans une volute de cendres jusqu'à devenir Éthérée. Seuls ceux qui sont témoins de la scène se rappellent de la cible et peuvent la voir sous sa forme fantomatique, pour tous les autres, elle n'a jamais existé. Toutes se réalisations, ses enfants et tous objets qui lui étaient attachés n'ont jamais existé non plus. Seul le lanceur du sort, un rituel très puissant et ancien ou une Résurrection peuvent rétablir le présent tel qu'il était avant cette terrible manipulation.</t>
  </si>
  <si>
    <t>tout objet magique inflige sa valeur de Blessure maximale (ou 6 Blessures s'il ne fait normalement pas de dégât) à son porteur.</t>
  </si>
  <si>
    <t>Échange d'âme</t>
  </si>
  <si>
    <t>vous pouvez tout comme un démon prendre possession du corps d'un mortel. Votre cible doit réussir un Test de Force Mentale Difficile (-20%) contre vous sans quoi vous échangez votre âme avec celle de votre cible. Vous échangez votre apparence avec elle ainsi que vos valeurs de Magie, CT, CC, Int, FM et A, points de Folie, points de Destin, point de Fortune ainsi que tous vos Talents, Compétences, Dons, Vertus et Rituels acquis. Les autres valeurs et l'équipement, les marques et les maladies ne changent pas. Votre cible peut chaque mois refaire un Test de Force Mentale contre vous pour récupérer son corps originel. Le test originel est Moyen (-10%) et voit le malus augmenter de 5% par mois pour chaque test raté, le destin s'accommodant de vos nouveaux corps. Dès que la cible réussit un test de Force Mentale ou si elle dépense un point de Destin pour le réussir ou si elle subit un Exorcisme, elle est à jamais immunisée contre ce sort et vous réintégrez votre ancien corps. Si celui-ci est mort, vous devenez un fantôme.</t>
  </si>
  <si>
    <t>les victimes du sort ont l'impression qu'un épais brouillard s'est levé. Elles entrevoient du coin de l'œil des ombres mouvantes, étranges et parfois menaçantes. Elles ont l'impression de toujours avoir été dans ce brouillard, traquées par des créatures qui n'attaquent jamais. Elles n'ont guère de souvenirs, voire aucun, du monde réel et de leur vie avant la brume.</t>
  </si>
  <si>
    <t>l'allié ciblé récupère toutes ses blessures et est guérit de tout poison et maladie</t>
  </si>
  <si>
    <r>
      <t xml:space="preserve">vous emprisonnez tous les démons et les créatures du Chaos, situés sous le gabarit dans un rayon de 36 mètres (18 cases), dans un tissage de Quaysh, profitant de la pureté de la magie pour les renvoyer dans les Royaumes du Chaos. Si le sort est lancé avec succès, le </t>
    </r>
    <r>
      <rPr>
        <i/>
        <sz val="10"/>
        <rFont val="Arial"/>
        <family val="2"/>
      </rPr>
      <t>bannissement</t>
    </r>
    <r>
      <rPr>
        <sz val="10"/>
        <rFont val="Arial"/>
        <family val="2"/>
      </rPr>
      <t xml:space="preserve"> se résout par le biais d’un test de Force Mentale opposé contre le démon possédant la plus forte FM. Si vous le remportez, tous les ennemis disparaissent ; si vous perdez, ils restent. En cas d’égalité, vous restez bloqué en plein combat mental. Aucun des adversaires ne peut alors entreprendre la moindre action (pas même esquiver) tant que la lutte continue. Effectuez des tests de Force Mentale opposés à chacun de vos tours de jeu jusqu’à ce que l’un des deux camps l’emporte. </t>
    </r>
    <r>
      <rPr>
        <i/>
        <sz val="10"/>
        <rFont val="Arial"/>
        <family val="2"/>
      </rPr>
      <t>Ce bannissement</t>
    </r>
    <r>
      <rPr>
        <sz val="10"/>
        <rFont val="Arial"/>
        <family val="2"/>
      </rPr>
      <t xml:space="preserve"> suprême peut également servir à exorciser une créature possédée avec grande efficacité.</t>
    </r>
  </si>
  <si>
    <t>vous recouvrez une table d'un somptueux buffet garni de plats chauds, de boissons fraiches, de potages revigorants, de sucreries appétissantes, de légumes, fruits et poissons frais capable de nourrir un nombre de personnes égal à votre valeur de MagieX2. La nourriture qui n'est pas consommée disparait au bout de 15 minutes ou si on l'éloigne de la table du buffet.</t>
  </si>
  <si>
    <t>Fougueuse Convocation</t>
  </si>
  <si>
    <t>vous invitez l'esprit d'Asuryan à vous transformer (ainsi que vos possessions) en phénix cœur de givre ou spire de feu. Vous conservez votre Intelligence et votre Force Mentale, mais vos autres caractéristiques sont celles d’un phénix majeur. Vous gagnez également les compétences, talents et traits de ce monstre. Toutefois, vous ne pouvez plus communiquer que par hurlements. Le sort s’achève, si vous dormez, ou tout simplement si vous décidez d’y mettre un terme (action complète).</t>
  </si>
  <si>
    <t>Le mage est entouré d'un halo d'énergie magique qui stimule et encourage tous ses alliés se trouvant à 12 mètres maximum de lui. Ceux-ci sentent disparaître leur fatigue et font preuve d'une plus grande détermination. Tous les alliés survivants, présents dans la zone d'effet récupèrent immédiatement 3D6 points de Blessures, quel que soit leurs Blessures. Cela peut les amener au-dessus de
leur valeur de Blessures maximaux, mais quand ils perdront ces points supplémentaires, ce sera définitif.
réussissent automatiquement tous les tests de Cd, FM et Cl</t>
  </si>
  <si>
    <t>vous invoquez une tempête de magie qui apparaît à l’endroit de votre choix dans un rayon de 48 mètres (24 cases). Cette tempête est constituée de magie pure, alimentée par la puissance de Qhaysh, et peut intervenir n’importe où, y compris sous terre. Prenez le grand gabarit. Toutes les créatures prises dans la zone d’effet subissent une attaque d’une valeur de dégâts de 7.</t>
  </si>
  <si>
    <r>
      <t xml:space="preserve">vous perdez toute substance jusqu'à devenir fantomatique: Tant que perdure le sort vous gagnez le Talent </t>
    </r>
    <r>
      <rPr>
        <i/>
        <sz val="10"/>
        <rFont val="Arial"/>
        <family val="2"/>
      </rPr>
      <t>Éthéré</t>
    </r>
    <r>
      <rPr>
        <sz val="10"/>
        <rFont val="Arial"/>
        <family val="2"/>
      </rPr>
      <t>.</t>
    </r>
  </si>
  <si>
    <t>Résurrection</t>
  </si>
  <si>
    <t>fait revenir à la vie un être vivant comme s'il était en pleine capacité sans nécessiter de point de Destin. Rend tout être immortel à nouveau mortel.</t>
  </si>
  <si>
    <t>une dose de champignon à chapeau noir (+2)</t>
  </si>
  <si>
    <t>Jusqu'à 1d4 cibles aléatoires (alliés comme ennemis) à portée bénéficient du Talent Sans Peur tant que perdure ce sort.</t>
  </si>
  <si>
    <t>La taille physique du squig ciblé double (les squigs déjà énormes gagnent le Trait effrayant à la place). Le sort double également le montant des points de blessures du squig et  lui donne + 20% en CC, à la Force et à l'Endurance,</t>
  </si>
  <si>
    <t>une dose de champignons crocs de sang (+2)</t>
  </si>
  <si>
    <r>
      <t>le regard moqueur de Mork se moque de vous dans un cône qui vous fait face alors qu'une silhouette ricanant vous désigne. Toutes les cibles sous le gabarit doivent réussir un test d'Endurance ou</t>
    </r>
    <r>
      <rPr>
        <i/>
        <sz val="10"/>
        <rFont val="Arial"/>
        <family val="2"/>
      </rPr>
      <t xml:space="preserve"> </t>
    </r>
    <r>
      <rPr>
        <sz val="10"/>
        <rFont val="Arial"/>
        <family val="2"/>
      </rPr>
      <t>rire aux éclats de manière hystérique et perdre 30% en CT et CC tant que dure le sort et contracter la maladie Gratelle hurlante. Il est aussi impossible d'incanter tant qu'on se désopile.</t>
    </r>
  </si>
  <si>
    <t>Un trou vert palpitant apparaît dans l'air et une odeur pestilentielle emplit l'atmosphère dans un cône qui vous fait face alors qu'une silhouette énorme en forme de pied d'orc s'abat pour écraser l'ennemi. Toutes les cibles sous le gabarit subissent 3d4 Blessures.</t>
  </si>
  <si>
    <t>Gork t'appelle!</t>
  </si>
  <si>
    <t>Tape d'encouragement</t>
  </si>
  <si>
    <t>une dose de champignon à pois jaunes (+2)</t>
  </si>
  <si>
    <t>un cœur d’humanoïde encore sanguinolent (+2)</t>
  </si>
  <si>
    <t>les cœurs encore sanguinolents de six humanoïdes (+3)</t>
  </si>
  <si>
    <t>vous stimulez les morts-vivants sous votre contrôle. 1d10 squelettes, revenants ou zombies peuvent immédiatement se déplacer ou porter une attaque standard, bien que ce ne soit pas leur tour de jeu. Ces actions comptent pour des actions gratuites et n’affectent en rien le nombre d’actions que peuvent entreprendre les morts-vivants durant ce round.</t>
  </si>
  <si>
    <t>vous créez un tourbillon magique apparaissant dans un rayon de 48 mètres (24 cases) et aspirant l’énergie qui anime les morts-vivants. Utilisez le grand gabarit. Les morts-vivants affectés subissent une attaque d’une valeur de dégâts de 5, à moins qu’il ne s’agisse de squelettes ou de zombies, auquel cas ils sont instantanément détruits.</t>
  </si>
  <si>
    <t>votre monture et jusqu'à 5 autres sont animées par la pouvoir de la Dhar, du crépuscule au lever du jour elles bénéficient d'un point de mouvement supplémentaire et peuvent entreprendre l'action de course même si elles sont concernées par la règle spéciale Lent. Elles gagnent également le trait Éthéré tout comme leur cavalier et la voiture qu'elles tirent. Ce sort est utilisé par les vampires pour rattraper leur proie avant le lever du soleil.</t>
  </si>
  <si>
    <t>vous aspirez la vie sur une zone de 1,5km. Les plantes flétrissent, les animaux tombent malades, l'eau croupit, le sol prend la forme de poussière et de cendres. Les animaux quittent l'endroit qui a dès lors la réputation d'être hanté. La Dhar s'y accumule permettant d'ajouter un dé aux incantations qui y sont faites. Aucune culture ne peut y pousser à moins que le sol ne soit d'abord sanctifié par un magister de Jade jetant le sort de Purification de la Terre, ce qui inverse les effets.</t>
  </si>
  <si>
    <t>des éclairs de Dhar partent de vos yeux, les chairs touchées noircissant et se ratatinant avant de se décoller pour révéler les os qu'elles dissimulent. Il s'agit d'un projectile magique infligeant un coup d'une valeur de dégâts de 3. Vous pouvez lancer un éclair par round au pris d'une demi-action.</t>
  </si>
  <si>
    <t>d'un geste de la main vous libérez des forces nécromantiques dévastatrices qui absorbent la vie de vos adversaires, leur flétrissant la peau, transformant leur sang en poussière et brisant leurs os. Un nombre d'être vivant situés à une porté égale à votre valeur de magie est affecté. Chacun perd 1d10 points de blessure quels que soient les armures et bonus d'Endurance.</t>
  </si>
  <si>
    <t>vous imprégnez de Dhar un nombre de morts-vivants égal à votre valeur de Magie. Animées par une malveillance brute, les créatures se déplacent plus rapidement. Chaque round, ces créatures ont le droit de relancer un test de Capacité de Combat raté.</t>
  </si>
  <si>
    <t>L'objet touché par le magus se corrode et s'altère, perdant un degré de qualité. Si celui-ci est de degré médiocre, l'objet est détruit et irréparable. Ne fonctionne pas sur des objets ayant un encombrement supérieur à 75 ni sur les objets magiques.</t>
  </si>
  <si>
    <t>cibles adjacentes à vous</t>
  </si>
  <si>
    <t>un œuf pourri (+1)</t>
  </si>
  <si>
    <t>un trait de flammes magenta jaillit de votre main. Il s’agit d’un projectile magique. Si l’attaque porte, la cible gagne 1d10/2 points de Folie, à condition de n’avoir aucun point de Folie avant l’attaque. Dans le cas contraire, elle perd 1d10/2 points de Folie et subit un coup d’une valeur de dégâts de 1 qui ignore le bonus d’Endurance et l’armure. Si le total de points de Folie de la cible atteint 0, celle-ci est débarrassée de tous les troubles mentaux dont elle souffrait.</t>
  </si>
  <si>
    <t>le cœur d’un mutant (+2)</t>
  </si>
  <si>
    <t>vous crachez un flux de détruit d'os qui balaie vos ennemis. Il s'agit d'un projectile magique infligea 2d6 coup d'une valeur de dégâts de 2 qui affecte un nombre de cibles égal à votre valeur de magie.</t>
  </si>
  <si>
    <t>Permanant: L'armure qui porte cette Rune confère à son porteur l'Attribut Sans Peur. Temporaire: comme permanente mais l'avantage ne dure que 1 minute.</t>
  </si>
  <si>
    <t>Permanente: Les attaques de corps à corps touchant un personnage protégé par une armure gravée de cette rune infligent 1 dégât de moins. Cette réduction s'applique contre les effets qui ne tiennent habituellement pas compte des armures. Temporaire: comme permanente mais l'avantage ne dure que 1 minute.</t>
  </si>
  <si>
    <t>Permanente: Sur ordre de son porteur (action gratuite) l'arme porteuse de cette rune s'embrase. Elle dégage autant de lumière qu'une torche et brûle sans se consumer jusqu'à ce qu'on lui ordonne d'arrêter (action gratuite). Tant qu'elle est enflammée, cette arme bénéficie d'un bonus de +1 aux dégâts. Temporaire: comme permanente mais l'avantage ne dure que 1 minute.</t>
  </si>
  <si>
    <t>Permanente: Sur ordre de son porteur (action gratuite) l'arme porteuse de cette s'électrise. Elle dégage des étincelles et un léger bourdonnement sans se consumer jusqu'à ce qu'on lui ordonne d'arrêter (action gratuite). Tant qu'elle est électrisée, cette arme bénéficie d'un bonus de +1 aux dégâts. Temporaire: comme permanente mais l'avantage ne dure que 1 minute.</t>
  </si>
  <si>
    <t>Permanente: Une armure gravée de cette rune confère +1 point d'Armure jusqu'à un maximum de 6PA. Il s'agit d'une exception à la limite habituelle de 5PA. Temporaire: comme permanente mais l'avantage ne dure que 1 minute.</t>
  </si>
  <si>
    <r>
      <t xml:space="preserve">Permanant: Cette rune une fois activée permet de lancer automatiquement le Sort </t>
    </r>
    <r>
      <rPr>
        <i/>
        <sz val="10"/>
        <rFont val="Arial"/>
        <family val="2"/>
      </rPr>
      <t>Yeux de la vérité</t>
    </r>
    <r>
      <rPr>
        <sz val="10"/>
        <rFont val="Arial"/>
        <family val="2"/>
      </rPr>
      <t>. Temporaire: comme permanente mais l'avantage ne dure que 1 minute.</t>
    </r>
  </si>
  <si>
    <t>Permanente: Cette rune une fois activée permet de lancer automatiquement le  sort Sanctuaire et affecte une zone qu'elle protège de la même façon. Elle doit être inscrite sur un objet immobile. Si l'objet est détruit ou déplacé, l'effet cesse. Plusieurs objets doivent être marqués de la même rune pour créer une zone d'effet entre eux (trois au minimum). La taille de la zone qui peut être affectée par les rune de sanctuaire est également déterminée par le nombre d'objets inscrits. Une rune peut créer une zone d'effet maximale à peu près égale à une pièce de taille normale; trois runes pourraient garder une maison de taille moyenne; dix runes un immense château ou une forteresse (ou un petit village); vingt à trente runes pourraient protéger une ville… etc. De grandes zones délimitées par des runes de sanctuaire en auront donc beaucoup et en détruire quelques-unes aura peu d'effet. Les runes détruites peuvent être remplacées et si nécessaire, la zone délimitée peut être augmentée en ajoutant de plus de runes protectrices à une date ultérieure.  Temporaire: La rune temporaire reste active jusqu'à l'aube du jour qui suit son activation.</t>
  </si>
  <si>
    <r>
      <t xml:space="preserve">Permanant: Cette rune une fois activée permet de lancer automatiquement le Sort </t>
    </r>
    <r>
      <rPr>
        <i/>
        <sz val="10"/>
        <rFont val="Arial"/>
        <family val="2"/>
      </rPr>
      <t>Bénédiction de la Lumière.</t>
    </r>
    <r>
      <rPr>
        <sz val="10"/>
        <rFont val="Arial"/>
        <family val="2"/>
      </rPr>
      <t xml:space="preserve"> Temporaire: La rune temporaire reste active jusqu'à l'aube du jour qui suit son activation et ne dépassera jamais l'éclat d'une simple bougie.</t>
    </r>
  </si>
  <si>
    <t>Permanant: Cette rune protège son porteur du froid mordant. La rune s'active automatiquement quand la température perçue par le corps du porteur descend au-dessous de 5° C. Un porteur chaudement habillé contre le froid ne verra donc pas s'activer sa rune mais si, par exemple, un ours des cavernes lui déchire son épais manteau (et qu'il survit à la rencontre) la rune de Tiédeur s'activera et maintiendra son environnement immédiat à une température -relativement - confortable de 5° C. Temporaire: La rune temporaire reste active jusqu'à l'aube du jour qui suit son activation.</t>
  </si>
  <si>
    <t>Permanente: Si le porteur d'une arme gravée de cette rune tient celle-ci en main au début du 1er round de combat, il bénéficie d'un bonus de +1D10 au Test d'Initiative. Temporaire: comme ci-dessus mais ne fonctionne qu'une fois.</t>
  </si>
  <si>
    <t>d'Écran</t>
  </si>
  <si>
    <t>Permanant: L'arme qui porte cette Rune gagne l'Attribut Tueuse. Temporaire: comme permanente mais l'avantage ne dure que 1 minute.</t>
  </si>
  <si>
    <t>Permanente: L'arme acquiert les Traits Exterminatrice (skaven ou peaux-vertes ou elfes ou vampires) et Fielleuse (skaven ou peaux-vertes ou elfes ou vampires). Temporaire: Comme ci-dessus mais ne fonctionne qu'une seule fois durant 5 minutes (ou un projectile).</t>
  </si>
  <si>
    <t>Permanente: Si l'arme gravée de cette rune pare une arme magique, cette dernière est détruite si le porteur de l'arme runique réussit un Test de Force Mentale opposé contre son adversaire. Dans le cas contraire, l'arme est bel et bien parée mais l'arme de son ennemi n'est pas brisée. Temporaire: comme ci-dessus mais ne fonctionne qu'une seule fois. Le porteur doit annoncer son intention d'utiliser la rune avant d'effectuer sa tentative de parade. S'il rate se parade ou le Test de Force Mentale opposé, la rune est perdue.</t>
  </si>
  <si>
    <t>Permanente: Une pièce d'armure gravée de cette rune confère +3 points d'Armure jusqu'à un maximum de 8PA. Il s'agit d'une exception à la limite habituelle de 5PA. Temporaire: comme permanente mais l'avantage ne dure que 1 minute.</t>
  </si>
  <si>
    <t>d'Équilibre</t>
  </si>
  <si>
    <t>Permanente: Une armure gravée de cette rune confère +2 points d'Armure jusqu'à un maximum de 7PA. Il s'agit d'une exception à la limite habituelle de 5PA. Temporaire: comme permanente mais l'avantage ne dure que 1 minute.</t>
  </si>
  <si>
    <t>Permanente: Les attaques portées contre le porteur d'un objet gravé d'une telle rune voient leurs dégâts réduits de 2 points. Ce pouvoir est applicable face aux effets ne tenant habituellement pas compte des points d'Armure. Temporaire: comme permanente mais l'avantage ne dure que 1 minute.</t>
  </si>
  <si>
    <t>Permanente : Les attaques portées à l'aide d'une arme gravée de cette rune bénéficie d'un bonus aux dégâts d'1d10 supplémentaire. Temporaire : Comme ci-dessus, mais une fois la rune activée, l'effet ne dure qu'1 minute.</t>
  </si>
  <si>
    <t>Permanente: Si le porteur d'une arme gravée de cette rune tient celle-ci en main au début du 1er round de combat, il ajoute +30% à sa valeur d'Initiative. Temporaire: comme ci-dessus mais ne fonctionne qu'une fois.</t>
  </si>
  <si>
    <t>Permanente: Quand le cor de guerre retentit, tous les ennemis situés dans un rayon de 48m (24 cases) de l'utilisateur doivent réussir un Test de Force Mentale sous peine d'être terrorisés, Les victimes ne peuvent alors plus entreprendre qu'une demi-action lors de leur tour de jeu suivant. Temporaire: comme ci-dessus mais ne fonctionne qu'une fois. La Rune du Désarroi fonctionne exactement de la même manière mais n'affecte que les ennemis mauvais et/ou chaotiques.</t>
  </si>
  <si>
    <t>Permanente: Ce marteau peut désormais être lancé, son porteur bénéficiant à cet égard du talent Maitrise (Armes de jet). L'arme a une portée de 24m (12 cases), la rune conférant un bonus de +30% en Capacité de Tir sur ces attaques. Le marteau revient ensuite automatiquement dans la main de l'intéressé qu'il ait touché ou non. Temporaire: Comme ci-dessus mais ne fonctionne qu'une seule fois.</t>
  </si>
  <si>
    <t>Permanant: L'arme qui porte cette Rune gagne l'Attribut Bannissement. Temporaire: comme permanente mais l'avantage ne dure que 1 minute.</t>
  </si>
  <si>
    <t>Permanente: Toute attaque portée avec un projectile gravé de cette rune et du nom de sa cible atteint toujours la cible désignée : le jet de CT est inutile. Temporaire: comme permanente mais l'avantage ne dure que 1 minute.</t>
  </si>
  <si>
    <t>Permanente: Elle permet d'ajouter +1 aux Blessures occasionnées par le porteur et ses compagnons dans un rayon de 3 mètres. Si un membre de ce groupe cesse de combattre les ennemis du
porteur (pour se retourner contre lui, par exemple), il ne bénéficie plus du pouvoir de cette rune. du porteur . Temporaire: comme permanente mais l'avantage ne dure que 1 minute.</t>
  </si>
  <si>
    <t>Permanente: Fonctionne sur une cible par combat: Toute attaque portée avec une arme gravée de cette rune atteint toujours la cible désignée : le jet de CC est inutile. Temporaire: comme permanente mais l'avantage ne dure que 1 minute.</t>
  </si>
  <si>
    <t>Permanente: La rune permet de soigner 1d10 points de Blessures 3 fois par jour avant de se désactiver jusqu'à la prochaine aube Temporaire: comme permanente mais à limitée à un jour.</t>
  </si>
  <si>
    <t>Permanente : Cette Maître rune permet à son porteur d'être invulnérable aux armes non magiques (il est cependant tout à fait possible d'être assommé, renversé...). Temporaire: comme permanente mais l'avantage ne dure que 1 minute.</t>
  </si>
  <si>
    <t>Permanente: L'arme acquiert les Traits Exterminatrice (monstruosités du Chaos (démons, hommes-bêtes ou toute créature possédant des mutations) et Fielleuse (monstruosités du Chaos (démons, hommes-bêtes ou toute créature possédant des mutations). Temporaire: Comme ci-dessus mais ne fonctionne qu'une seule fois durant 5 minutes (ou un projectile).</t>
  </si>
  <si>
    <t>Permanente: L'arme acquiert les Traits Exterminatrice (démons) et Fielleuse (démons) et tout démon touché par cette arme doit effectuer un test d'instabilité très difficile (-30%) sous
peine d'être renvoyé dans les Royaumes du Chaos. Temporaire: Comme ci-dessus mais ne fonctionne qu'une seule fois durant 5 minutes (ou un projectile).</t>
  </si>
  <si>
    <t>Permanente: L'arme acquiert les Traits Exterminatrice (dragons et draconides) et Fielleuse (dragons et draconides). Temporaire: Comme ci-dessus mais ne fonctionne qu'une seule fois durant 5 minutes (ou un projectile).</t>
  </si>
  <si>
    <t>Acquisition du bourgeois</t>
  </si>
  <si>
    <t>Épée à 2 mains</t>
  </si>
  <si>
    <t>Assommante</t>
  </si>
  <si>
    <t>Épée d'escrime</t>
  </si>
  <si>
    <t>Épée longue du Cathay</t>
  </si>
  <si>
    <t>Immobilisant</t>
  </si>
  <si>
    <t>Épée à 1 main</t>
  </si>
  <si>
    <t>Cheval (destiner)</t>
  </si>
  <si>
    <t>Création Personnelle</t>
  </si>
  <si>
    <t>Caparaçon d'Ulthuan</t>
  </si>
  <si>
    <t>Fibre tressée (1m²)</t>
  </si>
  <si>
    <t>Mezwed (cornemuse arabénne)</t>
  </si>
  <si>
    <t>Nay (flute arabéenne)</t>
  </si>
  <si>
    <t>Qanoun (harpe arabéenne)</t>
  </si>
  <si>
    <t>Zurna (flute arabéenne)</t>
  </si>
  <si>
    <t>Céleri (une livre)</t>
  </si>
  <si>
    <t>Choucroute garnie (complet pour une personne)</t>
  </si>
  <si>
    <t>Drogues (Tranquillisant)</t>
  </si>
  <si>
    <t>Brise-cœur</t>
  </si>
  <si>
    <t xml:space="preserve">Élixir toxique de Dechala </t>
  </si>
  <si>
    <t>Œil des seigneurs du vent (une livre)</t>
  </si>
  <si>
    <t>Élixir de Mamma Melchine</t>
  </si>
  <si>
    <t>Élixir de Vie Éternelle</t>
  </si>
  <si>
    <t>Larmes de Shallya (antipoison)</t>
  </si>
  <si>
    <t>Bandeau oculaire</t>
  </si>
  <si>
    <t>Cornet acoustique</t>
  </si>
  <si>
    <t>Étui à parchemins ou cartes</t>
  </si>
  <si>
    <t>Étui à instrument de musique</t>
  </si>
  <si>
    <t>Échelle</t>
  </si>
  <si>
    <t>Échelle de corde</t>
  </si>
  <si>
    <t>Écuelle de grès</t>
  </si>
  <si>
    <t>Écuelle de fer</t>
  </si>
  <si>
    <t>Équipement de base</t>
  </si>
  <si>
    <t>Éponge</t>
  </si>
  <si>
    <t>Brassard en argent</t>
  </si>
  <si>
    <t>Brassard en argent et or</t>
  </si>
  <si>
    <t>Brassard en argent et pierres fanes</t>
  </si>
  <si>
    <t>Brassard en bronze</t>
  </si>
  <si>
    <t>Brassard en or et pierres précieuses</t>
  </si>
  <si>
    <t>Bois de Chêne (m²)</t>
  </si>
  <si>
    <t>Bois d'Ébène du Sud (m²)</t>
  </si>
  <si>
    <t>Bois d'Épicéa norse (m²)</t>
  </si>
  <si>
    <t>Émeraude brute</t>
  </si>
  <si>
    <t>Émeraude taillée</t>
  </si>
  <si>
    <t>Archéologie/Paléontologie</t>
  </si>
  <si>
    <t>Économie appliquée</t>
  </si>
  <si>
    <t>Économie</t>
  </si>
  <si>
    <t>Écrits de Sigmar</t>
  </si>
  <si>
    <t>Étude spéculative sur la nature des dieux</t>
  </si>
  <si>
    <t>Grimoire Élémentaire de l’Ordre Doré</t>
  </si>
  <si>
    <t>Grimoire Élémentaire de l’Ordre Flamboyant</t>
  </si>
  <si>
    <t>Grimoire Élémentaire de l’Ordre Gris</t>
  </si>
  <si>
    <t>Grimoire Élémentaire de l’Ordre Lumineux</t>
  </si>
  <si>
    <t>Grimoire Élémentaire de la Confrérie d’Ambre</t>
  </si>
  <si>
    <t>Grimoire Élémentaire du Collège Céleste</t>
  </si>
  <si>
    <t>Grimoire Élémentaire du Collège de Jade</t>
  </si>
  <si>
    <t>Saga Kisleva : 100 Kislevites qui moururent glorieusement</t>
  </si>
  <si>
    <t>Traité d'Étiquette et protocole</t>
  </si>
  <si>
    <t>Théâtre/Opéra</t>
  </si>
  <si>
    <t>Saga du Redoutable Yngvarr Lovarsson</t>
  </si>
  <si>
    <t>+1 Mag pour lancer des sorts occultes uniquement</t>
  </si>
  <si>
    <t>La distillation d'homoncule/Création de familier</t>
  </si>
  <si>
    <t>+20% Soc. et Talent Éloquence</t>
  </si>
  <si>
    <t>La transfiguration bestiale de Tchar l'omnipotent</t>
  </si>
  <si>
    <t>Armure exceptionnelle qui protège contre toutes les armes ordinaires</t>
  </si>
  <si>
    <t>Bannière de la Fleur de Lys</t>
  </si>
  <si>
    <t>Bannière d'Avelorn</t>
  </si>
  <si>
    <t>Bannière de l'aigle</t>
  </si>
  <si>
    <t>Bannière de Santiago</t>
  </si>
  <si>
    <t>Bannière des Vents Maudits</t>
  </si>
  <si>
    <t>Bannière levée des très saints cieux</t>
  </si>
  <si>
    <t>Confère le Talent Vol (Mouvement=8) au porteur de la bannière pdt 1 minute/24h</t>
  </si>
  <si>
    <t>Petit gabarit: Tt perso tué se relève en squelette ss le cmdt du porteur</t>
  </si>
  <si>
    <t>1x/Combat: Lance un sort sans requérir de test d'incantation</t>
  </si>
  <si>
    <t xml:space="preserve">+20% Soc. et Talent Éloquence pour prêcher </t>
  </si>
  <si>
    <r>
      <t xml:space="preserve">Porte en permanence les sort </t>
    </r>
    <r>
      <rPr>
        <i/>
        <sz val="10"/>
        <rFont val="Arial"/>
        <family val="2"/>
      </rPr>
      <t xml:space="preserve">Dévotion de la vierge au bouclier </t>
    </r>
    <r>
      <rPr>
        <sz val="10"/>
        <rFont val="Arial"/>
        <family val="2"/>
      </rPr>
      <t xml:space="preserve">et </t>
    </r>
    <r>
      <rPr>
        <i/>
        <sz val="10"/>
        <rFont val="Arial"/>
        <family val="2"/>
      </rPr>
      <t>Courroux vengeur</t>
    </r>
  </si>
  <si>
    <t>Permet d'envoyer un message sur de longues distances de manière répugnante</t>
  </si>
  <si>
    <t>Cape de Scarlett Ebner</t>
  </si>
  <si>
    <t>C. Personnelle</t>
  </si>
  <si>
    <t>Porte des runes majeures permanant de Dissipation, des Rois et d'Insultes</t>
  </si>
  <si>
    <t>Tt allié (utilisateur inclus) qui entend leçon du cor: Talent Sans Peur pdt 1 minute</t>
  </si>
  <si>
    <r>
      <t xml:space="preserve">Couronne royale exceptionnelle: </t>
    </r>
    <r>
      <rPr>
        <i/>
        <sz val="10"/>
        <rFont val="Arial"/>
        <family val="2"/>
      </rPr>
      <t>Étincelante</t>
    </r>
    <r>
      <rPr>
        <sz val="10"/>
        <rFont val="Arial"/>
        <family val="2"/>
      </rPr>
      <t xml:space="preserve"> + Sort permanant d'</t>
    </r>
    <r>
      <rPr>
        <i/>
        <sz val="10"/>
        <rFont val="Arial"/>
        <family val="2"/>
      </rPr>
      <t>Humanité salvatrice</t>
    </r>
  </si>
  <si>
    <t>Lance de qualité Exceptionnelle: Rapide, Précise, Commandement, Perforante, Monstrueuse (Dragon)</t>
  </si>
  <si>
    <t>Épée à une main exceptionnelle qui ignore tous les points d'Armure</t>
  </si>
  <si>
    <r>
      <t xml:space="preserve">Petit gabarit centré sur le porteur: Tous les alliés: </t>
    </r>
    <r>
      <rPr>
        <i/>
        <sz val="10"/>
        <rFont val="Arial"/>
        <family val="2"/>
      </rPr>
      <t>Rechargement rapide</t>
    </r>
    <r>
      <rPr>
        <sz val="10"/>
        <rFont val="Arial"/>
        <family val="2"/>
      </rPr>
      <t xml:space="preserve"> et </t>
    </r>
    <r>
      <rPr>
        <i/>
        <sz val="10"/>
        <rFont val="Arial"/>
        <family val="2"/>
      </rPr>
      <t>Réflexes éclair pdt un combat</t>
    </r>
  </si>
  <si>
    <t xml:space="preserve">Écorcheuse de Draak </t>
  </si>
  <si>
    <t>Épée d'Arianka</t>
  </si>
  <si>
    <t>Épée de bataille</t>
  </si>
  <si>
    <t>Rune de Fureur: +1 en Attaque</t>
  </si>
  <si>
    <t>Épée de Couronne</t>
  </si>
  <si>
    <r>
      <t xml:space="preserve">Épée royale exceptionnelle Attributs </t>
    </r>
    <r>
      <rPr>
        <i/>
        <sz val="10"/>
        <rFont val="Arial"/>
        <family val="2"/>
      </rPr>
      <t>Enchantée</t>
    </r>
    <r>
      <rPr>
        <sz val="10"/>
        <rFont val="Arial"/>
        <family val="2"/>
      </rPr>
      <t xml:space="preserve"> + </t>
    </r>
    <r>
      <rPr>
        <i/>
        <sz val="10"/>
        <rFont val="Arial"/>
        <family val="2"/>
      </rPr>
      <t>Étincelante</t>
    </r>
  </si>
  <si>
    <t>Épée de givre</t>
  </si>
  <si>
    <t>Épée de Justice</t>
  </si>
  <si>
    <t>Épée de Lockevor</t>
  </si>
  <si>
    <t>Épée à une main exceptionnelle fabriquée en Malepierre + Attribut Aléatoire</t>
  </si>
  <si>
    <t>Épée de Lyonesse</t>
  </si>
  <si>
    <t>Épée à une main exceptionnelle avec l'Attribut Sauvage</t>
  </si>
  <si>
    <r>
      <rPr>
        <i/>
        <sz val="10"/>
        <rFont val="Arial"/>
        <family val="2"/>
      </rPr>
      <t>Maudite</t>
    </r>
    <r>
      <rPr>
        <sz val="10"/>
        <rFont val="Arial"/>
        <family val="2"/>
      </rPr>
      <t>. Confère +1 à 2 dés de Chaos aux incantations.</t>
    </r>
  </si>
  <si>
    <t>Flèche qui siffle en volant. Dégâts -2</t>
  </si>
  <si>
    <t>Peut embraser les bâtiments et les ennemis. Dégâts -1</t>
  </si>
  <si>
    <r>
      <t>Sorts de</t>
    </r>
    <r>
      <rPr>
        <i/>
        <sz val="10"/>
        <rFont val="Arial"/>
        <family val="2"/>
      </rPr>
      <t xml:space="preserve"> Lueur purificatrice</t>
    </r>
    <r>
      <rPr>
        <sz val="10"/>
        <rFont val="Arial"/>
        <family val="2"/>
      </rPr>
      <t xml:space="preserve"> et </t>
    </r>
    <r>
      <rPr>
        <i/>
        <sz val="10"/>
        <rFont val="Arial"/>
        <family val="2"/>
      </rPr>
      <t xml:space="preserve">Nettoyage impeccable </t>
    </r>
    <r>
      <rPr>
        <sz val="10"/>
        <rFont val="Arial"/>
        <family val="2"/>
      </rPr>
      <t>permanents</t>
    </r>
  </si>
  <si>
    <t>E et F +10%, Test E -10%/semaine ou mutation, possession démoniaque</t>
  </si>
  <si>
    <r>
      <t xml:space="preserve">Sorts de </t>
    </r>
    <r>
      <rPr>
        <i/>
        <sz val="10"/>
        <rFont val="Arial"/>
        <family val="2"/>
      </rPr>
      <t>Lueur purificatrice</t>
    </r>
    <r>
      <rPr>
        <sz val="10"/>
        <rFont val="Arial"/>
        <family val="2"/>
      </rPr>
      <t xml:space="preserve"> et </t>
    </r>
    <r>
      <rPr>
        <i/>
        <sz val="10"/>
        <rFont val="Arial"/>
        <family val="2"/>
      </rPr>
      <t xml:space="preserve">Nettoyage impeccable </t>
    </r>
    <r>
      <rPr>
        <sz val="10"/>
        <rFont val="Arial"/>
        <family val="2"/>
      </rPr>
      <t>permanents</t>
    </r>
  </si>
  <si>
    <r>
      <t xml:space="preserve">Épée à 2 mains:  Runes majeures permanentes du </t>
    </r>
    <r>
      <rPr>
        <i/>
        <sz val="10"/>
        <rFont val="Arial"/>
        <family val="2"/>
      </rPr>
      <t>Protectrice de Dragon</t>
    </r>
    <r>
      <rPr>
        <sz val="10"/>
        <rFont val="Arial"/>
        <family val="2"/>
      </rPr>
      <t xml:space="preserve"> et </t>
    </r>
    <r>
      <rPr>
        <i/>
        <sz val="10"/>
        <rFont val="Arial"/>
        <family val="2"/>
      </rPr>
      <t>Tueuse de Dragon</t>
    </r>
  </si>
  <si>
    <t>Épée à 2 mains: BF doublé contre les elfes (autre que elfes noirs) et sorciers</t>
  </si>
  <si>
    <r>
      <t xml:space="preserve">Attributs </t>
    </r>
    <r>
      <rPr>
        <i/>
        <sz val="10"/>
        <rFont val="Arial"/>
        <family val="2"/>
      </rPr>
      <t>Courageuse, Honorable</t>
    </r>
    <r>
      <rPr>
        <sz val="10"/>
        <rFont val="Arial"/>
        <family val="2"/>
      </rPr>
      <t xml:space="preserve"> et </t>
    </r>
    <r>
      <rPr>
        <i/>
        <sz val="10"/>
        <rFont val="Arial"/>
        <family val="2"/>
      </rPr>
      <t>Protectrice</t>
    </r>
  </si>
  <si>
    <t>Miroirs communiquant</t>
  </si>
  <si>
    <r>
      <rPr>
        <i/>
        <sz val="10"/>
        <rFont val="Arial"/>
        <family val="2"/>
      </rPr>
      <t>Assommante, Indestructible, Précise</t>
    </r>
    <r>
      <rPr>
        <sz val="10"/>
        <rFont val="Arial"/>
        <family val="2"/>
      </rPr>
      <t xml:space="preserve"> tout mort-vivant qu'elle blesse est jeté au sol</t>
    </r>
  </si>
  <si>
    <t>+20% Con. Aca (astronomie). Zone de ténèbres 25km² 1x/jour pdt 1h</t>
  </si>
  <si>
    <t>Sainte Orbe d'Antioch</t>
  </si>
  <si>
    <t>Tous ceux qui écoutent ce tambour: Test FM/10 min: Échec: +1 Pt de Folie</t>
  </si>
  <si>
    <t>Permet d'acquérir Connaissances générales (dragons et elfes) pour 100 XP chacun.</t>
  </si>
  <si>
    <r>
      <t xml:space="preserve">Épée à 2 mains: </t>
    </r>
    <r>
      <rPr>
        <i/>
        <sz val="10"/>
        <rFont val="Arial"/>
        <family val="2"/>
      </rPr>
      <t>Exterminatrice</t>
    </r>
    <r>
      <rPr>
        <sz val="10"/>
        <rFont val="Arial"/>
        <family val="2"/>
      </rPr>
      <t xml:space="preserve"> (Elfes, Nains, Humains et Halflings)</t>
    </r>
  </si>
  <si>
    <r>
      <t xml:space="preserve">Épée à 2 mains: </t>
    </r>
    <r>
      <rPr>
        <i/>
        <sz val="10"/>
        <rFont val="Arial"/>
        <family val="2"/>
      </rPr>
      <t>Argentée</t>
    </r>
    <r>
      <rPr>
        <sz val="10"/>
        <rFont val="Arial"/>
        <family val="2"/>
      </rPr>
      <t xml:space="preserve"> + BF doublé contre les vampires</t>
    </r>
  </si>
  <si>
    <t>Épée à une main exceptionnelle, brûle d'un feu magique si portée avec bravoure.</t>
  </si>
  <si>
    <t>Ajoutez 20 par litre de boisson consommée dans les 6h avant de faire le test</t>
  </si>
  <si>
    <t>Goût</t>
  </si>
  <si>
    <t>Initiative</t>
  </si>
  <si>
    <t>Caravanier</t>
  </si>
  <si>
    <t>Coureur nocturne</t>
  </si>
  <si>
    <t>Émissaire elfe</t>
  </si>
  <si>
    <t>Élu</t>
  </si>
  <si>
    <t>Albion/Inja</t>
  </si>
  <si>
    <t>Ce programme excel a été conçu pour tenir compte de la race, du sexe, de la couleur de pilosité des skavens, du caractère basique ou avancé de la carrière et d'autres paramètres pour afficher les carrières disponibles en fonction de vos choix. Si vous souhaitez toutefois faire apparaitre toutes les carrières quels que soient les prérequis, cochez la case ci-contre :</t>
  </si>
  <si>
    <t>Ce programme Excel a été conçu pour tenir compte des talents de magie pour afficher les sorts disponibles en fonction de vos choix. Si vous souhaitez toutefois faire apparaître tous les sorts quels que soient les prérequis, cochez la case ci-contre :</t>
  </si>
  <si>
    <t>Les pages 241 et 242 du Career Compendium listent les carrières par type de rôle. Si vous souhaitez faire apparaitre les carrières uniquement selon un type de rôle précis, sans tenir compte d'aucun prérequis, sélectionnez ce type dans la case ci-contre :</t>
  </si>
  <si>
    <t>Cheval (indrika)</t>
  </si>
  <si>
    <t>Elan de l'Oblast</t>
  </si>
  <si>
    <t>Expression artistique (chant) (Soc +10), Perception (Int), Pistage (Int)</t>
  </si>
  <si>
    <t>Cheval (débouleur skaven)</t>
  </si>
  <si>
    <t>Armes naturelles, Coups assommants, Coups puissants, Sens aiguisés, Vision nocturne</t>
  </si>
  <si>
    <t>Geckomandre</t>
  </si>
  <si>
    <t>Déplacement silencieux (Ag), Dissimulation (Ag), Escalade (Ag), Perception (Int+10%)</t>
  </si>
  <si>
    <t>Armes naturelles, Camouflage souterrain, Vision nocturne</t>
  </si>
  <si>
    <t>Aveuglé</t>
  </si>
  <si>
    <t>Charisme (Soc), Intimidation (F)</t>
  </si>
  <si>
    <t>Coups assommants, Armes naturelles, Contact glaçant, Effrayant, Mort-vivant, Sans peur, Vision nocturne</t>
  </si>
  <si>
    <t>Charogneur/ Taupe géante</t>
  </si>
  <si>
    <t>Déplacement silencieux (Ag), Dissimulation (Ag+10%), Perception (Int+20%), Pistage (Int)</t>
  </si>
  <si>
    <t>Armes naturelles, Sens aiguisés, Valeureux</t>
  </si>
  <si>
    <t>Dracosangsue</t>
  </si>
  <si>
    <t>Armes naturelles, Écailles (2), Effrayant, Mort-vivant</t>
  </si>
  <si>
    <t>Monture de Slaanesh</t>
  </si>
  <si>
    <t>Natation (F), Perception (Int+20%), Sens de la magie (FM)</t>
  </si>
  <si>
    <t>Acuité auditive, Aura démoniaque, Effrayant, Sens aiguisés, Vision nocturne, Volonté de fer</t>
  </si>
  <si>
    <t>Spectre</t>
  </si>
  <si>
    <t>Spectreux</t>
  </si>
  <si>
    <t>Armes naturelles, Éthéré, Maîtrise (armes lourdes), Mort vivant, Terrifiant, Vision nocturne</t>
  </si>
  <si>
    <t>Connaissances académiques (magie Int+10%, nécromancie Int+10%), Dissimulation (Ag+20%), Langage mystique (magick) (Int), Langue (deux au choix) (Int), Perception +20% (Int)</t>
  </si>
  <si>
    <t>Dissimulation (Ag+20%)</t>
  </si>
  <si>
    <t>Armes naturelles, Éthéré, Mort-vivant, Vision nocturne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</si>
</sst>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 #,##0.00;[Red]&quot;€&quot;\ \-#,##0.00"/>
    <numFmt numFmtId="165" formatCode="_ &quot;€&quot;\ * #,##0.00_ ;_ &quot;€&quot;\ * \-#,##0.00_ ;_ &quot;€&quot;\ * &quot;-&quot;??_ ;_ @_ "/>
    <numFmt numFmtId="166" formatCode="d/mm/yyyy;@"/>
  </numFmts>
  <fonts count="86">
    <font>
      <sz val="10"/>
      <name val="Arial"/>
    </font>
    <font>
      <sz val="10"/>
      <name val="Arial"/>
      <family val="2"/>
    </font>
    <font>
      <sz val="8"/>
      <name val="Arial"/>
      <family val="2"/>
    </font>
    <font>
      <sz val="10"/>
      <color indexed="9"/>
      <name val="Arial"/>
      <family val="2"/>
    </font>
    <font>
      <b/>
      <sz val="10"/>
      <color indexed="60"/>
      <name val="Arial"/>
      <family val="2"/>
    </font>
    <font>
      <b/>
      <sz val="10"/>
      <name val="Arial"/>
      <family val="2"/>
    </font>
    <font>
      <b/>
      <sz val="10"/>
      <color indexed="9"/>
      <name val="Arial"/>
      <family val="2"/>
    </font>
    <font>
      <sz val="10"/>
      <name val="Arial"/>
      <family val="2"/>
    </font>
    <font>
      <b/>
      <sz val="8"/>
      <color indexed="81"/>
      <name val="Tahoma"/>
      <family val="2"/>
    </font>
    <font>
      <sz val="30"/>
      <name val="Arial"/>
      <family val="2"/>
    </font>
    <font>
      <b/>
      <sz val="7"/>
      <name val="Arial"/>
      <family val="2"/>
    </font>
    <font>
      <b/>
      <sz val="30"/>
      <name val="Arial"/>
      <family val="2"/>
    </font>
    <font>
      <sz val="10"/>
      <name val="Calibri"/>
      <family val="2"/>
    </font>
    <font>
      <u/>
      <sz val="10"/>
      <color indexed="12"/>
      <name val="Arial"/>
      <family val="2"/>
    </font>
    <font>
      <sz val="8"/>
      <name val="Arial"/>
      <family val="2"/>
    </font>
    <font>
      <sz val="8"/>
      <name val="Arial"/>
      <family val="2"/>
    </font>
    <font>
      <i/>
      <sz val="10"/>
      <name val="Arial"/>
      <family val="2"/>
    </font>
    <font>
      <sz val="9"/>
      <name val="Arial"/>
      <family val="2"/>
    </font>
    <font>
      <i/>
      <sz val="9"/>
      <name val="Arial"/>
      <family val="2"/>
    </font>
    <font>
      <sz val="6"/>
      <name val="Arial"/>
      <family val="2"/>
    </font>
    <font>
      <b/>
      <sz val="9"/>
      <name val="Arial"/>
      <family val="2"/>
    </font>
    <font>
      <b/>
      <sz val="8"/>
      <name val="Arial"/>
      <family val="2"/>
    </font>
    <font>
      <b/>
      <sz val="6"/>
      <name val="Arial"/>
      <family val="2"/>
    </font>
    <font>
      <i/>
      <sz val="8"/>
      <name val="Arial"/>
      <family val="2"/>
    </font>
    <font>
      <sz val="7"/>
      <name val="Arial"/>
      <family val="2"/>
    </font>
    <font>
      <sz val="10"/>
      <color theme="0"/>
      <name val="Arial"/>
      <family val="2"/>
    </font>
    <font>
      <b/>
      <sz val="11"/>
      <name val="Arial"/>
      <family val="2"/>
    </font>
    <font>
      <sz val="11"/>
      <name val="Arial"/>
      <family val="2"/>
    </font>
    <font>
      <sz val="8"/>
      <color indexed="81"/>
      <name val="Tahoma"/>
      <family val="2"/>
    </font>
    <font>
      <u/>
      <sz val="8"/>
      <color indexed="12"/>
      <name val="Arial"/>
      <family val="2"/>
    </font>
    <font>
      <b/>
      <sz val="10"/>
      <color theme="0"/>
      <name val="Arial"/>
      <family val="2"/>
    </font>
    <font>
      <b/>
      <sz val="8"/>
      <color theme="0"/>
      <name val="Arial"/>
      <family val="2"/>
    </font>
    <font>
      <sz val="9"/>
      <name val="Calibri"/>
      <family val="2"/>
    </font>
    <font>
      <sz val="8"/>
      <name val="Calibri"/>
      <family val="2"/>
    </font>
    <font>
      <sz val="9"/>
      <color rgb="FFFF0000"/>
      <name val="Calibri"/>
      <family val="2"/>
    </font>
    <font>
      <sz val="8"/>
      <color rgb="FFFF0000"/>
      <name val="Calibri"/>
      <family val="2"/>
    </font>
    <font>
      <sz val="9"/>
      <name val="Calibri"/>
      <family val="2"/>
      <scheme val="minor"/>
    </font>
    <font>
      <sz val="8"/>
      <name val="Calibri"/>
      <family val="2"/>
      <scheme val="minor"/>
    </font>
    <font>
      <b/>
      <sz val="10"/>
      <color rgb="FFFF0000"/>
      <name val="Arial"/>
      <family val="2"/>
    </font>
    <font>
      <sz val="6"/>
      <color theme="0"/>
      <name val="Calibri"/>
      <family val="2"/>
    </font>
    <font>
      <sz val="8"/>
      <color theme="0"/>
      <name val="Calibri"/>
      <family val="2"/>
    </font>
    <font>
      <sz val="9"/>
      <color rgb="FFFF0000"/>
      <name val="Calibri"/>
      <family val="2"/>
      <scheme val="minor"/>
    </font>
    <font>
      <u/>
      <sz val="12"/>
      <color rgb="FFFF0000"/>
      <name val="Calibri"/>
      <family val="2"/>
    </font>
    <font>
      <sz val="6"/>
      <name val="Calibri"/>
      <family val="2"/>
      <scheme val="minor"/>
    </font>
    <font>
      <u/>
      <sz val="9"/>
      <name val="Calibri"/>
      <family val="2"/>
    </font>
    <font>
      <u/>
      <sz val="9"/>
      <name val="Calibri"/>
      <family val="2"/>
      <scheme val="minor"/>
    </font>
    <font>
      <b/>
      <sz val="9"/>
      <color theme="0"/>
      <name val="Calibri"/>
      <family val="2"/>
    </font>
    <font>
      <b/>
      <sz val="8"/>
      <color theme="0"/>
      <name val="Calibri"/>
      <family val="2"/>
    </font>
    <font>
      <b/>
      <sz val="6"/>
      <color theme="0"/>
      <name val="Calibri"/>
      <family val="2"/>
    </font>
    <font>
      <b/>
      <sz val="12"/>
      <color theme="0"/>
      <name val="Arial"/>
      <family val="2"/>
    </font>
    <font>
      <b/>
      <sz val="11"/>
      <color theme="0"/>
      <name val="Arial"/>
      <family val="2"/>
    </font>
    <font>
      <b/>
      <sz val="10"/>
      <color rgb="FF993300"/>
      <name val="Arial"/>
      <family val="2"/>
    </font>
    <font>
      <sz val="8"/>
      <color theme="0"/>
      <name val="Arial"/>
      <family val="2"/>
    </font>
    <font>
      <sz val="10"/>
      <color theme="1"/>
      <name val="Arial"/>
      <family val="2"/>
    </font>
    <font>
      <b/>
      <sz val="9"/>
      <color indexed="81"/>
      <name val="Tahoma"/>
      <family val="2"/>
    </font>
    <font>
      <sz val="24"/>
      <name val="Arial"/>
      <family val="2"/>
    </font>
    <font>
      <b/>
      <i/>
      <sz val="11"/>
      <name val="Arial"/>
      <family val="2"/>
    </font>
    <font>
      <sz val="10"/>
      <color rgb="FF222222"/>
      <name val="Arial"/>
      <family val="2"/>
    </font>
    <font>
      <b/>
      <sz val="10"/>
      <color theme="1"/>
      <name val="Arial"/>
      <family val="2"/>
    </font>
    <font>
      <sz val="10"/>
      <color rgb="FF000000"/>
      <name val="Arial"/>
      <family val="2"/>
    </font>
    <font>
      <sz val="10"/>
      <name val="Arial"/>
      <family val="2"/>
    </font>
    <font>
      <sz val="6"/>
      <color rgb="FF000000"/>
      <name val="Arial"/>
      <family val="2"/>
    </font>
    <font>
      <sz val="5"/>
      <name val="Calibri"/>
      <family val="2"/>
      <scheme val="minor"/>
    </font>
    <font>
      <sz val="10"/>
      <color rgb="FFFF0000"/>
      <name val="Arial"/>
      <family val="2"/>
    </font>
    <font>
      <b/>
      <sz val="5"/>
      <color theme="0"/>
      <name val="Calibri"/>
      <family val="2"/>
    </font>
    <font>
      <sz val="7"/>
      <color theme="0"/>
      <name val="Calibri"/>
      <family val="2"/>
      <scheme val="minor"/>
    </font>
    <font>
      <b/>
      <sz val="20"/>
      <name val="Arial"/>
      <family val="2"/>
    </font>
    <font>
      <sz val="6"/>
      <name val="Calibri"/>
      <family val="2"/>
    </font>
    <font>
      <sz val="8"/>
      <color rgb="FFA49993"/>
      <name val="Verdana"/>
      <family val="2"/>
    </font>
    <font>
      <sz val="10"/>
      <name val="Calibri"/>
      <family val="2"/>
      <scheme val="minor"/>
    </font>
    <font>
      <sz val="10"/>
      <color rgb="FF141414"/>
      <name val="Inherit"/>
    </font>
    <font>
      <sz val="10"/>
      <color rgb="FFFFCC99"/>
      <name val="Arial"/>
      <family val="2"/>
    </font>
    <font>
      <b/>
      <sz val="9"/>
      <color theme="0"/>
      <name val="Arial"/>
      <family val="2"/>
    </font>
    <font>
      <sz val="11"/>
      <name val="Calibri"/>
      <family val="2"/>
    </font>
    <font>
      <sz val="9"/>
      <color indexed="81"/>
      <name val="Tahoma"/>
      <family val="2"/>
    </font>
    <font>
      <i/>
      <sz val="7"/>
      <name val="Arial"/>
      <family val="2"/>
    </font>
    <font>
      <b/>
      <sz val="9"/>
      <name val="Calibri"/>
      <family val="2"/>
    </font>
    <font>
      <b/>
      <sz val="10"/>
      <name val="Calibri"/>
      <family val="2"/>
    </font>
    <font>
      <b/>
      <sz val="9"/>
      <name val="Calibri"/>
      <family val="2"/>
      <scheme val="minor"/>
    </font>
    <font>
      <sz val="10"/>
      <color rgb="FFFFFFFF"/>
      <name val="Arial"/>
      <family val="2"/>
    </font>
    <font>
      <b/>
      <sz val="10"/>
      <color rgb="FFFFFFFF"/>
      <name val="Arial"/>
      <family val="2"/>
    </font>
    <font>
      <i/>
      <sz val="9"/>
      <name val="Calibri"/>
      <family val="2"/>
      <scheme val="minor"/>
    </font>
    <font>
      <b/>
      <sz val="7"/>
      <name val="Calibri"/>
      <family val="2"/>
    </font>
    <font>
      <b/>
      <sz val="5"/>
      <name val="Arial"/>
      <family val="2"/>
    </font>
    <font>
      <i/>
      <sz val="8"/>
      <color theme="0"/>
      <name val="Arial"/>
      <family val="2"/>
    </font>
    <font>
      <sz val="10"/>
      <color rgb="FFE7E9AF"/>
      <name val="Arial"/>
      <family val="2"/>
    </font>
  </fonts>
  <fills count="28">
    <fill>
      <patternFill patternType="none"/>
    </fill>
    <fill>
      <patternFill patternType="gray125"/>
    </fill>
    <fill>
      <patternFill patternType="solid">
        <fgColor rgb="FFE7E9AF"/>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66"/>
        <bgColor indexed="64"/>
      </patternFill>
    </fill>
    <fill>
      <patternFill patternType="solid">
        <fgColor theme="9" tint="0.39997558519241921"/>
        <bgColor indexed="64"/>
      </patternFill>
    </fill>
    <fill>
      <patternFill patternType="solid">
        <fgColor rgb="FFD9D9D9"/>
        <bgColor indexed="64"/>
      </patternFill>
    </fill>
    <fill>
      <patternFill patternType="solid">
        <fgColor theme="0" tint="-0.24994659260841701"/>
        <bgColor indexed="64"/>
      </patternFill>
    </fill>
    <fill>
      <patternFill patternType="solid">
        <fgColor rgb="FF993300"/>
        <bgColor indexed="64"/>
      </patternFill>
    </fill>
    <fill>
      <patternFill patternType="solid">
        <fgColor theme="9" tint="-0.499984740745262"/>
        <bgColor indexed="64"/>
      </patternFill>
    </fill>
    <fill>
      <patternFill patternType="solid">
        <fgColor rgb="FF990000"/>
        <bgColor indexed="64"/>
      </patternFill>
    </fill>
    <fill>
      <patternFill patternType="solid">
        <fgColor rgb="FFFFFF00"/>
        <bgColor indexed="64"/>
      </patternFill>
    </fill>
    <fill>
      <patternFill patternType="solid">
        <fgColor rgb="FF92D050"/>
        <bgColor indexed="64"/>
      </patternFill>
    </fill>
    <fill>
      <patternFill patternType="solid">
        <fgColor rgb="FF66FFFF"/>
        <bgColor indexed="64"/>
      </patternFill>
    </fill>
    <fill>
      <patternFill patternType="solid">
        <fgColor rgb="FF7030A0"/>
        <bgColor indexed="64"/>
      </patternFill>
    </fill>
    <fill>
      <patternFill patternType="solid">
        <fgColor theme="0" tint="-0.34998626667073579"/>
        <bgColor indexed="64"/>
      </patternFill>
    </fill>
    <fill>
      <patternFill patternType="solid">
        <fgColor rgb="FFFFCC00"/>
        <bgColor indexed="64"/>
      </patternFill>
    </fill>
    <fill>
      <patternFill patternType="solid">
        <fgColor rgb="FFFF000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2AF9FE"/>
        <bgColor indexed="64"/>
      </patternFill>
    </fill>
    <fill>
      <patternFill patternType="solid">
        <fgColor rgb="FFFFC000"/>
        <bgColor indexed="64"/>
      </patternFill>
    </fill>
    <fill>
      <patternFill patternType="solid">
        <fgColor rgb="FFB3ED33"/>
        <bgColor indexed="64"/>
      </patternFill>
    </fill>
    <fill>
      <patternFill patternType="solid">
        <fgColor theme="0" tint="-4.9989318521683403E-2"/>
        <bgColor indexed="64"/>
      </patternFill>
    </fill>
    <fill>
      <patternFill patternType="solid">
        <fgColor rgb="FFFFFFFF"/>
        <bgColor indexed="64"/>
      </patternFill>
    </fill>
  </fills>
  <borders count="253">
    <border>
      <left/>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9" tint="-0.499984740745262"/>
      </top>
      <bottom style="thin">
        <color indexed="64"/>
      </bottom>
      <diagonal/>
    </border>
    <border>
      <left/>
      <right style="thin">
        <color theme="9" tint="-0.499984740745262"/>
      </right>
      <top style="thin">
        <color theme="9" tint="-0.499984740745262"/>
      </top>
      <bottom style="thin">
        <color indexed="64"/>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top/>
      <bottom style="thin">
        <color indexed="64"/>
      </bottom>
      <diagonal/>
    </border>
    <border>
      <left/>
      <right/>
      <top/>
      <bottom style="thick">
        <color indexed="64"/>
      </bottom>
      <diagonal/>
    </border>
    <border>
      <left style="thin">
        <color auto="1"/>
      </left>
      <right style="thin">
        <color auto="1"/>
      </right>
      <top style="thin">
        <color auto="1"/>
      </top>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style="thin">
        <color theme="9" tint="-0.499984740745262"/>
      </right>
      <top style="thin">
        <color theme="9" tint="-0.499984740745262"/>
      </top>
      <bottom/>
      <diagonal/>
    </border>
    <border>
      <left style="thin">
        <color auto="1"/>
      </left>
      <right style="thin">
        <color auto="1"/>
      </right>
      <top style="thin">
        <color auto="1"/>
      </top>
      <bottom style="thick">
        <color auto="1"/>
      </bottom>
      <diagonal/>
    </border>
    <border>
      <left/>
      <right style="thick">
        <color auto="1"/>
      </right>
      <top/>
      <bottom style="thick">
        <color auto="1"/>
      </bottom>
      <diagonal/>
    </border>
    <border>
      <left style="thin">
        <color indexed="64"/>
      </left>
      <right/>
      <top/>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medium">
        <color theme="9" tint="-0.499984740745262"/>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right/>
      <top/>
      <bottom style="medium">
        <color theme="9" tint="-0.499984740745262"/>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bottom style="medium">
        <color theme="9" tint="-0.499984740745262"/>
      </bottom>
      <diagonal/>
    </border>
    <border>
      <left/>
      <right style="medium">
        <color theme="9" tint="-0.499984740745262"/>
      </right>
      <top/>
      <bottom style="medium">
        <color theme="9"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auto="1"/>
      </left>
      <right/>
      <top/>
      <bottom style="thin">
        <color auto="1"/>
      </bottom>
      <diagonal/>
    </border>
    <border>
      <left style="thin">
        <color auto="1"/>
      </left>
      <right/>
      <top/>
      <bottom/>
      <diagonal/>
    </border>
    <border>
      <left/>
      <right/>
      <top style="thick">
        <color theme="9" tint="-0.499984740745262"/>
      </top>
      <bottom/>
      <diagonal/>
    </border>
    <border>
      <left style="thick">
        <color theme="9" tint="-0.499984740745262"/>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n">
        <color auto="1"/>
      </left>
      <right style="thin">
        <color auto="1"/>
      </right>
      <top style="thin">
        <color auto="1"/>
      </top>
      <bottom style="thin">
        <color auto="1"/>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theme="9" tint="-0.499984740745262"/>
      </left>
      <right/>
      <top style="thick">
        <color theme="9" tint="-0.499984740745262"/>
      </top>
      <bottom style="thick">
        <color theme="9" tint="-0.499984740745262"/>
      </bottom>
      <diagonal/>
    </border>
    <border>
      <left/>
      <right/>
      <top style="thick">
        <color theme="9" tint="-0.499984740745262"/>
      </top>
      <bottom style="thick">
        <color theme="9" tint="-0.499984740745262"/>
      </bottom>
      <diagonal/>
    </border>
    <border>
      <left/>
      <right style="thick">
        <color theme="9" tint="-0.499984740745262"/>
      </right>
      <top style="thick">
        <color theme="9" tint="-0.499984740745262"/>
      </top>
      <bottom style="thick">
        <color theme="9" tint="-0.499984740745262"/>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n">
        <color indexed="64"/>
      </right>
      <top/>
      <bottom/>
      <diagonal/>
    </border>
    <border>
      <left/>
      <right/>
      <top style="medium">
        <color theme="9" tint="-0.499984740745262"/>
      </top>
      <bottom style="thin">
        <color auto="1"/>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ck">
        <color auto="1"/>
      </top>
      <bottom style="thin">
        <color auto="1"/>
      </bottom>
      <diagonal/>
    </border>
    <border>
      <left style="thin">
        <color auto="1"/>
      </left>
      <right style="thin">
        <color auto="1"/>
      </right>
      <top/>
      <bottom style="thin">
        <color auto="1"/>
      </bottom>
      <diagonal/>
    </border>
    <border>
      <left style="thick">
        <color theme="9" tint="-0.499984740745262"/>
      </left>
      <right style="thick">
        <color theme="9" tint="-0.499984740745262"/>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n">
        <color auto="1"/>
      </bottom>
      <diagonal/>
    </border>
    <border>
      <left/>
      <right style="medium">
        <color theme="0"/>
      </right>
      <top/>
      <bottom/>
      <diagonal/>
    </border>
    <border>
      <left style="medium">
        <color theme="0"/>
      </left>
      <right/>
      <top/>
      <bottom/>
      <diagonal/>
    </border>
    <border>
      <left style="medium">
        <color indexed="64"/>
      </left>
      <right style="thick">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right style="thick">
        <color theme="0"/>
      </right>
      <top/>
      <bottom/>
      <diagonal/>
    </border>
    <border>
      <left style="medium">
        <color theme="0"/>
      </left>
      <right style="medium">
        <color theme="0"/>
      </right>
      <top/>
      <bottom/>
      <diagonal/>
    </border>
    <border>
      <left/>
      <right/>
      <top style="thin">
        <color indexed="64"/>
      </top>
      <bottom style="thin">
        <color indexed="64"/>
      </bottom>
      <diagonal/>
    </border>
    <border>
      <left style="medium">
        <color theme="9" tint="-0.499984740745262"/>
      </left>
      <right/>
      <top style="medium">
        <color theme="9" tint="-0.499984740745262"/>
      </top>
      <bottom style="thin">
        <color indexed="64"/>
      </bottom>
      <diagonal/>
    </border>
    <border>
      <left/>
      <right style="medium">
        <color theme="9" tint="-0.499984740745262"/>
      </right>
      <top style="medium">
        <color theme="9" tint="-0.499984740745262"/>
      </top>
      <bottom style="thin">
        <color indexed="64"/>
      </bottom>
      <diagonal/>
    </border>
    <border>
      <left style="medium">
        <color theme="9" tint="-0.499984740745262"/>
      </left>
      <right/>
      <top style="thin">
        <color indexed="64"/>
      </top>
      <bottom style="thin">
        <color indexed="64"/>
      </bottom>
      <diagonal/>
    </border>
    <border>
      <left/>
      <right style="medium">
        <color theme="9" tint="-0.499984740745262"/>
      </right>
      <top style="thin">
        <color indexed="64"/>
      </top>
      <bottom style="thin">
        <color indexed="64"/>
      </bottom>
      <diagonal/>
    </border>
    <border>
      <left style="medium">
        <color theme="9" tint="-0.499984740745262"/>
      </left>
      <right/>
      <top style="thin">
        <color indexed="64"/>
      </top>
      <bottom style="medium">
        <color theme="9" tint="-0.499984740745262"/>
      </bottom>
      <diagonal/>
    </border>
    <border>
      <left/>
      <right/>
      <top style="thin">
        <color indexed="64"/>
      </top>
      <bottom style="medium">
        <color theme="9" tint="-0.499984740745262"/>
      </bottom>
      <diagonal/>
    </border>
    <border>
      <left/>
      <right style="medium">
        <color theme="9" tint="-0.499984740745262"/>
      </right>
      <top style="thin">
        <color indexed="64"/>
      </top>
      <bottom style="medium">
        <color theme="9"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rgb="FF990000"/>
      </left>
      <right style="medium">
        <color rgb="FF990000"/>
      </right>
      <top style="medium">
        <color rgb="FF990000"/>
      </top>
      <bottom style="medium">
        <color rgb="FF990000"/>
      </bottom>
      <diagonal/>
    </border>
    <border>
      <left style="medium">
        <color rgb="FF990000"/>
      </left>
      <right/>
      <top style="medium">
        <color rgb="FF990000"/>
      </top>
      <bottom/>
      <diagonal/>
    </border>
    <border>
      <left/>
      <right/>
      <top style="medium">
        <color rgb="FF990000"/>
      </top>
      <bottom/>
      <diagonal/>
    </border>
    <border>
      <left/>
      <right style="medium">
        <color rgb="FF990000"/>
      </right>
      <top style="medium">
        <color rgb="FF990000"/>
      </top>
      <bottom/>
      <diagonal/>
    </border>
    <border>
      <left style="medium">
        <color rgb="FF990000"/>
      </left>
      <right/>
      <top/>
      <bottom/>
      <diagonal/>
    </border>
    <border>
      <left/>
      <right style="medium">
        <color rgb="FF990000"/>
      </right>
      <top/>
      <bottom/>
      <diagonal/>
    </border>
    <border>
      <left style="medium">
        <color rgb="FF990000"/>
      </left>
      <right/>
      <top/>
      <bottom style="medium">
        <color rgb="FF990000"/>
      </bottom>
      <diagonal/>
    </border>
    <border>
      <left/>
      <right/>
      <top/>
      <bottom style="medium">
        <color rgb="FF990000"/>
      </bottom>
      <diagonal/>
    </border>
    <border>
      <left/>
      <right style="medium">
        <color rgb="FF990000"/>
      </right>
      <top/>
      <bottom style="medium">
        <color rgb="FF990000"/>
      </bottom>
      <diagonal/>
    </border>
    <border>
      <left style="medium">
        <color rgb="FF990000"/>
      </left>
      <right style="medium">
        <color rgb="FF990000"/>
      </right>
      <top/>
      <bottom/>
      <diagonal/>
    </border>
    <border>
      <left style="medium">
        <color rgb="FF990000"/>
      </left>
      <right style="medium">
        <color rgb="FF990000"/>
      </right>
      <top/>
      <bottom style="medium">
        <color rgb="FF990000"/>
      </bottom>
      <diagonal/>
    </border>
    <border>
      <left style="thin">
        <color rgb="FF990000"/>
      </left>
      <right style="thin">
        <color rgb="FF990000"/>
      </right>
      <top style="thin">
        <color rgb="FF990000"/>
      </top>
      <bottom style="thin">
        <color rgb="FF990000"/>
      </bottom>
      <diagonal/>
    </border>
    <border>
      <left style="thin">
        <color indexed="64"/>
      </left>
      <right style="thin">
        <color indexed="64"/>
      </right>
      <top style="medium">
        <color rgb="FF990000"/>
      </top>
      <bottom style="thin">
        <color indexed="64"/>
      </bottom>
      <diagonal/>
    </border>
    <border>
      <left style="thin">
        <color indexed="64"/>
      </left>
      <right style="medium">
        <color rgb="FF990000"/>
      </right>
      <top style="medium">
        <color rgb="FF990000"/>
      </top>
      <bottom style="thin">
        <color indexed="64"/>
      </bottom>
      <diagonal/>
    </border>
    <border>
      <left style="thin">
        <color indexed="64"/>
      </left>
      <right style="medium">
        <color rgb="FF990000"/>
      </right>
      <top style="thin">
        <color indexed="64"/>
      </top>
      <bottom style="thin">
        <color indexed="64"/>
      </bottom>
      <diagonal/>
    </border>
    <border>
      <left style="thin">
        <color indexed="64"/>
      </left>
      <right style="thin">
        <color indexed="64"/>
      </right>
      <top style="thin">
        <color indexed="64"/>
      </top>
      <bottom style="medium">
        <color rgb="FF990000"/>
      </bottom>
      <diagonal/>
    </border>
    <border>
      <left style="thin">
        <color indexed="64"/>
      </left>
      <right style="medium">
        <color rgb="FF990000"/>
      </right>
      <top style="thin">
        <color indexed="64"/>
      </top>
      <bottom style="medium">
        <color rgb="FF990000"/>
      </bottom>
      <diagonal/>
    </border>
    <border>
      <left style="medium">
        <color rgb="FF990000"/>
      </left>
      <right/>
      <top style="thin">
        <color indexed="64"/>
      </top>
      <bottom/>
      <diagonal/>
    </border>
    <border>
      <left/>
      <right style="medium">
        <color rgb="FF990000"/>
      </right>
      <top style="thin">
        <color indexed="64"/>
      </top>
      <bottom/>
      <diagonal/>
    </border>
    <border>
      <left/>
      <right style="thin">
        <color indexed="64"/>
      </right>
      <top style="medium">
        <color rgb="FF990000"/>
      </top>
      <bottom/>
      <diagonal/>
    </border>
    <border>
      <left/>
      <right style="thin">
        <color indexed="64"/>
      </right>
      <top/>
      <bottom style="medium">
        <color rgb="FF990000"/>
      </bottom>
      <diagonal/>
    </border>
    <border>
      <left style="medium">
        <color indexed="64"/>
      </left>
      <right style="medium">
        <color indexed="64"/>
      </right>
      <top style="medium">
        <color rgb="FF990000"/>
      </top>
      <bottom/>
      <diagonal/>
    </border>
    <border>
      <left style="medium">
        <color indexed="64"/>
      </left>
      <right/>
      <top style="medium">
        <color rgb="FF990000"/>
      </top>
      <bottom/>
      <diagonal/>
    </border>
    <border>
      <left style="medium">
        <color indexed="64"/>
      </left>
      <right/>
      <top/>
      <bottom style="thin">
        <color indexed="64"/>
      </bottom>
      <diagonal/>
    </border>
    <border>
      <left/>
      <right/>
      <top style="medium">
        <color rgb="FF990000"/>
      </top>
      <bottom style="thin">
        <color indexed="64"/>
      </bottom>
      <diagonal/>
    </border>
    <border>
      <left style="thin">
        <color rgb="FF990000"/>
      </left>
      <right style="thin">
        <color rgb="FF990000"/>
      </right>
      <top style="thin">
        <color rgb="FF990000"/>
      </top>
      <bottom/>
      <diagonal/>
    </border>
    <border>
      <left style="thin">
        <color rgb="FF990000"/>
      </left>
      <right style="thin">
        <color rgb="FF990000"/>
      </right>
      <top/>
      <bottom style="thin">
        <color rgb="FF990000"/>
      </bottom>
      <diagonal/>
    </border>
    <border>
      <left style="medium">
        <color rgb="FF990000"/>
      </left>
      <right/>
      <top style="thin">
        <color indexed="64"/>
      </top>
      <bottom style="thin">
        <color indexed="64"/>
      </bottom>
      <diagonal/>
    </border>
    <border>
      <left style="medium">
        <color rgb="FF990000"/>
      </left>
      <right/>
      <top style="medium">
        <color rgb="FF990000"/>
      </top>
      <bottom style="thin">
        <color indexed="64"/>
      </bottom>
      <diagonal/>
    </border>
    <border>
      <left/>
      <right style="medium">
        <color rgb="FF990000"/>
      </right>
      <top style="medium">
        <color rgb="FF990000"/>
      </top>
      <bottom style="thin">
        <color indexed="64"/>
      </bottom>
      <diagonal/>
    </border>
    <border>
      <left/>
      <right style="medium">
        <color rgb="FF990000"/>
      </right>
      <top style="thin">
        <color indexed="64"/>
      </top>
      <bottom style="thin">
        <color indexed="64"/>
      </bottom>
      <diagonal/>
    </border>
    <border>
      <left style="medium">
        <color rgb="FF990000"/>
      </left>
      <right style="medium">
        <color rgb="FF990000"/>
      </right>
      <top style="medium">
        <color rgb="FF990000"/>
      </top>
      <bottom style="thin">
        <color theme="0"/>
      </bottom>
      <diagonal/>
    </border>
    <border>
      <left style="medium">
        <color rgb="FF990000"/>
      </left>
      <right/>
      <top style="medium">
        <color rgb="FF990000"/>
      </top>
      <bottom style="thin">
        <color theme="0"/>
      </bottom>
      <diagonal/>
    </border>
    <border>
      <left/>
      <right style="medium">
        <color rgb="FF990000"/>
      </right>
      <top style="medium">
        <color rgb="FF990000"/>
      </top>
      <bottom style="thin">
        <color theme="0"/>
      </bottom>
      <diagonal/>
    </border>
    <border>
      <left/>
      <right style="thin">
        <color theme="0"/>
      </right>
      <top style="medium">
        <color rgb="FF990000"/>
      </top>
      <bottom style="thin">
        <color indexed="64"/>
      </bottom>
      <diagonal/>
    </border>
    <border>
      <left style="medium">
        <color rgb="FF990000"/>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medium">
        <color rgb="FF990000"/>
      </left>
      <right/>
      <top style="thin">
        <color indexed="64"/>
      </top>
      <bottom style="medium">
        <color rgb="FF990000"/>
      </bottom>
      <diagonal/>
    </border>
    <border>
      <left/>
      <right/>
      <top style="thin">
        <color indexed="64"/>
      </top>
      <bottom style="medium">
        <color rgb="FF990000"/>
      </bottom>
      <diagonal/>
    </border>
    <border>
      <left style="medium">
        <color theme="9" tint="-0.499984740745262"/>
      </left>
      <right style="thin">
        <color theme="0"/>
      </right>
      <top style="medium">
        <color theme="9" tint="-0.499984740745262"/>
      </top>
      <bottom style="thin">
        <color indexed="64"/>
      </bottom>
      <diagonal/>
    </border>
    <border>
      <left style="medium">
        <color theme="9" tint="-0.499984740745262"/>
      </left>
      <right style="thin">
        <color theme="0"/>
      </right>
      <top style="thin">
        <color indexed="64"/>
      </top>
      <bottom style="thin">
        <color indexed="64"/>
      </bottom>
      <diagonal/>
    </border>
    <border>
      <left/>
      <right style="thin">
        <color theme="0"/>
      </right>
      <top style="thin">
        <color indexed="64"/>
      </top>
      <bottom style="medium">
        <color theme="9" tint="-0.499984740745262"/>
      </bottom>
      <diagonal/>
    </border>
    <border>
      <left style="thin">
        <color theme="0"/>
      </left>
      <right/>
      <top style="medium">
        <color theme="9" tint="-0.499984740745262"/>
      </top>
      <bottom style="thin">
        <color auto="1"/>
      </bottom>
      <diagonal/>
    </border>
    <border>
      <left/>
      <right style="thin">
        <color theme="0"/>
      </right>
      <top style="medium">
        <color theme="9" tint="-0.499984740745262"/>
      </top>
      <bottom style="thin">
        <color auto="1"/>
      </bottom>
      <diagonal/>
    </border>
    <border>
      <left style="thin">
        <color theme="0"/>
      </left>
      <right/>
      <top style="thin">
        <color indexed="64"/>
      </top>
      <bottom style="thin">
        <color indexed="64"/>
      </bottom>
      <diagonal/>
    </border>
    <border>
      <left style="thin">
        <color rgb="FF990000"/>
      </left>
      <right/>
      <top style="thin">
        <color rgb="FF990000"/>
      </top>
      <bottom/>
      <diagonal/>
    </border>
    <border>
      <left/>
      <right/>
      <top style="thin">
        <color rgb="FF990000"/>
      </top>
      <bottom/>
      <diagonal/>
    </border>
    <border>
      <left/>
      <right style="thin">
        <color rgb="FF990000"/>
      </right>
      <top style="thin">
        <color rgb="FF990000"/>
      </top>
      <bottom/>
      <diagonal/>
    </border>
    <border>
      <left style="thin">
        <color rgb="FF990000"/>
      </left>
      <right/>
      <top/>
      <bottom/>
      <diagonal/>
    </border>
    <border>
      <left/>
      <right style="thin">
        <color rgb="FF990000"/>
      </right>
      <top/>
      <bottom/>
      <diagonal/>
    </border>
    <border>
      <left style="thin">
        <color rgb="FF990000"/>
      </left>
      <right/>
      <top/>
      <bottom style="thin">
        <color rgb="FF990000"/>
      </bottom>
      <diagonal/>
    </border>
    <border>
      <left/>
      <right/>
      <top/>
      <bottom style="thin">
        <color rgb="FF990000"/>
      </bottom>
      <diagonal/>
    </border>
    <border>
      <left/>
      <right style="thin">
        <color rgb="FF990000"/>
      </right>
      <top/>
      <bottom style="thin">
        <color rgb="FF990000"/>
      </bottom>
      <diagonal/>
    </border>
    <border>
      <left style="thin">
        <color theme="9" tint="-0.499984740745262"/>
      </left>
      <right/>
      <top style="thin">
        <color theme="9" tint="-0.499984740745262"/>
      </top>
      <bottom style="thin">
        <color indexed="64"/>
      </bottom>
      <diagonal/>
    </border>
    <border>
      <left/>
      <right style="thin">
        <color indexed="64"/>
      </right>
      <top style="thin">
        <color theme="9" tint="-0.499984740745262"/>
      </top>
      <bottom style="thin">
        <color indexed="64"/>
      </bottom>
      <diagonal/>
    </border>
    <border>
      <left style="thin">
        <color theme="9" tint="-0.499984740745262"/>
      </left>
      <right/>
      <top style="thin">
        <color indexed="64"/>
      </top>
      <bottom style="thin">
        <color indexed="64"/>
      </bottom>
      <diagonal/>
    </border>
    <border>
      <left/>
      <right style="thin">
        <color theme="9" tint="-0.499984740745262"/>
      </right>
      <top style="thin">
        <color indexed="64"/>
      </top>
      <bottom style="thin">
        <color indexed="64"/>
      </bottom>
      <diagonal/>
    </border>
    <border>
      <left style="thin">
        <color theme="9" tint="-0.499984740745262"/>
      </left>
      <right style="thin">
        <color indexed="64"/>
      </right>
      <top style="thin">
        <color indexed="64"/>
      </top>
      <bottom style="thin">
        <color indexed="64"/>
      </bottom>
      <diagonal/>
    </border>
    <border>
      <left style="thin">
        <color theme="9" tint="-0.499984740745262"/>
      </left>
      <right style="thin">
        <color indexed="64"/>
      </right>
      <top style="thin">
        <color theme="9" tint="-0.499984740745262"/>
      </top>
      <bottom style="thin">
        <color indexed="64"/>
      </bottom>
      <diagonal/>
    </border>
    <border diagonalUp="1" diagonalDown="1">
      <left style="thin">
        <color theme="9" tint="-0.499984740745262"/>
      </left>
      <right style="thin">
        <color theme="9" tint="-0.499984740745262"/>
      </right>
      <top style="thin">
        <color theme="9" tint="-0.499984740745262"/>
      </top>
      <bottom style="thin">
        <color theme="9" tint="-0.499984740745262"/>
      </bottom>
      <diagonal style="medium">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ck">
        <color theme="9" tint="-0.499984740745262"/>
      </left>
      <right style="thick">
        <color theme="9" tint="-0.499984740745262"/>
      </right>
      <top style="thick">
        <color theme="9" tint="-0.499984740745262"/>
      </top>
      <bottom/>
      <diagonal/>
    </border>
    <border>
      <left style="thick">
        <color theme="9" tint="-0.499984740745262"/>
      </left>
      <right style="thick">
        <color theme="9" tint="-0.499984740745262"/>
      </right>
      <top/>
      <bottom style="thick">
        <color theme="9" tint="-0.499984740745262"/>
      </bottom>
      <diagonal/>
    </border>
    <border>
      <left style="thick">
        <color theme="9" tint="-0.499984740745262"/>
      </left>
      <right style="thin">
        <color theme="9" tint="-0.499984740745262"/>
      </right>
      <top style="thick">
        <color theme="9" tint="-0.499984740745262"/>
      </top>
      <bottom style="thin">
        <color theme="9" tint="-0.499984740745262"/>
      </bottom>
      <diagonal/>
    </border>
    <border>
      <left style="thin">
        <color theme="9" tint="-0.499984740745262"/>
      </left>
      <right style="thin">
        <color theme="9" tint="-0.499984740745262"/>
      </right>
      <top style="thick">
        <color theme="9" tint="-0.499984740745262"/>
      </top>
      <bottom style="thin">
        <color theme="9" tint="-0.499984740745262"/>
      </bottom>
      <diagonal/>
    </border>
    <border>
      <left style="thin">
        <color theme="9" tint="-0.499984740745262"/>
      </left>
      <right style="thick">
        <color theme="9" tint="-0.499984740745262"/>
      </right>
      <top style="thick">
        <color theme="9" tint="-0.499984740745262"/>
      </top>
      <bottom style="thin">
        <color theme="9"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ck">
        <color theme="9" tint="-0.499984740745262"/>
      </bottom>
      <diagonal/>
    </border>
    <border>
      <left style="thin">
        <color theme="9" tint="-0.499984740745262"/>
      </left>
      <right style="thin">
        <color theme="9" tint="-0.499984740745262"/>
      </right>
      <top style="thin">
        <color theme="9" tint="-0.499984740745262"/>
      </top>
      <bottom style="thick">
        <color theme="9" tint="-0.499984740745262"/>
      </bottom>
      <diagonal/>
    </border>
    <border>
      <left style="thin">
        <color theme="9" tint="-0.499984740745262"/>
      </left>
      <right style="thick">
        <color theme="9" tint="-0.499984740745262"/>
      </right>
      <top style="thin">
        <color theme="9" tint="-0.499984740745262"/>
      </top>
      <bottom style="thick">
        <color theme="9" tint="-0.499984740745262"/>
      </bottom>
      <diagonal/>
    </border>
    <border>
      <left style="thin">
        <color theme="0"/>
      </left>
      <right/>
      <top style="thin">
        <color indexed="64"/>
      </top>
      <bottom style="medium">
        <color theme="9" tint="-0.499984740745262"/>
      </bottom>
      <diagonal/>
    </border>
    <border>
      <left style="thin">
        <color auto="1"/>
      </left>
      <right style="thin">
        <color auto="1"/>
      </right>
      <top style="thin">
        <color auto="1"/>
      </top>
      <bottom style="medium">
        <color auto="1"/>
      </bottom>
      <diagonal/>
    </border>
    <border>
      <left/>
      <right/>
      <top/>
      <bottom style="medium">
        <color auto="1"/>
      </bottom>
      <diagonal/>
    </border>
    <border>
      <left style="thin">
        <color auto="1"/>
      </left>
      <right/>
      <top style="thin">
        <color auto="1"/>
      </top>
      <bottom style="thick">
        <color auto="1"/>
      </bottom>
      <diagonal/>
    </border>
    <border>
      <left/>
      <right style="thin">
        <color indexed="64"/>
      </right>
      <top style="thin">
        <color indexed="64"/>
      </top>
      <bottom style="medium">
        <color rgb="FF990000"/>
      </bottom>
      <diagonal/>
    </border>
    <border>
      <left/>
      <right style="thin">
        <color indexed="64"/>
      </right>
      <top style="medium">
        <color rgb="FF990000"/>
      </top>
      <bottom style="thin">
        <color indexed="64"/>
      </bottom>
      <diagonal/>
    </border>
    <border>
      <left style="thin">
        <color indexed="64"/>
      </left>
      <right/>
      <top style="medium">
        <color rgb="FF990000"/>
      </top>
      <bottom style="thin">
        <color indexed="64"/>
      </bottom>
      <diagonal/>
    </border>
    <border>
      <left style="thin">
        <color indexed="64"/>
      </left>
      <right/>
      <top style="thin">
        <color indexed="64"/>
      </top>
      <bottom style="medium">
        <color rgb="FF99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1"/>
      </left>
      <right/>
      <top style="medium">
        <color rgb="FF990000"/>
      </top>
      <bottom/>
      <diagonal/>
    </border>
    <border>
      <left/>
      <right style="medium">
        <color indexed="64"/>
      </right>
      <top style="medium">
        <color rgb="FF990000"/>
      </top>
      <bottom/>
      <diagonal/>
    </border>
    <border>
      <left style="medium">
        <color rgb="FF990000"/>
      </left>
      <right/>
      <top/>
      <bottom style="thin">
        <color indexed="64"/>
      </bottom>
      <diagonal/>
    </border>
    <border>
      <left/>
      <right style="medium">
        <color rgb="FF990000"/>
      </right>
      <top/>
      <bottom style="thin">
        <color indexed="64"/>
      </bottom>
      <diagonal/>
    </border>
    <border>
      <left/>
      <right style="medium">
        <color indexed="64"/>
      </right>
      <top style="thin">
        <color indexed="64"/>
      </top>
      <bottom style="thin">
        <color indexed="64"/>
      </bottom>
      <diagonal/>
    </border>
    <border>
      <left style="thin">
        <color indexed="64"/>
      </left>
      <right/>
      <top style="thin">
        <color theme="9" tint="-0.499984740745262"/>
      </top>
      <bottom style="thin">
        <color theme="9" tint="-0.499984740745262"/>
      </bottom>
      <diagonal/>
    </border>
    <border>
      <left style="thin">
        <color indexed="64"/>
      </left>
      <right/>
      <top style="thin">
        <color theme="9" tint="-0.499984740745262"/>
      </top>
      <bottom/>
      <diagonal/>
    </border>
    <border>
      <left style="thin">
        <color theme="1"/>
      </left>
      <right style="thin">
        <color theme="1"/>
      </right>
      <top style="thin">
        <color theme="1"/>
      </top>
      <bottom style="thin">
        <color theme="1"/>
      </bottom>
      <diagonal/>
    </border>
    <border>
      <left style="thin">
        <color theme="9" tint="-0.499984740745262"/>
      </left>
      <right style="thin">
        <color indexed="64"/>
      </right>
      <top style="thin">
        <color indexed="64"/>
      </top>
      <bottom/>
      <diagonal/>
    </border>
    <border>
      <left style="thin">
        <color indexed="64"/>
      </left>
      <right style="medium">
        <color theme="9" tint="-0.499984740745262"/>
      </right>
      <top style="thin">
        <color indexed="64"/>
      </top>
      <bottom style="medium">
        <color rgb="FF990000"/>
      </bottom>
      <diagonal/>
    </border>
    <border>
      <left style="medium">
        <color rgb="FF990000"/>
      </left>
      <right style="medium">
        <color rgb="FF990000"/>
      </right>
      <top style="thin">
        <color rgb="FF990000"/>
      </top>
      <bottom/>
      <diagonal/>
    </border>
    <border>
      <left style="thin">
        <color rgb="FF990000"/>
      </left>
      <right/>
      <top style="thin">
        <color rgb="FF990000"/>
      </top>
      <bottom style="thin">
        <color rgb="FF990000"/>
      </bottom>
      <diagonal/>
    </border>
    <border>
      <left/>
      <right style="thin">
        <color rgb="FF990000"/>
      </right>
      <top style="thin">
        <color rgb="FF990000"/>
      </top>
      <bottom style="thin">
        <color rgb="FF990000"/>
      </bottom>
      <diagonal/>
    </border>
    <border>
      <left style="thin">
        <color indexed="64"/>
      </left>
      <right/>
      <top style="thin">
        <color theme="9" tint="-0.499984740745262"/>
      </top>
      <bottom style="thin">
        <color indexed="64"/>
      </bottom>
      <diagonal/>
    </border>
    <border>
      <left style="thin">
        <color theme="9" tint="-0.499984740745262"/>
      </left>
      <right style="thin">
        <color theme="9" tint="-0.499984740745262"/>
      </right>
      <top/>
      <bottom style="thin">
        <color theme="9"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left>
      <right/>
      <top style="thick">
        <color theme="9" tint="-0.499984740745262"/>
      </top>
      <bottom/>
      <diagonal/>
    </border>
    <border>
      <left/>
      <right style="thick">
        <color theme="0"/>
      </right>
      <top style="thick">
        <color theme="9" tint="-0.499984740745262"/>
      </top>
      <bottom/>
      <diagonal/>
    </border>
    <border>
      <left style="thick">
        <color theme="0"/>
      </left>
      <right/>
      <top style="thick">
        <color theme="9" tint="-0.499984740745262"/>
      </top>
      <bottom/>
      <diagonal/>
    </border>
    <border>
      <left style="thick">
        <color theme="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medium">
        <color rgb="FF990000"/>
      </left>
      <right/>
      <top style="thin">
        <color indexed="64"/>
      </top>
      <bottom style="thin">
        <color theme="1"/>
      </bottom>
      <diagonal/>
    </border>
    <border>
      <left/>
      <right/>
      <top style="thin">
        <color indexed="64"/>
      </top>
      <bottom style="thin">
        <color theme="1"/>
      </bottom>
      <diagonal/>
    </border>
    <border>
      <left/>
      <right style="thin">
        <color theme="0"/>
      </right>
      <top style="thin">
        <color indexed="64"/>
      </top>
      <bottom style="thin">
        <color theme="1"/>
      </bottom>
      <diagonal/>
    </border>
    <border>
      <left style="thin">
        <color theme="0"/>
      </left>
      <right/>
      <top style="thin">
        <color indexed="64"/>
      </top>
      <bottom/>
      <diagonal/>
    </border>
    <border>
      <left/>
      <right style="medium">
        <color rgb="FFC00000"/>
      </right>
      <top style="thin">
        <color indexed="64"/>
      </top>
      <bottom style="medium">
        <color rgb="FFC00000"/>
      </bottom>
      <diagonal/>
    </border>
    <border>
      <left/>
      <right/>
      <top style="thin">
        <color indexed="64"/>
      </top>
      <bottom style="medium">
        <color rgb="FFC00000"/>
      </bottom>
      <diagonal/>
    </border>
    <border>
      <left style="thin">
        <color auto="1"/>
      </left>
      <right style="thin">
        <color auto="1"/>
      </right>
      <top style="thick">
        <color auto="1"/>
      </top>
      <bottom/>
      <diagonal/>
    </border>
    <border>
      <left/>
      <right style="thin">
        <color auto="1"/>
      </right>
      <top style="thin">
        <color auto="1"/>
      </top>
      <bottom style="thick">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medium">
        <color auto="1"/>
      </bottom>
      <diagonal/>
    </border>
    <border>
      <left style="thin">
        <color auto="1"/>
      </left>
      <right style="thick">
        <color auto="1"/>
      </right>
      <top/>
      <bottom/>
      <diagonal/>
    </border>
    <border>
      <left style="thin">
        <color auto="1"/>
      </left>
      <right style="thick">
        <color auto="1"/>
      </right>
      <top/>
      <bottom style="thin">
        <color auto="1"/>
      </bottom>
      <diagonal/>
    </border>
    <border>
      <left style="thin">
        <color auto="1"/>
      </left>
      <right style="thick">
        <color auto="1"/>
      </right>
      <top style="thin">
        <color auto="1"/>
      </top>
      <bottom style="thick">
        <color auto="1"/>
      </bottom>
      <diagonal/>
    </border>
    <border>
      <left/>
      <right/>
      <top style="thin">
        <color indexed="64"/>
      </top>
      <bottom style="thin">
        <color theme="9" tint="-0.499984740745262"/>
      </bottom>
      <diagonal/>
    </border>
    <border>
      <left/>
      <right style="medium">
        <color rgb="FFC00000"/>
      </right>
      <top style="thin">
        <color indexed="64"/>
      </top>
      <bottom style="thin">
        <color indexed="64"/>
      </bottom>
      <diagonal/>
    </border>
    <border>
      <left style="thin">
        <color rgb="FF990000"/>
      </left>
      <right/>
      <top style="thin">
        <color rgb="FF990000"/>
      </top>
      <bottom style="thin">
        <color indexed="64"/>
      </bottom>
      <diagonal/>
    </border>
    <border>
      <left/>
      <right/>
      <top style="thin">
        <color rgb="FF990000"/>
      </top>
      <bottom style="thin">
        <color indexed="64"/>
      </bottom>
      <diagonal/>
    </border>
    <border>
      <left style="thin">
        <color auto="1"/>
      </left>
      <right style="thick">
        <color auto="1"/>
      </right>
      <top style="thin">
        <color auto="1"/>
      </top>
      <bottom/>
      <diagonal/>
    </border>
    <border>
      <left style="thin">
        <color theme="9" tint="-0.499984740745262"/>
      </left>
      <right style="thin">
        <color theme="9" tint="-0.499984740745262"/>
      </right>
      <top style="thin">
        <color indexed="64"/>
      </top>
      <bottom/>
      <diagonal/>
    </border>
    <border>
      <left/>
      <right style="thin">
        <color indexed="64"/>
      </right>
      <top style="thin">
        <color theme="9" tint="-0.499984740745262"/>
      </top>
      <bottom style="thin">
        <color theme="9" tint="-0.499984740745262"/>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9" tint="-0.499984740745262"/>
      </left>
      <right/>
      <top/>
      <bottom style="thin">
        <color indexed="64"/>
      </bottom>
      <diagonal/>
    </border>
    <border>
      <left/>
      <right style="thin">
        <color theme="9" tint="-0.499984740745262"/>
      </right>
      <top/>
      <bottom style="thin">
        <color indexed="64"/>
      </bottom>
      <diagonal/>
    </border>
    <border>
      <left style="thin">
        <color theme="9" tint="-0.499984740745262"/>
      </left>
      <right/>
      <top style="thin">
        <color indexed="64"/>
      </top>
      <bottom style="thin">
        <color theme="9" tint="-0.499984740745262"/>
      </bottom>
      <diagonal/>
    </border>
    <border>
      <left/>
      <right style="thin">
        <color theme="9" tint="-0.499984740745262"/>
      </right>
      <top style="thin">
        <color indexed="64"/>
      </top>
      <bottom style="thin">
        <color theme="9" tint="-0.499984740745262"/>
      </bottom>
      <diagonal/>
    </border>
    <border>
      <left style="thin">
        <color indexed="64"/>
      </left>
      <right/>
      <top style="thick">
        <color theme="9" tint="-0.499984740745262"/>
      </top>
      <bottom style="thin">
        <color indexed="64"/>
      </bottom>
      <diagonal/>
    </border>
    <border>
      <left/>
      <right/>
      <top style="thick">
        <color theme="9" tint="-0.499984740745262"/>
      </top>
      <bottom style="thin">
        <color indexed="64"/>
      </bottom>
      <diagonal/>
    </border>
    <border>
      <left/>
      <right style="thin">
        <color indexed="64"/>
      </right>
      <top style="thick">
        <color theme="9" tint="-0.499984740745262"/>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0" fontId="1" fillId="0" borderId="0"/>
    <xf numFmtId="165" fontId="60" fillId="0" borderId="0" applyFont="0" applyFill="0" applyBorder="0" applyAlignment="0" applyProtection="0"/>
  </cellStyleXfs>
  <cellXfs count="1523">
    <xf numFmtId="0" fontId="0" fillId="0" borderId="0" xfId="0"/>
    <xf numFmtId="0" fontId="0" fillId="0" borderId="0" xfId="0" applyBorder="1" applyAlignment="1">
      <alignment horizontal="center" vertical="center"/>
    </xf>
    <xf numFmtId="0" fontId="0" fillId="0" borderId="0" xfId="0" applyAlignment="1">
      <alignment horizontal="center"/>
    </xf>
    <xf numFmtId="0" fontId="7" fillId="0" borderId="0" xfId="0" applyFont="1"/>
    <xf numFmtId="0" fontId="5" fillId="0" borderId="0" xfId="0" applyFont="1" applyAlignment="1">
      <alignment horizontal="center"/>
    </xf>
    <xf numFmtId="0" fontId="5" fillId="0" borderId="0" xfId="0" applyFont="1"/>
    <xf numFmtId="0" fontId="7" fillId="0" borderId="0" xfId="0" quotePrefix="1" applyFont="1"/>
    <xf numFmtId="49" fontId="5" fillId="0" borderId="0" xfId="0" applyNumberFormat="1" applyFont="1"/>
    <xf numFmtId="49" fontId="7" fillId="0" borderId="0" xfId="0" applyNumberFormat="1" applyFont="1"/>
    <xf numFmtId="0" fontId="5" fillId="0" borderId="0" xfId="0" applyFont="1" applyAlignment="1">
      <alignment horizontal="right"/>
    </xf>
    <xf numFmtId="0" fontId="0" fillId="0" borderId="0" xfId="0" applyAlignment="1">
      <alignment horizontal="right"/>
    </xf>
    <xf numFmtId="49" fontId="5" fillId="0" borderId="0" xfId="0" applyNumberFormat="1" applyFont="1" applyAlignment="1">
      <alignment horizontal="left"/>
    </xf>
    <xf numFmtId="0" fontId="7" fillId="0" borderId="0" xfId="0" applyFont="1" applyAlignment="1">
      <alignment horizontal="right"/>
    </xf>
    <xf numFmtId="0" fontId="5" fillId="0" borderId="0" xfId="0" applyNumberFormat="1" applyFont="1" applyAlignment="1">
      <alignment horizontal="left"/>
    </xf>
    <xf numFmtId="49" fontId="5" fillId="0" borderId="0" xfId="0" applyNumberFormat="1" applyFont="1" applyAlignment="1">
      <alignment horizontal="center"/>
    </xf>
    <xf numFmtId="49" fontId="7" fillId="0" borderId="0" xfId="0" applyNumberFormat="1" applyFont="1" applyAlignment="1">
      <alignment horizontal="center"/>
    </xf>
    <xf numFmtId="49" fontId="0" fillId="0" borderId="0" xfId="0" applyNumberFormat="1" applyAlignment="1">
      <alignment horizontal="center"/>
    </xf>
    <xf numFmtId="0" fontId="7" fillId="0" borderId="0" xfId="0" applyNumberFormat="1" applyFont="1" applyAlignment="1">
      <alignment horizontal="center"/>
    </xf>
    <xf numFmtId="49" fontId="7" fillId="0" borderId="3" xfId="0" applyNumberFormat="1" applyFont="1" applyBorder="1" applyAlignment="1">
      <alignment horizontal="center"/>
    </xf>
    <xf numFmtId="49" fontId="0" fillId="0" borderId="3" xfId="0" applyNumberFormat="1" applyBorder="1" applyAlignment="1">
      <alignment horizontal="center"/>
    </xf>
    <xf numFmtId="49" fontId="7" fillId="0" borderId="0" xfId="0" quotePrefix="1" applyNumberFormat="1" applyFont="1" applyAlignment="1">
      <alignment horizontal="center"/>
    </xf>
    <xf numFmtId="49" fontId="7" fillId="0" borderId="3" xfId="0" quotePrefix="1" applyNumberFormat="1" applyFont="1" applyBorder="1" applyAlignment="1">
      <alignment horizontal="center"/>
    </xf>
    <xf numFmtId="49" fontId="7" fillId="0" borderId="0" xfId="0" applyNumberFormat="1" applyFont="1" applyAlignment="1"/>
    <xf numFmtId="49" fontId="0" fillId="0" borderId="0" xfId="0" applyNumberFormat="1" applyAlignment="1"/>
    <xf numFmtId="49" fontId="7" fillId="0" borderId="0" xfId="0" applyNumberFormat="1" applyFont="1" applyFill="1" applyAlignment="1">
      <alignment horizontal="center"/>
    </xf>
    <xf numFmtId="0" fontId="0" fillId="0" borderId="0" xfId="0" applyFill="1"/>
    <xf numFmtId="0" fontId="7" fillId="0" borderId="0" xfId="0" applyFont="1" applyProtection="1">
      <protection locked="0"/>
    </xf>
    <xf numFmtId="0" fontId="0" fillId="0" borderId="0" xfId="0" applyProtection="1">
      <protection locked="0"/>
    </xf>
    <xf numFmtId="49" fontId="5" fillId="0" borderId="0" xfId="0" applyNumberFormat="1" applyFont="1" applyProtection="1">
      <protection locked="0"/>
    </xf>
    <xf numFmtId="49" fontId="7" fillId="0" borderId="0" xfId="0" applyNumberFormat="1" applyFont="1" applyProtection="1">
      <protection locked="0"/>
    </xf>
    <xf numFmtId="49" fontId="0" fillId="0" borderId="0" xfId="0" applyNumberFormat="1" applyProtection="1">
      <protection locked="0"/>
    </xf>
    <xf numFmtId="0" fontId="7" fillId="0" borderId="0" xfId="0" applyNumberFormat="1" applyFont="1" applyAlignment="1" applyProtection="1">
      <alignment horizontal="left"/>
      <protection locked="0" hidden="1"/>
    </xf>
    <xf numFmtId="49" fontId="0" fillId="0" borderId="0" xfId="0" applyNumberFormat="1" applyAlignment="1" applyProtection="1">
      <alignment horizontal="left"/>
      <protection locked="0" hidden="1"/>
    </xf>
    <xf numFmtId="0" fontId="0" fillId="0" borderId="0" xfId="0" applyNumberFormat="1" applyAlignment="1" applyProtection="1">
      <alignment horizontal="left"/>
      <protection locked="0" hidden="1"/>
    </xf>
    <xf numFmtId="0" fontId="7" fillId="0" borderId="0" xfId="0" applyFont="1" applyAlignment="1">
      <alignment horizontal="left" vertical="top"/>
    </xf>
    <xf numFmtId="0" fontId="7" fillId="0" borderId="0" xfId="0" applyFont="1" applyAlignment="1">
      <alignment vertical="top"/>
    </xf>
    <xf numFmtId="0" fontId="7" fillId="0" borderId="0" xfId="0" applyFont="1" applyBorder="1"/>
    <xf numFmtId="0" fontId="7" fillId="0" borderId="0" xfId="0" applyFont="1" applyFill="1" applyBorder="1" applyAlignment="1">
      <alignment horizontal="left" vertical="top"/>
    </xf>
    <xf numFmtId="49" fontId="7" fillId="0" borderId="0" xfId="0" applyNumberFormat="1" applyFont="1" applyBorder="1" applyAlignment="1"/>
    <xf numFmtId="0" fontId="7" fillId="0" borderId="0" xfId="0" applyFont="1" applyBorder="1" applyAlignment="1">
      <alignment vertical="center"/>
    </xf>
    <xf numFmtId="0" fontId="5" fillId="0" borderId="0" xfId="0" applyFont="1" applyBorder="1" applyAlignment="1">
      <alignment horizontal="left" vertical="top"/>
    </xf>
    <xf numFmtId="0" fontId="4" fillId="0" borderId="0" xfId="0" applyFont="1" applyBorder="1" applyAlignment="1">
      <alignment horizontal="left" vertical="top"/>
    </xf>
    <xf numFmtId="0" fontId="0" fillId="0" borderId="0" xfId="0" applyBorder="1" applyAlignment="1">
      <alignment horizontal="left" vertical="top"/>
    </xf>
    <xf numFmtId="0" fontId="0" fillId="0" borderId="0" xfId="0" applyBorder="1" applyAlignment="1">
      <alignment horizontal="left" vertical="top" wrapText="1"/>
    </xf>
    <xf numFmtId="0" fontId="7" fillId="0" borderId="0" xfId="0" applyFont="1" applyBorder="1" applyAlignment="1">
      <alignment horizontal="left" vertical="top"/>
    </xf>
    <xf numFmtId="0" fontId="5" fillId="0" borderId="0" xfId="0" applyFont="1" applyFill="1" applyBorder="1" applyAlignment="1">
      <alignment horizontal="left" vertical="top"/>
    </xf>
    <xf numFmtId="0" fontId="17" fillId="0" borderId="0" xfId="0" applyFont="1" applyBorder="1" applyAlignment="1">
      <alignment horizontal="left" vertical="top"/>
    </xf>
    <xf numFmtId="0" fontId="7" fillId="0" borderId="0" xfId="1" applyFont="1" applyAlignment="1" applyProtection="1">
      <alignment horizontal="center"/>
    </xf>
    <xf numFmtId="0" fontId="7" fillId="0" borderId="0" xfId="0" applyFont="1" applyAlignment="1">
      <alignment horizontal="center"/>
    </xf>
    <xf numFmtId="49" fontId="7" fillId="0" borderId="0" xfId="0" applyNumberFormat="1" applyFont="1" applyBorder="1" applyAlignment="1">
      <alignment horizontal="center"/>
    </xf>
    <xf numFmtId="0" fontId="7" fillId="0" borderId="0" xfId="0" quotePrefix="1" applyFont="1" applyAlignment="1"/>
    <xf numFmtId="0" fontId="0" fillId="4" borderId="0" xfId="0" applyFill="1" applyBorder="1"/>
    <xf numFmtId="0" fontId="21" fillId="0" borderId="0" xfId="0" applyFont="1" applyBorder="1" applyAlignment="1">
      <alignment horizontal="left" vertical="top"/>
    </xf>
    <xf numFmtId="0" fontId="2" fillId="0" borderId="0" xfId="0" applyFont="1" applyBorder="1" applyAlignment="1">
      <alignment horizontal="left" vertical="top"/>
    </xf>
    <xf numFmtId="18" fontId="2" fillId="0" borderId="0" xfId="0" applyNumberFormat="1" applyFont="1" applyBorder="1" applyAlignment="1">
      <alignment horizontal="left" vertical="top"/>
    </xf>
    <xf numFmtId="0" fontId="2" fillId="0" borderId="0" xfId="1" applyFont="1" applyAlignment="1" applyProtection="1"/>
    <xf numFmtId="0" fontId="2" fillId="0" borderId="0" xfId="0" applyFont="1"/>
    <xf numFmtId="49" fontId="7" fillId="0" borderId="0" xfId="0" quotePrefix="1" applyNumberFormat="1" applyFont="1" applyBorder="1" applyAlignment="1">
      <alignment horizontal="center"/>
    </xf>
    <xf numFmtId="0" fontId="7" fillId="0" borderId="0" xfId="0" applyFont="1" applyBorder="1" applyAlignment="1">
      <alignment horizontal="left" vertical="top" wrapText="1"/>
    </xf>
    <xf numFmtId="0" fontId="19" fillId="0" borderId="0" xfId="0" applyFont="1" applyBorder="1" applyAlignment="1">
      <alignment horizontal="left" vertical="top" wrapText="1"/>
    </xf>
    <xf numFmtId="0" fontId="7" fillId="0" borderId="0" xfId="0" applyFont="1" applyAlignment="1">
      <alignment vertical="center"/>
    </xf>
    <xf numFmtId="0" fontId="7" fillId="0" borderId="0" xfId="0" applyFont="1" applyAlignment="1"/>
    <xf numFmtId="0" fontId="0" fillId="0" borderId="0" xfId="0" applyBorder="1"/>
    <xf numFmtId="0" fontId="0" fillId="5" borderId="0" xfId="0" applyFill="1" applyBorder="1"/>
    <xf numFmtId="0" fontId="0" fillId="0" borderId="12" xfId="0" applyBorder="1"/>
    <xf numFmtId="0" fontId="7" fillId="0" borderId="12" xfId="0" applyFont="1" applyBorder="1"/>
    <xf numFmtId="0" fontId="0" fillId="5" borderId="12" xfId="0" applyFill="1" applyBorder="1" applyAlignment="1"/>
    <xf numFmtId="0" fontId="7" fillId="5" borderId="12" xfId="0" quotePrefix="1" applyFont="1" applyFill="1" applyBorder="1" applyAlignment="1"/>
    <xf numFmtId="0" fontId="0" fillId="5" borderId="12" xfId="0" applyFill="1" applyBorder="1"/>
    <xf numFmtId="0" fontId="0" fillId="4" borderId="12" xfId="0" applyFill="1" applyBorder="1"/>
    <xf numFmtId="0" fontId="7" fillId="4" borderId="12" xfId="0" quotePrefix="1" applyFont="1" applyFill="1" applyBorder="1"/>
    <xf numFmtId="0" fontId="7" fillId="5" borderId="12" xfId="0" quotePrefix="1" applyFont="1" applyFill="1" applyBorder="1"/>
    <xf numFmtId="0" fontId="7" fillId="4" borderId="12" xfId="0" applyFont="1" applyFill="1" applyBorder="1"/>
    <xf numFmtId="0" fontId="7" fillId="5" borderId="12" xfId="0" applyFont="1" applyFill="1" applyBorder="1"/>
    <xf numFmtId="0" fontId="0" fillId="0" borderId="12" xfId="0" applyBorder="1" applyAlignment="1"/>
    <xf numFmtId="0" fontId="0" fillId="0" borderId="13" xfId="0" applyBorder="1"/>
    <xf numFmtId="0" fontId="0" fillId="0" borderId="14" xfId="0" applyBorder="1"/>
    <xf numFmtId="0" fontId="0" fillId="0" borderId="16" xfId="0" applyBorder="1"/>
    <xf numFmtId="0" fontId="0" fillId="7" borderId="16" xfId="0" applyFill="1" applyBorder="1"/>
    <xf numFmtId="0" fontId="0" fillId="4" borderId="16" xfId="0" applyFill="1" applyBorder="1"/>
    <xf numFmtId="0" fontId="0" fillId="5" borderId="17" xfId="0" applyFill="1" applyBorder="1"/>
    <xf numFmtId="0" fontId="0" fillId="8" borderId="16" xfId="0" applyFill="1" applyBorder="1"/>
    <xf numFmtId="0" fontId="0" fillId="0" borderId="18" xfId="0" applyBorder="1"/>
    <xf numFmtId="0" fontId="1" fillId="0" borderId="0" xfId="0" applyFont="1"/>
    <xf numFmtId="0" fontId="1" fillId="0" borderId="0" xfId="0" quotePrefix="1" applyFont="1"/>
    <xf numFmtId="0" fontId="1" fillId="0" borderId="0" xfId="0" applyFont="1" applyFill="1" applyBorder="1"/>
    <xf numFmtId="0" fontId="1" fillId="0" borderId="0" xfId="0" applyFont="1" applyBorder="1" applyAlignment="1">
      <alignment horizontal="left" vertical="top"/>
    </xf>
    <xf numFmtId="49" fontId="1" fillId="0" borderId="0" xfId="0" applyNumberFormat="1" applyFont="1" applyAlignment="1"/>
    <xf numFmtId="0" fontId="0" fillId="0" borderId="0" xfId="0" applyFill="1" applyBorder="1"/>
    <xf numFmtId="0" fontId="1" fillId="0" borderId="0" xfId="1" applyFont="1" applyAlignment="1" applyProtection="1">
      <alignment horizontal="center"/>
    </xf>
    <xf numFmtId="0" fontId="1" fillId="0" borderId="0" xfId="0" applyFont="1" applyAlignment="1"/>
    <xf numFmtId="0" fontId="1" fillId="4" borderId="27" xfId="0" applyFont="1" applyFill="1" applyBorder="1"/>
    <xf numFmtId="0" fontId="1" fillId="4" borderId="27" xfId="0" quotePrefix="1" applyFont="1" applyFill="1" applyBorder="1"/>
    <xf numFmtId="0" fontId="7" fillId="4" borderId="27" xfId="0" quotePrefix="1" applyFont="1" applyFill="1" applyBorder="1"/>
    <xf numFmtId="0" fontId="1" fillId="4" borderId="0" xfId="0" applyFont="1" applyFill="1"/>
    <xf numFmtId="0" fontId="0" fillId="0" borderId="0" xfId="0" applyBorder="1" applyAlignment="1">
      <alignment horizontal="center"/>
    </xf>
    <xf numFmtId="0" fontId="0" fillId="0" borderId="0" xfId="0" applyBorder="1" applyAlignment="1"/>
    <xf numFmtId="49" fontId="0" fillId="0" borderId="0" xfId="0" applyNumberFormat="1" applyBorder="1" applyAlignment="1">
      <alignment horizontal="center"/>
    </xf>
    <xf numFmtId="12" fontId="0" fillId="0" borderId="0" xfId="0" applyNumberFormat="1" applyBorder="1" applyAlignment="1">
      <alignment horizontal="center"/>
    </xf>
    <xf numFmtId="0" fontId="0" fillId="0" borderId="0" xfId="0" applyFill="1" applyBorder="1" applyAlignment="1">
      <alignment horizontal="center" vertical="center"/>
    </xf>
    <xf numFmtId="49" fontId="7" fillId="0" borderId="29" xfId="0" applyNumberFormat="1" applyFont="1" applyBorder="1" applyAlignment="1">
      <alignment horizontal="center"/>
    </xf>
    <xf numFmtId="0" fontId="29" fillId="0" borderId="0" xfId="1" applyFont="1" applyAlignment="1" applyProtection="1"/>
    <xf numFmtId="0" fontId="1" fillId="0" borderId="0" xfId="0" quotePrefix="1" applyFont="1" applyAlignment="1"/>
    <xf numFmtId="0" fontId="0" fillId="0" borderId="0" xfId="0" quotePrefix="1"/>
    <xf numFmtId="0" fontId="1" fillId="4" borderId="12" xfId="0" quotePrefix="1" applyFont="1" applyFill="1" applyBorder="1"/>
    <xf numFmtId="49" fontId="1" fillId="0" borderId="0" xfId="0" applyNumberFormat="1" applyFont="1" applyAlignment="1">
      <alignment horizontal="center"/>
    </xf>
    <xf numFmtId="0" fontId="1" fillId="0" borderId="0" xfId="0" applyFont="1" applyBorder="1"/>
    <xf numFmtId="0" fontId="0" fillId="0" borderId="33" xfId="0" applyBorder="1"/>
    <xf numFmtId="0" fontId="0" fillId="0" borderId="19" xfId="0" applyBorder="1"/>
    <xf numFmtId="0" fontId="1" fillId="4" borderId="12" xfId="0" applyFont="1" applyFill="1" applyBorder="1"/>
    <xf numFmtId="0" fontId="0" fillId="0" borderId="0" xfId="0" applyFont="1" applyAlignment="1">
      <alignment horizontal="center"/>
    </xf>
    <xf numFmtId="0" fontId="1" fillId="0" borderId="0" xfId="0" applyFont="1" applyAlignment="1">
      <alignment horizontal="center"/>
    </xf>
    <xf numFmtId="0" fontId="0" fillId="0" borderId="46" xfId="0" applyFont="1" applyFill="1" applyBorder="1"/>
    <xf numFmtId="0" fontId="0" fillId="0" borderId="46" xfId="0" quotePrefix="1" applyFont="1" applyFill="1" applyBorder="1"/>
    <xf numFmtId="0" fontId="0" fillId="0" borderId="46" xfId="0" applyBorder="1"/>
    <xf numFmtId="0" fontId="0" fillId="0" borderId="47" xfId="0" applyBorder="1"/>
    <xf numFmtId="0" fontId="25" fillId="6" borderId="12" xfId="0" applyFont="1" applyFill="1" applyBorder="1"/>
    <xf numFmtId="0" fontId="0" fillId="0" borderId="20" xfId="0" applyBorder="1"/>
    <xf numFmtId="0" fontId="1" fillId="0" borderId="47" xfId="0" applyFont="1" applyBorder="1" applyAlignment="1">
      <alignment vertical="center"/>
    </xf>
    <xf numFmtId="0" fontId="1" fillId="0" borderId="47" xfId="0" applyFont="1" applyBorder="1" applyAlignment="1">
      <alignment horizontal="left" vertical="top"/>
    </xf>
    <xf numFmtId="0" fontId="0" fillId="6" borderId="12" xfId="0" applyFill="1" applyBorder="1"/>
    <xf numFmtId="0" fontId="25" fillId="6" borderId="49" xfId="0" applyFont="1" applyFill="1" applyBorder="1" applyAlignment="1"/>
    <xf numFmtId="0" fontId="25" fillId="6" borderId="48" xfId="0" applyFont="1" applyFill="1" applyBorder="1" applyAlignment="1"/>
    <xf numFmtId="0" fontId="0" fillId="0" borderId="59" xfId="0" applyFont="1" applyFill="1" applyBorder="1"/>
    <xf numFmtId="0" fontId="0" fillId="0" borderId="59" xfId="0" applyBorder="1"/>
    <xf numFmtId="0" fontId="32" fillId="5" borderId="67" xfId="0" quotePrefix="1" applyFont="1" applyFill="1" applyBorder="1" applyAlignment="1">
      <alignment horizontal="center" vertical="center"/>
    </xf>
    <xf numFmtId="0" fontId="32" fillId="5" borderId="67" xfId="0" quotePrefix="1" applyFont="1" applyFill="1" applyBorder="1" applyAlignment="1">
      <alignment horizontal="center"/>
    </xf>
    <xf numFmtId="0" fontId="32" fillId="5" borderId="67" xfId="0" applyFont="1" applyFill="1" applyBorder="1" applyAlignment="1">
      <alignment horizontal="center"/>
    </xf>
    <xf numFmtId="0" fontId="25" fillId="6" borderId="68" xfId="0" applyFont="1" applyFill="1" applyBorder="1" applyAlignment="1"/>
    <xf numFmtId="0" fontId="0" fillId="0" borderId="65" xfId="0" applyBorder="1"/>
    <xf numFmtId="0" fontId="0" fillId="0" borderId="65" xfId="0" applyFill="1" applyBorder="1"/>
    <xf numFmtId="0" fontId="1" fillId="0" borderId="65" xfId="0" applyFont="1" applyFill="1" applyBorder="1"/>
    <xf numFmtId="0" fontId="42" fillId="0" borderId="0" xfId="0" applyFont="1"/>
    <xf numFmtId="0" fontId="2" fillId="0" borderId="0" xfId="1" applyFont="1" applyAlignment="1" applyProtection="1">
      <alignment horizontal="center"/>
    </xf>
    <xf numFmtId="0" fontId="32" fillId="0" borderId="60" xfId="0" applyFont="1" applyFill="1" applyBorder="1" applyAlignment="1">
      <alignment horizontal="center" vertical="center" wrapText="1"/>
    </xf>
    <xf numFmtId="0" fontId="32" fillId="0" borderId="61" xfId="0" applyFont="1" applyFill="1" applyBorder="1" applyAlignment="1">
      <alignment horizontal="center" vertical="center" wrapText="1"/>
    </xf>
    <xf numFmtId="0" fontId="7" fillId="0" borderId="0" xfId="0" applyFont="1" applyFill="1"/>
    <xf numFmtId="0" fontId="7" fillId="0" borderId="0" xfId="0" applyFont="1" applyFill="1" applyAlignment="1">
      <alignment horizontal="center"/>
    </xf>
    <xf numFmtId="0" fontId="2" fillId="0" borderId="0" xfId="0" applyFont="1" applyFill="1"/>
    <xf numFmtId="49" fontId="7" fillId="0" borderId="3" xfId="0" applyNumberFormat="1" applyFont="1" applyFill="1" applyBorder="1" applyAlignment="1">
      <alignment horizontal="center"/>
    </xf>
    <xf numFmtId="49" fontId="7" fillId="0" borderId="0" xfId="0" applyNumberFormat="1" applyFont="1" applyFill="1" applyAlignment="1"/>
    <xf numFmtId="49" fontId="1" fillId="0" borderId="0" xfId="0" applyNumberFormat="1" applyFont="1" applyFill="1" applyAlignment="1"/>
    <xf numFmtId="0" fontId="37" fillId="5" borderId="80" xfId="0" applyFont="1" applyFill="1" applyBorder="1" applyAlignment="1">
      <alignment horizontal="center" vertical="center"/>
    </xf>
    <xf numFmtId="0" fontId="37" fillId="5" borderId="80" xfId="0" applyFont="1" applyFill="1" applyBorder="1" applyAlignment="1">
      <alignment horizontal="center"/>
    </xf>
    <xf numFmtId="0" fontId="1" fillId="0" borderId="0" xfId="0" applyFont="1" applyBorder="1" applyAlignment="1">
      <alignment horizontal="left" vertical="top" wrapText="1"/>
    </xf>
    <xf numFmtId="0" fontId="5" fillId="0" borderId="70" xfId="0" applyFont="1" applyBorder="1"/>
    <xf numFmtId="0" fontId="1" fillId="0" borderId="80" xfId="0" applyFont="1" applyFill="1" applyBorder="1" applyAlignment="1">
      <alignment horizontal="center"/>
    </xf>
    <xf numFmtId="0" fontId="7" fillId="0" borderId="80" xfId="0" applyFont="1" applyBorder="1"/>
    <xf numFmtId="0" fontId="0" fillId="0" borderId="80" xfId="0" applyBorder="1"/>
    <xf numFmtId="0" fontId="1" fillId="0" borderId="80" xfId="0" applyFont="1" applyFill="1" applyBorder="1"/>
    <xf numFmtId="0" fontId="1" fillId="0" borderId="80" xfId="0" applyFont="1" applyBorder="1"/>
    <xf numFmtId="0" fontId="7" fillId="0" borderId="80" xfId="0" applyFont="1" applyFill="1" applyBorder="1"/>
    <xf numFmtId="0" fontId="7" fillId="0" borderId="82" xfId="0" applyFont="1" applyBorder="1"/>
    <xf numFmtId="0" fontId="0" fillId="0" borderId="82" xfId="0" applyBorder="1"/>
    <xf numFmtId="0" fontId="0" fillId="7" borderId="80" xfId="0" applyFill="1" applyBorder="1"/>
    <xf numFmtId="0" fontId="0" fillId="5" borderId="80" xfId="0" applyFill="1" applyBorder="1"/>
    <xf numFmtId="0" fontId="0" fillId="8" borderId="80" xfId="0" applyFill="1" applyBorder="1"/>
    <xf numFmtId="0" fontId="0" fillId="4" borderId="80" xfId="0" applyFill="1" applyBorder="1"/>
    <xf numFmtId="0" fontId="7" fillId="0" borderId="80" xfId="0" quotePrefix="1" applyFont="1" applyBorder="1"/>
    <xf numFmtId="0" fontId="7" fillId="7" borderId="80" xfId="0" applyFont="1" applyFill="1" applyBorder="1"/>
    <xf numFmtId="0" fontId="16" fillId="0" borderId="80" xfId="0" applyFont="1" applyBorder="1"/>
    <xf numFmtId="0" fontId="1" fillId="5" borderId="80" xfId="0" applyFont="1" applyFill="1" applyBorder="1"/>
    <xf numFmtId="0" fontId="1" fillId="8" borderId="80" xfId="0" applyFont="1" applyFill="1" applyBorder="1"/>
    <xf numFmtId="0" fontId="1" fillId="4" borderId="80" xfId="0" applyFont="1" applyFill="1" applyBorder="1"/>
    <xf numFmtId="0" fontId="1" fillId="0" borderId="0" xfId="0" applyNumberFormat="1" applyFont="1" applyAlignment="1">
      <alignment horizontal="center"/>
    </xf>
    <xf numFmtId="0" fontId="0" fillId="0" borderId="77" xfId="0" applyBorder="1"/>
    <xf numFmtId="0" fontId="0" fillId="0" borderId="77" xfId="0" applyFill="1" applyBorder="1"/>
    <xf numFmtId="0" fontId="0" fillId="0" borderId="0" xfId="0" applyFont="1" applyFill="1" applyBorder="1"/>
    <xf numFmtId="0" fontId="1" fillId="0" borderId="82" xfId="0" applyFont="1" applyBorder="1"/>
    <xf numFmtId="0" fontId="0" fillId="6" borderId="80" xfId="0" applyFill="1" applyBorder="1"/>
    <xf numFmtId="0" fontId="0" fillId="0" borderId="86" xfId="0" applyBorder="1"/>
    <xf numFmtId="0" fontId="0" fillId="0" borderId="87" xfId="0" applyBorder="1"/>
    <xf numFmtId="0" fontId="1" fillId="4" borderId="0" xfId="0" quotePrefix="1" applyFont="1" applyFill="1"/>
    <xf numFmtId="0" fontId="7" fillId="4" borderId="0" xfId="0" applyFont="1" applyFill="1"/>
    <xf numFmtId="16" fontId="32" fillId="0" borderId="2" xfId="0" quotePrefix="1" applyNumberFormat="1" applyFont="1" applyFill="1" applyBorder="1" applyAlignment="1">
      <alignment horizontal="center" vertical="center" wrapText="1"/>
    </xf>
    <xf numFmtId="16" fontId="32" fillId="0" borderId="61" xfId="0" quotePrefix="1" applyNumberFormat="1" applyFont="1" applyFill="1" applyBorder="1" applyAlignment="1">
      <alignment horizontal="center" vertical="center" wrapText="1"/>
    </xf>
    <xf numFmtId="0" fontId="37" fillId="0" borderId="80" xfId="0" applyFont="1" applyFill="1" applyBorder="1" applyAlignment="1">
      <alignment horizontal="center"/>
    </xf>
    <xf numFmtId="0" fontId="1" fillId="0" borderId="0" xfId="0" applyFont="1" applyFill="1"/>
    <xf numFmtId="0" fontId="1" fillId="0" borderId="80" xfId="0" applyFont="1" applyFill="1" applyBorder="1" applyAlignment="1">
      <alignment horizontal="center" vertical="center"/>
    </xf>
    <xf numFmtId="0" fontId="1" fillId="0" borderId="66" xfId="0" applyFont="1" applyFill="1" applyBorder="1" applyAlignment="1">
      <alignment horizontal="center"/>
    </xf>
    <xf numFmtId="0" fontId="48" fillId="6" borderId="0"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2" xfId="0" quotePrefix="1" applyFont="1" applyFill="1" applyBorder="1" applyAlignment="1">
      <alignment horizontal="center" vertical="center" wrapText="1"/>
    </xf>
    <xf numFmtId="0" fontId="33" fillId="0" borderId="2" xfId="0" applyFont="1" applyFill="1" applyBorder="1" applyAlignment="1">
      <alignment horizontal="center" vertical="center" wrapText="1"/>
    </xf>
    <xf numFmtId="17" fontId="32" fillId="0" borderId="2" xfId="0" quotePrefix="1" applyNumberFormat="1" applyFont="1" applyFill="1" applyBorder="1" applyAlignment="1">
      <alignment horizontal="center" vertical="center" wrapText="1"/>
    </xf>
    <xf numFmtId="0" fontId="32" fillId="9" borderId="2" xfId="0" applyFont="1" applyFill="1" applyBorder="1" applyAlignment="1">
      <alignment horizontal="center" vertical="center" wrapText="1"/>
    </xf>
    <xf numFmtId="0" fontId="32" fillId="9" borderId="2" xfId="0" quotePrefix="1" applyFont="1" applyFill="1" applyBorder="1" applyAlignment="1">
      <alignment horizontal="center" vertical="center" wrapText="1"/>
    </xf>
    <xf numFmtId="0" fontId="33" fillId="9" borderId="2" xfId="0" applyFont="1" applyFill="1" applyBorder="1" applyAlignment="1">
      <alignment horizontal="center" vertical="center" wrapText="1"/>
    </xf>
    <xf numFmtId="16" fontId="32" fillId="9" borderId="2" xfId="0" quotePrefix="1" applyNumberFormat="1" applyFont="1" applyFill="1" applyBorder="1" applyAlignment="1">
      <alignment horizontal="center" vertical="center" wrapText="1"/>
    </xf>
    <xf numFmtId="17" fontId="32" fillId="9" borderId="2" xfId="0" quotePrefix="1" applyNumberFormat="1" applyFont="1" applyFill="1" applyBorder="1" applyAlignment="1">
      <alignment horizontal="center" vertical="center" wrapText="1"/>
    </xf>
    <xf numFmtId="16" fontId="34" fillId="0" borderId="2" xfId="0" quotePrefix="1"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0" fontId="34" fillId="9" borderId="2" xfId="0" applyFont="1" applyFill="1" applyBorder="1" applyAlignment="1">
      <alignment horizontal="center" vertical="center" wrapText="1"/>
    </xf>
    <xf numFmtId="0" fontId="35" fillId="9" borderId="2" xfId="0" applyFont="1" applyFill="1" applyBorder="1" applyAlignment="1">
      <alignment horizontal="center" vertical="center" wrapText="1"/>
    </xf>
    <xf numFmtId="0" fontId="34" fillId="9" borderId="2" xfId="0" quotePrefix="1" applyFont="1" applyFill="1" applyBorder="1" applyAlignment="1">
      <alignment horizontal="center" vertical="center" wrapText="1"/>
    </xf>
    <xf numFmtId="0" fontId="32" fillId="9" borderId="91" xfId="0" applyFont="1" applyFill="1" applyBorder="1" applyAlignment="1">
      <alignment horizontal="center" vertical="center" wrapText="1"/>
    </xf>
    <xf numFmtId="0" fontId="32" fillId="0" borderId="91" xfId="0" applyFont="1" applyFill="1" applyBorder="1" applyAlignment="1">
      <alignment horizontal="center" vertical="center" wrapText="1"/>
    </xf>
    <xf numFmtId="16" fontId="32" fillId="0" borderId="91" xfId="0" quotePrefix="1" applyNumberFormat="1" applyFont="1" applyFill="1" applyBorder="1" applyAlignment="1">
      <alignment horizontal="center" vertical="center" wrapText="1"/>
    </xf>
    <xf numFmtId="17" fontId="32" fillId="9" borderId="91" xfId="0" quotePrefix="1" applyNumberFormat="1" applyFont="1" applyFill="1" applyBorder="1" applyAlignment="1">
      <alignment horizontal="center" vertical="center" wrapText="1"/>
    </xf>
    <xf numFmtId="0" fontId="32" fillId="0" borderId="90" xfId="0" applyFont="1" applyFill="1" applyBorder="1" applyAlignment="1">
      <alignment horizontal="center" vertical="center" wrapText="1"/>
    </xf>
    <xf numFmtId="0" fontId="32" fillId="9" borderId="92" xfId="0" applyFont="1" applyFill="1" applyBorder="1" applyAlignment="1">
      <alignment horizontal="center" vertical="center" wrapText="1"/>
    </xf>
    <xf numFmtId="0" fontId="32" fillId="0" borderId="92" xfId="0" applyFont="1" applyFill="1" applyBorder="1" applyAlignment="1">
      <alignment horizontal="center" vertical="center" wrapText="1"/>
    </xf>
    <xf numFmtId="16" fontId="32" fillId="0" borderId="92" xfId="0" quotePrefix="1" applyNumberFormat="1" applyFont="1" applyFill="1" applyBorder="1" applyAlignment="1">
      <alignment horizontal="center" vertical="center" wrapText="1"/>
    </xf>
    <xf numFmtId="0" fontId="48" fillId="6" borderId="93"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91" xfId="0" applyFont="1" applyFill="1" applyBorder="1" applyAlignment="1">
      <alignment horizontal="center" vertical="center" wrapText="1"/>
    </xf>
    <xf numFmtId="0" fontId="36" fillId="2" borderId="0" xfId="0" applyFont="1" applyFill="1" applyBorder="1"/>
    <xf numFmtId="0" fontId="41" fillId="2" borderId="0" xfId="0" applyFont="1" applyFill="1" applyBorder="1"/>
    <xf numFmtId="0" fontId="39" fillId="6" borderId="0" xfId="0" applyFont="1" applyFill="1" applyBorder="1" applyAlignment="1">
      <alignment horizontal="center" vertical="center"/>
    </xf>
    <xf numFmtId="0" fontId="44" fillId="0" borderId="80" xfId="0" applyFont="1" applyFill="1" applyBorder="1" applyAlignment="1">
      <alignment horizontal="center" vertical="center"/>
    </xf>
    <xf numFmtId="0" fontId="44" fillId="5" borderId="80" xfId="0" applyFont="1" applyFill="1" applyBorder="1" applyAlignment="1">
      <alignment horizontal="center" vertical="center"/>
    </xf>
    <xf numFmtId="0" fontId="1" fillId="5" borderId="80" xfId="0" applyFont="1" applyFill="1" applyBorder="1" applyAlignment="1">
      <alignment horizontal="center" vertical="center"/>
    </xf>
    <xf numFmtId="0" fontId="1" fillId="5" borderId="80" xfId="0" applyFont="1" applyFill="1" applyBorder="1" applyAlignment="1">
      <alignment horizontal="center"/>
    </xf>
    <xf numFmtId="1" fontId="5" fillId="0" borderId="2"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 fillId="2" borderId="0" xfId="0" applyFont="1" applyFill="1" applyBorder="1"/>
    <xf numFmtId="1" fontId="1" fillId="2" borderId="0" xfId="0" applyNumberFormat="1" applyFont="1" applyFill="1" applyBorder="1" applyAlignment="1" applyProtection="1">
      <alignment horizontal="center"/>
      <protection locked="0"/>
    </xf>
    <xf numFmtId="49" fontId="1" fillId="0" borderId="113" xfId="0" applyNumberFormat="1" applyFont="1" applyFill="1" applyBorder="1" applyAlignment="1">
      <alignment horizontal="center" vertical="center"/>
    </xf>
    <xf numFmtId="49" fontId="1" fillId="0" borderId="115" xfId="0" applyNumberFormat="1" applyFont="1" applyFill="1" applyBorder="1" applyAlignment="1">
      <alignment horizontal="center" vertical="center"/>
    </xf>
    <xf numFmtId="49" fontId="1" fillId="0" borderId="118" xfId="0" applyNumberFormat="1" applyFont="1" applyFill="1" applyBorder="1" applyAlignment="1">
      <alignment horizontal="center" vertical="center"/>
    </xf>
    <xf numFmtId="0" fontId="1" fillId="0" borderId="110" xfId="0" applyFont="1" applyFill="1" applyBorder="1" applyAlignment="1">
      <alignment horizontal="center" vertical="center"/>
    </xf>
    <xf numFmtId="0" fontId="51" fillId="0" borderId="111" xfId="0" applyFont="1" applyFill="1" applyBorder="1" applyAlignment="1"/>
    <xf numFmtId="0" fontId="51" fillId="0" borderId="112" xfId="0" applyFont="1" applyFill="1" applyBorder="1" applyAlignment="1"/>
    <xf numFmtId="0" fontId="51" fillId="0" borderId="113" xfId="0" applyFont="1" applyFill="1" applyBorder="1" applyAlignment="1">
      <alignment horizontal="center"/>
    </xf>
    <xf numFmtId="0" fontId="5" fillId="0" borderId="115" xfId="0" applyFont="1" applyFill="1" applyBorder="1" applyAlignment="1">
      <alignment horizontal="center"/>
    </xf>
    <xf numFmtId="0" fontId="5" fillId="0" borderId="118" xfId="0" applyFont="1" applyFill="1" applyBorder="1" applyAlignment="1">
      <alignment horizontal="center"/>
    </xf>
    <xf numFmtId="0" fontId="5" fillId="0" borderId="112" xfId="0" applyFont="1" applyFill="1" applyBorder="1" applyAlignment="1"/>
    <xf numFmtId="0" fontId="25" fillId="11" borderId="121" xfId="0" applyFont="1" applyFill="1" applyBorder="1" applyAlignment="1">
      <alignment horizontal="center" vertical="center"/>
    </xf>
    <xf numFmtId="0" fontId="1" fillId="0" borderId="121" xfId="0" applyNumberFormat="1" applyFont="1" applyFill="1" applyBorder="1" applyAlignment="1" applyProtection="1">
      <alignment horizontal="center" vertical="center"/>
      <protection locked="0"/>
    </xf>
    <xf numFmtId="0" fontId="1" fillId="0" borderId="121" xfId="0" applyNumberFormat="1" applyFont="1" applyFill="1" applyBorder="1" applyAlignment="1" applyProtection="1">
      <alignment horizontal="center" vertical="center"/>
    </xf>
    <xf numFmtId="0" fontId="1" fillId="0" borderId="121" xfId="0" quotePrefix="1" applyNumberFormat="1" applyFont="1" applyFill="1" applyBorder="1" applyAlignment="1" applyProtection="1">
      <alignment horizontal="center" vertical="center"/>
    </xf>
    <xf numFmtId="0" fontId="1" fillId="0" borderId="103" xfId="0" applyNumberFormat="1" applyFont="1" applyFill="1" applyBorder="1" applyAlignment="1" applyProtection="1">
      <alignment horizontal="center" vertical="center"/>
      <protection locked="0"/>
    </xf>
    <xf numFmtId="1" fontId="27" fillId="0" borderId="103" xfId="0" applyNumberFormat="1" applyFont="1" applyFill="1" applyBorder="1" applyAlignment="1" applyProtection="1">
      <alignment horizontal="center" vertical="center"/>
      <protection locked="0"/>
    </xf>
    <xf numFmtId="0" fontId="1" fillId="0" borderId="103" xfId="0" applyFont="1" applyFill="1" applyBorder="1" applyAlignment="1">
      <alignment horizontal="center"/>
    </xf>
    <xf numFmtId="0" fontId="5" fillId="0" borderId="103" xfId="0" applyFont="1" applyFill="1" applyBorder="1" applyAlignment="1">
      <alignment horizontal="center"/>
    </xf>
    <xf numFmtId="0" fontId="1" fillId="0" borderId="103" xfId="0" applyNumberFormat="1" applyFont="1" applyFill="1" applyBorder="1" applyAlignment="1" applyProtection="1">
      <alignment horizontal="center"/>
      <protection locked="0"/>
    </xf>
    <xf numFmtId="0" fontId="5" fillId="0" borderId="122" xfId="0" applyFont="1" applyFill="1" applyBorder="1" applyAlignment="1">
      <alignment horizontal="center"/>
    </xf>
    <xf numFmtId="0" fontId="26" fillId="0" borderId="122" xfId="0" applyFont="1" applyFill="1" applyBorder="1" applyAlignment="1">
      <alignment horizontal="center"/>
    </xf>
    <xf numFmtId="0" fontId="5" fillId="0" borderId="122" xfId="0" applyFont="1" applyFill="1" applyBorder="1" applyAlignment="1"/>
    <xf numFmtId="0" fontId="21" fillId="0" borderId="122" xfId="0" applyFont="1" applyFill="1" applyBorder="1" applyAlignment="1">
      <alignment horizontal="center"/>
    </xf>
    <xf numFmtId="0" fontId="5" fillId="0" borderId="123" xfId="0" applyFont="1" applyFill="1" applyBorder="1" applyAlignment="1">
      <alignment horizontal="center"/>
    </xf>
    <xf numFmtId="0" fontId="19" fillId="0" borderId="124" xfId="0" applyNumberFormat="1" applyFont="1" applyFill="1" applyBorder="1" applyAlignment="1" applyProtection="1">
      <alignment horizontal="center" vertical="center"/>
      <protection locked="0"/>
    </xf>
    <xf numFmtId="0" fontId="1" fillId="0" borderId="125" xfId="0" applyNumberFormat="1" applyFont="1" applyFill="1" applyBorder="1" applyAlignment="1" applyProtection="1">
      <alignment horizontal="center" vertical="center"/>
      <protection locked="0"/>
    </xf>
    <xf numFmtId="1" fontId="27" fillId="0" borderId="125" xfId="0" applyNumberFormat="1" applyFont="1" applyFill="1" applyBorder="1" applyAlignment="1" applyProtection="1">
      <alignment horizontal="center" vertical="center"/>
      <protection locked="0"/>
    </xf>
    <xf numFmtId="0" fontId="19" fillId="0" borderId="126" xfId="0" applyNumberFormat="1" applyFont="1" applyFill="1" applyBorder="1" applyAlignment="1" applyProtection="1">
      <alignment horizontal="center" vertical="center"/>
      <protection locked="0"/>
    </xf>
    <xf numFmtId="0" fontId="5" fillId="0" borderId="123" xfId="0" applyFont="1" applyFill="1" applyBorder="1" applyAlignment="1"/>
    <xf numFmtId="0" fontId="1" fillId="0" borderId="124" xfId="0" applyFont="1" applyFill="1" applyBorder="1" applyAlignment="1" applyProtection="1">
      <alignment horizontal="center"/>
      <protection locked="0"/>
    </xf>
    <xf numFmtId="0" fontId="5" fillId="0" borderId="124" xfId="0" applyFont="1" applyFill="1" applyBorder="1" applyAlignment="1">
      <alignment horizontal="center"/>
    </xf>
    <xf numFmtId="0" fontId="1" fillId="0" borderId="124" xfId="0" applyNumberFormat="1" applyFont="1" applyFill="1" applyBorder="1" applyAlignment="1" applyProtection="1">
      <alignment horizontal="center"/>
      <protection locked="0"/>
    </xf>
    <xf numFmtId="0" fontId="5" fillId="0" borderId="128" xfId="0" applyFont="1" applyFill="1" applyBorder="1" applyAlignment="1">
      <alignment horizontal="center"/>
    </xf>
    <xf numFmtId="0" fontId="5" fillId="0" borderId="61" xfId="0" applyFont="1" applyFill="1" applyBorder="1" applyAlignment="1" applyProtection="1">
      <alignment horizontal="center"/>
      <protection locked="0"/>
    </xf>
    <xf numFmtId="0" fontId="1" fillId="0" borderId="131" xfId="0" applyFont="1" applyFill="1" applyBorder="1" applyAlignment="1">
      <alignment horizontal="center"/>
    </xf>
    <xf numFmtId="0" fontId="5" fillId="0" borderId="60" xfId="0" applyFont="1" applyFill="1" applyBorder="1" applyAlignment="1" applyProtection="1">
      <alignment horizontal="center"/>
      <protection locked="0"/>
    </xf>
    <xf numFmtId="0" fontId="5" fillId="0" borderId="129" xfId="0" applyFont="1" applyFill="1" applyBorder="1" applyAlignment="1"/>
    <xf numFmtId="0" fontId="1" fillId="0" borderId="132" xfId="0" applyFont="1" applyFill="1" applyBorder="1" applyAlignment="1"/>
    <xf numFmtId="0" fontId="5" fillId="0" borderId="133" xfId="0" applyFont="1" applyFill="1" applyBorder="1" applyAlignment="1" applyProtection="1">
      <protection locked="0"/>
    </xf>
    <xf numFmtId="0" fontId="5" fillId="0" borderId="68" xfId="0" applyFont="1" applyFill="1" applyBorder="1" applyAlignment="1" applyProtection="1">
      <protection locked="0"/>
    </xf>
    <xf numFmtId="0" fontId="1" fillId="0" borderId="135" xfId="0" applyNumberFormat="1" applyFont="1" applyFill="1" applyBorder="1" applyAlignment="1">
      <alignment horizontal="center" vertical="center"/>
    </xf>
    <xf numFmtId="1" fontId="1" fillId="0" borderId="136" xfId="0" applyNumberFormat="1" applyFont="1" applyFill="1" applyBorder="1" applyAlignment="1" applyProtection="1">
      <alignment horizontal="center" vertical="center"/>
      <protection locked="0"/>
    </xf>
    <xf numFmtId="0" fontId="1" fillId="0" borderId="135" xfId="0" quotePrefix="1" applyNumberFormat="1" applyFont="1" applyFill="1" applyBorder="1" applyAlignment="1">
      <alignment horizontal="center" vertical="center"/>
    </xf>
    <xf numFmtId="0" fontId="5" fillId="0" borderId="137" xfId="0" applyFont="1" applyFill="1" applyBorder="1" applyAlignment="1"/>
    <xf numFmtId="0" fontId="5" fillId="0" borderId="141" xfId="0" applyFont="1" applyFill="1" applyBorder="1" applyAlignment="1">
      <alignment horizontal="center" vertical="center"/>
    </xf>
    <xf numFmtId="0" fontId="5" fillId="0" borderId="141" xfId="0" applyFont="1" applyFill="1" applyBorder="1" applyAlignment="1" applyProtection="1">
      <alignment horizontal="center" vertical="center"/>
      <protection locked="0"/>
    </xf>
    <xf numFmtId="0" fontId="5" fillId="0" borderId="145" xfId="0" applyFont="1" applyFill="1" applyBorder="1" applyAlignment="1"/>
    <xf numFmtId="0" fontId="20" fillId="0" borderId="149" xfId="0" applyFont="1" applyFill="1" applyBorder="1" applyAlignment="1"/>
    <xf numFmtId="0" fontId="5" fillId="0" borderId="150" xfId="0" applyFont="1" applyFill="1" applyBorder="1" applyAlignment="1"/>
    <xf numFmtId="0" fontId="30" fillId="6" borderId="0" xfId="0" applyFont="1" applyFill="1" applyBorder="1" applyAlignment="1"/>
    <xf numFmtId="0" fontId="22" fillId="0" borderId="0" xfId="0" applyFont="1" applyFill="1" applyBorder="1" applyAlignment="1">
      <alignment vertical="center"/>
    </xf>
    <xf numFmtId="0" fontId="2"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center" vertical="center"/>
      <protection locked="0" hidden="1"/>
    </xf>
    <xf numFmtId="0" fontId="1" fillId="0" borderId="6" xfId="0" applyFont="1" applyFill="1" applyBorder="1" applyAlignment="1">
      <alignment horizontal="center" vertical="center"/>
    </xf>
    <xf numFmtId="0" fontId="17" fillId="0" borderId="6" xfId="0" applyFont="1" applyFill="1" applyBorder="1" applyAlignment="1">
      <alignment horizontal="center" vertical="center"/>
    </xf>
    <xf numFmtId="0" fontId="1" fillId="0" borderId="0" xfId="0" applyFont="1" applyFill="1" applyBorder="1" applyAlignment="1" applyProtection="1">
      <alignment horizontal="center" vertical="center"/>
      <protection locked="0"/>
    </xf>
    <xf numFmtId="0" fontId="1" fillId="0" borderId="0" xfId="0" applyFont="1" applyFill="1" applyBorder="1" applyAlignment="1">
      <alignment horizontal="center" vertical="center"/>
    </xf>
    <xf numFmtId="0" fontId="1" fillId="0" borderId="6" xfId="0" applyFont="1" applyFill="1" applyBorder="1" applyAlignment="1" applyProtection="1">
      <alignment horizontal="center" vertical="center"/>
      <protection locked="0"/>
    </xf>
    <xf numFmtId="0" fontId="5" fillId="2" borderId="0" xfId="0" applyFont="1" applyFill="1" applyBorder="1" applyAlignment="1">
      <alignment vertical="center"/>
    </xf>
    <xf numFmtId="0" fontId="10" fillId="0" borderId="21" xfId="0" applyFont="1" applyFill="1" applyBorder="1" applyAlignment="1">
      <alignment vertical="center"/>
    </xf>
    <xf numFmtId="0" fontId="10" fillId="0" borderId="22" xfId="0" applyFont="1" applyFill="1" applyBorder="1" applyAlignment="1">
      <alignment vertical="center"/>
    </xf>
    <xf numFmtId="0" fontId="5" fillId="0" borderId="22"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22" xfId="0" quotePrefix="1" applyFont="1" applyFill="1" applyBorder="1" applyAlignment="1">
      <alignment horizontal="center" vertical="center"/>
    </xf>
    <xf numFmtId="0" fontId="5" fillId="0" borderId="30" xfId="0" applyFont="1" applyFill="1" applyBorder="1" applyAlignment="1">
      <alignment vertical="center"/>
    </xf>
    <xf numFmtId="0" fontId="5" fillId="0" borderId="24" xfId="0" applyFont="1" applyFill="1" applyBorder="1" applyAlignment="1">
      <alignment vertical="center"/>
    </xf>
    <xf numFmtId="0" fontId="5" fillId="0" borderId="25" xfId="0" applyFont="1" applyFill="1" applyBorder="1" applyAlignment="1">
      <alignment vertical="center"/>
    </xf>
    <xf numFmtId="0" fontId="5" fillId="0" borderId="25" xfId="0" applyFont="1" applyFill="1" applyBorder="1" applyAlignment="1">
      <alignment horizontal="center" vertical="center"/>
    </xf>
    <xf numFmtId="0" fontId="1" fillId="0" borderId="25" xfId="0" applyFont="1" applyFill="1" applyBorder="1" applyAlignment="1" applyProtection="1">
      <alignment horizontal="center" vertical="center"/>
      <protection locked="0"/>
    </xf>
    <xf numFmtId="0" fontId="1" fillId="0" borderId="2" xfId="0" applyFont="1" applyFill="1" applyBorder="1" applyAlignment="1">
      <alignment horizontal="center" vertical="center"/>
    </xf>
    <xf numFmtId="0" fontId="1" fillId="0" borderId="121" xfId="0" applyFont="1" applyFill="1" applyBorder="1" applyAlignment="1" applyProtection="1">
      <alignment horizontal="center" vertical="center"/>
      <protection locked="0"/>
    </xf>
    <xf numFmtId="0" fontId="5" fillId="0" borderId="155" xfId="0" applyFont="1" applyFill="1" applyBorder="1" applyAlignment="1">
      <alignment vertical="center"/>
    </xf>
    <xf numFmtId="0" fontId="5" fillId="0" borderId="156" xfId="0" applyFont="1" applyFill="1" applyBorder="1" applyAlignment="1">
      <alignment vertical="center"/>
    </xf>
    <xf numFmtId="0" fontId="5" fillId="0" borderId="156" xfId="0" applyFont="1" applyFill="1" applyBorder="1" applyAlignment="1">
      <alignment horizontal="center" vertical="center"/>
    </xf>
    <xf numFmtId="0" fontId="21" fillId="0" borderId="156" xfId="0" applyFont="1" applyFill="1" applyBorder="1" applyAlignment="1">
      <alignment horizontal="center" vertical="center"/>
    </xf>
    <xf numFmtId="0" fontId="21" fillId="0" borderId="156" xfId="0" quotePrefix="1" applyFont="1" applyFill="1" applyBorder="1" applyAlignment="1">
      <alignment horizontal="center" vertical="center"/>
    </xf>
    <xf numFmtId="0" fontId="5" fillId="0" borderId="158" xfId="0" applyFont="1" applyFill="1" applyBorder="1" applyAlignment="1" applyProtection="1">
      <alignment vertical="center"/>
      <protection locked="0"/>
    </xf>
    <xf numFmtId="0" fontId="5" fillId="0" borderId="160" xfId="0" applyFont="1" applyFill="1" applyBorder="1" applyAlignment="1" applyProtection="1">
      <alignment vertical="center"/>
      <protection locked="0"/>
    </xf>
    <xf numFmtId="0" fontId="2" fillId="0" borderId="161" xfId="0" applyFont="1" applyFill="1" applyBorder="1" applyAlignment="1" applyProtection="1">
      <alignment horizontal="left" vertical="center"/>
      <protection locked="0"/>
    </xf>
    <xf numFmtId="0" fontId="5" fillId="0" borderId="161" xfId="0" applyFont="1" applyFill="1" applyBorder="1" applyAlignment="1">
      <alignment vertical="center"/>
    </xf>
    <xf numFmtId="0" fontId="5" fillId="0" borderId="161" xfId="0" applyFont="1" applyFill="1" applyBorder="1" applyAlignment="1">
      <alignment horizontal="center" vertical="center"/>
    </xf>
    <xf numFmtId="0" fontId="1" fillId="0" borderId="161" xfId="0" applyFont="1" applyFill="1" applyBorder="1" applyAlignment="1" applyProtection="1">
      <alignment horizontal="center" vertical="center"/>
      <protection locked="0"/>
    </xf>
    <xf numFmtId="0" fontId="19" fillId="0" borderId="167" xfId="0" applyFont="1" applyFill="1" applyBorder="1" applyAlignment="1" applyProtection="1">
      <protection locked="0"/>
    </xf>
    <xf numFmtId="0" fontId="5" fillId="0" borderId="168" xfId="0" applyFont="1" applyFill="1" applyBorder="1" applyAlignment="1">
      <alignment horizontal="center"/>
    </xf>
    <xf numFmtId="0" fontId="1" fillId="0" borderId="0" xfId="0" applyFont="1" applyFill="1" applyBorder="1" applyAlignment="1">
      <alignment vertical="center"/>
    </xf>
    <xf numFmtId="0" fontId="25" fillId="0" borderId="0" xfId="0" applyFont="1" applyFill="1" applyBorder="1" applyAlignment="1">
      <alignment vertical="center"/>
    </xf>
    <xf numFmtId="0" fontId="1" fillId="2" borderId="0" xfId="0" applyFont="1" applyFill="1" applyBorder="1" applyAlignment="1">
      <alignment vertical="center"/>
    </xf>
    <xf numFmtId="0" fontId="11" fillId="2" borderId="0" xfId="0" applyFont="1" applyFill="1" applyBorder="1" applyAlignment="1">
      <alignment vertical="center"/>
    </xf>
    <xf numFmtId="0" fontId="5" fillId="0" borderId="6" xfId="0" applyFont="1" applyFill="1" applyBorder="1" applyAlignment="1">
      <alignment vertical="center"/>
    </xf>
    <xf numFmtId="0" fontId="21" fillId="0" borderId="6" xfId="0" applyFont="1" applyFill="1" applyBorder="1" applyAlignment="1">
      <alignment vertical="center"/>
    </xf>
    <xf numFmtId="0" fontId="1" fillId="0" borderId="6" xfId="0" applyFont="1" applyFill="1" applyBorder="1" applyAlignment="1">
      <alignment vertical="center"/>
    </xf>
    <xf numFmtId="0" fontId="1" fillId="0" borderId="6" xfId="0" applyFont="1" applyFill="1" applyBorder="1" applyAlignment="1">
      <alignment horizontal="right" vertical="center"/>
    </xf>
    <xf numFmtId="0" fontId="25" fillId="0" borderId="169" xfId="0" applyFont="1" applyFill="1" applyBorder="1" applyAlignment="1"/>
    <xf numFmtId="0" fontId="20" fillId="0" borderId="6" xfId="0" applyFont="1" applyFill="1" applyBorder="1" applyAlignment="1">
      <alignment vertical="center"/>
    </xf>
    <xf numFmtId="0" fontId="2" fillId="0" borderId="6" xfId="0" applyFont="1" applyFill="1" applyBorder="1" applyAlignment="1" applyProtection="1">
      <alignment vertical="center"/>
      <protection locked="0"/>
    </xf>
    <xf numFmtId="0" fontId="2" fillId="0" borderId="6" xfId="0" applyFont="1" applyFill="1" applyBorder="1" applyAlignment="1">
      <alignment vertical="center"/>
    </xf>
    <xf numFmtId="0" fontId="30" fillId="6" borderId="0" xfId="0" applyFont="1" applyFill="1" applyBorder="1"/>
    <xf numFmtId="0" fontId="19" fillId="0" borderId="179" xfId="0" applyFont="1" applyFill="1" applyBorder="1" applyAlignment="1" applyProtection="1">
      <alignment horizontal="center" vertical="center"/>
      <protection locked="0"/>
    </xf>
    <xf numFmtId="0" fontId="1" fillId="0" borderId="83" xfId="0" applyFont="1" applyFill="1" applyBorder="1" applyAlignment="1" applyProtection="1">
      <alignment horizontal="center" vertical="center"/>
      <protection locked="0"/>
    </xf>
    <xf numFmtId="0" fontId="1" fillId="0" borderId="180" xfId="0" applyFont="1" applyFill="1" applyBorder="1" applyAlignment="1" applyProtection="1">
      <alignment horizontal="center" vertical="center"/>
      <protection locked="0"/>
    </xf>
    <xf numFmtId="0" fontId="1" fillId="0" borderId="104" xfId="0" applyFont="1" applyFill="1" applyBorder="1"/>
    <xf numFmtId="0" fontId="25" fillId="12" borderId="0" xfId="0" applyFont="1" applyFill="1" applyBorder="1" applyAlignment="1">
      <alignment horizontal="center" vertical="center"/>
    </xf>
    <xf numFmtId="0" fontId="17" fillId="0" borderId="36" xfId="0" applyFont="1" applyFill="1" applyBorder="1" applyAlignment="1">
      <alignment wrapText="1"/>
    </xf>
    <xf numFmtId="0" fontId="17" fillId="0" borderId="6" xfId="0" applyFont="1" applyFill="1" applyBorder="1" applyAlignment="1">
      <alignment wrapText="1"/>
    </xf>
    <xf numFmtId="0" fontId="2" fillId="0" borderId="6" xfId="0" applyFont="1" applyFill="1" applyBorder="1" applyAlignment="1">
      <alignment wrapText="1"/>
    </xf>
    <xf numFmtId="0" fontId="1" fillId="0" borderId="6" xfId="0" applyFont="1" applyFill="1" applyBorder="1" applyAlignment="1">
      <alignment horizontal="left" wrapText="1"/>
    </xf>
    <xf numFmtId="0" fontId="1" fillId="0" borderId="170" xfId="0" applyFont="1" applyFill="1" applyBorder="1"/>
    <xf numFmtId="0" fontId="25" fillId="13" borderId="0" xfId="0" applyFont="1" applyFill="1" applyBorder="1" applyAlignment="1">
      <alignment horizontal="center" vertical="center"/>
    </xf>
    <xf numFmtId="0" fontId="1" fillId="0" borderId="99" xfId="0" applyFont="1" applyFill="1" applyBorder="1" applyAlignment="1" applyProtection="1">
      <alignment vertical="center"/>
      <protection locked="0"/>
    </xf>
    <xf numFmtId="0" fontId="1" fillId="0" borderId="103" xfId="0" applyNumberFormat="1" applyFont="1" applyFill="1" applyBorder="1" applyAlignment="1" applyProtection="1">
      <alignment horizontal="center" vertical="center"/>
      <protection locked="0"/>
    </xf>
    <xf numFmtId="0" fontId="21" fillId="0" borderId="141" xfId="0" applyFont="1" applyFill="1" applyBorder="1" applyAlignment="1">
      <alignment horizontal="center" vertical="center"/>
    </xf>
    <xf numFmtId="0" fontId="1" fillId="0" borderId="4" xfId="0" applyFont="1" applyFill="1" applyBorder="1" applyAlignment="1">
      <alignment horizontal="left" vertical="top" wrapText="1"/>
    </xf>
    <xf numFmtId="0" fontId="1" fillId="0" borderId="174" xfId="0" applyFont="1" applyFill="1" applyBorder="1" applyAlignment="1">
      <alignment horizontal="left" vertical="top"/>
    </xf>
    <xf numFmtId="0" fontId="1" fillId="0" borderId="175" xfId="0" applyFont="1" applyFill="1" applyBorder="1" applyAlignment="1">
      <alignment horizontal="left" vertical="top" wrapText="1"/>
    </xf>
    <xf numFmtId="0" fontId="1" fillId="0" borderId="176" xfId="0" applyFont="1" applyFill="1" applyBorder="1" applyAlignment="1">
      <alignment horizontal="left" vertical="top"/>
    </xf>
    <xf numFmtId="0" fontId="1" fillId="0" borderId="177" xfId="0" applyFont="1" applyFill="1" applyBorder="1" applyAlignment="1">
      <alignment horizontal="left" vertical="top"/>
    </xf>
    <xf numFmtId="0" fontId="1" fillId="2" borderId="0" xfId="0" applyFont="1" applyFill="1" applyBorder="1" applyAlignment="1">
      <alignment horizontal="left" vertical="top"/>
    </xf>
    <xf numFmtId="0" fontId="1" fillId="2" borderId="0" xfId="0" applyFont="1" applyFill="1" applyBorder="1" applyAlignment="1">
      <alignment horizontal="left" vertical="top" wrapText="1"/>
    </xf>
    <xf numFmtId="0" fontId="1" fillId="0" borderId="0" xfId="0" applyFont="1" applyFill="1" applyBorder="1" applyAlignment="1">
      <alignment horizontal="left" vertical="top"/>
    </xf>
    <xf numFmtId="0" fontId="1" fillId="0" borderId="0" xfId="0" applyFont="1" applyFill="1" applyBorder="1" applyAlignment="1">
      <alignment horizontal="left" vertical="top" wrapText="1"/>
    </xf>
    <xf numFmtId="0" fontId="5" fillId="0" borderId="105" xfId="0" applyFont="1" applyFill="1" applyBorder="1" applyAlignment="1">
      <alignment horizontal="center"/>
    </xf>
    <xf numFmtId="0" fontId="1" fillId="0" borderId="14" xfId="0" applyFont="1" applyBorder="1"/>
    <xf numFmtId="0" fontId="0" fillId="0" borderId="50" xfId="0" applyBorder="1"/>
    <xf numFmtId="0" fontId="7" fillId="0" borderId="87" xfId="0" applyFont="1" applyBorder="1"/>
    <xf numFmtId="0" fontId="7" fillId="0" borderId="189" xfId="0" applyFont="1" applyBorder="1"/>
    <xf numFmtId="0" fontId="0" fillId="0" borderId="189" xfId="0" applyBorder="1"/>
    <xf numFmtId="0" fontId="0" fillId="0" borderId="190" xfId="0" applyBorder="1"/>
    <xf numFmtId="0" fontId="1" fillId="14" borderId="14" xfId="0" applyFont="1" applyFill="1" applyBorder="1"/>
    <xf numFmtId="0" fontId="1" fillId="0" borderId="12" xfId="0" applyFont="1" applyBorder="1"/>
    <xf numFmtId="0" fontId="52" fillId="6" borderId="14" xfId="0" applyFont="1" applyFill="1" applyBorder="1"/>
    <xf numFmtId="0" fontId="0" fillId="0" borderId="103" xfId="0" applyBorder="1"/>
    <xf numFmtId="0" fontId="0" fillId="0" borderId="104" xfId="0" applyBorder="1"/>
    <xf numFmtId="0" fontId="0" fillId="0" borderId="191" xfId="0" applyBorder="1"/>
    <xf numFmtId="0" fontId="0" fillId="0" borderId="173" xfId="0" applyBorder="1"/>
    <xf numFmtId="0" fontId="7" fillId="0" borderId="0" xfId="0" applyFont="1" applyFill="1" applyBorder="1"/>
    <xf numFmtId="0" fontId="25" fillId="6" borderId="0" xfId="0" applyFont="1" applyFill="1" applyBorder="1" applyAlignment="1"/>
    <xf numFmtId="0" fontId="25" fillId="0" borderId="0" xfId="0" applyFont="1" applyFill="1" applyBorder="1" applyAlignment="1"/>
    <xf numFmtId="0" fontId="1" fillId="0" borderId="50" xfId="0" applyFont="1" applyBorder="1"/>
    <xf numFmtId="0" fontId="1" fillId="0" borderId="103" xfId="0" applyFont="1" applyBorder="1"/>
    <xf numFmtId="0" fontId="1" fillId="0" borderId="103" xfId="0" applyNumberFormat="1" applyFont="1" applyFill="1" applyBorder="1" applyAlignment="1" applyProtection="1">
      <alignment horizontal="center" vertical="center"/>
      <protection locked="0"/>
    </xf>
    <xf numFmtId="0" fontId="1" fillId="0" borderId="125" xfId="0" applyNumberFormat="1" applyFont="1" applyFill="1" applyBorder="1" applyAlignment="1" applyProtection="1">
      <alignment horizontal="center" vertical="center"/>
      <protection locked="0"/>
    </xf>
    <xf numFmtId="0" fontId="1" fillId="0" borderId="192" xfId="0" applyNumberFormat="1" applyFont="1" applyFill="1" applyBorder="1" applyAlignment="1" applyProtection="1">
      <alignment horizontal="center"/>
      <protection locked="0"/>
    </xf>
    <xf numFmtId="0" fontId="5" fillId="0" borderId="103" xfId="0" applyFont="1" applyFill="1" applyBorder="1" applyAlignment="1" applyProtection="1">
      <alignment horizontal="center"/>
      <protection locked="0"/>
    </xf>
    <xf numFmtId="0" fontId="25" fillId="0" borderId="0" xfId="0" applyFont="1" applyFill="1" applyBorder="1" applyAlignment="1">
      <alignment horizontal="right" vertical="center"/>
    </xf>
    <xf numFmtId="0" fontId="25" fillId="0" borderId="0" xfId="0" applyFont="1" applyFill="1" applyAlignment="1">
      <alignment horizontal="right"/>
    </xf>
    <xf numFmtId="0" fontId="25" fillId="0" borderId="0" xfId="0" applyFont="1" applyFill="1" applyBorder="1" applyAlignment="1">
      <alignment horizontal="right"/>
    </xf>
    <xf numFmtId="0" fontId="17" fillId="0" borderId="6" xfId="0" applyFont="1" applyFill="1" applyBorder="1" applyAlignment="1">
      <alignment horizontal="center" vertical="center"/>
    </xf>
    <xf numFmtId="0" fontId="1" fillId="0" borderId="6" xfId="0" applyFont="1" applyFill="1" applyBorder="1" applyAlignment="1" applyProtection="1">
      <alignment horizontal="center" vertical="center"/>
      <protection locked="0"/>
    </xf>
    <xf numFmtId="0" fontId="1" fillId="0" borderId="6" xfId="0" applyFont="1" applyFill="1" applyBorder="1" applyAlignment="1">
      <alignment horizontal="center" vertical="center"/>
    </xf>
    <xf numFmtId="0" fontId="25" fillId="0" borderId="0" xfId="0" applyFont="1" applyFill="1" applyBorder="1"/>
    <xf numFmtId="0" fontId="19" fillId="0" borderId="104" xfId="0" applyFont="1" applyFill="1" applyBorder="1" applyAlignment="1" applyProtection="1">
      <protection locked="0"/>
    </xf>
    <xf numFmtId="0" fontId="19" fillId="0" borderId="206" xfId="0" applyFont="1" applyFill="1" applyBorder="1" applyAlignment="1" applyProtection="1">
      <protection locked="0"/>
    </xf>
    <xf numFmtId="0" fontId="19" fillId="0" borderId="205" xfId="0" applyFont="1" applyFill="1" applyBorder="1" applyAlignment="1" applyProtection="1">
      <protection locked="0"/>
    </xf>
    <xf numFmtId="0" fontId="1" fillId="0" borderId="125" xfId="0" applyNumberFormat="1" applyFont="1" applyFill="1" applyBorder="1" applyAlignment="1" applyProtection="1">
      <alignment horizontal="center" vertical="center"/>
      <protection locked="0"/>
    </xf>
    <xf numFmtId="0" fontId="1" fillId="0" borderId="103" xfId="0" applyNumberFormat="1" applyFont="1" applyFill="1" applyBorder="1" applyAlignment="1" applyProtection="1">
      <alignment horizontal="center" vertical="center"/>
      <protection locked="0"/>
    </xf>
    <xf numFmtId="0" fontId="1" fillId="0" borderId="103" xfId="0" applyFont="1" applyFill="1" applyBorder="1" applyAlignment="1">
      <alignment horizontal="center"/>
    </xf>
    <xf numFmtId="0" fontId="1" fillId="0" borderId="207" xfId="0" applyNumberFormat="1" applyFont="1" applyFill="1" applyBorder="1" applyAlignment="1" applyProtection="1">
      <alignment horizontal="center"/>
      <protection locked="0"/>
    </xf>
    <xf numFmtId="0" fontId="5" fillId="0" borderId="34" xfId="0" applyFont="1" applyBorder="1" applyProtection="1"/>
    <xf numFmtId="0" fontId="5" fillId="0" borderId="70" xfId="0" applyFont="1" applyBorder="1" applyProtection="1"/>
    <xf numFmtId="0" fontId="0" fillId="0" borderId="0" xfId="0" applyProtection="1"/>
    <xf numFmtId="0" fontId="7" fillId="0" borderId="85" xfId="0" applyFont="1" applyFill="1" applyBorder="1" applyAlignment="1" applyProtection="1"/>
    <xf numFmtId="49" fontId="7" fillId="0" borderId="82" xfId="0" applyNumberFormat="1"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7" fillId="0" borderId="82" xfId="0" applyFont="1" applyFill="1" applyBorder="1" applyAlignment="1" applyProtection="1">
      <alignment horizontal="center"/>
    </xf>
    <xf numFmtId="1" fontId="7" fillId="0" borderId="82" xfId="0" applyNumberFormat="1" applyFont="1" applyFill="1" applyBorder="1" applyAlignment="1" applyProtection="1">
      <alignment horizontal="center" vertical="center"/>
    </xf>
    <xf numFmtId="12" fontId="7" fillId="0" borderId="82" xfId="0" applyNumberFormat="1" applyFont="1" applyFill="1" applyBorder="1" applyAlignment="1" applyProtection="1">
      <alignment horizontal="center" vertical="center"/>
    </xf>
    <xf numFmtId="0" fontId="7" fillId="0" borderId="80" xfId="0" applyFont="1" applyFill="1" applyBorder="1" applyAlignment="1" applyProtection="1">
      <alignment horizontal="center"/>
    </xf>
    <xf numFmtId="0" fontId="0" fillId="0" borderId="82" xfId="0" applyFill="1" applyBorder="1" applyAlignment="1" applyProtection="1">
      <alignment horizontal="center" vertical="center"/>
    </xf>
    <xf numFmtId="0" fontId="0" fillId="0" borderId="82" xfId="0" applyBorder="1" applyAlignment="1" applyProtection="1">
      <alignment horizontal="center" vertical="center"/>
    </xf>
    <xf numFmtId="0" fontId="7" fillId="0" borderId="66" xfId="0" applyFont="1" applyFill="1" applyBorder="1" applyAlignment="1" applyProtection="1"/>
    <xf numFmtId="49" fontId="7" fillId="0" borderId="80" xfId="0" applyNumberFormat="1" applyFont="1" applyFill="1" applyBorder="1" applyAlignment="1" applyProtection="1">
      <alignment horizontal="center"/>
    </xf>
    <xf numFmtId="12" fontId="7" fillId="0" borderId="80" xfId="0" applyNumberFormat="1" applyFont="1" applyFill="1" applyBorder="1" applyAlignment="1" applyProtection="1">
      <alignment horizontal="center" vertical="center"/>
    </xf>
    <xf numFmtId="0" fontId="0" fillId="0" borderId="80" xfId="0" applyFill="1" applyBorder="1" applyAlignment="1" applyProtection="1">
      <alignment horizontal="center" vertical="center"/>
    </xf>
    <xf numFmtId="0" fontId="0" fillId="0" borderId="80" xfId="0" applyBorder="1" applyAlignment="1" applyProtection="1">
      <alignment horizontal="center" vertical="center"/>
    </xf>
    <xf numFmtId="49" fontId="7" fillId="0" borderId="80" xfId="0" applyNumberFormat="1" applyFont="1" applyFill="1" applyBorder="1" applyAlignment="1" applyProtection="1">
      <alignment horizontal="center" vertical="center"/>
    </xf>
    <xf numFmtId="0" fontId="7" fillId="0" borderId="80" xfId="0" applyFont="1" applyFill="1" applyBorder="1" applyAlignment="1" applyProtection="1">
      <alignment horizontal="center" vertical="center"/>
    </xf>
    <xf numFmtId="1" fontId="7" fillId="0" borderId="80" xfId="0" applyNumberFormat="1" applyFont="1" applyFill="1" applyBorder="1" applyAlignment="1" applyProtection="1">
      <alignment horizontal="center" vertical="center"/>
    </xf>
    <xf numFmtId="0" fontId="1" fillId="0" borderId="66" xfId="0" applyFont="1" applyFill="1" applyBorder="1" applyAlignment="1" applyProtection="1"/>
    <xf numFmtId="0" fontId="1" fillId="0" borderId="80" xfId="0" applyFont="1" applyFill="1" applyBorder="1" applyAlignment="1" applyProtection="1">
      <alignment horizontal="center"/>
    </xf>
    <xf numFmtId="0" fontId="0" fillId="0" borderId="66" xfId="0" applyBorder="1" applyAlignment="1" applyProtection="1"/>
    <xf numFmtId="0" fontId="0" fillId="0" borderId="80" xfId="0" applyBorder="1" applyAlignment="1" applyProtection="1">
      <alignment horizontal="center"/>
    </xf>
    <xf numFmtId="49" fontId="0" fillId="0" borderId="80" xfId="0" applyNumberFormat="1" applyBorder="1" applyAlignment="1" applyProtection="1">
      <alignment horizontal="center"/>
    </xf>
    <xf numFmtId="12" fontId="0" fillId="0" borderId="80" xfId="0" applyNumberFormat="1" applyBorder="1" applyAlignment="1" applyProtection="1">
      <alignment horizontal="center"/>
    </xf>
    <xf numFmtId="0" fontId="0" fillId="0" borderId="0" xfId="0" applyBorder="1" applyAlignment="1" applyProtection="1">
      <alignment horizontal="center"/>
    </xf>
    <xf numFmtId="0" fontId="1" fillId="0" borderId="66" xfId="0" applyFont="1" applyBorder="1" applyAlignment="1" applyProtection="1"/>
    <xf numFmtId="0" fontId="1" fillId="0" borderId="80" xfId="0" applyFont="1" applyBorder="1" applyAlignment="1" applyProtection="1">
      <alignment horizontal="center"/>
    </xf>
    <xf numFmtId="49" fontId="1" fillId="0" borderId="80" xfId="0" applyNumberFormat="1" applyFont="1" applyBorder="1" applyAlignment="1" applyProtection="1">
      <alignment horizontal="center"/>
    </xf>
    <xf numFmtId="0" fontId="1" fillId="0" borderId="80" xfId="0" applyFont="1" applyBorder="1" applyAlignment="1" applyProtection="1">
      <alignment horizontal="center" vertical="center"/>
    </xf>
    <xf numFmtId="49" fontId="1" fillId="0" borderId="80" xfId="0" applyNumberFormat="1" applyFont="1" applyFill="1" applyBorder="1" applyAlignment="1" applyProtection="1">
      <alignment horizontal="center"/>
    </xf>
    <xf numFmtId="12" fontId="0" fillId="0" borderId="80" xfId="0" applyNumberFormat="1" applyBorder="1" applyAlignment="1" applyProtection="1">
      <alignment horizontal="center" vertical="center"/>
    </xf>
    <xf numFmtId="0" fontId="7" fillId="0" borderId="66" xfId="0" applyFont="1" applyBorder="1" applyAlignment="1" applyProtection="1"/>
    <xf numFmtId="0" fontId="7" fillId="0" borderId="80" xfId="0" applyFont="1" applyBorder="1" applyAlignment="1" applyProtection="1">
      <alignment horizontal="center"/>
    </xf>
    <xf numFmtId="49" fontId="7" fillId="0" borderId="80" xfId="0" applyNumberFormat="1" applyFont="1" applyBorder="1" applyAlignment="1" applyProtection="1">
      <alignment horizontal="center"/>
    </xf>
    <xf numFmtId="0" fontId="1" fillId="0" borderId="80" xfId="0" applyFont="1" applyFill="1" applyBorder="1" applyAlignment="1" applyProtection="1">
      <alignment horizontal="center" vertical="center"/>
    </xf>
    <xf numFmtId="49" fontId="1" fillId="0" borderId="80" xfId="0" applyNumberFormat="1" applyFont="1" applyFill="1" applyBorder="1" applyAlignment="1" applyProtection="1">
      <alignment horizontal="center" vertical="center"/>
    </xf>
    <xf numFmtId="0" fontId="32" fillId="0" borderId="80" xfId="0" applyFont="1" applyFill="1" applyBorder="1" applyAlignment="1">
      <alignment horizontal="center" vertical="center"/>
    </xf>
    <xf numFmtId="0" fontId="32" fillId="5" borderId="80" xfId="0" applyFont="1" applyFill="1" applyBorder="1" applyAlignment="1">
      <alignment horizontal="center" vertical="center"/>
    </xf>
    <xf numFmtId="0" fontId="36" fillId="5" borderId="80" xfId="0" applyFont="1" applyFill="1" applyBorder="1" applyAlignment="1">
      <alignment horizontal="center" vertical="center"/>
    </xf>
    <xf numFmtId="0" fontId="36" fillId="0" borderId="80" xfId="0" applyFont="1" applyFill="1" applyBorder="1" applyAlignment="1">
      <alignment horizontal="center" vertical="center"/>
    </xf>
    <xf numFmtId="0" fontId="1" fillId="0" borderId="125" xfId="0" applyNumberFormat="1" applyFont="1" applyFill="1" applyBorder="1" applyAlignment="1" applyProtection="1">
      <alignment horizontal="center" vertical="center"/>
    </xf>
    <xf numFmtId="0" fontId="7" fillId="0" borderId="103" xfId="0" applyFont="1" applyFill="1" applyBorder="1" applyAlignment="1" applyProtection="1">
      <alignment horizontal="center"/>
    </xf>
    <xf numFmtId="0" fontId="0" fillId="0" borderId="103" xfId="0" applyFill="1" applyBorder="1" applyAlignment="1" applyProtection="1">
      <alignment horizontal="center" vertical="center"/>
    </xf>
    <xf numFmtId="0" fontId="0" fillId="0" borderId="103" xfId="0" applyBorder="1" applyAlignment="1" applyProtection="1">
      <alignment horizontal="center" vertical="center"/>
    </xf>
    <xf numFmtId="0" fontId="1" fillId="0" borderId="105" xfId="0" applyFont="1" applyFill="1" applyBorder="1" applyAlignment="1" applyProtection="1"/>
    <xf numFmtId="0" fontId="1" fillId="0" borderId="103" xfId="0" applyFont="1" applyFill="1" applyBorder="1" applyAlignment="1" applyProtection="1">
      <alignment horizontal="center"/>
    </xf>
    <xf numFmtId="0" fontId="0" fillId="0" borderId="105" xfId="0" applyBorder="1" applyAlignment="1" applyProtection="1"/>
    <xf numFmtId="0" fontId="0" fillId="0" borderId="103" xfId="0" applyBorder="1" applyAlignment="1" applyProtection="1">
      <alignment horizontal="center"/>
    </xf>
    <xf numFmtId="0" fontId="1" fillId="0" borderId="0" xfId="0" quotePrefix="1" applyFont="1" applyAlignment="1">
      <alignment horizontal="center"/>
    </xf>
    <xf numFmtId="0" fontId="25" fillId="0" borderId="0" xfId="0" applyNumberFormat="1" applyFont="1" applyFill="1" applyBorder="1" applyAlignment="1" applyProtection="1">
      <alignment horizontal="center" vertical="center"/>
      <protection locked="0"/>
    </xf>
    <xf numFmtId="0" fontId="25" fillId="0" borderId="0" xfId="0" applyNumberFormat="1" applyFont="1" applyFill="1" applyBorder="1" applyAlignment="1" applyProtection="1">
      <alignment vertical="center"/>
      <protection locked="0"/>
    </xf>
    <xf numFmtId="0" fontId="19" fillId="0" borderId="103" xfId="0" applyNumberFormat="1" applyFont="1" applyFill="1" applyBorder="1" applyAlignment="1" applyProtection="1">
      <alignment horizontal="center" vertical="center"/>
      <protection locked="0"/>
    </xf>
    <xf numFmtId="0" fontId="19" fillId="0" borderId="125" xfId="0" applyNumberFormat="1" applyFont="1" applyFill="1" applyBorder="1" applyAlignment="1" applyProtection="1">
      <alignment horizontal="center" vertical="center"/>
      <protection locked="0"/>
    </xf>
    <xf numFmtId="0" fontId="27" fillId="4" borderId="119" xfId="0" applyFont="1" applyFill="1" applyBorder="1" applyAlignment="1" applyProtection="1">
      <alignment vertical="center"/>
      <protection locked="0"/>
    </xf>
    <xf numFmtId="0" fontId="1" fillId="2" borderId="0" xfId="0" applyNumberFormat="1" applyFont="1" applyFill="1" applyBorder="1" applyAlignment="1" applyProtection="1">
      <alignment horizontal="center" vertical="center"/>
      <protection locked="0"/>
    </xf>
    <xf numFmtId="1" fontId="1" fillId="2" borderId="0" xfId="0" applyNumberFormat="1" applyFont="1" applyFill="1" applyBorder="1" applyAlignment="1" applyProtection="1">
      <alignment horizontal="center" vertical="center"/>
      <protection locked="0"/>
    </xf>
    <xf numFmtId="0" fontId="0" fillId="7" borderId="103" xfId="0" applyFill="1" applyBorder="1"/>
    <xf numFmtId="0" fontId="0" fillId="5" borderId="103" xfId="0" applyFill="1" applyBorder="1"/>
    <xf numFmtId="0" fontId="0" fillId="8" borderId="103" xfId="0" applyFill="1" applyBorder="1"/>
    <xf numFmtId="0" fontId="0" fillId="4" borderId="103" xfId="0" applyFill="1" applyBorder="1"/>
    <xf numFmtId="0" fontId="7" fillId="0" borderId="68" xfId="0" applyFont="1" applyBorder="1" applyAlignment="1">
      <alignment horizontal="left" vertical="top"/>
    </xf>
    <xf numFmtId="0" fontId="1" fillId="0" borderId="103" xfId="0" applyFont="1" applyBorder="1" applyAlignment="1" applyProtection="1">
      <alignment horizontal="center" vertical="center"/>
    </xf>
    <xf numFmtId="0" fontId="1" fillId="0" borderId="105" xfId="0" applyFont="1" applyBorder="1" applyAlignment="1" applyProtection="1"/>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xf>
    <xf numFmtId="49" fontId="1" fillId="0" borderId="3" xfId="0" applyNumberFormat="1" applyFont="1" applyBorder="1" applyAlignment="1">
      <alignment horizontal="center"/>
    </xf>
    <xf numFmtId="0" fontId="57" fillId="0" borderId="0" xfId="0" applyFont="1" applyAlignment="1">
      <alignment horizontal="center"/>
    </xf>
    <xf numFmtId="0" fontId="31" fillId="6" borderId="0" xfId="0" applyFont="1" applyFill="1" applyBorder="1" applyAlignment="1">
      <alignment horizontal="center" vertical="center"/>
    </xf>
    <xf numFmtId="0" fontId="25" fillId="0" borderId="18" xfId="0" applyFont="1" applyBorder="1" applyProtection="1"/>
    <xf numFmtId="0" fontId="25" fillId="0" borderId="0" xfId="0" applyFont="1" applyProtection="1"/>
    <xf numFmtId="0" fontId="25" fillId="0" borderId="0" xfId="0" applyFont="1" applyFill="1" applyBorder="1" applyAlignment="1" applyProtection="1">
      <alignment horizontal="center"/>
    </xf>
    <xf numFmtId="0" fontId="25" fillId="0" borderId="0" xfId="0" applyFont="1" applyBorder="1" applyAlignment="1" applyProtection="1">
      <alignment horizontal="center"/>
    </xf>
    <xf numFmtId="0" fontId="25" fillId="0" borderId="0" xfId="0" applyFont="1"/>
    <xf numFmtId="0" fontId="25" fillId="0" borderId="0" xfId="0" applyFont="1" applyBorder="1" applyProtection="1"/>
    <xf numFmtId="0" fontId="1" fillId="0" borderId="103" xfId="0" applyFont="1" applyFill="1" applyBorder="1"/>
    <xf numFmtId="0" fontId="53" fillId="0" borderId="0" xfId="0" applyFont="1"/>
    <xf numFmtId="0" fontId="53" fillId="0" borderId="0" xfId="0" applyFont="1" applyFill="1" applyBorder="1"/>
    <xf numFmtId="0" fontId="7" fillId="7" borderId="103" xfId="0" applyFont="1" applyFill="1" applyBorder="1"/>
    <xf numFmtId="0" fontId="16" fillId="0" borderId="103" xfId="0" applyFont="1" applyBorder="1"/>
    <xf numFmtId="1" fontId="1" fillId="0" borderId="0" xfId="0" applyNumberFormat="1" applyFont="1" applyAlignment="1"/>
    <xf numFmtId="1" fontId="0" fillId="0" borderId="0" xfId="0" applyNumberFormat="1" applyAlignment="1"/>
    <xf numFmtId="0" fontId="0" fillId="0" borderId="0" xfId="0" applyFill="1" applyAlignment="1">
      <alignment horizontal="center"/>
    </xf>
    <xf numFmtId="0" fontId="18" fillId="0" borderId="0" xfId="0" applyFont="1" applyFill="1" applyBorder="1" applyAlignment="1">
      <alignment vertical="center" wrapText="1"/>
    </xf>
    <xf numFmtId="0" fontId="1" fillId="4" borderId="103" xfId="0" applyFont="1" applyFill="1" applyBorder="1"/>
    <xf numFmtId="0" fontId="1" fillId="5" borderId="80" xfId="0" applyFont="1" applyFill="1" applyBorder="1" applyAlignment="1">
      <alignment horizontal="center"/>
    </xf>
    <xf numFmtId="0" fontId="1" fillId="0" borderId="80" xfId="0" applyFont="1" applyFill="1" applyBorder="1" applyAlignment="1">
      <alignment horizontal="center"/>
    </xf>
    <xf numFmtId="0" fontId="46" fillId="6" borderId="0" xfId="0" applyFont="1" applyFill="1" applyBorder="1" applyAlignment="1">
      <alignment horizontal="center" vertical="center" wrapText="1"/>
    </xf>
    <xf numFmtId="0" fontId="25" fillId="6" borderId="0" xfId="0" applyFont="1" applyFill="1" applyBorder="1" applyAlignment="1">
      <alignment horizontal="center"/>
    </xf>
    <xf numFmtId="0" fontId="37" fillId="0" borderId="103" xfId="0" applyFont="1" applyFill="1" applyBorder="1" applyAlignment="1">
      <alignment horizontal="center"/>
    </xf>
    <xf numFmtId="0" fontId="43" fillId="0" borderId="80" xfId="0" applyFont="1" applyFill="1" applyBorder="1" applyAlignment="1">
      <alignment horizontal="center" vertical="center"/>
    </xf>
    <xf numFmtId="0" fontId="33" fillId="5" borderId="80" xfId="0" applyFont="1" applyFill="1" applyBorder="1" applyAlignment="1">
      <alignment horizontal="center" vertical="center"/>
    </xf>
    <xf numFmtId="0" fontId="0" fillId="0" borderId="103" xfId="0" applyFill="1" applyBorder="1"/>
    <xf numFmtId="0" fontId="32" fillId="0" borderId="60" xfId="0" applyFont="1" applyFill="1" applyBorder="1" applyAlignment="1">
      <alignment horizontal="center" vertical="center"/>
    </xf>
    <xf numFmtId="0" fontId="32" fillId="9" borderId="91" xfId="0" applyFont="1" applyFill="1" applyBorder="1" applyAlignment="1">
      <alignment horizontal="center" vertical="center"/>
    </xf>
    <xf numFmtId="0" fontId="32" fillId="0" borderId="91" xfId="0" applyFont="1" applyFill="1" applyBorder="1" applyAlignment="1">
      <alignment horizontal="center" vertical="center"/>
    </xf>
    <xf numFmtId="0" fontId="32" fillId="9" borderId="91" xfId="0" quotePrefix="1" applyFont="1" applyFill="1" applyBorder="1" applyAlignment="1">
      <alignment horizontal="center" vertical="center"/>
    </xf>
    <xf numFmtId="0" fontId="34" fillId="0" borderId="91" xfId="0" applyFont="1" applyFill="1" applyBorder="1" applyAlignment="1">
      <alignment horizontal="center" vertical="center"/>
    </xf>
    <xf numFmtId="0" fontId="34" fillId="9" borderId="91" xfId="0" applyFont="1" applyFill="1" applyBorder="1" applyAlignment="1">
      <alignment horizontal="center" vertical="center"/>
    </xf>
    <xf numFmtId="0" fontId="32" fillId="0" borderId="61" xfId="0" quotePrefix="1" applyNumberFormat="1" applyFont="1" applyFill="1" applyBorder="1" applyAlignment="1">
      <alignment horizontal="center" vertical="center" wrapText="1"/>
    </xf>
    <xf numFmtId="0" fontId="32" fillId="0" borderId="2" xfId="0" quotePrefix="1" applyNumberFormat="1" applyFont="1" applyFill="1" applyBorder="1" applyAlignment="1">
      <alignment horizontal="center" vertical="center" wrapText="1"/>
    </xf>
    <xf numFmtId="0" fontId="64" fillId="6" borderId="0" xfId="0" applyFont="1" applyFill="1" applyBorder="1" applyAlignment="1">
      <alignment horizontal="center" vertical="center" wrapText="1"/>
    </xf>
    <xf numFmtId="0" fontId="43" fillId="0" borderId="80" xfId="0" applyFont="1" applyFill="1" applyBorder="1" applyAlignment="1">
      <alignment horizontal="center" vertical="center" wrapText="1"/>
    </xf>
    <xf numFmtId="0" fontId="21" fillId="0" borderId="70" xfId="0" applyFont="1" applyBorder="1" applyAlignment="1">
      <alignment horizontal="center"/>
    </xf>
    <xf numFmtId="0" fontId="1" fillId="0" borderId="16" xfId="0" applyFont="1" applyBorder="1"/>
    <xf numFmtId="0" fontId="32" fillId="4" borderId="91" xfId="0" applyFont="1" applyFill="1" applyBorder="1" applyAlignment="1">
      <alignment horizontal="center" vertical="center"/>
    </xf>
    <xf numFmtId="0" fontId="32" fillId="4" borderId="2" xfId="0" applyFont="1" applyFill="1" applyBorder="1" applyAlignment="1">
      <alignment horizontal="center" vertical="center" wrapText="1"/>
    </xf>
    <xf numFmtId="0" fontId="32" fillId="4" borderId="92" xfId="0" applyFont="1" applyFill="1" applyBorder="1" applyAlignment="1">
      <alignment horizontal="center" vertical="center" wrapText="1"/>
    </xf>
    <xf numFmtId="0" fontId="32" fillId="4" borderId="91" xfId="0" applyFont="1" applyFill="1" applyBorder="1" applyAlignment="1">
      <alignment horizontal="center" vertical="center" wrapText="1"/>
    </xf>
    <xf numFmtId="0" fontId="32" fillId="4" borderId="2" xfId="0" quotePrefix="1" applyFont="1" applyFill="1" applyBorder="1" applyAlignment="1">
      <alignment horizontal="center" vertical="center" wrapText="1"/>
    </xf>
    <xf numFmtId="0" fontId="33" fillId="4" borderId="2" xfId="0" applyFont="1" applyFill="1" applyBorder="1" applyAlignment="1">
      <alignment horizontal="center" vertical="center" wrapText="1"/>
    </xf>
    <xf numFmtId="16" fontId="32" fillId="4" borderId="92" xfId="0" quotePrefix="1" applyNumberFormat="1" applyFont="1" applyFill="1" applyBorder="1" applyAlignment="1">
      <alignment horizontal="center" vertical="center" wrapText="1"/>
    </xf>
    <xf numFmtId="0" fontId="32" fillId="5" borderId="91" xfId="0" applyFont="1" applyFill="1" applyBorder="1" applyAlignment="1">
      <alignment horizontal="center" vertical="center"/>
    </xf>
    <xf numFmtId="0" fontId="32" fillId="5" borderId="2" xfId="0" applyFont="1" applyFill="1" applyBorder="1" applyAlignment="1">
      <alignment horizontal="center" vertical="center" wrapText="1"/>
    </xf>
    <xf numFmtId="0" fontId="32" fillId="5" borderId="92" xfId="0" applyFont="1" applyFill="1" applyBorder="1" applyAlignment="1">
      <alignment horizontal="center" vertical="center" wrapText="1"/>
    </xf>
    <xf numFmtId="0" fontId="32" fillId="5" borderId="91" xfId="0" applyFont="1" applyFill="1" applyBorder="1" applyAlignment="1">
      <alignment horizontal="center" vertical="center" wrapText="1"/>
    </xf>
    <xf numFmtId="0" fontId="32" fillId="5" borderId="2" xfId="0" quotePrefix="1" applyFont="1" applyFill="1" applyBorder="1" applyAlignment="1">
      <alignment horizontal="center" vertical="center" wrapText="1"/>
    </xf>
    <xf numFmtId="0" fontId="33" fillId="5" borderId="2" xfId="0" applyFont="1" applyFill="1" applyBorder="1" applyAlignment="1">
      <alignment horizontal="center" vertical="center" wrapText="1"/>
    </xf>
    <xf numFmtId="0" fontId="34" fillId="4" borderId="2"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2" fillId="4" borderId="91" xfId="0" quotePrefix="1" applyFont="1" applyFill="1" applyBorder="1" applyAlignment="1">
      <alignment horizontal="center" vertical="center"/>
    </xf>
    <xf numFmtId="0" fontId="32" fillId="4" borderId="92" xfId="0" quotePrefix="1" applyFont="1" applyFill="1" applyBorder="1" applyAlignment="1">
      <alignment horizontal="center" vertical="center" wrapText="1"/>
    </xf>
    <xf numFmtId="0" fontId="32" fillId="4" borderId="91" xfId="0" quotePrefix="1" applyFont="1" applyFill="1" applyBorder="1" applyAlignment="1">
      <alignment horizontal="center" vertical="center" wrapText="1"/>
    </xf>
    <xf numFmtId="0" fontId="34" fillId="5" borderId="91" xfId="0" applyFont="1" applyFill="1" applyBorder="1" applyAlignment="1">
      <alignment horizontal="center" vertical="center"/>
    </xf>
    <xf numFmtId="0" fontId="34" fillId="5" borderId="2"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4" fillId="5" borderId="91" xfId="0" applyFont="1" applyFill="1" applyBorder="1" applyAlignment="1">
      <alignment horizontal="center" vertical="center" wrapText="1"/>
    </xf>
    <xf numFmtId="0" fontId="32" fillId="0" borderId="61" xfId="0" quotePrefix="1" applyFont="1" applyFill="1" applyBorder="1" applyAlignment="1">
      <alignment horizontal="center" vertical="center" wrapText="1"/>
    </xf>
    <xf numFmtId="16" fontId="32" fillId="9" borderId="91" xfId="0" quotePrefix="1" applyNumberFormat="1" applyFont="1" applyFill="1" applyBorder="1" applyAlignment="1">
      <alignment horizontal="center" vertical="center"/>
    </xf>
    <xf numFmtId="16" fontId="32" fillId="0" borderId="91" xfId="0" quotePrefix="1" applyNumberFormat="1" applyFont="1" applyFill="1" applyBorder="1" applyAlignment="1">
      <alignment horizontal="center" vertical="center"/>
    </xf>
    <xf numFmtId="0" fontId="34" fillId="4" borderId="2" xfId="0" quotePrefix="1" applyFont="1" applyFill="1" applyBorder="1" applyAlignment="1">
      <alignment horizontal="center" vertical="center" wrapText="1"/>
    </xf>
    <xf numFmtId="0" fontId="34" fillId="4" borderId="92" xfId="0" quotePrefix="1" applyFont="1" applyFill="1" applyBorder="1" applyAlignment="1">
      <alignment horizontal="center" vertical="center" wrapText="1"/>
    </xf>
    <xf numFmtId="0" fontId="34" fillId="4" borderId="91" xfId="0" quotePrefix="1" applyFont="1" applyFill="1" applyBorder="1" applyAlignment="1">
      <alignment horizontal="center" vertical="center" wrapText="1"/>
    </xf>
    <xf numFmtId="0" fontId="34" fillId="0" borderId="2" xfId="0" quotePrefix="1" applyFont="1" applyFill="1" applyBorder="1" applyAlignment="1">
      <alignment horizontal="center" vertical="center" wrapText="1"/>
    </xf>
    <xf numFmtId="0" fontId="34" fillId="0" borderId="92" xfId="0" applyFont="1" applyFill="1" applyBorder="1" applyAlignment="1">
      <alignment horizontal="center" vertical="center" wrapText="1"/>
    </xf>
    <xf numFmtId="0" fontId="34" fillId="9" borderId="92" xfId="0" applyFont="1" applyFill="1" applyBorder="1" applyAlignment="1">
      <alignment horizontal="center" vertical="center" wrapText="1"/>
    </xf>
    <xf numFmtId="0" fontId="34" fillId="9" borderId="91" xfId="0" applyFont="1" applyFill="1" applyBorder="1" applyAlignment="1">
      <alignment horizontal="center" vertical="center" wrapText="1"/>
    </xf>
    <xf numFmtId="0" fontId="34" fillId="5" borderId="91" xfId="0" quotePrefix="1" applyFont="1" applyFill="1" applyBorder="1" applyAlignment="1">
      <alignment horizontal="center" vertical="center"/>
    </xf>
    <xf numFmtId="0" fontId="34" fillId="5" borderId="2" xfId="0" quotePrefix="1" applyFont="1" applyFill="1" applyBorder="1" applyAlignment="1">
      <alignment horizontal="center" vertical="center" wrapText="1"/>
    </xf>
    <xf numFmtId="0" fontId="34" fillId="5" borderId="92" xfId="0" quotePrefix="1" applyFont="1" applyFill="1" applyBorder="1" applyAlignment="1">
      <alignment horizontal="center" vertical="center" wrapText="1"/>
    </xf>
    <xf numFmtId="0" fontId="34" fillId="5" borderId="91" xfId="0" quotePrefix="1" applyFont="1" applyFill="1" applyBorder="1" applyAlignment="1">
      <alignment horizontal="center" vertical="center" wrapText="1"/>
    </xf>
    <xf numFmtId="0" fontId="34" fillId="5" borderId="92" xfId="0" applyFont="1" applyFill="1" applyBorder="1" applyAlignment="1">
      <alignment horizontal="center" vertical="center" wrapText="1"/>
    </xf>
    <xf numFmtId="0" fontId="7" fillId="0" borderId="0" xfId="0" quotePrefix="1" applyFont="1" applyFill="1" applyBorder="1"/>
    <xf numFmtId="0" fontId="7" fillId="0" borderId="0" xfId="0" quotePrefix="1" applyFont="1" applyFill="1"/>
    <xf numFmtId="0" fontId="1" fillId="7" borderId="103" xfId="0" applyFont="1" applyFill="1" applyBorder="1"/>
    <xf numFmtId="0" fontId="1" fillId="5" borderId="103" xfId="0" applyFont="1" applyFill="1" applyBorder="1"/>
    <xf numFmtId="0" fontId="1" fillId="8" borderId="103" xfId="0" applyFont="1" applyFill="1" applyBorder="1"/>
    <xf numFmtId="0" fontId="34" fillId="4" borderId="91" xfId="0" quotePrefix="1" applyFont="1" applyFill="1" applyBorder="1" applyAlignment="1">
      <alignment horizontal="center" vertical="center"/>
    </xf>
    <xf numFmtId="0" fontId="32" fillId="5" borderId="91" xfId="0" quotePrefix="1" applyFont="1" applyFill="1" applyBorder="1" applyAlignment="1">
      <alignment horizontal="center" vertical="center"/>
    </xf>
    <xf numFmtId="0" fontId="32" fillId="5" borderId="91" xfId="0" quotePrefix="1" applyFont="1" applyFill="1" applyBorder="1" applyAlignment="1">
      <alignment horizontal="center" vertical="center" wrapText="1"/>
    </xf>
    <xf numFmtId="0" fontId="5" fillId="0" borderId="50" xfId="0" applyFont="1" applyBorder="1"/>
    <xf numFmtId="0" fontId="0" fillId="0" borderId="50" xfId="0" applyFill="1" applyBorder="1"/>
    <xf numFmtId="0" fontId="5" fillId="0" borderId="84" xfId="0" applyFont="1" applyBorder="1"/>
    <xf numFmtId="0" fontId="1" fillId="0" borderId="84" xfId="0" applyFont="1" applyBorder="1"/>
    <xf numFmtId="0" fontId="0" fillId="0" borderId="84" xfId="0" applyBorder="1"/>
    <xf numFmtId="0" fontId="0" fillId="0" borderId="84" xfId="0" applyFill="1" applyBorder="1"/>
    <xf numFmtId="0" fontId="5" fillId="0" borderId="0" xfId="0" applyFont="1" applyBorder="1"/>
    <xf numFmtId="0" fontId="1" fillId="0" borderId="0" xfId="0" quotePrefix="1" applyFont="1" applyBorder="1" applyAlignment="1">
      <alignment horizontal="left" vertical="top"/>
    </xf>
    <xf numFmtId="0" fontId="7" fillId="0" borderId="103" xfId="0" applyFont="1" applyBorder="1"/>
    <xf numFmtId="0" fontId="62" fillId="0" borderId="80" xfId="0" applyFont="1" applyFill="1" applyBorder="1" applyAlignment="1">
      <alignment horizontal="center" vertical="center"/>
    </xf>
    <xf numFmtId="0" fontId="1" fillId="0" borderId="103" xfId="0" applyFont="1" applyFill="1" applyBorder="1" applyAlignment="1">
      <alignment horizontal="center" vertical="center"/>
    </xf>
    <xf numFmtId="0" fontId="1" fillId="5" borderId="103" xfId="0" applyFont="1" applyFill="1" applyBorder="1" applyAlignment="1">
      <alignment horizontal="center" vertical="center"/>
    </xf>
    <xf numFmtId="0" fontId="43" fillId="5" borderId="80" xfId="0" applyFont="1" applyFill="1" applyBorder="1" applyAlignment="1">
      <alignment horizontal="center" vertical="center" wrapText="1"/>
    </xf>
    <xf numFmtId="0" fontId="1" fillId="0" borderId="84" xfId="0" applyFont="1" applyBorder="1" applyAlignment="1"/>
    <xf numFmtId="0" fontId="1" fillId="0" borderId="103" xfId="0" quotePrefix="1" applyFont="1" applyFill="1" applyBorder="1"/>
    <xf numFmtId="0" fontId="0" fillId="0" borderId="12" xfId="0" applyFill="1" applyBorder="1"/>
    <xf numFmtId="49" fontId="7" fillId="0" borderId="84" xfId="0" applyNumberFormat="1" applyFont="1" applyBorder="1" applyAlignment="1">
      <alignment horizontal="center"/>
    </xf>
    <xf numFmtId="49" fontId="1" fillId="0" borderId="0" xfId="0" quotePrefix="1" applyNumberFormat="1" applyFont="1" applyAlignment="1">
      <alignment horizontal="center"/>
    </xf>
    <xf numFmtId="0" fontId="1" fillId="0" borderId="0" xfId="1" applyFont="1" applyFill="1" applyAlignment="1" applyProtection="1">
      <alignment horizontal="center"/>
    </xf>
    <xf numFmtId="0" fontId="2" fillId="0" borderId="0" xfId="1" applyFont="1" applyFill="1" applyAlignment="1" applyProtection="1"/>
    <xf numFmtId="0" fontId="1" fillId="5" borderId="103" xfId="0" applyFont="1" applyFill="1" applyBorder="1" applyAlignment="1">
      <alignment horizontal="center"/>
    </xf>
    <xf numFmtId="0" fontId="1" fillId="0" borderId="103" xfId="0" applyFont="1" applyFill="1" applyBorder="1" applyAlignment="1">
      <alignment horizontal="center"/>
    </xf>
    <xf numFmtId="0" fontId="5" fillId="0" borderId="0" xfId="0" applyFont="1" applyAlignment="1">
      <alignment horizontal="center"/>
    </xf>
    <xf numFmtId="49" fontId="1" fillId="0" borderId="0" xfId="0" applyNumberFormat="1" applyFont="1" applyFill="1" applyAlignment="1">
      <alignment horizontal="center"/>
    </xf>
    <xf numFmtId="1" fontId="1" fillId="0" borderId="0" xfId="0" applyNumberFormat="1" applyFont="1" applyFill="1" applyAlignment="1"/>
    <xf numFmtId="0" fontId="32" fillId="5" borderId="103" xfId="0" applyFont="1" applyFill="1" applyBorder="1" applyAlignment="1">
      <alignment horizontal="center" vertical="center"/>
    </xf>
    <xf numFmtId="0" fontId="67" fillId="0" borderId="80" xfId="0" applyFont="1" applyFill="1" applyBorder="1" applyAlignment="1">
      <alignment horizontal="center" vertical="center"/>
    </xf>
    <xf numFmtId="0" fontId="1" fillId="4" borderId="80" xfId="0" applyFont="1" applyFill="1" applyBorder="1" applyAlignment="1">
      <alignment horizontal="center"/>
    </xf>
    <xf numFmtId="0" fontId="37" fillId="0" borderId="103" xfId="0" applyFont="1" applyFill="1" applyBorder="1" applyAlignment="1">
      <alignment horizontal="center" vertical="center"/>
    </xf>
    <xf numFmtId="0" fontId="37" fillId="5" borderId="103" xfId="0" applyFont="1" applyFill="1" applyBorder="1" applyAlignment="1">
      <alignment horizontal="center" vertical="center"/>
    </xf>
    <xf numFmtId="0" fontId="57" fillId="0" borderId="0" xfId="0" applyFont="1"/>
    <xf numFmtId="0" fontId="1" fillId="0" borderId="0" xfId="0" applyFont="1" applyBorder="1" applyAlignment="1"/>
    <xf numFmtId="0" fontId="7" fillId="0" borderId="20" xfId="0" applyFont="1" applyBorder="1"/>
    <xf numFmtId="0" fontId="0" fillId="0" borderId="16" xfId="0" applyFill="1" applyBorder="1"/>
    <xf numFmtId="0" fontId="1" fillId="0" borderId="84" xfId="0" applyFont="1" applyBorder="1" applyAlignment="1">
      <alignment readingOrder="1"/>
    </xf>
    <xf numFmtId="0" fontId="13" fillId="0" borderId="0" xfId="1" applyAlignment="1" applyProtection="1"/>
    <xf numFmtId="0" fontId="5" fillId="0" borderId="16" xfId="0" applyFont="1" applyBorder="1"/>
    <xf numFmtId="0" fontId="1" fillId="0" borderId="16" xfId="0" applyFont="1" applyFill="1" applyBorder="1"/>
    <xf numFmtId="0" fontId="1" fillId="0" borderId="16" xfId="0" applyFont="1" applyBorder="1" applyAlignment="1"/>
    <xf numFmtId="0" fontId="1" fillId="0" borderId="16" xfId="0" applyFont="1" applyBorder="1" applyAlignment="1">
      <alignment vertical="center"/>
    </xf>
    <xf numFmtId="0" fontId="1" fillId="0" borderId="84" xfId="0" applyFont="1" applyFill="1" applyBorder="1"/>
    <xf numFmtId="0" fontId="5" fillId="0" borderId="11" xfId="0" applyFont="1" applyFill="1" applyBorder="1" applyAlignment="1">
      <alignment vertical="center"/>
    </xf>
    <xf numFmtId="0" fontId="2" fillId="0" borderId="9" xfId="0" applyFont="1" applyFill="1" applyBorder="1" applyAlignment="1" applyProtection="1">
      <alignment vertical="center"/>
      <protection locked="0"/>
    </xf>
    <xf numFmtId="0" fontId="20" fillId="0" borderId="32" xfId="0" applyFont="1" applyFill="1" applyBorder="1" applyAlignment="1">
      <alignment horizontal="center" vertical="center"/>
    </xf>
    <xf numFmtId="0" fontId="1" fillId="0" borderId="0" xfId="0" applyFont="1" applyFill="1" applyAlignment="1">
      <alignment vertical="center"/>
    </xf>
    <xf numFmtId="0" fontId="5" fillId="0" borderId="0" xfId="0" applyFont="1" applyFill="1"/>
    <xf numFmtId="0" fontId="0" fillId="0" borderId="0" xfId="0" applyFont="1" applyFill="1"/>
    <xf numFmtId="0" fontId="0" fillId="14" borderId="0" xfId="0" applyFill="1"/>
    <xf numFmtId="0" fontId="69" fillId="5" borderId="103" xfId="0" applyFont="1" applyFill="1" applyBorder="1" applyAlignment="1">
      <alignment horizontal="center"/>
    </xf>
    <xf numFmtId="0" fontId="0" fillId="0" borderId="65" xfId="0" applyFill="1" applyBorder="1" applyAlignment="1">
      <alignment horizontal="center" vertical="center"/>
    </xf>
    <xf numFmtId="0" fontId="16" fillId="0" borderId="0" xfId="0" applyFont="1" applyBorder="1" applyAlignment="1">
      <alignment horizontal="left" vertical="top"/>
    </xf>
    <xf numFmtId="0" fontId="1" fillId="5" borderId="12" xfId="0" applyFont="1" applyFill="1" applyBorder="1"/>
    <xf numFmtId="0" fontId="1" fillId="0" borderId="0" xfId="0" quotePrefix="1" applyFont="1" applyFill="1" applyBorder="1" applyAlignment="1">
      <alignment horizontal="left" vertical="top"/>
    </xf>
    <xf numFmtId="0" fontId="7" fillId="0" borderId="4" xfId="0" applyFont="1" applyBorder="1"/>
    <xf numFmtId="0" fontId="1" fillId="0" borderId="4" xfId="0" applyFont="1" applyBorder="1"/>
    <xf numFmtId="0" fontId="1" fillId="0" borderId="4" xfId="0" applyFont="1" applyFill="1" applyBorder="1"/>
    <xf numFmtId="0" fontId="7" fillId="0" borderId="4" xfId="0" applyFont="1" applyBorder="1" applyAlignment="1">
      <alignment horizontal="left" vertical="top"/>
    </xf>
    <xf numFmtId="0" fontId="5" fillId="22" borderId="4" xfId="0" applyFont="1" applyFill="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left" vertical="center"/>
    </xf>
    <xf numFmtId="0" fontId="5" fillId="0" borderId="0" xfId="0" applyFont="1" applyAlignment="1">
      <alignment horizontal="left" vertical="center"/>
    </xf>
    <xf numFmtId="0" fontId="5" fillId="0" borderId="0" xfId="0" applyFont="1" applyBorder="1" applyAlignment="1">
      <alignment horizontal="left" vertical="center"/>
    </xf>
    <xf numFmtId="0" fontId="67" fillId="5" borderId="80" xfId="0" applyFont="1" applyFill="1" applyBorder="1" applyAlignment="1">
      <alignment horizontal="center" vertical="center" wrapText="1"/>
    </xf>
    <xf numFmtId="0" fontId="36" fillId="2" borderId="0" xfId="0" applyFont="1" applyFill="1" applyBorder="1" applyAlignment="1">
      <alignment horizontal="center" vertical="center"/>
    </xf>
    <xf numFmtId="0" fontId="43" fillId="5" borderId="103" xfId="0" applyFont="1" applyFill="1" applyBorder="1" applyAlignment="1">
      <alignment horizontal="center" vertical="center"/>
    </xf>
    <xf numFmtId="0" fontId="36" fillId="5" borderId="103" xfId="0" applyFont="1" applyFill="1" applyBorder="1" applyAlignment="1">
      <alignment horizontal="center" vertical="center"/>
    </xf>
    <xf numFmtId="0" fontId="1" fillId="0" borderId="87" xfId="0" applyFont="1" applyFill="1" applyBorder="1" applyAlignment="1">
      <alignment horizontal="center" vertical="center"/>
    </xf>
    <xf numFmtId="0" fontId="1" fillId="5" borderId="87" xfId="0" applyFont="1" applyFill="1" applyBorder="1" applyAlignment="1">
      <alignment horizontal="center" vertical="center"/>
    </xf>
    <xf numFmtId="0" fontId="1" fillId="0" borderId="87" xfId="0" applyFont="1" applyFill="1" applyBorder="1" applyAlignment="1">
      <alignment horizontal="center"/>
    </xf>
    <xf numFmtId="0" fontId="1" fillId="5" borderId="87" xfId="0" applyFont="1" applyFill="1" applyBorder="1" applyAlignment="1">
      <alignment horizontal="center"/>
    </xf>
    <xf numFmtId="0" fontId="69" fillId="5" borderId="87" xfId="0" applyFont="1" applyFill="1" applyBorder="1" applyAlignment="1">
      <alignment horizontal="center"/>
    </xf>
    <xf numFmtId="0" fontId="36" fillId="0" borderId="0" xfId="0" applyFont="1" applyFill="1" applyBorder="1"/>
    <xf numFmtId="0" fontId="1" fillId="0" borderId="66" xfId="0" applyFont="1" applyFill="1" applyBorder="1" applyAlignment="1">
      <alignment horizontal="center" vertical="center"/>
    </xf>
    <xf numFmtId="0" fontId="1" fillId="4" borderId="80" xfId="0" applyFont="1" applyFill="1" applyBorder="1" applyAlignment="1">
      <alignment horizontal="center" vertical="center"/>
    </xf>
    <xf numFmtId="0" fontId="69" fillId="5" borderId="103" xfId="0" applyFont="1" applyFill="1" applyBorder="1" applyAlignment="1">
      <alignment horizontal="center" vertical="center"/>
    </xf>
    <xf numFmtId="0" fontId="0" fillId="0" borderId="103" xfId="0" applyFill="1" applyBorder="1" applyAlignment="1">
      <alignment horizontal="center" vertical="center"/>
    </xf>
    <xf numFmtId="0" fontId="0" fillId="0" borderId="20" xfId="0" applyFill="1" applyBorder="1" applyAlignment="1">
      <alignment horizontal="center" vertical="center"/>
    </xf>
    <xf numFmtId="0" fontId="25" fillId="0" borderId="0" xfId="0" applyFont="1" applyFill="1" applyBorder="1" applyAlignment="1">
      <alignment horizontal="center" vertical="center"/>
    </xf>
    <xf numFmtId="0" fontId="0" fillId="0" borderId="109" xfId="0" applyFill="1" applyBorder="1" applyAlignment="1">
      <alignment horizontal="center" vertical="center"/>
    </xf>
    <xf numFmtId="0" fontId="0" fillId="0" borderId="87" xfId="0" applyFill="1" applyBorder="1" applyAlignment="1">
      <alignment horizontal="center" vertical="center"/>
    </xf>
    <xf numFmtId="0" fontId="6" fillId="0" borderId="0" xfId="0" applyFont="1" applyFill="1" applyBorder="1" applyAlignment="1">
      <alignment horizontal="left" vertical="top"/>
    </xf>
    <xf numFmtId="0" fontId="5" fillId="14" borderId="0" xfId="0" applyFont="1" applyFill="1" applyBorder="1" applyAlignment="1">
      <alignment horizontal="left" vertical="top"/>
    </xf>
    <xf numFmtId="0" fontId="5" fillId="18" borderId="0" xfId="0" applyFont="1" applyFill="1" applyBorder="1" applyAlignment="1">
      <alignment horizontal="left" vertical="top"/>
    </xf>
    <xf numFmtId="0" fontId="5" fillId="20" borderId="0" xfId="0" applyFont="1" applyFill="1" applyBorder="1" applyAlignment="1">
      <alignment horizontal="left" vertical="top"/>
    </xf>
    <xf numFmtId="0" fontId="5" fillId="15" borderId="176" xfId="0" applyFont="1" applyFill="1" applyBorder="1" applyAlignment="1">
      <alignment vertical="center"/>
    </xf>
    <xf numFmtId="0" fontId="30" fillId="17" borderId="0" xfId="0" applyFont="1" applyFill="1" applyBorder="1" applyAlignment="1">
      <alignment vertical="center"/>
    </xf>
    <xf numFmtId="0" fontId="5" fillId="21" borderId="0" xfId="0" applyFont="1" applyFill="1" applyBorder="1" applyAlignment="1">
      <alignment vertical="center"/>
    </xf>
    <xf numFmtId="0" fontId="5" fillId="23" borderId="0" xfId="0" applyFont="1" applyFill="1" applyBorder="1" applyAlignment="1">
      <alignment horizontal="left" vertical="top"/>
    </xf>
    <xf numFmtId="0" fontId="5" fillId="22" borderId="4" xfId="0" applyFont="1" applyFill="1" applyBorder="1" applyAlignment="1">
      <alignment horizontal="left" vertical="center"/>
    </xf>
    <xf numFmtId="0" fontId="5" fillId="22" borderId="0" xfId="0" applyFont="1" applyFill="1" applyBorder="1" applyAlignment="1">
      <alignment horizontal="left" vertical="center"/>
    </xf>
    <xf numFmtId="0" fontId="38" fillId="0" borderId="0" xfId="0" applyFont="1" applyFill="1" applyBorder="1" applyAlignment="1">
      <alignment vertical="center"/>
    </xf>
    <xf numFmtId="0" fontId="5" fillId="19" borderId="0" xfId="0" applyFont="1" applyFill="1" applyBorder="1" applyAlignment="1">
      <alignment vertical="center"/>
    </xf>
    <xf numFmtId="0" fontId="5" fillId="24" borderId="0" xfId="0" applyFont="1" applyFill="1" applyBorder="1" applyAlignment="1">
      <alignment vertical="center"/>
    </xf>
    <xf numFmtId="0" fontId="19" fillId="0" borderId="103" xfId="0" applyFont="1" applyFill="1" applyBorder="1" applyAlignment="1">
      <alignment horizontal="center" vertical="center" wrapText="1"/>
    </xf>
    <xf numFmtId="0" fontId="0" fillId="0" borderId="105" xfId="0" applyFill="1" applyBorder="1" applyAlignment="1">
      <alignment horizontal="center" vertical="center"/>
    </xf>
    <xf numFmtId="0" fontId="37" fillId="5" borderId="103" xfId="0" applyFont="1" applyFill="1" applyBorder="1" applyAlignment="1">
      <alignment horizontal="center"/>
    </xf>
    <xf numFmtId="0" fontId="43" fillId="0" borderId="103" xfId="0" applyFont="1" applyFill="1" applyBorder="1" applyAlignment="1">
      <alignment horizontal="center" vertical="center"/>
    </xf>
    <xf numFmtId="0" fontId="69" fillId="0" borderId="87" xfId="0" applyFont="1" applyFill="1" applyBorder="1" applyAlignment="1">
      <alignment horizontal="center"/>
    </xf>
    <xf numFmtId="0" fontId="69" fillId="0" borderId="103" xfId="0" applyFont="1" applyFill="1" applyBorder="1" applyAlignment="1">
      <alignment horizontal="center"/>
    </xf>
    <xf numFmtId="0" fontId="69" fillId="0" borderId="103" xfId="0" applyFont="1" applyFill="1" applyBorder="1" applyAlignment="1">
      <alignment horizontal="center" vertical="center"/>
    </xf>
    <xf numFmtId="0" fontId="21" fillId="0" borderId="0" xfId="0" applyFont="1"/>
    <xf numFmtId="0" fontId="70" fillId="0" borderId="0" xfId="0" applyFont="1" applyAlignment="1">
      <alignment horizontal="left" vertical="center" readingOrder="1"/>
    </xf>
    <xf numFmtId="0" fontId="7" fillId="0" borderId="16" xfId="0" applyFont="1" applyBorder="1"/>
    <xf numFmtId="0" fontId="1" fillId="0" borderId="0" xfId="0" applyNumberFormat="1" applyFont="1" applyAlignment="1"/>
    <xf numFmtId="0" fontId="1" fillId="14" borderId="16" xfId="0" applyFont="1" applyFill="1" applyBorder="1"/>
    <xf numFmtId="0" fontId="1" fillId="14" borderId="0" xfId="0" applyFont="1" applyFill="1"/>
    <xf numFmtId="0" fontId="1" fillId="14" borderId="84" xfId="0" applyFont="1" applyFill="1" applyBorder="1"/>
    <xf numFmtId="0" fontId="13" fillId="0" borderId="103" xfId="1" applyBorder="1" applyAlignment="1" applyProtection="1">
      <alignment horizontal="left"/>
    </xf>
    <xf numFmtId="0" fontId="1" fillId="0" borderId="103" xfId="0" applyFont="1" applyBorder="1" applyAlignment="1">
      <alignment horizontal="left"/>
    </xf>
    <xf numFmtId="0" fontId="1" fillId="0" borderId="80" xfId="0" applyFont="1" applyBorder="1" applyAlignment="1">
      <alignment horizontal="left"/>
    </xf>
    <xf numFmtId="0" fontId="13" fillId="0" borderId="103" xfId="1" applyFont="1" applyBorder="1" applyAlignment="1" applyProtection="1">
      <alignment horizontal="left"/>
    </xf>
    <xf numFmtId="0" fontId="1" fillId="0" borderId="0" xfId="0" applyFont="1" applyAlignment="1">
      <alignment horizontal="left"/>
    </xf>
    <xf numFmtId="0" fontId="13" fillId="0" borderId="80" xfId="1" applyBorder="1" applyAlignment="1" applyProtection="1">
      <alignment horizontal="left"/>
    </xf>
    <xf numFmtId="0" fontId="1" fillId="0" borderId="84" xfId="0" applyNumberFormat="1" applyFont="1" applyBorder="1"/>
    <xf numFmtId="0" fontId="13" fillId="0" borderId="0" xfId="1" applyFill="1" applyBorder="1" applyAlignment="1" applyProtection="1"/>
    <xf numFmtId="0" fontId="32" fillId="0" borderId="61" xfId="0" applyFont="1" applyFill="1" applyBorder="1" applyAlignment="1">
      <alignment horizontal="center" vertical="center" wrapText="1"/>
    </xf>
    <xf numFmtId="0" fontId="20" fillId="0" borderId="0" xfId="0" applyFont="1"/>
    <xf numFmtId="0" fontId="36" fillId="5" borderId="80" xfId="0" applyFont="1" applyFill="1" applyBorder="1" applyAlignment="1">
      <alignment horizontal="center"/>
    </xf>
    <xf numFmtId="0" fontId="17" fillId="5" borderId="87" xfId="0" applyFont="1" applyFill="1" applyBorder="1" applyAlignment="1">
      <alignment horizontal="center" vertical="center"/>
    </xf>
    <xf numFmtId="0" fontId="17" fillId="5" borderId="103" xfId="0" applyFont="1" applyFill="1" applyBorder="1" applyAlignment="1">
      <alignment horizontal="center" vertical="center"/>
    </xf>
    <xf numFmtId="0" fontId="17" fillId="5" borderId="80" xfId="0" applyFont="1" applyFill="1" applyBorder="1" applyAlignment="1">
      <alignment horizontal="center" vertical="center"/>
    </xf>
    <xf numFmtId="0" fontId="17" fillId="0" borderId="0" xfId="0" applyFont="1" applyFill="1" applyBorder="1"/>
    <xf numFmtId="16" fontId="32" fillId="4" borderId="2" xfId="0" quotePrefix="1" applyNumberFormat="1" applyFont="1" applyFill="1" applyBorder="1" applyAlignment="1">
      <alignment horizontal="center" vertical="center" wrapText="1"/>
    </xf>
    <xf numFmtId="0" fontId="2" fillId="0" borderId="6" xfId="0" applyFont="1" applyFill="1" applyBorder="1" applyAlignment="1" applyProtection="1">
      <alignment horizontal="center" vertical="center"/>
      <protection locked="0"/>
    </xf>
    <xf numFmtId="0" fontId="7" fillId="0" borderId="84" xfId="0" applyFont="1" applyBorder="1"/>
    <xf numFmtId="0" fontId="7" fillId="0" borderId="84" xfId="0" applyFont="1" applyBorder="1" applyAlignment="1"/>
    <xf numFmtId="0" fontId="7" fillId="0" borderId="84" xfId="0" applyFont="1" applyFill="1" applyBorder="1"/>
    <xf numFmtId="0" fontId="71" fillId="2" borderId="0" xfId="0" applyFont="1" applyFill="1" applyBorder="1"/>
    <xf numFmtId="0" fontId="1" fillId="0" borderId="0" xfId="0" applyFont="1" applyAlignment="1">
      <alignment wrapText="1"/>
    </xf>
    <xf numFmtId="0" fontId="1" fillId="0" borderId="66" xfId="0" applyFont="1" applyFill="1" applyBorder="1" applyAlignment="1" applyProtection="1">
      <alignment vertical="center"/>
    </xf>
    <xf numFmtId="0" fontId="1" fillId="0" borderId="103" xfId="0" applyFont="1" applyFill="1" applyBorder="1" applyAlignment="1" applyProtection="1"/>
    <xf numFmtId="0" fontId="1" fillId="0" borderId="103" xfId="0" applyFont="1" applyFill="1" applyBorder="1" applyAlignment="1" applyProtection="1">
      <alignment horizontal="center" vertical="center"/>
      <protection locked="0"/>
    </xf>
    <xf numFmtId="0" fontId="73" fillId="0" borderId="0" xfId="0" applyFont="1" applyAlignment="1">
      <alignment vertical="center"/>
    </xf>
    <xf numFmtId="0" fontId="7" fillId="0" borderId="105" xfId="0" applyFont="1" applyFill="1" applyBorder="1" applyAlignment="1" applyProtection="1"/>
    <xf numFmtId="12" fontId="7" fillId="0" borderId="103" xfId="0" applyNumberFormat="1" applyFont="1" applyFill="1" applyBorder="1" applyAlignment="1" applyProtection="1">
      <alignment horizontal="center" vertical="center"/>
    </xf>
    <xf numFmtId="49" fontId="1" fillId="0" borderId="103" xfId="0" applyNumberFormat="1" applyFont="1" applyFill="1" applyBorder="1" applyAlignment="1" applyProtection="1">
      <alignment horizontal="center"/>
    </xf>
    <xf numFmtId="49" fontId="7" fillId="0" borderId="103" xfId="0" applyNumberFormat="1" applyFont="1" applyFill="1" applyBorder="1" applyAlignment="1" applyProtection="1">
      <alignment horizontal="center" vertical="center"/>
    </xf>
    <xf numFmtId="0" fontId="1" fillId="0" borderId="105" xfId="0" applyFont="1" applyFill="1" applyBorder="1" applyAlignment="1" applyProtection="1">
      <alignment vertical="center"/>
    </xf>
    <xf numFmtId="0" fontId="1" fillId="0" borderId="105" xfId="0" quotePrefix="1" applyFont="1" applyFill="1" applyBorder="1" applyAlignment="1" applyProtection="1">
      <alignment vertical="center"/>
    </xf>
    <xf numFmtId="0" fontId="7" fillId="0" borderId="87" xfId="0" applyFont="1" applyFill="1" applyBorder="1" applyAlignment="1" applyProtection="1">
      <alignment horizontal="center"/>
    </xf>
    <xf numFmtId="0" fontId="5" fillId="0" borderId="0" xfId="0" applyFont="1" applyFill="1" applyBorder="1" applyAlignment="1">
      <alignment vertical="center"/>
    </xf>
    <xf numFmtId="0" fontId="7" fillId="0" borderId="230" xfId="0" applyFont="1" applyFill="1" applyBorder="1" applyAlignment="1" applyProtection="1">
      <alignment horizontal="center"/>
    </xf>
    <xf numFmtId="1" fontId="7" fillId="0" borderId="230" xfId="0" applyNumberFormat="1" applyFont="1" applyFill="1" applyBorder="1" applyAlignment="1" applyProtection="1">
      <alignment horizontal="center" vertical="center"/>
    </xf>
    <xf numFmtId="49" fontId="7" fillId="0" borderId="230" xfId="0" applyNumberFormat="1" applyFont="1" applyFill="1" applyBorder="1" applyAlignment="1" applyProtection="1">
      <alignment horizontal="center"/>
    </xf>
    <xf numFmtId="12" fontId="7" fillId="0" borderId="230" xfId="0" applyNumberFormat="1" applyFont="1" applyFill="1" applyBorder="1" applyAlignment="1" applyProtection="1">
      <alignment horizontal="center" vertical="center"/>
    </xf>
    <xf numFmtId="0" fontId="0" fillId="0" borderId="230" xfId="0" applyFill="1" applyBorder="1" applyAlignment="1" applyProtection="1">
      <alignment horizontal="center" vertical="center"/>
    </xf>
    <xf numFmtId="0" fontId="0" fillId="0" borderId="230" xfId="0" applyBorder="1" applyAlignment="1" applyProtection="1">
      <alignment horizontal="center" vertical="center"/>
    </xf>
    <xf numFmtId="0" fontId="7" fillId="0" borderId="103" xfId="0" applyFont="1" applyFill="1" applyBorder="1" applyAlignment="1" applyProtection="1">
      <alignment horizontal="center" vertical="center"/>
    </xf>
    <xf numFmtId="1" fontId="7" fillId="0" borderId="103" xfId="0" applyNumberFormat="1" applyFont="1" applyFill="1" applyBorder="1" applyAlignment="1" applyProtection="1">
      <alignment horizontal="center" vertical="center"/>
    </xf>
    <xf numFmtId="0" fontId="5" fillId="25" borderId="0" xfId="0" applyFont="1" applyFill="1" applyBorder="1" applyAlignment="1">
      <alignment horizontal="left" vertical="top"/>
    </xf>
    <xf numFmtId="0" fontId="7" fillId="5" borderId="103" xfId="0" applyFont="1" applyFill="1" applyBorder="1"/>
    <xf numFmtId="0" fontId="7" fillId="14" borderId="0" xfId="0" applyFont="1" applyFill="1"/>
    <xf numFmtId="0" fontId="0" fillId="0" borderId="4" xfId="0" applyBorder="1"/>
    <xf numFmtId="0" fontId="5" fillId="0" borderId="4" xfId="0" applyFont="1" applyBorder="1"/>
    <xf numFmtId="0" fontId="5" fillId="4" borderId="0" xfId="0" applyFont="1" applyFill="1" applyBorder="1" applyAlignment="1">
      <alignment horizontal="left" vertical="top"/>
    </xf>
    <xf numFmtId="0" fontId="0" fillId="0" borderId="0" xfId="0" applyFill="1" applyBorder="1" applyAlignment="1">
      <alignment horizontal="right"/>
    </xf>
    <xf numFmtId="0" fontId="1" fillId="0" borderId="0" xfId="0" applyFont="1" applyAlignment="1">
      <alignment horizontal="right"/>
    </xf>
    <xf numFmtId="0" fontId="0" fillId="0" borderId="0" xfId="0" applyFont="1" applyFill="1" applyBorder="1" applyAlignment="1">
      <alignment horizontal="right"/>
    </xf>
    <xf numFmtId="0" fontId="0" fillId="0" borderId="0" xfId="0" applyFill="1" applyAlignment="1">
      <alignment horizontal="right"/>
    </xf>
    <xf numFmtId="0" fontId="7" fillId="7" borderId="69" xfId="0" applyFont="1" applyFill="1" applyBorder="1"/>
    <xf numFmtId="0" fontId="7" fillId="5" borderId="69" xfId="0" applyFont="1" applyFill="1" applyBorder="1"/>
    <xf numFmtId="0" fontId="7" fillId="8" borderId="69" xfId="0" applyFont="1" applyFill="1" applyBorder="1"/>
    <xf numFmtId="0" fontId="1" fillId="0" borderId="103" xfId="0" applyFont="1" applyFill="1" applyBorder="1" applyAlignment="1">
      <alignment horizontal="left"/>
    </xf>
    <xf numFmtId="0" fontId="0" fillId="0" borderId="103" xfId="0" applyFont="1" applyFill="1" applyBorder="1"/>
    <xf numFmtId="0" fontId="0" fillId="0" borderId="0" xfId="0" applyNumberFormat="1" applyAlignment="1">
      <alignment horizontal="center"/>
    </xf>
    <xf numFmtId="0" fontId="0" fillId="0" borderId="0" xfId="0" applyNumberFormat="1" applyFill="1" applyAlignment="1">
      <alignment horizontal="center"/>
    </xf>
    <xf numFmtId="0" fontId="1" fillId="15" borderId="0" xfId="0" applyFont="1" applyFill="1"/>
    <xf numFmtId="0" fontId="2" fillId="15" borderId="0" xfId="0" applyFont="1" applyFill="1"/>
    <xf numFmtId="49" fontId="0" fillId="15" borderId="0" xfId="0" applyNumberFormat="1" applyFill="1" applyAlignment="1">
      <alignment horizontal="center"/>
    </xf>
    <xf numFmtId="49" fontId="0" fillId="15" borderId="3" xfId="0" applyNumberFormat="1" applyFill="1" applyBorder="1" applyAlignment="1">
      <alignment horizontal="center"/>
    </xf>
    <xf numFmtId="49" fontId="0" fillId="15" borderId="0" xfId="0" applyNumberFormat="1" applyFill="1" applyAlignment="1"/>
    <xf numFmtId="1" fontId="0" fillId="15" borderId="0" xfId="0" applyNumberFormat="1" applyFill="1" applyAlignment="1"/>
    <xf numFmtId="0" fontId="0" fillId="0" borderId="104" xfId="0"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1" fillId="0" borderId="6" xfId="0" applyFont="1" applyFill="1" applyBorder="1" applyAlignment="1" applyProtection="1">
      <alignment horizontal="center" vertical="center"/>
      <protection locked="0"/>
    </xf>
    <xf numFmtId="0" fontId="75" fillId="2" borderId="0" xfId="0" applyFont="1" applyFill="1" applyBorder="1"/>
    <xf numFmtId="0" fontId="38" fillId="4" borderId="0" xfId="0" applyFont="1" applyFill="1" applyBorder="1" applyAlignment="1">
      <alignment horizontal="left" vertical="top"/>
    </xf>
    <xf numFmtId="0" fontId="5" fillId="26" borderId="30" xfId="0" applyFont="1" applyFill="1" applyBorder="1" applyAlignment="1">
      <alignment vertical="center"/>
    </xf>
    <xf numFmtId="0" fontId="5" fillId="26" borderId="0" xfId="0" applyFont="1" applyFill="1" applyBorder="1" applyAlignment="1">
      <alignment vertical="center"/>
    </xf>
    <xf numFmtId="0" fontId="1" fillId="5" borderId="12" xfId="0" quotePrefix="1" applyFont="1" applyFill="1" applyBorder="1"/>
    <xf numFmtId="0" fontId="1" fillId="5" borderId="103" xfId="0" quotePrefix="1" applyFont="1" applyFill="1" applyBorder="1"/>
    <xf numFmtId="0" fontId="0" fillId="0" borderId="15" xfId="0" applyFill="1" applyBorder="1"/>
    <xf numFmtId="0" fontId="0" fillId="0" borderId="27" xfId="0" applyFill="1" applyBorder="1"/>
    <xf numFmtId="0" fontId="0" fillId="0" borderId="28" xfId="0" applyFill="1" applyBorder="1"/>
    <xf numFmtId="0" fontId="0" fillId="0" borderId="105" xfId="0" applyBorder="1"/>
    <xf numFmtId="0" fontId="0" fillId="4" borderId="105" xfId="0" applyFill="1" applyBorder="1"/>
    <xf numFmtId="0" fontId="0" fillId="5" borderId="105" xfId="0" applyFill="1" applyBorder="1"/>
    <xf numFmtId="0" fontId="0" fillId="0" borderId="105" xfId="0" applyFill="1" applyBorder="1"/>
    <xf numFmtId="0" fontId="7" fillId="0" borderId="105" xfId="0" applyFont="1" applyBorder="1"/>
    <xf numFmtId="0" fontId="0" fillId="6" borderId="105" xfId="0" applyFill="1" applyBorder="1"/>
    <xf numFmtId="0" fontId="1" fillId="0" borderId="105" xfId="0" applyFont="1" applyBorder="1"/>
    <xf numFmtId="0" fontId="0" fillId="0" borderId="109" xfId="0" applyBorder="1"/>
    <xf numFmtId="0" fontId="0" fillId="0" borderId="231" xfId="0" applyBorder="1"/>
    <xf numFmtId="0" fontId="0" fillId="0" borderId="232" xfId="0" applyBorder="1"/>
    <xf numFmtId="0" fontId="0" fillId="5" borderId="232" xfId="0" applyFill="1" applyBorder="1"/>
    <xf numFmtId="0" fontId="0" fillId="4" borderId="232" xfId="0" applyFill="1" applyBorder="1"/>
    <xf numFmtId="0" fontId="0" fillId="0" borderId="232" xfId="0" applyFill="1" applyBorder="1"/>
    <xf numFmtId="0" fontId="7" fillId="0" borderId="232" xfId="0" applyFont="1" applyBorder="1"/>
    <xf numFmtId="0" fontId="25" fillId="6" borderId="75" xfId="0" applyFont="1" applyFill="1" applyBorder="1" applyAlignment="1">
      <alignment horizontal="center"/>
    </xf>
    <xf numFmtId="0" fontId="0" fillId="6" borderId="232" xfId="0" applyFill="1" applyBorder="1"/>
    <xf numFmtId="0" fontId="0" fillId="0" borderId="233" xfId="0" applyBorder="1"/>
    <xf numFmtId="0" fontId="0" fillId="0" borderId="234" xfId="0" applyBorder="1"/>
    <xf numFmtId="0" fontId="0" fillId="0" borderId="235" xfId="0" applyBorder="1"/>
    <xf numFmtId="0" fontId="0" fillId="0" borderId="236" xfId="0" applyBorder="1"/>
    <xf numFmtId="0" fontId="2" fillId="0" borderId="0" xfId="1" applyFont="1" applyFill="1" applyAlignment="1" applyProtection="1">
      <alignment horizontal="center"/>
    </xf>
    <xf numFmtId="0" fontId="1" fillId="0" borderId="0" xfId="0" applyNumberFormat="1" applyFont="1" applyFill="1" applyAlignment="1">
      <alignment horizontal="center"/>
    </xf>
    <xf numFmtId="0" fontId="1" fillId="0" borderId="0" xfId="0" applyFont="1" applyFill="1" applyAlignment="1">
      <alignment horizontal="right"/>
    </xf>
    <xf numFmtId="0" fontId="1" fillId="0" borderId="0" xfId="0" quotePrefix="1" applyFont="1" applyFill="1"/>
    <xf numFmtId="0" fontId="7" fillId="5" borderId="103" xfId="0" quotePrefix="1" applyFont="1" applyFill="1" applyBorder="1"/>
    <xf numFmtId="0" fontId="16" fillId="0" borderId="80" xfId="0" applyFont="1" applyFill="1" applyBorder="1"/>
    <xf numFmtId="0" fontId="1" fillId="5" borderId="17" xfId="0" applyFont="1" applyFill="1" applyBorder="1"/>
    <xf numFmtId="0" fontId="1" fillId="8" borderId="16" xfId="0" applyFont="1" applyFill="1" applyBorder="1"/>
    <xf numFmtId="0" fontId="13" fillId="0" borderId="80" xfId="1" applyFont="1" applyBorder="1" applyAlignment="1" applyProtection="1">
      <alignment horizontal="left"/>
    </xf>
    <xf numFmtId="0" fontId="38" fillId="2" borderId="0" xfId="0" applyFont="1" applyFill="1" applyBorder="1" applyAlignment="1">
      <alignment horizontal="center"/>
    </xf>
    <xf numFmtId="0" fontId="38" fillId="2" borderId="51" xfId="0" applyFont="1" applyFill="1" applyBorder="1" applyAlignment="1">
      <alignment horizontal="center"/>
    </xf>
    <xf numFmtId="0" fontId="2" fillId="0" borderId="0" xfId="1" applyFont="1" applyAlignment="1" applyProtection="1">
      <alignment horizontal="center"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2" fillId="15" borderId="0" xfId="0" applyFont="1" applyFill="1" applyAlignment="1">
      <alignment horizontal="center" vertical="center"/>
    </xf>
    <xf numFmtId="1" fontId="21" fillId="0" borderId="0" xfId="0" applyNumberFormat="1" applyFont="1" applyAlignment="1">
      <alignment horizontal="center" wrapText="1" shrinkToFit="1"/>
    </xf>
    <xf numFmtId="0" fontId="20" fillId="0" borderId="84" xfId="0" applyFont="1" applyBorder="1"/>
    <xf numFmtId="0" fontId="30" fillId="6" borderId="0" xfId="0" applyFont="1" applyFill="1" applyBorder="1" applyAlignment="1"/>
    <xf numFmtId="49" fontId="5" fillId="0" borderId="84" xfId="0" applyNumberFormat="1" applyFont="1" applyBorder="1" applyAlignment="1">
      <alignment horizontal="center"/>
    </xf>
    <xf numFmtId="0" fontId="1" fillId="0" borderId="84" xfId="0" applyFont="1" applyFill="1" applyBorder="1" applyAlignment="1"/>
    <xf numFmtId="0" fontId="1" fillId="0" borderId="84" xfId="0" quotePrefix="1" applyFont="1" applyFill="1" applyBorder="1"/>
    <xf numFmtId="0" fontId="1" fillId="0" borderId="84" xfId="0" applyNumberFormat="1" applyFont="1" applyFill="1" applyBorder="1" applyAlignment="1"/>
    <xf numFmtId="49" fontId="1" fillId="0" borderId="84" xfId="0" applyNumberFormat="1" applyFont="1" applyBorder="1" applyAlignment="1"/>
    <xf numFmtId="0" fontId="1" fillId="0" borderId="0" xfId="0" applyFont="1" applyBorder="1" applyAlignment="1">
      <alignment horizontal="right" vertical="top"/>
    </xf>
    <xf numFmtId="0" fontId="7" fillId="0" borderId="0" xfId="0" applyFont="1" applyBorder="1" applyAlignment="1">
      <alignment horizontal="right" vertical="top"/>
    </xf>
    <xf numFmtId="49" fontId="5" fillId="0" borderId="77" xfId="0" applyNumberFormat="1" applyFont="1" applyBorder="1" applyAlignment="1">
      <alignment horizontal="left"/>
    </xf>
    <xf numFmtId="0" fontId="1" fillId="0" borderId="104" xfId="0" applyFont="1" applyFill="1" applyBorder="1" applyAlignment="1">
      <alignment shrinkToFit="1"/>
    </xf>
    <xf numFmtId="0" fontId="2" fillId="0" borderId="104" xfId="0" applyFont="1" applyFill="1" applyBorder="1" applyAlignment="1">
      <alignment shrinkToFit="1"/>
    </xf>
    <xf numFmtId="0" fontId="21" fillId="12" borderId="0" xfId="0" applyFont="1" applyFill="1" applyBorder="1" applyAlignment="1">
      <alignment horizontal="center" vertical="center"/>
    </xf>
    <xf numFmtId="0" fontId="16" fillId="0" borderId="103" xfId="0" applyFont="1" applyFill="1" applyBorder="1"/>
    <xf numFmtId="0" fontId="79" fillId="0" borderId="0" xfId="0" applyFont="1" applyFill="1" applyBorder="1"/>
    <xf numFmtId="0" fontId="53" fillId="0" borderId="0" xfId="0" applyFont="1" applyFill="1" applyBorder="1" applyAlignment="1">
      <alignment vertical="center"/>
    </xf>
    <xf numFmtId="0" fontId="19" fillId="0" borderId="6" xfId="0" applyFont="1" applyFill="1" applyBorder="1" applyAlignment="1" applyProtection="1">
      <alignment horizontal="center" vertical="center" shrinkToFit="1"/>
      <protection locked="0"/>
    </xf>
    <xf numFmtId="0" fontId="24" fillId="0" borderId="104" xfId="0" applyFont="1" applyFill="1" applyBorder="1" applyAlignment="1" applyProtection="1">
      <alignment horizontal="center" vertical="center" shrinkToFit="1"/>
      <protection locked="0"/>
    </xf>
    <xf numFmtId="0" fontId="23" fillId="2" borderId="0" xfId="0" applyFont="1" applyFill="1" applyBorder="1"/>
    <xf numFmtId="0" fontId="17" fillId="0" borderId="6" xfId="0" applyFont="1" applyFill="1" applyBorder="1" applyAlignment="1">
      <alignment horizontal="center" vertical="center"/>
    </xf>
    <xf numFmtId="0" fontId="1" fillId="0" borderId="6" xfId="0" applyFont="1" applyFill="1" applyBorder="1" applyAlignment="1" applyProtection="1">
      <alignment horizontal="center" vertical="center"/>
      <protection locked="0"/>
    </xf>
    <xf numFmtId="0" fontId="1" fillId="0" borderId="0" xfId="0" applyFont="1" applyFill="1" applyAlignment="1">
      <alignment wrapText="1"/>
    </xf>
    <xf numFmtId="0" fontId="32" fillId="0" borderId="91" xfId="0" applyFont="1" applyFill="1" applyBorder="1" applyAlignment="1">
      <alignment horizontal="center" vertical="center" wrapText="1"/>
    </xf>
    <xf numFmtId="0" fontId="32" fillId="5" borderId="91" xfId="0" applyFont="1" applyFill="1" applyBorder="1" applyAlignment="1">
      <alignment horizontal="center" vertical="center"/>
    </xf>
    <xf numFmtId="16" fontId="1" fillId="0" borderId="0" xfId="0" quotePrefix="1" applyNumberFormat="1" applyFont="1" applyAlignment="1">
      <alignment horizontal="right"/>
    </xf>
    <xf numFmtId="0" fontId="1" fillId="5" borderId="0" xfId="0" quotePrefix="1" applyFont="1" applyFill="1"/>
    <xf numFmtId="0" fontId="1" fillId="0" borderId="232" xfId="0" applyFont="1" applyBorder="1"/>
    <xf numFmtId="0" fontId="25" fillId="6" borderId="50" xfId="0" applyFont="1" applyFill="1" applyBorder="1" applyAlignment="1">
      <alignment horizontal="left"/>
    </xf>
    <xf numFmtId="0" fontId="7" fillId="0" borderId="12" xfId="0" applyFont="1" applyFill="1" applyBorder="1"/>
    <xf numFmtId="0" fontId="7" fillId="0" borderId="12" xfId="0" quotePrefix="1" applyFont="1" applyFill="1" applyBorder="1"/>
    <xf numFmtId="0" fontId="32" fillId="0" borderId="91" xfId="0" quotePrefix="1" applyFont="1" applyFill="1" applyBorder="1" applyAlignment="1">
      <alignment horizontal="center" vertical="center"/>
    </xf>
    <xf numFmtId="0" fontId="32" fillId="0" borderId="92" xfId="0" quotePrefix="1" applyFont="1" applyFill="1" applyBorder="1" applyAlignment="1">
      <alignment horizontal="center" vertical="center" wrapText="1"/>
    </xf>
    <xf numFmtId="0" fontId="32" fillId="0" borderId="91" xfId="0" quotePrefix="1" applyFont="1" applyFill="1" applyBorder="1" applyAlignment="1">
      <alignment horizontal="center" vertical="center" wrapText="1"/>
    </xf>
    <xf numFmtId="0" fontId="32" fillId="5" borderId="175" xfId="0" quotePrefix="1" applyFont="1" applyFill="1" applyBorder="1" applyAlignment="1">
      <alignment horizontal="center" vertical="center"/>
    </xf>
    <xf numFmtId="0" fontId="32" fillId="5" borderId="92" xfId="0" quotePrefix="1" applyFont="1" applyFill="1" applyBorder="1" applyAlignment="1">
      <alignment horizontal="center" vertical="center" wrapText="1"/>
    </xf>
    <xf numFmtId="0" fontId="34" fillId="5" borderId="60" xfId="0" applyFont="1" applyFill="1" applyBorder="1" applyAlignment="1">
      <alignment horizontal="center" vertical="center"/>
    </xf>
    <xf numFmtId="0" fontId="32" fillId="0" borderId="222" xfId="0" applyFont="1" applyFill="1" applyBorder="1" applyAlignment="1">
      <alignment horizontal="center" vertical="center" wrapText="1"/>
    </xf>
    <xf numFmtId="0" fontId="34" fillId="5" borderId="91" xfId="0" applyFont="1" applyFill="1" applyBorder="1" applyAlignment="1">
      <alignment horizontal="center" vertical="center"/>
    </xf>
    <xf numFmtId="0" fontId="32" fillId="0" borderId="91" xfId="0" applyFont="1" applyFill="1" applyBorder="1" applyAlignment="1">
      <alignment horizontal="center" vertical="center"/>
    </xf>
    <xf numFmtId="0" fontId="32" fillId="5" borderId="91" xfId="0" applyFont="1" applyFill="1" applyBorder="1" applyAlignment="1">
      <alignment horizontal="center" vertical="center"/>
    </xf>
    <xf numFmtId="0" fontId="32" fillId="0" borderId="91" xfId="0" applyFont="1" applyFill="1" applyBorder="1" applyAlignment="1">
      <alignment horizontal="center" vertical="center" wrapText="1"/>
    </xf>
    <xf numFmtId="0" fontId="32" fillId="0" borderId="91" xfId="0" applyFont="1" applyFill="1" applyBorder="1" applyAlignment="1">
      <alignment horizontal="center" vertical="center"/>
    </xf>
    <xf numFmtId="0" fontId="32" fillId="0" borderId="91" xfId="0" applyFont="1" applyFill="1" applyBorder="1" applyAlignment="1">
      <alignment horizontal="center" vertical="center" wrapText="1"/>
    </xf>
    <xf numFmtId="0" fontId="5" fillId="0" borderId="0" xfId="0" applyFont="1" applyAlignment="1">
      <alignment horizontal="center"/>
    </xf>
    <xf numFmtId="0" fontId="7" fillId="4" borderId="103" xfId="0" applyFont="1" applyFill="1" applyBorder="1"/>
    <xf numFmtId="0" fontId="7" fillId="4" borderId="103" xfId="0" quotePrefix="1" applyFont="1" applyFill="1" applyBorder="1"/>
    <xf numFmtId="0" fontId="32" fillId="5" borderId="91" xfId="0" applyFont="1" applyFill="1" applyBorder="1" applyAlignment="1">
      <alignment horizontal="center" vertical="center"/>
    </xf>
    <xf numFmtId="0" fontId="34" fillId="5" borderId="91" xfId="0" applyFont="1" applyFill="1" applyBorder="1" applyAlignment="1">
      <alignment horizontal="center" vertical="center"/>
    </xf>
    <xf numFmtId="0" fontId="0" fillId="15" borderId="0" xfId="0" applyFill="1" applyAlignment="1">
      <alignment horizontal="center"/>
    </xf>
    <xf numFmtId="0" fontId="2" fillId="0" borderId="0" xfId="0" applyFont="1" applyAlignment="1">
      <alignment horizontal="center"/>
    </xf>
    <xf numFmtId="0" fontId="10" fillId="0" borderId="0" xfId="0" applyFont="1" applyAlignment="1">
      <alignment horizontal="center" wrapText="1"/>
    </xf>
    <xf numFmtId="49" fontId="5" fillId="0" borderId="3" xfId="0" applyNumberFormat="1" applyFont="1" applyBorder="1" applyAlignment="1">
      <alignment horizontal="center"/>
    </xf>
    <xf numFmtId="0" fontId="3" fillId="0" borderId="0" xfId="0" applyFont="1" applyAlignment="1">
      <alignment horizontal="center"/>
    </xf>
    <xf numFmtId="49" fontId="1" fillId="0" borderId="0" xfId="0" applyNumberFormat="1" applyFont="1" applyAlignment="1">
      <alignment horizontal="left"/>
    </xf>
    <xf numFmtId="49" fontId="0" fillId="0" borderId="0" xfId="0" applyNumberFormat="1" applyAlignment="1">
      <alignment horizontal="left"/>
    </xf>
    <xf numFmtId="49" fontId="1" fillId="0" borderId="84" xfId="0" applyNumberFormat="1" applyFont="1" applyBorder="1" applyAlignment="1">
      <alignment horizontal="center"/>
    </xf>
    <xf numFmtId="49" fontId="1" fillId="0" borderId="0" xfId="0" applyNumberFormat="1" applyFont="1"/>
    <xf numFmtId="1" fontId="1" fillId="0" borderId="0" xfId="0" applyNumberFormat="1" applyFont="1"/>
    <xf numFmtId="0" fontId="40" fillId="6" borderId="104" xfId="0" applyFont="1" applyFill="1" applyBorder="1" applyAlignment="1">
      <alignment horizontal="center" vertical="top"/>
    </xf>
    <xf numFmtId="0" fontId="40" fillId="6" borderId="105" xfId="0" applyFont="1" applyFill="1" applyBorder="1" applyAlignment="1">
      <alignment horizontal="center" vertical="top"/>
    </xf>
    <xf numFmtId="0" fontId="65" fillId="6" borderId="104" xfId="0" applyFont="1" applyFill="1" applyBorder="1" applyAlignment="1">
      <alignment horizontal="center" vertical="center"/>
    </xf>
    <xf numFmtId="0" fontId="65" fillId="6" borderId="105" xfId="0" applyFont="1" applyFill="1" applyBorder="1" applyAlignment="1">
      <alignment horizontal="center" vertical="center"/>
    </xf>
    <xf numFmtId="0" fontId="34" fillId="0" borderId="91" xfId="0" quotePrefix="1" applyFont="1" applyFill="1" applyBorder="1" applyAlignment="1">
      <alignment horizontal="center" vertical="center"/>
    </xf>
    <xf numFmtId="0" fontId="34" fillId="0" borderId="92" xfId="0" quotePrefix="1" applyFont="1" applyFill="1" applyBorder="1" applyAlignment="1">
      <alignment horizontal="center" vertical="center" wrapText="1"/>
    </xf>
    <xf numFmtId="0" fontId="34" fillId="0" borderId="91" xfId="0" quotePrefix="1" applyFont="1" applyFill="1" applyBorder="1" applyAlignment="1">
      <alignment horizontal="center" vertical="center" wrapText="1"/>
    </xf>
    <xf numFmtId="0" fontId="35" fillId="0" borderId="2" xfId="0" quotePrefix="1" applyFont="1" applyFill="1" applyBorder="1" applyAlignment="1">
      <alignment horizontal="center" vertical="center" wrapText="1"/>
    </xf>
    <xf numFmtId="0" fontId="1" fillId="15" borderId="0" xfId="0" applyFont="1" applyFill="1" applyBorder="1"/>
    <xf numFmtId="0" fontId="32" fillId="5" borderId="2" xfId="0" quotePrefix="1" applyNumberFormat="1" applyFont="1" applyFill="1" applyBorder="1" applyAlignment="1">
      <alignment horizontal="center" vertical="center" wrapText="1"/>
    </xf>
    <xf numFmtId="0" fontId="33" fillId="5" borderId="2" xfId="0" quotePrefix="1" applyFont="1" applyFill="1" applyBorder="1" applyAlignment="1">
      <alignment horizontal="center" vertical="center" wrapText="1"/>
    </xf>
    <xf numFmtId="17" fontId="32" fillId="5" borderId="2" xfId="0" quotePrefix="1" applyNumberFormat="1" applyFont="1" applyFill="1" applyBorder="1" applyAlignment="1">
      <alignment horizontal="center" vertical="center" wrapText="1"/>
    </xf>
    <xf numFmtId="0" fontId="81" fillId="2" borderId="0" xfId="0" applyFont="1" applyFill="1" applyBorder="1"/>
    <xf numFmtId="0" fontId="31" fillId="6" borderId="0" xfId="0" applyFont="1" applyFill="1" applyBorder="1" applyAlignment="1">
      <alignment horizontal="center" vertical="center"/>
    </xf>
    <xf numFmtId="0" fontId="21" fillId="0" borderId="237" xfId="0" applyFont="1" applyFill="1" applyBorder="1" applyAlignment="1" applyProtection="1">
      <protection locked="0"/>
    </xf>
    <xf numFmtId="0" fontId="20" fillId="0" borderId="237" xfId="0" applyFont="1" applyFill="1" applyBorder="1" applyAlignment="1" applyProtection="1">
      <alignment horizontal="left"/>
      <protection locked="0"/>
    </xf>
    <xf numFmtId="49" fontId="5" fillId="0" borderId="0" xfId="0" applyNumberFormat="1" applyFont="1" applyAlignment="1"/>
    <xf numFmtId="0" fontId="5" fillId="0" borderId="0" xfId="0" applyNumberFormat="1" applyFont="1" applyAlignment="1">
      <alignment horizontal="center"/>
    </xf>
    <xf numFmtId="0" fontId="0" fillId="15" borderId="0" xfId="0" applyNumberFormat="1" applyFill="1" applyAlignment="1"/>
    <xf numFmtId="0" fontId="0" fillId="0" borderId="0" xfId="0" applyNumberFormat="1" applyAlignment="1"/>
    <xf numFmtId="0" fontId="19" fillId="2" borderId="0" xfId="0" applyFont="1" applyFill="1" applyBorder="1"/>
    <xf numFmtId="0" fontId="1" fillId="2" borderId="0" xfId="0" applyFont="1" applyFill="1" applyBorder="1" applyAlignment="1">
      <alignment horizontal="left"/>
    </xf>
    <xf numFmtId="0" fontId="1" fillId="0" borderId="155" xfId="0" applyNumberFormat="1" applyFont="1" applyFill="1" applyBorder="1" applyAlignment="1">
      <alignment horizontal="center" vertical="center"/>
    </xf>
    <xf numFmtId="1" fontId="5" fillId="0" borderId="220" xfId="0" applyNumberFormat="1" applyFont="1" applyFill="1" applyBorder="1" applyAlignment="1">
      <alignment horizontal="center" vertical="center"/>
    </xf>
    <xf numFmtId="1" fontId="1" fillId="0" borderId="160" xfId="0" applyNumberFormat="1" applyFont="1" applyFill="1" applyBorder="1" applyAlignment="1" applyProtection="1">
      <alignment horizontal="center" vertical="center"/>
      <protection locked="0"/>
    </xf>
    <xf numFmtId="0" fontId="1" fillId="0" borderId="146" xfId="0" applyFont="1" applyFill="1" applyBorder="1" applyAlignment="1">
      <alignment horizontal="center"/>
    </xf>
    <xf numFmtId="0" fontId="1" fillId="0" borderId="6" xfId="0" applyFont="1" applyFill="1" applyBorder="1" applyAlignment="1" applyProtection="1">
      <alignment horizontal="center" vertical="center"/>
      <protection locked="0"/>
    </xf>
    <xf numFmtId="0" fontId="30" fillId="0" borderId="0" xfId="0" applyFont="1" applyFill="1" applyBorder="1" applyAlignment="1">
      <alignment vertical="center"/>
    </xf>
    <xf numFmtId="0" fontId="7" fillId="4" borderId="20" xfId="0" applyFont="1" applyFill="1" applyBorder="1"/>
    <xf numFmtId="0" fontId="0" fillId="4" borderId="20" xfId="0" applyFill="1" applyBorder="1"/>
    <xf numFmtId="0" fontId="0" fillId="4" borderId="241" xfId="0" applyFill="1" applyBorder="1"/>
    <xf numFmtId="0" fontId="0" fillId="4" borderId="172" xfId="0" applyFill="1" applyBorder="1"/>
    <xf numFmtId="0" fontId="0" fillId="0" borderId="20" xfId="0" applyFill="1" applyBorder="1"/>
    <xf numFmtId="0" fontId="1" fillId="4" borderId="87" xfId="0" applyFont="1" applyFill="1" applyBorder="1"/>
    <xf numFmtId="0" fontId="0" fillId="4" borderId="87" xfId="0" applyFill="1" applyBorder="1"/>
    <xf numFmtId="0" fontId="0" fillId="4" borderId="235" xfId="0" applyFill="1" applyBorder="1"/>
    <xf numFmtId="0" fontId="0" fillId="4" borderId="109" xfId="0" applyFill="1" applyBorder="1"/>
    <xf numFmtId="0" fontId="0" fillId="0" borderId="87" xfId="0" applyFill="1" applyBorder="1"/>
    <xf numFmtId="0" fontId="1" fillId="4" borderId="103" xfId="0" quotePrefix="1" applyFont="1" applyFill="1" applyBorder="1"/>
    <xf numFmtId="0" fontId="19" fillId="0" borderId="178" xfId="0" applyFont="1" applyFill="1" applyBorder="1" applyAlignment="1">
      <alignment horizontal="left" vertical="top" wrapText="1" shrinkToFit="1"/>
    </xf>
    <xf numFmtId="49" fontId="0" fillId="0" borderId="0" xfId="0" applyNumberFormat="1" applyFill="1" applyAlignment="1"/>
    <xf numFmtId="0" fontId="5" fillId="0" borderId="0" xfId="0" applyFont="1" applyAlignment="1">
      <alignment horizontal="right" shrinkToFit="1"/>
    </xf>
    <xf numFmtId="0" fontId="1" fillId="0" borderId="0" xfId="0" applyFont="1" applyAlignment="1">
      <alignment horizontal="right" shrinkToFit="1"/>
    </xf>
    <xf numFmtId="0" fontId="0" fillId="0" borderId="0" xfId="0" applyAlignment="1">
      <alignment horizontal="right" shrinkToFit="1"/>
    </xf>
    <xf numFmtId="0" fontId="1" fillId="0" borderId="0" xfId="0" applyFont="1" applyFill="1" applyBorder="1" applyAlignment="1">
      <alignment horizontal="right" shrinkToFit="1"/>
    </xf>
    <xf numFmtId="0" fontId="0" fillId="0" borderId="0" xfId="0" applyFill="1" applyAlignment="1">
      <alignment horizontal="right" shrinkToFit="1"/>
    </xf>
    <xf numFmtId="0" fontId="1" fillId="0" borderId="0" xfId="0" quotePrefix="1" applyFont="1" applyFill="1" applyBorder="1" applyAlignment="1">
      <alignment horizontal="right" shrinkToFit="1"/>
    </xf>
    <xf numFmtId="0" fontId="1" fillId="0" borderId="0" xfId="0" applyFont="1" applyFill="1" applyAlignment="1">
      <alignment horizontal="right" shrinkToFit="1"/>
    </xf>
    <xf numFmtId="0" fontId="13" fillId="0" borderId="103" xfId="1" applyFill="1" applyBorder="1" applyAlignment="1" applyProtection="1"/>
    <xf numFmtId="0" fontId="1" fillId="0" borderId="104" xfId="0" applyFont="1" applyBorder="1" applyAlignment="1">
      <alignment horizontal="left"/>
    </xf>
    <xf numFmtId="164" fontId="25" fillId="0" borderId="0" xfId="0" applyNumberFormat="1" applyFont="1" applyFill="1" applyBorder="1"/>
    <xf numFmtId="0" fontId="58" fillId="0" borderId="2" xfId="0" applyFont="1" applyBorder="1"/>
    <xf numFmtId="0" fontId="1" fillId="7" borderId="16" xfId="0" applyFont="1" applyFill="1" applyBorder="1"/>
    <xf numFmtId="0" fontId="13" fillId="0" borderId="0" xfId="1" applyBorder="1" applyAlignment="1" applyProtection="1">
      <alignment horizontal="left"/>
    </xf>
    <xf numFmtId="0" fontId="5" fillId="0" borderId="0" xfId="0" applyFont="1" applyFill="1" applyBorder="1" applyAlignment="1">
      <alignment vertical="center"/>
    </xf>
    <xf numFmtId="0" fontId="5" fillId="0" borderId="6" xfId="0" applyFont="1" applyFill="1" applyBorder="1" applyAlignment="1">
      <alignment horizontal="center" vertical="center"/>
    </xf>
    <xf numFmtId="0" fontId="2" fillId="0" borderId="6" xfId="0" applyFont="1" applyFill="1" applyBorder="1" applyAlignment="1">
      <alignment horizontal="center" vertical="center"/>
    </xf>
    <xf numFmtId="0" fontId="31" fillId="6" borderId="22" xfId="0" applyFont="1" applyFill="1" applyBorder="1" applyAlignment="1">
      <alignment horizontal="center"/>
    </xf>
    <xf numFmtId="0" fontId="2" fillId="0" borderId="103" xfId="0" applyFont="1" applyFill="1" applyBorder="1" applyAlignment="1">
      <alignment horizontal="center" vertical="center"/>
    </xf>
    <xf numFmtId="0" fontId="2" fillId="0" borderId="10" xfId="0" applyFont="1" applyFill="1" applyBorder="1" applyAlignment="1">
      <alignment horizontal="center" vertical="center"/>
    </xf>
    <xf numFmtId="0" fontId="1" fillId="0" borderId="6" xfId="0" applyFont="1" applyFill="1" applyBorder="1" applyAlignment="1" applyProtection="1">
      <alignment horizontal="center" vertical="center"/>
      <protection locked="0"/>
    </xf>
    <xf numFmtId="0" fontId="19" fillId="0" borderId="6" xfId="0" applyFont="1" applyFill="1" applyBorder="1" applyAlignment="1" applyProtection="1">
      <alignment horizontal="center" vertical="center"/>
      <protection locked="0"/>
    </xf>
    <xf numFmtId="0" fontId="1" fillId="0" borderId="6" xfId="0" applyFont="1" applyFill="1" applyBorder="1" applyAlignment="1">
      <alignment horizontal="center" vertical="center"/>
    </xf>
    <xf numFmtId="0" fontId="22" fillId="0" borderId="6" xfId="0" applyFont="1" applyFill="1" applyBorder="1" applyAlignment="1">
      <alignment horizontal="center" vertical="center"/>
    </xf>
    <xf numFmtId="0" fontId="83" fillId="0" borderId="6" xfId="0" applyFont="1" applyFill="1" applyBorder="1" applyAlignment="1">
      <alignment horizontal="center" vertical="center"/>
    </xf>
    <xf numFmtId="0" fontId="1" fillId="0" borderId="4" xfId="0" applyFont="1" applyBorder="1" applyAlignment="1">
      <alignment horizontal="left" vertical="top"/>
    </xf>
    <xf numFmtId="0" fontId="19" fillId="0" borderId="0" xfId="1" applyFont="1" applyAlignment="1" applyProtection="1">
      <alignment horizontal="center"/>
    </xf>
    <xf numFmtId="0" fontId="5" fillId="0" borderId="69" xfId="0" applyFont="1" applyBorder="1" applyAlignment="1">
      <alignment horizontal="center"/>
    </xf>
    <xf numFmtId="0" fontId="1" fillId="0" borderId="84" xfId="0" applyFont="1" applyBorder="1" applyAlignment="1">
      <alignment wrapText="1"/>
    </xf>
    <xf numFmtId="0" fontId="2" fillId="0" borderId="103" xfId="0" applyFont="1" applyFill="1" applyBorder="1"/>
    <xf numFmtId="0" fontId="13" fillId="0" borderId="103" xfId="1" applyBorder="1" applyAlignment="1" applyProtection="1"/>
    <xf numFmtId="0" fontId="1" fillId="0" borderId="103" xfId="0" quotePrefix="1" applyFont="1" applyBorder="1"/>
    <xf numFmtId="0" fontId="0" fillId="0" borderId="103" xfId="0" quotePrefix="1" applyBorder="1"/>
    <xf numFmtId="0" fontId="2" fillId="0" borderId="11" xfId="0" applyFont="1" applyFill="1" applyBorder="1" applyAlignment="1">
      <alignment horizontal="center" vertical="center"/>
    </xf>
    <xf numFmtId="0" fontId="19" fillId="5" borderId="103" xfId="0" applyFont="1" applyFill="1" applyBorder="1" applyAlignment="1">
      <alignment horizontal="center" vertical="center" wrapText="1"/>
    </xf>
    <xf numFmtId="0" fontId="19" fillId="27" borderId="103" xfId="0" applyFont="1" applyFill="1" applyBorder="1" applyAlignment="1">
      <alignment horizontal="center" vertical="center" wrapText="1"/>
    </xf>
    <xf numFmtId="0" fontId="37" fillId="27" borderId="103" xfId="0" applyFont="1" applyFill="1" applyBorder="1" applyAlignment="1">
      <alignment horizontal="center"/>
    </xf>
    <xf numFmtId="0" fontId="1" fillId="27" borderId="87" xfId="0" applyFont="1" applyFill="1" applyBorder="1" applyAlignment="1">
      <alignment horizontal="center" vertical="center"/>
    </xf>
    <xf numFmtId="0" fontId="1" fillId="27" borderId="103" xfId="0" applyFont="1" applyFill="1" applyBorder="1" applyAlignment="1">
      <alignment horizontal="center" vertical="center"/>
    </xf>
    <xf numFmtId="0" fontId="17" fillId="5" borderId="103" xfId="0" applyFont="1" applyFill="1" applyBorder="1" applyAlignment="1">
      <alignment horizontal="center" vertical="center" wrapText="1"/>
    </xf>
    <xf numFmtId="0" fontId="62" fillId="0" borderId="103" xfId="0" applyFont="1" applyFill="1" applyBorder="1" applyAlignment="1">
      <alignment horizontal="center" vertical="center"/>
    </xf>
    <xf numFmtId="0" fontId="36" fillId="0" borderId="103" xfId="0" applyFont="1" applyFill="1" applyBorder="1" applyAlignment="1">
      <alignment horizontal="center" vertical="center"/>
    </xf>
    <xf numFmtId="0" fontId="69" fillId="0" borderId="80" xfId="0" applyFont="1" applyFill="1" applyBorder="1" applyAlignment="1">
      <alignment horizontal="center"/>
    </xf>
    <xf numFmtId="0" fontId="0" fillId="0" borderId="13" xfId="0" applyFill="1" applyBorder="1" applyAlignment="1">
      <alignment horizontal="center" vertical="center"/>
    </xf>
    <xf numFmtId="0" fontId="0" fillId="0" borderId="103" xfId="0" applyFill="1" applyBorder="1" applyAlignment="1">
      <alignment horizontal="center" vertical="center"/>
    </xf>
    <xf numFmtId="0" fontId="17" fillId="0" borderId="103" xfId="0" applyFont="1" applyFill="1" applyBorder="1" applyAlignment="1">
      <alignment horizontal="center" vertical="center"/>
    </xf>
    <xf numFmtId="0" fontId="1" fillId="0" borderId="65" xfId="0" applyFont="1" applyFill="1" applyBorder="1" applyAlignment="1">
      <alignment horizontal="center" vertical="center"/>
    </xf>
    <xf numFmtId="16" fontId="1" fillId="0" borderId="103" xfId="0" quotePrefix="1" applyNumberFormat="1" applyFont="1" applyFill="1" applyBorder="1" applyAlignment="1">
      <alignment horizontal="center" vertical="center"/>
    </xf>
    <xf numFmtId="0" fontId="1" fillId="0" borderId="103" xfId="0" quotePrefix="1" applyFont="1" applyFill="1" applyBorder="1" applyAlignment="1">
      <alignment horizontal="center" vertical="center"/>
    </xf>
    <xf numFmtId="0" fontId="63" fillId="0" borderId="103" xfId="0" applyFont="1" applyFill="1" applyBorder="1" applyAlignment="1">
      <alignment horizontal="center" vertical="center"/>
    </xf>
    <xf numFmtId="0" fontId="2" fillId="0" borderId="80" xfId="0" applyFont="1" applyFill="1" applyBorder="1" applyAlignment="1">
      <alignment horizontal="center" vertical="center"/>
    </xf>
    <xf numFmtId="0" fontId="0" fillId="0" borderId="12" xfId="0" applyFill="1" applyBorder="1" applyAlignment="1">
      <alignment horizontal="center" vertical="center"/>
    </xf>
    <xf numFmtId="0" fontId="25" fillId="0" borderId="0" xfId="0" applyFont="1" applyFill="1" applyBorder="1" applyAlignment="1">
      <alignment horizontal="center"/>
    </xf>
    <xf numFmtId="0" fontId="0" fillId="0" borderId="190" xfId="0" applyFill="1" applyBorder="1"/>
    <xf numFmtId="0" fontId="0" fillId="0" borderId="19" xfId="0" applyFill="1" applyBorder="1"/>
    <xf numFmtId="0" fontId="0" fillId="0" borderId="84" xfId="0" applyFill="1" applyBorder="1" applyAlignment="1">
      <alignment horizontal="center" vertical="center"/>
    </xf>
    <xf numFmtId="0" fontId="5" fillId="0" borderId="20" xfId="0" applyFont="1" applyFill="1" applyBorder="1" applyAlignment="1" applyProtection="1">
      <alignment horizontal="center"/>
      <protection locked="0"/>
    </xf>
    <xf numFmtId="0" fontId="5" fillId="0" borderId="4" xfId="0" applyFont="1" applyFill="1" applyBorder="1" applyAlignment="1" applyProtection="1">
      <alignment horizontal="center"/>
      <protection locked="0"/>
    </xf>
    <xf numFmtId="0" fontId="1" fillId="0" borderId="172" xfId="0" applyNumberFormat="1" applyFont="1" applyFill="1" applyBorder="1" applyAlignment="1" applyProtection="1">
      <alignment horizontal="center"/>
      <protection locked="0"/>
    </xf>
    <xf numFmtId="0" fontId="1" fillId="0" borderId="130" xfId="0" applyNumberFormat="1" applyFont="1" applyFill="1" applyBorder="1" applyAlignment="1" applyProtection="1">
      <alignment horizontal="center"/>
      <protection locked="0"/>
    </xf>
    <xf numFmtId="1" fontId="1" fillId="0" borderId="103" xfId="0" applyNumberFormat="1" applyFont="1" applyFill="1" applyBorder="1" applyAlignment="1" applyProtection="1">
      <alignment horizontal="center" vertical="center"/>
      <protection locked="0"/>
    </xf>
    <xf numFmtId="0" fontId="1" fillId="0" borderId="81" xfId="0" applyFont="1" applyFill="1" applyBorder="1" applyAlignment="1" applyProtection="1"/>
    <xf numFmtId="0" fontId="85" fillId="2" borderId="0" xfId="0" applyFont="1" applyFill="1" applyBorder="1"/>
    <xf numFmtId="0" fontId="18" fillId="10" borderId="71" xfId="0" applyFont="1" applyFill="1" applyBorder="1" applyAlignment="1">
      <alignment horizontal="center" vertical="center" wrapText="1"/>
    </xf>
    <xf numFmtId="0" fontId="18" fillId="10" borderId="72" xfId="0" applyFont="1" applyFill="1" applyBorder="1" applyAlignment="1">
      <alignment horizontal="center" vertical="center" wrapText="1"/>
    </xf>
    <xf numFmtId="0" fontId="18" fillId="10" borderId="73" xfId="0" applyFont="1" applyFill="1" applyBorder="1" applyAlignment="1">
      <alignment horizontal="center" vertical="center" wrapText="1"/>
    </xf>
    <xf numFmtId="0" fontId="18" fillId="10" borderId="74" xfId="0" applyFont="1" applyFill="1" applyBorder="1" applyAlignment="1">
      <alignment horizontal="center" vertical="center" wrapText="1"/>
    </xf>
    <xf numFmtId="0" fontId="18" fillId="10" borderId="0" xfId="0" applyFont="1" applyFill="1" applyBorder="1" applyAlignment="1">
      <alignment horizontal="center" vertical="center" wrapText="1"/>
    </xf>
    <xf numFmtId="0" fontId="18" fillId="10" borderId="75" xfId="0" applyFont="1" applyFill="1" applyBorder="1" applyAlignment="1">
      <alignment horizontal="center" vertical="center" wrapText="1"/>
    </xf>
    <xf numFmtId="0" fontId="18" fillId="10" borderId="76"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18" fillId="10" borderId="34" xfId="0" applyFont="1" applyFill="1" applyBorder="1" applyAlignment="1">
      <alignment horizontal="center" vertical="center" wrapText="1"/>
    </xf>
    <xf numFmtId="0" fontId="9" fillId="3" borderId="69" xfId="0" applyFont="1" applyFill="1" applyBorder="1" applyAlignment="1" applyProtection="1">
      <alignment horizontal="center" vertical="center"/>
      <protection locked="0"/>
    </xf>
    <xf numFmtId="0" fontId="9" fillId="3" borderId="70" xfId="0" applyFont="1" applyFill="1" applyBorder="1" applyAlignment="1" applyProtection="1">
      <alignment horizontal="center" vertical="center"/>
      <protection locked="0"/>
    </xf>
    <xf numFmtId="0" fontId="1" fillId="3" borderId="71" xfId="0" applyFont="1" applyFill="1" applyBorder="1" applyAlignment="1" applyProtection="1">
      <alignment horizontal="center" vertical="center"/>
      <protection locked="0"/>
    </xf>
    <xf numFmtId="0" fontId="1" fillId="3" borderId="73" xfId="0" applyFont="1" applyFill="1" applyBorder="1" applyAlignment="1" applyProtection="1">
      <alignment horizontal="center" vertical="center"/>
      <protection locked="0"/>
    </xf>
    <xf numFmtId="0" fontId="1" fillId="3" borderId="76"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0" borderId="104" xfId="0" applyFont="1" applyFill="1" applyBorder="1" applyAlignment="1">
      <alignment horizontal="center"/>
    </xf>
    <xf numFmtId="0" fontId="1" fillId="0" borderId="95" xfId="0" applyFont="1" applyFill="1" applyBorder="1" applyAlignment="1">
      <alignment horizontal="center"/>
    </xf>
    <xf numFmtId="0" fontId="1" fillId="0" borderId="105" xfId="0" applyFont="1" applyFill="1" applyBorder="1" applyAlignment="1">
      <alignment horizontal="center"/>
    </xf>
    <xf numFmtId="0" fontId="76" fillId="9" borderId="220" xfId="0" applyFont="1" applyFill="1" applyBorder="1" applyAlignment="1">
      <alignment horizontal="center" vertical="center" wrapText="1"/>
    </xf>
    <xf numFmtId="0" fontId="76" fillId="9" borderId="91" xfId="0" applyFont="1" applyFill="1" applyBorder="1" applyAlignment="1">
      <alignment horizontal="center" vertical="center" wrapText="1"/>
    </xf>
    <xf numFmtId="0" fontId="76" fillId="4" borderId="220" xfId="0" applyFont="1" applyFill="1" applyBorder="1" applyAlignment="1">
      <alignment horizontal="center" vertical="center" wrapText="1"/>
    </xf>
    <xf numFmtId="0" fontId="76" fillId="4" borderId="91" xfId="0" applyFont="1" applyFill="1" applyBorder="1" applyAlignment="1">
      <alignment horizontal="center" vertical="center" wrapText="1"/>
    </xf>
    <xf numFmtId="0" fontId="76" fillId="0" borderId="220" xfId="0" applyFont="1" applyFill="1" applyBorder="1" applyAlignment="1">
      <alignment horizontal="center" vertical="center" wrapText="1"/>
    </xf>
    <xf numFmtId="0" fontId="76" fillId="0" borderId="91" xfId="0" applyFont="1" applyFill="1" applyBorder="1" applyAlignment="1">
      <alignment horizontal="center" vertical="center" wrapText="1"/>
    </xf>
    <xf numFmtId="0" fontId="32" fillId="4" borderId="220" xfId="0" applyFont="1" applyFill="1" applyBorder="1" applyAlignment="1">
      <alignment horizontal="center" vertical="center" wrapText="1"/>
    </xf>
    <xf numFmtId="0" fontId="32" fillId="4" borderId="91" xfId="0" applyFont="1" applyFill="1" applyBorder="1" applyAlignment="1">
      <alignment horizontal="center" vertical="center" wrapText="1"/>
    </xf>
    <xf numFmtId="0" fontId="76" fillId="5" borderId="220" xfId="0" applyFont="1" applyFill="1" applyBorder="1" applyAlignment="1">
      <alignment horizontal="center" vertical="center" wrapText="1"/>
    </xf>
    <xf numFmtId="0" fontId="76" fillId="5" borderId="91" xfId="0" applyFont="1" applyFill="1" applyBorder="1" applyAlignment="1">
      <alignment horizontal="center" vertical="center" wrapText="1"/>
    </xf>
    <xf numFmtId="0" fontId="32" fillId="0" borderId="220" xfId="0" applyFont="1" applyFill="1" applyBorder="1" applyAlignment="1">
      <alignment horizontal="center" vertical="center" shrinkToFit="1"/>
    </xf>
    <xf numFmtId="0" fontId="32" fillId="0" borderId="91" xfId="0" applyFont="1" applyFill="1" applyBorder="1" applyAlignment="1">
      <alignment horizontal="center" vertical="center" shrinkToFit="1"/>
    </xf>
    <xf numFmtId="0" fontId="32" fillId="9" borderId="220" xfId="0" applyFont="1" applyFill="1" applyBorder="1" applyAlignment="1">
      <alignment horizontal="center" vertical="center" shrinkToFit="1"/>
    </xf>
    <xf numFmtId="0" fontId="32" fillId="9" borderId="91" xfId="0" applyFont="1" applyFill="1" applyBorder="1" applyAlignment="1">
      <alignment horizontal="center" vertical="center" shrinkToFit="1"/>
    </xf>
    <xf numFmtId="0" fontId="76" fillId="0" borderId="220" xfId="0" quotePrefix="1" applyFont="1" applyFill="1" applyBorder="1" applyAlignment="1">
      <alignment horizontal="center" vertical="center" wrapText="1" shrinkToFit="1"/>
    </xf>
    <xf numFmtId="0" fontId="76" fillId="0" borderId="91" xfId="0" quotePrefix="1" applyFont="1" applyFill="1" applyBorder="1" applyAlignment="1">
      <alignment horizontal="center" vertical="center" wrapText="1" shrinkToFit="1"/>
    </xf>
    <xf numFmtId="0" fontId="82" fillId="5" borderId="220" xfId="0" applyFont="1" applyFill="1" applyBorder="1" applyAlignment="1">
      <alignment horizontal="center" vertical="center" wrapText="1" shrinkToFit="1"/>
    </xf>
    <xf numFmtId="0" fontId="82" fillId="5" borderId="91" xfId="0" applyFont="1" applyFill="1" applyBorder="1" applyAlignment="1">
      <alignment horizontal="center" vertical="center" wrapText="1" shrinkToFit="1"/>
    </xf>
    <xf numFmtId="0" fontId="76" fillId="0" borderId="220" xfId="0" applyFont="1" applyFill="1" applyBorder="1" applyAlignment="1">
      <alignment horizontal="center" vertical="center" wrapText="1" shrinkToFit="1"/>
    </xf>
    <xf numFmtId="0" fontId="76" fillId="0" borderId="91" xfId="0" applyFont="1" applyFill="1" applyBorder="1" applyAlignment="1">
      <alignment horizontal="center" vertical="center" wrapText="1" shrinkToFit="1"/>
    </xf>
    <xf numFmtId="0" fontId="76" fillId="9" borderId="220" xfId="0" quotePrefix="1" applyFont="1" applyFill="1" applyBorder="1" applyAlignment="1">
      <alignment horizontal="center" vertical="center" wrapText="1" shrinkToFit="1"/>
    </xf>
    <xf numFmtId="0" fontId="76" fillId="9" borderId="91" xfId="0" quotePrefix="1" applyFont="1" applyFill="1" applyBorder="1" applyAlignment="1">
      <alignment horizontal="center" vertical="center" wrapText="1" shrinkToFit="1"/>
    </xf>
    <xf numFmtId="0" fontId="77" fillId="5" borderId="220" xfId="0" applyFont="1" applyFill="1" applyBorder="1" applyAlignment="1">
      <alignment horizontal="center" vertical="center" wrapText="1"/>
    </xf>
    <xf numFmtId="0" fontId="77" fillId="5" borderId="91" xfId="0" applyFont="1" applyFill="1" applyBorder="1" applyAlignment="1">
      <alignment horizontal="center" vertical="center" wrapText="1"/>
    </xf>
    <xf numFmtId="0" fontId="32" fillId="9" borderId="220" xfId="0" applyFont="1" applyFill="1" applyBorder="1" applyAlignment="1">
      <alignment horizontal="center" vertical="center" wrapText="1"/>
    </xf>
    <xf numFmtId="0" fontId="32" fillId="9" borderId="91" xfId="0" applyFont="1" applyFill="1" applyBorder="1" applyAlignment="1">
      <alignment horizontal="center" vertical="center" wrapText="1"/>
    </xf>
    <xf numFmtId="0" fontId="32" fillId="5" borderId="220" xfId="0" applyFont="1" applyFill="1" applyBorder="1" applyAlignment="1">
      <alignment horizontal="center" vertical="center" shrinkToFit="1"/>
    </xf>
    <xf numFmtId="0" fontId="32" fillId="5" borderId="91" xfId="0" applyFont="1" applyFill="1" applyBorder="1" applyAlignment="1">
      <alignment horizontal="center" vertical="center" shrinkToFit="1"/>
    </xf>
    <xf numFmtId="0" fontId="78" fillId="5" borderId="220" xfId="0" applyFont="1" applyFill="1" applyBorder="1" applyAlignment="1">
      <alignment horizontal="center" wrapText="1"/>
    </xf>
    <xf numFmtId="0" fontId="78" fillId="5" borderId="91" xfId="0" applyFont="1" applyFill="1" applyBorder="1" applyAlignment="1">
      <alignment horizontal="center" wrapText="1"/>
    </xf>
    <xf numFmtId="0" fontId="1" fillId="5" borderId="104" xfId="0" applyFont="1" applyFill="1" applyBorder="1" applyAlignment="1">
      <alignment horizontal="center"/>
    </xf>
    <xf numFmtId="0" fontId="1" fillId="5" borderId="95" xfId="0" applyFont="1" applyFill="1" applyBorder="1" applyAlignment="1">
      <alignment horizontal="center"/>
    </xf>
    <xf numFmtId="0" fontId="1" fillId="5" borderId="105" xfId="0" applyFont="1" applyFill="1" applyBorder="1" applyAlignment="1">
      <alignment horizontal="center"/>
    </xf>
    <xf numFmtId="0" fontId="76" fillId="9" borderId="220" xfId="0" quotePrefix="1" applyFont="1" applyFill="1" applyBorder="1" applyAlignment="1">
      <alignment horizontal="center" vertical="center" wrapText="1"/>
    </xf>
    <xf numFmtId="0" fontId="76" fillId="9" borderId="91" xfId="0" quotePrefix="1" applyFont="1" applyFill="1" applyBorder="1" applyAlignment="1">
      <alignment horizontal="center" vertical="center" wrapText="1"/>
    </xf>
    <xf numFmtId="0" fontId="32" fillId="0" borderId="220" xfId="0" applyFont="1" applyFill="1" applyBorder="1" applyAlignment="1">
      <alignment horizontal="center" vertical="center" wrapText="1"/>
    </xf>
    <xf numFmtId="0" fontId="32" fillId="0" borderId="91" xfId="0" applyFont="1" applyFill="1" applyBorder="1" applyAlignment="1">
      <alignment horizontal="center" vertical="center" wrapText="1"/>
    </xf>
    <xf numFmtId="0" fontId="77" fillId="9" borderId="220" xfId="0" applyFont="1" applyFill="1" applyBorder="1" applyAlignment="1">
      <alignment horizontal="center" vertical="center" wrapText="1"/>
    </xf>
    <xf numFmtId="0" fontId="77" fillId="9" borderId="91" xfId="0" applyFont="1" applyFill="1" applyBorder="1" applyAlignment="1">
      <alignment horizontal="center" vertical="center" wrapText="1"/>
    </xf>
    <xf numFmtId="0" fontId="32" fillId="9" borderId="220" xfId="0" quotePrefix="1" applyFont="1" applyFill="1" applyBorder="1" applyAlignment="1">
      <alignment horizontal="center" vertical="center" wrapText="1"/>
    </xf>
    <xf numFmtId="0" fontId="32" fillId="9" borderId="91" xfId="0" quotePrefix="1" applyFont="1" applyFill="1" applyBorder="1" applyAlignment="1">
      <alignment horizontal="center" vertical="center" wrapText="1"/>
    </xf>
    <xf numFmtId="0" fontId="76" fillId="9" borderId="220" xfId="0" quotePrefix="1" applyFont="1" applyFill="1" applyBorder="1" applyAlignment="1">
      <alignment horizontal="center" vertical="center" shrinkToFit="1"/>
    </xf>
    <xf numFmtId="0" fontId="76" fillId="9" borderId="91" xfId="0" quotePrefix="1" applyFont="1" applyFill="1" applyBorder="1" applyAlignment="1">
      <alignment horizontal="center" vertical="center" shrinkToFit="1"/>
    </xf>
    <xf numFmtId="0" fontId="76" fillId="0" borderId="220" xfId="0" applyFont="1" applyFill="1" applyBorder="1" applyAlignment="1">
      <alignment horizontal="center" vertical="center" shrinkToFit="1"/>
    </xf>
    <xf numFmtId="0" fontId="76" fillId="0" borderId="91" xfId="0" applyFont="1" applyFill="1" applyBorder="1" applyAlignment="1">
      <alignment horizontal="center" vertical="center" shrinkToFit="1"/>
    </xf>
    <xf numFmtId="0" fontId="46" fillId="6" borderId="216" xfId="0" applyFont="1" applyFill="1" applyBorder="1" applyAlignment="1">
      <alignment horizontal="center" vertical="center" wrapText="1"/>
    </xf>
    <xf numFmtId="0" fontId="46" fillId="6" borderId="51" xfId="0" applyFont="1" applyFill="1" applyBorder="1" applyAlignment="1">
      <alignment horizontal="center" vertical="center" wrapText="1"/>
    </xf>
    <xf numFmtId="0" fontId="46" fillId="6" borderId="217" xfId="0" applyFont="1" applyFill="1" applyBorder="1" applyAlignment="1">
      <alignment horizontal="center" vertical="center" wrapText="1"/>
    </xf>
    <xf numFmtId="0" fontId="32" fillId="4" borderId="220" xfId="0" applyFont="1" applyFill="1" applyBorder="1" applyAlignment="1">
      <alignment horizontal="center" vertical="center"/>
    </xf>
    <xf numFmtId="0" fontId="32" fillId="4" borderId="221" xfId="0" applyFont="1" applyFill="1" applyBorder="1" applyAlignment="1">
      <alignment horizontal="center" vertical="center"/>
    </xf>
    <xf numFmtId="0" fontId="32" fillId="4" borderId="91" xfId="0" applyFont="1" applyFill="1" applyBorder="1" applyAlignment="1">
      <alignment horizontal="center" vertical="center"/>
    </xf>
    <xf numFmtId="0" fontId="38" fillId="2" borderId="63" xfId="0" applyFont="1" applyFill="1" applyBorder="1" applyAlignment="1">
      <alignment horizontal="center"/>
    </xf>
    <xf numFmtId="0" fontId="38" fillId="2" borderId="64" xfId="0" applyFont="1" applyFill="1" applyBorder="1" applyAlignment="1">
      <alignment horizontal="center"/>
    </xf>
    <xf numFmtId="0" fontId="34" fillId="0" borderId="175" xfId="0" applyFont="1" applyFill="1" applyBorder="1" applyAlignment="1">
      <alignment horizontal="center" vertical="center"/>
    </xf>
    <xf numFmtId="0" fontId="34" fillId="0" borderId="60" xfId="0" applyFont="1" applyFill="1" applyBorder="1" applyAlignment="1">
      <alignment horizontal="center" vertical="center"/>
    </xf>
    <xf numFmtId="0" fontId="32" fillId="0" borderId="213" xfId="0" applyFont="1" applyFill="1" applyBorder="1" applyAlignment="1">
      <alignment horizontal="center" vertical="center"/>
    </xf>
    <xf numFmtId="0" fontId="32" fillId="0" borderId="214" xfId="0" applyFont="1" applyFill="1" applyBorder="1" applyAlignment="1">
      <alignment horizontal="center" vertical="center"/>
    </xf>
    <xf numFmtId="0" fontId="32" fillId="0" borderId="215" xfId="0" applyFont="1" applyFill="1" applyBorder="1" applyAlignment="1">
      <alignment horizontal="center" vertical="center"/>
    </xf>
    <xf numFmtId="0" fontId="32" fillId="9" borderId="213" xfId="0" applyFont="1" applyFill="1" applyBorder="1" applyAlignment="1">
      <alignment horizontal="center" vertical="center"/>
    </xf>
    <xf numFmtId="0" fontId="32" fillId="9" borderId="214" xfId="0" applyFont="1" applyFill="1" applyBorder="1" applyAlignment="1">
      <alignment horizontal="center" vertical="center"/>
    </xf>
    <xf numFmtId="0" fontId="32" fillId="9" borderId="215" xfId="0" applyFont="1" applyFill="1" applyBorder="1" applyAlignment="1">
      <alignment horizontal="center" vertical="center"/>
    </xf>
    <xf numFmtId="0" fontId="32" fillId="5" borderId="213" xfId="0" applyFont="1" applyFill="1" applyBorder="1" applyAlignment="1">
      <alignment horizontal="center" vertical="center"/>
    </xf>
    <xf numFmtId="0" fontId="32" fillId="5" borderId="214" xfId="0" applyFont="1" applyFill="1" applyBorder="1" applyAlignment="1">
      <alignment horizontal="center" vertical="center"/>
    </xf>
    <xf numFmtId="0" fontId="32" fillId="5" borderId="215" xfId="0" applyFont="1" applyFill="1" applyBorder="1" applyAlignment="1">
      <alignment horizontal="center" vertical="center"/>
    </xf>
    <xf numFmtId="0" fontId="32" fillId="4" borderId="213" xfId="0" applyFont="1" applyFill="1" applyBorder="1" applyAlignment="1">
      <alignment horizontal="center" vertical="center"/>
    </xf>
    <xf numFmtId="0" fontId="32" fillId="4" borderId="214" xfId="0" applyFont="1" applyFill="1" applyBorder="1" applyAlignment="1">
      <alignment horizontal="center" vertical="center"/>
    </xf>
    <xf numFmtId="0" fontId="32" fillId="4" borderId="215" xfId="0" applyFont="1" applyFill="1" applyBorder="1" applyAlignment="1">
      <alignment horizontal="center" vertical="center"/>
    </xf>
    <xf numFmtId="0" fontId="34" fillId="5" borderId="213" xfId="0" applyFont="1" applyFill="1" applyBorder="1" applyAlignment="1">
      <alignment horizontal="center" vertical="center"/>
    </xf>
    <xf numFmtId="0" fontId="34" fillId="5" borderId="214" xfId="0" applyFont="1" applyFill="1" applyBorder="1" applyAlignment="1">
      <alignment horizontal="center" vertical="center"/>
    </xf>
    <xf numFmtId="0" fontId="34" fillId="5" borderId="215" xfId="0" applyFont="1" applyFill="1" applyBorder="1" applyAlignment="1">
      <alignment horizontal="center" vertical="center"/>
    </xf>
    <xf numFmtId="0" fontId="32" fillId="5" borderId="220" xfId="0" applyFont="1" applyFill="1" applyBorder="1" applyAlignment="1">
      <alignment horizontal="center" vertical="center"/>
    </xf>
    <xf numFmtId="0" fontId="32" fillId="5" borderId="221" xfId="0" applyFont="1" applyFill="1" applyBorder="1" applyAlignment="1">
      <alignment horizontal="center" vertical="center"/>
    </xf>
    <xf numFmtId="0" fontId="32" fillId="5" borderId="91" xfId="0" applyFont="1" applyFill="1" applyBorder="1" applyAlignment="1">
      <alignment horizontal="center" vertical="center"/>
    </xf>
    <xf numFmtId="0" fontId="46" fillId="6" borderId="89" xfId="0" applyFont="1" applyFill="1" applyBorder="1" applyAlignment="1">
      <alignment horizontal="center" vertical="center" wrapText="1"/>
    </xf>
    <xf numFmtId="0" fontId="47" fillId="6" borderId="94" xfId="0" applyFont="1" applyFill="1" applyBorder="1" applyAlignment="1">
      <alignment horizontal="center" vertical="center" wrapText="1"/>
    </xf>
    <xf numFmtId="0" fontId="47" fillId="6" borderId="88" xfId="0" applyFont="1" applyFill="1" applyBorder="1" applyAlignment="1">
      <alignment horizontal="center" vertical="center" wrapText="1"/>
    </xf>
    <xf numFmtId="0" fontId="46" fillId="6" borderId="0" xfId="0" applyFont="1" applyFill="1" applyBorder="1" applyAlignment="1">
      <alignment horizontal="center" vertical="center"/>
    </xf>
    <xf numFmtId="0" fontId="46" fillId="6" borderId="88" xfId="0" applyFont="1" applyFill="1" applyBorder="1" applyAlignment="1">
      <alignment horizontal="center" vertical="center"/>
    </xf>
    <xf numFmtId="0" fontId="46" fillId="6" borderId="0" xfId="0" applyFont="1" applyFill="1" applyBorder="1" applyAlignment="1">
      <alignment horizontal="center" vertical="center" wrapText="1"/>
    </xf>
    <xf numFmtId="0" fontId="46" fillId="6" borderId="218" xfId="0" applyFont="1" applyFill="1" applyBorder="1" applyAlignment="1">
      <alignment horizontal="center" vertical="center" wrapText="1"/>
    </xf>
    <xf numFmtId="0" fontId="46" fillId="6" borderId="219" xfId="0" applyFont="1" applyFill="1" applyBorder="1" applyAlignment="1">
      <alignment horizontal="center" vertical="center" wrapText="1"/>
    </xf>
    <xf numFmtId="0" fontId="34" fillId="0" borderId="213" xfId="0" applyFont="1" applyFill="1" applyBorder="1" applyAlignment="1">
      <alignment horizontal="center" vertical="center"/>
    </xf>
    <xf numFmtId="0" fontId="34" fillId="0" borderId="214" xfId="0" applyFont="1" applyFill="1" applyBorder="1" applyAlignment="1">
      <alignment horizontal="center" vertical="center"/>
    </xf>
    <xf numFmtId="0" fontId="34" fillId="0" borderId="215" xfId="0" applyFont="1" applyFill="1" applyBorder="1" applyAlignment="1">
      <alignment horizontal="center" vertical="center"/>
    </xf>
    <xf numFmtId="0" fontId="34" fillId="9" borderId="213" xfId="0" applyFont="1" applyFill="1" applyBorder="1" applyAlignment="1">
      <alignment horizontal="center" vertical="center"/>
    </xf>
    <xf numFmtId="0" fontId="34" fillId="9" borderId="214" xfId="0" applyFont="1" applyFill="1" applyBorder="1" applyAlignment="1">
      <alignment horizontal="center" vertical="center"/>
    </xf>
    <xf numFmtId="0" fontId="34" fillId="9" borderId="215" xfId="0" applyFont="1" applyFill="1" applyBorder="1" applyAlignment="1">
      <alignment horizontal="center" vertical="center"/>
    </xf>
    <xf numFmtId="0" fontId="33" fillId="9" borderId="213" xfId="0" applyFont="1" applyFill="1" applyBorder="1" applyAlignment="1">
      <alignment horizontal="center" vertical="center"/>
    </xf>
    <xf numFmtId="0" fontId="33" fillId="9" borderId="214" xfId="0" applyFont="1" applyFill="1" applyBorder="1" applyAlignment="1">
      <alignment horizontal="center" vertical="center"/>
    </xf>
    <xf numFmtId="0" fontId="33" fillId="9" borderId="215" xfId="0" applyFont="1" applyFill="1" applyBorder="1" applyAlignment="1">
      <alignment horizontal="center" vertical="center"/>
    </xf>
    <xf numFmtId="0" fontId="34" fillId="4" borderId="220" xfId="0" applyFont="1" applyFill="1" applyBorder="1" applyAlignment="1">
      <alignment horizontal="center" vertical="center"/>
    </xf>
    <xf numFmtId="0" fontId="34" fillId="4" borderId="221" xfId="0" applyFont="1" applyFill="1" applyBorder="1" applyAlignment="1">
      <alignment horizontal="center" vertical="center"/>
    </xf>
    <xf numFmtId="0" fontId="34" fillId="4" borderId="91" xfId="0" applyFont="1" applyFill="1" applyBorder="1" applyAlignment="1">
      <alignment horizontal="center" vertical="center"/>
    </xf>
    <xf numFmtId="0" fontId="32" fillId="0" borderId="220" xfId="0" applyFont="1" applyFill="1" applyBorder="1" applyAlignment="1">
      <alignment horizontal="center" vertical="center"/>
    </xf>
    <xf numFmtId="0" fontId="32" fillId="0" borderId="221" xfId="0" applyFont="1" applyFill="1" applyBorder="1" applyAlignment="1">
      <alignment horizontal="center" vertical="center"/>
    </xf>
    <xf numFmtId="0" fontId="32" fillId="0" borderId="91" xfId="0" applyFont="1" applyFill="1" applyBorder="1" applyAlignment="1">
      <alignment horizontal="center" vertical="center"/>
    </xf>
    <xf numFmtId="0" fontId="34" fillId="4" borderId="213" xfId="0" applyFont="1" applyFill="1" applyBorder="1" applyAlignment="1">
      <alignment horizontal="center" vertical="center"/>
    </xf>
    <xf numFmtId="0" fontId="34" fillId="4" borderId="214" xfId="0" applyFont="1" applyFill="1" applyBorder="1" applyAlignment="1">
      <alignment horizontal="center" vertical="center"/>
    </xf>
    <xf numFmtId="0" fontId="34" fillId="4" borderId="215" xfId="0" applyFont="1" applyFill="1" applyBorder="1" applyAlignment="1">
      <alignment horizontal="center" vertical="center"/>
    </xf>
    <xf numFmtId="0" fontId="32" fillId="0" borderId="222" xfId="0" applyFont="1" applyFill="1" applyBorder="1" applyAlignment="1">
      <alignment horizontal="center" vertical="center" wrapText="1"/>
    </xf>
    <xf numFmtId="0" fontId="32" fillId="0" borderId="61" xfId="0" applyFont="1" applyFill="1" applyBorder="1" applyAlignment="1">
      <alignment horizontal="center" vertical="center" wrapText="1"/>
    </xf>
    <xf numFmtId="0" fontId="32" fillId="0" borderId="223" xfId="0" applyFont="1" applyFill="1" applyBorder="1" applyAlignment="1">
      <alignment horizontal="center" vertical="center" wrapText="1"/>
    </xf>
    <xf numFmtId="0" fontId="32" fillId="0" borderId="90" xfId="0" applyFont="1" applyFill="1" applyBorder="1" applyAlignment="1">
      <alignment horizontal="center" vertical="center" wrapText="1"/>
    </xf>
    <xf numFmtId="0" fontId="34" fillId="5" borderId="220" xfId="0" applyFont="1" applyFill="1" applyBorder="1" applyAlignment="1">
      <alignment horizontal="center" vertical="center"/>
    </xf>
    <xf numFmtId="0" fontId="34" fillId="5" borderId="221" xfId="0" applyFont="1" applyFill="1" applyBorder="1" applyAlignment="1">
      <alignment horizontal="center" vertical="center"/>
    </xf>
    <xf numFmtId="0" fontId="34" fillId="5" borderId="91" xfId="0" applyFont="1" applyFill="1" applyBorder="1" applyAlignment="1">
      <alignment horizontal="center" vertical="center"/>
    </xf>
    <xf numFmtId="0" fontId="45" fillId="4" borderId="104" xfId="0" applyFont="1" applyFill="1" applyBorder="1" applyAlignment="1">
      <alignment horizontal="center" wrapText="1"/>
    </xf>
    <xf numFmtId="0" fontId="45" fillId="4" borderId="95" xfId="0" applyFont="1" applyFill="1" applyBorder="1" applyAlignment="1">
      <alignment horizontal="center" wrapText="1"/>
    </xf>
    <xf numFmtId="0" fontId="45" fillId="4" borderId="105" xfId="0" applyFont="1" applyFill="1" applyBorder="1" applyAlignment="1">
      <alignment horizontal="center" wrapText="1"/>
    </xf>
    <xf numFmtId="0" fontId="44" fillId="0" borderId="104" xfId="0" applyFont="1" applyFill="1" applyBorder="1" applyAlignment="1">
      <alignment horizontal="center"/>
    </xf>
    <xf numFmtId="0" fontId="44" fillId="0" borderId="95" xfId="0" applyFont="1" applyFill="1" applyBorder="1" applyAlignment="1">
      <alignment horizontal="center"/>
    </xf>
    <xf numFmtId="0" fontId="44" fillId="0" borderId="105" xfId="0" applyFont="1" applyFill="1" applyBorder="1" applyAlignment="1">
      <alignment horizontal="center"/>
    </xf>
    <xf numFmtId="0" fontId="45" fillId="0" borderId="173" xfId="0" applyFont="1" applyFill="1" applyBorder="1" applyAlignment="1">
      <alignment horizontal="center"/>
    </xf>
    <xf numFmtId="0" fontId="45" fillId="0" borderId="68" xfId="0" applyFont="1" applyFill="1" applyBorder="1" applyAlignment="1">
      <alignment horizontal="center"/>
    </xf>
    <xf numFmtId="0" fontId="45" fillId="0" borderId="109" xfId="0" applyFont="1" applyFill="1" applyBorder="1" applyAlignment="1">
      <alignment horizontal="center"/>
    </xf>
    <xf numFmtId="0" fontId="45" fillId="4" borderId="250" xfId="0" applyFont="1" applyFill="1" applyBorder="1" applyAlignment="1">
      <alignment horizontal="center" wrapText="1"/>
    </xf>
    <xf numFmtId="0" fontId="45" fillId="4" borderId="251" xfId="0" applyFont="1" applyFill="1" applyBorder="1" applyAlignment="1">
      <alignment horizontal="center" wrapText="1"/>
    </xf>
    <xf numFmtId="0" fontId="45" fillId="4" borderId="252" xfId="0" applyFont="1" applyFill="1" applyBorder="1" applyAlignment="1">
      <alignment horizontal="center" wrapText="1"/>
    </xf>
    <xf numFmtId="0" fontId="32" fillId="4" borderId="220" xfId="0" quotePrefix="1" applyFont="1" applyFill="1" applyBorder="1" applyAlignment="1">
      <alignment horizontal="center" vertical="center" wrapText="1"/>
    </xf>
    <xf numFmtId="0" fontId="77" fillId="9" borderId="220" xfId="0" quotePrefix="1" applyFont="1" applyFill="1" applyBorder="1" applyAlignment="1">
      <alignment horizontal="center" vertical="center" wrapText="1"/>
    </xf>
    <xf numFmtId="0" fontId="44" fillId="0" borderId="103" xfId="0" applyFont="1" applyFill="1" applyBorder="1" applyAlignment="1">
      <alignment horizontal="center" vertical="center"/>
    </xf>
    <xf numFmtId="165" fontId="44" fillId="0" borderId="103" xfId="3" applyFont="1" applyFill="1" applyBorder="1" applyAlignment="1">
      <alignment horizontal="center" vertical="center"/>
    </xf>
    <xf numFmtId="0" fontId="45" fillId="0" borderId="103" xfId="0" applyFont="1" applyFill="1" applyBorder="1" applyAlignment="1">
      <alignment horizontal="center" vertical="center"/>
    </xf>
    <xf numFmtId="0" fontId="76" fillId="5" borderId="220" xfId="0" quotePrefix="1" applyFont="1" applyFill="1" applyBorder="1" applyAlignment="1">
      <alignment horizontal="center" vertical="center" wrapText="1" shrinkToFit="1"/>
    </xf>
    <xf numFmtId="0" fontId="76" fillId="5" borderId="91" xfId="0" quotePrefix="1" applyFont="1" applyFill="1" applyBorder="1" applyAlignment="1">
      <alignment horizontal="center" vertical="center" wrapText="1" shrinkToFit="1"/>
    </xf>
    <xf numFmtId="0" fontId="32" fillId="0" borderId="220" xfId="0" quotePrefix="1" applyFont="1" applyFill="1" applyBorder="1" applyAlignment="1">
      <alignment horizontal="center" vertical="center" wrapText="1"/>
    </xf>
    <xf numFmtId="0" fontId="30" fillId="6" borderId="112" xfId="0" applyFont="1" applyFill="1" applyBorder="1" applyAlignment="1">
      <alignment horizontal="center"/>
    </xf>
    <xf numFmtId="0" fontId="49" fillId="6" borderId="0" xfId="0" applyFont="1" applyFill="1" applyBorder="1" applyAlignment="1">
      <alignment horizontal="center"/>
    </xf>
    <xf numFmtId="0" fontId="24" fillId="0" borderId="170" xfId="0" applyFont="1" applyFill="1" applyBorder="1" applyAlignment="1">
      <alignment horizontal="center" vertical="center" wrapText="1"/>
    </xf>
    <xf numFmtId="0" fontId="24" fillId="0" borderId="172" xfId="0" applyFont="1" applyFill="1" applyBorder="1" applyAlignment="1">
      <alignment horizontal="center" vertical="center" wrapText="1"/>
    </xf>
    <xf numFmtId="0" fontId="24" fillId="0" borderId="50" xfId="0" applyFont="1" applyFill="1" applyBorder="1" applyAlignment="1">
      <alignment horizontal="center" vertical="center" wrapText="1"/>
    </xf>
    <xf numFmtId="0" fontId="24" fillId="0" borderId="84" xfId="0" applyFont="1" applyFill="1" applyBorder="1" applyAlignment="1">
      <alignment horizontal="center" vertical="center" wrapText="1"/>
    </xf>
    <xf numFmtId="0" fontId="24" fillId="0" borderId="173" xfId="0" applyFont="1" applyFill="1" applyBorder="1" applyAlignment="1">
      <alignment horizontal="center" vertical="center" wrapText="1"/>
    </xf>
    <xf numFmtId="0" fontId="24" fillId="0" borderId="109" xfId="0" applyFont="1" applyFill="1" applyBorder="1" applyAlignment="1">
      <alignment horizontal="center" vertical="center" wrapText="1"/>
    </xf>
    <xf numFmtId="0" fontId="25" fillId="11" borderId="239" xfId="0" applyFont="1" applyFill="1" applyBorder="1" applyAlignment="1">
      <alignment horizontal="center" vertical="center"/>
    </xf>
    <xf numFmtId="0" fontId="25" fillId="11" borderId="240" xfId="0" applyFont="1" applyFill="1" applyBorder="1" applyAlignment="1">
      <alignment horizontal="center" vertical="center"/>
    </xf>
    <xf numFmtId="1" fontId="2" fillId="0" borderId="147" xfId="0" applyNumberFormat="1" applyFont="1" applyFill="1" applyBorder="1" applyAlignment="1" applyProtection="1">
      <alignment horizontal="center" vertical="center"/>
      <protection locked="0"/>
    </xf>
    <xf numFmtId="1" fontId="2" fillId="0" borderId="148" xfId="0" applyNumberFormat="1" applyFont="1" applyFill="1" applyBorder="1" applyAlignment="1" applyProtection="1">
      <alignment horizontal="center" vertical="center"/>
      <protection locked="0"/>
    </xf>
    <xf numFmtId="0" fontId="1" fillId="0" borderId="154" xfId="0" applyNumberFormat="1" applyFont="1" applyFill="1" applyBorder="1" applyAlignment="1" applyProtection="1"/>
    <xf numFmtId="0" fontId="1" fillId="0" borderId="95" xfId="0" applyNumberFormat="1" applyFont="1" applyFill="1" applyBorder="1" applyAlignment="1" applyProtection="1"/>
    <xf numFmtId="0" fontId="1" fillId="0" borderId="99" xfId="0" applyNumberFormat="1" applyFont="1" applyFill="1" applyBorder="1" applyAlignment="1" applyProtection="1"/>
    <xf numFmtId="0" fontId="5" fillId="0" borderId="154" xfId="0" applyFont="1" applyFill="1" applyBorder="1" applyAlignment="1" applyProtection="1">
      <alignment horizontal="left"/>
      <protection locked="0"/>
    </xf>
    <xf numFmtId="0" fontId="5" fillId="0" borderId="146" xfId="0" applyFont="1" applyFill="1" applyBorder="1" applyAlignment="1" applyProtection="1">
      <alignment horizontal="left"/>
      <protection locked="0"/>
    </xf>
    <xf numFmtId="0" fontId="1" fillId="0" borderId="95" xfId="0" applyFont="1" applyFill="1" applyBorder="1" applyAlignment="1" applyProtection="1">
      <alignment horizontal="left" shrinkToFit="1"/>
      <protection locked="0"/>
    </xf>
    <xf numFmtId="0" fontId="1" fillId="0" borderId="238" xfId="0" applyFont="1" applyFill="1" applyBorder="1" applyAlignment="1" applyProtection="1">
      <alignment horizontal="left" shrinkToFit="1"/>
      <protection locked="0"/>
    </xf>
    <xf numFmtId="0" fontId="31" fillId="6" borderId="117" xfId="0" applyFont="1" applyFill="1" applyBorder="1" applyAlignment="1">
      <alignment horizontal="center"/>
    </xf>
    <xf numFmtId="0" fontId="50" fillId="6" borderId="117" xfId="0" applyFont="1" applyFill="1" applyBorder="1" applyAlignment="1">
      <alignment horizontal="center"/>
    </xf>
    <xf numFmtId="1" fontId="27" fillId="0" borderId="104" xfId="0" applyNumberFormat="1" applyFont="1" applyFill="1" applyBorder="1" applyAlignment="1" applyProtection="1">
      <alignment horizontal="center" vertical="center"/>
      <protection locked="0"/>
    </xf>
    <xf numFmtId="1" fontId="27" fillId="0" borderId="105" xfId="0" applyNumberFormat="1" applyFont="1" applyFill="1" applyBorder="1" applyAlignment="1" applyProtection="1">
      <alignment horizontal="center" vertical="center"/>
      <protection locked="0"/>
    </xf>
    <xf numFmtId="1" fontId="27" fillId="0" borderId="195" xfId="0" applyNumberFormat="1" applyFont="1" applyFill="1" applyBorder="1" applyAlignment="1" applyProtection="1">
      <alignment horizontal="center" vertical="center"/>
      <protection locked="0"/>
    </xf>
    <xf numFmtId="1" fontId="27" fillId="0" borderId="192" xfId="0" applyNumberFormat="1" applyFont="1" applyFill="1" applyBorder="1" applyAlignment="1" applyProtection="1">
      <alignment horizontal="center" vertical="center"/>
      <protection locked="0"/>
    </xf>
    <xf numFmtId="0" fontId="5" fillId="0" borderId="111" xfId="0" applyFont="1" applyFill="1" applyBorder="1" applyAlignment="1">
      <alignment horizontal="center" vertical="center"/>
    </xf>
    <xf numFmtId="0" fontId="5" fillId="0" borderId="112" xfId="0" applyFont="1" applyFill="1" applyBorder="1" applyAlignment="1">
      <alignment horizontal="center" vertical="center"/>
    </xf>
    <xf numFmtId="0" fontId="5" fillId="0" borderId="114" xfId="0" applyFont="1" applyFill="1" applyBorder="1" applyAlignment="1">
      <alignment horizontal="center" vertical="center"/>
    </xf>
    <xf numFmtId="0" fontId="5" fillId="0" borderId="0" xfId="0" applyFont="1" applyFill="1" applyBorder="1" applyAlignment="1">
      <alignment horizontal="center" vertical="center"/>
    </xf>
    <xf numFmtId="1" fontId="2" fillId="0" borderId="137" xfId="0" applyNumberFormat="1" applyFont="1" applyFill="1" applyBorder="1" applyAlignment="1" applyProtection="1">
      <alignment horizontal="center" vertical="center"/>
      <protection locked="0"/>
    </xf>
    <xf numFmtId="1" fontId="2" fillId="0" borderId="95" xfId="0" applyNumberFormat="1" applyFont="1" applyFill="1" applyBorder="1" applyAlignment="1" applyProtection="1">
      <alignment horizontal="center" vertical="center"/>
      <protection locked="0"/>
    </xf>
    <xf numFmtId="0" fontId="30" fillId="6" borderId="0" xfId="0" applyFont="1" applyFill="1" applyBorder="1" applyAlignment="1"/>
    <xf numFmtId="1" fontId="17" fillId="0" borderId="196" xfId="0" applyNumberFormat="1" applyFont="1" applyFill="1" applyBorder="1" applyAlignment="1" applyProtection="1">
      <alignment horizontal="center" vertical="center"/>
      <protection locked="0"/>
    </xf>
    <xf numFmtId="1" fontId="17" fillId="0" borderId="197" xfId="0" applyNumberFormat="1" applyFont="1" applyFill="1" applyBorder="1" applyAlignment="1" applyProtection="1">
      <alignment horizontal="center" vertical="center"/>
      <protection locked="0"/>
    </xf>
    <xf numFmtId="1" fontId="17" fillId="0" borderId="104" xfId="0" applyNumberFormat="1" applyFont="1" applyFill="1" applyBorder="1" applyAlignment="1" applyProtection="1">
      <alignment horizontal="center" vertical="center"/>
      <protection locked="0"/>
    </xf>
    <xf numFmtId="1" fontId="17" fillId="0" borderId="95" xfId="0" applyNumberFormat="1" applyFont="1" applyFill="1" applyBorder="1" applyAlignment="1" applyProtection="1">
      <alignment horizontal="center" vertical="center"/>
      <protection locked="0"/>
    </xf>
    <xf numFmtId="0" fontId="23" fillId="4" borderId="155" xfId="0" applyFont="1" applyFill="1" applyBorder="1" applyAlignment="1">
      <alignment horizontal="left" vertical="top" wrapText="1"/>
    </xf>
    <xf numFmtId="0" fontId="23" fillId="4" borderId="156" xfId="0" applyFont="1" applyFill="1" applyBorder="1" applyAlignment="1">
      <alignment horizontal="left" vertical="top" wrapText="1"/>
    </xf>
    <xf numFmtId="0" fontId="23" fillId="4" borderId="157" xfId="0" applyFont="1" applyFill="1" applyBorder="1" applyAlignment="1">
      <alignment horizontal="left" vertical="top" wrapText="1"/>
    </xf>
    <xf numFmtId="0" fontId="23" fillId="4" borderId="160" xfId="0" applyFont="1" applyFill="1" applyBorder="1" applyAlignment="1">
      <alignment horizontal="left" vertical="top" wrapText="1"/>
    </xf>
    <xf numFmtId="0" fontId="23" fillId="4" borderId="161" xfId="0" applyFont="1" applyFill="1" applyBorder="1" applyAlignment="1">
      <alignment horizontal="left" vertical="top" wrapText="1"/>
    </xf>
    <xf numFmtId="0" fontId="23" fillId="4" borderId="162" xfId="0" applyFont="1" applyFill="1" applyBorder="1" applyAlignment="1">
      <alignment horizontal="left" vertical="top" wrapText="1"/>
    </xf>
    <xf numFmtId="0" fontId="1" fillId="0" borderId="103" xfId="0" applyNumberFormat="1" applyFont="1" applyFill="1" applyBorder="1" applyAlignment="1" applyProtection="1">
      <alignment horizontal="center" vertical="center"/>
      <protection locked="0"/>
    </xf>
    <xf numFmtId="0" fontId="1" fillId="0" borderId="195" xfId="0" applyNumberFormat="1" applyFont="1" applyFill="1" applyBorder="1" applyAlignment="1" applyProtection="1">
      <alignment horizontal="center" vertical="center"/>
      <protection locked="0"/>
    </xf>
    <xf numFmtId="0" fontId="1" fillId="0" borderId="192" xfId="0" applyNumberFormat="1" applyFont="1" applyFill="1" applyBorder="1" applyAlignment="1" applyProtection="1">
      <alignment horizontal="center" vertical="center"/>
      <protection locked="0"/>
    </xf>
    <xf numFmtId="0" fontId="23" fillId="4" borderId="121" xfId="0" applyFont="1" applyFill="1" applyBorder="1" applyAlignment="1">
      <alignment horizontal="left" vertical="top" wrapText="1"/>
    </xf>
    <xf numFmtId="0" fontId="23" fillId="4" borderId="121" xfId="0" applyFont="1" applyFill="1" applyBorder="1" applyAlignment="1">
      <alignment horizontal="left" vertical="top"/>
    </xf>
    <xf numFmtId="0" fontId="2" fillId="0" borderId="103" xfId="0" applyNumberFormat="1" applyFont="1" applyFill="1" applyBorder="1" applyAlignment="1" applyProtection="1">
      <alignment horizontal="center" vertical="center"/>
      <protection locked="0"/>
    </xf>
    <xf numFmtId="0" fontId="5" fillId="0" borderId="114" xfId="0" applyFont="1" applyFill="1" applyBorder="1" applyAlignment="1"/>
    <xf numFmtId="0" fontId="5" fillId="0" borderId="0" xfId="0" applyFont="1" applyFill="1" applyBorder="1" applyAlignment="1"/>
    <xf numFmtId="0" fontId="51" fillId="0" borderId="112" xfId="0" applyFont="1" applyFill="1" applyBorder="1" applyAlignment="1">
      <alignment horizontal="center"/>
    </xf>
    <xf numFmtId="0" fontId="5" fillId="0" borderId="0" xfId="0" applyFont="1" applyFill="1" applyBorder="1" applyAlignment="1">
      <alignment horizontal="center"/>
    </xf>
    <xf numFmtId="0" fontId="5" fillId="0" borderId="84" xfId="0" applyFont="1" applyFill="1" applyBorder="1" applyAlignment="1">
      <alignment horizontal="center"/>
    </xf>
    <xf numFmtId="0" fontId="5" fillId="0" borderId="117" xfId="0" applyFont="1" applyFill="1" applyBorder="1" applyAlignment="1">
      <alignment horizontal="center"/>
    </xf>
    <xf numFmtId="0" fontId="5" fillId="0" borderId="130" xfId="0" applyFont="1" applyFill="1" applyBorder="1" applyAlignment="1">
      <alignment horizontal="center"/>
    </xf>
    <xf numFmtId="0" fontId="5" fillId="0" borderId="116" xfId="0" applyFont="1" applyFill="1" applyBorder="1" applyAlignment="1"/>
    <xf numFmtId="0" fontId="5" fillId="0" borderId="117" xfId="0" applyFont="1" applyFill="1" applyBorder="1" applyAlignment="1"/>
    <xf numFmtId="0" fontId="5" fillId="0" borderId="84" xfId="0" applyFont="1" applyFill="1" applyBorder="1" applyAlignment="1">
      <alignment horizontal="center" vertical="center"/>
    </xf>
    <xf numFmtId="0" fontId="5" fillId="0" borderId="122" xfId="0" applyFont="1" applyFill="1" applyBorder="1" applyAlignment="1">
      <alignment horizontal="center"/>
    </xf>
    <xf numFmtId="0" fontId="1" fillId="0" borderId="110" xfId="0" applyFont="1" applyFill="1" applyBorder="1" applyAlignment="1">
      <alignment horizontal="center" vertical="center"/>
    </xf>
    <xf numFmtId="0" fontId="2" fillId="0" borderId="106" xfId="0" applyFont="1" applyFill="1" applyBorder="1" applyAlignment="1">
      <alignment horizontal="center" vertical="center" wrapText="1"/>
    </xf>
    <xf numFmtId="0" fontId="2" fillId="0" borderId="107" xfId="0" applyFont="1" applyFill="1" applyBorder="1" applyAlignment="1">
      <alignment horizontal="center" vertical="center" wrapText="1"/>
    </xf>
    <xf numFmtId="0" fontId="2" fillId="0" borderId="108"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8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109" xfId="0" applyFont="1" applyFill="1" applyBorder="1" applyAlignment="1">
      <alignment horizontal="center" vertical="center" wrapText="1"/>
    </xf>
    <xf numFmtId="0" fontId="5" fillId="0" borderId="142" xfId="0" applyFont="1" applyFill="1" applyBorder="1" applyAlignment="1">
      <alignment horizontal="center"/>
    </xf>
    <xf numFmtId="0" fontId="5" fillId="0" borderId="143" xfId="0" applyFont="1" applyFill="1" applyBorder="1" applyAlignment="1">
      <alignment horizontal="center"/>
    </xf>
    <xf numFmtId="0" fontId="1" fillId="0" borderId="104" xfId="0" applyNumberFormat="1" applyFont="1" applyFill="1" applyBorder="1" applyAlignment="1">
      <alignment horizontal="center" vertical="center" wrapText="1"/>
    </xf>
    <xf numFmtId="0" fontId="1" fillId="0" borderId="95" xfId="0" applyNumberFormat="1" applyFont="1" applyFill="1" applyBorder="1" applyAlignment="1">
      <alignment horizontal="center" vertical="center" wrapText="1"/>
    </xf>
    <xf numFmtId="0" fontId="1" fillId="0" borderId="105" xfId="0" applyNumberFormat="1" applyFont="1" applyFill="1" applyBorder="1" applyAlignment="1">
      <alignment horizontal="center" vertical="center" wrapText="1"/>
    </xf>
    <xf numFmtId="0" fontId="2" fillId="0" borderId="106" xfId="0" applyNumberFormat="1" applyFont="1" applyFill="1" applyBorder="1" applyAlignment="1">
      <alignment horizontal="center" vertical="center" wrapText="1"/>
    </xf>
    <xf numFmtId="0" fontId="2" fillId="0" borderId="107" xfId="0" applyNumberFormat="1" applyFont="1" applyFill="1" applyBorder="1" applyAlignment="1">
      <alignment horizontal="center" vertical="center" wrapText="1"/>
    </xf>
    <xf numFmtId="0" fontId="2" fillId="0" borderId="108" xfId="0" applyNumberFormat="1" applyFont="1" applyFill="1" applyBorder="1" applyAlignment="1">
      <alignment horizontal="center" vertical="center" wrapText="1"/>
    </xf>
    <xf numFmtId="0" fontId="2" fillId="0" borderId="50"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2" fillId="0" borderId="84"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68" xfId="0" applyNumberFormat="1" applyFont="1" applyFill="1" applyBorder="1" applyAlignment="1">
      <alignment horizontal="center" vertical="center" wrapText="1"/>
    </xf>
    <xf numFmtId="0" fontId="2" fillId="0" borderId="109" xfId="0" applyNumberFormat="1" applyFont="1" applyFill="1" applyBorder="1" applyAlignment="1">
      <alignment horizontal="center" vertical="center" wrapText="1"/>
    </xf>
    <xf numFmtId="0" fontId="50" fillId="6" borderId="0" xfId="0" applyFont="1" applyFill="1" applyBorder="1" applyAlignment="1"/>
    <xf numFmtId="0" fontId="50" fillId="6" borderId="115" xfId="0" applyFont="1" applyFill="1" applyBorder="1" applyAlignment="1"/>
    <xf numFmtId="0" fontId="49" fillId="6" borderId="0" xfId="0" applyFont="1" applyFill="1" applyBorder="1" applyAlignment="1"/>
    <xf numFmtId="0" fontId="9" fillId="0" borderId="119" xfId="0" applyFont="1" applyFill="1" applyBorder="1" applyAlignment="1" applyProtection="1">
      <alignment horizontal="center" vertical="center"/>
      <protection locked="0"/>
    </xf>
    <xf numFmtId="0" fontId="9" fillId="0" borderId="120" xfId="0" applyFont="1" applyFill="1" applyBorder="1" applyAlignment="1" applyProtection="1">
      <alignment horizontal="center" vertical="center"/>
      <protection locked="0"/>
    </xf>
    <xf numFmtId="1" fontId="9" fillId="0" borderId="114" xfId="0" applyNumberFormat="1" applyFont="1" applyFill="1" applyBorder="1" applyAlignment="1">
      <alignment horizontal="center" vertical="center"/>
    </xf>
    <xf numFmtId="1" fontId="9" fillId="0" borderId="115" xfId="0" applyNumberFormat="1" applyFont="1" applyFill="1" applyBorder="1" applyAlignment="1">
      <alignment horizontal="center" vertical="center"/>
    </xf>
    <xf numFmtId="1" fontId="9" fillId="0" borderId="116" xfId="0" applyNumberFormat="1" applyFont="1" applyFill="1" applyBorder="1" applyAlignment="1">
      <alignment horizontal="center" vertical="center"/>
    </xf>
    <xf numFmtId="1" fontId="9" fillId="0" borderId="118" xfId="0" applyNumberFormat="1" applyFont="1" applyFill="1" applyBorder="1" applyAlignment="1">
      <alignment horizontal="center" vertical="center"/>
    </xf>
    <xf numFmtId="0" fontId="5" fillId="0" borderId="142" xfId="0" applyNumberFormat="1" applyFont="1" applyFill="1" applyBorder="1" applyAlignment="1">
      <alignment horizontal="center" vertical="center"/>
    </xf>
    <xf numFmtId="0" fontId="5" fillId="0" borderId="143" xfId="0" applyNumberFormat="1" applyFont="1" applyFill="1" applyBorder="1" applyAlignment="1">
      <alignment horizontal="center" vertical="center"/>
    </xf>
    <xf numFmtId="0" fontId="9" fillId="0" borderId="114" xfId="0" applyNumberFormat="1" applyFont="1" applyFill="1" applyBorder="1" applyAlignment="1">
      <alignment horizontal="center" vertical="center"/>
    </xf>
    <xf numFmtId="0" fontId="9" fillId="0" borderId="115" xfId="0" applyNumberFormat="1" applyFont="1" applyFill="1" applyBorder="1" applyAlignment="1">
      <alignment horizontal="center" vertical="center"/>
    </xf>
    <xf numFmtId="0" fontId="9" fillId="0" borderId="116" xfId="0" applyNumberFormat="1" applyFont="1" applyFill="1" applyBorder="1" applyAlignment="1">
      <alignment horizontal="center" vertical="center"/>
    </xf>
    <xf numFmtId="0" fontId="9" fillId="0" borderId="118" xfId="0" applyNumberFormat="1" applyFont="1" applyFill="1" applyBorder="1" applyAlignment="1">
      <alignment horizontal="center" vertical="center"/>
    </xf>
    <xf numFmtId="0" fontId="31" fillId="6" borderId="117" xfId="0" applyFont="1" applyFill="1" applyBorder="1" applyAlignment="1">
      <alignment horizontal="center" vertical="center"/>
    </xf>
    <xf numFmtId="0" fontId="21" fillId="0" borderId="0" xfId="0" applyFont="1" applyFill="1" applyBorder="1" applyAlignment="1"/>
    <xf numFmtId="0" fontId="9" fillId="0" borderId="114" xfId="0" applyFont="1" applyFill="1" applyBorder="1" applyAlignment="1" applyProtection="1">
      <alignment horizontal="center" vertical="center"/>
      <protection locked="0"/>
    </xf>
    <xf numFmtId="0" fontId="9" fillId="0" borderId="115" xfId="0" applyFont="1" applyFill="1" applyBorder="1" applyAlignment="1" applyProtection="1">
      <alignment horizontal="center" vertical="center"/>
      <protection locked="0"/>
    </xf>
    <xf numFmtId="0" fontId="9" fillId="0" borderId="116" xfId="0" applyFont="1" applyFill="1" applyBorder="1" applyAlignment="1" applyProtection="1">
      <alignment horizontal="center" vertical="center"/>
      <protection locked="0"/>
    </xf>
    <xf numFmtId="0" fontId="9" fillId="0" borderId="118" xfId="0" applyFont="1" applyFill="1" applyBorder="1" applyAlignment="1" applyProtection="1">
      <alignment horizontal="center" vertical="center"/>
      <protection locked="0"/>
    </xf>
    <xf numFmtId="0" fontId="5" fillId="0" borderId="116" xfId="0" applyFont="1" applyFill="1" applyBorder="1" applyAlignment="1">
      <alignment horizontal="center" vertical="center"/>
    </xf>
    <xf numFmtId="0" fontId="5" fillId="0" borderId="117" xfId="0" applyFont="1" applyFill="1" applyBorder="1" applyAlignment="1">
      <alignment horizontal="center" vertical="center"/>
    </xf>
    <xf numFmtId="0" fontId="5" fillId="0" borderId="0" xfId="0" applyFont="1" applyFill="1" applyBorder="1" applyAlignment="1">
      <alignment vertical="center"/>
    </xf>
    <xf numFmtId="0" fontId="5" fillId="0" borderId="114" xfId="0" applyFont="1" applyFill="1" applyBorder="1" applyAlignment="1">
      <alignment wrapText="1"/>
    </xf>
    <xf numFmtId="0" fontId="5" fillId="0" borderId="0" xfId="0" applyFont="1" applyFill="1" applyBorder="1" applyAlignment="1">
      <alignment wrapText="1"/>
    </xf>
    <xf numFmtId="0" fontId="51" fillId="0" borderId="129" xfId="0" applyFont="1" applyFill="1" applyBorder="1" applyAlignment="1">
      <alignment horizontal="center"/>
    </xf>
    <xf numFmtId="0" fontId="5" fillId="0" borderId="107" xfId="0" applyFont="1" applyFill="1" applyBorder="1" applyAlignment="1"/>
    <xf numFmtId="0" fontId="5" fillId="0" borderId="127" xfId="0" applyFont="1" applyFill="1" applyBorder="1" applyAlignment="1"/>
    <xf numFmtId="0" fontId="5" fillId="0" borderId="107" xfId="0" applyFont="1" applyFill="1" applyBorder="1" applyAlignment="1">
      <alignment horizontal="center"/>
    </xf>
    <xf numFmtId="0" fontId="5" fillId="0" borderId="108" xfId="0" applyFont="1" applyFill="1" applyBorder="1" applyAlignment="1">
      <alignment horizontal="center"/>
    </xf>
    <xf numFmtId="0" fontId="49" fillId="6" borderId="40" xfId="0" applyFont="1" applyFill="1" applyBorder="1" applyAlignment="1"/>
    <xf numFmtId="0" fontId="5" fillId="0" borderId="100" xfId="0" applyFont="1" applyFill="1" applyBorder="1" applyAlignment="1">
      <alignment vertical="center"/>
    </xf>
    <xf numFmtId="0" fontId="5" fillId="0" borderId="101" xfId="0" applyFont="1" applyFill="1" applyBorder="1" applyAlignment="1">
      <alignment vertical="center"/>
    </xf>
    <xf numFmtId="0" fontId="5" fillId="0" borderId="151" xfId="0" applyFont="1" applyFill="1" applyBorder="1" applyAlignment="1">
      <alignment vertical="center"/>
    </xf>
    <xf numFmtId="0" fontId="5" fillId="0" borderId="98" xfId="0" applyFont="1" applyFill="1" applyBorder="1" applyAlignment="1">
      <alignment vertical="center"/>
    </xf>
    <xf numFmtId="0" fontId="5" fillId="0" borderId="95" xfId="0" applyFont="1" applyFill="1" applyBorder="1" applyAlignment="1">
      <alignment vertical="center"/>
    </xf>
    <xf numFmtId="0" fontId="5" fillId="0" borderId="146" xfId="0" applyFont="1" applyFill="1" applyBorder="1" applyAlignment="1">
      <alignment vertical="center"/>
    </xf>
    <xf numFmtId="0" fontId="5" fillId="0" borderId="98" xfId="0" applyFont="1" applyFill="1" applyBorder="1" applyAlignment="1"/>
    <xf numFmtId="0" fontId="5" fillId="0" borderId="95" xfId="0" applyFont="1" applyFill="1" applyBorder="1" applyAlignment="1"/>
    <xf numFmtId="0" fontId="5" fillId="0" borderId="146" xfId="0" applyFont="1" applyFill="1" applyBorder="1" applyAlignment="1"/>
    <xf numFmtId="0" fontId="5" fillId="0" borderId="100" xfId="0" applyFont="1" applyFill="1" applyBorder="1" applyAlignment="1"/>
    <xf numFmtId="0" fontId="5" fillId="0" borderId="101" xfId="0" applyFont="1" applyFill="1" applyBorder="1" applyAlignment="1"/>
    <xf numFmtId="0" fontId="5" fillId="0" borderId="151" xfId="0" applyFont="1" applyFill="1" applyBorder="1" applyAlignment="1"/>
    <xf numFmtId="0" fontId="5" fillId="0" borderId="96" xfId="0" applyFont="1" applyFill="1" applyBorder="1" applyAlignment="1">
      <alignment vertical="center"/>
    </xf>
    <xf numFmtId="0" fontId="5" fillId="0" borderId="78" xfId="0" applyFont="1" applyFill="1" applyBorder="1" applyAlignment="1">
      <alignment vertical="center"/>
    </xf>
    <xf numFmtId="0" fontId="5" fillId="0" borderId="153" xfId="0" applyFont="1" applyFill="1" applyBorder="1" applyAlignment="1">
      <alignment vertical="center"/>
    </xf>
    <xf numFmtId="0" fontId="5" fillId="0" borderId="154" xfId="0" applyFont="1" applyFill="1" applyBorder="1" applyAlignment="1">
      <alignment vertical="center"/>
    </xf>
    <xf numFmtId="0" fontId="1" fillId="0" borderId="154" xfId="0" applyFont="1" applyFill="1" applyBorder="1" applyAlignment="1" applyProtection="1">
      <alignment vertical="top"/>
      <protection locked="0"/>
    </xf>
    <xf numFmtId="0" fontId="1" fillId="0" borderId="95" xfId="0" applyFont="1" applyFill="1" applyBorder="1" applyAlignment="1" applyProtection="1">
      <alignment vertical="top"/>
      <protection locked="0"/>
    </xf>
    <xf numFmtId="0" fontId="1" fillId="0" borderId="146" xfId="0" applyFont="1" applyFill="1" applyBorder="1" applyAlignment="1" applyProtection="1">
      <alignment vertical="top"/>
      <protection locked="0"/>
    </xf>
    <xf numFmtId="0" fontId="1" fillId="0" borderId="152" xfId="0" applyFont="1" applyFill="1" applyBorder="1" applyAlignment="1" applyProtection="1">
      <protection locked="0"/>
    </xf>
    <xf numFmtId="0" fontId="1" fillId="0" borderId="78" xfId="0" applyFont="1" applyFill="1" applyBorder="1" applyAlignment="1" applyProtection="1">
      <protection locked="0"/>
    </xf>
    <xf numFmtId="0" fontId="1" fillId="0" borderId="153" xfId="0" applyFont="1" applyFill="1" applyBorder="1" applyAlignment="1" applyProtection="1">
      <protection locked="0"/>
    </xf>
    <xf numFmtId="0" fontId="5" fillId="0" borderId="152" xfId="0" applyFont="1" applyFill="1" applyBorder="1" applyAlignment="1">
      <alignment horizontal="left"/>
    </xf>
    <xf numFmtId="0" fontId="5" fillId="0" borderId="153" xfId="0" applyFont="1" applyFill="1" applyBorder="1" applyAlignment="1">
      <alignment horizontal="left"/>
    </xf>
    <xf numFmtId="0" fontId="1" fillId="0" borderId="97" xfId="0" applyFont="1" applyFill="1" applyBorder="1" applyAlignment="1" applyProtection="1">
      <protection locked="0"/>
    </xf>
    <xf numFmtId="0" fontId="1" fillId="0" borderId="154" xfId="0" applyNumberFormat="1" applyFont="1" applyFill="1" applyBorder="1" applyAlignment="1" applyProtection="1">
      <alignment horizontal="left" shrinkToFit="1"/>
      <protection locked="0"/>
    </xf>
    <xf numFmtId="0" fontId="1" fillId="0" borderId="95" xfId="0" applyNumberFormat="1" applyFont="1" applyFill="1" applyBorder="1" applyAlignment="1" applyProtection="1">
      <alignment horizontal="left" shrinkToFit="1"/>
      <protection locked="0"/>
    </xf>
    <xf numFmtId="0" fontId="1" fillId="0" borderId="146" xfId="0" applyNumberFormat="1" applyFont="1" applyFill="1" applyBorder="1" applyAlignment="1" applyProtection="1">
      <alignment horizontal="left" shrinkToFit="1"/>
      <protection locked="0"/>
    </xf>
    <xf numFmtId="0" fontId="19" fillId="0" borderId="101" xfId="0" applyNumberFormat="1" applyFont="1" applyFill="1" applyBorder="1" applyAlignment="1" applyProtection="1">
      <alignment horizontal="center" vertical="center"/>
      <protection locked="0"/>
    </xf>
    <xf numFmtId="0" fontId="72" fillId="6" borderId="161" xfId="0" applyFont="1" applyFill="1" applyBorder="1" applyAlignment="1">
      <alignment horizontal="left"/>
    </xf>
    <xf numFmtId="0" fontId="1" fillId="0" borderId="154" xfId="0" applyFont="1" applyFill="1" applyBorder="1" applyAlignment="1" applyProtection="1">
      <protection locked="0"/>
    </xf>
    <xf numFmtId="0" fontId="1" fillId="0" borderId="95" xfId="0" applyFont="1" applyFill="1" applyBorder="1" applyAlignment="1" applyProtection="1">
      <protection locked="0"/>
    </xf>
    <xf numFmtId="0" fontId="1" fillId="0" borderId="146" xfId="0" applyFont="1" applyFill="1" applyBorder="1" applyAlignment="1" applyProtection="1">
      <protection locked="0"/>
    </xf>
    <xf numFmtId="0" fontId="5" fillId="0" borderId="152" xfId="0" applyFont="1" applyFill="1" applyBorder="1" applyAlignment="1">
      <alignment vertical="center"/>
    </xf>
    <xf numFmtId="49" fontId="1" fillId="0" borderId="152" xfId="0" quotePrefix="1" applyNumberFormat="1" applyFont="1" applyFill="1" applyBorder="1" applyAlignment="1" applyProtection="1">
      <protection locked="0"/>
    </xf>
    <xf numFmtId="49" fontId="1" fillId="0" borderId="78" xfId="0" quotePrefix="1" applyNumberFormat="1" applyFont="1" applyFill="1" applyBorder="1" applyAlignment="1" applyProtection="1">
      <protection locked="0"/>
    </xf>
    <xf numFmtId="49" fontId="1" fillId="0" borderId="153" xfId="0" quotePrefix="1" applyNumberFormat="1" applyFont="1" applyFill="1" applyBorder="1" applyAlignment="1" applyProtection="1">
      <protection locked="0"/>
    </xf>
    <xf numFmtId="0" fontId="19" fillId="0" borderId="102" xfId="0" applyNumberFormat="1" applyFont="1" applyFill="1" applyBorder="1" applyAlignment="1" applyProtection="1">
      <alignment horizontal="center" vertical="center"/>
      <protection locked="0"/>
    </xf>
    <xf numFmtId="49" fontId="1" fillId="0" borderId="152" xfId="0" applyNumberFormat="1" applyFont="1" applyFill="1" applyBorder="1" applyAlignment="1" applyProtection="1">
      <alignment vertical="center"/>
      <protection locked="0"/>
    </xf>
    <xf numFmtId="49" fontId="1" fillId="0" borderId="78" xfId="0" applyNumberFormat="1" applyFont="1" applyFill="1" applyBorder="1" applyAlignment="1" applyProtection="1">
      <alignment vertical="center"/>
      <protection locked="0"/>
    </xf>
    <xf numFmtId="49" fontId="1" fillId="0" borderId="97" xfId="0" applyNumberFormat="1" applyFont="1" applyFill="1" applyBorder="1" applyAlignment="1" applyProtection="1">
      <alignment vertical="center"/>
      <protection locked="0"/>
    </xf>
    <xf numFmtId="0" fontId="1" fillId="0" borderId="154" xfId="0" applyFont="1" applyFill="1" applyBorder="1" applyAlignment="1" applyProtection="1">
      <alignment vertical="center"/>
      <protection locked="0"/>
    </xf>
    <xf numFmtId="0" fontId="1" fillId="0" borderId="95" xfId="0" applyFont="1" applyFill="1" applyBorder="1" applyAlignment="1" applyProtection="1">
      <alignment vertical="center"/>
      <protection locked="0"/>
    </xf>
    <xf numFmtId="0" fontId="1" fillId="0" borderId="99" xfId="0" applyFont="1" applyFill="1" applyBorder="1" applyAlignment="1" applyProtection="1">
      <alignment vertical="center"/>
      <protection locked="0"/>
    </xf>
    <xf numFmtId="0" fontId="5" fillId="0" borderId="154" xfId="0" applyFont="1" applyFill="1" applyBorder="1" applyAlignment="1" applyProtection="1">
      <alignment horizontal="center"/>
      <protection locked="0"/>
    </xf>
    <xf numFmtId="0" fontId="5" fillId="0" borderId="146" xfId="0" applyFont="1" applyFill="1" applyBorder="1" applyAlignment="1" applyProtection="1">
      <alignment horizontal="center"/>
      <protection locked="0"/>
    </xf>
    <xf numFmtId="0" fontId="1" fillId="0" borderId="154" xfId="0" applyNumberFormat="1" applyFont="1" applyFill="1" applyBorder="1" applyAlignment="1" applyProtection="1">
      <alignment horizontal="left"/>
      <protection locked="0"/>
    </xf>
    <xf numFmtId="0" fontId="1" fillId="0" borderId="95" xfId="0" applyNumberFormat="1" applyFont="1" applyFill="1" applyBorder="1" applyAlignment="1" applyProtection="1">
      <alignment horizontal="left"/>
      <protection locked="0"/>
    </xf>
    <xf numFmtId="0" fontId="1" fillId="0" borderId="146" xfId="0" applyNumberFormat="1" applyFont="1" applyFill="1" applyBorder="1" applyAlignment="1" applyProtection="1">
      <alignment horizontal="left"/>
      <protection locked="0"/>
    </xf>
    <xf numFmtId="0" fontId="19" fillId="0" borderId="188" xfId="0" applyNumberFormat="1" applyFont="1" applyFill="1" applyBorder="1" applyAlignment="1" applyProtection="1">
      <alignment horizontal="center" vertical="center"/>
      <protection locked="0"/>
    </xf>
    <xf numFmtId="0" fontId="19" fillId="0" borderId="40" xfId="0" applyNumberFormat="1" applyFont="1" applyFill="1" applyBorder="1" applyAlignment="1" applyProtection="1">
      <alignment horizontal="center" vertical="center"/>
      <protection locked="0"/>
    </xf>
    <xf numFmtId="0" fontId="5" fillId="0" borderId="98" xfId="0" applyFont="1" applyFill="1" applyBorder="1" applyAlignment="1">
      <alignment horizontal="left"/>
    </xf>
    <xf numFmtId="0" fontId="5" fillId="0" borderId="95" xfId="0" applyFont="1" applyFill="1" applyBorder="1" applyAlignment="1">
      <alignment horizontal="left"/>
    </xf>
    <xf numFmtId="0" fontId="30" fillId="6" borderId="117" xfId="0" applyFont="1" applyFill="1" applyBorder="1" applyAlignment="1">
      <alignment horizontal="left"/>
    </xf>
    <xf numFmtId="0" fontId="51" fillId="0" borderId="138" xfId="0" applyFont="1" applyFill="1" applyBorder="1" applyAlignment="1">
      <alignment horizontal="left"/>
    </xf>
    <xf numFmtId="0" fontId="51" fillId="0" borderId="134" xfId="0" applyFont="1" applyFill="1" applyBorder="1" applyAlignment="1">
      <alignment horizontal="left"/>
    </xf>
    <xf numFmtId="1" fontId="1" fillId="0" borderId="227" xfId="0" applyNumberFormat="1" applyFont="1" applyFill="1" applyBorder="1" applyAlignment="1" applyProtection="1">
      <alignment horizontal="center"/>
      <protection locked="0"/>
    </xf>
    <xf numFmtId="1" fontId="1" fillId="0" borderId="171" xfId="0" applyNumberFormat="1" applyFont="1" applyFill="1" applyBorder="1" applyAlignment="1" applyProtection="1">
      <alignment horizontal="center"/>
      <protection locked="0"/>
    </xf>
    <xf numFmtId="1" fontId="1" fillId="0" borderId="128" xfId="0" applyNumberFormat="1" applyFont="1" applyFill="1" applyBorder="1" applyAlignment="1" applyProtection="1">
      <alignment horizontal="center"/>
      <protection locked="0"/>
    </xf>
    <xf numFmtId="0" fontId="9" fillId="0" borderId="119" xfId="0" applyFont="1" applyFill="1" applyBorder="1" applyAlignment="1">
      <alignment horizontal="center" vertical="center"/>
    </xf>
    <xf numFmtId="0" fontId="9" fillId="0" borderId="120" xfId="0" applyFont="1" applyFill="1" applyBorder="1" applyAlignment="1">
      <alignment horizontal="center" vertical="center"/>
    </xf>
    <xf numFmtId="0" fontId="5" fillId="0" borderId="142" xfId="0" applyFont="1" applyFill="1" applyBorder="1" applyAlignment="1">
      <alignment horizontal="center" vertical="center"/>
    </xf>
    <xf numFmtId="0" fontId="5" fillId="0" borderId="143" xfId="0" applyFont="1" applyFill="1" applyBorder="1" applyAlignment="1">
      <alignment horizontal="center" vertical="center"/>
    </xf>
    <xf numFmtId="0" fontId="1" fillId="0" borderId="134" xfId="0" applyFont="1" applyFill="1" applyBorder="1" applyAlignment="1" applyProtection="1">
      <alignment horizontal="center"/>
      <protection locked="0"/>
    </xf>
    <xf numFmtId="0" fontId="1" fillId="0" borderId="139" xfId="0" applyFont="1" applyFill="1" applyBorder="1" applyAlignment="1" applyProtection="1">
      <alignment horizontal="center"/>
      <protection locked="0"/>
    </xf>
    <xf numFmtId="0" fontId="1" fillId="0" borderId="95" xfId="0" applyFont="1" applyFill="1" applyBorder="1" applyAlignment="1" applyProtection="1">
      <alignment horizontal="center"/>
      <protection locked="0"/>
    </xf>
    <xf numFmtId="0" fontId="1" fillId="0" borderId="140" xfId="0" applyFont="1" applyFill="1" applyBorder="1" applyAlignment="1" applyProtection="1">
      <alignment horizontal="center"/>
      <protection locked="0"/>
    </xf>
    <xf numFmtId="0" fontId="9" fillId="0" borderId="114" xfId="0" applyFont="1" applyFill="1" applyBorder="1" applyAlignment="1">
      <alignment horizontal="center" vertical="center"/>
    </xf>
    <xf numFmtId="0" fontId="9" fillId="0" borderId="115" xfId="0" applyFont="1" applyFill="1" applyBorder="1" applyAlignment="1">
      <alignment horizontal="center" vertical="center"/>
    </xf>
    <xf numFmtId="0" fontId="9" fillId="0" borderId="116" xfId="0" applyFont="1" applyFill="1" applyBorder="1" applyAlignment="1">
      <alignment horizontal="center" vertical="center"/>
    </xf>
    <xf numFmtId="0" fontId="9" fillId="0" borderId="118" xfId="0" applyFont="1" applyFill="1" applyBorder="1" applyAlignment="1">
      <alignment horizontal="center" vertical="center"/>
    </xf>
    <xf numFmtId="0" fontId="5" fillId="0" borderId="116" xfId="0" applyFont="1" applyFill="1" applyBorder="1" applyAlignment="1">
      <alignment horizontal="center"/>
    </xf>
    <xf numFmtId="166" fontId="1" fillId="0" borderId="229" xfId="0" applyNumberFormat="1" applyFont="1" applyFill="1" applyBorder="1" applyAlignment="1" applyProtection="1">
      <alignment horizontal="center"/>
      <protection locked="0"/>
    </xf>
    <xf numFmtId="166" fontId="1" fillId="0" borderId="228" xfId="0" applyNumberFormat="1" applyFont="1" applyFill="1" applyBorder="1" applyAlignment="1" applyProtection="1">
      <alignment horizontal="center"/>
      <protection locked="0"/>
    </xf>
    <xf numFmtId="1" fontId="5" fillId="0" borderId="142" xfId="0" applyNumberFormat="1" applyFont="1" applyFill="1" applyBorder="1" applyAlignment="1">
      <alignment horizontal="center" vertical="center"/>
    </xf>
    <xf numFmtId="1" fontId="5" fillId="0" borderId="143" xfId="0" applyNumberFormat="1" applyFont="1" applyFill="1" applyBorder="1" applyAlignment="1">
      <alignment horizontal="center" vertical="center"/>
    </xf>
    <xf numFmtId="0" fontId="5" fillId="0" borderId="138" xfId="0" applyFont="1" applyFill="1" applyBorder="1" applyAlignment="1"/>
    <xf numFmtId="0" fontId="5" fillId="0" borderId="144" xfId="0" applyFont="1" applyFill="1" applyBorder="1" applyAlignment="1"/>
    <xf numFmtId="0" fontId="5" fillId="0" borderId="137" xfId="0" applyFont="1" applyFill="1" applyBorder="1" applyAlignment="1"/>
    <xf numFmtId="0" fontId="1" fillId="0" borderId="188" xfId="0" applyFont="1" applyFill="1" applyBorder="1" applyAlignment="1" applyProtection="1">
      <protection locked="0"/>
    </xf>
    <xf numFmtId="0" fontId="1" fillId="0" borderId="101" xfId="0" applyFont="1" applyFill="1" applyBorder="1" applyAlignment="1" applyProtection="1">
      <protection locked="0"/>
    </xf>
    <xf numFmtId="0" fontId="1" fillId="0" borderId="102" xfId="0" applyFont="1" applyFill="1" applyBorder="1" applyAlignment="1" applyProtection="1">
      <protection locked="0"/>
    </xf>
    <xf numFmtId="0" fontId="5" fillId="0" borderId="224" xfId="0" applyFont="1" applyFill="1" applyBorder="1" applyAlignment="1"/>
    <xf numFmtId="0" fontId="5" fillId="0" borderId="225" xfId="0" applyFont="1" applyFill="1" applyBorder="1" applyAlignment="1"/>
    <xf numFmtId="0" fontId="5" fillId="0" borderId="226" xfId="0" applyFont="1" applyFill="1" applyBorder="1" applyAlignment="1"/>
    <xf numFmtId="0" fontId="53" fillId="0" borderId="198" xfId="0" applyFont="1" applyFill="1" applyBorder="1" applyAlignment="1">
      <alignment horizontal="center"/>
    </xf>
    <xf numFmtId="0" fontId="53" fillId="0" borderId="199" xfId="0" applyFont="1" applyFill="1" applyBorder="1" applyAlignment="1">
      <alignment horizontal="center"/>
    </xf>
    <xf numFmtId="0" fontId="2" fillId="0" borderId="125" xfId="0" applyNumberFormat="1" applyFont="1" applyFill="1" applyBorder="1" applyAlignment="1" applyProtection="1">
      <alignment horizontal="center" vertical="center"/>
      <protection locked="0"/>
    </xf>
    <xf numFmtId="1" fontId="17" fillId="0" borderId="195" xfId="0" applyNumberFormat="1" applyFont="1" applyFill="1" applyBorder="1" applyAlignment="1" applyProtection="1">
      <alignment horizontal="center" vertical="center"/>
      <protection locked="0"/>
    </xf>
    <xf numFmtId="1" fontId="17" fillId="0" borderId="192" xfId="0" applyNumberFormat="1" applyFont="1" applyFill="1" applyBorder="1" applyAlignment="1" applyProtection="1">
      <alignment horizontal="center" vertical="center"/>
      <protection locked="0"/>
    </xf>
    <xf numFmtId="0" fontId="5" fillId="0" borderId="104" xfId="0" applyFont="1" applyFill="1" applyBorder="1" applyAlignment="1">
      <alignment horizontal="center"/>
    </xf>
    <xf numFmtId="0" fontId="5" fillId="0" borderId="105" xfId="0" applyFont="1" applyFill="1" applyBorder="1" applyAlignment="1">
      <alignment horizontal="center"/>
    </xf>
    <xf numFmtId="0" fontId="5" fillId="0" borderId="137" xfId="0" applyFont="1" applyFill="1" applyBorder="1" applyAlignment="1">
      <alignment horizontal="left"/>
    </xf>
    <xf numFmtId="1" fontId="27" fillId="0" borderId="95" xfId="0" applyNumberFormat="1" applyFont="1" applyFill="1" applyBorder="1" applyAlignment="1" applyProtection="1">
      <alignment horizontal="left" vertical="top"/>
      <protection locked="0"/>
    </xf>
    <xf numFmtId="1" fontId="27" fillId="0" borderId="202" xfId="0" applyNumberFormat="1" applyFont="1" applyFill="1" applyBorder="1" applyAlignment="1" applyProtection="1">
      <alignment horizontal="left" vertical="top"/>
      <protection locked="0"/>
    </xf>
    <xf numFmtId="1" fontId="27" fillId="0" borderId="137" xfId="0" applyNumberFormat="1" applyFont="1" applyFill="1" applyBorder="1" applyAlignment="1" applyProtection="1">
      <alignment horizontal="left" vertical="top"/>
      <protection locked="0"/>
    </xf>
    <xf numFmtId="0" fontId="51" fillId="0" borderId="200" xfId="0" applyFont="1" applyFill="1" applyBorder="1" applyAlignment="1">
      <alignment horizontal="left"/>
    </xf>
    <xf numFmtId="0" fontId="51" fillId="0" borderId="68" xfId="0" applyFont="1" applyFill="1" applyBorder="1" applyAlignment="1">
      <alignment horizontal="left"/>
    </xf>
    <xf numFmtId="0" fontId="51" fillId="0" borderId="201" xfId="0" applyFont="1" applyFill="1" applyBorder="1" applyAlignment="1">
      <alignment horizontal="left"/>
    </xf>
    <xf numFmtId="0" fontId="5" fillId="0" borderId="109" xfId="0" applyFont="1" applyFill="1" applyBorder="1" applyAlignment="1">
      <alignment horizontal="center"/>
    </xf>
    <xf numFmtId="0" fontId="5" fillId="0" borderId="1" xfId="0" applyFont="1" applyFill="1" applyBorder="1" applyAlignment="1">
      <alignment horizontal="center"/>
    </xf>
    <xf numFmtId="1" fontId="27" fillId="0" borderId="147" xfId="0" applyNumberFormat="1" applyFont="1" applyFill="1" applyBorder="1" applyAlignment="1" applyProtection="1">
      <alignment horizontal="left" vertical="top"/>
      <protection locked="0"/>
    </xf>
    <xf numFmtId="1" fontId="27" fillId="0" borderId="148" xfId="0" applyNumberFormat="1" applyFont="1" applyFill="1" applyBorder="1" applyAlignment="1" applyProtection="1">
      <alignment horizontal="left" vertical="top"/>
      <protection locked="0"/>
    </xf>
    <xf numFmtId="0" fontId="19" fillId="0" borderId="106" xfId="0" applyNumberFormat="1" applyFont="1" applyFill="1" applyBorder="1" applyAlignment="1">
      <alignment horizontal="center" vertical="center" wrapText="1"/>
    </xf>
    <xf numFmtId="0" fontId="19" fillId="0" borderId="107" xfId="0" applyNumberFormat="1" applyFont="1" applyFill="1" applyBorder="1" applyAlignment="1">
      <alignment horizontal="center" vertical="center" wrapText="1"/>
    </xf>
    <xf numFmtId="0" fontId="19" fillId="0" borderId="108" xfId="0" applyNumberFormat="1" applyFont="1" applyFill="1" applyBorder="1" applyAlignment="1">
      <alignment horizontal="center" vertical="center" wrapText="1"/>
    </xf>
    <xf numFmtId="0" fontId="19" fillId="0" borderId="5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19" fillId="0" borderId="84" xfId="0" applyNumberFormat="1" applyFont="1" applyFill="1" applyBorder="1" applyAlignment="1">
      <alignment horizontal="center" vertical="center" wrapText="1"/>
    </xf>
    <xf numFmtId="0" fontId="19" fillId="0" borderId="5" xfId="0" applyNumberFormat="1" applyFont="1" applyFill="1" applyBorder="1" applyAlignment="1">
      <alignment horizontal="center" vertical="center" wrapText="1"/>
    </xf>
    <xf numFmtId="0" fontId="19" fillId="0" borderId="68" xfId="0" applyNumberFormat="1" applyFont="1" applyFill="1" applyBorder="1" applyAlignment="1">
      <alignment horizontal="center" vertical="center" wrapText="1"/>
    </xf>
    <xf numFmtId="0" fontId="19" fillId="0" borderId="109" xfId="0" applyNumberFormat="1" applyFont="1" applyFill="1" applyBorder="1" applyAlignment="1">
      <alignment horizontal="center" vertical="center" wrapText="1"/>
    </xf>
    <xf numFmtId="0" fontId="5" fillId="0" borderId="154" xfId="0" applyFont="1" applyFill="1" applyBorder="1" applyAlignment="1">
      <alignment horizontal="left" vertical="center"/>
    </xf>
    <xf numFmtId="0" fontId="5" fillId="0" borderId="95" xfId="0" applyFont="1" applyFill="1" applyBorder="1" applyAlignment="1">
      <alignment horizontal="left" vertical="center"/>
    </xf>
    <xf numFmtId="0" fontId="5" fillId="0" borderId="146" xfId="0" applyFont="1" applyFill="1" applyBorder="1" applyAlignment="1">
      <alignment horizontal="left" vertical="center"/>
    </xf>
    <xf numFmtId="0" fontId="2" fillId="0" borderId="95" xfId="0" applyFont="1" applyFill="1" applyBorder="1" applyAlignment="1" applyProtection="1">
      <alignment horizontal="center"/>
      <protection locked="0"/>
    </xf>
    <xf numFmtId="0" fontId="2" fillId="0" borderId="99" xfId="0" applyFont="1" applyFill="1" applyBorder="1" applyAlignment="1" applyProtection="1">
      <alignment horizontal="center"/>
      <protection locked="0"/>
    </xf>
    <xf numFmtId="0" fontId="1" fillId="0" borderId="154" xfId="0" applyNumberFormat="1" applyFont="1" applyFill="1" applyBorder="1" applyAlignment="1" applyProtection="1">
      <alignment horizontal="center"/>
      <protection locked="0"/>
    </xf>
    <xf numFmtId="0" fontId="1" fillId="0" borderId="95" xfId="0" applyNumberFormat="1" applyFont="1" applyFill="1" applyBorder="1" applyAlignment="1" applyProtection="1">
      <alignment horizontal="center"/>
      <protection locked="0"/>
    </xf>
    <xf numFmtId="0" fontId="1" fillId="0" borderId="146" xfId="0" applyNumberFormat="1" applyFont="1" applyFill="1" applyBorder="1" applyAlignment="1" applyProtection="1">
      <alignment horizontal="center"/>
      <protection locked="0"/>
    </xf>
    <xf numFmtId="0" fontId="30" fillId="6" borderId="159" xfId="0" applyFont="1" applyFill="1" applyBorder="1" applyAlignment="1"/>
    <xf numFmtId="0" fontId="2" fillId="0" borderId="137" xfId="0" applyFont="1" applyFill="1" applyBorder="1" applyAlignment="1">
      <alignment horizontal="center" vertical="center"/>
    </xf>
    <xf numFmtId="0" fontId="2" fillId="0" borderId="95" xfId="0" applyFont="1" applyFill="1" applyBorder="1" applyAlignment="1">
      <alignment horizontal="center" vertical="center"/>
    </xf>
    <xf numFmtId="0" fontId="5" fillId="0" borderId="138" xfId="0" applyFont="1" applyFill="1" applyBorder="1" applyAlignment="1">
      <alignment horizontal="center"/>
    </xf>
    <xf numFmtId="0" fontId="5" fillId="0" borderId="134" xfId="0" applyFont="1" applyFill="1" applyBorder="1" applyAlignment="1">
      <alignment horizontal="center"/>
    </xf>
    <xf numFmtId="0" fontId="5" fillId="0" borderId="194" xfId="0" applyFont="1" applyFill="1" applyBorder="1" applyAlignment="1">
      <alignment horizontal="center"/>
    </xf>
    <xf numFmtId="0" fontId="5" fillId="0" borderId="193" xfId="0" applyFont="1" applyFill="1" applyBorder="1" applyAlignment="1">
      <alignment horizontal="center"/>
    </xf>
    <xf numFmtId="1" fontId="55" fillId="4" borderId="208" xfId="0" applyNumberFormat="1" applyFont="1" applyFill="1" applyBorder="1" applyAlignment="1" applyProtection="1">
      <alignment horizontal="center" vertical="center"/>
      <protection locked="0"/>
    </xf>
    <xf numFmtId="1" fontId="55" fillId="4" borderId="120" xfId="0" applyNumberFormat="1" applyFont="1" applyFill="1" applyBorder="1" applyAlignment="1" applyProtection="1">
      <alignment horizontal="center" vertical="center"/>
      <protection locked="0"/>
    </xf>
    <xf numFmtId="0" fontId="31" fillId="6" borderId="0" xfId="0" applyFont="1" applyFill="1" applyBorder="1" applyAlignment="1">
      <alignment horizontal="center" vertical="center" wrapText="1"/>
    </xf>
    <xf numFmtId="0" fontId="49" fillId="6" borderId="25" xfId="0" applyFont="1" applyFill="1" applyBorder="1" applyAlignment="1">
      <alignment horizontal="center"/>
    </xf>
    <xf numFmtId="0" fontId="1" fillId="0" borderId="165" xfId="0" applyFont="1" applyFill="1" applyBorder="1" applyAlignment="1" applyProtection="1">
      <alignment horizontal="center"/>
      <protection locked="0"/>
    </xf>
    <xf numFmtId="0" fontId="24" fillId="0" borderId="95" xfId="0" applyFont="1" applyBorder="1" applyAlignment="1" applyProtection="1">
      <alignment horizontal="center"/>
      <protection locked="0"/>
    </xf>
    <xf numFmtId="0" fontId="24" fillId="0" borderId="105" xfId="0" applyFont="1" applyBorder="1" applyAlignment="1" applyProtection="1">
      <alignment horizontal="center"/>
      <protection locked="0"/>
    </xf>
    <xf numFmtId="0" fontId="1" fillId="0" borderId="166" xfId="0" applyFont="1" applyFill="1" applyBorder="1" applyAlignment="1">
      <alignment horizontal="center"/>
    </xf>
    <xf numFmtId="0" fontId="5" fillId="0" borderId="203" xfId="0" applyFont="1" applyFill="1" applyBorder="1" applyAlignment="1">
      <alignment horizontal="center"/>
    </xf>
    <xf numFmtId="0" fontId="5" fillId="0" borderId="10" xfId="0" applyFont="1" applyFill="1" applyBorder="1" applyAlignment="1">
      <alignment horizontal="center"/>
    </xf>
    <xf numFmtId="0" fontId="5" fillId="0" borderId="11" xfId="0" applyFont="1" applyFill="1" applyBorder="1" applyAlignment="1">
      <alignment horizontal="center"/>
    </xf>
    <xf numFmtId="0" fontId="2" fillId="0" borderId="104" xfId="0" applyFont="1" applyFill="1" applyBorder="1" applyAlignment="1" applyProtection="1">
      <alignment horizontal="center"/>
      <protection locked="0"/>
    </xf>
    <xf numFmtId="0" fontId="2" fillId="0" borderId="166" xfId="0" applyFont="1" applyFill="1" applyBorder="1" applyAlignment="1" applyProtection="1">
      <alignment horizontal="center"/>
      <protection locked="0"/>
    </xf>
    <xf numFmtId="0" fontId="19" fillId="0" borderId="104" xfId="0" applyFont="1" applyFill="1" applyBorder="1" applyAlignment="1" applyProtection="1">
      <alignment horizontal="center"/>
      <protection locked="0"/>
    </xf>
    <xf numFmtId="0" fontId="19" fillId="0" borderId="105" xfId="0" applyFont="1" applyFill="1" applyBorder="1" applyAlignment="1" applyProtection="1">
      <alignment horizontal="center"/>
      <protection locked="0"/>
    </xf>
    <xf numFmtId="0" fontId="2" fillId="0" borderId="165" xfId="0" applyFont="1" applyFill="1" applyBorder="1" applyAlignment="1" applyProtection="1">
      <alignment horizontal="center" shrinkToFit="1"/>
      <protection locked="0"/>
    </xf>
    <xf numFmtId="0" fontId="2" fillId="0" borderId="95" xfId="0" applyFont="1" applyFill="1" applyBorder="1" applyAlignment="1" applyProtection="1">
      <alignment horizontal="center" shrinkToFit="1"/>
      <protection locked="0"/>
    </xf>
    <xf numFmtId="0" fontId="1" fillId="0" borderId="166" xfId="0" applyFont="1" applyFill="1" applyBorder="1" applyAlignment="1" applyProtection="1">
      <alignment horizontal="center"/>
      <protection locked="0"/>
    </xf>
    <xf numFmtId="0" fontId="1" fillId="0" borderId="24" xfId="0" applyFont="1" applyFill="1" applyBorder="1" applyAlignment="1" applyProtection="1">
      <alignment horizontal="center"/>
      <protection locked="0"/>
    </xf>
    <xf numFmtId="0" fontId="1" fillId="0" borderId="25" xfId="0" applyFont="1" applyFill="1" applyBorder="1" applyAlignment="1" applyProtection="1">
      <alignment horizontal="center"/>
      <protection locked="0"/>
    </xf>
    <xf numFmtId="0" fontId="20" fillId="0" borderId="204" xfId="0" applyFont="1" applyFill="1" applyBorder="1" applyAlignment="1">
      <alignment horizontal="center"/>
    </xf>
    <xf numFmtId="0" fontId="20" fillId="0" borderId="22" xfId="0" applyFont="1" applyFill="1" applyBorder="1" applyAlignment="1">
      <alignment horizontal="center"/>
    </xf>
    <xf numFmtId="0" fontId="49" fillId="6" borderId="25" xfId="0" applyFont="1" applyFill="1" applyBorder="1" applyAlignment="1"/>
    <xf numFmtId="0" fontId="1" fillId="0" borderId="163" xfId="0" applyFont="1" applyFill="1" applyBorder="1" applyAlignment="1">
      <alignment horizontal="center"/>
    </xf>
    <xf numFmtId="0" fontId="1" fillId="0" borderId="7" xfId="0" applyFont="1" applyFill="1" applyBorder="1" applyAlignment="1">
      <alignment horizontal="center"/>
    </xf>
    <xf numFmtId="0" fontId="1" fillId="0" borderId="8" xfId="0" applyFont="1" applyFill="1" applyBorder="1" applyAlignment="1">
      <alignment horizontal="center"/>
    </xf>
    <xf numFmtId="0" fontId="1" fillId="0" borderId="163" xfId="0" applyFont="1"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49" fillId="6" borderId="0" xfId="0" applyFont="1" applyFill="1" applyBorder="1" applyAlignment="1">
      <alignment horizontal="center" vertical="center"/>
    </xf>
    <xf numFmtId="0" fontId="2" fillId="0" borderId="21" xfId="0" applyFont="1" applyFill="1" applyBorder="1" applyAlignment="1">
      <alignment horizontal="center" vertical="center" shrinkToFit="1"/>
    </xf>
    <xf numFmtId="0" fontId="2" fillId="0" borderId="22" xfId="0" applyFont="1" applyFill="1" applyBorder="1" applyAlignment="1">
      <alignment horizontal="center" vertical="center" shrinkToFit="1"/>
    </xf>
    <xf numFmtId="0" fontId="19" fillId="0" borderId="21"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9" fillId="0" borderId="3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2" fillId="0" borderId="30"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26" xfId="0" applyFont="1" applyFill="1" applyBorder="1" applyAlignment="1">
      <alignment horizontal="center" vertical="center"/>
    </xf>
    <xf numFmtId="0" fontId="5" fillId="0" borderId="163" xfId="0" applyFont="1" applyFill="1" applyBorder="1" applyAlignment="1">
      <alignment horizontal="center"/>
    </xf>
    <xf numFmtId="0" fontId="5" fillId="0" borderId="7" xfId="0" applyFont="1" applyFill="1" applyBorder="1" applyAlignment="1">
      <alignment horizontal="center"/>
    </xf>
    <xf numFmtId="0" fontId="5" fillId="0" borderId="164" xfId="0" applyFont="1" applyFill="1" applyBorder="1" applyAlignment="1">
      <alignment horizontal="center"/>
    </xf>
    <xf numFmtId="0" fontId="5" fillId="0" borderId="211" xfId="0" applyFont="1" applyFill="1" applyBorder="1" applyAlignment="1">
      <alignment horizontal="center"/>
    </xf>
    <xf numFmtId="0" fontId="5" fillId="0" borderId="8" xfId="0" applyFont="1" applyFill="1" applyBorder="1" applyAlignment="1">
      <alignment horizontal="center"/>
    </xf>
    <xf numFmtId="0" fontId="5" fillId="0" borderId="32" xfId="0" applyFont="1" applyFill="1" applyBorder="1" applyAlignment="1">
      <alignment horizontal="center" vertical="center"/>
    </xf>
    <xf numFmtId="0" fontId="5" fillId="0" borderId="212"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11" xfId="0" applyFont="1" applyFill="1" applyBorder="1" applyAlignment="1">
      <alignment horizontal="center" vertical="center"/>
    </xf>
    <xf numFmtId="0" fontId="5" fillId="0" borderId="104" xfId="0" applyFont="1" applyFill="1" applyBorder="1" applyAlignment="1">
      <alignment horizontal="center" vertical="center"/>
    </xf>
    <xf numFmtId="0" fontId="5" fillId="0" borderId="95" xfId="0" applyFont="1" applyFill="1" applyBorder="1" applyAlignment="1">
      <alignment horizontal="center" vertical="center"/>
    </xf>
    <xf numFmtId="0" fontId="5" fillId="0" borderId="105" xfId="0" applyFont="1" applyFill="1" applyBorder="1" applyAlignment="1">
      <alignment horizontal="center" vertical="center"/>
    </xf>
    <xf numFmtId="0" fontId="2" fillId="0" borderId="248" xfId="0" applyFont="1" applyFill="1" applyBorder="1" applyAlignment="1" applyProtection="1">
      <alignment horizontal="center" vertical="center"/>
      <protection locked="0"/>
    </xf>
    <xf numFmtId="0" fontId="2" fillId="0" borderId="237" xfId="0" applyFont="1" applyFill="1" applyBorder="1" applyAlignment="1" applyProtection="1">
      <alignment horizontal="center" vertical="center"/>
      <protection locked="0"/>
    </xf>
    <xf numFmtId="0" fontId="2" fillId="0" borderId="249" xfId="0" applyFont="1" applyFill="1" applyBorder="1" applyAlignment="1" applyProtection="1">
      <alignment horizontal="center" vertical="center"/>
      <protection locked="0"/>
    </xf>
    <xf numFmtId="0" fontId="24" fillId="0" borderId="95" xfId="0" applyFont="1" applyFill="1" applyBorder="1" applyAlignment="1" applyProtection="1">
      <alignment horizontal="center"/>
      <protection locked="0"/>
    </xf>
    <xf numFmtId="0" fontId="22" fillId="0" borderId="244" xfId="0" applyFont="1" applyFill="1" applyBorder="1" applyAlignment="1" applyProtection="1">
      <alignment horizontal="center" vertical="center"/>
      <protection locked="0"/>
    </xf>
    <xf numFmtId="0" fontId="22" fillId="0" borderId="171" xfId="0" applyFont="1" applyFill="1" applyBorder="1" applyAlignment="1" applyProtection="1">
      <alignment horizontal="center" vertical="center"/>
      <protection locked="0"/>
    </xf>
    <xf numFmtId="0" fontId="22" fillId="0" borderId="245" xfId="0" applyFont="1" applyFill="1" applyBorder="1" applyAlignment="1" applyProtection="1">
      <alignment horizontal="center" vertical="center"/>
      <protection locked="0"/>
    </xf>
    <xf numFmtId="0" fontId="24" fillId="0" borderId="166" xfId="0" applyFont="1" applyFill="1" applyBorder="1" applyAlignment="1" applyProtection="1">
      <alignment horizontal="center"/>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19" fillId="0" borderId="9"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1" xfId="0" applyFont="1" applyFill="1" applyBorder="1" applyAlignment="1">
      <alignment horizontal="center" vertical="center"/>
    </xf>
    <xf numFmtId="0" fontId="31" fillId="6" borderId="22" xfId="0" applyFont="1" applyFill="1" applyBorder="1" applyAlignment="1">
      <alignment horizontal="center"/>
    </xf>
    <xf numFmtId="0" fontId="31" fillId="6" borderId="23" xfId="0" applyFont="1" applyFill="1" applyBorder="1" applyAlignment="1">
      <alignment horizontal="center"/>
    </xf>
    <xf numFmtId="0" fontId="22" fillId="0" borderId="246" xfId="0" applyFont="1" applyFill="1" applyBorder="1" applyAlignment="1" applyProtection="1">
      <alignment horizontal="center" vertical="center"/>
      <protection locked="0"/>
    </xf>
    <xf numFmtId="0" fontId="22" fillId="0" borderId="68" xfId="0" applyFont="1" applyFill="1" applyBorder="1" applyAlignment="1" applyProtection="1">
      <alignment horizontal="center" vertical="center"/>
      <protection locked="0"/>
    </xf>
    <xf numFmtId="0" fontId="22" fillId="0" borderId="247" xfId="0" applyFont="1" applyFill="1" applyBorder="1" applyAlignment="1" applyProtection="1">
      <alignment horizontal="center" vertical="center"/>
      <protection locked="0"/>
    </xf>
    <xf numFmtId="0" fontId="84" fillId="6" borderId="30" xfId="0" applyFont="1" applyFill="1" applyBorder="1" applyAlignment="1">
      <alignment horizontal="left"/>
    </xf>
    <xf numFmtId="0" fontId="84" fillId="6" borderId="0" xfId="0" applyFont="1" applyFill="1" applyBorder="1" applyAlignment="1">
      <alignment horizontal="left"/>
    </xf>
    <xf numFmtId="0" fontId="2" fillId="0" borderId="104" xfId="0" applyFont="1" applyFill="1" applyBorder="1" applyAlignment="1">
      <alignment horizontal="center" vertical="center"/>
    </xf>
    <xf numFmtId="0" fontId="2" fillId="0" borderId="105"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43"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243" xfId="0" applyFont="1" applyFill="1" applyBorder="1" applyAlignment="1">
      <alignment horizontal="center" vertical="center"/>
    </xf>
    <xf numFmtId="0" fontId="2" fillId="0" borderId="170" xfId="0" applyFont="1" applyFill="1" applyBorder="1" applyAlignment="1">
      <alignment horizontal="center" vertical="center" wrapText="1"/>
    </xf>
    <xf numFmtId="0" fontId="2" fillId="0" borderId="171" xfId="0" applyFont="1" applyFill="1" applyBorder="1" applyAlignment="1">
      <alignment horizontal="center" vertical="center" wrapText="1"/>
    </xf>
    <xf numFmtId="0" fontId="2" fillId="0" borderId="172" xfId="0" applyFont="1" applyFill="1" applyBorder="1" applyAlignment="1">
      <alignment horizontal="center" vertical="center" wrapText="1"/>
    </xf>
    <xf numFmtId="0" fontId="2" fillId="0" borderId="173" xfId="0" applyFont="1" applyFill="1" applyBorder="1" applyAlignment="1">
      <alignment horizontal="center" vertical="center" wrapText="1"/>
    </xf>
    <xf numFmtId="0" fontId="24" fillId="0" borderId="165" xfId="0" applyFont="1" applyFill="1" applyBorder="1" applyAlignment="1" applyProtection="1">
      <alignment horizontal="left"/>
      <protection locked="0"/>
    </xf>
    <xf numFmtId="0" fontId="24" fillId="0" borderId="95" xfId="0" applyFont="1" applyFill="1" applyBorder="1" applyAlignment="1" applyProtection="1">
      <alignment horizontal="left"/>
      <protection locked="0"/>
    </xf>
    <xf numFmtId="0" fontId="2" fillId="0" borderId="25" xfId="0" applyFont="1" applyFill="1" applyBorder="1" applyAlignment="1">
      <alignment horizontal="center" vertical="center"/>
    </xf>
    <xf numFmtId="0" fontId="24" fillId="0" borderId="166" xfId="0" applyFont="1" applyFill="1" applyBorder="1" applyAlignment="1" applyProtection="1">
      <alignment horizontal="left"/>
      <protection locked="0"/>
    </xf>
    <xf numFmtId="0" fontId="22" fillId="0" borderId="165" xfId="0" applyFont="1" applyFill="1" applyBorder="1" applyAlignment="1" applyProtection="1">
      <alignment horizontal="center" vertical="center"/>
      <protection locked="0"/>
    </xf>
    <xf numFmtId="0" fontId="22" fillId="0" borderId="95" xfId="0" applyFont="1" applyFill="1" applyBorder="1" applyAlignment="1" applyProtection="1">
      <alignment horizontal="center" vertical="center"/>
      <protection locked="0"/>
    </xf>
    <xf numFmtId="0" fontId="22" fillId="0" borderId="166" xfId="0" applyFont="1" applyFill="1" applyBorder="1" applyAlignment="1" applyProtection="1">
      <alignment horizontal="center" vertical="center"/>
      <protection locked="0"/>
    </xf>
    <xf numFmtId="0" fontId="31" fillId="6" borderId="68" xfId="0" applyFont="1" applyFill="1" applyBorder="1" applyAlignment="1">
      <alignment horizontal="center" vertical="center" wrapText="1"/>
    </xf>
    <xf numFmtId="0" fontId="1" fillId="0" borderId="9"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5" fillId="0" borderId="32" xfId="0" applyFont="1" applyFill="1" applyBorder="1" applyAlignment="1" applyProtection="1">
      <alignment horizontal="center" vertical="center"/>
      <protection locked="0"/>
    </xf>
    <xf numFmtId="0" fontId="5" fillId="0" borderId="212" xfId="0" applyFont="1" applyFill="1" applyBorder="1" applyAlignment="1" applyProtection="1">
      <alignment horizontal="center" vertical="center"/>
      <protection locked="0"/>
    </xf>
    <xf numFmtId="0" fontId="19" fillId="0" borderId="163" xfId="0" applyFont="1" applyFill="1" applyBorder="1" applyAlignment="1" applyProtection="1">
      <alignment horizontal="center" vertical="center"/>
      <protection locked="0"/>
    </xf>
    <xf numFmtId="0" fontId="19" fillId="0" borderId="8" xfId="0" applyFont="1" applyFill="1" applyBorder="1" applyAlignment="1" applyProtection="1">
      <alignment horizontal="center" vertical="center"/>
      <protection locked="0"/>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22" fillId="0" borderId="9" xfId="0" applyFont="1" applyFill="1" applyBorder="1" applyAlignment="1" applyProtection="1">
      <alignment horizontal="center" vertical="center"/>
      <protection locked="0"/>
    </xf>
    <xf numFmtId="0" fontId="22" fillId="0" borderId="11" xfId="0" applyFont="1" applyFill="1" applyBorder="1" applyAlignment="1" applyProtection="1">
      <alignment horizontal="center" vertical="center"/>
      <protection locked="0"/>
    </xf>
    <xf numFmtId="0" fontId="31" fillId="6" borderId="31" xfId="0" applyFont="1" applyFill="1" applyBorder="1" applyAlignment="1">
      <alignment horizontal="center" vertical="center"/>
    </xf>
    <xf numFmtId="0" fontId="85" fillId="2" borderId="0" xfId="0" applyFont="1" applyFill="1" applyBorder="1" applyAlignment="1">
      <alignment horizontal="center"/>
    </xf>
    <xf numFmtId="0" fontId="17" fillId="0" borderId="9" xfId="0" applyFont="1" applyFill="1" applyBorder="1" applyAlignment="1">
      <alignment horizontal="center" vertical="center"/>
    </xf>
    <xf numFmtId="0" fontId="17" fillId="0" borderId="11" xfId="0" applyFont="1" applyFill="1" applyBorder="1" applyAlignment="1">
      <alignment horizontal="center" vertical="center"/>
    </xf>
    <xf numFmtId="0" fontId="66" fillId="0" borderId="32" xfId="0" applyFont="1" applyFill="1" applyBorder="1" applyAlignment="1">
      <alignment horizontal="center" vertical="center"/>
    </xf>
    <xf numFmtId="0" fontId="66" fillId="0" borderId="212" xfId="0" applyFont="1" applyFill="1" applyBorder="1" applyAlignment="1">
      <alignment horizontal="center" vertical="center"/>
    </xf>
    <xf numFmtId="0" fontId="31" fillId="6" borderId="0" xfId="0" applyFont="1" applyFill="1" applyBorder="1" applyAlignment="1">
      <alignment horizontal="center" vertical="center"/>
    </xf>
    <xf numFmtId="0" fontId="31" fillId="6" borderId="68" xfId="0" applyFont="1" applyFill="1" applyBorder="1" applyAlignment="1">
      <alignment horizontal="center" vertical="center"/>
    </xf>
    <xf numFmtId="0" fontId="72" fillId="6" borderId="10" xfId="0" applyFont="1" applyFill="1" applyBorder="1" applyAlignment="1">
      <alignment horizontal="center"/>
    </xf>
    <xf numFmtId="0" fontId="72" fillId="6" borderId="243" xfId="0" applyFont="1" applyFill="1" applyBorder="1" applyAlignment="1">
      <alignment horizontal="center"/>
    </xf>
    <xf numFmtId="0" fontId="19" fillId="0" borderId="170" xfId="0" applyFont="1" applyFill="1" applyBorder="1" applyAlignment="1">
      <alignment horizontal="center" vertical="center" wrapText="1"/>
    </xf>
    <xf numFmtId="0" fontId="19" fillId="0" borderId="171" xfId="0" applyFont="1" applyFill="1" applyBorder="1" applyAlignment="1">
      <alignment horizontal="center" vertical="center" wrapText="1"/>
    </xf>
    <xf numFmtId="0" fontId="19" fillId="0" borderId="172" xfId="0" applyFont="1" applyFill="1" applyBorder="1" applyAlignment="1">
      <alignment horizontal="center" vertical="center" wrapText="1"/>
    </xf>
    <xf numFmtId="0" fontId="19" fillId="0" borderId="50" xfId="0" applyFont="1" applyFill="1" applyBorder="1" applyAlignment="1">
      <alignment horizontal="center" vertical="center" wrapText="1"/>
    </xf>
    <xf numFmtId="0" fontId="19" fillId="0" borderId="84" xfId="0" applyFont="1" applyFill="1" applyBorder="1" applyAlignment="1">
      <alignment horizontal="center" vertical="center" wrapText="1"/>
    </xf>
    <xf numFmtId="0" fontId="19" fillId="0" borderId="173" xfId="0" applyFont="1" applyFill="1" applyBorder="1" applyAlignment="1">
      <alignment horizontal="center" vertical="center" wrapText="1"/>
    </xf>
    <xf numFmtId="0" fontId="19" fillId="0" borderId="68" xfId="0" applyFont="1" applyFill="1" applyBorder="1" applyAlignment="1">
      <alignment horizontal="center" vertical="center" wrapText="1"/>
    </xf>
    <xf numFmtId="0" fontId="19" fillId="0" borderId="109" xfId="0" applyFont="1" applyFill="1" applyBorder="1" applyAlignment="1">
      <alignment horizontal="center" vertical="center" wrapText="1"/>
    </xf>
    <xf numFmtId="0" fontId="20" fillId="0" borderId="9"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1" xfId="0" applyFont="1" applyFill="1" applyBorder="1" applyAlignment="1">
      <alignment horizontal="center" vertical="center"/>
    </xf>
    <xf numFmtId="0" fontId="30" fillId="6" borderId="31"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11"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42" xfId="0" applyFont="1" applyFill="1" applyBorder="1" applyAlignment="1">
      <alignment horizontal="center" vertical="center"/>
    </xf>
    <xf numFmtId="0" fontId="49" fillId="6" borderId="0" xfId="0" applyFont="1" applyFill="1" applyBorder="1" applyAlignment="1">
      <alignment horizontal="left" vertical="top"/>
    </xf>
    <xf numFmtId="0" fontId="56" fillId="4" borderId="209" xfId="0" applyFont="1" applyFill="1" applyBorder="1" applyAlignment="1">
      <alignment horizontal="center" vertical="center"/>
    </xf>
    <xf numFmtId="0" fontId="56" fillId="4" borderId="210" xfId="0" applyFont="1" applyFill="1" applyBorder="1" applyAlignment="1">
      <alignment horizontal="center" vertical="center"/>
    </xf>
    <xf numFmtId="0" fontId="2" fillId="0" borderId="52" xfId="0" applyFont="1" applyFill="1" applyBorder="1" applyAlignment="1">
      <alignment horizontal="center" vertical="top" wrapText="1"/>
    </xf>
    <xf numFmtId="0" fontId="2" fillId="0" borderId="51" xfId="0" applyFont="1" applyFill="1" applyBorder="1" applyAlignment="1">
      <alignment horizontal="center" vertical="top" wrapText="1"/>
    </xf>
    <xf numFmtId="0" fontId="2" fillId="0" borderId="53" xfId="0" applyFont="1" applyFill="1" applyBorder="1" applyAlignment="1">
      <alignment horizontal="center" vertical="top" wrapText="1"/>
    </xf>
    <xf numFmtId="0" fontId="2" fillId="0" borderId="5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55" xfId="0" applyFont="1" applyFill="1" applyBorder="1" applyAlignment="1">
      <alignment horizontal="center" vertical="top" wrapText="1"/>
    </xf>
    <xf numFmtId="0" fontId="2" fillId="0" borderId="56" xfId="0" applyFont="1" applyFill="1" applyBorder="1" applyAlignment="1">
      <alignment horizontal="center" vertical="top" wrapText="1"/>
    </xf>
    <xf numFmtId="0" fontId="2" fillId="0" borderId="57" xfId="0" applyFont="1" applyFill="1" applyBorder="1" applyAlignment="1">
      <alignment horizontal="center" vertical="top" wrapText="1"/>
    </xf>
    <xf numFmtId="0" fontId="2" fillId="0" borderId="58" xfId="0" applyFont="1" applyFill="1" applyBorder="1" applyAlignment="1">
      <alignment horizontal="center" vertical="top" wrapText="1"/>
    </xf>
    <xf numFmtId="0" fontId="2" fillId="0" borderId="54" xfId="0" applyFont="1" applyFill="1" applyBorder="1" applyAlignment="1" applyProtection="1">
      <alignment horizontal="center"/>
      <protection locked="0"/>
    </xf>
    <xf numFmtId="0" fontId="2" fillId="0" borderId="0" xfId="0" applyFont="1" applyFill="1" applyBorder="1" applyAlignment="1" applyProtection="1">
      <alignment horizontal="center"/>
      <protection locked="0"/>
    </xf>
    <xf numFmtId="0" fontId="2" fillId="0" borderId="55" xfId="0" applyFont="1" applyFill="1" applyBorder="1" applyAlignment="1" applyProtection="1">
      <alignment horizontal="center"/>
      <protection locked="0"/>
    </xf>
    <xf numFmtId="0" fontId="1" fillId="0" borderId="103" xfId="0" applyFont="1" applyFill="1" applyBorder="1" applyAlignment="1">
      <alignment horizontal="center"/>
    </xf>
    <xf numFmtId="0" fontId="2" fillId="0" borderId="52" xfId="0" applyFont="1" applyFill="1" applyBorder="1" applyAlignment="1" applyProtection="1">
      <alignment horizontal="center"/>
      <protection locked="0"/>
    </xf>
    <xf numFmtId="0" fontId="2" fillId="0" borderId="51" xfId="0" applyFont="1" applyFill="1" applyBorder="1" applyAlignment="1" applyProtection="1">
      <alignment horizontal="center"/>
      <protection locked="0"/>
    </xf>
    <xf numFmtId="0" fontId="2" fillId="0" borderId="53" xfId="0" applyFont="1" applyFill="1" applyBorder="1" applyAlignment="1" applyProtection="1">
      <alignment horizontal="center"/>
      <protection locked="0"/>
    </xf>
    <xf numFmtId="0" fontId="49" fillId="6" borderId="0" xfId="0" applyFont="1" applyFill="1" applyBorder="1" applyAlignment="1">
      <alignment horizontal="center" vertical="top"/>
    </xf>
    <xf numFmtId="0" fontId="2" fillId="0" borderId="56" xfId="0" applyFont="1" applyFill="1" applyBorder="1" applyAlignment="1" applyProtection="1">
      <alignment horizontal="center"/>
      <protection locked="0"/>
    </xf>
    <xf numFmtId="0" fontId="2" fillId="0" borderId="57" xfId="0" applyFont="1" applyFill="1" applyBorder="1" applyAlignment="1" applyProtection="1">
      <alignment horizontal="center"/>
      <protection locked="0"/>
    </xf>
    <xf numFmtId="0" fontId="2" fillId="0" borderId="58" xfId="0" applyFont="1" applyFill="1" applyBorder="1" applyAlignment="1" applyProtection="1">
      <alignment horizontal="center"/>
      <protection locked="0"/>
    </xf>
    <xf numFmtId="0" fontId="2" fillId="0" borderId="62" xfId="0" applyFont="1" applyFill="1" applyBorder="1" applyAlignment="1" applyProtection="1">
      <alignment horizontal="center"/>
      <protection locked="0"/>
    </xf>
    <xf numFmtId="0" fontId="2" fillId="0" borderId="63" xfId="0" applyFont="1" applyFill="1" applyBorder="1" applyAlignment="1" applyProtection="1">
      <alignment horizontal="center"/>
      <protection locked="0"/>
    </xf>
    <xf numFmtId="0" fontId="2" fillId="0" borderId="64" xfId="0" applyFont="1" applyFill="1" applyBorder="1" applyAlignment="1" applyProtection="1">
      <alignment horizontal="center"/>
      <protection locked="0"/>
    </xf>
    <xf numFmtId="0" fontId="1" fillId="0" borderId="41"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40" xfId="0" applyFont="1" applyFill="1" applyBorder="1" applyAlignment="1">
      <alignment horizontal="center" vertical="center"/>
    </xf>
    <xf numFmtId="0" fontId="1" fillId="0" borderId="45" xfId="0" applyFont="1" applyFill="1" applyBorder="1" applyAlignment="1">
      <alignment horizontal="center" vertical="center"/>
    </xf>
    <xf numFmtId="0" fontId="17" fillId="0" borderId="41" xfId="0" applyFont="1" applyFill="1" applyBorder="1" applyAlignment="1">
      <alignment horizontal="center" vertical="top" wrapText="1"/>
    </xf>
    <xf numFmtId="0" fontId="17" fillId="0" borderId="42" xfId="0" applyFont="1" applyFill="1" applyBorder="1" applyAlignment="1">
      <alignment horizontal="center" vertical="top" wrapText="1"/>
    </xf>
    <xf numFmtId="0" fontId="17" fillId="0" borderId="43" xfId="0" applyFont="1" applyFill="1" applyBorder="1" applyAlignment="1">
      <alignment horizontal="center" vertical="top" wrapText="1"/>
    </xf>
    <xf numFmtId="0" fontId="17" fillId="0" borderId="44" xfId="0" applyFont="1" applyFill="1" applyBorder="1" applyAlignment="1">
      <alignment horizontal="center" vertical="top" wrapText="1"/>
    </xf>
    <xf numFmtId="0" fontId="17" fillId="0" borderId="40" xfId="0" applyFont="1" applyFill="1" applyBorder="1" applyAlignment="1">
      <alignment horizontal="center" vertical="top" wrapText="1"/>
    </xf>
    <xf numFmtId="0" fontId="17" fillId="0" borderId="45" xfId="0" applyFont="1" applyFill="1" applyBorder="1" applyAlignment="1">
      <alignment horizontal="center" vertical="top" wrapText="1"/>
    </xf>
    <xf numFmtId="0" fontId="1" fillId="0" borderId="37" xfId="0" applyFont="1" applyFill="1" applyBorder="1" applyAlignment="1">
      <alignment horizontal="center" vertical="top"/>
    </xf>
    <xf numFmtId="0" fontId="1" fillId="0" borderId="38" xfId="0" applyFont="1" applyFill="1" applyBorder="1" applyAlignment="1">
      <alignment horizontal="center" vertical="top"/>
    </xf>
    <xf numFmtId="0" fontId="1" fillId="0" borderId="39" xfId="0" applyFont="1" applyFill="1" applyBorder="1" applyAlignment="1">
      <alignment horizontal="center" vertical="top"/>
    </xf>
    <xf numFmtId="0" fontId="2" fillId="0" borderId="181" xfId="0" applyFont="1" applyFill="1" applyBorder="1" applyAlignment="1">
      <alignment horizontal="left" vertical="top" wrapText="1"/>
    </xf>
    <xf numFmtId="0" fontId="2" fillId="0" borderId="182" xfId="0" applyFont="1" applyFill="1" applyBorder="1" applyAlignment="1">
      <alignment horizontal="left" vertical="top" wrapText="1"/>
    </xf>
    <xf numFmtId="0" fontId="2" fillId="0" borderId="183"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84" xfId="0" applyFont="1" applyFill="1" applyBorder="1" applyAlignment="1">
      <alignment horizontal="left" vertical="top" wrapText="1"/>
    </xf>
    <xf numFmtId="0" fontId="17" fillId="0" borderId="36"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184" xfId="0" applyFont="1" applyFill="1" applyBorder="1" applyAlignment="1">
      <alignment horizontal="left" vertical="top" wrapText="1"/>
    </xf>
    <xf numFmtId="0" fontId="2" fillId="0" borderId="185" xfId="0" applyFont="1" applyFill="1" applyBorder="1" applyAlignment="1">
      <alignment horizontal="left" vertical="top" wrapText="1"/>
    </xf>
    <xf numFmtId="0" fontId="2" fillId="0" borderId="186" xfId="0" applyFont="1" applyFill="1" applyBorder="1" applyAlignment="1">
      <alignment horizontal="left" vertical="top" wrapText="1"/>
    </xf>
    <xf numFmtId="0" fontId="2" fillId="0" borderId="187" xfId="0" applyFont="1" applyFill="1" applyBorder="1" applyAlignment="1">
      <alignment horizontal="left" vertical="top" wrapText="1"/>
    </xf>
    <xf numFmtId="0" fontId="1" fillId="0" borderId="6" xfId="0" applyFont="1" applyFill="1" applyBorder="1" applyAlignment="1">
      <alignment horizontal="left" wrapText="1"/>
    </xf>
    <xf numFmtId="0" fontId="1" fillId="0" borderId="184" xfId="0" applyFont="1" applyFill="1" applyBorder="1" applyAlignment="1">
      <alignment horizontal="left" wrapText="1"/>
    </xf>
    <xf numFmtId="0" fontId="5" fillId="0" borderId="0" xfId="0" applyFont="1" applyFill="1" applyAlignment="1">
      <alignment horizontal="center"/>
    </xf>
    <xf numFmtId="0" fontId="5" fillId="0" borderId="103" xfId="0" applyFont="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0" fontId="5" fillId="15" borderId="176" xfId="0" applyFont="1" applyFill="1" applyBorder="1" applyAlignment="1">
      <alignment horizontal="center" vertical="center"/>
    </xf>
    <xf numFmtId="0" fontId="5" fillId="15" borderId="0" xfId="0" applyFont="1" applyFill="1" applyBorder="1" applyAlignment="1">
      <alignment horizontal="center" vertical="center"/>
    </xf>
    <xf numFmtId="0" fontId="5" fillId="20" borderId="0" xfId="0" applyFont="1" applyFill="1" applyBorder="1" applyAlignment="1">
      <alignment horizontal="center" vertical="center"/>
    </xf>
    <xf numFmtId="0" fontId="5" fillId="14" borderId="0" xfId="0" applyFont="1" applyFill="1" applyBorder="1" applyAlignment="1">
      <alignment horizontal="center" vertical="center"/>
    </xf>
    <xf numFmtId="0" fontId="5" fillId="14" borderId="4" xfId="0" applyFont="1" applyFill="1" applyBorder="1" applyAlignment="1">
      <alignment horizontal="center" vertical="center"/>
    </xf>
    <xf numFmtId="0" fontId="5" fillId="25" borderId="0" xfId="0" applyFont="1" applyFill="1" applyBorder="1" applyAlignment="1">
      <alignment horizontal="center" vertical="top"/>
    </xf>
    <xf numFmtId="0" fontId="5" fillId="18" borderId="0" xfId="0" applyFont="1" applyFill="1" applyBorder="1" applyAlignment="1">
      <alignment horizontal="center" vertical="center"/>
    </xf>
    <xf numFmtId="0" fontId="5" fillId="16" borderId="0" xfId="0" applyFont="1" applyFill="1" applyBorder="1" applyAlignment="1">
      <alignment horizontal="center" vertical="center"/>
    </xf>
    <xf numFmtId="0" fontId="30" fillId="17" borderId="0" xfId="0" applyFont="1" applyFill="1" applyBorder="1" applyAlignment="1">
      <alignment horizontal="center" vertical="center"/>
    </xf>
    <xf numFmtId="0" fontId="5" fillId="21" borderId="0" xfId="0" applyFont="1" applyFill="1" applyBorder="1" applyAlignment="1">
      <alignment horizontal="center" vertical="center"/>
    </xf>
    <xf numFmtId="0" fontId="5" fillId="21" borderId="4" xfId="0" applyFont="1" applyFill="1" applyBorder="1" applyAlignment="1">
      <alignment horizontal="center" vertical="center"/>
    </xf>
    <xf numFmtId="0" fontId="5" fillId="19" borderId="0" xfId="0" applyFont="1" applyFill="1" applyBorder="1" applyAlignment="1">
      <alignment horizontal="center" vertical="center"/>
    </xf>
    <xf numFmtId="0" fontId="80" fillId="0" borderId="0" xfId="0" applyFont="1" applyFill="1" applyBorder="1" applyAlignment="1">
      <alignment horizontal="center"/>
    </xf>
    <xf numFmtId="0" fontId="5" fillId="0" borderId="79" xfId="0" applyFont="1" applyBorder="1" applyAlignment="1">
      <alignment horizontal="left"/>
    </xf>
    <xf numFmtId="0" fontId="5" fillId="0" borderId="69" xfId="0" applyFont="1" applyBorder="1" applyAlignment="1">
      <alignment horizontal="left"/>
    </xf>
    <xf numFmtId="0" fontId="5" fillId="0" borderId="79" xfId="0" applyFont="1" applyBorder="1" applyAlignment="1">
      <alignment horizontal="center"/>
    </xf>
    <xf numFmtId="0" fontId="5" fillId="0" borderId="69" xfId="0" applyFont="1" applyBorder="1" applyAlignment="1">
      <alignment horizontal="center"/>
    </xf>
    <xf numFmtId="0" fontId="30" fillId="0" borderId="0" xfId="0" applyFont="1" applyFill="1" applyBorder="1" applyAlignment="1">
      <alignment horizontal="center"/>
    </xf>
    <xf numFmtId="0" fontId="5" fillId="7" borderId="79" xfId="0" applyFont="1" applyFill="1" applyBorder="1" applyAlignment="1">
      <alignment horizontal="center"/>
    </xf>
    <xf numFmtId="0" fontId="5" fillId="4" borderId="79" xfId="0" applyFont="1" applyFill="1" applyBorder="1" applyAlignment="1">
      <alignment horizontal="center"/>
    </xf>
    <xf numFmtId="0" fontId="5" fillId="4" borderId="69" xfId="0" applyFont="1" applyFill="1" applyBorder="1" applyAlignment="1">
      <alignment horizontal="center"/>
    </xf>
    <xf numFmtId="0" fontId="25" fillId="6" borderId="35" xfId="0" applyFont="1" applyFill="1" applyBorder="1" applyAlignment="1">
      <alignment horizontal="left"/>
    </xf>
    <xf numFmtId="0" fontId="25" fillId="6" borderId="0" xfId="0" applyFont="1" applyFill="1" applyBorder="1" applyAlignment="1">
      <alignment horizontal="left"/>
    </xf>
    <xf numFmtId="0" fontId="25" fillId="6" borderId="104" xfId="0" applyFont="1" applyFill="1" applyBorder="1" applyAlignment="1">
      <alignment horizontal="center" vertical="center"/>
    </xf>
    <xf numFmtId="0" fontId="25" fillId="6" borderId="95" xfId="0" applyFont="1" applyFill="1" applyBorder="1" applyAlignment="1">
      <alignment horizontal="center" vertical="center"/>
    </xf>
    <xf numFmtId="0" fontId="25" fillId="6" borderId="105" xfId="0" applyFont="1" applyFill="1" applyBorder="1" applyAlignment="1">
      <alignment horizontal="center" vertical="center"/>
    </xf>
    <xf numFmtId="0" fontId="1" fillId="0" borderId="104" xfId="0" applyFont="1" applyBorder="1" applyAlignment="1">
      <alignment horizontal="left"/>
    </xf>
    <xf numFmtId="0" fontId="7" fillId="0" borderId="105" xfId="0" applyFont="1" applyBorder="1" applyAlignment="1">
      <alignment horizontal="left"/>
    </xf>
    <xf numFmtId="0" fontId="0" fillId="0" borderId="103" xfId="0" applyFill="1" applyBorder="1" applyAlignment="1">
      <alignment horizontal="center" vertical="center"/>
    </xf>
    <xf numFmtId="0" fontId="1" fillId="0" borderId="104" xfId="0" applyFont="1" applyFill="1" applyBorder="1" applyAlignment="1">
      <alignment horizontal="center" vertical="center"/>
    </xf>
    <xf numFmtId="0" fontId="0" fillId="0" borderId="95" xfId="0" applyFill="1" applyBorder="1" applyAlignment="1">
      <alignment horizontal="center" vertical="center"/>
    </xf>
    <xf numFmtId="0" fontId="0" fillId="0" borderId="105" xfId="0" applyFill="1" applyBorder="1" applyAlignment="1">
      <alignment horizontal="center" vertical="center"/>
    </xf>
    <xf numFmtId="0" fontId="0" fillId="0" borderId="104" xfId="0" applyFill="1" applyBorder="1" applyAlignment="1">
      <alignment horizontal="center" vertical="center"/>
    </xf>
  </cellXfs>
  <cellStyles count="4">
    <cellStyle name="Lien hypertexte" xfId="1" builtinId="8"/>
    <cellStyle name="Monétaire" xfId="3" builtinId="4"/>
    <cellStyle name="Normal" xfId="0" builtinId="0"/>
    <cellStyle name="Normal 2" xfId="2" xr:uid="{00000000-0005-0000-0000-000003000000}"/>
  </cellStyles>
  <dxfs count="2222">
    <dxf>
      <fill>
        <patternFill>
          <bgColor rgb="FFCCFFFF"/>
        </patternFill>
      </fill>
    </dxf>
    <dxf>
      <fill>
        <patternFill>
          <bgColor rgb="FFCCFFFF"/>
        </patternFill>
      </fill>
    </dxf>
    <dxf>
      <font>
        <condense val="0"/>
        <extend val="0"/>
        <color indexed="9"/>
      </font>
    </dxf>
    <dxf>
      <fill>
        <patternFill>
          <bgColor rgb="FFCCFFFF"/>
        </patternFill>
      </fill>
    </dxf>
    <dxf>
      <fill>
        <patternFill patternType="none">
          <bgColor indexed="65"/>
        </patternFill>
      </fill>
    </dxf>
    <dxf>
      <font>
        <condense val="0"/>
        <extend val="0"/>
        <color indexed="9"/>
      </font>
    </dxf>
    <dxf>
      <fill>
        <patternFill>
          <bgColor rgb="FFCCFFFF"/>
        </patternFill>
      </fill>
    </dxf>
    <dxf>
      <fill>
        <patternFill patternType="none">
          <bgColor indexed="65"/>
        </patternFill>
      </fill>
    </dxf>
    <dxf>
      <font>
        <condense val="0"/>
        <extend val="0"/>
        <color indexed="9"/>
      </font>
    </dxf>
    <dxf>
      <fill>
        <patternFill>
          <bgColor rgb="FFCCFFFF"/>
        </patternFill>
      </fill>
    </dxf>
    <dxf>
      <fill>
        <patternFill patternType="none">
          <bgColor indexed="65"/>
        </patternFill>
      </fill>
    </dxf>
    <dxf>
      <font>
        <condense val="0"/>
        <extend val="0"/>
        <color indexed="9"/>
      </font>
    </dxf>
    <dxf>
      <font>
        <condense val="0"/>
        <extend val="0"/>
        <color indexed="9"/>
      </font>
    </dxf>
    <dxf>
      <fill>
        <patternFill>
          <bgColor rgb="FFCCFFFF"/>
        </patternFill>
      </fill>
    </dxf>
    <dxf>
      <fill>
        <patternFill patternType="none">
          <bgColor indexed="65"/>
        </patternFill>
      </fill>
    </dxf>
    <dxf>
      <fill>
        <patternFill>
          <bgColor rgb="FFCCFFFF"/>
        </patternFill>
      </fill>
    </dxf>
    <dxf>
      <fill>
        <patternFill patternType="none">
          <bgColor indexed="65"/>
        </patternFill>
      </fill>
    </dxf>
    <dxf>
      <fill>
        <patternFill>
          <bgColor rgb="FFCCFFFF"/>
        </patternFill>
      </fill>
    </dxf>
    <dxf>
      <font>
        <condense val="0"/>
        <extend val="0"/>
        <color indexed="9"/>
      </font>
    </dxf>
    <dxf>
      <fill>
        <patternFill>
          <bgColor rgb="FFCCFFFF"/>
        </patternFill>
      </fill>
    </dxf>
    <dxf>
      <fill>
        <patternFill patternType="none">
          <bgColor indexed="65"/>
        </patternFill>
      </fill>
    </dxf>
    <dxf>
      <fill>
        <patternFill>
          <bgColor rgb="FFCCFFFF"/>
        </patternFill>
      </fill>
    </dxf>
    <dxf>
      <fill>
        <patternFill patternType="none">
          <bgColor indexed="65"/>
        </patternFill>
      </fill>
    </dxf>
    <dxf>
      <fill>
        <patternFill>
          <bgColor rgb="FFCCFFFF"/>
        </patternFill>
      </fill>
    </dxf>
    <dxf>
      <fill>
        <patternFill patternType="none">
          <bgColor indexed="65"/>
        </patternFill>
      </fill>
    </dxf>
    <dxf>
      <font>
        <condense val="0"/>
        <extend val="0"/>
        <color indexed="9"/>
      </font>
    </dxf>
    <dxf>
      <fill>
        <patternFill>
          <bgColor rgb="FFCCFFFF"/>
        </patternFill>
      </fill>
    </dxf>
    <dxf>
      <fill>
        <patternFill patternType="none">
          <bgColor indexed="65"/>
        </patternFill>
      </fill>
    </dxf>
    <dxf>
      <font>
        <condense val="0"/>
        <extend val="0"/>
        <color indexed="9"/>
      </font>
    </dxf>
    <dxf>
      <font>
        <condense val="0"/>
        <extend val="0"/>
        <color indexed="9"/>
      </font>
    </dxf>
    <dxf>
      <fill>
        <patternFill>
          <bgColor rgb="FFCCFFFF"/>
        </patternFill>
      </fill>
    </dxf>
    <dxf>
      <fill>
        <patternFill patternType="none">
          <bgColor indexed="65"/>
        </patternFill>
      </fill>
    </dxf>
    <dxf>
      <fill>
        <patternFill>
          <bgColor rgb="FFCCFFFF"/>
        </patternFill>
      </fill>
    </dxf>
    <dxf>
      <fill>
        <patternFill patternType="none">
          <bgColor indexed="65"/>
        </patternFill>
      </fill>
    </dxf>
    <dxf>
      <font>
        <condense val="0"/>
        <extend val="0"/>
        <color indexed="9"/>
      </font>
    </dxf>
    <dxf>
      <fill>
        <patternFill>
          <bgColor rgb="FFCCFFFF"/>
        </patternFill>
      </fill>
    </dxf>
    <dxf>
      <fill>
        <patternFill patternType="none">
          <bgColor indexed="65"/>
        </patternFill>
      </fill>
    </dxf>
    <dxf>
      <font>
        <condense val="0"/>
        <extend val="0"/>
        <color indexed="9"/>
      </font>
    </dxf>
    <dxf>
      <fill>
        <patternFill>
          <bgColor rgb="FFCCFFFF"/>
        </patternFill>
      </fill>
    </dxf>
    <dxf>
      <fill>
        <patternFill patternType="none">
          <bgColor indexed="65"/>
        </patternFill>
      </fill>
    </dxf>
    <dxf>
      <font>
        <condense val="0"/>
        <extend val="0"/>
        <color indexed="9"/>
      </font>
    </dxf>
    <dxf>
      <fill>
        <patternFill>
          <bgColor rgb="FFCCFFFF"/>
        </patternFill>
      </fill>
    </dxf>
    <dxf>
      <fill>
        <patternFill patternType="none">
          <bgColor indexed="65"/>
        </patternFill>
      </fill>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font>
    </dxf>
    <dxf>
      <font>
        <color theme="0"/>
      </font>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ont>
        <color theme="0"/>
      </font>
    </dxf>
    <dxf>
      <font>
        <color rgb="FFE7E9AF"/>
      </font>
      <fill>
        <patternFill>
          <bgColor rgb="FFE7E9A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E7E9AF"/>
      </font>
      <fill>
        <patternFill>
          <bgColor rgb="FFE7E9A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E7E9AF"/>
      </font>
      <fill>
        <patternFill>
          <bgColor rgb="FFE7E9A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E7E9AF"/>
      </font>
      <fill>
        <patternFill>
          <bgColor rgb="FFE7E9A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66"/>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0"/>
      </font>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ont>
        <color theme="0"/>
      </font>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E7E9AF"/>
      </font>
      <fill>
        <patternFill>
          <bgColor rgb="FFE7E9A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FFCC99"/>
      </font>
      <fill>
        <patternFill>
          <bgColor rgb="FFFFCC99"/>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ont>
        <color rgb="FFE7E9AF"/>
      </font>
      <fill>
        <patternFill>
          <bgColor rgb="FFE7E9AF"/>
        </patternFill>
      </fill>
    </dxf>
    <dxf>
      <font>
        <color theme="9" tint="-0.499984740745262"/>
      </font>
      <fill>
        <patternFill>
          <bgColor theme="9" tint="-0.499984740745262"/>
        </patternFill>
      </fill>
    </dxf>
    <dxf>
      <font>
        <color rgb="FFC01070"/>
      </font>
      <fill>
        <patternFill>
          <bgColor rgb="FFC01070"/>
        </patternFill>
      </fill>
    </dxf>
    <dxf>
      <font>
        <color theme="4" tint="0.59996337778862885"/>
      </font>
      <fill>
        <patternFill>
          <bgColor theme="4" tint="0.59996337778862885"/>
        </patternFill>
      </fill>
    </dxf>
    <dxf>
      <font>
        <color theme="9" tint="-0.24994659260841701"/>
      </font>
      <fill>
        <patternFill>
          <bgColor theme="9" tint="-0.24994659260841701"/>
        </patternFill>
      </fill>
    </dxf>
    <dxf>
      <font>
        <color rgb="FFCC0000"/>
      </font>
      <fill>
        <patternFill>
          <bgColor rgb="FFCC0000"/>
        </patternFill>
      </fill>
    </dxf>
    <dxf>
      <font>
        <color theme="6" tint="-0.24994659260841701"/>
      </font>
      <fill>
        <patternFill>
          <bgColor theme="6" tint="-0.24994659260841701"/>
        </patternFill>
      </fill>
    </dxf>
    <dxf>
      <font>
        <color rgb="FF92D050"/>
      </font>
      <fill>
        <patternFill>
          <bgColor rgb="FF92D050"/>
        </patternFill>
      </fill>
    </dxf>
    <dxf>
      <font>
        <color theme="0" tint="-0.24994659260841701"/>
      </font>
      <fill>
        <patternFill>
          <bgColor theme="0" tint="-0.24994659260841701"/>
        </patternFill>
      </fill>
    </dxf>
    <dxf>
      <font>
        <color rgb="FF7030A0"/>
      </font>
      <fill>
        <patternFill>
          <bgColor rgb="FF7030A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theme="0"/>
      </font>
    </dxf>
    <dxf>
      <font>
        <color theme="0"/>
      </font>
    </dxf>
    <dxf>
      <fill>
        <patternFill>
          <bgColor rgb="FFCCFFFF"/>
        </patternFill>
      </fill>
    </dxf>
    <dxf>
      <fill>
        <patternFill patternType="none">
          <bgColor indexed="65"/>
        </patternFill>
      </fill>
    </dxf>
    <dxf>
      <fill>
        <patternFill patternType="none">
          <bgColor indexed="65"/>
        </patternFill>
      </fill>
    </dxf>
    <dxf>
      <fill>
        <patternFill>
          <bgColor rgb="FFCCFFFF"/>
        </patternFill>
      </fill>
    </dxf>
    <dxf>
      <fill>
        <patternFill patternType="none">
          <bgColor indexed="65"/>
        </patternFill>
      </fill>
    </dxf>
    <dxf>
      <fill>
        <patternFill>
          <bgColor rgb="FFCCFFFF"/>
        </patternFill>
      </fill>
    </dxf>
    <dxf>
      <fill>
        <patternFill patternType="none">
          <bgColor indexed="65"/>
        </patternFill>
      </fill>
    </dxf>
    <dxf>
      <fill>
        <patternFill>
          <bgColor rgb="FFCCFFFF"/>
        </patternFill>
      </fill>
    </dxf>
  </dxfs>
  <tableStyles count="0" defaultTableStyle="TableStyleMedium9" defaultPivotStyle="PivotStyleLight16"/>
  <colors>
    <mruColors>
      <color rgb="FFE7E9AF"/>
      <color rgb="FFFFFFFF"/>
      <color rgb="FFC01070"/>
      <color rgb="FF00FF00"/>
      <color rgb="FFB3ED33"/>
      <color rgb="FFFFCC00"/>
      <color rgb="FFFFCC99"/>
      <color rgb="FFFFCC66"/>
      <color rgb="FFAE1BB5"/>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1905</xdr:rowOff>
    </xdr:from>
    <xdr:to>
      <xdr:col>22</xdr:col>
      <xdr:colOff>236220</xdr:colOff>
      <xdr:row>9</xdr:row>
      <xdr:rowOff>144780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 y="1905"/>
          <a:ext cx="17205960" cy="1651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160020</xdr:colOff>
          <xdr:row>16</xdr:row>
          <xdr:rowOff>144780</xdr:rowOff>
        </xdr:from>
        <xdr:to>
          <xdr:col>11</xdr:col>
          <xdr:colOff>259080</xdr:colOff>
          <xdr:row>18</xdr:row>
          <xdr:rowOff>22860</xdr:rowOff>
        </xdr:to>
        <xdr:sp macro="" textlink="">
          <xdr:nvSpPr>
            <xdr:cNvPr id="2595" name="Button 547" hidden="1">
              <a:extLst>
                <a:ext uri="{63B3BB69-23CF-44E3-9099-C40C66FF867C}">
                  <a14:compatExt spid="_x0000_s2595"/>
                </a:ext>
                <a:ext uri="{FF2B5EF4-FFF2-40B4-BE49-F238E27FC236}">
                  <a16:creationId xmlns:a16="http://schemas.microsoft.com/office/drawing/2014/main" id="{00000000-0008-0000-0200-0000230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BE" sz="1000" b="0" i="0" u="none" strike="noStrike" baseline="0">
                  <a:solidFill>
                    <a:srgbClr val="000000"/>
                  </a:solidFill>
                  <a:latin typeface="Arial"/>
                  <a:cs typeface="Arial"/>
                </a:rPr>
                <a:t>Calculer les profils</a:t>
              </a:r>
            </a:p>
          </xdr:txBody>
        </xdr:sp>
        <xdr:clientData fPrintsWithSheet="0"/>
      </xdr:twoCellAnchor>
    </mc:Choice>
    <mc:Fallback/>
  </mc:AlternateContent>
  <xdr:twoCellAnchor editAs="oneCell">
    <xdr:from>
      <xdr:col>21</xdr:col>
      <xdr:colOff>17931</xdr:colOff>
      <xdr:row>1</xdr:row>
      <xdr:rowOff>26892</xdr:rowOff>
    </xdr:from>
    <xdr:to>
      <xdr:col>26</xdr:col>
      <xdr:colOff>757383</xdr:colOff>
      <xdr:row>6</xdr:row>
      <xdr:rowOff>44823</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9484" y="188257"/>
          <a:ext cx="3089325" cy="9054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30480</xdr:colOff>
          <xdr:row>3</xdr:row>
          <xdr:rowOff>60960</xdr:rowOff>
        </xdr:from>
        <xdr:to>
          <xdr:col>11</xdr:col>
          <xdr:colOff>327660</xdr:colOff>
          <xdr:row>4</xdr:row>
          <xdr:rowOff>106680</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400-00000E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fr-BE" sz="600" b="0" i="0" u="none" strike="noStrike" baseline="0">
                  <a:solidFill>
                    <a:srgbClr val="000000"/>
                  </a:solidFill>
                  <a:latin typeface="Arial"/>
                  <a:cs typeface="Arial"/>
                </a:rPr>
                <a:t>Calcul de l'or de départ</a:t>
              </a:r>
            </a:p>
          </xdr:txBody>
        </xdr:sp>
        <xdr:clientData fPrint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drive.google.com/file/d/0B_Redi9cZJ5iM1N5QTBpZ3F3OFk/view" TargetMode="External"/><Relationship Id="rId13" Type="http://schemas.openxmlformats.org/officeDocument/2006/relationships/hyperlink" Target="https://drive.google.com/file/d/0B_Redi9cZJ5iQm9rcWxLZXlQWVE/view" TargetMode="External"/><Relationship Id="rId18" Type="http://schemas.openxmlformats.org/officeDocument/2006/relationships/hyperlink" Target="https://drive.google.com/file/d/0B_Redi9cZJ5iQm9rcWxLZXlQWVE/view" TargetMode="External"/><Relationship Id="rId26" Type="http://schemas.openxmlformats.org/officeDocument/2006/relationships/hyperlink" Target="https://wjrf.bimondiens.com/content/bestiaire/leonazuls-170.html" TargetMode="External"/><Relationship Id="rId39" Type="http://schemas.openxmlformats.org/officeDocument/2006/relationships/vmlDrawing" Target="../drawings/vmlDrawing7.vml"/><Relationship Id="rId3" Type="http://schemas.openxmlformats.org/officeDocument/2006/relationships/hyperlink" Target="http://lutain.over-blog.com/article-36760009.html" TargetMode="External"/><Relationship Id="rId21" Type="http://schemas.openxmlformats.org/officeDocument/2006/relationships/hyperlink" Target="http://lutain.over-blog.com/article-36760009.html" TargetMode="External"/><Relationship Id="rId34" Type="http://schemas.openxmlformats.org/officeDocument/2006/relationships/hyperlink" Target="https://bibliotheque-imperiale.com/index.php/Maladies_du_Vieux_Monde" TargetMode="External"/><Relationship Id="rId7" Type="http://schemas.openxmlformats.org/officeDocument/2006/relationships/hyperlink" Target="https://drive.google.com/file/d/0B_Redi9cZJ5iM1N5QTBpZ3F3OFk/view" TargetMode="External"/><Relationship Id="rId12" Type="http://schemas.openxmlformats.org/officeDocument/2006/relationships/hyperlink" Target="http://maitre.dragon.free.fr/?menu=Warhammer&amp;page=Bestiaire&amp;creature=Farfadet_d_Athel_Loren&amp;tags=0&amp;alis=0&amp;option=et" TargetMode="External"/><Relationship Id="rId17" Type="http://schemas.openxmlformats.org/officeDocument/2006/relationships/hyperlink" Target="https://drive.google.com/file/d/0B_Redi9cZJ5iQm9rcWxLZXlQWVE/view" TargetMode="External"/><Relationship Id="rId25" Type="http://schemas.openxmlformats.org/officeDocument/2006/relationships/hyperlink" Target="https://wjrf.bimondiens.com/content/bestiaire/leonazuls-170.html" TargetMode="External"/><Relationship Id="rId33" Type="http://schemas.openxmlformats.org/officeDocument/2006/relationships/hyperlink" Target="http://malpy.free.fr/drak/12.htm" TargetMode="External"/><Relationship Id="rId38" Type="http://schemas.openxmlformats.org/officeDocument/2006/relationships/printerSettings" Target="../printerSettings/printerSettings10.bin"/><Relationship Id="rId2" Type="http://schemas.openxmlformats.org/officeDocument/2006/relationships/hyperlink" Target="http://www.sden.org/" TargetMode="External"/><Relationship Id="rId16" Type="http://schemas.openxmlformats.org/officeDocument/2006/relationships/hyperlink" Target="http://meuh2k2.free.fr/onr/LA/LA%20VF%20Hauts%20Elfes%20V8.pdf" TargetMode="External"/><Relationship Id="rId20" Type="http://schemas.openxmlformats.org/officeDocument/2006/relationships/hyperlink" Target="http://lutain.over-blog.com/article-30714536.html" TargetMode="External"/><Relationship Id="rId29" Type="http://schemas.openxmlformats.org/officeDocument/2006/relationships/hyperlink" Target="https://wjrf.bimondiens.com/content/bestiaire/lemming-1341.html" TargetMode="External"/><Relationship Id="rId1" Type="http://schemas.openxmlformats.org/officeDocument/2006/relationships/hyperlink" Target="http://www.sden.org/" TargetMode="External"/><Relationship Id="rId6" Type="http://schemas.openxmlformats.org/officeDocument/2006/relationships/hyperlink" Target="https://bibliotheque-imperiale.com/index.php/Alliance_de_la_Peste_Pourpre" TargetMode="External"/><Relationship Id="rId11" Type="http://schemas.openxmlformats.org/officeDocument/2006/relationships/hyperlink" Target="https://wjrf.bimondiens.com/content/bestiaire/requin-506.html" TargetMode="External"/><Relationship Id="rId24" Type="http://schemas.openxmlformats.org/officeDocument/2006/relationships/hyperlink" Target="https://wjrf.bimondiens.com/content/bestiaire/hagranym-1293.html" TargetMode="External"/><Relationship Id="rId32" Type="http://schemas.openxmlformats.org/officeDocument/2006/relationships/hyperlink" Target="https://wjrf.bimondiens.com/content/bestiaire/carnosaures-105.html" TargetMode="External"/><Relationship Id="rId37" Type="http://schemas.openxmlformats.org/officeDocument/2006/relationships/hyperlink" Target="https://bibliotheque-imperiale.com/index.php/Maladies_du_Vieux_Monde" TargetMode="External"/><Relationship Id="rId40" Type="http://schemas.openxmlformats.org/officeDocument/2006/relationships/comments" Target="../comments7.xml"/><Relationship Id="rId5" Type="http://schemas.openxmlformats.org/officeDocument/2006/relationships/hyperlink" Target="http://vaches.net.free.fr/Archive/Warhammer/elfe.pdf" TargetMode="External"/><Relationship Id="rId15" Type="http://schemas.openxmlformats.org/officeDocument/2006/relationships/hyperlink" Target="http://meuh2k2.free.fr/onr/LA/LA%20VF%20Hauts%20Elfes%20V8.pdf" TargetMode="External"/><Relationship Id="rId23" Type="http://schemas.openxmlformats.org/officeDocument/2006/relationships/hyperlink" Target="https://wjrf.bimondiens.com/content/bestiaire/anges-13.html" TargetMode="External"/><Relationship Id="rId28" Type="http://schemas.openxmlformats.org/officeDocument/2006/relationships/hyperlink" Target="https://wjrf.bimondiens.com/content/bestiaire/horreur-gouffre-1301.html" TargetMode="External"/><Relationship Id="rId36" Type="http://schemas.openxmlformats.org/officeDocument/2006/relationships/hyperlink" Target="https://bibliotheque-imperiale.com/index.php/Maladies_du_Vieux_Monde" TargetMode="External"/><Relationship Id="rId10" Type="http://schemas.openxmlformats.org/officeDocument/2006/relationships/hyperlink" Target="https://wjrf.bimondiens.com/content/bestiaire/tortue-geante-121.html" TargetMode="External"/><Relationship Id="rId19" Type="http://schemas.openxmlformats.org/officeDocument/2006/relationships/hyperlink" Target="http://lutain.over-blog.com/article-30714536.html" TargetMode="External"/><Relationship Id="rId31" Type="http://schemas.openxmlformats.org/officeDocument/2006/relationships/hyperlink" Target="https://wjrf.bimondiens.com/content/bestiaire/scarabees-geants-697.html" TargetMode="External"/><Relationship Id="rId4" Type="http://schemas.openxmlformats.org/officeDocument/2006/relationships/hyperlink" Target="http://vaches.net.free.fr/Archive/Warhammer/elfe.pdf" TargetMode="External"/><Relationship Id="rId9" Type="http://schemas.openxmlformats.org/officeDocument/2006/relationships/hyperlink" Target="https://drive.google.com/file/d/0B_Redi9cZJ5iM1N5QTBpZ3F3OFk/view" TargetMode="External"/><Relationship Id="rId14" Type="http://schemas.openxmlformats.org/officeDocument/2006/relationships/hyperlink" Target="https://drive.google.com/file/d/0B_Redi9cZJ5iQm9rcWxLZXlQWVE/view" TargetMode="External"/><Relationship Id="rId22" Type="http://schemas.openxmlformats.org/officeDocument/2006/relationships/hyperlink" Target="https://wjrf.bimondiens.com/content/carrieres/savant-1520.html" TargetMode="External"/><Relationship Id="rId27" Type="http://schemas.openxmlformats.org/officeDocument/2006/relationships/hyperlink" Target="https://wjrf.bimondiens.com/content/bestiaire/cocatrice-cocatrix-1269.html" TargetMode="External"/><Relationship Id="rId30" Type="http://schemas.openxmlformats.org/officeDocument/2006/relationships/hyperlink" Target="https://wjrf.bimondiens.com/content/bestiaire/rhinoceros-1190.html" TargetMode="External"/><Relationship Id="rId35" Type="http://schemas.openxmlformats.org/officeDocument/2006/relationships/hyperlink" Target="https://bibliotheque-imperiale.com/index.php/Maladies_du_Vieux_Mond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1d4chan.org/wiki/Warhammer_Magic" TargetMode="External"/><Relationship Id="rId3" Type="http://schemas.openxmlformats.org/officeDocument/2006/relationships/hyperlink" Target="https://1d4chan.org/wiki/Warhammer_Magic" TargetMode="External"/><Relationship Id="rId7" Type="http://schemas.openxmlformats.org/officeDocument/2006/relationships/hyperlink" Target="https://1d4chan.org/wiki/Warhammer_Magic" TargetMode="External"/><Relationship Id="rId2" Type="http://schemas.openxmlformats.org/officeDocument/2006/relationships/hyperlink" Target="https://bibliotheque-imperiale.com/index.php/Tour_Blanche_de_H%C5%93th" TargetMode="External"/><Relationship Id="rId1" Type="http://schemas.openxmlformats.org/officeDocument/2006/relationships/hyperlink" Target="http://lutain.over-blog.com/article-36760009.html" TargetMode="External"/><Relationship Id="rId6" Type="http://schemas.openxmlformats.org/officeDocument/2006/relationships/hyperlink" Target="https://1d4chan.org/wiki/Warhammer_Magic" TargetMode="External"/><Relationship Id="rId5" Type="http://schemas.openxmlformats.org/officeDocument/2006/relationships/hyperlink" Target="https://1d4chan.org/wiki/Warhammer_Magic" TargetMode="External"/><Relationship Id="rId10" Type="http://schemas.openxmlformats.org/officeDocument/2006/relationships/printerSettings" Target="../printerSettings/printerSettings11.bin"/><Relationship Id="rId4" Type="http://schemas.openxmlformats.org/officeDocument/2006/relationships/hyperlink" Target="https://1d4chan.org/wiki/Warhammer_Magic" TargetMode="External"/><Relationship Id="rId9" Type="http://schemas.openxmlformats.org/officeDocument/2006/relationships/hyperlink" Target="https://warhammerfantasy.fandom.com/wiki/Chaos_Sorcery"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s://issuu.com/m4cr1ii3n/docs/warhammer-armies---cathay_20100908_224913" TargetMode="External"/><Relationship Id="rId21" Type="http://schemas.openxmlformats.org/officeDocument/2006/relationships/hyperlink" Target="https://bibliotheque-imperiale.com/index.php/Amazone" TargetMode="External"/><Relationship Id="rId42" Type="http://schemas.openxmlformats.org/officeDocument/2006/relationships/hyperlink" Target="http://verrahrubicon.free.fr/" TargetMode="External"/><Relationship Id="rId47" Type="http://schemas.openxmlformats.org/officeDocument/2006/relationships/hyperlink" Target="http://verrahrubicon.free.fr/" TargetMode="External"/><Relationship Id="rId63" Type="http://schemas.openxmlformats.org/officeDocument/2006/relationships/hyperlink" Target="https://issuu.com/jackdays/docs/alcohol_tobacco_expansion" TargetMode="External"/><Relationship Id="rId68" Type="http://schemas.openxmlformats.org/officeDocument/2006/relationships/hyperlink" Target="https://issuu.com/jackdays/docs/alcohol_tobacco_expansion" TargetMode="External"/><Relationship Id="rId84" Type="http://schemas.openxmlformats.org/officeDocument/2006/relationships/hyperlink" Target="https://bibliotheque-imperiale.com/index.php/Drogues" TargetMode="External"/><Relationship Id="rId89" Type="http://schemas.openxmlformats.org/officeDocument/2006/relationships/hyperlink" Target="https://bibliotheque-imperiale.com/index.php/Elans_des_Glaces" TargetMode="External"/><Relationship Id="rId2" Type="http://schemas.openxmlformats.org/officeDocument/2006/relationships/hyperlink" Target="https://bibliotheque-imperiale.com/index.php/Ecate" TargetMode="External"/><Relationship Id="rId16" Type="http://schemas.openxmlformats.org/officeDocument/2006/relationships/hyperlink" Target="https://bibliotheque-imperiale.com/index.php/Le_Grand_Jeu" TargetMode="External"/><Relationship Id="rId29" Type="http://schemas.openxmlformats.org/officeDocument/2006/relationships/hyperlink" Target="https://bibliotheque-imperiale.com/index.php/Byrrnoth_Grundadrakk" TargetMode="External"/><Relationship Id="rId107" Type="http://schemas.openxmlformats.org/officeDocument/2006/relationships/printerSettings" Target="../printerSettings/printerSettings15.bin"/><Relationship Id="rId11" Type="http://schemas.openxmlformats.org/officeDocument/2006/relationships/hyperlink" Target="https://bibliotheque-imperiale.com/index.php/Plaques_Sacr%C3%A9es" TargetMode="External"/><Relationship Id="rId24" Type="http://schemas.openxmlformats.org/officeDocument/2006/relationships/hyperlink" Target="https://drive.google.com/file/d/0B_Redi9cZJ5iM1N5QTBpZ3F3OFk/view" TargetMode="External"/><Relationship Id="rId32" Type="http://schemas.openxmlformats.org/officeDocument/2006/relationships/hyperlink" Target="https://bibliotheque-imperiale.com/index.php/Cat%C3%A9gorie:Hordes_du_Chaos" TargetMode="External"/><Relationship Id="rId37" Type="http://schemas.openxmlformats.org/officeDocument/2006/relationships/hyperlink" Target="http://verrahrubicon.free.fr/" TargetMode="External"/><Relationship Id="rId40" Type="http://schemas.openxmlformats.org/officeDocument/2006/relationships/hyperlink" Target="https://drive.google.com/file/d/0B_Redi9cZJ5iQm9rcWxLZXlQWVE/view" TargetMode="External"/><Relationship Id="rId45" Type="http://schemas.openxmlformats.org/officeDocument/2006/relationships/hyperlink" Target="http://verrahrubicon.free.fr/" TargetMode="External"/><Relationship Id="rId53" Type="http://schemas.openxmlformats.org/officeDocument/2006/relationships/hyperlink" Target="https://bibliotheque-imperiale.com/index.php/F%C3%A9e_Enchanteresse" TargetMode="External"/><Relationship Id="rId58" Type="http://schemas.openxmlformats.org/officeDocument/2006/relationships/hyperlink" Target="https://issuu.com/jackdays/docs/alcohol_tobacco_expansion" TargetMode="External"/><Relationship Id="rId66" Type="http://schemas.openxmlformats.org/officeDocument/2006/relationships/hyperlink" Target="https://issuu.com/jackdays/docs/alcohol_tobacco_expansion" TargetMode="External"/><Relationship Id="rId74" Type="http://schemas.openxmlformats.org/officeDocument/2006/relationships/hyperlink" Target="https://issuu.com/jackdays/docs/alcohol_tobacco_expansion" TargetMode="External"/><Relationship Id="rId79" Type="http://schemas.openxmlformats.org/officeDocument/2006/relationships/hyperlink" Target="https://wjrf.bimondiens.com/content/bestiaire/lemming-1341.html" TargetMode="External"/><Relationship Id="rId87" Type="http://schemas.openxmlformats.org/officeDocument/2006/relationships/hyperlink" Target="https://bibliotheque-imperiale.com/index.php/Nouveau_Monde_d%27Or" TargetMode="External"/><Relationship Id="rId102" Type="http://schemas.openxmlformats.org/officeDocument/2006/relationships/hyperlink" Target="https://bibliotheque-imperiale.com/index.php/Liber_Mortis" TargetMode="External"/><Relationship Id="rId5" Type="http://schemas.openxmlformats.org/officeDocument/2006/relationships/hyperlink" Target="https://bibliotheque-imperiale.com/index.php/Ecate" TargetMode="External"/><Relationship Id="rId61" Type="http://schemas.openxmlformats.org/officeDocument/2006/relationships/hyperlink" Target="https://issuu.com/jackdays/docs/alcohol_tobacco_expansion" TargetMode="External"/><Relationship Id="rId82" Type="http://schemas.openxmlformats.org/officeDocument/2006/relationships/hyperlink" Target="https://bibliotheque-imperiale.com/index.php/Livres_d%27Harkon" TargetMode="External"/><Relationship Id="rId90" Type="http://schemas.openxmlformats.org/officeDocument/2006/relationships/hyperlink" Target="https://bibliotheque-imperiale.com/index.php/Nouveau_Monde_d%27Or" TargetMode="External"/><Relationship Id="rId95" Type="http://schemas.openxmlformats.org/officeDocument/2006/relationships/hyperlink" Target="http://malpy.free.fr/chaos/a14.htm" TargetMode="External"/><Relationship Id="rId19" Type="http://schemas.openxmlformats.org/officeDocument/2006/relationships/hyperlink" Target="https://bibliotheque-imperiale.com/index.php/Malepierre" TargetMode="External"/><Relationship Id="rId14" Type="http://schemas.openxmlformats.org/officeDocument/2006/relationships/hyperlink" Target="https://bibliotheque-imperiale.com/index.php/Malal" TargetMode="External"/><Relationship Id="rId22" Type="http://schemas.openxmlformats.org/officeDocument/2006/relationships/hyperlink" Target="https://drive.google.com/file/d/0B_Redi9cZJ5iM1N5QTBpZ3F3OFk/view" TargetMode="External"/><Relationship Id="rId27" Type="http://schemas.openxmlformats.org/officeDocument/2006/relationships/hyperlink" Target="https://issuu.com/m4cr1ii3n/docs/warhammer_armies_-_dogs_of_war" TargetMode="External"/><Relationship Id="rId30" Type="http://schemas.openxmlformats.org/officeDocument/2006/relationships/hyperlink" Target="https://bibliotheque-imperiale.com/index.php/Cat%C3%A9gorie:Hordes_du_Chaos" TargetMode="External"/><Relationship Id="rId35" Type="http://schemas.openxmlformats.org/officeDocument/2006/relationships/hyperlink" Target="http://verrahrubicon.free.fr/" TargetMode="External"/><Relationship Id="rId43" Type="http://schemas.openxmlformats.org/officeDocument/2006/relationships/hyperlink" Target="http://verrahrubicon.free.fr/" TargetMode="External"/><Relationship Id="rId48" Type="http://schemas.openxmlformats.org/officeDocument/2006/relationships/hyperlink" Target="http://verrahrubicon.free.fr/" TargetMode="External"/><Relationship Id="rId56" Type="http://schemas.openxmlformats.org/officeDocument/2006/relationships/hyperlink" Target="https://issuu.com/jackdays/docs/alcohol_tobacco_expansion" TargetMode="External"/><Relationship Id="rId64" Type="http://schemas.openxmlformats.org/officeDocument/2006/relationships/hyperlink" Target="https://issuu.com/jackdays/docs/alcohol_tobacco_expansion" TargetMode="External"/><Relationship Id="rId69" Type="http://schemas.openxmlformats.org/officeDocument/2006/relationships/hyperlink" Target="https://issuu.com/jackdays/docs/alcohol_tobacco_expansion" TargetMode="External"/><Relationship Id="rId77" Type="http://schemas.openxmlformats.org/officeDocument/2006/relationships/hyperlink" Target="https://wjrf.bimondiens.com/content/bestiaire/leonazuls-170.html" TargetMode="External"/><Relationship Id="rId100" Type="http://schemas.openxmlformats.org/officeDocument/2006/relationships/hyperlink" Target="https://bibliotheque-imperiale.com/index.php/Liber_Mortis" TargetMode="External"/><Relationship Id="rId105" Type="http://schemas.openxmlformats.org/officeDocument/2006/relationships/hyperlink" Target="https://bibliotheque-imperiale.com/index.php/Histoire_de_l%27Empire" TargetMode="External"/><Relationship Id="rId8" Type="http://schemas.openxmlformats.org/officeDocument/2006/relationships/hyperlink" Target="https://bibliotheque-imperiale.com/index.php/La_Mort_R%C3%B4de_dans_la_Jungle" TargetMode="External"/><Relationship Id="rId51" Type="http://schemas.openxmlformats.org/officeDocument/2006/relationships/hyperlink" Target="http://verrahrubicon.free.fr/civiilisation_antique_tilee.html" TargetMode="External"/><Relationship Id="rId72" Type="http://schemas.openxmlformats.org/officeDocument/2006/relationships/hyperlink" Target="https://issuu.com/jackdays/docs/alcohol_tobacco_expansion" TargetMode="External"/><Relationship Id="rId80" Type="http://schemas.openxmlformats.org/officeDocument/2006/relationships/hyperlink" Target="https://bibliotheque-imperiale.com/index.php/Poisons" TargetMode="External"/><Relationship Id="rId85" Type="http://schemas.openxmlformats.org/officeDocument/2006/relationships/hyperlink" Target="https://bibliotheque-imperiale.com/index.php/Domaine_de_Teiyogtei" TargetMode="External"/><Relationship Id="rId93" Type="http://schemas.openxmlformats.org/officeDocument/2006/relationships/hyperlink" Target="https://bibliotheque-imperiale.com/index.php/Cat%C3%A9gorie:Mordheim" TargetMode="External"/><Relationship Id="rId98" Type="http://schemas.openxmlformats.org/officeDocument/2006/relationships/hyperlink" Target="http://malpy.free.fr/skavens/b18.htm" TargetMode="External"/><Relationship Id="rId3" Type="http://schemas.openxmlformats.org/officeDocument/2006/relationships/hyperlink" Target="https://bibliotheque-imperiale.com/index.php/Ecate" TargetMode="External"/><Relationship Id="rId12" Type="http://schemas.openxmlformats.org/officeDocument/2006/relationships/hyperlink" Target="https://bibliotheque-imperiale.com/index.php/Les_Hommes_Oiseaux_de_Catrazza" TargetMode="External"/><Relationship Id="rId17" Type="http://schemas.openxmlformats.org/officeDocument/2006/relationships/hyperlink" Target="https://bibliotheque-imperiale.com/index.php/Fraternit%C3%A9_de_la_Deuxi%C3%A8me_Chair" TargetMode="External"/><Relationship Id="rId25" Type="http://schemas.openxmlformats.org/officeDocument/2006/relationships/hyperlink" Target="https://issuu.com/m4cr1ii3n/docs/warhammer__-_nippon" TargetMode="External"/><Relationship Id="rId33" Type="http://schemas.openxmlformats.org/officeDocument/2006/relationships/hyperlink" Target="https://bibliotheque-imperiale.com/index.php/Les_Chevaucheurs_de_Loups_d%27Oglah_Khan" TargetMode="External"/><Relationship Id="rId38" Type="http://schemas.openxmlformats.org/officeDocument/2006/relationships/hyperlink" Target="http://verrahrubicon.free.fr/" TargetMode="External"/><Relationship Id="rId46" Type="http://schemas.openxmlformats.org/officeDocument/2006/relationships/hyperlink" Target="http://verrahrubicon.free.fr/" TargetMode="External"/><Relationship Id="rId59" Type="http://schemas.openxmlformats.org/officeDocument/2006/relationships/hyperlink" Target="https://issuu.com/jackdays/docs/alcohol_tobacco_expansion" TargetMode="External"/><Relationship Id="rId67" Type="http://schemas.openxmlformats.org/officeDocument/2006/relationships/hyperlink" Target="https://issuu.com/jackdays/docs/alcohol_tobacco_expansion" TargetMode="External"/><Relationship Id="rId103" Type="http://schemas.openxmlformats.org/officeDocument/2006/relationships/hyperlink" Target="https://bibliotheque-imperiale.com/index.php/Ikit_la_Griffe" TargetMode="External"/><Relationship Id="rId108" Type="http://schemas.openxmlformats.org/officeDocument/2006/relationships/vmlDrawing" Target="../drawings/vmlDrawing9.vml"/><Relationship Id="rId20" Type="http://schemas.openxmlformats.org/officeDocument/2006/relationships/hyperlink" Target="https://bibliotheque-imperiale.com/index.php/Amazone" TargetMode="External"/><Relationship Id="rId41" Type="http://schemas.openxmlformats.org/officeDocument/2006/relationships/hyperlink" Target="http://meuh2k2.free.fr/onr/LA/LA%20VF%20Hauts%20Elfes%20V8.pdf" TargetMode="External"/><Relationship Id="rId54" Type="http://schemas.openxmlformats.org/officeDocument/2006/relationships/hyperlink" Target="https://issuu.com/jackdays/docs/alcohol_tobacco_expansion" TargetMode="External"/><Relationship Id="rId62" Type="http://schemas.openxmlformats.org/officeDocument/2006/relationships/hyperlink" Target="https://issuu.com/jackdays/docs/alcohol_tobacco_expansion" TargetMode="External"/><Relationship Id="rId70" Type="http://schemas.openxmlformats.org/officeDocument/2006/relationships/hyperlink" Target="https://issuu.com/jackdays/docs/alcohol_tobacco_expansion" TargetMode="External"/><Relationship Id="rId75" Type="http://schemas.openxmlformats.org/officeDocument/2006/relationships/hyperlink" Target="https://issuu.com/jackdays/docs/alcohol_tobacco_expansion" TargetMode="External"/><Relationship Id="rId83" Type="http://schemas.openxmlformats.org/officeDocument/2006/relationships/hyperlink" Target="https://bibliotheque-imperiale.com/index.php/Les_Tourmenteurs_de_Dechala_la_R%C3%A9pudi%C3%A9e" TargetMode="External"/><Relationship Id="rId88" Type="http://schemas.openxmlformats.org/officeDocument/2006/relationships/hyperlink" Target="https://bibliotheque-imperiale.com/index.php/Main_Pourpre" TargetMode="External"/><Relationship Id="rId91" Type="http://schemas.openxmlformats.org/officeDocument/2006/relationships/hyperlink" Target="https://bibliotheque-imperiale.com/index.php/Les_p%C3%A9r%C3%A9grinations_de_Yin-Tuan" TargetMode="External"/><Relationship Id="rId96" Type="http://schemas.openxmlformats.org/officeDocument/2006/relationships/hyperlink" Target="http://malpy.free.fr/chaos/a16.htm" TargetMode="External"/><Relationship Id="rId1" Type="http://schemas.openxmlformats.org/officeDocument/2006/relationships/hyperlink" Target="https://bibliotheque-imperiale.com/index.php/Quetzl" TargetMode="External"/><Relationship Id="rId6" Type="http://schemas.openxmlformats.org/officeDocument/2006/relationships/hyperlink" Target="https://bibliotheque-imperiale.com/index.php/Ecate" TargetMode="External"/><Relationship Id="rId15" Type="http://schemas.openxmlformats.org/officeDocument/2006/relationships/hyperlink" Target="https://bibliotheque-imperiale.com/index.php/Le_Grand_Jeu" TargetMode="External"/><Relationship Id="rId23" Type="http://schemas.openxmlformats.org/officeDocument/2006/relationships/hyperlink" Target="https://drive.google.com/file/d/0B_Redi9cZJ5iM1N5QTBpZ3F3OFk/view" TargetMode="External"/><Relationship Id="rId28" Type="http://schemas.openxmlformats.org/officeDocument/2006/relationships/hyperlink" Target="https://issuu.com/m4cr1ii3n/docs/warhammer_armies_-_dogs_of_war" TargetMode="External"/><Relationship Id="rId36" Type="http://schemas.openxmlformats.org/officeDocument/2006/relationships/hyperlink" Target="http://verrahrubicon.free.fr/" TargetMode="External"/><Relationship Id="rId49" Type="http://schemas.openxmlformats.org/officeDocument/2006/relationships/hyperlink" Target="http://verrahrubicon.free.fr/" TargetMode="External"/><Relationship Id="rId57" Type="http://schemas.openxmlformats.org/officeDocument/2006/relationships/hyperlink" Target="https://issuu.com/jackdays/docs/alcohol_tobacco_expansion" TargetMode="External"/><Relationship Id="rId106" Type="http://schemas.openxmlformats.org/officeDocument/2006/relationships/hyperlink" Target="https://bibliotheque-imperiale.com/index.php/Histoire_de_l%27Empire" TargetMode="External"/><Relationship Id="rId10" Type="http://schemas.openxmlformats.org/officeDocument/2006/relationships/hyperlink" Target="https://bibliotheque-imperiale.com/index.php/L%27Exp%C3%A9dition_de_Brahim_Jellahl" TargetMode="External"/><Relationship Id="rId31" Type="http://schemas.openxmlformats.org/officeDocument/2006/relationships/hyperlink" Target="https://bibliotheque-imperiale.com/index.php/Cat%C3%A9gorie:Hordes_du_Chaos" TargetMode="External"/><Relationship Id="rId44" Type="http://schemas.openxmlformats.org/officeDocument/2006/relationships/hyperlink" Target="http://verrahrubicon.free.fr/" TargetMode="External"/><Relationship Id="rId52" Type="http://schemas.openxmlformats.org/officeDocument/2006/relationships/hyperlink" Target="https://wjrf.bimondiens.com/content/carrieres/ovate-45.html" TargetMode="External"/><Relationship Id="rId60" Type="http://schemas.openxmlformats.org/officeDocument/2006/relationships/hyperlink" Target="https://issuu.com/jackdays/docs/alcohol_tobacco_expansion" TargetMode="External"/><Relationship Id="rId65" Type="http://schemas.openxmlformats.org/officeDocument/2006/relationships/hyperlink" Target="https://issuu.com/jackdays/docs/alcohol_tobacco_expansion" TargetMode="External"/><Relationship Id="rId73" Type="http://schemas.openxmlformats.org/officeDocument/2006/relationships/hyperlink" Target="https://issuu.com/jackdays/docs/alcohol_tobacco_expansion" TargetMode="External"/><Relationship Id="rId78" Type="http://schemas.openxmlformats.org/officeDocument/2006/relationships/hyperlink" Target="https://wjrf.bimondiens.com/content/bestiaire/cocatrice-cocatrix-1269.html" TargetMode="External"/><Relationship Id="rId81" Type="http://schemas.openxmlformats.org/officeDocument/2006/relationships/hyperlink" Target="https://bibliotheque-imperiale.com/index.php/Poisons" TargetMode="External"/><Relationship Id="rId86" Type="http://schemas.openxmlformats.org/officeDocument/2006/relationships/hyperlink" Target="https://bibliotheque-imperiale.com/index.php/Six_Cercles_de_la_Tentation" TargetMode="External"/><Relationship Id="rId94" Type="http://schemas.openxmlformats.org/officeDocument/2006/relationships/hyperlink" Target="https://bibliotheque-imperiale.com/index.php/Cat%C3%A9gorie:Mordheim" TargetMode="External"/><Relationship Id="rId99" Type="http://schemas.openxmlformats.org/officeDocument/2006/relationships/hyperlink" Target="https://bibliotheque-imperiale.com/index.php/Liber_Mortis" TargetMode="External"/><Relationship Id="rId101" Type="http://schemas.openxmlformats.org/officeDocument/2006/relationships/hyperlink" Target="https://bibliotheque-imperiale.com/index.php/Liber_Mortis" TargetMode="External"/><Relationship Id="rId4" Type="http://schemas.openxmlformats.org/officeDocument/2006/relationships/hyperlink" Target="https://bibliotheque-imperiale.com/index.php/Ecate" TargetMode="External"/><Relationship Id="rId9" Type="http://schemas.openxmlformats.org/officeDocument/2006/relationships/hyperlink" Target="https://bibliotheque-imperiale.com/index.php/L%27%C3%89pop%C3%A9e_de_Marco_Colombo" TargetMode="External"/><Relationship Id="rId13" Type="http://schemas.openxmlformats.org/officeDocument/2006/relationships/hyperlink" Target="http://vaches.net.free.fr/Archive/Warhammer/elfe.pdf" TargetMode="External"/><Relationship Id="rId18" Type="http://schemas.openxmlformats.org/officeDocument/2006/relationships/hyperlink" Target="https://bibliotheque-imperiale.com/index.php/Le_Grand_Jeu" TargetMode="External"/><Relationship Id="rId39" Type="http://schemas.openxmlformats.org/officeDocument/2006/relationships/hyperlink" Target="http://verrahrubicon.free.fr/" TargetMode="External"/><Relationship Id="rId109" Type="http://schemas.openxmlformats.org/officeDocument/2006/relationships/comments" Target="../comments9.xml"/><Relationship Id="rId34" Type="http://schemas.openxmlformats.org/officeDocument/2006/relationships/hyperlink" Target="http://verrahrubicon.free.fr/" TargetMode="External"/><Relationship Id="rId50" Type="http://schemas.openxmlformats.org/officeDocument/2006/relationships/hyperlink" Target="http://verrahrubicon.free.fr/civiilisation_antique_tilee.html" TargetMode="External"/><Relationship Id="rId55" Type="http://schemas.openxmlformats.org/officeDocument/2006/relationships/hyperlink" Target="https://issuu.com/jackdays/docs/alcohol_tobacco_expansion" TargetMode="External"/><Relationship Id="rId76" Type="http://schemas.openxmlformats.org/officeDocument/2006/relationships/hyperlink" Target="https://wjrf.bimondiens.com/content/bestiaire/leonazuls-170.html" TargetMode="External"/><Relationship Id="rId97" Type="http://schemas.openxmlformats.org/officeDocument/2006/relationships/hyperlink" Target="http://malpy.free.fr/drak/12.htm" TargetMode="External"/><Relationship Id="rId104" Type="http://schemas.openxmlformats.org/officeDocument/2006/relationships/hyperlink" Target="https://bibliotheque-imperiale.com/index.php/Gotthilf_Puchta" TargetMode="External"/><Relationship Id="rId7" Type="http://schemas.openxmlformats.org/officeDocument/2006/relationships/hyperlink" Target="https://bibliotheque-imperiale.com/index.php/Chevaliers_de_Sang" TargetMode="External"/><Relationship Id="rId71" Type="http://schemas.openxmlformats.org/officeDocument/2006/relationships/hyperlink" Target="https://issuu.com/jackdays/docs/alcohol_tobacco_expansion" TargetMode="External"/><Relationship Id="rId92" Type="http://schemas.openxmlformats.org/officeDocument/2006/relationships/hyperlink" Target="https://bibliotheque-imperiale.com/index.php/Cat%C3%A9gorie:Panth%C3%A9on_Saurien"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bibliotheque-imperiale.com/index.php/Louen_C%C5%93ur_de_Lion" TargetMode="External"/><Relationship Id="rId18" Type="http://schemas.openxmlformats.org/officeDocument/2006/relationships/hyperlink" Target="https://bibliotheque-imperiale.com/index.php/Dorin_Heldour_et_Katalin_Kandoom" TargetMode="External"/><Relationship Id="rId26" Type="http://schemas.openxmlformats.org/officeDocument/2006/relationships/hyperlink" Target="https://wjrf.bimondiens.com/content/artefacts/barrakul-724.html" TargetMode="External"/><Relationship Id="rId39" Type="http://schemas.openxmlformats.org/officeDocument/2006/relationships/hyperlink" Target="https://issuu.com/m4cr1ii3n/docs/warhammer_armies_-_kingdoms_of_ind" TargetMode="External"/><Relationship Id="rId21" Type="http://schemas.openxmlformats.org/officeDocument/2006/relationships/hyperlink" Target="https://wjrf.bimondiens.com/content/artefacts/baguette-jade-2.html" TargetMode="External"/><Relationship Id="rId34" Type="http://schemas.openxmlformats.org/officeDocument/2006/relationships/hyperlink" Target="https://drive.google.com/file/d/0B_Redi9cZJ5iM1N5QTBpZ3F3OFk/view" TargetMode="External"/><Relationship Id="rId42" Type="http://schemas.openxmlformats.org/officeDocument/2006/relationships/hyperlink" Target="https://issuu.com/m4cr1ii3n/docs/warhammer-armies---cathay_20100908_224913" TargetMode="External"/><Relationship Id="rId47" Type="http://schemas.openxmlformats.org/officeDocument/2006/relationships/hyperlink" Target="https://bibliotheque-imperiale.com/index.php/Asarnil,_le_Ma%C3%AEtre_des_Dragons" TargetMode="External"/><Relationship Id="rId50" Type="http://schemas.openxmlformats.org/officeDocument/2006/relationships/hyperlink" Target="https://issuu.com/m4cr1ii3n/docs/warhammer-armies---estalia_20100908_225012" TargetMode="External"/><Relationship Id="rId55" Type="http://schemas.openxmlformats.org/officeDocument/2006/relationships/hyperlink" Target="http://meuh2k2.free.fr/onr/LA/LA%20VF%20Hauts%20Elfes%20V8.pdf" TargetMode="External"/><Relationship Id="rId63" Type="http://schemas.openxmlformats.org/officeDocument/2006/relationships/hyperlink" Target="http://verrahrubicon.free.fr/" TargetMode="External"/><Relationship Id="rId68" Type="http://schemas.openxmlformats.org/officeDocument/2006/relationships/hyperlink" Target="https://warhammer40k.fandom.com/wiki/Holy_Orb_of_Antioch" TargetMode="External"/><Relationship Id="rId7" Type="http://schemas.openxmlformats.org/officeDocument/2006/relationships/hyperlink" Target="https://bibliotheque-imperiale.com/index.php/Archaon" TargetMode="External"/><Relationship Id="rId71" Type="http://schemas.openxmlformats.org/officeDocument/2006/relationships/printerSettings" Target="../printerSettings/printerSettings16.bin"/><Relationship Id="rId2" Type="http://schemas.openxmlformats.org/officeDocument/2006/relationships/hyperlink" Target="https://bibliotheque-imperiale.com/index.php/Cat%C3%A9gorie:Albion" TargetMode="External"/><Relationship Id="rId16" Type="http://schemas.openxmlformats.org/officeDocument/2006/relationships/hyperlink" Target="https://bibliotheque-imperiale.com/index.php/Mal%C3%A9kith" TargetMode="External"/><Relationship Id="rId29" Type="http://schemas.openxmlformats.org/officeDocument/2006/relationships/hyperlink" Target="http://vaches.net.free.fr/Archive/Warhammer/elfe.pdf" TargetMode="External"/><Relationship Id="rId1" Type="http://schemas.openxmlformats.org/officeDocument/2006/relationships/hyperlink" Target="https://bibliotheque-imperiale.com/index.php/Cat%C3%A9gorie:Albion" TargetMode="External"/><Relationship Id="rId6" Type="http://schemas.openxmlformats.org/officeDocument/2006/relationships/hyperlink" Target="https://bibliotheque-imperiale.com/index.php/Stromdorf" TargetMode="External"/><Relationship Id="rId11" Type="http://schemas.openxmlformats.org/officeDocument/2006/relationships/hyperlink" Target="https://bibliotheque-imperiale.com/index.php/Archaon" TargetMode="External"/><Relationship Id="rId24" Type="http://schemas.openxmlformats.org/officeDocument/2006/relationships/hyperlink" Target="https://wjrf.bimondiens.com/content/artefacts/cheminee-838.html" TargetMode="External"/><Relationship Id="rId32" Type="http://schemas.openxmlformats.org/officeDocument/2006/relationships/hyperlink" Target="https://drive.google.com/file/d/0B_Redi9cZJ5iM1N5QTBpZ3F3OFk/view" TargetMode="External"/><Relationship Id="rId37" Type="http://schemas.openxmlformats.org/officeDocument/2006/relationships/hyperlink" Target="https://issuu.com/m4cr1ii3n/docs/warhammer__-_nippon" TargetMode="External"/><Relationship Id="rId40" Type="http://schemas.openxmlformats.org/officeDocument/2006/relationships/hyperlink" Target="https://issuu.com/m4cr1ii3n/docs/warhammer_armies_-_kingdoms_of_ind" TargetMode="External"/><Relationship Id="rId45" Type="http://schemas.openxmlformats.org/officeDocument/2006/relationships/hyperlink" Target="https://issuu.com/m4cr1ii3n/docs/warhammer-armies---estalia_20100908_225012" TargetMode="External"/><Relationship Id="rId53" Type="http://schemas.openxmlformats.org/officeDocument/2006/relationships/hyperlink" Target="http://meuh2k2.free.fr/onr/LA/LA%20VF%20Hauts%20Elfes%20V8.pdf" TargetMode="External"/><Relationship Id="rId58" Type="http://schemas.openxmlformats.org/officeDocument/2006/relationships/hyperlink" Target="http://meuh2k2.free.fr/onr/LA/LA%20VF%20Hauts%20Elfes%20V8.pdf" TargetMode="External"/><Relationship Id="rId66" Type="http://schemas.openxmlformats.org/officeDocument/2006/relationships/hyperlink" Target="http://verrahrubicon.free.fr/" TargetMode="External"/><Relationship Id="rId5" Type="http://schemas.openxmlformats.org/officeDocument/2006/relationships/hyperlink" Target="https://bibliotheque-imperiale.com/index.php/Khuresh" TargetMode="External"/><Relationship Id="rId15" Type="http://schemas.openxmlformats.org/officeDocument/2006/relationships/hyperlink" Target="https://bibliotheque-imperiale.com/index.php/Mal%C3%A9kith" TargetMode="External"/><Relationship Id="rId23" Type="http://schemas.openxmlformats.org/officeDocument/2006/relationships/hyperlink" Target="https://wjrf.bimondiens.com/content/artefacts/manteau-esmeralda-330.html" TargetMode="External"/><Relationship Id="rId28" Type="http://schemas.openxmlformats.org/officeDocument/2006/relationships/hyperlink" Target="http://vaches.net.free.fr/Archive/Warhammer/elfe.pdf" TargetMode="External"/><Relationship Id="rId36" Type="http://schemas.openxmlformats.org/officeDocument/2006/relationships/hyperlink" Target="https://drive.google.com/file/d/0B_Redi9cZJ5iM1N5QTBpZ3F3OFk/view" TargetMode="External"/><Relationship Id="rId49" Type="http://schemas.openxmlformats.org/officeDocument/2006/relationships/hyperlink" Target="https://issuu.com/m4cr1ii3n/docs/regiments_of_renown" TargetMode="External"/><Relationship Id="rId57" Type="http://schemas.openxmlformats.org/officeDocument/2006/relationships/hyperlink" Target="http://meuh2k2.free.fr/onr/LA/LA%20VF%20Hauts%20Elfes%20V8.pdf" TargetMode="External"/><Relationship Id="rId61" Type="http://schemas.openxmlformats.org/officeDocument/2006/relationships/hyperlink" Target="http://meuh2k2.free.fr/onr/LA/LA%20VF%20Hauts%20Elfes%20V8.pdf" TargetMode="External"/><Relationship Id="rId10" Type="http://schemas.openxmlformats.org/officeDocument/2006/relationships/hyperlink" Target="https://bibliotheque-imperiale.com/index.php/Archaon" TargetMode="External"/><Relationship Id="rId19" Type="http://schemas.openxmlformats.org/officeDocument/2006/relationships/hyperlink" Target="https://wjrf.bimondiens.com/content/artefacts/epee-arianka-940.html" TargetMode="External"/><Relationship Id="rId31" Type="http://schemas.openxmlformats.org/officeDocument/2006/relationships/hyperlink" Target="https://whfb.lexicanum.com/wiki/Ind" TargetMode="External"/><Relationship Id="rId44" Type="http://schemas.openxmlformats.org/officeDocument/2006/relationships/hyperlink" Target="https://issuu.com/m4cr1ii3n/docs/warhammer-armies---estalia_20100908_225012" TargetMode="External"/><Relationship Id="rId52" Type="http://schemas.openxmlformats.org/officeDocument/2006/relationships/hyperlink" Target="https://issuu.com/m4cr1ii3n/docs/regiments_of_renown" TargetMode="External"/><Relationship Id="rId60" Type="http://schemas.openxmlformats.org/officeDocument/2006/relationships/hyperlink" Target="http://meuh2k2.free.fr/onr/LA/LA%20VF%20Hauts%20Elfes%20V8.pdf" TargetMode="External"/><Relationship Id="rId65" Type="http://schemas.openxmlformats.org/officeDocument/2006/relationships/hyperlink" Target="http://verrahrubicon.free.fr/" TargetMode="External"/><Relationship Id="rId4" Type="http://schemas.openxmlformats.org/officeDocument/2006/relationships/hyperlink" Target="https://bibliotheque-imperiale.com/index.php/Chevaliers_de_Sang" TargetMode="External"/><Relationship Id="rId9" Type="http://schemas.openxmlformats.org/officeDocument/2006/relationships/hyperlink" Target="https://bibliotheque-imperiale.com/index.php/Archaon" TargetMode="External"/><Relationship Id="rId14" Type="http://schemas.openxmlformats.org/officeDocument/2006/relationships/hyperlink" Target="https://bibliotheque-imperiale.com/index.php/Louen_C%C5%93ur_de_Lion" TargetMode="External"/><Relationship Id="rId22" Type="http://schemas.openxmlformats.org/officeDocument/2006/relationships/hyperlink" Target="https://wjrf.bimondiens.com/content/artefacts/baguette-poussiere-116.html" TargetMode="External"/><Relationship Id="rId27" Type="http://schemas.openxmlformats.org/officeDocument/2006/relationships/hyperlink" Target="http://vaches.net.free.fr/Archive/Warhammer/elfe.pdf" TargetMode="External"/><Relationship Id="rId30" Type="http://schemas.openxmlformats.org/officeDocument/2006/relationships/hyperlink" Target="http://vaches.net.free.fr/Archive/Warhammer/elfe.pdf" TargetMode="External"/><Relationship Id="rId35" Type="http://schemas.openxmlformats.org/officeDocument/2006/relationships/hyperlink" Target="https://drive.google.com/file/d/0B_Redi9cZJ5iM1N5QTBpZ3F3OFk/view" TargetMode="External"/><Relationship Id="rId43" Type="http://schemas.openxmlformats.org/officeDocument/2006/relationships/hyperlink" Target="https://issuu.com/m4cr1ii3n/docs/warhammer-armies---cathay_20100908_224913" TargetMode="External"/><Relationship Id="rId48" Type="http://schemas.openxmlformats.org/officeDocument/2006/relationships/hyperlink" Target="https://issuu.com/m4cr1ii3n/docs/regiments_of_renown" TargetMode="External"/><Relationship Id="rId56" Type="http://schemas.openxmlformats.org/officeDocument/2006/relationships/hyperlink" Target="http://meuh2k2.free.fr/onr/LA/LA%20VF%20Hauts%20Elfes%20V8.pdf" TargetMode="External"/><Relationship Id="rId64" Type="http://schemas.openxmlformats.org/officeDocument/2006/relationships/hyperlink" Target="http://verrahrubicon.free.fr/" TargetMode="External"/><Relationship Id="rId69" Type="http://schemas.openxmlformats.org/officeDocument/2006/relationships/hyperlink" Target="http://malpy.free.fr/skavens/b18.htm" TargetMode="External"/><Relationship Id="rId8" Type="http://schemas.openxmlformats.org/officeDocument/2006/relationships/hyperlink" Target="https://bibliotheque-imperiale.com/index.php/Archaon" TargetMode="External"/><Relationship Id="rId51" Type="http://schemas.openxmlformats.org/officeDocument/2006/relationships/hyperlink" Target="https://issuu.com/m4cr1ii3n/docs/regiments_of_renown" TargetMode="External"/><Relationship Id="rId3" Type="http://schemas.openxmlformats.org/officeDocument/2006/relationships/hyperlink" Target="https://bibliotheque-imperiale.com/index.php/Cat%C3%A9gorie:Albion" TargetMode="External"/><Relationship Id="rId12" Type="http://schemas.openxmlformats.org/officeDocument/2006/relationships/hyperlink" Target="https://bibliotheque-imperiale.com/index.php/Bataille_du_Tertre_Noir" TargetMode="External"/><Relationship Id="rId17" Type="http://schemas.openxmlformats.org/officeDocument/2006/relationships/hyperlink" Target="https://bibliotheque-imperiale.com/index.php/Mal%C3%A9kith" TargetMode="External"/><Relationship Id="rId25" Type="http://schemas.openxmlformats.org/officeDocument/2006/relationships/hyperlink" Target="https://wjrf.bimondiens.com/content/artefacts/tour-bouteille-grimnyth-grand-93.html" TargetMode="External"/><Relationship Id="rId33" Type="http://schemas.openxmlformats.org/officeDocument/2006/relationships/hyperlink" Target="https://drive.google.com/file/d/0B_Redi9cZJ5iM1N5QTBpZ3F3OFk/view" TargetMode="External"/><Relationship Id="rId38" Type="http://schemas.openxmlformats.org/officeDocument/2006/relationships/hyperlink" Target="https://issuu.com/m4cr1ii3n/docs/warhammer__-_nippon" TargetMode="External"/><Relationship Id="rId46" Type="http://schemas.openxmlformats.org/officeDocument/2006/relationships/hyperlink" Target="https://issuu.com/m4cr1ii3n/docs/warhammer-armies---cathay_20100908_224913" TargetMode="External"/><Relationship Id="rId59" Type="http://schemas.openxmlformats.org/officeDocument/2006/relationships/hyperlink" Target="http://meuh2k2.free.fr/onr/LA/LA%20VF%20Hauts%20Elfes%20V8.pdf" TargetMode="External"/><Relationship Id="rId67" Type="http://schemas.openxmlformats.org/officeDocument/2006/relationships/hyperlink" Target="http://verrahrubicon.free.fr/" TargetMode="External"/><Relationship Id="rId20" Type="http://schemas.openxmlformats.org/officeDocument/2006/relationships/hyperlink" Target="https://wjrf.bimondiens.com/content/artefacts/tueuse-ver-122.html" TargetMode="External"/><Relationship Id="rId41" Type="http://schemas.openxmlformats.org/officeDocument/2006/relationships/hyperlink" Target="https://issuu.com/m4cr1ii3n/docs/warhammer-armies---cathay_20100908_224913" TargetMode="External"/><Relationship Id="rId54" Type="http://schemas.openxmlformats.org/officeDocument/2006/relationships/hyperlink" Target="http://meuh2k2.free.fr/onr/LA/LA%20VF%20Hauts%20Elfes%20V8.pdf" TargetMode="External"/><Relationship Id="rId62" Type="http://schemas.openxmlformats.org/officeDocument/2006/relationships/hyperlink" Target="http://meuh2k2.free.fr/onr/LA/LA%20VF%20Hauts%20Elfes%20V8.pdf" TargetMode="External"/><Relationship Id="rId70" Type="http://schemas.openxmlformats.org/officeDocument/2006/relationships/hyperlink" Target="https://bibliotheque-imperiale.com/index.php/Bloab_Rotspawned"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5">
    <tabColor theme="1" tint="4.9989318521683403E-2"/>
    <pageSetUpPr fitToPage="1"/>
  </sheetPr>
  <dimension ref="A10:L25"/>
  <sheetViews>
    <sheetView showGridLines="0" showRowColHeaders="0" tabSelected="1" zoomScaleNormal="100" workbookViewId="0"/>
  </sheetViews>
  <sheetFormatPr baseColWidth="10" defaultRowHeight="13.2"/>
  <cols>
    <col min="11" max="11" width="4.88671875" customWidth="1"/>
  </cols>
  <sheetData>
    <row r="10" spans="1:11" ht="13.8" thickBot="1"/>
    <row r="11" spans="1:11" ht="14.4" thickTop="1" thickBot="1">
      <c r="B11" s="909" t="s">
        <v>9028</v>
      </c>
      <c r="C11" s="910"/>
      <c r="D11" s="910"/>
      <c r="E11" s="910"/>
      <c r="F11" s="910"/>
      <c r="G11" s="910"/>
      <c r="H11" s="910"/>
      <c r="I11" s="910"/>
      <c r="J11" s="911"/>
    </row>
    <row r="12" spans="1:11" ht="16.2" customHeight="1" thickTop="1">
      <c r="A12" s="132"/>
      <c r="B12" s="912"/>
      <c r="C12" s="913"/>
      <c r="D12" s="913"/>
      <c r="E12" s="913"/>
      <c r="F12" s="913"/>
      <c r="G12" s="913"/>
      <c r="H12" s="913"/>
      <c r="I12" s="913"/>
      <c r="J12" s="914"/>
      <c r="K12" s="918"/>
    </row>
    <row r="13" spans="1:11" ht="13.95" customHeight="1" thickBot="1">
      <c r="B13" s="915"/>
      <c r="C13" s="916"/>
      <c r="D13" s="916"/>
      <c r="E13" s="916"/>
      <c r="F13" s="916"/>
      <c r="G13" s="916"/>
      <c r="H13" s="916"/>
      <c r="I13" s="916"/>
      <c r="J13" s="917"/>
      <c r="K13" s="919"/>
    </row>
    <row r="14" spans="1:11" ht="14.4" thickTop="1" thickBot="1">
      <c r="B14" s="909" t="s">
        <v>17599</v>
      </c>
      <c r="C14" s="910"/>
      <c r="D14" s="910"/>
      <c r="E14" s="910"/>
      <c r="F14" s="910"/>
      <c r="G14" s="910"/>
      <c r="H14" s="910"/>
      <c r="I14" s="910"/>
      <c r="J14" s="911"/>
    </row>
    <row r="15" spans="1:11" ht="13.95" customHeight="1" thickTop="1">
      <c r="B15" s="912"/>
      <c r="C15" s="913"/>
      <c r="D15" s="913"/>
      <c r="E15" s="913"/>
      <c r="F15" s="913"/>
      <c r="G15" s="913"/>
      <c r="H15" s="913"/>
      <c r="I15" s="913"/>
      <c r="J15" s="914"/>
      <c r="K15" s="918"/>
    </row>
    <row r="16" spans="1:11" ht="13.95" customHeight="1" thickBot="1">
      <c r="B16" s="915"/>
      <c r="C16" s="916"/>
      <c r="D16" s="916"/>
      <c r="E16" s="916"/>
      <c r="F16" s="916"/>
      <c r="G16" s="916"/>
      <c r="H16" s="916"/>
      <c r="I16" s="916"/>
      <c r="J16" s="917"/>
      <c r="K16" s="919"/>
    </row>
    <row r="17" spans="2:12" ht="13.95" customHeight="1" thickTop="1" thickBot="1">
      <c r="B17" s="909" t="s">
        <v>17600</v>
      </c>
      <c r="C17" s="910"/>
      <c r="D17" s="910"/>
      <c r="E17" s="910"/>
      <c r="F17" s="910"/>
      <c r="G17" s="910"/>
      <c r="H17" s="910"/>
      <c r="I17" s="910"/>
      <c r="J17" s="911"/>
    </row>
    <row r="18" spans="2:12" ht="13.95" customHeight="1" thickTop="1">
      <c r="B18" s="912"/>
      <c r="C18" s="913"/>
      <c r="D18" s="913"/>
      <c r="E18" s="913"/>
      <c r="F18" s="913"/>
      <c r="G18" s="913"/>
      <c r="H18" s="913"/>
      <c r="I18" s="913"/>
      <c r="J18" s="914"/>
      <c r="K18" s="918"/>
    </row>
    <row r="19" spans="2:12" ht="13.95" customHeight="1" thickBot="1">
      <c r="B19" s="915"/>
      <c r="C19" s="916"/>
      <c r="D19" s="916"/>
      <c r="E19" s="916"/>
      <c r="F19" s="916"/>
      <c r="G19" s="916"/>
      <c r="H19" s="916"/>
      <c r="I19" s="916"/>
      <c r="J19" s="917"/>
      <c r="K19" s="919"/>
    </row>
    <row r="20" spans="2:12" ht="14.4" customHeight="1" thickTop="1" thickBot="1">
      <c r="B20" s="909" t="s">
        <v>17601</v>
      </c>
      <c r="C20" s="910"/>
      <c r="D20" s="910"/>
      <c r="E20" s="910"/>
      <c r="F20" s="910"/>
      <c r="G20" s="910"/>
      <c r="H20" s="910"/>
      <c r="I20" s="910"/>
      <c r="J20" s="911"/>
    </row>
    <row r="21" spans="2:12" ht="13.95" customHeight="1" thickTop="1">
      <c r="B21" s="912"/>
      <c r="C21" s="913"/>
      <c r="D21" s="913"/>
      <c r="E21" s="913"/>
      <c r="F21" s="913"/>
      <c r="G21" s="913"/>
      <c r="H21" s="913"/>
      <c r="I21" s="913"/>
      <c r="J21" s="914"/>
      <c r="K21" s="920"/>
      <c r="L21" s="921"/>
    </row>
    <row r="22" spans="2:12" ht="13.95" customHeight="1" thickBot="1">
      <c r="B22" s="915"/>
      <c r="C22" s="916"/>
      <c r="D22" s="916"/>
      <c r="E22" s="916"/>
      <c r="F22" s="916"/>
      <c r="G22" s="916"/>
      <c r="H22" s="916"/>
      <c r="I22" s="916"/>
      <c r="J22" s="917"/>
      <c r="K22" s="922"/>
      <c r="L22" s="923"/>
    </row>
    <row r="23" spans="2:12" ht="13.95" customHeight="1" thickTop="1">
      <c r="B23" s="460"/>
      <c r="C23" s="460"/>
      <c r="D23" s="460"/>
      <c r="E23" s="460"/>
      <c r="F23" s="460"/>
      <c r="G23" s="460"/>
      <c r="H23" s="460"/>
      <c r="I23" s="460"/>
      <c r="J23" s="460"/>
    </row>
    <row r="24" spans="2:12">
      <c r="B24" s="460"/>
      <c r="C24" s="460"/>
      <c r="D24" s="460"/>
      <c r="E24" s="460"/>
      <c r="F24" s="460"/>
      <c r="G24" s="460"/>
      <c r="H24" s="460"/>
      <c r="I24" s="460"/>
      <c r="J24" s="460"/>
    </row>
    <row r="25" spans="2:12">
      <c r="B25" s="460"/>
      <c r="C25" s="460"/>
      <c r="D25" s="460"/>
      <c r="E25" s="460"/>
      <c r="F25" s="460"/>
      <c r="G25" s="460"/>
      <c r="H25" s="460"/>
      <c r="I25" s="460"/>
      <c r="J25" s="460"/>
    </row>
  </sheetData>
  <mergeCells count="8">
    <mergeCell ref="B11:J13"/>
    <mergeCell ref="K12:K13"/>
    <mergeCell ref="B14:J16"/>
    <mergeCell ref="K15:K16"/>
    <mergeCell ref="B20:J22"/>
    <mergeCell ref="K21:L22"/>
    <mergeCell ref="K18:K19"/>
    <mergeCell ref="B17:J19"/>
  </mergeCells>
  <conditionalFormatting sqref="K12">
    <cfRule type="expression" dxfId="2221" priority="8" stopIfTrue="1">
      <formula>K12=""</formula>
    </cfRule>
  </conditionalFormatting>
  <conditionalFormatting sqref="K12">
    <cfRule type="expression" dxfId="2220" priority="7" stopIfTrue="1">
      <formula>K12&lt;&gt;""</formula>
    </cfRule>
  </conditionalFormatting>
  <conditionalFormatting sqref="K15">
    <cfRule type="expression" dxfId="2219" priority="6" stopIfTrue="1">
      <formula>K15=""</formula>
    </cfRule>
  </conditionalFormatting>
  <conditionalFormatting sqref="K15">
    <cfRule type="expression" dxfId="2218" priority="5" stopIfTrue="1">
      <formula>K15&lt;&gt;""</formula>
    </cfRule>
  </conditionalFormatting>
  <conditionalFormatting sqref="K21">
    <cfRule type="expression" dxfId="2217" priority="4" stopIfTrue="1">
      <formula>K21=""</formula>
    </cfRule>
  </conditionalFormatting>
  <conditionalFormatting sqref="K21">
    <cfRule type="expression" dxfId="2216" priority="3" stopIfTrue="1">
      <formula>K21&lt;&gt;""</formula>
    </cfRule>
  </conditionalFormatting>
  <conditionalFormatting sqref="K18">
    <cfRule type="expression" dxfId="2215" priority="1" stopIfTrue="1">
      <formula>K18&lt;&gt;""</formula>
    </cfRule>
  </conditionalFormatting>
  <conditionalFormatting sqref="K18">
    <cfRule type="expression" dxfId="2214" priority="2" stopIfTrue="1">
      <formula>K18=""</formula>
    </cfRule>
  </conditionalFormatting>
  <dataValidations count="2">
    <dataValidation type="list" allowBlank="1" showInputMessage="1" showErrorMessage="1" sqref="K12:K13 K15:K16 K18:K19" xr:uid="{00000000-0002-0000-0000-000000000000}">
      <formula1>X</formula1>
    </dataValidation>
    <dataValidation type="list" allowBlank="1" showInputMessage="1" showErrorMessage="1" sqref="K21:L22" xr:uid="{00000000-0002-0000-0000-000001000000}">
      <formula1>types_carrières</formula1>
    </dataValidation>
  </dataValidations>
  <pageMargins left="0.70866141732283472" right="0.70866141732283472" top="0.74803149606299213" bottom="0.74803149606299213" header="0.31496062992125984" footer="0.31496062992125984"/>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tabColor theme="1"/>
  </sheetPr>
  <dimension ref="A1:GZ1501"/>
  <sheetViews>
    <sheetView topLeftCell="FB1" zoomScaleNormal="100" workbookViewId="0">
      <pane ySplit="1" topLeftCell="A283" activePane="bottomLeft" state="frozen"/>
      <selection activeCell="U1" sqref="U1"/>
      <selection pane="bottomLeft" activeCell="FY215" sqref="FY215"/>
    </sheetView>
  </sheetViews>
  <sheetFormatPr baseColWidth="10" defaultRowHeight="13.2" customHeight="1"/>
  <cols>
    <col min="1" max="1" width="12.88671875" bestFit="1" customWidth="1"/>
    <col min="2" max="2" width="13.33203125" customWidth="1"/>
    <col min="3" max="3" width="13.33203125" bestFit="1" customWidth="1"/>
    <col min="4" max="4" width="13.33203125" customWidth="1"/>
    <col min="5" max="6" width="13.33203125" bestFit="1" customWidth="1"/>
    <col min="8" max="8" width="22.5546875" bestFit="1" customWidth="1"/>
    <col min="9" max="9" width="42.88671875" customWidth="1"/>
    <col min="10" max="10" width="27.44140625" bestFit="1" customWidth="1"/>
    <col min="11" max="11" width="4.6640625" customWidth="1"/>
    <col min="12" max="12" width="5.33203125" customWidth="1"/>
    <col min="13" max="13" width="16.44140625" style="531" customWidth="1"/>
    <col min="14" max="14" width="20.5546875" bestFit="1" customWidth="1"/>
    <col min="15" max="15" width="14.5546875" customWidth="1"/>
    <col min="16" max="16" width="13.88671875" customWidth="1"/>
    <col min="17" max="17" width="13" customWidth="1"/>
    <col min="18" max="18" width="34.109375" style="531" customWidth="1"/>
    <col min="19" max="19" width="37.6640625" style="83" customWidth="1"/>
    <col min="20" max="20" width="5.44140625" style="106" customWidth="1"/>
    <col min="21" max="22" width="6.33203125" style="83" hidden="1" customWidth="1"/>
    <col min="23" max="23" width="13.6640625" style="83" hidden="1" customWidth="1"/>
    <col min="24" max="24" width="6.33203125" style="2" customWidth="1"/>
    <col min="25" max="25" width="16.88671875" style="744" customWidth="1"/>
    <col min="26" max="26" width="22.6640625" style="56" customWidth="1"/>
    <col min="27" max="27" width="6.33203125" style="2" customWidth="1"/>
    <col min="28" max="28" width="21.88671875" style="2" customWidth="1"/>
    <col min="29" max="29" width="6.33203125" style="2" customWidth="1"/>
    <col min="30" max="36" width="6.33203125" style="16" customWidth="1"/>
    <col min="37" max="37" width="6.33203125" style="19" customWidth="1"/>
    <col min="38" max="41" width="6.33203125" style="16" customWidth="1"/>
    <col min="42" max="42" width="44.6640625" style="23" customWidth="1"/>
    <col min="43" max="43" width="27.88671875" style="23" customWidth="1"/>
    <col min="44" max="44" width="64.6640625" style="23" customWidth="1"/>
    <col min="45" max="45" width="30.33203125" style="23" customWidth="1"/>
    <col min="46" max="46" width="19.6640625" style="23" customWidth="1"/>
    <col min="47" max="47" width="21.88671875" style="23" customWidth="1"/>
    <col min="48" max="48" width="21.44140625" style="23" customWidth="1"/>
    <col min="49" max="49" width="9.33203125" style="458" customWidth="1"/>
    <col min="50" max="50" width="19.6640625" style="23" customWidth="1"/>
    <col min="51" max="52" width="23.6640625" style="825" customWidth="1"/>
    <col min="53" max="53" width="12.6640625" bestFit="1" customWidth="1"/>
    <col min="54" max="54" width="23.88671875" bestFit="1" customWidth="1"/>
    <col min="55" max="55" width="13.33203125" bestFit="1" customWidth="1"/>
    <col min="56" max="56" width="18.6640625" customWidth="1"/>
    <col min="57" max="59" width="18.6640625" hidden="1" customWidth="1"/>
    <col min="60" max="60" width="11.6640625" bestFit="1" customWidth="1"/>
    <col min="61" max="62" width="12.88671875" bestFit="1" customWidth="1"/>
    <col min="63" max="63" width="11.6640625" bestFit="1" customWidth="1"/>
    <col min="64" max="64" width="6" customWidth="1"/>
    <col min="65" max="65" width="8.5546875" customWidth="1"/>
    <col min="67" max="67" width="33.44140625" bestFit="1" customWidth="1"/>
    <col min="68" max="68" width="8" customWidth="1"/>
    <col min="69" max="69" width="5.88671875" customWidth="1"/>
    <col min="70" max="70" width="8.33203125" hidden="1" customWidth="1"/>
    <col min="71" max="71" width="9.33203125" hidden="1" customWidth="1"/>
    <col min="72" max="74" width="13.33203125" hidden="1" customWidth="1"/>
    <col min="75" max="75" width="15" hidden="1" customWidth="1"/>
    <col min="76" max="76" width="47.5546875" customWidth="1"/>
    <col min="77" max="77" width="57.33203125" customWidth="1"/>
    <col min="78" max="78" width="15.88671875" customWidth="1"/>
    <col min="79" max="79" width="29.33203125" customWidth="1"/>
    <col min="80" max="80" width="29.33203125" style="531" customWidth="1"/>
    <col min="81" max="81" width="18" customWidth="1"/>
    <col min="82" max="82" width="17.6640625" customWidth="1"/>
    <col min="83" max="83" width="20.6640625" customWidth="1"/>
    <col min="84" max="84" width="20.5546875" customWidth="1"/>
    <col min="85" max="85" width="21.33203125" customWidth="1"/>
    <col min="86" max="86" width="20.109375" customWidth="1"/>
    <col min="87" max="87" width="18.109375" customWidth="1"/>
    <col min="88" max="98" width="17.44140625" customWidth="1"/>
    <col min="99" max="99" width="19.109375" customWidth="1"/>
    <col min="100" max="102" width="19.109375" hidden="1" customWidth="1"/>
    <col min="103" max="103" width="35.88671875" bestFit="1" customWidth="1"/>
    <col min="104" max="104" width="15" customWidth="1"/>
    <col min="105" max="105" width="21.33203125" customWidth="1"/>
    <col min="108" max="108" width="22.44140625" customWidth="1"/>
    <col min="109" max="110" width="4.6640625" customWidth="1"/>
    <col min="112" max="115" width="11.5546875" customWidth="1"/>
    <col min="119" max="119" width="16" customWidth="1"/>
    <col min="124" max="124" width="18.33203125" customWidth="1"/>
    <col min="125" max="125" width="9.88671875" customWidth="1"/>
    <col min="126" max="126" width="22.6640625" customWidth="1"/>
    <col min="127" max="127" width="13.33203125" customWidth="1"/>
    <col min="128" max="128" width="22.6640625" customWidth="1"/>
    <col min="129" max="129" width="13.33203125" customWidth="1"/>
    <col min="130" max="130" width="24.5546875" customWidth="1"/>
    <col min="131" max="131" width="8.88671875" customWidth="1"/>
    <col min="132" max="132" width="14.6640625" customWidth="1"/>
    <col min="134" max="134" width="28.109375" customWidth="1"/>
    <col min="135" max="135" width="3.33203125" customWidth="1"/>
    <col min="136" max="136" width="17" style="531" customWidth="1"/>
    <col min="137" max="137" width="17" style="62" customWidth="1"/>
    <col min="138" max="140" width="17" style="62" hidden="1" customWidth="1"/>
    <col min="141" max="141" width="20.6640625" style="531" customWidth="1"/>
    <col min="142" max="142" width="14.88671875" customWidth="1"/>
    <col min="143" max="143" width="34.44140625" customWidth="1"/>
    <col min="144" max="144" width="14.88671875" customWidth="1"/>
    <col min="145" max="145" width="84.33203125" customWidth="1"/>
    <col min="147" max="147" width="31.33203125" style="77" customWidth="1"/>
    <col min="148" max="149" width="31.33203125" hidden="1" customWidth="1"/>
    <col min="150" max="150" width="31.33203125" style="531" hidden="1" customWidth="1"/>
    <col min="151" max="151" width="39" style="25" customWidth="1"/>
    <col min="152" max="152" width="14.44140625" style="25" hidden="1" customWidth="1"/>
    <col min="153" max="153" width="21.44140625" style="25" hidden="1" customWidth="1"/>
    <col min="154" max="154" width="39" style="25" hidden="1" customWidth="1"/>
    <col min="155" max="155" width="40.88671875" customWidth="1"/>
    <col min="156" max="156" width="24" style="531" customWidth="1"/>
    <col min="157" max="157" width="18.109375" style="77" customWidth="1"/>
    <col min="158" max="158" width="31.6640625" customWidth="1"/>
    <col min="160" max="160" width="25.33203125" customWidth="1"/>
    <col min="161" max="161" width="5.44140625" style="849" customWidth="1"/>
    <col min="162" max="165" width="4.6640625" customWidth="1"/>
    <col min="166" max="166" width="4.6640625" style="10" customWidth="1"/>
    <col min="167" max="168" width="4.6640625" customWidth="1"/>
    <col min="169" max="169" width="4.6640625" style="165" customWidth="1"/>
    <col min="170" max="171" width="4.6640625" customWidth="1"/>
    <col min="172" max="173" width="4.6640625" style="691" customWidth="1"/>
    <col min="174" max="174" width="4.6640625" style="10" customWidth="1"/>
    <col min="175" max="176" width="4.6640625" customWidth="1"/>
    <col min="177" max="177" width="4.6640625" style="165" customWidth="1"/>
    <col min="178" max="178" width="32.44140625" customWidth="1"/>
    <col min="179" max="179" width="21.5546875" customWidth="1"/>
    <col min="180" max="180" width="13.44140625" style="531" customWidth="1"/>
    <col min="181" max="182" width="21.5546875" customWidth="1"/>
    <col min="183" max="183" width="31.6640625" customWidth="1"/>
    <col min="186" max="186" width="18.44140625" customWidth="1"/>
    <col min="187" max="187" width="12.6640625" style="341" customWidth="1"/>
    <col min="188" max="188" width="13.6640625" customWidth="1"/>
    <col min="189" max="189" width="26.6640625" style="341" customWidth="1"/>
    <col min="190" max="190" width="13.44140625" customWidth="1"/>
    <col min="192" max="192" width="13.88671875" customWidth="1"/>
    <col min="193" max="193" width="17.6640625" style="531" customWidth="1"/>
    <col min="194" max="194" width="17" customWidth="1"/>
    <col min="195" max="208" width="11.44140625" style="2"/>
  </cols>
  <sheetData>
    <row r="1" spans="1:198" s="5" customFormat="1" ht="20.399999999999999" customHeight="1">
      <c r="A1" s="549" t="s">
        <v>5317</v>
      </c>
      <c r="B1" s="1488" t="s">
        <v>381</v>
      </c>
      <c r="C1" s="1488"/>
      <c r="D1" s="1488" t="s">
        <v>382</v>
      </c>
      <c r="E1" s="1488"/>
      <c r="F1" s="4" t="s">
        <v>383</v>
      </c>
      <c r="H1" s="5" t="s">
        <v>14727</v>
      </c>
      <c r="I1" s="5" t="s">
        <v>953</v>
      </c>
      <c r="J1" s="5" t="s">
        <v>819</v>
      </c>
      <c r="K1" s="5" t="s">
        <v>788</v>
      </c>
      <c r="L1" s="5" t="s">
        <v>843</v>
      </c>
      <c r="M1" s="529" t="s">
        <v>844</v>
      </c>
      <c r="N1" s="5" t="s">
        <v>848</v>
      </c>
      <c r="O1" s="5" t="s">
        <v>12550</v>
      </c>
      <c r="P1" s="5" t="s">
        <v>12551</v>
      </c>
      <c r="Q1" s="5" t="s">
        <v>12552</v>
      </c>
      <c r="R1" s="529" t="s">
        <v>12553</v>
      </c>
      <c r="S1" s="5" t="s">
        <v>456</v>
      </c>
      <c r="T1" s="533" t="s">
        <v>15810</v>
      </c>
      <c r="U1" s="5" t="s">
        <v>10793</v>
      </c>
      <c r="V1" s="5" t="s">
        <v>10795</v>
      </c>
      <c r="W1" s="5" t="s">
        <v>10794</v>
      </c>
      <c r="X1" s="791" t="s">
        <v>2192</v>
      </c>
      <c r="Y1" s="791" t="s">
        <v>7139</v>
      </c>
      <c r="Z1" s="5" t="s">
        <v>537</v>
      </c>
      <c r="AA1" s="791" t="s">
        <v>536</v>
      </c>
      <c r="AB1" s="791" t="s">
        <v>11688</v>
      </c>
      <c r="AC1" s="798" t="s">
        <v>2193</v>
      </c>
      <c r="AD1" s="14" t="s">
        <v>129</v>
      </c>
      <c r="AE1" s="14" t="s">
        <v>130</v>
      </c>
      <c r="AF1" s="14" t="s">
        <v>131</v>
      </c>
      <c r="AG1" s="14" t="s">
        <v>148</v>
      </c>
      <c r="AH1" s="14" t="s">
        <v>132</v>
      </c>
      <c r="AI1" s="14" t="s">
        <v>133</v>
      </c>
      <c r="AJ1" s="14" t="s">
        <v>134</v>
      </c>
      <c r="AK1" s="799" t="s">
        <v>135</v>
      </c>
      <c r="AL1" s="14" t="s">
        <v>140</v>
      </c>
      <c r="AM1" s="14" t="s">
        <v>141</v>
      </c>
      <c r="AN1" s="14" t="s">
        <v>144</v>
      </c>
      <c r="AO1" s="14" t="s">
        <v>145</v>
      </c>
      <c r="AP1" s="14" t="s">
        <v>1509</v>
      </c>
      <c r="AQ1" s="14" t="s">
        <v>5855</v>
      </c>
      <c r="AR1" s="14" t="s">
        <v>769</v>
      </c>
      <c r="AS1" s="14" t="s">
        <v>5853</v>
      </c>
      <c r="AT1" s="14" t="s">
        <v>3568</v>
      </c>
      <c r="AU1" s="14" t="s">
        <v>5322</v>
      </c>
      <c r="AV1" s="14" t="s">
        <v>4552</v>
      </c>
      <c r="AW1" s="747" t="s">
        <v>14772</v>
      </c>
      <c r="AX1" s="822" t="s">
        <v>11356</v>
      </c>
      <c r="AY1" s="823" t="s">
        <v>11357</v>
      </c>
      <c r="AZ1" s="823" t="s">
        <v>11506</v>
      </c>
      <c r="BA1" s="5" t="s">
        <v>285</v>
      </c>
      <c r="BB1" s="5" t="s">
        <v>286</v>
      </c>
      <c r="BC1" s="5" t="s">
        <v>287</v>
      </c>
      <c r="BD1" s="5" t="s">
        <v>3112</v>
      </c>
      <c r="BE1" s="1488" t="s">
        <v>15028</v>
      </c>
      <c r="BF1" s="1488"/>
      <c r="BG1" s="1488"/>
      <c r="BH1" s="5" t="s">
        <v>288</v>
      </c>
      <c r="BI1" s="5" t="s">
        <v>289</v>
      </c>
      <c r="BJ1" s="5" t="s">
        <v>290</v>
      </c>
      <c r="BK1" s="5" t="s">
        <v>291</v>
      </c>
      <c r="BL1" s="5" t="s">
        <v>11812</v>
      </c>
      <c r="BM1" s="627" t="s">
        <v>11813</v>
      </c>
      <c r="BN1" s="5" t="s">
        <v>292</v>
      </c>
      <c r="BO1" s="5" t="s">
        <v>293</v>
      </c>
      <c r="BP1" s="5" t="s">
        <v>11814</v>
      </c>
      <c r="BQ1" s="5" t="s">
        <v>11938</v>
      </c>
      <c r="BR1" s="5" t="s">
        <v>13217</v>
      </c>
      <c r="BS1" s="5" t="s">
        <v>16326</v>
      </c>
      <c r="BT1" s="5" t="s">
        <v>2782</v>
      </c>
      <c r="BU1" s="1488" t="s">
        <v>10823</v>
      </c>
      <c r="BV1" s="1488"/>
      <c r="BW1" s="1488"/>
      <c r="BX1" s="5" t="s">
        <v>12880</v>
      </c>
      <c r="BY1" s="1488" t="s">
        <v>10824</v>
      </c>
      <c r="BZ1" s="1488"/>
      <c r="CA1" s="1488"/>
      <c r="CB1" s="1488"/>
      <c r="CC1" s="5" t="s">
        <v>6413</v>
      </c>
      <c r="CD1" s="5" t="s">
        <v>6414</v>
      </c>
      <c r="CE1" s="5" t="s">
        <v>6415</v>
      </c>
      <c r="CF1" s="5" t="s">
        <v>6416</v>
      </c>
      <c r="CG1" s="5" t="s">
        <v>6417</v>
      </c>
      <c r="CH1" s="5" t="s">
        <v>6418</v>
      </c>
      <c r="CI1" s="5" t="s">
        <v>6419</v>
      </c>
      <c r="CJ1" s="5" t="s">
        <v>6420</v>
      </c>
      <c r="CK1" s="5" t="s">
        <v>6722</v>
      </c>
      <c r="CL1" s="5" t="s">
        <v>11098</v>
      </c>
      <c r="CM1" s="5" t="s">
        <v>11099</v>
      </c>
      <c r="CN1" s="5" t="s">
        <v>11100</v>
      </c>
      <c r="CO1" s="5" t="s">
        <v>11101</v>
      </c>
      <c r="CP1" s="5" t="s">
        <v>13297</v>
      </c>
      <c r="CQ1" s="5" t="s">
        <v>13334</v>
      </c>
      <c r="CR1" s="5" t="s">
        <v>14527</v>
      </c>
      <c r="CS1" s="5" t="s">
        <v>11097</v>
      </c>
      <c r="CT1" s="5" t="s">
        <v>15027</v>
      </c>
      <c r="CU1" s="5" t="s">
        <v>10817</v>
      </c>
      <c r="CV1" s="1488" t="s">
        <v>10840</v>
      </c>
      <c r="CW1" s="1488"/>
      <c r="CX1" s="1488"/>
      <c r="CY1" s="5" t="s">
        <v>2139</v>
      </c>
      <c r="CZ1" s="5" t="s">
        <v>2457</v>
      </c>
      <c r="DA1" s="1488" t="s">
        <v>12705</v>
      </c>
      <c r="DB1" s="1488"/>
      <c r="DC1" s="5" t="s">
        <v>2485</v>
      </c>
      <c r="DD1" s="5" t="s">
        <v>2672</v>
      </c>
      <c r="DE1" s="5" t="s">
        <v>2673</v>
      </c>
      <c r="DG1" s="5" t="s">
        <v>2677</v>
      </c>
      <c r="DH1" s="5" t="s">
        <v>5313</v>
      </c>
      <c r="DI1" s="5" t="s">
        <v>5314</v>
      </c>
      <c r="DJ1" s="5" t="s">
        <v>5315</v>
      </c>
      <c r="DK1" s="5" t="s">
        <v>5316</v>
      </c>
      <c r="DL1" s="5" t="s">
        <v>820</v>
      </c>
      <c r="DM1" s="5" t="s">
        <v>2732</v>
      </c>
      <c r="DN1" s="5" t="s">
        <v>7062</v>
      </c>
      <c r="DO1" s="5" t="s">
        <v>2734</v>
      </c>
      <c r="DP1" s="5" t="s">
        <v>9519</v>
      </c>
      <c r="DQ1" s="5" t="s">
        <v>789</v>
      </c>
      <c r="DR1" s="5" t="s">
        <v>9520</v>
      </c>
      <c r="DS1" s="5" t="s">
        <v>2766</v>
      </c>
      <c r="DT1" s="5" t="s">
        <v>2784</v>
      </c>
      <c r="DU1" s="5" t="s">
        <v>4352</v>
      </c>
      <c r="DV1" s="5" t="s">
        <v>372</v>
      </c>
      <c r="DW1" s="5" t="s">
        <v>4352</v>
      </c>
      <c r="DX1" s="5" t="s">
        <v>1423</v>
      </c>
      <c r="DY1" s="5" t="s">
        <v>4352</v>
      </c>
      <c r="DZ1" s="5" t="s">
        <v>2918</v>
      </c>
      <c r="EA1" s="627" t="s">
        <v>4352</v>
      </c>
      <c r="EB1" s="5" t="s">
        <v>803</v>
      </c>
      <c r="EC1" s="5" t="s">
        <v>3801</v>
      </c>
      <c r="ED1" s="5" t="s">
        <v>3803</v>
      </c>
      <c r="EF1" s="529" t="s">
        <v>4524</v>
      </c>
      <c r="EG1" s="533" t="s">
        <v>9172</v>
      </c>
      <c r="EH1" s="1489" t="s">
        <v>10819</v>
      </c>
      <c r="EI1" s="1489"/>
      <c r="EJ1" s="1489"/>
      <c r="EK1" s="529" t="s">
        <v>9180</v>
      </c>
      <c r="EL1" s="5" t="s">
        <v>5150</v>
      </c>
      <c r="EM1" s="5" t="s">
        <v>4957</v>
      </c>
      <c r="EN1" s="5" t="s">
        <v>201</v>
      </c>
      <c r="EO1" s="5" t="s">
        <v>1125</v>
      </c>
      <c r="EP1" s="5" t="s">
        <v>4352</v>
      </c>
      <c r="EQ1" s="563" t="s">
        <v>10846</v>
      </c>
      <c r="ER1" s="1487" t="s">
        <v>10848</v>
      </c>
      <c r="ES1" s="1487"/>
      <c r="ET1" s="1487"/>
      <c r="EU1" s="572" t="s">
        <v>10847</v>
      </c>
      <c r="EV1" s="1486" t="s">
        <v>11720</v>
      </c>
      <c r="EW1" s="1486"/>
      <c r="EX1" s="1486"/>
      <c r="EY1" s="5" t="s">
        <v>5858</v>
      </c>
      <c r="EZ1" s="529" t="s">
        <v>5859</v>
      </c>
      <c r="FA1" s="563" t="s">
        <v>7129</v>
      </c>
      <c r="FB1" s="627" t="s">
        <v>13225</v>
      </c>
      <c r="FC1" s="5" t="s">
        <v>201</v>
      </c>
      <c r="FD1" s="5" t="s">
        <v>537</v>
      </c>
      <c r="FE1" s="847" t="s">
        <v>536</v>
      </c>
      <c r="FF1" s="11" t="s">
        <v>129</v>
      </c>
      <c r="FG1" s="11" t="s">
        <v>130</v>
      </c>
      <c r="FH1" s="11" t="s">
        <v>131</v>
      </c>
      <c r="FI1" s="11" t="s">
        <v>148</v>
      </c>
      <c r="FJ1" s="11" t="s">
        <v>132</v>
      </c>
      <c r="FK1" s="11" t="s">
        <v>133</v>
      </c>
      <c r="FL1" s="11" t="s">
        <v>134</v>
      </c>
      <c r="FM1" s="757" t="s">
        <v>135</v>
      </c>
      <c r="FN1" s="11" t="s">
        <v>140</v>
      </c>
      <c r="FO1" s="11" t="s">
        <v>141</v>
      </c>
      <c r="FP1" s="13" t="s">
        <v>142</v>
      </c>
      <c r="FQ1" s="13" t="s">
        <v>143</v>
      </c>
      <c r="FR1" s="11" t="s">
        <v>144</v>
      </c>
      <c r="FS1" s="11" t="s">
        <v>145</v>
      </c>
      <c r="FT1" s="11" t="s">
        <v>146</v>
      </c>
      <c r="FU1" s="757" t="s">
        <v>147</v>
      </c>
      <c r="FV1" s="14" t="s">
        <v>7224</v>
      </c>
      <c r="FW1" s="14" t="s">
        <v>7235</v>
      </c>
      <c r="FX1" s="750" t="s">
        <v>7655</v>
      </c>
      <c r="FY1" s="5" t="s">
        <v>7262</v>
      </c>
      <c r="FZ1" s="5" t="s">
        <v>7275</v>
      </c>
      <c r="GA1" s="5" t="s">
        <v>7282</v>
      </c>
      <c r="GB1" s="5" t="s">
        <v>7301</v>
      </c>
      <c r="GC1" s="5" t="s">
        <v>7328</v>
      </c>
      <c r="GD1" s="5" t="s">
        <v>7361</v>
      </c>
      <c r="GE1" s="527" t="s">
        <v>7647</v>
      </c>
      <c r="GF1" s="5" t="s">
        <v>8756</v>
      </c>
      <c r="GG1" s="527" t="s">
        <v>8802</v>
      </c>
      <c r="GH1" s="5" t="s">
        <v>201</v>
      </c>
      <c r="GI1" s="5" t="s">
        <v>4352</v>
      </c>
      <c r="GJ1" s="5" t="s">
        <v>9024</v>
      </c>
      <c r="GK1" s="529" t="s">
        <v>9678</v>
      </c>
      <c r="GL1" s="5" t="s">
        <v>9097</v>
      </c>
      <c r="GP1" s="3" t="str">
        <f>IF('page 1'!DG4="Aiir","Petite communauté d'Aiir","")</f>
        <v/>
      </c>
    </row>
    <row r="2" spans="1:198" ht="13.2" customHeight="1">
      <c r="A2" t="s">
        <v>377</v>
      </c>
      <c r="B2" s="2">
        <v>5</v>
      </c>
      <c r="C2" s="2">
        <v>-0.1</v>
      </c>
      <c r="D2" s="2">
        <v>0</v>
      </c>
      <c r="E2" s="2">
        <v>-0.1</v>
      </c>
      <c r="F2" s="2">
        <v>-0.5</v>
      </c>
      <c r="G2" s="110" t="s">
        <v>2465</v>
      </c>
      <c r="H2" s="61" t="s">
        <v>392</v>
      </c>
      <c r="I2" s="50" t="s">
        <v>2634</v>
      </c>
      <c r="J2" s="61" t="s">
        <v>820</v>
      </c>
      <c r="K2" s="61" t="s">
        <v>133</v>
      </c>
      <c r="L2" s="3" t="s">
        <v>132</v>
      </c>
      <c r="M2" s="530" t="s">
        <v>11609</v>
      </c>
      <c r="N2" s="3" t="s">
        <v>12491</v>
      </c>
      <c r="O2" s="85" t="s">
        <v>12566</v>
      </c>
      <c r="P2" s="3" t="s">
        <v>12492</v>
      </c>
      <c r="Q2" s="3" t="s">
        <v>12493</v>
      </c>
      <c r="R2" s="651" t="s">
        <v>12494</v>
      </c>
      <c r="S2" s="693" t="str">
        <f>IF(Selectsousrace=0,"1ère carrière","")</f>
        <v>1ère carrière</v>
      </c>
      <c r="T2" s="814"/>
      <c r="U2" s="693">
        <f t="shared" ref="U2" si="0">IF(S2="","",ROW()-1)</f>
        <v>1</v>
      </c>
      <c r="V2" s="693">
        <f t="shared" ref="V2" si="1">IFERROR(SMALL(U:U,ROW()-1),"")</f>
        <v>1</v>
      </c>
      <c r="W2" s="693" t="str">
        <f t="shared" ref="W2" si="2">IFERROR(INDEX(S:S,V2+1),"")</f>
        <v>1ère carrière</v>
      </c>
      <c r="X2" s="796"/>
      <c r="Y2" s="746"/>
      <c r="Z2" s="694"/>
      <c r="AA2" s="796"/>
      <c r="AB2" s="796"/>
      <c r="AC2" s="796"/>
      <c r="AD2" s="695"/>
      <c r="AE2" s="695"/>
      <c r="AF2" s="695"/>
      <c r="AG2" s="695"/>
      <c r="AH2" s="695"/>
      <c r="AI2" s="695"/>
      <c r="AJ2" s="695"/>
      <c r="AK2" s="696"/>
      <c r="AL2" s="695"/>
      <c r="AM2" s="695"/>
      <c r="AN2" s="695"/>
      <c r="AO2" s="695"/>
      <c r="AP2" s="697"/>
      <c r="AQ2" s="697"/>
      <c r="AR2" s="697"/>
      <c r="AS2" s="697"/>
      <c r="AT2" s="697"/>
      <c r="AU2" s="697"/>
      <c r="AV2" s="697"/>
      <c r="AW2" s="698"/>
      <c r="AX2" s="697"/>
      <c r="AY2" s="824"/>
      <c r="AZ2" s="824"/>
      <c r="BA2" s="83" t="s">
        <v>294</v>
      </c>
      <c r="BB2" s="83" t="s">
        <v>323</v>
      </c>
      <c r="BC2" s="83" t="s">
        <v>323</v>
      </c>
      <c r="BD2" s="3" t="str">
        <f>IF(OR(Selectsousrace="Elu",Selectsousrace="Puissant"),"","Beige")</f>
        <v>Beige</v>
      </c>
      <c r="BE2" s="83">
        <f t="shared" ref="BE2" si="3">IF(BD2="","",ROW()-1)</f>
        <v>1</v>
      </c>
      <c r="BF2" s="83">
        <f t="shared" ref="BF2:BF10" si="4">IFERROR(SMALL(BE:BE,ROW()-1),"")</f>
        <v>1</v>
      </c>
      <c r="BG2" s="83" t="str">
        <f t="shared" ref="BG2:BG10" si="5">IFERROR(INDEX(BD:BD,BF2+1),"")</f>
        <v>Beige</v>
      </c>
      <c r="BH2" s="83" t="s">
        <v>10814</v>
      </c>
      <c r="BI2" s="83" t="s">
        <v>297</v>
      </c>
      <c r="BJ2" s="83" t="s">
        <v>297</v>
      </c>
      <c r="BK2" s="83" t="s">
        <v>297</v>
      </c>
      <c r="BL2" s="3">
        <v>0</v>
      </c>
      <c r="BM2" s="3">
        <v>10</v>
      </c>
      <c r="BN2" s="3" t="s">
        <v>309</v>
      </c>
      <c r="BO2" s="83" t="s">
        <v>7347</v>
      </c>
      <c r="BP2" s="3" t="s">
        <v>303</v>
      </c>
      <c r="BQ2" s="3" t="s">
        <v>85</v>
      </c>
      <c r="BR2" s="83" t="s">
        <v>2745</v>
      </c>
      <c r="BS2" s="83" t="s">
        <v>2745</v>
      </c>
      <c r="BT2" s="3" t="str">
        <f>IF(OR(SelectRace="Humain",SelectRace="Skaven",SelectRace="Vampire"),"Albion","")</f>
        <v/>
      </c>
      <c r="BU2" s="83" t="str">
        <f>IF(BT2="","",ROW()-1)</f>
        <v/>
      </c>
      <c r="BV2" s="83">
        <f>IFERROR(SMALL(BU:BU,ROW()-1),"")</f>
        <v>17</v>
      </c>
      <c r="BW2" s="83" t="str">
        <f>IFERROR(INDEX(BT:BT,BV2+1),"")</f>
        <v>Royaume du Chaos</v>
      </c>
      <c r="BX2" s="3" t="str">
        <f>IF(Province="Grand comté d'Averland","Cité du Grand comté d'Averland","")</f>
        <v/>
      </c>
      <c r="BY2" t="str">
        <f t="shared" ref="BY2" si="6">IF(BX2="","",ROW())</f>
        <v/>
      </c>
      <c r="BZ2" s="83" t="str">
        <f t="shared" ref="BZ2:BZ65" si="7">IFERROR(SMALL(BY:BY,ROW()-1),"")</f>
        <v/>
      </c>
      <c r="CA2" s="83" t="str">
        <f t="shared" ref="CA2:CA65" si="8">IFERROR(INDEX(BX:BX,BZ2),"")</f>
        <v/>
      </c>
      <c r="CB2" s="530" t="str">
        <f t="shared" ref="CB2:CB65" si="9">INDEX(CA:CA,ROW())</f>
        <v/>
      </c>
      <c r="CC2" s="3" t="s">
        <v>3212</v>
      </c>
      <c r="CD2" s="3" t="s">
        <v>3161</v>
      </c>
      <c r="CE2" s="3" t="s">
        <v>1075</v>
      </c>
      <c r="CF2" s="3" t="s">
        <v>1094</v>
      </c>
      <c r="CG2" s="3" t="s">
        <v>6131</v>
      </c>
      <c r="CH2" s="3" t="s">
        <v>5909</v>
      </c>
      <c r="CI2" s="3" t="s">
        <v>3393</v>
      </c>
      <c r="CJ2" s="3" t="s">
        <v>3391</v>
      </c>
      <c r="CK2" s="3" t="s">
        <v>6724</v>
      </c>
      <c r="CL2" s="3" t="s">
        <v>6435</v>
      </c>
      <c r="CM2" s="83" t="s">
        <v>10237</v>
      </c>
      <c r="CN2" s="3" t="s">
        <v>6560</v>
      </c>
      <c r="CO2" s="3" t="s">
        <v>10885</v>
      </c>
      <c r="CP2" s="83" t="s">
        <v>13332</v>
      </c>
      <c r="CQ2" s="83" t="s">
        <v>13369</v>
      </c>
      <c r="CR2" s="83" t="s">
        <v>13373</v>
      </c>
      <c r="CS2" s="83" t="s">
        <v>15019</v>
      </c>
      <c r="CT2" s="83" t="s">
        <v>806</v>
      </c>
      <c r="CU2" s="35" t="str">
        <f>IF(Intro!K18="X","Magie divine",IF(Gestion!W68&gt;0,"Magie divine",IF(Gestion!W134&gt;0,"Magie mineure","")))</f>
        <v/>
      </c>
      <c r="CV2" s="35" t="str">
        <f>IF(CU2="","",ROW())</f>
        <v/>
      </c>
      <c r="CW2" s="35" t="str">
        <f t="shared" ref="CW2:CW13" si="10">IFERROR(SMALL(CV:CV,ROW()-1),"")</f>
        <v/>
      </c>
      <c r="CX2" s="35" t="str">
        <f t="shared" ref="CX2:CX13" si="11">IFERROR(INDEX(CU:CU,CW2),"")</f>
        <v/>
      </c>
      <c r="CY2" s="38" t="s">
        <v>140</v>
      </c>
      <c r="CZ2" s="83" t="s">
        <v>5309</v>
      </c>
      <c r="DA2" s="3" t="s">
        <v>2481</v>
      </c>
      <c r="DB2" s="83" t="s">
        <v>12724</v>
      </c>
      <c r="DC2" s="3" t="s">
        <v>2486</v>
      </c>
      <c r="DD2" s="83" t="s">
        <v>11229</v>
      </c>
      <c r="DE2" s="3" t="s">
        <v>132</v>
      </c>
      <c r="DF2" s="3">
        <f>ROW()</f>
        <v>2</v>
      </c>
      <c r="DG2" s="3" t="s">
        <v>2174</v>
      </c>
      <c r="DH2" s="3">
        <f t="shared" ref="DH2:DH25" si="12">IF($DG2="Artisan",400,IF($DG2="Détaillant",195,IF($DG2="Fermier",135,IF($DG2="Aubergiste",150,IF($DG2="Spécialiste",750,0)))))</f>
        <v>135</v>
      </c>
      <c r="DI2" s="3">
        <f t="shared" ref="DI2:DI25" si="13">IF($DG2="Artisan",300,IF($DG2="Détaillant",160,IF($DG2="Fermier",115,IF($DG2="Aubergiste",135,IF($DG2="Spécialiste",565,0)))))</f>
        <v>115</v>
      </c>
      <c r="DJ2" s="3">
        <f t="shared" ref="DJ2:DJ25" si="14">IF($DG2="Artisan",210,IF($DG2="Détaillant",130,IF($DG2="Fermier",95,IF($DG2="Aubergiste",120,IF($DG2="Spécialiste",380,0)))))</f>
        <v>95</v>
      </c>
      <c r="DK2" s="3">
        <f t="shared" ref="DK2:DK25" si="15">IF($DG2="Artisan",120,IF($DG2="Détaillant",105,IF($DG2="Fermier",75,IF($DG2="Aubergiste",105,IF($DG2="Spécialiste",195,0)))))</f>
        <v>75</v>
      </c>
      <c r="DL2" s="90" t="s">
        <v>5364</v>
      </c>
      <c r="DM2" s="3" t="s">
        <v>2719</v>
      </c>
      <c r="DN2" s="83" t="s">
        <v>16323</v>
      </c>
      <c r="DO2" s="3" t="s">
        <v>2745</v>
      </c>
      <c r="DP2" s="83" t="s">
        <v>16148</v>
      </c>
      <c r="DQ2" s="83" t="s">
        <v>16560</v>
      </c>
      <c r="DR2" s="83" t="s">
        <v>2762</v>
      </c>
      <c r="DS2" s="3" t="s">
        <v>2767</v>
      </c>
      <c r="DT2" s="3" t="s">
        <v>2789</v>
      </c>
      <c r="DU2" s="3" t="s">
        <v>2799</v>
      </c>
      <c r="DV2" s="3" t="str">
        <f>IF(Selectsousrace="Elfe Sylvain","Orphelin d'Isha","")</f>
        <v/>
      </c>
      <c r="DW2" s="83" t="s">
        <v>11161</v>
      </c>
      <c r="DX2" s="83" t="s">
        <v>15580</v>
      </c>
      <c r="DY2" s="83" t="s">
        <v>15609</v>
      </c>
      <c r="DZ2" s="3" t="s">
        <v>2919</v>
      </c>
      <c r="EA2" s="83" t="s">
        <v>4525</v>
      </c>
      <c r="EB2" s="60" t="s">
        <v>2674</v>
      </c>
      <c r="EC2" s="3" t="s">
        <v>3800</v>
      </c>
      <c r="ED2" s="83" t="s">
        <v>12427</v>
      </c>
      <c r="EE2" s="83" t="s">
        <v>140</v>
      </c>
      <c r="EF2" s="530" t="s">
        <v>13106</v>
      </c>
      <c r="EG2" s="356" t="str">
        <f>IF(SelectRace="Elfe","Elfe Noir","")</f>
        <v/>
      </c>
      <c r="EH2" s="83" t="str">
        <f t="shared" ref="EH2:EH33" si="16">IF(EG2="","",ROW()-1)</f>
        <v/>
      </c>
      <c r="EI2" s="83" t="str">
        <f t="shared" ref="EI2:EI33" si="17">IFERROR(SMALL(EH:EH,ROW()-1),"")</f>
        <v/>
      </c>
      <c r="EJ2" s="83" t="str">
        <f t="shared" ref="EJ2:EJ33" si="18">IFERROR(INDEX(EG:EG,EI2+1),"")</f>
        <v/>
      </c>
      <c r="EK2" s="874" t="s">
        <v>9451</v>
      </c>
      <c r="EL2" s="90" t="s">
        <v>5155</v>
      </c>
      <c r="EM2" s="90" t="s">
        <v>4369</v>
      </c>
      <c r="EN2" s="83" t="s">
        <v>5152</v>
      </c>
      <c r="EO2" s="90" t="s">
        <v>5067</v>
      </c>
      <c r="EP2" s="83" t="s">
        <v>5064</v>
      </c>
      <c r="EQ2" s="481" t="s">
        <v>10842</v>
      </c>
      <c r="ER2" s="83">
        <f t="shared" ref="ER2" si="19">IF(EQ2="","",ROW())</f>
        <v>2</v>
      </c>
      <c r="ES2" s="83" t="str">
        <f t="shared" ref="ES2" si="20">IFERROR(SMALL(ER:ER,ROW()-1),"")</f>
        <v/>
      </c>
      <c r="ET2" s="530" t="str">
        <f>IFERROR(INDEX(EQ:EQ,ES2),"")</f>
        <v/>
      </c>
      <c r="EU2" s="571" t="str">
        <f>IF(OR(Dieu="",Dieu="Agnostique",Dieu="Athée"),"","")</f>
        <v/>
      </c>
      <c r="EV2" s="83" t="str">
        <f t="shared" ref="EV2" si="21">IF(EU2="","",ROW())</f>
        <v/>
      </c>
      <c r="EW2" s="83" t="str">
        <f t="shared" ref="EW2:EW65" si="22">IFERROR(SMALL(EV:EV,ROW()-1),"")</f>
        <v/>
      </c>
      <c r="EX2" s="530" t="str">
        <f t="shared" ref="EX2:EX65" si="23">IFERROR(INDEX(EU:EU,EW2),"")</f>
        <v/>
      </c>
      <c r="EZ2" s="530"/>
      <c r="FA2" s="565" t="s">
        <v>7131</v>
      </c>
      <c r="FB2" s="177" t="s">
        <v>15357</v>
      </c>
      <c r="FC2" s="133" t="s">
        <v>14630</v>
      </c>
      <c r="FD2" s="83" t="s">
        <v>15340</v>
      </c>
      <c r="FE2" s="848">
        <v>293</v>
      </c>
      <c r="FF2">
        <v>38</v>
      </c>
      <c r="FG2">
        <v>0</v>
      </c>
      <c r="FH2">
        <v>41</v>
      </c>
      <c r="FI2">
        <v>44</v>
      </c>
      <c r="FJ2" s="10">
        <v>60</v>
      </c>
      <c r="FK2">
        <v>15</v>
      </c>
      <c r="FL2">
        <v>35</v>
      </c>
      <c r="FM2" s="165">
        <v>5</v>
      </c>
      <c r="FN2" s="88">
        <v>1</v>
      </c>
      <c r="FO2" s="88">
        <v>25</v>
      </c>
      <c r="FP2" s="691">
        <f t="shared" ref="FP2:FQ6" si="24">ROUNDDOWN(FH2/10,0)</f>
        <v>4</v>
      </c>
      <c r="FQ2" s="691">
        <f t="shared" si="24"/>
        <v>4</v>
      </c>
      <c r="FR2" s="10">
        <v>6</v>
      </c>
      <c r="FS2" s="88">
        <v>0</v>
      </c>
      <c r="FT2" s="88">
        <v>0</v>
      </c>
      <c r="FU2" s="165">
        <v>0</v>
      </c>
      <c r="FV2" s="83" t="s">
        <v>15358</v>
      </c>
      <c r="FW2" s="83" t="s">
        <v>15359</v>
      </c>
      <c r="FX2" s="530" t="s">
        <v>9938</v>
      </c>
      <c r="FY2" s="85" t="s">
        <v>14630</v>
      </c>
      <c r="FZ2" t="s">
        <v>7278</v>
      </c>
      <c r="GA2" t="s">
        <v>7519</v>
      </c>
      <c r="GB2" t="s">
        <v>7302</v>
      </c>
      <c r="GC2" s="83" t="s">
        <v>9099</v>
      </c>
      <c r="GD2" s="83" t="s">
        <v>7363</v>
      </c>
      <c r="GE2" s="356" t="s">
        <v>370</v>
      </c>
      <c r="GF2" t="s">
        <v>8180</v>
      </c>
      <c r="GG2" s="356" t="s">
        <v>8805</v>
      </c>
      <c r="GH2" s="83" t="s">
        <v>8825</v>
      </c>
      <c r="GI2" s="83" t="s">
        <v>8813</v>
      </c>
      <c r="GJ2" s="83" t="s">
        <v>8917</v>
      </c>
      <c r="GK2" s="530">
        <f t="shared" ref="GK2:GK19" si="25">ROW()-1</f>
        <v>1</v>
      </c>
      <c r="GL2" s="83" t="str">
        <f>IF('page 1'!M11="","","Célibataire")</f>
        <v/>
      </c>
    </row>
    <row r="3" spans="1:198" ht="13.2" customHeight="1">
      <c r="A3" t="s">
        <v>378</v>
      </c>
      <c r="B3" s="2">
        <v>0</v>
      </c>
      <c r="C3" s="2">
        <v>-0.1</v>
      </c>
      <c r="D3" s="2">
        <v>0</v>
      </c>
      <c r="E3" s="2">
        <v>0</v>
      </c>
      <c r="F3" s="2">
        <v>-0.1</v>
      </c>
      <c r="H3" s="83" t="s">
        <v>393</v>
      </c>
      <c r="I3" s="84" t="s">
        <v>16629</v>
      </c>
      <c r="J3" s="3" t="s">
        <v>821</v>
      </c>
      <c r="K3" s="3" t="s">
        <v>135</v>
      </c>
      <c r="L3" s="3" t="s">
        <v>148</v>
      </c>
      <c r="M3" s="652" t="s">
        <v>2455</v>
      </c>
      <c r="N3" s="3" t="s">
        <v>849</v>
      </c>
      <c r="O3" s="85" t="s">
        <v>12567</v>
      </c>
      <c r="P3" s="3" t="s">
        <v>12495</v>
      </c>
      <c r="Q3" s="3" t="s">
        <v>12496</v>
      </c>
      <c r="R3" s="651" t="s">
        <v>12497</v>
      </c>
      <c r="S3" s="83" t="str">
        <f>IF(CareerType=Y4,"Abbé",IF(AllCareers="X","Abbé",IF(Selectsousrace="","",IF(OR(SelectRace="homme-bête",SelectRace="peau-verte",SelectRace="créature du chaos",SelectRace="Homme-lézard",SelectRace="skaven",FirstCareer="1ère carrière"),"","Abbé"))))</f>
        <v/>
      </c>
      <c r="T3" s="106">
        <v>2</v>
      </c>
      <c r="U3" s="693" t="str">
        <f t="shared" ref="U3:U66" si="26">IF(S3="","",ROW()-1)</f>
        <v/>
      </c>
      <c r="V3" s="693" t="str">
        <f t="shared" ref="V3:V66" si="27">IFERROR(SMALL(U:U,ROW()-1),"")</f>
        <v/>
      </c>
      <c r="W3" s="693" t="str">
        <f t="shared" ref="W3:W66" si="28">IFERROR(INDEX(S:S,V3+1),"")</f>
        <v/>
      </c>
      <c r="X3" s="47" t="s">
        <v>2153</v>
      </c>
      <c r="Y3" s="743" t="s">
        <v>7131</v>
      </c>
      <c r="Z3" s="55" t="s">
        <v>538</v>
      </c>
      <c r="AA3" s="47">
        <v>185</v>
      </c>
      <c r="AB3" s="47" t="s">
        <v>2194</v>
      </c>
      <c r="AC3" s="47">
        <v>6</v>
      </c>
      <c r="AD3" s="15" t="s">
        <v>98</v>
      </c>
      <c r="AE3" s="15" t="s">
        <v>149</v>
      </c>
      <c r="AF3" s="15" t="s">
        <v>98</v>
      </c>
      <c r="AG3" s="15" t="s">
        <v>98</v>
      </c>
      <c r="AH3" s="15" t="s">
        <v>98</v>
      </c>
      <c r="AI3" s="15" t="s">
        <v>116</v>
      </c>
      <c r="AJ3" s="15" t="s">
        <v>99</v>
      </c>
      <c r="AK3" s="18" t="s">
        <v>100</v>
      </c>
      <c r="AL3" s="15" t="s">
        <v>149</v>
      </c>
      <c r="AM3" s="15" t="s">
        <v>112</v>
      </c>
      <c r="AN3" s="15" t="s">
        <v>149</v>
      </c>
      <c r="AO3" s="105" t="s">
        <v>149</v>
      </c>
      <c r="AP3" s="22" t="s">
        <v>770</v>
      </c>
      <c r="AQ3" s="87" t="s">
        <v>734</v>
      </c>
      <c r="AR3" s="22" t="s">
        <v>2195</v>
      </c>
      <c r="AS3" s="87" t="s">
        <v>734</v>
      </c>
      <c r="AT3" s="22" t="s">
        <v>3403</v>
      </c>
      <c r="AU3" s="23" t="s">
        <v>5367</v>
      </c>
      <c r="AV3" s="87" t="s">
        <v>7122</v>
      </c>
      <c r="AW3" s="457">
        <v>0</v>
      </c>
      <c r="AX3" s="630" t="str">
        <f>IF(S3="","","Chasseur, Coupe-jarret, Esclave/Thrall, Fanatique, Garde, Garde du corps, Guerrier des clans, Hors-la-loi, Naufrageur, Pillard, Pilleur de tombes, Trafiquant de cadavres, Vagabond, Voleur")</f>
        <v/>
      </c>
      <c r="AY3" s="630" t="str">
        <f>IF(AX3="","","Acolyte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3" s="630" t="str">
        <f>IF(S3="","","Apprenti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3" s="83" t="s">
        <v>323</v>
      </c>
      <c r="BB3" s="87" t="s">
        <v>10816</v>
      </c>
      <c r="BC3" s="87" t="s">
        <v>3113</v>
      </c>
      <c r="BD3" s="3" t="str">
        <f>IF(Selectsousrace="Elu","Blanc","")</f>
        <v/>
      </c>
      <c r="BE3" s="83" t="str">
        <f t="shared" ref="BE3:BE10" si="29">IF(BD3="","",ROW()-1)</f>
        <v/>
      </c>
      <c r="BF3" s="83">
        <f t="shared" si="4"/>
        <v>5</v>
      </c>
      <c r="BG3" s="83" t="str">
        <f t="shared" si="5"/>
        <v>Brun clair</v>
      </c>
      <c r="BH3" s="83" t="s">
        <v>370</v>
      </c>
      <c r="BI3" s="83" t="s">
        <v>308</v>
      </c>
      <c r="BJ3" s="83" t="s">
        <v>319</v>
      </c>
      <c r="BK3" s="83" t="s">
        <v>319</v>
      </c>
      <c r="BL3" s="3">
        <v>1</v>
      </c>
      <c r="BM3" s="3">
        <v>11</v>
      </c>
      <c r="BN3" s="3" t="s">
        <v>299</v>
      </c>
      <c r="BO3" s="83" t="s">
        <v>7337</v>
      </c>
      <c r="BP3" s="3" t="s">
        <v>313</v>
      </c>
      <c r="BQ3" s="3" t="s">
        <v>86</v>
      </c>
      <c r="BR3" s="83" t="s">
        <v>2750</v>
      </c>
      <c r="BS3" s="83" t="s">
        <v>2750</v>
      </c>
      <c r="BT3" t="str">
        <f>IF(OR(SelectRace="Humain",SelectRace="Skaven",SelectRace="Vampire",SelectRace="Elfe"),"Arabie","")</f>
        <v/>
      </c>
      <c r="BU3" s="83" t="str">
        <f t="shared" ref="BU3:BU26" si="30">IF(BT3="","",ROW()-1)</f>
        <v/>
      </c>
      <c r="BV3" s="83" t="str">
        <f t="shared" ref="BV3:BV26" si="31">IFERROR(SMALL(BU:BU,ROW()-1),"")</f>
        <v/>
      </c>
      <c r="BW3" s="83" t="str">
        <f t="shared" ref="BW3:BW26" si="32">IFERROR(INDEX(BT:BT,BV3+1),"")</f>
        <v/>
      </c>
      <c r="BX3" s="3" t="str">
        <f>IF(Province="Grand comté d'Averland","Bourg du Grand comté d'Averland","")</f>
        <v/>
      </c>
      <c r="BY3" t="str">
        <f t="shared" ref="BY3:BY66" si="33">IF(BX3="","",ROW())</f>
        <v/>
      </c>
      <c r="BZ3" s="83" t="str">
        <f t="shared" si="7"/>
        <v/>
      </c>
      <c r="CA3" s="83" t="str">
        <f t="shared" si="8"/>
        <v/>
      </c>
      <c r="CB3" s="530" t="str">
        <f t="shared" si="9"/>
        <v/>
      </c>
      <c r="CC3" s="3" t="s">
        <v>3213</v>
      </c>
      <c r="CD3" t="s">
        <v>10629</v>
      </c>
      <c r="CE3" s="83" t="s">
        <v>10232</v>
      </c>
      <c r="CF3" s="3" t="s">
        <v>3395</v>
      </c>
      <c r="CG3" s="3" t="s">
        <v>6132</v>
      </c>
      <c r="CH3" s="3" t="s">
        <v>5910</v>
      </c>
      <c r="CI3" s="83" t="s">
        <v>15084</v>
      </c>
      <c r="CJ3" s="3" t="s">
        <v>939</v>
      </c>
      <c r="CK3" s="3" t="s">
        <v>6770</v>
      </c>
      <c r="CL3" s="3" t="s">
        <v>6425</v>
      </c>
      <c r="CM3" s="83" t="s">
        <v>10239</v>
      </c>
      <c r="CN3" s="3" t="s">
        <v>6518</v>
      </c>
      <c r="CO3" s="3" t="s">
        <v>10884</v>
      </c>
      <c r="CP3" s="83" t="s">
        <v>13328</v>
      </c>
      <c r="CQ3" s="83" t="s">
        <v>13347</v>
      </c>
      <c r="CR3" s="83" t="s">
        <v>13374</v>
      </c>
      <c r="CS3" s="83" t="s">
        <v>15030</v>
      </c>
      <c r="CT3" s="3" t="s">
        <v>422</v>
      </c>
      <c r="CU3" s="35" t="str">
        <f>IF(Intro!K18="X","Domaines divins",IF(Gestion!W68&gt;0,"Domaines divins",IF(Gestion!W134&gt;0,"Magie mineure","")))</f>
        <v/>
      </c>
      <c r="CV3" s="35" t="str">
        <f>IF(CU3="","",ROW())</f>
        <v/>
      </c>
      <c r="CW3" s="35" t="str">
        <f t="shared" si="10"/>
        <v/>
      </c>
      <c r="CX3" s="35" t="str">
        <f t="shared" si="11"/>
        <v/>
      </c>
      <c r="CY3" s="90" t="s">
        <v>392</v>
      </c>
      <c r="CZ3" s="83" t="s">
        <v>5308</v>
      </c>
      <c r="DA3" s="3" t="s">
        <v>12582</v>
      </c>
      <c r="DB3" s="83" t="s">
        <v>12583</v>
      </c>
      <c r="DC3" s="3" t="s">
        <v>2487</v>
      </c>
      <c r="DD3" s="3" t="s">
        <v>2679</v>
      </c>
      <c r="DE3" s="3" t="s">
        <v>132</v>
      </c>
      <c r="DF3" s="3">
        <f>ROW()</f>
        <v>3</v>
      </c>
      <c r="DG3" s="3" t="s">
        <v>780</v>
      </c>
      <c r="DH3" s="3">
        <f t="shared" si="12"/>
        <v>400</v>
      </c>
      <c r="DI3" s="3">
        <f t="shared" si="13"/>
        <v>300</v>
      </c>
      <c r="DJ3" s="3">
        <f t="shared" si="14"/>
        <v>210</v>
      </c>
      <c r="DK3" s="3">
        <f t="shared" si="15"/>
        <v>120</v>
      </c>
      <c r="DL3" s="83" t="s">
        <v>9653</v>
      </c>
      <c r="DM3" s="83" t="s">
        <v>2720</v>
      </c>
      <c r="DN3" s="83" t="s">
        <v>16324</v>
      </c>
      <c r="DO3" s="83" t="s">
        <v>12179</v>
      </c>
      <c r="DP3" s="83" t="s">
        <v>11503</v>
      </c>
      <c r="DQ3" s="83" t="s">
        <v>5377</v>
      </c>
      <c r="DR3" s="83" t="s">
        <v>14628</v>
      </c>
      <c r="DS3" s="83" t="s">
        <v>9500</v>
      </c>
      <c r="DT3" s="3" t="s">
        <v>2833</v>
      </c>
      <c r="DU3" s="83" t="s">
        <v>4877</v>
      </c>
      <c r="DV3" s="3" t="s">
        <v>2885</v>
      </c>
      <c r="DW3" s="3" t="s">
        <v>2886</v>
      </c>
      <c r="DX3" s="83" t="s">
        <v>15566</v>
      </c>
      <c r="DY3" s="83" t="s">
        <v>15563</v>
      </c>
      <c r="DZ3" s="3" t="s">
        <v>2920</v>
      </c>
      <c r="EA3" s="83" t="s">
        <v>4525</v>
      </c>
      <c r="EB3" s="60" t="s">
        <v>2675</v>
      </c>
      <c r="EC3" s="83" t="s">
        <v>11425</v>
      </c>
      <c r="ED3" s="83" t="s">
        <v>12431</v>
      </c>
      <c r="EE3" s="83" t="s">
        <v>140</v>
      </c>
      <c r="EF3" s="530" t="s">
        <v>13107</v>
      </c>
      <c r="EG3" s="356" t="str">
        <f>IF(SelectRace="Elfe","Elfe Sylvain","")</f>
        <v/>
      </c>
      <c r="EH3" s="83" t="str">
        <f t="shared" si="16"/>
        <v/>
      </c>
      <c r="EI3" s="83" t="str">
        <f t="shared" si="17"/>
        <v/>
      </c>
      <c r="EJ3" s="83" t="str">
        <f t="shared" si="18"/>
        <v/>
      </c>
      <c r="EK3" s="874" t="s">
        <v>9453</v>
      </c>
      <c r="EL3" s="83" t="s">
        <v>11285</v>
      </c>
      <c r="EM3" s="90" t="s">
        <v>420</v>
      </c>
      <c r="EN3" s="83" t="s">
        <v>5152</v>
      </c>
      <c r="EO3" t="s">
        <v>5041</v>
      </c>
      <c r="EP3" s="83" t="s">
        <v>5064</v>
      </c>
      <c r="EQ3" s="481" t="str">
        <f>IF(Pays="Nippon","Yomote",IF(Pays="Inja","Mudu",IF(OR(Pays="Empire",Pays="Kislev",Pays="Pays Perdu"),"Ahalt",IF(OR(Pays="Terres des morts",Pays="Arabie"),"Usekhp",""))))</f>
        <v/>
      </c>
      <c r="ER3" s="83" t="str">
        <f t="shared" ref="ER3:ER56" si="34">IF(EQ3="","",ROW())</f>
        <v/>
      </c>
      <c r="ES3" s="83" t="str">
        <f t="shared" ref="ES3:ES66" si="35">IFERROR(SMALL(ER:ER,ROW()-1),"")</f>
        <v/>
      </c>
      <c r="ET3" s="530" t="str">
        <f t="shared" ref="ET3:ET66" si="36">IFERROR(INDEX(EQ:EQ,ES3),"")</f>
        <v/>
      </c>
      <c r="EU3" s="571" t="str">
        <f>IF(Dieu&lt;&gt;"","Laïc","")</f>
        <v/>
      </c>
      <c r="EV3" s="83" t="str">
        <f t="shared" ref="EV3:EV57" si="37">IF(EU3="","",ROW())</f>
        <v/>
      </c>
      <c r="EW3" s="83" t="str">
        <f t="shared" si="22"/>
        <v/>
      </c>
      <c r="EX3" s="530" t="str">
        <f t="shared" si="23"/>
        <v/>
      </c>
      <c r="FA3" s="565" t="s">
        <v>7133</v>
      </c>
      <c r="FB3" s="83" t="s">
        <v>15442</v>
      </c>
      <c r="FC3" s="133" t="s">
        <v>14630</v>
      </c>
      <c r="FD3" s="85" t="s">
        <v>2217</v>
      </c>
      <c r="FE3" s="849">
        <v>121</v>
      </c>
      <c r="FF3">
        <v>79</v>
      </c>
      <c r="FG3">
        <v>0</v>
      </c>
      <c r="FH3">
        <v>90</v>
      </c>
      <c r="FI3">
        <v>68</v>
      </c>
      <c r="FJ3" s="10">
        <v>28</v>
      </c>
      <c r="FK3">
        <v>33</v>
      </c>
      <c r="FL3">
        <v>44</v>
      </c>
      <c r="FM3" s="165">
        <v>1</v>
      </c>
      <c r="FN3" s="88">
        <v>3</v>
      </c>
      <c r="FO3" s="88">
        <v>45</v>
      </c>
      <c r="FP3" s="691">
        <f t="shared" si="24"/>
        <v>9</v>
      </c>
      <c r="FQ3" s="691">
        <f t="shared" si="24"/>
        <v>6</v>
      </c>
      <c r="FR3" s="10">
        <v>10</v>
      </c>
      <c r="FS3">
        <v>0</v>
      </c>
      <c r="FT3">
        <v>0</v>
      </c>
      <c r="FU3" s="165">
        <v>0</v>
      </c>
      <c r="FV3" s="83" t="s">
        <v>15443</v>
      </c>
      <c r="FW3" s="83" t="s">
        <v>15445</v>
      </c>
      <c r="FX3" s="530" t="s">
        <v>9938</v>
      </c>
      <c r="FY3" s="83" t="s">
        <v>13214</v>
      </c>
      <c r="FZ3" t="s">
        <v>7277</v>
      </c>
      <c r="GA3" t="s">
        <v>7557</v>
      </c>
      <c r="GB3" t="s">
        <v>7303</v>
      </c>
      <c r="GC3" t="s">
        <v>7326</v>
      </c>
      <c r="GD3" s="83" t="s">
        <v>13216</v>
      </c>
      <c r="GE3" s="356" t="s">
        <v>297</v>
      </c>
      <c r="GF3" t="s">
        <v>8157</v>
      </c>
      <c r="GG3" s="356" t="s">
        <v>8809</v>
      </c>
      <c r="GH3" s="83" t="s">
        <v>8825</v>
      </c>
      <c r="GI3" s="83" t="s">
        <v>8813</v>
      </c>
      <c r="GJ3" s="83" t="s">
        <v>8926</v>
      </c>
      <c r="GK3" s="530">
        <f t="shared" si="25"/>
        <v>2</v>
      </c>
      <c r="GL3" s="83" t="str">
        <f>IF('page 1'!M11="Masculin","Fiancé/ Promis",IF('page 1'!M11="Féminin","Fiancée/ Promise",""))</f>
        <v/>
      </c>
    </row>
    <row r="4" spans="1:198" ht="13.2" customHeight="1">
      <c r="A4" t="s">
        <v>379</v>
      </c>
      <c r="B4" s="2">
        <v>0</v>
      </c>
      <c r="C4" s="2">
        <v>0</v>
      </c>
      <c r="D4" s="2">
        <v>0</v>
      </c>
      <c r="E4" s="2">
        <v>0</v>
      </c>
      <c r="F4" s="2">
        <v>0</v>
      </c>
      <c r="H4" s="3" t="s">
        <v>14604</v>
      </c>
      <c r="I4" s="3" t="s">
        <v>14612</v>
      </c>
      <c r="J4" s="3" t="s">
        <v>822</v>
      </c>
      <c r="K4" s="3" t="s">
        <v>132</v>
      </c>
      <c r="L4" s="61" t="s">
        <v>131</v>
      </c>
      <c r="M4" s="651" t="s">
        <v>845</v>
      </c>
      <c r="N4" s="3" t="s">
        <v>850</v>
      </c>
      <c r="O4" s="85" t="s">
        <v>12557</v>
      </c>
      <c r="P4" s="3" t="s">
        <v>12498</v>
      </c>
      <c r="Q4" s="83" t="s">
        <v>12548</v>
      </c>
      <c r="R4" s="651" t="s">
        <v>12499</v>
      </c>
      <c r="S4" s="83" t="str">
        <f>IF(CareerType=Y3,"Abbé lanceur de sorts",IF(AllCareers="X","Abbé lanceur de sorts",IF(Selectsousrace="","",IF(OR(SelectRace="homme-bête",SelectRace="peau-verte",SelectRace="créature du chaos",SelectRace="skaven",SelectRace="Homme-lézard",FirstCareer="1ère carrière"),"","Abbé lanceur de sorts"))))</f>
        <v/>
      </c>
      <c r="T4" s="106">
        <v>2</v>
      </c>
      <c r="U4" s="693" t="str">
        <f t="shared" si="26"/>
        <v/>
      </c>
      <c r="V4" s="693" t="str">
        <f t="shared" si="27"/>
        <v/>
      </c>
      <c r="W4" s="693" t="str">
        <f t="shared" si="28"/>
        <v/>
      </c>
      <c r="X4" s="47" t="s">
        <v>2153</v>
      </c>
      <c r="Y4" s="743" t="s">
        <v>15709</v>
      </c>
      <c r="Z4" s="55" t="s">
        <v>538</v>
      </c>
      <c r="AA4" s="47">
        <v>186</v>
      </c>
      <c r="AB4" s="47" t="s">
        <v>2194</v>
      </c>
      <c r="AC4" s="47">
        <v>6</v>
      </c>
      <c r="AD4" s="15" t="s">
        <v>98</v>
      </c>
      <c r="AE4" s="15" t="s">
        <v>149</v>
      </c>
      <c r="AF4" s="15" t="s">
        <v>98</v>
      </c>
      <c r="AG4" s="15" t="s">
        <v>98</v>
      </c>
      <c r="AH4" s="15" t="s">
        <v>98</v>
      </c>
      <c r="AI4" s="15" t="s">
        <v>116</v>
      </c>
      <c r="AJ4" s="15" t="s">
        <v>99</v>
      </c>
      <c r="AK4" s="18" t="s">
        <v>100</v>
      </c>
      <c r="AL4" s="15" t="s">
        <v>149</v>
      </c>
      <c r="AM4" s="15" t="s">
        <v>112</v>
      </c>
      <c r="AN4" s="15" t="s">
        <v>149</v>
      </c>
      <c r="AO4" s="15" t="s">
        <v>113</v>
      </c>
      <c r="AP4" s="22" t="s">
        <v>1260</v>
      </c>
      <c r="AQ4" s="87" t="s">
        <v>734</v>
      </c>
      <c r="AR4" s="22" t="s">
        <v>2195</v>
      </c>
      <c r="AS4" s="87" t="s">
        <v>734</v>
      </c>
      <c r="AT4" s="22" t="s">
        <v>3403</v>
      </c>
      <c r="AU4" s="23" t="s">
        <v>5368</v>
      </c>
      <c r="AV4" s="87" t="s">
        <v>7122</v>
      </c>
      <c r="AW4" s="457">
        <v>0</v>
      </c>
      <c r="AX4" s="630" t="str">
        <f t="shared" ref="AX4:AX67" si="38">IF(S4="","","Chasseur, Coupe-jarret, Esclave/Thrall, Fanatique, Garde, Garde du corps, Guerrier des clans, Hors-la-loi, Naufrageur, Pillard, Pilleur de tombes, Trafiquant de cadavres, Vagabond, Voleur")</f>
        <v/>
      </c>
      <c r="AY4" s="630" t="str">
        <f t="shared" ref="AY4:AY67" si="39">IF(AX4="","","Acolyte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4" s="630" t="str">
        <f t="shared" ref="AZ4:AZ67" si="40">IF(S4="","","Apprenti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4" s="87" t="s">
        <v>307</v>
      </c>
      <c r="BB4" s="87" t="s">
        <v>3113</v>
      </c>
      <c r="BC4" s="3" t="s">
        <v>997</v>
      </c>
      <c r="BD4" s="3" t="str">
        <f>IF(Selectsousrace="Puissant","Noir","")</f>
        <v/>
      </c>
      <c r="BE4" s="83" t="str">
        <f t="shared" si="29"/>
        <v/>
      </c>
      <c r="BF4" s="83">
        <f t="shared" si="4"/>
        <v>6</v>
      </c>
      <c r="BG4" s="83" t="str">
        <f t="shared" si="5"/>
        <v>Brunfoncé</v>
      </c>
      <c r="BH4" s="83" t="s">
        <v>297</v>
      </c>
      <c r="BI4" s="83" t="s">
        <v>318</v>
      </c>
      <c r="BJ4" s="83" t="s">
        <v>298</v>
      </c>
      <c r="BK4" s="83" t="s">
        <v>298</v>
      </c>
      <c r="BL4" s="3">
        <v>2</v>
      </c>
      <c r="BM4" s="3">
        <v>12</v>
      </c>
      <c r="BN4" s="3"/>
      <c r="BO4" s="83" t="s">
        <v>7352</v>
      </c>
      <c r="BP4" s="3" t="s">
        <v>302</v>
      </c>
      <c r="BQ4" s="3" t="s">
        <v>87</v>
      </c>
      <c r="BR4" s="83" t="s">
        <v>2735</v>
      </c>
      <c r="BS4" s="83" t="s">
        <v>2735</v>
      </c>
      <c r="BT4" s="3" t="str">
        <f>IF(OR(SelectRace="",SelectRace="Homme-lézard"),"","Bretonnie")</f>
        <v/>
      </c>
      <c r="BU4" s="83" t="str">
        <f t="shared" si="30"/>
        <v/>
      </c>
      <c r="BV4" s="83" t="str">
        <f t="shared" si="31"/>
        <v/>
      </c>
      <c r="BW4" s="83" t="str">
        <f t="shared" si="32"/>
        <v/>
      </c>
      <c r="BX4" s="3" t="str">
        <f>IF(Province="Grand comté d'Averland","Ville prospère du Grand comté d'Averland","")</f>
        <v/>
      </c>
      <c r="BY4" t="str">
        <f t="shared" si="33"/>
        <v/>
      </c>
      <c r="BZ4" s="83" t="str">
        <f t="shared" si="7"/>
        <v/>
      </c>
      <c r="CA4" s="83" t="str">
        <f t="shared" si="8"/>
        <v/>
      </c>
      <c r="CB4" s="530" t="str">
        <f t="shared" si="9"/>
        <v/>
      </c>
      <c r="CC4" s="3" t="s">
        <v>3214</v>
      </c>
      <c r="CD4" s="3" t="s">
        <v>1055</v>
      </c>
      <c r="CE4" s="3" t="s">
        <v>1076</v>
      </c>
      <c r="CF4" s="3" t="s">
        <v>1095</v>
      </c>
      <c r="CG4" s="3" t="s">
        <v>884</v>
      </c>
      <c r="CH4" s="3" t="s">
        <v>5911</v>
      </c>
      <c r="CI4" s="3" t="s">
        <v>3383</v>
      </c>
      <c r="CJ4" s="83" t="s">
        <v>10192</v>
      </c>
      <c r="CK4" s="3" t="s">
        <v>6812</v>
      </c>
      <c r="CL4" s="3" t="s">
        <v>6469</v>
      </c>
      <c r="CM4" s="3" t="s">
        <v>6616</v>
      </c>
      <c r="CN4" s="3" t="s">
        <v>6546</v>
      </c>
      <c r="CO4" s="83" t="str">
        <f>CONCATENATE("Alaric",IF(AND('page 1'!M11="Féminin",Pays="Norsca"),"dottir",IF(AND('page 1'!M11="Masculin",Pays="Norsca"),"son",IF(AND('page 1'!M11="Féminin",Pays="Kislev"),"ovna",IF(AND('page 1'!M11="Masculin",Pays="Kislev"),"sky","")))))</f>
        <v>Alaric</v>
      </c>
      <c r="CP4" s="83" t="s">
        <v>13309</v>
      </c>
      <c r="CQ4" s="83" t="s">
        <v>13370</v>
      </c>
      <c r="CR4" s="83" t="s">
        <v>13375</v>
      </c>
      <c r="CS4" s="83" t="s">
        <v>15021</v>
      </c>
      <c r="CT4" s="83" t="s">
        <v>2893</v>
      </c>
      <c r="CU4" s="35" t="str">
        <f>IF(Intro!K18="X","Magie commune",IF(Gestion!W75&gt;0,"Magie commune",IF(Gestion!W80&gt;0,"Magie commune",IF(Gestion!W134&gt;0,"Magie mineure",""))))</f>
        <v/>
      </c>
      <c r="CV4" s="35" t="str">
        <f>IF(CU4="","",ROW())</f>
        <v/>
      </c>
      <c r="CW4" s="35" t="str">
        <f t="shared" si="10"/>
        <v/>
      </c>
      <c r="CX4" s="35" t="str">
        <f t="shared" si="11"/>
        <v/>
      </c>
      <c r="CY4" s="3" t="s">
        <v>393</v>
      </c>
      <c r="CZ4" s="83" t="s">
        <v>5310</v>
      </c>
      <c r="DA4" s="83" t="s">
        <v>12584</v>
      </c>
      <c r="DB4" s="83" t="s">
        <v>12585</v>
      </c>
      <c r="DC4" s="3" t="s">
        <v>2493</v>
      </c>
      <c r="DD4" s="83" t="s">
        <v>11234</v>
      </c>
      <c r="DE4" s="3" t="s">
        <v>133</v>
      </c>
      <c r="DF4" s="3">
        <f>ROW()</f>
        <v>4</v>
      </c>
      <c r="DG4" s="3" t="s">
        <v>2174</v>
      </c>
      <c r="DH4" s="3">
        <f t="shared" si="12"/>
        <v>135</v>
      </c>
      <c r="DI4" s="3">
        <f t="shared" si="13"/>
        <v>115</v>
      </c>
      <c r="DJ4" s="3">
        <f t="shared" si="14"/>
        <v>95</v>
      </c>
      <c r="DK4" s="3">
        <f t="shared" si="15"/>
        <v>75</v>
      </c>
      <c r="DL4" s="61" t="s">
        <v>453</v>
      </c>
      <c r="DM4" s="83" t="s">
        <v>4847</v>
      </c>
      <c r="DN4" s="83" t="s">
        <v>16312</v>
      </c>
      <c r="DO4" s="3" t="s">
        <v>2750</v>
      </c>
      <c r="DP4" s="3" t="s">
        <v>11502</v>
      </c>
      <c r="DQ4" s="3" t="s">
        <v>2754</v>
      </c>
      <c r="DR4" s="3" t="s">
        <v>3083</v>
      </c>
      <c r="DS4" s="3" t="s">
        <v>2768</v>
      </c>
      <c r="DT4" s="3" t="s">
        <v>2883</v>
      </c>
      <c r="DU4" s="3" t="s">
        <v>15593</v>
      </c>
      <c r="DV4" s="3" t="s">
        <v>2801</v>
      </c>
      <c r="DW4" s="3" t="s">
        <v>2802</v>
      </c>
      <c r="DX4" s="83" t="s">
        <v>15591</v>
      </c>
      <c r="DY4" s="83" t="s">
        <v>15613</v>
      </c>
      <c r="DZ4" s="3" t="s">
        <v>2921</v>
      </c>
      <c r="EA4" s="83" t="s">
        <v>4526</v>
      </c>
      <c r="EB4" s="60" t="s">
        <v>3778</v>
      </c>
      <c r="EC4" s="3" t="s">
        <v>3795</v>
      </c>
      <c r="ED4" s="83" t="s">
        <v>12432</v>
      </c>
      <c r="EE4" s="83" t="s">
        <v>140</v>
      </c>
      <c r="EF4" s="530" t="s">
        <v>13108</v>
      </c>
      <c r="EG4" s="356" t="str">
        <f>IF(SelectRace="Elfe","Haut Elfe","")</f>
        <v/>
      </c>
      <c r="EH4" s="83" t="str">
        <f t="shared" si="16"/>
        <v/>
      </c>
      <c r="EI4" s="83" t="str">
        <f t="shared" si="17"/>
        <v/>
      </c>
      <c r="EJ4" s="83" t="str">
        <f t="shared" si="18"/>
        <v/>
      </c>
      <c r="EK4" s="874" t="s">
        <v>9452</v>
      </c>
      <c r="EL4" s="83" t="s">
        <v>5152</v>
      </c>
      <c r="EM4" s="90" t="s">
        <v>5077</v>
      </c>
      <c r="EN4" s="83" t="s">
        <v>5152</v>
      </c>
      <c r="EO4" t="s">
        <v>5081</v>
      </c>
      <c r="EP4" s="83" t="s">
        <v>5083</v>
      </c>
      <c r="EQ4" s="77" t="str">
        <f>IF(SelectRace="Humain","La Déesse mère de l'Ancienne Foi","")</f>
        <v/>
      </c>
      <c r="ER4" s="83" t="str">
        <f t="shared" si="34"/>
        <v/>
      </c>
      <c r="ES4" s="83" t="str">
        <f t="shared" si="35"/>
        <v/>
      </c>
      <c r="ET4" s="530" t="str">
        <f t="shared" si="36"/>
        <v/>
      </c>
      <c r="EU4" s="571" t="str">
        <f>IF(Dieu="Arianka","Initié","")</f>
        <v/>
      </c>
      <c r="EV4" s="83" t="str">
        <f t="shared" si="37"/>
        <v/>
      </c>
      <c r="EW4" s="83" t="str">
        <f t="shared" si="22"/>
        <v/>
      </c>
      <c r="EX4" s="530" t="str">
        <f t="shared" si="23"/>
        <v/>
      </c>
      <c r="EZ4" s="530" t="s">
        <v>9134</v>
      </c>
      <c r="FA4" s="565" t="s">
        <v>7132</v>
      </c>
      <c r="FB4" s="83" t="s">
        <v>15441</v>
      </c>
      <c r="FC4" s="133" t="s">
        <v>14630</v>
      </c>
      <c r="FD4" s="85" t="s">
        <v>12985</v>
      </c>
      <c r="FE4" s="849">
        <v>34</v>
      </c>
      <c r="FF4">
        <v>69</v>
      </c>
      <c r="FG4">
        <v>0</v>
      </c>
      <c r="FH4">
        <v>70</v>
      </c>
      <c r="FI4">
        <v>75</v>
      </c>
      <c r="FJ4" s="10">
        <v>35</v>
      </c>
      <c r="FK4">
        <v>14</v>
      </c>
      <c r="FL4">
        <v>44</v>
      </c>
      <c r="FM4" s="165">
        <v>0</v>
      </c>
      <c r="FN4" s="88">
        <v>2</v>
      </c>
      <c r="FO4" s="88">
        <v>40</v>
      </c>
      <c r="FP4" s="164">
        <f t="shared" si="24"/>
        <v>7</v>
      </c>
      <c r="FQ4" s="164">
        <f t="shared" si="24"/>
        <v>7</v>
      </c>
      <c r="FR4" s="682">
        <v>10</v>
      </c>
      <c r="FS4" s="88">
        <v>0</v>
      </c>
      <c r="FT4" s="88">
        <v>0</v>
      </c>
      <c r="FU4" s="165">
        <v>0</v>
      </c>
      <c r="FV4" s="83" t="s">
        <v>13082</v>
      </c>
      <c r="FW4" s="83" t="s">
        <v>15444</v>
      </c>
      <c r="FX4" s="530" t="s">
        <v>9938</v>
      </c>
      <c r="FY4" s="83" t="s">
        <v>7263</v>
      </c>
      <c r="FZ4" t="s">
        <v>7280</v>
      </c>
      <c r="GA4" t="s">
        <v>7531</v>
      </c>
      <c r="GB4" t="s">
        <v>7306</v>
      </c>
      <c r="GC4" t="s">
        <v>7327</v>
      </c>
      <c r="GD4" s="83" t="s">
        <v>7364</v>
      </c>
      <c r="GE4" s="356" t="s">
        <v>319</v>
      </c>
      <c r="GF4" t="s">
        <v>8148</v>
      </c>
      <c r="GG4" s="356" t="s">
        <v>8808</v>
      </c>
      <c r="GH4" s="83" t="s">
        <v>8825</v>
      </c>
      <c r="GI4" s="83" t="s">
        <v>8813</v>
      </c>
      <c r="GJ4" s="83" t="s">
        <v>8939</v>
      </c>
      <c r="GK4" s="530">
        <f t="shared" si="25"/>
        <v>3</v>
      </c>
      <c r="GL4" s="83" t="str">
        <f>IF('page 1'!M11="Masculin","Marié",IF('page 1'!M11="Féminin","Mariée",""))</f>
        <v/>
      </c>
    </row>
    <row r="5" spans="1:198" ht="13.2" customHeight="1">
      <c r="A5" t="s">
        <v>380</v>
      </c>
      <c r="B5" s="2">
        <v>-5</v>
      </c>
      <c r="C5" s="2">
        <v>0</v>
      </c>
      <c r="D5" s="2">
        <v>-5</v>
      </c>
      <c r="E5" s="2">
        <v>0</v>
      </c>
      <c r="F5" s="2">
        <v>0.5</v>
      </c>
      <c r="H5" s="3" t="s">
        <v>14603</v>
      </c>
      <c r="I5" s="3" t="s">
        <v>14613</v>
      </c>
      <c r="J5" s="3" t="s">
        <v>785</v>
      </c>
      <c r="K5" s="3" t="s">
        <v>133</v>
      </c>
      <c r="L5" s="3" t="s">
        <v>134</v>
      </c>
      <c r="M5" s="651" t="s">
        <v>3572</v>
      </c>
      <c r="N5" s="3" t="s">
        <v>851</v>
      </c>
      <c r="O5" s="85" t="s">
        <v>12558</v>
      </c>
      <c r="P5" s="3" t="s">
        <v>12500</v>
      </c>
      <c r="Q5" s="3" t="s">
        <v>12501</v>
      </c>
      <c r="R5" s="651" t="s">
        <v>12502</v>
      </c>
      <c r="S5" s="83" t="str">
        <f>IF(CareerType=Y5,"Acolyte de Khorne",IF(AllCareers="X","Acolyte de Khorne",IF(OR(SelectRace="skaven",SelectRace="Homme-lézard"),"",IF(FirstCareer="1ère carrière","",IF(Mutant=FALSE,"","Acolyte de Khorne")))))</f>
        <v/>
      </c>
      <c r="T5" s="106">
        <f t="shared" ref="T5:T12" si="41">IF(X5="oui",0,1)</f>
        <v>1</v>
      </c>
      <c r="U5" s="693" t="str">
        <f t="shared" si="26"/>
        <v/>
      </c>
      <c r="V5" s="693" t="str">
        <f t="shared" si="27"/>
        <v/>
      </c>
      <c r="W5" s="693" t="str">
        <f t="shared" si="28"/>
        <v/>
      </c>
      <c r="X5" s="47" t="s">
        <v>2153</v>
      </c>
      <c r="Y5" s="743" t="s">
        <v>7133</v>
      </c>
      <c r="Z5" s="55" t="s">
        <v>2196</v>
      </c>
      <c r="AA5" s="47">
        <v>68</v>
      </c>
      <c r="AB5" s="47" t="s">
        <v>2914</v>
      </c>
      <c r="AC5" s="47"/>
      <c r="AD5" s="15" t="s">
        <v>100</v>
      </c>
      <c r="AE5" s="15" t="s">
        <v>149</v>
      </c>
      <c r="AF5" s="15" t="s">
        <v>98</v>
      </c>
      <c r="AG5" s="15" t="s">
        <v>101</v>
      </c>
      <c r="AH5" s="20" t="s">
        <v>114</v>
      </c>
      <c r="AI5" s="15" t="s">
        <v>149</v>
      </c>
      <c r="AJ5" s="15" t="s">
        <v>101</v>
      </c>
      <c r="AK5" s="18" t="s">
        <v>149</v>
      </c>
      <c r="AL5" s="15" t="s">
        <v>102</v>
      </c>
      <c r="AM5" s="15" t="s">
        <v>103</v>
      </c>
      <c r="AN5" s="15" t="s">
        <v>149</v>
      </c>
      <c r="AO5" s="15" t="s">
        <v>149</v>
      </c>
      <c r="AP5" s="22" t="s">
        <v>771</v>
      </c>
      <c r="AQ5" s="87" t="s">
        <v>734</v>
      </c>
      <c r="AR5" s="22" t="s">
        <v>12251</v>
      </c>
      <c r="AS5" s="87" t="s">
        <v>734</v>
      </c>
      <c r="AT5" s="22" t="s">
        <v>16640</v>
      </c>
      <c r="AU5" s="87" t="s">
        <v>5435</v>
      </c>
      <c r="AV5" s="87" t="s">
        <v>4688</v>
      </c>
      <c r="AW5" s="457">
        <v>0</v>
      </c>
      <c r="AX5" s="630" t="str">
        <f t="shared" si="38"/>
        <v/>
      </c>
      <c r="AY5" s="630" t="str">
        <f t="shared" si="39"/>
        <v/>
      </c>
      <c r="AZ5" s="630" t="str">
        <f t="shared" si="40"/>
        <v/>
      </c>
      <c r="BA5" s="83" t="s">
        <v>295</v>
      </c>
      <c r="BB5" s="83" t="s">
        <v>307</v>
      </c>
      <c r="BC5" s="83" t="s">
        <v>307</v>
      </c>
      <c r="BD5" s="83" t="str">
        <f>IF(Selectsousrace="Elu","Gris","")</f>
        <v/>
      </c>
      <c r="BE5" s="83" t="str">
        <f t="shared" si="29"/>
        <v/>
      </c>
      <c r="BF5" s="83">
        <f t="shared" si="4"/>
        <v>7</v>
      </c>
      <c r="BG5" s="83" t="str">
        <f t="shared" si="5"/>
        <v>Moucheté</v>
      </c>
      <c r="BH5" s="83" t="s">
        <v>319</v>
      </c>
      <c r="BI5" s="83" t="s">
        <v>324</v>
      </c>
      <c r="BJ5" s="83" t="s">
        <v>296</v>
      </c>
      <c r="BK5" s="83" t="s">
        <v>296</v>
      </c>
      <c r="BL5" s="3">
        <v>3</v>
      </c>
      <c r="BM5" s="3">
        <v>13</v>
      </c>
      <c r="BN5" s="643" t="s">
        <v>12320</v>
      </c>
      <c r="BO5" s="3" t="s">
        <v>320</v>
      </c>
      <c r="BP5" s="3" t="s">
        <v>312</v>
      </c>
      <c r="BQ5" s="83" t="s">
        <v>11820</v>
      </c>
      <c r="BR5" s="83" t="s">
        <v>2748</v>
      </c>
      <c r="BS5" s="83" t="s">
        <v>2748</v>
      </c>
      <c r="BT5" s="3" t="str">
        <f>IF(OR(SelectRace="Humain",SelectRace="Skaven",SelectRace="Vampire"),"Cathay","")</f>
        <v/>
      </c>
      <c r="BU5" s="83" t="str">
        <f t="shared" si="30"/>
        <v/>
      </c>
      <c r="BV5" s="83" t="str">
        <f t="shared" si="31"/>
        <v/>
      </c>
      <c r="BW5" s="83" t="str">
        <f t="shared" si="32"/>
        <v/>
      </c>
      <c r="BX5" s="3" t="str">
        <f>IF(Province="Grand comté d'Averland","Village agricole du Grand comté d'Averland","")</f>
        <v/>
      </c>
      <c r="BY5" t="str">
        <f t="shared" si="33"/>
        <v/>
      </c>
      <c r="BZ5" s="83" t="str">
        <f t="shared" si="7"/>
        <v/>
      </c>
      <c r="CA5" s="83" t="str">
        <f t="shared" si="8"/>
        <v/>
      </c>
      <c r="CB5" s="530" t="str">
        <f t="shared" si="9"/>
        <v/>
      </c>
      <c r="CC5" s="3" t="s">
        <v>3215</v>
      </c>
      <c r="CD5" s="3" t="s">
        <v>1056</v>
      </c>
      <c r="CE5" s="83" t="s">
        <v>10221</v>
      </c>
      <c r="CF5" s="557" t="s">
        <v>10207</v>
      </c>
      <c r="CG5" s="83" t="s">
        <v>10239</v>
      </c>
      <c r="CH5" s="3" t="s">
        <v>5912</v>
      </c>
      <c r="CI5" s="3" t="s">
        <v>920</v>
      </c>
      <c r="CJ5" s="3" t="s">
        <v>940</v>
      </c>
      <c r="CK5" s="83" t="s">
        <v>15120</v>
      </c>
      <c r="CL5" s="3" t="s">
        <v>6503</v>
      </c>
      <c r="CM5" s="83" t="s">
        <v>10238</v>
      </c>
      <c r="CN5" s="3" t="s">
        <v>6594</v>
      </c>
      <c r="CO5" s="83" t="str">
        <f>CONCATENATE("Alfrig",IF(AND('page 1'!M11="Féminin",Pays="Norsca"),"dottir",IF(AND('page 1'!M11="Masculin",Pays="Norsca"),"son",IF(AND('page 1'!M11="Féminin",Pays="Kislev"),"ovna",IF(AND('page 1'!M11="Masculin",Pays="Kislev"),"sky","")))))</f>
        <v>Alfrig</v>
      </c>
      <c r="CP5" s="83" t="s">
        <v>13300</v>
      </c>
      <c r="CQ5" s="83" t="s">
        <v>13364</v>
      </c>
      <c r="CR5" s="83" t="s">
        <v>13376</v>
      </c>
      <c r="CS5" s="83" t="s">
        <v>15047</v>
      </c>
      <c r="CT5" s="3" t="s">
        <v>9578</v>
      </c>
      <c r="CU5" s="35" t="str">
        <f>IF(Intro!K18="X","Savoir occulte",IF(Gestion!W116&gt;0,"Savoir occulte",IF(Gestion!W134&gt;0,"Magie mineure","")))</f>
        <v/>
      </c>
      <c r="CV5" s="35" t="str">
        <f>IF(CU5="","",ROW())</f>
        <v/>
      </c>
      <c r="CW5" s="35" t="str">
        <f t="shared" si="10"/>
        <v/>
      </c>
      <c r="CX5" s="35" t="str">
        <f t="shared" si="11"/>
        <v/>
      </c>
      <c r="CY5" s="3" t="s">
        <v>14604</v>
      </c>
      <c r="CZ5" s="3" t="s">
        <v>373</v>
      </c>
      <c r="DA5" s="3" t="s">
        <v>12586</v>
      </c>
      <c r="DB5" s="83" t="s">
        <v>12730</v>
      </c>
      <c r="DC5" s="3" t="s">
        <v>2492</v>
      </c>
      <c r="DD5" s="83" t="s">
        <v>12775</v>
      </c>
      <c r="DE5" s="3" t="s">
        <v>133</v>
      </c>
      <c r="DF5" s="3">
        <f>ROW()</f>
        <v>5</v>
      </c>
      <c r="DG5" s="3" t="s">
        <v>2678</v>
      </c>
      <c r="DH5" s="3">
        <f t="shared" si="12"/>
        <v>195</v>
      </c>
      <c r="DI5" s="3">
        <f t="shared" si="13"/>
        <v>160</v>
      </c>
      <c r="DJ5" s="3">
        <f t="shared" si="14"/>
        <v>130</v>
      </c>
      <c r="DK5" s="3">
        <f t="shared" si="15"/>
        <v>105</v>
      </c>
      <c r="DL5" s="61" t="s">
        <v>2718</v>
      </c>
      <c r="DM5" s="3" t="s">
        <v>2721</v>
      </c>
      <c r="DN5" s="83" t="s">
        <v>16325</v>
      </c>
      <c r="DO5" s="3" t="s">
        <v>2735</v>
      </c>
      <c r="DP5" s="3" t="s">
        <v>9524</v>
      </c>
      <c r="DQ5" s="83" t="s">
        <v>5255</v>
      </c>
      <c r="DR5" s="3" t="s">
        <v>2763</v>
      </c>
      <c r="DS5" s="3" t="s">
        <v>2769</v>
      </c>
      <c r="DT5" s="3" t="s">
        <v>2788</v>
      </c>
      <c r="DU5" s="3" t="s">
        <v>2799</v>
      </c>
      <c r="DV5" s="3" t="s">
        <v>2803</v>
      </c>
      <c r="DW5" s="3" t="s">
        <v>2802</v>
      </c>
      <c r="DX5" s="83" t="s">
        <v>15574</v>
      </c>
      <c r="DY5" s="83" t="s">
        <v>15612</v>
      </c>
      <c r="DZ5" s="3" t="s">
        <v>2922</v>
      </c>
      <c r="EA5" s="83" t="s">
        <v>4526</v>
      </c>
      <c r="EB5" s="60" t="s">
        <v>3779</v>
      </c>
      <c r="EC5" s="3" t="s">
        <v>3797</v>
      </c>
      <c r="ED5" s="83" t="s">
        <v>12433</v>
      </c>
      <c r="EE5" s="83" t="s">
        <v>140</v>
      </c>
      <c r="EF5" s="530" t="s">
        <v>16641</v>
      </c>
      <c r="EG5" s="356" t="str">
        <f>IF(SelectRace="Nain","Gnome","")</f>
        <v/>
      </c>
      <c r="EH5" s="83" t="str">
        <f t="shared" si="16"/>
        <v/>
      </c>
      <c r="EI5" s="83" t="str">
        <f t="shared" si="17"/>
        <v/>
      </c>
      <c r="EJ5" s="83" t="str">
        <f t="shared" si="18"/>
        <v/>
      </c>
      <c r="EK5" s="874" t="s">
        <v>12790</v>
      </c>
      <c r="EL5" s="83" t="s">
        <v>5153</v>
      </c>
      <c r="EM5" s="90" t="s">
        <v>5063</v>
      </c>
      <c r="EN5" s="83" t="s">
        <v>5152</v>
      </c>
      <c r="EO5" s="90" t="s">
        <v>5068</v>
      </c>
      <c r="EP5" s="83" t="s">
        <v>5064</v>
      </c>
      <c r="EQ5" s="481" t="str">
        <f>IF(Pays="Nippon","Saibankan",IF(Pays="Inja","Vikrishni",IF(OR(Pays="Empire",Pays="Kislev",Pays="Pays Perdu"),"Arianka","")))</f>
        <v/>
      </c>
      <c r="ER5" s="83" t="str">
        <f t="shared" si="34"/>
        <v/>
      </c>
      <c r="ES5" s="83" t="str">
        <f t="shared" si="35"/>
        <v/>
      </c>
      <c r="ET5" s="530" t="str">
        <f t="shared" si="36"/>
        <v/>
      </c>
      <c r="EU5" s="571" t="str">
        <f>IF(Dieu="Asuryan","Adepte/Croyant","")</f>
        <v/>
      </c>
      <c r="EV5" s="83" t="str">
        <f t="shared" si="37"/>
        <v/>
      </c>
      <c r="EW5" s="83" t="str">
        <f t="shared" si="22"/>
        <v/>
      </c>
      <c r="EX5" s="530" t="str">
        <f t="shared" si="23"/>
        <v/>
      </c>
      <c r="EZ5" s="531" t="s">
        <v>9182</v>
      </c>
      <c r="FA5" s="565" t="s">
        <v>7130</v>
      </c>
      <c r="FB5" s="83" t="s">
        <v>13270</v>
      </c>
      <c r="FC5" s="133" t="s">
        <v>14630</v>
      </c>
      <c r="FD5" s="85" t="s">
        <v>2196</v>
      </c>
      <c r="FE5" s="850">
        <v>120</v>
      </c>
      <c r="FF5">
        <v>33</v>
      </c>
      <c r="FG5">
        <v>0</v>
      </c>
      <c r="FH5">
        <v>52</v>
      </c>
      <c r="FI5">
        <v>43</v>
      </c>
      <c r="FJ5" s="10">
        <v>30</v>
      </c>
      <c r="FK5">
        <v>14</v>
      </c>
      <c r="FL5">
        <v>14</v>
      </c>
      <c r="FM5" s="165">
        <v>3</v>
      </c>
      <c r="FN5" s="88">
        <v>3</v>
      </c>
      <c r="FO5" s="88">
        <v>15</v>
      </c>
      <c r="FP5" s="164">
        <f t="shared" si="24"/>
        <v>5</v>
      </c>
      <c r="FQ5" s="164">
        <f t="shared" si="24"/>
        <v>4</v>
      </c>
      <c r="FR5" s="682">
        <v>4</v>
      </c>
      <c r="FS5" s="88">
        <v>0</v>
      </c>
      <c r="FT5" s="88">
        <v>0</v>
      </c>
      <c r="FU5" s="165">
        <v>0</v>
      </c>
      <c r="FV5" s="83" t="s">
        <v>13262</v>
      </c>
      <c r="FW5" s="83" t="s">
        <v>13263</v>
      </c>
      <c r="FX5" s="530" t="s">
        <v>9938</v>
      </c>
      <c r="FY5" s="83" t="s">
        <v>7264</v>
      </c>
      <c r="FZ5" t="s">
        <v>4088</v>
      </c>
      <c r="GA5" t="s">
        <v>7297</v>
      </c>
      <c r="GB5" t="s">
        <v>7305</v>
      </c>
      <c r="GC5" t="s">
        <v>7325</v>
      </c>
      <c r="GE5" s="356" t="s">
        <v>298</v>
      </c>
      <c r="GF5" t="s">
        <v>8181</v>
      </c>
      <c r="GG5" s="356" t="s">
        <v>8810</v>
      </c>
      <c r="GH5" s="83" t="s">
        <v>8825</v>
      </c>
      <c r="GI5" s="83" t="s">
        <v>8813</v>
      </c>
      <c r="GJ5" s="83" t="s">
        <v>16289</v>
      </c>
      <c r="GK5" s="530">
        <f t="shared" si="25"/>
        <v>4</v>
      </c>
      <c r="GL5" s="83" t="str">
        <f>IF('page 1'!M11="","","En couple")</f>
        <v/>
      </c>
    </row>
    <row r="6" spans="1:198" ht="13.2" customHeight="1">
      <c r="H6" s="3" t="s">
        <v>16201</v>
      </c>
      <c r="I6" s="3" t="s">
        <v>14607</v>
      </c>
      <c r="J6" s="3" t="s">
        <v>786</v>
      </c>
      <c r="K6" s="3" t="s">
        <v>133</v>
      </c>
      <c r="L6" s="3" t="s">
        <v>133</v>
      </c>
      <c r="M6" s="530" t="s">
        <v>11354</v>
      </c>
      <c r="N6" s="3" t="s">
        <v>852</v>
      </c>
      <c r="O6" s="85" t="s">
        <v>12559</v>
      </c>
      <c r="P6" s="3" t="s">
        <v>12503</v>
      </c>
      <c r="Q6" s="3" t="s">
        <v>12504</v>
      </c>
      <c r="R6" s="651" t="s">
        <v>12505</v>
      </c>
      <c r="S6" s="83" t="str">
        <f>IF(CareerType=Y6,"Acolyte de Nurgle",IF(AllCareers="X","Acolyte de Nurgle",IF(OR(SelectRace="skaven",SelectRace="Homme-lézard"),"",IF(FirstCareer="1ère carrière","",IF(Mutant=FALSE,"","Acolyte de Nurgle")))))</f>
        <v/>
      </c>
      <c r="T6" s="106">
        <f t="shared" si="41"/>
        <v>1</v>
      </c>
      <c r="U6" s="693" t="str">
        <f t="shared" si="26"/>
        <v/>
      </c>
      <c r="V6" s="693" t="str">
        <f t="shared" si="27"/>
        <v/>
      </c>
      <c r="W6" s="693" t="str">
        <f t="shared" si="28"/>
        <v/>
      </c>
      <c r="X6" s="47" t="s">
        <v>2153</v>
      </c>
      <c r="Y6" s="743" t="s">
        <v>15709</v>
      </c>
      <c r="Z6" s="55" t="s">
        <v>2196</v>
      </c>
      <c r="AA6" s="47">
        <v>72</v>
      </c>
      <c r="AB6" s="47" t="s">
        <v>2915</v>
      </c>
      <c r="AC6" s="47"/>
      <c r="AD6" s="15" t="s">
        <v>98</v>
      </c>
      <c r="AE6" s="15" t="s">
        <v>149</v>
      </c>
      <c r="AF6" s="15" t="s">
        <v>149</v>
      </c>
      <c r="AG6" s="15" t="s">
        <v>100</v>
      </c>
      <c r="AH6" s="20" t="s">
        <v>114</v>
      </c>
      <c r="AI6" s="15" t="s">
        <v>149</v>
      </c>
      <c r="AJ6" s="15" t="s">
        <v>101</v>
      </c>
      <c r="AK6" s="18" t="s">
        <v>101</v>
      </c>
      <c r="AL6" s="15" t="s">
        <v>149</v>
      </c>
      <c r="AM6" s="15" t="s">
        <v>115</v>
      </c>
      <c r="AN6" s="15" t="s">
        <v>149</v>
      </c>
      <c r="AO6" s="15" t="s">
        <v>102</v>
      </c>
      <c r="AP6" s="22" t="s">
        <v>771</v>
      </c>
      <c r="AQ6" s="87" t="s">
        <v>734</v>
      </c>
      <c r="AR6" s="22" t="s">
        <v>2197</v>
      </c>
      <c r="AS6" s="87" t="s">
        <v>734</v>
      </c>
      <c r="AT6" s="22" t="s">
        <v>3404</v>
      </c>
      <c r="AU6" s="87" t="s">
        <v>16434</v>
      </c>
      <c r="AV6" s="87" t="s">
        <v>4689</v>
      </c>
      <c r="AW6" s="457">
        <v>0</v>
      </c>
      <c r="AX6" s="630" t="str">
        <f t="shared" si="38"/>
        <v/>
      </c>
      <c r="AY6" s="630" t="str">
        <f t="shared" si="39"/>
        <v/>
      </c>
      <c r="AZ6" s="630" t="str">
        <f t="shared" si="40"/>
        <v/>
      </c>
      <c r="BA6" s="83" t="s">
        <v>985</v>
      </c>
      <c r="BB6" s="3" t="s">
        <v>991</v>
      </c>
      <c r="BC6" s="83" t="s">
        <v>991</v>
      </c>
      <c r="BD6" s="3" t="str">
        <f>IF(OR(Selectsousrace="Elu",Selectsousrace="Puissant"),"","Brun clair")</f>
        <v>Brun clair</v>
      </c>
      <c r="BE6" s="83">
        <f t="shared" si="29"/>
        <v>5</v>
      </c>
      <c r="BF6" s="83">
        <f t="shared" si="4"/>
        <v>8</v>
      </c>
      <c r="BG6" s="83" t="str">
        <f t="shared" si="5"/>
        <v>Tacheté</v>
      </c>
      <c r="BH6" s="83" t="s">
        <v>10815</v>
      </c>
      <c r="BI6" s="83"/>
      <c r="BJ6" s="83" t="s">
        <v>318</v>
      </c>
      <c r="BK6" s="83" t="s">
        <v>318</v>
      </c>
      <c r="BL6" s="3">
        <v>4</v>
      </c>
      <c r="BM6" s="3">
        <v>14</v>
      </c>
      <c r="BN6" s="3" t="s">
        <v>3108</v>
      </c>
      <c r="BO6" s="83" t="s">
        <v>7340</v>
      </c>
      <c r="BP6" s="3" t="s">
        <v>327</v>
      </c>
      <c r="BQ6" s="3" t="s">
        <v>11821</v>
      </c>
      <c r="BR6" s="83" t="s">
        <v>2737</v>
      </c>
      <c r="BS6" s="83" t="s">
        <v>16327</v>
      </c>
      <c r="BT6" s="83" t="str">
        <f>IF(OR(SelectRace="Humain",SelectRace="peau-verte",SelectRace="Créature du Chaos"),"Désolations du chaos","")</f>
        <v/>
      </c>
      <c r="BU6" s="83" t="str">
        <f t="shared" si="30"/>
        <v/>
      </c>
      <c r="BV6" s="83" t="str">
        <f t="shared" si="31"/>
        <v/>
      </c>
      <c r="BW6" s="83" t="str">
        <f t="shared" si="32"/>
        <v/>
      </c>
      <c r="BX6" s="3" t="str">
        <f>IF(Province="Grand comté d'Averland","Village pauvre du Grand comté d'Averland","")</f>
        <v/>
      </c>
      <c r="BY6" t="str">
        <f t="shared" si="33"/>
        <v/>
      </c>
      <c r="BZ6" s="83" t="str">
        <f t="shared" si="7"/>
        <v/>
      </c>
      <c r="CA6" s="83" t="str">
        <f t="shared" si="8"/>
        <v/>
      </c>
      <c r="CB6" s="530" t="str">
        <f t="shared" si="9"/>
        <v/>
      </c>
      <c r="CC6" s="3" t="s">
        <v>3217</v>
      </c>
      <c r="CD6" t="s">
        <v>3219</v>
      </c>
      <c r="CE6" s="3" t="s">
        <v>1077</v>
      </c>
      <c r="CF6" s="83" t="s">
        <v>10208</v>
      </c>
      <c r="CG6" s="3" t="s">
        <v>6133</v>
      </c>
      <c r="CH6" s="3" t="s">
        <v>5913</v>
      </c>
      <c r="CI6" s="3" t="s">
        <v>3385</v>
      </c>
      <c r="CJ6" s="83" t="s">
        <v>10199</v>
      </c>
      <c r="CK6" s="3" t="s">
        <v>6769</v>
      </c>
      <c r="CL6" s="3" t="s">
        <v>6444</v>
      </c>
      <c r="CM6" s="83" t="s">
        <v>10240</v>
      </c>
      <c r="CN6" s="3" t="s">
        <v>6609</v>
      </c>
      <c r="CO6" s="3" t="str">
        <f>CONCATENATE("Alriga",IF(AND('page 1'!M11="Féminin",Pays="Norsca"),"dottir",IF(AND('page 1'!M11="Masculin",Pays="Norsca"),"son",IF(AND('page 1'!M11="Féminin",Pays="Kislev"),"ovna",IF(AND('page 1'!M11="Masculin",Pays="Kislev"),"sky","")))))</f>
        <v>Alriga</v>
      </c>
      <c r="CP6" s="83" t="s">
        <v>13331</v>
      </c>
      <c r="CQ6" s="83" t="s">
        <v>13358</v>
      </c>
      <c r="CR6" s="83" t="s">
        <v>13377</v>
      </c>
      <c r="CS6" s="83" t="s">
        <v>15020</v>
      </c>
      <c r="CT6" s="83" t="s">
        <v>807</v>
      </c>
      <c r="CU6" s="44" t="str">
        <f>IF(Intro!K18="X","Sombres savoirs",IF(Gestion!W122&gt;0,"Sombres savoirs",IF(Gestion!W134&gt;0,"Magie mineure","")))</f>
        <v/>
      </c>
      <c r="CV6" s="35" t="str">
        <f>IF(CU6="","",ROW())</f>
        <v/>
      </c>
      <c r="CW6" s="35" t="str">
        <f t="shared" si="10"/>
        <v/>
      </c>
      <c r="CX6" s="35" t="str">
        <f t="shared" si="11"/>
        <v/>
      </c>
      <c r="CY6" s="3" t="s">
        <v>14603</v>
      </c>
      <c r="CZ6" s="3"/>
      <c r="DA6" s="3" t="s">
        <v>12587</v>
      </c>
      <c r="DB6" s="83" t="s">
        <v>12731</v>
      </c>
      <c r="DC6" s="3" t="s">
        <v>2489</v>
      </c>
      <c r="DD6" s="83" t="s">
        <v>11526</v>
      </c>
      <c r="DE6" s="3" t="s">
        <v>133</v>
      </c>
      <c r="DF6" s="3">
        <f>ROW()</f>
        <v>6</v>
      </c>
      <c r="DG6" t="s">
        <v>2680</v>
      </c>
      <c r="DH6" s="3">
        <f>IF($DG6="Artisan",400,IF($DG6="Détaillant",195,IF($DG6="Fermier",135,IF($DG6="Aubergiste",150,IF($DG6="Spécialiste",750,0)))))</f>
        <v>750</v>
      </c>
      <c r="DI6" s="3">
        <f>IF($DG6="Artisan",300,IF($DG6="Détaillant",160,IF($DG6="Fermier",115,IF($DG6="Aubergiste",135,IF($DG6="Spécialiste",565,0)))))</f>
        <v>565</v>
      </c>
      <c r="DJ6" s="3">
        <f>IF($DG6="Artisan",210,IF($DG6="Détaillant",130,IF($DG6="Fermier",95,IF($DG6="Aubergiste",120,IF($DG6="Spécialiste",380,0)))))</f>
        <v>380</v>
      </c>
      <c r="DK6" s="3">
        <f>IF($DG6="Artisan",120,IF($DG6="Détaillant",105,IF($DG6="Fermier",75,IF($DG6="Aubergiste",105,IF($DG6="Spécialiste",195,0)))))</f>
        <v>195</v>
      </c>
      <c r="DL6" s="61" t="s">
        <v>2717</v>
      </c>
      <c r="DM6" s="3" t="s">
        <v>2722</v>
      </c>
      <c r="DN6" s="83" t="s">
        <v>16342</v>
      </c>
      <c r="DO6" s="3" t="s">
        <v>2748</v>
      </c>
      <c r="DP6" s="3" t="s">
        <v>9521</v>
      </c>
      <c r="DQ6" s="3" t="s">
        <v>3080</v>
      </c>
      <c r="DR6" s="83" t="s">
        <v>5257</v>
      </c>
      <c r="DS6" s="3" t="s">
        <v>2770</v>
      </c>
      <c r="DT6" s="3" t="s">
        <v>2826</v>
      </c>
      <c r="DU6" s="3" t="s">
        <v>15076</v>
      </c>
      <c r="DV6" s="3" t="s">
        <v>2804</v>
      </c>
      <c r="DW6" s="3" t="s">
        <v>2802</v>
      </c>
      <c r="DX6" s="83" t="s">
        <v>15573</v>
      </c>
      <c r="DY6" s="83" t="s">
        <v>15616</v>
      </c>
      <c r="DZ6" s="83" t="s">
        <v>2923</v>
      </c>
      <c r="EA6" s="83" t="s">
        <v>4526</v>
      </c>
      <c r="EB6" s="60" t="s">
        <v>2696</v>
      </c>
      <c r="EC6" s="3" t="s">
        <v>3796</v>
      </c>
      <c r="ED6" s="83" t="s">
        <v>12435</v>
      </c>
      <c r="EE6" s="83" t="s">
        <v>140</v>
      </c>
      <c r="EF6" s="530" t="s">
        <v>12444</v>
      </c>
      <c r="EG6" s="356" t="str">
        <f>IF(SelectRace="Nain","du chaos","")</f>
        <v/>
      </c>
      <c r="EH6" s="83" t="str">
        <f t="shared" si="16"/>
        <v/>
      </c>
      <c r="EI6" s="83" t="str">
        <f t="shared" si="17"/>
        <v/>
      </c>
      <c r="EJ6" s="83" t="str">
        <f t="shared" si="18"/>
        <v/>
      </c>
      <c r="EK6" s="874" t="s">
        <v>9464</v>
      </c>
      <c r="EL6" s="83" t="s">
        <v>5154</v>
      </c>
      <c r="EM6" s="90" t="s">
        <v>5069</v>
      </c>
      <c r="EN6" s="83" t="s">
        <v>5152</v>
      </c>
      <c r="EO6" s="90" t="s">
        <v>5066</v>
      </c>
      <c r="EP6" s="83" t="s">
        <v>5064</v>
      </c>
      <c r="EQ6" s="564" t="str">
        <f>IF(Pays="Nippon","Zanagi et Zanami",IF(Pays="Inja","Brahmir",IF(SelectRace="Elfe","Asuryan","")))</f>
        <v/>
      </c>
      <c r="ER6" s="83" t="str">
        <f t="shared" si="34"/>
        <v/>
      </c>
      <c r="ES6" s="83" t="str">
        <f t="shared" si="35"/>
        <v/>
      </c>
      <c r="ET6" s="530" t="str">
        <f t="shared" si="36"/>
        <v/>
      </c>
      <c r="EU6" s="177" t="str">
        <f>IF(Dieu="Dazh","Initié","")</f>
        <v/>
      </c>
      <c r="EV6" s="83" t="str">
        <f t="shared" si="37"/>
        <v/>
      </c>
      <c r="EW6" s="83" t="str">
        <f t="shared" si="22"/>
        <v/>
      </c>
      <c r="EX6" s="530" t="str">
        <f t="shared" si="23"/>
        <v/>
      </c>
      <c r="EY6" s="83" t="s">
        <v>13205</v>
      </c>
      <c r="FA6" s="565" t="s">
        <v>15709</v>
      </c>
      <c r="FB6" s="83" t="s">
        <v>16376</v>
      </c>
      <c r="FC6" s="133" t="s">
        <v>14630</v>
      </c>
      <c r="FD6" s="641" t="s">
        <v>4551</v>
      </c>
      <c r="FE6" s="848" t="s">
        <v>149</v>
      </c>
      <c r="FF6">
        <v>55</v>
      </c>
      <c r="FG6">
        <v>0</v>
      </c>
      <c r="FH6">
        <v>80</v>
      </c>
      <c r="FI6">
        <v>70</v>
      </c>
      <c r="FJ6" s="10">
        <v>50</v>
      </c>
      <c r="FK6">
        <v>10</v>
      </c>
      <c r="FL6">
        <v>50</v>
      </c>
      <c r="FM6" s="165">
        <v>0</v>
      </c>
      <c r="FN6" s="88">
        <v>5</v>
      </c>
      <c r="FO6" s="88">
        <v>22</v>
      </c>
      <c r="FP6" s="691">
        <f t="shared" si="24"/>
        <v>8</v>
      </c>
      <c r="FQ6" s="691">
        <f t="shared" si="24"/>
        <v>7</v>
      </c>
      <c r="FR6" s="10">
        <v>7</v>
      </c>
      <c r="FS6" s="88">
        <v>0</v>
      </c>
      <c r="FT6" s="88">
        <v>0</v>
      </c>
      <c r="FU6" s="165">
        <v>0</v>
      </c>
      <c r="FV6" s="83" t="s">
        <v>7239</v>
      </c>
      <c r="FW6" s="83" t="s">
        <v>16377</v>
      </c>
      <c r="FX6" s="530" t="s">
        <v>9938</v>
      </c>
      <c r="FY6" s="85" t="s">
        <v>16253</v>
      </c>
      <c r="FZ6" t="s">
        <v>7276</v>
      </c>
      <c r="GA6" s="83" t="s">
        <v>7520</v>
      </c>
      <c r="GB6" t="s">
        <v>7304</v>
      </c>
      <c r="GC6" t="s">
        <v>7310</v>
      </c>
      <c r="GE6" s="356" t="s">
        <v>324</v>
      </c>
      <c r="GF6" t="s">
        <v>8162</v>
      </c>
      <c r="GG6" s="356" t="s">
        <v>7305</v>
      </c>
      <c r="GH6" s="83" t="s">
        <v>8825</v>
      </c>
      <c r="GI6" s="83" t="s">
        <v>8813</v>
      </c>
      <c r="GJ6" s="83" t="s">
        <v>8959</v>
      </c>
      <c r="GK6" s="530">
        <f t="shared" si="25"/>
        <v>5</v>
      </c>
      <c r="GL6" s="83" t="str">
        <f>IF('page 1'!M11="Masculin","Veuf",IF('page 1'!M11="Féminin","Veuve",""))</f>
        <v/>
      </c>
    </row>
    <row r="7" spans="1:198" ht="13.2" customHeight="1">
      <c r="H7" s="3" t="s">
        <v>394</v>
      </c>
      <c r="I7" s="84" t="s">
        <v>14601</v>
      </c>
      <c r="J7" s="3" t="s">
        <v>2664</v>
      </c>
      <c r="K7" s="3" t="s">
        <v>134</v>
      </c>
      <c r="L7" s="3" t="s">
        <v>135</v>
      </c>
      <c r="M7" s="651" t="s">
        <v>846</v>
      </c>
      <c r="N7" s="3" t="s">
        <v>853</v>
      </c>
      <c r="O7" s="85" t="s">
        <v>12571</v>
      </c>
      <c r="P7" s="3" t="s">
        <v>12506</v>
      </c>
      <c r="Q7" s="83" t="s">
        <v>853</v>
      </c>
      <c r="R7" s="651" t="s">
        <v>12507</v>
      </c>
      <c r="S7" s="83" t="str">
        <f>IF(CareerType=Y7,"Acolyte de Slaanesh",IF(AllCareers="X","Acolyte de Slaanesh",IF(Selectsousrace="","",IF(OR(SelectRace="skaven",SelectRace="Homme-lézard"),"",IF(FirstCareer="1ère carrière","",IF(Mutant=FALSE,"","Acolyte de Slaanesh"))))))</f>
        <v/>
      </c>
      <c r="T7" s="106">
        <f t="shared" si="41"/>
        <v>1</v>
      </c>
      <c r="U7" s="693" t="str">
        <f t="shared" si="26"/>
        <v/>
      </c>
      <c r="V7" s="693" t="str">
        <f t="shared" si="27"/>
        <v/>
      </c>
      <c r="W7" s="693" t="str">
        <f t="shared" si="28"/>
        <v/>
      </c>
      <c r="X7" s="47" t="s">
        <v>2153</v>
      </c>
      <c r="Y7" s="743" t="s">
        <v>15709</v>
      </c>
      <c r="Z7" s="55" t="s">
        <v>2196</v>
      </c>
      <c r="AA7" s="47">
        <v>75</v>
      </c>
      <c r="AB7" s="47" t="s">
        <v>2916</v>
      </c>
      <c r="AC7" s="47"/>
      <c r="AD7" s="20" t="s">
        <v>114</v>
      </c>
      <c r="AE7" s="20" t="s">
        <v>114</v>
      </c>
      <c r="AF7" s="15" t="s">
        <v>149</v>
      </c>
      <c r="AG7" s="15" t="s">
        <v>149</v>
      </c>
      <c r="AH7" s="15" t="s">
        <v>98</v>
      </c>
      <c r="AI7" s="15" t="s">
        <v>149</v>
      </c>
      <c r="AJ7" s="15" t="s">
        <v>100</v>
      </c>
      <c r="AK7" s="18" t="s">
        <v>99</v>
      </c>
      <c r="AL7" s="15" t="s">
        <v>149</v>
      </c>
      <c r="AM7" s="15" t="s">
        <v>115</v>
      </c>
      <c r="AN7" s="15" t="s">
        <v>149</v>
      </c>
      <c r="AO7" s="15" t="s">
        <v>102</v>
      </c>
      <c r="AP7" s="22" t="s">
        <v>771</v>
      </c>
      <c r="AQ7" s="87" t="s">
        <v>734</v>
      </c>
      <c r="AR7" s="22" t="s">
        <v>14845</v>
      </c>
      <c r="AS7" s="87" t="s">
        <v>734</v>
      </c>
      <c r="AT7" s="87" t="s">
        <v>14764</v>
      </c>
      <c r="AU7" s="87" t="s">
        <v>16435</v>
      </c>
      <c r="AV7" s="87" t="s">
        <v>7673</v>
      </c>
      <c r="AW7" s="457">
        <v>15</v>
      </c>
      <c r="AX7" s="630" t="str">
        <f t="shared" si="38"/>
        <v/>
      </c>
      <c r="AY7" s="630" t="str">
        <f t="shared" si="39"/>
        <v/>
      </c>
      <c r="AZ7" s="630" t="str">
        <f t="shared" si="40"/>
        <v/>
      </c>
      <c r="BA7" s="83" t="s">
        <v>329</v>
      </c>
      <c r="BB7" s="83" t="s">
        <v>985</v>
      </c>
      <c r="BC7" s="83" t="s">
        <v>985</v>
      </c>
      <c r="BD7" s="3" t="str">
        <f>IF(OR(Selectsousrace="Elu",Selectsousrace="Puissant"),"","Brunfoncé")</f>
        <v>Brunfoncé</v>
      </c>
      <c r="BE7" s="83">
        <f t="shared" si="29"/>
        <v>6</v>
      </c>
      <c r="BF7" s="83">
        <f t="shared" si="4"/>
        <v>9</v>
      </c>
      <c r="BG7" s="83" t="str">
        <f t="shared" si="5"/>
        <v>Tigré</v>
      </c>
      <c r="BH7" s="83" t="s">
        <v>296</v>
      </c>
      <c r="BI7" s="83"/>
      <c r="BJ7" s="83" t="s">
        <v>330</v>
      </c>
      <c r="BK7" s="83" t="s">
        <v>330</v>
      </c>
      <c r="BL7" s="3">
        <v>5</v>
      </c>
      <c r="BM7" s="3">
        <v>15</v>
      </c>
      <c r="BN7" s="83" t="s">
        <v>14953</v>
      </c>
      <c r="BO7" s="83" t="s">
        <v>7334</v>
      </c>
      <c r="BP7" s="3" t="s">
        <v>333</v>
      </c>
      <c r="BQ7" s="3" t="s">
        <v>11822</v>
      </c>
      <c r="BR7" s="83" t="s">
        <v>2738</v>
      </c>
      <c r="BS7" s="83" t="s">
        <v>2737</v>
      </c>
      <c r="BT7" s="3" t="str">
        <f>IF(OR(SelectRace="",SelectRace="Homme-lézard"),"","Empire")</f>
        <v/>
      </c>
      <c r="BU7" s="83" t="str">
        <f t="shared" si="30"/>
        <v/>
      </c>
      <c r="BV7" s="83" t="str">
        <f t="shared" si="31"/>
        <v/>
      </c>
      <c r="BW7" s="83" t="str">
        <f t="shared" si="32"/>
        <v/>
      </c>
      <c r="BX7" s="3" t="str">
        <f>IF(Province="Grand comté d'Averland","Petite communauté du Grand comté d'Averland","")</f>
        <v/>
      </c>
      <c r="BY7" t="str">
        <f t="shared" si="33"/>
        <v/>
      </c>
      <c r="BZ7" s="83" t="str">
        <f t="shared" si="7"/>
        <v/>
      </c>
      <c r="CA7" s="83" t="str">
        <f t="shared" si="8"/>
        <v/>
      </c>
      <c r="CB7" s="530" t="str">
        <f t="shared" si="9"/>
        <v/>
      </c>
      <c r="CC7" s="3" t="s">
        <v>1035</v>
      </c>
      <c r="CD7" t="s">
        <v>10630</v>
      </c>
      <c r="CE7" t="s">
        <v>10762</v>
      </c>
      <c r="CF7" t="s">
        <v>10757</v>
      </c>
      <c r="CG7" s="3" t="s">
        <v>6134</v>
      </c>
      <c r="CH7" s="3" t="s">
        <v>5914</v>
      </c>
      <c r="CI7" s="3" t="s">
        <v>921</v>
      </c>
      <c r="CJ7" s="3" t="s">
        <v>942</v>
      </c>
      <c r="CK7" s="3" t="s">
        <v>6811</v>
      </c>
      <c r="CL7" s="3" t="s">
        <v>6508</v>
      </c>
      <c r="CM7" s="3" t="s">
        <v>885</v>
      </c>
      <c r="CN7" s="3" t="s">
        <v>6610</v>
      </c>
      <c r="CO7" t="str">
        <f>CONCATENATE("Anders",IF(AND('page 1'!M11="Féminin",Pays="Norsca"),"dottir",IF(AND('page 1'!M11="Masculin",Pays="Norsca"),"son",IF(AND('page 1'!M11="Féminin",Pays="Kislev"),"ovna",IF(AND('page 1'!M11="Masculin",Pays="Kislev"),"sky","")))))</f>
        <v>Anders</v>
      </c>
      <c r="CP7" s="83" t="s">
        <v>13319</v>
      </c>
      <c r="CQ7" s="83" t="s">
        <v>13362</v>
      </c>
      <c r="CR7" s="83" t="s">
        <v>13378</v>
      </c>
      <c r="CS7" s="3" t="s">
        <v>11105</v>
      </c>
      <c r="CT7" s="177" t="s">
        <v>15031</v>
      </c>
      <c r="CU7" s="35" t="str">
        <f>IF(Intro!K18="X","Runes",IF(Gestion!W109&gt;0,"Runes",""))</f>
        <v/>
      </c>
      <c r="CV7" s="35" t="str">
        <f t="shared" ref="CV7:CV8" si="42">IF(CU7="","",ROW())</f>
        <v/>
      </c>
      <c r="CW7" s="35" t="str">
        <f t="shared" si="10"/>
        <v/>
      </c>
      <c r="CX7" s="35" t="str">
        <f t="shared" si="11"/>
        <v/>
      </c>
      <c r="CY7" s="3" t="s">
        <v>16201</v>
      </c>
      <c r="CZ7" s="3"/>
      <c r="DA7" s="3" t="s">
        <v>12588</v>
      </c>
      <c r="DB7" s="83" t="s">
        <v>12589</v>
      </c>
      <c r="DC7" s="3" t="s">
        <v>2496</v>
      </c>
      <c r="DD7" s="3" t="s">
        <v>2674</v>
      </c>
      <c r="DE7" s="3" t="s">
        <v>132</v>
      </c>
      <c r="DF7" s="3">
        <f>ROW()</f>
        <v>7</v>
      </c>
      <c r="DG7" s="3" t="s">
        <v>2678</v>
      </c>
      <c r="DH7" s="3">
        <f t="shared" si="12"/>
        <v>195</v>
      </c>
      <c r="DI7" s="3">
        <f t="shared" si="13"/>
        <v>160</v>
      </c>
      <c r="DJ7" s="3">
        <f t="shared" si="14"/>
        <v>130</v>
      </c>
      <c r="DK7" s="3">
        <f t="shared" si="15"/>
        <v>105</v>
      </c>
      <c r="DL7" s="61" t="s">
        <v>2452</v>
      </c>
      <c r="DM7" s="83" t="s">
        <v>5418</v>
      </c>
      <c r="DN7" s="83" t="s">
        <v>16313</v>
      </c>
      <c r="DO7" s="83" t="s">
        <v>11311</v>
      </c>
      <c r="DP7" s="3" t="s">
        <v>9522</v>
      </c>
      <c r="DQ7" s="83" t="s">
        <v>5252</v>
      </c>
      <c r="DR7" s="3" t="s">
        <v>3085</v>
      </c>
      <c r="DS7" s="3" t="s">
        <v>2771</v>
      </c>
      <c r="DT7" s="3" t="s">
        <v>2834</v>
      </c>
      <c r="DU7" s="83" t="s">
        <v>4878</v>
      </c>
      <c r="DV7" s="83" t="s">
        <v>16668</v>
      </c>
      <c r="DW7" s="83" t="s">
        <v>16670</v>
      </c>
      <c r="DX7" s="83" t="s">
        <v>15581</v>
      </c>
      <c r="DY7" s="83" t="s">
        <v>15600</v>
      </c>
      <c r="DZ7" s="3" t="s">
        <v>2924</v>
      </c>
      <c r="EA7" s="83" t="s">
        <v>4526</v>
      </c>
      <c r="EB7" s="60" t="s">
        <v>2697</v>
      </c>
      <c r="EC7" s="83" t="s">
        <v>9922</v>
      </c>
      <c r="ED7" s="83" t="s">
        <v>12436</v>
      </c>
      <c r="EE7" s="83" t="s">
        <v>140</v>
      </c>
      <c r="EF7" s="530" t="s">
        <v>13109</v>
      </c>
      <c r="EG7" s="356" t="str">
        <f>IF(OR(SelectRace="Nain",SelectRace="Halfling",SelectRace="Elfe",SelectRace="peau-verte"),"Demi-humain","")</f>
        <v/>
      </c>
      <c r="EH7" s="83" t="str">
        <f t="shared" si="16"/>
        <v/>
      </c>
      <c r="EI7" s="83" t="str">
        <f t="shared" si="17"/>
        <v/>
      </c>
      <c r="EJ7" s="83" t="str">
        <f t="shared" si="18"/>
        <v/>
      </c>
      <c r="EK7" s="874" t="s">
        <v>9181</v>
      </c>
      <c r="EL7" s="83" t="s">
        <v>5015</v>
      </c>
      <c r="EM7" s="90" t="s">
        <v>5071</v>
      </c>
      <c r="EN7" s="83" t="s">
        <v>5152</v>
      </c>
      <c r="EO7" t="s">
        <v>5060</v>
      </c>
      <c r="EP7" s="83" t="s">
        <v>5064</v>
      </c>
      <c r="EQ7" s="564" t="s">
        <v>10843</v>
      </c>
      <c r="ER7" s="83">
        <f t="shared" si="34"/>
        <v>7</v>
      </c>
      <c r="ES7" s="83" t="str">
        <f t="shared" si="35"/>
        <v/>
      </c>
      <c r="ET7" s="530" t="str">
        <f t="shared" si="36"/>
        <v/>
      </c>
      <c r="EU7" s="177" t="str">
        <f>IF(Dieu="Dazh","Prêtre","")</f>
        <v/>
      </c>
      <c r="EV7" s="83" t="str">
        <f t="shared" si="37"/>
        <v/>
      </c>
      <c r="EW7" s="83" t="str">
        <f t="shared" si="22"/>
        <v/>
      </c>
      <c r="EX7" s="530" t="str">
        <f t="shared" si="23"/>
        <v/>
      </c>
      <c r="EZ7" s="530" t="s">
        <v>9135</v>
      </c>
      <c r="FA7" s="565" t="s">
        <v>7134</v>
      </c>
      <c r="FB7" s="83" t="s">
        <v>14634</v>
      </c>
      <c r="FC7" s="133" t="s">
        <v>14630</v>
      </c>
      <c r="FD7" s="641" t="s">
        <v>4551</v>
      </c>
      <c r="FE7" s="848" t="s">
        <v>149</v>
      </c>
      <c r="FF7">
        <v>40</v>
      </c>
      <c r="FG7">
        <v>0</v>
      </c>
      <c r="FH7">
        <v>40</v>
      </c>
      <c r="FI7">
        <v>40</v>
      </c>
      <c r="FJ7" s="10">
        <v>40</v>
      </c>
      <c r="FK7">
        <v>40</v>
      </c>
      <c r="FL7">
        <v>80</v>
      </c>
      <c r="FM7" s="165">
        <v>0</v>
      </c>
      <c r="FN7" s="88">
        <v>2</v>
      </c>
      <c r="FO7" s="88">
        <v>10</v>
      </c>
      <c r="FP7" s="691">
        <f>ROUNDDOWN(FH7/10,0)</f>
        <v>4</v>
      </c>
      <c r="FQ7" s="164">
        <f>ROUNDDOWN(FI7/10,0)</f>
        <v>4</v>
      </c>
      <c r="FR7" s="682">
        <v>5</v>
      </c>
      <c r="FS7" s="88">
        <v>0</v>
      </c>
      <c r="FT7" s="88">
        <v>0</v>
      </c>
      <c r="FU7" s="165">
        <v>0</v>
      </c>
      <c r="FV7" s="83" t="s">
        <v>7239</v>
      </c>
      <c r="FW7" s="83" t="s">
        <v>7250</v>
      </c>
      <c r="FX7" s="567" t="s">
        <v>9938</v>
      </c>
      <c r="FZ7" t="s">
        <v>7281</v>
      </c>
      <c r="GA7" t="s">
        <v>7448</v>
      </c>
      <c r="GC7" s="3" t="s">
        <v>320</v>
      </c>
      <c r="GE7" s="356" t="s">
        <v>318</v>
      </c>
      <c r="GF7" t="s">
        <v>8158</v>
      </c>
      <c r="GG7" s="356" t="s">
        <v>8812</v>
      </c>
      <c r="GH7" s="83" t="s">
        <v>8825</v>
      </c>
      <c r="GI7" s="83" t="s">
        <v>8813</v>
      </c>
      <c r="GJ7" s="83" t="s">
        <v>8989</v>
      </c>
      <c r="GK7" s="530">
        <f t="shared" si="25"/>
        <v>6</v>
      </c>
      <c r="GL7" t="str">
        <f>IF('page 1'!M11="Masculin","Répudié/ Divorcé",IF('page 1'!M11="Féminin","Répudiée/ Divorcée",""))</f>
        <v/>
      </c>
    </row>
    <row r="8" spans="1:198" ht="13.2" customHeight="1">
      <c r="A8" s="5" t="s">
        <v>2571</v>
      </c>
      <c r="H8" s="3" t="s">
        <v>395</v>
      </c>
      <c r="I8" s="6" t="s">
        <v>58</v>
      </c>
      <c r="J8" s="3" t="s">
        <v>823</v>
      </c>
      <c r="K8" s="3" t="s">
        <v>132</v>
      </c>
      <c r="L8" s="3"/>
      <c r="M8" s="651" t="s">
        <v>847</v>
      </c>
      <c r="N8" s="3" t="s">
        <v>854</v>
      </c>
      <c r="O8" s="85" t="s">
        <v>12560</v>
      </c>
      <c r="P8" s="3" t="s">
        <v>12508</v>
      </c>
      <c r="Q8" s="83" t="s">
        <v>12549</v>
      </c>
      <c r="R8" s="651" t="s">
        <v>12509</v>
      </c>
      <c r="S8" s="83" t="str">
        <f>IF(CareerType=Y8,"Acolyte de Tzeentch",IF(AllCareers="X","Acolyte de Tzeentch",IF(Selectsousrace="","",IF(OR(SelectRace="skaven",SelectRace="Homme-lézard"),"",IF(FirstCareer="1ère carrière","",IF(Mutant=FALSE,"","Acolyte de Tzeentch"))))))</f>
        <v/>
      </c>
      <c r="T8" s="106">
        <f t="shared" si="41"/>
        <v>1</v>
      </c>
      <c r="U8" s="693" t="str">
        <f t="shared" si="26"/>
        <v/>
      </c>
      <c r="V8" s="693" t="str">
        <f t="shared" si="27"/>
        <v/>
      </c>
      <c r="W8" s="693" t="str">
        <f t="shared" si="28"/>
        <v/>
      </c>
      <c r="X8" s="47" t="s">
        <v>2153</v>
      </c>
      <c r="Y8" s="743" t="s">
        <v>15709</v>
      </c>
      <c r="Z8" s="55" t="s">
        <v>2196</v>
      </c>
      <c r="AA8" s="47">
        <v>79</v>
      </c>
      <c r="AB8" s="47" t="s">
        <v>2917</v>
      </c>
      <c r="AC8" s="47"/>
      <c r="AD8" s="20" t="s">
        <v>114</v>
      </c>
      <c r="AE8" s="20" t="s">
        <v>114</v>
      </c>
      <c r="AF8" s="15" t="s">
        <v>149</v>
      </c>
      <c r="AG8" s="15" t="s">
        <v>149</v>
      </c>
      <c r="AH8" s="20" t="s">
        <v>114</v>
      </c>
      <c r="AI8" s="15" t="s">
        <v>100</v>
      </c>
      <c r="AJ8" s="15" t="s">
        <v>98</v>
      </c>
      <c r="AK8" s="18" t="s">
        <v>100</v>
      </c>
      <c r="AL8" s="15" t="s">
        <v>149</v>
      </c>
      <c r="AM8" s="15" t="s">
        <v>115</v>
      </c>
      <c r="AN8" s="15" t="s">
        <v>149</v>
      </c>
      <c r="AO8" s="15" t="s">
        <v>102</v>
      </c>
      <c r="AP8" s="87" t="s">
        <v>10115</v>
      </c>
      <c r="AQ8" s="87" t="s">
        <v>734</v>
      </c>
      <c r="AR8" s="22" t="s">
        <v>14846</v>
      </c>
      <c r="AS8" s="87" t="s">
        <v>734</v>
      </c>
      <c r="AT8" s="22" t="s">
        <v>3405</v>
      </c>
      <c r="AU8" s="87" t="s">
        <v>16436</v>
      </c>
      <c r="AV8" s="87" t="s">
        <v>4691</v>
      </c>
      <c r="AW8" s="457">
        <v>0</v>
      </c>
      <c r="AX8" s="630" t="str">
        <f t="shared" si="38"/>
        <v/>
      </c>
      <c r="AY8" s="630" t="str">
        <f t="shared" si="39"/>
        <v/>
      </c>
      <c r="AZ8" s="630" t="str">
        <f t="shared" si="40"/>
        <v/>
      </c>
      <c r="BA8" s="83" t="s">
        <v>1003</v>
      </c>
      <c r="BB8" s="83" t="s">
        <v>329</v>
      </c>
      <c r="BC8" s="83" t="s">
        <v>329</v>
      </c>
      <c r="BD8" s="3" t="str">
        <f>IF(OR(Selectsousrace="Elu",Selectsousrace="Puissant"),"","Moucheté")</f>
        <v>Moucheté</v>
      </c>
      <c r="BE8" s="83">
        <f t="shared" si="29"/>
        <v>7</v>
      </c>
      <c r="BF8" s="83" t="str">
        <f t="shared" si="4"/>
        <v/>
      </c>
      <c r="BG8" s="83" t="str">
        <f t="shared" si="5"/>
        <v/>
      </c>
      <c r="BH8" s="83" t="s">
        <v>992</v>
      </c>
      <c r="BI8" s="83"/>
      <c r="BJ8" s="83" t="s">
        <v>992</v>
      </c>
      <c r="BK8" s="83" t="s">
        <v>992</v>
      </c>
      <c r="BL8" s="3">
        <v>6</v>
      </c>
      <c r="BM8" s="3">
        <v>16</v>
      </c>
      <c r="BN8" s="83" t="s">
        <v>14963</v>
      </c>
      <c r="BO8" s="83" t="s">
        <v>10808</v>
      </c>
      <c r="BP8" s="3" t="s">
        <v>988</v>
      </c>
      <c r="BQ8" s="3" t="s">
        <v>2733</v>
      </c>
      <c r="BR8" s="83" t="s">
        <v>13219</v>
      </c>
      <c r="BS8" s="83" t="s">
        <v>2738</v>
      </c>
      <c r="BT8" s="3" t="str">
        <f>IF(OR(SelectRace="",SelectRace="Homme-lézard"),"","Estalie")</f>
        <v/>
      </c>
      <c r="BU8" s="83" t="str">
        <f t="shared" si="30"/>
        <v/>
      </c>
      <c r="BV8" s="83" t="str">
        <f t="shared" si="31"/>
        <v/>
      </c>
      <c r="BW8" s="83" t="str">
        <f t="shared" si="32"/>
        <v/>
      </c>
      <c r="BX8" s="3" t="str">
        <f>IF(Province="Grand comté d'Averland","Ferme (élevage) du Grand comté d'Averland","")</f>
        <v/>
      </c>
      <c r="BY8" t="str">
        <f t="shared" si="33"/>
        <v/>
      </c>
      <c r="BZ8" s="83" t="str">
        <f t="shared" si="7"/>
        <v/>
      </c>
      <c r="CA8" s="83" t="str">
        <f t="shared" si="8"/>
        <v/>
      </c>
      <c r="CB8" s="530" t="str">
        <f t="shared" si="9"/>
        <v/>
      </c>
      <c r="CC8" s="3" t="s">
        <v>3218</v>
      </c>
      <c r="CD8" t="s">
        <v>10632</v>
      </c>
      <c r="CE8" s="83" t="s">
        <v>10222</v>
      </c>
      <c r="CF8" s="3" t="s">
        <v>10755</v>
      </c>
      <c r="CG8" s="3" t="s">
        <v>6135</v>
      </c>
      <c r="CH8" s="3" t="s">
        <v>5915</v>
      </c>
      <c r="CI8" s="83" t="s">
        <v>15075</v>
      </c>
      <c r="CJ8" s="3" t="s">
        <v>943</v>
      </c>
      <c r="CK8" s="3" t="s">
        <v>6723</v>
      </c>
      <c r="CL8" s="3" t="s">
        <v>6486</v>
      </c>
      <c r="CM8" s="83" t="s">
        <v>10241</v>
      </c>
      <c r="CN8" s="3" t="s">
        <v>6574</v>
      </c>
      <c r="CO8" s="3" t="s">
        <v>10883</v>
      </c>
      <c r="CP8" s="83" t="s">
        <v>13317</v>
      </c>
      <c r="CQ8" s="83" t="s">
        <v>13336</v>
      </c>
      <c r="CR8" s="83" t="s">
        <v>13379</v>
      </c>
      <c r="CS8" s="83" t="s">
        <v>11102</v>
      </c>
      <c r="CT8" s="177" t="s">
        <v>2849</v>
      </c>
      <c r="CU8" s="35" t="str">
        <f>IF(Intro!K18="X","Runes Majeures",IF(Gestion!W110&gt;0,"Runes Majeures",""))</f>
        <v/>
      </c>
      <c r="CV8" s="35" t="str">
        <f t="shared" si="42"/>
        <v/>
      </c>
      <c r="CW8" s="35" t="str">
        <f t="shared" si="10"/>
        <v/>
      </c>
      <c r="CX8" s="35" t="str">
        <f t="shared" si="11"/>
        <v/>
      </c>
      <c r="CY8" s="3" t="s">
        <v>394</v>
      </c>
      <c r="CZ8" s="3"/>
      <c r="DA8" s="83" t="s">
        <v>12590</v>
      </c>
      <c r="DB8" s="83" t="s">
        <v>12591</v>
      </c>
      <c r="DC8" s="3" t="s">
        <v>2491</v>
      </c>
      <c r="DD8" s="3" t="s">
        <v>2713</v>
      </c>
      <c r="DE8" s="3" t="s">
        <v>132</v>
      </c>
      <c r="DF8" s="3">
        <f>ROW()</f>
        <v>8</v>
      </c>
      <c r="DG8" s="3" t="s">
        <v>2680</v>
      </c>
      <c r="DH8" s="3">
        <f t="shared" si="12"/>
        <v>750</v>
      </c>
      <c r="DI8" s="3">
        <f t="shared" si="13"/>
        <v>565</v>
      </c>
      <c r="DJ8" s="3">
        <f t="shared" si="14"/>
        <v>380</v>
      </c>
      <c r="DK8" s="3">
        <f t="shared" si="15"/>
        <v>195</v>
      </c>
      <c r="DL8" s="3"/>
      <c r="DM8" s="83" t="s">
        <v>12242</v>
      </c>
      <c r="DN8" s="83" t="s">
        <v>16315</v>
      </c>
      <c r="DO8" s="83" t="s">
        <v>11343</v>
      </c>
      <c r="DP8" s="3" t="s">
        <v>9523</v>
      </c>
      <c r="DQ8" s="83" t="s">
        <v>5256</v>
      </c>
      <c r="DR8" s="3" t="s">
        <v>2765</v>
      </c>
      <c r="DS8" s="3" t="s">
        <v>2772</v>
      </c>
      <c r="DT8" s="83" t="s">
        <v>16617</v>
      </c>
      <c r="DU8" s="562" t="s">
        <v>4551</v>
      </c>
      <c r="DV8" s="83" t="s">
        <v>4508</v>
      </c>
      <c r="DW8" s="83" t="s">
        <v>4509</v>
      </c>
      <c r="DX8" s="83" t="s">
        <v>15582</v>
      </c>
      <c r="DY8" s="83" t="s">
        <v>15609</v>
      </c>
      <c r="DZ8" s="3" t="s">
        <v>2925</v>
      </c>
      <c r="EA8" s="83" t="s">
        <v>4526</v>
      </c>
      <c r="EB8" s="60" t="s">
        <v>2700</v>
      </c>
      <c r="EC8" s="3" t="s">
        <v>3798</v>
      </c>
      <c r="ED8" s="83" t="s">
        <v>12439</v>
      </c>
      <c r="EE8" s="83" t="s">
        <v>140</v>
      </c>
      <c r="EF8" s="530" t="s">
        <v>13110</v>
      </c>
      <c r="EG8" s="356" t="str">
        <f>IF(OR(SelectRace="Humain",SelectRace="Halfling"),"Demi-elfe","")</f>
        <v/>
      </c>
      <c r="EH8" s="83" t="str">
        <f t="shared" si="16"/>
        <v/>
      </c>
      <c r="EI8" s="83" t="str">
        <f t="shared" si="17"/>
        <v/>
      </c>
      <c r="EJ8" s="83" t="str">
        <f t="shared" si="18"/>
        <v/>
      </c>
      <c r="EK8" s="874" t="s">
        <v>9176</v>
      </c>
      <c r="EL8" s="83" t="s">
        <v>4978</v>
      </c>
      <c r="EM8" s="90" t="s">
        <v>5070</v>
      </c>
      <c r="EN8" s="83" t="s">
        <v>5152</v>
      </c>
      <c r="EO8" s="90" t="s">
        <v>5072</v>
      </c>
      <c r="EP8" s="83" t="s">
        <v>5064</v>
      </c>
      <c r="EQ8" s="77" t="str">
        <f>IF(OR(Pays="Lustrie",Pays="Terres du Sud"),"Caxuatn","")</f>
        <v/>
      </c>
      <c r="ER8" s="83" t="str">
        <f t="shared" si="34"/>
        <v/>
      </c>
      <c r="ES8" s="83" t="str">
        <f t="shared" si="35"/>
        <v/>
      </c>
      <c r="ET8" s="530" t="str">
        <f t="shared" si="36"/>
        <v/>
      </c>
      <c r="EU8" s="177" t="str">
        <f>IF(Dieu="Djaf/Usirian","Initié","")</f>
        <v/>
      </c>
      <c r="EV8" s="83" t="str">
        <f t="shared" si="37"/>
        <v/>
      </c>
      <c r="EW8" s="83" t="str">
        <f t="shared" si="22"/>
        <v/>
      </c>
      <c r="EX8" s="530" t="str">
        <f t="shared" si="23"/>
        <v/>
      </c>
      <c r="EZ8" s="530" t="s">
        <v>9641</v>
      </c>
      <c r="FB8" s="83" t="s">
        <v>16251</v>
      </c>
      <c r="FC8" s="133" t="s">
        <v>14630</v>
      </c>
      <c r="FD8" s="85" t="s">
        <v>2196</v>
      </c>
      <c r="FE8" s="849">
        <v>120</v>
      </c>
      <c r="FF8">
        <v>41</v>
      </c>
      <c r="FG8">
        <v>0</v>
      </c>
      <c r="FH8">
        <v>66</v>
      </c>
      <c r="FI8">
        <v>66</v>
      </c>
      <c r="FJ8" s="10">
        <v>33</v>
      </c>
      <c r="FK8">
        <v>14</v>
      </c>
      <c r="FL8">
        <v>74</v>
      </c>
      <c r="FM8" s="165">
        <v>12</v>
      </c>
      <c r="FN8" s="88">
        <v>6</v>
      </c>
      <c r="FO8" s="88">
        <v>41</v>
      </c>
      <c r="FP8" s="691">
        <v>6</v>
      </c>
      <c r="FQ8" s="691">
        <f t="shared" ref="FQ8:FQ39" si="43">ROUNDDOWN(FI8/10,0)</f>
        <v>6</v>
      </c>
      <c r="FR8" s="683" t="s">
        <v>13278</v>
      </c>
      <c r="FS8" s="88">
        <v>0</v>
      </c>
      <c r="FT8" s="88">
        <v>0</v>
      </c>
      <c r="FU8" s="165">
        <v>0</v>
      </c>
      <c r="FV8" s="83" t="s">
        <v>13279</v>
      </c>
      <c r="FW8" s="83" t="s">
        <v>14715</v>
      </c>
      <c r="FX8" s="530" t="s">
        <v>9938</v>
      </c>
      <c r="FZ8" t="s">
        <v>7279</v>
      </c>
      <c r="GA8" s="83" t="s">
        <v>7598</v>
      </c>
      <c r="GC8" t="s">
        <v>7320</v>
      </c>
      <c r="GE8" s="356" t="s">
        <v>330</v>
      </c>
      <c r="GF8" t="s">
        <v>7674</v>
      </c>
      <c r="GG8" s="356" t="s">
        <v>5117</v>
      </c>
      <c r="GH8" s="83" t="s">
        <v>8825</v>
      </c>
      <c r="GI8" s="83" t="s">
        <v>8813</v>
      </c>
      <c r="GJ8" s="83" t="s">
        <v>8979</v>
      </c>
      <c r="GK8" s="530">
        <f t="shared" si="25"/>
        <v>7</v>
      </c>
    </row>
    <row r="9" spans="1:198" ht="13.2" customHeight="1">
      <c r="A9" s="83" t="s">
        <v>141</v>
      </c>
      <c r="H9" s="3" t="s">
        <v>2780</v>
      </c>
      <c r="I9" s="6" t="s">
        <v>2781</v>
      </c>
      <c r="J9" s="3" t="s">
        <v>824</v>
      </c>
      <c r="K9" s="3" t="s">
        <v>135</v>
      </c>
      <c r="L9" s="3"/>
      <c r="M9" s="530" t="s">
        <v>11772</v>
      </c>
      <c r="N9" s="3" t="s">
        <v>855</v>
      </c>
      <c r="O9" s="85" t="s">
        <v>12561</v>
      </c>
      <c r="P9" s="3" t="s">
        <v>12510</v>
      </c>
      <c r="Q9" s="3" t="s">
        <v>12511</v>
      </c>
      <c r="R9" s="651" t="s">
        <v>12512</v>
      </c>
      <c r="S9" s="83" t="str">
        <f>IF(CareerType=Y9,"Agent du Suaire",IF(AllCareers="X","Agent du Suaire",IF(OR(Selectsousrace="",SelectRace="skaven",SelectRace="homme-bête",SelectRace="peau-verte",SelectRace="créature du chaos",SelectRace="Homme-lézard",SelectRace="Vampire",SelectRace="Homme-lézard",),"",IF(FirstCareer="1ère carrière","","Agent du Suaire"))))</f>
        <v/>
      </c>
      <c r="T9" s="106">
        <f t="shared" si="41"/>
        <v>1</v>
      </c>
      <c r="U9" s="693" t="str">
        <f t="shared" si="26"/>
        <v/>
      </c>
      <c r="V9" s="693" t="str">
        <f t="shared" si="27"/>
        <v/>
      </c>
      <c r="W9" s="693" t="str">
        <f t="shared" si="28"/>
        <v/>
      </c>
      <c r="X9" s="47" t="s">
        <v>2153</v>
      </c>
      <c r="Y9" s="743" t="s">
        <v>7134</v>
      </c>
      <c r="Z9" s="55" t="s">
        <v>2198</v>
      </c>
      <c r="AA9" s="47">
        <v>91</v>
      </c>
      <c r="AB9" s="47" t="s">
        <v>2199</v>
      </c>
      <c r="AC9" s="47">
        <v>8</v>
      </c>
      <c r="AD9" s="15" t="s">
        <v>101</v>
      </c>
      <c r="AE9" s="15" t="s">
        <v>98</v>
      </c>
      <c r="AF9" s="15" t="s">
        <v>98</v>
      </c>
      <c r="AG9" s="15" t="s">
        <v>98</v>
      </c>
      <c r="AH9" s="15" t="s">
        <v>100</v>
      </c>
      <c r="AI9" s="15" t="s">
        <v>100</v>
      </c>
      <c r="AJ9" s="15" t="s">
        <v>116</v>
      </c>
      <c r="AK9" s="18" t="s">
        <v>98</v>
      </c>
      <c r="AL9" s="15" t="s">
        <v>102</v>
      </c>
      <c r="AM9" s="15" t="s">
        <v>103</v>
      </c>
      <c r="AN9" s="15" t="s">
        <v>149</v>
      </c>
      <c r="AO9" s="15" t="s">
        <v>149</v>
      </c>
      <c r="AP9" s="22" t="s">
        <v>3780</v>
      </c>
      <c r="AQ9" s="87" t="s">
        <v>734</v>
      </c>
      <c r="AR9" s="22" t="s">
        <v>3781</v>
      </c>
      <c r="AS9" s="87" t="s">
        <v>734</v>
      </c>
      <c r="AT9" s="22" t="s">
        <v>3406</v>
      </c>
      <c r="AU9" s="87" t="s">
        <v>5469</v>
      </c>
      <c r="AV9" s="87" t="s">
        <v>4692</v>
      </c>
      <c r="AW9" s="457">
        <v>0</v>
      </c>
      <c r="AX9" s="630" t="str">
        <f t="shared" si="38"/>
        <v/>
      </c>
      <c r="AY9" s="630" t="str">
        <f t="shared" si="39"/>
        <v/>
      </c>
      <c r="AZ9" s="630" t="str">
        <f t="shared" si="40"/>
        <v/>
      </c>
      <c r="BA9" s="87" t="s">
        <v>306</v>
      </c>
      <c r="BB9" s="87" t="s">
        <v>3114</v>
      </c>
      <c r="BC9" s="87" t="s">
        <v>3114</v>
      </c>
      <c r="BD9" s="3" t="str">
        <f>IF(OR(Selectsousrace="Elu",Selectsousrace="Puissant"),"","Tacheté")</f>
        <v>Tacheté</v>
      </c>
      <c r="BE9" s="83">
        <f t="shared" si="29"/>
        <v>8</v>
      </c>
      <c r="BF9" s="83" t="str">
        <f t="shared" si="4"/>
        <v/>
      </c>
      <c r="BG9" s="83" t="str">
        <f t="shared" si="5"/>
        <v/>
      </c>
      <c r="BH9" s="83" t="s">
        <v>10813</v>
      </c>
      <c r="BI9" s="83"/>
      <c r="BJ9" s="83" t="s">
        <v>1003</v>
      </c>
      <c r="BK9" s="83" t="s">
        <v>1003</v>
      </c>
      <c r="BL9" s="3">
        <v>7</v>
      </c>
      <c r="BM9" s="3">
        <v>17</v>
      </c>
      <c r="BN9" s="3"/>
      <c r="BO9" s="83" t="s">
        <v>2929</v>
      </c>
      <c r="BP9" s="3" t="s">
        <v>994</v>
      </c>
      <c r="BQ9" s="83" t="s">
        <v>11823</v>
      </c>
      <c r="BR9" s="83" t="s">
        <v>2740</v>
      </c>
      <c r="BS9" s="83" t="s">
        <v>13219</v>
      </c>
      <c r="BT9" s="83" t="str">
        <f>IF(OR(SelectRace="",SelectRace="Homme-lézard",SelectRace="Créature du Chaos"),"","Inja")</f>
        <v/>
      </c>
      <c r="BU9" s="83" t="str">
        <f t="shared" si="30"/>
        <v/>
      </c>
      <c r="BV9" s="83" t="str">
        <f t="shared" si="31"/>
        <v/>
      </c>
      <c r="BW9" s="83" t="str">
        <f t="shared" si="32"/>
        <v/>
      </c>
      <c r="BX9" s="3" t="str">
        <f>IF(Province="Grand comté d'Averland","Ferme (culture) du Grand comté d'Averland","")</f>
        <v/>
      </c>
      <c r="BY9" t="str">
        <f t="shared" si="33"/>
        <v/>
      </c>
      <c r="BZ9" s="83" t="str">
        <f t="shared" si="7"/>
        <v/>
      </c>
      <c r="CA9" s="83" t="str">
        <f t="shared" si="8"/>
        <v/>
      </c>
      <c r="CB9" s="530" t="str">
        <f t="shared" si="9"/>
        <v/>
      </c>
      <c r="CC9" s="3" t="s">
        <v>3219</v>
      </c>
      <c r="CD9" t="s">
        <v>10631</v>
      </c>
      <c r="CE9" s="83" t="s">
        <v>15099</v>
      </c>
      <c r="CF9" s="3" t="s">
        <v>1096</v>
      </c>
      <c r="CG9" s="3" t="s">
        <v>3133</v>
      </c>
      <c r="CH9" s="3" t="s">
        <v>5917</v>
      </c>
      <c r="CI9" s="3" t="s">
        <v>922</v>
      </c>
      <c r="CJ9" s="3" t="s">
        <v>944</v>
      </c>
      <c r="CK9" s="3" t="s">
        <v>6768</v>
      </c>
      <c r="CL9" s="3" t="s">
        <v>6480</v>
      </c>
      <c r="CM9" s="3" t="s">
        <v>6617</v>
      </c>
      <c r="CN9" s="3" t="s">
        <v>6535</v>
      </c>
      <c r="CO9" s="3" t="s">
        <v>10886</v>
      </c>
      <c r="CP9" s="83" t="s">
        <v>13318</v>
      </c>
      <c r="CQ9" s="83" t="s">
        <v>13340</v>
      </c>
      <c r="CR9" s="83" t="s">
        <v>13380</v>
      </c>
      <c r="CS9" s="83" t="s">
        <v>11106</v>
      </c>
      <c r="CT9" s="136" t="s">
        <v>79</v>
      </c>
      <c r="CU9" s="177" t="str">
        <f>IF(Intro!K18="X","Runes Perdues",IF(Gestion!W111&gt;0,"Runes Perdues",""))</f>
        <v/>
      </c>
      <c r="CV9" s="35" t="str">
        <f t="shared" ref="CV9:CV13" si="44">IF(CU9="","",ROW())</f>
        <v/>
      </c>
      <c r="CW9" s="35" t="str">
        <f t="shared" si="10"/>
        <v/>
      </c>
      <c r="CX9" s="35" t="str">
        <f t="shared" si="11"/>
        <v/>
      </c>
      <c r="CY9" s="3" t="s">
        <v>395</v>
      </c>
      <c r="CZ9" s="3"/>
      <c r="DA9" s="3" t="s">
        <v>2474</v>
      </c>
      <c r="DB9" s="84" t="s">
        <v>12575</v>
      </c>
      <c r="DC9" s="3" t="s">
        <v>2499</v>
      </c>
      <c r="DD9" s="3" t="s">
        <v>2714</v>
      </c>
      <c r="DE9" s="3" t="s">
        <v>133</v>
      </c>
      <c r="DF9" s="3">
        <f>ROW()</f>
        <v>9</v>
      </c>
      <c r="DG9" s="83" t="s">
        <v>2680</v>
      </c>
      <c r="DH9" s="3">
        <f t="shared" si="12"/>
        <v>750</v>
      </c>
      <c r="DI9" s="3">
        <f t="shared" si="13"/>
        <v>565</v>
      </c>
      <c r="DJ9" s="3">
        <f t="shared" si="14"/>
        <v>380</v>
      </c>
      <c r="DK9" s="3">
        <f t="shared" si="15"/>
        <v>195</v>
      </c>
      <c r="DL9" s="3"/>
      <c r="DM9" s="3" t="s">
        <v>2725</v>
      </c>
      <c r="DN9" s="83" t="s">
        <v>16314</v>
      </c>
      <c r="DO9" s="3" t="s">
        <v>2736</v>
      </c>
      <c r="DP9" s="83" t="s">
        <v>14805</v>
      </c>
      <c r="DQ9" s="3" t="s">
        <v>3082</v>
      </c>
      <c r="DR9" s="3" t="s">
        <v>2764</v>
      </c>
      <c r="DS9" s="3" t="s">
        <v>2773</v>
      </c>
      <c r="DT9" s="3" t="s">
        <v>2794</v>
      </c>
      <c r="DU9" s="3" t="s">
        <v>2800</v>
      </c>
      <c r="DV9" s="3" t="s">
        <v>2805</v>
      </c>
      <c r="DW9" s="3" t="s">
        <v>2806</v>
      </c>
      <c r="DX9" s="83" t="s">
        <v>15588</v>
      </c>
      <c r="DY9" s="83" t="s">
        <v>15077</v>
      </c>
      <c r="DZ9" s="3" t="s">
        <v>2926</v>
      </c>
      <c r="EA9" s="83" t="s">
        <v>4526</v>
      </c>
      <c r="EB9" s="60" t="s">
        <v>2702</v>
      </c>
      <c r="EC9" s="3" t="s">
        <v>3799</v>
      </c>
      <c r="ED9" s="83" t="s">
        <v>12421</v>
      </c>
      <c r="EE9" s="83" t="s">
        <v>140</v>
      </c>
      <c r="EF9" s="530" t="s">
        <v>13111</v>
      </c>
      <c r="EG9" s="356" t="str">
        <f>IF(OR(SelectRace="Humain",SelectRace="Halfling",SelectRace="Elfe"),"Demi-elfe noir","")</f>
        <v/>
      </c>
      <c r="EH9" s="83" t="str">
        <f t="shared" si="16"/>
        <v/>
      </c>
      <c r="EI9" s="83" t="str">
        <f t="shared" si="17"/>
        <v/>
      </c>
      <c r="EJ9" s="83" t="str">
        <f t="shared" si="18"/>
        <v/>
      </c>
      <c r="EK9" s="874" t="s">
        <v>9178</v>
      </c>
      <c r="EL9" s="83" t="s">
        <v>5151</v>
      </c>
      <c r="EM9" s="90" t="s">
        <v>5062</v>
      </c>
      <c r="EN9" s="83" t="s">
        <v>5152</v>
      </c>
      <c r="EO9" s="90" t="s">
        <v>5066</v>
      </c>
      <c r="EP9" s="83" t="s">
        <v>5064</v>
      </c>
      <c r="EQ9" s="481" t="str">
        <f>IF(Pays="Nippon","Kagutsochi",IF(Pays="Inja","Agnisattva",IF(Pays="Kislev","Dazh","")))</f>
        <v/>
      </c>
      <c r="ER9" s="83" t="str">
        <f t="shared" si="34"/>
        <v/>
      </c>
      <c r="ES9" s="83" t="str">
        <f t="shared" si="35"/>
        <v/>
      </c>
      <c r="ET9" s="530" t="str">
        <f t="shared" si="36"/>
        <v/>
      </c>
      <c r="EU9" s="177" t="str">
        <f>IF(Dieu="Esméralda","Adepte/Croyant","")</f>
        <v/>
      </c>
      <c r="EV9" s="83" t="str">
        <f t="shared" si="37"/>
        <v/>
      </c>
      <c r="EW9" s="83" t="str">
        <f t="shared" si="22"/>
        <v/>
      </c>
      <c r="EX9" s="530" t="str">
        <f t="shared" si="23"/>
        <v/>
      </c>
      <c r="EZ9" s="530" t="s">
        <v>12243</v>
      </c>
      <c r="FB9" s="83" t="s">
        <v>16223</v>
      </c>
      <c r="FC9" s="133" t="s">
        <v>14630</v>
      </c>
      <c r="FD9" s="641" t="s">
        <v>4551</v>
      </c>
      <c r="FE9" s="848" t="s">
        <v>149</v>
      </c>
      <c r="FF9">
        <v>33</v>
      </c>
      <c r="FG9">
        <v>0</v>
      </c>
      <c r="FH9">
        <v>40</v>
      </c>
      <c r="FI9">
        <v>50</v>
      </c>
      <c r="FJ9" s="10">
        <v>50</v>
      </c>
      <c r="FK9">
        <v>14</v>
      </c>
      <c r="FL9">
        <v>43</v>
      </c>
      <c r="FM9" s="165">
        <v>0</v>
      </c>
      <c r="FN9" s="88">
        <v>3</v>
      </c>
      <c r="FO9" s="88">
        <v>23</v>
      </c>
      <c r="FP9" s="691">
        <v>6</v>
      </c>
      <c r="FQ9" s="691">
        <f t="shared" si="43"/>
        <v>5</v>
      </c>
      <c r="FR9" s="683" t="s">
        <v>13278</v>
      </c>
      <c r="FS9" s="88">
        <v>0</v>
      </c>
      <c r="FT9" s="88">
        <v>0</v>
      </c>
      <c r="FU9" s="165">
        <v>0</v>
      </c>
      <c r="FV9" s="83" t="s">
        <v>13262</v>
      </c>
      <c r="FW9" s="83" t="s">
        <v>13263</v>
      </c>
      <c r="FX9" s="530" t="s">
        <v>9938</v>
      </c>
      <c r="GA9" s="83" t="s">
        <v>7624</v>
      </c>
      <c r="GC9" t="s">
        <v>2940</v>
      </c>
      <c r="GE9" s="356" t="s">
        <v>992</v>
      </c>
      <c r="GF9" t="s">
        <v>8182</v>
      </c>
      <c r="GG9" s="356" t="s">
        <v>8811</v>
      </c>
      <c r="GH9" s="83" t="s">
        <v>8825</v>
      </c>
      <c r="GI9" s="83" t="s">
        <v>8813</v>
      </c>
      <c r="GJ9" s="83" t="s">
        <v>8968</v>
      </c>
      <c r="GK9" s="530">
        <f t="shared" si="25"/>
        <v>8</v>
      </c>
    </row>
    <row r="10" spans="1:198" ht="13.2" customHeight="1">
      <c r="A10" s="83" t="s">
        <v>3877</v>
      </c>
      <c r="H10" s="136" t="s">
        <v>396</v>
      </c>
      <c r="I10" s="136" t="s">
        <v>59</v>
      </c>
      <c r="J10" s="3" t="s">
        <v>825</v>
      </c>
      <c r="K10" s="3" t="s">
        <v>135</v>
      </c>
      <c r="L10" s="3"/>
      <c r="M10" s="651" t="s">
        <v>3087</v>
      </c>
      <c r="N10" s="3" t="s">
        <v>856</v>
      </c>
      <c r="O10" s="85" t="s">
        <v>12568</v>
      </c>
      <c r="P10" s="3" t="s">
        <v>12513</v>
      </c>
      <c r="Q10" s="3" t="s">
        <v>11011</v>
      </c>
      <c r="R10" s="651" t="s">
        <v>12514</v>
      </c>
      <c r="S10" s="83" t="str">
        <f>IF(OR(CareerType=Y10,AllCareers="X"),"Agitateur",IF(Selectsousrace="","",IF(OR(SelectRace="homme-bête",SelectRace="peau-verte",SelectRace="créature du chaos",SelectRace="Homme-lézard",SelectRace="Homme-lézard",SelectRace="Elfe",Pays="Norsca",Pays="Désolations du Chaos"),"","Agitateur")))</f>
        <v/>
      </c>
      <c r="T10" s="106">
        <f t="shared" si="41"/>
        <v>0</v>
      </c>
      <c r="U10" s="693" t="str">
        <f t="shared" si="26"/>
        <v/>
      </c>
      <c r="V10" s="693" t="str">
        <f t="shared" si="27"/>
        <v/>
      </c>
      <c r="W10" s="693" t="str">
        <f t="shared" si="28"/>
        <v/>
      </c>
      <c r="X10" s="47" t="s">
        <v>2160</v>
      </c>
      <c r="Y10" s="743" t="s">
        <v>7133</v>
      </c>
      <c r="Z10" s="55" t="s">
        <v>2200</v>
      </c>
      <c r="AA10" s="47">
        <v>31</v>
      </c>
      <c r="AB10" s="47" t="s">
        <v>2201</v>
      </c>
      <c r="AC10" s="47">
        <v>9</v>
      </c>
      <c r="AD10" s="20" t="s">
        <v>114</v>
      </c>
      <c r="AE10" s="20" t="s">
        <v>114</v>
      </c>
      <c r="AF10" s="15" t="s">
        <v>149</v>
      </c>
      <c r="AG10" s="15" t="s">
        <v>149</v>
      </c>
      <c r="AH10" s="20" t="s">
        <v>114</v>
      </c>
      <c r="AI10" s="15" t="s">
        <v>98</v>
      </c>
      <c r="AJ10" s="15" t="s">
        <v>149</v>
      </c>
      <c r="AK10" s="18" t="s">
        <v>98</v>
      </c>
      <c r="AL10" s="15" t="s">
        <v>149</v>
      </c>
      <c r="AM10" s="15" t="s">
        <v>113</v>
      </c>
      <c r="AN10" s="15" t="s">
        <v>149</v>
      </c>
      <c r="AO10" s="15" t="s">
        <v>149</v>
      </c>
      <c r="AP10" s="87" t="s">
        <v>10140</v>
      </c>
      <c r="AQ10" s="87" t="s">
        <v>14806</v>
      </c>
      <c r="AR10" s="87" t="s">
        <v>9993</v>
      </c>
      <c r="AS10" s="87" t="s">
        <v>14807</v>
      </c>
      <c r="AT10" s="22" t="s">
        <v>3407</v>
      </c>
      <c r="AU10" s="87" t="s">
        <v>5323</v>
      </c>
      <c r="AV10" s="87" t="s">
        <v>4627</v>
      </c>
      <c r="AW10" s="457">
        <v>0</v>
      </c>
      <c r="AX10" s="630" t="str">
        <f t="shared" si="38"/>
        <v/>
      </c>
      <c r="AY10" s="630" t="str">
        <f t="shared" si="39"/>
        <v/>
      </c>
      <c r="AZ10" s="630" t="str">
        <f t="shared" si="40"/>
        <v/>
      </c>
      <c r="BA10" s="3"/>
      <c r="BB10" s="83" t="s">
        <v>1003</v>
      </c>
      <c r="BC10" s="83" t="s">
        <v>1003</v>
      </c>
      <c r="BD10" s="3" t="str">
        <f>IF(OR(Selectsousrace="Elu",Selectsousrace="Puissant"),"","Tigré")</f>
        <v>Tigré</v>
      </c>
      <c r="BE10" s="83">
        <f t="shared" si="29"/>
        <v>9</v>
      </c>
      <c r="BF10" s="83" t="str">
        <f t="shared" si="4"/>
        <v/>
      </c>
      <c r="BG10" s="83" t="str">
        <f t="shared" si="5"/>
        <v/>
      </c>
      <c r="BH10" s="83" t="s">
        <v>1003</v>
      </c>
      <c r="BJ10" s="83" t="s">
        <v>317</v>
      </c>
      <c r="BK10" s="83" t="s">
        <v>10812</v>
      </c>
      <c r="BL10" s="3">
        <v>8</v>
      </c>
      <c r="BM10" s="3">
        <v>18</v>
      </c>
      <c r="BN10" s="3"/>
      <c r="BO10" s="3" t="s">
        <v>331</v>
      </c>
      <c r="BP10" s="3" t="s">
        <v>1000</v>
      </c>
      <c r="BQ10" s="3" t="s">
        <v>88</v>
      </c>
      <c r="BR10" s="83" t="s">
        <v>2749</v>
      </c>
      <c r="BS10" s="83" t="s">
        <v>11523</v>
      </c>
      <c r="BT10" s="83" t="str">
        <f>IF(SelectRace="","","Khuresh")</f>
        <v/>
      </c>
      <c r="BU10" s="83" t="str">
        <f t="shared" si="30"/>
        <v/>
      </c>
      <c r="BV10" s="83" t="str">
        <f t="shared" si="31"/>
        <v/>
      </c>
      <c r="BW10" s="83" t="str">
        <f t="shared" si="32"/>
        <v/>
      </c>
      <c r="BX10" s="3" t="str">
        <f>IF(Province="Grand comté d'Averland","Taudis du Grand comté d'Averland","")</f>
        <v/>
      </c>
      <c r="BY10" t="str">
        <f t="shared" si="33"/>
        <v/>
      </c>
      <c r="BZ10" s="83" t="str">
        <f t="shared" si="7"/>
        <v/>
      </c>
      <c r="CA10" s="83" t="str">
        <f t="shared" si="8"/>
        <v/>
      </c>
      <c r="CB10" s="530" t="str">
        <f t="shared" si="9"/>
        <v/>
      </c>
      <c r="CC10" s="3" t="s">
        <v>1036</v>
      </c>
      <c r="CD10" t="s">
        <v>3233</v>
      </c>
      <c r="CE10" s="83" t="s">
        <v>10223</v>
      </c>
      <c r="CF10" s="83" t="s">
        <v>10209</v>
      </c>
      <c r="CG10" s="3" t="s">
        <v>3134</v>
      </c>
      <c r="CH10" s="3" t="s">
        <v>5916</v>
      </c>
      <c r="CI10" s="3" t="s">
        <v>3375</v>
      </c>
      <c r="CJ10" s="83" t="s">
        <v>15079</v>
      </c>
      <c r="CK10" s="3" t="s">
        <v>6810</v>
      </c>
      <c r="CL10" s="3" t="s">
        <v>6490</v>
      </c>
      <c r="CM10" s="83" t="s">
        <v>15223</v>
      </c>
      <c r="CN10" s="3" t="s">
        <v>6554</v>
      </c>
      <c r="CO10" s="3" t="str">
        <f>CONCATENATE("Babor",IF(AND('page 1'!M11="Féminin",Pays="Norsca"),"dottir",IF(AND('page 1'!M11="Masculin",Pays="Norsca"),"son",IF(AND('page 1'!M11="Féminin",Pays="Kislev"),"ovna",IF(AND('page 1'!M11="Masculin",Pays="Kislev"),"sky","")))))</f>
        <v>Babor</v>
      </c>
      <c r="CP10" s="83" t="s">
        <v>13316</v>
      </c>
      <c r="CQ10" s="83" t="s">
        <v>13363</v>
      </c>
      <c r="CR10" s="83" t="s">
        <v>13381</v>
      </c>
      <c r="CS10" s="3" t="s">
        <v>11107</v>
      </c>
      <c r="CT10" s="136" t="s">
        <v>1496</v>
      </c>
      <c r="CU10" s="35" t="str">
        <f>IF(Intro!K18="X","Magie mineure",IF(Gestion!W78&gt;0,"Magie mineure",IF(Gestion!W134&gt;0,"Magie mineure","")))</f>
        <v/>
      </c>
      <c r="CV10" s="35" t="str">
        <f t="shared" si="44"/>
        <v/>
      </c>
      <c r="CW10" s="35" t="str">
        <f t="shared" si="10"/>
        <v/>
      </c>
      <c r="CX10" s="35" t="str">
        <f t="shared" si="11"/>
        <v/>
      </c>
      <c r="CY10" s="3" t="s">
        <v>2780</v>
      </c>
      <c r="CZ10" s="3"/>
      <c r="DA10" s="3" t="s">
        <v>12593</v>
      </c>
      <c r="DB10" s="84" t="s">
        <v>12594</v>
      </c>
      <c r="DC10" s="3" t="s">
        <v>2498</v>
      </c>
      <c r="DD10" s="83" t="s">
        <v>11205</v>
      </c>
      <c r="DE10" s="3" t="s">
        <v>132</v>
      </c>
      <c r="DF10" s="3">
        <f>ROW()</f>
        <v>10</v>
      </c>
      <c r="DG10" s="3" t="s">
        <v>447</v>
      </c>
      <c r="DH10" s="3">
        <f t="shared" si="12"/>
        <v>150</v>
      </c>
      <c r="DI10" s="3">
        <f t="shared" si="13"/>
        <v>135</v>
      </c>
      <c r="DJ10" s="3">
        <f t="shared" si="14"/>
        <v>120</v>
      </c>
      <c r="DK10" s="3">
        <f t="shared" si="15"/>
        <v>105</v>
      </c>
      <c r="DL10" s="3"/>
      <c r="DM10" s="83" t="s">
        <v>5484</v>
      </c>
      <c r="DN10" s="83" t="s">
        <v>4024</v>
      </c>
      <c r="DO10" s="83" t="s">
        <v>9075</v>
      </c>
      <c r="DP10" s="83" t="s">
        <v>15382</v>
      </c>
      <c r="DQ10" s="3" t="s">
        <v>2755</v>
      </c>
      <c r="DR10" s="83" t="s">
        <v>3084</v>
      </c>
      <c r="DS10" s="3" t="s">
        <v>2774</v>
      </c>
      <c r="DT10" s="83" t="s">
        <v>4868</v>
      </c>
      <c r="DU10" s="83" t="s">
        <v>4869</v>
      </c>
      <c r="DV10" s="3" t="s">
        <v>2887</v>
      </c>
      <c r="DW10" s="3" t="s">
        <v>2886</v>
      </c>
      <c r="DX10" s="83" t="s">
        <v>15579</v>
      </c>
      <c r="DY10" s="83" t="s">
        <v>15609</v>
      </c>
      <c r="DZ10" s="83" t="s">
        <v>15360</v>
      </c>
      <c r="EA10" s="83" t="s">
        <v>15361</v>
      </c>
      <c r="EB10" s="60" t="s">
        <v>2366</v>
      </c>
      <c r="EC10" s="83" t="s">
        <v>9923</v>
      </c>
      <c r="ED10" s="83" t="s">
        <v>12426</v>
      </c>
      <c r="EE10" s="83" t="s">
        <v>140</v>
      </c>
      <c r="EF10" s="530" t="s">
        <v>13112</v>
      </c>
      <c r="EG10" s="356" t="str">
        <f>IF(OR(SelectRace="Humain",SelectRace="Halfling",SelectRace="Nain"),"Demi-gnome","")</f>
        <v/>
      </c>
      <c r="EH10" s="83" t="str">
        <f t="shared" si="16"/>
        <v/>
      </c>
      <c r="EI10" s="83" t="str">
        <f t="shared" si="17"/>
        <v/>
      </c>
      <c r="EJ10" s="83" t="str">
        <f t="shared" si="18"/>
        <v/>
      </c>
      <c r="EK10" s="874" t="s">
        <v>12791</v>
      </c>
      <c r="EL10" s="83" t="s">
        <v>5014</v>
      </c>
      <c r="EM10" s="90" t="s">
        <v>5075</v>
      </c>
      <c r="EN10" s="83" t="s">
        <v>5152</v>
      </c>
      <c r="EO10" t="s">
        <v>5079</v>
      </c>
      <c r="EP10" s="83" t="s">
        <v>5083</v>
      </c>
      <c r="EQ10" s="481" t="str">
        <f>IF(Pays="Nippon","Kujin",IF(Pays="Inja","Ganesha",IF(SelectRace="Halfling","Esméralda",IF(Pays="Kislev","Domovoi ",IF(OR(Pays="Terres des morts",Pays="Arabie"),"Taoueret","")))))</f>
        <v/>
      </c>
      <c r="ER10" s="83" t="str">
        <f t="shared" si="34"/>
        <v/>
      </c>
      <c r="ES10" s="83" t="str">
        <f t="shared" si="35"/>
        <v/>
      </c>
      <c r="ET10" s="530" t="str">
        <f t="shared" si="36"/>
        <v/>
      </c>
      <c r="EU10" s="177" t="str">
        <f>IF(Dieu="Esméralda","Initié","")</f>
        <v/>
      </c>
      <c r="EV10" s="83" t="str">
        <f t="shared" si="37"/>
        <v/>
      </c>
      <c r="EW10" s="83" t="str">
        <f t="shared" si="22"/>
        <v/>
      </c>
      <c r="EX10" s="530" t="str">
        <f t="shared" si="23"/>
        <v/>
      </c>
      <c r="EY10" s="83" t="s">
        <v>13206</v>
      </c>
      <c r="EZ10" s="530" t="s">
        <v>9186</v>
      </c>
      <c r="FB10" s="83" t="s">
        <v>15462</v>
      </c>
      <c r="FC10" s="133" t="s">
        <v>14630</v>
      </c>
      <c r="FD10" s="85" t="s">
        <v>2217</v>
      </c>
      <c r="FE10" s="849">
        <v>125</v>
      </c>
      <c r="FF10">
        <v>59</v>
      </c>
      <c r="FG10">
        <v>0</v>
      </c>
      <c r="FH10">
        <v>60</v>
      </c>
      <c r="FI10">
        <v>68</v>
      </c>
      <c r="FJ10" s="10">
        <v>14</v>
      </c>
      <c r="FK10">
        <v>10</v>
      </c>
      <c r="FL10">
        <v>44</v>
      </c>
      <c r="FM10" s="165">
        <v>1</v>
      </c>
      <c r="FN10" s="88">
        <v>2</v>
      </c>
      <c r="FO10" s="88">
        <v>34</v>
      </c>
      <c r="FP10" s="691">
        <v>7</v>
      </c>
      <c r="FQ10" s="691">
        <f t="shared" si="43"/>
        <v>6</v>
      </c>
      <c r="FR10" s="10">
        <v>4</v>
      </c>
      <c r="FS10" s="88">
        <v>0</v>
      </c>
      <c r="FT10" s="88">
        <v>0</v>
      </c>
      <c r="FU10" s="165">
        <v>0</v>
      </c>
      <c r="FV10" s="83" t="s">
        <v>15443</v>
      </c>
      <c r="FW10" s="83" t="s">
        <v>15463</v>
      </c>
      <c r="FX10" s="530" t="s">
        <v>9938</v>
      </c>
      <c r="GA10" t="s">
        <v>7449</v>
      </c>
      <c r="GC10" t="s">
        <v>7311</v>
      </c>
      <c r="GE10" s="356" t="s">
        <v>1003</v>
      </c>
      <c r="GF10" t="s">
        <v>8147</v>
      </c>
      <c r="GG10" s="356" t="s">
        <v>8806</v>
      </c>
      <c r="GH10" s="83" t="s">
        <v>8825</v>
      </c>
      <c r="GI10" s="83" t="s">
        <v>8813</v>
      </c>
      <c r="GJ10" s="83" t="s">
        <v>8826</v>
      </c>
      <c r="GK10" s="530">
        <f t="shared" si="25"/>
        <v>9</v>
      </c>
    </row>
    <row r="11" spans="1:198" ht="13.2" customHeight="1">
      <c r="A11" s="83" t="s">
        <v>2574</v>
      </c>
      <c r="H11" s="353" t="s">
        <v>2908</v>
      </c>
      <c r="I11" s="353" t="s">
        <v>2909</v>
      </c>
      <c r="J11" s="3" t="s">
        <v>826</v>
      </c>
      <c r="K11" s="3" t="s">
        <v>132</v>
      </c>
      <c r="L11" s="3"/>
      <c r="M11" s="530" t="s">
        <v>3066</v>
      </c>
      <c r="N11" s="3" t="s">
        <v>2456</v>
      </c>
      <c r="O11" s="85" t="s">
        <v>12572</v>
      </c>
      <c r="P11" s="3" t="s">
        <v>12515</v>
      </c>
      <c r="Q11" s="3" t="s">
        <v>12516</v>
      </c>
      <c r="R11" s="651" t="s">
        <v>12517</v>
      </c>
      <c r="S11" s="83" t="str">
        <f>IF(CareerType=Y11,"Allumeur de réverbères",IF(AllCareers="X","Allumeur de réverbères",IF(OR(SelectRace="homme-bête",SelectRace="peau-verte",SelectRace="créature du chaos",SelectRace="Homme-lézard",SelectRace="skaven"),"",IF(Pays="Norsca","",IF(Pays="Désolations du Chaos","",IF(SelectRace="Humain","Allumeur de réverbères",IF(SelectRace="Halfling","Allumeur de réverbères",IF(Selectsousrace="","",""))))))))</f>
        <v/>
      </c>
      <c r="T11" s="106">
        <f t="shared" si="41"/>
        <v>0</v>
      </c>
      <c r="U11" s="693" t="str">
        <f t="shared" si="26"/>
        <v/>
      </c>
      <c r="V11" s="693" t="str">
        <f t="shared" si="27"/>
        <v/>
      </c>
      <c r="W11" s="693" t="str">
        <f t="shared" si="28"/>
        <v/>
      </c>
      <c r="X11" s="47" t="s">
        <v>2160</v>
      </c>
      <c r="Y11" s="743" t="s">
        <v>7132</v>
      </c>
      <c r="Z11" s="55" t="s">
        <v>2202</v>
      </c>
      <c r="AA11" s="47">
        <v>12</v>
      </c>
      <c r="AB11" s="47" t="s">
        <v>2203</v>
      </c>
      <c r="AC11" s="47">
        <v>130</v>
      </c>
      <c r="AD11" s="20" t="s">
        <v>114</v>
      </c>
      <c r="AE11" s="15" t="s">
        <v>149</v>
      </c>
      <c r="AF11" s="20" t="s">
        <v>114</v>
      </c>
      <c r="AG11" s="15" t="s">
        <v>149</v>
      </c>
      <c r="AH11" s="15" t="s">
        <v>98</v>
      </c>
      <c r="AI11" s="20" t="s">
        <v>114</v>
      </c>
      <c r="AJ11" s="20" t="s">
        <v>114</v>
      </c>
      <c r="AK11" s="21" t="s">
        <v>114</v>
      </c>
      <c r="AL11" s="15" t="s">
        <v>149</v>
      </c>
      <c r="AM11" s="15" t="s">
        <v>113</v>
      </c>
      <c r="AN11" s="15" t="s">
        <v>149</v>
      </c>
      <c r="AO11" s="15" t="s">
        <v>149</v>
      </c>
      <c r="AP11" s="22" t="s">
        <v>772</v>
      </c>
      <c r="AQ11" s="87" t="s">
        <v>734</v>
      </c>
      <c r="AR11" s="87" t="s">
        <v>15122</v>
      </c>
      <c r="AS11" s="87" t="s">
        <v>5547</v>
      </c>
      <c r="AT11" s="22" t="s">
        <v>3408</v>
      </c>
      <c r="AU11" s="87" t="s">
        <v>5394</v>
      </c>
      <c r="AV11" s="87" t="s">
        <v>4711</v>
      </c>
      <c r="AW11" s="457">
        <v>0</v>
      </c>
      <c r="AX11" s="630" t="str">
        <f t="shared" si="38"/>
        <v/>
      </c>
      <c r="AY11" s="630" t="str">
        <f t="shared" si="39"/>
        <v/>
      </c>
      <c r="AZ11" s="630" t="str">
        <f t="shared" si="40"/>
        <v/>
      </c>
      <c r="BA11" s="3"/>
      <c r="BB11" s="83" t="s">
        <v>306</v>
      </c>
      <c r="BC11" s="83" t="s">
        <v>316</v>
      </c>
      <c r="BD11" s="678"/>
      <c r="BE11" s="3"/>
      <c r="BF11" s="3"/>
      <c r="BG11" s="3"/>
      <c r="BH11" s="83" t="s">
        <v>308</v>
      </c>
      <c r="BI11" s="3"/>
      <c r="BJ11" s="3"/>
      <c r="BK11" s="83" t="s">
        <v>10811</v>
      </c>
      <c r="BL11" s="3">
        <v>9</v>
      </c>
      <c r="BM11" s="3">
        <v>19</v>
      </c>
      <c r="BN11" s="3"/>
      <c r="BO11" s="3" t="s">
        <v>1022</v>
      </c>
      <c r="BP11" s="3" t="s">
        <v>1005</v>
      </c>
      <c r="BQ11" s="3" t="s">
        <v>89</v>
      </c>
      <c r="BR11" s="83" t="s">
        <v>2742</v>
      </c>
      <c r="BS11" s="83" t="s">
        <v>2740</v>
      </c>
      <c r="BT11" s="3" t="str">
        <f>IF(OR(SelectRace="",SelectRace="Homme-lézard"),"","Kislev")</f>
        <v/>
      </c>
      <c r="BU11" s="83" t="str">
        <f t="shared" si="30"/>
        <v/>
      </c>
      <c r="BV11" s="83" t="str">
        <f t="shared" si="31"/>
        <v/>
      </c>
      <c r="BW11" s="83" t="str">
        <f t="shared" si="32"/>
        <v/>
      </c>
      <c r="BX11" s="3" t="str">
        <f>IF(Province="Grande baronnie du Hochland","Bourg de la Grande baronnie du Hochland","")</f>
        <v/>
      </c>
      <c r="BY11" t="str">
        <f t="shared" si="33"/>
        <v/>
      </c>
      <c r="BZ11" s="83" t="str">
        <f t="shared" si="7"/>
        <v/>
      </c>
      <c r="CA11" s="83" t="str">
        <f t="shared" si="8"/>
        <v/>
      </c>
      <c r="CB11" s="530" t="str">
        <f t="shared" si="9"/>
        <v/>
      </c>
      <c r="CC11" s="3" t="s">
        <v>3220</v>
      </c>
      <c r="CD11" t="s">
        <v>10633</v>
      </c>
      <c r="CE11" s="83" t="s">
        <v>6162</v>
      </c>
      <c r="CF11" s="3" t="s">
        <v>3400</v>
      </c>
      <c r="CG11" s="3" t="s">
        <v>6136</v>
      </c>
      <c r="CH11" s="3" t="s">
        <v>5918</v>
      </c>
      <c r="CI11" s="3" t="s">
        <v>923</v>
      </c>
      <c r="CJ11" s="3" t="s">
        <v>945</v>
      </c>
      <c r="CK11" s="3" t="s">
        <v>6725</v>
      </c>
      <c r="CL11" s="3" t="s">
        <v>6461</v>
      </c>
      <c r="CM11" s="83" t="s">
        <v>10242</v>
      </c>
      <c r="CN11" s="3" t="s">
        <v>6528</v>
      </c>
      <c r="CO11" s="3" t="str">
        <f>CONCATENATE("Balder",IF(AND('page 1'!M11="Féminin",Pays="Norsca"),"dottir",IF(AND('page 1'!M11="Masculin",Pays="Norsca"),"son",IF(AND('page 1'!M11="Féminin",Pays="Kislev"),"ovna",IF(AND('page 1'!M11="Masculin",Pays="Kislev"),"sky","")))))</f>
        <v>Balder</v>
      </c>
      <c r="CP11" s="83" t="s">
        <v>13310</v>
      </c>
      <c r="CQ11" s="83" t="s">
        <v>13355</v>
      </c>
      <c r="CR11" s="83" t="s">
        <v>13382</v>
      </c>
      <c r="CS11" s="3" t="s">
        <v>11108</v>
      </c>
      <c r="CT11" s="136" t="s">
        <v>1496</v>
      </c>
      <c r="CU11" s="3" t="str">
        <f>IF(Intro!K18="X","Tradition de Sorcières",IF(Gestion!W131&gt;0,"Tradition de Sorcières",IF(Gestion!W134&gt;0,"Magie mineure","")))</f>
        <v/>
      </c>
      <c r="CV11" s="35" t="str">
        <f t="shared" si="44"/>
        <v/>
      </c>
      <c r="CW11" s="35" t="str">
        <f t="shared" si="10"/>
        <v/>
      </c>
      <c r="CX11" s="35" t="str">
        <f t="shared" si="11"/>
        <v/>
      </c>
      <c r="CY11" s="38" t="s">
        <v>132</v>
      </c>
      <c r="CZ11" s="3"/>
      <c r="DA11" s="83" t="s">
        <v>16121</v>
      </c>
      <c r="DB11" s="83" t="s">
        <v>16122</v>
      </c>
      <c r="DC11" s="3" t="s">
        <v>2490</v>
      </c>
      <c r="DD11" s="3" t="s">
        <v>2681</v>
      </c>
      <c r="DE11" s="3" t="s">
        <v>133</v>
      </c>
      <c r="DF11" s="3">
        <f>ROW()</f>
        <v>11</v>
      </c>
      <c r="DG11" s="3" t="s">
        <v>2174</v>
      </c>
      <c r="DH11" s="3">
        <f t="shared" si="12"/>
        <v>135</v>
      </c>
      <c r="DI11" s="3">
        <f t="shared" si="13"/>
        <v>115</v>
      </c>
      <c r="DJ11" s="3">
        <f t="shared" si="14"/>
        <v>95</v>
      </c>
      <c r="DK11" s="3">
        <f t="shared" si="15"/>
        <v>75</v>
      </c>
      <c r="DL11" s="3"/>
      <c r="DM11" s="3" t="s">
        <v>2723</v>
      </c>
      <c r="DN11" s="83" t="s">
        <v>16316</v>
      </c>
      <c r="DO11" s="3" t="s">
        <v>2737</v>
      </c>
      <c r="DP11" s="83" t="s">
        <v>12768</v>
      </c>
      <c r="DQ11" s="83" t="s">
        <v>12779</v>
      </c>
      <c r="DR11" s="3"/>
      <c r="DS11" s="3" t="s">
        <v>2775</v>
      </c>
      <c r="DT11" s="3" t="s">
        <v>2827</v>
      </c>
      <c r="DU11" s="3" t="s">
        <v>15076</v>
      </c>
      <c r="DV11" s="3" t="s">
        <v>2807</v>
      </c>
      <c r="DW11" s="3" t="s">
        <v>2806</v>
      </c>
      <c r="DX11" s="83" t="s">
        <v>15586</v>
      </c>
      <c r="DY11" s="83" t="s">
        <v>11942</v>
      </c>
      <c r="DZ11" s="83" t="s">
        <v>12924</v>
      </c>
      <c r="EA11" s="83" t="s">
        <v>12925</v>
      </c>
      <c r="EB11" s="60" t="s">
        <v>2711</v>
      </c>
      <c r="ED11" s="83" t="s">
        <v>12417</v>
      </c>
      <c r="EE11" s="83" t="s">
        <v>140</v>
      </c>
      <c r="EF11" s="530" t="s">
        <v>13113</v>
      </c>
      <c r="EG11" s="356" t="str">
        <f>IF(OR(SelectRace="Nain",SelectRace="Humain"),"Demi-halfling","")</f>
        <v/>
      </c>
      <c r="EH11" s="83" t="str">
        <f t="shared" si="16"/>
        <v/>
      </c>
      <c r="EI11" s="83" t="str">
        <f t="shared" si="17"/>
        <v/>
      </c>
      <c r="EJ11" s="83" t="str">
        <f t="shared" si="18"/>
        <v/>
      </c>
      <c r="EK11" s="874" t="s">
        <v>9177</v>
      </c>
      <c r="EL11" s="83" t="s">
        <v>4975</v>
      </c>
      <c r="EM11" s="90" t="s">
        <v>3038</v>
      </c>
      <c r="EN11" s="83" t="s">
        <v>5152</v>
      </c>
      <c r="EO11" t="s">
        <v>5073</v>
      </c>
      <c r="EP11" s="83" t="s">
        <v>5064</v>
      </c>
      <c r="EQ11" s="77" t="str">
        <f>IF(Selectsousrace="Orc","Gork","")</f>
        <v/>
      </c>
      <c r="ER11" s="83" t="str">
        <f t="shared" si="34"/>
        <v/>
      </c>
      <c r="ES11" s="83" t="str">
        <f t="shared" si="35"/>
        <v/>
      </c>
      <c r="ET11" s="530" t="str">
        <f t="shared" si="36"/>
        <v/>
      </c>
      <c r="EU11" s="177" t="str">
        <f>IF(Dieu="Esméralda","Prêtre","")</f>
        <v/>
      </c>
      <c r="EV11" s="83" t="str">
        <f t="shared" si="37"/>
        <v/>
      </c>
      <c r="EW11" s="83" t="str">
        <f t="shared" si="22"/>
        <v/>
      </c>
      <c r="EX11" s="530" t="str">
        <f t="shared" si="23"/>
        <v/>
      </c>
      <c r="EY11" s="83" t="s">
        <v>9136</v>
      </c>
      <c r="EZ11" s="530" t="s">
        <v>836</v>
      </c>
      <c r="FB11" s="177" t="s">
        <v>14648</v>
      </c>
      <c r="FC11" s="732" t="s">
        <v>14630</v>
      </c>
      <c r="FD11" s="641" t="s">
        <v>4551</v>
      </c>
      <c r="FE11" s="853" t="s">
        <v>149</v>
      </c>
      <c r="FF11" s="25">
        <v>70</v>
      </c>
      <c r="FG11" s="25">
        <v>0</v>
      </c>
      <c r="FH11" s="25">
        <v>70</v>
      </c>
      <c r="FI11" s="25">
        <v>70</v>
      </c>
      <c r="FJ11" s="685">
        <v>20</v>
      </c>
      <c r="FK11" s="25">
        <v>20</v>
      </c>
      <c r="FL11" s="25">
        <v>90</v>
      </c>
      <c r="FM11" s="166">
        <v>10</v>
      </c>
      <c r="FN11" s="88">
        <v>6</v>
      </c>
      <c r="FO11" s="25">
        <v>70</v>
      </c>
      <c r="FP11" s="733">
        <f t="shared" ref="FP11:FP42" si="45">ROUNDDOWN(FH11/10,0)</f>
        <v>7</v>
      </c>
      <c r="FQ11" s="733">
        <f t="shared" si="43"/>
        <v>7</v>
      </c>
      <c r="FR11" s="734" t="s">
        <v>7251</v>
      </c>
      <c r="FS11" s="167">
        <v>1</v>
      </c>
      <c r="FT11" s="167">
        <v>0</v>
      </c>
      <c r="FU11" s="166">
        <v>0</v>
      </c>
      <c r="FV11" s="177" t="s">
        <v>14649</v>
      </c>
      <c r="FW11" s="177" t="s">
        <v>14700</v>
      </c>
      <c r="FX11" s="567" t="s">
        <v>9938</v>
      </c>
      <c r="GA11" t="s">
        <v>7450</v>
      </c>
      <c r="GC11" t="s">
        <v>7309</v>
      </c>
      <c r="GE11" s="356" t="s">
        <v>308</v>
      </c>
      <c r="GF11" t="s">
        <v>8163</v>
      </c>
      <c r="GG11" s="356" t="s">
        <v>8807</v>
      </c>
      <c r="GH11" s="83" t="s">
        <v>8825</v>
      </c>
      <c r="GI11" s="83" t="s">
        <v>8813</v>
      </c>
      <c r="GJ11" s="83" t="s">
        <v>8825</v>
      </c>
      <c r="GK11" s="530">
        <f t="shared" si="25"/>
        <v>10</v>
      </c>
    </row>
    <row r="12" spans="1:198" ht="13.2" customHeight="1">
      <c r="A12" s="83" t="s">
        <v>2572</v>
      </c>
      <c r="H12" s="136" t="s">
        <v>397</v>
      </c>
      <c r="I12" s="177" t="s">
        <v>9681</v>
      </c>
      <c r="J12" s="3" t="s">
        <v>827</v>
      </c>
      <c r="K12" s="3" t="s">
        <v>132</v>
      </c>
      <c r="L12" s="3"/>
      <c r="N12" s="3" t="s">
        <v>857</v>
      </c>
      <c r="O12" s="85" t="s">
        <v>12573</v>
      </c>
      <c r="P12" s="3" t="s">
        <v>12518</v>
      </c>
      <c r="Q12" s="3" t="s">
        <v>857</v>
      </c>
      <c r="R12" s="651" t="s">
        <v>12519</v>
      </c>
      <c r="S12" s="83" t="str">
        <f>IF(CareerType=Y12,"Almée (Danseuse du ventre)",IF(AllCareers="X","Almée (Danseuse du ventre)",IF(OR(FirstCareer="1ère carrière",SelectRace="homme-bête",SelectRace="peau-verte",SelectRace="créature du chaos",SelectRace="Homme-lézard",SelectRace="skaven"),"",IF('page 1'!M11="","",IF('page 1'!M11="masculin","",IF('page 1'!M11="féminin",IF(Pays="","",IF(Pays="Arabie","Almée (Danseuse du ventre)",IF(OR(Pays="Désolations du Chaos",Pays="Norsca"),"",)))))))))</f>
        <v/>
      </c>
      <c r="T12" s="106">
        <f t="shared" si="41"/>
        <v>1</v>
      </c>
      <c r="U12" s="693" t="str">
        <f t="shared" si="26"/>
        <v/>
      </c>
      <c r="V12" s="693" t="str">
        <f t="shared" si="27"/>
        <v/>
      </c>
      <c r="W12" s="693" t="str">
        <f t="shared" si="28"/>
        <v/>
      </c>
      <c r="X12" s="89" t="s">
        <v>2153</v>
      </c>
      <c r="Y12" s="743" t="s">
        <v>7132</v>
      </c>
      <c r="Z12" s="56" t="s">
        <v>9975</v>
      </c>
      <c r="AA12" s="89">
        <v>231</v>
      </c>
      <c r="AB12" s="89" t="s">
        <v>10018</v>
      </c>
      <c r="AD12" s="544" t="s">
        <v>149</v>
      </c>
      <c r="AE12" s="544" t="s">
        <v>149</v>
      </c>
      <c r="AF12" s="105" t="s">
        <v>114</v>
      </c>
      <c r="AG12" s="105" t="s">
        <v>101</v>
      </c>
      <c r="AH12" s="105" t="s">
        <v>100</v>
      </c>
      <c r="AI12" s="105" t="s">
        <v>98</v>
      </c>
      <c r="AJ12" s="105" t="s">
        <v>98</v>
      </c>
      <c r="AK12" s="443" t="s">
        <v>100</v>
      </c>
      <c r="AL12" s="15" t="s">
        <v>149</v>
      </c>
      <c r="AM12" s="105" t="s">
        <v>103</v>
      </c>
      <c r="AN12" s="105" t="s">
        <v>149</v>
      </c>
      <c r="AO12" s="105" t="s">
        <v>149</v>
      </c>
      <c r="AP12" s="87" t="s">
        <v>14847</v>
      </c>
      <c r="AQ12" s="87" t="s">
        <v>734</v>
      </c>
      <c r="AR12" s="87" t="s">
        <v>10019</v>
      </c>
      <c r="AS12" s="87" t="s">
        <v>734</v>
      </c>
      <c r="AT12" s="87" t="s">
        <v>16642</v>
      </c>
      <c r="AU12" s="87" t="s">
        <v>10020</v>
      </c>
      <c r="AV12" s="87" t="s">
        <v>4320</v>
      </c>
      <c r="AW12" s="458">
        <v>0</v>
      </c>
      <c r="AX12" s="630" t="str">
        <f t="shared" si="38"/>
        <v/>
      </c>
      <c r="AY12" s="630" t="str">
        <f t="shared" si="39"/>
        <v/>
      </c>
      <c r="AZ12" s="630" t="str">
        <f t="shared" si="40"/>
        <v/>
      </c>
      <c r="BA12" s="3"/>
      <c r="BB12" s="83" t="s">
        <v>316</v>
      </c>
      <c r="BH12" s="83" t="s">
        <v>7646</v>
      </c>
      <c r="BJ12" s="3"/>
      <c r="BK12" s="83" t="s">
        <v>7646</v>
      </c>
      <c r="BL12" s="3">
        <v>10</v>
      </c>
      <c r="BM12" s="3">
        <v>20</v>
      </c>
      <c r="BN12" s="3"/>
      <c r="BO12" s="83" t="s">
        <v>7336</v>
      </c>
      <c r="BP12" s="3" t="s">
        <v>1010</v>
      </c>
      <c r="BQ12" s="3" t="s">
        <v>90</v>
      </c>
      <c r="BR12" s="83" t="s">
        <v>3804</v>
      </c>
      <c r="BS12" s="83" t="s">
        <v>2747</v>
      </c>
      <c r="BT12" s="3" t="str">
        <f>IF(OR(SelectRace="Humain",SelectRace="Skaven",SelectRace="Vampire",SelectRace="Halfling",SelectRace="Homme-lézard",SelectRace="Créature du Chaos"),"Lustrie","")</f>
        <v/>
      </c>
      <c r="BU12" s="83" t="str">
        <f t="shared" si="30"/>
        <v/>
      </c>
      <c r="BV12" s="83" t="str">
        <f t="shared" si="31"/>
        <v/>
      </c>
      <c r="BW12" s="83" t="str">
        <f t="shared" si="32"/>
        <v/>
      </c>
      <c r="BX12" s="3" t="str">
        <f>IF(Province="Grands-duchés de Middenheim et du Middenland","Bourg des Grands-duchés de Middenheim et du Middenland","")</f>
        <v/>
      </c>
      <c r="BY12" t="str">
        <f t="shared" si="33"/>
        <v/>
      </c>
      <c r="BZ12" s="83" t="str">
        <f t="shared" si="7"/>
        <v/>
      </c>
      <c r="CA12" s="83" t="str">
        <f t="shared" si="8"/>
        <v/>
      </c>
      <c r="CB12" s="530" t="str">
        <f t="shared" si="9"/>
        <v/>
      </c>
      <c r="CC12" s="3" t="s">
        <v>3221</v>
      </c>
      <c r="CD12" t="s">
        <v>10635</v>
      </c>
      <c r="CE12" s="3" t="s">
        <v>1078</v>
      </c>
      <c r="CF12" s="3" t="s">
        <v>1097</v>
      </c>
      <c r="CG12" s="83" t="s">
        <v>15255</v>
      </c>
      <c r="CH12" s="3" t="s">
        <v>5919</v>
      </c>
      <c r="CI12" s="3" t="s">
        <v>3160</v>
      </c>
      <c r="CJ12" s="3" t="s">
        <v>946</v>
      </c>
      <c r="CK12" s="3" t="s">
        <v>6771</v>
      </c>
      <c r="CL12" s="3" t="s">
        <v>6496</v>
      </c>
      <c r="CM12" s="83" t="s">
        <v>10244</v>
      </c>
      <c r="CN12" s="3" t="s">
        <v>6538</v>
      </c>
      <c r="CO12" s="3" t="s">
        <v>10910</v>
      </c>
      <c r="CP12" s="83" t="s">
        <v>13329</v>
      </c>
      <c r="CQ12" s="83" t="s">
        <v>13335</v>
      </c>
      <c r="CR12" s="83" t="s">
        <v>13383</v>
      </c>
      <c r="CS12" s="3" t="s">
        <v>11109</v>
      </c>
      <c r="CT12" s="136" t="s">
        <v>419</v>
      </c>
      <c r="CU12" s="3" t="str">
        <f>IF(Intro!K19="X","Magie haute",IF(Gestion!W77&gt;0,"Magie haute",IF(Gestion!W134&gt;0,"Magie mineure","")))</f>
        <v/>
      </c>
      <c r="CV12" s="35" t="str">
        <f t="shared" si="44"/>
        <v/>
      </c>
      <c r="CW12" s="35" t="str">
        <f t="shared" si="10"/>
        <v/>
      </c>
      <c r="CX12" s="35" t="str">
        <f t="shared" si="11"/>
        <v/>
      </c>
      <c r="CY12" s="61" t="s">
        <v>820</v>
      </c>
      <c r="CZ12" s="3"/>
      <c r="DA12" s="83" t="s">
        <v>660</v>
      </c>
      <c r="DB12" s="83" t="s">
        <v>12595</v>
      </c>
      <c r="DC12" s="3" t="s">
        <v>2495</v>
      </c>
      <c r="DD12" s="3" t="s">
        <v>2715</v>
      </c>
      <c r="DE12" s="3" t="s">
        <v>132</v>
      </c>
      <c r="DF12" s="3">
        <f>ROW()</f>
        <v>12</v>
      </c>
      <c r="DG12" s="3" t="s">
        <v>2680</v>
      </c>
      <c r="DH12" s="3">
        <f t="shared" si="12"/>
        <v>750</v>
      </c>
      <c r="DI12" s="3">
        <f t="shared" si="13"/>
        <v>565</v>
      </c>
      <c r="DJ12" s="3">
        <f t="shared" si="14"/>
        <v>380</v>
      </c>
      <c r="DK12" s="3">
        <f t="shared" si="15"/>
        <v>195</v>
      </c>
      <c r="DL12" s="3"/>
      <c r="DM12" s="3" t="s">
        <v>2724</v>
      </c>
      <c r="DN12" s="83" t="s">
        <v>16321</v>
      </c>
      <c r="DO12" s="83" t="s">
        <v>14657</v>
      </c>
      <c r="DP12" t="s">
        <v>12778</v>
      </c>
      <c r="DQ12" s="83" t="s">
        <v>12789</v>
      </c>
      <c r="DR12" s="3"/>
      <c r="DS12" s="3" t="s">
        <v>2776</v>
      </c>
      <c r="DT12" s="83" t="s">
        <v>16625</v>
      </c>
      <c r="DU12" s="562" t="s">
        <v>4551</v>
      </c>
      <c r="DV12" s="3" t="s">
        <v>2817</v>
      </c>
      <c r="DW12" s="3" t="s">
        <v>2813</v>
      </c>
      <c r="DX12" s="83" t="s">
        <v>15583</v>
      </c>
      <c r="DY12" s="83" t="s">
        <v>15609</v>
      </c>
      <c r="DZ12" s="3" t="s">
        <v>2927</v>
      </c>
      <c r="EA12" s="83" t="s">
        <v>4526</v>
      </c>
      <c r="EB12" s="60" t="s">
        <v>2707</v>
      </c>
      <c r="ED12" s="83" t="s">
        <v>12418</v>
      </c>
      <c r="EE12" s="83" t="s">
        <v>140</v>
      </c>
      <c r="EF12" s="530" t="s">
        <v>13114</v>
      </c>
      <c r="EG12" s="356" t="str">
        <f>IF(OR(SelectRace="Humain",SelectRace="Halfling"),"Demi-nain","")</f>
        <v/>
      </c>
      <c r="EH12" s="83" t="str">
        <f t="shared" si="16"/>
        <v/>
      </c>
      <c r="EI12" s="83" t="str">
        <f t="shared" si="17"/>
        <v/>
      </c>
      <c r="EJ12" s="83" t="str">
        <f t="shared" si="18"/>
        <v/>
      </c>
      <c r="EK12" s="874" t="s">
        <v>9175</v>
      </c>
      <c r="EM12" s="90" t="s">
        <v>5054</v>
      </c>
      <c r="EN12" s="83" t="s">
        <v>5152</v>
      </c>
      <c r="EO12" s="90" t="s">
        <v>5057</v>
      </c>
      <c r="EP12" s="83" t="s">
        <v>5050</v>
      </c>
      <c r="EQ12" s="481" t="str">
        <f>IF(SelectRace="Nain","Grimnir","")</f>
        <v/>
      </c>
      <c r="ER12" s="83" t="str">
        <f t="shared" si="34"/>
        <v/>
      </c>
      <c r="ES12" s="83" t="str">
        <f t="shared" si="35"/>
        <v/>
      </c>
      <c r="ET12" s="530" t="str">
        <f t="shared" si="36"/>
        <v/>
      </c>
      <c r="EU12" s="177" t="str">
        <f>IF(Dieu="Gazul","Initié","")</f>
        <v/>
      </c>
      <c r="EV12" s="83" t="str">
        <f t="shared" si="37"/>
        <v/>
      </c>
      <c r="EW12" s="83" t="str">
        <f t="shared" si="22"/>
        <v/>
      </c>
      <c r="EX12" s="530" t="str">
        <f t="shared" si="23"/>
        <v/>
      </c>
      <c r="EZ12" s="530" t="s">
        <v>9331</v>
      </c>
      <c r="FB12" s="177" t="s">
        <v>14674</v>
      </c>
      <c r="FC12" s="732" t="s">
        <v>14630</v>
      </c>
      <c r="FD12" s="85" t="s">
        <v>14651</v>
      </c>
      <c r="FE12" s="851">
        <v>20</v>
      </c>
      <c r="FF12" s="25">
        <v>55</v>
      </c>
      <c r="FG12" s="25">
        <v>0</v>
      </c>
      <c r="FH12" s="25">
        <v>53</v>
      </c>
      <c r="FI12" s="25">
        <v>68</v>
      </c>
      <c r="FJ12" s="685">
        <v>30</v>
      </c>
      <c r="FK12" s="25">
        <v>40</v>
      </c>
      <c r="FL12" s="25">
        <v>89</v>
      </c>
      <c r="FM12" s="166">
        <v>34</v>
      </c>
      <c r="FN12" s="88">
        <v>6</v>
      </c>
      <c r="FO12" s="88">
        <v>54</v>
      </c>
      <c r="FP12" s="733">
        <f t="shared" si="45"/>
        <v>5</v>
      </c>
      <c r="FQ12" s="733">
        <f t="shared" si="43"/>
        <v>6</v>
      </c>
      <c r="FR12" s="734" t="s">
        <v>7251</v>
      </c>
      <c r="FS12" s="167">
        <v>1</v>
      </c>
      <c r="FT12" s="167">
        <v>0</v>
      </c>
      <c r="FU12" s="166">
        <v>0</v>
      </c>
      <c r="FV12" s="177" t="s">
        <v>14679</v>
      </c>
      <c r="FW12" s="177" t="s">
        <v>14680</v>
      </c>
      <c r="FX12" s="567" t="s">
        <v>9938</v>
      </c>
      <c r="GA12" s="83" t="s">
        <v>7607</v>
      </c>
      <c r="GC12" t="s">
        <v>7322</v>
      </c>
      <c r="GE12" s="356" t="s">
        <v>3108</v>
      </c>
      <c r="GF12" t="s">
        <v>8172</v>
      </c>
      <c r="GG12" s="356" t="s">
        <v>8818</v>
      </c>
      <c r="GH12" s="83" t="s">
        <v>8824</v>
      </c>
      <c r="GI12" s="83" t="s">
        <v>8813</v>
      </c>
      <c r="GJ12" s="83" t="s">
        <v>8824</v>
      </c>
      <c r="GK12" s="530">
        <f t="shared" si="25"/>
        <v>11</v>
      </c>
    </row>
    <row r="13" spans="1:198" ht="13.2" customHeight="1">
      <c r="A13" s="83" t="s">
        <v>2578</v>
      </c>
      <c r="B13" s="2" t="s">
        <v>384</v>
      </c>
      <c r="C13" s="2" t="s">
        <v>385</v>
      </c>
      <c r="D13" s="2" t="s">
        <v>130</v>
      </c>
      <c r="E13" s="2" t="s">
        <v>385</v>
      </c>
      <c r="F13" s="2" t="s">
        <v>385</v>
      </c>
      <c r="H13" s="3" t="s">
        <v>2849</v>
      </c>
      <c r="I13" s="3" t="s">
        <v>2854</v>
      </c>
      <c r="J13" s="3" t="s">
        <v>787</v>
      </c>
      <c r="K13" s="3" t="s">
        <v>135</v>
      </c>
      <c r="N13" s="3" t="s">
        <v>858</v>
      </c>
      <c r="O13" s="85" t="s">
        <v>12569</v>
      </c>
      <c r="P13" s="3" t="s">
        <v>12520</v>
      </c>
      <c r="Q13" s="3" t="s">
        <v>12521</v>
      </c>
      <c r="R13" s="651" t="s">
        <v>12522</v>
      </c>
      <c r="S13" s="83" t="str">
        <f>IF(CareerType=Y13,"Ambassadeur",IF(AllCareers="X","Ambassadeur",IF(Selectsousrace="","",IF(OR(SelectRace="homme-bête",SelectRace="peau-verte",SelectRace="créature du chaos",SelectRace="Homme-lézard",SelectRace="skaven"),"",IF(FirstCareer="1ère carrière","","Ambassadeur")))))</f>
        <v/>
      </c>
      <c r="T13" s="106">
        <v>2</v>
      </c>
      <c r="U13" s="693" t="str">
        <f t="shared" si="26"/>
        <v/>
      </c>
      <c r="V13" s="693" t="str">
        <f t="shared" si="27"/>
        <v/>
      </c>
      <c r="W13" s="693" t="str">
        <f t="shared" si="28"/>
        <v/>
      </c>
      <c r="X13" s="47" t="s">
        <v>2153</v>
      </c>
      <c r="Y13" s="743" t="s">
        <v>7131</v>
      </c>
      <c r="Z13" s="55" t="s">
        <v>1319</v>
      </c>
      <c r="AA13" s="47">
        <v>97</v>
      </c>
      <c r="AB13" s="47" t="s">
        <v>2154</v>
      </c>
      <c r="AC13" s="47">
        <v>10</v>
      </c>
      <c r="AD13" s="15" t="s">
        <v>98</v>
      </c>
      <c r="AE13" s="15" t="s">
        <v>98</v>
      </c>
      <c r="AF13" s="20" t="s">
        <v>114</v>
      </c>
      <c r="AG13" s="15" t="s">
        <v>98</v>
      </c>
      <c r="AH13" s="15" t="s">
        <v>98</v>
      </c>
      <c r="AI13" s="15" t="s">
        <v>116</v>
      </c>
      <c r="AJ13" s="15" t="s">
        <v>116</v>
      </c>
      <c r="AK13" s="18" t="s">
        <v>97</v>
      </c>
      <c r="AL13" s="15" t="s">
        <v>149</v>
      </c>
      <c r="AM13" s="15" t="s">
        <v>112</v>
      </c>
      <c r="AN13" s="15" t="s">
        <v>149</v>
      </c>
      <c r="AO13" s="15" t="s">
        <v>149</v>
      </c>
      <c r="AP13" s="141" t="s">
        <v>4953</v>
      </c>
      <c r="AQ13" s="87" t="s">
        <v>734</v>
      </c>
      <c r="AR13" s="22" t="s">
        <v>2155</v>
      </c>
      <c r="AS13" s="87" t="s">
        <v>734</v>
      </c>
      <c r="AT13" s="87" t="s">
        <v>15788</v>
      </c>
      <c r="AU13" s="87" t="s">
        <v>5412</v>
      </c>
      <c r="AV13" s="87" t="s">
        <v>4641</v>
      </c>
      <c r="AW13" s="457">
        <v>0</v>
      </c>
      <c r="AX13" s="630" t="str">
        <f t="shared" si="38"/>
        <v/>
      </c>
      <c r="AY13" s="630" t="str">
        <f t="shared" si="39"/>
        <v/>
      </c>
      <c r="AZ13" s="630" t="str">
        <f t="shared" si="40"/>
        <v/>
      </c>
      <c r="BK13" s="3"/>
      <c r="BL13" s="3">
        <v>11</v>
      </c>
      <c r="BM13" s="3">
        <v>21</v>
      </c>
      <c r="BO13" s="83" t="s">
        <v>7348</v>
      </c>
      <c r="BP13" s="3" t="s">
        <v>305</v>
      </c>
      <c r="BQ13" s="83" t="s">
        <v>11824</v>
      </c>
      <c r="BR13" s="83" t="s">
        <v>13218</v>
      </c>
      <c r="BS13" t="s">
        <v>9076</v>
      </c>
      <c r="BT13" s="83" t="str">
        <f>IF(OR(SelectRace="",SelectRace="Homme-lézard"),"","Naggaroth")</f>
        <v/>
      </c>
      <c r="BU13" s="83" t="str">
        <f t="shared" si="30"/>
        <v/>
      </c>
      <c r="BV13" s="83" t="str">
        <f t="shared" si="31"/>
        <v/>
      </c>
      <c r="BW13" s="83" t="str">
        <f t="shared" si="32"/>
        <v/>
      </c>
      <c r="BX13" s="3" t="str">
        <f>IF(SelectRace="Halfling","Le Grand comté du Mootland","")</f>
        <v/>
      </c>
      <c r="BY13" t="str">
        <f t="shared" si="33"/>
        <v/>
      </c>
      <c r="BZ13" s="83" t="str">
        <f t="shared" si="7"/>
        <v/>
      </c>
      <c r="CA13" s="83" t="str">
        <f t="shared" si="8"/>
        <v/>
      </c>
      <c r="CB13" s="530" t="str">
        <f t="shared" si="9"/>
        <v/>
      </c>
      <c r="CC13" s="3" t="s">
        <v>3222</v>
      </c>
      <c r="CD13" t="s">
        <v>10634</v>
      </c>
      <c r="CE13" t="s">
        <v>10773</v>
      </c>
      <c r="CF13" s="3" t="s">
        <v>1098</v>
      </c>
      <c r="CG13" s="3" t="s">
        <v>6137</v>
      </c>
      <c r="CH13" s="3" t="s">
        <v>5920</v>
      </c>
      <c r="CI13" s="83" t="s">
        <v>15081</v>
      </c>
      <c r="CJ13" s="83" t="s">
        <v>10204</v>
      </c>
      <c r="CK13" s="3" t="s">
        <v>6813</v>
      </c>
      <c r="CL13" s="3" t="s">
        <v>6440</v>
      </c>
      <c r="CM13" s="3" t="s">
        <v>6618</v>
      </c>
      <c r="CN13" s="3" t="s">
        <v>6549</v>
      </c>
      <c r="CO13" s="3" t="str">
        <f>CONCATENATE("Balgor",IF(AND('page 1'!M377="Féminin",Pays="Norsca"),"dottir",IF(AND('page 1'!M377="Masculin",Pays="Norsca"),"son",IF(AND('page 1'!M377="Féminin",Pays="Kislev"),"ovna",IF(AND('page 1'!M377="Masculin",Pays="Kislev"),"sky","")))))</f>
        <v>Balgor</v>
      </c>
      <c r="CP13" s="83" t="s">
        <v>13299</v>
      </c>
      <c r="CQ13" s="83" t="s">
        <v>13339</v>
      </c>
      <c r="CR13" s="83" t="s">
        <v>13384</v>
      </c>
      <c r="CS13" s="3" t="s">
        <v>11110</v>
      </c>
      <c r="CT13" s="177" t="s">
        <v>1496</v>
      </c>
      <c r="CU13" s="3" t="str">
        <f>IF(Intro!K20="X","Magie de la Waaagh",IF(Gestion!W76&gt;0,"Magie de la Waaagh",IF(Gestion!W135&gt;0,"Magie mineure","")))</f>
        <v/>
      </c>
      <c r="CV13" s="35" t="str">
        <f t="shared" si="44"/>
        <v/>
      </c>
      <c r="CW13" s="35" t="str">
        <f t="shared" si="10"/>
        <v/>
      </c>
      <c r="CX13" s="35" t="str">
        <f t="shared" si="11"/>
        <v/>
      </c>
      <c r="CY13" s="3" t="s">
        <v>396</v>
      </c>
      <c r="DA13" s="3" t="s">
        <v>12596</v>
      </c>
      <c r="DB13" s="84" t="s">
        <v>12597</v>
      </c>
      <c r="DC13" s="3" t="s">
        <v>2488</v>
      </c>
      <c r="DD13" s="83" t="s">
        <v>11204</v>
      </c>
      <c r="DE13" s="3" t="s">
        <v>132</v>
      </c>
      <c r="DF13" s="3">
        <f>ROW()</f>
        <v>13</v>
      </c>
      <c r="DG13" s="3" t="s">
        <v>2680</v>
      </c>
      <c r="DH13" s="3">
        <f t="shared" si="12"/>
        <v>750</v>
      </c>
      <c r="DI13" s="3">
        <f t="shared" si="13"/>
        <v>565</v>
      </c>
      <c r="DJ13" s="3">
        <f t="shared" si="14"/>
        <v>380</v>
      </c>
      <c r="DK13" s="3">
        <f t="shared" si="15"/>
        <v>195</v>
      </c>
      <c r="DM13" s="3" t="s">
        <v>2726</v>
      </c>
      <c r="DN13" s="83" t="s">
        <v>16317</v>
      </c>
      <c r="DO13" s="3" t="s">
        <v>2738</v>
      </c>
      <c r="DP13" s="83" t="s">
        <v>12186</v>
      </c>
      <c r="DQ13" s="83" t="s">
        <v>2761</v>
      </c>
      <c r="DS13" s="3" t="s">
        <v>2777</v>
      </c>
      <c r="DT13" s="83" t="s">
        <v>15180</v>
      </c>
      <c r="DU13" s="83" t="s">
        <v>15261</v>
      </c>
      <c r="DV13" s="3" t="s">
        <v>2808</v>
      </c>
      <c r="DW13" s="3" t="s">
        <v>2806</v>
      </c>
      <c r="DX13" s="83" t="s">
        <v>15584</v>
      </c>
      <c r="DY13" s="83" t="s">
        <v>15610</v>
      </c>
      <c r="DZ13" s="3" t="s">
        <v>2928</v>
      </c>
      <c r="EA13" s="83" t="s">
        <v>4527</v>
      </c>
      <c r="ED13" s="83" t="s">
        <v>12422</v>
      </c>
      <c r="EE13" s="83" t="s">
        <v>140</v>
      </c>
      <c r="EF13" s="530" t="s">
        <v>13115</v>
      </c>
      <c r="EG13" s="356" t="str">
        <f>IF(SelectRace="Humain","Demi-ogre","")</f>
        <v/>
      </c>
      <c r="EH13" s="83" t="str">
        <f t="shared" si="16"/>
        <v/>
      </c>
      <c r="EI13" s="83" t="str">
        <f t="shared" si="17"/>
        <v/>
      </c>
      <c r="EJ13" s="83" t="str">
        <f t="shared" si="18"/>
        <v/>
      </c>
      <c r="EK13" s="874" t="s">
        <v>9179</v>
      </c>
      <c r="EM13" s="90" t="s">
        <v>5076</v>
      </c>
      <c r="EN13" s="83" t="s">
        <v>5152</v>
      </c>
      <c r="EO13" s="103" t="s">
        <v>5080</v>
      </c>
      <c r="EP13" s="83" t="s">
        <v>5083</v>
      </c>
      <c r="EQ13" s="481" t="str">
        <f>IF(SelectRace="Nain","Grungni","")</f>
        <v/>
      </c>
      <c r="ER13" s="83" t="str">
        <f t="shared" si="34"/>
        <v/>
      </c>
      <c r="ES13" s="83" t="str">
        <f t="shared" si="35"/>
        <v/>
      </c>
      <c r="ET13" s="530" t="str">
        <f t="shared" si="36"/>
        <v/>
      </c>
      <c r="EU13" s="177" t="str">
        <f>IF(Dieu="Gazul","Prêtre","")</f>
        <v/>
      </c>
      <c r="EV13" s="83" t="str">
        <f t="shared" si="37"/>
        <v/>
      </c>
      <c r="EW13" s="83" t="str">
        <f t="shared" si="22"/>
        <v/>
      </c>
      <c r="EX13" s="530" t="str">
        <f t="shared" si="23"/>
        <v/>
      </c>
      <c r="EY13" s="83" t="s">
        <v>439</v>
      </c>
      <c r="EZ13" s="530" t="s">
        <v>9332</v>
      </c>
      <c r="FB13" s="177" t="s">
        <v>14665</v>
      </c>
      <c r="FC13" s="732" t="s">
        <v>14630</v>
      </c>
      <c r="FD13" s="85" t="s">
        <v>14651</v>
      </c>
      <c r="FE13" s="851">
        <v>16</v>
      </c>
      <c r="FF13" s="25">
        <v>56</v>
      </c>
      <c r="FG13" s="25">
        <v>0</v>
      </c>
      <c r="FH13" s="25">
        <v>55</v>
      </c>
      <c r="FI13" s="25">
        <v>80</v>
      </c>
      <c r="FJ13" s="685">
        <v>30</v>
      </c>
      <c r="FK13" s="25">
        <v>41</v>
      </c>
      <c r="FL13" s="25">
        <v>89</v>
      </c>
      <c r="FM13" s="166">
        <v>34</v>
      </c>
      <c r="FN13" s="88">
        <v>6</v>
      </c>
      <c r="FO13" s="88">
        <v>56</v>
      </c>
      <c r="FP13" s="733">
        <f t="shared" si="45"/>
        <v>5</v>
      </c>
      <c r="FQ13" s="733">
        <f t="shared" si="43"/>
        <v>8</v>
      </c>
      <c r="FR13" s="734" t="s">
        <v>7251</v>
      </c>
      <c r="FS13" s="167">
        <v>1</v>
      </c>
      <c r="FT13" s="167">
        <v>0</v>
      </c>
      <c r="FU13" s="166">
        <v>0</v>
      </c>
      <c r="FV13" s="177" t="s">
        <v>14666</v>
      </c>
      <c r="FW13" s="177" t="s">
        <v>14668</v>
      </c>
      <c r="FX13" s="567" t="s">
        <v>9938</v>
      </c>
      <c r="GA13" s="83" t="s">
        <v>7641</v>
      </c>
      <c r="GC13" s="83" t="s">
        <v>7331</v>
      </c>
      <c r="GE13" s="356" t="s">
        <v>317</v>
      </c>
      <c r="GF13" t="s">
        <v>8159</v>
      </c>
      <c r="GG13" s="356" t="s">
        <v>8823</v>
      </c>
      <c r="GH13" s="83" t="s">
        <v>8824</v>
      </c>
      <c r="GI13" s="83" t="s">
        <v>8813</v>
      </c>
      <c r="GJ13" s="83" t="s">
        <v>9012</v>
      </c>
      <c r="GK13" s="530">
        <f t="shared" si="25"/>
        <v>12</v>
      </c>
    </row>
    <row r="14" spans="1:198" ht="13.2" customHeight="1">
      <c r="A14" s="83" t="s">
        <v>2607</v>
      </c>
      <c r="H14" s="3" t="s">
        <v>2871</v>
      </c>
      <c r="I14" s="6" t="s">
        <v>2872</v>
      </c>
      <c r="J14" s="3" t="s">
        <v>828</v>
      </c>
      <c r="K14" s="3" t="s">
        <v>132</v>
      </c>
      <c r="L14" s="3"/>
      <c r="M14" s="748" t="s">
        <v>13100</v>
      </c>
      <c r="N14" s="3" t="s">
        <v>859</v>
      </c>
      <c r="O14" s="85" t="s">
        <v>12562</v>
      </c>
      <c r="P14" s="3" t="s">
        <v>12523</v>
      </c>
      <c r="Q14" s="3" t="s">
        <v>859</v>
      </c>
      <c r="R14" s="651" t="s">
        <v>12524</v>
      </c>
      <c r="S14" s="83" t="str">
        <f>IF(CareerType=Y14,"Amiral",IF(AllCareers="X","Amiral",IF(Selectsousrace="","",IF(OR(SelectRace="homme-bête",SelectRace="peau-verte",SelectRace="créature du chaos",SelectRace="Homme-lézard",SelectRace="skaven"),"",IF(FirstCareer="1ère carrière","","Amiral")))))</f>
        <v/>
      </c>
      <c r="T14" s="106">
        <v>3</v>
      </c>
      <c r="U14" s="693" t="str">
        <f t="shared" si="26"/>
        <v/>
      </c>
      <c r="V14" s="693" t="str">
        <f t="shared" si="27"/>
        <v/>
      </c>
      <c r="W14" s="693" t="str">
        <f t="shared" si="28"/>
        <v/>
      </c>
      <c r="X14" s="48" t="s">
        <v>2153</v>
      </c>
      <c r="Y14" s="744" t="s">
        <v>7130</v>
      </c>
      <c r="Z14" s="55" t="s">
        <v>2156</v>
      </c>
      <c r="AA14" s="48">
        <v>77</v>
      </c>
      <c r="AB14" s="48" t="s">
        <v>2157</v>
      </c>
      <c r="AC14" s="47">
        <v>7</v>
      </c>
      <c r="AD14" s="15" t="s">
        <v>99</v>
      </c>
      <c r="AE14" s="15" t="s">
        <v>100</v>
      </c>
      <c r="AF14" s="15" t="s">
        <v>101</v>
      </c>
      <c r="AG14" s="15" t="s">
        <v>101</v>
      </c>
      <c r="AH14" s="15" t="s">
        <v>101</v>
      </c>
      <c r="AI14" s="15" t="s">
        <v>116</v>
      </c>
      <c r="AJ14" s="15" t="s">
        <v>116</v>
      </c>
      <c r="AK14" s="18" t="s">
        <v>119</v>
      </c>
      <c r="AL14" s="15" t="s">
        <v>102</v>
      </c>
      <c r="AM14" s="15" t="s">
        <v>112</v>
      </c>
      <c r="AN14" s="15" t="s">
        <v>149</v>
      </c>
      <c r="AO14" s="15" t="s">
        <v>149</v>
      </c>
      <c r="AP14" s="22" t="s">
        <v>2158</v>
      </c>
      <c r="AQ14" s="87" t="s">
        <v>734</v>
      </c>
      <c r="AR14" s="22" t="s">
        <v>2159</v>
      </c>
      <c r="AS14" s="87" t="s">
        <v>734</v>
      </c>
      <c r="AT14" s="87" t="s">
        <v>3537</v>
      </c>
      <c r="AU14" s="87" t="s">
        <v>5480</v>
      </c>
      <c r="AV14" s="87" t="s">
        <v>4738</v>
      </c>
      <c r="AW14" s="457">
        <v>0</v>
      </c>
      <c r="AX14" s="630" t="str">
        <f t="shared" si="38"/>
        <v/>
      </c>
      <c r="AY14" s="630" t="str">
        <f t="shared" si="39"/>
        <v/>
      </c>
      <c r="AZ14" s="630" t="str">
        <f t="shared" si="40"/>
        <v/>
      </c>
      <c r="BA14" s="3"/>
      <c r="BB14" s="3"/>
      <c r="BC14" s="3"/>
      <c r="BD14" s="3"/>
      <c r="BE14" s="3"/>
      <c r="BF14" s="3"/>
      <c r="BG14" s="3"/>
      <c r="BH14" s="3"/>
      <c r="BI14" s="3"/>
      <c r="BJ14" s="3"/>
      <c r="BK14" s="3"/>
      <c r="BL14" s="3">
        <v>12</v>
      </c>
      <c r="BM14" s="3">
        <v>22</v>
      </c>
      <c r="BN14" s="3"/>
      <c r="BO14" s="3" t="s">
        <v>1023</v>
      </c>
      <c r="BP14" s="3" t="s">
        <v>315</v>
      </c>
      <c r="BQ14" s="3" t="s">
        <v>11825</v>
      </c>
      <c r="BR14" s="83" t="s">
        <v>16340</v>
      </c>
      <c r="BS14" s="83" t="s">
        <v>2749</v>
      </c>
      <c r="BT14" s="3" t="str">
        <f>IF(OR(SelectRace="Humain",SelectRace="Skaven",SelectRace="Vampire"),"Nippon","")</f>
        <v/>
      </c>
      <c r="BU14" s="83" t="str">
        <f t="shared" si="30"/>
        <v/>
      </c>
      <c r="BV14" s="83" t="str">
        <f t="shared" si="31"/>
        <v/>
      </c>
      <c r="BW14" s="83" t="str">
        <f t="shared" si="32"/>
        <v/>
      </c>
      <c r="BX14" s="3" t="str">
        <f>IF(Province="Grande baronnie du Nordland","Bourg de la Grande baronnie du Nordland","")</f>
        <v/>
      </c>
      <c r="BY14" t="str">
        <f t="shared" si="33"/>
        <v/>
      </c>
      <c r="BZ14" s="83" t="str">
        <f t="shared" si="7"/>
        <v/>
      </c>
      <c r="CA14" s="83" t="str">
        <f t="shared" si="8"/>
        <v/>
      </c>
      <c r="CB14" s="530" t="str">
        <f t="shared" si="9"/>
        <v/>
      </c>
      <c r="CC14" s="3" t="s">
        <v>3223</v>
      </c>
      <c r="CD14" s="3" t="s">
        <v>3162</v>
      </c>
      <c r="CE14" s="83" t="s">
        <v>10224</v>
      </c>
      <c r="CF14" s="3" t="s">
        <v>1099</v>
      </c>
      <c r="CG14" s="3" t="s">
        <v>885</v>
      </c>
      <c r="CH14" s="3" t="s">
        <v>903</v>
      </c>
      <c r="CI14" s="83" t="s">
        <v>14958</v>
      </c>
      <c r="CJ14" s="3" t="s">
        <v>947</v>
      </c>
      <c r="CK14" s="3" t="s">
        <v>6726</v>
      </c>
      <c r="CL14" s="3" t="s">
        <v>6514</v>
      </c>
      <c r="CM14" s="83" t="s">
        <v>10243</v>
      </c>
      <c r="CN14" s="3" t="s">
        <v>6564</v>
      </c>
      <c r="CO14" s="83" t="s">
        <v>12382</v>
      </c>
      <c r="CP14" s="83" t="s">
        <v>13333</v>
      </c>
      <c r="CQ14" s="83" t="s">
        <v>13337</v>
      </c>
      <c r="CR14" s="83" t="s">
        <v>13385</v>
      </c>
      <c r="CS14" s="83" t="s">
        <v>15022</v>
      </c>
      <c r="CT14" s="177" t="s">
        <v>816</v>
      </c>
      <c r="CU14" s="678"/>
      <c r="CV14" s="3"/>
      <c r="CW14" s="3"/>
      <c r="CX14" s="3"/>
      <c r="CY14" s="3" t="s">
        <v>2908</v>
      </c>
      <c r="CZ14" s="3"/>
      <c r="DA14" s="3" t="s">
        <v>12598</v>
      </c>
      <c r="DB14" s="83" t="s">
        <v>12599</v>
      </c>
      <c r="DC14" s="3" t="s">
        <v>2497</v>
      </c>
      <c r="DD14" s="83" t="s">
        <v>11215</v>
      </c>
      <c r="DE14" s="3" t="s">
        <v>132</v>
      </c>
      <c r="DF14" s="3">
        <f>ROW()</f>
        <v>14</v>
      </c>
      <c r="DG14" s="3" t="s">
        <v>2678</v>
      </c>
      <c r="DH14" s="3">
        <f t="shared" si="12"/>
        <v>195</v>
      </c>
      <c r="DI14" s="3">
        <f t="shared" si="13"/>
        <v>160</v>
      </c>
      <c r="DJ14" s="3">
        <f t="shared" si="14"/>
        <v>130</v>
      </c>
      <c r="DK14" s="3">
        <f t="shared" si="15"/>
        <v>105</v>
      </c>
      <c r="DL14" s="3"/>
      <c r="DM14" s="83" t="s">
        <v>16271</v>
      </c>
      <c r="DN14" s="83" t="s">
        <v>16319</v>
      </c>
      <c r="DO14" s="83" t="s">
        <v>12165</v>
      </c>
      <c r="DP14" s="83" t="s">
        <v>12187</v>
      </c>
      <c r="DQ14" s="83" t="s">
        <v>9084</v>
      </c>
      <c r="DR14" s="3"/>
      <c r="DS14" s="3" t="s">
        <v>2778</v>
      </c>
      <c r="DT14" s="83" t="s">
        <v>9443</v>
      </c>
      <c r="DU14" s="83" t="s">
        <v>11940</v>
      </c>
      <c r="DV14" s="3" t="s">
        <v>2890</v>
      </c>
      <c r="DW14" s="3" t="s">
        <v>2886</v>
      </c>
      <c r="DX14" s="83" t="s">
        <v>15567</v>
      </c>
      <c r="DY14" s="83" t="s">
        <v>15564</v>
      </c>
      <c r="DZ14" s="3" t="s">
        <v>2929</v>
      </c>
      <c r="EA14" s="83" t="s">
        <v>4527</v>
      </c>
      <c r="EB14" s="3"/>
      <c r="ED14" s="83" t="s">
        <v>12425</v>
      </c>
      <c r="EE14" s="83" t="s">
        <v>140</v>
      </c>
      <c r="EF14" s="530" t="s">
        <v>13116</v>
      </c>
      <c r="EG14" s="356" t="str">
        <f>IF(SelectRace="Humain","Kurgan/Hung","")</f>
        <v/>
      </c>
      <c r="EH14" s="83" t="str">
        <f t="shared" si="16"/>
        <v/>
      </c>
      <c r="EI14" s="83" t="str">
        <f t="shared" si="17"/>
        <v/>
      </c>
      <c r="EJ14" s="83" t="str">
        <f t="shared" si="18"/>
        <v/>
      </c>
      <c r="EK14" s="874" t="s">
        <v>16643</v>
      </c>
      <c r="EM14" s="90" t="s">
        <v>5056</v>
      </c>
      <c r="EN14" s="83" t="s">
        <v>5152</v>
      </c>
      <c r="EO14" s="90" t="s">
        <v>5060</v>
      </c>
      <c r="EP14" s="83" t="s">
        <v>5050</v>
      </c>
      <c r="EQ14" s="481" t="s">
        <v>10844</v>
      </c>
      <c r="ER14" s="83">
        <f t="shared" si="34"/>
        <v>14</v>
      </c>
      <c r="ES14" s="83" t="str">
        <f t="shared" si="35"/>
        <v/>
      </c>
      <c r="ET14" s="530" t="str">
        <f t="shared" si="36"/>
        <v/>
      </c>
      <c r="EU14" s="177" t="str">
        <f>IF(Dieu="Geheb","Initié","")</f>
        <v/>
      </c>
      <c r="EV14" s="83" t="str">
        <f t="shared" si="37"/>
        <v/>
      </c>
      <c r="EW14" s="83" t="str">
        <f t="shared" si="22"/>
        <v/>
      </c>
      <c r="EX14" s="530" t="str">
        <f t="shared" si="23"/>
        <v/>
      </c>
      <c r="EY14" s="83" t="s">
        <v>419</v>
      </c>
      <c r="EZ14" s="530" t="s">
        <v>9623</v>
      </c>
      <c r="FB14" s="177" t="s">
        <v>14646</v>
      </c>
      <c r="FC14" s="732" t="s">
        <v>14630</v>
      </c>
      <c r="FD14" s="641" t="s">
        <v>4551</v>
      </c>
      <c r="FE14" s="853" t="s">
        <v>149</v>
      </c>
      <c r="FF14" s="25">
        <v>60</v>
      </c>
      <c r="FG14" s="25">
        <v>0</v>
      </c>
      <c r="FH14" s="25">
        <v>60</v>
      </c>
      <c r="FI14" s="25">
        <v>60</v>
      </c>
      <c r="FJ14" s="685">
        <v>25</v>
      </c>
      <c r="FK14" s="25">
        <v>30</v>
      </c>
      <c r="FL14" s="25">
        <v>80</v>
      </c>
      <c r="FM14" s="166">
        <v>20</v>
      </c>
      <c r="FN14" s="88">
        <v>5</v>
      </c>
      <c r="FO14" s="88">
        <v>60</v>
      </c>
      <c r="FP14" s="733">
        <f t="shared" si="45"/>
        <v>6</v>
      </c>
      <c r="FQ14" s="733">
        <f t="shared" si="43"/>
        <v>6</v>
      </c>
      <c r="FR14" s="734" t="s">
        <v>7251</v>
      </c>
      <c r="FS14" s="167">
        <v>1</v>
      </c>
      <c r="FT14" s="167">
        <v>0</v>
      </c>
      <c r="FU14" s="166">
        <v>0</v>
      </c>
      <c r="FV14" s="177" t="s">
        <v>14650</v>
      </c>
      <c r="FW14" s="177" t="s">
        <v>14701</v>
      </c>
      <c r="FX14" s="567" t="s">
        <v>9938</v>
      </c>
      <c r="GA14" s="83" t="s">
        <v>7609</v>
      </c>
      <c r="GC14" s="3" t="s">
        <v>1018</v>
      </c>
      <c r="GE14" s="356" t="s">
        <v>7646</v>
      </c>
      <c r="GF14" t="s">
        <v>8165</v>
      </c>
      <c r="GG14" s="356" t="s">
        <v>8822</v>
      </c>
      <c r="GH14" s="83" t="s">
        <v>8824</v>
      </c>
      <c r="GI14" s="83" t="s">
        <v>8813</v>
      </c>
      <c r="GJ14" s="83" t="s">
        <v>8876</v>
      </c>
      <c r="GK14" s="530">
        <f t="shared" si="25"/>
        <v>13</v>
      </c>
    </row>
    <row r="15" spans="1:198" ht="13.2" customHeight="1">
      <c r="A15" s="83" t="s">
        <v>2608</v>
      </c>
      <c r="H15" s="3" t="s">
        <v>398</v>
      </c>
      <c r="I15" s="84" t="s">
        <v>14600</v>
      </c>
      <c r="J15" s="3" t="s">
        <v>829</v>
      </c>
      <c r="K15" s="3" t="s">
        <v>134</v>
      </c>
      <c r="L15" s="3"/>
      <c r="M15" s="652" t="s">
        <v>2455</v>
      </c>
      <c r="N15" s="3" t="s">
        <v>860</v>
      </c>
      <c r="O15" s="85" t="s">
        <v>12563</v>
      </c>
      <c r="P15" s="3" t="s">
        <v>12525</v>
      </c>
      <c r="Q15" s="3" t="s">
        <v>12526</v>
      </c>
      <c r="R15" s="651" t="s">
        <v>12527</v>
      </c>
      <c r="S15" s="83" t="str">
        <f>IF(CareerType=Y15,"Anachorète",IF(AllCareers="X","Anachorète",IF(Selectsousrace&lt;&gt;"Humain","",IF(Pays="Empire","Anachorète",IF(Pays="Kislev","Anachorète",IF(Pays="Tilée","Anachorète",IF(Pays="Estalie","Anachorète","")))))))</f>
        <v/>
      </c>
      <c r="T15" s="106">
        <f t="shared" ref="T15:T23" si="46">IF(X15="oui",0,1)</f>
        <v>0</v>
      </c>
      <c r="U15" s="693" t="str">
        <f t="shared" si="26"/>
        <v/>
      </c>
      <c r="V15" s="693" t="str">
        <f t="shared" si="27"/>
        <v/>
      </c>
      <c r="W15" s="693" t="str">
        <f t="shared" si="28"/>
        <v/>
      </c>
      <c r="X15" s="47" t="s">
        <v>2160</v>
      </c>
      <c r="Y15" s="743" t="s">
        <v>7131</v>
      </c>
      <c r="Z15" s="55" t="s">
        <v>2204</v>
      </c>
      <c r="AA15" s="47">
        <v>52</v>
      </c>
      <c r="AB15" s="47" t="s">
        <v>2205</v>
      </c>
      <c r="AC15" s="47">
        <v>11</v>
      </c>
      <c r="AD15" s="15" t="s">
        <v>149</v>
      </c>
      <c r="AE15" s="15" t="s">
        <v>114</v>
      </c>
      <c r="AF15" s="15" t="s">
        <v>114</v>
      </c>
      <c r="AG15" s="15" t="s">
        <v>98</v>
      </c>
      <c r="AH15" s="15" t="s">
        <v>98</v>
      </c>
      <c r="AI15" s="15" t="s">
        <v>149</v>
      </c>
      <c r="AJ15" s="15" t="s">
        <v>98</v>
      </c>
      <c r="AK15" s="18" t="s">
        <v>149</v>
      </c>
      <c r="AL15" s="15" t="s">
        <v>149</v>
      </c>
      <c r="AM15" s="15" t="s">
        <v>113</v>
      </c>
      <c r="AN15" s="15" t="s">
        <v>149</v>
      </c>
      <c r="AO15" s="15" t="s">
        <v>149</v>
      </c>
      <c r="AP15" s="87" t="s">
        <v>15827</v>
      </c>
      <c r="AQ15" s="87" t="s">
        <v>734</v>
      </c>
      <c r="AR15" s="87" t="s">
        <v>10010</v>
      </c>
      <c r="AS15" s="87" t="s">
        <v>734</v>
      </c>
      <c r="AT15" s="22" t="s">
        <v>16644</v>
      </c>
      <c r="AU15" s="87" t="s">
        <v>5384</v>
      </c>
      <c r="AV15" s="87" t="s">
        <v>4698</v>
      </c>
      <c r="AW15" s="457">
        <v>0</v>
      </c>
      <c r="AX15" s="630" t="str">
        <f t="shared" si="38"/>
        <v/>
      </c>
      <c r="AY15" s="630" t="str">
        <f t="shared" si="39"/>
        <v/>
      </c>
      <c r="AZ15" s="630" t="str">
        <f t="shared" si="40"/>
        <v/>
      </c>
      <c r="BA15" s="3"/>
      <c r="BB15" s="3"/>
      <c r="BC15" s="3"/>
      <c r="BD15" s="3"/>
      <c r="BE15" s="3"/>
      <c r="BF15" s="3"/>
      <c r="BG15" s="3"/>
      <c r="BH15" s="3"/>
      <c r="BI15" s="3"/>
      <c r="BJ15" s="3"/>
      <c r="BK15" s="3"/>
      <c r="BL15" s="3">
        <v>13</v>
      </c>
      <c r="BM15" s="3">
        <v>23</v>
      </c>
      <c r="BN15" s="3"/>
      <c r="BO15" s="83" t="s">
        <v>7349</v>
      </c>
      <c r="BP15" s="3" t="s">
        <v>304</v>
      </c>
      <c r="BQ15" s="3" t="s">
        <v>11826</v>
      </c>
      <c r="BR15" s="83" t="s">
        <v>4674</v>
      </c>
      <c r="BS15" s="83" t="s">
        <v>2742</v>
      </c>
      <c r="BT15" s="3" t="str">
        <f>IF(OR(SelectRace="Humain",SelectRace="Nain",SelectRace="Vampire",SelectRace="peau-verte",SelectRace="Créature du Chaos"),"Norsca","")</f>
        <v/>
      </c>
      <c r="BU15" s="83" t="str">
        <f t="shared" si="30"/>
        <v/>
      </c>
      <c r="BV15" s="83" t="str">
        <f t="shared" si="31"/>
        <v/>
      </c>
      <c r="BW15" s="83" t="str">
        <f t="shared" si="32"/>
        <v/>
      </c>
      <c r="BX15" s="3" t="str">
        <f>IF(Province="Grande principauté du Reikland","Bourg de la Grande principauté du Reikland","")</f>
        <v/>
      </c>
      <c r="BY15" t="str">
        <f t="shared" si="33"/>
        <v/>
      </c>
      <c r="BZ15" s="83" t="str">
        <f t="shared" si="7"/>
        <v/>
      </c>
      <c r="CA15" s="83" t="str">
        <f t="shared" si="8"/>
        <v/>
      </c>
      <c r="CB15" s="530" t="str">
        <f t="shared" si="9"/>
        <v/>
      </c>
      <c r="CC15" s="3" t="s">
        <v>10701</v>
      </c>
      <c r="CD15" t="s">
        <v>10636</v>
      </c>
      <c r="CE15" s="83" t="s">
        <v>10225</v>
      </c>
      <c r="CF15" s="83" t="s">
        <v>10210</v>
      </c>
      <c r="CG15" s="83" t="s">
        <v>15251</v>
      </c>
      <c r="CH15" s="3" t="s">
        <v>5921</v>
      </c>
      <c r="CI15" s="83" t="s">
        <v>15085</v>
      </c>
      <c r="CJ15" s="3" t="s">
        <v>1099</v>
      </c>
      <c r="CK15" s="3" t="s">
        <v>6772</v>
      </c>
      <c r="CL15" s="3" t="s">
        <v>6513</v>
      </c>
      <c r="CM15" s="83" t="s">
        <v>10245</v>
      </c>
      <c r="CN15" s="3" t="s">
        <v>6598</v>
      </c>
      <c r="CO15" s="3" t="s">
        <v>10895</v>
      </c>
      <c r="CP15" s="83" t="s">
        <v>13325</v>
      </c>
      <c r="CQ15" s="83" t="s">
        <v>13341</v>
      </c>
      <c r="CR15" s="3" t="s">
        <v>13386</v>
      </c>
      <c r="CS15" s="3" t="s">
        <v>11111</v>
      </c>
      <c r="CT15" s="136" t="s">
        <v>406</v>
      </c>
      <c r="CU15" s="3"/>
      <c r="CV15" s="3"/>
      <c r="CW15" s="3"/>
      <c r="CX15" s="3"/>
      <c r="CY15" s="3" t="s">
        <v>397</v>
      </c>
      <c r="CZ15" s="3"/>
      <c r="DA15" s="3" t="s">
        <v>2506</v>
      </c>
      <c r="DB15" s="83" t="s">
        <v>12732</v>
      </c>
      <c r="DC15" s="3" t="s">
        <v>2464</v>
      </c>
      <c r="DD15" s="83" t="s">
        <v>11238</v>
      </c>
      <c r="DE15" s="3" t="s">
        <v>132</v>
      </c>
      <c r="DF15" s="3">
        <f>ROW()</f>
        <v>15</v>
      </c>
      <c r="DG15" s="3" t="s">
        <v>780</v>
      </c>
      <c r="DH15" s="3">
        <f t="shared" si="12"/>
        <v>400</v>
      </c>
      <c r="DI15" s="3">
        <f t="shared" si="13"/>
        <v>300</v>
      </c>
      <c r="DJ15" s="3">
        <f t="shared" si="14"/>
        <v>210</v>
      </c>
      <c r="DK15" s="3">
        <f t="shared" si="15"/>
        <v>120</v>
      </c>
      <c r="DL15" s="3"/>
      <c r="DM15" s="3" t="s">
        <v>2727</v>
      </c>
      <c r="DN15" s="83" t="s">
        <v>16320</v>
      </c>
      <c r="DO15" s="83" t="s">
        <v>12773</v>
      </c>
      <c r="DP15" s="83" t="s">
        <v>12188</v>
      </c>
      <c r="DQ15" s="3" t="s">
        <v>2756</v>
      </c>
      <c r="DR15" s="3"/>
      <c r="DS15" s="3" t="s">
        <v>2779</v>
      </c>
      <c r="DT15" s="3" t="s">
        <v>2828</v>
      </c>
      <c r="DU15" s="3" t="s">
        <v>15076</v>
      </c>
      <c r="DV15" s="3" t="s">
        <v>2809</v>
      </c>
      <c r="DW15" s="3" t="s">
        <v>2810</v>
      </c>
      <c r="DX15" s="83" t="s">
        <v>15576</v>
      </c>
      <c r="DY15" s="83" t="s">
        <v>15615</v>
      </c>
      <c r="DZ15" s="3" t="s">
        <v>2930</v>
      </c>
      <c r="EA15" s="83" t="s">
        <v>4527</v>
      </c>
      <c r="EB15" s="3"/>
      <c r="ED15" s="83" t="s">
        <v>12440</v>
      </c>
      <c r="EE15" s="83" t="s">
        <v>140</v>
      </c>
      <c r="EF15" s="530" t="s">
        <v>12443</v>
      </c>
      <c r="EG15" s="356" t="str">
        <f>IF(SelectRace="Humain","Demi-orc","")</f>
        <v/>
      </c>
      <c r="EH15" s="83" t="str">
        <f t="shared" si="16"/>
        <v/>
      </c>
      <c r="EI15" s="83" t="str">
        <f t="shared" si="17"/>
        <v/>
      </c>
      <c r="EJ15" s="83" t="str">
        <f t="shared" si="18"/>
        <v/>
      </c>
      <c r="EK15" s="874" t="s">
        <v>12783</v>
      </c>
      <c r="EM15" s="90" t="s">
        <v>5061</v>
      </c>
      <c r="EN15" s="83" t="s">
        <v>5152</v>
      </c>
      <c r="EO15" s="90" t="s">
        <v>5065</v>
      </c>
      <c r="EP15" s="83" t="s">
        <v>5064</v>
      </c>
      <c r="EQ15" s="481" t="str">
        <f>IF(Pays="Tilée","Mercopio",IF(Pays="Kislev","Kalita",IF(Pays="Estalie","O Prospèro",IF(Pays="Nippon","Hitoï",IF(Pays="Inja","Mahakali",IF(Pays="Pays Perdu","Haendryk","Handrich"))))))</f>
        <v>Handrich</v>
      </c>
      <c r="ER15" s="83">
        <f t="shared" si="34"/>
        <v>15</v>
      </c>
      <c r="ES15" s="83" t="str">
        <f t="shared" si="35"/>
        <v/>
      </c>
      <c r="ET15" s="530" t="str">
        <f t="shared" si="36"/>
        <v/>
      </c>
      <c r="EU15" s="177" t="str">
        <f>IF(Dieu="Grimnir","Initié","")</f>
        <v/>
      </c>
      <c r="EV15" s="83" t="str">
        <f t="shared" si="37"/>
        <v/>
      </c>
      <c r="EW15" s="83" t="str">
        <f t="shared" si="22"/>
        <v/>
      </c>
      <c r="EX15" s="530" t="str">
        <f t="shared" si="23"/>
        <v/>
      </c>
      <c r="EY15" s="83" t="s">
        <v>423</v>
      </c>
      <c r="FB15" s="177" t="s">
        <v>14694</v>
      </c>
      <c r="FC15" s="732" t="s">
        <v>14630</v>
      </c>
      <c r="FD15" s="85" t="s">
        <v>9987</v>
      </c>
      <c r="FE15" s="853" t="s">
        <v>149</v>
      </c>
      <c r="FF15" s="25">
        <v>49</v>
      </c>
      <c r="FG15" s="25">
        <v>0</v>
      </c>
      <c r="FH15" s="25">
        <v>54</v>
      </c>
      <c r="FI15" s="25">
        <v>68</v>
      </c>
      <c r="FJ15" s="685">
        <v>38</v>
      </c>
      <c r="FK15" s="25">
        <v>47</v>
      </c>
      <c r="FL15" s="25">
        <v>87</v>
      </c>
      <c r="FM15" s="166">
        <v>34</v>
      </c>
      <c r="FN15" s="88">
        <v>6</v>
      </c>
      <c r="FO15" s="88">
        <v>52</v>
      </c>
      <c r="FP15" s="733">
        <f t="shared" si="45"/>
        <v>5</v>
      </c>
      <c r="FQ15" s="733">
        <f t="shared" si="43"/>
        <v>6</v>
      </c>
      <c r="FR15" s="734" t="s">
        <v>7251</v>
      </c>
      <c r="FS15" s="167">
        <v>1</v>
      </c>
      <c r="FT15" s="167">
        <v>0</v>
      </c>
      <c r="FU15" s="166">
        <v>0</v>
      </c>
      <c r="FV15" s="177" t="s">
        <v>14697</v>
      </c>
      <c r="FW15" s="177" t="s">
        <v>14686</v>
      </c>
      <c r="FX15" s="567" t="s">
        <v>9938</v>
      </c>
      <c r="GA15" t="s">
        <v>2713</v>
      </c>
      <c r="GC15" s="3" t="s">
        <v>1008</v>
      </c>
      <c r="GE15" s="356"/>
      <c r="GF15" t="s">
        <v>8149</v>
      </c>
      <c r="GG15" s="356" t="s">
        <v>8814</v>
      </c>
      <c r="GH15" s="83" t="s">
        <v>8824</v>
      </c>
      <c r="GI15" s="83" t="s">
        <v>8813</v>
      </c>
      <c r="GJ15" s="83" t="s">
        <v>8875</v>
      </c>
      <c r="GK15" s="530">
        <f t="shared" si="25"/>
        <v>14</v>
      </c>
    </row>
    <row r="16" spans="1:198" ht="13.2" customHeight="1">
      <c r="A16" s="83" t="s">
        <v>8801</v>
      </c>
      <c r="H16" s="83" t="s">
        <v>9594</v>
      </c>
      <c r="I16" s="84" t="s">
        <v>9595</v>
      </c>
      <c r="J16" s="3" t="s">
        <v>830</v>
      </c>
      <c r="K16" s="3" t="s">
        <v>134</v>
      </c>
      <c r="L16" s="3"/>
      <c r="M16" s="651" t="s">
        <v>845</v>
      </c>
      <c r="N16" s="3" t="s">
        <v>861</v>
      </c>
      <c r="O16" s="85" t="s">
        <v>12564</v>
      </c>
      <c r="P16" s="3" t="s">
        <v>12528</v>
      </c>
      <c r="Q16" s="3" t="s">
        <v>12529</v>
      </c>
      <c r="R16" s="651" t="s">
        <v>12530</v>
      </c>
      <c r="S16" s="83" t="str">
        <f>IF(CareerType=Y16,"Ancien de Village",IF(AllCareers="X","Ancien de Village",IF(Selectsousrace="","",IF(OR(SelectRace="homme-bête",SelectRace="peau-verte",SelectRace="créature du chaos",SelectRace="Homme-lézard",SelectRace="skaven"),"",IF(FirstCareer="1ère carrière","","Ancien de Village")))))</f>
        <v/>
      </c>
      <c r="T16" s="106">
        <f t="shared" si="46"/>
        <v>1</v>
      </c>
      <c r="U16" s="693" t="str">
        <f t="shared" si="26"/>
        <v/>
      </c>
      <c r="V16" s="693" t="str">
        <f t="shared" si="27"/>
        <v/>
      </c>
      <c r="W16" s="693" t="str">
        <f t="shared" si="28"/>
        <v/>
      </c>
      <c r="X16" s="47" t="s">
        <v>2153</v>
      </c>
      <c r="Y16" s="743" t="s">
        <v>7132</v>
      </c>
      <c r="Z16" s="55" t="s">
        <v>2206</v>
      </c>
      <c r="AA16" s="47">
        <v>94</v>
      </c>
      <c r="AB16" s="47" t="s">
        <v>2207</v>
      </c>
      <c r="AC16" s="47">
        <v>220</v>
      </c>
      <c r="AD16" s="15" t="s">
        <v>149</v>
      </c>
      <c r="AE16" s="15" t="s">
        <v>149</v>
      </c>
      <c r="AF16" s="15" t="s">
        <v>149</v>
      </c>
      <c r="AG16" s="15" t="s">
        <v>149</v>
      </c>
      <c r="AH16" s="15" t="s">
        <v>149</v>
      </c>
      <c r="AI16" s="15" t="s">
        <v>100</v>
      </c>
      <c r="AJ16" s="15" t="s">
        <v>100</v>
      </c>
      <c r="AK16" s="18" t="s">
        <v>116</v>
      </c>
      <c r="AL16" s="15" t="s">
        <v>149</v>
      </c>
      <c r="AM16" s="15" t="s">
        <v>103</v>
      </c>
      <c r="AN16" s="15" t="s">
        <v>149</v>
      </c>
      <c r="AO16" s="15" t="s">
        <v>149</v>
      </c>
      <c r="AP16" s="22" t="s">
        <v>773</v>
      </c>
      <c r="AQ16" s="87" t="s">
        <v>734</v>
      </c>
      <c r="AR16" s="22" t="s">
        <v>774</v>
      </c>
      <c r="AS16" s="87" t="s">
        <v>734</v>
      </c>
      <c r="AT16" s="22" t="s">
        <v>3409</v>
      </c>
      <c r="AU16" s="87" t="s">
        <v>5455</v>
      </c>
      <c r="AV16" s="87" t="s">
        <v>4699</v>
      </c>
      <c r="AW16" s="457">
        <v>0</v>
      </c>
      <c r="AX16" s="630" t="str">
        <f t="shared" si="38"/>
        <v/>
      </c>
      <c r="AY16" s="630" t="str">
        <f t="shared" si="39"/>
        <v/>
      </c>
      <c r="AZ16" s="630" t="str">
        <f t="shared" si="40"/>
        <v/>
      </c>
      <c r="BA16" s="3"/>
      <c r="BB16" s="3"/>
      <c r="BC16" s="3"/>
      <c r="BD16" s="3"/>
      <c r="BE16" s="3"/>
      <c r="BF16" s="3"/>
      <c r="BG16" s="3"/>
      <c r="BH16" s="3"/>
      <c r="BI16" s="3"/>
      <c r="BJ16" s="3"/>
      <c r="BK16" s="3"/>
      <c r="BL16" s="3">
        <v>14</v>
      </c>
      <c r="BM16" s="3">
        <v>24</v>
      </c>
      <c r="BN16" s="3"/>
      <c r="BO16" s="3" t="s">
        <v>1018</v>
      </c>
      <c r="BP16" s="3" t="s">
        <v>314</v>
      </c>
      <c r="BQ16" s="3" t="s">
        <v>11827</v>
      </c>
      <c r="BR16" s="83" t="s">
        <v>3077</v>
      </c>
      <c r="BS16" s="83" t="s">
        <v>3804</v>
      </c>
      <c r="BT16" s="3" t="str">
        <f>IF(OR(SelectRace="",SelectRace="Homme-lézard"),"","Pays Perdu")</f>
        <v/>
      </c>
      <c r="BU16" s="83" t="str">
        <f t="shared" si="30"/>
        <v/>
      </c>
      <c r="BV16" s="83" t="str">
        <f t="shared" si="31"/>
        <v/>
      </c>
      <c r="BW16" s="83" t="str">
        <f t="shared" si="32"/>
        <v/>
      </c>
      <c r="BX16" s="3" t="str">
        <f>IF(Province="Grand comté du Stirland","Bourg du Grand comté du Stirland","")</f>
        <v/>
      </c>
      <c r="BY16" t="str">
        <f t="shared" si="33"/>
        <v/>
      </c>
      <c r="BZ16" s="83" t="str">
        <f t="shared" si="7"/>
        <v/>
      </c>
      <c r="CA16" s="83" t="str">
        <f t="shared" si="8"/>
        <v/>
      </c>
      <c r="CB16" s="530" t="str">
        <f t="shared" si="9"/>
        <v/>
      </c>
      <c r="CC16" s="3" t="s">
        <v>3224</v>
      </c>
      <c r="CD16" t="s">
        <v>10637</v>
      </c>
      <c r="CE16" t="s">
        <v>10761</v>
      </c>
      <c r="CF16" s="3" t="s">
        <v>1100</v>
      </c>
      <c r="CG16" s="3" t="s">
        <v>6138</v>
      </c>
      <c r="CH16" s="3" t="s">
        <v>904</v>
      </c>
      <c r="CI16" s="3" t="s">
        <v>3367</v>
      </c>
      <c r="CJ16" s="83" t="s">
        <v>10193</v>
      </c>
      <c r="CK16" s="3" t="s">
        <v>6814</v>
      </c>
      <c r="CL16" s="3" t="s">
        <v>6462</v>
      </c>
      <c r="CM16" s="83" t="s">
        <v>10246</v>
      </c>
      <c r="CN16" s="3" t="s">
        <v>6582</v>
      </c>
      <c r="CO16" s="3" t="s">
        <v>10890</v>
      </c>
      <c r="CP16" s="83" t="s">
        <v>13327</v>
      </c>
      <c r="CQ16" s="83" t="s">
        <v>13359</v>
      </c>
      <c r="CR16" s="83" t="s">
        <v>13387</v>
      </c>
      <c r="CS16" s="3" t="s">
        <v>11112</v>
      </c>
      <c r="CT16" s="136" t="s">
        <v>7472</v>
      </c>
      <c r="CU16" s="3"/>
      <c r="CV16" s="3"/>
      <c r="CW16" s="3"/>
      <c r="CX16" s="3"/>
      <c r="CY16" s="3" t="s">
        <v>2849</v>
      </c>
      <c r="CZ16" s="3"/>
      <c r="DA16" s="3" t="s">
        <v>12600</v>
      </c>
      <c r="DB16" s="83" t="s">
        <v>12733</v>
      </c>
      <c r="DC16" s="3" t="s">
        <v>210</v>
      </c>
      <c r="DD16" s="83" t="s">
        <v>11203</v>
      </c>
      <c r="DE16" s="3" t="s">
        <v>132</v>
      </c>
      <c r="DF16" s="3">
        <f>ROW()</f>
        <v>16</v>
      </c>
      <c r="DG16" s="3" t="s">
        <v>780</v>
      </c>
      <c r="DH16" s="3">
        <f t="shared" si="12"/>
        <v>400</v>
      </c>
      <c r="DI16" s="3">
        <f t="shared" si="13"/>
        <v>300</v>
      </c>
      <c r="DJ16" s="3">
        <f t="shared" si="14"/>
        <v>210</v>
      </c>
      <c r="DK16" s="3">
        <f t="shared" si="15"/>
        <v>120</v>
      </c>
      <c r="DL16" s="3"/>
      <c r="DM16" s="3" t="s">
        <v>2728</v>
      </c>
      <c r="DN16" s="83" t="s">
        <v>16318</v>
      </c>
      <c r="DO16" s="83" t="s">
        <v>12167</v>
      </c>
      <c r="DP16" s="3"/>
      <c r="DQ16" s="83" t="s">
        <v>12780</v>
      </c>
      <c r="DR16" s="3"/>
      <c r="DS16" s="83"/>
      <c r="DT16" s="3" t="s">
        <v>2791</v>
      </c>
      <c r="DU16" s="3" t="s">
        <v>2799</v>
      </c>
      <c r="DV16" s="83" t="s">
        <v>4510</v>
      </c>
      <c r="DW16" s="83" t="s">
        <v>4509</v>
      </c>
      <c r="DX16" s="83" t="s">
        <v>15568</v>
      </c>
      <c r="DY16" s="83" t="s">
        <v>15565</v>
      </c>
      <c r="DZ16" s="3" t="s">
        <v>2931</v>
      </c>
      <c r="EA16" s="83" t="s">
        <v>4527</v>
      </c>
      <c r="EB16" s="3"/>
      <c r="ED16" s="83" t="s">
        <v>12424</v>
      </c>
      <c r="EE16" s="83" t="s">
        <v>140</v>
      </c>
      <c r="EF16" s="530" t="s">
        <v>13117</v>
      </c>
      <c r="EG16" s="356" t="str">
        <f>IF(OR(SelectRace="Humain",SelectRace="peau-verte"),"Mutant","")</f>
        <v/>
      </c>
      <c r="EH16" s="83" t="str">
        <f t="shared" si="16"/>
        <v/>
      </c>
      <c r="EI16" s="83" t="str">
        <f t="shared" si="17"/>
        <v/>
      </c>
      <c r="EJ16" s="83" t="str">
        <f t="shared" si="18"/>
        <v/>
      </c>
      <c r="EK16" s="874" t="s">
        <v>9173</v>
      </c>
      <c r="EM16" s="90" t="s">
        <v>5053</v>
      </c>
      <c r="EN16" s="83" t="s">
        <v>5152</v>
      </c>
      <c r="EO16" s="90" t="s">
        <v>5059</v>
      </c>
      <c r="EP16" s="83" t="s">
        <v>5050</v>
      </c>
      <c r="EQ16" s="77" t="str">
        <f>IF(Pays="Norsca","Halni","")</f>
        <v/>
      </c>
      <c r="ER16" s="83" t="str">
        <f t="shared" si="34"/>
        <v/>
      </c>
      <c r="ES16" s="83" t="str">
        <f t="shared" si="35"/>
        <v/>
      </c>
      <c r="ET16" s="530" t="str">
        <f t="shared" si="36"/>
        <v/>
      </c>
      <c r="EU16" s="177" t="str">
        <f>IF(Dieu="Grimnir","Prêtre","")</f>
        <v/>
      </c>
      <c r="EV16" s="83" t="str">
        <f t="shared" si="37"/>
        <v/>
      </c>
      <c r="EW16" s="83" t="str">
        <f t="shared" si="22"/>
        <v/>
      </c>
      <c r="EX16" s="530" t="str">
        <f t="shared" si="23"/>
        <v/>
      </c>
      <c r="EY16" s="83" t="s">
        <v>9328</v>
      </c>
      <c r="FB16" s="177" t="s">
        <v>14675</v>
      </c>
      <c r="FC16" s="732" t="s">
        <v>14630</v>
      </c>
      <c r="FD16" s="85" t="s">
        <v>14651</v>
      </c>
      <c r="FE16" s="851">
        <v>13</v>
      </c>
      <c r="FF16" s="25">
        <v>45</v>
      </c>
      <c r="FG16" s="25">
        <v>0</v>
      </c>
      <c r="FH16" s="25">
        <v>60</v>
      </c>
      <c r="FI16" s="25">
        <v>75</v>
      </c>
      <c r="FJ16" s="685">
        <v>28</v>
      </c>
      <c r="FK16" s="25">
        <v>52</v>
      </c>
      <c r="FL16" s="25">
        <v>86</v>
      </c>
      <c r="FM16" s="166">
        <v>32</v>
      </c>
      <c r="FN16" s="88">
        <v>6</v>
      </c>
      <c r="FO16" s="88">
        <v>53</v>
      </c>
      <c r="FP16" s="733">
        <f t="shared" si="45"/>
        <v>6</v>
      </c>
      <c r="FQ16" s="733">
        <f t="shared" si="43"/>
        <v>7</v>
      </c>
      <c r="FR16" s="734" t="s">
        <v>7251</v>
      </c>
      <c r="FS16" s="167">
        <v>1</v>
      </c>
      <c r="FT16" s="167">
        <v>0</v>
      </c>
      <c r="FU16" s="166">
        <v>0</v>
      </c>
      <c r="FV16" s="177" t="s">
        <v>14654</v>
      </c>
      <c r="FW16" s="177" t="s">
        <v>14655</v>
      </c>
      <c r="FX16" s="567" t="s">
        <v>9938</v>
      </c>
      <c r="GA16" s="83" t="s">
        <v>7578</v>
      </c>
      <c r="GC16" s="3" t="s">
        <v>1013</v>
      </c>
      <c r="GE16" s="356"/>
      <c r="GF16" t="s">
        <v>8183</v>
      </c>
      <c r="GG16" s="356" t="s">
        <v>8815</v>
      </c>
      <c r="GH16" s="83" t="s">
        <v>8824</v>
      </c>
      <c r="GI16" s="83" t="s">
        <v>8813</v>
      </c>
      <c r="GJ16" s="83" t="s">
        <v>8837</v>
      </c>
      <c r="GK16" s="530">
        <f t="shared" si="25"/>
        <v>15</v>
      </c>
    </row>
    <row r="17" spans="1:198" ht="13.2" customHeight="1">
      <c r="A17" s="83" t="s">
        <v>9065</v>
      </c>
      <c r="H17" s="83" t="s">
        <v>399</v>
      </c>
      <c r="I17" s="6" t="s">
        <v>61</v>
      </c>
      <c r="J17" s="3" t="s">
        <v>831</v>
      </c>
      <c r="K17" s="3" t="s">
        <v>133</v>
      </c>
      <c r="L17" s="3"/>
      <c r="M17" s="651" t="s">
        <v>846</v>
      </c>
      <c r="N17" s="3" t="s">
        <v>862</v>
      </c>
      <c r="O17" s="85" t="s">
        <v>12555</v>
      </c>
      <c r="P17" s="3" t="s">
        <v>12531</v>
      </c>
      <c r="Q17" s="3" t="s">
        <v>12532</v>
      </c>
      <c r="R17" s="651" t="s">
        <v>12533</v>
      </c>
      <c r="S17" s="83" t="str">
        <f>IF(CareerType=Y17,"Apothicaire",IF(AllCareers="X","Apothicaire",IF(Pays="Désolations du Chaos","",IF(SelectRace="Elfe","Apothicaire",IF(Pays="Norsca","",IF(OR(SelectRace="Nain",SelectRace="Humain",SelectRace="Vampire"),"Apothicaire",""))))))</f>
        <v/>
      </c>
      <c r="T17" s="106">
        <f t="shared" si="46"/>
        <v>0</v>
      </c>
      <c r="U17" s="693" t="str">
        <f t="shared" si="26"/>
        <v/>
      </c>
      <c r="V17" s="693" t="str">
        <f t="shared" si="27"/>
        <v/>
      </c>
      <c r="W17" s="693" t="str">
        <f t="shared" si="28"/>
        <v/>
      </c>
      <c r="X17" s="47" t="s">
        <v>2160</v>
      </c>
      <c r="Y17" s="743" t="s">
        <v>7131</v>
      </c>
      <c r="Z17" s="55" t="s">
        <v>2208</v>
      </c>
      <c r="AA17" s="47">
        <v>121</v>
      </c>
      <c r="AB17" s="47" t="s">
        <v>2209</v>
      </c>
      <c r="AC17" s="47">
        <v>14</v>
      </c>
      <c r="AD17" s="15" t="s">
        <v>149</v>
      </c>
      <c r="AE17" s="15" t="s">
        <v>149</v>
      </c>
      <c r="AF17" s="15" t="s">
        <v>149</v>
      </c>
      <c r="AG17" s="20" t="s">
        <v>114</v>
      </c>
      <c r="AH17" s="20" t="s">
        <v>114</v>
      </c>
      <c r="AI17" s="15" t="s">
        <v>98</v>
      </c>
      <c r="AJ17" s="15" t="s">
        <v>98</v>
      </c>
      <c r="AK17" s="21" t="s">
        <v>114</v>
      </c>
      <c r="AL17" s="15" t="s">
        <v>149</v>
      </c>
      <c r="AM17" s="15" t="s">
        <v>113</v>
      </c>
      <c r="AN17" s="15" t="s">
        <v>149</v>
      </c>
      <c r="AO17" s="15" t="s">
        <v>149</v>
      </c>
      <c r="AP17" s="87" t="s">
        <v>15431</v>
      </c>
      <c r="AQ17" s="87" t="s">
        <v>734</v>
      </c>
      <c r="AR17" s="87" t="s">
        <v>15428</v>
      </c>
      <c r="AS17" s="87" t="s">
        <v>734</v>
      </c>
      <c r="AT17" s="87" t="s">
        <v>16268</v>
      </c>
      <c r="AU17" s="87" t="s">
        <v>16270</v>
      </c>
      <c r="AV17" s="87" t="s">
        <v>4724</v>
      </c>
      <c r="AW17" s="457">
        <v>0</v>
      </c>
      <c r="AX17" s="630" t="str">
        <f t="shared" si="38"/>
        <v/>
      </c>
      <c r="AY17" s="630" t="str">
        <f t="shared" si="39"/>
        <v/>
      </c>
      <c r="AZ17" s="630" t="str">
        <f t="shared" si="40"/>
        <v/>
      </c>
      <c r="BA17" s="3"/>
      <c r="BB17" s="3"/>
      <c r="BC17" s="3"/>
      <c r="BD17" s="3"/>
      <c r="BE17" s="3"/>
      <c r="BF17" s="3"/>
      <c r="BG17" s="3"/>
      <c r="BH17" s="3"/>
      <c r="BI17" s="3"/>
      <c r="BJ17" s="3"/>
      <c r="BK17" s="3"/>
      <c r="BL17" s="3">
        <v>15</v>
      </c>
      <c r="BM17" s="3">
        <v>25</v>
      </c>
      <c r="BN17" s="3"/>
      <c r="BO17" s="3" t="s">
        <v>1008</v>
      </c>
      <c r="BP17" s="3" t="s">
        <v>322</v>
      </c>
      <c r="BQ17" s="83" t="s">
        <v>11828</v>
      </c>
      <c r="BR17" s="83" t="s">
        <v>5453</v>
      </c>
      <c r="BS17" s="83" t="s">
        <v>13218</v>
      </c>
      <c r="BT17" s="3" t="str">
        <f>IF(OR(SelectRace="",SelectRace="Elfe",SelectRace="Homme-lézard"),"","Principautés Frontalières")</f>
        <v/>
      </c>
      <c r="BU17" s="83" t="str">
        <f t="shared" si="30"/>
        <v/>
      </c>
      <c r="BV17" s="83" t="str">
        <f t="shared" si="31"/>
        <v/>
      </c>
      <c r="BW17" s="83" t="str">
        <f t="shared" si="32"/>
        <v/>
      </c>
      <c r="BX17" s="3" t="str">
        <f>IF(Province="Grand-duché du Talabecland","Bourg du Grand-duché du Talabecland","")</f>
        <v/>
      </c>
      <c r="BY17" t="str">
        <f t="shared" si="33"/>
        <v/>
      </c>
      <c r="BZ17" s="83" t="str">
        <f t="shared" si="7"/>
        <v/>
      </c>
      <c r="CA17" s="83" t="str">
        <f t="shared" si="8"/>
        <v/>
      </c>
      <c r="CB17" s="530" t="str">
        <f t="shared" si="9"/>
        <v/>
      </c>
      <c r="CC17" s="3" t="s">
        <v>3225</v>
      </c>
      <c r="CD17" s="3" t="s">
        <v>3163</v>
      </c>
      <c r="CE17" s="3" t="s">
        <v>1079</v>
      </c>
      <c r="CF17" s="3" t="s">
        <v>1101</v>
      </c>
      <c r="CG17" s="3" t="s">
        <v>6139</v>
      </c>
      <c r="CH17" s="3" t="s">
        <v>5922</v>
      </c>
      <c r="CI17" s="3" t="s">
        <v>3390</v>
      </c>
      <c r="CJ17" s="83" t="s">
        <v>10194</v>
      </c>
      <c r="CK17" s="3" t="s">
        <v>6727</v>
      </c>
      <c r="CL17" s="3" t="s">
        <v>6455</v>
      </c>
      <c r="CM17" s="83" t="s">
        <v>10253</v>
      </c>
      <c r="CN17" s="3" t="s">
        <v>6608</v>
      </c>
      <c r="CO17" s="3" t="s">
        <v>10916</v>
      </c>
      <c r="CP17" s="83" t="s">
        <v>13323</v>
      </c>
      <c r="CQ17" s="83" t="s">
        <v>13345</v>
      </c>
      <c r="CR17" s="83" t="s">
        <v>13388</v>
      </c>
      <c r="CS17" s="83" t="s">
        <v>11159</v>
      </c>
      <c r="CT17" s="136" t="s">
        <v>79</v>
      </c>
      <c r="CU17" s="3"/>
      <c r="CV17" s="3"/>
      <c r="CW17" s="3"/>
      <c r="CX17" s="3"/>
      <c r="CY17" s="3" t="s">
        <v>2871</v>
      </c>
      <c r="CZ17" s="3"/>
      <c r="DA17" s="3" t="s">
        <v>12601</v>
      </c>
      <c r="DB17" s="83" t="s">
        <v>12758</v>
      </c>
      <c r="DC17" s="3" t="s">
        <v>2494</v>
      </c>
      <c r="DD17" s="83" t="s">
        <v>11241</v>
      </c>
      <c r="DE17" s="3" t="s">
        <v>132</v>
      </c>
      <c r="DF17" s="3">
        <f>ROW()</f>
        <v>17</v>
      </c>
      <c r="DG17" s="3" t="s">
        <v>780</v>
      </c>
      <c r="DH17" s="3">
        <f t="shared" si="12"/>
        <v>400</v>
      </c>
      <c r="DI17" s="3">
        <f t="shared" si="13"/>
        <v>300</v>
      </c>
      <c r="DJ17" s="3">
        <f t="shared" si="14"/>
        <v>210</v>
      </c>
      <c r="DK17" s="3">
        <f t="shared" si="15"/>
        <v>120</v>
      </c>
      <c r="DL17" s="3"/>
      <c r="DM17" s="3" t="s">
        <v>2729</v>
      </c>
      <c r="DN17" s="83" t="s">
        <v>16322</v>
      </c>
      <c r="DO17" s="83" t="s">
        <v>12774</v>
      </c>
      <c r="DP17" s="3"/>
      <c r="DQ17" s="83" t="s">
        <v>5253</v>
      </c>
      <c r="DR17" s="3"/>
      <c r="DS17" s="3"/>
      <c r="DT17" s="83" t="s">
        <v>9445</v>
      </c>
      <c r="DU17" s="83" t="s">
        <v>11940</v>
      </c>
      <c r="DV17" s="3" t="s">
        <v>2811</v>
      </c>
      <c r="DW17" s="3" t="s">
        <v>2810</v>
      </c>
      <c r="DX17" s="83" t="s">
        <v>15569</v>
      </c>
      <c r="DY17" s="83" t="s">
        <v>11942</v>
      </c>
      <c r="DZ17" s="3" t="s">
        <v>2932</v>
      </c>
      <c r="EA17" s="83" t="s">
        <v>4527</v>
      </c>
      <c r="EB17" s="3"/>
      <c r="ED17" s="83" t="s">
        <v>12419</v>
      </c>
      <c r="EE17" s="83" t="s">
        <v>140</v>
      </c>
      <c r="EF17" s="530" t="s">
        <v>13118</v>
      </c>
      <c r="EG17" s="356" t="str">
        <f>IF(OR(Selectsousrace="",SelectRace="Vampire",SelectRace="Homme-lézard",SelectRace="homme-bête",SelectRace="créature du chaos",SelectRace="peau-verte",SelectRace="Skaven"),"",IF(Pays="Norsca","Olricsbarns","Ulfenwar"))</f>
        <v/>
      </c>
      <c r="EH17" s="83" t="str">
        <f t="shared" si="16"/>
        <v/>
      </c>
      <c r="EI17" s="83" t="str">
        <f t="shared" si="17"/>
        <v/>
      </c>
      <c r="EJ17" s="83" t="str">
        <f t="shared" si="18"/>
        <v/>
      </c>
      <c r="EK17" s="874" t="s">
        <v>11342</v>
      </c>
      <c r="EL17" s="83"/>
      <c r="EM17" s="90" t="s">
        <v>5055</v>
      </c>
      <c r="EN17" s="83" t="s">
        <v>5152</v>
      </c>
      <c r="EO17" s="90" t="s">
        <v>5058</v>
      </c>
      <c r="EP17" s="83" t="s">
        <v>5050</v>
      </c>
      <c r="EQ17" s="481" t="str">
        <f>IF(Selectsousrace="du chaos","Hashut","")</f>
        <v/>
      </c>
      <c r="ER17" s="83" t="str">
        <f t="shared" si="34"/>
        <v/>
      </c>
      <c r="ES17" s="83" t="str">
        <f t="shared" si="35"/>
        <v/>
      </c>
      <c r="ET17" s="530" t="str">
        <f t="shared" si="36"/>
        <v/>
      </c>
      <c r="EU17" s="177" t="str">
        <f>IF(Dieu="Grungni","Aucun ordre","")</f>
        <v/>
      </c>
      <c r="EV17" s="83" t="str">
        <f t="shared" si="37"/>
        <v/>
      </c>
      <c r="EW17" s="83" t="str">
        <f t="shared" si="22"/>
        <v/>
      </c>
      <c r="EX17" s="530" t="str">
        <f t="shared" si="23"/>
        <v/>
      </c>
      <c r="EY17" s="83" t="s">
        <v>794</v>
      </c>
      <c r="EZ17" s="531" t="s">
        <v>9526</v>
      </c>
      <c r="FB17" s="177" t="s">
        <v>16246</v>
      </c>
      <c r="FC17" s="732" t="s">
        <v>14630</v>
      </c>
      <c r="FD17" s="85" t="s">
        <v>14651</v>
      </c>
      <c r="FE17" s="851">
        <v>18</v>
      </c>
      <c r="FF17" s="25">
        <v>75</v>
      </c>
      <c r="FG17" s="25">
        <v>0</v>
      </c>
      <c r="FH17" s="25">
        <v>63</v>
      </c>
      <c r="FI17" s="25">
        <v>72</v>
      </c>
      <c r="FJ17" s="685">
        <v>22</v>
      </c>
      <c r="FK17" s="25">
        <v>67</v>
      </c>
      <c r="FL17" s="25">
        <v>60</v>
      </c>
      <c r="FM17" s="166">
        <v>15</v>
      </c>
      <c r="FN17" s="88">
        <v>6</v>
      </c>
      <c r="FO17" s="88">
        <v>69</v>
      </c>
      <c r="FP17" s="733">
        <f t="shared" si="45"/>
        <v>6</v>
      </c>
      <c r="FQ17" s="733">
        <f t="shared" si="43"/>
        <v>7</v>
      </c>
      <c r="FR17" s="734" t="s">
        <v>7251</v>
      </c>
      <c r="FS17" s="167">
        <v>1</v>
      </c>
      <c r="FT17" s="167">
        <v>0</v>
      </c>
      <c r="FU17" s="166">
        <v>0</v>
      </c>
      <c r="FV17" s="177" t="s">
        <v>14671</v>
      </c>
      <c r="FW17" s="177" t="s">
        <v>16290</v>
      </c>
      <c r="FX17" s="567" t="s">
        <v>9938</v>
      </c>
      <c r="GA17" s="83" t="s">
        <v>7585</v>
      </c>
      <c r="GC17" t="s">
        <v>7316</v>
      </c>
      <c r="GE17" s="356"/>
      <c r="GF17" t="s">
        <v>7675</v>
      </c>
      <c r="GG17" s="356" t="s">
        <v>8817</v>
      </c>
      <c r="GH17" s="83" t="s">
        <v>8824</v>
      </c>
      <c r="GI17" s="83" t="s">
        <v>8813</v>
      </c>
      <c r="GJ17" s="83" t="s">
        <v>8900</v>
      </c>
      <c r="GK17" s="530">
        <f t="shared" si="25"/>
        <v>16</v>
      </c>
    </row>
    <row r="18" spans="1:198" ht="13.2" customHeight="1">
      <c r="B18" s="574" t="str">
        <f>IF(A9=1,An,IF(A9=2,Ec,IF(A9=3,Er,IF(A9=4,Eq,IF(A9=5,MT,IF(A9=6,Mo,IF(A9=7,Mu,IF(A9=8,bi,IF(A9=9,ou,IF(A9=10,co,IF(A9=11,PB,IF(A9=12,PP,IF(A9=13,pr,IF(A9=14,re,IF(A9=15,rl,IF(A9=16,su,IF(A9=17,t,IF(A9=18,tr,IF(A9=19,v,IF(A9=20,LI,IF(A9=21,TO,"")))))))))))))))))))))</f>
        <v/>
      </c>
      <c r="H18" s="3" t="s">
        <v>400</v>
      </c>
      <c r="I18" s="6" t="s">
        <v>62</v>
      </c>
      <c r="J18" s="3" t="s">
        <v>832</v>
      </c>
      <c r="K18" s="3" t="s">
        <v>133</v>
      </c>
      <c r="L18" s="3"/>
      <c r="M18" s="651" t="s">
        <v>847</v>
      </c>
      <c r="N18" s="3" t="s">
        <v>12534</v>
      </c>
      <c r="O18" s="85" t="s">
        <v>12565</v>
      </c>
      <c r="P18" s="3" t="s">
        <v>12535</v>
      </c>
      <c r="Q18" s="3" t="s">
        <v>12536</v>
      </c>
      <c r="R18" s="651" t="s">
        <v>12537</v>
      </c>
      <c r="S18" s="83" t="str">
        <f>IF(CareerType=Y18,"Apprenti chaman",IF(AllCareers="X","Apprenti chaman",IF(FirstCareer="1ère carrière","",IF(OR(SelectRace="Halfling",SelectRace="Nain",SelectRace="peau-verte",SelectRace="créature du chaos",SelectRace="skaven",SelectRace="Vampire",SelectRace="Homme-lézard"),"",IF(Pays="Empire","Apprenti chaman","")))))</f>
        <v/>
      </c>
      <c r="T18" s="106">
        <f t="shared" si="46"/>
        <v>1</v>
      </c>
      <c r="U18" s="693" t="str">
        <f t="shared" si="26"/>
        <v/>
      </c>
      <c r="V18" s="693" t="str">
        <f t="shared" si="27"/>
        <v/>
      </c>
      <c r="W18" s="693" t="str">
        <f t="shared" si="28"/>
        <v/>
      </c>
      <c r="X18" s="47" t="s">
        <v>2153</v>
      </c>
      <c r="Y18" s="743" t="s">
        <v>15709</v>
      </c>
      <c r="Z18" s="55" t="s">
        <v>2210</v>
      </c>
      <c r="AA18" s="47">
        <v>79</v>
      </c>
      <c r="AB18" s="47" t="s">
        <v>9278</v>
      </c>
      <c r="AC18" s="47"/>
      <c r="AD18" s="15" t="s">
        <v>114</v>
      </c>
      <c r="AE18" s="15" t="s">
        <v>114</v>
      </c>
      <c r="AF18" s="15" t="s">
        <v>149</v>
      </c>
      <c r="AG18" s="15" t="s">
        <v>114</v>
      </c>
      <c r="AH18" s="15" t="s">
        <v>114</v>
      </c>
      <c r="AI18" s="15" t="s">
        <v>98</v>
      </c>
      <c r="AJ18" s="15" t="s">
        <v>98</v>
      </c>
      <c r="AK18" s="18" t="s">
        <v>98</v>
      </c>
      <c r="AL18" s="15" t="s">
        <v>149</v>
      </c>
      <c r="AM18" s="15" t="s">
        <v>113</v>
      </c>
      <c r="AN18" s="15" t="s">
        <v>149</v>
      </c>
      <c r="AO18" s="15" t="s">
        <v>102</v>
      </c>
      <c r="AP18" s="22" t="s">
        <v>734</v>
      </c>
      <c r="AQ18" s="22" t="s">
        <v>734</v>
      </c>
      <c r="AR18" s="22" t="s">
        <v>1262</v>
      </c>
      <c r="AS18" s="22" t="s">
        <v>1262</v>
      </c>
      <c r="AT18" s="22" t="s">
        <v>3410</v>
      </c>
      <c r="AU18" s="87" t="s">
        <v>5471</v>
      </c>
      <c r="AV18" s="87" t="s">
        <v>4737</v>
      </c>
      <c r="AW18" s="457">
        <v>0</v>
      </c>
      <c r="AX18" s="630" t="str">
        <f t="shared" si="38"/>
        <v/>
      </c>
      <c r="AY18" s="630" t="str">
        <f t="shared" si="39"/>
        <v/>
      </c>
      <c r="AZ18" s="630" t="str">
        <f t="shared" si="40"/>
        <v/>
      </c>
      <c r="BA18" s="3"/>
      <c r="BB18" s="3"/>
      <c r="BC18" s="3"/>
      <c r="BD18" s="3"/>
      <c r="BE18" s="3"/>
      <c r="BF18" s="3"/>
      <c r="BG18" s="3"/>
      <c r="BH18" s="3"/>
      <c r="BI18" s="3"/>
      <c r="BJ18" s="3"/>
      <c r="BK18" s="3"/>
      <c r="BL18" s="3">
        <v>16</v>
      </c>
      <c r="BM18" s="3">
        <v>26</v>
      </c>
      <c r="BN18" s="3"/>
      <c r="BO18" s="3" t="s">
        <v>1013</v>
      </c>
      <c r="BP18" s="3" t="s">
        <v>328</v>
      </c>
      <c r="BQ18" s="3" t="s">
        <v>91</v>
      </c>
      <c r="BR18" s="83" t="s">
        <v>3078</v>
      </c>
      <c r="BS18" s="83" t="s">
        <v>16340</v>
      </c>
      <c r="BT18" s="83" t="s">
        <v>16299</v>
      </c>
      <c r="BU18" s="83">
        <f t="shared" si="30"/>
        <v>17</v>
      </c>
      <c r="BV18" s="83" t="str">
        <f t="shared" si="31"/>
        <v/>
      </c>
      <c r="BW18" s="83" t="str">
        <f t="shared" si="32"/>
        <v/>
      </c>
      <c r="BX18" s="3" t="str">
        <f>IF(Province="Grand comté du Wissenland","Bourg du Grand comté du Wissenland","")</f>
        <v/>
      </c>
      <c r="BY18" t="str">
        <f t="shared" si="33"/>
        <v/>
      </c>
      <c r="BZ18" s="83" t="str">
        <f t="shared" si="7"/>
        <v/>
      </c>
      <c r="CA18" s="83" t="str">
        <f t="shared" si="8"/>
        <v/>
      </c>
      <c r="CB18" s="530" t="str">
        <f t="shared" si="9"/>
        <v/>
      </c>
      <c r="CC18" s="3" t="s">
        <v>3226</v>
      </c>
      <c r="CD18" t="s">
        <v>10638</v>
      </c>
      <c r="CE18" s="83" t="s">
        <v>10226</v>
      </c>
      <c r="CF18" s="3" t="s">
        <v>1102</v>
      </c>
      <c r="CG18" s="3" t="s">
        <v>6140</v>
      </c>
      <c r="CH18" s="3" t="s">
        <v>5923</v>
      </c>
      <c r="CI18" s="3" t="s">
        <v>3376</v>
      </c>
      <c r="CJ18" s="3" t="s">
        <v>3369</v>
      </c>
      <c r="CK18" s="3" t="s">
        <v>6773</v>
      </c>
      <c r="CL18" s="3" t="s">
        <v>6432</v>
      </c>
      <c r="CM18" s="83" t="s">
        <v>10247</v>
      </c>
      <c r="CN18" s="3" t="s">
        <v>6607</v>
      </c>
      <c r="CO18" s="3" t="s">
        <v>10900</v>
      </c>
      <c r="CP18" s="83" t="s">
        <v>13320</v>
      </c>
      <c r="CQ18" s="83" t="s">
        <v>13357</v>
      </c>
      <c r="CR18" s="83" t="s">
        <v>13389</v>
      </c>
      <c r="CS18" s="3" t="s">
        <v>11113</v>
      </c>
      <c r="CT18" s="177" t="s">
        <v>15041</v>
      </c>
      <c r="CU18" s="3"/>
      <c r="CV18" s="3"/>
      <c r="CW18" s="3"/>
      <c r="CX18" s="3"/>
      <c r="CY18" s="38" t="s">
        <v>141</v>
      </c>
      <c r="CZ18" s="3"/>
      <c r="DA18" s="3" t="s">
        <v>244</v>
      </c>
      <c r="DB18" s="83" t="s">
        <v>12657</v>
      </c>
      <c r="DC18" s="83" t="s">
        <v>12766</v>
      </c>
      <c r="DD18" s="83" t="s">
        <v>11202</v>
      </c>
      <c r="DE18" s="3" t="s">
        <v>133</v>
      </c>
      <c r="DF18" s="3">
        <f>ROW()</f>
        <v>18</v>
      </c>
      <c r="DG18" s="3" t="s">
        <v>780</v>
      </c>
      <c r="DH18" s="3">
        <f t="shared" si="12"/>
        <v>400</v>
      </c>
      <c r="DI18" s="3">
        <f t="shared" si="13"/>
        <v>300</v>
      </c>
      <c r="DJ18" s="3">
        <f t="shared" si="14"/>
        <v>210</v>
      </c>
      <c r="DK18" s="3">
        <f t="shared" si="15"/>
        <v>120</v>
      </c>
      <c r="DL18" s="3"/>
      <c r="DM18" s="83" t="s">
        <v>7062</v>
      </c>
      <c r="DN18" s="3"/>
      <c r="DO18" s="83" t="s">
        <v>12769</v>
      </c>
      <c r="DP18" s="3"/>
      <c r="DQ18" s="83" t="s">
        <v>5258</v>
      </c>
      <c r="DR18" s="3"/>
      <c r="DS18" s="3"/>
      <c r="DT18" s="3" t="s">
        <v>2884</v>
      </c>
      <c r="DU18" s="3" t="s">
        <v>15593</v>
      </c>
      <c r="DV18" s="3" t="s">
        <v>2812</v>
      </c>
      <c r="DW18" s="3" t="s">
        <v>2813</v>
      </c>
      <c r="DX18" s="83" t="s">
        <v>15577</v>
      </c>
      <c r="DY18" s="83" t="s">
        <v>15614</v>
      </c>
      <c r="DZ18" s="3" t="s">
        <v>2933</v>
      </c>
      <c r="EA18" s="83" t="s">
        <v>4527</v>
      </c>
      <c r="EB18" s="3"/>
      <c r="ED18" s="83" t="s">
        <v>12455</v>
      </c>
      <c r="EE18" s="83" t="s">
        <v>140</v>
      </c>
      <c r="EF18" s="530" t="s">
        <v>13119</v>
      </c>
      <c r="EG18" s="356" t="str">
        <f>IF(SelectRace="Skaven","Elu","")</f>
        <v/>
      </c>
      <c r="EH18" s="83" t="str">
        <f t="shared" si="16"/>
        <v/>
      </c>
      <c r="EI18" s="83" t="str">
        <f t="shared" si="17"/>
        <v/>
      </c>
      <c r="EJ18" s="83" t="str">
        <f t="shared" si="18"/>
        <v/>
      </c>
      <c r="EK18" s="874" t="s">
        <v>9072</v>
      </c>
      <c r="EL18" s="83"/>
      <c r="EM18" s="90" t="s">
        <v>4976</v>
      </c>
      <c r="EN18" s="90" t="s">
        <v>4978</v>
      </c>
      <c r="EO18" s="102" t="s">
        <v>4982</v>
      </c>
      <c r="EP18" s="90" t="s">
        <v>4993</v>
      </c>
      <c r="EQ18" s="77" t="str">
        <f>IF(OR(Pays="Lustrie",Pays="Terres du Sud"),"Huanchi","")</f>
        <v/>
      </c>
      <c r="ER18" s="83" t="str">
        <f t="shared" si="34"/>
        <v/>
      </c>
      <c r="ES18" s="83" t="str">
        <f t="shared" si="35"/>
        <v/>
      </c>
      <c r="ET18" s="530" t="str">
        <f t="shared" si="36"/>
        <v/>
      </c>
      <c r="EU18" s="177" t="str">
        <f>IF(Dieu="Grungni","Initié","")</f>
        <v/>
      </c>
      <c r="EV18" s="83" t="str">
        <f t="shared" si="37"/>
        <v/>
      </c>
      <c r="EW18" s="83" t="str">
        <f t="shared" si="22"/>
        <v/>
      </c>
      <c r="EX18" s="530" t="str">
        <f t="shared" si="23"/>
        <v/>
      </c>
      <c r="EZ18" s="531" t="s">
        <v>9329</v>
      </c>
      <c r="FB18" s="177" t="s">
        <v>14669</v>
      </c>
      <c r="FC18" s="732" t="s">
        <v>14630</v>
      </c>
      <c r="FD18" s="85" t="s">
        <v>14651</v>
      </c>
      <c r="FE18" s="851">
        <v>16</v>
      </c>
      <c r="FF18" s="25">
        <v>54</v>
      </c>
      <c r="FG18" s="25">
        <v>0</v>
      </c>
      <c r="FH18" s="25">
        <v>61</v>
      </c>
      <c r="FI18" s="25">
        <v>70</v>
      </c>
      <c r="FJ18" s="685">
        <v>20</v>
      </c>
      <c r="FK18" s="25">
        <v>70</v>
      </c>
      <c r="FL18" s="25">
        <v>90</v>
      </c>
      <c r="FM18" s="166">
        <v>35</v>
      </c>
      <c r="FN18" s="88">
        <v>6</v>
      </c>
      <c r="FO18" s="88">
        <v>58</v>
      </c>
      <c r="FP18" s="733">
        <f t="shared" si="45"/>
        <v>6</v>
      </c>
      <c r="FQ18" s="733">
        <f t="shared" si="43"/>
        <v>7</v>
      </c>
      <c r="FR18" s="734" t="s">
        <v>7251</v>
      </c>
      <c r="FS18" s="167">
        <v>1</v>
      </c>
      <c r="FT18" s="167">
        <v>0</v>
      </c>
      <c r="FU18" s="166">
        <v>0</v>
      </c>
      <c r="FV18" s="177" t="s">
        <v>14666</v>
      </c>
      <c r="FW18" s="177" t="s">
        <v>14658</v>
      </c>
      <c r="FX18" s="567" t="s">
        <v>9938</v>
      </c>
      <c r="GA18" s="83" t="s">
        <v>7554</v>
      </c>
      <c r="GC18" t="s">
        <v>7313</v>
      </c>
      <c r="GE18" s="356"/>
      <c r="GF18" t="s">
        <v>8173</v>
      </c>
      <c r="GG18" s="356" t="s">
        <v>8816</v>
      </c>
      <c r="GH18" s="83" t="s">
        <v>8824</v>
      </c>
      <c r="GI18" s="83" t="s">
        <v>8813</v>
      </c>
      <c r="GJ18" s="83" t="s">
        <v>8847</v>
      </c>
      <c r="GK18" s="530">
        <f t="shared" si="25"/>
        <v>17</v>
      </c>
    </row>
    <row r="19" spans="1:198" ht="13.2" customHeight="1">
      <c r="H19" s="3" t="s">
        <v>401</v>
      </c>
      <c r="I19" s="6" t="s">
        <v>63</v>
      </c>
      <c r="J19" s="3" t="s">
        <v>789</v>
      </c>
      <c r="K19" s="3" t="s">
        <v>133</v>
      </c>
      <c r="L19" s="3"/>
      <c r="M19" s="651"/>
      <c r="N19" s="3" t="s">
        <v>863</v>
      </c>
      <c r="O19" s="85" t="s">
        <v>12574</v>
      </c>
      <c r="P19" s="3" t="s">
        <v>12538</v>
      </c>
      <c r="Q19" s="3" t="s">
        <v>12539</v>
      </c>
      <c r="R19" s="651" t="s">
        <v>12540</v>
      </c>
      <c r="S19" s="83" t="str">
        <f>IF(CareerType=Y19,"Apprenti maître des runes",IF(AllCareers="X","Apprenti maître des runes",IF(SelectRace="Nain","Apprenti maître des runes","")))</f>
        <v/>
      </c>
      <c r="T19" s="106">
        <f t="shared" si="46"/>
        <v>0</v>
      </c>
      <c r="U19" s="693" t="str">
        <f t="shared" si="26"/>
        <v/>
      </c>
      <c r="V19" s="693" t="str">
        <f t="shared" si="27"/>
        <v/>
      </c>
      <c r="W19" s="693" t="str">
        <f t="shared" si="28"/>
        <v/>
      </c>
      <c r="X19" s="47" t="s">
        <v>2160</v>
      </c>
      <c r="Y19" s="743" t="s">
        <v>15709</v>
      </c>
      <c r="Z19" s="55" t="s">
        <v>2211</v>
      </c>
      <c r="AA19" s="47">
        <v>216</v>
      </c>
      <c r="AB19" s="47" t="s">
        <v>2460</v>
      </c>
      <c r="AC19" s="47">
        <v>15</v>
      </c>
      <c r="AD19" s="20" t="s">
        <v>114</v>
      </c>
      <c r="AE19" s="15" t="s">
        <v>149</v>
      </c>
      <c r="AF19" s="20" t="s">
        <v>114</v>
      </c>
      <c r="AG19" s="15" t="s">
        <v>149</v>
      </c>
      <c r="AH19" s="15" t="s">
        <v>149</v>
      </c>
      <c r="AI19" s="15" t="s">
        <v>98</v>
      </c>
      <c r="AJ19" s="15" t="s">
        <v>101</v>
      </c>
      <c r="AK19" s="18" t="s">
        <v>149</v>
      </c>
      <c r="AL19" s="15" t="s">
        <v>149</v>
      </c>
      <c r="AM19" s="15" t="s">
        <v>113</v>
      </c>
      <c r="AN19" s="15" t="s">
        <v>149</v>
      </c>
      <c r="AO19" s="15" t="s">
        <v>102</v>
      </c>
      <c r="AP19" s="22" t="s">
        <v>775</v>
      </c>
      <c r="AQ19" s="87" t="s">
        <v>734</v>
      </c>
      <c r="AR19" s="22" t="s">
        <v>2212</v>
      </c>
      <c r="AS19" s="87" t="s">
        <v>734</v>
      </c>
      <c r="AT19" s="87" t="s">
        <v>16269</v>
      </c>
      <c r="AU19" s="87" t="s">
        <v>5490</v>
      </c>
      <c r="AV19" s="87" t="s">
        <v>4746</v>
      </c>
      <c r="AW19" s="457">
        <v>0</v>
      </c>
      <c r="AX19" s="630" t="str">
        <f t="shared" si="38"/>
        <v/>
      </c>
      <c r="AY19" s="630" t="str">
        <f t="shared" si="39"/>
        <v/>
      </c>
      <c r="AZ19" s="630" t="str">
        <f t="shared" si="40"/>
        <v/>
      </c>
      <c r="BA19" s="3"/>
      <c r="BB19" s="3"/>
      <c r="BC19" s="3"/>
      <c r="BD19" s="3"/>
      <c r="BE19" s="3"/>
      <c r="BF19" s="3"/>
      <c r="BG19" s="3"/>
      <c r="BH19" s="3"/>
      <c r="BI19" s="3"/>
      <c r="BJ19" s="3"/>
      <c r="BK19" s="3"/>
      <c r="BL19" s="3">
        <v>17</v>
      </c>
      <c r="BM19" s="3">
        <v>27</v>
      </c>
      <c r="BN19" s="3"/>
      <c r="BO19" s="3" t="s">
        <v>1016</v>
      </c>
      <c r="BP19" s="3" t="s">
        <v>335</v>
      </c>
      <c r="BQ19" s="3" t="s">
        <v>92</v>
      </c>
      <c r="BR19" s="83"/>
      <c r="BS19" s="83" t="s">
        <v>16299</v>
      </c>
      <c r="BT19" s="3" t="str">
        <f>IF(OR(SelectRace="",SelectRace="Elfe",SelectRace="Halfling",SelectRace="Homme-lézard"),"","Royaumes Ogres")</f>
        <v/>
      </c>
      <c r="BU19" s="83" t="str">
        <f t="shared" si="30"/>
        <v/>
      </c>
      <c r="BV19" s="83" t="str">
        <f t="shared" si="31"/>
        <v/>
      </c>
      <c r="BW19" s="83" t="str">
        <f t="shared" si="32"/>
        <v/>
      </c>
      <c r="BX19" s="3" t="str">
        <f>IF(Province="Ligue de l'Ostermark","Bourg de la Ligue de l'Ostermark","")</f>
        <v/>
      </c>
      <c r="BY19" t="str">
        <f t="shared" si="33"/>
        <v/>
      </c>
      <c r="BZ19" s="83" t="str">
        <f t="shared" si="7"/>
        <v/>
      </c>
      <c r="CA19" s="83" t="str">
        <f t="shared" si="8"/>
        <v/>
      </c>
      <c r="CB19" s="530" t="str">
        <f t="shared" si="9"/>
        <v/>
      </c>
      <c r="CC19" s="3" t="s">
        <v>3227</v>
      </c>
      <c r="CD19" t="s">
        <v>10639</v>
      </c>
      <c r="CE19" s="83" t="s">
        <v>12309</v>
      </c>
      <c r="CF19" s="3" t="s">
        <v>1103</v>
      </c>
      <c r="CG19" s="3" t="s">
        <v>6141</v>
      </c>
      <c r="CH19" s="3" t="s">
        <v>5924</v>
      </c>
      <c r="CI19" s="3" t="s">
        <v>924</v>
      </c>
      <c r="CJ19" s="3" t="s">
        <v>948</v>
      </c>
      <c r="CK19" s="3" t="s">
        <v>6815</v>
      </c>
      <c r="CL19" s="3" t="s">
        <v>6423</v>
      </c>
      <c r="CM19" s="83" t="s">
        <v>10248</v>
      </c>
      <c r="CN19" s="3" t="s">
        <v>6612</v>
      </c>
      <c r="CO19" s="3" t="s">
        <v>10907</v>
      </c>
      <c r="CP19" s="83" t="s">
        <v>13308</v>
      </c>
      <c r="CQ19" s="83" t="s">
        <v>13366</v>
      </c>
      <c r="CR19" s="83" t="s">
        <v>13390</v>
      </c>
      <c r="CS19" s="3" t="s">
        <v>11114</v>
      </c>
      <c r="CT19" s="3" t="s">
        <v>810</v>
      </c>
      <c r="CU19" s="3"/>
      <c r="CV19" s="3"/>
      <c r="CW19" s="3"/>
      <c r="CX19" s="3"/>
      <c r="CY19" s="3" t="s">
        <v>821</v>
      </c>
      <c r="CZ19" s="3"/>
      <c r="DA19" s="3" t="s">
        <v>12602</v>
      </c>
      <c r="DB19" s="83" t="s">
        <v>12734</v>
      </c>
      <c r="DC19" s="3"/>
      <c r="DD19" s="83" t="s">
        <v>11216</v>
      </c>
      <c r="DE19" s="3" t="s">
        <v>135</v>
      </c>
      <c r="DF19" s="3">
        <f>ROW()</f>
        <v>19</v>
      </c>
      <c r="DG19" s="3" t="s">
        <v>780</v>
      </c>
      <c r="DH19" s="3">
        <f t="shared" si="12"/>
        <v>400</v>
      </c>
      <c r="DI19" s="3">
        <f t="shared" si="13"/>
        <v>300</v>
      </c>
      <c r="DJ19" s="3">
        <f t="shared" si="14"/>
        <v>210</v>
      </c>
      <c r="DK19" s="3">
        <f t="shared" si="15"/>
        <v>120</v>
      </c>
      <c r="DL19" s="3"/>
      <c r="DM19" s="3" t="s">
        <v>2730</v>
      </c>
      <c r="DN19" s="3"/>
      <c r="DO19" s="83" t="s">
        <v>12166</v>
      </c>
      <c r="DP19" s="3"/>
      <c r="DQ19" s="83" t="s">
        <v>5259</v>
      </c>
      <c r="DR19" s="3"/>
      <c r="DS19" s="3"/>
      <c r="DT19" s="83" t="s">
        <v>9553</v>
      </c>
      <c r="DU19" s="83" t="s">
        <v>9554</v>
      </c>
      <c r="DV19" s="83" t="s">
        <v>4511</v>
      </c>
      <c r="DW19" s="83" t="s">
        <v>4513</v>
      </c>
      <c r="DX19" s="83" t="s">
        <v>15572</v>
      </c>
      <c r="DY19" s="83" t="s">
        <v>15565</v>
      </c>
      <c r="DZ19" s="3" t="s">
        <v>2934</v>
      </c>
      <c r="EA19" s="83" t="s">
        <v>4528</v>
      </c>
      <c r="EB19" s="3"/>
      <c r="ED19" s="83" t="s">
        <v>12428</v>
      </c>
      <c r="EE19" s="83" t="s">
        <v>140</v>
      </c>
      <c r="EF19" s="530" t="s">
        <v>13120</v>
      </c>
      <c r="EG19" s="356" t="str">
        <f>IF(SelectRace="Skaven","Puissant","")</f>
        <v/>
      </c>
      <c r="EH19" s="83" t="str">
        <f t="shared" si="16"/>
        <v/>
      </c>
      <c r="EI19" s="83" t="str">
        <f t="shared" si="17"/>
        <v/>
      </c>
      <c r="EJ19" s="83" t="str">
        <f t="shared" si="18"/>
        <v/>
      </c>
      <c r="EK19" s="874" t="s">
        <v>9073</v>
      </c>
      <c r="EM19" s="90" t="s">
        <v>4977</v>
      </c>
      <c r="EN19" s="90" t="s">
        <v>4978</v>
      </c>
      <c r="EO19" s="102" t="s">
        <v>4983</v>
      </c>
      <c r="EP19" s="83" t="s">
        <v>4993</v>
      </c>
      <c r="EQ19" s="77" t="str">
        <f>IF(SelectRace="Elfe","Hoeth","")</f>
        <v/>
      </c>
      <c r="ER19" s="83" t="str">
        <f t="shared" si="34"/>
        <v/>
      </c>
      <c r="ES19" s="83" t="str">
        <f t="shared" si="35"/>
        <v/>
      </c>
      <c r="ET19" s="530" t="str">
        <f t="shared" si="36"/>
        <v/>
      </c>
      <c r="EU19" s="177" t="str">
        <f>IF(Dieu="Grungni","Ordre du Mur de pierre","")</f>
        <v/>
      </c>
      <c r="EV19" s="83" t="str">
        <f t="shared" si="37"/>
        <v/>
      </c>
      <c r="EW19" s="83" t="str">
        <f t="shared" si="22"/>
        <v/>
      </c>
      <c r="EX19" s="530" t="str">
        <f t="shared" si="23"/>
        <v/>
      </c>
      <c r="EY19" s="83" t="s">
        <v>12386</v>
      </c>
      <c r="EZ19" s="530" t="s">
        <v>12291</v>
      </c>
      <c r="FB19" s="177" t="s">
        <v>14640</v>
      </c>
      <c r="FC19" s="732" t="s">
        <v>14630</v>
      </c>
      <c r="FD19" s="85" t="s">
        <v>2196</v>
      </c>
      <c r="FE19" s="851">
        <v>120</v>
      </c>
      <c r="FF19" s="25">
        <v>64</v>
      </c>
      <c r="FG19" s="25">
        <v>0</v>
      </c>
      <c r="FH19" s="25">
        <v>65</v>
      </c>
      <c r="FI19" s="25">
        <v>68</v>
      </c>
      <c r="FJ19" s="685">
        <v>30</v>
      </c>
      <c r="FK19" s="25">
        <v>47</v>
      </c>
      <c r="FL19" s="25">
        <v>89</v>
      </c>
      <c r="FM19" s="166">
        <v>36</v>
      </c>
      <c r="FN19" s="88">
        <v>6</v>
      </c>
      <c r="FO19" s="88">
        <v>61</v>
      </c>
      <c r="FP19" s="692">
        <f t="shared" si="45"/>
        <v>6</v>
      </c>
      <c r="FQ19" s="692">
        <f t="shared" si="43"/>
        <v>6</v>
      </c>
      <c r="FR19" s="734" t="s">
        <v>7251</v>
      </c>
      <c r="FS19" s="167">
        <v>0</v>
      </c>
      <c r="FT19" s="167">
        <v>0</v>
      </c>
      <c r="FU19" s="166">
        <v>0</v>
      </c>
      <c r="FV19" s="177" t="s">
        <v>16437</v>
      </c>
      <c r="FW19" s="177" t="s">
        <v>14645</v>
      </c>
      <c r="FX19" s="567" t="s">
        <v>9938</v>
      </c>
      <c r="GA19" s="83" t="s">
        <v>7600</v>
      </c>
      <c r="GC19" t="s">
        <v>2873</v>
      </c>
      <c r="GE19" s="356"/>
      <c r="GF19" t="s">
        <v>8184</v>
      </c>
      <c r="GG19" s="356" t="s">
        <v>8820</v>
      </c>
      <c r="GH19" s="83" t="s">
        <v>8824</v>
      </c>
      <c r="GI19" s="83" t="s">
        <v>8813</v>
      </c>
      <c r="GJ19" s="83" t="s">
        <v>8857</v>
      </c>
      <c r="GK19" s="530">
        <f t="shared" si="25"/>
        <v>18</v>
      </c>
    </row>
    <row r="20" spans="1:198" ht="13.2" customHeight="1">
      <c r="H20" s="3" t="s">
        <v>402</v>
      </c>
      <c r="I20" s="6" t="s">
        <v>64</v>
      </c>
      <c r="J20" s="3" t="s">
        <v>833</v>
      </c>
      <c r="K20" s="3" t="s">
        <v>133</v>
      </c>
      <c r="L20" s="3"/>
      <c r="M20" s="651"/>
      <c r="N20" s="3" t="s">
        <v>864</v>
      </c>
      <c r="O20" s="85" t="s">
        <v>12570</v>
      </c>
      <c r="P20" s="3" t="s">
        <v>12541</v>
      </c>
      <c r="Q20" s="3" t="s">
        <v>12542</v>
      </c>
      <c r="R20" s="651" t="s">
        <v>12543</v>
      </c>
      <c r="S20" s="83" t="str">
        <f>IF(CareerType=Y20,"Apprenti prophère gris",IF(AllCareers="X","Apprenti prophère gris",IF(AND(SelectRace="skaven",OR('page 1'!E13="Gris",'page 1'!E13="Blanc")),"Apprenti prophère gris","")))</f>
        <v/>
      </c>
      <c r="T20" s="106">
        <f t="shared" si="46"/>
        <v>0</v>
      </c>
      <c r="U20" s="693" t="str">
        <f t="shared" si="26"/>
        <v/>
      </c>
      <c r="V20" s="693" t="str">
        <f t="shared" si="27"/>
        <v/>
      </c>
      <c r="W20" s="693" t="str">
        <f t="shared" si="28"/>
        <v/>
      </c>
      <c r="X20" s="48" t="s">
        <v>2160</v>
      </c>
      <c r="Y20" s="743" t="s">
        <v>15709</v>
      </c>
      <c r="Z20" s="56" t="s">
        <v>1328</v>
      </c>
      <c r="AA20" s="48">
        <v>92</v>
      </c>
      <c r="AB20" s="89" t="s">
        <v>9279</v>
      </c>
      <c r="AC20" s="48"/>
      <c r="AD20" s="15" t="s">
        <v>114</v>
      </c>
      <c r="AE20" s="15" t="s">
        <v>114</v>
      </c>
      <c r="AF20" s="15" t="s">
        <v>149</v>
      </c>
      <c r="AG20" s="15" t="s">
        <v>149</v>
      </c>
      <c r="AH20" s="15" t="s">
        <v>98</v>
      </c>
      <c r="AI20" s="15" t="s">
        <v>98</v>
      </c>
      <c r="AJ20" s="15" t="s">
        <v>101</v>
      </c>
      <c r="AK20" s="18" t="s">
        <v>114</v>
      </c>
      <c r="AL20" s="15" t="s">
        <v>149</v>
      </c>
      <c r="AM20" s="15" t="s">
        <v>115</v>
      </c>
      <c r="AN20" s="15" t="s">
        <v>149</v>
      </c>
      <c r="AO20" s="15" t="s">
        <v>102</v>
      </c>
      <c r="AP20" s="22" t="s">
        <v>734</v>
      </c>
      <c r="AQ20" s="22" t="s">
        <v>734</v>
      </c>
      <c r="AR20" s="22" t="s">
        <v>3086</v>
      </c>
      <c r="AS20" s="22" t="s">
        <v>3086</v>
      </c>
      <c r="AT20" s="22" t="s">
        <v>3546</v>
      </c>
      <c r="AU20" s="87" t="s">
        <v>5494</v>
      </c>
      <c r="AV20" s="87" t="s">
        <v>4790</v>
      </c>
      <c r="AW20" s="457">
        <v>0</v>
      </c>
      <c r="AX20" s="630" t="str">
        <f t="shared" si="38"/>
        <v/>
      </c>
      <c r="AY20" s="630" t="str">
        <f t="shared" si="39"/>
        <v/>
      </c>
      <c r="AZ20" s="630" t="str">
        <f t="shared" si="40"/>
        <v/>
      </c>
      <c r="BA20" s="3"/>
      <c r="BB20" s="3"/>
      <c r="BC20" s="3"/>
      <c r="BD20" s="3"/>
      <c r="BE20" s="3"/>
      <c r="BF20" s="3"/>
      <c r="BG20" s="3"/>
      <c r="BH20" s="3"/>
      <c r="BI20" s="3"/>
      <c r="BJ20" s="3"/>
      <c r="BK20" s="3"/>
      <c r="BL20" s="3">
        <v>18</v>
      </c>
      <c r="BM20" s="3">
        <v>28</v>
      </c>
      <c r="BN20" s="3"/>
      <c r="BO20" s="83" t="s">
        <v>10809</v>
      </c>
      <c r="BP20" s="3" t="s">
        <v>990</v>
      </c>
      <c r="BQ20" s="3" t="s">
        <v>93</v>
      </c>
      <c r="BR20" s="3"/>
      <c r="BS20" t="s">
        <v>10860</v>
      </c>
      <c r="BT20" s="83" t="str">
        <f>IF(OR(SelectRace="Humain",SelectRace="Vampire",SelectRace="peau-verte",SelectRace="Créature du Chaos"),"Steppes orientales","")</f>
        <v/>
      </c>
      <c r="BU20" s="83" t="str">
        <f t="shared" si="30"/>
        <v/>
      </c>
      <c r="BV20" s="83" t="str">
        <f t="shared" si="31"/>
        <v/>
      </c>
      <c r="BW20" s="83" t="str">
        <f t="shared" si="32"/>
        <v/>
      </c>
      <c r="BX20" s="3" t="str">
        <f>IF(Province="Grande principauté d'Ostland","Bourg de la Grande principauté d'Ostland","")</f>
        <v/>
      </c>
      <c r="BY20" t="str">
        <f t="shared" si="33"/>
        <v/>
      </c>
      <c r="BZ20" s="83" t="str">
        <f t="shared" si="7"/>
        <v/>
      </c>
      <c r="CA20" s="83" t="str">
        <f t="shared" si="8"/>
        <v/>
      </c>
      <c r="CB20" s="530" t="str">
        <f t="shared" si="9"/>
        <v/>
      </c>
      <c r="CC20" s="3" t="s">
        <v>1037</v>
      </c>
      <c r="CD20" t="s">
        <v>10640</v>
      </c>
      <c r="CE20" s="83" t="s">
        <v>14933</v>
      </c>
      <c r="CF20" s="83" t="s">
        <v>10211</v>
      </c>
      <c r="CG20" s="3" t="s">
        <v>6143</v>
      </c>
      <c r="CH20" s="3" t="s">
        <v>5925</v>
      </c>
      <c r="CI20" s="3" t="s">
        <v>3158</v>
      </c>
      <c r="CJ20" s="3" t="s">
        <v>949</v>
      </c>
      <c r="CK20" s="3" t="s">
        <v>6728</v>
      </c>
      <c r="CL20" s="3" t="s">
        <v>6429</v>
      </c>
      <c r="CM20" s="83" t="s">
        <v>15110</v>
      </c>
      <c r="CN20" s="3" t="s">
        <v>6599</v>
      </c>
      <c r="CO20" s="3" t="s">
        <v>10891</v>
      </c>
      <c r="CP20" s="83" t="s">
        <v>13326</v>
      </c>
      <c r="CQ20" s="83" t="s">
        <v>13346</v>
      </c>
      <c r="CR20" s="83" t="s">
        <v>13391</v>
      </c>
      <c r="CS20" s="83" t="s">
        <v>15023</v>
      </c>
      <c r="CT20" s="83" t="s">
        <v>393</v>
      </c>
      <c r="CU20" s="3"/>
      <c r="CV20" s="3"/>
      <c r="CW20" s="3"/>
      <c r="CX20" s="3"/>
      <c r="CY20" s="3" t="s">
        <v>822</v>
      </c>
      <c r="CZ20" s="3"/>
      <c r="DA20" s="83" t="s">
        <v>12703</v>
      </c>
      <c r="DB20" s="83" t="s">
        <v>12704</v>
      </c>
      <c r="DC20" s="3"/>
      <c r="DD20" s="83" t="s">
        <v>11302</v>
      </c>
      <c r="DE20" s="3" t="s">
        <v>132</v>
      </c>
      <c r="DF20" s="3">
        <f>ROW()</f>
        <v>20</v>
      </c>
      <c r="DG20" s="3" t="s">
        <v>447</v>
      </c>
      <c r="DH20" s="3">
        <f t="shared" si="12"/>
        <v>150</v>
      </c>
      <c r="DI20" s="3">
        <f t="shared" si="13"/>
        <v>135</v>
      </c>
      <c r="DJ20" s="3">
        <f t="shared" si="14"/>
        <v>120</v>
      </c>
      <c r="DK20" s="3">
        <f t="shared" si="15"/>
        <v>105</v>
      </c>
      <c r="DL20" s="3"/>
      <c r="DM20" s="3" t="s">
        <v>2731</v>
      </c>
      <c r="DN20" s="3"/>
      <c r="DO20" s="83" t="s">
        <v>9174</v>
      </c>
      <c r="DP20" s="3"/>
      <c r="DQ20" s="3" t="s">
        <v>2757</v>
      </c>
      <c r="DR20" s="3"/>
      <c r="DS20" s="3"/>
      <c r="DT20" s="83" t="s">
        <v>15179</v>
      </c>
      <c r="DU20" s="83" t="s">
        <v>15262</v>
      </c>
      <c r="DV20" s="3" t="s">
        <v>2814</v>
      </c>
      <c r="DW20" s="3" t="s">
        <v>2813</v>
      </c>
      <c r="DX20" s="83" t="s">
        <v>15592</v>
      </c>
      <c r="DY20" s="83" t="s">
        <v>15593</v>
      </c>
      <c r="DZ20" s="3" t="s">
        <v>2935</v>
      </c>
      <c r="EA20" s="83" t="s">
        <v>4528</v>
      </c>
      <c r="EB20" s="3"/>
      <c r="ED20" s="83" t="s">
        <v>12441</v>
      </c>
      <c r="EE20" s="83" t="s">
        <v>140</v>
      </c>
      <c r="EF20" s="530" t="s">
        <v>12445</v>
      </c>
      <c r="EG20" s="356" t="str">
        <f>IF(SelectRace="Vampire","Dragon de sang","")</f>
        <v/>
      </c>
      <c r="EH20" s="83" t="str">
        <f t="shared" si="16"/>
        <v/>
      </c>
      <c r="EI20" s="83" t="str">
        <f t="shared" si="17"/>
        <v/>
      </c>
      <c r="EJ20" s="83" t="str">
        <f t="shared" si="18"/>
        <v/>
      </c>
      <c r="EK20" s="874" t="s">
        <v>9472</v>
      </c>
      <c r="EM20" s="90" t="s">
        <v>4979</v>
      </c>
      <c r="EN20" s="90" t="s">
        <v>4978</v>
      </c>
      <c r="EO20" s="102" t="s">
        <v>4984</v>
      </c>
      <c r="EP20" s="83" t="s">
        <v>4993</v>
      </c>
      <c r="EQ20" s="481" t="str">
        <f>IF(SelectRace="Elfe","Hekarti",IF(OR(Pays="Empire",Pays="Kislev",Pays="Pays Perdu"),"Ecate",""))</f>
        <v/>
      </c>
      <c r="ER20" s="83" t="str">
        <f t="shared" si="34"/>
        <v/>
      </c>
      <c r="ES20" s="83" t="str">
        <f t="shared" si="35"/>
        <v/>
      </c>
      <c r="ET20" s="530" t="str">
        <f t="shared" si="36"/>
        <v/>
      </c>
      <c r="EU20" s="177" t="str">
        <f>IF(Dieu="Gunndred","Initié","")</f>
        <v/>
      </c>
      <c r="EV20" s="83" t="str">
        <f t="shared" si="37"/>
        <v/>
      </c>
      <c r="EW20" s="83" t="str">
        <f t="shared" si="22"/>
        <v/>
      </c>
      <c r="EX20" s="530" t="str">
        <f t="shared" si="23"/>
        <v/>
      </c>
      <c r="EZ20" s="530" t="s">
        <v>254</v>
      </c>
      <c r="FB20" s="177" t="s">
        <v>14718</v>
      </c>
      <c r="FC20" s="732" t="s">
        <v>14630</v>
      </c>
      <c r="FD20" s="85" t="s">
        <v>14651</v>
      </c>
      <c r="FE20" s="851">
        <v>14</v>
      </c>
      <c r="FF20" s="25">
        <v>54</v>
      </c>
      <c r="FG20" s="25">
        <v>0</v>
      </c>
      <c r="FH20" s="25">
        <v>60</v>
      </c>
      <c r="FI20" s="25">
        <v>75</v>
      </c>
      <c r="FJ20" s="685">
        <v>31</v>
      </c>
      <c r="FK20" s="25">
        <v>52</v>
      </c>
      <c r="FL20" s="25">
        <v>91</v>
      </c>
      <c r="FM20" s="166">
        <v>25</v>
      </c>
      <c r="FN20" s="88">
        <v>6</v>
      </c>
      <c r="FO20" s="88">
        <v>57</v>
      </c>
      <c r="FP20" s="733">
        <f t="shared" si="45"/>
        <v>6</v>
      </c>
      <c r="FQ20" s="733">
        <f t="shared" si="43"/>
        <v>7</v>
      </c>
      <c r="FR20" s="734" t="s">
        <v>7251</v>
      </c>
      <c r="FS20" s="167">
        <v>1</v>
      </c>
      <c r="FT20" s="167">
        <v>0</v>
      </c>
      <c r="FU20" s="166">
        <v>0</v>
      </c>
      <c r="FV20" s="177" t="s">
        <v>14688</v>
      </c>
      <c r="FW20" s="177" t="s">
        <v>14687</v>
      </c>
      <c r="FX20" s="567" t="s">
        <v>9938</v>
      </c>
      <c r="GA20" s="83" t="s">
        <v>7581</v>
      </c>
      <c r="GC20" t="s">
        <v>2967</v>
      </c>
      <c r="GE20" s="356"/>
      <c r="GF20" t="s">
        <v>8185</v>
      </c>
      <c r="GG20" s="356" t="s">
        <v>8819</v>
      </c>
      <c r="GH20" s="83" t="s">
        <v>8824</v>
      </c>
      <c r="GI20" s="83" t="s">
        <v>8813</v>
      </c>
      <c r="GJ20" s="83" t="s">
        <v>9667</v>
      </c>
      <c r="GK20" s="530">
        <v>21</v>
      </c>
    </row>
    <row r="21" spans="1:198" ht="13.2" customHeight="1">
      <c r="H21" s="83" t="s">
        <v>4771</v>
      </c>
      <c r="I21" s="84" t="s">
        <v>4770</v>
      </c>
      <c r="J21" s="3" t="s">
        <v>834</v>
      </c>
      <c r="K21" s="3" t="s">
        <v>133</v>
      </c>
      <c r="L21" s="3"/>
      <c r="M21" s="651"/>
      <c r="N21" s="61" t="s">
        <v>12544</v>
      </c>
      <c r="O21" s="85" t="s">
        <v>12556</v>
      </c>
      <c r="P21" s="61" t="s">
        <v>12545</v>
      </c>
      <c r="Q21" s="61" t="s">
        <v>12546</v>
      </c>
      <c r="R21" s="652" t="s">
        <v>12547</v>
      </c>
      <c r="S21" s="83" t="str">
        <f>IF(CareerType=Y21,"Apprenti sorcier",IF(AllCareers="X","Apprenti sorcier",IF(OR(SelectRace="homme-bête",SelectRace="peau-verte",SelectRace="créature du chaos",SelectRace="skaven",SelectRace="Halfling",SelectRace="Nain"),"",IF(Pays="Empire","Apprenti sorcier",IF(OR(Pays="Tilée",Pays="Estalie"),"Apprenti sorcier",IF(OR(SelectRace="Elfe",SelectRace="Homme-lézard"),"Apprenti sorcier",""))))))</f>
        <v/>
      </c>
      <c r="T21" s="106">
        <f t="shared" si="46"/>
        <v>0</v>
      </c>
      <c r="U21" s="693" t="str">
        <f t="shared" si="26"/>
        <v/>
      </c>
      <c r="V21" s="693" t="str">
        <f t="shared" si="27"/>
        <v/>
      </c>
      <c r="W21" s="693" t="str">
        <f t="shared" si="28"/>
        <v/>
      </c>
      <c r="X21" s="47" t="s">
        <v>2160</v>
      </c>
      <c r="Y21" s="743" t="s">
        <v>15709</v>
      </c>
      <c r="Z21" s="55" t="s">
        <v>2200</v>
      </c>
      <c r="AA21" s="47">
        <v>31</v>
      </c>
      <c r="AB21" s="47" t="s">
        <v>2213</v>
      </c>
      <c r="AC21" s="47">
        <v>17</v>
      </c>
      <c r="AD21" s="15" t="s">
        <v>149</v>
      </c>
      <c r="AE21" s="15" t="s">
        <v>149</v>
      </c>
      <c r="AF21" s="15" t="s">
        <v>149</v>
      </c>
      <c r="AG21" s="15" t="s">
        <v>149</v>
      </c>
      <c r="AH21" s="20" t="s">
        <v>114</v>
      </c>
      <c r="AI21" s="15" t="s">
        <v>98</v>
      </c>
      <c r="AJ21" s="15" t="s">
        <v>101</v>
      </c>
      <c r="AK21" s="21" t="s">
        <v>114</v>
      </c>
      <c r="AL21" s="15" t="s">
        <v>149</v>
      </c>
      <c r="AM21" s="15" t="s">
        <v>113</v>
      </c>
      <c r="AN21" s="15" t="s">
        <v>149</v>
      </c>
      <c r="AO21" s="15" t="s">
        <v>102</v>
      </c>
      <c r="AP21" s="87" t="s">
        <v>16422</v>
      </c>
      <c r="AQ21" s="87" t="s">
        <v>734</v>
      </c>
      <c r="AR21" s="87" t="s">
        <v>12156</v>
      </c>
      <c r="AS21" s="87" t="s">
        <v>734</v>
      </c>
      <c r="AT21" s="22" t="s">
        <v>3411</v>
      </c>
      <c r="AU21" s="87" t="s">
        <v>5324</v>
      </c>
      <c r="AV21" s="87" t="s">
        <v>4556</v>
      </c>
      <c r="AW21" s="457">
        <v>0</v>
      </c>
      <c r="AX21" s="630" t="str">
        <f t="shared" si="38"/>
        <v/>
      </c>
      <c r="AY21" s="630" t="str">
        <f t="shared" si="39"/>
        <v/>
      </c>
      <c r="AZ21" s="630" t="str">
        <f t="shared" si="40"/>
        <v/>
      </c>
      <c r="BA21" s="3"/>
      <c r="BB21" s="3"/>
      <c r="BC21" s="3"/>
      <c r="BD21" s="3"/>
      <c r="BE21" s="3"/>
      <c r="BF21" s="3"/>
      <c r="BG21" s="3"/>
      <c r="BH21" s="3"/>
      <c r="BI21" s="3"/>
      <c r="BJ21" s="3"/>
      <c r="BK21" s="3"/>
      <c r="BL21" s="3"/>
      <c r="BM21" s="3">
        <v>29</v>
      </c>
      <c r="BN21" s="3"/>
      <c r="BO21" s="83" t="s">
        <v>10804</v>
      </c>
      <c r="BP21" s="3" t="s">
        <v>996</v>
      </c>
      <c r="BQ21" s="83" t="s">
        <v>94</v>
      </c>
      <c r="BR21" s="83"/>
      <c r="BS21" s="83" t="s">
        <v>4674</v>
      </c>
      <c r="BT21" t="str">
        <f>IF(SelectRace="Humain","Strigany","")</f>
        <v/>
      </c>
      <c r="BU21" s="83" t="str">
        <f t="shared" si="30"/>
        <v/>
      </c>
      <c r="BV21" s="83" t="str">
        <f t="shared" si="31"/>
        <v/>
      </c>
      <c r="BW21" s="83" t="str">
        <f t="shared" si="32"/>
        <v/>
      </c>
      <c r="BX21" s="3" t="str">
        <f>IF(Province="Grand comté d'Averland","Cité de la Grande baronnie du Hochland","")</f>
        <v/>
      </c>
      <c r="BY21" t="str">
        <f t="shared" si="33"/>
        <v/>
      </c>
      <c r="BZ21" s="83" t="str">
        <f t="shared" si="7"/>
        <v/>
      </c>
      <c r="CA21" s="83" t="str">
        <f t="shared" si="8"/>
        <v/>
      </c>
      <c r="CB21" s="530" t="str">
        <f t="shared" si="9"/>
        <v/>
      </c>
      <c r="CC21" s="3" t="s">
        <v>3228</v>
      </c>
      <c r="CD21" s="3" t="s">
        <v>3153</v>
      </c>
      <c r="CE21" s="83" t="s">
        <v>10227</v>
      </c>
      <c r="CF21" s="3" t="s">
        <v>1104</v>
      </c>
      <c r="CG21" s="3" t="s">
        <v>6142</v>
      </c>
      <c r="CH21" s="3" t="s">
        <v>5926</v>
      </c>
      <c r="CI21" s="83" t="s">
        <v>15083</v>
      </c>
      <c r="CJ21" s="3" t="s">
        <v>1103</v>
      </c>
      <c r="CK21" s="3" t="s">
        <v>6774</v>
      </c>
      <c r="CL21" s="83" t="s">
        <v>15012</v>
      </c>
      <c r="CM21" s="83" t="s">
        <v>10249</v>
      </c>
      <c r="CN21" s="83" t="s">
        <v>14896</v>
      </c>
      <c r="CO21" s="3" t="s">
        <v>10914</v>
      </c>
      <c r="CP21" s="83" t="s">
        <v>13321</v>
      </c>
      <c r="CQ21" s="83" t="s">
        <v>13354</v>
      </c>
      <c r="CR21" s="83" t="s">
        <v>13392</v>
      </c>
      <c r="CS21" s="3" t="s">
        <v>11115</v>
      </c>
      <c r="CT21" s="136" t="s">
        <v>396</v>
      </c>
      <c r="CU21" s="3"/>
      <c r="CV21" s="3"/>
      <c r="CW21" s="3"/>
      <c r="CX21" s="3"/>
      <c r="CY21" s="3" t="s">
        <v>398</v>
      </c>
      <c r="CZ21" s="3"/>
      <c r="DA21" s="3" t="s">
        <v>12603</v>
      </c>
      <c r="DB21" s="83" t="s">
        <v>12658</v>
      </c>
      <c r="DC21" s="3"/>
      <c r="DD21" s="83" t="s">
        <v>11225</v>
      </c>
      <c r="DE21" s="3" t="s">
        <v>135</v>
      </c>
      <c r="DF21" s="3">
        <f>ROW()</f>
        <v>21</v>
      </c>
      <c r="DG21" s="3" t="s">
        <v>2680</v>
      </c>
      <c r="DH21" s="3">
        <f t="shared" si="12"/>
        <v>750</v>
      </c>
      <c r="DI21" s="3">
        <f t="shared" si="13"/>
        <v>565</v>
      </c>
      <c r="DJ21" s="3">
        <f t="shared" si="14"/>
        <v>380</v>
      </c>
      <c r="DK21" s="3">
        <f t="shared" si="15"/>
        <v>195</v>
      </c>
      <c r="DL21" s="3"/>
      <c r="DM21" s="3"/>
      <c r="DN21" s="3"/>
      <c r="DO21" s="3" t="s">
        <v>2739</v>
      </c>
      <c r="DP21" s="3"/>
      <c r="DQ21" s="83" t="s">
        <v>5260</v>
      </c>
      <c r="DR21" s="3"/>
      <c r="DS21" s="3"/>
      <c r="DT21" s="83" t="s">
        <v>16663</v>
      </c>
      <c r="DU21" s="83" t="s">
        <v>11940</v>
      </c>
      <c r="DV21" s="3" t="s">
        <v>2815</v>
      </c>
      <c r="DW21" s="3" t="s">
        <v>2813</v>
      </c>
      <c r="DX21" s="83" t="s">
        <v>15571</v>
      </c>
      <c r="DY21" s="83" t="s">
        <v>15077</v>
      </c>
      <c r="DZ21" s="3" t="s">
        <v>2936</v>
      </c>
      <c r="EA21" s="83" t="s">
        <v>4528</v>
      </c>
      <c r="EB21" s="3"/>
      <c r="ED21" s="83" t="s">
        <v>12415</v>
      </c>
      <c r="EE21" s="83" t="s">
        <v>140</v>
      </c>
      <c r="EF21" s="530" t="s">
        <v>13121</v>
      </c>
      <c r="EG21" s="341" t="str">
        <f>IF(SelectRace="Vampire","Indépendant","")</f>
        <v/>
      </c>
      <c r="EH21" s="83" t="str">
        <f t="shared" si="16"/>
        <v/>
      </c>
      <c r="EI21" s="83" t="str">
        <f t="shared" si="17"/>
        <v/>
      </c>
      <c r="EJ21" s="83" t="str">
        <f t="shared" si="18"/>
        <v/>
      </c>
      <c r="EK21" s="874" t="s">
        <v>9476</v>
      </c>
      <c r="EL21" s="83"/>
      <c r="EM21" s="90" t="s">
        <v>4980</v>
      </c>
      <c r="EN21" s="90" t="s">
        <v>4978</v>
      </c>
      <c r="EO21" s="102" t="s">
        <v>4985</v>
      </c>
      <c r="EP21" s="83" t="s">
        <v>4993</v>
      </c>
      <c r="EQ21" s="565" t="str">
        <f>IF(Pays="Nippon","Amaterasu",IF(OR(Pays="Lustrie",Pays="Terres du Sud"),"Chotek",IF(Pays="Inja","Brahmasattva",IF(OR(Pays="Empire",Pays="Kislev",Pays="Pays Perdu"),"Illuminas/Alluminas",IF(OR(Pays="Terres des morts",Pays="Arabie"),"Asaph",IF(Pays="Cathay","Dragon Céleste",""))))))</f>
        <v/>
      </c>
      <c r="ER21" s="83" t="str">
        <f t="shared" si="34"/>
        <v/>
      </c>
      <c r="ES21" s="83" t="str">
        <f t="shared" si="35"/>
        <v/>
      </c>
      <c r="ET21" s="530" t="str">
        <f t="shared" si="36"/>
        <v/>
      </c>
      <c r="EU21" s="177" t="str">
        <f>IF(Dieu="Gunndred","Prêtre","")</f>
        <v/>
      </c>
      <c r="EV21" s="83" t="str">
        <f t="shared" si="37"/>
        <v/>
      </c>
      <c r="EW21" s="83" t="str">
        <f t="shared" si="22"/>
        <v/>
      </c>
      <c r="EX21" s="530" t="str">
        <f t="shared" si="23"/>
        <v/>
      </c>
      <c r="EY21" s="83" t="s">
        <v>439</v>
      </c>
      <c r="EZ21" s="530" t="s">
        <v>5902</v>
      </c>
      <c r="FB21" s="177" t="s">
        <v>14717</v>
      </c>
      <c r="FC21" s="732" t="s">
        <v>14630</v>
      </c>
      <c r="FD21" s="85" t="s">
        <v>9987</v>
      </c>
      <c r="FE21" s="851">
        <v>14</v>
      </c>
      <c r="FF21" s="25">
        <v>40</v>
      </c>
      <c r="FG21" s="25">
        <v>0</v>
      </c>
      <c r="FH21" s="25">
        <v>48</v>
      </c>
      <c r="FI21" s="25">
        <v>66</v>
      </c>
      <c r="FJ21" s="685">
        <v>40</v>
      </c>
      <c r="FK21" s="25">
        <v>60</v>
      </c>
      <c r="FL21" s="25">
        <v>82</v>
      </c>
      <c r="FM21" s="166">
        <v>60</v>
      </c>
      <c r="FN21" s="88">
        <v>6</v>
      </c>
      <c r="FO21" s="88">
        <v>44</v>
      </c>
      <c r="FP21" s="733">
        <f t="shared" si="45"/>
        <v>4</v>
      </c>
      <c r="FQ21" s="733">
        <f t="shared" si="43"/>
        <v>6</v>
      </c>
      <c r="FR21" s="734" t="s">
        <v>7251</v>
      </c>
      <c r="FS21" s="167">
        <v>1</v>
      </c>
      <c r="FT21" s="167">
        <v>0</v>
      </c>
      <c r="FU21" s="166">
        <v>0</v>
      </c>
      <c r="FV21" s="177" t="s">
        <v>14719</v>
      </c>
      <c r="FW21" s="177" t="s">
        <v>14716</v>
      </c>
      <c r="FX21" s="567" t="s">
        <v>9938</v>
      </c>
      <c r="GA21" t="s">
        <v>7451</v>
      </c>
      <c r="GC21" t="s">
        <v>7321</v>
      </c>
      <c r="GE21" s="356"/>
      <c r="GF21" t="s">
        <v>8166</v>
      </c>
      <c r="GG21" s="356" t="s">
        <v>8821</v>
      </c>
      <c r="GH21" s="83" t="s">
        <v>8824</v>
      </c>
      <c r="GI21" s="83" t="s">
        <v>8813</v>
      </c>
      <c r="GJ21" s="83" t="s">
        <v>9665</v>
      </c>
      <c r="GK21" s="530">
        <v>22</v>
      </c>
    </row>
    <row r="22" spans="1:198" ht="13.2" customHeight="1">
      <c r="H22" s="3" t="s">
        <v>403</v>
      </c>
      <c r="I22" s="6" t="s">
        <v>65</v>
      </c>
      <c r="J22" s="3" t="s">
        <v>790</v>
      </c>
      <c r="L22" s="3"/>
      <c r="M22" s="651"/>
      <c r="N22" s="3"/>
      <c r="O22" s="3"/>
      <c r="P22" s="3"/>
      <c r="Q22" s="3"/>
      <c r="R22" s="651"/>
      <c r="S22" s="83" t="str">
        <f>IF(CareerType=Y22,"Apprentie sorcière",IF(AllCareers="X","Apprentie sorcière",IF(OR(SelectRace="homme-bête",SelectRace="peau-verte",SelectRace="créature du chaos",SelectRace="Homme-lézard",SelectRace="skaven"),"",IF('page 1'!M11="","",IF('page 1'!M11="masculin","",IF('page 1'!M11="féminin",IF(Pays="","",IF(Pays="Kislev","Apprentie sorcière",""))))))))</f>
        <v/>
      </c>
      <c r="T22" s="106">
        <f t="shared" si="46"/>
        <v>0</v>
      </c>
      <c r="U22" s="693" t="str">
        <f t="shared" si="26"/>
        <v/>
      </c>
      <c r="V22" s="693" t="str">
        <f t="shared" si="27"/>
        <v/>
      </c>
      <c r="W22" s="693" t="str">
        <f t="shared" si="28"/>
        <v/>
      </c>
      <c r="X22" s="47" t="s">
        <v>2160</v>
      </c>
      <c r="Y22" s="743" t="s">
        <v>15709</v>
      </c>
      <c r="Z22" s="55" t="s">
        <v>1319</v>
      </c>
      <c r="AA22" s="47">
        <v>97</v>
      </c>
      <c r="AB22" s="47" t="s">
        <v>2214</v>
      </c>
      <c r="AC22" s="47">
        <v>16</v>
      </c>
      <c r="AD22" s="15" t="s">
        <v>149</v>
      </c>
      <c r="AE22" s="15" t="s">
        <v>149</v>
      </c>
      <c r="AF22" s="15" t="s">
        <v>149</v>
      </c>
      <c r="AG22" s="15" t="s">
        <v>98</v>
      </c>
      <c r="AH22" s="20" t="s">
        <v>114</v>
      </c>
      <c r="AI22" s="15" t="s">
        <v>98</v>
      </c>
      <c r="AJ22" s="15" t="s">
        <v>98</v>
      </c>
      <c r="AK22" s="18" t="s">
        <v>149</v>
      </c>
      <c r="AL22" s="15" t="s">
        <v>149</v>
      </c>
      <c r="AM22" s="15" t="s">
        <v>113</v>
      </c>
      <c r="AN22" s="15" t="s">
        <v>149</v>
      </c>
      <c r="AO22" s="15" t="s">
        <v>102</v>
      </c>
      <c r="AP22" s="22" t="s">
        <v>771</v>
      </c>
      <c r="AQ22" s="87" t="s">
        <v>734</v>
      </c>
      <c r="AR22" s="22" t="s">
        <v>1025</v>
      </c>
      <c r="AS22" s="87" t="s">
        <v>15882</v>
      </c>
      <c r="AT22" s="22" t="s">
        <v>16645</v>
      </c>
      <c r="AU22" s="87" t="s">
        <v>5413</v>
      </c>
      <c r="AV22" s="87" t="s">
        <v>4642</v>
      </c>
      <c r="AW22" s="457">
        <v>0</v>
      </c>
      <c r="AX22" s="630" t="str">
        <f t="shared" si="38"/>
        <v/>
      </c>
      <c r="AY22" s="630" t="str">
        <f t="shared" si="39"/>
        <v/>
      </c>
      <c r="AZ22" s="630" t="str">
        <f t="shared" si="40"/>
        <v/>
      </c>
      <c r="BA22" s="3"/>
      <c r="BB22" s="3"/>
      <c r="BC22" s="3"/>
      <c r="BD22" s="3"/>
      <c r="BE22" s="3"/>
      <c r="BF22" s="3"/>
      <c r="BG22" s="3"/>
      <c r="BH22" s="3"/>
      <c r="BI22" s="3"/>
      <c r="BJ22" s="3"/>
      <c r="BK22" s="3"/>
      <c r="BL22" s="3"/>
      <c r="BM22" s="3">
        <v>30</v>
      </c>
      <c r="BN22" s="3"/>
      <c r="BO22" s="83" t="s">
        <v>10810</v>
      </c>
      <c r="BP22" s="3" t="s">
        <v>1002</v>
      </c>
      <c r="BQ22" s="3" t="s">
        <v>11829</v>
      </c>
      <c r="BR22" s="3"/>
      <c r="BS22" s="83" t="s">
        <v>3077</v>
      </c>
      <c r="BT22" s="83" t="str">
        <f>IF(OR(SelectRace="",SelectRace="Elfe",SelectRace="Homme-lézard"),"","Terres des Morts")</f>
        <v/>
      </c>
      <c r="BU22" s="83" t="str">
        <f t="shared" si="30"/>
        <v/>
      </c>
      <c r="BV22" s="83" t="str">
        <f t="shared" si="31"/>
        <v/>
      </c>
      <c r="BW22" s="83" t="str">
        <f t="shared" si="32"/>
        <v/>
      </c>
      <c r="BX22" s="3" t="str">
        <f>IF(Province="Grands-duchés de Middenheim et du Middenland","Cité de Grands-duchés de Middenheim et du Middenland","")</f>
        <v/>
      </c>
      <c r="BY22" t="str">
        <f t="shared" si="33"/>
        <v/>
      </c>
      <c r="BZ22" s="83" t="str">
        <f t="shared" si="7"/>
        <v/>
      </c>
      <c r="CA22" s="83" t="str">
        <f t="shared" si="8"/>
        <v/>
      </c>
      <c r="CB22" s="530" t="str">
        <f t="shared" si="9"/>
        <v/>
      </c>
      <c r="CC22" s="3" t="s">
        <v>3229</v>
      </c>
      <c r="CD22" t="s">
        <v>10641</v>
      </c>
      <c r="CE22" t="s">
        <v>10768</v>
      </c>
      <c r="CF22" s="83" t="s">
        <v>10212</v>
      </c>
      <c r="CG22" s="83" t="s">
        <v>10163</v>
      </c>
      <c r="CH22" s="3" t="s">
        <v>5927</v>
      </c>
      <c r="CI22" s="3" t="s">
        <v>3377</v>
      </c>
      <c r="CJ22" s="3" t="s">
        <v>3389</v>
      </c>
      <c r="CK22" s="3" t="s">
        <v>6816</v>
      </c>
      <c r="CL22" s="83" t="s">
        <v>15011</v>
      </c>
      <c r="CM22" s="83" t="s">
        <v>14905</v>
      </c>
      <c r="CN22" s="3" t="s">
        <v>6587</v>
      </c>
      <c r="CO22" s="3" t="s">
        <v>10889</v>
      </c>
      <c r="CP22" s="83" t="s">
        <v>13314</v>
      </c>
      <c r="CQ22" s="83" t="s">
        <v>13360</v>
      </c>
      <c r="CR22" s="83" t="s">
        <v>13393</v>
      </c>
      <c r="CS22" s="83" t="s">
        <v>15025</v>
      </c>
      <c r="CT22" s="83" t="s">
        <v>797</v>
      </c>
      <c r="CU22" s="3"/>
      <c r="CV22" s="3"/>
      <c r="CW22" s="3"/>
      <c r="CX22" s="3"/>
      <c r="CY22" s="83" t="s">
        <v>9594</v>
      </c>
      <c r="CZ22" s="3"/>
      <c r="DA22" s="3" t="s">
        <v>12604</v>
      </c>
      <c r="DB22" s="83" t="s">
        <v>12662</v>
      </c>
      <c r="DC22" s="3"/>
      <c r="DD22" s="83" t="s">
        <v>11201</v>
      </c>
      <c r="DE22" s="3" t="s">
        <v>133</v>
      </c>
      <c r="DF22" s="3">
        <f>ROW()</f>
        <v>22</v>
      </c>
      <c r="DG22" s="3" t="s">
        <v>2174</v>
      </c>
      <c r="DH22" s="3">
        <f t="shared" si="12"/>
        <v>135</v>
      </c>
      <c r="DI22" s="3">
        <f t="shared" si="13"/>
        <v>115</v>
      </c>
      <c r="DJ22" s="3">
        <f t="shared" si="14"/>
        <v>95</v>
      </c>
      <c r="DK22" s="3">
        <f t="shared" si="15"/>
        <v>75</v>
      </c>
      <c r="DL22" s="3"/>
      <c r="DM22" s="3"/>
      <c r="DN22" s="3"/>
      <c r="DO22" s="83" t="s">
        <v>2752</v>
      </c>
      <c r="DP22" s="3"/>
      <c r="DQ22" s="3" t="s">
        <v>5423</v>
      </c>
      <c r="DR22" s="3"/>
      <c r="DS22" s="3"/>
      <c r="DT22" s="83" t="s">
        <v>11310</v>
      </c>
      <c r="DU22" s="562" t="s">
        <v>4551</v>
      </c>
      <c r="DV22" s="3" t="s">
        <v>2816</v>
      </c>
      <c r="DW22" s="3" t="s">
        <v>2813</v>
      </c>
      <c r="DX22" s="83" t="s">
        <v>15587</v>
      </c>
      <c r="DY22" s="83" t="s">
        <v>15611</v>
      </c>
      <c r="DZ22" s="3" t="s">
        <v>2937</v>
      </c>
      <c r="EA22" s="83" t="s">
        <v>4528</v>
      </c>
      <c r="EB22" s="3"/>
      <c r="ED22" s="83" t="s">
        <v>12429</v>
      </c>
      <c r="EE22" s="83" t="s">
        <v>140</v>
      </c>
      <c r="EF22" s="530" t="s">
        <v>13122</v>
      </c>
      <c r="EG22" s="62" t="str">
        <f>IF(SelectRace="Vampire","Lahmiane","")</f>
        <v/>
      </c>
      <c r="EH22" s="83" t="str">
        <f t="shared" si="16"/>
        <v/>
      </c>
      <c r="EI22" s="83" t="str">
        <f t="shared" si="17"/>
        <v/>
      </c>
      <c r="EJ22" s="83" t="str">
        <f t="shared" si="18"/>
        <v/>
      </c>
      <c r="EK22" s="874" t="s">
        <v>9527</v>
      </c>
      <c r="EL22" s="83"/>
      <c r="EM22" s="90" t="s">
        <v>4981</v>
      </c>
      <c r="EN22" s="90" t="s">
        <v>4978</v>
      </c>
      <c r="EO22" s="90" t="s">
        <v>4986</v>
      </c>
      <c r="EP22" s="83" t="s">
        <v>4993</v>
      </c>
      <c r="EQ22" s="481" t="str">
        <f>IF(Pays="Arabie","Ishtra/Uzzal","")</f>
        <v/>
      </c>
      <c r="ER22" s="83" t="str">
        <f t="shared" si="34"/>
        <v/>
      </c>
      <c r="ES22" s="83" t="str">
        <f t="shared" si="35"/>
        <v/>
      </c>
      <c r="ET22" s="530" t="str">
        <f t="shared" si="36"/>
        <v/>
      </c>
      <c r="EU22" s="177" t="str">
        <f>IF(OR(Dieu="Handrich",Dieu="O Prospèro",Dieu="Mercopio",Dieu="Kalita",Dieu="Haendryk",Dieu="Hitoï",Dieu="Mahakali"),"Initié","")</f>
        <v/>
      </c>
      <c r="EV22" s="83" t="str">
        <f t="shared" si="37"/>
        <v/>
      </c>
      <c r="EW22" s="83" t="str">
        <f t="shared" si="22"/>
        <v/>
      </c>
      <c r="EX22" s="530" t="str">
        <f t="shared" si="23"/>
        <v/>
      </c>
      <c r="EZ22" s="530" t="s">
        <v>5903</v>
      </c>
      <c r="FB22" s="177" t="s">
        <v>14695</v>
      </c>
      <c r="FC22" s="732" t="s">
        <v>14630</v>
      </c>
      <c r="FD22" s="85" t="s">
        <v>14651</v>
      </c>
      <c r="FE22" s="851">
        <v>15</v>
      </c>
      <c r="FF22" s="25">
        <v>56</v>
      </c>
      <c r="FG22" s="25">
        <v>0</v>
      </c>
      <c r="FH22" s="25">
        <v>64</v>
      </c>
      <c r="FI22" s="25">
        <v>72</v>
      </c>
      <c r="FJ22" s="685">
        <v>31</v>
      </c>
      <c r="FK22" s="25">
        <v>50</v>
      </c>
      <c r="FL22" s="25">
        <v>87</v>
      </c>
      <c r="FM22" s="166">
        <v>34</v>
      </c>
      <c r="FN22" s="88">
        <v>6</v>
      </c>
      <c r="FO22" s="88">
        <v>60</v>
      </c>
      <c r="FP22" s="733">
        <f t="shared" si="45"/>
        <v>6</v>
      </c>
      <c r="FQ22" s="733">
        <f t="shared" si="43"/>
        <v>7</v>
      </c>
      <c r="FR22" s="734" t="s">
        <v>7251</v>
      </c>
      <c r="FS22" s="167">
        <v>1</v>
      </c>
      <c r="FT22" s="167">
        <v>0</v>
      </c>
      <c r="FU22" s="166">
        <v>0</v>
      </c>
      <c r="FV22" s="177" t="s">
        <v>14661</v>
      </c>
      <c r="FW22" s="177" t="s">
        <v>14667</v>
      </c>
      <c r="FX22" s="567" t="s">
        <v>9938</v>
      </c>
      <c r="GA22" s="83" t="s">
        <v>7580</v>
      </c>
      <c r="GC22" t="s">
        <v>2972</v>
      </c>
      <c r="GE22" s="356"/>
      <c r="GF22" t="s">
        <v>7676</v>
      </c>
      <c r="GG22" s="356" t="s">
        <v>8833</v>
      </c>
      <c r="GH22" s="83" t="s">
        <v>8826</v>
      </c>
      <c r="GI22" s="83" t="s">
        <v>8813</v>
      </c>
      <c r="GJ22" s="83" t="s">
        <v>9001</v>
      </c>
      <c r="GK22" s="530">
        <v>20</v>
      </c>
    </row>
    <row r="23" spans="1:198" ht="13.2" customHeight="1">
      <c r="H23" s="83" t="s">
        <v>404</v>
      </c>
      <c r="I23" s="6" t="s">
        <v>1254</v>
      </c>
      <c r="J23" s="3" t="s">
        <v>835</v>
      </c>
      <c r="K23" s="3" t="s">
        <v>132</v>
      </c>
      <c r="L23" s="3"/>
      <c r="M23" s="651"/>
      <c r="N23" s="3"/>
      <c r="O23" s="3"/>
      <c r="P23" s="3"/>
      <c r="Q23" s="3"/>
      <c r="R23" s="651"/>
      <c r="S23" s="83" t="str">
        <f>IF(CareerType=Y23,"Archer monté",IF(AllCareers="X","Archer monté",IF(Selectsousrace="","",IF(OR(SelectRace="homme-bête",SelectRace="peau-verte",SelectRace="créature du chaos",SelectRace="Homme-lézard",SelectRace="skaven"),"",IF(FirstCareer="1ère carrière","","Archer monté")))))</f>
        <v/>
      </c>
      <c r="T23" s="106">
        <f t="shared" si="46"/>
        <v>1</v>
      </c>
      <c r="U23" s="693" t="str">
        <f t="shared" si="26"/>
        <v/>
      </c>
      <c r="V23" s="693" t="str">
        <f t="shared" si="27"/>
        <v/>
      </c>
      <c r="W23" s="693" t="str">
        <f t="shared" si="28"/>
        <v/>
      </c>
      <c r="X23" s="47" t="s">
        <v>2153</v>
      </c>
      <c r="Y23" s="743" t="s">
        <v>7130</v>
      </c>
      <c r="Z23" s="55" t="s">
        <v>1319</v>
      </c>
      <c r="AA23" s="47">
        <v>98</v>
      </c>
      <c r="AB23" s="47" t="s">
        <v>2215</v>
      </c>
      <c r="AC23" s="47">
        <v>106</v>
      </c>
      <c r="AD23" s="15" t="s">
        <v>101</v>
      </c>
      <c r="AE23" s="15" t="s">
        <v>99</v>
      </c>
      <c r="AF23" s="15" t="s">
        <v>101</v>
      </c>
      <c r="AG23" s="15" t="s">
        <v>101</v>
      </c>
      <c r="AH23" s="15" t="s">
        <v>101</v>
      </c>
      <c r="AI23" s="15" t="s">
        <v>149</v>
      </c>
      <c r="AJ23" s="15" t="s">
        <v>101</v>
      </c>
      <c r="AK23" s="21" t="s">
        <v>114</v>
      </c>
      <c r="AL23" s="15" t="s">
        <v>102</v>
      </c>
      <c r="AM23" s="15" t="s">
        <v>103</v>
      </c>
      <c r="AN23" s="15" t="s">
        <v>149</v>
      </c>
      <c r="AO23" s="15" t="s">
        <v>149</v>
      </c>
      <c r="AP23" s="140" t="s">
        <v>14848</v>
      </c>
      <c r="AQ23" s="87" t="s">
        <v>734</v>
      </c>
      <c r="AR23" s="22" t="s">
        <v>12252</v>
      </c>
      <c r="AS23" s="87" t="s">
        <v>734</v>
      </c>
      <c r="AT23" s="87" t="s">
        <v>16646</v>
      </c>
      <c r="AU23" s="87" t="s">
        <v>5414</v>
      </c>
      <c r="AV23" s="87" t="s">
        <v>4649</v>
      </c>
      <c r="AW23" s="457">
        <v>0</v>
      </c>
      <c r="AX23" s="630" t="str">
        <f t="shared" si="38"/>
        <v/>
      </c>
      <c r="AY23" s="630" t="str">
        <f t="shared" si="39"/>
        <v/>
      </c>
      <c r="AZ23" s="630" t="str">
        <f t="shared" si="40"/>
        <v/>
      </c>
      <c r="BA23" s="3"/>
      <c r="BB23" s="3"/>
      <c r="BC23" s="3"/>
      <c r="BD23" s="3"/>
      <c r="BE23" s="3"/>
      <c r="BF23" s="3"/>
      <c r="BG23" s="3"/>
      <c r="BH23" s="3"/>
      <c r="BI23" s="3"/>
      <c r="BJ23" s="3"/>
      <c r="BK23" s="3"/>
      <c r="BL23" s="3"/>
      <c r="BM23" s="3">
        <v>31</v>
      </c>
      <c r="BN23" s="3"/>
      <c r="BO23" s="3" t="s">
        <v>1020</v>
      </c>
      <c r="BP23" s="3" t="s">
        <v>1007</v>
      </c>
      <c r="BQ23" s="3" t="s">
        <v>11830</v>
      </c>
      <c r="BR23" s="83"/>
      <c r="BS23" s="83" t="s">
        <v>14755</v>
      </c>
      <c r="BT23" s="83" t="str">
        <f>IF(OR(SelectRace="",SelectRace="Elfe"),"","Terres du Sud")</f>
        <v/>
      </c>
      <c r="BU23" s="83" t="str">
        <f t="shared" si="30"/>
        <v/>
      </c>
      <c r="BV23" s="83" t="str">
        <f t="shared" si="31"/>
        <v/>
      </c>
      <c r="BW23" s="83" t="str">
        <f t="shared" si="32"/>
        <v/>
      </c>
      <c r="BX23" s="3" t="str">
        <f>IF(Province="Grande baronnie du Nordland","Cité de la Grande baronnie du Nordland","")</f>
        <v/>
      </c>
      <c r="BY23" t="str">
        <f t="shared" si="33"/>
        <v/>
      </c>
      <c r="BZ23" s="83" t="str">
        <f t="shared" si="7"/>
        <v/>
      </c>
      <c r="CA23" s="83" t="str">
        <f t="shared" si="8"/>
        <v/>
      </c>
      <c r="CB23" s="530" t="str">
        <f t="shared" si="9"/>
        <v/>
      </c>
      <c r="CC23" s="3" t="s">
        <v>3230</v>
      </c>
      <c r="CD23" t="s">
        <v>10642</v>
      </c>
      <c r="CE23" s="83" t="s">
        <v>12310</v>
      </c>
      <c r="CF23" s="83" t="s">
        <v>10213</v>
      </c>
      <c r="CG23" s="83" t="s">
        <v>15194</v>
      </c>
      <c r="CH23" s="3" t="s">
        <v>5928</v>
      </c>
      <c r="CI23" s="3" t="s">
        <v>925</v>
      </c>
      <c r="CJ23" s="83" t="s">
        <v>10195</v>
      </c>
      <c r="CK23" s="83" t="s">
        <v>15033</v>
      </c>
      <c r="CL23" s="83" t="s">
        <v>10752</v>
      </c>
      <c r="CM23" s="83" t="s">
        <v>10250</v>
      </c>
      <c r="CN23" s="83" t="s">
        <v>15148</v>
      </c>
      <c r="CO23" s="3" t="s">
        <v>10898</v>
      </c>
      <c r="CP23" s="83" t="s">
        <v>13330</v>
      </c>
      <c r="CQ23" s="83" t="s">
        <v>13352</v>
      </c>
      <c r="CR23" s="83" t="s">
        <v>13394</v>
      </c>
      <c r="CS23" s="83" t="s">
        <v>15024</v>
      </c>
      <c r="CT23" s="83" t="s">
        <v>800</v>
      </c>
      <c r="CU23" s="3"/>
      <c r="CV23" s="3"/>
      <c r="CW23" s="3"/>
      <c r="CX23" s="3"/>
      <c r="CY23" s="3" t="s">
        <v>399</v>
      </c>
      <c r="CZ23" s="3"/>
      <c r="DA23" s="3" t="s">
        <v>12605</v>
      </c>
      <c r="DB23" s="83" t="s">
        <v>12663</v>
      </c>
      <c r="DC23" s="3"/>
      <c r="DD23" s="3" t="s">
        <v>2682</v>
      </c>
      <c r="DE23" s="3" t="s">
        <v>132</v>
      </c>
      <c r="DF23" s="3">
        <f>ROW()</f>
        <v>23</v>
      </c>
      <c r="DG23" s="3" t="s">
        <v>2174</v>
      </c>
      <c r="DH23" s="3">
        <f t="shared" si="12"/>
        <v>135</v>
      </c>
      <c r="DI23" s="3">
        <f t="shared" si="13"/>
        <v>115</v>
      </c>
      <c r="DJ23" s="3">
        <f t="shared" si="14"/>
        <v>95</v>
      </c>
      <c r="DK23" s="3">
        <f t="shared" si="15"/>
        <v>75</v>
      </c>
      <c r="DL23" s="3"/>
      <c r="DM23" s="3"/>
      <c r="DN23" s="3"/>
      <c r="DO23" s="83" t="s">
        <v>11255</v>
      </c>
      <c r="DP23" s="3"/>
      <c r="DQ23" s="83" t="s">
        <v>12776</v>
      </c>
      <c r="DR23" s="3"/>
      <c r="DS23" s="3"/>
      <c r="DT23" s="3" t="s">
        <v>2832</v>
      </c>
      <c r="DU23" s="83" t="s">
        <v>4877</v>
      </c>
      <c r="DV23" s="83" t="s">
        <v>16667</v>
      </c>
      <c r="DW23" s="83" t="s">
        <v>16670</v>
      </c>
      <c r="DX23" s="83" t="s">
        <v>15570</v>
      </c>
      <c r="DY23" s="83" t="s">
        <v>15565</v>
      </c>
      <c r="DZ23" s="3" t="s">
        <v>2938</v>
      </c>
      <c r="EA23" s="83" t="s">
        <v>4528</v>
      </c>
      <c r="EB23" s="3"/>
      <c r="ED23" s="83" t="s">
        <v>12430</v>
      </c>
      <c r="EE23" s="83" t="s">
        <v>140</v>
      </c>
      <c r="EF23" s="530" t="s">
        <v>13123</v>
      </c>
      <c r="EG23" s="106" t="str">
        <f>IF(SelectRace="Vampire","Mahtmasi","")</f>
        <v/>
      </c>
      <c r="EH23" s="83" t="str">
        <f t="shared" si="16"/>
        <v/>
      </c>
      <c r="EI23" s="83" t="str">
        <f t="shared" si="17"/>
        <v/>
      </c>
      <c r="EJ23" s="83" t="str">
        <f t="shared" si="18"/>
        <v/>
      </c>
      <c r="EK23" s="874" t="s">
        <v>9965</v>
      </c>
      <c r="EL23" s="83"/>
      <c r="EM23" s="90" t="s">
        <v>5090</v>
      </c>
      <c r="EN23" s="90" t="s">
        <v>5155</v>
      </c>
      <c r="EO23" t="s">
        <v>5100</v>
      </c>
      <c r="EP23" s="83" t="s">
        <v>5105</v>
      </c>
      <c r="EQ23" s="481" t="str">
        <f>IF(Pays="Inja","Kâli-ma",IF(Pays="Nippon","Shahai",IF(Pays="Estalie","Canne et Locci",IF(OR(Pays="Terres des morts",Pays="Arabie"),"Sokth",IF(OR(Pays="Lustrie",Pays="Terres du Sud"),"Xapati","Khaine")))))</f>
        <v>Khaine</v>
      </c>
      <c r="ER23" s="83">
        <f t="shared" si="34"/>
        <v>23</v>
      </c>
      <c r="ES23" s="83" t="str">
        <f t="shared" si="35"/>
        <v/>
      </c>
      <c r="ET23" s="530" t="str">
        <f t="shared" si="36"/>
        <v/>
      </c>
      <c r="EU23" s="177" t="str">
        <f>IF(OR(Dieu="Handrich",Dieu="O Prospèro",Dieu="Mercopio",Dieu="Kalita",Dieu="Haendryk",Dieu="Hitoï",Dieu="Mahakali"),"Prêtre","")</f>
        <v/>
      </c>
      <c r="EV23" s="83" t="str">
        <f t="shared" si="37"/>
        <v/>
      </c>
      <c r="EW23" s="83" t="str">
        <f t="shared" si="22"/>
        <v/>
      </c>
      <c r="EX23" s="530" t="str">
        <f t="shared" si="23"/>
        <v/>
      </c>
      <c r="EY23" s="83" t="s">
        <v>5904</v>
      </c>
      <c r="EZ23" s="530" t="s">
        <v>256</v>
      </c>
      <c r="FB23" s="177" t="s">
        <v>14684</v>
      </c>
      <c r="FC23" s="732" t="s">
        <v>14630</v>
      </c>
      <c r="FD23" s="85" t="s">
        <v>14651</v>
      </c>
      <c r="FE23" s="851">
        <v>21</v>
      </c>
      <c r="FF23" s="25">
        <v>59</v>
      </c>
      <c r="FG23" s="25">
        <v>0</v>
      </c>
      <c r="FH23" s="25">
        <v>65</v>
      </c>
      <c r="FI23" s="25">
        <v>68</v>
      </c>
      <c r="FJ23" s="685">
        <v>30</v>
      </c>
      <c r="FK23" s="25">
        <v>54</v>
      </c>
      <c r="FL23" s="25">
        <v>90</v>
      </c>
      <c r="FM23" s="166">
        <v>0</v>
      </c>
      <c r="FN23" s="88">
        <v>6</v>
      </c>
      <c r="FO23" s="88">
        <v>62</v>
      </c>
      <c r="FP23" s="733">
        <f t="shared" si="45"/>
        <v>6</v>
      </c>
      <c r="FQ23" s="733">
        <f t="shared" si="43"/>
        <v>6</v>
      </c>
      <c r="FR23" s="734" t="s">
        <v>7251</v>
      </c>
      <c r="FS23" s="167">
        <v>1</v>
      </c>
      <c r="FT23" s="167">
        <v>0</v>
      </c>
      <c r="FU23" s="166">
        <v>0</v>
      </c>
      <c r="FV23" s="177" t="s">
        <v>14683</v>
      </c>
      <c r="FW23" s="177" t="s">
        <v>14682</v>
      </c>
      <c r="FX23" s="567" t="s">
        <v>9938</v>
      </c>
      <c r="GA23" t="s">
        <v>7601</v>
      </c>
      <c r="GC23" t="s">
        <v>7308</v>
      </c>
      <c r="GE23" s="356"/>
      <c r="GF23" t="s">
        <v>8186</v>
      </c>
      <c r="GG23" s="356" t="s">
        <v>8829</v>
      </c>
      <c r="GH23" s="83" t="s">
        <v>8826</v>
      </c>
      <c r="GI23" s="83" t="s">
        <v>8813</v>
      </c>
    </row>
    <row r="24" spans="1:198" ht="13.2" customHeight="1">
      <c r="H24" s="3" t="s">
        <v>2855</v>
      </c>
      <c r="I24" s="3" t="s">
        <v>2856</v>
      </c>
      <c r="J24" s="3" t="s">
        <v>836</v>
      </c>
      <c r="K24" s="3" t="s">
        <v>133</v>
      </c>
      <c r="L24" s="3"/>
      <c r="M24" s="651"/>
      <c r="N24" s="61"/>
      <c r="O24" s="3"/>
      <c r="P24" s="3"/>
      <c r="Q24" s="3"/>
      <c r="R24" s="651"/>
      <c r="S24" s="83" t="str">
        <f>IF(CareerType=Y24,"Archimage",IF(AllCareers="X","Archimage",IF(Selectsousrace="","",IF(Selectsousrace&lt;&gt;"Elfe","",IF(FirstCareer="1ère carrière","","Archimage")))))</f>
        <v/>
      </c>
      <c r="T24" s="85">
        <v>5</v>
      </c>
      <c r="U24" s="693" t="str">
        <f t="shared" si="26"/>
        <v/>
      </c>
      <c r="V24" s="693" t="str">
        <f t="shared" si="27"/>
        <v/>
      </c>
      <c r="W24" s="693" t="str">
        <f t="shared" si="28"/>
        <v/>
      </c>
      <c r="X24" s="47" t="s">
        <v>2153</v>
      </c>
      <c r="Y24" s="743" t="s">
        <v>15709</v>
      </c>
      <c r="Z24" s="56" t="s">
        <v>9344</v>
      </c>
      <c r="AA24" s="89" t="s">
        <v>9345</v>
      </c>
      <c r="AB24" s="89" t="s">
        <v>9277</v>
      </c>
      <c r="AD24" s="15" t="s">
        <v>100</v>
      </c>
      <c r="AE24" s="15" t="s">
        <v>101</v>
      </c>
      <c r="AF24" s="15" t="s">
        <v>98</v>
      </c>
      <c r="AG24" s="15" t="s">
        <v>101</v>
      </c>
      <c r="AH24" s="15" t="s">
        <v>99</v>
      </c>
      <c r="AI24" s="105" t="s">
        <v>97</v>
      </c>
      <c r="AJ24" s="105" t="s">
        <v>9274</v>
      </c>
      <c r="AK24" s="443" t="s">
        <v>116</v>
      </c>
      <c r="AL24" s="105" t="s">
        <v>102</v>
      </c>
      <c r="AM24" s="105" t="s">
        <v>117</v>
      </c>
      <c r="AN24" s="15" t="s">
        <v>149</v>
      </c>
      <c r="AO24" s="105" t="s">
        <v>114</v>
      </c>
      <c r="AP24" s="87" t="s">
        <v>11509</v>
      </c>
      <c r="AQ24" s="87" t="s">
        <v>734</v>
      </c>
      <c r="AR24" s="87" t="s">
        <v>734</v>
      </c>
      <c r="AS24" s="87" t="s">
        <v>734</v>
      </c>
      <c r="AT24" s="87" t="s">
        <v>16647</v>
      </c>
      <c r="AU24" s="87" t="s">
        <v>9275</v>
      </c>
      <c r="AV24" s="87" t="s">
        <v>9276</v>
      </c>
      <c r="AW24" s="457">
        <v>0</v>
      </c>
      <c r="AX24" s="630" t="str">
        <f t="shared" si="38"/>
        <v/>
      </c>
      <c r="AY24" s="630" t="str">
        <f t="shared" si="39"/>
        <v/>
      </c>
      <c r="AZ24" s="630" t="str">
        <f t="shared" si="40"/>
        <v/>
      </c>
      <c r="BA24" s="3"/>
      <c r="BB24" s="3"/>
      <c r="BC24" s="3"/>
      <c r="BD24" s="3"/>
      <c r="BE24" s="3"/>
      <c r="BF24" s="3"/>
      <c r="BG24" s="3"/>
      <c r="BH24" s="3"/>
      <c r="BI24" s="3"/>
      <c r="BJ24" s="3"/>
      <c r="BK24" s="3"/>
      <c r="BL24" s="3"/>
      <c r="BM24" s="3">
        <v>32</v>
      </c>
      <c r="BN24" s="3"/>
      <c r="BO24" s="83" t="s">
        <v>7338</v>
      </c>
      <c r="BP24" s="3" t="s">
        <v>1012</v>
      </c>
      <c r="BQ24" s="3" t="s">
        <v>11831</v>
      </c>
      <c r="BR24" s="83"/>
      <c r="BS24" s="83" t="s">
        <v>5453</v>
      </c>
      <c r="BT24" s="83" t="str">
        <f>IF(OR(SelectRace="Humain",SelectRace="Skaven",SelectRace="Vampire",SelectRace="Halfling",SelectRace="peau-verte",SelectRace="Nain",SelectRace="Créature du Chaos"),"Terres Sombres","")</f>
        <v/>
      </c>
      <c r="BU24" s="83" t="str">
        <f t="shared" si="30"/>
        <v/>
      </c>
      <c r="BV24" s="83" t="str">
        <f t="shared" si="31"/>
        <v/>
      </c>
      <c r="BW24" s="83" t="str">
        <f t="shared" si="32"/>
        <v/>
      </c>
      <c r="BX24" s="3" t="str">
        <f>IF(Province="Grande principauté du Reikland","Cité de la Grande principauté du Reikland","")</f>
        <v/>
      </c>
      <c r="BY24" t="str">
        <f t="shared" si="33"/>
        <v/>
      </c>
      <c r="BZ24" s="83" t="str">
        <f t="shared" si="7"/>
        <v/>
      </c>
      <c r="CA24" s="83" t="str">
        <f t="shared" si="8"/>
        <v/>
      </c>
      <c r="CB24" s="530" t="str">
        <f t="shared" si="9"/>
        <v/>
      </c>
      <c r="CC24" s="3" t="s">
        <v>3231</v>
      </c>
      <c r="CD24" t="s">
        <v>10643</v>
      </c>
      <c r="CE24" s="3" t="s">
        <v>1080</v>
      </c>
      <c r="CF24" s="3" t="s">
        <v>1105</v>
      </c>
      <c r="CG24" s="83" t="s">
        <v>10253</v>
      </c>
      <c r="CH24" s="3" t="s">
        <v>5929</v>
      </c>
      <c r="CI24" s="83" t="s">
        <v>6240</v>
      </c>
      <c r="CJ24" s="3" t="s">
        <v>1104</v>
      </c>
      <c r="CK24" s="3" t="s">
        <v>6855</v>
      </c>
      <c r="CL24" s="83" t="s">
        <v>10747</v>
      </c>
      <c r="CM24" s="83" t="s">
        <v>10251</v>
      </c>
      <c r="CN24" s="3" t="s">
        <v>6532</v>
      </c>
      <c r="CO24" s="3" t="s">
        <v>10912</v>
      </c>
      <c r="CP24" s="83" t="s">
        <v>8593</v>
      </c>
      <c r="CQ24" s="83" t="s">
        <v>13348</v>
      </c>
      <c r="CR24" s="83" t="s">
        <v>13395</v>
      </c>
      <c r="CS24" s="3" t="s">
        <v>11116</v>
      </c>
      <c r="CT24" s="3" t="s">
        <v>2855</v>
      </c>
      <c r="CU24" s="3"/>
      <c r="CV24" s="3"/>
      <c r="CW24" s="3"/>
      <c r="CX24" s="3"/>
      <c r="CY24" s="3" t="s">
        <v>400</v>
      </c>
      <c r="CZ24" s="3"/>
      <c r="DA24" s="3" t="s">
        <v>2466</v>
      </c>
      <c r="DB24" s="84" t="s">
        <v>12725</v>
      </c>
      <c r="DC24" s="3"/>
      <c r="DD24" s="83" t="s">
        <v>11240</v>
      </c>
      <c r="DE24" s="3" t="s">
        <v>132</v>
      </c>
      <c r="DF24" s="3">
        <f>ROW()</f>
        <v>24</v>
      </c>
      <c r="DG24" s="3" t="s">
        <v>780</v>
      </c>
      <c r="DH24" s="3">
        <f t="shared" si="12"/>
        <v>400</v>
      </c>
      <c r="DI24" s="3">
        <f t="shared" si="13"/>
        <v>300</v>
      </c>
      <c r="DJ24" s="3">
        <f t="shared" si="14"/>
        <v>210</v>
      </c>
      <c r="DK24" s="3">
        <f t="shared" si="15"/>
        <v>120</v>
      </c>
      <c r="DL24" s="3"/>
      <c r="DM24" s="3"/>
      <c r="DN24" s="3"/>
      <c r="DO24" s="83" t="s">
        <v>14677</v>
      </c>
      <c r="DP24" s="3"/>
      <c r="DQ24" s="83" t="s">
        <v>9525</v>
      </c>
      <c r="DR24" s="3"/>
      <c r="DS24" s="3"/>
      <c r="DT24" s="3" t="s">
        <v>2898</v>
      </c>
      <c r="DU24" s="3" t="s">
        <v>2899</v>
      </c>
      <c r="DV24" s="3" t="s">
        <v>2889</v>
      </c>
      <c r="DW24" s="3" t="s">
        <v>2888</v>
      </c>
      <c r="DX24" s="83" t="s">
        <v>15578</v>
      </c>
      <c r="DY24" s="83" t="s">
        <v>15599</v>
      </c>
      <c r="DZ24" s="3" t="s">
        <v>2939</v>
      </c>
      <c r="EA24" s="83" t="s">
        <v>4528</v>
      </c>
      <c r="EB24" s="3"/>
      <c r="ED24" s="83" t="s">
        <v>12423</v>
      </c>
      <c r="EE24" s="83" t="s">
        <v>140</v>
      </c>
      <c r="EF24" s="530" t="s">
        <v>13124</v>
      </c>
      <c r="EG24" s="356" t="str">
        <f>IF(SelectRace="Vampire","Nécrarque","")</f>
        <v/>
      </c>
      <c r="EH24" s="83" t="str">
        <f t="shared" si="16"/>
        <v/>
      </c>
      <c r="EI24" s="83" t="str">
        <f t="shared" si="17"/>
        <v/>
      </c>
      <c r="EJ24" s="83" t="str">
        <f t="shared" si="18"/>
        <v/>
      </c>
      <c r="EK24" s="874" t="s">
        <v>9473</v>
      </c>
      <c r="EL24" s="83"/>
      <c r="EM24" s="90" t="s">
        <v>5092</v>
      </c>
      <c r="EN24" s="90" t="s">
        <v>5155</v>
      </c>
      <c r="EO24" t="s">
        <v>5103</v>
      </c>
      <c r="EP24" s="83" t="s">
        <v>5106</v>
      </c>
      <c r="EQ24" s="481" t="str">
        <f>IF(Pays="Inja","Raktavija",IF(Pays="Nippon","Hifokosho",IF(OR(Pays="Terres des morts",Pays="Arabie"),"Gotd",IF(Selectsousrace="Kurgan/Hung","Chron","Khorne"))))</f>
        <v>Khorne</v>
      </c>
      <c r="ER24" s="83">
        <f t="shared" si="34"/>
        <v>24</v>
      </c>
      <c r="ES24" s="83" t="str">
        <f t="shared" si="35"/>
        <v/>
      </c>
      <c r="ET24" s="530" t="str">
        <f t="shared" si="36"/>
        <v/>
      </c>
      <c r="EU24" s="571" t="str">
        <f>IF(OR(Dieu="Ecate",Dieu="Hekarti"),"Initié","")</f>
        <v/>
      </c>
      <c r="EV24" s="83" t="str">
        <f t="shared" si="37"/>
        <v/>
      </c>
      <c r="EW24" s="83" t="str">
        <f t="shared" si="22"/>
        <v/>
      </c>
      <c r="EX24" s="530" t="str">
        <f t="shared" si="23"/>
        <v/>
      </c>
      <c r="EY24" s="83" t="s">
        <v>9505</v>
      </c>
      <c r="FB24" s="177" t="s">
        <v>14690</v>
      </c>
      <c r="FC24" s="732" t="s">
        <v>14630</v>
      </c>
      <c r="FD24" s="85" t="s">
        <v>14651</v>
      </c>
      <c r="FE24" s="851">
        <v>14</v>
      </c>
      <c r="FF24" s="25">
        <v>40</v>
      </c>
      <c r="FG24" s="25">
        <v>0</v>
      </c>
      <c r="FH24" s="25">
        <v>48</v>
      </c>
      <c r="FI24" s="25">
        <v>66</v>
      </c>
      <c r="FJ24" s="685">
        <v>40</v>
      </c>
      <c r="FK24" s="25">
        <v>60</v>
      </c>
      <c r="FL24" s="25">
        <v>82</v>
      </c>
      <c r="FM24" s="166">
        <v>60</v>
      </c>
      <c r="FN24" s="88">
        <v>6</v>
      </c>
      <c r="FO24" s="88">
        <v>44</v>
      </c>
      <c r="FP24" s="733">
        <f t="shared" si="45"/>
        <v>4</v>
      </c>
      <c r="FQ24" s="733">
        <f t="shared" si="43"/>
        <v>6</v>
      </c>
      <c r="FR24" s="734" t="s">
        <v>7251</v>
      </c>
      <c r="FS24" s="167">
        <v>1</v>
      </c>
      <c r="FT24" s="167">
        <v>0</v>
      </c>
      <c r="FU24" s="166">
        <v>0</v>
      </c>
      <c r="FV24" s="177" t="s">
        <v>14691</v>
      </c>
      <c r="FW24" s="177" t="s">
        <v>14702</v>
      </c>
      <c r="FX24" s="567" t="s">
        <v>9938</v>
      </c>
      <c r="GA24" s="83" t="s">
        <v>7643</v>
      </c>
      <c r="GC24" t="s">
        <v>7314</v>
      </c>
      <c r="GE24" s="356"/>
      <c r="GF24" t="s">
        <v>7677</v>
      </c>
      <c r="GG24" s="356" t="s">
        <v>8835</v>
      </c>
      <c r="GH24" s="83" t="s">
        <v>8826</v>
      </c>
      <c r="GI24" s="83" t="s">
        <v>8813</v>
      </c>
      <c r="GJ24" s="83"/>
      <c r="GK24" s="530"/>
    </row>
    <row r="25" spans="1:198" ht="13.2" customHeight="1">
      <c r="H25" s="83" t="s">
        <v>405</v>
      </c>
      <c r="I25" s="6" t="s">
        <v>66</v>
      </c>
      <c r="J25" s="3" t="s">
        <v>837</v>
      </c>
      <c r="K25" s="3" t="s">
        <v>133</v>
      </c>
      <c r="L25" s="3"/>
      <c r="M25" s="651"/>
      <c r="N25" s="3"/>
      <c r="O25" s="3"/>
      <c r="P25" s="3"/>
      <c r="Q25" s="3"/>
      <c r="R25" s="651"/>
      <c r="S25" s="83" t="str">
        <f>IF(CareerType=Y25,"Argousin",IF(AllCareers="X","Argousin",IF(OR(Selectsousrace="",SelectRace="skaven",SelectRace="homme-bête",SelectRace="peau-verte",SelectRace="créature du chaos",SelectRace="Homme-lézard"),"",IF(FirstCareer="1ère carrière","","Argousin"))))</f>
        <v/>
      </c>
      <c r="T25" s="106">
        <f>IF(X25="oui",0,1)</f>
        <v>1</v>
      </c>
      <c r="U25" s="693" t="str">
        <f t="shared" si="26"/>
        <v/>
      </c>
      <c r="V25" s="693" t="str">
        <f t="shared" si="27"/>
        <v/>
      </c>
      <c r="W25" s="693" t="str">
        <f t="shared" si="28"/>
        <v/>
      </c>
      <c r="X25" s="47" t="s">
        <v>2153</v>
      </c>
      <c r="Y25" s="743" t="s">
        <v>7134</v>
      </c>
      <c r="Z25" s="55" t="s">
        <v>2204</v>
      </c>
      <c r="AA25" s="47">
        <v>53</v>
      </c>
      <c r="AB25" s="47" t="s">
        <v>2216</v>
      </c>
      <c r="AC25" s="47">
        <v>65</v>
      </c>
      <c r="AD25" s="15" t="s">
        <v>100</v>
      </c>
      <c r="AE25" s="15" t="s">
        <v>100</v>
      </c>
      <c r="AF25" s="15" t="s">
        <v>98</v>
      </c>
      <c r="AG25" s="15" t="s">
        <v>98</v>
      </c>
      <c r="AH25" s="15" t="s">
        <v>98</v>
      </c>
      <c r="AI25" s="15" t="s">
        <v>100</v>
      </c>
      <c r="AJ25" s="15" t="s">
        <v>98</v>
      </c>
      <c r="AK25" s="18" t="s">
        <v>114</v>
      </c>
      <c r="AL25" s="15" t="s">
        <v>102</v>
      </c>
      <c r="AM25" s="15" t="s">
        <v>103</v>
      </c>
      <c r="AN25" s="15" t="s">
        <v>149</v>
      </c>
      <c r="AO25" s="15" t="s">
        <v>149</v>
      </c>
      <c r="AP25" s="22" t="s">
        <v>15130</v>
      </c>
      <c r="AQ25" s="87" t="s">
        <v>734</v>
      </c>
      <c r="AR25" s="87" t="s">
        <v>984</v>
      </c>
      <c r="AS25" s="87" t="s">
        <v>734</v>
      </c>
      <c r="AT25" s="22" t="s">
        <v>3412</v>
      </c>
      <c r="AU25" s="87" t="s">
        <v>5381</v>
      </c>
      <c r="AV25" s="87" t="s">
        <v>4751</v>
      </c>
      <c r="AW25" s="457">
        <v>0</v>
      </c>
      <c r="AX25" s="630" t="str">
        <f t="shared" si="38"/>
        <v/>
      </c>
      <c r="AY25" s="630" t="str">
        <f t="shared" si="39"/>
        <v/>
      </c>
      <c r="AZ25" s="630" t="str">
        <f t="shared" si="40"/>
        <v/>
      </c>
      <c r="BA25" s="3"/>
      <c r="BB25" s="3"/>
      <c r="BC25" s="3"/>
      <c r="BD25" s="3"/>
      <c r="BE25" s="3"/>
      <c r="BF25" s="3"/>
      <c r="BG25" s="3"/>
      <c r="BH25" s="3"/>
      <c r="BI25" s="3"/>
      <c r="BJ25" s="3"/>
      <c r="BK25" s="3"/>
      <c r="BL25" s="3"/>
      <c r="BM25" s="3">
        <v>33</v>
      </c>
      <c r="BN25" s="3"/>
      <c r="BO25" s="83" t="s">
        <v>10802</v>
      </c>
      <c r="BP25" s="3" t="s">
        <v>3110</v>
      </c>
      <c r="BQ25" s="83" t="s">
        <v>11832</v>
      </c>
      <c r="BR25" s="83"/>
      <c r="BS25" s="83" t="s">
        <v>3078</v>
      </c>
      <c r="BT25" s="3" t="str">
        <f>IF(OR(SelectRace="",SelectRace="Homme-lézard"),"","Tilée")</f>
        <v/>
      </c>
      <c r="BU25" s="83" t="str">
        <f t="shared" si="30"/>
        <v/>
      </c>
      <c r="BV25" s="83" t="str">
        <f t="shared" si="31"/>
        <v/>
      </c>
      <c r="BW25" s="83" t="str">
        <f t="shared" si="32"/>
        <v/>
      </c>
      <c r="BX25" s="3" t="str">
        <f>IF(Province="Grand comté du Stirland","Cité de Grand comté du Stirland","")</f>
        <v/>
      </c>
      <c r="BY25" t="str">
        <f t="shared" si="33"/>
        <v/>
      </c>
      <c r="BZ25" s="83" t="str">
        <f t="shared" si="7"/>
        <v/>
      </c>
      <c r="CA25" s="83" t="str">
        <f t="shared" si="8"/>
        <v/>
      </c>
      <c r="CB25" s="530" t="str">
        <f t="shared" si="9"/>
        <v/>
      </c>
      <c r="CC25" s="3" t="s">
        <v>3232</v>
      </c>
      <c r="CD25" t="s">
        <v>10644</v>
      </c>
      <c r="CE25" s="3" t="s">
        <v>1081</v>
      </c>
      <c r="CF25" t="s">
        <v>10756</v>
      </c>
      <c r="CG25" s="3" t="s">
        <v>6144</v>
      </c>
      <c r="CH25" s="3" t="s">
        <v>5930</v>
      </c>
      <c r="CI25" s="3" t="s">
        <v>3387</v>
      </c>
      <c r="CJ25" s="83" t="s">
        <v>10200</v>
      </c>
      <c r="CK25" s="3" t="s">
        <v>6729</v>
      </c>
      <c r="CL25" s="3" t="s">
        <v>6454</v>
      </c>
      <c r="CM25" s="3" t="s">
        <v>6619</v>
      </c>
      <c r="CN25" s="3" t="s">
        <v>6605</v>
      </c>
      <c r="CO25" s="3" t="s">
        <v>10915</v>
      </c>
      <c r="CP25" s="83" t="s">
        <v>13305</v>
      </c>
      <c r="CQ25" s="83" t="s">
        <v>13344</v>
      </c>
      <c r="CR25" s="83" t="s">
        <v>13396</v>
      </c>
      <c r="CS25" s="3" t="s">
        <v>11117</v>
      </c>
      <c r="CT25" s="83" t="s">
        <v>2862</v>
      </c>
      <c r="CU25" s="3"/>
      <c r="CV25" s="3"/>
      <c r="CW25" s="3"/>
      <c r="CX25" s="3"/>
      <c r="CY25" s="3" t="s">
        <v>401</v>
      </c>
      <c r="CZ25" s="3"/>
      <c r="DA25" s="3" t="s">
        <v>12606</v>
      </c>
      <c r="DB25" s="83" t="s">
        <v>12735</v>
      </c>
      <c r="DC25" s="3"/>
      <c r="DD25" s="83" t="s">
        <v>2164</v>
      </c>
      <c r="DE25" s="3" t="s">
        <v>132</v>
      </c>
      <c r="DF25" s="3">
        <f>ROW()</f>
        <v>25</v>
      </c>
      <c r="DG25" s="3" t="s">
        <v>780</v>
      </c>
      <c r="DH25" s="3">
        <f t="shared" si="12"/>
        <v>400</v>
      </c>
      <c r="DI25" s="3">
        <f t="shared" si="13"/>
        <v>300</v>
      </c>
      <c r="DJ25" s="3">
        <f t="shared" si="14"/>
        <v>210</v>
      </c>
      <c r="DK25" s="3">
        <f t="shared" si="15"/>
        <v>120</v>
      </c>
      <c r="DL25" s="3"/>
      <c r="DM25" s="3"/>
      <c r="DN25" s="3"/>
      <c r="DO25" s="3" t="s">
        <v>2746</v>
      </c>
      <c r="DP25" s="3"/>
      <c r="DQ25" s="83" t="s">
        <v>4683</v>
      </c>
      <c r="DR25" s="3"/>
      <c r="DS25" s="3"/>
      <c r="DT25" s="3" t="s">
        <v>2792</v>
      </c>
      <c r="DU25" s="3" t="s">
        <v>2799</v>
      </c>
      <c r="DV25" s="83" t="s">
        <v>9446</v>
      </c>
      <c r="DW25" s="83" t="s">
        <v>4513</v>
      </c>
      <c r="DX25" s="83" t="s">
        <v>15601</v>
      </c>
      <c r="DY25" s="83" t="s">
        <v>15600</v>
      </c>
      <c r="DZ25" s="3" t="s">
        <v>2940</v>
      </c>
      <c r="EA25" s="83" t="s">
        <v>4528</v>
      </c>
      <c r="EB25" s="3"/>
      <c r="ED25" s="83" t="s">
        <v>12413</v>
      </c>
      <c r="EE25" s="83" t="s">
        <v>140</v>
      </c>
      <c r="EF25" s="530" t="s">
        <v>13125</v>
      </c>
      <c r="EG25" s="341" t="str">
        <f>IF(SelectRace="Vampire","Stryge","")</f>
        <v/>
      </c>
      <c r="EH25" s="83" t="str">
        <f t="shared" si="16"/>
        <v/>
      </c>
      <c r="EI25" s="83" t="str">
        <f t="shared" si="17"/>
        <v/>
      </c>
      <c r="EJ25" s="83" t="str">
        <f t="shared" si="18"/>
        <v/>
      </c>
      <c r="EK25" s="874" t="s">
        <v>9474</v>
      </c>
      <c r="EM25" s="90" t="s">
        <v>5088</v>
      </c>
      <c r="EN25" s="90" t="s">
        <v>5155</v>
      </c>
      <c r="EO25" t="s">
        <v>5098</v>
      </c>
      <c r="EP25" s="83" t="s">
        <v>5083</v>
      </c>
      <c r="EQ25" s="481" t="str">
        <f>IF(OR(Pays="Arabie",Pays="Terres des morts"),"Khsar","")</f>
        <v/>
      </c>
      <c r="ER25" s="83" t="str">
        <f t="shared" si="34"/>
        <v/>
      </c>
      <c r="ES25" s="83" t="str">
        <f t="shared" si="35"/>
        <v/>
      </c>
      <c r="ET25" s="530" t="str">
        <f t="shared" si="36"/>
        <v/>
      </c>
      <c r="EU25" s="177" t="str">
        <f>IF(Dieu="Hoeth","Adepte/Croyant","")</f>
        <v/>
      </c>
      <c r="EV25" s="83" t="str">
        <f t="shared" si="37"/>
        <v/>
      </c>
      <c r="EW25" s="83" t="str">
        <f t="shared" si="22"/>
        <v/>
      </c>
      <c r="EX25" s="530" t="str">
        <f t="shared" si="23"/>
        <v/>
      </c>
      <c r="EZ25" s="530" t="s">
        <v>9534</v>
      </c>
      <c r="FB25" s="177" t="s">
        <v>14696</v>
      </c>
      <c r="FC25" s="732" t="s">
        <v>14630</v>
      </c>
      <c r="FD25" s="85" t="s">
        <v>14651</v>
      </c>
      <c r="FE25" s="851">
        <v>13</v>
      </c>
      <c r="FF25" s="25">
        <v>58</v>
      </c>
      <c r="FG25" s="25">
        <v>0</v>
      </c>
      <c r="FH25" s="25">
        <v>60</v>
      </c>
      <c r="FI25" s="25">
        <v>70</v>
      </c>
      <c r="FJ25" s="685">
        <v>31</v>
      </c>
      <c r="FK25" s="25">
        <v>52</v>
      </c>
      <c r="FL25" s="25">
        <v>89</v>
      </c>
      <c r="FM25" s="166">
        <v>30</v>
      </c>
      <c r="FN25" s="88">
        <v>6</v>
      </c>
      <c r="FO25" s="88">
        <v>59</v>
      </c>
      <c r="FP25" s="733">
        <f t="shared" si="45"/>
        <v>6</v>
      </c>
      <c r="FQ25" s="733">
        <f t="shared" si="43"/>
        <v>7</v>
      </c>
      <c r="FR25" s="734" t="s">
        <v>7251</v>
      </c>
      <c r="FS25" s="167">
        <v>1</v>
      </c>
      <c r="FT25" s="167">
        <v>0</v>
      </c>
      <c r="FU25" s="166">
        <v>0</v>
      </c>
      <c r="FV25" s="177" t="s">
        <v>14652</v>
      </c>
      <c r="FW25" s="177" t="s">
        <v>14653</v>
      </c>
      <c r="FX25" s="567" t="s">
        <v>9938</v>
      </c>
      <c r="GA25" s="83" t="s">
        <v>7518</v>
      </c>
      <c r="GC25" s="3" t="s">
        <v>300</v>
      </c>
      <c r="GE25" s="356"/>
      <c r="GF25" t="s">
        <v>8187</v>
      </c>
      <c r="GG25" s="356" t="s">
        <v>8834</v>
      </c>
      <c r="GH25" s="83" t="s">
        <v>8826</v>
      </c>
      <c r="GI25" s="83" t="s">
        <v>8836</v>
      </c>
      <c r="GJ25" s="83"/>
      <c r="GK25" s="530"/>
    </row>
    <row r="26" spans="1:198" ht="13.2" customHeight="1">
      <c r="H26" s="3" t="s">
        <v>406</v>
      </c>
      <c r="I26" s="3" t="s">
        <v>2658</v>
      </c>
      <c r="J26" s="3" t="s">
        <v>839</v>
      </c>
      <c r="K26" s="3" t="s">
        <v>134</v>
      </c>
      <c r="L26" s="3"/>
      <c r="M26" s="651"/>
      <c r="N26" s="3"/>
      <c r="O26" s="3"/>
      <c r="P26" s="3"/>
      <c r="Q26" s="3"/>
      <c r="R26" s="651"/>
      <c r="S26" s="83" t="str">
        <f>IF(CareerType=Y25,"Aristocrate",IF(AllCareers="X","Aristocrate",IF(OR(Selectsousrace="",SelectRace="skaven",SelectRace="homme-bête",SelectRace="peau-verte",SelectRace="créature du chaos",SelectRace="Homme-lézard"),"",IF(FirstCareer="1ère carrière","","Aristocrate"))))</f>
        <v/>
      </c>
      <c r="T26" s="106">
        <v>2</v>
      </c>
      <c r="U26" s="693" t="str">
        <f t="shared" si="26"/>
        <v/>
      </c>
      <c r="V26" s="693" t="str">
        <f t="shared" si="27"/>
        <v/>
      </c>
      <c r="W26" s="693" t="str">
        <f t="shared" si="28"/>
        <v/>
      </c>
      <c r="X26" s="111" t="s">
        <v>2153</v>
      </c>
      <c r="Y26" s="797" t="s">
        <v>7131</v>
      </c>
      <c r="Z26" s="56" t="s">
        <v>2200</v>
      </c>
      <c r="AA26" s="111">
        <v>61</v>
      </c>
      <c r="AB26" s="2" t="s">
        <v>15811</v>
      </c>
      <c r="AC26" s="47">
        <v>154</v>
      </c>
      <c r="AD26" s="47" t="s">
        <v>99</v>
      </c>
      <c r="AE26" s="2" t="s">
        <v>101</v>
      </c>
      <c r="AF26" s="2" t="s">
        <v>98</v>
      </c>
      <c r="AG26" s="2" t="s">
        <v>98</v>
      </c>
      <c r="AH26" s="16" t="s">
        <v>98</v>
      </c>
      <c r="AI26" s="16" t="s">
        <v>100</v>
      </c>
      <c r="AJ26" s="16" t="s">
        <v>100</v>
      </c>
      <c r="AK26" s="97" t="s">
        <v>116</v>
      </c>
      <c r="AL26" s="16" t="s">
        <v>102</v>
      </c>
      <c r="AM26" s="16" t="s">
        <v>112</v>
      </c>
      <c r="AN26" s="16" t="s">
        <v>149</v>
      </c>
      <c r="AO26" s="19" t="s">
        <v>149</v>
      </c>
      <c r="AP26" s="801" t="s">
        <v>15812</v>
      </c>
      <c r="AQ26" s="87" t="s">
        <v>734</v>
      </c>
      <c r="AR26" s="802" t="s">
        <v>15813</v>
      </c>
      <c r="AS26" s="87" t="s">
        <v>734</v>
      </c>
      <c r="AT26" s="23" t="s">
        <v>15814</v>
      </c>
      <c r="AU26" s="23" t="s">
        <v>15815</v>
      </c>
      <c r="AV26" s="23" t="s">
        <v>15816</v>
      </c>
      <c r="AW26" s="457">
        <v>0</v>
      </c>
      <c r="AX26" s="630" t="str">
        <f t="shared" si="38"/>
        <v/>
      </c>
      <c r="AY26" s="630" t="str">
        <f t="shared" si="39"/>
        <v/>
      </c>
      <c r="AZ26" s="630" t="str">
        <f t="shared" si="40"/>
        <v/>
      </c>
      <c r="BA26" s="458"/>
      <c r="BB26" s="23"/>
      <c r="BC26" s="23"/>
      <c r="BD26" s="23"/>
      <c r="BE26" s="3"/>
      <c r="BF26" s="3"/>
      <c r="BG26" s="3"/>
      <c r="BH26" s="3"/>
      <c r="BI26" s="3"/>
      <c r="BJ26" s="3"/>
      <c r="BK26" s="3"/>
      <c r="BL26" s="3"/>
      <c r="BM26" s="3">
        <v>34</v>
      </c>
      <c r="BN26" s="3"/>
      <c r="BO26" s="83" t="s">
        <v>10803</v>
      </c>
      <c r="BP26" s="3" t="s">
        <v>301</v>
      </c>
      <c r="BQ26" s="3" t="s">
        <v>11833</v>
      </c>
      <c r="BR26" s="3"/>
      <c r="BS26" s="83" t="s">
        <v>9064</v>
      </c>
      <c r="BT26" s="83" t="str">
        <f>IF(SelectRace="Elfe","Ulthuan","")</f>
        <v/>
      </c>
      <c r="BU26" s="83" t="str">
        <f t="shared" si="30"/>
        <v/>
      </c>
      <c r="BV26" s="83" t="str">
        <f t="shared" si="31"/>
        <v/>
      </c>
      <c r="BW26" s="83" t="str">
        <f t="shared" si="32"/>
        <v/>
      </c>
      <c r="BX26" s="3" t="str">
        <f>IF(Province="Grand comté du Wissenland","Cité de Grand comté du Wissenland","")</f>
        <v/>
      </c>
      <c r="BY26" t="str">
        <f t="shared" si="33"/>
        <v/>
      </c>
      <c r="BZ26" s="83" t="str">
        <f t="shared" si="7"/>
        <v/>
      </c>
      <c r="CA26" s="83" t="str">
        <f t="shared" si="8"/>
        <v/>
      </c>
      <c r="CB26" s="530" t="str">
        <f t="shared" si="9"/>
        <v/>
      </c>
      <c r="CC26" s="3" t="s">
        <v>3233</v>
      </c>
      <c r="CD26" t="s">
        <v>10645</v>
      </c>
      <c r="CE26" s="83" t="s">
        <v>10228</v>
      </c>
      <c r="CF26" s="83" t="s">
        <v>10214</v>
      </c>
      <c r="CG26" s="3" t="s">
        <v>6145</v>
      </c>
      <c r="CH26" s="83" t="s">
        <v>14937</v>
      </c>
      <c r="CI26" s="83" t="s">
        <v>14916</v>
      </c>
      <c r="CJ26" s="83" t="s">
        <v>15080</v>
      </c>
      <c r="CK26" s="3" t="s">
        <v>6775</v>
      </c>
      <c r="CL26" s="3" t="s">
        <v>6449</v>
      </c>
      <c r="CM26" s="83" t="s">
        <v>10252</v>
      </c>
      <c r="CN26" s="3" t="s">
        <v>6530</v>
      </c>
      <c r="CO26" s="3" t="s">
        <v>10905</v>
      </c>
      <c r="CP26" s="83" t="s">
        <v>13304</v>
      </c>
      <c r="CQ26" s="83" t="s">
        <v>13342</v>
      </c>
      <c r="CR26" t="s">
        <v>13397</v>
      </c>
      <c r="CS26" s="3" t="s">
        <v>11118</v>
      </c>
      <c r="CT26" s="136" t="s">
        <v>15063</v>
      </c>
      <c r="CU26" s="3"/>
      <c r="CV26" s="3"/>
      <c r="CW26" s="3"/>
      <c r="CX26" s="3"/>
      <c r="CY26" s="39" t="s">
        <v>242</v>
      </c>
      <c r="CZ26" s="3"/>
      <c r="DA26" s="3" t="s">
        <v>12607</v>
      </c>
      <c r="DB26" s="83" t="s">
        <v>12736</v>
      </c>
      <c r="DC26" s="3"/>
      <c r="DD26" s="83" t="s">
        <v>16513</v>
      </c>
      <c r="DE26" s="83" t="s">
        <v>133</v>
      </c>
      <c r="DF26" s="3">
        <f>ROW()</f>
        <v>26</v>
      </c>
      <c r="DG26" s="3" t="s">
        <v>447</v>
      </c>
      <c r="DH26" s="3">
        <f t="shared" ref="DH26:DH57" si="47">IF($DG26="Artisan",400,IF($DG26="Détaillant",195,IF($DG26="Fermier",135,IF($DG26="Aubergiste",150,IF($DG26="Spécialiste",750,0)))))</f>
        <v>150</v>
      </c>
      <c r="DI26" s="3">
        <f t="shared" ref="DI26:DI57" si="48">IF($DG26="Artisan",300,IF($DG26="Détaillant",160,IF($DG26="Fermier",115,IF($DG26="Aubergiste",135,IF($DG26="Spécialiste",565,0)))))</f>
        <v>135</v>
      </c>
      <c r="DJ26" s="3">
        <f t="shared" ref="DJ26:DJ57" si="49">IF($DG26="Artisan",210,IF($DG26="Détaillant",130,IF($DG26="Fermier",95,IF($DG26="Aubergiste",120,IF($DG26="Spécialiste",380,0)))))</f>
        <v>120</v>
      </c>
      <c r="DK26" s="3">
        <f t="shared" ref="DK26:DK57" si="50">IF($DG26="Artisan",120,IF($DG26="Détaillant",105,IF($DG26="Fermier",75,IF($DG26="Aubergiste",105,IF($DG26="Spécialiste",195,0)))))</f>
        <v>105</v>
      </c>
      <c r="DL26" s="3"/>
      <c r="DM26" s="3"/>
      <c r="DN26" s="3"/>
      <c r="DO26" s="3" t="s">
        <v>11523</v>
      </c>
      <c r="DP26" s="3"/>
      <c r="DQ26" s="83" t="s">
        <v>5251</v>
      </c>
      <c r="DR26" s="3"/>
      <c r="DS26" s="3"/>
      <c r="DT26" s="83" t="s">
        <v>9444</v>
      </c>
      <c r="DU26" s="83" t="s">
        <v>11940</v>
      </c>
      <c r="DV26" s="83" t="s">
        <v>16669</v>
      </c>
      <c r="DW26" s="83" t="s">
        <v>16670</v>
      </c>
      <c r="DX26" s="83" t="s">
        <v>15602</v>
      </c>
      <c r="DY26" s="83" t="s">
        <v>15600</v>
      </c>
      <c r="DZ26" s="3" t="s">
        <v>2941</v>
      </c>
      <c r="EA26" s="83" t="s">
        <v>4528</v>
      </c>
      <c r="EB26" s="3"/>
      <c r="ED26" s="83" t="s">
        <v>12414</v>
      </c>
      <c r="EE26" s="83" t="s">
        <v>140</v>
      </c>
      <c r="EF26" s="530" t="s">
        <v>13126</v>
      </c>
      <c r="EG26" s="341" t="str">
        <f>IF(SelectRace="Vampire","Von Carstein","")</f>
        <v/>
      </c>
      <c r="EH26" s="83" t="str">
        <f t="shared" si="16"/>
        <v/>
      </c>
      <c r="EI26" s="83" t="str">
        <f t="shared" si="17"/>
        <v/>
      </c>
      <c r="EJ26" s="83" t="str">
        <f t="shared" si="18"/>
        <v/>
      </c>
      <c r="EK26" s="874" t="s">
        <v>9475</v>
      </c>
      <c r="EM26" s="90" t="s">
        <v>5085</v>
      </c>
      <c r="EN26" s="90" t="s">
        <v>5155</v>
      </c>
      <c r="EO26" t="s">
        <v>5095</v>
      </c>
      <c r="EP26" s="83" t="s">
        <v>5083</v>
      </c>
      <c r="EQ26" s="77" t="str">
        <f>IF(Pays="Bretonnie","La Dame du Lac","")</f>
        <v/>
      </c>
      <c r="ER26" s="83" t="str">
        <f t="shared" si="34"/>
        <v/>
      </c>
      <c r="ES26" s="83" t="str">
        <f t="shared" si="35"/>
        <v/>
      </c>
      <c r="ET26" s="530" t="str">
        <f t="shared" si="36"/>
        <v/>
      </c>
      <c r="EU26" s="177" t="str">
        <f>IF(Dieu="Hoeth","Initié","")</f>
        <v/>
      </c>
      <c r="EV26" s="83" t="str">
        <f t="shared" si="37"/>
        <v/>
      </c>
      <c r="EW26" s="83" t="str">
        <f t="shared" si="22"/>
        <v/>
      </c>
      <c r="EX26" s="530" t="str">
        <f t="shared" si="23"/>
        <v/>
      </c>
      <c r="EZ26" s="530" t="s">
        <v>9183</v>
      </c>
      <c r="FB26" s="177" t="s">
        <v>14676</v>
      </c>
      <c r="FC26" s="732" t="s">
        <v>14630</v>
      </c>
      <c r="FD26" s="85" t="s">
        <v>14651</v>
      </c>
      <c r="FE26" s="851">
        <v>20</v>
      </c>
      <c r="FF26" s="25">
        <v>51</v>
      </c>
      <c r="FG26" s="25">
        <v>0</v>
      </c>
      <c r="FH26" s="25">
        <v>59</v>
      </c>
      <c r="FI26" s="25">
        <v>68</v>
      </c>
      <c r="FJ26" s="685">
        <v>36</v>
      </c>
      <c r="FK26" s="25">
        <v>42</v>
      </c>
      <c r="FL26" s="25">
        <v>85</v>
      </c>
      <c r="FM26" s="166">
        <v>21</v>
      </c>
      <c r="FN26" s="88">
        <v>6</v>
      </c>
      <c r="FO26" s="88">
        <v>55</v>
      </c>
      <c r="FP26" s="733">
        <f t="shared" si="45"/>
        <v>5</v>
      </c>
      <c r="FQ26" s="733">
        <f t="shared" si="43"/>
        <v>6</v>
      </c>
      <c r="FR26" s="734" t="s">
        <v>7251</v>
      </c>
      <c r="FS26" s="167">
        <v>1</v>
      </c>
      <c r="FT26" s="167">
        <v>0</v>
      </c>
      <c r="FU26" s="166">
        <v>0</v>
      </c>
      <c r="FV26" s="177" t="s">
        <v>16561</v>
      </c>
      <c r="FW26" s="177" t="s">
        <v>14681</v>
      </c>
      <c r="FX26" s="567" t="s">
        <v>9938</v>
      </c>
      <c r="GA26" t="s">
        <v>7558</v>
      </c>
      <c r="GC26" t="s">
        <v>7317</v>
      </c>
      <c r="GE26" s="356"/>
      <c r="GF26" t="s">
        <v>8127</v>
      </c>
      <c r="GG26" s="356" t="s">
        <v>8828</v>
      </c>
      <c r="GH26" s="83" t="s">
        <v>8826</v>
      </c>
      <c r="GI26" s="83" t="s">
        <v>8836</v>
      </c>
      <c r="GJ26" s="83"/>
      <c r="GK26" s="530"/>
    </row>
    <row r="27" spans="1:198" ht="13.2" customHeight="1">
      <c r="H27" s="3" t="s">
        <v>407</v>
      </c>
      <c r="I27" s="6" t="s">
        <v>68</v>
      </c>
      <c r="J27" s="3" t="s">
        <v>840</v>
      </c>
      <c r="K27" s="3" t="s">
        <v>133</v>
      </c>
      <c r="L27" s="3"/>
      <c r="M27" s="651"/>
      <c r="N27" s="3"/>
      <c r="O27" s="3"/>
      <c r="P27" s="3"/>
      <c r="Q27" s="3"/>
      <c r="R27" s="651"/>
      <c r="S27" s="83" t="str">
        <f>IF(CareerType=Y27,"Arrimeur/Docker",IF(AllCareers="X","Arrimeur/Docker",IF(Pays="Désolations du Chaos","",IF(SelectRace="Humain","Arrimeur/Docker",IF(SelectRace="Halfling","Arrimeur/Docker","")))))</f>
        <v/>
      </c>
      <c r="T27" s="106">
        <f>IF(X27="oui",0,1)</f>
        <v>0</v>
      </c>
      <c r="U27" s="693" t="str">
        <f t="shared" si="26"/>
        <v/>
      </c>
      <c r="V27" s="693" t="str">
        <f t="shared" si="27"/>
        <v/>
      </c>
      <c r="W27" s="693" t="str">
        <f t="shared" si="28"/>
        <v/>
      </c>
      <c r="X27" s="48" t="s">
        <v>2160</v>
      </c>
      <c r="Y27" s="744" t="s">
        <v>7132</v>
      </c>
      <c r="Z27" s="55" t="s">
        <v>2217</v>
      </c>
      <c r="AA27" s="48">
        <v>23</v>
      </c>
      <c r="AB27" s="48" t="s">
        <v>2218</v>
      </c>
      <c r="AC27" s="48">
        <v>200</v>
      </c>
      <c r="AD27" s="15" t="s">
        <v>149</v>
      </c>
      <c r="AE27" s="15" t="s">
        <v>114</v>
      </c>
      <c r="AF27" s="15" t="s">
        <v>98</v>
      </c>
      <c r="AG27" s="15" t="s">
        <v>98</v>
      </c>
      <c r="AH27" s="15" t="s">
        <v>114</v>
      </c>
      <c r="AI27" s="15" t="s">
        <v>149</v>
      </c>
      <c r="AJ27" s="15" t="s">
        <v>114</v>
      </c>
      <c r="AK27" s="18" t="s">
        <v>149</v>
      </c>
      <c r="AL27" s="15" t="s">
        <v>149</v>
      </c>
      <c r="AM27" s="15" t="s">
        <v>113</v>
      </c>
      <c r="AN27" s="15" t="s">
        <v>149</v>
      </c>
      <c r="AO27" s="15" t="s">
        <v>149</v>
      </c>
      <c r="AP27" s="87" t="s">
        <v>15765</v>
      </c>
      <c r="AQ27" s="87" t="s">
        <v>734</v>
      </c>
      <c r="AR27" s="87" t="s">
        <v>15763</v>
      </c>
      <c r="AS27" s="87" t="s">
        <v>734</v>
      </c>
      <c r="AT27" s="22" t="s">
        <v>3414</v>
      </c>
      <c r="AU27" s="87" t="s">
        <v>5389</v>
      </c>
      <c r="AV27" s="87" t="s">
        <v>4752</v>
      </c>
      <c r="AW27" s="457">
        <v>0</v>
      </c>
      <c r="AX27" s="630" t="str">
        <f t="shared" si="38"/>
        <v/>
      </c>
      <c r="AY27" s="630" t="str">
        <f t="shared" si="39"/>
        <v/>
      </c>
      <c r="AZ27" s="630" t="str">
        <f t="shared" si="40"/>
        <v/>
      </c>
      <c r="BA27" s="3"/>
      <c r="BB27" s="3"/>
      <c r="BC27" s="3"/>
      <c r="BD27" s="3"/>
      <c r="BE27" s="3"/>
      <c r="BF27" s="3"/>
      <c r="BG27" s="3"/>
      <c r="BH27" s="3"/>
      <c r="BI27" s="3"/>
      <c r="BJ27" s="3"/>
      <c r="BK27" s="3"/>
      <c r="BL27" s="3"/>
      <c r="BM27" s="3">
        <v>35</v>
      </c>
      <c r="BN27" s="3"/>
      <c r="BO27" s="83" t="s">
        <v>7335</v>
      </c>
      <c r="BP27" s="3" t="s">
        <v>334</v>
      </c>
      <c r="BQ27" s="3" t="s">
        <v>95</v>
      </c>
      <c r="BR27" s="3"/>
      <c r="BS27" s="678"/>
      <c r="BT27" s="574"/>
      <c r="BU27" s="83" t="str">
        <f>IF(BT26="","",ROW()-1)</f>
        <v/>
      </c>
      <c r="BV27" s="83" t="str">
        <f>IFERROR(SMALL(BU:BU,ROW()-1),"")</f>
        <v/>
      </c>
      <c r="BW27" s="83" t="str">
        <f>IFERROR(INDEX(BT:BT,BV27+1),"")</f>
        <v/>
      </c>
      <c r="BX27" s="3" t="str">
        <f>IF(Province="Ligue de l'Ostermark","Cité duLigue de l'Ostermark","")</f>
        <v/>
      </c>
      <c r="BY27" t="str">
        <f t="shared" si="33"/>
        <v/>
      </c>
      <c r="BZ27" s="83" t="str">
        <f t="shared" si="7"/>
        <v/>
      </c>
      <c r="CA27" s="83" t="str">
        <f t="shared" si="8"/>
        <v/>
      </c>
      <c r="CB27" s="530" t="str">
        <f t="shared" si="9"/>
        <v/>
      </c>
      <c r="CC27" s="3" t="s">
        <v>10702</v>
      </c>
      <c r="CD27" t="s">
        <v>10646</v>
      </c>
      <c r="CE27" s="83" t="s">
        <v>10229</v>
      </c>
      <c r="CF27" s="83" t="s">
        <v>10217</v>
      </c>
      <c r="CG27" s="83" t="s">
        <v>15196</v>
      </c>
      <c r="CH27" s="3" t="s">
        <v>5931</v>
      </c>
      <c r="CI27" s="3" t="s">
        <v>926</v>
      </c>
      <c r="CJ27" s="83" t="s">
        <v>10197</v>
      </c>
      <c r="CK27" s="83" t="s">
        <v>15049</v>
      </c>
      <c r="CL27" s="3" t="s">
        <v>6426</v>
      </c>
      <c r="CM27" s="83" t="s">
        <v>10254</v>
      </c>
      <c r="CN27" s="3" t="s">
        <v>6590</v>
      </c>
      <c r="CO27" s="3" t="s">
        <v>10906</v>
      </c>
      <c r="CP27" s="83" t="s">
        <v>13324</v>
      </c>
      <c r="CQ27" s="83" t="s">
        <v>13356</v>
      </c>
      <c r="CR27" s="3" t="s">
        <v>13398</v>
      </c>
      <c r="CS27" s="3" t="s">
        <v>11119</v>
      </c>
      <c r="CT27" s="83" t="s">
        <v>1496</v>
      </c>
      <c r="CU27" s="3"/>
      <c r="CV27" s="3"/>
      <c r="CW27" s="3"/>
      <c r="CX27" s="3"/>
      <c r="CY27" s="38" t="s">
        <v>129</v>
      </c>
      <c r="CZ27" s="3"/>
      <c r="DA27" s="3" t="s">
        <v>12608</v>
      </c>
      <c r="DB27" s="83" t="s">
        <v>12737</v>
      </c>
      <c r="DC27" s="3"/>
      <c r="DD27" s="83" t="s">
        <v>11200</v>
      </c>
      <c r="DE27" s="3" t="s">
        <v>132</v>
      </c>
      <c r="DF27" s="3">
        <f>ROW()</f>
        <v>27</v>
      </c>
      <c r="DG27" s="3" t="s">
        <v>2680</v>
      </c>
      <c r="DH27" s="3">
        <f t="shared" si="47"/>
        <v>750</v>
      </c>
      <c r="DI27" s="3">
        <f t="shared" si="48"/>
        <v>565</v>
      </c>
      <c r="DJ27" s="3">
        <f t="shared" si="49"/>
        <v>380</v>
      </c>
      <c r="DK27" s="3">
        <f t="shared" si="50"/>
        <v>195</v>
      </c>
      <c r="DL27" s="3"/>
      <c r="DM27" s="3"/>
      <c r="DN27" s="3"/>
      <c r="DO27" s="3" t="s">
        <v>2740</v>
      </c>
      <c r="DP27" s="3"/>
      <c r="DQ27" s="83" t="s">
        <v>5254</v>
      </c>
      <c r="DR27" s="3"/>
      <c r="DS27" s="3"/>
      <c r="DT27" s="3" t="s">
        <v>2829</v>
      </c>
      <c r="DU27" s="3" t="s">
        <v>15076</v>
      </c>
      <c r="DV27" s="83" t="s">
        <v>4512</v>
      </c>
      <c r="DW27" s="83" t="s">
        <v>4513</v>
      </c>
      <c r="DX27" s="83"/>
      <c r="DY27" s="83"/>
      <c r="DZ27" s="3" t="s">
        <v>2942</v>
      </c>
      <c r="EA27" s="83" t="s">
        <v>4528</v>
      </c>
      <c r="EB27" s="3"/>
      <c r="ED27" s="83" t="s">
        <v>12416</v>
      </c>
      <c r="EE27" s="83" t="s">
        <v>140</v>
      </c>
      <c r="EF27" s="530" t="s">
        <v>13127</v>
      </c>
      <c r="EG27" s="356" t="str">
        <f>IF(SelectRace="Humain","Néhékharéen","")</f>
        <v/>
      </c>
      <c r="EH27" s="83" t="str">
        <f t="shared" si="16"/>
        <v/>
      </c>
      <c r="EI27" s="83" t="str">
        <f t="shared" si="17"/>
        <v/>
      </c>
      <c r="EJ27" s="83" t="str">
        <f t="shared" si="18"/>
        <v/>
      </c>
      <c r="EK27" s="874" t="s">
        <v>11504</v>
      </c>
      <c r="EL27" s="83"/>
      <c r="EM27" s="90" t="s">
        <v>5094</v>
      </c>
      <c r="EN27" s="90" t="s">
        <v>5155</v>
      </c>
      <c r="EO27" t="s">
        <v>5107</v>
      </c>
      <c r="EP27" s="83" t="s">
        <v>5106</v>
      </c>
      <c r="EQ27" s="481" t="s">
        <v>10845</v>
      </c>
      <c r="ER27" s="83">
        <f t="shared" si="34"/>
        <v>27</v>
      </c>
      <c r="ES27" s="83" t="str">
        <f t="shared" si="35"/>
        <v/>
      </c>
      <c r="ET27" s="530" t="str">
        <f t="shared" si="36"/>
        <v/>
      </c>
      <c r="EU27" s="571" t="str">
        <f>IF(Dieu="lluminas/Alluminas","Initié","")</f>
        <v/>
      </c>
      <c r="EV27" s="83" t="str">
        <f t="shared" si="37"/>
        <v/>
      </c>
      <c r="EW27" s="83" t="str">
        <f t="shared" si="22"/>
        <v/>
      </c>
      <c r="EX27" s="530" t="str">
        <f t="shared" si="23"/>
        <v/>
      </c>
      <c r="EZ27" s="530" t="s">
        <v>9102</v>
      </c>
      <c r="FB27" s="177" t="s">
        <v>14647</v>
      </c>
      <c r="FC27" s="732" t="s">
        <v>14630</v>
      </c>
      <c r="FD27" s="641" t="s">
        <v>4551</v>
      </c>
      <c r="FE27" s="853" t="s">
        <v>149</v>
      </c>
      <c r="FF27" s="25">
        <v>50</v>
      </c>
      <c r="FG27" s="25">
        <v>0</v>
      </c>
      <c r="FH27" s="25">
        <v>50</v>
      </c>
      <c r="FI27" s="25">
        <v>50</v>
      </c>
      <c r="FJ27" s="685">
        <v>35</v>
      </c>
      <c r="FK27" s="25">
        <v>40</v>
      </c>
      <c r="FL27" s="25">
        <v>70</v>
      </c>
      <c r="FM27" s="166">
        <v>30</v>
      </c>
      <c r="FN27" s="88">
        <v>4</v>
      </c>
      <c r="FO27" s="88">
        <v>50</v>
      </c>
      <c r="FP27" s="733">
        <f t="shared" si="45"/>
        <v>5</v>
      </c>
      <c r="FQ27" s="733">
        <f t="shared" si="43"/>
        <v>5</v>
      </c>
      <c r="FR27" s="734" t="s">
        <v>7251</v>
      </c>
      <c r="FS27" s="167">
        <v>1</v>
      </c>
      <c r="FT27" s="167">
        <v>0</v>
      </c>
      <c r="FU27" s="166">
        <v>0</v>
      </c>
      <c r="FV27" s="177" t="s">
        <v>14629</v>
      </c>
      <c r="FW27" s="177" t="s">
        <v>14703</v>
      </c>
      <c r="FX27" s="567" t="s">
        <v>9938</v>
      </c>
      <c r="GA27" t="s">
        <v>7452</v>
      </c>
      <c r="GC27" t="s">
        <v>3000</v>
      </c>
      <c r="GE27" s="356"/>
      <c r="GF27" t="s">
        <v>8167</v>
      </c>
      <c r="GG27" s="356" t="s">
        <v>8832</v>
      </c>
      <c r="GH27" s="83" t="s">
        <v>8826</v>
      </c>
      <c r="GI27" s="83" t="s">
        <v>8836</v>
      </c>
      <c r="GJ27" s="83"/>
      <c r="GK27" s="530"/>
      <c r="GP27" s="83"/>
    </row>
    <row r="28" spans="1:198" ht="13.2" customHeight="1">
      <c r="H28" s="3" t="s">
        <v>2857</v>
      </c>
      <c r="I28" s="3" t="s">
        <v>2858</v>
      </c>
      <c r="J28" s="3" t="s">
        <v>841</v>
      </c>
      <c r="K28" s="3" t="s">
        <v>135</v>
      </c>
      <c r="L28" s="3"/>
      <c r="M28" s="651"/>
      <c r="N28" s="3"/>
      <c r="O28" s="3"/>
      <c r="P28" s="3"/>
      <c r="Q28" s="3"/>
      <c r="R28" s="651"/>
      <c r="S28" s="83" t="str">
        <f>IF(CareerType=Y28,"Artisan",IF(AllCareers="X","Artisan",IF(OR(SelectRace="homme-bête",SelectRace="peau-verte",SelectRace="créature du chaos",SelectRace="Homme-lézard"),"",IF(Pays="Désolations du Chaos","",IF(Selectsousrace="","","Artisan")))))</f>
        <v/>
      </c>
      <c r="T28" s="106">
        <f>IF(X28="oui",0,1)</f>
        <v>0</v>
      </c>
      <c r="U28" s="693" t="str">
        <f t="shared" si="26"/>
        <v/>
      </c>
      <c r="V28" s="693" t="str">
        <f t="shared" si="27"/>
        <v/>
      </c>
      <c r="W28" s="693" t="str">
        <f t="shared" si="28"/>
        <v/>
      </c>
      <c r="X28" s="47" t="s">
        <v>2160</v>
      </c>
      <c r="Y28" s="743" t="s">
        <v>7131</v>
      </c>
      <c r="Z28" s="55" t="s">
        <v>2200</v>
      </c>
      <c r="AA28" s="47">
        <v>32</v>
      </c>
      <c r="AB28" s="47" t="s">
        <v>2219</v>
      </c>
      <c r="AC28" s="47">
        <v>213</v>
      </c>
      <c r="AD28" s="15" t="s">
        <v>149</v>
      </c>
      <c r="AE28" s="15" t="s">
        <v>149</v>
      </c>
      <c r="AF28" s="20" t="s">
        <v>114</v>
      </c>
      <c r="AG28" s="20" t="s">
        <v>114</v>
      </c>
      <c r="AH28" s="15" t="s">
        <v>98</v>
      </c>
      <c r="AI28" s="20" t="s">
        <v>114</v>
      </c>
      <c r="AJ28" s="15" t="s">
        <v>98</v>
      </c>
      <c r="AK28" s="18" t="s">
        <v>149</v>
      </c>
      <c r="AL28" s="15" t="s">
        <v>149</v>
      </c>
      <c r="AM28" s="15" t="s">
        <v>113</v>
      </c>
      <c r="AN28" s="15" t="s">
        <v>149</v>
      </c>
      <c r="AO28" s="15" t="s">
        <v>149</v>
      </c>
      <c r="AP28" s="87" t="s">
        <v>15770</v>
      </c>
      <c r="AQ28" s="87" t="s">
        <v>734</v>
      </c>
      <c r="AR28" s="87" t="s">
        <v>5524</v>
      </c>
      <c r="AS28" s="87" t="s">
        <v>734</v>
      </c>
      <c r="AT28" s="22" t="s">
        <v>3413</v>
      </c>
      <c r="AU28" s="87" t="s">
        <v>5325</v>
      </c>
      <c r="AV28" s="87" t="s">
        <v>4553</v>
      </c>
      <c r="AW28" s="457">
        <v>10</v>
      </c>
      <c r="AX28" s="630" t="str">
        <f t="shared" si="38"/>
        <v/>
      </c>
      <c r="AY28" s="630" t="str">
        <f t="shared" si="39"/>
        <v/>
      </c>
      <c r="AZ28" s="630" t="str">
        <f t="shared" si="40"/>
        <v/>
      </c>
      <c r="BA28" s="3"/>
      <c r="BB28" s="3"/>
      <c r="BC28" s="3"/>
      <c r="BD28" s="3"/>
      <c r="BE28" s="3"/>
      <c r="BF28" s="3"/>
      <c r="BG28" s="3"/>
      <c r="BH28" s="3"/>
      <c r="BI28" s="3"/>
      <c r="BJ28" s="3"/>
      <c r="BK28" s="3"/>
      <c r="BL28" s="3"/>
      <c r="BM28" s="3">
        <v>36</v>
      </c>
      <c r="BN28" s="3"/>
      <c r="BO28" s="83" t="s">
        <v>10807</v>
      </c>
      <c r="BP28" s="3" t="s">
        <v>989</v>
      </c>
      <c r="BQ28" s="3" t="s">
        <v>11834</v>
      </c>
      <c r="BR28" s="3"/>
      <c r="BS28" s="3"/>
      <c r="BU28" s="83"/>
      <c r="BV28" s="83"/>
      <c r="BW28" s="83"/>
      <c r="BX28" s="3" t="str">
        <f>IF(Province="Grande principauté d'Ostland","Cité duGrande principauté d'Ostland","")</f>
        <v/>
      </c>
      <c r="BY28" t="str">
        <f t="shared" si="33"/>
        <v/>
      </c>
      <c r="BZ28" s="83" t="str">
        <f t="shared" si="7"/>
        <v/>
      </c>
      <c r="CA28" s="83" t="str">
        <f t="shared" si="8"/>
        <v/>
      </c>
      <c r="CB28" s="530" t="str">
        <f t="shared" si="9"/>
        <v/>
      </c>
      <c r="CC28" s="3" t="s">
        <v>3216</v>
      </c>
      <c r="CD28" t="s">
        <v>10647</v>
      </c>
      <c r="CE28" s="3" t="s">
        <v>1082</v>
      </c>
      <c r="CF28" s="3" t="s">
        <v>1106</v>
      </c>
      <c r="CG28" s="3" t="s">
        <v>6146</v>
      </c>
      <c r="CH28" s="3" t="s">
        <v>3115</v>
      </c>
      <c r="CI28" s="3" t="s">
        <v>3374</v>
      </c>
      <c r="CJ28" s="83" t="s">
        <v>10201</v>
      </c>
      <c r="CK28" s="3" t="s">
        <v>6856</v>
      </c>
      <c r="CL28" s="3" t="s">
        <v>6466</v>
      </c>
      <c r="CM28" s="83" t="s">
        <v>14928</v>
      </c>
      <c r="CN28" s="83" t="s">
        <v>15098</v>
      </c>
      <c r="CO28" s="3" t="s">
        <v>10903</v>
      </c>
      <c r="CP28" s="83" t="s">
        <v>13301</v>
      </c>
      <c r="CQ28" s="83" t="s">
        <v>13351</v>
      </c>
      <c r="CR28" s="3" t="s">
        <v>13399</v>
      </c>
      <c r="CS28" s="3" t="s">
        <v>11120</v>
      </c>
      <c r="CT28" s="83" t="s">
        <v>2850</v>
      </c>
      <c r="CU28" s="3"/>
      <c r="CV28" s="3"/>
      <c r="CW28" s="3"/>
      <c r="CX28" s="3"/>
      <c r="CY28" s="3" t="s">
        <v>402</v>
      </c>
      <c r="CZ28" s="3"/>
      <c r="DA28" s="83" t="s">
        <v>12609</v>
      </c>
      <c r="DB28" s="83" t="s">
        <v>12664</v>
      </c>
      <c r="DC28" s="3"/>
      <c r="DD28" s="3" t="s">
        <v>2676</v>
      </c>
      <c r="DE28" s="3" t="s">
        <v>133</v>
      </c>
      <c r="DF28" s="3">
        <f>ROW()</f>
        <v>28</v>
      </c>
      <c r="DG28" s="3" t="s">
        <v>2680</v>
      </c>
      <c r="DH28" s="3">
        <f t="shared" si="47"/>
        <v>750</v>
      </c>
      <c r="DI28" s="3">
        <f t="shared" si="48"/>
        <v>565</v>
      </c>
      <c r="DJ28" s="3">
        <f t="shared" si="49"/>
        <v>380</v>
      </c>
      <c r="DK28" s="3">
        <f t="shared" si="50"/>
        <v>195</v>
      </c>
      <c r="DL28" s="3"/>
      <c r="DM28" s="3"/>
      <c r="DN28" s="3"/>
      <c r="DO28" s="3" t="s">
        <v>2747</v>
      </c>
      <c r="DP28" s="3"/>
      <c r="DQ28" s="83" t="s">
        <v>12782</v>
      </c>
      <c r="DR28" s="3"/>
      <c r="DS28" s="3"/>
      <c r="DT28" s="83" t="s">
        <v>11273</v>
      </c>
      <c r="DU28" s="83" t="s">
        <v>11274</v>
      </c>
      <c r="DV28" s="3" t="s">
        <v>2819</v>
      </c>
      <c r="DW28" s="3" t="s">
        <v>2818</v>
      </c>
      <c r="DX28" s="3"/>
      <c r="DY28" s="3"/>
      <c r="DZ28" s="83" t="s">
        <v>12923</v>
      </c>
      <c r="EA28" s="83" t="s">
        <v>4529</v>
      </c>
      <c r="EB28" s="3"/>
      <c r="ED28" s="83" t="s">
        <v>13128</v>
      </c>
      <c r="EE28" s="83" t="s">
        <v>140</v>
      </c>
      <c r="EF28" s="530" t="s">
        <v>13129</v>
      </c>
      <c r="EG28" s="356" t="str">
        <f>IF(SelectRace="Homme-lézard","Slaan","")</f>
        <v/>
      </c>
      <c r="EH28" s="83" t="str">
        <f t="shared" si="16"/>
        <v/>
      </c>
      <c r="EI28" s="83" t="str">
        <f t="shared" si="17"/>
        <v/>
      </c>
      <c r="EJ28" s="83" t="str">
        <f t="shared" si="18"/>
        <v/>
      </c>
      <c r="EK28" s="874" t="s">
        <v>16630</v>
      </c>
      <c r="EL28" s="83"/>
      <c r="EM28" s="90" t="s">
        <v>5091</v>
      </c>
      <c r="EN28" s="90" t="s">
        <v>5155</v>
      </c>
      <c r="EO28" t="s">
        <v>5102</v>
      </c>
      <c r="EP28" s="83" t="s">
        <v>5105</v>
      </c>
      <c r="EQ28" s="77" t="s">
        <v>16613</v>
      </c>
      <c r="ER28" s="83">
        <f t="shared" si="34"/>
        <v>28</v>
      </c>
      <c r="ES28" s="83" t="str">
        <f t="shared" si="35"/>
        <v/>
      </c>
      <c r="ET28" s="530" t="str">
        <f t="shared" si="36"/>
        <v/>
      </c>
      <c r="EU28" s="571" t="str">
        <f>IF(Dieu="lluminas/Alluminas","Prêtre","")</f>
        <v/>
      </c>
      <c r="EV28" s="83" t="str">
        <f t="shared" si="37"/>
        <v/>
      </c>
      <c r="EW28" s="83" t="str">
        <f t="shared" si="22"/>
        <v/>
      </c>
      <c r="EX28" s="530" t="str">
        <f t="shared" si="23"/>
        <v/>
      </c>
      <c r="EZ28" s="530" t="s">
        <v>9109</v>
      </c>
      <c r="FB28" s="177" t="s">
        <v>14689</v>
      </c>
      <c r="FC28" s="732" t="s">
        <v>14630</v>
      </c>
      <c r="FD28" s="85" t="s">
        <v>14651</v>
      </c>
      <c r="FE28" s="851">
        <v>17</v>
      </c>
      <c r="FF28" s="25">
        <v>53</v>
      </c>
      <c r="FG28" s="25">
        <v>0</v>
      </c>
      <c r="FH28" s="25">
        <v>65</v>
      </c>
      <c r="FI28" s="25">
        <v>70</v>
      </c>
      <c r="FJ28" s="685">
        <v>30</v>
      </c>
      <c r="FK28" s="25">
        <v>45</v>
      </c>
      <c r="FL28" s="25">
        <v>92</v>
      </c>
      <c r="FM28" s="166">
        <v>22</v>
      </c>
      <c r="FN28" s="88">
        <v>6</v>
      </c>
      <c r="FO28" s="88">
        <v>59</v>
      </c>
      <c r="FP28" s="733">
        <f t="shared" si="45"/>
        <v>6</v>
      </c>
      <c r="FQ28" s="733">
        <f t="shared" si="43"/>
        <v>7</v>
      </c>
      <c r="FR28" s="734" t="s">
        <v>7251</v>
      </c>
      <c r="FS28" s="167">
        <v>1</v>
      </c>
      <c r="FT28" s="167">
        <v>0</v>
      </c>
      <c r="FU28" s="166">
        <v>0</v>
      </c>
      <c r="FV28" s="177" t="s">
        <v>14670</v>
      </c>
      <c r="FW28" s="177" t="s">
        <v>16255</v>
      </c>
      <c r="FX28" s="567" t="s">
        <v>9938</v>
      </c>
      <c r="GA28" t="s">
        <v>7453</v>
      </c>
      <c r="GC28" s="3" t="s">
        <v>1019</v>
      </c>
      <c r="GE28" s="356"/>
      <c r="GF28" t="s">
        <v>8150</v>
      </c>
      <c r="GG28" s="356" t="s">
        <v>8831</v>
      </c>
      <c r="GH28" s="83" t="s">
        <v>8826</v>
      </c>
      <c r="GI28" s="83" t="s">
        <v>8836</v>
      </c>
      <c r="GJ28" s="83"/>
      <c r="GK28" s="530"/>
      <c r="GP28" s="83"/>
    </row>
    <row r="29" spans="1:198" ht="13.2" customHeight="1">
      <c r="H29" s="3" t="s">
        <v>2850</v>
      </c>
      <c r="I29" s="3" t="s">
        <v>2851</v>
      </c>
      <c r="J29" s="3" t="s">
        <v>842</v>
      </c>
      <c r="K29" s="3" t="s">
        <v>135</v>
      </c>
      <c r="L29" s="3"/>
      <c r="M29" s="651"/>
      <c r="N29" s="3"/>
      <c r="O29" s="3"/>
      <c r="P29" s="3"/>
      <c r="Q29" s="3"/>
      <c r="R29" s="651"/>
      <c r="S29" s="83" t="str">
        <f>IF(CareerType=Y29,"Askari",IF(AllCareers="X","Askari",IF(OR(FirstCareer="1ère carrière",SelectRace="homme-bête",SelectRace="peau-verte",SelectRace="créature du chaos",SelectRace="Homme-lézard",SelectRace="skaven"),"",IF(Pays="Arabie","Askari",""))))</f>
        <v/>
      </c>
      <c r="T29" s="106">
        <f>IF(X29="oui",0,1)</f>
        <v>1</v>
      </c>
      <c r="U29" s="693" t="str">
        <f t="shared" si="26"/>
        <v/>
      </c>
      <c r="V29" s="693" t="str">
        <f t="shared" si="27"/>
        <v/>
      </c>
      <c r="W29" s="693" t="str">
        <f t="shared" si="28"/>
        <v/>
      </c>
      <c r="X29" s="89" t="s">
        <v>2153</v>
      </c>
      <c r="Y29" s="743" t="s">
        <v>7130</v>
      </c>
      <c r="Z29" s="56" t="s">
        <v>9975</v>
      </c>
      <c r="AA29" s="89">
        <v>231</v>
      </c>
      <c r="AB29" s="89" t="s">
        <v>10023</v>
      </c>
      <c r="AD29" s="105" t="s">
        <v>99</v>
      </c>
      <c r="AE29" s="105" t="s">
        <v>98</v>
      </c>
      <c r="AF29" s="105" t="s">
        <v>100</v>
      </c>
      <c r="AG29" s="105" t="s">
        <v>101</v>
      </c>
      <c r="AH29" s="105" t="s">
        <v>98</v>
      </c>
      <c r="AI29" s="105" t="s">
        <v>98</v>
      </c>
      <c r="AJ29" s="105" t="s">
        <v>100</v>
      </c>
      <c r="AK29" s="443" t="s">
        <v>100</v>
      </c>
      <c r="AL29" s="105" t="s">
        <v>113</v>
      </c>
      <c r="AM29" s="105" t="s">
        <v>117</v>
      </c>
      <c r="AN29" s="105" t="s">
        <v>149</v>
      </c>
      <c r="AO29" s="105" t="s">
        <v>149</v>
      </c>
      <c r="AP29" s="87" t="s">
        <v>12253</v>
      </c>
      <c r="AQ29" s="87" t="s">
        <v>734</v>
      </c>
      <c r="AR29" s="87" t="s">
        <v>12254</v>
      </c>
      <c r="AS29" s="87" t="s">
        <v>734</v>
      </c>
      <c r="AT29" s="87" t="s">
        <v>16648</v>
      </c>
      <c r="AU29" s="87" t="s">
        <v>10127</v>
      </c>
      <c r="AV29" s="87" t="s">
        <v>10024</v>
      </c>
      <c r="AW29" s="458">
        <v>0</v>
      </c>
      <c r="AX29" s="630" t="str">
        <f t="shared" si="38"/>
        <v/>
      </c>
      <c r="AY29" s="630" t="str">
        <f t="shared" si="39"/>
        <v/>
      </c>
      <c r="AZ29" s="630" t="str">
        <f t="shared" si="40"/>
        <v/>
      </c>
      <c r="BA29" s="3"/>
      <c r="BB29" s="3"/>
      <c r="BC29" s="3"/>
      <c r="BD29" s="3"/>
      <c r="BE29" s="3"/>
      <c r="BF29" s="3"/>
      <c r="BG29" s="3"/>
      <c r="BH29" s="3"/>
      <c r="BI29" s="3"/>
      <c r="BJ29" s="3"/>
      <c r="BK29" s="3"/>
      <c r="BL29" s="3"/>
      <c r="BM29" s="3">
        <v>37</v>
      </c>
      <c r="BN29" s="3"/>
      <c r="BO29" s="83" t="s">
        <v>7351</v>
      </c>
      <c r="BP29" s="3" t="s">
        <v>995</v>
      </c>
      <c r="BQ29" s="83" t="s">
        <v>96</v>
      </c>
      <c r="BR29" s="83"/>
      <c r="BS29" s="83"/>
      <c r="BT29" s="83"/>
      <c r="BU29" s="83"/>
      <c r="BV29" s="83"/>
      <c r="BW29" s="83"/>
      <c r="BX29" s="3" t="str">
        <f>IF(Province="Grand comté d'Averland","Ferme (culture) de la Grande baronnie du Hochland","")</f>
        <v/>
      </c>
      <c r="BY29" t="str">
        <f t="shared" si="33"/>
        <v/>
      </c>
      <c r="BZ29" s="83" t="str">
        <f t="shared" si="7"/>
        <v/>
      </c>
      <c r="CA29" s="83" t="str">
        <f t="shared" si="8"/>
        <v/>
      </c>
      <c r="CB29" s="530" t="str">
        <f t="shared" si="9"/>
        <v/>
      </c>
      <c r="CC29" s="3" t="s">
        <v>3234</v>
      </c>
      <c r="CD29" t="s">
        <v>10648</v>
      </c>
      <c r="CE29" s="83" t="s">
        <v>12373</v>
      </c>
      <c r="CF29" s="83" t="s">
        <v>10215</v>
      </c>
      <c r="CG29" s="3" t="s">
        <v>6147</v>
      </c>
      <c r="CH29" s="3" t="s">
        <v>941</v>
      </c>
      <c r="CI29" s="3" t="s">
        <v>927</v>
      </c>
      <c r="CJ29" s="83" t="s">
        <v>10196</v>
      </c>
      <c r="CK29" s="3" t="s">
        <v>6730</v>
      </c>
      <c r="CL29" s="3" t="s">
        <v>6430</v>
      </c>
      <c r="CM29" s="83" t="s">
        <v>11800</v>
      </c>
      <c r="CN29" s="3" t="s">
        <v>6541</v>
      </c>
      <c r="CO29" s="3" t="s">
        <v>10913</v>
      </c>
      <c r="CP29" s="83" t="s">
        <v>13306</v>
      </c>
      <c r="CQ29" s="3" t="s">
        <v>13372</v>
      </c>
      <c r="CR29" s="3" t="s">
        <v>13400</v>
      </c>
      <c r="CS29" s="3" t="s">
        <v>11121</v>
      </c>
      <c r="CT29" s="83" t="s">
        <v>10818</v>
      </c>
      <c r="CU29" s="3"/>
      <c r="CV29" s="3"/>
      <c r="CW29" s="3"/>
      <c r="CX29" s="3"/>
      <c r="CY29" s="39" t="s">
        <v>243</v>
      </c>
      <c r="CZ29" s="3"/>
      <c r="DA29" s="3" t="s">
        <v>12610</v>
      </c>
      <c r="DB29" s="83" t="s">
        <v>12666</v>
      </c>
      <c r="DC29" s="3"/>
      <c r="DD29" s="83" t="s">
        <v>11222</v>
      </c>
      <c r="DE29" s="3" t="s">
        <v>132</v>
      </c>
      <c r="DF29" s="3">
        <f>ROW()</f>
        <v>29</v>
      </c>
      <c r="DG29" s="3" t="s">
        <v>780</v>
      </c>
      <c r="DH29" s="3">
        <f t="shared" si="47"/>
        <v>400</v>
      </c>
      <c r="DI29" s="3">
        <f t="shared" si="48"/>
        <v>300</v>
      </c>
      <c r="DJ29" s="3">
        <f t="shared" si="49"/>
        <v>210</v>
      </c>
      <c r="DK29" s="3">
        <f t="shared" si="50"/>
        <v>120</v>
      </c>
      <c r="DL29" s="3"/>
      <c r="DM29" s="3"/>
      <c r="DN29" s="3"/>
      <c r="DO29" s="83" t="s">
        <v>9076</v>
      </c>
      <c r="DP29" s="3"/>
      <c r="DQ29" s="83" t="s">
        <v>9947</v>
      </c>
      <c r="DR29" s="3"/>
      <c r="DS29" s="3"/>
      <c r="DT29" s="3" t="s">
        <v>2793</v>
      </c>
      <c r="DU29" s="3" t="s">
        <v>2800</v>
      </c>
      <c r="DV29" s="3" t="s">
        <v>2820</v>
      </c>
      <c r="DW29" s="3" t="s">
        <v>2822</v>
      </c>
      <c r="DX29" s="83"/>
      <c r="DY29" s="83"/>
      <c r="DZ29" s="3" t="s">
        <v>2943</v>
      </c>
      <c r="EA29" s="83" t="s">
        <v>4529</v>
      </c>
      <c r="EB29" s="3"/>
      <c r="ED29" s="83" t="s">
        <v>12434</v>
      </c>
      <c r="EE29" s="83" t="s">
        <v>140</v>
      </c>
      <c r="EF29" s="530" t="s">
        <v>13130</v>
      </c>
      <c r="EG29" s="356" t="str">
        <f>IF(SelectRace="créature du chaos","Géant/Jotun","")</f>
        <v/>
      </c>
      <c r="EH29" s="83" t="str">
        <f t="shared" si="16"/>
        <v/>
      </c>
      <c r="EI29" s="83" t="str">
        <f t="shared" si="17"/>
        <v/>
      </c>
      <c r="EJ29" s="83" t="str">
        <f t="shared" si="18"/>
        <v/>
      </c>
      <c r="EK29" s="874" t="s">
        <v>11610</v>
      </c>
      <c r="EL29" s="83"/>
      <c r="EM29" s="90" t="s">
        <v>1495</v>
      </c>
      <c r="EN29" s="90" t="s">
        <v>5155</v>
      </c>
      <c r="EO29" t="s">
        <v>5101</v>
      </c>
      <c r="EP29" s="83" t="s">
        <v>5105</v>
      </c>
      <c r="EQ29" s="77" t="str">
        <f>IF(OR(Pays="Terres des morts",Pays="Arabie"),"Neru",IF(Pays="Nippon","Onnotangu",IF(Pays="Inja","Chandra",IF(SelectRace="Elfe","Lileath",""))))</f>
        <v/>
      </c>
      <c r="ER29" s="83" t="str">
        <f t="shared" si="34"/>
        <v/>
      </c>
      <c r="ES29" s="83" t="str">
        <f t="shared" si="35"/>
        <v/>
      </c>
      <c r="ET29" s="530" t="str">
        <f t="shared" si="36"/>
        <v/>
      </c>
      <c r="EU29" s="177" t="str">
        <f>IF(Dieu="lshtra","Initié","")</f>
        <v/>
      </c>
      <c r="EV29" s="83" t="str">
        <f t="shared" si="37"/>
        <v/>
      </c>
      <c r="EW29" s="83" t="str">
        <f t="shared" si="22"/>
        <v/>
      </c>
      <c r="EX29" s="530" t="str">
        <f t="shared" si="23"/>
        <v/>
      </c>
      <c r="EY29" s="83" t="s">
        <v>402</v>
      </c>
      <c r="EZ29" s="530" t="s">
        <v>9623</v>
      </c>
      <c r="FB29" s="177" t="s">
        <v>14663</v>
      </c>
      <c r="FC29" s="732" t="s">
        <v>14630</v>
      </c>
      <c r="FD29" s="85" t="s">
        <v>7245</v>
      </c>
      <c r="FE29" s="851">
        <v>90</v>
      </c>
      <c r="FF29" s="25">
        <v>58</v>
      </c>
      <c r="FG29" s="25">
        <v>0</v>
      </c>
      <c r="FH29" s="25">
        <v>62</v>
      </c>
      <c r="FI29" s="25">
        <v>65</v>
      </c>
      <c r="FJ29" s="685">
        <v>42</v>
      </c>
      <c r="FK29" s="25">
        <v>48</v>
      </c>
      <c r="FL29" s="25">
        <v>78</v>
      </c>
      <c r="FM29" s="166">
        <v>30</v>
      </c>
      <c r="FN29" s="88">
        <v>6</v>
      </c>
      <c r="FO29" s="88">
        <v>60</v>
      </c>
      <c r="FP29" s="733">
        <f t="shared" si="45"/>
        <v>6</v>
      </c>
      <c r="FQ29" s="733">
        <f t="shared" si="43"/>
        <v>6</v>
      </c>
      <c r="FR29" s="734" t="s">
        <v>7251</v>
      </c>
      <c r="FS29" s="167">
        <v>1</v>
      </c>
      <c r="FT29" s="167">
        <v>0</v>
      </c>
      <c r="FU29" s="166">
        <v>0</v>
      </c>
      <c r="FV29" s="177" t="s">
        <v>14662</v>
      </c>
      <c r="FW29" s="177" t="s">
        <v>14656</v>
      </c>
      <c r="FX29" s="567" t="s">
        <v>9938</v>
      </c>
      <c r="GA29" t="s">
        <v>7454</v>
      </c>
      <c r="GC29" t="s">
        <v>7318</v>
      </c>
      <c r="GE29" s="356"/>
      <c r="GF29" t="s">
        <v>8174</v>
      </c>
      <c r="GG29" s="356" t="s">
        <v>8830</v>
      </c>
      <c r="GH29" s="83" t="s">
        <v>8826</v>
      </c>
      <c r="GI29" s="83" t="s">
        <v>8836</v>
      </c>
      <c r="GJ29" s="83"/>
      <c r="GK29" s="530"/>
    </row>
    <row r="30" spans="1:198" ht="13.2" customHeight="1">
      <c r="H30" s="3" t="s">
        <v>408</v>
      </c>
      <c r="I30" s="6" t="s">
        <v>67</v>
      </c>
      <c r="J30" s="3"/>
      <c r="K30" s="3"/>
      <c r="L30" s="3"/>
      <c r="M30" s="651"/>
      <c r="N30" s="3"/>
      <c r="O30" s="3"/>
      <c r="P30" s="3"/>
      <c r="Q30" s="3"/>
      <c r="R30" s="651"/>
      <c r="S30" s="83" t="str">
        <f>IF(CareerType=Y30,"Aspirant champion",IF(AllCareers="X","Aspirant champion",IF(Selectsousrace="","",IF(OR(SelectRace="skaven",SelectRace="homme-lézard"),"",IF(FirstCareer="1ère carrière","","Aspirant champion")))))</f>
        <v/>
      </c>
      <c r="T30" s="106">
        <v>2</v>
      </c>
      <c r="U30" s="693" t="str">
        <f t="shared" si="26"/>
        <v/>
      </c>
      <c r="V30" s="693" t="str">
        <f t="shared" si="27"/>
        <v/>
      </c>
      <c r="W30" s="693" t="str">
        <f t="shared" si="28"/>
        <v/>
      </c>
      <c r="X30" s="47" t="s">
        <v>2153</v>
      </c>
      <c r="Y30" s="743" t="s">
        <v>7130</v>
      </c>
      <c r="Z30" s="55" t="s">
        <v>2196</v>
      </c>
      <c r="AA30" s="47">
        <v>175</v>
      </c>
      <c r="AB30" s="89" t="s">
        <v>9280</v>
      </c>
      <c r="AC30" s="47"/>
      <c r="AD30" s="15" t="s">
        <v>99</v>
      </c>
      <c r="AE30" s="15" t="s">
        <v>98</v>
      </c>
      <c r="AF30" s="15" t="s">
        <v>100</v>
      </c>
      <c r="AG30" s="15" t="s">
        <v>100</v>
      </c>
      <c r="AH30" s="15" t="s">
        <v>100</v>
      </c>
      <c r="AI30" s="15" t="s">
        <v>98</v>
      </c>
      <c r="AJ30" s="15" t="s">
        <v>100</v>
      </c>
      <c r="AK30" s="18" t="s">
        <v>98</v>
      </c>
      <c r="AL30" s="15" t="s">
        <v>113</v>
      </c>
      <c r="AM30" s="15" t="s">
        <v>118</v>
      </c>
      <c r="AN30" s="15" t="s">
        <v>149</v>
      </c>
      <c r="AO30" s="15" t="s">
        <v>149</v>
      </c>
      <c r="AP30" s="22" t="s">
        <v>776</v>
      </c>
      <c r="AQ30" s="22" t="s">
        <v>776</v>
      </c>
      <c r="AR30" s="22" t="s">
        <v>777</v>
      </c>
      <c r="AS30" s="22" t="s">
        <v>777</v>
      </c>
      <c r="AT30" s="22" t="s">
        <v>3415</v>
      </c>
      <c r="AU30" s="87" t="s">
        <v>16438</v>
      </c>
      <c r="AV30" s="87" t="s">
        <v>15744</v>
      </c>
      <c r="AW30" s="457">
        <v>0</v>
      </c>
      <c r="AX30" s="630" t="str">
        <f t="shared" si="38"/>
        <v/>
      </c>
      <c r="AY30" s="630" t="str">
        <f t="shared" si="39"/>
        <v/>
      </c>
      <c r="AZ30" s="630" t="str">
        <f t="shared" si="40"/>
        <v/>
      </c>
      <c r="BA30" s="3"/>
      <c r="BB30" s="3"/>
      <c r="BC30" s="3"/>
      <c r="BD30" s="3"/>
      <c r="BE30" s="3"/>
      <c r="BF30" s="3"/>
      <c r="BG30" s="3"/>
      <c r="BH30" s="3"/>
      <c r="BI30" s="3"/>
      <c r="BJ30" s="3"/>
      <c r="BK30" s="3"/>
      <c r="BL30" s="3"/>
      <c r="BM30" s="3">
        <v>38</v>
      </c>
      <c r="BN30" s="3"/>
      <c r="BO30" s="83" t="s">
        <v>10799</v>
      </c>
      <c r="BP30" s="3" t="s">
        <v>3111</v>
      </c>
      <c r="BQ30" s="3" t="s">
        <v>11835</v>
      </c>
      <c r="BR30" s="3"/>
      <c r="BS30" s="3"/>
      <c r="BT30" s="83"/>
      <c r="BU30" s="3"/>
      <c r="BV30" s="3"/>
      <c r="BW30" s="3"/>
      <c r="BX30" s="3" t="str">
        <f>IF(Province="Grands-duchés de Middenheim et du Middenland","Ferme (culture) de Grands-duchés de Middenheim et du Middenland","")</f>
        <v/>
      </c>
      <c r="BY30" t="str">
        <f t="shared" si="33"/>
        <v/>
      </c>
      <c r="BZ30" s="83" t="str">
        <f t="shared" si="7"/>
        <v/>
      </c>
      <c r="CA30" s="83" t="str">
        <f t="shared" si="8"/>
        <v/>
      </c>
      <c r="CB30" s="530" t="str">
        <f t="shared" si="9"/>
        <v/>
      </c>
      <c r="CC30" s="3" t="s">
        <v>10703</v>
      </c>
      <c r="CD30" t="s">
        <v>10649</v>
      </c>
      <c r="CE30" s="83" t="s">
        <v>10230</v>
      </c>
      <c r="CF30" s="83" t="s">
        <v>10216</v>
      </c>
      <c r="CG30" s="83" t="s">
        <v>15153</v>
      </c>
      <c r="CH30" s="3" t="s">
        <v>905</v>
      </c>
      <c r="CI30" s="83" t="s">
        <v>14961</v>
      </c>
      <c r="CJ30" s="3" t="s">
        <v>1107</v>
      </c>
      <c r="CK30" s="3" t="s">
        <v>6776</v>
      </c>
      <c r="CL30" s="3" t="s">
        <v>6439</v>
      </c>
      <c r="CM30" s="83" t="s">
        <v>10255</v>
      </c>
      <c r="CN30" s="3" t="s">
        <v>6597</v>
      </c>
      <c r="CO30" s="3" t="s">
        <v>10892</v>
      </c>
      <c r="CP30" s="83" t="s">
        <v>13298</v>
      </c>
      <c r="CQ30" s="83" t="s">
        <v>13365</v>
      </c>
      <c r="CR30" s="3" t="s">
        <v>13401</v>
      </c>
      <c r="CS30" s="3" t="s">
        <v>11122</v>
      </c>
      <c r="CT30" s="3" t="s">
        <v>2903</v>
      </c>
      <c r="CU30" s="3"/>
      <c r="CV30" s="3"/>
      <c r="CW30" s="3"/>
      <c r="CX30" s="3"/>
      <c r="CY30" s="3" t="s">
        <v>4771</v>
      </c>
      <c r="CZ30" s="3"/>
      <c r="DA30" s="3" t="s">
        <v>12611</v>
      </c>
      <c r="DB30" s="83" t="s">
        <v>12738</v>
      </c>
      <c r="DC30" s="3"/>
      <c r="DD30" s="3" t="s">
        <v>2683</v>
      </c>
      <c r="DE30" s="3" t="s">
        <v>135</v>
      </c>
      <c r="DF30" s="3">
        <f>ROW()</f>
        <v>30</v>
      </c>
      <c r="DG30" s="3" t="s">
        <v>780</v>
      </c>
      <c r="DH30" s="3">
        <f t="shared" si="47"/>
        <v>400</v>
      </c>
      <c r="DI30" s="3">
        <f t="shared" si="48"/>
        <v>300</v>
      </c>
      <c r="DJ30" s="3">
        <f t="shared" si="49"/>
        <v>210</v>
      </c>
      <c r="DK30" s="3">
        <f t="shared" si="50"/>
        <v>120</v>
      </c>
      <c r="DL30" s="3"/>
      <c r="DM30" s="3"/>
      <c r="DN30" s="3"/>
      <c r="DO30" s="3" t="s">
        <v>2741</v>
      </c>
      <c r="DP30" s="3"/>
      <c r="DQ30" s="83" t="s">
        <v>14692</v>
      </c>
      <c r="DR30" s="3"/>
      <c r="DS30" s="3"/>
      <c r="DT30" s="83" t="s">
        <v>15181</v>
      </c>
      <c r="DU30" s="83" t="s">
        <v>15261</v>
      </c>
      <c r="DV30" s="3" t="s">
        <v>2821</v>
      </c>
      <c r="DW30" s="3" t="s">
        <v>2822</v>
      </c>
      <c r="DX30" s="83"/>
      <c r="DY30" s="83"/>
      <c r="DZ30" s="3" t="s">
        <v>2944</v>
      </c>
      <c r="EA30" s="83" t="s">
        <v>4529</v>
      </c>
      <c r="EB30" s="3"/>
      <c r="ED30" s="83" t="s">
        <v>12420</v>
      </c>
      <c r="EE30" s="83" t="s">
        <v>140</v>
      </c>
      <c r="EF30" s="530" t="s">
        <v>13131</v>
      </c>
      <c r="EG30" s="356" t="str">
        <f>IF(SelectRace="créature du chaos","Ogre","")</f>
        <v/>
      </c>
      <c r="EH30" s="83" t="str">
        <f t="shared" si="16"/>
        <v/>
      </c>
      <c r="EI30" s="83" t="str">
        <f t="shared" si="17"/>
        <v/>
      </c>
      <c r="EJ30" s="83" t="str">
        <f t="shared" si="18"/>
        <v/>
      </c>
      <c r="EK30" s="874" t="s">
        <v>16631</v>
      </c>
      <c r="EL30" s="83"/>
      <c r="EM30" s="90" t="s">
        <v>5089</v>
      </c>
      <c r="EN30" s="90" t="s">
        <v>5155</v>
      </c>
      <c r="EO30" t="s">
        <v>5099</v>
      </c>
      <c r="EP30" s="83" t="s">
        <v>5083</v>
      </c>
      <c r="EQ30" s="481" t="str">
        <f>IF(SelectRace="Elfe","Liadriel","")</f>
        <v/>
      </c>
      <c r="ER30" s="83" t="str">
        <f t="shared" si="34"/>
        <v/>
      </c>
      <c r="ES30" s="83" t="str">
        <f t="shared" si="35"/>
        <v/>
      </c>
      <c r="ET30" s="530" t="str">
        <f t="shared" si="36"/>
        <v/>
      </c>
      <c r="EU30" s="177" t="str">
        <f>IF(OR(Dieu="Khaine",Dieu="Kâli-ma",Dieu="Shahai",Dieu="Canne et Locci",Dieu="Sokth",Dieu="Xapati"),"Adepte/Croyant","")</f>
        <v/>
      </c>
      <c r="EV30" s="83" t="str">
        <f t="shared" si="37"/>
        <v/>
      </c>
      <c r="EW30" s="83" t="str">
        <f t="shared" si="22"/>
        <v/>
      </c>
      <c r="EX30" s="530" t="str">
        <f t="shared" si="23"/>
        <v/>
      </c>
      <c r="EZ30" s="530" t="s">
        <v>838</v>
      </c>
      <c r="FB30" s="177" t="s">
        <v>14673</v>
      </c>
      <c r="FC30" s="732" t="s">
        <v>14630</v>
      </c>
      <c r="FD30" s="85" t="s">
        <v>14651</v>
      </c>
      <c r="FE30" s="851">
        <v>19</v>
      </c>
      <c r="FF30" s="25">
        <v>45</v>
      </c>
      <c r="FG30" s="25">
        <v>0</v>
      </c>
      <c r="FH30" s="25">
        <v>50</v>
      </c>
      <c r="FI30" s="25">
        <v>60</v>
      </c>
      <c r="FJ30" s="685">
        <v>30</v>
      </c>
      <c r="FK30" s="25">
        <v>46</v>
      </c>
      <c r="FL30" s="25">
        <v>0</v>
      </c>
      <c r="FM30" s="166">
        <v>0</v>
      </c>
      <c r="FN30" s="88">
        <v>6</v>
      </c>
      <c r="FO30" s="88">
        <v>52</v>
      </c>
      <c r="FP30" s="733">
        <f t="shared" si="45"/>
        <v>5</v>
      </c>
      <c r="FQ30" s="733">
        <f t="shared" si="43"/>
        <v>6</v>
      </c>
      <c r="FR30" s="734" t="s">
        <v>7251</v>
      </c>
      <c r="FS30" s="167">
        <v>1</v>
      </c>
      <c r="FT30" s="167">
        <v>0</v>
      </c>
      <c r="FU30" s="166">
        <v>0</v>
      </c>
      <c r="FV30" s="177" t="s">
        <v>14678</v>
      </c>
      <c r="FW30" s="177" t="s">
        <v>14704</v>
      </c>
      <c r="FX30" s="567" t="s">
        <v>9938</v>
      </c>
      <c r="GA30" s="83" t="s">
        <v>7591</v>
      </c>
      <c r="GC30" t="s">
        <v>7307</v>
      </c>
      <c r="GE30" s="356"/>
      <c r="GF30" s="3" t="s">
        <v>7678</v>
      </c>
      <c r="GG30" s="356" t="s">
        <v>8827</v>
      </c>
      <c r="GH30" s="83" t="s">
        <v>8826</v>
      </c>
      <c r="GI30" s="83" t="s">
        <v>8836</v>
      </c>
      <c r="GJ30" s="83"/>
      <c r="GK30" s="530"/>
    </row>
    <row r="31" spans="1:198" ht="13.2" customHeight="1">
      <c r="H31" s="83" t="s">
        <v>9516</v>
      </c>
      <c r="I31" s="83" t="s">
        <v>9517</v>
      </c>
      <c r="J31" s="3"/>
      <c r="K31" s="3"/>
      <c r="L31" s="3"/>
      <c r="M31" s="651"/>
      <c r="N31" s="3"/>
      <c r="O31" s="3"/>
      <c r="P31" s="3"/>
      <c r="Q31" s="3"/>
      <c r="R31" s="651"/>
      <c r="S31" s="83" t="str">
        <f>IF(CareerType=Y31,"Assassin",IF(AllCareers="X","Assassin",IF(Selectsousrace="","",IF(FirstCareer="1ère carrière","",IF(OR(SelectRace="skaven",SelectRace="homme-bête",SelectRace="peau-verte",SelectRace="créature du chaos"),"","Assassin")))))</f>
        <v/>
      </c>
      <c r="T31" s="106">
        <v>2</v>
      </c>
      <c r="U31" s="693" t="str">
        <f t="shared" si="26"/>
        <v/>
      </c>
      <c r="V31" s="693" t="str">
        <f t="shared" si="27"/>
        <v/>
      </c>
      <c r="W31" s="693" t="str">
        <f t="shared" si="28"/>
        <v/>
      </c>
      <c r="X31" s="47" t="s">
        <v>2153</v>
      </c>
      <c r="Y31" s="743" t="s">
        <v>7133</v>
      </c>
      <c r="Z31" s="55" t="s">
        <v>2200</v>
      </c>
      <c r="AA31" s="47">
        <v>62</v>
      </c>
      <c r="AB31" s="47" t="s">
        <v>446</v>
      </c>
      <c r="AC31" s="47">
        <v>20</v>
      </c>
      <c r="AD31" s="15" t="s">
        <v>99</v>
      </c>
      <c r="AE31" s="15" t="s">
        <v>99</v>
      </c>
      <c r="AF31" s="15" t="s">
        <v>98</v>
      </c>
      <c r="AG31" s="15" t="s">
        <v>98</v>
      </c>
      <c r="AH31" s="15" t="s">
        <v>116</v>
      </c>
      <c r="AI31" s="15" t="s">
        <v>100</v>
      </c>
      <c r="AJ31" s="15" t="s">
        <v>98</v>
      </c>
      <c r="AK31" s="18" t="s">
        <v>100</v>
      </c>
      <c r="AL31" s="15" t="s">
        <v>113</v>
      </c>
      <c r="AM31" s="15" t="s">
        <v>103</v>
      </c>
      <c r="AN31" s="15" t="s">
        <v>149</v>
      </c>
      <c r="AO31" s="15" t="s">
        <v>149</v>
      </c>
      <c r="AP31" s="87" t="s">
        <v>16156</v>
      </c>
      <c r="AQ31" s="87" t="s">
        <v>734</v>
      </c>
      <c r="AR31" s="22" t="s">
        <v>778</v>
      </c>
      <c r="AS31" s="87" t="s">
        <v>734</v>
      </c>
      <c r="AT31" s="22" t="s">
        <v>3441</v>
      </c>
      <c r="AU31" s="87" t="s">
        <v>5353</v>
      </c>
      <c r="AV31" s="87" t="s">
        <v>4594</v>
      </c>
      <c r="AW31" s="457">
        <v>0</v>
      </c>
      <c r="AX31" s="630" t="str">
        <f t="shared" si="38"/>
        <v/>
      </c>
      <c r="AY31" s="630" t="str">
        <f t="shared" si="39"/>
        <v/>
      </c>
      <c r="AZ31" s="630" t="str">
        <f t="shared" si="40"/>
        <v/>
      </c>
      <c r="BA31" s="3"/>
      <c r="BB31" s="3"/>
      <c r="BC31" s="3"/>
      <c r="BD31" s="3"/>
      <c r="BE31" s="3"/>
      <c r="BF31" s="3"/>
      <c r="BG31" s="3"/>
      <c r="BH31" s="3"/>
      <c r="BI31" s="3"/>
      <c r="BJ31" s="3"/>
      <c r="BK31" s="3"/>
      <c r="BL31" s="3"/>
      <c r="BM31" s="3">
        <v>39</v>
      </c>
      <c r="BN31" s="3"/>
      <c r="BO31" s="83" t="s">
        <v>7343</v>
      </c>
      <c r="BP31" s="3" t="s">
        <v>311</v>
      </c>
      <c r="BQ31" s="3" t="s">
        <v>11836</v>
      </c>
      <c r="BR31" s="3"/>
      <c r="BS31" s="3"/>
      <c r="BT31" s="83"/>
      <c r="BU31" s="3"/>
      <c r="BV31" s="3"/>
      <c r="BW31" s="3"/>
      <c r="BX31" s="3" t="str">
        <f>IF(Province="Grande baronnie du Nordland","Ferme (culture) de la Grande baronnie du Nordland","")</f>
        <v/>
      </c>
      <c r="BY31" t="str">
        <f t="shared" si="33"/>
        <v/>
      </c>
      <c r="BZ31" s="83" t="str">
        <f t="shared" si="7"/>
        <v/>
      </c>
      <c r="CA31" s="83" t="str">
        <f t="shared" si="8"/>
        <v/>
      </c>
      <c r="CB31" s="530" t="str">
        <f t="shared" si="9"/>
        <v/>
      </c>
      <c r="CC31" s="3" t="s">
        <v>10704</v>
      </c>
      <c r="CD31" t="s">
        <v>10651</v>
      </c>
      <c r="CE31" t="s">
        <v>10766</v>
      </c>
      <c r="CF31" s="83" t="s">
        <v>12307</v>
      </c>
      <c r="CG31" s="3" t="s">
        <v>6148</v>
      </c>
      <c r="CH31" s="3" t="s">
        <v>5932</v>
      </c>
      <c r="CI31" s="83" t="s">
        <v>14957</v>
      </c>
      <c r="CJ31" s="83" t="s">
        <v>10190</v>
      </c>
      <c r="CK31" s="3" t="s">
        <v>6817</v>
      </c>
      <c r="CL31" s="3" t="s">
        <v>6431</v>
      </c>
      <c r="CM31" s="83" t="s">
        <v>10256</v>
      </c>
      <c r="CN31" s="3" t="s">
        <v>6537</v>
      </c>
      <c r="CO31" s="3" t="s">
        <v>10893</v>
      </c>
      <c r="CP31" s="83" t="s">
        <v>13313</v>
      </c>
      <c r="CQ31" s="83" t="s">
        <v>13367</v>
      </c>
      <c r="CR31" s="3" t="s">
        <v>13402</v>
      </c>
      <c r="CS31" s="83" t="s">
        <v>15029</v>
      </c>
      <c r="CT31" s="3" t="s">
        <v>2862</v>
      </c>
      <c r="CU31" s="3"/>
      <c r="CV31" s="3"/>
      <c r="CW31" s="3"/>
      <c r="CX31" s="3"/>
      <c r="CY31" s="3" t="s">
        <v>403</v>
      </c>
      <c r="CZ31" s="3"/>
      <c r="DA31" s="3" t="s">
        <v>12612</v>
      </c>
      <c r="DB31" s="83" t="s">
        <v>12667</v>
      </c>
      <c r="DC31" s="3"/>
      <c r="DD31" s="3" t="s">
        <v>2684</v>
      </c>
      <c r="DE31" s="3" t="s">
        <v>132</v>
      </c>
      <c r="DF31" s="3">
        <f>ROW()</f>
        <v>31</v>
      </c>
      <c r="DG31" s="3" t="s">
        <v>2174</v>
      </c>
      <c r="DH31" s="3">
        <f t="shared" si="47"/>
        <v>135</v>
      </c>
      <c r="DI31" s="3">
        <f t="shared" si="48"/>
        <v>115</v>
      </c>
      <c r="DJ31" s="3">
        <f t="shared" si="49"/>
        <v>95</v>
      </c>
      <c r="DK31" s="3">
        <f t="shared" si="50"/>
        <v>75</v>
      </c>
      <c r="DL31" s="3"/>
      <c r="DM31" s="3"/>
      <c r="DN31" s="3"/>
      <c r="DO31" s="83" t="s">
        <v>11254</v>
      </c>
      <c r="DP31" s="3"/>
      <c r="DQ31" s="3" t="s">
        <v>2758</v>
      </c>
      <c r="DR31" s="3"/>
      <c r="DS31" s="3"/>
      <c r="DT31" s="83" t="s">
        <v>15597</v>
      </c>
      <c r="DU31" s="83" t="s">
        <v>15598</v>
      </c>
      <c r="DV31" s="83" t="s">
        <v>9447</v>
      </c>
      <c r="DW31" s="3" t="s">
        <v>2822</v>
      </c>
      <c r="DX31" s="83"/>
      <c r="DY31" s="83"/>
      <c r="DZ31" s="3" t="s">
        <v>2945</v>
      </c>
      <c r="EA31" s="83" t="s">
        <v>4529</v>
      </c>
      <c r="EB31" s="3"/>
      <c r="ED31" t="s">
        <v>9566</v>
      </c>
      <c r="EE31" s="83" t="s">
        <v>140</v>
      </c>
      <c r="EF31" s="530" t="s">
        <v>9583</v>
      </c>
      <c r="EG31" s="356" t="str">
        <f>IF(SelectRace="créature du chaos","Troll","")</f>
        <v/>
      </c>
      <c r="EH31" s="83" t="str">
        <f t="shared" si="16"/>
        <v/>
      </c>
      <c r="EI31" s="83" t="str">
        <f t="shared" si="17"/>
        <v/>
      </c>
      <c r="EJ31" s="83" t="str">
        <f t="shared" si="18"/>
        <v/>
      </c>
      <c r="EK31" s="874" t="s">
        <v>16632</v>
      </c>
      <c r="EL31" s="83"/>
      <c r="EM31" s="90" t="s">
        <v>5093</v>
      </c>
      <c r="EN31" s="90" t="s">
        <v>5155</v>
      </c>
      <c r="EO31" t="s">
        <v>5104</v>
      </c>
      <c r="EP31" s="83" t="s">
        <v>5106</v>
      </c>
      <c r="EQ31" s="564" t="str">
        <f>IF(SelectRace="Elfe","Loec","")</f>
        <v/>
      </c>
      <c r="ER31" s="83" t="str">
        <f t="shared" si="34"/>
        <v/>
      </c>
      <c r="ES31" s="83" t="str">
        <f t="shared" si="35"/>
        <v/>
      </c>
      <c r="ET31" s="530" t="str">
        <f t="shared" si="36"/>
        <v/>
      </c>
      <c r="EU31" s="177" t="str">
        <f>IF(OR(Dieu="Khaine",Dieu="Kâli-ma",Dieu="Shahai",Dieu="Canne et Locci",Dieu="Sokth",Dieu="Xapati"),"Initié","")</f>
        <v/>
      </c>
      <c r="EV31" s="83" t="str">
        <f t="shared" si="37"/>
        <v/>
      </c>
      <c r="EW31" s="83" t="str">
        <f t="shared" si="22"/>
        <v/>
      </c>
      <c r="EX31" s="530" t="str">
        <f t="shared" si="23"/>
        <v/>
      </c>
      <c r="EY31" s="83" t="s">
        <v>11284</v>
      </c>
      <c r="FB31" s="177" t="s">
        <v>14664</v>
      </c>
      <c r="FC31" s="732" t="s">
        <v>14630</v>
      </c>
      <c r="FD31" s="85" t="s">
        <v>14651</v>
      </c>
      <c r="FE31" s="851">
        <v>15</v>
      </c>
      <c r="FF31" s="25">
        <v>42</v>
      </c>
      <c r="FG31" s="25">
        <v>0</v>
      </c>
      <c r="FH31" s="25">
        <v>80</v>
      </c>
      <c r="FI31" s="25">
        <v>61</v>
      </c>
      <c r="FJ31" s="685">
        <v>42</v>
      </c>
      <c r="FK31" s="25">
        <v>47</v>
      </c>
      <c r="FL31" s="25">
        <v>80</v>
      </c>
      <c r="FM31" s="166">
        <v>34</v>
      </c>
      <c r="FN31" s="88">
        <v>6</v>
      </c>
      <c r="FO31" s="88">
        <v>61</v>
      </c>
      <c r="FP31" s="733">
        <f t="shared" si="45"/>
        <v>8</v>
      </c>
      <c r="FQ31" s="733">
        <f t="shared" si="43"/>
        <v>6</v>
      </c>
      <c r="FR31" s="734" t="s">
        <v>7251</v>
      </c>
      <c r="FS31" s="167">
        <v>1</v>
      </c>
      <c r="FT31" s="167">
        <v>0</v>
      </c>
      <c r="FU31" s="166">
        <v>0</v>
      </c>
      <c r="FV31" s="177" t="s">
        <v>14693</v>
      </c>
      <c r="FW31" s="177" t="s">
        <v>14656</v>
      </c>
      <c r="FX31" s="567" t="s">
        <v>9938</v>
      </c>
      <c r="GA31" t="s">
        <v>7559</v>
      </c>
      <c r="GC31" s="3" t="s">
        <v>986</v>
      </c>
      <c r="GE31" s="356"/>
      <c r="GF31" t="s">
        <v>8151</v>
      </c>
      <c r="GG31" s="356" t="s">
        <v>8843</v>
      </c>
      <c r="GH31" s="83" t="s">
        <v>8837</v>
      </c>
      <c r="GI31" s="83" t="s">
        <v>8836</v>
      </c>
      <c r="GJ31" s="83"/>
      <c r="GK31" s="530"/>
    </row>
    <row r="32" spans="1:198" ht="13.2" customHeight="1">
      <c r="H32" s="83" t="s">
        <v>9460</v>
      </c>
      <c r="I32" s="83" t="s">
        <v>9682</v>
      </c>
      <c r="J32" s="3"/>
      <c r="K32" s="3"/>
      <c r="L32" s="3"/>
      <c r="M32" s="651"/>
      <c r="N32" s="3"/>
      <c r="O32" s="3"/>
      <c r="P32" s="3"/>
      <c r="Q32" s="3"/>
      <c r="R32" s="651"/>
      <c r="S32" s="83" t="str">
        <f>IF(CareerType=Y32,"Astrologue",IF(AllCareers="X","Astrologue",IF(Selectsousrace="","",IF(OR(SelectRace="homme-bête",SelectRace="peau-verte",SelectRace="créature du chaos",SelectRace="skaven"),"",IF(FirstCareer="1ère carrière","","Astrologue")))))</f>
        <v/>
      </c>
      <c r="T32" s="106">
        <f t="shared" ref="T32:T37" si="51">IF(X32="oui",0,1)</f>
        <v>1</v>
      </c>
      <c r="U32" s="693" t="str">
        <f t="shared" si="26"/>
        <v/>
      </c>
      <c r="V32" s="693" t="str">
        <f t="shared" si="27"/>
        <v/>
      </c>
      <c r="W32" s="693" t="str">
        <f t="shared" si="28"/>
        <v/>
      </c>
      <c r="X32" s="47" t="s">
        <v>2153</v>
      </c>
      <c r="Y32" s="743" t="s">
        <v>7131</v>
      </c>
      <c r="Z32" s="55" t="s">
        <v>2208</v>
      </c>
      <c r="AA32" s="47">
        <v>122</v>
      </c>
      <c r="AB32" s="47" t="s">
        <v>2220</v>
      </c>
      <c r="AC32" s="47">
        <v>21</v>
      </c>
      <c r="AD32" s="20" t="s">
        <v>114</v>
      </c>
      <c r="AE32" s="20" t="s">
        <v>114</v>
      </c>
      <c r="AF32" s="15" t="s">
        <v>149</v>
      </c>
      <c r="AG32" s="20" t="s">
        <v>114</v>
      </c>
      <c r="AH32" s="15" t="s">
        <v>98</v>
      </c>
      <c r="AI32" s="15" t="s">
        <v>99</v>
      </c>
      <c r="AJ32" s="15" t="s">
        <v>100</v>
      </c>
      <c r="AK32" s="18" t="s">
        <v>100</v>
      </c>
      <c r="AL32" s="15" t="s">
        <v>149</v>
      </c>
      <c r="AM32" s="15" t="s">
        <v>103</v>
      </c>
      <c r="AN32" s="15" t="s">
        <v>149</v>
      </c>
      <c r="AO32" s="15" t="s">
        <v>149</v>
      </c>
      <c r="AP32" s="22" t="s">
        <v>14849</v>
      </c>
      <c r="AQ32" s="87" t="s">
        <v>734</v>
      </c>
      <c r="AR32" s="22" t="s">
        <v>3783</v>
      </c>
      <c r="AS32" s="87" t="s">
        <v>734</v>
      </c>
      <c r="AT32" s="87" t="s">
        <v>3416</v>
      </c>
      <c r="AU32" s="87" t="s">
        <v>5424</v>
      </c>
      <c r="AV32" s="87" t="s">
        <v>7123</v>
      </c>
      <c r="AW32" s="457">
        <v>0</v>
      </c>
      <c r="AX32" s="630" t="str">
        <f t="shared" si="38"/>
        <v/>
      </c>
      <c r="AY32" s="630" t="str">
        <f t="shared" si="39"/>
        <v/>
      </c>
      <c r="AZ32" s="630" t="str">
        <f t="shared" si="40"/>
        <v/>
      </c>
      <c r="BA32" s="3"/>
      <c r="BB32" s="3"/>
      <c r="BC32" s="3"/>
      <c r="BD32" s="3"/>
      <c r="BE32" s="3"/>
      <c r="BF32" s="3"/>
      <c r="BG32" s="3"/>
      <c r="BH32" s="3"/>
      <c r="BI32" s="3"/>
      <c r="BJ32" s="3"/>
      <c r="BK32" s="3"/>
      <c r="BL32" s="3"/>
      <c r="BM32" s="3">
        <v>40</v>
      </c>
      <c r="BN32" s="3"/>
      <c r="BO32" s="3" t="s">
        <v>300</v>
      </c>
      <c r="BP32" s="3" t="s">
        <v>321</v>
      </c>
      <c r="BQ32" s="3" t="s">
        <v>11837</v>
      </c>
      <c r="BR32" s="3"/>
      <c r="BS32" s="3"/>
      <c r="BT32" s="83"/>
      <c r="BU32" s="3"/>
      <c r="BV32" s="3"/>
      <c r="BW32" s="3"/>
      <c r="BX32" s="83" t="str">
        <f>IF(Province="Grande principauté du Reikland","Ferme (culture) de Grande principauté du Reikland","")</f>
        <v/>
      </c>
      <c r="BY32" t="str">
        <f t="shared" si="33"/>
        <v/>
      </c>
      <c r="BZ32" s="83" t="str">
        <f t="shared" si="7"/>
        <v/>
      </c>
      <c r="CA32" s="83" t="str">
        <f t="shared" si="8"/>
        <v/>
      </c>
      <c r="CB32" s="530" t="str">
        <f t="shared" si="9"/>
        <v/>
      </c>
      <c r="CC32" s="3" t="s">
        <v>10705</v>
      </c>
      <c r="CD32" t="s">
        <v>10650</v>
      </c>
      <c r="CE32" s="83" t="s">
        <v>10231</v>
      </c>
      <c r="CF32" s="3" t="s">
        <v>3396</v>
      </c>
      <c r="CG32" s="3" t="s">
        <v>1077</v>
      </c>
      <c r="CH32" s="3" t="s">
        <v>5933</v>
      </c>
      <c r="CI32" s="3" t="s">
        <v>928</v>
      </c>
      <c r="CJ32" s="83" t="s">
        <v>10191</v>
      </c>
      <c r="CK32" s="3" t="s">
        <v>6895</v>
      </c>
      <c r="CL32" s="3" t="s">
        <v>6473</v>
      </c>
      <c r="CM32" s="83" t="s">
        <v>10257</v>
      </c>
      <c r="CN32" s="3" t="s">
        <v>6571</v>
      </c>
      <c r="CO32" s="3" t="s">
        <v>10887</v>
      </c>
      <c r="CP32" s="83" t="s">
        <v>13303</v>
      </c>
      <c r="CQ32" s="83" t="s">
        <v>13361</v>
      </c>
      <c r="CR32" s="3" t="s">
        <v>13403</v>
      </c>
      <c r="CS32" s="83" t="s">
        <v>11103</v>
      </c>
      <c r="CT32" s="83" t="s">
        <v>2850</v>
      </c>
      <c r="CU32" s="3"/>
      <c r="CV32" s="3"/>
      <c r="CW32" s="3"/>
      <c r="CX32" s="3"/>
      <c r="CY32" s="3" t="s">
        <v>404</v>
      </c>
      <c r="CZ32" s="3"/>
      <c r="DA32" s="3" t="s">
        <v>12613</v>
      </c>
      <c r="DB32" s="83" t="s">
        <v>12668</v>
      </c>
      <c r="DC32" s="3"/>
      <c r="DD32" s="83" t="s">
        <v>11220</v>
      </c>
      <c r="DE32" s="3" t="s">
        <v>132</v>
      </c>
      <c r="DF32" s="3">
        <f>ROW()</f>
        <v>32</v>
      </c>
      <c r="DG32" s="3" t="s">
        <v>780</v>
      </c>
      <c r="DH32" s="3">
        <f t="shared" si="47"/>
        <v>400</v>
      </c>
      <c r="DI32" s="3">
        <f t="shared" si="48"/>
        <v>300</v>
      </c>
      <c r="DJ32" s="3">
        <f t="shared" si="49"/>
        <v>210</v>
      </c>
      <c r="DK32" s="3">
        <f t="shared" si="50"/>
        <v>120</v>
      </c>
      <c r="DL32" s="3"/>
      <c r="DM32" s="3"/>
      <c r="DN32" s="3"/>
      <c r="DO32" s="83" t="s">
        <v>9948</v>
      </c>
      <c r="DP32" s="3"/>
      <c r="DQ32" s="83" t="s">
        <v>9085</v>
      </c>
      <c r="DR32" s="3"/>
      <c r="DS32" s="3"/>
      <c r="DT32" s="3" t="s">
        <v>2795</v>
      </c>
      <c r="DU32" s="3" t="s">
        <v>2800</v>
      </c>
      <c r="DV32" s="83" t="s">
        <v>9858</v>
      </c>
      <c r="DW32" s="83" t="s">
        <v>16670</v>
      </c>
      <c r="DX32" s="3"/>
      <c r="DY32" s="3"/>
      <c r="DZ32" s="3" t="s">
        <v>2946</v>
      </c>
      <c r="EA32" s="83" t="s">
        <v>4529</v>
      </c>
      <c r="EB32" s="3"/>
      <c r="ED32" t="s">
        <v>9567</v>
      </c>
      <c r="EE32" s="83" t="s">
        <v>140</v>
      </c>
      <c r="EF32" s="530" t="s">
        <v>9581</v>
      </c>
      <c r="EG32" s="356" t="str">
        <f>IF(SelectRace="peau-verte","Kobold","")</f>
        <v/>
      </c>
      <c r="EH32" s="83" t="str">
        <f t="shared" si="16"/>
        <v/>
      </c>
      <c r="EI32" s="83" t="str">
        <f t="shared" si="17"/>
        <v/>
      </c>
      <c r="EJ32" s="83" t="str">
        <f t="shared" si="18"/>
        <v/>
      </c>
      <c r="EK32" s="874" t="s">
        <v>13209</v>
      </c>
      <c r="EL32" s="83"/>
      <c r="EM32" s="90" t="s">
        <v>5087</v>
      </c>
      <c r="EN32" s="90" t="s">
        <v>5155</v>
      </c>
      <c r="EO32" t="s">
        <v>5097</v>
      </c>
      <c r="EP32" s="83" t="s">
        <v>5083</v>
      </c>
      <c r="EQ32" s="481" t="str">
        <f>IF(Pays="Tilée","Luccina et Lucan","")</f>
        <v/>
      </c>
      <c r="ER32" s="83" t="str">
        <f t="shared" si="34"/>
        <v/>
      </c>
      <c r="ES32" s="83" t="str">
        <f t="shared" si="35"/>
        <v/>
      </c>
      <c r="ET32" s="530" t="str">
        <f t="shared" si="36"/>
        <v/>
      </c>
      <c r="EU32" s="177" t="str">
        <f>IF(OR(Dieu="Khaine",Dieu="Kâli-ma",Dieu="Shahai",Dieu="Canne et Locci",Dieu="Sokth",Dieu="Xapati"),"Prêtre","")</f>
        <v/>
      </c>
      <c r="EV32" s="83" t="str">
        <f t="shared" si="37"/>
        <v/>
      </c>
      <c r="EW32" s="83" t="str">
        <f t="shared" si="22"/>
        <v/>
      </c>
      <c r="EX32" s="530" t="str">
        <f t="shared" si="23"/>
        <v/>
      </c>
      <c r="EY32" s="83" t="s">
        <v>2865</v>
      </c>
      <c r="EZ32" s="530" t="s">
        <v>11283</v>
      </c>
      <c r="FB32" s="177" t="s">
        <v>14635</v>
      </c>
      <c r="FC32" s="133" t="s">
        <v>14630</v>
      </c>
      <c r="FD32" s="641" t="s">
        <v>4551</v>
      </c>
      <c r="FE32" s="853" t="s">
        <v>149</v>
      </c>
      <c r="FF32" s="25">
        <v>50</v>
      </c>
      <c r="FG32" s="25">
        <v>0</v>
      </c>
      <c r="FH32" s="25">
        <v>50</v>
      </c>
      <c r="FI32" s="25">
        <v>50</v>
      </c>
      <c r="FJ32" s="685">
        <v>30</v>
      </c>
      <c r="FK32" s="25">
        <v>20</v>
      </c>
      <c r="FL32" s="25">
        <v>0</v>
      </c>
      <c r="FM32" s="166">
        <v>0</v>
      </c>
      <c r="FN32" s="88">
        <v>4</v>
      </c>
      <c r="FO32" s="88">
        <v>50</v>
      </c>
      <c r="FP32" s="692">
        <f t="shared" si="45"/>
        <v>5</v>
      </c>
      <c r="FQ32" s="692">
        <f t="shared" si="43"/>
        <v>5</v>
      </c>
      <c r="FR32" s="685">
        <v>7</v>
      </c>
      <c r="FS32" s="167">
        <v>1</v>
      </c>
      <c r="FT32" s="88">
        <v>0</v>
      </c>
      <c r="FU32" s="166">
        <v>0</v>
      </c>
      <c r="FV32" s="177" t="s">
        <v>9932</v>
      </c>
      <c r="FW32" s="177" t="s">
        <v>9933</v>
      </c>
      <c r="FX32" s="567" t="s">
        <v>9938</v>
      </c>
      <c r="GA32" t="s">
        <v>7455</v>
      </c>
      <c r="GC32" s="83" t="s">
        <v>7358</v>
      </c>
      <c r="GE32" s="356"/>
      <c r="GF32" t="s">
        <v>8168</v>
      </c>
      <c r="GG32" s="356" t="s">
        <v>8842</v>
      </c>
      <c r="GH32" s="83" t="s">
        <v>8837</v>
      </c>
      <c r="GI32" s="83" t="s">
        <v>8836</v>
      </c>
      <c r="GJ32" s="83"/>
      <c r="GK32" s="530"/>
    </row>
    <row r="33" spans="8:193" ht="13.2" customHeight="1">
      <c r="H33" s="3" t="s">
        <v>409</v>
      </c>
      <c r="I33" s="3" t="s">
        <v>1255</v>
      </c>
      <c r="J33" s="3"/>
      <c r="K33" s="3"/>
      <c r="L33" s="3"/>
      <c r="M33" s="651"/>
      <c r="N33" s="3"/>
      <c r="O33" s="3"/>
      <c r="P33" s="3"/>
      <c r="Q33" s="3"/>
      <c r="R33" s="651"/>
      <c r="S33" s="83" t="str">
        <f>IF(CareerType=Y33,"Ataman",IF(AllCareers="X","Ataman",IF(Selectsousrace="","",IF(FirstCareer="1ère carrière","",IF(OR(SelectRace="homme-bête",SelectRace="peau-verte",SelectRace="créature du chaos",SelectRace="Homme-lézard",SelectRace="skaven"),"",IF(Pays="Kislev","Ataman",""))))))</f>
        <v/>
      </c>
      <c r="T33" s="106">
        <f t="shared" si="51"/>
        <v>1</v>
      </c>
      <c r="U33" s="693" t="str">
        <f t="shared" si="26"/>
        <v/>
      </c>
      <c r="V33" s="693" t="str">
        <f t="shared" si="27"/>
        <v/>
      </c>
      <c r="W33" s="693" t="str">
        <f t="shared" si="28"/>
        <v/>
      </c>
      <c r="X33" s="47" t="s">
        <v>2153</v>
      </c>
      <c r="Y33" s="743" t="s">
        <v>7131</v>
      </c>
      <c r="Z33" s="55" t="s">
        <v>1319</v>
      </c>
      <c r="AA33" s="47">
        <v>98</v>
      </c>
      <c r="AB33" s="47" t="s">
        <v>2221</v>
      </c>
      <c r="AC33" s="47">
        <v>22</v>
      </c>
      <c r="AD33" s="15" t="s">
        <v>98</v>
      </c>
      <c r="AE33" s="15" t="s">
        <v>98</v>
      </c>
      <c r="AF33" s="20" t="s">
        <v>114</v>
      </c>
      <c r="AG33" s="15" t="s">
        <v>101</v>
      </c>
      <c r="AH33" s="20" t="s">
        <v>114</v>
      </c>
      <c r="AI33" s="15" t="s">
        <v>116</v>
      </c>
      <c r="AJ33" s="15" t="s">
        <v>100</v>
      </c>
      <c r="AK33" s="18" t="s">
        <v>99</v>
      </c>
      <c r="AL33" s="15" t="s">
        <v>149</v>
      </c>
      <c r="AM33" s="15" t="s">
        <v>103</v>
      </c>
      <c r="AN33" s="15" t="s">
        <v>149</v>
      </c>
      <c r="AO33" s="15" t="s">
        <v>149</v>
      </c>
      <c r="AP33" s="22" t="s">
        <v>14850</v>
      </c>
      <c r="AQ33" s="87" t="s">
        <v>734</v>
      </c>
      <c r="AR33" s="22" t="s">
        <v>1027</v>
      </c>
      <c r="AS33" s="87" t="s">
        <v>734</v>
      </c>
      <c r="AT33" s="22" t="s">
        <v>3417</v>
      </c>
      <c r="AU33" s="87" t="s">
        <v>5425</v>
      </c>
      <c r="AV33" s="87" t="s">
        <v>4648</v>
      </c>
      <c r="AW33" s="457">
        <v>0</v>
      </c>
      <c r="AX33" s="630" t="str">
        <f t="shared" si="38"/>
        <v/>
      </c>
      <c r="AY33" s="630" t="str">
        <f t="shared" si="39"/>
        <v/>
      </c>
      <c r="AZ33" s="630" t="str">
        <f t="shared" si="40"/>
        <v/>
      </c>
      <c r="BA33" s="3"/>
      <c r="BB33" s="3"/>
      <c r="BC33" s="3"/>
      <c r="BD33" s="3"/>
      <c r="BE33" s="3"/>
      <c r="BF33" s="3"/>
      <c r="BG33" s="3"/>
      <c r="BH33" s="3"/>
      <c r="BI33" s="3"/>
      <c r="BJ33" s="3"/>
      <c r="BK33" s="3"/>
      <c r="BL33" s="3"/>
      <c r="BM33" s="3">
        <v>41</v>
      </c>
      <c r="BN33" s="3"/>
      <c r="BO33" s="83" t="s">
        <v>7346</v>
      </c>
      <c r="BP33" s="3" t="s">
        <v>1001</v>
      </c>
      <c r="BQ33" s="83" t="s">
        <v>11838</v>
      </c>
      <c r="BR33" s="83"/>
      <c r="BS33" s="83"/>
      <c r="BT33" s="83"/>
      <c r="BU33" s="3"/>
      <c r="BV33" s="3"/>
      <c r="BW33" s="3"/>
      <c r="BX33" s="3" t="str">
        <f>IF(Province="Grand comté du Stirland","Ferme (culture) de Grand comté du Stirland","")</f>
        <v/>
      </c>
      <c r="BY33" t="str">
        <f t="shared" si="33"/>
        <v/>
      </c>
      <c r="BZ33" s="83" t="str">
        <f t="shared" si="7"/>
        <v/>
      </c>
      <c r="CA33" s="83" t="str">
        <f t="shared" si="8"/>
        <v/>
      </c>
      <c r="CB33" s="530" t="str">
        <f t="shared" si="9"/>
        <v/>
      </c>
      <c r="CC33" s="3" t="s">
        <v>3235</v>
      </c>
      <c r="CD33" t="s">
        <v>10652</v>
      </c>
      <c r="CE33" t="s">
        <v>10770</v>
      </c>
      <c r="CF33" s="3" t="s">
        <v>1107</v>
      </c>
      <c r="CG33" s="3" t="s">
        <v>6149</v>
      </c>
      <c r="CH33" s="3" t="s">
        <v>5934</v>
      </c>
      <c r="CI33" s="3" t="s">
        <v>929</v>
      </c>
      <c r="CJ33" s="83" t="s">
        <v>10189</v>
      </c>
      <c r="CK33" s="3" t="s">
        <v>6858</v>
      </c>
      <c r="CL33" s="3" t="s">
        <v>6441</v>
      </c>
      <c r="CM33" s="3" t="s">
        <v>6620</v>
      </c>
      <c r="CN33" s="3" t="s">
        <v>6547</v>
      </c>
      <c r="CO33" s="3" t="str">
        <f>CONCATENATE("Bardin",IF(AND('page 1'!M11="Féminin",Pays="Norsca"),"dottir",IF(AND('page 1'!M11="Masculin",Pays="Norsca"),"son",IF(AND('page 1'!M11="Féminin",Pays="Kislev"),"ovna",IF(AND('page 1'!M11="Masculin",Pays="Kislev"),"sky","")))))</f>
        <v>Bardin</v>
      </c>
      <c r="CP33" s="83" t="s">
        <v>13302</v>
      </c>
      <c r="CQ33" s="83" t="s">
        <v>13349</v>
      </c>
      <c r="CR33" s="3" t="s">
        <v>13404</v>
      </c>
      <c r="CS33" s="3" t="s">
        <v>11123</v>
      </c>
      <c r="CT33" s="136" t="s">
        <v>2862</v>
      </c>
      <c r="CU33" s="3"/>
      <c r="CV33" s="3"/>
      <c r="CW33" s="3"/>
      <c r="CX33" s="3"/>
      <c r="CY33" s="3" t="s">
        <v>2855</v>
      </c>
      <c r="CZ33" s="3"/>
      <c r="DA33" s="3" t="s">
        <v>12614</v>
      </c>
      <c r="DB33" s="83" t="s">
        <v>12739</v>
      </c>
      <c r="DC33" s="3"/>
      <c r="DD33" s="83" t="s">
        <v>11184</v>
      </c>
      <c r="DE33" s="3" t="s">
        <v>132</v>
      </c>
      <c r="DF33" s="3">
        <f>ROW()</f>
        <v>33</v>
      </c>
      <c r="DG33" s="3" t="s">
        <v>780</v>
      </c>
      <c r="DH33" s="3">
        <f t="shared" si="47"/>
        <v>400</v>
      </c>
      <c r="DI33" s="3">
        <f t="shared" si="48"/>
        <v>300</v>
      </c>
      <c r="DJ33" s="3">
        <f t="shared" si="49"/>
        <v>210</v>
      </c>
      <c r="DK33" s="3">
        <f t="shared" si="50"/>
        <v>120</v>
      </c>
      <c r="DL33" s="3"/>
      <c r="DM33" s="3"/>
      <c r="DN33" s="3"/>
      <c r="DO33" s="3" t="s">
        <v>2749</v>
      </c>
      <c r="DP33" s="3"/>
      <c r="DQ33" s="83" t="s">
        <v>12781</v>
      </c>
      <c r="DR33" s="3"/>
      <c r="DS33" s="3"/>
      <c r="DT33" s="3" t="s">
        <v>2830</v>
      </c>
      <c r="DU33" s="3" t="s">
        <v>15076</v>
      </c>
      <c r="DV33" s="3" t="s">
        <v>2823</v>
      </c>
      <c r="DW33" s="3" t="s">
        <v>2822</v>
      </c>
      <c r="DX33" s="3"/>
      <c r="DY33" s="3"/>
      <c r="DZ33" s="3" t="s">
        <v>2947</v>
      </c>
      <c r="EA33" s="83" t="s">
        <v>4529</v>
      </c>
      <c r="EB33" s="3"/>
      <c r="ED33" t="s">
        <v>9568</v>
      </c>
      <c r="EE33" s="83" t="s">
        <v>140</v>
      </c>
      <c r="EF33" s="530" t="s">
        <v>9582</v>
      </c>
      <c r="EG33" s="356" t="str">
        <f>IF(SelectRace="peau-verte","Orc","")</f>
        <v/>
      </c>
      <c r="EH33" s="83" t="str">
        <f t="shared" si="16"/>
        <v/>
      </c>
      <c r="EI33" s="83" t="str">
        <f t="shared" si="17"/>
        <v/>
      </c>
      <c r="EJ33" s="83" t="str">
        <f t="shared" si="18"/>
        <v/>
      </c>
      <c r="EK33" s="874" t="s">
        <v>12785</v>
      </c>
      <c r="EL33" s="83"/>
      <c r="EM33" s="90" t="s">
        <v>5084</v>
      </c>
      <c r="EN33" s="90" t="s">
        <v>5155</v>
      </c>
      <c r="EO33" t="s">
        <v>5059</v>
      </c>
      <c r="EP33" s="83" t="s">
        <v>5083</v>
      </c>
      <c r="EQ33" s="564" t="str">
        <f>IF(Pays="Inja","Kumarsattva",IF(OR(Pays="Terres des morts",Pays="Arabie"),"Seth","Malal"))</f>
        <v>Malal</v>
      </c>
      <c r="ER33" s="83">
        <f t="shared" si="34"/>
        <v>33</v>
      </c>
      <c r="ES33" s="83" t="str">
        <f t="shared" si="35"/>
        <v/>
      </c>
      <c r="ET33" s="530" t="str">
        <f t="shared" si="36"/>
        <v/>
      </c>
      <c r="EU33" s="571" t="str">
        <f>IF(OR(OR(Dieu="Khorne",Dieu="Raktavija",Dieu="Hifokosho",Dieu="Gotd",Dieu="Chron"),Dieu="Gotd"),"Crâne Rouge","")</f>
        <v/>
      </c>
      <c r="EV33" s="83" t="str">
        <f t="shared" si="37"/>
        <v/>
      </c>
      <c r="EW33" s="83" t="str">
        <f t="shared" si="22"/>
        <v/>
      </c>
      <c r="EX33" s="530" t="str">
        <f t="shared" si="23"/>
        <v/>
      </c>
      <c r="EZ33" s="530" t="s">
        <v>9515</v>
      </c>
      <c r="FB33" s="83" t="s">
        <v>14636</v>
      </c>
      <c r="FC33" s="133" t="s">
        <v>14630</v>
      </c>
      <c r="FD33" s="83" t="s">
        <v>9703</v>
      </c>
      <c r="FE33" s="848">
        <v>338</v>
      </c>
      <c r="FF33">
        <v>45</v>
      </c>
      <c r="FG33">
        <v>0</v>
      </c>
      <c r="FH33">
        <v>60</v>
      </c>
      <c r="FI33">
        <v>59</v>
      </c>
      <c r="FJ33" s="10">
        <v>46</v>
      </c>
      <c r="FK33">
        <v>43</v>
      </c>
      <c r="FL33">
        <v>56</v>
      </c>
      <c r="FM33" s="165">
        <v>55</v>
      </c>
      <c r="FN33" s="88">
        <v>4</v>
      </c>
      <c r="FO33" s="88">
        <v>38</v>
      </c>
      <c r="FP33" s="691">
        <f t="shared" si="45"/>
        <v>6</v>
      </c>
      <c r="FQ33" s="691">
        <f t="shared" si="43"/>
        <v>5</v>
      </c>
      <c r="FR33" s="10">
        <v>5</v>
      </c>
      <c r="FS33" s="167">
        <v>0</v>
      </c>
      <c r="FT33" s="167">
        <v>0</v>
      </c>
      <c r="FU33" s="165">
        <v>0</v>
      </c>
      <c r="FV33" s="83" t="s">
        <v>13266</v>
      </c>
      <c r="FW33" s="83" t="s">
        <v>13267</v>
      </c>
      <c r="FX33" s="567" t="s">
        <v>9938</v>
      </c>
      <c r="GA33" s="83" t="s">
        <v>7608</v>
      </c>
      <c r="GC33" s="3" t="s">
        <v>1021</v>
      </c>
      <c r="GE33" s="356"/>
      <c r="GF33" t="s">
        <v>8152</v>
      </c>
      <c r="GG33" s="356" t="s">
        <v>8846</v>
      </c>
      <c r="GH33" s="83" t="s">
        <v>8837</v>
      </c>
      <c r="GI33" s="83" t="s">
        <v>8836</v>
      </c>
      <c r="GJ33" s="83"/>
      <c r="GK33" s="530"/>
    </row>
    <row r="34" spans="8:193" ht="13.2" customHeight="1">
      <c r="H34" s="3" t="s">
        <v>410</v>
      </c>
      <c r="I34" s="83" t="s">
        <v>9683</v>
      </c>
      <c r="J34" s="3"/>
      <c r="K34" s="3"/>
      <c r="L34" s="3"/>
      <c r="M34" s="651"/>
      <c r="N34" s="3"/>
      <c r="O34" s="3"/>
      <c r="P34" s="3"/>
      <c r="Q34" s="3"/>
      <c r="R34" s="651"/>
      <c r="S34" s="83" t="str">
        <f>IF(CareerType=Y34,"Aubergiste",IF(AllCareers="X","Aubergiste",IF(OR(Selectsousrace="",SelectRace="homme-bête",SelectRace="peau-verte",SelectRace="créature du chaos",SelectRace="Homme-lézard",SelectRace="skaven",SelectRace="Vampire"),"",IF(FirstCareer="1ère carrière","","Aubergiste"))))</f>
        <v/>
      </c>
      <c r="T34" s="106">
        <f t="shared" si="51"/>
        <v>1</v>
      </c>
      <c r="U34" s="693" t="str">
        <f t="shared" si="26"/>
        <v/>
      </c>
      <c r="V34" s="693" t="str">
        <f t="shared" si="27"/>
        <v/>
      </c>
      <c r="W34" s="693" t="str">
        <f t="shared" si="28"/>
        <v/>
      </c>
      <c r="X34" s="47" t="s">
        <v>2153</v>
      </c>
      <c r="Y34" s="743" t="s">
        <v>7132</v>
      </c>
      <c r="Z34" s="55" t="s">
        <v>2200</v>
      </c>
      <c r="AA34" s="47">
        <v>62</v>
      </c>
      <c r="AB34" s="47" t="s">
        <v>2222</v>
      </c>
      <c r="AC34" s="47">
        <v>113</v>
      </c>
      <c r="AD34" s="15" t="s">
        <v>98</v>
      </c>
      <c r="AE34" s="20" t="s">
        <v>114</v>
      </c>
      <c r="AF34" s="20" t="s">
        <v>114</v>
      </c>
      <c r="AG34" s="15" t="s">
        <v>98</v>
      </c>
      <c r="AH34" s="15" t="s">
        <v>100</v>
      </c>
      <c r="AI34" s="15" t="s">
        <v>98</v>
      </c>
      <c r="AJ34" s="15" t="s">
        <v>98</v>
      </c>
      <c r="AK34" s="18" t="s">
        <v>100</v>
      </c>
      <c r="AL34" s="15" t="s">
        <v>149</v>
      </c>
      <c r="AM34" s="15" t="s">
        <v>103</v>
      </c>
      <c r="AN34" s="15" t="s">
        <v>149</v>
      </c>
      <c r="AO34" s="15" t="s">
        <v>149</v>
      </c>
      <c r="AP34" s="87" t="s">
        <v>14770</v>
      </c>
      <c r="AQ34" s="87" t="s">
        <v>734</v>
      </c>
      <c r="AR34" s="87" t="s">
        <v>2223</v>
      </c>
      <c r="AS34" s="87" t="s">
        <v>734</v>
      </c>
      <c r="AT34" s="87" t="s">
        <v>14765</v>
      </c>
      <c r="AU34" s="87" t="s">
        <v>14761</v>
      </c>
      <c r="AV34" s="87" t="s">
        <v>14763</v>
      </c>
      <c r="AW34" s="457">
        <v>0</v>
      </c>
      <c r="AX34" s="630" t="str">
        <f t="shared" si="38"/>
        <v/>
      </c>
      <c r="AY34" s="630" t="str">
        <f t="shared" si="39"/>
        <v/>
      </c>
      <c r="AZ34" s="630" t="str">
        <f t="shared" si="40"/>
        <v/>
      </c>
      <c r="BA34" s="3"/>
      <c r="BB34" s="3"/>
      <c r="BC34" s="3"/>
      <c r="BD34" s="3"/>
      <c r="BE34" s="3"/>
      <c r="BF34" s="3"/>
      <c r="BG34" s="3"/>
      <c r="BH34" s="3"/>
      <c r="BI34" s="3"/>
      <c r="BJ34" s="3"/>
      <c r="BK34" s="3"/>
      <c r="BL34" s="3"/>
      <c r="BM34" s="3">
        <v>42</v>
      </c>
      <c r="BN34" s="3"/>
      <c r="BO34" s="3" t="s">
        <v>1004</v>
      </c>
      <c r="BP34" s="3" t="s">
        <v>1006</v>
      </c>
      <c r="BQ34" s="3" t="s">
        <v>11839</v>
      </c>
      <c r="BR34" s="3"/>
      <c r="BS34" s="3"/>
      <c r="BT34" s="83"/>
      <c r="BX34" s="3" t="str">
        <f>IF(Province="Grand-duché du Talabecland","Ferme (culture) de Grand-duché du Talabecland","")</f>
        <v/>
      </c>
      <c r="BY34" t="str">
        <f t="shared" si="33"/>
        <v/>
      </c>
      <c r="BZ34" s="83" t="str">
        <f t="shared" si="7"/>
        <v/>
      </c>
      <c r="CA34" s="83" t="str">
        <f t="shared" si="8"/>
        <v/>
      </c>
      <c r="CB34" s="530" t="str">
        <f t="shared" si="9"/>
        <v/>
      </c>
      <c r="CC34" s="3" t="s">
        <v>3236</v>
      </c>
      <c r="CD34" t="s">
        <v>10653</v>
      </c>
      <c r="CE34" t="s">
        <v>10767</v>
      </c>
      <c r="CF34" t="s">
        <v>10758</v>
      </c>
      <c r="CG34" s="3" t="s">
        <v>6150</v>
      </c>
      <c r="CH34" s="83" t="s">
        <v>10178</v>
      </c>
      <c r="CI34" s="3" t="s">
        <v>3386</v>
      </c>
      <c r="CJ34" s="83" t="s">
        <v>10198</v>
      </c>
      <c r="CK34" s="3" t="s">
        <v>6732</v>
      </c>
      <c r="CL34" s="3" t="s">
        <v>6477</v>
      </c>
      <c r="CM34" s="83" t="s">
        <v>10258</v>
      </c>
      <c r="CN34" s="3" t="s">
        <v>6580</v>
      </c>
      <c r="CO34" s="3" t="s">
        <v>10919</v>
      </c>
      <c r="CP34" s="83" t="s">
        <v>13307</v>
      </c>
      <c r="CQ34" s="83" t="s">
        <v>13338</v>
      </c>
      <c r="CR34" s="3" t="s">
        <v>13405</v>
      </c>
      <c r="CS34" s="83" t="s">
        <v>11160</v>
      </c>
      <c r="CT34" s="83" t="s">
        <v>16201</v>
      </c>
      <c r="CU34" s="3"/>
      <c r="CV34" s="3"/>
      <c r="CW34" s="3"/>
      <c r="CX34" s="3"/>
      <c r="CY34" s="3" t="s">
        <v>405</v>
      </c>
      <c r="CZ34" s="3"/>
      <c r="DA34" s="3" t="s">
        <v>12615</v>
      </c>
      <c r="DB34" s="83" t="s">
        <v>12670</v>
      </c>
      <c r="DC34" s="3"/>
      <c r="DD34" s="3" t="s">
        <v>2685</v>
      </c>
      <c r="DE34" s="3" t="s">
        <v>133</v>
      </c>
      <c r="DF34" s="3">
        <f>ROW()</f>
        <v>34</v>
      </c>
      <c r="DG34" s="3" t="s">
        <v>2174</v>
      </c>
      <c r="DH34" s="3">
        <f t="shared" si="47"/>
        <v>135</v>
      </c>
      <c r="DI34" s="3">
        <f t="shared" si="48"/>
        <v>115</v>
      </c>
      <c r="DJ34" s="3">
        <f t="shared" si="49"/>
        <v>95</v>
      </c>
      <c r="DK34" s="3">
        <f t="shared" si="50"/>
        <v>75</v>
      </c>
      <c r="DL34" s="3"/>
      <c r="DM34" s="3"/>
      <c r="DN34" s="3"/>
      <c r="DO34" s="3" t="s">
        <v>2742</v>
      </c>
      <c r="DP34" s="3"/>
      <c r="DQ34" s="83" t="s">
        <v>11507</v>
      </c>
      <c r="DR34" s="3"/>
      <c r="DS34" s="3"/>
      <c r="DT34" s="3" t="s">
        <v>2831</v>
      </c>
      <c r="DU34" s="3" t="s">
        <v>15076</v>
      </c>
      <c r="DV34" s="3" t="s">
        <v>2824</v>
      </c>
      <c r="DW34" s="3" t="s">
        <v>2825</v>
      </c>
      <c r="DX34" s="3"/>
      <c r="DY34" s="3"/>
      <c r="DZ34" s="3" t="s">
        <v>2948</v>
      </c>
      <c r="EA34" s="83" t="s">
        <v>4529</v>
      </c>
      <c r="EB34" s="3"/>
      <c r="ED34" t="s">
        <v>9569</v>
      </c>
      <c r="EE34" s="83" t="s">
        <v>140</v>
      </c>
      <c r="EF34" s="530" t="s">
        <v>9586</v>
      </c>
      <c r="EG34" s="356" t="str">
        <f>IF(SelectRace="peau-verte","Hobgobelin","")</f>
        <v/>
      </c>
      <c r="EH34" s="83" t="str">
        <f t="shared" ref="EH34:EH63" si="52">IF(EG34="","",ROW()-1)</f>
        <v/>
      </c>
      <c r="EI34" s="83" t="str">
        <f t="shared" ref="EI34:EI64" si="53">IFERROR(SMALL(EH:EH,ROW()-1),"")</f>
        <v/>
      </c>
      <c r="EJ34" s="83" t="str">
        <f t="shared" ref="EJ34:EJ64" si="54">IFERROR(INDEX(EG:EG,EI34+1),"")</f>
        <v/>
      </c>
      <c r="EK34" s="874" t="s">
        <v>12784</v>
      </c>
      <c r="EL34" s="83"/>
      <c r="EM34" s="90" t="s">
        <v>5086</v>
      </c>
      <c r="EN34" s="90" t="s">
        <v>5155</v>
      </c>
      <c r="EO34" t="s">
        <v>5096</v>
      </c>
      <c r="EP34" s="83" t="s">
        <v>5083</v>
      </c>
      <c r="EQ34" s="481" t="str">
        <f>IF(Pays="Nippon","Sösanii",IF(OR(Pays="Lustrie",Pays="Terres du Sud"),"Tzunki",IF(Pays="Norsca","Malor",IF(Pays="Inja","Gangi",IF(SelectRace="Elfe","Mathlann",IF(Province="Grand comté du Stirland","Manhavok",IF(OR(Pays="Empire",Pays="Kislev",Pays="Pays Perdu"),"Manann",IF(OR(Pays="Terres des morts",Pays="Arabie"),"Sobek",""))))))))</f>
        <v/>
      </c>
      <c r="ER34" s="83" t="str">
        <f t="shared" si="34"/>
        <v/>
      </c>
      <c r="ES34" s="83" t="str">
        <f t="shared" si="35"/>
        <v/>
      </c>
      <c r="ET34" s="530" t="str">
        <f t="shared" si="36"/>
        <v/>
      </c>
      <c r="EU34" s="571" t="str">
        <f>IF(OR(OR(Dieu="Khorne",Dieu="Raktavija",Dieu="Hifokosho",Dieu="Gotd",Dieu="Chron"),Dieu="Gotd",OR(Dieu="Slaanesh",Dieu="Qu’aph",Dieu="Loesh",Dieu="Takchaka",Dieu="Shornaal",Dieu="Banzaïgen"),Dieu="Nurgle",OR(Dieu="Tzeentch",Dieu="Asaph",Dieu="Tchar",Dieu="Ghithutkichi",Dieu="Ikaninushi")),"Magus","")</f>
        <v/>
      </c>
      <c r="EV34" s="83" t="str">
        <f t="shared" si="37"/>
        <v/>
      </c>
      <c r="EW34" s="83" t="str">
        <f t="shared" si="22"/>
        <v/>
      </c>
      <c r="EX34" s="530" t="str">
        <f t="shared" si="23"/>
        <v/>
      </c>
      <c r="FB34" s="83" t="s">
        <v>16219</v>
      </c>
      <c r="FC34" s="133" t="s">
        <v>14630</v>
      </c>
      <c r="FD34" s="641" t="s">
        <v>4551</v>
      </c>
      <c r="FE34" s="848" t="s">
        <v>149</v>
      </c>
      <c r="FF34">
        <v>41</v>
      </c>
      <c r="FG34">
        <v>0</v>
      </c>
      <c r="FH34">
        <v>70</v>
      </c>
      <c r="FI34">
        <v>50</v>
      </c>
      <c r="FJ34" s="10">
        <v>30</v>
      </c>
      <c r="FK34">
        <v>14</v>
      </c>
      <c r="FL34">
        <v>43</v>
      </c>
      <c r="FM34" s="165">
        <v>0</v>
      </c>
      <c r="FN34" s="88">
        <v>5</v>
      </c>
      <c r="FO34" s="88">
        <v>17</v>
      </c>
      <c r="FP34" s="691">
        <f t="shared" si="45"/>
        <v>7</v>
      </c>
      <c r="FQ34" s="691">
        <f t="shared" si="43"/>
        <v>5</v>
      </c>
      <c r="FR34" s="10">
        <v>8</v>
      </c>
      <c r="FS34" s="167">
        <v>0</v>
      </c>
      <c r="FT34" s="167">
        <v>0</v>
      </c>
      <c r="FU34" s="165">
        <v>0</v>
      </c>
      <c r="FV34" s="83" t="s">
        <v>9932</v>
      </c>
      <c r="FW34" s="83" t="s">
        <v>16220</v>
      </c>
      <c r="FX34" s="567" t="s">
        <v>9938</v>
      </c>
      <c r="GA34" t="s">
        <v>7456</v>
      </c>
      <c r="GC34" t="s">
        <v>3032</v>
      </c>
      <c r="GE34" s="356"/>
      <c r="GF34" t="s">
        <v>8153</v>
      </c>
      <c r="GG34" s="356" t="s">
        <v>8839</v>
      </c>
      <c r="GH34" s="83" t="s">
        <v>8837</v>
      </c>
      <c r="GI34" s="83" t="s">
        <v>8836</v>
      </c>
      <c r="GJ34" s="83"/>
      <c r="GK34" s="530"/>
    </row>
    <row r="35" spans="8:193" ht="13.2" customHeight="1">
      <c r="H35" s="3" t="s">
        <v>411</v>
      </c>
      <c r="I35" s="6" t="s">
        <v>70</v>
      </c>
      <c r="J35" s="3"/>
      <c r="K35" s="3"/>
      <c r="L35" s="3"/>
      <c r="M35" s="651"/>
      <c r="N35" s="3"/>
      <c r="O35" s="3"/>
      <c r="P35" s="3"/>
      <c r="Q35" s="3"/>
      <c r="R35" s="651"/>
      <c r="S35" s="83" t="str">
        <f>IF(CareerType=Y35,"Avoué",IF(AllCareers="X","Avoué",IF(Selectsousrace="","",IF(OR(SelectRace="homme-bête",SelectRace="peau-verte",SelectRace="créature du chaos",SelectRace="Homme-lézard",SelectRace="skaven"),"",IF(FirstCareer="1ère carrière","","Avoué")))))</f>
        <v/>
      </c>
      <c r="T35" s="106">
        <f t="shared" si="51"/>
        <v>1</v>
      </c>
      <c r="U35" s="693" t="str">
        <f t="shared" si="26"/>
        <v/>
      </c>
      <c r="V35" s="693" t="str">
        <f t="shared" si="27"/>
        <v/>
      </c>
      <c r="W35" s="693" t="str">
        <f t="shared" si="28"/>
        <v/>
      </c>
      <c r="X35" s="47" t="s">
        <v>2153</v>
      </c>
      <c r="Y35" s="743" t="s">
        <v>7131</v>
      </c>
      <c r="Z35" s="101" t="s">
        <v>15707</v>
      </c>
      <c r="AA35" s="89" t="s">
        <v>15708</v>
      </c>
      <c r="AB35" s="89" t="s">
        <v>9497</v>
      </c>
      <c r="AD35" s="15" t="s">
        <v>149</v>
      </c>
      <c r="AE35" s="15" t="s">
        <v>149</v>
      </c>
      <c r="AF35" s="15" t="s">
        <v>149</v>
      </c>
      <c r="AG35" s="20" t="s">
        <v>114</v>
      </c>
      <c r="AH35" s="15" t="s">
        <v>98</v>
      </c>
      <c r="AI35" s="105" t="s">
        <v>97</v>
      </c>
      <c r="AJ35" s="105" t="s">
        <v>119</v>
      </c>
      <c r="AK35" s="18" t="s">
        <v>100</v>
      </c>
      <c r="AL35" s="15" t="s">
        <v>149</v>
      </c>
      <c r="AM35" s="105" t="s">
        <v>115</v>
      </c>
      <c r="AN35" s="15" t="s">
        <v>149</v>
      </c>
      <c r="AO35" s="15" t="s">
        <v>149</v>
      </c>
      <c r="AP35" s="87" t="s">
        <v>10001</v>
      </c>
      <c r="AQ35" s="87" t="s">
        <v>734</v>
      </c>
      <c r="AR35" s="87" t="s">
        <v>15804</v>
      </c>
      <c r="AS35" s="87" t="s">
        <v>734</v>
      </c>
      <c r="AT35" s="87" t="s">
        <v>15663</v>
      </c>
      <c r="AU35" s="87" t="s">
        <v>11304</v>
      </c>
      <c r="AV35" s="87" t="s">
        <v>9498</v>
      </c>
      <c r="AW35" s="458">
        <f ca="1">RANDBETWEEN(1,10)*6</f>
        <v>60</v>
      </c>
      <c r="AX35" s="630" t="str">
        <f t="shared" si="38"/>
        <v/>
      </c>
      <c r="AY35" s="630" t="str">
        <f t="shared" si="39"/>
        <v/>
      </c>
      <c r="AZ35" s="630" t="str">
        <f t="shared" si="40"/>
        <v/>
      </c>
      <c r="BA35" s="3"/>
      <c r="BB35" s="3"/>
      <c r="BC35" s="3"/>
      <c r="BD35" s="3"/>
      <c r="BE35" s="3"/>
      <c r="BF35" s="3"/>
      <c r="BG35" s="3"/>
      <c r="BH35" s="3"/>
      <c r="BI35" s="3"/>
      <c r="BJ35" s="3"/>
      <c r="BK35" s="3"/>
      <c r="BL35" s="3"/>
      <c r="BM35" s="3">
        <v>43</v>
      </c>
      <c r="BN35" s="3"/>
      <c r="BO35" s="83" t="s">
        <v>7342</v>
      </c>
      <c r="BP35" s="3" t="s">
        <v>326</v>
      </c>
      <c r="BQ35" s="3" t="s">
        <v>11840</v>
      </c>
      <c r="BR35" s="3"/>
      <c r="BS35" s="3"/>
      <c r="BT35" s="83"/>
      <c r="BU35" s="3"/>
      <c r="BV35" s="3"/>
      <c r="BW35" s="3"/>
      <c r="BX35" s="3" t="str">
        <f>IF(Province="Grand comté du Wissenland","Ferme (culture) de Grand comté du Wissenland","")</f>
        <v/>
      </c>
      <c r="BY35" t="str">
        <f t="shared" si="33"/>
        <v/>
      </c>
      <c r="BZ35" s="83" t="str">
        <f t="shared" si="7"/>
        <v/>
      </c>
      <c r="CA35" s="83" t="str">
        <f t="shared" si="8"/>
        <v/>
      </c>
      <c r="CB35" s="530" t="str">
        <f t="shared" si="9"/>
        <v/>
      </c>
      <c r="CC35" s="3" t="s">
        <v>3237</v>
      </c>
      <c r="CD35" t="s">
        <v>10657</v>
      </c>
      <c r="CE35" t="s">
        <v>10771</v>
      </c>
      <c r="CF35" s="3" t="s">
        <v>3401</v>
      </c>
      <c r="CG35" s="3" t="s">
        <v>6151</v>
      </c>
      <c r="CH35" s="3" t="s">
        <v>5935</v>
      </c>
      <c r="CI35" s="83" t="s">
        <v>15074</v>
      </c>
      <c r="CJ35" s="3" t="s">
        <v>950</v>
      </c>
      <c r="CK35" s="3" t="s">
        <v>6778</v>
      </c>
      <c r="CL35" s="83" t="s">
        <v>10781</v>
      </c>
      <c r="CM35" s="83" t="s">
        <v>10259</v>
      </c>
      <c r="CN35" s="3" t="s">
        <v>6585</v>
      </c>
      <c r="CO35" s="3" t="str">
        <f>CONCATENATE("Bars",IF(AND('page 1'!M11="Féminin",Pays="Norsca"),"dottir",IF(AND('page 1'!M11="Masculin",Pays="Norsca"),"son",IF(AND('page 1'!M11="Féminin",Pays="Kislev"),"ovna",IF(AND('page 1'!M11="Masculin",Pays="Kislev"),"sky","")))))</f>
        <v>Bars</v>
      </c>
      <c r="CP35" s="83" t="s">
        <v>13311</v>
      </c>
      <c r="CQ35" s="83" t="s">
        <v>13343</v>
      </c>
      <c r="CR35" s="3" t="s">
        <v>13406</v>
      </c>
      <c r="CS35" s="83" t="s">
        <v>15038</v>
      </c>
      <c r="CT35" s="177" t="s">
        <v>15060</v>
      </c>
      <c r="CU35" s="3"/>
      <c r="CV35" s="3"/>
      <c r="CW35" s="3"/>
      <c r="CX35" s="3"/>
      <c r="CY35" s="3" t="s">
        <v>406</v>
      </c>
      <c r="CZ35" s="3"/>
      <c r="DA35" s="83" t="s">
        <v>12671</v>
      </c>
      <c r="DB35" s="83" t="s">
        <v>12740</v>
      </c>
      <c r="DC35" s="3"/>
      <c r="DD35" s="83" t="s">
        <v>11212</v>
      </c>
      <c r="DE35" s="3" t="s">
        <v>132</v>
      </c>
      <c r="DF35" s="3">
        <f>ROW()</f>
        <v>35</v>
      </c>
      <c r="DG35" s="3" t="s">
        <v>2680</v>
      </c>
      <c r="DH35" s="3">
        <f t="shared" si="47"/>
        <v>750</v>
      </c>
      <c r="DI35" s="3">
        <f t="shared" si="48"/>
        <v>565</v>
      </c>
      <c r="DJ35" s="3">
        <f t="shared" si="49"/>
        <v>380</v>
      </c>
      <c r="DK35" s="3">
        <f t="shared" si="50"/>
        <v>195</v>
      </c>
      <c r="DL35" s="3"/>
      <c r="DM35" s="3"/>
      <c r="DN35" s="3"/>
      <c r="DO35" s="83" t="s">
        <v>5416</v>
      </c>
      <c r="DP35" s="3"/>
      <c r="DQ35" s="3" t="s">
        <v>2760</v>
      </c>
      <c r="DR35" s="3"/>
      <c r="DS35" s="3"/>
      <c r="DT35" s="3" t="s">
        <v>2790</v>
      </c>
      <c r="DU35" s="3" t="s">
        <v>2799</v>
      </c>
      <c r="DV35" s="3" t="s">
        <v>2891</v>
      </c>
      <c r="DW35" s="3" t="s">
        <v>2888</v>
      </c>
      <c r="DX35" s="3"/>
      <c r="DY35" s="3"/>
      <c r="DZ35" s="3" t="s">
        <v>2949</v>
      </c>
      <c r="EA35" s="83" t="s">
        <v>4529</v>
      </c>
      <c r="EB35" s="3"/>
      <c r="ED35" t="s">
        <v>9570</v>
      </c>
      <c r="EE35" s="83" t="s">
        <v>140</v>
      </c>
      <c r="EF35" s="530" t="s">
        <v>9585</v>
      </c>
      <c r="EG35" s="356" t="str">
        <f>IF(SelectRace="peau-verte","Gobelin/Snotling","")</f>
        <v/>
      </c>
      <c r="EH35" s="83" t="str">
        <f t="shared" si="52"/>
        <v/>
      </c>
      <c r="EI35" s="83" t="str">
        <f t="shared" si="53"/>
        <v/>
      </c>
      <c r="EJ35" s="83" t="str">
        <f t="shared" si="54"/>
        <v/>
      </c>
      <c r="EK35" s="874" t="s">
        <v>16671</v>
      </c>
      <c r="EL35" s="83"/>
      <c r="EM35" s="90" t="s">
        <v>5116</v>
      </c>
      <c r="EN35" s="90" t="s">
        <v>5153</v>
      </c>
      <c r="EO35" t="s">
        <v>5127</v>
      </c>
      <c r="EP35" s="83" t="s">
        <v>5125</v>
      </c>
      <c r="EQ35" s="481" t="str">
        <f>IF(Pays="Norsca","Mermedus","")</f>
        <v/>
      </c>
      <c r="ER35" s="83" t="str">
        <f t="shared" si="34"/>
        <v/>
      </c>
      <c r="ES35" s="83" t="str">
        <f t="shared" si="35"/>
        <v/>
      </c>
      <c r="ET35" s="530" t="str">
        <f t="shared" si="36"/>
        <v/>
      </c>
      <c r="EU35" s="571" t="str">
        <f>IF(OR(OR(Dieu="Khorne",Dieu="Raktavija",Dieu="Hifokosho",Dieu="Gotd",Dieu="Chron"),Dieu="Gotd"),"Sœurs d'Airain","")</f>
        <v/>
      </c>
      <c r="EV35" s="83" t="str">
        <f t="shared" si="37"/>
        <v/>
      </c>
      <c r="EW35" s="83" t="str">
        <f t="shared" si="22"/>
        <v/>
      </c>
      <c r="EX35" s="530" t="str">
        <f t="shared" si="23"/>
        <v/>
      </c>
      <c r="EY35" s="83" t="s">
        <v>9511</v>
      </c>
      <c r="EZ35" s="530" t="s">
        <v>841</v>
      </c>
      <c r="FB35" s="83" t="s">
        <v>13034</v>
      </c>
      <c r="FC35" s="133" t="s">
        <v>16672</v>
      </c>
      <c r="FD35" s="83" t="s">
        <v>9703</v>
      </c>
      <c r="FE35" s="849">
        <v>323</v>
      </c>
      <c r="FF35">
        <v>50</v>
      </c>
      <c r="FG35">
        <v>0</v>
      </c>
      <c r="FH35">
        <v>53</v>
      </c>
      <c r="FI35">
        <v>50</v>
      </c>
      <c r="FJ35" s="10">
        <v>42</v>
      </c>
      <c r="FK35">
        <v>28</v>
      </c>
      <c r="FL35">
        <v>56</v>
      </c>
      <c r="FM35" s="165">
        <v>20</v>
      </c>
      <c r="FN35" s="88">
        <v>3</v>
      </c>
      <c r="FO35" s="88">
        <v>25</v>
      </c>
      <c r="FP35" s="164">
        <f t="shared" si="45"/>
        <v>5</v>
      </c>
      <c r="FQ35" s="164">
        <f t="shared" si="43"/>
        <v>5</v>
      </c>
      <c r="FR35" s="684">
        <v>5</v>
      </c>
      <c r="FS35" s="167">
        <v>0</v>
      </c>
      <c r="FT35" s="167">
        <v>0</v>
      </c>
      <c r="FU35" s="165">
        <v>0</v>
      </c>
      <c r="FV35" s="83" t="s">
        <v>9932</v>
      </c>
      <c r="FW35" s="83" t="s">
        <v>9933</v>
      </c>
      <c r="FX35" s="567" t="s">
        <v>9938</v>
      </c>
      <c r="GA35" t="s">
        <v>7299</v>
      </c>
      <c r="GC35" t="s">
        <v>7319</v>
      </c>
      <c r="GE35" s="356"/>
      <c r="GF35" t="s">
        <v>8169</v>
      </c>
      <c r="GG35" s="356" t="s">
        <v>8838</v>
      </c>
      <c r="GH35" s="83" t="s">
        <v>8837</v>
      </c>
      <c r="GI35" s="83" t="s">
        <v>8836</v>
      </c>
      <c r="GJ35" s="83"/>
      <c r="GK35" s="530"/>
    </row>
    <row r="36" spans="8:193" ht="13.2" customHeight="1">
      <c r="H36" s="83" t="s">
        <v>16673</v>
      </c>
      <c r="I36" s="6" t="s">
        <v>2853</v>
      </c>
      <c r="J36" s="3"/>
      <c r="K36" s="3"/>
      <c r="L36" s="3"/>
      <c r="M36" s="651"/>
      <c r="N36" s="3"/>
      <c r="O36" s="3"/>
      <c r="P36" s="3"/>
      <c r="Q36" s="3"/>
      <c r="R36" s="651"/>
      <c r="S36" s="83" t="str">
        <f>IF(CareerType=Y36,"Baleinier",IF(AllCareers="X","Baleinier",IF(Selectsousrace&lt;&gt;"Humain","",IF(Pays="Empire","Baleinier",IF(Pays="Bretonnie","Baleinier",IF(Pays="Norsca","Baleinier",IF(Pays="Kislev","Baleinier","")))))))</f>
        <v/>
      </c>
      <c r="T36" s="106">
        <f t="shared" si="51"/>
        <v>0</v>
      </c>
      <c r="U36" s="693" t="str">
        <f t="shared" si="26"/>
        <v/>
      </c>
      <c r="V36" s="693" t="str">
        <f t="shared" si="27"/>
        <v/>
      </c>
      <c r="W36" s="693" t="str">
        <f t="shared" si="28"/>
        <v/>
      </c>
      <c r="X36" s="47" t="s">
        <v>2160</v>
      </c>
      <c r="Y36" s="743" t="s">
        <v>7130</v>
      </c>
      <c r="Z36" s="55" t="s">
        <v>2196</v>
      </c>
      <c r="AA36" s="47">
        <v>155</v>
      </c>
      <c r="AB36" s="47" t="s">
        <v>2224</v>
      </c>
      <c r="AC36" s="47">
        <v>226</v>
      </c>
      <c r="AD36" s="20" t="s">
        <v>114</v>
      </c>
      <c r="AE36" s="20" t="s">
        <v>114</v>
      </c>
      <c r="AF36" s="15" t="s">
        <v>98</v>
      </c>
      <c r="AG36" s="15" t="s">
        <v>98</v>
      </c>
      <c r="AH36" s="15" t="s">
        <v>98</v>
      </c>
      <c r="AI36" s="15" t="s">
        <v>149</v>
      </c>
      <c r="AJ36" s="15" t="s">
        <v>149</v>
      </c>
      <c r="AK36" s="18" t="s">
        <v>149</v>
      </c>
      <c r="AL36" s="15" t="s">
        <v>149</v>
      </c>
      <c r="AM36" s="15" t="s">
        <v>113</v>
      </c>
      <c r="AN36" s="15" t="s">
        <v>149</v>
      </c>
      <c r="AO36" s="15" t="s">
        <v>149</v>
      </c>
      <c r="AP36" s="22" t="s">
        <v>724</v>
      </c>
      <c r="AQ36" s="87" t="s">
        <v>734</v>
      </c>
      <c r="AR36" s="22" t="s">
        <v>12255</v>
      </c>
      <c r="AS36" s="87" t="s">
        <v>734</v>
      </c>
      <c r="AT36" s="87" t="s">
        <v>16674</v>
      </c>
      <c r="AU36" s="87" t="s">
        <v>5446</v>
      </c>
      <c r="AV36" s="87" t="s">
        <v>4665</v>
      </c>
      <c r="AW36" s="457">
        <v>0</v>
      </c>
      <c r="AX36" s="630" t="str">
        <f t="shared" si="38"/>
        <v/>
      </c>
      <c r="AY36" s="630" t="str">
        <f t="shared" si="39"/>
        <v/>
      </c>
      <c r="AZ36" s="630" t="str">
        <f t="shared" si="40"/>
        <v/>
      </c>
      <c r="BA36" s="3"/>
      <c r="BB36" s="3"/>
      <c r="BC36" s="3"/>
      <c r="BD36" s="3"/>
      <c r="BE36" s="3"/>
      <c r="BF36" s="3"/>
      <c r="BG36" s="3"/>
      <c r="BH36" s="3"/>
      <c r="BI36" s="3"/>
      <c r="BJ36" s="3"/>
      <c r="BK36" s="3"/>
      <c r="BL36" s="3"/>
      <c r="BM36" s="3">
        <v>44</v>
      </c>
      <c r="BN36" s="3"/>
      <c r="BO36" s="3" t="s">
        <v>1019</v>
      </c>
      <c r="BP36" s="3" t="s">
        <v>332</v>
      </c>
      <c r="BQ36" s="83" t="s">
        <v>11841</v>
      </c>
      <c r="BR36" s="3"/>
      <c r="BS36" s="3"/>
      <c r="BT36" s="83"/>
      <c r="BU36" s="3"/>
      <c r="BV36" s="3"/>
      <c r="BW36" s="3"/>
      <c r="BX36" s="3" t="str">
        <f>IF(Province="Ligue de l'Ostermark","Ferme (culture) d'Ligue de l'Ostermark","")</f>
        <v/>
      </c>
      <c r="BY36" t="str">
        <f t="shared" si="33"/>
        <v/>
      </c>
      <c r="BZ36" s="83" t="str">
        <f t="shared" si="7"/>
        <v/>
      </c>
      <c r="CA36" s="83" t="str">
        <f t="shared" si="8"/>
        <v/>
      </c>
      <c r="CB36" s="530" t="str">
        <f t="shared" si="9"/>
        <v/>
      </c>
      <c r="CC36" s="3" t="s">
        <v>3238</v>
      </c>
      <c r="CD36" t="s">
        <v>10654</v>
      </c>
      <c r="CE36" t="s">
        <v>10772</v>
      </c>
      <c r="CF36" s="83" t="s">
        <v>10775</v>
      </c>
      <c r="CG36" s="3" t="s">
        <v>6152</v>
      </c>
      <c r="CH36" s="3" t="s">
        <v>5936</v>
      </c>
      <c r="CI36" s="3" t="s">
        <v>3384</v>
      </c>
      <c r="CJ36" s="3" t="s">
        <v>951</v>
      </c>
      <c r="CK36" s="3" t="s">
        <v>6819</v>
      </c>
      <c r="CL36" s="3" t="s">
        <v>6493</v>
      </c>
      <c r="CM36" s="3" t="s">
        <v>6621</v>
      </c>
      <c r="CN36" s="3" t="s">
        <v>6603</v>
      </c>
      <c r="CO36" s="83" t="str">
        <f>CONCATENATE("Bifur",IF(AND('page 1'!M11="Féminin",Pays="Norsca"),"dottir",IF(AND('page 1'!M11="Masculin",Pays="Norsca"),"son",IF(AND('page 1'!M11="Féminin",Pays="Kislev"),"ovna",IF(AND('page 1'!M11="Masculin",Pays="Kislev"),"sky","")))))</f>
        <v>Bifur</v>
      </c>
      <c r="CP36" s="83" t="s">
        <v>13322</v>
      </c>
      <c r="CQ36" s="83" t="s">
        <v>13371</v>
      </c>
      <c r="CR36" s="3" t="s">
        <v>13407</v>
      </c>
      <c r="CS36" s="83" t="s">
        <v>15051</v>
      </c>
      <c r="CT36" s="3" t="s">
        <v>5900</v>
      </c>
      <c r="CU36" s="3"/>
      <c r="CV36" s="3"/>
      <c r="CW36" s="3"/>
      <c r="CX36" s="3"/>
      <c r="CY36" s="39" t="s">
        <v>244</v>
      </c>
      <c r="CZ36" s="3"/>
      <c r="DA36" s="3" t="s">
        <v>12616</v>
      </c>
      <c r="DB36" s="83" t="s">
        <v>12741</v>
      </c>
      <c r="DC36" s="3"/>
      <c r="DD36" s="83" t="s">
        <v>11219</v>
      </c>
      <c r="DE36" s="3" t="s">
        <v>133</v>
      </c>
      <c r="DF36" s="3">
        <f>ROW()</f>
        <v>36</v>
      </c>
      <c r="DG36" s="3" t="s">
        <v>2680</v>
      </c>
      <c r="DH36" s="3">
        <f t="shared" si="47"/>
        <v>750</v>
      </c>
      <c r="DI36" s="3">
        <f t="shared" si="48"/>
        <v>565</v>
      </c>
      <c r="DJ36" s="3">
        <f t="shared" si="49"/>
        <v>380</v>
      </c>
      <c r="DK36" s="3">
        <f t="shared" si="50"/>
        <v>195</v>
      </c>
      <c r="DL36" s="3"/>
      <c r="DM36" s="3"/>
      <c r="DN36" s="3"/>
      <c r="DO36" s="3" t="s">
        <v>2743</v>
      </c>
      <c r="DP36" s="3"/>
      <c r="DQ36" s="3" t="s">
        <v>2759</v>
      </c>
      <c r="DR36" s="3"/>
      <c r="DS36" s="3"/>
      <c r="DT36" s="83" t="s">
        <v>15205</v>
      </c>
      <c r="DU36" s="83" t="s">
        <v>15263</v>
      </c>
      <c r="DX36" s="3"/>
      <c r="DY36" s="3"/>
      <c r="DZ36" s="3" t="s">
        <v>2950</v>
      </c>
      <c r="EA36" s="83" t="s">
        <v>4529</v>
      </c>
      <c r="EB36" s="3"/>
      <c r="ED36" t="s">
        <v>9571</v>
      </c>
      <c r="EE36" s="83" t="s">
        <v>140</v>
      </c>
      <c r="EF36" s="530" t="s">
        <v>9584</v>
      </c>
      <c r="EG36" s="106" t="str">
        <f>IF(AND(SelectRace="Halfling",OR(Pays="Lustrie",Pays="Khuresh",Pays="Terres du Sud")),"Pygmée","")</f>
        <v/>
      </c>
      <c r="EH36" s="83" t="str">
        <f t="shared" si="52"/>
        <v/>
      </c>
      <c r="EI36" s="83" t="str">
        <f t="shared" si="53"/>
        <v/>
      </c>
      <c r="EJ36" s="83" t="str">
        <f t="shared" si="54"/>
        <v/>
      </c>
      <c r="EK36" s="874" t="s">
        <v>12246</v>
      </c>
      <c r="EL36" s="83"/>
      <c r="EM36" s="90" t="s">
        <v>5113</v>
      </c>
      <c r="EN36" s="90" t="s">
        <v>5153</v>
      </c>
      <c r="EO36" s="83" t="s">
        <v>5210</v>
      </c>
      <c r="EP36" s="83" t="s">
        <v>5125</v>
      </c>
      <c r="EQ36" s="77" t="str">
        <f>IF(SelectRace="Elfe","Morai-Heg","")</f>
        <v/>
      </c>
      <c r="ER36" s="83" t="str">
        <f t="shared" si="34"/>
        <v/>
      </c>
      <c r="ES36" s="83" t="str">
        <f t="shared" si="35"/>
        <v/>
      </c>
      <c r="ET36" s="530" t="str">
        <f t="shared" si="36"/>
        <v/>
      </c>
      <c r="EU36" s="177" t="str">
        <f>IF(Dieu="Khsar","Initié","")</f>
        <v/>
      </c>
      <c r="EV36" s="83" t="str">
        <f t="shared" si="37"/>
        <v/>
      </c>
      <c r="EW36" s="83" t="str">
        <f t="shared" si="22"/>
        <v/>
      </c>
      <c r="EX36" s="530" t="str">
        <f t="shared" si="23"/>
        <v/>
      </c>
      <c r="EY36" s="83"/>
      <c r="EZ36" s="530" t="s">
        <v>9642</v>
      </c>
      <c r="FB36" s="83" t="s">
        <v>9360</v>
      </c>
      <c r="FC36" s="133" t="s">
        <v>16672</v>
      </c>
      <c r="FD36" t="s">
        <v>7245</v>
      </c>
      <c r="FE36" s="849">
        <v>95</v>
      </c>
      <c r="FF36">
        <v>50</v>
      </c>
      <c r="FG36">
        <v>0</v>
      </c>
      <c r="FH36">
        <v>58</v>
      </c>
      <c r="FI36">
        <v>51</v>
      </c>
      <c r="FJ36" s="10">
        <v>52</v>
      </c>
      <c r="FK36">
        <v>15</v>
      </c>
      <c r="FL36">
        <v>66</v>
      </c>
      <c r="FM36" s="165">
        <v>10</v>
      </c>
      <c r="FN36" s="88">
        <v>4</v>
      </c>
      <c r="FO36" s="88">
        <v>48</v>
      </c>
      <c r="FP36" s="164">
        <f t="shared" si="45"/>
        <v>5</v>
      </c>
      <c r="FQ36" s="164">
        <f t="shared" si="43"/>
        <v>5</v>
      </c>
      <c r="FR36" s="682">
        <v>0</v>
      </c>
      <c r="FS36" s="167">
        <v>0</v>
      </c>
      <c r="FT36" s="167">
        <v>0</v>
      </c>
      <c r="FU36" s="165">
        <v>0</v>
      </c>
      <c r="FV36" s="83" t="s">
        <v>9362</v>
      </c>
      <c r="FW36" s="83" t="s">
        <v>16675</v>
      </c>
      <c r="FX36" s="567" t="s">
        <v>9938</v>
      </c>
      <c r="GA36" s="83" t="s">
        <v>7640</v>
      </c>
      <c r="GC36" s="3" t="s">
        <v>1015</v>
      </c>
      <c r="GE36" s="356"/>
      <c r="GF36" t="s">
        <v>8170</v>
      </c>
      <c r="GG36" s="356" t="s">
        <v>8845</v>
      </c>
      <c r="GH36" s="83" t="s">
        <v>8837</v>
      </c>
      <c r="GI36" s="83" t="s">
        <v>8836</v>
      </c>
      <c r="GJ36" s="83"/>
      <c r="GK36" s="530"/>
    </row>
    <row r="37" spans="8:193" ht="13.2" customHeight="1">
      <c r="H37" s="3" t="s">
        <v>412</v>
      </c>
      <c r="I37" s="6" t="s">
        <v>71</v>
      </c>
      <c r="J37" s="3"/>
      <c r="K37" s="3"/>
      <c r="L37" s="3"/>
      <c r="M37" s="651"/>
      <c r="N37" s="3"/>
      <c r="O37" s="3"/>
      <c r="P37" s="3"/>
      <c r="Q37" s="3"/>
      <c r="R37" s="651"/>
      <c r="S37" s="83" t="str">
        <f>IF(CareerType=Y37,"Bandit de grand chemin",IF(AllCareers="X","Bandit de grand chemin",IF(OR(Selectsousrace="",SelectRace="homme-bête",SelectRace="peau-verte",SelectRace="créature du chaos",SelectRace="Homme-lézard",SelectRace="skaven"),"",IF(FirstCareer="1ère carrière","","Bandit de grand chemin"))))</f>
        <v/>
      </c>
      <c r="T37" s="106">
        <f t="shared" si="51"/>
        <v>1</v>
      </c>
      <c r="U37" s="693" t="str">
        <f t="shared" si="26"/>
        <v/>
      </c>
      <c r="V37" s="693" t="str">
        <f t="shared" si="27"/>
        <v/>
      </c>
      <c r="W37" s="693" t="str">
        <f t="shared" si="28"/>
        <v/>
      </c>
      <c r="X37" s="47" t="s">
        <v>2153</v>
      </c>
      <c r="Y37" s="743" t="s">
        <v>7133</v>
      </c>
      <c r="Z37" s="55" t="s">
        <v>2200</v>
      </c>
      <c r="AA37" s="47">
        <v>63</v>
      </c>
      <c r="AB37" s="47" t="s">
        <v>2225</v>
      </c>
      <c r="AC37" s="47">
        <v>104</v>
      </c>
      <c r="AD37" s="15" t="s">
        <v>100</v>
      </c>
      <c r="AE37" s="15" t="s">
        <v>100</v>
      </c>
      <c r="AF37" s="15" t="s">
        <v>98</v>
      </c>
      <c r="AG37" s="15" t="s">
        <v>98</v>
      </c>
      <c r="AH37" s="15" t="s">
        <v>116</v>
      </c>
      <c r="AI37" s="15" t="s">
        <v>100</v>
      </c>
      <c r="AJ37" s="15" t="s">
        <v>101</v>
      </c>
      <c r="AK37" s="18" t="s">
        <v>99</v>
      </c>
      <c r="AL37" s="15" t="s">
        <v>102</v>
      </c>
      <c r="AM37" s="15" t="s">
        <v>103</v>
      </c>
      <c r="AN37" s="15" t="s">
        <v>149</v>
      </c>
      <c r="AO37" s="15" t="s">
        <v>149</v>
      </c>
      <c r="AP37" s="87" t="s">
        <v>16152</v>
      </c>
      <c r="AQ37" s="87" t="s">
        <v>734</v>
      </c>
      <c r="AR37" s="22" t="s">
        <v>725</v>
      </c>
      <c r="AS37" s="87" t="s">
        <v>734</v>
      </c>
      <c r="AT37" s="87" t="s">
        <v>16676</v>
      </c>
      <c r="AU37" s="87" t="s">
        <v>16677</v>
      </c>
      <c r="AV37" s="87" t="s">
        <v>16678</v>
      </c>
      <c r="AW37" s="457">
        <v>0</v>
      </c>
      <c r="AX37" s="630" t="str">
        <f t="shared" si="38"/>
        <v/>
      </c>
      <c r="AY37" s="630" t="str">
        <f t="shared" si="39"/>
        <v/>
      </c>
      <c r="AZ37" s="630" t="str">
        <f t="shared" si="40"/>
        <v/>
      </c>
      <c r="BA37" s="3"/>
      <c r="BB37" s="3"/>
      <c r="BC37" s="3"/>
      <c r="BD37" s="3"/>
      <c r="BE37" s="3"/>
      <c r="BF37" s="3"/>
      <c r="BG37" s="3"/>
      <c r="BH37" s="3"/>
      <c r="BI37" s="3"/>
      <c r="BJ37" s="3"/>
      <c r="BK37" s="3"/>
      <c r="BL37" s="3"/>
      <c r="BM37" s="3">
        <v>45</v>
      </c>
      <c r="BN37" s="3"/>
      <c r="BO37" s="3" t="s">
        <v>1017</v>
      </c>
      <c r="BP37" s="3" t="s">
        <v>1011</v>
      </c>
      <c r="BQ37" s="3" t="s">
        <v>11842</v>
      </c>
      <c r="BR37" s="83"/>
      <c r="BS37" s="83"/>
      <c r="BT37" s="83"/>
      <c r="BU37" s="3"/>
      <c r="BV37" s="3"/>
      <c r="BW37" s="3"/>
      <c r="BX37" s="3" t="str">
        <f>IF(Province="Grande principauté d'Ostland","Ferme (culture) d'Grande principauté d'Ostland","")</f>
        <v/>
      </c>
      <c r="BY37" t="str">
        <f t="shared" si="33"/>
        <v/>
      </c>
      <c r="BZ37" s="83" t="str">
        <f t="shared" si="7"/>
        <v/>
      </c>
      <c r="CA37" s="83" t="str">
        <f t="shared" si="8"/>
        <v/>
      </c>
      <c r="CB37" s="530" t="str">
        <f t="shared" si="9"/>
        <v/>
      </c>
      <c r="CC37" s="3" t="s">
        <v>3239</v>
      </c>
      <c r="CD37" t="s">
        <v>10655</v>
      </c>
      <c r="CE37" t="s">
        <v>10760</v>
      </c>
      <c r="CF37" s="83" t="s">
        <v>10220</v>
      </c>
      <c r="CG37" s="3" t="s">
        <v>6153</v>
      </c>
      <c r="CH37" s="3" t="s">
        <v>5937</v>
      </c>
      <c r="CI37" s="3" t="s">
        <v>3394</v>
      </c>
      <c r="CJ37" s="3" t="s">
        <v>1108</v>
      </c>
      <c r="CK37" s="3" t="s">
        <v>6894</v>
      </c>
      <c r="CL37" s="83" t="s">
        <v>10748</v>
      </c>
      <c r="CM37" s="83" t="s">
        <v>10269</v>
      </c>
      <c r="CN37" s="3" t="s">
        <v>6602</v>
      </c>
      <c r="CO37" s="3" t="str">
        <f>CONCATENATE(,"Binas",IF(AND('page 1'!M11="Féminin",Pays="Norsca"),"dottir",IF(AND('page 1'!M11="Masculin",Pays="Norsca"),"son",IF(AND('page 1'!M11="Féminin",Pays="Kislev"),"ovna",IF(AND('page 1'!M11="Masculin",Pays="Kislev"),"sky","")))))</f>
        <v>Binas</v>
      </c>
      <c r="CP37" s="83" t="s">
        <v>13312</v>
      </c>
      <c r="CQ37" s="83" t="s">
        <v>13368</v>
      </c>
      <c r="CR37" s="3" t="s">
        <v>13408</v>
      </c>
      <c r="CS37" s="83" t="s">
        <v>15042</v>
      </c>
      <c r="CT37" s="3" t="s">
        <v>2923</v>
      </c>
      <c r="CU37" s="3"/>
      <c r="CV37" s="3"/>
      <c r="CW37" s="3"/>
      <c r="CX37" s="3"/>
      <c r="CY37" s="39" t="s">
        <v>245</v>
      </c>
      <c r="CZ37" s="3"/>
      <c r="DA37" s="3" t="s">
        <v>12617</v>
      </c>
      <c r="DB37" s="83" t="s">
        <v>12672</v>
      </c>
      <c r="DC37" s="3"/>
      <c r="DD37" s="83" t="s">
        <v>2686</v>
      </c>
      <c r="DE37" s="83" t="s">
        <v>133</v>
      </c>
      <c r="DF37" s="3">
        <f>ROW()</f>
        <v>37</v>
      </c>
      <c r="DG37" s="3" t="s">
        <v>2174</v>
      </c>
      <c r="DH37" s="3">
        <f t="shared" si="47"/>
        <v>135</v>
      </c>
      <c r="DI37" s="3">
        <f t="shared" si="48"/>
        <v>115</v>
      </c>
      <c r="DJ37" s="3">
        <f t="shared" si="49"/>
        <v>95</v>
      </c>
      <c r="DK37" s="3">
        <f t="shared" si="50"/>
        <v>75</v>
      </c>
      <c r="DL37" s="3"/>
      <c r="DM37" s="3"/>
      <c r="DN37" s="3"/>
      <c r="DO37" s="83" t="s">
        <v>11809</v>
      </c>
      <c r="DP37" s="3"/>
      <c r="DQ37" s="83" t="s">
        <v>9083</v>
      </c>
      <c r="DR37" s="3"/>
      <c r="DS37" s="3"/>
      <c r="DT37" s="3" t="s">
        <v>2797</v>
      </c>
      <c r="DU37" s="3" t="s">
        <v>2798</v>
      </c>
      <c r="DX37" s="3"/>
      <c r="DY37" s="3"/>
      <c r="DZ37" s="3" t="s">
        <v>2951</v>
      </c>
      <c r="EA37" s="83" t="s">
        <v>4529</v>
      </c>
      <c r="EB37" s="3"/>
      <c r="ED37" t="s">
        <v>9572</v>
      </c>
      <c r="EE37" s="83" t="s">
        <v>140</v>
      </c>
      <c r="EF37" s="530" t="s">
        <v>16649</v>
      </c>
      <c r="EG37" s="85" t="str">
        <f>IF(OR(SelectRace="Humain",SelectRace="Halfling",SelectRace="Nain"),"de race pure",IF(SelectRace="skaven","Commun",IF(AND(OR('page 1'!E13="Gris",'page 1'!E13="Blanc",'page 1'!E13="Noir")),"","")))</f>
        <v/>
      </c>
      <c r="EH37" s="83" t="str">
        <f t="shared" si="52"/>
        <v/>
      </c>
      <c r="EI37" s="83" t="str">
        <f t="shared" si="53"/>
        <v/>
      </c>
      <c r="EJ37" s="83" t="str">
        <f t="shared" si="54"/>
        <v/>
      </c>
      <c r="EK37" s="874"/>
      <c r="EL37" s="83"/>
      <c r="EM37" s="90" t="s">
        <v>5114</v>
      </c>
      <c r="EN37" s="90" t="s">
        <v>5153</v>
      </c>
      <c r="EO37" t="s">
        <v>5124</v>
      </c>
      <c r="EP37" s="83" t="s">
        <v>5125</v>
      </c>
      <c r="EQ37" s="481" t="str">
        <f>IF(OR(Pays="Arabie",Pays="Terres des Morts"),"Mordig/le Grand Ghul","")</f>
        <v/>
      </c>
      <c r="ER37" s="83" t="str">
        <f t="shared" si="34"/>
        <v/>
      </c>
      <c r="ES37" s="83" t="str">
        <f t="shared" si="35"/>
        <v/>
      </c>
      <c r="ET37" s="530" t="str">
        <f t="shared" si="36"/>
        <v/>
      </c>
      <c r="EU37" s="177" t="str">
        <f>IF(OR(Dieu="Kurnous",Dieu="Karnos"),"Adepte/Croyant","")</f>
        <v/>
      </c>
      <c r="EV37" s="83" t="str">
        <f t="shared" si="37"/>
        <v/>
      </c>
      <c r="EW37" s="83" t="str">
        <f t="shared" si="22"/>
        <v/>
      </c>
      <c r="EX37" s="530" t="str">
        <f t="shared" si="23"/>
        <v/>
      </c>
      <c r="EZ37" s="530" t="s">
        <v>16679</v>
      </c>
      <c r="FB37" s="83" t="s">
        <v>7248</v>
      </c>
      <c r="FC37" s="133" t="s">
        <v>16672</v>
      </c>
      <c r="FD37" t="s">
        <v>7249</v>
      </c>
      <c r="FE37" s="849">
        <v>99</v>
      </c>
      <c r="FF37">
        <v>40</v>
      </c>
      <c r="FG37">
        <v>0</v>
      </c>
      <c r="FH37">
        <v>50</v>
      </c>
      <c r="FI37">
        <v>51</v>
      </c>
      <c r="FJ37" s="10">
        <v>49</v>
      </c>
      <c r="FK37">
        <v>15</v>
      </c>
      <c r="FL37">
        <v>43</v>
      </c>
      <c r="FM37" s="165">
        <v>10</v>
      </c>
      <c r="FN37" s="88">
        <v>4</v>
      </c>
      <c r="FO37" s="88">
        <v>42</v>
      </c>
      <c r="FP37" s="164">
        <f t="shared" si="45"/>
        <v>5</v>
      </c>
      <c r="FQ37" s="164">
        <f t="shared" si="43"/>
        <v>5</v>
      </c>
      <c r="FR37" s="683" t="s">
        <v>7251</v>
      </c>
      <c r="FS37" s="167">
        <v>0</v>
      </c>
      <c r="FT37" s="167">
        <v>0</v>
      </c>
      <c r="FU37" s="165">
        <v>0</v>
      </c>
      <c r="FV37" s="83" t="s">
        <v>7252</v>
      </c>
      <c r="FW37" s="83" t="s">
        <v>16680</v>
      </c>
      <c r="FX37" s="567" t="s">
        <v>9938</v>
      </c>
      <c r="GA37" t="s">
        <v>7457</v>
      </c>
      <c r="GC37" t="s">
        <v>7312</v>
      </c>
      <c r="GE37" s="356"/>
      <c r="GF37" t="s">
        <v>8160</v>
      </c>
      <c r="GG37" s="356" t="s">
        <v>2497</v>
      </c>
      <c r="GH37" s="83" t="s">
        <v>8837</v>
      </c>
      <c r="GI37" s="83" t="s">
        <v>8836</v>
      </c>
      <c r="GJ37" s="83"/>
      <c r="GK37" s="530"/>
    </row>
    <row r="38" spans="8:193" ht="13.2" customHeight="1">
      <c r="H38" s="3" t="s">
        <v>413</v>
      </c>
      <c r="I38" s="3" t="s">
        <v>72</v>
      </c>
      <c r="J38" s="3"/>
      <c r="K38" s="3"/>
      <c r="L38" s="3"/>
      <c r="M38" s="651"/>
      <c r="N38" s="3"/>
      <c r="O38" s="3"/>
      <c r="P38" s="3"/>
      <c r="Q38" s="3"/>
      <c r="R38" s="651"/>
      <c r="S38" s="83" t="str">
        <f>IF(CareerType=Y38,"Banquier",IF(AllCareers="X","Banquier",IF(FirstCareer="1ère carrière","",IF(Selectsousrace="","",IF(OR(SelectRace="homme-bête",SelectRace="peau-verte",SelectRace="créature du chaos",SelectRace="Homme-lézard",SelectRace="skaven"),"",IF(SelectRace="homme-bête","",IF(Pays="Désolations du Chaos","",IF(Pays="Norse","","Banquier"))))))))</f>
        <v/>
      </c>
      <c r="T38" s="106">
        <v>2</v>
      </c>
      <c r="U38" s="693" t="str">
        <f t="shared" si="26"/>
        <v/>
      </c>
      <c r="V38" s="693" t="str">
        <f t="shared" si="27"/>
        <v/>
      </c>
      <c r="W38" s="693" t="str">
        <f t="shared" si="28"/>
        <v/>
      </c>
      <c r="X38" s="89" t="s">
        <v>2153</v>
      </c>
      <c r="Y38" s="743" t="s">
        <v>7132</v>
      </c>
      <c r="Z38" s="56" t="s">
        <v>5513</v>
      </c>
      <c r="AA38" s="89">
        <v>59</v>
      </c>
      <c r="AB38" s="89" t="s">
        <v>5514</v>
      </c>
      <c r="AD38" s="16" t="s">
        <v>101</v>
      </c>
      <c r="AE38" s="16" t="s">
        <v>5515</v>
      </c>
      <c r="AF38" s="16" t="s">
        <v>98</v>
      </c>
      <c r="AG38" s="16" t="s">
        <v>98</v>
      </c>
      <c r="AH38" s="16" t="s">
        <v>101</v>
      </c>
      <c r="AI38" s="16" t="s">
        <v>119</v>
      </c>
      <c r="AJ38" s="16" t="s">
        <v>99</v>
      </c>
      <c r="AK38" s="19" t="s">
        <v>119</v>
      </c>
      <c r="AL38" s="16" t="s">
        <v>149</v>
      </c>
      <c r="AM38" s="105" t="s">
        <v>112</v>
      </c>
      <c r="AN38" s="16" t="s">
        <v>149</v>
      </c>
      <c r="AO38" s="16" t="s">
        <v>149</v>
      </c>
      <c r="AP38" s="87" t="s">
        <v>15819</v>
      </c>
      <c r="AQ38" s="87" t="s">
        <v>734</v>
      </c>
      <c r="AR38" s="23" t="s">
        <v>5516</v>
      </c>
      <c r="AS38" s="87" t="s">
        <v>734</v>
      </c>
      <c r="AT38" s="87" t="s">
        <v>16681</v>
      </c>
      <c r="AU38" s="23" t="s">
        <v>7222</v>
      </c>
      <c r="AV38" s="23" t="s">
        <v>14851</v>
      </c>
      <c r="AW38" s="458">
        <v>5000</v>
      </c>
      <c r="AX38" s="630" t="str">
        <f t="shared" si="38"/>
        <v/>
      </c>
      <c r="AY38" s="630" t="str">
        <f t="shared" si="39"/>
        <v/>
      </c>
      <c r="AZ38" s="630" t="str">
        <f t="shared" si="40"/>
        <v/>
      </c>
      <c r="BA38" s="3"/>
      <c r="BB38" s="3"/>
      <c r="BC38" s="3"/>
      <c r="BD38" s="3"/>
      <c r="BE38" s="3"/>
      <c r="BF38" s="3"/>
      <c r="BG38" s="3"/>
      <c r="BH38" s="3"/>
      <c r="BI38" s="3"/>
      <c r="BJ38" s="3"/>
      <c r="BK38" s="3"/>
      <c r="BL38" s="3"/>
      <c r="BM38" s="3">
        <v>46</v>
      </c>
      <c r="BN38" s="3"/>
      <c r="BO38" s="3" t="s">
        <v>986</v>
      </c>
      <c r="BP38" s="3" t="s">
        <v>987</v>
      </c>
      <c r="BQ38" s="3" t="s">
        <v>11843</v>
      </c>
      <c r="BR38" s="3"/>
      <c r="BS38" s="3"/>
      <c r="BT38" s="83"/>
      <c r="BU38" s="3"/>
      <c r="BV38" s="3"/>
      <c r="BW38" s="3"/>
      <c r="BX38" s="3" t="str">
        <f>IF(Province="Grand comté d'Averland","Ferme (élevage) de la Grande baronnie du Hochland","")</f>
        <v/>
      </c>
      <c r="BY38" t="str">
        <f t="shared" si="33"/>
        <v/>
      </c>
      <c r="BZ38" s="83" t="str">
        <f t="shared" si="7"/>
        <v/>
      </c>
      <c r="CA38" s="83" t="str">
        <f t="shared" si="8"/>
        <v/>
      </c>
      <c r="CB38" s="530" t="str">
        <f t="shared" si="9"/>
        <v/>
      </c>
      <c r="CC38" s="3" t="s">
        <v>3240</v>
      </c>
      <c r="CD38" t="s">
        <v>10656</v>
      </c>
      <c r="CE38" t="s">
        <v>10765</v>
      </c>
      <c r="CF38" s="3" t="s">
        <v>1108</v>
      </c>
      <c r="CG38" s="3" t="s">
        <v>6154</v>
      </c>
      <c r="CH38" s="3" t="s">
        <v>5938</v>
      </c>
      <c r="CI38" s="3" t="s">
        <v>3371</v>
      </c>
      <c r="CJ38" s="83" t="s">
        <v>10188</v>
      </c>
      <c r="CK38" s="3" t="s">
        <v>6857</v>
      </c>
      <c r="CL38" s="3" t="s">
        <v>6498</v>
      </c>
      <c r="CM38" s="83" t="s">
        <v>14885</v>
      </c>
      <c r="CN38" s="3" t="s">
        <v>6600</v>
      </c>
      <c r="CO38" s="3" t="s">
        <v>10897</v>
      </c>
      <c r="CP38" s="83" t="s">
        <v>13315</v>
      </c>
      <c r="CQ38" s="83" t="s">
        <v>13353</v>
      </c>
      <c r="CR38" s="3" t="s">
        <v>13409</v>
      </c>
      <c r="CS38" s="3" t="s">
        <v>11124</v>
      </c>
      <c r="CT38" s="3" t="s">
        <v>5900</v>
      </c>
      <c r="CU38" s="3"/>
      <c r="CV38" s="3"/>
      <c r="CW38" s="3"/>
      <c r="CX38" s="3"/>
      <c r="CY38" s="39" t="s">
        <v>246</v>
      </c>
      <c r="CZ38" s="3"/>
      <c r="DA38" s="83" t="s">
        <v>16682</v>
      </c>
      <c r="DB38" s="83" t="s">
        <v>12576</v>
      </c>
      <c r="DC38" s="3"/>
      <c r="DD38" s="83" t="s">
        <v>10103</v>
      </c>
      <c r="DE38" s="83" t="s">
        <v>135</v>
      </c>
      <c r="DF38" s="3">
        <f>ROW()</f>
        <v>38</v>
      </c>
      <c r="DG38" s="3" t="s">
        <v>780</v>
      </c>
      <c r="DH38" s="3">
        <f t="shared" si="47"/>
        <v>400</v>
      </c>
      <c r="DI38" s="3">
        <f t="shared" si="48"/>
        <v>300</v>
      </c>
      <c r="DJ38" s="3">
        <f t="shared" si="49"/>
        <v>210</v>
      </c>
      <c r="DK38" s="3">
        <f t="shared" si="50"/>
        <v>120</v>
      </c>
      <c r="DL38" s="3"/>
      <c r="DM38" s="3"/>
      <c r="DN38" s="3"/>
      <c r="DO38" s="3" t="s">
        <v>2744</v>
      </c>
      <c r="DP38" s="3"/>
      <c r="DQ38" s="3" t="s">
        <v>3079</v>
      </c>
      <c r="DR38" s="3"/>
      <c r="DS38" s="3"/>
      <c r="DT38" s="83" t="s">
        <v>16683</v>
      </c>
      <c r="DU38" s="562" t="s">
        <v>4551</v>
      </c>
      <c r="DX38" s="3"/>
      <c r="DY38" s="3"/>
      <c r="DZ38" s="3" t="s">
        <v>2952</v>
      </c>
      <c r="EA38" s="83" t="s">
        <v>4529</v>
      </c>
      <c r="EB38" s="3"/>
      <c r="ED38" t="s">
        <v>9573</v>
      </c>
      <c r="EE38" s="83" t="s">
        <v>140</v>
      </c>
      <c r="EF38" s="530" t="s">
        <v>9587</v>
      </c>
      <c r="EG38" s="106" t="str">
        <f>IF(SelectRace="homme-bête","Lacustre","")</f>
        <v/>
      </c>
      <c r="EH38" s="83" t="str">
        <f t="shared" si="52"/>
        <v/>
      </c>
      <c r="EI38" s="83" t="str">
        <f t="shared" si="53"/>
        <v/>
      </c>
      <c r="EJ38" s="83" t="str">
        <f t="shared" si="54"/>
        <v/>
      </c>
      <c r="EK38" s="874" t="s">
        <v>13135</v>
      </c>
      <c r="EL38" s="90"/>
      <c r="EM38" s="90" t="s">
        <v>5119</v>
      </c>
      <c r="EN38" s="90" t="s">
        <v>5153</v>
      </c>
      <c r="EO38" t="s">
        <v>5124</v>
      </c>
      <c r="EP38" s="83" t="s">
        <v>5125</v>
      </c>
      <c r="EQ38" s="481" t="str">
        <f>IF(SelectRace="Nain","Morgrim","")</f>
        <v/>
      </c>
      <c r="ER38" s="83" t="str">
        <f t="shared" si="34"/>
        <v/>
      </c>
      <c r="ES38" s="83" t="str">
        <f t="shared" si="35"/>
        <v/>
      </c>
      <c r="ET38" s="530" t="str">
        <f t="shared" si="36"/>
        <v/>
      </c>
      <c r="EU38" s="177" t="str">
        <f>IF(AND('page 1'!M11="féminin",Dieu="La Dame du Lac"),"Initiée","")</f>
        <v/>
      </c>
      <c r="EV38" s="83" t="str">
        <f t="shared" si="37"/>
        <v/>
      </c>
      <c r="EW38" s="83" t="str">
        <f t="shared" si="22"/>
        <v/>
      </c>
      <c r="EX38" s="530" t="str">
        <f t="shared" si="23"/>
        <v/>
      </c>
      <c r="EY38" s="83" t="s">
        <v>11338</v>
      </c>
      <c r="EZ38" s="530" t="s">
        <v>16684</v>
      </c>
      <c r="FB38" s="83" t="s">
        <v>14639</v>
      </c>
      <c r="FC38" s="133" t="s">
        <v>16672</v>
      </c>
      <c r="FD38" s="85" t="s">
        <v>7245</v>
      </c>
      <c r="FE38" s="849">
        <v>99</v>
      </c>
      <c r="FF38">
        <v>42</v>
      </c>
      <c r="FG38">
        <v>0</v>
      </c>
      <c r="FH38">
        <v>52</v>
      </c>
      <c r="FI38">
        <v>56</v>
      </c>
      <c r="FJ38" s="10">
        <v>30</v>
      </c>
      <c r="FK38">
        <v>14</v>
      </c>
      <c r="FL38">
        <v>24</v>
      </c>
      <c r="FM38" s="165">
        <v>15</v>
      </c>
      <c r="FN38" s="88">
        <v>5</v>
      </c>
      <c r="FO38" s="88">
        <v>50</v>
      </c>
      <c r="FP38" s="691">
        <f t="shared" si="45"/>
        <v>5</v>
      </c>
      <c r="FQ38" s="691">
        <f t="shared" si="43"/>
        <v>5</v>
      </c>
      <c r="FR38" s="10">
        <v>6</v>
      </c>
      <c r="FS38" s="167">
        <v>0</v>
      </c>
      <c r="FT38" s="167">
        <v>0</v>
      </c>
      <c r="FU38" s="165">
        <v>0</v>
      </c>
      <c r="FV38" s="83" t="s">
        <v>14641</v>
      </c>
      <c r="FW38" s="83" t="s">
        <v>16685</v>
      </c>
      <c r="FX38" s="567" t="s">
        <v>9938</v>
      </c>
      <c r="GA38" s="83" t="s">
        <v>7583</v>
      </c>
      <c r="GC38" s="3" t="s">
        <v>1014</v>
      </c>
      <c r="GE38" s="356"/>
      <c r="GF38" s="3" t="s">
        <v>7679</v>
      </c>
      <c r="GG38" s="356" t="s">
        <v>8841</v>
      </c>
      <c r="GH38" s="83" t="s">
        <v>8837</v>
      </c>
      <c r="GI38" s="83" t="s">
        <v>8836</v>
      </c>
      <c r="GJ38" s="83"/>
      <c r="GK38" s="530"/>
    </row>
    <row r="39" spans="8:193" ht="13.2" customHeight="1">
      <c r="H39" s="3" t="s">
        <v>16650</v>
      </c>
      <c r="I39" s="6" t="s">
        <v>73</v>
      </c>
      <c r="J39" s="3"/>
      <c r="K39" s="3"/>
      <c r="L39" s="3"/>
      <c r="M39" s="651"/>
      <c r="N39" s="3"/>
      <c r="O39" s="3"/>
      <c r="P39" s="3"/>
      <c r="Q39" s="3"/>
      <c r="R39" s="651"/>
      <c r="S39" s="83" t="str">
        <f>IF(CareerType=Y39,"Baron du crime",IF(AllCareers="X","Baron du crime",IF(Selectsousrace="","",IF(OR(SelectRace="homme-bête",SelectRace="peau-verte",SelectRace="créature du chaos",SelectRace="Homme-lézard",SelectRace="skaven"),"",IF(FirstCareer="1ère carrière","","Baron du crime")))))</f>
        <v/>
      </c>
      <c r="T39" s="106">
        <v>2</v>
      </c>
      <c r="U39" s="693" t="str">
        <f t="shared" si="26"/>
        <v/>
      </c>
      <c r="V39" s="693" t="str">
        <f t="shared" si="27"/>
        <v/>
      </c>
      <c r="W39" s="693" t="str">
        <f t="shared" si="28"/>
        <v/>
      </c>
      <c r="X39" s="47" t="s">
        <v>2153</v>
      </c>
      <c r="Y39" s="743" t="s">
        <v>7133</v>
      </c>
      <c r="Z39" s="55" t="s">
        <v>2200</v>
      </c>
      <c r="AA39" s="47">
        <v>63</v>
      </c>
      <c r="AB39" s="47" t="s">
        <v>2226</v>
      </c>
      <c r="AC39" s="47">
        <v>54</v>
      </c>
      <c r="AD39" s="15" t="s">
        <v>100</v>
      </c>
      <c r="AE39" s="15" t="s">
        <v>100</v>
      </c>
      <c r="AF39" s="15" t="s">
        <v>101</v>
      </c>
      <c r="AG39" s="15" t="s">
        <v>101</v>
      </c>
      <c r="AH39" s="15" t="s">
        <v>100</v>
      </c>
      <c r="AI39" s="15" t="s">
        <v>99</v>
      </c>
      <c r="AJ39" s="15" t="s">
        <v>100</v>
      </c>
      <c r="AK39" s="18" t="s">
        <v>116</v>
      </c>
      <c r="AL39" s="15" t="s">
        <v>102</v>
      </c>
      <c r="AM39" s="15" t="s">
        <v>112</v>
      </c>
      <c r="AN39" s="15" t="s">
        <v>149</v>
      </c>
      <c r="AO39" s="15" t="s">
        <v>149</v>
      </c>
      <c r="AP39" s="87" t="s">
        <v>15745</v>
      </c>
      <c r="AQ39" s="87" t="s">
        <v>734</v>
      </c>
      <c r="AR39" s="22" t="s">
        <v>726</v>
      </c>
      <c r="AS39" s="87" t="s">
        <v>734</v>
      </c>
      <c r="AT39" s="87" t="s">
        <v>16686</v>
      </c>
      <c r="AU39" s="87" t="s">
        <v>16687</v>
      </c>
      <c r="AV39" s="87" t="s">
        <v>16688</v>
      </c>
      <c r="AW39" s="457">
        <v>10</v>
      </c>
      <c r="AX39" s="630" t="str">
        <f t="shared" si="38"/>
        <v/>
      </c>
      <c r="AY39" s="630" t="str">
        <f t="shared" si="39"/>
        <v/>
      </c>
      <c r="AZ39" s="630" t="str">
        <f t="shared" si="40"/>
        <v/>
      </c>
      <c r="BA39" s="3"/>
      <c r="BB39" s="3"/>
      <c r="BC39" s="3"/>
      <c r="BD39" s="3"/>
      <c r="BE39" s="3"/>
      <c r="BF39" s="3"/>
      <c r="BG39" s="3"/>
      <c r="BH39" s="3"/>
      <c r="BI39" s="3"/>
      <c r="BJ39" s="3"/>
      <c r="BK39" s="3"/>
      <c r="BL39" s="3"/>
      <c r="BM39" s="3">
        <v>47</v>
      </c>
      <c r="BN39" s="3"/>
      <c r="BO39" s="83" t="s">
        <v>7350</v>
      </c>
      <c r="BP39" s="3" t="s">
        <v>993</v>
      </c>
      <c r="BQ39" s="83" t="s">
        <v>11844</v>
      </c>
      <c r="BR39" s="3"/>
      <c r="BS39" s="3"/>
      <c r="BT39" s="83"/>
      <c r="BU39" s="3"/>
      <c r="BV39" s="3"/>
      <c r="BW39" s="3"/>
      <c r="BX39" s="3" t="str">
        <f>IF(Province="Grands-duchés de Middenheim et du Middenland","Ferme (élevage) de Grands-duchés de Middenheim et du Middenland","")</f>
        <v/>
      </c>
      <c r="BY39" t="str">
        <f t="shared" si="33"/>
        <v/>
      </c>
      <c r="BZ39" s="83" t="str">
        <f t="shared" si="7"/>
        <v/>
      </c>
      <c r="CA39" s="83" t="str">
        <f t="shared" si="8"/>
        <v/>
      </c>
      <c r="CB39" s="530" t="str">
        <f t="shared" si="9"/>
        <v/>
      </c>
      <c r="CC39" s="3" t="s">
        <v>3241</v>
      </c>
      <c r="CD39" s="3" t="s">
        <v>1057</v>
      </c>
      <c r="CE39" s="3" t="s">
        <v>1084</v>
      </c>
      <c r="CF39" s="3" t="s">
        <v>1109</v>
      </c>
      <c r="CG39" s="3" t="s">
        <v>6155</v>
      </c>
      <c r="CH39" s="3" t="s">
        <v>3116</v>
      </c>
      <c r="CI39" s="83" t="s">
        <v>3382</v>
      </c>
      <c r="CJ39" s="83" t="s">
        <v>10202</v>
      </c>
      <c r="CK39" s="3" t="s">
        <v>6731</v>
      </c>
      <c r="CL39" s="3" t="s">
        <v>6488</v>
      </c>
      <c r="CM39" s="83" t="s">
        <v>10261</v>
      </c>
      <c r="CN39" s="3" t="s">
        <v>6553</v>
      </c>
      <c r="CO39" s="3" t="str">
        <f>CONCATENATE("Blinks",IF(AND('page 1'!M11="Féminin",Pays="Norsca"),"dottir",IF(AND('page 1'!M11="Masculin",Pays="Norsca"),"son",IF(AND('page 1'!M11="Féminin",Pays="Kislev"),"ovna",IF(AND('page 1'!M11="Masculin",Pays="Kislev"),"sky","")))))</f>
        <v>Blinks</v>
      </c>
      <c r="CP39" s="3"/>
      <c r="CQ39" s="83" t="s">
        <v>13350</v>
      </c>
      <c r="CR39" s="3" t="s">
        <v>13410</v>
      </c>
      <c r="CS39" s="3" t="s">
        <v>11125</v>
      </c>
      <c r="CT39" s="136" t="s">
        <v>810</v>
      </c>
      <c r="CU39" s="3"/>
      <c r="CV39" s="3"/>
      <c r="CW39" s="3"/>
      <c r="CX39" s="3"/>
      <c r="CY39" s="3" t="s">
        <v>407</v>
      </c>
      <c r="CZ39" s="3"/>
      <c r="DA39" s="83" t="s">
        <v>16689</v>
      </c>
      <c r="DB39" s="83" t="s">
        <v>12761</v>
      </c>
      <c r="DC39" s="3"/>
      <c r="DD39" s="83" t="s">
        <v>9986</v>
      </c>
      <c r="DE39" s="83" t="s">
        <v>135</v>
      </c>
      <c r="DF39" s="3">
        <f>ROW()</f>
        <v>39</v>
      </c>
      <c r="DG39" s="3" t="s">
        <v>2680</v>
      </c>
      <c r="DH39" s="3">
        <f t="shared" si="47"/>
        <v>750</v>
      </c>
      <c r="DI39" s="3">
        <f t="shared" si="48"/>
        <v>565</v>
      </c>
      <c r="DJ39" s="3">
        <f t="shared" si="49"/>
        <v>380</v>
      </c>
      <c r="DK39" s="3">
        <f t="shared" si="50"/>
        <v>195</v>
      </c>
      <c r="DL39" s="3"/>
      <c r="DM39" s="3"/>
      <c r="DN39" s="3"/>
      <c r="DO39" s="83" t="s">
        <v>12245</v>
      </c>
      <c r="DP39" s="3"/>
      <c r="DQ39" s="83" t="s">
        <v>9580</v>
      </c>
      <c r="DR39" s="3"/>
      <c r="DS39" s="3"/>
      <c r="DT39" s="3" t="s">
        <v>2897</v>
      </c>
      <c r="DU39" s="3" t="s">
        <v>2899</v>
      </c>
      <c r="DV39" s="3"/>
      <c r="DW39" s="3"/>
      <c r="DX39" s="3"/>
      <c r="DY39" s="3"/>
      <c r="DZ39" s="3" t="s">
        <v>2953</v>
      </c>
      <c r="EA39" s="83" t="s">
        <v>4530</v>
      </c>
      <c r="EB39" s="3"/>
      <c r="ED39" t="s">
        <v>9574</v>
      </c>
      <c r="EE39" s="83" t="s">
        <v>140</v>
      </c>
      <c r="EF39" s="530" t="s">
        <v>9588</v>
      </c>
      <c r="EG39" s="106" t="str">
        <f>IF(SelectRace="homme-bête","Arthropogor","")</f>
        <v/>
      </c>
      <c r="EH39" s="83" t="str">
        <f t="shared" si="52"/>
        <v/>
      </c>
      <c r="EI39" s="83" t="str">
        <f t="shared" si="53"/>
        <v/>
      </c>
      <c r="EJ39" s="83" t="str">
        <f t="shared" si="54"/>
        <v/>
      </c>
      <c r="EK39" s="874" t="s">
        <v>16690</v>
      </c>
      <c r="EM39" s="90" t="s">
        <v>5117</v>
      </c>
      <c r="EN39" s="90" t="s">
        <v>5153</v>
      </c>
      <c r="EO39" s="83" t="s">
        <v>5211</v>
      </c>
      <c r="EP39" s="83" t="s">
        <v>5125</v>
      </c>
      <c r="EQ39" s="566" t="str">
        <f>IF(OR(Selectsousrace="Gobelin/Snotling",Selectsousrace="Hobgobelin"),"Mork","")</f>
        <v/>
      </c>
      <c r="ER39" s="83" t="str">
        <f t="shared" si="34"/>
        <v/>
      </c>
      <c r="ES39" s="83" t="str">
        <f t="shared" si="35"/>
        <v/>
      </c>
      <c r="ET39" s="530" t="str">
        <f t="shared" si="36"/>
        <v/>
      </c>
      <c r="EU39" s="177" t="str">
        <f>IF(AND('page 1'!M11="féminin",Dieu="La Dame du Lac"),"Damoiselle du Graal","")</f>
        <v/>
      </c>
      <c r="EV39" s="83" t="str">
        <f t="shared" si="37"/>
        <v/>
      </c>
      <c r="EW39" s="83" t="str">
        <f t="shared" si="22"/>
        <v/>
      </c>
      <c r="EX39" s="530" t="str">
        <f t="shared" si="23"/>
        <v/>
      </c>
      <c r="EY39" s="83" t="s">
        <v>11339</v>
      </c>
      <c r="EZ39" s="530" t="s">
        <v>16691</v>
      </c>
      <c r="FB39" s="83" t="s">
        <v>16224</v>
      </c>
      <c r="FC39" s="133" t="s">
        <v>16672</v>
      </c>
      <c r="FD39" s="85" t="s">
        <v>2196</v>
      </c>
      <c r="FE39" s="849">
        <v>124</v>
      </c>
      <c r="FF39">
        <v>79</v>
      </c>
      <c r="FG39">
        <v>0</v>
      </c>
      <c r="FH39">
        <v>55</v>
      </c>
      <c r="FI39">
        <v>67</v>
      </c>
      <c r="FJ39" s="10">
        <v>14</v>
      </c>
      <c r="FK39">
        <v>12</v>
      </c>
      <c r="FL39">
        <v>89</v>
      </c>
      <c r="FM39" s="165">
        <v>8</v>
      </c>
      <c r="FN39" s="88">
        <v>4</v>
      </c>
      <c r="FO39" s="88">
        <v>47</v>
      </c>
      <c r="FP39" s="691">
        <f t="shared" si="45"/>
        <v>5</v>
      </c>
      <c r="FQ39" s="691">
        <f t="shared" si="43"/>
        <v>6</v>
      </c>
      <c r="FR39" s="10">
        <v>6</v>
      </c>
      <c r="FS39" s="167">
        <v>0</v>
      </c>
      <c r="FT39" s="167">
        <v>0</v>
      </c>
      <c r="FU39" s="165">
        <v>0</v>
      </c>
      <c r="FV39" s="83" t="s">
        <v>16225</v>
      </c>
      <c r="FW39" s="83" t="s">
        <v>16226</v>
      </c>
      <c r="FX39" s="530" t="s">
        <v>9938</v>
      </c>
      <c r="GA39" t="s">
        <v>7458</v>
      </c>
      <c r="GC39" s="3" t="s">
        <v>325</v>
      </c>
      <c r="GE39" s="356"/>
      <c r="GF39" t="s">
        <v>8164</v>
      </c>
      <c r="GG39" s="356" t="s">
        <v>8840</v>
      </c>
      <c r="GH39" s="83" t="s">
        <v>8837</v>
      </c>
      <c r="GI39" s="83" t="s">
        <v>8836</v>
      </c>
      <c r="GJ39" s="83"/>
      <c r="GK39" s="530"/>
    </row>
    <row r="40" spans="8:193" ht="13.2" customHeight="1">
      <c r="H40" s="3" t="s">
        <v>415</v>
      </c>
      <c r="I40" s="84" t="s">
        <v>74</v>
      </c>
      <c r="J40" s="3"/>
      <c r="K40" s="3"/>
      <c r="L40" s="3"/>
      <c r="M40" s="651"/>
      <c r="N40" s="3"/>
      <c r="O40" s="3"/>
      <c r="P40" s="3"/>
      <c r="Q40" s="3"/>
      <c r="R40" s="651"/>
      <c r="S40" s="83" t="str">
        <f>IF(CareerType=Y40,"Bateleur",IF(AllCareers="X","Bateleur",IF(OR(SelectRace="homme-bête",SelectRace="peau-verte",SelectRace="créature du chaos",SelectRace="Homme-lézard",SelectRace="skaven"),"",IF(Pays="Désolations du Chaos","",IF(Selectsousrace="","","Bateleur")))))</f>
        <v/>
      </c>
      <c r="T40" s="106">
        <f t="shared" ref="T40:T47" si="55">IF(X40="oui",0,1)</f>
        <v>0</v>
      </c>
      <c r="U40" s="693" t="str">
        <f t="shared" si="26"/>
        <v/>
      </c>
      <c r="V40" s="693" t="str">
        <f t="shared" si="27"/>
        <v/>
      </c>
      <c r="W40" s="693" t="str">
        <f t="shared" si="28"/>
        <v/>
      </c>
      <c r="X40" s="47" t="s">
        <v>2160</v>
      </c>
      <c r="Y40" s="743" t="s">
        <v>7132</v>
      </c>
      <c r="Z40" s="55" t="s">
        <v>2200</v>
      </c>
      <c r="AA40" s="47">
        <v>32</v>
      </c>
      <c r="AB40" s="47" t="s">
        <v>2227</v>
      </c>
      <c r="AC40" s="47">
        <v>67</v>
      </c>
      <c r="AD40" s="20" t="s">
        <v>114</v>
      </c>
      <c r="AE40" s="15" t="s">
        <v>98</v>
      </c>
      <c r="AF40" s="15" t="s">
        <v>149</v>
      </c>
      <c r="AG40" s="15" t="s">
        <v>149</v>
      </c>
      <c r="AH40" s="15" t="s">
        <v>98</v>
      </c>
      <c r="AI40" s="15" t="s">
        <v>149</v>
      </c>
      <c r="AJ40" s="20" t="s">
        <v>114</v>
      </c>
      <c r="AK40" s="18" t="s">
        <v>98</v>
      </c>
      <c r="AL40" s="15" t="s">
        <v>149</v>
      </c>
      <c r="AM40" s="15" t="s">
        <v>113</v>
      </c>
      <c r="AN40" s="15" t="s">
        <v>149</v>
      </c>
      <c r="AO40" s="15" t="s">
        <v>149</v>
      </c>
      <c r="AP40" s="87" t="s">
        <v>15704</v>
      </c>
      <c r="AQ40" s="87" t="s">
        <v>15883</v>
      </c>
      <c r="AR40" s="87" t="s">
        <v>15861</v>
      </c>
      <c r="AS40" s="87" t="s">
        <v>15884</v>
      </c>
      <c r="AT40" s="87" t="s">
        <v>16692</v>
      </c>
      <c r="AU40" s="87" t="s">
        <v>16693</v>
      </c>
      <c r="AV40" s="87" t="s">
        <v>4554</v>
      </c>
      <c r="AW40" s="457">
        <v>0</v>
      </c>
      <c r="AX40" s="630" t="str">
        <f t="shared" si="38"/>
        <v/>
      </c>
      <c r="AY40" s="630" t="str">
        <f t="shared" si="39"/>
        <v/>
      </c>
      <c r="AZ40" s="630" t="str">
        <f t="shared" si="40"/>
        <v/>
      </c>
      <c r="BA40" s="3"/>
      <c r="BB40" s="3"/>
      <c r="BC40" s="3"/>
      <c r="BD40" s="3"/>
      <c r="BE40" s="3"/>
      <c r="BF40" s="3"/>
      <c r="BG40" s="3"/>
      <c r="BH40" s="3"/>
      <c r="BI40" s="3"/>
      <c r="BJ40" s="3"/>
      <c r="BK40" s="3"/>
      <c r="BL40" s="3"/>
      <c r="BM40" s="3">
        <v>48</v>
      </c>
      <c r="BN40" s="3"/>
      <c r="BO40" s="3" t="s">
        <v>1021</v>
      </c>
      <c r="BP40" s="3" t="s">
        <v>999</v>
      </c>
      <c r="BQ40" s="3" t="s">
        <v>11845</v>
      </c>
      <c r="BR40" s="3"/>
      <c r="BS40" s="3"/>
      <c r="BT40" s="83"/>
      <c r="BU40" s="3"/>
      <c r="BV40" s="3"/>
      <c r="BW40" s="3"/>
      <c r="BX40" s="3" t="str">
        <f>IF(Province="Grande baronnie du Nordland","Ferme (élevage) de la Grande baronnie du Nordland","")</f>
        <v/>
      </c>
      <c r="BY40" t="str">
        <f t="shared" si="33"/>
        <v/>
      </c>
      <c r="BZ40" s="83" t="str">
        <f t="shared" si="7"/>
        <v/>
      </c>
      <c r="CA40" s="83" t="str">
        <f t="shared" si="8"/>
        <v/>
      </c>
      <c r="CB40" s="530" t="str">
        <f t="shared" si="9"/>
        <v/>
      </c>
      <c r="CC40" s="3" t="s">
        <v>3242</v>
      </c>
      <c r="CD40" t="s">
        <v>10658</v>
      </c>
      <c r="CE40" s="83" t="s">
        <v>10206</v>
      </c>
      <c r="CF40" s="83" t="s">
        <v>10218</v>
      </c>
      <c r="CG40" s="3" t="s">
        <v>6156</v>
      </c>
      <c r="CH40" s="3" t="s">
        <v>5939</v>
      </c>
      <c r="CI40" s="3" t="s">
        <v>930</v>
      </c>
      <c r="CJ40" s="83" t="s">
        <v>917</v>
      </c>
      <c r="CK40" s="3" t="s">
        <v>6777</v>
      </c>
      <c r="CL40" s="83" t="s">
        <v>10753</v>
      </c>
      <c r="CM40" s="83" t="s">
        <v>10260</v>
      </c>
      <c r="CN40" s="3" t="s">
        <v>6569</v>
      </c>
      <c r="CO40" t="str">
        <f>CONCATENATE("Bods",IF(AND('page 1'!M11="Féminin",Pays="Norsca"),"dottir",IF(AND('page 1'!M11="Masculin",Pays="Norsca"),"son",IF(AND('page 1'!M11="Féminin",Pays="Kislev"),"ovna",IF(AND('page 1'!M11="Masculin",Pays="Kislev"),"sky","")))))</f>
        <v>Bods</v>
      </c>
      <c r="CR40" s="83" t="s">
        <v>13411</v>
      </c>
      <c r="CS40" s="3" t="s">
        <v>11126</v>
      </c>
      <c r="CT40" s="3" t="s">
        <v>394</v>
      </c>
      <c r="CU40" s="3"/>
      <c r="CV40" s="3"/>
      <c r="CW40" s="3"/>
      <c r="CX40" s="3"/>
      <c r="CY40" s="3" t="s">
        <v>785</v>
      </c>
      <c r="CZ40" s="3"/>
      <c r="DA40" s="3" t="s">
        <v>12618</v>
      </c>
      <c r="DB40" s="83" t="s">
        <v>12673</v>
      </c>
      <c r="DC40" s="3"/>
      <c r="DD40" s="3" t="s">
        <v>2687</v>
      </c>
      <c r="DE40" s="3" t="s">
        <v>133</v>
      </c>
      <c r="DF40" s="3">
        <f>ROW()</f>
        <v>40</v>
      </c>
      <c r="DG40" s="3" t="s">
        <v>780</v>
      </c>
      <c r="DH40" s="3">
        <f t="shared" si="47"/>
        <v>400</v>
      </c>
      <c r="DI40" s="3">
        <f t="shared" si="48"/>
        <v>300</v>
      </c>
      <c r="DJ40" s="3">
        <f t="shared" si="49"/>
        <v>210</v>
      </c>
      <c r="DK40" s="3">
        <f t="shared" si="50"/>
        <v>120</v>
      </c>
      <c r="DL40" s="3"/>
      <c r="DM40" s="3"/>
      <c r="DN40" s="3"/>
      <c r="DO40" s="83" t="s">
        <v>10860</v>
      </c>
      <c r="DP40" s="3"/>
      <c r="DQ40" s="83" t="s">
        <v>4514</v>
      </c>
      <c r="DR40" s="3"/>
      <c r="DS40" s="3"/>
      <c r="DT40" s="83" t="s">
        <v>15470</v>
      </c>
      <c r="DU40" s="83" t="s">
        <v>15471</v>
      </c>
      <c r="DV40" s="3"/>
      <c r="DW40" s="3"/>
      <c r="DX40" s="3"/>
      <c r="DY40" s="3"/>
      <c r="DZ40" s="83" t="s">
        <v>15204</v>
      </c>
      <c r="EA40" s="83" t="s">
        <v>15264</v>
      </c>
      <c r="EB40" s="3"/>
      <c r="ED40" t="s">
        <v>9575</v>
      </c>
      <c r="EE40" s="83" t="s">
        <v>140</v>
      </c>
      <c r="EF40" s="530" t="s">
        <v>9589</v>
      </c>
      <c r="EG40" s="106" t="str">
        <f>IF(SelectRace="homme-bête","Bestigor/Vraigor","")</f>
        <v/>
      </c>
      <c r="EH40" s="83" t="str">
        <f t="shared" si="52"/>
        <v/>
      </c>
      <c r="EI40" s="83" t="str">
        <f t="shared" si="53"/>
        <v/>
      </c>
      <c r="EJ40" s="83" t="str">
        <f t="shared" si="54"/>
        <v/>
      </c>
      <c r="EK40" s="874" t="s">
        <v>13139</v>
      </c>
      <c r="EM40" s="90" t="s">
        <v>5115</v>
      </c>
      <c r="EN40" s="90" t="s">
        <v>5153</v>
      </c>
      <c r="EO40" t="s">
        <v>5126</v>
      </c>
      <c r="EP40" s="83" t="s">
        <v>5125</v>
      </c>
      <c r="EQ40" s="481" t="str">
        <f>IF(Pays="Nippon","Shunigami",IF(Pays="Norsca","Hélénir",IF(Pays="Inja","Kûrmi",IF(SelectRace="Elfe","Sarriel",IF(SelectRace="Nain","Gazul",IF(Pays="Kislev","",IF(OR(Pays="Terres des morts",Pays="Arabie"),"Djaf/Usirian","Morr")))))))</f>
        <v>Morr</v>
      </c>
      <c r="ER40" s="83">
        <f t="shared" si="34"/>
        <v>40</v>
      </c>
      <c r="ES40" s="83" t="str">
        <f t="shared" si="35"/>
        <v/>
      </c>
      <c r="ET40" s="530" t="str">
        <f t="shared" si="36"/>
        <v/>
      </c>
      <c r="EU40" s="177" t="str">
        <f>IF(AND('page 1'!M11="féminin",Dieu="La Dame du Lac"),"Prophétesse du Graal","")</f>
        <v/>
      </c>
      <c r="EV40" s="83" t="str">
        <f t="shared" si="37"/>
        <v/>
      </c>
      <c r="EW40" s="83" t="str">
        <f t="shared" si="22"/>
        <v/>
      </c>
      <c r="EX40" s="530" t="str">
        <f t="shared" si="23"/>
        <v/>
      </c>
      <c r="EY40" s="83" t="s">
        <v>11337</v>
      </c>
      <c r="EZ40" s="530"/>
      <c r="FB40" s="83" t="s">
        <v>14631</v>
      </c>
      <c r="FC40" s="133" t="s">
        <v>16672</v>
      </c>
      <c r="FD40" t="s">
        <v>7245</v>
      </c>
      <c r="FE40" s="849">
        <v>100</v>
      </c>
      <c r="FF40">
        <v>52</v>
      </c>
      <c r="FG40">
        <v>0</v>
      </c>
      <c r="FH40">
        <v>40</v>
      </c>
      <c r="FI40">
        <v>46</v>
      </c>
      <c r="FJ40" s="10">
        <v>43</v>
      </c>
      <c r="FK40">
        <v>25</v>
      </c>
      <c r="FL40">
        <v>60</v>
      </c>
      <c r="FM40" s="165">
        <v>31</v>
      </c>
      <c r="FN40" s="88">
        <v>2</v>
      </c>
      <c r="FO40" s="88">
        <v>23</v>
      </c>
      <c r="FP40" s="164">
        <f t="shared" si="45"/>
        <v>4</v>
      </c>
      <c r="FQ40" s="164">
        <f t="shared" ref="FQ40:FQ66" si="56">ROUNDDOWN(FI40/10,0)</f>
        <v>4</v>
      </c>
      <c r="FR40" s="682">
        <v>8</v>
      </c>
      <c r="FS40" s="88">
        <v>0</v>
      </c>
      <c r="FT40" s="88">
        <v>0</v>
      </c>
      <c r="FU40" s="165">
        <v>0</v>
      </c>
      <c r="FV40" t="s">
        <v>9354</v>
      </c>
      <c r="FW40" s="83" t="s">
        <v>9355</v>
      </c>
      <c r="FX40" s="567" t="s">
        <v>9938</v>
      </c>
      <c r="GA40" s="83" t="s">
        <v>7633</v>
      </c>
      <c r="GC40" t="s">
        <v>7323</v>
      </c>
      <c r="GE40" s="356"/>
      <c r="GF40" t="s">
        <v>8175</v>
      </c>
      <c r="GG40" s="356" t="s">
        <v>8844</v>
      </c>
      <c r="GH40" s="83" t="s">
        <v>8837</v>
      </c>
      <c r="GI40" s="83" t="s">
        <v>8836</v>
      </c>
      <c r="GJ40" s="83"/>
      <c r="GK40" s="530"/>
    </row>
    <row r="41" spans="8:193" ht="13.2" customHeight="1">
      <c r="H41" s="83" t="s">
        <v>16694</v>
      </c>
      <c r="I41" s="3" t="s">
        <v>2874</v>
      </c>
      <c r="J41" s="3"/>
      <c r="K41" s="3"/>
      <c r="L41" s="3"/>
      <c r="M41" s="651"/>
      <c r="N41" s="3"/>
      <c r="O41" s="3"/>
      <c r="P41" s="3"/>
      <c r="Q41" s="3"/>
      <c r="R41" s="651"/>
      <c r="S41" s="83" t="str">
        <f>IF(CareerType=Y41,"Batelier",IF(AllCareers="X","Batelier",IF(OR(SelectRace="homme-bête",SelectRace="peau-verte",SelectRace="créature du chaos",SelectRace="Homme-lézard"),"",IF(OR(Pays="Désolations du Chaos",Pays="Norsca"),"",IF(SelectRace="Humain","Batelier",IF(SelectRace="skaven","Batelier",""))))))</f>
        <v/>
      </c>
      <c r="T41" s="106">
        <f t="shared" si="55"/>
        <v>0</v>
      </c>
      <c r="U41" s="693" t="str">
        <f t="shared" si="26"/>
        <v/>
      </c>
      <c r="V41" s="693" t="str">
        <f t="shared" si="27"/>
        <v/>
      </c>
      <c r="W41" s="693" t="str">
        <f t="shared" si="28"/>
        <v/>
      </c>
      <c r="X41" s="47" t="s">
        <v>2160</v>
      </c>
      <c r="Y41" s="743" t="s">
        <v>7132</v>
      </c>
      <c r="Z41" s="55" t="s">
        <v>2200</v>
      </c>
      <c r="AA41" s="47">
        <v>33</v>
      </c>
      <c r="AB41" s="47" t="s">
        <v>2228</v>
      </c>
      <c r="AC41" s="47">
        <v>30</v>
      </c>
      <c r="AD41" s="15" t="s">
        <v>98</v>
      </c>
      <c r="AE41" s="20" t="s">
        <v>114</v>
      </c>
      <c r="AF41" s="20" t="s">
        <v>114</v>
      </c>
      <c r="AG41" s="20" t="s">
        <v>114</v>
      </c>
      <c r="AH41" s="15" t="s">
        <v>98</v>
      </c>
      <c r="AI41" s="20" t="s">
        <v>114</v>
      </c>
      <c r="AJ41" s="15" t="s">
        <v>149</v>
      </c>
      <c r="AK41" s="18" t="s">
        <v>149</v>
      </c>
      <c r="AL41" s="15" t="s">
        <v>149</v>
      </c>
      <c r="AM41" s="15" t="s">
        <v>113</v>
      </c>
      <c r="AN41" s="15" t="s">
        <v>149</v>
      </c>
      <c r="AO41" s="15" t="s">
        <v>149</v>
      </c>
      <c r="AP41" s="87" t="s">
        <v>16695</v>
      </c>
      <c r="AQ41" s="87" t="s">
        <v>5626</v>
      </c>
      <c r="AR41" s="87" t="s">
        <v>15764</v>
      </c>
      <c r="AS41" s="87" t="s">
        <v>734</v>
      </c>
      <c r="AT41" s="22" t="s">
        <v>3570</v>
      </c>
      <c r="AU41" s="87" t="s">
        <v>16696</v>
      </c>
      <c r="AV41" s="87" t="s">
        <v>4555</v>
      </c>
      <c r="AW41" s="457">
        <v>0</v>
      </c>
      <c r="AX41" s="630" t="str">
        <f t="shared" si="38"/>
        <v/>
      </c>
      <c r="AY41" s="630" t="str">
        <f t="shared" si="39"/>
        <v/>
      </c>
      <c r="AZ41" s="630" t="str">
        <f t="shared" si="40"/>
        <v/>
      </c>
      <c r="BA41" s="3"/>
      <c r="BB41" s="3"/>
      <c r="BC41" s="3"/>
      <c r="BD41" s="3"/>
      <c r="BE41" s="3"/>
      <c r="BF41" s="3"/>
      <c r="BG41" s="3"/>
      <c r="BH41" s="3"/>
      <c r="BI41" s="3"/>
      <c r="BJ41" s="3"/>
      <c r="BK41" s="3"/>
      <c r="BL41" s="3"/>
      <c r="BM41" s="3">
        <v>49</v>
      </c>
      <c r="BN41" s="3"/>
      <c r="BO41" s="83" t="s">
        <v>7341</v>
      </c>
      <c r="BP41" s="3" t="s">
        <v>1009</v>
      </c>
      <c r="BQ41" s="3" t="s">
        <v>11846</v>
      </c>
      <c r="BR41" s="83"/>
      <c r="BS41" s="83"/>
      <c r="BU41" s="3"/>
      <c r="BV41" s="3"/>
      <c r="BW41" s="3"/>
      <c r="BX41" s="83" t="str">
        <f>IF(Province="Grande principauté du Reikland","Ferme (élevage) de Grande principauté du Reikland","")</f>
        <v/>
      </c>
      <c r="BY41" t="str">
        <f t="shared" si="33"/>
        <v/>
      </c>
      <c r="BZ41" s="83" t="str">
        <f t="shared" si="7"/>
        <v/>
      </c>
      <c r="CA41" s="83" t="str">
        <f t="shared" si="8"/>
        <v/>
      </c>
      <c r="CB41" s="530" t="str">
        <f t="shared" si="9"/>
        <v/>
      </c>
      <c r="CC41" s="3" t="s">
        <v>3243</v>
      </c>
      <c r="CD41" t="s">
        <v>10660</v>
      </c>
      <c r="CE41" s="3" t="s">
        <v>3398</v>
      </c>
      <c r="CF41" s="3" t="s">
        <v>1110</v>
      </c>
      <c r="CG41" s="83" t="s">
        <v>15248</v>
      </c>
      <c r="CH41" s="3" t="s">
        <v>5940</v>
      </c>
      <c r="CI41" s="3" t="s">
        <v>3379</v>
      </c>
      <c r="CJ41" s="83" t="s">
        <v>10203</v>
      </c>
      <c r="CK41" s="3" t="s">
        <v>6818</v>
      </c>
      <c r="CL41" s="3" t="s">
        <v>6476</v>
      </c>
      <c r="CM41" s="83" t="s">
        <v>10263</v>
      </c>
      <c r="CN41" s="3" t="s">
        <v>6555</v>
      </c>
      <c r="CO41" s="3" t="str">
        <f>CONCATENATE("Bokdor",IF(AND('page 1'!M11="Féminin",Pays="Norsca"),"dottir",IF(AND('page 1'!M11="Masculin",Pays="Norsca"),"son",IF(AND('page 1'!M11="Féminin",Pays="Kislev"),"ovna",IF(AND('page 1'!M11="Masculin",Pays="Kislev"),"sky","")))))</f>
        <v>Bokdor</v>
      </c>
      <c r="CP41" s="3"/>
      <c r="CQ41" s="3"/>
      <c r="CR41" s="3" t="s">
        <v>13412</v>
      </c>
      <c r="CS41" s="3" t="s">
        <v>11127</v>
      </c>
      <c r="CT41" s="3" t="s">
        <v>810</v>
      </c>
      <c r="CU41" s="3"/>
      <c r="CV41" s="3"/>
      <c r="CW41" s="3"/>
      <c r="CX41" s="3"/>
      <c r="CY41" s="3" t="s">
        <v>786</v>
      </c>
      <c r="CZ41" s="3"/>
      <c r="DA41" s="3" t="s">
        <v>2482</v>
      </c>
      <c r="DB41" s="83" t="s">
        <v>12726</v>
      </c>
      <c r="DC41" s="3"/>
      <c r="DD41" s="83" t="s">
        <v>16515</v>
      </c>
      <c r="DE41" s="3" t="s">
        <v>132</v>
      </c>
      <c r="DF41" s="3">
        <f>ROW()</f>
        <v>41</v>
      </c>
      <c r="DG41" s="3" t="s">
        <v>2678</v>
      </c>
      <c r="DH41" s="3">
        <f t="shared" si="47"/>
        <v>195</v>
      </c>
      <c r="DI41" s="3">
        <f t="shared" si="48"/>
        <v>160</v>
      </c>
      <c r="DJ41" s="3">
        <f t="shared" si="49"/>
        <v>130</v>
      </c>
      <c r="DK41" s="3">
        <f t="shared" si="50"/>
        <v>105</v>
      </c>
      <c r="DL41" s="3"/>
      <c r="DM41" s="3"/>
      <c r="DN41" s="3"/>
      <c r="DO41" s="3" t="s">
        <v>2751</v>
      </c>
      <c r="DP41" s="3"/>
      <c r="DQ41" s="3" t="s">
        <v>3081</v>
      </c>
      <c r="DR41" s="3"/>
      <c r="DS41" s="3"/>
      <c r="DT41" s="83" t="s">
        <v>16618</v>
      </c>
      <c r="DU41" s="562" t="s">
        <v>4551</v>
      </c>
      <c r="DV41" s="3"/>
      <c r="DW41" s="3"/>
      <c r="DX41" s="3"/>
      <c r="DY41" s="3"/>
      <c r="DZ41" s="3" t="s">
        <v>2954</v>
      </c>
      <c r="EA41" s="83" t="s">
        <v>4530</v>
      </c>
      <c r="EB41" s="3"/>
      <c r="ED41" s="83" t="s">
        <v>16697</v>
      </c>
      <c r="EE41" s="83" t="s">
        <v>140</v>
      </c>
      <c r="EF41" s="530" t="s">
        <v>9591</v>
      </c>
      <c r="EG41" s="356" t="str">
        <f>IF(SelectRace="homme-bête","Bovigor","")</f>
        <v/>
      </c>
      <c r="EH41" s="83" t="str">
        <f t="shared" si="52"/>
        <v/>
      </c>
      <c r="EI41" s="83" t="str">
        <f t="shared" si="53"/>
        <v/>
      </c>
      <c r="EJ41" s="83" t="str">
        <f t="shared" si="54"/>
        <v/>
      </c>
      <c r="EK41" s="874" t="s">
        <v>13138</v>
      </c>
      <c r="EM41" s="90" t="s">
        <v>5112</v>
      </c>
      <c r="EN41" s="90" t="s">
        <v>5153</v>
      </c>
      <c r="EO41" t="s">
        <v>5123</v>
      </c>
      <c r="EP41" s="83" t="s">
        <v>5125</v>
      </c>
      <c r="EQ41" s="481" t="str">
        <f>IF(Pays="Nippon","Mulann",IF(Pays="Inja","Pârvati",IF(OR(Pays="Terres des morts",Pays="Arabie"),"Phakth",IF(Pays="Albion","Fiann","Myrmidia"))))</f>
        <v>Myrmidia</v>
      </c>
      <c r="ER41" s="83">
        <f t="shared" si="34"/>
        <v>41</v>
      </c>
      <c r="ES41" s="83" t="str">
        <f t="shared" si="35"/>
        <v/>
      </c>
      <c r="ET41" s="530" t="str">
        <f t="shared" si="36"/>
        <v/>
      </c>
      <c r="EU41" s="177" t="str">
        <f>IF(Dieu="La Gueule","Adepte/Croyant","")</f>
        <v/>
      </c>
      <c r="EV41" s="83" t="str">
        <f t="shared" si="37"/>
        <v/>
      </c>
      <c r="EW41" s="83" t="str">
        <f t="shared" si="22"/>
        <v/>
      </c>
      <c r="EX41" s="530" t="str">
        <f t="shared" si="23"/>
        <v/>
      </c>
      <c r="EZ41" s="530" t="s">
        <v>9187</v>
      </c>
      <c r="FB41" s="83" t="s">
        <v>13091</v>
      </c>
      <c r="FC41" s="133" t="s">
        <v>16672</v>
      </c>
      <c r="FD41" s="85" t="s">
        <v>15071</v>
      </c>
      <c r="FE41" s="848" t="s">
        <v>15072</v>
      </c>
      <c r="FF41">
        <v>54</v>
      </c>
      <c r="FG41">
        <v>0</v>
      </c>
      <c r="FH41">
        <v>55</v>
      </c>
      <c r="FI41">
        <v>57</v>
      </c>
      <c r="FJ41" s="10">
        <v>48</v>
      </c>
      <c r="FK41">
        <v>16</v>
      </c>
      <c r="FL41">
        <v>43</v>
      </c>
      <c r="FM41" s="165">
        <v>15</v>
      </c>
      <c r="FN41" s="88">
        <v>4</v>
      </c>
      <c r="FO41" s="88">
        <v>38</v>
      </c>
      <c r="FP41" s="164">
        <f t="shared" si="45"/>
        <v>5</v>
      </c>
      <c r="FQ41" s="164">
        <f t="shared" si="56"/>
        <v>5</v>
      </c>
      <c r="FR41" s="683" t="s">
        <v>7251</v>
      </c>
      <c r="FS41" s="167">
        <v>0</v>
      </c>
      <c r="FT41" s="167">
        <v>0</v>
      </c>
      <c r="FU41" s="165">
        <v>0</v>
      </c>
      <c r="FV41" s="83" t="s">
        <v>9362</v>
      </c>
      <c r="FW41" s="83" t="s">
        <v>16698</v>
      </c>
      <c r="FX41" s="567" t="s">
        <v>9938</v>
      </c>
      <c r="GA41" s="83" t="s">
        <v>7613</v>
      </c>
      <c r="GC41" s="3" t="s">
        <v>998</v>
      </c>
      <c r="GE41" s="356"/>
      <c r="GF41" s="83" t="s">
        <v>16699</v>
      </c>
      <c r="GG41" s="356" t="s">
        <v>8853</v>
      </c>
      <c r="GH41" s="83" t="s">
        <v>8847</v>
      </c>
      <c r="GI41" s="83" t="s">
        <v>8856</v>
      </c>
      <c r="GJ41" s="83"/>
      <c r="GK41" s="530"/>
    </row>
    <row r="42" spans="8:193" ht="13.2" customHeight="1">
      <c r="H42" s="3" t="s">
        <v>416</v>
      </c>
      <c r="I42" s="3" t="s">
        <v>499</v>
      </c>
      <c r="J42" s="3"/>
      <c r="K42" s="3"/>
      <c r="L42" s="3"/>
      <c r="M42" s="651"/>
      <c r="N42" s="3"/>
      <c r="O42" s="3"/>
      <c r="P42" s="3"/>
      <c r="Q42" s="3"/>
      <c r="R42" s="651"/>
      <c r="S42" s="83" t="str">
        <f>IF(CareerType=Y42,"Bedeau",IF(AllCareers="X","Bedeau",IF(Selectsousrace="","",IF(OR(SelectRace="homme-bête",SelectRace="peau-verte",SelectRace="créature du chaos",SelectRace="Homme-lézard",SelectRace="peau-verte",SelectRace="créature du chaos",SelectRace="skaven",SelectRace="Vampire"),"",IF(FirstCareer="1ère carrière","","Bedeau")))))</f>
        <v/>
      </c>
      <c r="T42" s="106">
        <f t="shared" si="55"/>
        <v>1</v>
      </c>
      <c r="U42" s="693" t="str">
        <f t="shared" si="26"/>
        <v/>
      </c>
      <c r="V42" s="693" t="str">
        <f t="shared" si="27"/>
        <v/>
      </c>
      <c r="W42" s="693" t="str">
        <f t="shared" si="28"/>
        <v/>
      </c>
      <c r="X42" s="47" t="s">
        <v>2153</v>
      </c>
      <c r="Y42" s="743" t="s">
        <v>7132</v>
      </c>
      <c r="Z42" s="55" t="s">
        <v>538</v>
      </c>
      <c r="AA42" s="47">
        <v>196</v>
      </c>
      <c r="AB42" s="47" t="s">
        <v>2229</v>
      </c>
      <c r="AC42" s="47">
        <v>56</v>
      </c>
      <c r="AD42" s="15" t="s">
        <v>98</v>
      </c>
      <c r="AE42" s="15" t="s">
        <v>98</v>
      </c>
      <c r="AF42" s="20" t="s">
        <v>114</v>
      </c>
      <c r="AG42" s="20" t="s">
        <v>114</v>
      </c>
      <c r="AH42" s="15" t="s">
        <v>149</v>
      </c>
      <c r="AI42" s="15" t="s">
        <v>100</v>
      </c>
      <c r="AJ42" s="15" t="s">
        <v>101</v>
      </c>
      <c r="AK42" s="18" t="s">
        <v>98</v>
      </c>
      <c r="AL42" s="15" t="s">
        <v>149</v>
      </c>
      <c r="AM42" s="15" t="s">
        <v>103</v>
      </c>
      <c r="AN42" s="15" t="s">
        <v>149</v>
      </c>
      <c r="AO42" s="15" t="s">
        <v>149</v>
      </c>
      <c r="AP42" s="22" t="s">
        <v>727</v>
      </c>
      <c r="AQ42" s="87" t="s">
        <v>734</v>
      </c>
      <c r="AR42" s="22" t="s">
        <v>2230</v>
      </c>
      <c r="AS42" s="87" t="s">
        <v>734</v>
      </c>
      <c r="AT42" s="87" t="s">
        <v>16700</v>
      </c>
      <c r="AU42" s="87" t="s">
        <v>16701</v>
      </c>
      <c r="AV42" s="87" t="s">
        <v>4561</v>
      </c>
      <c r="AW42" s="457">
        <v>0</v>
      </c>
      <c r="AX42" s="630" t="str">
        <f t="shared" si="38"/>
        <v/>
      </c>
      <c r="AY42" s="630" t="str">
        <f t="shared" si="39"/>
        <v/>
      </c>
      <c r="AZ42" s="630" t="str">
        <f t="shared" si="40"/>
        <v/>
      </c>
      <c r="BA42" s="3"/>
      <c r="BB42" s="3"/>
      <c r="BC42" s="3"/>
      <c r="BD42" s="3"/>
      <c r="BE42" s="3"/>
      <c r="BF42" s="3"/>
      <c r="BG42" s="3"/>
      <c r="BH42" s="3"/>
      <c r="BI42" s="3"/>
      <c r="BJ42" s="3"/>
      <c r="BK42" s="3"/>
      <c r="BL42" s="3"/>
      <c r="BM42" s="3">
        <v>50</v>
      </c>
      <c r="BN42" s="3"/>
      <c r="BO42" s="83" t="s">
        <v>10798</v>
      </c>
      <c r="BP42" s="83" t="s">
        <v>11815</v>
      </c>
      <c r="BQ42" s="3" t="s">
        <v>11847</v>
      </c>
      <c r="BR42" s="3"/>
      <c r="BS42" s="3"/>
      <c r="BT42" s="83"/>
      <c r="BU42" s="3"/>
      <c r="BV42" s="3"/>
      <c r="BW42" s="3"/>
      <c r="BX42" s="3" t="str">
        <f>IF(Province="Grand comté du Stirland","Ferme (élevage) de Grand comté du Stirland","")</f>
        <v/>
      </c>
      <c r="BY42" t="str">
        <f t="shared" si="33"/>
        <v/>
      </c>
      <c r="BZ42" s="83" t="str">
        <f t="shared" si="7"/>
        <v/>
      </c>
      <c r="CA42" s="83" t="str">
        <f t="shared" si="8"/>
        <v/>
      </c>
      <c r="CB42" s="530" t="str">
        <f t="shared" si="9"/>
        <v/>
      </c>
      <c r="CC42" s="3" t="s">
        <v>10706</v>
      </c>
      <c r="CD42" t="s">
        <v>10659</v>
      </c>
      <c r="CE42" t="s">
        <v>10769</v>
      </c>
      <c r="CF42" s="3" t="s">
        <v>881</v>
      </c>
      <c r="CG42" s="3" t="s">
        <v>6157</v>
      </c>
      <c r="CH42" s="3" t="s">
        <v>5941</v>
      </c>
      <c r="CI42" s="3" t="s">
        <v>931</v>
      </c>
      <c r="CJ42" s="3" t="s">
        <v>952</v>
      </c>
      <c r="CK42" s="83" t="s">
        <v>15052</v>
      </c>
      <c r="CL42" s="3" t="s">
        <v>6501</v>
      </c>
      <c r="CM42" s="83" t="s">
        <v>10262</v>
      </c>
      <c r="CN42" s="3" t="s">
        <v>6519</v>
      </c>
      <c r="CO42" t="str">
        <f>CONCATENATE("Bolg",IF(AND('page 1'!M11="Féminin",Pays="Norsca"),"dottir",IF(AND('page 1'!M11="Masculin",Pays="Norsca"),"son",IF(AND('page 1'!M11="Féminin",Pays="Kislev"),"ovna",IF(AND('page 1'!M11="Masculin",Pays="Kislev"),"sky","")))))</f>
        <v>Bolg</v>
      </c>
      <c r="CP42" s="3"/>
      <c r="CQ42" s="3"/>
      <c r="CR42" s="3" t="s">
        <v>13413</v>
      </c>
      <c r="CS42" s="3" t="s">
        <v>11128</v>
      </c>
      <c r="CT42" s="353" t="s">
        <v>799</v>
      </c>
      <c r="CU42" s="3"/>
      <c r="CV42" s="3"/>
      <c r="CW42" s="3"/>
      <c r="CX42" s="3"/>
      <c r="CY42" s="3" t="s">
        <v>2857</v>
      </c>
      <c r="CZ42" s="3"/>
      <c r="DA42" s="83" t="s">
        <v>12619</v>
      </c>
      <c r="DB42" s="83" t="s">
        <v>12759</v>
      </c>
      <c r="DC42" s="3"/>
      <c r="DD42" s="3" t="s">
        <v>2688</v>
      </c>
      <c r="DE42" s="3" t="s">
        <v>132</v>
      </c>
      <c r="DF42" s="3">
        <f>ROW()</f>
        <v>42</v>
      </c>
      <c r="DG42" s="3" t="s">
        <v>780</v>
      </c>
      <c r="DH42" s="3">
        <f t="shared" si="47"/>
        <v>400</v>
      </c>
      <c r="DI42" s="3">
        <f t="shared" si="48"/>
        <v>300</v>
      </c>
      <c r="DJ42" s="3">
        <f t="shared" si="49"/>
        <v>210</v>
      </c>
      <c r="DK42" s="3">
        <f t="shared" si="50"/>
        <v>120</v>
      </c>
      <c r="DL42" s="3"/>
      <c r="DM42" s="3"/>
      <c r="DN42" s="3"/>
      <c r="DO42" s="3" t="s">
        <v>4674</v>
      </c>
      <c r="DP42" s="3"/>
      <c r="DQ42" s="83" t="s">
        <v>15465</v>
      </c>
      <c r="DR42" s="3"/>
      <c r="DS42" s="3"/>
      <c r="DT42" s="3"/>
      <c r="DU42" s="3"/>
      <c r="DV42" s="3"/>
      <c r="DW42" s="3"/>
      <c r="DX42" s="3"/>
      <c r="DY42" s="3"/>
      <c r="DZ42" s="3" t="s">
        <v>2955</v>
      </c>
      <c r="EA42" s="83" t="s">
        <v>4530</v>
      </c>
      <c r="EB42" s="3"/>
      <c r="ED42" t="s">
        <v>9576</v>
      </c>
      <c r="EE42" s="83" t="s">
        <v>140</v>
      </c>
      <c r="EF42" s="530" t="s">
        <v>9590</v>
      </c>
      <c r="EG42" s="356" t="str">
        <f>IF(SelectRace="homme-bête","Bray","")</f>
        <v/>
      </c>
      <c r="EH42" s="83" t="str">
        <f t="shared" si="52"/>
        <v/>
      </c>
      <c r="EI42" s="83" t="str">
        <f t="shared" si="53"/>
        <v/>
      </c>
      <c r="EJ42" s="83" t="str">
        <f t="shared" si="54"/>
        <v/>
      </c>
      <c r="EK42" s="874" t="s">
        <v>16633</v>
      </c>
      <c r="EM42" s="90" t="s">
        <v>5118</v>
      </c>
      <c r="EN42" s="90" t="s">
        <v>5153</v>
      </c>
      <c r="EO42" t="s">
        <v>5123</v>
      </c>
      <c r="EP42" s="83" t="s">
        <v>5125</v>
      </c>
      <c r="EQ42" s="481" t="str">
        <f>IF(Pays="Inja","Vratri","Necoho")</f>
        <v>Necoho</v>
      </c>
      <c r="ER42" s="83">
        <f t="shared" si="34"/>
        <v>42</v>
      </c>
      <c r="ES42" s="83" t="str">
        <f t="shared" si="35"/>
        <v/>
      </c>
      <c r="ET42" s="530" t="str">
        <f t="shared" si="36"/>
        <v/>
      </c>
      <c r="EU42" s="177" t="str">
        <f>IF(Dieu="La Gueule","Protégé d'un Boucher de La Gueule","")</f>
        <v/>
      </c>
      <c r="EV42" s="83" t="str">
        <f t="shared" si="37"/>
        <v/>
      </c>
      <c r="EW42" s="83" t="str">
        <f t="shared" si="22"/>
        <v/>
      </c>
      <c r="EX42" s="530" t="str">
        <f t="shared" si="23"/>
        <v/>
      </c>
      <c r="EY42" s="83" t="s">
        <v>12241</v>
      </c>
      <c r="EZ42" s="530" t="s">
        <v>11746</v>
      </c>
      <c r="FB42" s="83" t="s">
        <v>14633</v>
      </c>
      <c r="FC42" s="133" t="s">
        <v>16672</v>
      </c>
      <c r="FD42" s="83" t="s">
        <v>7245</v>
      </c>
      <c r="FE42" s="849">
        <v>107</v>
      </c>
      <c r="FF42">
        <v>33</v>
      </c>
      <c r="FG42">
        <v>0</v>
      </c>
      <c r="FH42">
        <v>47</v>
      </c>
      <c r="FI42">
        <v>45</v>
      </c>
      <c r="FJ42" s="10">
        <v>41</v>
      </c>
      <c r="FK42">
        <v>15</v>
      </c>
      <c r="FL42">
        <v>38</v>
      </c>
      <c r="FM42" s="165">
        <v>15</v>
      </c>
      <c r="FN42" s="88">
        <v>2</v>
      </c>
      <c r="FO42" s="88">
        <v>18</v>
      </c>
      <c r="FP42" s="164">
        <f t="shared" si="45"/>
        <v>4</v>
      </c>
      <c r="FQ42" s="164">
        <f t="shared" si="56"/>
        <v>4</v>
      </c>
      <c r="FR42" s="683" t="s">
        <v>7255</v>
      </c>
      <c r="FS42">
        <v>0</v>
      </c>
      <c r="FT42">
        <v>0</v>
      </c>
      <c r="FU42" s="165">
        <v>0</v>
      </c>
      <c r="FV42" s="83" t="s">
        <v>7239</v>
      </c>
      <c r="FW42" s="83" t="s">
        <v>14705</v>
      </c>
      <c r="FX42" s="567" t="s">
        <v>9938</v>
      </c>
      <c r="GA42" t="s">
        <v>7459</v>
      </c>
      <c r="GC42" t="s">
        <v>7315</v>
      </c>
      <c r="GE42" s="356"/>
      <c r="GF42" t="s">
        <v>8154</v>
      </c>
      <c r="GG42" s="356" t="s">
        <v>8855</v>
      </c>
      <c r="GH42" s="83" t="s">
        <v>8847</v>
      </c>
      <c r="GI42" s="83" t="s">
        <v>8856</v>
      </c>
      <c r="GJ42" s="83"/>
      <c r="GK42" s="530"/>
    </row>
    <row r="43" spans="8:193" ht="13.2" customHeight="1">
      <c r="H43" s="3" t="s">
        <v>3784</v>
      </c>
      <c r="I43" s="3" t="s">
        <v>75</v>
      </c>
      <c r="J43" s="3"/>
      <c r="K43" s="3"/>
      <c r="L43" s="3"/>
      <c r="M43" s="651"/>
      <c r="N43" s="3"/>
      <c r="O43" s="3"/>
      <c r="P43" s="3"/>
      <c r="Q43" s="3"/>
      <c r="R43" s="651"/>
      <c r="S43" s="83" t="str">
        <f>IF(CareerType=Y43,"Berger/Pâtre",IF(AllCareers="X","Berger/Pâtre",IF(OR(SelectRace="homme-bête",SelectRace="peau-verte",SelectRace="créature du chaos",SelectRace="Homme-lézard",SelectRace="skaven",SelectRace="Nain",SelectRace="Vampire"),"",IF(SelectRace="Elfe","",IF(SelectRace="Halfling","",IF(OR(Pays="Bretonnie",Pays="Empire"),"Berger/Pâtre",""))))))</f>
        <v/>
      </c>
      <c r="T43" s="106">
        <f t="shared" si="55"/>
        <v>0</v>
      </c>
      <c r="U43" s="693" t="str">
        <f t="shared" si="26"/>
        <v/>
      </c>
      <c r="V43" s="693" t="str">
        <f t="shared" si="27"/>
        <v/>
      </c>
      <c r="W43" s="693" t="str">
        <f t="shared" si="28"/>
        <v/>
      </c>
      <c r="X43" s="47" t="s">
        <v>2160</v>
      </c>
      <c r="Y43" s="743" t="s">
        <v>7134</v>
      </c>
      <c r="Z43" s="55" t="s">
        <v>2206</v>
      </c>
      <c r="AA43" s="47">
        <v>95</v>
      </c>
      <c r="AB43" s="47" t="s">
        <v>2231</v>
      </c>
      <c r="AC43" s="47">
        <v>41</v>
      </c>
      <c r="AD43" s="20" t="s">
        <v>114</v>
      </c>
      <c r="AE43" s="15" t="s">
        <v>98</v>
      </c>
      <c r="AF43" s="15" t="s">
        <v>149</v>
      </c>
      <c r="AG43" s="15" t="s">
        <v>149</v>
      </c>
      <c r="AH43" s="15" t="s">
        <v>98</v>
      </c>
      <c r="AI43" s="20" t="s">
        <v>114</v>
      </c>
      <c r="AJ43" s="15" t="s">
        <v>149</v>
      </c>
      <c r="AK43" s="18" t="s">
        <v>149</v>
      </c>
      <c r="AL43" s="15" t="s">
        <v>102</v>
      </c>
      <c r="AM43" s="15" t="s">
        <v>113</v>
      </c>
      <c r="AN43" s="15" t="s">
        <v>149</v>
      </c>
      <c r="AO43" s="15" t="s">
        <v>149</v>
      </c>
      <c r="AP43" s="22" t="s">
        <v>728</v>
      </c>
      <c r="AQ43" s="87" t="s">
        <v>734</v>
      </c>
      <c r="AR43" s="87" t="s">
        <v>15429</v>
      </c>
      <c r="AS43" s="87" t="s">
        <v>734</v>
      </c>
      <c r="AT43" s="87" t="s">
        <v>16046</v>
      </c>
      <c r="AU43" s="87" t="s">
        <v>5456</v>
      </c>
      <c r="AV43" s="87" t="s">
        <v>9977</v>
      </c>
      <c r="AW43" s="457">
        <v>0</v>
      </c>
      <c r="AX43" s="630" t="str">
        <f t="shared" si="38"/>
        <v/>
      </c>
      <c r="AY43" s="630" t="str">
        <f t="shared" si="39"/>
        <v/>
      </c>
      <c r="AZ43" s="630" t="str">
        <f t="shared" si="40"/>
        <v/>
      </c>
      <c r="BA43" s="3"/>
      <c r="BB43" s="3"/>
      <c r="BC43" s="3"/>
      <c r="BD43" s="3"/>
      <c r="BE43" s="3"/>
      <c r="BF43" s="3"/>
      <c r="BG43" s="3"/>
      <c r="BH43" s="3"/>
      <c r="BI43" s="3"/>
      <c r="BJ43" s="3"/>
      <c r="BK43" s="3"/>
      <c r="BL43" s="3"/>
      <c r="BM43" s="3">
        <v>51</v>
      </c>
      <c r="BN43" s="3"/>
      <c r="BO43" s="83" t="s">
        <v>16702</v>
      </c>
      <c r="BP43" s="83" t="s">
        <v>11816</v>
      </c>
      <c r="BQ43" s="83" t="s">
        <v>11848</v>
      </c>
      <c r="BR43" s="3"/>
      <c r="BS43" s="3"/>
      <c r="BT43" s="83"/>
      <c r="BU43" s="3"/>
      <c r="BV43" s="3"/>
      <c r="BW43" s="3"/>
      <c r="BX43" s="3" t="str">
        <f>IF(Province="Grand-duché du Talabecland","Ferme (élevage) de Grand-duché du Talabecland","")</f>
        <v/>
      </c>
      <c r="BY43" t="str">
        <f t="shared" si="33"/>
        <v/>
      </c>
      <c r="BZ43" s="83" t="str">
        <f t="shared" si="7"/>
        <v/>
      </c>
      <c r="CA43" s="83" t="str">
        <f t="shared" si="8"/>
        <v/>
      </c>
      <c r="CB43" s="530" t="str">
        <f t="shared" si="9"/>
        <v/>
      </c>
      <c r="CC43" s="3" t="s">
        <v>3244</v>
      </c>
      <c r="CD43" t="s">
        <v>10667</v>
      </c>
      <c r="CE43" s="3" t="s">
        <v>1085</v>
      </c>
      <c r="CF43" s="3" t="s">
        <v>882</v>
      </c>
      <c r="CG43" s="3" t="s">
        <v>6158</v>
      </c>
      <c r="CH43" s="3" t="s">
        <v>906</v>
      </c>
      <c r="CI43" s="3" t="s">
        <v>3381</v>
      </c>
      <c r="CJ43" s="83" t="s">
        <v>10181</v>
      </c>
      <c r="CK43" s="3" t="s">
        <v>6896</v>
      </c>
      <c r="CL43" s="3" t="s">
        <v>6467</v>
      </c>
      <c r="CM43" s="83" t="s">
        <v>10264</v>
      </c>
      <c r="CN43" s="3" t="s">
        <v>6524</v>
      </c>
      <c r="CO43" s="3" t="str">
        <f>CONCATENATE("Bombur",IF(AND('page 1'!M11="Féminin",Pays="Norsca"),"dottir",IF(AND('page 1'!M11="Masculin",Pays="Norsca"),"son",IF(AND('page 1'!M11="Féminin",Pays="Kislev"),"ovna",IF(AND('page 1'!M11="Masculin",Pays="Kislev"),"sky","")))))</f>
        <v>Bombur</v>
      </c>
      <c r="CP43" s="3"/>
      <c r="CQ43" s="3"/>
      <c r="CR43" s="3" t="s">
        <v>13414</v>
      </c>
      <c r="CS43" s="3" t="s">
        <v>11129</v>
      </c>
      <c r="CT43" s="3" t="s">
        <v>798</v>
      </c>
      <c r="CU43" s="3"/>
      <c r="CV43" s="3"/>
      <c r="CW43" s="3"/>
      <c r="CX43" s="3"/>
      <c r="CY43" s="3" t="s">
        <v>2859</v>
      </c>
      <c r="CZ43" s="3"/>
      <c r="DA43" s="3" t="s">
        <v>12620</v>
      </c>
      <c r="DB43" s="83" t="s">
        <v>12674</v>
      </c>
      <c r="DC43" s="3"/>
      <c r="DD43" s="3" t="s">
        <v>2689</v>
      </c>
      <c r="DE43" s="3" t="s">
        <v>132</v>
      </c>
      <c r="DF43" s="3">
        <f>ROW()</f>
        <v>43</v>
      </c>
      <c r="DG43" s="3" t="s">
        <v>780</v>
      </c>
      <c r="DH43" s="3">
        <f t="shared" si="47"/>
        <v>400</v>
      </c>
      <c r="DI43" s="3">
        <f t="shared" si="48"/>
        <v>300</v>
      </c>
      <c r="DJ43" s="3">
        <f t="shared" si="49"/>
        <v>210</v>
      </c>
      <c r="DK43" s="3">
        <f t="shared" si="50"/>
        <v>120</v>
      </c>
      <c r="DL43" s="3"/>
      <c r="DM43" s="3"/>
      <c r="DN43" s="3"/>
      <c r="DO43" s="3" t="s">
        <v>2783</v>
      </c>
      <c r="DP43" s="3"/>
      <c r="DQ43" s="83" t="s">
        <v>5415</v>
      </c>
      <c r="DR43" s="3"/>
      <c r="DS43" s="3"/>
      <c r="DT43" s="3"/>
      <c r="DU43" s="3"/>
      <c r="DV43" s="3"/>
      <c r="DW43" s="3"/>
      <c r="DX43" s="3"/>
      <c r="DY43" s="3"/>
      <c r="DZ43" s="3" t="s">
        <v>2956</v>
      </c>
      <c r="EA43" s="83" t="s">
        <v>4530</v>
      </c>
      <c r="EB43" s="3"/>
      <c r="ED43" t="s">
        <v>9577</v>
      </c>
      <c r="EE43" s="83" t="s">
        <v>140</v>
      </c>
      <c r="EF43" s="530" t="s">
        <v>9592</v>
      </c>
      <c r="EG43" s="356" t="str">
        <f>IF(SelectRace="homme-bête","Centigor","")</f>
        <v/>
      </c>
      <c r="EH43" s="83" t="str">
        <f t="shared" si="52"/>
        <v/>
      </c>
      <c r="EI43" s="83" t="str">
        <f t="shared" si="53"/>
        <v/>
      </c>
      <c r="EJ43" s="83" t="str">
        <f t="shared" si="54"/>
        <v/>
      </c>
      <c r="EK43" s="874" t="s">
        <v>9477</v>
      </c>
      <c r="EM43" s="90" t="s">
        <v>5111</v>
      </c>
      <c r="EN43" s="90" t="s">
        <v>5153</v>
      </c>
      <c r="EO43" t="s">
        <v>5122</v>
      </c>
      <c r="EP43" s="83" t="s">
        <v>5125</v>
      </c>
      <c r="EQ43" s="566" t="str">
        <f>IF(Pays="Nippon","Hôsô",IF(Pays="Inja","Râvana",IF(Selectsousrace="Kurgan/Hung","Nieglen",IF(OR(Pays="Terres des morts",Pays="Arabie"),"Ualapt","Nurgle"))))</f>
        <v>Nurgle</v>
      </c>
      <c r="ER43" s="83">
        <f t="shared" si="34"/>
        <v>43</v>
      </c>
      <c r="ES43" s="83" t="str">
        <f t="shared" si="35"/>
        <v/>
      </c>
      <c r="ET43" s="530" t="str">
        <f t="shared" si="36"/>
        <v/>
      </c>
      <c r="EU43" s="177" t="str">
        <f>IF(Dieu="La Gueule","Boucher de La Gueule","")</f>
        <v/>
      </c>
      <c r="EV43" s="83" t="str">
        <f t="shared" si="37"/>
        <v/>
      </c>
      <c r="EW43" s="83" t="str">
        <f t="shared" si="22"/>
        <v/>
      </c>
      <c r="EX43" s="530" t="str">
        <f t="shared" si="23"/>
        <v/>
      </c>
      <c r="EY43" s="83" t="s">
        <v>11719</v>
      </c>
      <c r="FB43" s="83" t="s">
        <v>14632</v>
      </c>
      <c r="FC43" s="133" t="s">
        <v>16672</v>
      </c>
      <c r="FD43" s="83" t="s">
        <v>9703</v>
      </c>
      <c r="FE43" s="849">
        <v>339</v>
      </c>
      <c r="FF43">
        <v>30</v>
      </c>
      <c r="FG43">
        <v>0</v>
      </c>
      <c r="FH43">
        <v>42</v>
      </c>
      <c r="FI43">
        <v>45</v>
      </c>
      <c r="FJ43" s="10">
        <v>48</v>
      </c>
      <c r="FK43">
        <v>15</v>
      </c>
      <c r="FL43">
        <v>38</v>
      </c>
      <c r="FM43" s="165">
        <v>15</v>
      </c>
      <c r="FN43" s="88">
        <v>2</v>
      </c>
      <c r="FO43" s="88">
        <v>18</v>
      </c>
      <c r="FP43" s="164">
        <f t="shared" ref="FP43:FP66" si="57">ROUNDDOWN(FH43/10,0)</f>
        <v>4</v>
      </c>
      <c r="FQ43" s="164">
        <f t="shared" si="56"/>
        <v>4</v>
      </c>
      <c r="FR43" s="683" t="s">
        <v>7255</v>
      </c>
      <c r="FS43">
        <v>0</v>
      </c>
      <c r="FT43">
        <v>0</v>
      </c>
      <c r="FU43" s="165">
        <v>0</v>
      </c>
      <c r="FV43" s="83" t="s">
        <v>7239</v>
      </c>
      <c r="FW43" s="83" t="s">
        <v>14706</v>
      </c>
      <c r="FX43" s="567" t="s">
        <v>9938</v>
      </c>
      <c r="GA43" t="s">
        <v>7287</v>
      </c>
      <c r="GC43" t="s">
        <v>7324</v>
      </c>
      <c r="GE43" s="356"/>
      <c r="GF43" t="s">
        <v>8188</v>
      </c>
      <c r="GG43" s="356" t="s">
        <v>8854</v>
      </c>
      <c r="GH43" s="83" t="s">
        <v>8847</v>
      </c>
      <c r="GI43" s="83" t="s">
        <v>8856</v>
      </c>
      <c r="GJ43" s="83"/>
      <c r="GK43" s="530"/>
    </row>
    <row r="44" spans="8:193" ht="13.2" customHeight="1">
      <c r="H44" s="83" t="s">
        <v>16044</v>
      </c>
      <c r="I44" s="844" t="s">
        <v>16703</v>
      </c>
      <c r="J44" s="136"/>
      <c r="K44" s="3"/>
      <c r="L44" s="3"/>
      <c r="M44" s="651"/>
      <c r="N44" s="3"/>
      <c r="O44" s="3"/>
      <c r="P44" s="3"/>
      <c r="Q44" s="3"/>
      <c r="R44" s="651"/>
      <c r="S44" s="83" t="str">
        <f>IF(CareerType=Y44,"Berserk Norse",IF(AllCareers="X","Berserk Norse",IF(OR(SelectRace="homme-bête",SelectRace="peau-verte",SelectRace="créature du chaos",SelectRace="Homme-lézard",SelectRace="skaven"),"",IF(Pays="Norsca","Berserk Norse",IF(Pays="Désolations du Chaos","Berserk Norse","")))))</f>
        <v/>
      </c>
      <c r="T44" s="106">
        <f t="shared" si="55"/>
        <v>0</v>
      </c>
      <c r="U44" s="693" t="str">
        <f t="shared" si="26"/>
        <v/>
      </c>
      <c r="V44" s="693" t="str">
        <f t="shared" si="27"/>
        <v/>
      </c>
      <c r="W44" s="693" t="str">
        <f t="shared" si="28"/>
        <v/>
      </c>
      <c r="X44" s="47" t="s">
        <v>2160</v>
      </c>
      <c r="Y44" s="743" t="s">
        <v>7130</v>
      </c>
      <c r="Z44" s="55" t="s">
        <v>2200</v>
      </c>
      <c r="AA44" s="47">
        <v>33</v>
      </c>
      <c r="AB44" s="47" t="s">
        <v>2232</v>
      </c>
      <c r="AC44" s="47">
        <v>155</v>
      </c>
      <c r="AD44" s="15" t="s">
        <v>101</v>
      </c>
      <c r="AE44" s="15" t="s">
        <v>149</v>
      </c>
      <c r="AF44" s="15" t="s">
        <v>98</v>
      </c>
      <c r="AG44" s="15" t="s">
        <v>98</v>
      </c>
      <c r="AH44" s="15" t="s">
        <v>149</v>
      </c>
      <c r="AI44" s="15" t="s">
        <v>149</v>
      </c>
      <c r="AJ44" s="15" t="s">
        <v>98</v>
      </c>
      <c r="AK44" s="18" t="s">
        <v>149</v>
      </c>
      <c r="AL44" s="15" t="s">
        <v>149</v>
      </c>
      <c r="AM44" s="15" t="s">
        <v>113</v>
      </c>
      <c r="AN44" s="15" t="s">
        <v>149</v>
      </c>
      <c r="AO44" s="15" t="s">
        <v>149</v>
      </c>
      <c r="AP44" s="22" t="s">
        <v>729</v>
      </c>
      <c r="AQ44" s="87" t="s">
        <v>734</v>
      </c>
      <c r="AR44" s="22" t="s">
        <v>12256</v>
      </c>
      <c r="AS44" s="87" t="s">
        <v>734</v>
      </c>
      <c r="AT44" s="22" t="s">
        <v>3418</v>
      </c>
      <c r="AU44" s="87" t="s">
        <v>5326</v>
      </c>
      <c r="AV44" s="87" t="s">
        <v>4562</v>
      </c>
      <c r="AW44" s="457">
        <v>0</v>
      </c>
      <c r="AX44" s="630" t="str">
        <f t="shared" si="38"/>
        <v/>
      </c>
      <c r="AY44" s="630" t="str">
        <f t="shared" si="39"/>
        <v/>
      </c>
      <c r="AZ44" s="630" t="str">
        <f t="shared" si="40"/>
        <v/>
      </c>
      <c r="BA44" s="3"/>
      <c r="BB44" s="3"/>
      <c r="BC44" s="3"/>
      <c r="BD44" s="3"/>
      <c r="BE44" s="3"/>
      <c r="BF44" s="3"/>
      <c r="BG44" s="3"/>
      <c r="BH44" s="3"/>
      <c r="BI44" s="3"/>
      <c r="BJ44" s="3"/>
      <c r="BK44" s="3"/>
      <c r="BL44" s="3"/>
      <c r="BM44" s="3">
        <v>52</v>
      </c>
      <c r="BN44" s="3"/>
      <c r="BO44" s="3" t="s">
        <v>310</v>
      </c>
      <c r="BP44" s="83" t="s">
        <v>11817</v>
      </c>
      <c r="BQ44" s="3" t="s">
        <v>11849</v>
      </c>
      <c r="BR44" s="3"/>
      <c r="BS44" s="3"/>
      <c r="BT44" s="83"/>
      <c r="BU44" s="3"/>
      <c r="BV44" s="3"/>
      <c r="BW44" s="3"/>
      <c r="BX44" s="3" t="str">
        <f>IF(Province="Grand comté du Wissenland","Ferme (élevage) de Grand comté du Wissenland","")</f>
        <v/>
      </c>
      <c r="BY44" t="str">
        <f t="shared" si="33"/>
        <v/>
      </c>
      <c r="BZ44" s="83" t="str">
        <f t="shared" si="7"/>
        <v/>
      </c>
      <c r="CA44" s="83" t="str">
        <f t="shared" si="8"/>
        <v/>
      </c>
      <c r="CB44" s="530" t="str">
        <f t="shared" si="9"/>
        <v/>
      </c>
      <c r="CC44" s="3" t="s">
        <v>3245</v>
      </c>
      <c r="CD44" t="s">
        <v>10661</v>
      </c>
      <c r="CE44" s="3" t="s">
        <v>1086</v>
      </c>
      <c r="CF44" s="83" t="s">
        <v>10776</v>
      </c>
      <c r="CG44" s="3" t="s">
        <v>3135</v>
      </c>
      <c r="CH44" s="3" t="s">
        <v>5942</v>
      </c>
      <c r="CI44" s="3" t="s">
        <v>932</v>
      </c>
      <c r="CJ44" s="83" t="s">
        <v>10187</v>
      </c>
      <c r="CK44" s="3" t="s">
        <v>6859</v>
      </c>
      <c r="CL44" s="3" t="s">
        <v>6494</v>
      </c>
      <c r="CM44" s="83" t="s">
        <v>10265</v>
      </c>
      <c r="CN44" s="3" t="s">
        <v>6614</v>
      </c>
      <c r="CO44" s="3" t="str">
        <f>CONCATENATE("Borlok",IF(AND('page 1'!M11="Féminin",Pays="Norsca"),"dottir",IF(AND('page 1'!M11="Masculin",Pays="Norsca"),"son",IF(AND('page 1'!M11="Féminin",Pays="Kislev"),"ovna",IF(AND('page 1'!M11="Masculin",Pays="Kislev"),"sky","")))))</f>
        <v>Borlok</v>
      </c>
      <c r="CP44" s="3"/>
      <c r="CQ44" s="3"/>
      <c r="CR44" s="3" t="s">
        <v>13415</v>
      </c>
      <c r="CS44" s="83" t="s">
        <v>11130</v>
      </c>
      <c r="CT44" s="177" t="s">
        <v>15054</v>
      </c>
      <c r="CU44" s="3"/>
      <c r="CV44" s="3"/>
      <c r="CW44" s="3"/>
      <c r="CX44" s="3"/>
      <c r="CY44" s="3" t="s">
        <v>2850</v>
      </c>
      <c r="CZ44" s="3"/>
      <c r="DA44" s="3" t="s">
        <v>12621</v>
      </c>
      <c r="DB44" s="83" t="s">
        <v>12677</v>
      </c>
      <c r="DC44" s="3"/>
      <c r="DD44" s="3" t="s">
        <v>2690</v>
      </c>
      <c r="DE44" s="3" t="s">
        <v>132</v>
      </c>
      <c r="DF44" s="3">
        <f>ROW()</f>
        <v>44</v>
      </c>
      <c r="DG44" s="3" t="s">
        <v>780</v>
      </c>
      <c r="DH44" s="3">
        <f t="shared" si="47"/>
        <v>400</v>
      </c>
      <c r="DI44" s="3">
        <f t="shared" si="48"/>
        <v>300</v>
      </c>
      <c r="DJ44" s="3">
        <f t="shared" si="49"/>
        <v>210</v>
      </c>
      <c r="DK44" s="3">
        <f t="shared" si="50"/>
        <v>120</v>
      </c>
      <c r="DL44" s="3"/>
      <c r="DM44" s="3"/>
      <c r="DN44" s="3"/>
      <c r="DO44" s="83" t="s">
        <v>9593</v>
      </c>
      <c r="DP44" s="3"/>
      <c r="DQ44" s="83" t="s">
        <v>5261</v>
      </c>
      <c r="DR44" s="3"/>
      <c r="DS44" s="3"/>
      <c r="DT44" s="3"/>
      <c r="DU44" s="3"/>
      <c r="DV44" s="3"/>
      <c r="DW44" s="3"/>
      <c r="DX44" s="3"/>
      <c r="DY44" s="3"/>
      <c r="DZ44" s="3" t="s">
        <v>2957</v>
      </c>
      <c r="EA44" s="83" t="s">
        <v>4530</v>
      </c>
      <c r="EB44" s="3"/>
      <c r="ED44" s="83" t="s">
        <v>12448</v>
      </c>
      <c r="EE44" s="83" t="s">
        <v>141</v>
      </c>
      <c r="EF44" s="530" t="s">
        <v>12449</v>
      </c>
      <c r="EG44" s="356" t="str">
        <f>IF(SelectRace="homme-bête","Crocogor","")</f>
        <v/>
      </c>
      <c r="EH44" s="83" t="str">
        <f t="shared" si="52"/>
        <v/>
      </c>
      <c r="EI44" s="83" t="str">
        <f t="shared" si="53"/>
        <v/>
      </c>
      <c r="EJ44" s="83" t="str">
        <f t="shared" si="54"/>
        <v/>
      </c>
      <c r="EK44" s="874" t="s">
        <v>13135</v>
      </c>
      <c r="EM44" s="90" t="s">
        <v>5110</v>
      </c>
      <c r="EN44" s="90" t="s">
        <v>5153</v>
      </c>
      <c r="EO44" s="83" t="s">
        <v>16704</v>
      </c>
      <c r="EP44" s="83" t="s">
        <v>5106</v>
      </c>
      <c r="EQ44" s="481" t="str">
        <f>IF(Pays="Arabie","Ormazd/L'Unique","")</f>
        <v/>
      </c>
      <c r="ER44" s="83" t="str">
        <f t="shared" si="34"/>
        <v/>
      </c>
      <c r="ES44" s="83" t="str">
        <f t="shared" si="35"/>
        <v/>
      </c>
      <c r="ET44" s="530" t="str">
        <f t="shared" si="36"/>
        <v/>
      </c>
      <c r="EU44" s="25" t="str">
        <f>IF(Dieu="Lileath","Initié","")</f>
        <v/>
      </c>
      <c r="EV44" s="83" t="str">
        <f t="shared" si="37"/>
        <v/>
      </c>
      <c r="EW44" s="83" t="str">
        <f t="shared" si="22"/>
        <v/>
      </c>
      <c r="EX44" s="530" t="str">
        <f t="shared" si="23"/>
        <v/>
      </c>
      <c r="EY44" s="83" t="s">
        <v>16039</v>
      </c>
      <c r="EZ44" s="530" t="s">
        <v>16040</v>
      </c>
      <c r="FB44" s="83" t="s">
        <v>14637</v>
      </c>
      <c r="FC44" s="133" t="s">
        <v>16672</v>
      </c>
      <c r="FD44" s="641" t="s">
        <v>4551</v>
      </c>
      <c r="FE44" s="848" t="s">
        <v>149</v>
      </c>
      <c r="FF44">
        <v>60</v>
      </c>
      <c r="FG44">
        <v>0</v>
      </c>
      <c r="FH44">
        <v>60</v>
      </c>
      <c r="FI44">
        <v>60</v>
      </c>
      <c r="FJ44" s="10">
        <v>40</v>
      </c>
      <c r="FK44">
        <v>30</v>
      </c>
      <c r="FL44">
        <v>90</v>
      </c>
      <c r="FM44" s="165">
        <v>15</v>
      </c>
      <c r="FN44" s="88">
        <v>4</v>
      </c>
      <c r="FO44" s="88">
        <v>50</v>
      </c>
      <c r="FP44" s="691">
        <f t="shared" si="57"/>
        <v>6</v>
      </c>
      <c r="FQ44" s="691">
        <f t="shared" si="56"/>
        <v>6</v>
      </c>
      <c r="FR44" s="683" t="s">
        <v>7251</v>
      </c>
      <c r="FS44" s="167">
        <v>0</v>
      </c>
      <c r="FT44" s="167">
        <v>0</v>
      </c>
      <c r="FU44" s="165">
        <v>0</v>
      </c>
      <c r="FV44" s="83" t="s">
        <v>14555</v>
      </c>
      <c r="FW44" s="83" t="s">
        <v>16705</v>
      </c>
      <c r="FX44" s="567" t="s">
        <v>9938</v>
      </c>
      <c r="GA44" t="s">
        <v>7521</v>
      </c>
      <c r="GC44" s="3"/>
      <c r="GE44" s="356"/>
      <c r="GF44" t="s">
        <v>7680</v>
      </c>
      <c r="GG44" s="356" t="s">
        <v>7289</v>
      </c>
      <c r="GH44" s="83" t="s">
        <v>8847</v>
      </c>
      <c r="GI44" s="83" t="s">
        <v>8856</v>
      </c>
      <c r="GJ44" s="83"/>
      <c r="GK44" s="530"/>
    </row>
    <row r="45" spans="8:193" ht="13.2" customHeight="1">
      <c r="H45" s="83" t="s">
        <v>5900</v>
      </c>
      <c r="I45" s="84" t="s">
        <v>5901</v>
      </c>
      <c r="J45" s="3"/>
      <c r="K45" s="3"/>
      <c r="L45" s="3"/>
      <c r="M45" s="651"/>
      <c r="N45" s="3"/>
      <c r="O45" s="3"/>
      <c r="P45" s="3"/>
      <c r="Q45" s="3"/>
      <c r="R45" s="651"/>
      <c r="S45" s="83" t="str">
        <f>IF(CareerType=Y45,"Bestigor",IF(AllCareers="X","Bestigor",IF(FirstCareer="1ère carrière","",IF(SelectRace="homme-bête","Bestigor",""))))</f>
        <v/>
      </c>
      <c r="T45" s="106">
        <f t="shared" si="55"/>
        <v>1</v>
      </c>
      <c r="U45" s="693" t="str">
        <f t="shared" si="26"/>
        <v/>
      </c>
      <c r="V45" s="693" t="str">
        <f t="shared" si="27"/>
        <v/>
      </c>
      <c r="W45" s="693" t="str">
        <f t="shared" si="28"/>
        <v/>
      </c>
      <c r="X45" s="47" t="s">
        <v>2153</v>
      </c>
      <c r="Y45" s="743" t="s">
        <v>7130</v>
      </c>
      <c r="Z45" s="55" t="s">
        <v>2196</v>
      </c>
      <c r="AA45" s="47">
        <v>105</v>
      </c>
      <c r="AB45" s="47" t="s">
        <v>3076</v>
      </c>
      <c r="AC45" s="47"/>
      <c r="AD45" s="15" t="s">
        <v>100</v>
      </c>
      <c r="AE45" s="15" t="s">
        <v>149</v>
      </c>
      <c r="AF45" s="15" t="s">
        <v>101</v>
      </c>
      <c r="AG45" s="15" t="s">
        <v>101</v>
      </c>
      <c r="AH45" s="15" t="s">
        <v>100</v>
      </c>
      <c r="AI45" s="20" t="s">
        <v>114</v>
      </c>
      <c r="AJ45" s="15" t="s">
        <v>100</v>
      </c>
      <c r="AK45" s="18" t="s">
        <v>98</v>
      </c>
      <c r="AL45" s="15" t="s">
        <v>102</v>
      </c>
      <c r="AM45" s="15" t="s">
        <v>112</v>
      </c>
      <c r="AN45" s="15" t="s">
        <v>149</v>
      </c>
      <c r="AO45" s="15" t="s">
        <v>149</v>
      </c>
      <c r="AP45" s="22" t="s">
        <v>771</v>
      </c>
      <c r="AQ45" s="87" t="s">
        <v>734</v>
      </c>
      <c r="AR45" s="22" t="s">
        <v>730</v>
      </c>
      <c r="AS45" s="22" t="s">
        <v>730</v>
      </c>
      <c r="AT45" s="22" t="s">
        <v>3419</v>
      </c>
      <c r="AU45" s="87" t="s">
        <v>5472</v>
      </c>
      <c r="AV45" s="87" t="s">
        <v>4700</v>
      </c>
      <c r="AW45" s="457">
        <v>0</v>
      </c>
      <c r="AX45" s="630" t="str">
        <f t="shared" si="38"/>
        <v/>
      </c>
      <c r="AY45" s="630" t="str">
        <f t="shared" si="39"/>
        <v/>
      </c>
      <c r="AZ45" s="630" t="str">
        <f t="shared" si="40"/>
        <v/>
      </c>
      <c r="BA45" s="3"/>
      <c r="BB45" s="3"/>
      <c r="BC45" s="3"/>
      <c r="BD45" s="3"/>
      <c r="BE45" s="3"/>
      <c r="BF45" s="3"/>
      <c r="BG45" s="3"/>
      <c r="BH45" s="3"/>
      <c r="BI45" s="3"/>
      <c r="BJ45" s="3"/>
      <c r="BK45" s="3"/>
      <c r="BL45" s="3"/>
      <c r="BM45" s="3">
        <v>53</v>
      </c>
      <c r="BN45" s="3"/>
      <c r="BO45" s="3" t="s">
        <v>1015</v>
      </c>
      <c r="BP45" s="83" t="s">
        <v>11818</v>
      </c>
      <c r="BQ45" s="3" t="s">
        <v>11850</v>
      </c>
      <c r="BR45" s="83"/>
      <c r="BS45" s="83"/>
      <c r="BT45" s="83"/>
      <c r="BU45" s="3"/>
      <c r="BV45" s="3"/>
      <c r="BW45" s="3"/>
      <c r="BX45" s="3" t="str">
        <f>IF(Province="Ligue de l'Ostermark","Ferme (élevage) d'Ligue de l'Ostermark","")</f>
        <v/>
      </c>
      <c r="BY45" t="str">
        <f t="shared" si="33"/>
        <v/>
      </c>
      <c r="BZ45" s="83" t="str">
        <f t="shared" si="7"/>
        <v/>
      </c>
      <c r="CA45" s="83" t="str">
        <f t="shared" si="8"/>
        <v/>
      </c>
      <c r="CB45" s="530" t="str">
        <f t="shared" si="9"/>
        <v/>
      </c>
      <c r="CC45" s="3" t="s">
        <v>10707</v>
      </c>
      <c r="CD45" t="s">
        <v>10662</v>
      </c>
      <c r="CE45" s="83" t="s">
        <v>897</v>
      </c>
      <c r="CF45" s="3" t="s">
        <v>883</v>
      </c>
      <c r="CG45" s="3" t="s">
        <v>886</v>
      </c>
      <c r="CH45" s="3" t="s">
        <v>5943</v>
      </c>
      <c r="CI45" s="83" t="s">
        <v>15082</v>
      </c>
      <c r="CJ45" s="3" t="s">
        <v>882</v>
      </c>
      <c r="CK45" s="3" t="s">
        <v>6733</v>
      </c>
      <c r="CL45" s="3" t="s">
        <v>6495</v>
      </c>
      <c r="CM45" s="83" t="s">
        <v>10266</v>
      </c>
      <c r="CN45" s="3" t="s">
        <v>6589</v>
      </c>
      <c r="CO45" s="3" t="s">
        <v>10902</v>
      </c>
      <c r="CP45" s="3"/>
      <c r="CQ45" s="3"/>
      <c r="CR45" s="3" t="s">
        <v>13416</v>
      </c>
      <c r="CS45" s="3" t="s">
        <v>11131</v>
      </c>
      <c r="CT45" s="83" t="s">
        <v>1496</v>
      </c>
      <c r="CU45" s="3"/>
      <c r="CV45" s="3"/>
      <c r="CW45" s="3"/>
      <c r="CX45" s="3"/>
      <c r="CY45" s="3" t="s">
        <v>408</v>
      </c>
      <c r="CZ45" s="3"/>
      <c r="DA45" s="3" t="s">
        <v>12622</v>
      </c>
      <c r="DB45" s="83" t="s">
        <v>12742</v>
      </c>
      <c r="DC45" s="3"/>
      <c r="DD45" s="3" t="s">
        <v>2716</v>
      </c>
      <c r="DE45" s="3" t="s">
        <v>133</v>
      </c>
      <c r="DF45" s="3">
        <f>ROW()</f>
        <v>45</v>
      </c>
      <c r="DG45" s="3" t="s">
        <v>2174</v>
      </c>
      <c r="DH45" s="3">
        <f t="shared" si="47"/>
        <v>135</v>
      </c>
      <c r="DI45" s="3">
        <f t="shared" si="48"/>
        <v>115</v>
      </c>
      <c r="DJ45" s="3">
        <f t="shared" si="49"/>
        <v>95</v>
      </c>
      <c r="DK45" s="3">
        <f t="shared" si="50"/>
        <v>75</v>
      </c>
      <c r="DL45" s="3"/>
      <c r="DM45" s="3"/>
      <c r="DN45" s="3"/>
      <c r="DO45" s="83" t="s">
        <v>5453</v>
      </c>
      <c r="DP45" s="3"/>
      <c r="DQ45" s="3"/>
      <c r="DR45" s="3"/>
      <c r="DS45" s="3"/>
      <c r="DT45" s="3"/>
      <c r="DU45" s="3"/>
      <c r="DV45" s="3"/>
      <c r="DW45" s="3"/>
      <c r="DX45" s="3"/>
      <c r="DY45" s="3"/>
      <c r="DZ45" s="3" t="s">
        <v>2958</v>
      </c>
      <c r="EA45" s="83" t="s">
        <v>4530</v>
      </c>
      <c r="EB45" s="3"/>
      <c r="ED45" s="3" t="s">
        <v>12831</v>
      </c>
      <c r="EE45" s="83" t="s">
        <v>141</v>
      </c>
      <c r="EF45" s="530" t="s">
        <v>12832</v>
      </c>
      <c r="EG45" s="356" t="str">
        <f>IF(SelectRace="homme-bête","Dracogor","")</f>
        <v/>
      </c>
      <c r="EH45" s="83" t="str">
        <f t="shared" si="52"/>
        <v/>
      </c>
      <c r="EI45" s="83" t="str">
        <f t="shared" si="53"/>
        <v/>
      </c>
      <c r="EJ45" s="83" t="str">
        <f t="shared" si="54"/>
        <v/>
      </c>
      <c r="EK45" s="874" t="s">
        <v>13224</v>
      </c>
      <c r="EM45" s="90" t="s">
        <v>5109</v>
      </c>
      <c r="EN45" s="90" t="s">
        <v>5153</v>
      </c>
      <c r="EO45" t="s">
        <v>5121</v>
      </c>
      <c r="EP45" s="83" t="s">
        <v>5106</v>
      </c>
      <c r="EQ45" s="481" t="str">
        <f>IF(Pays="Arabie","Osir","")</f>
        <v/>
      </c>
      <c r="ER45" s="83" t="str">
        <f t="shared" si="34"/>
        <v/>
      </c>
      <c r="ES45" s="83" t="str">
        <f t="shared" si="35"/>
        <v/>
      </c>
      <c r="ET45" s="530" t="str">
        <f t="shared" si="36"/>
        <v/>
      </c>
      <c r="EU45" s="25" t="str">
        <f>IF(Dieu="Lileath","Prêtre","")</f>
        <v/>
      </c>
      <c r="EV45" s="83" t="str">
        <f t="shared" si="37"/>
        <v/>
      </c>
      <c r="EW45" s="83" t="str">
        <f t="shared" si="22"/>
        <v/>
      </c>
      <c r="EX45" s="530" t="str">
        <f t="shared" si="23"/>
        <v/>
      </c>
      <c r="EY45" t="s">
        <v>11339</v>
      </c>
      <c r="EZ45" s="530" t="s">
        <v>16041</v>
      </c>
      <c r="FB45" s="83" t="s">
        <v>14638</v>
      </c>
      <c r="FC45" s="133" t="s">
        <v>16672</v>
      </c>
      <c r="FD45" s="641" t="s">
        <v>4551</v>
      </c>
      <c r="FE45" s="848" t="s">
        <v>149</v>
      </c>
      <c r="FF45">
        <v>50</v>
      </c>
      <c r="FG45">
        <v>0</v>
      </c>
      <c r="FH45">
        <v>50</v>
      </c>
      <c r="FI45">
        <v>50</v>
      </c>
      <c r="FJ45" s="10">
        <v>40</v>
      </c>
      <c r="FK45">
        <v>40</v>
      </c>
      <c r="FL45">
        <v>80</v>
      </c>
      <c r="FM45" s="165">
        <v>15</v>
      </c>
      <c r="FN45" s="88">
        <v>4</v>
      </c>
      <c r="FO45" s="88">
        <v>50</v>
      </c>
      <c r="FP45" s="691">
        <f t="shared" si="57"/>
        <v>5</v>
      </c>
      <c r="FQ45" s="691">
        <f t="shared" si="56"/>
        <v>5</v>
      </c>
      <c r="FR45" s="683" t="s">
        <v>7251</v>
      </c>
      <c r="FS45" s="167">
        <v>0</v>
      </c>
      <c r="FT45" s="167">
        <v>0</v>
      </c>
      <c r="FU45" s="165">
        <v>0</v>
      </c>
      <c r="FV45" s="83" t="s">
        <v>14555</v>
      </c>
      <c r="FW45" s="83" t="s">
        <v>16706</v>
      </c>
      <c r="FX45" s="567" t="s">
        <v>9938</v>
      </c>
      <c r="GA45" s="83" t="s">
        <v>7599</v>
      </c>
      <c r="GC45" s="3"/>
      <c r="GE45" s="356"/>
      <c r="GF45" t="s">
        <v>8189</v>
      </c>
      <c r="GG45" s="356" t="s">
        <v>8848</v>
      </c>
      <c r="GH45" s="83" t="s">
        <v>8847</v>
      </c>
      <c r="GI45" s="83" t="s">
        <v>8856</v>
      </c>
      <c r="GJ45" s="83"/>
      <c r="GK45" s="530"/>
    </row>
    <row r="46" spans="8:193" ht="13.2" customHeight="1">
      <c r="H46" s="83" t="s">
        <v>16707</v>
      </c>
      <c r="I46" s="6" t="s">
        <v>2901</v>
      </c>
      <c r="J46" s="3"/>
      <c r="K46" s="3"/>
      <c r="L46" s="3"/>
      <c r="M46" s="651"/>
      <c r="N46" s="3"/>
      <c r="O46" s="3"/>
      <c r="P46" s="3"/>
      <c r="Q46" s="3"/>
      <c r="R46" s="651"/>
      <c r="S46" s="83" t="str">
        <f>IF(CareerType=Y46,"Bourgeois",IF(AllCareers="X","Bourgeois",IF(OR(SelectRace="homme-bête",SelectRace="peau-verte",SelectRace="créature du chaos",SelectRace="Homme-lézard",SelectRace="skaven"),"",IF(Pays="Désolations du Chaos","",IF(OR(SelectRace="Nain",SelectRace="Halfling",SelectRace="Humain",SelectRace="Vampire"),"Bourgeois",IF(Selectsousrace="","",""))))))</f>
        <v/>
      </c>
      <c r="T46" s="106">
        <f t="shared" si="55"/>
        <v>0</v>
      </c>
      <c r="U46" s="693" t="str">
        <f t="shared" si="26"/>
        <v/>
      </c>
      <c r="V46" s="693" t="str">
        <f t="shared" si="27"/>
        <v/>
      </c>
      <c r="W46" s="693" t="str">
        <f t="shared" si="28"/>
        <v/>
      </c>
      <c r="X46" s="47" t="s">
        <v>2160</v>
      </c>
      <c r="Y46" s="743" t="s">
        <v>7131</v>
      </c>
      <c r="Z46" s="55" t="s">
        <v>2200</v>
      </c>
      <c r="AA46" s="47">
        <v>34</v>
      </c>
      <c r="AB46" s="47" t="s">
        <v>2233</v>
      </c>
      <c r="AC46" s="47">
        <v>36</v>
      </c>
      <c r="AD46" s="20" t="s">
        <v>114</v>
      </c>
      <c r="AE46" s="15" t="s">
        <v>149</v>
      </c>
      <c r="AF46" s="15" t="s">
        <v>149</v>
      </c>
      <c r="AG46" s="15" t="s">
        <v>149</v>
      </c>
      <c r="AH46" s="15" t="s">
        <v>114</v>
      </c>
      <c r="AI46" s="15" t="s">
        <v>98</v>
      </c>
      <c r="AJ46" s="15" t="s">
        <v>114</v>
      </c>
      <c r="AK46" s="18" t="s">
        <v>114</v>
      </c>
      <c r="AL46" s="15" t="s">
        <v>149</v>
      </c>
      <c r="AM46" s="15" t="s">
        <v>113</v>
      </c>
      <c r="AN46" s="15" t="s">
        <v>149</v>
      </c>
      <c r="AO46" s="15" t="s">
        <v>149</v>
      </c>
      <c r="AP46" s="87" t="s">
        <v>15746</v>
      </c>
      <c r="AQ46" s="87" t="s">
        <v>734</v>
      </c>
      <c r="AR46" s="22" t="s">
        <v>2234</v>
      </c>
      <c r="AS46" s="87" t="s">
        <v>734</v>
      </c>
      <c r="AT46" s="22" t="s">
        <v>3420</v>
      </c>
      <c r="AU46" s="87" t="s">
        <v>16708</v>
      </c>
      <c r="AV46" s="87" t="s">
        <v>4563</v>
      </c>
      <c r="AW46" s="457">
        <v>0</v>
      </c>
      <c r="AX46" s="630" t="str">
        <f t="shared" si="38"/>
        <v/>
      </c>
      <c r="AY46" s="630" t="str">
        <f t="shared" si="39"/>
        <v/>
      </c>
      <c r="AZ46" s="630" t="str">
        <f t="shared" si="40"/>
        <v/>
      </c>
      <c r="BA46" s="3"/>
      <c r="BB46" s="3"/>
      <c r="BC46" s="3"/>
      <c r="BD46" s="3"/>
      <c r="BE46" s="3"/>
      <c r="BF46" s="3"/>
      <c r="BG46" s="3"/>
      <c r="BH46" s="3"/>
      <c r="BI46" s="3"/>
      <c r="BJ46" s="3"/>
      <c r="BK46" s="3"/>
      <c r="BL46" s="3"/>
      <c r="BM46" s="3">
        <v>54</v>
      </c>
      <c r="BN46" s="3"/>
      <c r="BO46" s="3" t="s">
        <v>1014</v>
      </c>
      <c r="BP46" s="83" t="s">
        <v>11819</v>
      </c>
      <c r="BQ46" s="3" t="s">
        <v>11851</v>
      </c>
      <c r="BR46" s="3"/>
      <c r="BS46" s="3"/>
      <c r="BT46" s="83"/>
      <c r="BU46" s="3"/>
      <c r="BV46" s="3"/>
      <c r="BW46" s="3"/>
      <c r="BX46" s="3" t="str">
        <f>IF(Province="Grande principauté d'Ostland","Ferme (élevage) d'Grande principauté d'Ostland","")</f>
        <v/>
      </c>
      <c r="BY46" t="str">
        <f t="shared" si="33"/>
        <v/>
      </c>
      <c r="BZ46" s="83" t="str">
        <f t="shared" si="7"/>
        <v/>
      </c>
      <c r="CA46" s="83" t="str">
        <f t="shared" si="8"/>
        <v/>
      </c>
      <c r="CB46" s="530" t="str">
        <f t="shared" si="9"/>
        <v/>
      </c>
      <c r="CC46" s="3" t="s">
        <v>10708</v>
      </c>
      <c r="CD46" s="3" t="s">
        <v>3164</v>
      </c>
      <c r="CE46" s="83" t="s">
        <v>12308</v>
      </c>
      <c r="CF46" s="83" t="s">
        <v>10219</v>
      </c>
      <c r="CG46" s="3" t="s">
        <v>6159</v>
      </c>
      <c r="CH46" s="3" t="s">
        <v>5944</v>
      </c>
      <c r="CI46" s="3" t="s">
        <v>933</v>
      </c>
      <c r="CJ46" s="83" t="s">
        <v>10185</v>
      </c>
      <c r="CK46" s="3" t="s">
        <v>6779</v>
      </c>
      <c r="CL46" s="3" t="s">
        <v>6505</v>
      </c>
      <c r="CM46" s="83" t="s">
        <v>10267</v>
      </c>
      <c r="CN46" s="3" t="s">
        <v>6584</v>
      </c>
      <c r="CO46" s="3" t="s">
        <v>10918</v>
      </c>
      <c r="CP46" s="3"/>
      <c r="CQ46" s="3"/>
      <c r="CR46" s="3" t="s">
        <v>13417</v>
      </c>
      <c r="CS46" s="83" t="s">
        <v>15017</v>
      </c>
      <c r="CT46" s="83" t="s">
        <v>803</v>
      </c>
      <c r="CU46" s="3"/>
      <c r="CV46" s="3"/>
      <c r="CW46" s="3"/>
      <c r="CX46" s="3"/>
      <c r="CY46" s="3" t="s">
        <v>9516</v>
      </c>
      <c r="CZ46" s="3"/>
      <c r="DA46" s="3" t="s">
        <v>2537</v>
      </c>
      <c r="DB46" s="83" t="s">
        <v>12743</v>
      </c>
      <c r="DC46" s="3"/>
      <c r="DD46" s="83" t="s">
        <v>16514</v>
      </c>
      <c r="DE46" s="83" t="s">
        <v>135</v>
      </c>
      <c r="DF46" s="3">
        <f>ROW()</f>
        <v>46</v>
      </c>
      <c r="DG46" s="3" t="s">
        <v>2680</v>
      </c>
      <c r="DH46" s="3">
        <f t="shared" si="47"/>
        <v>750</v>
      </c>
      <c r="DI46" s="3">
        <f t="shared" si="48"/>
        <v>565</v>
      </c>
      <c r="DJ46" s="3">
        <f t="shared" si="49"/>
        <v>380</v>
      </c>
      <c r="DK46" s="3">
        <f t="shared" si="50"/>
        <v>195</v>
      </c>
      <c r="DL46" s="3"/>
      <c r="DM46" s="3"/>
      <c r="DN46" s="3"/>
      <c r="DO46" s="3" t="s">
        <v>3078</v>
      </c>
      <c r="DP46" s="3"/>
      <c r="DQ46" s="3"/>
      <c r="DR46" s="3"/>
      <c r="DS46" s="3"/>
      <c r="DT46" s="3"/>
      <c r="DU46" s="3"/>
      <c r="DV46" s="3"/>
      <c r="DW46" s="3"/>
      <c r="DX46" s="3"/>
      <c r="DY46" s="3"/>
      <c r="DZ46" s="3" t="s">
        <v>2959</v>
      </c>
      <c r="EA46" s="83" t="s">
        <v>4530</v>
      </c>
      <c r="EB46" s="3"/>
      <c r="ED46" s="3" t="s">
        <v>12829</v>
      </c>
      <c r="EE46" s="83" t="s">
        <v>141</v>
      </c>
      <c r="EF46" s="530" t="s">
        <v>12830</v>
      </c>
      <c r="EG46" s="356" t="str">
        <f>IF(SelectRace="homme-bête","Ghorgon","")</f>
        <v/>
      </c>
      <c r="EH46" s="83" t="str">
        <f t="shared" si="52"/>
        <v/>
      </c>
      <c r="EI46" s="83" t="str">
        <f t="shared" si="53"/>
        <v/>
      </c>
      <c r="EJ46" s="83" t="str">
        <f t="shared" si="54"/>
        <v/>
      </c>
      <c r="EK46" s="874" t="s">
        <v>13142</v>
      </c>
      <c r="EM46" s="90" t="s">
        <v>5108</v>
      </c>
      <c r="EN46" s="90" t="s">
        <v>5153</v>
      </c>
      <c r="EO46" t="s">
        <v>5120</v>
      </c>
      <c r="EP46" s="83" t="s">
        <v>5106</v>
      </c>
      <c r="EQ46" s="77" t="str">
        <f>IF(OR(Pays="Lustrie",Pays="Terres du Sud"),"Potek","")</f>
        <v/>
      </c>
      <c r="ER46" s="83" t="str">
        <f t="shared" si="34"/>
        <v/>
      </c>
      <c r="ES46" s="83" t="str">
        <f t="shared" si="35"/>
        <v/>
      </c>
      <c r="ET46" s="530" t="str">
        <f t="shared" si="36"/>
        <v/>
      </c>
      <c r="EU46" s="177" t="str">
        <f>IF(Dieu="Mordig/le Grand Ghul","Adepte/Croyant","")</f>
        <v/>
      </c>
      <c r="EV46" s="83" t="str">
        <f t="shared" si="37"/>
        <v/>
      </c>
      <c r="EW46" s="83" t="str">
        <f t="shared" si="22"/>
        <v/>
      </c>
      <c r="EX46" s="530" t="str">
        <f t="shared" si="23"/>
        <v/>
      </c>
      <c r="EZ46" s="530" t="s">
        <v>10145</v>
      </c>
      <c r="FB46" s="83" t="s">
        <v>15458</v>
      </c>
      <c r="FC46" s="133" t="s">
        <v>16672</v>
      </c>
      <c r="FD46" s="85" t="s">
        <v>2217</v>
      </c>
      <c r="FE46" s="849">
        <v>125</v>
      </c>
      <c r="FF46">
        <v>35</v>
      </c>
      <c r="FG46">
        <v>0</v>
      </c>
      <c r="FH46">
        <v>74</v>
      </c>
      <c r="FI46">
        <v>76</v>
      </c>
      <c r="FJ46" s="10">
        <v>54</v>
      </c>
      <c r="FK46">
        <v>2</v>
      </c>
      <c r="FL46">
        <v>56</v>
      </c>
      <c r="FM46" s="165">
        <v>0</v>
      </c>
      <c r="FN46" s="88">
        <v>8</v>
      </c>
      <c r="FO46" s="88">
        <v>24</v>
      </c>
      <c r="FP46" s="691">
        <f t="shared" si="57"/>
        <v>7</v>
      </c>
      <c r="FQ46" s="691">
        <f t="shared" si="56"/>
        <v>7</v>
      </c>
      <c r="FR46" s="10">
        <v>3</v>
      </c>
      <c r="FS46" s="167">
        <v>0</v>
      </c>
      <c r="FT46" s="167">
        <v>0</v>
      </c>
      <c r="FU46" s="165">
        <v>0</v>
      </c>
      <c r="FV46" s="83" t="s">
        <v>15459</v>
      </c>
      <c r="FW46" s="83" t="s">
        <v>15460</v>
      </c>
      <c r="FX46" s="530" t="s">
        <v>15461</v>
      </c>
      <c r="GA46" s="83" t="s">
        <v>16709</v>
      </c>
      <c r="GC46" s="3"/>
      <c r="GE46" s="356"/>
      <c r="GF46" t="s">
        <v>8190</v>
      </c>
      <c r="GG46" s="356" t="s">
        <v>8851</v>
      </c>
      <c r="GH46" s="83" t="s">
        <v>8847</v>
      </c>
      <c r="GI46" s="83" t="s">
        <v>8856</v>
      </c>
      <c r="GJ46" s="83"/>
      <c r="GK46" s="530"/>
    </row>
    <row r="47" spans="8:193" ht="13.2" customHeight="1">
      <c r="H47" s="83" t="s">
        <v>3837</v>
      </c>
      <c r="I47" s="3" t="s">
        <v>3839</v>
      </c>
      <c r="J47" s="3"/>
      <c r="K47" s="3"/>
      <c r="L47" s="3"/>
      <c r="M47" s="651"/>
      <c r="N47" s="3"/>
      <c r="O47" s="3"/>
      <c r="P47" s="3"/>
      <c r="Q47" s="3"/>
      <c r="R47" s="651"/>
      <c r="S47" s="83" t="str">
        <f>IF(CareerType=Y47,"Bourreau",IF(AllCareers="X","Bourreau",IF(Selectsousrace="","",IF(FirstCareer="1ère carrière","","Bourreau"))))</f>
        <v/>
      </c>
      <c r="T47" s="106">
        <f t="shared" si="55"/>
        <v>1</v>
      </c>
      <c r="U47" s="693" t="str">
        <f t="shared" si="26"/>
        <v/>
      </c>
      <c r="V47" s="693" t="str">
        <f t="shared" si="27"/>
        <v/>
      </c>
      <c r="W47" s="693" t="str">
        <f t="shared" si="28"/>
        <v/>
      </c>
      <c r="X47" s="47" t="s">
        <v>2153</v>
      </c>
      <c r="Y47" s="743" t="s">
        <v>7132</v>
      </c>
      <c r="Z47" s="55" t="s">
        <v>2200</v>
      </c>
      <c r="AA47" s="47">
        <v>64</v>
      </c>
      <c r="AB47" s="47" t="s">
        <v>2461</v>
      </c>
      <c r="AC47" s="47">
        <v>114</v>
      </c>
      <c r="AD47" s="15" t="s">
        <v>101</v>
      </c>
      <c r="AE47" s="15" t="s">
        <v>149</v>
      </c>
      <c r="AF47" s="15" t="s">
        <v>100</v>
      </c>
      <c r="AG47" s="15" t="s">
        <v>98</v>
      </c>
      <c r="AH47" s="15" t="s">
        <v>98</v>
      </c>
      <c r="AI47" s="15" t="s">
        <v>98</v>
      </c>
      <c r="AJ47" s="15" t="s">
        <v>100</v>
      </c>
      <c r="AK47" s="18" t="s">
        <v>101</v>
      </c>
      <c r="AL47" s="15" t="s">
        <v>149</v>
      </c>
      <c r="AM47" s="15" t="s">
        <v>103</v>
      </c>
      <c r="AN47" s="15" t="s">
        <v>149</v>
      </c>
      <c r="AO47" s="15" t="s">
        <v>149</v>
      </c>
      <c r="AP47" s="87" t="s">
        <v>4954</v>
      </c>
      <c r="AQ47" s="87" t="s">
        <v>734</v>
      </c>
      <c r="AR47" s="22" t="s">
        <v>731</v>
      </c>
      <c r="AS47" s="87" t="s">
        <v>734</v>
      </c>
      <c r="AT47" s="22" t="s">
        <v>3421</v>
      </c>
      <c r="AU47" s="87" t="s">
        <v>5354</v>
      </c>
      <c r="AV47" s="87" t="s">
        <v>4595</v>
      </c>
      <c r="AW47" s="457">
        <v>0</v>
      </c>
      <c r="AX47" s="630" t="str">
        <f t="shared" si="38"/>
        <v/>
      </c>
      <c r="AY47" s="630" t="str">
        <f t="shared" si="39"/>
        <v/>
      </c>
      <c r="AZ47" s="630" t="str">
        <f t="shared" si="40"/>
        <v/>
      </c>
      <c r="BA47" s="3"/>
      <c r="BB47" s="3"/>
      <c r="BC47" s="3"/>
      <c r="BD47" s="3"/>
      <c r="BE47" s="3"/>
      <c r="BF47" s="3"/>
      <c r="BG47" s="3"/>
      <c r="BH47" s="3"/>
      <c r="BI47" s="3"/>
      <c r="BJ47" s="3"/>
      <c r="BK47" s="3"/>
      <c r="BL47" s="3"/>
      <c r="BM47" s="3">
        <v>55</v>
      </c>
      <c r="BN47" s="3"/>
      <c r="BO47" s="83" t="s">
        <v>10800</v>
      </c>
      <c r="BP47" s="3"/>
      <c r="BQ47" s="83" t="s">
        <v>11852</v>
      </c>
      <c r="BR47" s="3"/>
      <c r="BS47" s="3"/>
      <c r="BT47" s="83"/>
      <c r="BU47" s="3"/>
      <c r="BV47" s="3"/>
      <c r="BW47" s="3"/>
      <c r="BX47" s="3" t="str">
        <f>IF(Province="Grands-duchés de Middenheim et du Middenland","Petite communauté de Grands-duchés de Middenheim et du Middenland","")</f>
        <v/>
      </c>
      <c r="BY47" t="str">
        <f t="shared" si="33"/>
        <v/>
      </c>
      <c r="BZ47" s="83" t="str">
        <f t="shared" si="7"/>
        <v/>
      </c>
      <c r="CA47" s="83" t="str">
        <f t="shared" si="8"/>
        <v/>
      </c>
      <c r="CB47" s="530" t="str">
        <f t="shared" si="9"/>
        <v/>
      </c>
      <c r="CC47" s="3" t="s">
        <v>10709</v>
      </c>
      <c r="CD47" s="3" t="s">
        <v>3165</v>
      </c>
      <c r="CE47" t="s">
        <v>10764</v>
      </c>
      <c r="CG47" s="3" t="s">
        <v>6160</v>
      </c>
      <c r="CH47" s="3" t="s">
        <v>5945</v>
      </c>
      <c r="CI47" s="3" t="s">
        <v>934</v>
      </c>
      <c r="CJ47" s="83" t="s">
        <v>10186</v>
      </c>
      <c r="CK47" s="3" t="s">
        <v>6931</v>
      </c>
      <c r="CL47" s="3" t="s">
        <v>6478</v>
      </c>
      <c r="CM47" s="3" t="s">
        <v>6622</v>
      </c>
      <c r="CN47" s="3" t="s">
        <v>6545</v>
      </c>
      <c r="CO47" s="3" t="s">
        <v>10901</v>
      </c>
      <c r="CP47" s="3"/>
      <c r="CQ47" s="3"/>
      <c r="CR47" s="3" t="s">
        <v>13418</v>
      </c>
      <c r="CS47" s="3" t="s">
        <v>15032</v>
      </c>
      <c r="CT47" s="136" t="s">
        <v>14603</v>
      </c>
      <c r="CU47" s="3"/>
      <c r="CV47" s="3"/>
      <c r="CW47" s="3"/>
      <c r="CX47" s="3"/>
      <c r="CY47" s="83" t="s">
        <v>9460</v>
      </c>
      <c r="CZ47" s="3"/>
      <c r="DA47" s="3" t="s">
        <v>12623</v>
      </c>
      <c r="DB47" s="83" t="s">
        <v>12679</v>
      </c>
      <c r="DC47" s="3"/>
      <c r="DD47" s="83" t="s">
        <v>11185</v>
      </c>
      <c r="DE47" s="3" t="s">
        <v>132</v>
      </c>
      <c r="DF47" s="3">
        <f>ROW()</f>
        <v>47</v>
      </c>
      <c r="DG47" s="3" t="s">
        <v>780</v>
      </c>
      <c r="DH47" s="3">
        <f t="shared" si="47"/>
        <v>400</v>
      </c>
      <c r="DI47" s="3">
        <f t="shared" si="48"/>
        <v>300</v>
      </c>
      <c r="DJ47" s="3">
        <f t="shared" si="49"/>
        <v>210</v>
      </c>
      <c r="DK47" s="3">
        <f t="shared" si="50"/>
        <v>120</v>
      </c>
      <c r="DL47" s="3"/>
      <c r="DM47" s="3"/>
      <c r="DN47" s="3"/>
      <c r="DO47" s="3" t="s">
        <v>2753</v>
      </c>
      <c r="DP47" s="3"/>
      <c r="DQ47" s="3"/>
      <c r="DR47" s="3"/>
      <c r="DS47" s="3"/>
      <c r="DT47" s="3"/>
      <c r="DU47" s="3"/>
      <c r="DV47" s="3"/>
      <c r="DW47" s="3"/>
      <c r="DX47" s="3"/>
      <c r="DY47" s="3"/>
      <c r="DZ47" s="3" t="s">
        <v>2961</v>
      </c>
      <c r="EA47" s="83" t="s">
        <v>4530</v>
      </c>
      <c r="EB47" s="3"/>
      <c r="ED47" s="3" t="s">
        <v>12828</v>
      </c>
      <c r="EE47" s="83" t="s">
        <v>141</v>
      </c>
      <c r="EF47" s="530" t="s">
        <v>9555</v>
      </c>
      <c r="EG47" s="356" t="str">
        <f>IF(SelectRace="homme-bête","Gorol","")</f>
        <v/>
      </c>
      <c r="EH47" s="83" t="str">
        <f t="shared" si="52"/>
        <v/>
      </c>
      <c r="EI47" s="83" t="str">
        <f t="shared" si="53"/>
        <v/>
      </c>
      <c r="EJ47" s="83" t="str">
        <f t="shared" si="54"/>
        <v/>
      </c>
      <c r="EK47" s="874" t="s">
        <v>13134</v>
      </c>
      <c r="EM47" s="90" t="s">
        <v>5157</v>
      </c>
      <c r="EN47" s="90" t="s">
        <v>5154</v>
      </c>
      <c r="EO47" t="s">
        <v>5145</v>
      </c>
      <c r="EP47" s="83" t="s">
        <v>5132</v>
      </c>
      <c r="EQ47" s="481" t="str">
        <f>IF(Pays="Nippon","Daikakuten",IF(Pays="Inja","Yama",IF(Pays="Kislev","",IF(OR(Pays="Terres des morts",Pays="Arabie"),"Nephtys","Ranald"))))</f>
        <v>Ranald</v>
      </c>
      <c r="ER47" s="83">
        <f t="shared" si="34"/>
        <v>47</v>
      </c>
      <c r="ES47" s="83" t="str">
        <f t="shared" si="35"/>
        <v/>
      </c>
      <c r="ET47" s="530" t="str">
        <f t="shared" si="36"/>
        <v/>
      </c>
      <c r="EU47" s="177" t="str">
        <f>IF(Dieu="Mordig/le Grand Ghul","Culte Mortuaire","")</f>
        <v/>
      </c>
      <c r="EV47" s="83" t="str">
        <f t="shared" si="37"/>
        <v/>
      </c>
      <c r="EW47" s="83" t="str">
        <f t="shared" si="22"/>
        <v/>
      </c>
      <c r="EX47" s="530" t="str">
        <f t="shared" si="23"/>
        <v/>
      </c>
      <c r="EY47" s="83" t="s">
        <v>11787</v>
      </c>
      <c r="EZ47" s="530" t="s">
        <v>10144</v>
      </c>
      <c r="FB47" s="83" t="s">
        <v>13032</v>
      </c>
      <c r="FC47" s="133" t="s">
        <v>16672</v>
      </c>
      <c r="FD47" s="85" t="s">
        <v>16190</v>
      </c>
      <c r="FE47" s="848" t="s">
        <v>16191</v>
      </c>
      <c r="FF47">
        <v>29</v>
      </c>
      <c r="FG47">
        <v>0</v>
      </c>
      <c r="FH47">
        <v>77</v>
      </c>
      <c r="FI47">
        <v>64</v>
      </c>
      <c r="FJ47" s="10">
        <v>45</v>
      </c>
      <c r="FK47">
        <v>16</v>
      </c>
      <c r="FL47">
        <v>50</v>
      </c>
      <c r="FM47" s="165">
        <v>1</v>
      </c>
      <c r="FN47" s="88">
        <v>4</v>
      </c>
      <c r="FO47" s="88">
        <v>54</v>
      </c>
      <c r="FP47" s="164">
        <f t="shared" si="57"/>
        <v>7</v>
      </c>
      <c r="FQ47" s="164">
        <f t="shared" si="56"/>
        <v>6</v>
      </c>
      <c r="FR47" s="684">
        <v>6</v>
      </c>
      <c r="FS47" s="167">
        <v>0</v>
      </c>
      <c r="FT47" s="167">
        <v>0</v>
      </c>
      <c r="FU47" s="165">
        <v>0</v>
      </c>
      <c r="FV47" s="83" t="s">
        <v>16192</v>
      </c>
      <c r="FW47" s="83" t="s">
        <v>16710</v>
      </c>
      <c r="FX47" s="567" t="s">
        <v>9938</v>
      </c>
      <c r="GA47" t="s">
        <v>7542</v>
      </c>
      <c r="GC47" s="3"/>
      <c r="GE47" s="356"/>
      <c r="GF47" t="s">
        <v>8155</v>
      </c>
      <c r="GG47" s="356" t="s">
        <v>8849</v>
      </c>
      <c r="GH47" s="83" t="s">
        <v>8847</v>
      </c>
      <c r="GI47" s="83" t="s">
        <v>8856</v>
      </c>
      <c r="GJ47" s="83"/>
      <c r="GK47" s="530"/>
    </row>
    <row r="48" spans="8:193" ht="13.2" customHeight="1">
      <c r="H48" s="85" t="s">
        <v>16711</v>
      </c>
      <c r="I48" s="353" t="s">
        <v>2876</v>
      </c>
      <c r="J48" s="3"/>
      <c r="K48" s="3"/>
      <c r="L48" s="3"/>
      <c r="M48" s="651"/>
      <c r="N48" s="3"/>
      <c r="O48" s="3"/>
      <c r="P48" s="3"/>
      <c r="Q48" s="3"/>
      <c r="R48" s="651"/>
      <c r="S48" s="83" t="str">
        <f>IF(CareerType=Y25,"Brute",IF(AllCareers="X","Brute",IF(OR(Selectsousrace="",SelectRace="skaven",SelectRace="homme-bête",SelectRace="peau-verte",SelectRace="créature du chaos",SelectRace="Homme-lézard"),"",IF(FirstCareer="1ère carrière","","Brute"))))</f>
        <v/>
      </c>
      <c r="T48" s="106">
        <v>3</v>
      </c>
      <c r="U48" s="693" t="str">
        <f t="shared" si="26"/>
        <v/>
      </c>
      <c r="V48" s="693" t="str">
        <f t="shared" si="27"/>
        <v/>
      </c>
      <c r="W48" s="693" t="str">
        <f t="shared" si="28"/>
        <v/>
      </c>
      <c r="X48" s="111" t="s">
        <v>2153</v>
      </c>
      <c r="Y48" s="744" t="s">
        <v>7133</v>
      </c>
      <c r="Z48" s="56" t="s">
        <v>2200</v>
      </c>
      <c r="AA48" s="2">
        <v>225</v>
      </c>
      <c r="AB48" s="2" t="s">
        <v>15828</v>
      </c>
      <c r="AD48" s="16" t="s">
        <v>100</v>
      </c>
      <c r="AE48" s="16" t="s">
        <v>98</v>
      </c>
      <c r="AF48" s="16" t="s">
        <v>101</v>
      </c>
      <c r="AG48" s="16" t="s">
        <v>101</v>
      </c>
      <c r="AH48" s="16" t="s">
        <v>101</v>
      </c>
      <c r="AI48" s="16" t="s">
        <v>149</v>
      </c>
      <c r="AJ48" s="16" t="s">
        <v>101</v>
      </c>
      <c r="AK48" s="19" t="s">
        <v>98</v>
      </c>
      <c r="AL48" s="16" t="s">
        <v>102</v>
      </c>
      <c r="AM48" s="16" t="s">
        <v>112</v>
      </c>
      <c r="AN48" s="16" t="s">
        <v>149</v>
      </c>
      <c r="AO48" s="16" t="s">
        <v>149</v>
      </c>
      <c r="AP48" s="23" t="s">
        <v>1264</v>
      </c>
      <c r="AQ48" s="22" t="s">
        <v>1264</v>
      </c>
      <c r="AR48" s="87" t="s">
        <v>611</v>
      </c>
      <c r="AS48" s="22" t="s">
        <v>611</v>
      </c>
      <c r="AT48" s="22" t="s">
        <v>15829</v>
      </c>
      <c r="AU48" s="87" t="s">
        <v>16712</v>
      </c>
      <c r="AV48" s="87" t="s">
        <v>15830</v>
      </c>
      <c r="AW48" s="457">
        <v>0</v>
      </c>
      <c r="AX48" s="630" t="str">
        <f t="shared" si="38"/>
        <v/>
      </c>
      <c r="AY48" s="630" t="str">
        <f t="shared" si="39"/>
        <v/>
      </c>
      <c r="AZ48" s="630" t="str">
        <f t="shared" si="40"/>
        <v/>
      </c>
      <c r="BA48" s="3"/>
      <c r="BB48" s="3"/>
      <c r="BC48" s="3"/>
      <c r="BD48" s="3"/>
      <c r="BE48" s="3"/>
      <c r="BF48" s="3"/>
      <c r="BG48" s="3"/>
      <c r="BH48" s="3"/>
      <c r="BI48" s="3"/>
      <c r="BJ48" s="3"/>
      <c r="BK48" s="3"/>
      <c r="BL48" s="3"/>
      <c r="BM48" s="3">
        <v>56</v>
      </c>
      <c r="BN48" s="3"/>
      <c r="BO48" s="83" t="s">
        <v>10806</v>
      </c>
      <c r="BP48" s="3"/>
      <c r="BQ48" s="3" t="s">
        <v>11853</v>
      </c>
      <c r="BR48" s="83"/>
      <c r="BS48" s="83"/>
      <c r="BT48" s="3"/>
      <c r="BU48" s="3"/>
      <c r="BV48" s="3"/>
      <c r="BW48" s="3"/>
      <c r="BX48" s="3" t="str">
        <f>IF(Province="Grande baronnie du Nordland","Petite communauté de la Grande baronnie du Nordland","")</f>
        <v/>
      </c>
      <c r="BY48" t="str">
        <f t="shared" si="33"/>
        <v/>
      </c>
      <c r="BZ48" s="83" t="str">
        <f t="shared" si="7"/>
        <v/>
      </c>
      <c r="CA48" s="83" t="str">
        <f t="shared" si="8"/>
        <v/>
      </c>
      <c r="CB48" s="530" t="str">
        <f t="shared" si="9"/>
        <v/>
      </c>
      <c r="CC48" s="3" t="s">
        <v>10710</v>
      </c>
      <c r="CD48" t="s">
        <v>10668</v>
      </c>
      <c r="CE48" s="83" t="s">
        <v>8557</v>
      </c>
      <c r="CG48" s="83" t="s">
        <v>14894</v>
      </c>
      <c r="CH48" s="3" t="s">
        <v>5946</v>
      </c>
      <c r="CI48" s="3" t="s">
        <v>3372</v>
      </c>
      <c r="CJ48" s="83" t="s">
        <v>10184</v>
      </c>
      <c r="CK48" s="3" t="s">
        <v>6820</v>
      </c>
      <c r="CL48" s="3" t="s">
        <v>6428</v>
      </c>
      <c r="CM48" s="83" t="s">
        <v>15102</v>
      </c>
      <c r="CN48" s="3" t="s">
        <v>6595</v>
      </c>
      <c r="CO48" s="3" t="s">
        <v>10917</v>
      </c>
      <c r="CP48" s="3"/>
      <c r="CQ48" s="3"/>
      <c r="CR48" s="3" t="s">
        <v>13419</v>
      </c>
      <c r="CS48" s="83" t="s">
        <v>11104</v>
      </c>
      <c r="CT48" s="83" t="s">
        <v>395</v>
      </c>
      <c r="CU48" s="3"/>
      <c r="CV48" s="3"/>
      <c r="CW48" s="3"/>
      <c r="CX48" s="3"/>
      <c r="CY48" s="83" t="s">
        <v>16713</v>
      </c>
      <c r="CZ48" s="3"/>
      <c r="DA48" s="3" t="s">
        <v>12624</v>
      </c>
      <c r="DB48" s="83" t="s">
        <v>12681</v>
      </c>
      <c r="DC48" s="3"/>
      <c r="DD48" s="83" t="s">
        <v>11243</v>
      </c>
      <c r="DE48" s="3" t="s">
        <v>132</v>
      </c>
      <c r="DF48" s="3">
        <f>ROW()</f>
        <v>48</v>
      </c>
      <c r="DG48" s="3" t="s">
        <v>780</v>
      </c>
      <c r="DH48" s="3">
        <f t="shared" si="47"/>
        <v>400</v>
      </c>
      <c r="DI48" s="3">
        <f t="shared" si="48"/>
        <v>300</v>
      </c>
      <c r="DJ48" s="3">
        <f t="shared" si="49"/>
        <v>210</v>
      </c>
      <c r="DK48" s="3">
        <f t="shared" si="50"/>
        <v>120</v>
      </c>
      <c r="DL48" s="3"/>
      <c r="DM48" s="3"/>
      <c r="DN48" s="3"/>
      <c r="DO48" s="3"/>
      <c r="DP48" s="3"/>
      <c r="DQ48" s="3"/>
      <c r="DR48" s="3"/>
      <c r="DS48" s="3"/>
      <c r="DT48" s="3"/>
      <c r="DU48" s="3"/>
      <c r="DV48" s="3"/>
      <c r="DW48" s="3"/>
      <c r="DX48" s="3"/>
      <c r="DY48" s="3"/>
      <c r="DZ48" s="3" t="s">
        <v>2960</v>
      </c>
      <c r="EA48" s="83" t="s">
        <v>4530</v>
      </c>
      <c r="EB48" s="3"/>
      <c r="ED48" s="3" t="s">
        <v>12846</v>
      </c>
      <c r="EE48" s="83" t="s">
        <v>141</v>
      </c>
      <c r="EF48" s="530" t="s">
        <v>12847</v>
      </c>
      <c r="EG48" s="356" t="str">
        <f>IF(SelectRace="homme-bête","Harpie","")</f>
        <v/>
      </c>
      <c r="EH48" s="83" t="str">
        <f t="shared" si="52"/>
        <v/>
      </c>
      <c r="EI48" s="83" t="str">
        <f t="shared" si="53"/>
        <v/>
      </c>
      <c r="EJ48" s="83" t="str">
        <f t="shared" si="54"/>
        <v/>
      </c>
      <c r="EK48" s="874" t="s">
        <v>13136</v>
      </c>
      <c r="EM48" s="90" t="s">
        <v>5136</v>
      </c>
      <c r="EN48" s="90" t="s">
        <v>5154</v>
      </c>
      <c r="EO48" s="83" t="s">
        <v>5212</v>
      </c>
      <c r="EP48" s="83" t="s">
        <v>5132</v>
      </c>
      <c r="EQ48" s="481" t="str">
        <f>IF(Pays="Nippon","Hujikujo",IF(Pays="Inja","Ridha",IF(Pays="Albion","Danu",IF(Pays="Kislev","",IF(Pays="Norsca","Sylra",IF(Pays="Tilée","Ishea",IF(OR(Pays="Terres des morts",Pays="Arabie"),"Ysis",IF(SelectRace="Halfling","Hyacinthe","Rhya"))))))))</f>
        <v>Rhya</v>
      </c>
      <c r="ER48" s="83">
        <f t="shared" si="34"/>
        <v>48</v>
      </c>
      <c r="ES48" s="83" t="str">
        <f t="shared" si="35"/>
        <v/>
      </c>
      <c r="ET48" s="530" t="str">
        <f t="shared" si="36"/>
        <v/>
      </c>
      <c r="EU48" s="177" t="str">
        <f>IF(Dieu="Mordig/le Grand Ghul","Initié","")</f>
        <v/>
      </c>
      <c r="EV48" s="83" t="str">
        <f t="shared" si="37"/>
        <v/>
      </c>
      <c r="EW48" s="83" t="str">
        <f t="shared" si="22"/>
        <v/>
      </c>
      <c r="EX48" s="530" t="str">
        <f t="shared" si="23"/>
        <v/>
      </c>
      <c r="EY48" s="83" t="s">
        <v>9505</v>
      </c>
      <c r="EZ48" s="530" t="s">
        <v>10146</v>
      </c>
      <c r="FB48" s="83" t="s">
        <v>15068</v>
      </c>
      <c r="FC48" s="133" t="s">
        <v>16672</v>
      </c>
      <c r="FD48" s="85" t="s">
        <v>14968</v>
      </c>
      <c r="FE48" s="849">
        <v>56</v>
      </c>
      <c r="FF48">
        <v>71</v>
      </c>
      <c r="FG48">
        <v>25</v>
      </c>
      <c r="FH48">
        <v>52</v>
      </c>
      <c r="FI48">
        <v>48</v>
      </c>
      <c r="FJ48" s="10">
        <v>60</v>
      </c>
      <c r="FK48">
        <v>30</v>
      </c>
      <c r="FL48">
        <v>56</v>
      </c>
      <c r="FM48" s="165">
        <v>9</v>
      </c>
      <c r="FN48" s="88">
        <v>2</v>
      </c>
      <c r="FO48" s="88">
        <v>17</v>
      </c>
      <c r="FP48" s="691">
        <f t="shared" si="57"/>
        <v>5</v>
      </c>
      <c r="FQ48" s="691">
        <f t="shared" si="56"/>
        <v>4</v>
      </c>
      <c r="FR48" s="10">
        <v>5</v>
      </c>
      <c r="FS48" s="167">
        <v>0</v>
      </c>
      <c r="FT48" s="167">
        <v>0</v>
      </c>
      <c r="FU48" s="165">
        <v>0</v>
      </c>
      <c r="FV48" s="83" t="s">
        <v>15069</v>
      </c>
      <c r="FW48" s="83" t="s">
        <v>15070</v>
      </c>
      <c r="FX48" s="567" t="s">
        <v>9938</v>
      </c>
      <c r="GA48" t="s">
        <v>7460</v>
      </c>
      <c r="GC48" s="3"/>
      <c r="GE48" s="356"/>
      <c r="GF48" t="s">
        <v>8176</v>
      </c>
      <c r="GG48" s="356" t="s">
        <v>8852</v>
      </c>
      <c r="GH48" s="83" t="s">
        <v>8847</v>
      </c>
      <c r="GI48" s="83" t="s">
        <v>8856</v>
      </c>
      <c r="GJ48" s="83"/>
      <c r="GK48" s="530"/>
    </row>
    <row r="49" spans="8:193" ht="13.2" customHeight="1">
      <c r="H49" s="3" t="s">
        <v>418</v>
      </c>
      <c r="I49" s="84" t="s">
        <v>9514</v>
      </c>
      <c r="J49" s="3"/>
      <c r="K49" s="3"/>
      <c r="L49" s="3"/>
      <c r="M49" s="651"/>
      <c r="N49" s="3"/>
      <c r="O49" s="3"/>
      <c r="P49" s="3"/>
      <c r="Q49" s="3"/>
      <c r="R49" s="651"/>
      <c r="S49" s="83" t="str">
        <f>IF(CareerType=Y49,"Bûcheron",IF(AllCareers="X","Bûcheron",IF(OR(SelectRace="homme-bête",SelectRace="peau-verte",SelectRace="créature du chaos",SelectRace="Homme-lézard",SelectRace="skaven"),"",IF(Pays="Désolations du Chaos","",IF(SelectRace="Elfe","",IF(SelectRace="Humain","Bûcheron",""))))))</f>
        <v/>
      </c>
      <c r="T49" s="106">
        <f>IF(X49="oui",0,1)</f>
        <v>0</v>
      </c>
      <c r="U49" s="693" t="str">
        <f t="shared" si="26"/>
        <v/>
      </c>
      <c r="V49" s="693" t="str">
        <f t="shared" si="27"/>
        <v/>
      </c>
      <c r="W49" s="693" t="str">
        <f t="shared" si="28"/>
        <v/>
      </c>
      <c r="X49" s="47" t="s">
        <v>2160</v>
      </c>
      <c r="Y49" s="743" t="s">
        <v>7134</v>
      </c>
      <c r="Z49" s="55" t="s">
        <v>2200</v>
      </c>
      <c r="AA49" s="47">
        <v>34</v>
      </c>
      <c r="AB49" s="47" t="s">
        <v>2235</v>
      </c>
      <c r="AC49" s="47">
        <v>232</v>
      </c>
      <c r="AD49" s="15" t="s">
        <v>98</v>
      </c>
      <c r="AE49" s="15" t="s">
        <v>149</v>
      </c>
      <c r="AF49" s="15" t="s">
        <v>98</v>
      </c>
      <c r="AG49" s="15" t="s">
        <v>149</v>
      </c>
      <c r="AH49" s="20" t="s">
        <v>114</v>
      </c>
      <c r="AI49" s="15" t="s">
        <v>149</v>
      </c>
      <c r="AJ49" s="15" t="s">
        <v>98</v>
      </c>
      <c r="AK49" s="18" t="s">
        <v>149</v>
      </c>
      <c r="AL49" s="15" t="s">
        <v>149</v>
      </c>
      <c r="AM49" s="15" t="s">
        <v>115</v>
      </c>
      <c r="AN49" s="15" t="s">
        <v>149</v>
      </c>
      <c r="AO49" s="15" t="s">
        <v>149</v>
      </c>
      <c r="AP49" s="87" t="s">
        <v>732</v>
      </c>
      <c r="AQ49" s="87" t="s">
        <v>2445</v>
      </c>
      <c r="AR49" s="87" t="s">
        <v>16714</v>
      </c>
      <c r="AS49" s="87" t="s">
        <v>734</v>
      </c>
      <c r="AT49" s="87" t="s">
        <v>16047</v>
      </c>
      <c r="AU49" s="23" t="s">
        <v>5327</v>
      </c>
      <c r="AV49" s="87" t="s">
        <v>16715</v>
      </c>
      <c r="AW49" s="458">
        <v>0</v>
      </c>
      <c r="AX49" s="630" t="str">
        <f t="shared" si="38"/>
        <v/>
      </c>
      <c r="AY49" s="630" t="str">
        <f t="shared" si="39"/>
        <v/>
      </c>
      <c r="AZ49" s="630" t="str">
        <f t="shared" si="40"/>
        <v/>
      </c>
      <c r="BA49" s="3"/>
      <c r="BB49" s="3"/>
      <c r="BC49" s="3"/>
      <c r="BD49" s="3"/>
      <c r="BE49" s="3"/>
      <c r="BF49" s="3"/>
      <c r="BG49" s="3"/>
      <c r="BH49" s="3"/>
      <c r="BI49" s="3"/>
      <c r="BJ49" s="3"/>
      <c r="BK49" s="3"/>
      <c r="BL49" s="3"/>
      <c r="BM49" s="3">
        <v>57</v>
      </c>
      <c r="BN49" s="3"/>
      <c r="BO49" s="3" t="s">
        <v>325</v>
      </c>
      <c r="BP49" s="3"/>
      <c r="BQ49" s="3" t="s">
        <v>11854</v>
      </c>
      <c r="BR49" s="3"/>
      <c r="BS49" s="3"/>
      <c r="BT49" s="3"/>
      <c r="BU49" s="3"/>
      <c r="BV49" s="3"/>
      <c r="BW49" s="3"/>
      <c r="BX49" s="83" t="str">
        <f>IF(Province="Grand comté du Stirland","Petite communauté de Grand comté du Stirland","")</f>
        <v/>
      </c>
      <c r="BY49" t="str">
        <f t="shared" si="33"/>
        <v/>
      </c>
      <c r="BZ49" s="83" t="str">
        <f t="shared" si="7"/>
        <v/>
      </c>
      <c r="CA49" s="83" t="str">
        <f t="shared" si="8"/>
        <v/>
      </c>
      <c r="CB49" s="530" t="str">
        <f t="shared" si="9"/>
        <v/>
      </c>
      <c r="CC49" s="3" t="s">
        <v>10711</v>
      </c>
      <c r="CD49" s="3" t="s">
        <v>1058</v>
      </c>
      <c r="CE49" s="3" t="s">
        <v>1087</v>
      </c>
      <c r="CG49" s="3" t="s">
        <v>6161</v>
      </c>
      <c r="CH49" s="3" t="s">
        <v>907</v>
      </c>
      <c r="CI49" s="3" t="s">
        <v>3368</v>
      </c>
      <c r="CJ49" s="83" t="s">
        <v>10179</v>
      </c>
      <c r="CK49" s="83" t="s">
        <v>15048</v>
      </c>
      <c r="CL49" s="3" t="s">
        <v>6484</v>
      </c>
      <c r="CM49" s="83" t="s">
        <v>10268</v>
      </c>
      <c r="CN49" s="3" t="s">
        <v>6596</v>
      </c>
      <c r="CO49" s="3" t="s">
        <v>10908</v>
      </c>
      <c r="CP49" s="3"/>
      <c r="CQ49" s="3"/>
      <c r="CR49" s="3" t="s">
        <v>13420</v>
      </c>
      <c r="CS49" s="3" t="s">
        <v>11132</v>
      </c>
      <c r="CT49" s="3" t="s">
        <v>2906</v>
      </c>
      <c r="CU49" s="3"/>
      <c r="CV49" s="3"/>
      <c r="CW49" s="3"/>
      <c r="CX49" s="3"/>
      <c r="CY49" s="3" t="s">
        <v>410</v>
      </c>
      <c r="CZ49" s="3"/>
      <c r="DA49" s="83" t="s">
        <v>7480</v>
      </c>
      <c r="DB49" s="83" t="s">
        <v>12706</v>
      </c>
      <c r="DC49" s="3"/>
      <c r="DD49" s="83" t="s">
        <v>16716</v>
      </c>
      <c r="DE49" s="83" t="s">
        <v>135</v>
      </c>
      <c r="DF49" s="3">
        <f>ROW()</f>
        <v>49</v>
      </c>
      <c r="DG49" s="3" t="s">
        <v>780</v>
      </c>
      <c r="DH49" s="3">
        <f t="shared" si="47"/>
        <v>400</v>
      </c>
      <c r="DI49" s="3">
        <f t="shared" si="48"/>
        <v>300</v>
      </c>
      <c r="DJ49" s="3">
        <f t="shared" si="49"/>
        <v>210</v>
      </c>
      <c r="DK49" s="3">
        <f t="shared" si="50"/>
        <v>120</v>
      </c>
      <c r="DL49" s="3"/>
      <c r="DM49" s="3"/>
      <c r="DN49" s="3"/>
      <c r="DO49" s="3"/>
      <c r="DP49" s="3"/>
      <c r="DQ49" s="3"/>
      <c r="DR49" s="3"/>
      <c r="DS49" s="3"/>
      <c r="DT49" s="3"/>
      <c r="DU49" s="3"/>
      <c r="DV49" s="3"/>
      <c r="DW49" s="3"/>
      <c r="DX49" s="3"/>
      <c r="DY49" s="3"/>
      <c r="DZ49" s="3" t="s">
        <v>2962</v>
      </c>
      <c r="EA49" s="83" t="s">
        <v>4531</v>
      </c>
      <c r="EB49" s="3"/>
      <c r="ED49" s="3" t="s">
        <v>12844</v>
      </c>
      <c r="EE49" s="83" t="s">
        <v>141</v>
      </c>
      <c r="EF49" s="530" t="s">
        <v>12845</v>
      </c>
      <c r="EG49" s="356" t="str">
        <f>IF(SelectRace="homme-bête","Insectigor","")</f>
        <v/>
      </c>
      <c r="EH49" s="83" t="str">
        <f t="shared" si="52"/>
        <v/>
      </c>
      <c r="EI49" s="83" t="str">
        <f t="shared" si="53"/>
        <v/>
      </c>
      <c r="EJ49" s="83" t="str">
        <f t="shared" si="54"/>
        <v/>
      </c>
      <c r="EK49" s="874" t="s">
        <v>13229</v>
      </c>
      <c r="EM49" s="90" t="s">
        <v>5138</v>
      </c>
      <c r="EN49" s="90" t="s">
        <v>5154</v>
      </c>
      <c r="EO49" t="s">
        <v>5143</v>
      </c>
      <c r="EP49" s="83" t="s">
        <v>5132</v>
      </c>
      <c r="EQ49" s="481" t="str">
        <f>IF(OR(Pays="Lustrie",Pays="Terres du Sud"),"Rigg","")</f>
        <v/>
      </c>
      <c r="ER49" s="83" t="str">
        <f t="shared" si="34"/>
        <v/>
      </c>
      <c r="ES49" s="83" t="str">
        <f t="shared" si="35"/>
        <v/>
      </c>
      <c r="ET49" s="530" t="str">
        <f t="shared" si="36"/>
        <v/>
      </c>
      <c r="EU49" s="177" t="str">
        <f>IF(Dieu="Mordig/le Grand Ghul","Officiers des légions","")</f>
        <v/>
      </c>
      <c r="EV49" s="83" t="str">
        <f t="shared" si="37"/>
        <v/>
      </c>
      <c r="EW49" s="83" t="str">
        <f t="shared" si="22"/>
        <v/>
      </c>
      <c r="EX49" s="530" t="str">
        <f t="shared" si="23"/>
        <v/>
      </c>
      <c r="EY49" s="83" t="s">
        <v>10156</v>
      </c>
      <c r="EZ49" s="530" t="s">
        <v>10157</v>
      </c>
      <c r="FB49" s="83" t="s">
        <v>14873</v>
      </c>
      <c r="FC49" s="133" t="s">
        <v>16672</v>
      </c>
      <c r="FD49" s="85" t="s">
        <v>15121</v>
      </c>
      <c r="FE49" s="849">
        <v>116</v>
      </c>
      <c r="FF49">
        <v>36</v>
      </c>
      <c r="FG49">
        <v>0</v>
      </c>
      <c r="FH49">
        <v>54</v>
      </c>
      <c r="FI49">
        <v>47</v>
      </c>
      <c r="FJ49" s="10">
        <v>25</v>
      </c>
      <c r="FK49">
        <v>12</v>
      </c>
      <c r="FL49">
        <v>17</v>
      </c>
      <c r="FM49" s="531">
        <v>0</v>
      </c>
      <c r="FN49" s="88">
        <v>3</v>
      </c>
      <c r="FO49" s="88">
        <v>28</v>
      </c>
      <c r="FP49" s="164">
        <f t="shared" si="57"/>
        <v>5</v>
      </c>
      <c r="FQ49" s="164">
        <f t="shared" si="56"/>
        <v>4</v>
      </c>
      <c r="FR49" s="684">
        <v>6</v>
      </c>
      <c r="FS49" s="167">
        <v>0</v>
      </c>
      <c r="FT49" s="167">
        <v>0</v>
      </c>
      <c r="FU49" s="531">
        <v>0</v>
      </c>
      <c r="FV49" s="83" t="s">
        <v>14874</v>
      </c>
      <c r="FW49" s="83" t="s">
        <v>14875</v>
      </c>
      <c r="FX49" s="751" t="s">
        <v>9938</v>
      </c>
      <c r="GA49" t="s">
        <v>7560</v>
      </c>
      <c r="GC49" s="3"/>
      <c r="GE49" s="356"/>
      <c r="GF49" t="s">
        <v>8177</v>
      </c>
      <c r="GG49" s="356" t="s">
        <v>8850</v>
      </c>
      <c r="GH49" s="83" t="s">
        <v>8847</v>
      </c>
      <c r="GI49" s="83" t="s">
        <v>8856</v>
      </c>
      <c r="GJ49" s="83"/>
      <c r="GK49" s="530"/>
    </row>
    <row r="50" spans="8:193" ht="13.2" customHeight="1">
      <c r="H50" s="83" t="s">
        <v>16717</v>
      </c>
      <c r="I50" s="6" t="s">
        <v>2670</v>
      </c>
      <c r="J50" s="3"/>
      <c r="K50" s="3"/>
      <c r="L50" s="3"/>
      <c r="M50" s="651"/>
      <c r="N50" s="3"/>
      <c r="O50" s="3"/>
      <c r="P50" s="3"/>
      <c r="Q50" s="3"/>
      <c r="R50" s="651"/>
      <c r="S50" s="83" t="str">
        <f>IF(CareerType=Y50,"Cadet",IF(AllCareers="X","Cadet",IF(OR(SelectRace="homme-bête",SelectRace="Elfe",SelectRace="peau-verte",SelectRace="créature du chaos",SelectRace="Homme-lézard",SelectRace="skaven"),"",IF(AND(OR(Pays="Empire",Pays="Bretonnie",Pays="Estalie",Pays="Tilée"),OR(SelectRace="Nain",SelectRace="Halfling")),"Cadet",""))))</f>
        <v/>
      </c>
      <c r="T50" s="106">
        <f>IF(X50="oui",0,1)</f>
        <v>0</v>
      </c>
      <c r="U50" s="693" t="str">
        <f t="shared" si="26"/>
        <v/>
      </c>
      <c r="V50" s="693" t="str">
        <f t="shared" si="27"/>
        <v/>
      </c>
      <c r="W50" s="693" t="str">
        <f t="shared" si="28"/>
        <v/>
      </c>
      <c r="X50" s="48" t="s">
        <v>2160</v>
      </c>
      <c r="Y50" s="744" t="s">
        <v>7130</v>
      </c>
      <c r="Z50" s="55" t="s">
        <v>2156</v>
      </c>
      <c r="AA50" s="48">
        <v>91</v>
      </c>
      <c r="AB50" s="48" t="s">
        <v>2163</v>
      </c>
      <c r="AC50" s="47">
        <v>37</v>
      </c>
      <c r="AD50" s="15" t="s">
        <v>114</v>
      </c>
      <c r="AE50" s="15" t="s">
        <v>114</v>
      </c>
      <c r="AF50" s="15" t="s">
        <v>149</v>
      </c>
      <c r="AG50" s="15" t="s">
        <v>149</v>
      </c>
      <c r="AH50" s="15" t="s">
        <v>114</v>
      </c>
      <c r="AI50" s="15" t="s">
        <v>98</v>
      </c>
      <c r="AJ50" s="15" t="s">
        <v>114</v>
      </c>
      <c r="AK50" s="18" t="s">
        <v>98</v>
      </c>
      <c r="AL50" s="15" t="s">
        <v>149</v>
      </c>
      <c r="AM50" s="15" t="s">
        <v>113</v>
      </c>
      <c r="AN50" s="15" t="s">
        <v>149</v>
      </c>
      <c r="AO50" s="15" t="s">
        <v>149</v>
      </c>
      <c r="AP50" s="22" t="s">
        <v>14852</v>
      </c>
      <c r="AQ50" s="87" t="s">
        <v>734</v>
      </c>
      <c r="AR50" s="87" t="s">
        <v>15430</v>
      </c>
      <c r="AS50" s="87" t="s">
        <v>734</v>
      </c>
      <c r="AT50" s="22" t="s">
        <v>3538</v>
      </c>
      <c r="AU50" s="87" t="s">
        <v>16718</v>
      </c>
      <c r="AV50" s="87" t="s">
        <v>4742</v>
      </c>
      <c r="AW50" s="457">
        <v>0</v>
      </c>
      <c r="AX50" s="630" t="str">
        <f t="shared" si="38"/>
        <v/>
      </c>
      <c r="AY50" s="630" t="str">
        <f t="shared" si="39"/>
        <v/>
      </c>
      <c r="AZ50" s="630" t="str">
        <f t="shared" si="40"/>
        <v/>
      </c>
      <c r="BA50" s="3"/>
      <c r="BB50" s="3"/>
      <c r="BC50" s="3"/>
      <c r="BD50" s="3"/>
      <c r="BE50" s="3"/>
      <c r="BF50" s="3"/>
      <c r="BG50" s="3"/>
      <c r="BH50" s="3"/>
      <c r="BI50" s="3"/>
      <c r="BJ50" s="3"/>
      <c r="BK50" s="3"/>
      <c r="BL50" s="3"/>
      <c r="BM50" s="3">
        <v>58</v>
      </c>
      <c r="BN50" s="3"/>
      <c r="BO50" s="83" t="s">
        <v>7339</v>
      </c>
      <c r="BP50" s="3"/>
      <c r="BQ50" s="3" t="s">
        <v>11855</v>
      </c>
      <c r="BR50" s="3"/>
      <c r="BS50" s="3"/>
      <c r="BT50" s="3"/>
      <c r="BU50" s="3"/>
      <c r="BV50" s="3"/>
      <c r="BW50" s="3"/>
      <c r="BX50" s="83" t="str">
        <f>IF(Province="Grand comté du Stirland","Petite communauté de Grand comté du Stirland","")</f>
        <v/>
      </c>
      <c r="BY50" t="str">
        <f t="shared" si="33"/>
        <v/>
      </c>
      <c r="BZ50" s="83" t="str">
        <f t="shared" si="7"/>
        <v/>
      </c>
      <c r="CA50" s="83" t="str">
        <f t="shared" si="8"/>
        <v/>
      </c>
      <c r="CB50" s="530" t="str">
        <f t="shared" si="9"/>
        <v/>
      </c>
      <c r="CC50" s="3" t="s">
        <v>10712</v>
      </c>
      <c r="CD50" s="3" t="s">
        <v>3166</v>
      </c>
      <c r="CE50" s="3" t="s">
        <v>3397</v>
      </c>
      <c r="CG50" s="3" t="s">
        <v>6162</v>
      </c>
      <c r="CH50" s="3" t="s">
        <v>5947</v>
      </c>
      <c r="CI50" s="3" t="s">
        <v>3392</v>
      </c>
      <c r="CJ50" s="83" t="s">
        <v>10180</v>
      </c>
      <c r="CK50" s="83" t="s">
        <v>15073</v>
      </c>
      <c r="CL50" s="3" t="s">
        <v>6460</v>
      </c>
      <c r="CM50" s="83" t="s">
        <v>10270</v>
      </c>
      <c r="CN50" s="3" t="s">
        <v>6521</v>
      </c>
      <c r="CO50" s="3" t="s">
        <v>10888</v>
      </c>
      <c r="CP50" s="3"/>
      <c r="CQ50" s="3"/>
      <c r="CR50" s="3" t="s">
        <v>13421</v>
      </c>
      <c r="CS50" s="83" t="s">
        <v>15026</v>
      </c>
      <c r="CT50" s="83" t="s">
        <v>799</v>
      </c>
      <c r="CU50" s="3"/>
      <c r="CV50" s="3"/>
      <c r="CW50" s="3"/>
      <c r="CX50" s="3"/>
      <c r="CY50" s="3" t="s">
        <v>411</v>
      </c>
      <c r="CZ50" s="3"/>
      <c r="DA50" s="3" t="s">
        <v>12625</v>
      </c>
      <c r="DB50" s="83" t="s">
        <v>12682</v>
      </c>
      <c r="DC50" s="3"/>
      <c r="DD50" s="83" t="s">
        <v>16719</v>
      </c>
      <c r="DE50" s="83" t="s">
        <v>133</v>
      </c>
      <c r="DF50" s="3">
        <f>ROW()</f>
        <v>50</v>
      </c>
      <c r="DG50" s="3" t="s">
        <v>780</v>
      </c>
      <c r="DH50" s="3">
        <f t="shared" si="47"/>
        <v>400</v>
      </c>
      <c r="DI50" s="3">
        <f t="shared" si="48"/>
        <v>300</v>
      </c>
      <c r="DJ50" s="3">
        <f t="shared" si="49"/>
        <v>210</v>
      </c>
      <c r="DK50" s="3">
        <f t="shared" si="50"/>
        <v>120</v>
      </c>
      <c r="DL50" s="3"/>
      <c r="DM50" s="3"/>
      <c r="DN50" s="3"/>
      <c r="DO50" s="3"/>
      <c r="DP50" s="3"/>
      <c r="DQ50" s="3"/>
      <c r="DR50" s="3"/>
      <c r="DS50" s="3"/>
      <c r="DT50" s="3"/>
      <c r="DU50" s="3"/>
      <c r="DV50" s="3"/>
      <c r="DW50" s="3"/>
      <c r="DX50" s="3"/>
      <c r="DY50" s="3"/>
      <c r="DZ50" s="83" t="s">
        <v>16720</v>
      </c>
      <c r="EA50" s="83" t="s">
        <v>4531</v>
      </c>
      <c r="EB50" s="3"/>
      <c r="ED50" s="3" t="s">
        <v>15527</v>
      </c>
      <c r="EE50" s="83" t="s">
        <v>141</v>
      </c>
      <c r="EF50" s="530" t="s">
        <v>15528</v>
      </c>
      <c r="EG50" s="356" t="str">
        <f>IF(SelectRace="homme-bête","Khorngor","")</f>
        <v/>
      </c>
      <c r="EH50" s="83" t="str">
        <f t="shared" si="52"/>
        <v/>
      </c>
      <c r="EI50" s="83" t="str">
        <f t="shared" si="53"/>
        <v/>
      </c>
      <c r="EJ50" s="83" t="str">
        <f t="shared" si="54"/>
        <v/>
      </c>
      <c r="EK50" s="874" t="s">
        <v>13140</v>
      </c>
      <c r="EM50" s="90" t="s">
        <v>5133</v>
      </c>
      <c r="EN50" s="90" t="s">
        <v>5154</v>
      </c>
      <c r="EO50" t="s">
        <v>5134</v>
      </c>
      <c r="EP50" s="83" t="s">
        <v>5132</v>
      </c>
      <c r="EQ50" s="77" t="str">
        <f>IF(Selectsousrace="Gnome","Ringil","")</f>
        <v/>
      </c>
      <c r="ER50" s="83" t="str">
        <f t="shared" si="34"/>
        <v/>
      </c>
      <c r="ES50" s="83" t="str">
        <f t="shared" si="35"/>
        <v/>
      </c>
      <c r="ET50" s="530" t="str">
        <f t="shared" si="36"/>
        <v/>
      </c>
      <c r="EU50" s="177" t="str">
        <f>IF(Dieu="Mordig/le Grand Ghul","Rois des tombes","")</f>
        <v/>
      </c>
      <c r="EV50" s="83" t="str">
        <f t="shared" si="37"/>
        <v/>
      </c>
      <c r="EW50" s="83" t="str">
        <f t="shared" si="22"/>
        <v/>
      </c>
      <c r="EX50" s="530" t="str">
        <f t="shared" si="23"/>
        <v/>
      </c>
      <c r="EY50" s="83" t="s">
        <v>10159</v>
      </c>
      <c r="EZ50" s="530" t="s">
        <v>10158</v>
      </c>
      <c r="FB50" s="83" t="s">
        <v>15008</v>
      </c>
      <c r="FC50" s="133" t="s">
        <v>16672</v>
      </c>
      <c r="FD50" s="85" t="s">
        <v>14968</v>
      </c>
      <c r="FE50" s="849">
        <v>42</v>
      </c>
      <c r="FF50">
        <v>48</v>
      </c>
      <c r="FG50">
        <v>0</v>
      </c>
      <c r="FH50">
        <v>65</v>
      </c>
      <c r="FI50">
        <v>51</v>
      </c>
      <c r="FJ50" s="10">
        <v>35</v>
      </c>
      <c r="FK50">
        <v>5</v>
      </c>
      <c r="FL50">
        <v>30</v>
      </c>
      <c r="FM50" s="165">
        <v>5</v>
      </c>
      <c r="FN50" s="88">
        <v>2</v>
      </c>
      <c r="FO50" s="88">
        <v>40</v>
      </c>
      <c r="FP50" s="164">
        <f t="shared" si="57"/>
        <v>6</v>
      </c>
      <c r="FQ50" s="164">
        <f t="shared" si="56"/>
        <v>5</v>
      </c>
      <c r="FR50" s="683">
        <v>4</v>
      </c>
      <c r="FS50" s="88">
        <v>0</v>
      </c>
      <c r="FT50" s="88">
        <v>0</v>
      </c>
      <c r="FU50" s="165">
        <v>0</v>
      </c>
      <c r="FV50" s="83" t="s">
        <v>9362</v>
      </c>
      <c r="FW50" s="83" t="s">
        <v>16721</v>
      </c>
      <c r="FX50" s="751" t="s">
        <v>9938</v>
      </c>
      <c r="GA50" t="s">
        <v>7461</v>
      </c>
      <c r="GE50" s="356"/>
      <c r="GF50" s="83" t="s">
        <v>16722</v>
      </c>
      <c r="GG50" s="356" t="s">
        <v>8861</v>
      </c>
      <c r="GH50" s="83" t="s">
        <v>8857</v>
      </c>
      <c r="GI50" s="83" t="s">
        <v>8856</v>
      </c>
      <c r="GJ50" s="83"/>
      <c r="GK50" s="530"/>
    </row>
    <row r="51" spans="8:193" ht="13.2" customHeight="1">
      <c r="H51" s="83" t="s">
        <v>7472</v>
      </c>
      <c r="I51" s="84" t="s">
        <v>14743</v>
      </c>
      <c r="J51" s="3"/>
      <c r="K51" s="3"/>
      <c r="L51" s="3"/>
      <c r="M51" s="651"/>
      <c r="N51" s="3"/>
      <c r="O51" s="3"/>
      <c r="P51" s="3"/>
      <c r="Q51" s="3"/>
      <c r="R51" s="651"/>
      <c r="S51" s="83" t="str">
        <f>IF(CareerType=Y51,"Canonnier",IF(AllCareers="X","Canonnier",IF(Selectsousrace="","",IF(OR(SelectRace="homme-bête",SelectRace="peau-verte",SelectRace="créature du chaos",SelectRace="Homme-lézard"),"",IF(FirstCareer="1ère carrière","",IF(AND(FirstCareer="1ère carrière",OR(Selectsousrace="Ogre",Selectsousrace="Demi-ogre")),"Crache-Plomb","Canonnier"))))))</f>
        <v/>
      </c>
      <c r="T51" s="106">
        <v>2</v>
      </c>
      <c r="U51" s="693" t="str">
        <f t="shared" si="26"/>
        <v/>
      </c>
      <c r="V51" s="693" t="str">
        <f t="shared" si="27"/>
        <v/>
      </c>
      <c r="W51" s="693" t="str">
        <f t="shared" si="28"/>
        <v/>
      </c>
      <c r="X51" s="48" t="s">
        <v>2153</v>
      </c>
      <c r="Y51" s="744" t="s">
        <v>7130</v>
      </c>
      <c r="Z51" s="56" t="s">
        <v>2217</v>
      </c>
      <c r="AA51" s="48">
        <v>105</v>
      </c>
      <c r="AB51" s="48" t="s">
        <v>2236</v>
      </c>
      <c r="AC51" s="48">
        <v>18</v>
      </c>
      <c r="AD51" s="15" t="s">
        <v>101</v>
      </c>
      <c r="AE51" s="15" t="s">
        <v>99</v>
      </c>
      <c r="AF51" s="15" t="s">
        <v>98</v>
      </c>
      <c r="AG51" s="15" t="s">
        <v>98</v>
      </c>
      <c r="AH51" s="15" t="s">
        <v>101</v>
      </c>
      <c r="AI51" s="15" t="s">
        <v>116</v>
      </c>
      <c r="AJ51" s="15" t="s">
        <v>101</v>
      </c>
      <c r="AK51" s="18" t="s">
        <v>149</v>
      </c>
      <c r="AL51" s="15" t="s">
        <v>149</v>
      </c>
      <c r="AM51" s="15" t="s">
        <v>114</v>
      </c>
      <c r="AN51" s="15" t="s">
        <v>149</v>
      </c>
      <c r="AO51" s="15" t="s">
        <v>149</v>
      </c>
      <c r="AP51" s="87" t="s">
        <v>15820</v>
      </c>
      <c r="AQ51" s="87" t="s">
        <v>734</v>
      </c>
      <c r="AR51" s="22" t="s">
        <v>12257</v>
      </c>
      <c r="AS51" s="87" t="s">
        <v>734</v>
      </c>
      <c r="AT51" s="22" t="s">
        <v>3422</v>
      </c>
      <c r="AU51" s="87" t="s">
        <v>5391</v>
      </c>
      <c r="AV51" s="87" t="s">
        <v>4756</v>
      </c>
      <c r="AW51" s="457">
        <v>0</v>
      </c>
      <c r="AX51" s="630" t="str">
        <f t="shared" si="38"/>
        <v/>
      </c>
      <c r="AY51" s="630" t="str">
        <f t="shared" si="39"/>
        <v/>
      </c>
      <c r="AZ51" s="630" t="str">
        <f t="shared" si="40"/>
        <v/>
      </c>
      <c r="BA51" s="3"/>
      <c r="BB51" s="3"/>
      <c r="BC51" s="3"/>
      <c r="BD51" s="3"/>
      <c r="BE51" s="3"/>
      <c r="BF51" s="3"/>
      <c r="BG51" s="3"/>
      <c r="BH51" s="3"/>
      <c r="BI51" s="3"/>
      <c r="BJ51" s="3"/>
      <c r="BK51" s="3"/>
      <c r="BL51" s="3"/>
      <c r="BM51" s="3">
        <v>59</v>
      </c>
      <c r="BN51" s="3"/>
      <c r="BO51" s="83" t="s">
        <v>7333</v>
      </c>
      <c r="BP51" s="3"/>
      <c r="BQ51" s="83" t="s">
        <v>11856</v>
      </c>
      <c r="BR51" s="3"/>
      <c r="BS51" s="3"/>
      <c r="BT51" s="3"/>
      <c r="BU51" s="3"/>
      <c r="BV51" s="3"/>
      <c r="BW51" s="3"/>
      <c r="BX51" s="3" t="str">
        <f>IF(Province="Grand-duché du Talabecland","Petite communauté de Grand-duché du Talabecland","")</f>
        <v/>
      </c>
      <c r="BY51" t="str">
        <f t="shared" si="33"/>
        <v/>
      </c>
      <c r="BZ51" s="83" t="str">
        <f t="shared" si="7"/>
        <v/>
      </c>
      <c r="CA51" s="83" t="str">
        <f t="shared" si="8"/>
        <v/>
      </c>
      <c r="CB51" s="530" t="str">
        <f t="shared" si="9"/>
        <v/>
      </c>
      <c r="CC51" s="3" t="s">
        <v>3246</v>
      </c>
      <c r="CD51" t="s">
        <v>10664</v>
      </c>
      <c r="CE51" s="83" t="s">
        <v>10233</v>
      </c>
      <c r="CG51" s="3" t="s">
        <v>6163</v>
      </c>
      <c r="CH51" s="85" t="s">
        <v>15108</v>
      </c>
      <c r="CI51" s="3" t="s">
        <v>3380</v>
      </c>
      <c r="CJ51" s="3" t="s">
        <v>10183</v>
      </c>
      <c r="CK51" s="3" t="s">
        <v>6897</v>
      </c>
      <c r="CL51" s="3" t="s">
        <v>6517</v>
      </c>
      <c r="CM51" s="83" t="s">
        <v>10271</v>
      </c>
      <c r="CN51" s="3" t="s">
        <v>6522</v>
      </c>
      <c r="CO51" s="83" t="s">
        <v>14971</v>
      </c>
      <c r="CP51" s="3"/>
      <c r="CQ51" s="3"/>
      <c r="CR51" s="3" t="s">
        <v>13422</v>
      </c>
      <c r="CS51" s="3" t="s">
        <v>11133</v>
      </c>
      <c r="CT51" s="177" t="s">
        <v>15053</v>
      </c>
      <c r="CU51" s="3"/>
      <c r="CV51" s="3"/>
      <c r="CW51" s="3"/>
      <c r="CX51" s="3"/>
      <c r="CY51" s="83" t="s">
        <v>16673</v>
      </c>
      <c r="CZ51" s="3"/>
      <c r="DA51" s="83" t="s">
        <v>12683</v>
      </c>
      <c r="DB51" s="83" t="s">
        <v>12684</v>
      </c>
      <c r="DC51" s="3"/>
      <c r="DD51" s="83" t="s">
        <v>16723</v>
      </c>
      <c r="DE51" s="3" t="s">
        <v>135</v>
      </c>
      <c r="DF51" s="3">
        <f>ROW()</f>
        <v>51</v>
      </c>
      <c r="DG51" s="3" t="s">
        <v>2678</v>
      </c>
      <c r="DH51" s="3">
        <f t="shared" si="47"/>
        <v>195</v>
      </c>
      <c r="DI51" s="3">
        <f t="shared" si="48"/>
        <v>160</v>
      </c>
      <c r="DJ51" s="3">
        <f t="shared" si="49"/>
        <v>130</v>
      </c>
      <c r="DK51" s="3">
        <f t="shared" si="50"/>
        <v>105</v>
      </c>
      <c r="DL51" s="3"/>
      <c r="DM51" s="3"/>
      <c r="DN51" s="3"/>
      <c r="DO51" s="3"/>
      <c r="DP51" s="3"/>
      <c r="DQ51" s="3"/>
      <c r="DR51" s="3"/>
      <c r="DS51" s="3"/>
      <c r="DT51" s="3"/>
      <c r="DU51" s="3"/>
      <c r="DV51" s="3"/>
      <c r="DW51" s="3"/>
      <c r="DX51" s="3"/>
      <c r="DY51" s="3"/>
      <c r="DZ51" s="83" t="s">
        <v>16724</v>
      </c>
      <c r="EA51" s="83" t="s">
        <v>4531</v>
      </c>
      <c r="EB51" s="3"/>
      <c r="ED51" s="3" t="s">
        <v>12842</v>
      </c>
      <c r="EE51" s="83" t="s">
        <v>141</v>
      </c>
      <c r="EF51" s="530" t="s">
        <v>12843</v>
      </c>
      <c r="EG51" s="356" t="str">
        <f>IF(SelectRace="homme-bête","Loxogor","")</f>
        <v/>
      </c>
      <c r="EH51" s="83" t="str">
        <f t="shared" si="52"/>
        <v/>
      </c>
      <c r="EI51" s="83" t="str">
        <f t="shared" si="53"/>
        <v/>
      </c>
      <c r="EJ51" s="83" t="str">
        <f t="shared" si="54"/>
        <v/>
      </c>
      <c r="EK51" s="874" t="s">
        <v>13226</v>
      </c>
      <c r="EM51" s="90" t="s">
        <v>5139</v>
      </c>
      <c r="EN51" s="90" t="s">
        <v>5154</v>
      </c>
      <c r="EO51" s="83" t="s">
        <v>16725</v>
      </c>
      <c r="EP51" s="83" t="s">
        <v>5132</v>
      </c>
      <c r="EQ51" s="77" t="str">
        <f>IF(OR(Pays="Lustrie",Pays="Terres du Sud"),"Séréna/Déesse Serpent",IF(OR(Pays="Terres des morts",Pays="Arabie"),"Asaph",""))</f>
        <v/>
      </c>
      <c r="ER51" s="83" t="str">
        <f t="shared" si="34"/>
        <v/>
      </c>
      <c r="ES51" s="83" t="str">
        <f t="shared" si="35"/>
        <v/>
      </c>
      <c r="ET51" s="530" t="str">
        <f t="shared" si="36"/>
        <v/>
      </c>
      <c r="EU51" s="571" t="str">
        <f>IF(Dieu="Liadriel","Adepte/Croyant","")</f>
        <v/>
      </c>
      <c r="EV51" s="83" t="str">
        <f t="shared" si="37"/>
        <v/>
      </c>
      <c r="EW51" s="83" t="str">
        <f t="shared" si="22"/>
        <v/>
      </c>
      <c r="EX51" s="530" t="str">
        <f t="shared" si="23"/>
        <v/>
      </c>
      <c r="EZ51" s="530" t="s">
        <v>9270</v>
      </c>
      <c r="FB51" s="83" t="s">
        <v>15009</v>
      </c>
      <c r="FC51" s="133" t="s">
        <v>16672</v>
      </c>
      <c r="FD51" s="85" t="s">
        <v>7245</v>
      </c>
      <c r="FE51" s="849">
        <v>116</v>
      </c>
      <c r="FF51">
        <v>51</v>
      </c>
      <c r="FG51">
        <v>0</v>
      </c>
      <c r="FH51">
        <v>64</v>
      </c>
      <c r="FI51">
        <v>56</v>
      </c>
      <c r="FJ51" s="10">
        <v>32</v>
      </c>
      <c r="FK51">
        <v>20</v>
      </c>
      <c r="FL51">
        <v>40</v>
      </c>
      <c r="FM51" s="165">
        <v>15</v>
      </c>
      <c r="FN51" s="88">
        <v>2</v>
      </c>
      <c r="FO51" s="88">
        <v>44</v>
      </c>
      <c r="FP51" s="164">
        <f t="shared" si="57"/>
        <v>6</v>
      </c>
      <c r="FQ51" s="164">
        <f t="shared" si="56"/>
        <v>5</v>
      </c>
      <c r="FR51" s="683" t="s">
        <v>13099</v>
      </c>
      <c r="FS51" s="88">
        <v>0</v>
      </c>
      <c r="FT51" s="88">
        <v>0</v>
      </c>
      <c r="FU51" s="165">
        <v>0</v>
      </c>
      <c r="FV51" s="83" t="s">
        <v>9362</v>
      </c>
      <c r="FW51" s="83" t="s">
        <v>16726</v>
      </c>
      <c r="FX51" s="751" t="s">
        <v>9938</v>
      </c>
      <c r="GA51" t="s">
        <v>7447</v>
      </c>
      <c r="GE51" s="356"/>
      <c r="GF51" t="s">
        <v>8178</v>
      </c>
      <c r="GG51" s="356" t="s">
        <v>8864</v>
      </c>
      <c r="GH51" s="83" t="s">
        <v>8857</v>
      </c>
      <c r="GI51" s="83" t="s">
        <v>8856</v>
      </c>
      <c r="GJ51" s="83"/>
      <c r="GK51" s="530"/>
    </row>
    <row r="52" spans="8:193" ht="13.2" customHeight="1">
      <c r="H52" s="3" t="s">
        <v>9578</v>
      </c>
      <c r="I52" s="84" t="s">
        <v>9679</v>
      </c>
      <c r="J52" s="3"/>
      <c r="K52" s="3"/>
      <c r="L52" s="3"/>
      <c r="M52" s="651"/>
      <c r="N52" s="3"/>
      <c r="O52" s="3"/>
      <c r="P52" s="3"/>
      <c r="Q52" s="3"/>
      <c r="R52" s="651"/>
      <c r="S52" s="83" t="str">
        <f>IF(CareerType=Y52,"Capitaine",IF(AllCareers="X","Capitaine",IF(Selectsousrace="","",IF(OR(SelectRace="homme-bête",SelectRace="peau-verte",SelectRace="créature du chaos",SelectRace="Homme-lézard",SelectRace="skaven"),"",IF(FirstCareer="1ère carrière","","Capitaine")))))</f>
        <v/>
      </c>
      <c r="T52" s="85">
        <v>2</v>
      </c>
      <c r="U52" s="693" t="str">
        <f t="shared" si="26"/>
        <v/>
      </c>
      <c r="V52" s="693" t="str">
        <f t="shared" si="27"/>
        <v/>
      </c>
      <c r="W52" s="693" t="str">
        <f t="shared" si="28"/>
        <v/>
      </c>
      <c r="X52" s="47" t="s">
        <v>2153</v>
      </c>
      <c r="Y52" s="743" t="s">
        <v>7130</v>
      </c>
      <c r="Z52" s="55" t="s">
        <v>2200</v>
      </c>
      <c r="AA52" s="47">
        <v>64</v>
      </c>
      <c r="AB52" s="47" t="s">
        <v>2237</v>
      </c>
      <c r="AC52" s="47">
        <v>40</v>
      </c>
      <c r="AD52" s="15" t="s">
        <v>116</v>
      </c>
      <c r="AE52" s="15" t="s">
        <v>100</v>
      </c>
      <c r="AF52" s="15" t="s">
        <v>100</v>
      </c>
      <c r="AG52" s="15" t="s">
        <v>100</v>
      </c>
      <c r="AH52" s="15" t="s">
        <v>100</v>
      </c>
      <c r="AI52" s="15" t="s">
        <v>101</v>
      </c>
      <c r="AJ52" s="15" t="s">
        <v>101</v>
      </c>
      <c r="AK52" s="18" t="s">
        <v>99</v>
      </c>
      <c r="AL52" s="15" t="s">
        <v>113</v>
      </c>
      <c r="AM52" s="15" t="s">
        <v>117</v>
      </c>
      <c r="AN52" s="15" t="s">
        <v>149</v>
      </c>
      <c r="AO52" s="15" t="s">
        <v>149</v>
      </c>
      <c r="AP52" s="87" t="s">
        <v>16178</v>
      </c>
      <c r="AQ52" s="87" t="s">
        <v>734</v>
      </c>
      <c r="AR52" s="87" t="s">
        <v>10125</v>
      </c>
      <c r="AS52" s="87" t="s">
        <v>734</v>
      </c>
      <c r="AT52" s="22" t="s">
        <v>3423</v>
      </c>
      <c r="AU52" s="87" t="s">
        <v>16727</v>
      </c>
      <c r="AV52" s="87" t="s">
        <v>4596</v>
      </c>
      <c r="AW52" s="457">
        <v>0</v>
      </c>
      <c r="AX52" s="630" t="str">
        <f t="shared" si="38"/>
        <v/>
      </c>
      <c r="AY52" s="630" t="str">
        <f t="shared" si="39"/>
        <v/>
      </c>
      <c r="AZ52" s="630" t="str">
        <f t="shared" si="40"/>
        <v/>
      </c>
      <c r="BA52" s="3"/>
      <c r="BB52" s="3"/>
      <c r="BC52" s="3"/>
      <c r="BD52" s="3"/>
      <c r="BE52" s="3"/>
      <c r="BF52" s="3"/>
      <c r="BG52" s="3"/>
      <c r="BH52" s="3"/>
      <c r="BI52" s="3"/>
      <c r="BJ52" s="3"/>
      <c r="BK52" s="3"/>
      <c r="BL52" s="3"/>
      <c r="BM52" s="3">
        <v>60</v>
      </c>
      <c r="BN52" s="3"/>
      <c r="BO52" s="83" t="s">
        <v>7344</v>
      </c>
      <c r="BP52" s="3"/>
      <c r="BQ52" s="3" t="s">
        <v>11857</v>
      </c>
      <c r="BR52" s="83"/>
      <c r="BS52" s="83"/>
      <c r="BT52" s="3"/>
      <c r="BU52" s="3"/>
      <c r="BV52" s="3"/>
      <c r="BW52" s="3"/>
      <c r="BX52" s="3" t="str">
        <f>IF(Province="Grand comté du Wissenland","Petite communauté de Grand comté du Wissenland","")</f>
        <v/>
      </c>
      <c r="BY52" t="str">
        <f t="shared" si="33"/>
        <v/>
      </c>
      <c r="BZ52" s="83" t="str">
        <f t="shared" si="7"/>
        <v/>
      </c>
      <c r="CA52" s="83" t="str">
        <f t="shared" si="8"/>
        <v/>
      </c>
      <c r="CB52" s="530" t="str">
        <f t="shared" si="9"/>
        <v/>
      </c>
      <c r="CC52" s="3" t="s">
        <v>10649</v>
      </c>
      <c r="CD52" t="s">
        <v>10663</v>
      </c>
      <c r="CE52" s="3" t="s">
        <v>10759</v>
      </c>
      <c r="CG52" s="3" t="s">
        <v>6164</v>
      </c>
      <c r="CH52" s="3" t="s">
        <v>3117</v>
      </c>
      <c r="CI52" s="83" t="s">
        <v>15086</v>
      </c>
      <c r="CJ52" s="83" t="s">
        <v>10182</v>
      </c>
      <c r="CK52" s="3" t="s">
        <v>6860</v>
      </c>
      <c r="CL52" s="3" t="s">
        <v>6515</v>
      </c>
      <c r="CM52" s="83" t="s">
        <v>10272</v>
      </c>
      <c r="CN52" s="3" t="s">
        <v>6565</v>
      </c>
      <c r="CO52" s="3" t="s">
        <v>10896</v>
      </c>
      <c r="CP52" s="3"/>
      <c r="CQ52" s="3"/>
      <c r="CR52" s="3" t="s">
        <v>13423</v>
      </c>
      <c r="CS52" s="3" t="s">
        <v>11134</v>
      </c>
      <c r="CT52" s="3" t="s">
        <v>2849</v>
      </c>
      <c r="CU52" s="3"/>
      <c r="CV52" s="3"/>
      <c r="CW52" s="3"/>
      <c r="CX52" s="3"/>
      <c r="CY52" s="3" t="s">
        <v>412</v>
      </c>
      <c r="CZ52" s="3"/>
      <c r="DA52" s="3" t="s">
        <v>2476</v>
      </c>
      <c r="DB52" s="83" t="s">
        <v>12577</v>
      </c>
      <c r="DC52" s="3"/>
      <c r="DD52" s="3" t="s">
        <v>2293</v>
      </c>
      <c r="DE52" s="3" t="s">
        <v>133</v>
      </c>
      <c r="DF52" s="3">
        <f>ROW()</f>
        <v>52</v>
      </c>
      <c r="DG52" s="3" t="s">
        <v>2680</v>
      </c>
      <c r="DH52" s="3">
        <f t="shared" si="47"/>
        <v>750</v>
      </c>
      <c r="DI52" s="3">
        <f t="shared" si="48"/>
        <v>565</v>
      </c>
      <c r="DJ52" s="3">
        <f t="shared" si="49"/>
        <v>380</v>
      </c>
      <c r="DK52" s="3">
        <f t="shared" si="50"/>
        <v>195</v>
      </c>
      <c r="DL52" s="3"/>
      <c r="DM52" s="3"/>
      <c r="DN52" s="3"/>
      <c r="DO52" s="3"/>
      <c r="DP52" s="3"/>
      <c r="DQ52" s="3"/>
      <c r="DR52" s="3"/>
      <c r="DS52" s="3"/>
      <c r="DT52" s="3"/>
      <c r="DU52" s="3"/>
      <c r="DV52" s="3"/>
      <c r="DW52" s="3"/>
      <c r="DX52" s="3"/>
      <c r="DY52" s="3"/>
      <c r="DZ52" s="3" t="s">
        <v>2963</v>
      </c>
      <c r="EA52" s="83" t="s">
        <v>4531</v>
      </c>
      <c r="EB52" s="3"/>
      <c r="ED52" s="3" t="s">
        <v>12840</v>
      </c>
      <c r="EE52" s="83" t="s">
        <v>141</v>
      </c>
      <c r="EF52" s="530" t="s">
        <v>12841</v>
      </c>
      <c r="EG52" s="356" t="str">
        <f>IF(SelectRace="homme-bête","Malagor","")</f>
        <v/>
      </c>
      <c r="EH52" s="83" t="str">
        <f t="shared" si="52"/>
        <v/>
      </c>
      <c r="EI52" s="83" t="str">
        <f t="shared" si="53"/>
        <v/>
      </c>
      <c r="EJ52" s="83" t="str">
        <f t="shared" si="54"/>
        <v/>
      </c>
      <c r="EK52" s="874" t="s">
        <v>13223</v>
      </c>
      <c r="EM52" s="90" t="s">
        <v>5140</v>
      </c>
      <c r="EN52" s="90" t="s">
        <v>5154</v>
      </c>
      <c r="EO52" t="s">
        <v>5144</v>
      </c>
      <c r="EP52" s="83" t="s">
        <v>5132</v>
      </c>
      <c r="EQ52" s="481" t="str">
        <f>IF(Pays="Nippon","Azume",IF(Pays="Inja","Vishun",IF(SelectRace="Elfe","Isha",IF(Pays="Kislev","Salyak",IF(Pays="Norsca","",IF(OR(Pays="Terres des morts",Pays="Arabie"),"Basth","Shallya"))))))</f>
        <v>Shallya</v>
      </c>
      <c r="ER52" s="83">
        <f t="shared" si="34"/>
        <v>52</v>
      </c>
      <c r="ES52" s="83" t="str">
        <f t="shared" si="35"/>
        <v/>
      </c>
      <c r="ET52" s="530" t="str">
        <f t="shared" si="36"/>
        <v/>
      </c>
      <c r="EU52" s="177" t="str">
        <f>IF(Dieu="Loec","Adepte/Croyant","")</f>
        <v/>
      </c>
      <c r="EV52" s="83" t="str">
        <f t="shared" si="37"/>
        <v/>
      </c>
      <c r="EW52" s="83" t="str">
        <f t="shared" si="22"/>
        <v/>
      </c>
      <c r="EX52" s="530" t="str">
        <f t="shared" si="23"/>
        <v/>
      </c>
      <c r="EZ52" s="530" t="s">
        <v>11181</v>
      </c>
      <c r="FB52" s="83" t="s">
        <v>15438</v>
      </c>
      <c r="FC52" s="133" t="s">
        <v>13214</v>
      </c>
      <c r="FD52" s="85" t="s">
        <v>2217</v>
      </c>
      <c r="FE52" s="849">
        <v>120</v>
      </c>
      <c r="FF52">
        <v>29</v>
      </c>
      <c r="FG52">
        <v>0</v>
      </c>
      <c r="FH52">
        <v>34</v>
      </c>
      <c r="FI52">
        <v>47</v>
      </c>
      <c r="FJ52" s="10">
        <v>22</v>
      </c>
      <c r="FK52">
        <v>0</v>
      </c>
      <c r="FL52">
        <v>0</v>
      </c>
      <c r="FM52" s="165">
        <v>0</v>
      </c>
      <c r="FN52" s="88">
        <v>3</v>
      </c>
      <c r="FO52" s="88">
        <v>11</v>
      </c>
      <c r="FP52" s="691">
        <f t="shared" si="57"/>
        <v>3</v>
      </c>
      <c r="FQ52" s="691">
        <f t="shared" si="56"/>
        <v>4</v>
      </c>
      <c r="FR52" s="10">
        <v>3</v>
      </c>
      <c r="FS52" s="88">
        <v>0</v>
      </c>
      <c r="FT52" s="88">
        <v>0</v>
      </c>
      <c r="FU52" s="165">
        <v>0</v>
      </c>
      <c r="FV52" s="83" t="s">
        <v>15439</v>
      </c>
      <c r="FW52" s="83" t="s">
        <v>2947</v>
      </c>
      <c r="FX52" s="530" t="s">
        <v>7659</v>
      </c>
      <c r="GA52" s="83" t="s">
        <v>7561</v>
      </c>
      <c r="GE52" s="356"/>
      <c r="GF52" t="s">
        <v>7681</v>
      </c>
      <c r="GG52" s="356" t="s">
        <v>8858</v>
      </c>
      <c r="GH52" s="83" t="s">
        <v>8857</v>
      </c>
      <c r="GI52" s="83" t="s">
        <v>8856</v>
      </c>
      <c r="GJ52" s="83"/>
      <c r="GK52" s="530"/>
    </row>
    <row r="53" spans="8:193" ht="13.2" customHeight="1">
      <c r="H53" s="3" t="s">
        <v>419</v>
      </c>
      <c r="I53" s="6" t="s">
        <v>77</v>
      </c>
      <c r="J53" s="3"/>
      <c r="K53" s="3"/>
      <c r="L53" s="3"/>
      <c r="M53" s="651"/>
      <c r="N53" s="3"/>
      <c r="O53" s="3"/>
      <c r="P53" s="3"/>
      <c r="Q53" s="3"/>
      <c r="R53" s="651"/>
      <c r="S53" s="83" t="str">
        <f>IF(CareerType=Y53,"Capitaine de navire",IF(AllCareers="X","Capitaine de navire",IF(Selectsousrace="","",IF(OR(SelectRace="homme-bête",SelectRace="peau-verte",SelectRace="créature du chaos",SelectRace="Homme-lézard",SelectRace="skaven"),"",IF(FirstCareer="1ère carrière","","Capitaine de navire")))))</f>
        <v/>
      </c>
      <c r="T53" s="85">
        <v>2</v>
      </c>
      <c r="U53" s="693" t="str">
        <f t="shared" si="26"/>
        <v/>
      </c>
      <c r="V53" s="693" t="str">
        <f t="shared" si="27"/>
        <v/>
      </c>
      <c r="W53" s="693" t="str">
        <f t="shared" si="28"/>
        <v/>
      </c>
      <c r="X53" s="47" t="s">
        <v>2153</v>
      </c>
      <c r="Y53" s="743" t="s">
        <v>7130</v>
      </c>
      <c r="Z53" s="55" t="s">
        <v>2200</v>
      </c>
      <c r="AA53" s="47">
        <v>65</v>
      </c>
      <c r="AB53" s="47" t="s">
        <v>2238</v>
      </c>
      <c r="AC53" s="47">
        <v>185</v>
      </c>
      <c r="AD53" s="15" t="s">
        <v>99</v>
      </c>
      <c r="AE53" s="15" t="s">
        <v>100</v>
      </c>
      <c r="AF53" s="15" t="s">
        <v>101</v>
      </c>
      <c r="AG53" s="15" t="s">
        <v>100</v>
      </c>
      <c r="AH53" s="15" t="s">
        <v>100</v>
      </c>
      <c r="AI53" s="15" t="s">
        <v>100</v>
      </c>
      <c r="AJ53" s="15" t="s">
        <v>99</v>
      </c>
      <c r="AK53" s="18" t="s">
        <v>116</v>
      </c>
      <c r="AL53" s="15" t="s">
        <v>113</v>
      </c>
      <c r="AM53" s="15" t="s">
        <v>112</v>
      </c>
      <c r="AN53" s="15" t="s">
        <v>149</v>
      </c>
      <c r="AO53" s="15" t="s">
        <v>149</v>
      </c>
      <c r="AP53" s="87" t="s">
        <v>16157</v>
      </c>
      <c r="AQ53" s="87" t="s">
        <v>734</v>
      </c>
      <c r="AR53" s="22" t="s">
        <v>2239</v>
      </c>
      <c r="AS53" s="87" t="s">
        <v>734</v>
      </c>
      <c r="AT53" s="22" t="s">
        <v>3571</v>
      </c>
      <c r="AU53" s="87" t="s">
        <v>5355</v>
      </c>
      <c r="AV53" s="87" t="s">
        <v>4623</v>
      </c>
      <c r="AW53" s="457">
        <v>0</v>
      </c>
      <c r="AX53" s="630" t="str">
        <f t="shared" si="38"/>
        <v/>
      </c>
      <c r="AY53" s="630" t="str">
        <f t="shared" si="39"/>
        <v/>
      </c>
      <c r="AZ53" s="630" t="str">
        <f t="shared" si="40"/>
        <v/>
      </c>
      <c r="BA53" s="3"/>
      <c r="BB53" s="3"/>
      <c r="BC53" s="3"/>
      <c r="BD53" s="3"/>
      <c r="BE53" s="3"/>
      <c r="BF53" s="3"/>
      <c r="BG53" s="3"/>
      <c r="BH53" s="3"/>
      <c r="BI53" s="3"/>
      <c r="BJ53" s="3"/>
      <c r="BK53" s="3"/>
      <c r="BL53" s="3"/>
      <c r="BM53" s="3">
        <v>61</v>
      </c>
      <c r="BN53" s="3"/>
      <c r="BO53" s="3" t="s">
        <v>998</v>
      </c>
      <c r="BP53" s="3"/>
      <c r="BQ53" s="3" t="s">
        <v>11858</v>
      </c>
      <c r="BR53" s="3"/>
      <c r="BS53" s="3"/>
      <c r="BT53" s="3"/>
      <c r="BU53" s="3"/>
      <c r="BV53" s="3"/>
      <c r="BW53" s="3"/>
      <c r="BX53" s="3" t="str">
        <f>IF(Province="Ligue de l'Ostermark","Petite communauté d'Ligue de l'Ostermark","")</f>
        <v/>
      </c>
      <c r="BY53" t="str">
        <f t="shared" si="33"/>
        <v/>
      </c>
      <c r="BZ53" s="83" t="str">
        <f t="shared" si="7"/>
        <v/>
      </c>
      <c r="CA53" s="83" t="str">
        <f t="shared" si="8"/>
        <v/>
      </c>
      <c r="CB53" s="530" t="str">
        <f t="shared" si="9"/>
        <v/>
      </c>
      <c r="CC53" s="3" t="s">
        <v>1038</v>
      </c>
      <c r="CD53" t="s">
        <v>3265</v>
      </c>
      <c r="CE53" t="s">
        <v>10763</v>
      </c>
      <c r="CG53" s="3" t="s">
        <v>3136</v>
      </c>
      <c r="CH53" s="3" t="s">
        <v>5948</v>
      </c>
      <c r="CI53" s="3" t="s">
        <v>935</v>
      </c>
      <c r="CJ53" s="3"/>
      <c r="CK53" s="3" t="s">
        <v>6734</v>
      </c>
      <c r="CL53" s="3" t="s">
        <v>6516</v>
      </c>
      <c r="CM53" s="3" t="s">
        <v>6623</v>
      </c>
      <c r="CN53" s="3" t="s">
        <v>6567</v>
      </c>
      <c r="CO53" s="3" t="s">
        <v>10899</v>
      </c>
      <c r="CP53" s="83"/>
      <c r="CQ53" s="83"/>
      <c r="CR53" s="3" t="s">
        <v>13424</v>
      </c>
      <c r="CS53" s="3" t="s">
        <v>11135</v>
      </c>
      <c r="CT53" s="3" t="s">
        <v>393</v>
      </c>
      <c r="CU53" s="3"/>
      <c r="CV53" s="3"/>
      <c r="CW53" s="3"/>
      <c r="CX53" s="3"/>
      <c r="CY53" s="3" t="s">
        <v>2664</v>
      </c>
      <c r="CZ53" s="3"/>
      <c r="DA53" s="3" t="s">
        <v>12626</v>
      </c>
      <c r="DB53" s="84" t="s">
        <v>12708</v>
      </c>
      <c r="DC53" s="3"/>
      <c r="DD53" s="83" t="s">
        <v>16728</v>
      </c>
      <c r="DE53" s="3" t="s">
        <v>135</v>
      </c>
      <c r="DF53" s="3">
        <f>ROW()</f>
        <v>53</v>
      </c>
      <c r="DG53" s="3" t="s">
        <v>2174</v>
      </c>
      <c r="DH53" s="3">
        <f t="shared" si="47"/>
        <v>135</v>
      </c>
      <c r="DI53" s="3">
        <f t="shared" si="48"/>
        <v>115</v>
      </c>
      <c r="DJ53" s="3">
        <f t="shared" si="49"/>
        <v>95</v>
      </c>
      <c r="DK53" s="3">
        <f t="shared" si="50"/>
        <v>75</v>
      </c>
      <c r="DL53" s="3"/>
      <c r="DM53" s="3"/>
      <c r="DN53" s="3"/>
      <c r="DO53" s="3"/>
      <c r="DP53" s="3"/>
      <c r="DQ53" s="3"/>
      <c r="DR53" s="3"/>
      <c r="DS53" s="3"/>
      <c r="DT53" s="3"/>
      <c r="DU53" s="3"/>
      <c r="DV53" s="3"/>
      <c r="DW53" s="3"/>
      <c r="DX53" s="3"/>
      <c r="DY53" s="3"/>
      <c r="DZ53" s="3" t="s">
        <v>2964</v>
      </c>
      <c r="EA53" s="83" t="s">
        <v>4531</v>
      </c>
      <c r="EB53" s="3"/>
      <c r="ED53" s="3" t="s">
        <v>12838</v>
      </c>
      <c r="EE53" s="83" t="s">
        <v>141</v>
      </c>
      <c r="EF53" s="530" t="s">
        <v>12839</v>
      </c>
      <c r="EG53" s="356" t="str">
        <f>IF(SelectRace="homme-bête","Minautore","")</f>
        <v/>
      </c>
      <c r="EH53" s="83" t="str">
        <f t="shared" si="52"/>
        <v/>
      </c>
      <c r="EI53" s="83" t="str">
        <f t="shared" si="53"/>
        <v/>
      </c>
      <c r="EJ53" s="83" t="str">
        <f t="shared" si="54"/>
        <v/>
      </c>
      <c r="EK53" s="874" t="s">
        <v>12314</v>
      </c>
      <c r="EM53" s="90" t="s">
        <v>5135</v>
      </c>
      <c r="EN53" s="90" t="s">
        <v>5154</v>
      </c>
      <c r="EO53" t="s">
        <v>5137</v>
      </c>
      <c r="EP53" s="83" t="s">
        <v>5132</v>
      </c>
      <c r="EQ53" s="481" t="str">
        <f>IF(Pays="Inja","Darahma",IF(Pays="Norsca","",IF(OR(Pays="Terres des morts",Pays="Arabie"),"Montou",IF(OR(Pays="Lustrie",Pays="Terres du Sud"),"Sotek","Sigmar"))))</f>
        <v>Sigmar</v>
      </c>
      <c r="ER53" s="83">
        <f t="shared" si="34"/>
        <v>53</v>
      </c>
      <c r="ES53" s="83" t="str">
        <f t="shared" si="35"/>
        <v/>
      </c>
      <c r="ET53" s="530" t="str">
        <f t="shared" si="36"/>
        <v/>
      </c>
      <c r="EU53" s="177" t="str">
        <f>IF(Dieu="Loec","Ordre des danseurs de guerre","")</f>
        <v/>
      </c>
      <c r="EV53" s="83" t="str">
        <f t="shared" si="37"/>
        <v/>
      </c>
      <c r="EW53" s="83" t="str">
        <f t="shared" si="22"/>
        <v/>
      </c>
      <c r="EX53" s="530" t="str">
        <f t="shared" si="23"/>
        <v/>
      </c>
      <c r="EY53" s="83"/>
      <c r="EZ53" s="530" t="s">
        <v>9182</v>
      </c>
      <c r="FB53" s="83" t="s">
        <v>13280</v>
      </c>
      <c r="FC53" s="133" t="s">
        <v>13214</v>
      </c>
      <c r="FD53" t="s">
        <v>2211</v>
      </c>
      <c r="FE53" s="849">
        <v>189</v>
      </c>
      <c r="FF53">
        <v>20</v>
      </c>
      <c r="FG53">
        <v>0</v>
      </c>
      <c r="FH53">
        <v>15</v>
      </c>
      <c r="FI53">
        <v>15</v>
      </c>
      <c r="FJ53" s="10">
        <v>30</v>
      </c>
      <c r="FK53">
        <v>15</v>
      </c>
      <c r="FL53">
        <v>20</v>
      </c>
      <c r="FM53" s="165">
        <v>0</v>
      </c>
      <c r="FN53" s="88">
        <v>1</v>
      </c>
      <c r="FO53" s="88">
        <v>4</v>
      </c>
      <c r="FP53" s="164">
        <f t="shared" si="57"/>
        <v>1</v>
      </c>
      <c r="FQ53" s="164">
        <f t="shared" si="56"/>
        <v>1</v>
      </c>
      <c r="FR53" s="682">
        <v>5</v>
      </c>
      <c r="FS53" s="88">
        <v>0</v>
      </c>
      <c r="FT53" s="88">
        <v>0</v>
      </c>
      <c r="FU53" s="165">
        <v>0</v>
      </c>
      <c r="FV53" s="83" t="s">
        <v>7239</v>
      </c>
      <c r="FW53" t="s">
        <v>7240</v>
      </c>
      <c r="FX53" s="567" t="s">
        <v>7657</v>
      </c>
      <c r="GA53" s="83" t="s">
        <v>7548</v>
      </c>
      <c r="GE53" s="356"/>
      <c r="GF53" t="s">
        <v>8191</v>
      </c>
      <c r="GG53" s="356" t="s">
        <v>8865</v>
      </c>
      <c r="GH53" s="83" t="s">
        <v>8857</v>
      </c>
      <c r="GI53" s="83" t="s">
        <v>8856</v>
      </c>
      <c r="GJ53" s="83"/>
      <c r="GK53" s="530"/>
    </row>
    <row r="54" spans="8:193" ht="13.2" customHeight="1">
      <c r="H54" s="3" t="s">
        <v>420</v>
      </c>
      <c r="I54" s="3" t="s">
        <v>709</v>
      </c>
      <c r="J54" s="3"/>
      <c r="K54" s="3"/>
      <c r="L54" s="3"/>
      <c r="M54" s="651"/>
      <c r="N54" s="3"/>
      <c r="O54" s="3"/>
      <c r="P54" s="3"/>
      <c r="Q54" s="3"/>
      <c r="R54" s="651"/>
      <c r="S54" s="83" t="str">
        <f>IF(CareerType=Y177,"Caravanier",IF(AllCareers="X","Caravanier",IF(OR(SelectRace="homme-bête",SelectRace="peau-verte",SelectRace="créature du chaos",SelectRace="Homme-lézard",SelectRace="skaven",SelectRace="Vampire"),"",IF(Pays="Arabie","Caravanier",""))))</f>
        <v/>
      </c>
      <c r="T54" s="106">
        <f t="shared" ref="T54:T61" si="58">IF(X54="oui",0,1)</f>
        <v>0</v>
      </c>
      <c r="U54" s="693" t="str">
        <f t="shared" si="26"/>
        <v/>
      </c>
      <c r="V54" s="693" t="str">
        <f t="shared" si="27"/>
        <v/>
      </c>
      <c r="W54" s="693" t="str">
        <f t="shared" si="28"/>
        <v/>
      </c>
      <c r="X54" s="89" t="s">
        <v>2160</v>
      </c>
      <c r="Y54" s="743" t="s">
        <v>7134</v>
      </c>
      <c r="Z54" s="56" t="s">
        <v>9975</v>
      </c>
      <c r="AA54" s="89">
        <v>232</v>
      </c>
      <c r="AB54" s="89" t="s">
        <v>10032</v>
      </c>
      <c r="AD54" s="105" t="s">
        <v>149</v>
      </c>
      <c r="AE54" s="105" t="s">
        <v>149</v>
      </c>
      <c r="AF54" s="105" t="s">
        <v>149</v>
      </c>
      <c r="AG54" s="105" t="s">
        <v>98</v>
      </c>
      <c r="AH54" s="105" t="s">
        <v>149</v>
      </c>
      <c r="AI54" s="105" t="s">
        <v>114</v>
      </c>
      <c r="AJ54" s="105" t="s">
        <v>98</v>
      </c>
      <c r="AK54" s="443" t="s">
        <v>98</v>
      </c>
      <c r="AL54" s="105" t="s">
        <v>149</v>
      </c>
      <c r="AM54" s="105" t="s">
        <v>113</v>
      </c>
      <c r="AN54" s="105" t="s">
        <v>149</v>
      </c>
      <c r="AO54" s="105" t="s">
        <v>149</v>
      </c>
      <c r="AP54" s="87" t="s">
        <v>15724</v>
      </c>
      <c r="AQ54" s="87" t="s">
        <v>734</v>
      </c>
      <c r="AR54" s="87" t="s">
        <v>16729</v>
      </c>
      <c r="AS54" s="87" t="s">
        <v>734</v>
      </c>
      <c r="AT54" s="87" t="s">
        <v>16730</v>
      </c>
      <c r="AU54" s="87" t="s">
        <v>10050</v>
      </c>
      <c r="AV54" s="87" t="s">
        <v>10051</v>
      </c>
      <c r="AW54" s="458">
        <v>0</v>
      </c>
      <c r="AX54" s="630" t="str">
        <f t="shared" si="38"/>
        <v/>
      </c>
      <c r="AY54" s="630" t="str">
        <f t="shared" si="39"/>
        <v/>
      </c>
      <c r="AZ54" s="630" t="str">
        <f t="shared" si="40"/>
        <v/>
      </c>
      <c r="BA54" s="3"/>
      <c r="BB54" s="3"/>
      <c r="BC54" s="3"/>
      <c r="BD54" s="3"/>
      <c r="BE54" s="3"/>
      <c r="BF54" s="3"/>
      <c r="BG54" s="3"/>
      <c r="BH54" s="3"/>
      <c r="BI54" s="3"/>
      <c r="BJ54" s="3"/>
      <c r="BK54" s="3"/>
      <c r="BL54" s="3"/>
      <c r="BM54" s="3">
        <v>62</v>
      </c>
      <c r="BN54" s="3"/>
      <c r="BO54" s="83" t="s">
        <v>10801</v>
      </c>
      <c r="BP54" s="3"/>
      <c r="BQ54" s="3" t="s">
        <v>11859</v>
      </c>
      <c r="BR54" s="3"/>
      <c r="BS54" s="3"/>
      <c r="BT54" s="3"/>
      <c r="BU54" s="3"/>
      <c r="BV54" s="3"/>
      <c r="BW54" s="3"/>
      <c r="BX54" s="3" t="str">
        <f>IF(Province="Grande principauté d'Ostland","Petite communauté d'Grande principauté d'Ostland","")</f>
        <v/>
      </c>
      <c r="BY54" t="str">
        <f t="shared" si="33"/>
        <v/>
      </c>
      <c r="BZ54" s="83" t="str">
        <f t="shared" si="7"/>
        <v/>
      </c>
      <c r="CA54" s="83" t="str">
        <f t="shared" si="8"/>
        <v/>
      </c>
      <c r="CB54" s="530" t="str">
        <f t="shared" si="9"/>
        <v/>
      </c>
      <c r="CC54" s="3" t="s">
        <v>3247</v>
      </c>
      <c r="CD54" s="3" t="s">
        <v>3167</v>
      </c>
      <c r="CE54" t="s">
        <v>10774</v>
      </c>
      <c r="CG54" s="83" t="s">
        <v>6165</v>
      </c>
      <c r="CH54" s="3" t="s">
        <v>5949</v>
      </c>
      <c r="CI54" s="3" t="s">
        <v>936</v>
      </c>
      <c r="CJ54" s="3"/>
      <c r="CK54" s="3" t="s">
        <v>6780</v>
      </c>
      <c r="CL54" s="3" t="s">
        <v>6451</v>
      </c>
      <c r="CM54" s="83" t="s">
        <v>14893</v>
      </c>
      <c r="CN54" s="3" t="s">
        <v>6566</v>
      </c>
      <c r="CO54" s="3" t="s">
        <v>10904</v>
      </c>
      <c r="CP54" s="3"/>
      <c r="CQ54" s="3"/>
      <c r="CR54" s="3" t="s">
        <v>13425</v>
      </c>
      <c r="CS54" s="83" t="s">
        <v>15018</v>
      </c>
      <c r="CT54" s="83" t="s">
        <v>793</v>
      </c>
      <c r="CU54" s="3"/>
      <c r="CV54" s="3"/>
      <c r="CW54" s="3"/>
      <c r="CX54" s="3"/>
      <c r="CY54" s="3" t="s">
        <v>823</v>
      </c>
      <c r="CZ54" s="3"/>
      <c r="DA54" s="3" t="s">
        <v>12627</v>
      </c>
      <c r="DB54" s="83" t="s">
        <v>12685</v>
      </c>
      <c r="DC54" s="3"/>
      <c r="DD54" s="83" t="s">
        <v>16731</v>
      </c>
      <c r="DE54" s="3" t="s">
        <v>131</v>
      </c>
      <c r="DF54" s="3">
        <f>ROW()</f>
        <v>54</v>
      </c>
      <c r="DG54" s="3" t="s">
        <v>2678</v>
      </c>
      <c r="DH54" s="3">
        <f t="shared" si="47"/>
        <v>195</v>
      </c>
      <c r="DI54" s="3">
        <f t="shared" si="48"/>
        <v>160</v>
      </c>
      <c r="DJ54" s="3">
        <f t="shared" si="49"/>
        <v>130</v>
      </c>
      <c r="DK54" s="3">
        <f t="shared" si="50"/>
        <v>105</v>
      </c>
      <c r="DL54" s="3"/>
      <c r="DM54" s="3"/>
      <c r="DN54" s="3"/>
      <c r="DO54" s="3"/>
      <c r="DP54" s="3"/>
      <c r="DQ54" s="3"/>
      <c r="DR54" s="3"/>
      <c r="DS54" s="3"/>
      <c r="DT54" s="3"/>
      <c r="DU54" s="3"/>
      <c r="DV54" s="3"/>
      <c r="DW54" s="3"/>
      <c r="DX54" s="3"/>
      <c r="DY54" s="3"/>
      <c r="DZ54" s="3" t="s">
        <v>2965</v>
      </c>
      <c r="EA54" s="83" t="s">
        <v>4532</v>
      </c>
      <c r="EB54" s="3"/>
      <c r="ED54" s="3" t="s">
        <v>12837</v>
      </c>
      <c r="EE54" s="83" t="s">
        <v>141</v>
      </c>
      <c r="EF54" s="530" t="s">
        <v>16732</v>
      </c>
      <c r="EG54" s="356" t="str">
        <f>IF(SelectRace="homme-bête","Naga","")</f>
        <v/>
      </c>
      <c r="EH54" s="83" t="str">
        <f t="shared" si="52"/>
        <v/>
      </c>
      <c r="EI54" s="83" t="str">
        <f t="shared" si="53"/>
        <v/>
      </c>
      <c r="EJ54" s="83" t="str">
        <f t="shared" si="54"/>
        <v/>
      </c>
      <c r="EK54" s="874" t="s">
        <v>13132</v>
      </c>
      <c r="EM54" s="90" t="s">
        <v>5142</v>
      </c>
      <c r="EN54" s="90" t="s">
        <v>5154</v>
      </c>
      <c r="EO54" t="s">
        <v>5149</v>
      </c>
      <c r="EP54" s="83" t="s">
        <v>5147</v>
      </c>
      <c r="EQ54" s="566" t="str">
        <f>IF(Pays="Nippon","Banzaïgen",IF(Pays="Norsca","Shornaal",IF(Pays="Inja","Takchaka",IF(Selectsousrace="Kurgan/Hung","Loesh",IF(OR(Pays="Terres des morts",Pays="Arabie"),"Qu’aph","Slaanesh")))))</f>
        <v>Slaanesh</v>
      </c>
      <c r="ER54" s="83">
        <f t="shared" si="34"/>
        <v>54</v>
      </c>
      <c r="ES54" s="83" t="str">
        <f t="shared" si="35"/>
        <v/>
      </c>
      <c r="ET54" s="530" t="str">
        <f t="shared" si="36"/>
        <v/>
      </c>
      <c r="EU54" s="177" t="str">
        <f>IF(Dieu="Luccina et Lucan","Adepte/Croyant","")</f>
        <v/>
      </c>
      <c r="EV54" s="83" t="str">
        <f t="shared" si="37"/>
        <v/>
      </c>
      <c r="EW54" s="83" t="str">
        <f t="shared" si="22"/>
        <v/>
      </c>
      <c r="EX54" s="530" t="str">
        <f t="shared" si="23"/>
        <v/>
      </c>
      <c r="EZ54" s="531" t="s">
        <v>9185</v>
      </c>
      <c r="FB54" s="83" t="s">
        <v>13044</v>
      </c>
      <c r="FC54" s="133" t="s">
        <v>13214</v>
      </c>
      <c r="FD54" s="85" t="s">
        <v>12985</v>
      </c>
      <c r="FE54" s="849">
        <v>26</v>
      </c>
      <c r="FF54">
        <v>25</v>
      </c>
      <c r="FG54">
        <v>0</v>
      </c>
      <c r="FH54">
        <v>20</v>
      </c>
      <c r="FI54">
        <v>25</v>
      </c>
      <c r="FJ54" s="10">
        <v>30</v>
      </c>
      <c r="FK54">
        <v>12</v>
      </c>
      <c r="FL54">
        <v>20</v>
      </c>
      <c r="FM54" s="165">
        <v>0</v>
      </c>
      <c r="FN54" s="88">
        <v>1</v>
      </c>
      <c r="FO54" s="88">
        <v>6</v>
      </c>
      <c r="FP54" s="164">
        <f t="shared" si="57"/>
        <v>2</v>
      </c>
      <c r="FQ54" s="164">
        <f t="shared" si="56"/>
        <v>2</v>
      </c>
      <c r="FR54" s="682">
        <v>5</v>
      </c>
      <c r="FS54" s="88">
        <v>0</v>
      </c>
      <c r="FT54" s="88">
        <v>0</v>
      </c>
      <c r="FU54" s="165">
        <v>0</v>
      </c>
      <c r="FV54" s="83" t="s">
        <v>13043</v>
      </c>
      <c r="FW54" s="83" t="s">
        <v>12997</v>
      </c>
      <c r="FX54" s="567" t="s">
        <v>7659</v>
      </c>
      <c r="GA54" s="83" t="s">
        <v>16733</v>
      </c>
      <c r="GE54" s="356"/>
      <c r="GF54" t="s">
        <v>8156</v>
      </c>
      <c r="GG54" s="356" t="s">
        <v>8859</v>
      </c>
      <c r="GH54" s="83" t="s">
        <v>8857</v>
      </c>
      <c r="GI54" s="83" t="s">
        <v>8856</v>
      </c>
      <c r="GJ54" s="83"/>
      <c r="GK54" s="530"/>
    </row>
    <row r="55" spans="8:193" ht="13.2" customHeight="1">
      <c r="H55" s="3" t="s">
        <v>421</v>
      </c>
      <c r="I55" s="3" t="s">
        <v>78</v>
      </c>
      <c r="J55" s="3"/>
      <c r="K55" s="3"/>
      <c r="L55" s="3"/>
      <c r="M55" s="651"/>
      <c r="N55" s="3"/>
      <c r="O55" s="3"/>
      <c r="P55" s="3"/>
      <c r="Q55" s="3"/>
      <c r="R55" s="651"/>
      <c r="S55" s="83" t="str">
        <f>IF(CareerType=Y55,"Cartographe",IF(AllCareers="X","Cartographe",IF(OR(SelectRace="homme-bête",SelectRace="peau-verte",SelectRace="créature du chaos",SelectRace="skaven"),"",IF(Pays="Norsca","",IF(Pays="Kislev","",IF(Pays="Désolations du Chaos","",IF(OR(SelectRace="Humain",SelectRace="Elfe",SelectRace="Nain",SelectRace="Halfling",SelectRace="Vampire"),"Cartographe","")))))))</f>
        <v/>
      </c>
      <c r="T55" s="106">
        <f t="shared" si="58"/>
        <v>0</v>
      </c>
      <c r="U55" s="693" t="str">
        <f t="shared" si="26"/>
        <v/>
      </c>
      <c r="V55" s="693" t="str">
        <f t="shared" si="27"/>
        <v/>
      </c>
      <c r="W55" s="693" t="str">
        <f t="shared" si="28"/>
        <v/>
      </c>
      <c r="X55" s="48" t="s">
        <v>2160</v>
      </c>
      <c r="Y55" s="744" t="s">
        <v>7131</v>
      </c>
      <c r="Z55" s="55" t="s">
        <v>2176</v>
      </c>
      <c r="AA55" s="48">
        <v>42</v>
      </c>
      <c r="AB55" s="48" t="s">
        <v>2165</v>
      </c>
      <c r="AC55" s="48">
        <v>42</v>
      </c>
      <c r="AD55" s="15" t="s">
        <v>114</v>
      </c>
      <c r="AE55" s="15" t="s">
        <v>149</v>
      </c>
      <c r="AF55" s="15" t="s">
        <v>149</v>
      </c>
      <c r="AG55" s="15" t="s">
        <v>114</v>
      </c>
      <c r="AH55" s="15" t="s">
        <v>114</v>
      </c>
      <c r="AI55" s="15" t="s">
        <v>98</v>
      </c>
      <c r="AJ55" s="15" t="s">
        <v>114</v>
      </c>
      <c r="AK55" s="18" t="s">
        <v>114</v>
      </c>
      <c r="AL55" s="15" t="s">
        <v>149</v>
      </c>
      <c r="AM55" s="15" t="s">
        <v>113</v>
      </c>
      <c r="AN55" s="15" t="s">
        <v>149</v>
      </c>
      <c r="AO55" s="15" t="s">
        <v>149</v>
      </c>
      <c r="AP55" s="22" t="s">
        <v>2166</v>
      </c>
      <c r="AQ55" s="87" t="s">
        <v>734</v>
      </c>
      <c r="AR55" s="22" t="s">
        <v>2167</v>
      </c>
      <c r="AS55" s="87" t="s">
        <v>734</v>
      </c>
      <c r="AT55" s="22" t="s">
        <v>3539</v>
      </c>
      <c r="AU55" s="87" t="s">
        <v>16734</v>
      </c>
      <c r="AV55" s="87" t="s">
        <v>4750</v>
      </c>
      <c r="AW55" s="457">
        <v>0</v>
      </c>
      <c r="AX55" s="630" t="str">
        <f t="shared" si="38"/>
        <v/>
      </c>
      <c r="AY55" s="630" t="str">
        <f t="shared" si="39"/>
        <v/>
      </c>
      <c r="AZ55" s="630" t="str">
        <f t="shared" si="40"/>
        <v/>
      </c>
      <c r="BA55" s="3"/>
      <c r="BB55" s="3"/>
      <c r="BC55" s="3"/>
      <c r="BD55" s="3"/>
      <c r="BE55" s="3"/>
      <c r="BF55" s="3"/>
      <c r="BG55" s="3"/>
      <c r="BH55" s="3"/>
      <c r="BI55" s="3"/>
      <c r="BJ55" s="3"/>
      <c r="BK55" s="3"/>
      <c r="BL55" s="3"/>
      <c r="BM55" s="3">
        <v>63</v>
      </c>
      <c r="BN55" s="3"/>
      <c r="BO55" s="83" t="s">
        <v>10797</v>
      </c>
      <c r="BP55" s="3"/>
      <c r="BQ55" s="83" t="s">
        <v>11860</v>
      </c>
      <c r="BR55" s="3"/>
      <c r="BS55" s="3"/>
      <c r="BT55" s="3"/>
      <c r="BU55" s="3"/>
      <c r="BV55" s="3"/>
      <c r="BW55" s="3"/>
      <c r="BX55" s="3"/>
      <c r="BY55" t="str">
        <f t="shared" si="33"/>
        <v/>
      </c>
      <c r="BZ55" s="83" t="str">
        <f t="shared" si="7"/>
        <v/>
      </c>
      <c r="CA55" s="83" t="str">
        <f t="shared" si="8"/>
        <v/>
      </c>
      <c r="CB55" s="530" t="str">
        <f t="shared" si="9"/>
        <v/>
      </c>
      <c r="CC55" s="3" t="s">
        <v>3248</v>
      </c>
      <c r="CD55" t="s">
        <v>10665</v>
      </c>
      <c r="CE55" s="3" t="s">
        <v>3399</v>
      </c>
      <c r="CG55" s="3" t="s">
        <v>6166</v>
      </c>
      <c r="CH55" s="3" t="s">
        <v>5950</v>
      </c>
      <c r="CI55" s="3" t="s">
        <v>3366</v>
      </c>
      <c r="CJ55" s="3"/>
      <c r="CK55" s="3" t="s">
        <v>6932</v>
      </c>
      <c r="CL55" s="83" t="s">
        <v>10750</v>
      </c>
      <c r="CM55" s="83" t="s">
        <v>10280</v>
      </c>
      <c r="CN55" s="83" t="s">
        <v>14932</v>
      </c>
      <c r="CO55" s="3" t="s">
        <v>10909</v>
      </c>
      <c r="CP55" s="3"/>
      <c r="CQ55" s="3"/>
      <c r="CR55" s="3" t="s">
        <v>13426</v>
      </c>
      <c r="CS55" s="3" t="s">
        <v>11136</v>
      </c>
      <c r="CT55" s="3" t="s">
        <v>3009</v>
      </c>
      <c r="CU55" s="3"/>
      <c r="CV55" s="3"/>
      <c r="CW55" s="3"/>
      <c r="CX55" s="3"/>
      <c r="CY55" s="38" t="s">
        <v>130</v>
      </c>
      <c r="CZ55" s="3"/>
      <c r="DA55" s="3" t="s">
        <v>12628</v>
      </c>
      <c r="DB55" s="83" t="s">
        <v>12744</v>
      </c>
      <c r="DC55" s="3"/>
      <c r="DD55" s="3" t="s">
        <v>2691</v>
      </c>
      <c r="DE55" s="3" t="s">
        <v>132</v>
      </c>
      <c r="DF55" s="3">
        <f>ROW()</f>
        <v>55</v>
      </c>
      <c r="DG55" s="3" t="s">
        <v>780</v>
      </c>
      <c r="DH55" s="3">
        <f t="shared" si="47"/>
        <v>400</v>
      </c>
      <c r="DI55" s="3">
        <f t="shared" si="48"/>
        <v>300</v>
      </c>
      <c r="DJ55" s="3">
        <f t="shared" si="49"/>
        <v>210</v>
      </c>
      <c r="DK55" s="3">
        <f t="shared" si="50"/>
        <v>120</v>
      </c>
      <c r="DL55" s="3"/>
      <c r="DM55" s="3"/>
      <c r="DN55" s="3"/>
      <c r="DO55" s="3"/>
      <c r="DP55" s="3"/>
      <c r="DQ55" s="3"/>
      <c r="DR55" s="3"/>
      <c r="DS55" s="3"/>
      <c r="DT55" s="3"/>
      <c r="DU55" s="3"/>
      <c r="DV55" s="3"/>
      <c r="DW55" s="3"/>
      <c r="DX55" s="3"/>
      <c r="DY55" s="3"/>
      <c r="DZ55" s="3" t="s">
        <v>2966</v>
      </c>
      <c r="EA55" s="83" t="s">
        <v>4532</v>
      </c>
      <c r="EB55" s="3"/>
      <c r="ED55" s="3" t="s">
        <v>12835</v>
      </c>
      <c r="EE55" s="83" t="s">
        <v>141</v>
      </c>
      <c r="EF55" s="530" t="s">
        <v>12836</v>
      </c>
      <c r="EG55" s="356" t="str">
        <f>IF(SelectRace="homme-bête","Pestigor","")</f>
        <v/>
      </c>
      <c r="EH55" s="83" t="str">
        <f t="shared" si="52"/>
        <v/>
      </c>
      <c r="EI55" s="83" t="str">
        <f t="shared" si="53"/>
        <v/>
      </c>
      <c r="EJ55" s="83" t="str">
        <f t="shared" si="54"/>
        <v/>
      </c>
      <c r="EK55" s="874" t="s">
        <v>13137</v>
      </c>
      <c r="EM55" s="90"/>
      <c r="EN55" s="90" t="s">
        <v>5154</v>
      </c>
      <c r="EO55" t="s">
        <v>5146</v>
      </c>
      <c r="EP55" s="83" t="s">
        <v>5147</v>
      </c>
      <c r="EQ55" s="481" t="str">
        <f>IF(SelectRace="Nain","Smednir","")</f>
        <v/>
      </c>
      <c r="ER55" s="83" t="str">
        <f t="shared" si="34"/>
        <v/>
      </c>
      <c r="ES55" s="83" t="str">
        <f t="shared" si="35"/>
        <v/>
      </c>
      <c r="ET55" s="530" t="str">
        <f t="shared" si="36"/>
        <v/>
      </c>
      <c r="EU55" s="177" t="str">
        <f>IF(Dieu="Ormazd/L'Unique","Aucun Ordre","")</f>
        <v/>
      </c>
      <c r="EV55" s="83" t="str">
        <f t="shared" si="37"/>
        <v/>
      </c>
      <c r="EW55" s="83" t="str">
        <f t="shared" si="22"/>
        <v/>
      </c>
      <c r="EX55" s="530" t="str">
        <f t="shared" si="23"/>
        <v/>
      </c>
      <c r="EY55" s="83" t="s">
        <v>9625</v>
      </c>
      <c r="EZ55" s="530" t="s">
        <v>9624</v>
      </c>
      <c r="FB55" s="83" t="s">
        <v>15440</v>
      </c>
      <c r="FC55" s="133" t="s">
        <v>13214</v>
      </c>
      <c r="FD55" s="85" t="s">
        <v>2217</v>
      </c>
      <c r="FE55" s="849">
        <v>120</v>
      </c>
      <c r="FF55">
        <v>31</v>
      </c>
      <c r="FG55">
        <v>0</v>
      </c>
      <c r="FH55">
        <v>34</v>
      </c>
      <c r="FI55">
        <v>38</v>
      </c>
      <c r="FJ55" s="10">
        <v>62</v>
      </c>
      <c r="FK55">
        <v>6</v>
      </c>
      <c r="FL55">
        <v>43</v>
      </c>
      <c r="FM55" s="165">
        <v>0</v>
      </c>
      <c r="FN55" s="88">
        <v>1</v>
      </c>
      <c r="FO55" s="88">
        <v>13</v>
      </c>
      <c r="FP55" s="691">
        <f t="shared" si="57"/>
        <v>3</v>
      </c>
      <c r="FQ55" s="691">
        <f t="shared" si="56"/>
        <v>3</v>
      </c>
      <c r="FR55" s="683">
        <v>6</v>
      </c>
      <c r="FS55" s="88">
        <v>0</v>
      </c>
      <c r="FT55" s="88">
        <v>0</v>
      </c>
      <c r="FU55" s="165">
        <v>0</v>
      </c>
      <c r="FV55" s="83" t="s">
        <v>15437</v>
      </c>
      <c r="FW55" s="83" t="s">
        <v>16202</v>
      </c>
      <c r="FX55" s="530" t="s">
        <v>7659</v>
      </c>
      <c r="GA55" t="s">
        <v>7462</v>
      </c>
      <c r="GE55" s="356"/>
      <c r="GF55" t="s">
        <v>8161</v>
      </c>
      <c r="GG55" s="356" t="s">
        <v>8863</v>
      </c>
      <c r="GH55" s="83" t="s">
        <v>8857</v>
      </c>
      <c r="GI55" s="83" t="s">
        <v>8856</v>
      </c>
      <c r="GJ55" s="83"/>
      <c r="GK55" s="530"/>
    </row>
    <row r="56" spans="8:193" ht="13.2" customHeight="1">
      <c r="H56" s="3" t="s">
        <v>79</v>
      </c>
      <c r="I56" s="6" t="s">
        <v>12381</v>
      </c>
      <c r="J56" s="3"/>
      <c r="K56" s="3"/>
      <c r="L56" s="3"/>
      <c r="M56" s="651"/>
      <c r="N56" s="3"/>
      <c r="O56" s="3"/>
      <c r="P56" s="3"/>
      <c r="Q56" s="3"/>
      <c r="R56" s="651"/>
      <c r="S56" s="83" t="str">
        <f>IF(CareerType=Y56,"Cataclyste",IF(AllCareers="X","Cataclyste",IF(Selectsousrace="","",IF(OR(SelectRace="homme-bête",SelectRace="peau-verte",SelectRace="créature du chaos",SelectRace="Homme-lézard",SelectRace="skaven"),"",IF(FirstCareer="1ère carrière","","Cataclyste")))))</f>
        <v/>
      </c>
      <c r="T56" s="106">
        <f t="shared" si="58"/>
        <v>1</v>
      </c>
      <c r="U56" s="693" t="str">
        <f t="shared" si="26"/>
        <v/>
      </c>
      <c r="V56" s="693" t="str">
        <f t="shared" si="27"/>
        <v/>
      </c>
      <c r="W56" s="693" t="str">
        <f t="shared" si="28"/>
        <v/>
      </c>
      <c r="X56" s="47" t="s">
        <v>2153</v>
      </c>
      <c r="Y56" s="743" t="s">
        <v>15709</v>
      </c>
      <c r="Z56" s="55" t="s">
        <v>2196</v>
      </c>
      <c r="AA56" s="47">
        <v>179</v>
      </c>
      <c r="AB56" s="47" t="s">
        <v>9281</v>
      </c>
      <c r="AC56" s="47"/>
      <c r="AD56" s="15" t="s">
        <v>101</v>
      </c>
      <c r="AE56" s="15" t="s">
        <v>101</v>
      </c>
      <c r="AF56" s="20" t="s">
        <v>114</v>
      </c>
      <c r="AG56" s="15" t="s">
        <v>101</v>
      </c>
      <c r="AH56" s="15" t="s">
        <v>100</v>
      </c>
      <c r="AI56" s="15" t="s">
        <v>119</v>
      </c>
      <c r="AJ56" s="15" t="s">
        <v>97</v>
      </c>
      <c r="AK56" s="18" t="s">
        <v>100</v>
      </c>
      <c r="AL56" s="15" t="s">
        <v>149</v>
      </c>
      <c r="AM56" s="15" t="s">
        <v>114</v>
      </c>
      <c r="AN56" s="15" t="s">
        <v>149</v>
      </c>
      <c r="AO56" s="15" t="s">
        <v>103</v>
      </c>
      <c r="AP56" s="22" t="s">
        <v>733</v>
      </c>
      <c r="AQ56" s="87" t="s">
        <v>734</v>
      </c>
      <c r="AR56" s="22" t="s">
        <v>734</v>
      </c>
      <c r="AS56" s="87" t="s">
        <v>734</v>
      </c>
      <c r="AT56" s="22" t="s">
        <v>3424</v>
      </c>
      <c r="AU56" s="87" t="s">
        <v>15799</v>
      </c>
      <c r="AV56" s="87" t="s">
        <v>4725</v>
      </c>
      <c r="AW56" s="457">
        <v>0</v>
      </c>
      <c r="AX56" s="630" t="str">
        <f t="shared" si="38"/>
        <v/>
      </c>
      <c r="AY56" s="630" t="str">
        <f t="shared" si="39"/>
        <v/>
      </c>
      <c r="AZ56" s="630" t="str">
        <f t="shared" si="40"/>
        <v/>
      </c>
      <c r="BA56" s="3"/>
      <c r="BB56" s="3"/>
      <c r="BC56" s="3"/>
      <c r="BD56" s="3"/>
      <c r="BE56" s="3"/>
      <c r="BF56" s="3"/>
      <c r="BG56" s="3"/>
      <c r="BH56" s="3"/>
      <c r="BI56" s="3"/>
      <c r="BJ56" s="3"/>
      <c r="BK56" s="3"/>
      <c r="BL56" s="3"/>
      <c r="BM56" s="3">
        <v>64</v>
      </c>
      <c r="BN56" s="3"/>
      <c r="BO56" s="83" t="s">
        <v>7345</v>
      </c>
      <c r="BP56" s="3"/>
      <c r="BQ56" s="3" t="s">
        <v>11861</v>
      </c>
      <c r="BR56" s="83"/>
      <c r="BS56" s="83"/>
      <c r="BT56" s="3"/>
      <c r="BU56" s="3"/>
      <c r="BV56" s="3"/>
      <c r="BW56" s="3"/>
      <c r="BX56" s="3" t="str">
        <f>IF(Province="Grande baronnie du Hochland","Taudis de la Grande baronnie du Hochland","")</f>
        <v/>
      </c>
      <c r="BY56" t="str">
        <f t="shared" si="33"/>
        <v/>
      </c>
      <c r="BZ56" s="83" t="str">
        <f t="shared" si="7"/>
        <v/>
      </c>
      <c r="CA56" s="83" t="str">
        <f t="shared" si="8"/>
        <v/>
      </c>
      <c r="CB56" s="530" t="str">
        <f t="shared" si="9"/>
        <v/>
      </c>
      <c r="CC56" s="3" t="s">
        <v>3249</v>
      </c>
      <c r="CD56" s="3" t="s">
        <v>3169</v>
      </c>
      <c r="CE56" s="3" t="s">
        <v>1088</v>
      </c>
      <c r="CG56" s="83" t="s">
        <v>10170</v>
      </c>
      <c r="CH56" s="3" t="s">
        <v>5951</v>
      </c>
      <c r="CI56" s="3" t="s">
        <v>937</v>
      </c>
      <c r="CJ56" s="3"/>
      <c r="CK56" s="3" t="s">
        <v>6821</v>
      </c>
      <c r="CL56" s="3" t="s">
        <v>6481</v>
      </c>
      <c r="CM56" s="3" t="s">
        <v>6624</v>
      </c>
      <c r="CN56" s="3" t="s">
        <v>6568</v>
      </c>
      <c r="CO56" s="83" t="s">
        <v>12383</v>
      </c>
      <c r="CP56" s="3"/>
      <c r="CQ56" s="3"/>
      <c r="CR56" s="3" t="s">
        <v>13427</v>
      </c>
      <c r="CS56" s="3" t="s">
        <v>11137</v>
      </c>
      <c r="CT56" s="83" t="s">
        <v>2662</v>
      </c>
      <c r="CU56" s="3"/>
      <c r="CV56" s="3"/>
      <c r="CW56" s="3"/>
      <c r="CX56" s="3"/>
      <c r="CY56" s="39" t="s">
        <v>247</v>
      </c>
      <c r="CZ56" s="3"/>
      <c r="DA56" s="83" t="s">
        <v>12675</v>
      </c>
      <c r="DB56" s="83" t="s">
        <v>16735</v>
      </c>
      <c r="DC56" s="3"/>
      <c r="DD56" s="3" t="s">
        <v>2692</v>
      </c>
      <c r="DE56" s="3" t="s">
        <v>131</v>
      </c>
      <c r="DF56" s="3">
        <f>ROW()</f>
        <v>56</v>
      </c>
      <c r="DG56" s="3" t="s">
        <v>780</v>
      </c>
      <c r="DH56" s="3">
        <f t="shared" si="47"/>
        <v>400</v>
      </c>
      <c r="DI56" s="3">
        <f t="shared" si="48"/>
        <v>300</v>
      </c>
      <c r="DJ56" s="3">
        <f t="shared" si="49"/>
        <v>210</v>
      </c>
      <c r="DK56" s="3">
        <f t="shared" si="50"/>
        <v>120</v>
      </c>
      <c r="DL56" s="3"/>
      <c r="DM56" s="3"/>
      <c r="DN56" s="3"/>
      <c r="DO56" s="3"/>
      <c r="DP56" s="3"/>
      <c r="DQ56" s="3"/>
      <c r="DR56" s="3"/>
      <c r="DS56" s="3"/>
      <c r="DT56" s="3"/>
      <c r="DU56" s="3"/>
      <c r="DV56" s="3"/>
      <c r="DW56" s="3"/>
      <c r="DX56" s="3"/>
      <c r="DY56" s="3"/>
      <c r="DZ56" s="3" t="s">
        <v>2967</v>
      </c>
      <c r="EA56" s="83" t="s">
        <v>4532</v>
      </c>
      <c r="EB56" s="3"/>
      <c r="ED56" s="3" t="s">
        <v>12826</v>
      </c>
      <c r="EE56" s="83" t="s">
        <v>141</v>
      </c>
      <c r="EF56" s="530" t="s">
        <v>12827</v>
      </c>
      <c r="EG56" s="356" t="str">
        <f>IF(SelectRace="homme-bête","Rakshasa","")</f>
        <v/>
      </c>
      <c r="EH56" s="83" t="str">
        <f t="shared" si="52"/>
        <v/>
      </c>
      <c r="EI56" s="83" t="str">
        <f t="shared" si="53"/>
        <v/>
      </c>
      <c r="EJ56" s="83" t="str">
        <f t="shared" si="54"/>
        <v/>
      </c>
      <c r="EK56" s="874" t="s">
        <v>13133</v>
      </c>
      <c r="EM56" s="90" t="s">
        <v>5141</v>
      </c>
      <c r="EN56" s="90" t="s">
        <v>5154</v>
      </c>
      <c r="EO56" t="s">
        <v>5148</v>
      </c>
      <c r="EP56" s="83" t="s">
        <v>5147</v>
      </c>
      <c r="EQ56" s="566" t="str">
        <f>IF(Pays="Nippon","Kagutsochi",IF(Pays="Inja","Agnisattva",IF(Pays="Albion","Lug",IF(OR(Pays="Empire",Pays="Kislev",Pays="Pays Perdu"),"Solkan",IF(OR(Pays="Terres des morts",Pays="Arabie"),"Râ","")))))</f>
        <v/>
      </c>
      <c r="ER56" s="83" t="str">
        <f t="shared" si="34"/>
        <v/>
      </c>
      <c r="ES56" s="83" t="str">
        <f t="shared" si="35"/>
        <v/>
      </c>
      <c r="ET56" s="530" t="str">
        <f t="shared" si="36"/>
        <v/>
      </c>
      <c r="EU56" s="177" t="str">
        <f>IF(Dieu="Ormazd/L'Unique","Culte d’Ormazd","")</f>
        <v/>
      </c>
      <c r="EV56" s="83" t="str">
        <f t="shared" si="37"/>
        <v/>
      </c>
      <c r="EW56" s="83" t="str">
        <f t="shared" si="22"/>
        <v/>
      </c>
      <c r="EX56" s="530" t="str">
        <f t="shared" si="23"/>
        <v/>
      </c>
      <c r="EY56" t="s">
        <v>9627</v>
      </c>
      <c r="EZ56" s="530" t="s">
        <v>9626</v>
      </c>
      <c r="FB56" s="83" t="s">
        <v>15449</v>
      </c>
      <c r="FC56" s="133" t="s">
        <v>13214</v>
      </c>
      <c r="FD56" s="85" t="s">
        <v>2217</v>
      </c>
      <c r="FE56" s="849">
        <v>122</v>
      </c>
      <c r="FF56">
        <v>28</v>
      </c>
      <c r="FG56">
        <v>0</v>
      </c>
      <c r="FH56">
        <v>21</v>
      </c>
      <c r="FI56">
        <v>23</v>
      </c>
      <c r="FJ56" s="10">
        <v>28</v>
      </c>
      <c r="FK56">
        <v>0</v>
      </c>
      <c r="FL56">
        <v>0</v>
      </c>
      <c r="FM56" s="165">
        <v>0</v>
      </c>
      <c r="FN56" s="88">
        <v>1</v>
      </c>
      <c r="FO56" s="88">
        <v>6</v>
      </c>
      <c r="FP56" s="691">
        <f t="shared" si="57"/>
        <v>2</v>
      </c>
      <c r="FQ56" s="691">
        <f t="shared" si="56"/>
        <v>2</v>
      </c>
      <c r="FR56" s="10">
        <v>3</v>
      </c>
      <c r="FS56" s="88">
        <v>0</v>
      </c>
      <c r="FT56" s="88">
        <v>0</v>
      </c>
      <c r="FU56" s="165">
        <v>0</v>
      </c>
      <c r="FV56" s="84" t="s">
        <v>149</v>
      </c>
      <c r="FW56" s="83" t="s">
        <v>15450</v>
      </c>
      <c r="FX56" s="530" t="s">
        <v>15451</v>
      </c>
      <c r="GA56" s="83" t="s">
        <v>7579</v>
      </c>
      <c r="GE56" s="356"/>
      <c r="GF56" t="s">
        <v>8179</v>
      </c>
      <c r="GG56" s="356" t="s">
        <v>8860</v>
      </c>
      <c r="GH56" s="83" t="s">
        <v>8857</v>
      </c>
      <c r="GI56" s="83" t="s">
        <v>8856</v>
      </c>
      <c r="GJ56" s="83"/>
      <c r="GK56" s="530"/>
    </row>
    <row r="57" spans="8:193" ht="13.2" customHeight="1">
      <c r="H57" s="3" t="s">
        <v>422</v>
      </c>
      <c r="I57" s="6" t="s">
        <v>82</v>
      </c>
      <c r="J57" s="3"/>
      <c r="K57" s="3"/>
      <c r="L57" s="3"/>
      <c r="M57" s="651"/>
      <c r="N57" s="3"/>
      <c r="O57" s="3"/>
      <c r="P57" s="3"/>
      <c r="Q57" s="3"/>
      <c r="R57" s="651"/>
      <c r="S57" s="83" t="str">
        <f>IF(CareerType=Y57,"Catéchiste",IF(AllCareers="X","Catéchiste",IF(Selectsousrace="","",IF(OR(SelectRace="homme-bête",SelectRace="peau-verte",SelectRace="créature du chaos",SelectRace="Homme-lézard",SelectRace="skaven"),"",IF(FirstCareer="1ère carrière","","Catéchiste")))))</f>
        <v/>
      </c>
      <c r="T57" s="106">
        <f t="shared" si="58"/>
        <v>1</v>
      </c>
      <c r="U57" s="693" t="str">
        <f t="shared" si="26"/>
        <v/>
      </c>
      <c r="V57" s="693" t="str">
        <f t="shared" si="27"/>
        <v/>
      </c>
      <c r="W57" s="693" t="str">
        <f t="shared" si="28"/>
        <v/>
      </c>
      <c r="X57" s="47" t="s">
        <v>2153</v>
      </c>
      <c r="Y57" s="743" t="s">
        <v>7131</v>
      </c>
      <c r="Z57" s="55" t="s">
        <v>538</v>
      </c>
      <c r="AA57" s="47">
        <v>197</v>
      </c>
      <c r="AB57" s="47" t="s">
        <v>2240</v>
      </c>
      <c r="AC57" s="47">
        <v>44</v>
      </c>
      <c r="AD57" s="15" t="s">
        <v>149</v>
      </c>
      <c r="AE57" s="15" t="s">
        <v>149</v>
      </c>
      <c r="AF57" s="20" t="s">
        <v>114</v>
      </c>
      <c r="AG57" s="20" t="s">
        <v>114</v>
      </c>
      <c r="AH57" s="15" t="s">
        <v>98</v>
      </c>
      <c r="AI57" s="15" t="s">
        <v>100</v>
      </c>
      <c r="AJ57" s="15" t="s">
        <v>101</v>
      </c>
      <c r="AK57" s="18" t="s">
        <v>98</v>
      </c>
      <c r="AL57" s="15" t="s">
        <v>149</v>
      </c>
      <c r="AM57" s="15" t="s">
        <v>103</v>
      </c>
      <c r="AN57" s="15" t="s">
        <v>149</v>
      </c>
      <c r="AO57" s="15" t="s">
        <v>149</v>
      </c>
      <c r="AP57" s="22" t="s">
        <v>2241</v>
      </c>
      <c r="AQ57" s="87" t="s">
        <v>734</v>
      </c>
      <c r="AR57" s="87" t="s">
        <v>9994</v>
      </c>
      <c r="AS57" s="87" t="s">
        <v>734</v>
      </c>
      <c r="AT57" s="87" t="s">
        <v>16736</v>
      </c>
      <c r="AU57" s="87" t="s">
        <v>16737</v>
      </c>
      <c r="AV57" s="87" t="s">
        <v>4736</v>
      </c>
      <c r="AW57" s="457">
        <v>0</v>
      </c>
      <c r="AX57" s="630" t="str">
        <f t="shared" si="38"/>
        <v/>
      </c>
      <c r="AY57" s="630" t="str">
        <f t="shared" si="39"/>
        <v/>
      </c>
      <c r="AZ57" s="630" t="str">
        <f t="shared" si="40"/>
        <v/>
      </c>
      <c r="BA57" s="3"/>
      <c r="BB57" s="3"/>
      <c r="BC57" s="3"/>
      <c r="BD57" s="3"/>
      <c r="BE57" s="3"/>
      <c r="BF57" s="3"/>
      <c r="BG57" s="3"/>
      <c r="BH57" s="3"/>
      <c r="BI57" s="3"/>
      <c r="BJ57" s="3"/>
      <c r="BK57" s="3"/>
      <c r="BL57" s="3"/>
      <c r="BM57" s="3">
        <v>65</v>
      </c>
      <c r="BN57" s="3"/>
      <c r="BO57" s="83" t="s">
        <v>10805</v>
      </c>
      <c r="BP57" s="3"/>
      <c r="BQ57" s="3" t="s">
        <v>11862</v>
      </c>
      <c r="BR57" s="3"/>
      <c r="BS57" s="3"/>
      <c r="BT57" s="3"/>
      <c r="BU57" s="3"/>
      <c r="BV57" s="3"/>
      <c r="BW57" s="3"/>
      <c r="BX57" s="3" t="str">
        <f>IF(Province="Grands-duchés de Middenheim et du Middenland","Taudis de Grands-duchés de Middenheim et du Middenland","")</f>
        <v/>
      </c>
      <c r="BY57" t="str">
        <f t="shared" si="33"/>
        <v/>
      </c>
      <c r="BZ57" s="83" t="str">
        <f t="shared" si="7"/>
        <v/>
      </c>
      <c r="CA57" s="83" t="str">
        <f t="shared" si="8"/>
        <v/>
      </c>
      <c r="CB57" s="530" t="str">
        <f t="shared" si="9"/>
        <v/>
      </c>
      <c r="CC57" s="3" t="s">
        <v>3250</v>
      </c>
      <c r="CD57" s="3" t="s">
        <v>3170</v>
      </c>
      <c r="CE57" s="3" t="s">
        <v>3402</v>
      </c>
      <c r="CG57" s="3" t="s">
        <v>6167</v>
      </c>
      <c r="CH57" s="3" t="s">
        <v>5952</v>
      </c>
      <c r="CI57" s="3" t="s">
        <v>3370</v>
      </c>
      <c r="CJ57" s="3"/>
      <c r="CK57" s="3" t="s">
        <v>6898</v>
      </c>
      <c r="CL57" s="3" t="s">
        <v>6485</v>
      </c>
      <c r="CM57" s="83" t="s">
        <v>10281</v>
      </c>
      <c r="CN57" s="3" t="s">
        <v>6591</v>
      </c>
      <c r="CO57" s="3" t="s">
        <v>10911</v>
      </c>
      <c r="CP57" s="3"/>
      <c r="CQ57" s="3"/>
      <c r="CR57" s="3" t="s">
        <v>13428</v>
      </c>
      <c r="CS57" s="3" t="s">
        <v>11138</v>
      </c>
      <c r="CT57" s="3" t="s">
        <v>798</v>
      </c>
      <c r="CU57" s="3"/>
      <c r="CV57" s="3"/>
      <c r="CW57" s="3"/>
      <c r="CX57" s="3"/>
      <c r="CY57" s="39" t="s">
        <v>248</v>
      </c>
      <c r="CZ57" s="3"/>
      <c r="DA57" s="3" t="s">
        <v>12629</v>
      </c>
      <c r="DB57" s="83" t="s">
        <v>12686</v>
      </c>
      <c r="DC57" s="3"/>
      <c r="DD57" s="3" t="s">
        <v>2693</v>
      </c>
      <c r="DE57" s="3" t="s">
        <v>131</v>
      </c>
      <c r="DF57" s="3">
        <f>ROW()</f>
        <v>57</v>
      </c>
      <c r="DG57" s="3" t="s">
        <v>780</v>
      </c>
      <c r="DH57" s="3">
        <f t="shared" si="47"/>
        <v>400</v>
      </c>
      <c r="DI57" s="3">
        <f t="shared" si="48"/>
        <v>300</v>
      </c>
      <c r="DJ57" s="3">
        <f t="shared" si="49"/>
        <v>210</v>
      </c>
      <c r="DK57" s="3">
        <f t="shared" si="50"/>
        <v>120</v>
      </c>
      <c r="DL57" s="3"/>
      <c r="DM57" s="3"/>
      <c r="DN57" s="3"/>
      <c r="DO57" s="3"/>
      <c r="DP57" s="3"/>
      <c r="DQ57" s="3"/>
      <c r="DR57" s="3"/>
      <c r="DS57" s="3"/>
      <c r="DT57" s="3"/>
      <c r="DU57" s="3"/>
      <c r="DV57" s="3"/>
      <c r="DW57" s="3"/>
      <c r="DX57" s="3"/>
      <c r="DY57" s="3"/>
      <c r="DZ57" s="3" t="s">
        <v>2968</v>
      </c>
      <c r="EA57" s="83" t="s">
        <v>4532</v>
      </c>
      <c r="EB57" s="3"/>
      <c r="ED57" s="3" t="s">
        <v>12833</v>
      </c>
      <c r="EE57" s="83" t="s">
        <v>141</v>
      </c>
      <c r="EF57" s="530" t="s">
        <v>12834</v>
      </c>
      <c r="EG57" s="356" t="str">
        <f>IF(SelectRace="homme-bête","Shaman","")</f>
        <v/>
      </c>
      <c r="EH57" s="83" t="str">
        <f t="shared" si="52"/>
        <v/>
      </c>
      <c r="EI57" s="83" t="str">
        <f t="shared" si="53"/>
        <v/>
      </c>
      <c r="EJ57" s="83" t="str">
        <f t="shared" si="54"/>
        <v/>
      </c>
      <c r="EK57" s="874" t="s">
        <v>9477</v>
      </c>
      <c r="EM57" s="90" t="s">
        <v>16738</v>
      </c>
      <c r="EN57" s="90" t="s">
        <v>5154</v>
      </c>
      <c r="EO57" t="s">
        <v>5057</v>
      </c>
      <c r="EP57" s="83" t="s">
        <v>5125</v>
      </c>
      <c r="EQ57" s="481" t="str">
        <f>IF(Pays="Nippon","Ryūjin",IF(Pays="Inja","Rudri","Stormfels"))</f>
        <v>Stormfels</v>
      </c>
      <c r="ER57" s="83" t="e">
        <f>IF(#REF!="","",ROW())</f>
        <v>#REF!</v>
      </c>
      <c r="ES57" s="83" t="str">
        <f t="shared" si="35"/>
        <v/>
      </c>
      <c r="ET57" s="530" t="str">
        <f t="shared" si="36"/>
        <v/>
      </c>
      <c r="EU57" s="177" t="str">
        <f>IF(Dieu="Ormazd/L'Unique","Derviches","")</f>
        <v/>
      </c>
      <c r="EV57" s="83" t="str">
        <f t="shared" si="37"/>
        <v/>
      </c>
      <c r="EW57" s="83" t="str">
        <f t="shared" si="22"/>
        <v/>
      </c>
      <c r="EX57" s="530" t="str">
        <f t="shared" si="23"/>
        <v/>
      </c>
      <c r="EY57" s="83" t="s">
        <v>9629</v>
      </c>
      <c r="EZ57" s="530" t="s">
        <v>9628</v>
      </c>
      <c r="FB57" s="83" t="s">
        <v>13037</v>
      </c>
      <c r="FC57" s="133" t="s">
        <v>13214</v>
      </c>
      <c r="FD57" t="s">
        <v>7230</v>
      </c>
      <c r="FE57" s="849">
        <v>96</v>
      </c>
      <c r="FF57">
        <v>25</v>
      </c>
      <c r="FG57">
        <v>0</v>
      </c>
      <c r="FH57">
        <v>21</v>
      </c>
      <c r="FI57">
        <v>21</v>
      </c>
      <c r="FJ57" s="10">
        <v>30</v>
      </c>
      <c r="FK57">
        <v>18</v>
      </c>
      <c r="FL57">
        <v>30</v>
      </c>
      <c r="FM57" s="165">
        <v>0</v>
      </c>
      <c r="FN57" s="88">
        <v>1</v>
      </c>
      <c r="FO57" s="88">
        <v>6</v>
      </c>
      <c r="FP57" s="164">
        <f t="shared" si="57"/>
        <v>2</v>
      </c>
      <c r="FQ57" s="164">
        <f t="shared" si="56"/>
        <v>2</v>
      </c>
      <c r="FR57" s="682">
        <v>6</v>
      </c>
      <c r="FS57" s="88">
        <v>0</v>
      </c>
      <c r="FT57" s="88">
        <v>0</v>
      </c>
      <c r="FU57" s="165">
        <v>0</v>
      </c>
      <c r="FV57" s="83" t="s">
        <v>7237</v>
      </c>
      <c r="FW57" s="83" t="s">
        <v>14616</v>
      </c>
      <c r="FX57" s="567" t="s">
        <v>7658</v>
      </c>
      <c r="GA57" t="s">
        <v>7532</v>
      </c>
      <c r="GE57" s="356"/>
      <c r="GF57" t="s">
        <v>8171</v>
      </c>
      <c r="GG57" s="356" t="s">
        <v>7296</v>
      </c>
      <c r="GH57" s="83" t="s">
        <v>8857</v>
      </c>
      <c r="GI57" s="83" t="s">
        <v>8856</v>
      </c>
      <c r="GJ57" s="83"/>
      <c r="GK57" s="530"/>
    </row>
    <row r="58" spans="8:193" ht="13.2" customHeight="1">
      <c r="H58" s="83" t="s">
        <v>16739</v>
      </c>
      <c r="I58" s="3" t="s">
        <v>2894</v>
      </c>
      <c r="J58" s="3"/>
      <c r="K58" s="3"/>
      <c r="L58" s="3"/>
      <c r="M58" s="651"/>
      <c r="N58" s="3"/>
      <c r="O58" s="3"/>
      <c r="P58" s="3"/>
      <c r="Q58" s="3"/>
      <c r="R58" s="651"/>
      <c r="S58" s="83" t="str">
        <f>IF(CareerType=Y58,"Catin",IF(AllCareers="X","Catin",IF('page 1'!M11="Masculin","",IF(OR(SelectRace="homme-bête",SelectRace="peau-verte",SelectRace="créature du chaos",SelectRace="Homme-lézard",SelectRace="skaven"),"",IF(OR(SelectRace="Humain",SelectRace="Halfling",'page 1'!K4="Lahmiane"),"Catin","")))))</f>
        <v/>
      </c>
      <c r="T58" s="106">
        <f t="shared" si="58"/>
        <v>0</v>
      </c>
      <c r="U58" s="693" t="str">
        <f t="shared" si="26"/>
        <v/>
      </c>
      <c r="V58" s="693" t="str">
        <f t="shared" si="27"/>
        <v/>
      </c>
      <c r="W58" s="693" t="str">
        <f t="shared" si="28"/>
        <v/>
      </c>
      <c r="X58" s="47" t="s">
        <v>2160</v>
      </c>
      <c r="Y58" s="743" t="s">
        <v>7132</v>
      </c>
      <c r="Z58" s="56" t="s">
        <v>11941</v>
      </c>
      <c r="AA58" s="47">
        <v>232</v>
      </c>
      <c r="AB58" s="47" t="s">
        <v>9282</v>
      </c>
      <c r="AC58" s="800"/>
      <c r="AD58" s="20" t="s">
        <v>114</v>
      </c>
      <c r="AE58" s="15" t="s">
        <v>149</v>
      </c>
      <c r="AF58" s="15" t="s">
        <v>149</v>
      </c>
      <c r="AG58" s="20" t="s">
        <v>114</v>
      </c>
      <c r="AH58" s="15" t="s">
        <v>98</v>
      </c>
      <c r="AI58" s="15" t="s">
        <v>149</v>
      </c>
      <c r="AJ58" s="20" t="s">
        <v>114</v>
      </c>
      <c r="AK58" s="18" t="s">
        <v>98</v>
      </c>
      <c r="AL58" s="15" t="s">
        <v>149</v>
      </c>
      <c r="AM58" s="15" t="s">
        <v>113</v>
      </c>
      <c r="AN58" s="15" t="s">
        <v>149</v>
      </c>
      <c r="AO58" s="15" t="s">
        <v>149</v>
      </c>
      <c r="AP58" s="87" t="s">
        <v>16740</v>
      </c>
      <c r="AQ58" s="87" t="s">
        <v>734</v>
      </c>
      <c r="AR58" s="87" t="s">
        <v>16741</v>
      </c>
      <c r="AS58" s="87" t="s">
        <v>734</v>
      </c>
      <c r="AT58" s="87" t="s">
        <v>4950</v>
      </c>
      <c r="AU58" s="87" t="s">
        <v>16742</v>
      </c>
      <c r="AV58" s="87" t="s">
        <v>4728</v>
      </c>
      <c r="AW58" s="457">
        <v>0</v>
      </c>
      <c r="AX58" s="630" t="str">
        <f t="shared" si="38"/>
        <v/>
      </c>
      <c r="AY58" s="630" t="str">
        <f t="shared" si="39"/>
        <v/>
      </c>
      <c r="AZ58" s="630" t="str">
        <f t="shared" si="40"/>
        <v/>
      </c>
      <c r="BA58" s="3"/>
      <c r="BB58" s="3"/>
      <c r="BC58" s="3"/>
      <c r="BD58" s="3"/>
      <c r="BE58" s="3"/>
      <c r="BF58" s="3"/>
      <c r="BG58" s="3"/>
      <c r="BH58" s="3"/>
      <c r="BI58" s="3"/>
      <c r="BJ58" s="3"/>
      <c r="BK58" s="3"/>
      <c r="BL58" s="3"/>
      <c r="BM58" s="3">
        <v>66</v>
      </c>
      <c r="BN58" s="3"/>
      <c r="BP58" s="3"/>
      <c r="BQ58" s="3" t="s">
        <v>11863</v>
      </c>
      <c r="BR58" s="3"/>
      <c r="BS58" s="3"/>
      <c r="BT58" s="3"/>
      <c r="BU58" s="3"/>
      <c r="BV58" s="3"/>
      <c r="BW58" s="3"/>
      <c r="BX58" s="3" t="str">
        <f>IF(Province="Grande baronnie du Nordland","Taudis de la Grande baronnie du Nordland","")</f>
        <v/>
      </c>
      <c r="BY58" t="str">
        <f t="shared" si="33"/>
        <v/>
      </c>
      <c r="BZ58" s="83" t="str">
        <f t="shared" si="7"/>
        <v/>
      </c>
      <c r="CA58" s="83" t="str">
        <f t="shared" si="8"/>
        <v/>
      </c>
      <c r="CB58" s="530" t="str">
        <f t="shared" si="9"/>
        <v/>
      </c>
      <c r="CC58" s="3" t="s">
        <v>3251</v>
      </c>
      <c r="CD58" t="s">
        <v>3268</v>
      </c>
      <c r="CE58" s="83" t="s">
        <v>10234</v>
      </c>
      <c r="CG58" s="83" t="s">
        <v>15103</v>
      </c>
      <c r="CH58" s="3" t="s">
        <v>5953</v>
      </c>
      <c r="CI58" s="3" t="s">
        <v>3378</v>
      </c>
      <c r="CJ58" s="3"/>
      <c r="CK58" s="3" t="s">
        <v>6861</v>
      </c>
      <c r="CL58" s="3" t="s">
        <v>6446</v>
      </c>
      <c r="CM58" t="s">
        <v>10282</v>
      </c>
      <c r="CN58" s="3" t="s">
        <v>6572</v>
      </c>
      <c r="CO58" s="3" t="str">
        <f>CONCATENATE("Bryn",IF(AND('page 1'!M11="Féminin",Pays="Norsca"),"dottir",IF(AND('page 1'!M11="Masculin",Pays="Norsca"),"son",IF(AND('page 1'!M11="Féminin",Pays="Kislev"),"ovna",IF(AND('page 1'!M11="Masculin",Pays="Kislev"),"sky","")))))</f>
        <v>Bryn</v>
      </c>
      <c r="CP58" s="3"/>
      <c r="CQ58" s="3"/>
      <c r="CR58" s="3" t="s">
        <v>13429</v>
      </c>
      <c r="CU58" s="3"/>
      <c r="CV58" s="3"/>
      <c r="CW58" s="3"/>
      <c r="CX58" s="3"/>
      <c r="CY58" s="3" t="s">
        <v>413</v>
      </c>
      <c r="CZ58" s="3"/>
      <c r="DA58" s="3" t="s">
        <v>12630</v>
      </c>
      <c r="DB58" s="84" t="s">
        <v>12687</v>
      </c>
      <c r="DC58" s="3"/>
      <c r="DD58" s="83" t="s">
        <v>11199</v>
      </c>
      <c r="DE58" s="3" t="s">
        <v>132</v>
      </c>
      <c r="DF58" s="3">
        <f>ROW()</f>
        <v>58</v>
      </c>
      <c r="DG58" s="3" t="s">
        <v>780</v>
      </c>
      <c r="DH58" s="3">
        <f t="shared" ref="DH58:DH89" si="59">IF($DG58="Artisan",400,IF($DG58="Détaillant",195,IF($DG58="Fermier",135,IF($DG58="Aubergiste",150,IF($DG58="Spécialiste",750,0)))))</f>
        <v>400</v>
      </c>
      <c r="DI58" s="3">
        <f t="shared" ref="DI58:DI89" si="60">IF($DG58="Artisan",300,IF($DG58="Détaillant",160,IF($DG58="Fermier",115,IF($DG58="Aubergiste",135,IF($DG58="Spécialiste",565,0)))))</f>
        <v>300</v>
      </c>
      <c r="DJ58" s="3">
        <f t="shared" ref="DJ58:DJ89" si="61">IF($DG58="Artisan",210,IF($DG58="Détaillant",130,IF($DG58="Fermier",95,IF($DG58="Aubergiste",120,IF($DG58="Spécialiste",380,0)))))</f>
        <v>210</v>
      </c>
      <c r="DK58" s="3">
        <f t="shared" ref="DK58:DK89" si="62">IF($DG58="Artisan",120,IF($DG58="Détaillant",105,IF($DG58="Fermier",75,IF($DG58="Aubergiste",105,IF($DG58="Spécialiste",195,0)))))</f>
        <v>120</v>
      </c>
      <c r="DL58" s="3"/>
      <c r="DM58" s="3"/>
      <c r="DN58" s="3"/>
      <c r="DO58" s="3"/>
      <c r="DP58" s="3"/>
      <c r="DQ58" s="3"/>
      <c r="DR58" s="3"/>
      <c r="DS58" s="3"/>
      <c r="DT58" s="3"/>
      <c r="DU58" s="3"/>
      <c r="DV58" s="3"/>
      <c r="DW58" s="3"/>
      <c r="DX58" s="3"/>
      <c r="DY58" s="3"/>
      <c r="DZ58" s="3" t="s">
        <v>2969</v>
      </c>
      <c r="EA58" s="83" t="s">
        <v>4532</v>
      </c>
      <c r="EB58" s="3"/>
      <c r="ED58" s="83" t="s">
        <v>14542</v>
      </c>
      <c r="EE58" s="83" t="s">
        <v>2574</v>
      </c>
      <c r="EF58" s="530" t="s">
        <v>16743</v>
      </c>
      <c r="EG58" s="356" t="str">
        <f>IF(SelectRace="homme-bête","Sirène","")</f>
        <v/>
      </c>
      <c r="EH58" s="83" t="str">
        <f t="shared" si="52"/>
        <v/>
      </c>
      <c r="EI58" s="83" t="str">
        <f t="shared" si="53"/>
        <v/>
      </c>
      <c r="EJ58" s="83" t="str">
        <f t="shared" si="54"/>
        <v/>
      </c>
      <c r="EK58" s="874" t="s">
        <v>15464</v>
      </c>
      <c r="EM58" s="90" t="s">
        <v>5128</v>
      </c>
      <c r="EN58" s="90" t="s">
        <v>5154</v>
      </c>
      <c r="EO58" t="s">
        <v>5131</v>
      </c>
      <c r="EP58" s="83" t="s">
        <v>5125</v>
      </c>
      <c r="EQ58" s="481" t="str">
        <f>IF(Pays="Nippon","Shön",IF(Pays="Inja","Saravasti",IF(Selectsousrace="Elfe Sylvain","Torothal",IF(OR(Pays="Lustrie",Pays="Terres du Sud"),"Itzl",IF(Pays="Albion","Carnun",IF(Pays="Norsca","Taldur",IF(Pays="Tilée","Karnos",IF(Pays="Tilée","Ishea",IF(OR(Pays="Terres des morts",Pays="Arabie"),"Osyris",IF(Pays="Ulthuan","Kurnous",IF(SelectRace="Elfe","Karnos",IF(Province="Grand-duché du Talabecland","Karog","Taal"))))))))))))</f>
        <v>Taal</v>
      </c>
      <c r="ER58" s="83">
        <f t="shared" ref="ER58:ER78" si="63">IF(EQ57="","",ROW())</f>
        <v>58</v>
      </c>
      <c r="ES58" s="83" t="str">
        <f t="shared" si="35"/>
        <v/>
      </c>
      <c r="ET58" s="530" t="str">
        <f t="shared" si="36"/>
        <v/>
      </c>
      <c r="EU58" s="177" t="str">
        <f>IF(Dieu="Ormazd/L'Unique","Garde des Cimeterres Noirs","")</f>
        <v/>
      </c>
      <c r="EV58" s="83" t="str">
        <f t="shared" ref="EV58:EV64" si="64">IF(EU58="","",ROW())</f>
        <v/>
      </c>
      <c r="EW58" s="83" t="str">
        <f t="shared" si="22"/>
        <v/>
      </c>
      <c r="EX58" s="530" t="str">
        <f t="shared" si="23"/>
        <v/>
      </c>
      <c r="EY58" s="83" t="s">
        <v>9634</v>
      </c>
      <c r="EZ58" s="530" t="s">
        <v>16744</v>
      </c>
      <c r="FB58" s="83" t="s">
        <v>13017</v>
      </c>
      <c r="FC58" s="133" t="s">
        <v>13214</v>
      </c>
      <c r="FD58" t="s">
        <v>7230</v>
      </c>
      <c r="FE58" s="849">
        <v>96</v>
      </c>
      <c r="FF58">
        <v>32</v>
      </c>
      <c r="FG58">
        <v>0</v>
      </c>
      <c r="FH58">
        <v>37</v>
      </c>
      <c r="FI58">
        <v>48</v>
      </c>
      <c r="FJ58" s="10">
        <v>35</v>
      </c>
      <c r="FK58">
        <v>10</v>
      </c>
      <c r="FL58">
        <v>15</v>
      </c>
      <c r="FM58" s="165">
        <v>0</v>
      </c>
      <c r="FN58" s="88">
        <v>1</v>
      </c>
      <c r="FO58" s="88">
        <v>16</v>
      </c>
      <c r="FP58" s="164">
        <f t="shared" si="57"/>
        <v>3</v>
      </c>
      <c r="FQ58" s="164">
        <f t="shared" si="56"/>
        <v>4</v>
      </c>
      <c r="FR58" s="682">
        <v>8</v>
      </c>
      <c r="FS58" s="88">
        <v>0</v>
      </c>
      <c r="FT58" s="88">
        <v>0</v>
      </c>
      <c r="FU58" s="165">
        <v>0</v>
      </c>
      <c r="FV58" t="s">
        <v>7231</v>
      </c>
      <c r="FW58" s="83" t="s">
        <v>14615</v>
      </c>
      <c r="FX58" s="567" t="s">
        <v>7658</v>
      </c>
      <c r="GA58" s="83" t="s">
        <v>7544</v>
      </c>
      <c r="GE58" s="356"/>
      <c r="GF58" t="s">
        <v>8192</v>
      </c>
      <c r="GG58" s="356" t="s">
        <v>8862</v>
      </c>
      <c r="GH58" s="83" t="s">
        <v>8857</v>
      </c>
      <c r="GI58" s="83" t="s">
        <v>8856</v>
      </c>
      <c r="GJ58" s="83"/>
      <c r="GK58" s="530"/>
    </row>
    <row r="59" spans="8:193" ht="13.2" customHeight="1">
      <c r="H59" s="3" t="s">
        <v>423</v>
      </c>
      <c r="I59" s="6" t="s">
        <v>83</v>
      </c>
      <c r="J59" s="3"/>
      <c r="K59" s="3"/>
      <c r="L59" s="3"/>
      <c r="M59" s="651"/>
      <c r="N59" s="3"/>
      <c r="O59" s="3"/>
      <c r="P59" s="3"/>
      <c r="Q59" s="3"/>
      <c r="R59" s="651"/>
      <c r="S59" s="83" t="str">
        <f>IF(CareerType=Y59,"Cavalcadour",IF(AllCareers="X","Cavalcadour",IF(FirstCareer="1ère carrière","",IF(OR(SelectRace="homme-bête",SelectRace="peau-verte",SelectRace="créature du chaos",SelectRace="Homme-lézard",SelectRace="skaven"),"",IF(Pays="Kislev","Cavalcadour","")))))</f>
        <v/>
      </c>
      <c r="T59" s="106">
        <f t="shared" si="58"/>
        <v>1</v>
      </c>
      <c r="U59" s="693" t="str">
        <f t="shared" si="26"/>
        <v/>
      </c>
      <c r="V59" s="693" t="str">
        <f t="shared" si="27"/>
        <v/>
      </c>
      <c r="W59" s="693" t="str">
        <f t="shared" si="28"/>
        <v/>
      </c>
      <c r="X59" s="47" t="s">
        <v>2153</v>
      </c>
      <c r="Y59" s="743" t="s">
        <v>7130</v>
      </c>
      <c r="Z59" s="55" t="s">
        <v>1319</v>
      </c>
      <c r="AA59" s="47">
        <v>99</v>
      </c>
      <c r="AB59" s="47" t="s">
        <v>2242</v>
      </c>
      <c r="AC59" s="47">
        <v>108</v>
      </c>
      <c r="AD59" s="20" t="s">
        <v>114</v>
      </c>
      <c r="AE59" s="15" t="s">
        <v>101</v>
      </c>
      <c r="AF59" s="15" t="s">
        <v>101</v>
      </c>
      <c r="AG59" s="15" t="s">
        <v>98</v>
      </c>
      <c r="AH59" s="15" t="s">
        <v>101</v>
      </c>
      <c r="AI59" s="15" t="s">
        <v>100</v>
      </c>
      <c r="AJ59" s="15" t="s">
        <v>101</v>
      </c>
      <c r="AK59" s="18" t="s">
        <v>99</v>
      </c>
      <c r="AL59" s="15" t="s">
        <v>149</v>
      </c>
      <c r="AM59" s="15" t="s">
        <v>114</v>
      </c>
      <c r="AN59" s="15" t="s">
        <v>149</v>
      </c>
      <c r="AO59" s="15" t="s">
        <v>149</v>
      </c>
      <c r="AP59" s="22" t="s">
        <v>15668</v>
      </c>
      <c r="AQ59" s="87" t="s">
        <v>734</v>
      </c>
      <c r="AR59" s="22" t="s">
        <v>15669</v>
      </c>
      <c r="AS59" s="87" t="s">
        <v>734</v>
      </c>
      <c r="AT59" s="87" t="s">
        <v>16745</v>
      </c>
      <c r="AU59" s="87" t="s">
        <v>5417</v>
      </c>
      <c r="AV59" s="87" t="s">
        <v>16746</v>
      </c>
      <c r="AW59" s="457">
        <v>0</v>
      </c>
      <c r="AX59" s="630" t="str">
        <f t="shared" si="38"/>
        <v/>
      </c>
      <c r="AY59" s="630" t="str">
        <f t="shared" si="39"/>
        <v/>
      </c>
      <c r="AZ59" s="630" t="str">
        <f t="shared" si="40"/>
        <v/>
      </c>
      <c r="BA59" s="3"/>
      <c r="BB59" s="3"/>
      <c r="BC59" s="3"/>
      <c r="BD59" s="3"/>
      <c r="BE59" s="3"/>
      <c r="BF59" s="3"/>
      <c r="BG59" s="3"/>
      <c r="BH59" s="3"/>
      <c r="BI59" s="3"/>
      <c r="BJ59" s="3"/>
      <c r="BK59" s="3"/>
      <c r="BL59" s="3"/>
      <c r="BM59" s="3">
        <v>67</v>
      </c>
      <c r="BN59" s="3"/>
      <c r="BO59" s="3"/>
      <c r="BP59" s="3"/>
      <c r="BQ59" s="83" t="s">
        <v>11864</v>
      </c>
      <c r="BR59" s="3"/>
      <c r="BS59" s="3"/>
      <c r="BT59" s="3"/>
      <c r="BU59" s="3"/>
      <c r="BV59" s="3"/>
      <c r="BW59" s="3"/>
      <c r="BX59" s="3" t="str">
        <f>IF(Province="Reikdland","Taudis de Grande principauté du Reikland","")</f>
        <v/>
      </c>
      <c r="BY59" t="str">
        <f t="shared" si="33"/>
        <v/>
      </c>
      <c r="BZ59" s="83" t="str">
        <f t="shared" si="7"/>
        <v/>
      </c>
      <c r="CA59" s="83" t="str">
        <f t="shared" si="8"/>
        <v/>
      </c>
      <c r="CB59" s="530" t="str">
        <f t="shared" si="9"/>
        <v/>
      </c>
      <c r="CC59" s="3" t="s">
        <v>3252</v>
      </c>
      <c r="CD59" s="3" t="s">
        <v>3171</v>
      </c>
      <c r="CE59" s="3" t="s">
        <v>1089</v>
      </c>
      <c r="CG59" s="3" t="s">
        <v>3137</v>
      </c>
      <c r="CH59" s="3" t="s">
        <v>5954</v>
      </c>
      <c r="CI59" s="3" t="s">
        <v>3159</v>
      </c>
      <c r="CJ59" s="3"/>
      <c r="CK59" s="3" t="s">
        <v>6735</v>
      </c>
      <c r="CL59" s="3" t="s">
        <v>6482</v>
      </c>
      <c r="CM59" t="s">
        <v>10284</v>
      </c>
      <c r="CN59" s="3" t="s">
        <v>6523</v>
      </c>
      <c r="CO59" s="3" t="str">
        <f>CONCATENATE("Brynik",IF(AND('page 1'!M11="Féminin",Pays="Norsca"),"dottir",IF(AND('page 1'!M11="Masculin",Pays="Norsca"),"son",IF(AND('page 1'!M11="Féminin",Pays="Kislev"),"ovna",IF(AND('page 1'!M11="Masculin",Pays="Kislev"),"sky","")))))</f>
        <v>Brynik</v>
      </c>
      <c r="CP59" s="3"/>
      <c r="CQ59" s="3"/>
      <c r="CR59" s="3" t="s">
        <v>13430</v>
      </c>
      <c r="CU59" s="3"/>
      <c r="CV59" s="3"/>
      <c r="CW59" s="3"/>
      <c r="CX59" s="3"/>
      <c r="CY59" s="39" t="s">
        <v>249</v>
      </c>
      <c r="CZ59" s="3"/>
      <c r="DA59" s="3" t="s">
        <v>12631</v>
      </c>
      <c r="DB59" s="83" t="s">
        <v>12745</v>
      </c>
      <c r="DC59" s="3"/>
      <c r="DD59" s="3" t="s">
        <v>2694</v>
      </c>
      <c r="DE59" s="3" t="s">
        <v>132</v>
      </c>
      <c r="DF59" s="3">
        <f>ROW()</f>
        <v>59</v>
      </c>
      <c r="DG59" s="3" t="s">
        <v>780</v>
      </c>
      <c r="DH59" s="3">
        <f t="shared" si="59"/>
        <v>400</v>
      </c>
      <c r="DI59" s="3">
        <f t="shared" si="60"/>
        <v>300</v>
      </c>
      <c r="DJ59" s="3">
        <f t="shared" si="61"/>
        <v>210</v>
      </c>
      <c r="DK59" s="3">
        <f t="shared" si="62"/>
        <v>120</v>
      </c>
      <c r="DL59" s="3"/>
      <c r="DM59" s="3"/>
      <c r="DN59" s="3"/>
      <c r="DO59" s="3"/>
      <c r="DP59" s="3"/>
      <c r="DQ59" s="3"/>
      <c r="DR59" s="3"/>
      <c r="DS59" s="3"/>
      <c r="DT59" s="3"/>
      <c r="DU59" s="3"/>
      <c r="DV59" s="3"/>
      <c r="DW59" s="3"/>
      <c r="DX59" s="3"/>
      <c r="DY59" s="3"/>
      <c r="DZ59" s="3" t="s">
        <v>2970</v>
      </c>
      <c r="EA59" s="83" t="s">
        <v>4532</v>
      </c>
      <c r="EB59" s="3"/>
      <c r="ED59" s="83" t="s">
        <v>14531</v>
      </c>
      <c r="EE59" s="83" t="s">
        <v>2574</v>
      </c>
      <c r="EF59" s="530" t="s">
        <v>14535</v>
      </c>
      <c r="EG59" s="356" t="str">
        <f>IF(SelectRace="homme-bête","Slaangor","")</f>
        <v/>
      </c>
      <c r="EH59" s="83" t="str">
        <f t="shared" si="52"/>
        <v/>
      </c>
      <c r="EI59" s="83" t="str">
        <f t="shared" si="53"/>
        <v/>
      </c>
      <c r="EJ59" s="83" t="str">
        <f t="shared" si="54"/>
        <v/>
      </c>
      <c r="EK59" s="874" t="s">
        <v>13141</v>
      </c>
      <c r="EM59" s="90" t="s">
        <v>5130</v>
      </c>
      <c r="EN59" s="90" t="s">
        <v>5154</v>
      </c>
      <c r="EO59" t="s">
        <v>5120</v>
      </c>
      <c r="EP59" s="83" t="s">
        <v>5125</v>
      </c>
      <c r="EQ59" s="481" t="str">
        <f>IF(SelectRace="Nain","Thungni","")</f>
        <v/>
      </c>
      <c r="ER59" s="83">
        <f t="shared" si="63"/>
        <v>59</v>
      </c>
      <c r="ES59" s="83" t="str">
        <f t="shared" si="35"/>
        <v/>
      </c>
      <c r="ET59" s="530" t="str">
        <f t="shared" si="36"/>
        <v/>
      </c>
      <c r="EU59" s="177" t="str">
        <f>IF(Dieu="Ormazd/L'Unique","Ha’ranites","")</f>
        <v/>
      </c>
      <c r="EV59" s="83" t="str">
        <f t="shared" si="64"/>
        <v/>
      </c>
      <c r="EW59" s="83" t="str">
        <f t="shared" si="22"/>
        <v/>
      </c>
      <c r="EX59" s="530" t="str">
        <f t="shared" si="23"/>
        <v/>
      </c>
      <c r="EY59" s="83" t="s">
        <v>9631</v>
      </c>
      <c r="EZ59" s="530" t="s">
        <v>9630</v>
      </c>
      <c r="FB59" s="83" t="s">
        <v>13018</v>
      </c>
      <c r="FC59" s="133" t="s">
        <v>13214</v>
      </c>
      <c r="FD59" t="s">
        <v>2200</v>
      </c>
      <c r="FE59" s="849">
        <v>230</v>
      </c>
      <c r="FF59">
        <v>41</v>
      </c>
      <c r="FG59">
        <v>0</v>
      </c>
      <c r="FH59">
        <v>32</v>
      </c>
      <c r="FI59">
        <v>38</v>
      </c>
      <c r="FJ59" s="10">
        <v>30</v>
      </c>
      <c r="FK59">
        <v>15</v>
      </c>
      <c r="FL59">
        <v>43</v>
      </c>
      <c r="FM59" s="165">
        <v>0</v>
      </c>
      <c r="FN59" s="88">
        <v>1</v>
      </c>
      <c r="FO59" s="88">
        <v>10</v>
      </c>
      <c r="FP59" s="164">
        <f t="shared" si="57"/>
        <v>3</v>
      </c>
      <c r="FQ59" s="164">
        <f t="shared" si="56"/>
        <v>3</v>
      </c>
      <c r="FR59" s="682">
        <v>6</v>
      </c>
      <c r="FS59" s="88">
        <v>0</v>
      </c>
      <c r="FT59" s="88">
        <v>0</v>
      </c>
      <c r="FU59" s="165">
        <v>0</v>
      </c>
      <c r="FV59" s="83" t="s">
        <v>7237</v>
      </c>
      <c r="FW59" s="83" t="s">
        <v>14614</v>
      </c>
      <c r="FX59" s="567" t="s">
        <v>7658</v>
      </c>
      <c r="GA59" t="s">
        <v>7356</v>
      </c>
      <c r="GE59" s="356"/>
      <c r="GF59" t="s">
        <v>7682</v>
      </c>
      <c r="GG59" s="356" t="s">
        <v>16747</v>
      </c>
      <c r="GH59" s="83" t="s">
        <v>8857</v>
      </c>
      <c r="GI59" s="83" t="s">
        <v>8856</v>
      </c>
      <c r="GJ59" s="83"/>
      <c r="GK59" s="530"/>
    </row>
    <row r="60" spans="8:193" ht="13.2" customHeight="1">
      <c r="H60" s="3" t="s">
        <v>80</v>
      </c>
      <c r="I60" s="6" t="s">
        <v>84</v>
      </c>
      <c r="J60" s="3"/>
      <c r="K60" s="3"/>
      <c r="L60" s="3"/>
      <c r="M60" s="651"/>
      <c r="N60" s="3"/>
      <c r="O60" s="3"/>
      <c r="P60" s="3"/>
      <c r="Q60" s="3"/>
      <c r="R60" s="651"/>
      <c r="S60" s="177" t="str">
        <f>IF(CareerType=Y60,"Cavalier ailé/Jinete estalien",IF(AllCareers="X","Cavalier ailé/Jinete estalien",IF(FirstCareer="1ère carrière","",IF(OR(SelectRace="homme-bête",SelectRace="peau-verte",SelectRace="créature du chaos",SelectRace="Homme-lézard",SelectRace="skaven"),"",IF(Pays="Kislev","Cavalier ailé",IF(Pays="Estalie","Jinete estalien",""))))))</f>
        <v/>
      </c>
      <c r="T60" s="106">
        <f t="shared" si="58"/>
        <v>1</v>
      </c>
      <c r="U60" s="693" t="str">
        <f t="shared" si="26"/>
        <v/>
      </c>
      <c r="V60" s="693" t="str">
        <f t="shared" si="27"/>
        <v/>
      </c>
      <c r="W60" s="693" t="str">
        <f t="shared" si="28"/>
        <v/>
      </c>
      <c r="X60" s="47" t="s">
        <v>2153</v>
      </c>
      <c r="Y60" s="743" t="s">
        <v>7130</v>
      </c>
      <c r="Z60" s="55" t="s">
        <v>15674</v>
      </c>
      <c r="AA60" s="89" t="s">
        <v>15675</v>
      </c>
      <c r="AB60" s="89" t="s">
        <v>15672</v>
      </c>
      <c r="AC60" s="47">
        <v>227</v>
      </c>
      <c r="AD60" s="15" t="s">
        <v>99</v>
      </c>
      <c r="AE60" s="15" t="s">
        <v>101</v>
      </c>
      <c r="AF60" s="15" t="s">
        <v>101</v>
      </c>
      <c r="AG60" s="15" t="s">
        <v>101</v>
      </c>
      <c r="AH60" s="15" t="s">
        <v>101</v>
      </c>
      <c r="AI60" s="15" t="s">
        <v>149</v>
      </c>
      <c r="AJ60" s="15" t="s">
        <v>101</v>
      </c>
      <c r="AK60" s="18" t="s">
        <v>101</v>
      </c>
      <c r="AL60" s="15" t="s">
        <v>102</v>
      </c>
      <c r="AM60" s="15" t="s">
        <v>103</v>
      </c>
      <c r="AN60" s="15" t="s">
        <v>149</v>
      </c>
      <c r="AO60" s="15" t="s">
        <v>149</v>
      </c>
      <c r="AP60" s="87" t="s">
        <v>15676</v>
      </c>
      <c r="AQ60" s="87" t="s">
        <v>734</v>
      </c>
      <c r="AR60" s="87" t="s">
        <v>15673</v>
      </c>
      <c r="AS60" s="87" t="s">
        <v>734</v>
      </c>
      <c r="AT60" s="87" t="s">
        <v>16748</v>
      </c>
      <c r="AU60" s="87" t="s">
        <v>5426</v>
      </c>
      <c r="AV60" s="87" t="s">
        <v>4652</v>
      </c>
      <c r="AW60" s="457">
        <v>0</v>
      </c>
      <c r="AX60" s="630" t="str">
        <f t="shared" si="38"/>
        <v/>
      </c>
      <c r="AY60" s="630" t="str">
        <f t="shared" si="39"/>
        <v/>
      </c>
      <c r="AZ60" s="630" t="str">
        <f t="shared" si="40"/>
        <v/>
      </c>
      <c r="BA60" s="3"/>
      <c r="BB60" s="3"/>
      <c r="BC60" s="3"/>
      <c r="BD60" s="3"/>
      <c r="BE60" s="3"/>
      <c r="BF60" s="3"/>
      <c r="BG60" s="3"/>
      <c r="BH60" s="3"/>
      <c r="BI60" s="3"/>
      <c r="BJ60" s="3"/>
      <c r="BK60" s="3"/>
      <c r="BL60" s="3"/>
      <c r="BM60" s="3">
        <v>68</v>
      </c>
      <c r="BN60" s="3"/>
      <c r="BP60" s="3"/>
      <c r="BQ60" s="3" t="s">
        <v>11865</v>
      </c>
      <c r="BR60" s="83"/>
      <c r="BS60" s="83"/>
      <c r="BT60" s="3"/>
      <c r="BU60" s="3"/>
      <c r="BV60" s="3"/>
      <c r="BW60" s="3"/>
      <c r="BX60" s="3" t="str">
        <f>IF(Province="Striland","Taudis de Grand comté du Stirland","")</f>
        <v/>
      </c>
      <c r="BY60" t="str">
        <f t="shared" si="33"/>
        <v/>
      </c>
      <c r="BZ60" s="83" t="str">
        <f t="shared" si="7"/>
        <v/>
      </c>
      <c r="CA60" s="83" t="str">
        <f t="shared" si="8"/>
        <v/>
      </c>
      <c r="CB60" s="530" t="str">
        <f t="shared" si="9"/>
        <v/>
      </c>
      <c r="CC60" s="3" t="s">
        <v>10713</v>
      </c>
      <c r="CD60" s="3" t="s">
        <v>3172</v>
      </c>
      <c r="CE60" s="83" t="s">
        <v>10236</v>
      </c>
      <c r="CG60" s="83" t="s">
        <v>11793</v>
      </c>
      <c r="CH60" s="3" t="s">
        <v>5955</v>
      </c>
      <c r="CI60" s="3" t="s">
        <v>3365</v>
      </c>
      <c r="CJ60" s="3"/>
      <c r="CK60" s="3" t="s">
        <v>6781</v>
      </c>
      <c r="CL60" s="3" t="s">
        <v>6448</v>
      </c>
      <c r="CM60" t="s">
        <v>10283</v>
      </c>
      <c r="CN60" s="3" t="s">
        <v>6548</v>
      </c>
      <c r="CO60" s="3" t="s">
        <v>10894</v>
      </c>
      <c r="CP60" s="3"/>
      <c r="CQ60" s="3"/>
      <c r="CR60" s="3" t="s">
        <v>13431</v>
      </c>
      <c r="CU60" s="3"/>
      <c r="CV60" s="3"/>
      <c r="CW60" s="3"/>
      <c r="CX60" s="3"/>
      <c r="CY60" s="3" t="s">
        <v>824</v>
      </c>
      <c r="CZ60" s="3"/>
      <c r="DA60" s="3" t="s">
        <v>12632</v>
      </c>
      <c r="DB60" s="84" t="s">
        <v>12688</v>
      </c>
      <c r="DC60" s="3"/>
      <c r="DD60" s="83" t="s">
        <v>9984</v>
      </c>
      <c r="DE60" s="3" t="s">
        <v>132</v>
      </c>
      <c r="DF60" s="3">
        <f>ROW()</f>
        <v>60</v>
      </c>
      <c r="DG60" s="3" t="s">
        <v>780</v>
      </c>
      <c r="DH60" s="3">
        <f t="shared" si="59"/>
        <v>400</v>
      </c>
      <c r="DI60" s="3">
        <f t="shared" si="60"/>
        <v>300</v>
      </c>
      <c r="DJ60" s="3">
        <f t="shared" si="61"/>
        <v>210</v>
      </c>
      <c r="DK60" s="3">
        <f t="shared" si="62"/>
        <v>120</v>
      </c>
      <c r="DL60" s="3"/>
      <c r="DM60" s="3"/>
      <c r="DN60" s="3"/>
      <c r="DO60" s="3"/>
      <c r="DP60" s="3"/>
      <c r="DQ60" s="3"/>
      <c r="DR60" s="3"/>
      <c r="DS60" s="3"/>
      <c r="DT60" s="3"/>
      <c r="DU60" s="3"/>
      <c r="DV60" s="3"/>
      <c r="DW60" s="3"/>
      <c r="DX60" s="3"/>
      <c r="DY60" s="3"/>
      <c r="DZ60" s="3" t="s">
        <v>2971</v>
      </c>
      <c r="EA60" s="83" t="s">
        <v>4533</v>
      </c>
      <c r="EB60" s="3"/>
      <c r="ED60" s="83" t="s">
        <v>11518</v>
      </c>
      <c r="EE60" s="83" t="s">
        <v>2574</v>
      </c>
      <c r="EF60" s="530" t="s">
        <v>16749</v>
      </c>
      <c r="EG60" s="356" t="str">
        <f>IF(SelectRace="homme-bête","Squalogor","")</f>
        <v/>
      </c>
      <c r="EH60" s="83" t="str">
        <f t="shared" si="52"/>
        <v/>
      </c>
      <c r="EI60" s="83" t="str">
        <f t="shared" si="53"/>
        <v/>
      </c>
      <c r="EJ60" s="83" t="str">
        <f t="shared" si="54"/>
        <v/>
      </c>
      <c r="EK60" s="874" t="s">
        <v>13228</v>
      </c>
      <c r="EM60" s="90" t="s">
        <v>5129</v>
      </c>
      <c r="EN60" s="90" t="s">
        <v>5151</v>
      </c>
      <c r="EO60" s="90" t="s">
        <v>5046</v>
      </c>
      <c r="EP60" s="83" t="s">
        <v>5049</v>
      </c>
      <c r="EQ60" s="481" t="str">
        <f>IF(OR(Pays="Lustrie",Pays="Terres du Sud"),"Tlanxa","")</f>
        <v/>
      </c>
      <c r="ER60" s="83" t="str">
        <f t="shared" si="63"/>
        <v/>
      </c>
      <c r="ES60" s="83" t="str">
        <f t="shared" si="35"/>
        <v/>
      </c>
      <c r="ET60" s="530" t="str">
        <f t="shared" si="36"/>
        <v/>
      </c>
      <c r="EU60" s="177" t="str">
        <f>IF(Dieu="Ormazd/L'Unique","Initié","")</f>
        <v/>
      </c>
      <c r="EV60" s="83" t="str">
        <f t="shared" si="64"/>
        <v/>
      </c>
      <c r="EW60" s="83" t="str">
        <f t="shared" si="22"/>
        <v/>
      </c>
      <c r="EX60" s="530" t="str">
        <f t="shared" si="23"/>
        <v/>
      </c>
      <c r="EY60" s="83" t="s">
        <v>9632</v>
      </c>
      <c r="EZ60" s="530" t="s">
        <v>254</v>
      </c>
      <c r="FB60" s="83" t="s">
        <v>13015</v>
      </c>
      <c r="FC60" s="133" t="s">
        <v>13214</v>
      </c>
      <c r="FD60" t="s">
        <v>2200</v>
      </c>
      <c r="FE60" s="849">
        <v>230</v>
      </c>
      <c r="FF60">
        <v>25</v>
      </c>
      <c r="FG60">
        <v>0</v>
      </c>
      <c r="FH60">
        <v>21</v>
      </c>
      <c r="FI60">
        <v>21</v>
      </c>
      <c r="FJ60" s="10">
        <v>30</v>
      </c>
      <c r="FK60">
        <v>15</v>
      </c>
      <c r="FL60">
        <v>30</v>
      </c>
      <c r="FM60" s="165">
        <v>0</v>
      </c>
      <c r="FN60" s="88">
        <v>1</v>
      </c>
      <c r="FO60" s="88">
        <v>6</v>
      </c>
      <c r="FP60" s="164">
        <f t="shared" si="57"/>
        <v>2</v>
      </c>
      <c r="FQ60" s="164">
        <f t="shared" si="56"/>
        <v>2</v>
      </c>
      <c r="FR60" s="682">
        <v>6</v>
      </c>
      <c r="FS60" s="88">
        <v>0</v>
      </c>
      <c r="FT60" s="88">
        <v>0</v>
      </c>
      <c r="FU60" s="165">
        <v>0</v>
      </c>
      <c r="FV60" s="83" t="s">
        <v>7237</v>
      </c>
      <c r="FW60" s="83" t="s">
        <v>14616</v>
      </c>
      <c r="FX60" s="567" t="s">
        <v>7658</v>
      </c>
      <c r="GA60" t="s">
        <v>7283</v>
      </c>
      <c r="GE60" s="356"/>
      <c r="GF60" t="s">
        <v>7683</v>
      </c>
      <c r="GG60" s="356" t="s">
        <v>12914</v>
      </c>
      <c r="GH60" s="83" t="s">
        <v>8876</v>
      </c>
      <c r="GI60" s="83" t="s">
        <v>8856</v>
      </c>
      <c r="GJ60" s="83"/>
      <c r="GK60" s="530"/>
    </row>
    <row r="61" spans="8:193" ht="13.2" customHeight="1">
      <c r="H61" s="3" t="s">
        <v>424</v>
      </c>
      <c r="I61" s="6" t="s">
        <v>495</v>
      </c>
      <c r="J61" s="3"/>
      <c r="K61" s="3"/>
      <c r="L61" s="3"/>
      <c r="M61" s="651"/>
      <c r="N61" s="3"/>
      <c r="O61" s="3"/>
      <c r="P61" s="3"/>
      <c r="Q61" s="3"/>
      <c r="R61" s="651"/>
      <c r="S61" s="83" t="str">
        <f>IF(CareerType=Y61,"Cénobite",IF(AllCareers="X","Cénobite",IF(OR(SelectRace="homme-bête",SelectRace="peau-verte",SelectRace="créature du chaos",SelectRace="skaven"),"",IF(OR(Pays="Désolations du Chaos",Pays="Norsca"),"",IF(Selectsousrace&lt;&gt;"Humain","","Cénobite")))))</f>
        <v/>
      </c>
      <c r="T61" s="106">
        <f t="shared" si="58"/>
        <v>0</v>
      </c>
      <c r="U61" s="693" t="str">
        <f t="shared" si="26"/>
        <v/>
      </c>
      <c r="V61" s="693" t="str">
        <f t="shared" si="27"/>
        <v/>
      </c>
      <c r="W61" s="693" t="str">
        <f t="shared" si="28"/>
        <v/>
      </c>
      <c r="X61" s="47" t="s">
        <v>2160</v>
      </c>
      <c r="Y61" s="743" t="s">
        <v>7131</v>
      </c>
      <c r="Z61" s="55" t="s">
        <v>2204</v>
      </c>
      <c r="AA61" s="47">
        <v>52</v>
      </c>
      <c r="AB61" s="89" t="s">
        <v>5600</v>
      </c>
      <c r="AC61" s="47">
        <v>45</v>
      </c>
      <c r="AD61" s="15" t="s">
        <v>114</v>
      </c>
      <c r="AE61" s="15" t="s">
        <v>149</v>
      </c>
      <c r="AF61" s="15" t="s">
        <v>114</v>
      </c>
      <c r="AG61" s="15" t="s">
        <v>98</v>
      </c>
      <c r="AH61" s="15" t="s">
        <v>149</v>
      </c>
      <c r="AI61" s="15" t="s">
        <v>114</v>
      </c>
      <c r="AJ61" s="15" t="s">
        <v>98</v>
      </c>
      <c r="AK61" s="18" t="s">
        <v>114</v>
      </c>
      <c r="AL61" s="15" t="s">
        <v>149</v>
      </c>
      <c r="AM61" s="15" t="s">
        <v>113</v>
      </c>
      <c r="AN61" s="15" t="s">
        <v>149</v>
      </c>
      <c r="AO61" s="15" t="s">
        <v>149</v>
      </c>
      <c r="AP61" s="22" t="s">
        <v>734</v>
      </c>
      <c r="AQ61" s="87" t="s">
        <v>734</v>
      </c>
      <c r="AR61" s="87" t="s">
        <v>10068</v>
      </c>
      <c r="AS61" s="87" t="s">
        <v>734</v>
      </c>
      <c r="AT61" s="87" t="s">
        <v>16750</v>
      </c>
      <c r="AU61" s="87" t="s">
        <v>5385</v>
      </c>
      <c r="AV61" s="87" t="s">
        <v>4759</v>
      </c>
      <c r="AW61" s="457">
        <v>0</v>
      </c>
      <c r="AX61" s="630" t="str">
        <f t="shared" si="38"/>
        <v/>
      </c>
      <c r="AY61" s="630" t="str">
        <f t="shared" si="39"/>
        <v/>
      </c>
      <c r="AZ61" s="630" t="str">
        <f t="shared" si="40"/>
        <v/>
      </c>
      <c r="BA61" s="3"/>
      <c r="BB61" s="3"/>
      <c r="BC61" s="3"/>
      <c r="BD61" s="3"/>
      <c r="BE61" s="3"/>
      <c r="BF61" s="3"/>
      <c r="BG61" s="3"/>
      <c r="BH61" s="3"/>
      <c r="BI61" s="3"/>
      <c r="BJ61" s="3"/>
      <c r="BK61" s="3"/>
      <c r="BL61" s="3"/>
      <c r="BM61" s="3">
        <v>69</v>
      </c>
      <c r="BN61" s="3"/>
      <c r="BP61" s="3"/>
      <c r="BQ61" s="3" t="s">
        <v>11866</v>
      </c>
      <c r="BR61" s="3"/>
      <c r="BS61" s="3"/>
      <c r="BT61" s="3"/>
      <c r="BU61" s="3"/>
      <c r="BV61" s="3"/>
      <c r="BW61" s="3"/>
      <c r="BX61" s="3" t="str">
        <f>IF(Province="Grand-duché du Talabecland","Taudis de Grand-duché du Talabecland","")</f>
        <v/>
      </c>
      <c r="BY61" t="str">
        <f t="shared" si="33"/>
        <v/>
      </c>
      <c r="BZ61" s="83" t="str">
        <f t="shared" si="7"/>
        <v/>
      </c>
      <c r="CA61" s="83" t="str">
        <f t="shared" si="8"/>
        <v/>
      </c>
      <c r="CB61" s="530" t="str">
        <f t="shared" si="9"/>
        <v/>
      </c>
      <c r="CC61" s="3" t="s">
        <v>10653</v>
      </c>
      <c r="CD61" t="s">
        <v>10666</v>
      </c>
      <c r="CE61" s="3" t="s">
        <v>1090</v>
      </c>
      <c r="CG61" s="83" t="s">
        <v>11794</v>
      </c>
      <c r="CH61" s="83" t="s">
        <v>10782</v>
      </c>
      <c r="CI61" s="3" t="s">
        <v>3388</v>
      </c>
      <c r="CJ61" s="3"/>
      <c r="CK61" s="3" t="s">
        <v>6933</v>
      </c>
      <c r="CL61" s="3" t="s">
        <v>6504</v>
      </c>
      <c r="CM61" t="s">
        <v>10285</v>
      </c>
      <c r="CN61" s="3" t="s">
        <v>6550</v>
      </c>
      <c r="CO61" s="3" t="s">
        <v>10932</v>
      </c>
      <c r="CP61" s="3"/>
      <c r="CQ61" s="3"/>
      <c r="CR61" s="3" t="s">
        <v>13432</v>
      </c>
      <c r="CU61" s="3"/>
      <c r="CV61" s="3"/>
      <c r="CW61" s="3"/>
      <c r="CX61" s="3"/>
      <c r="CY61" s="3" t="s">
        <v>16650</v>
      </c>
      <c r="CZ61" s="3"/>
      <c r="DA61" s="3" t="s">
        <v>12633</v>
      </c>
      <c r="DB61" s="83" t="s">
        <v>12689</v>
      </c>
      <c r="DC61" s="3"/>
      <c r="DD61" s="3" t="s">
        <v>2695</v>
      </c>
      <c r="DE61" s="3" t="s">
        <v>131</v>
      </c>
      <c r="DF61" s="3">
        <f>ROW()</f>
        <v>61</v>
      </c>
      <c r="DG61" s="3" t="s">
        <v>780</v>
      </c>
      <c r="DH61" s="3">
        <f t="shared" si="59"/>
        <v>400</v>
      </c>
      <c r="DI61" s="3">
        <f t="shared" si="60"/>
        <v>300</v>
      </c>
      <c r="DJ61" s="3">
        <f t="shared" si="61"/>
        <v>210</v>
      </c>
      <c r="DK61" s="3">
        <f t="shared" si="62"/>
        <v>120</v>
      </c>
      <c r="DL61" s="3"/>
      <c r="DM61" s="3"/>
      <c r="DN61" s="3"/>
      <c r="DO61" s="3"/>
      <c r="DP61" s="3"/>
      <c r="DQ61" s="3"/>
      <c r="DR61" s="3"/>
      <c r="DS61" s="3"/>
      <c r="DT61" s="3"/>
      <c r="DU61" s="3"/>
      <c r="DV61" s="3"/>
      <c r="DW61" s="3"/>
      <c r="DX61" s="3"/>
      <c r="DY61" s="3"/>
      <c r="DZ61" s="3" t="s">
        <v>2972</v>
      </c>
      <c r="EA61" s="83" t="s">
        <v>4533</v>
      </c>
      <c r="EB61" s="3"/>
      <c r="ED61" s="83" t="s">
        <v>11515</v>
      </c>
      <c r="EE61" s="83" t="s">
        <v>2574</v>
      </c>
      <c r="EF61" s="530" t="s">
        <v>16751</v>
      </c>
      <c r="EG61" s="356" t="str">
        <f>IF(SelectRace="homme-bête","Tzaangor","")</f>
        <v/>
      </c>
      <c r="EH61" s="83" t="str">
        <f t="shared" si="52"/>
        <v/>
      </c>
      <c r="EI61" s="83" t="str">
        <f t="shared" si="53"/>
        <v/>
      </c>
      <c r="EJ61" s="83" t="str">
        <f t="shared" si="54"/>
        <v/>
      </c>
      <c r="EK61" s="874" t="s">
        <v>13249</v>
      </c>
      <c r="EM61" s="90" t="s">
        <v>4824</v>
      </c>
      <c r="EN61" s="90" t="s">
        <v>5151</v>
      </c>
      <c r="EO61" s="90" t="s">
        <v>5046</v>
      </c>
      <c r="EP61" s="83" t="s">
        <v>5048</v>
      </c>
      <c r="EQ61" s="481" t="str">
        <f>IF(OR(Pays="Lustrie",Pays="Terres du Sud"),"Tlazcolt","")</f>
        <v/>
      </c>
      <c r="ER61" s="83" t="str">
        <f t="shared" si="63"/>
        <v/>
      </c>
      <c r="ES61" s="83" t="str">
        <f t="shared" si="35"/>
        <v/>
      </c>
      <c r="ET61" s="530" t="str">
        <f t="shared" si="36"/>
        <v/>
      </c>
      <c r="EU61" s="177" t="str">
        <f>IF(Dieu="Ormazd/L'Unique","Ordre de la Flamme","")</f>
        <v/>
      </c>
      <c r="EV61" s="83" t="str">
        <f t="shared" si="64"/>
        <v/>
      </c>
      <c r="EW61" s="83" t="str">
        <f t="shared" si="22"/>
        <v/>
      </c>
      <c r="EX61" s="530" t="str">
        <f t="shared" si="23"/>
        <v/>
      </c>
      <c r="EY61" s="83" t="s">
        <v>9635</v>
      </c>
      <c r="EZ61" s="530" t="s">
        <v>16752</v>
      </c>
      <c r="FB61" s="83" t="s">
        <v>13253</v>
      </c>
      <c r="FC61" s="133" t="s">
        <v>13214</v>
      </c>
      <c r="FD61" s="85" t="s">
        <v>2196</v>
      </c>
      <c r="FE61" s="849">
        <v>111</v>
      </c>
      <c r="FF61">
        <v>44</v>
      </c>
      <c r="FG61">
        <v>0</v>
      </c>
      <c r="FH61">
        <v>34</v>
      </c>
      <c r="FI61">
        <v>38</v>
      </c>
      <c r="FJ61" s="10">
        <v>47</v>
      </c>
      <c r="FK61">
        <v>18</v>
      </c>
      <c r="FL61">
        <v>34</v>
      </c>
      <c r="FM61" s="165">
        <v>5</v>
      </c>
      <c r="FN61" s="88">
        <v>1</v>
      </c>
      <c r="FO61" s="88">
        <v>12</v>
      </c>
      <c r="FP61" s="691">
        <f t="shared" si="57"/>
        <v>3</v>
      </c>
      <c r="FQ61" s="691">
        <f t="shared" si="56"/>
        <v>3</v>
      </c>
      <c r="FR61" s="10">
        <v>7</v>
      </c>
      <c r="FS61" s="88">
        <v>0</v>
      </c>
      <c r="FT61" s="88">
        <v>0</v>
      </c>
      <c r="FU61" s="165">
        <v>0</v>
      </c>
      <c r="FV61" s="83" t="s">
        <v>13254</v>
      </c>
      <c r="FW61" s="83" t="s">
        <v>14617</v>
      </c>
      <c r="FX61" s="567" t="s">
        <v>7659</v>
      </c>
      <c r="GA61" t="s">
        <v>7463</v>
      </c>
      <c r="GE61" s="356"/>
      <c r="GF61" t="s">
        <v>8205</v>
      </c>
      <c r="GG61" s="356" t="s">
        <v>8871</v>
      </c>
      <c r="GH61" s="83" t="s">
        <v>8876</v>
      </c>
      <c r="GI61" s="83" t="s">
        <v>8856</v>
      </c>
      <c r="GJ61" s="83"/>
      <c r="GK61" s="530"/>
    </row>
    <row r="62" spans="8:193" ht="13.2" customHeight="1">
      <c r="H62" s="83" t="s">
        <v>198</v>
      </c>
      <c r="I62" s="83" t="s">
        <v>4734</v>
      </c>
      <c r="J62" s="3"/>
      <c r="K62" s="3"/>
      <c r="L62" s="3"/>
      <c r="M62" s="651"/>
      <c r="N62" s="3"/>
      <c r="O62" s="3"/>
      <c r="P62" s="3"/>
      <c r="Q62" s="3"/>
      <c r="R62" s="651"/>
      <c r="S62" s="83" t="str">
        <f>IF(CareerType=Y62,"Chaman",IF(AllCareers="X","Chaman",IF(Selectsousrace="","",IF(SelectRace="skaven","",IF(FirstCareer="1ère carrière","","Chaman")))))</f>
        <v/>
      </c>
      <c r="T62" s="106">
        <v>2</v>
      </c>
      <c r="U62" s="693" t="str">
        <f t="shared" si="26"/>
        <v/>
      </c>
      <c r="V62" s="693" t="str">
        <f t="shared" si="27"/>
        <v/>
      </c>
      <c r="W62" s="693" t="str">
        <f t="shared" si="28"/>
        <v/>
      </c>
      <c r="X62" s="47" t="s">
        <v>2153</v>
      </c>
      <c r="Y62" s="743" t="s">
        <v>15709</v>
      </c>
      <c r="Z62" s="55" t="s">
        <v>2210</v>
      </c>
      <c r="AA62" s="47">
        <v>79</v>
      </c>
      <c r="AB62" s="89" t="s">
        <v>9283</v>
      </c>
      <c r="AC62" s="47"/>
      <c r="AD62" s="15" t="s">
        <v>98</v>
      </c>
      <c r="AE62" s="15" t="s">
        <v>98</v>
      </c>
      <c r="AF62" s="15" t="s">
        <v>114</v>
      </c>
      <c r="AG62" s="15" t="s">
        <v>98</v>
      </c>
      <c r="AH62" s="15" t="s">
        <v>98</v>
      </c>
      <c r="AI62" s="15" t="s">
        <v>101</v>
      </c>
      <c r="AJ62" s="15" t="s">
        <v>100</v>
      </c>
      <c r="AK62" s="18" t="s">
        <v>101</v>
      </c>
      <c r="AL62" s="15" t="s">
        <v>149</v>
      </c>
      <c r="AM62" s="15" t="s">
        <v>103</v>
      </c>
      <c r="AN62" s="15" t="s">
        <v>149</v>
      </c>
      <c r="AO62" s="15" t="s">
        <v>113</v>
      </c>
      <c r="AP62" s="22" t="s">
        <v>1261</v>
      </c>
      <c r="AQ62" s="22" t="s">
        <v>1261</v>
      </c>
      <c r="AR62" s="22" t="s">
        <v>1265</v>
      </c>
      <c r="AS62" s="22" t="s">
        <v>1265</v>
      </c>
      <c r="AT62" s="87" t="s">
        <v>12980</v>
      </c>
      <c r="AU62" s="87" t="s">
        <v>16753</v>
      </c>
      <c r="AV62" s="87" t="s">
        <v>4698</v>
      </c>
      <c r="AW62" s="457">
        <v>0</v>
      </c>
      <c r="AX62" s="630" t="str">
        <f t="shared" si="38"/>
        <v/>
      </c>
      <c r="AY62" s="630" t="str">
        <f t="shared" si="39"/>
        <v/>
      </c>
      <c r="AZ62" s="630" t="str">
        <f t="shared" si="40"/>
        <v/>
      </c>
      <c r="BA62" s="3"/>
      <c r="BB62" s="3"/>
      <c r="BC62" s="3"/>
      <c r="BD62" s="3"/>
      <c r="BE62" s="3"/>
      <c r="BF62" s="3"/>
      <c r="BG62" s="3"/>
      <c r="BH62" s="3"/>
      <c r="BI62" s="3"/>
      <c r="BJ62" s="3"/>
      <c r="BK62" s="3"/>
      <c r="BL62" s="3"/>
      <c r="BM62" s="3">
        <v>70</v>
      </c>
      <c r="BN62" s="3"/>
      <c r="BP62" s="3"/>
      <c r="BQ62" s="3" t="s">
        <v>11867</v>
      </c>
      <c r="BR62" s="3"/>
      <c r="BS62" s="3"/>
      <c r="BT62" s="3"/>
      <c r="BU62" s="3"/>
      <c r="BV62" s="3"/>
      <c r="BW62" s="3"/>
      <c r="BX62" s="3" t="str">
        <f>IF(Province="Grand comté du Wissenland","Taudis de Grand comté du Wissenland","")</f>
        <v/>
      </c>
      <c r="BY62" t="str">
        <f t="shared" si="33"/>
        <v/>
      </c>
      <c r="BZ62" s="83" t="str">
        <f t="shared" si="7"/>
        <v/>
      </c>
      <c r="CA62" s="83" t="str">
        <f t="shared" si="8"/>
        <v/>
      </c>
      <c r="CB62" s="530" t="str">
        <f t="shared" si="9"/>
        <v/>
      </c>
      <c r="CC62" s="3" t="s">
        <v>10714</v>
      </c>
      <c r="CD62" s="3" t="s">
        <v>3168</v>
      </c>
      <c r="CE62" s="83" t="s">
        <v>15107</v>
      </c>
      <c r="CG62" s="3" t="s">
        <v>6168</v>
      </c>
      <c r="CH62" s="3" t="s">
        <v>5956</v>
      </c>
      <c r="CI62" s="3" t="s">
        <v>3373</v>
      </c>
      <c r="CJ62" s="3"/>
      <c r="CK62" s="3" t="s">
        <v>6822</v>
      </c>
      <c r="CL62" s="3" t="s">
        <v>6470</v>
      </c>
      <c r="CM62" t="s">
        <v>10286</v>
      </c>
      <c r="CN62" s="3" t="s">
        <v>6576</v>
      </c>
      <c r="CO62" s="3" t="s">
        <v>10931</v>
      </c>
      <c r="CP62" s="3"/>
      <c r="CQ62" s="3"/>
      <c r="CR62" s="3" t="s">
        <v>13433</v>
      </c>
      <c r="CU62" s="3"/>
      <c r="CV62" s="3"/>
      <c r="CW62" s="3"/>
      <c r="CX62" s="3"/>
      <c r="CY62" s="3" t="s">
        <v>415</v>
      </c>
      <c r="CZ62" s="3"/>
      <c r="DA62" s="3" t="s">
        <v>2475</v>
      </c>
      <c r="DB62" s="655" t="s">
        <v>12580</v>
      </c>
      <c r="DC62" s="3"/>
      <c r="DD62" s="83" t="s">
        <v>11198</v>
      </c>
      <c r="DE62" s="3" t="s">
        <v>131</v>
      </c>
      <c r="DF62" s="3">
        <f>ROW()</f>
        <v>62</v>
      </c>
      <c r="DG62" s="3" t="s">
        <v>780</v>
      </c>
      <c r="DH62" s="3">
        <f t="shared" si="59"/>
        <v>400</v>
      </c>
      <c r="DI62" s="3">
        <f t="shared" si="60"/>
        <v>300</v>
      </c>
      <c r="DJ62" s="3">
        <f t="shared" si="61"/>
        <v>210</v>
      </c>
      <c r="DK62" s="3">
        <f t="shared" si="62"/>
        <v>120</v>
      </c>
      <c r="DL62" s="3"/>
      <c r="DM62" s="3"/>
      <c r="DN62" s="3"/>
      <c r="DO62" s="3"/>
      <c r="DP62" s="3"/>
      <c r="DQ62" s="3"/>
      <c r="DR62" s="3"/>
      <c r="DS62" s="3"/>
      <c r="DT62" s="3"/>
      <c r="DU62" s="3"/>
      <c r="DV62" s="3"/>
      <c r="DW62" s="3"/>
      <c r="DX62" s="3"/>
      <c r="DY62" s="3"/>
      <c r="DZ62" s="3" t="s">
        <v>2973</v>
      </c>
      <c r="EA62" s="83" t="s">
        <v>4533</v>
      </c>
      <c r="EB62" s="3"/>
      <c r="ED62" s="83" t="s">
        <v>14545</v>
      </c>
      <c r="EE62" s="83" t="s">
        <v>2574</v>
      </c>
      <c r="EF62" s="530" t="s">
        <v>14550</v>
      </c>
      <c r="EG62" s="356" t="str">
        <f>IF(SelectRace="homme-bête","Ungor","")</f>
        <v/>
      </c>
      <c r="EH62" s="83" t="str">
        <f t="shared" si="52"/>
        <v/>
      </c>
      <c r="EI62" s="83" t="str">
        <f t="shared" si="53"/>
        <v/>
      </c>
      <c r="EJ62" s="83" t="str">
        <f t="shared" si="54"/>
        <v/>
      </c>
      <c r="EK62" s="874" t="s">
        <v>16634</v>
      </c>
      <c r="EM62" s="90" t="s">
        <v>5032</v>
      </c>
      <c r="EN62" s="90" t="s">
        <v>5151</v>
      </c>
      <c r="EO62" s="90" t="s">
        <v>5042</v>
      </c>
      <c r="EP62" s="83" t="s">
        <v>5049</v>
      </c>
      <c r="EQ62" s="481" t="str">
        <f>IF(Pays="Nippon","Rayden",IF(Pays="Inja","Miriimmin",IF(Pays="Kislev","Tor","Toar")))</f>
        <v>Toar</v>
      </c>
      <c r="ER62" s="83" t="str">
        <f t="shared" si="63"/>
        <v/>
      </c>
      <c r="ES62" s="83" t="str">
        <f t="shared" si="35"/>
        <v/>
      </c>
      <c r="ET62" s="530" t="str">
        <f t="shared" si="36"/>
        <v/>
      </c>
      <c r="EU62" s="177" t="str">
        <f>IF(Dieu="Ormazd/L'Unique","Ordre du Cimeterre Enflammé","")</f>
        <v/>
      </c>
      <c r="EV62" s="83" t="str">
        <f t="shared" si="64"/>
        <v/>
      </c>
      <c r="EW62" s="83" t="str">
        <f t="shared" si="22"/>
        <v/>
      </c>
      <c r="EX62" s="530" t="str">
        <f t="shared" si="23"/>
        <v/>
      </c>
      <c r="EY62" s="83" t="s">
        <v>810</v>
      </c>
      <c r="EZ62" s="530" t="s">
        <v>9633</v>
      </c>
      <c r="FB62" s="83" t="s">
        <v>13148</v>
      </c>
      <c r="FC62" s="133" t="s">
        <v>13214</v>
      </c>
      <c r="FD62" s="83" t="s">
        <v>9703</v>
      </c>
      <c r="FE62" s="849">
        <v>329</v>
      </c>
      <c r="FF62">
        <v>30</v>
      </c>
      <c r="FG62">
        <v>0</v>
      </c>
      <c r="FH62">
        <v>25</v>
      </c>
      <c r="FI62">
        <v>20</v>
      </c>
      <c r="FJ62" s="10">
        <v>35</v>
      </c>
      <c r="FK62">
        <v>20</v>
      </c>
      <c r="FL62">
        <v>15</v>
      </c>
      <c r="FM62" s="165">
        <v>0</v>
      </c>
      <c r="FN62" s="88">
        <v>1</v>
      </c>
      <c r="FO62" s="88">
        <v>10</v>
      </c>
      <c r="FP62" s="164">
        <f t="shared" si="57"/>
        <v>2</v>
      </c>
      <c r="FQ62" s="164">
        <f t="shared" si="56"/>
        <v>2</v>
      </c>
      <c r="FR62" s="684">
        <v>3</v>
      </c>
      <c r="FS62" s="167">
        <v>0</v>
      </c>
      <c r="FT62" s="167">
        <v>0</v>
      </c>
      <c r="FU62" s="165">
        <v>0</v>
      </c>
      <c r="FV62" s="83" t="s">
        <v>9942</v>
      </c>
      <c r="FW62" s="83" t="s">
        <v>14618</v>
      </c>
      <c r="FX62" s="567" t="s">
        <v>7657</v>
      </c>
      <c r="GA62" t="s">
        <v>7464</v>
      </c>
      <c r="GE62" s="356"/>
      <c r="GF62" t="s">
        <v>8206</v>
      </c>
      <c r="GG62" s="356" t="s">
        <v>9025</v>
      </c>
      <c r="GH62" s="83" t="s">
        <v>8876</v>
      </c>
      <c r="GI62" s="83" t="s">
        <v>8856</v>
      </c>
      <c r="GJ62" s="83"/>
      <c r="GK62" s="530"/>
    </row>
    <row r="63" spans="8:193" ht="13.2" customHeight="1">
      <c r="H63" s="3" t="s">
        <v>425</v>
      </c>
      <c r="I63" s="84" t="s">
        <v>14602</v>
      </c>
      <c r="J63" s="3"/>
      <c r="K63" s="3"/>
      <c r="L63" s="3"/>
      <c r="M63" s="651"/>
      <c r="N63" s="3"/>
      <c r="O63" s="3"/>
      <c r="P63" s="3"/>
      <c r="Q63" s="3"/>
      <c r="R63" s="651"/>
      <c r="S63" s="83" t="str">
        <f>IF(CareerType=Y63,"Chaman bray",IF(AllCareers="X","Chaman bray",IF(FirstCareer="1ère carrière","",IF(SelectRace="homme-bête","Chaman bray",""))))</f>
        <v/>
      </c>
      <c r="T63" s="106">
        <f>IF(X63="oui",0,1)</f>
        <v>1</v>
      </c>
      <c r="U63" s="693" t="str">
        <f t="shared" si="26"/>
        <v/>
      </c>
      <c r="V63" s="693" t="str">
        <f t="shared" si="27"/>
        <v/>
      </c>
      <c r="W63" s="693" t="str">
        <f t="shared" si="28"/>
        <v/>
      </c>
      <c r="X63" s="47" t="s">
        <v>2153</v>
      </c>
      <c r="Y63" s="743" t="s">
        <v>15709</v>
      </c>
      <c r="Z63" s="55" t="s">
        <v>2196</v>
      </c>
      <c r="AA63" s="47">
        <v>107</v>
      </c>
      <c r="AB63" s="89" t="s">
        <v>9284</v>
      </c>
      <c r="AC63" s="47"/>
      <c r="AD63" s="20" t="s">
        <v>114</v>
      </c>
      <c r="AE63" s="15" t="s">
        <v>149</v>
      </c>
      <c r="AF63" s="20" t="s">
        <v>114</v>
      </c>
      <c r="AG63" s="15" t="s">
        <v>98</v>
      </c>
      <c r="AH63" s="15" t="s">
        <v>98</v>
      </c>
      <c r="AI63" s="15" t="s">
        <v>98</v>
      </c>
      <c r="AJ63" s="15" t="s">
        <v>101</v>
      </c>
      <c r="AK63" s="18" t="s">
        <v>98</v>
      </c>
      <c r="AL63" s="15" t="s">
        <v>102</v>
      </c>
      <c r="AM63" s="15" t="s">
        <v>112</v>
      </c>
      <c r="AN63" s="15" t="s">
        <v>149</v>
      </c>
      <c r="AO63" s="15" t="s">
        <v>113</v>
      </c>
      <c r="AP63" s="22" t="s">
        <v>734</v>
      </c>
      <c r="AQ63" s="22" t="s">
        <v>734</v>
      </c>
      <c r="AR63" s="87" t="s">
        <v>16754</v>
      </c>
      <c r="AS63" s="87" t="s">
        <v>16754</v>
      </c>
      <c r="AT63" s="87" t="s">
        <v>16755</v>
      </c>
      <c r="AU63" s="87" t="s">
        <v>16439</v>
      </c>
      <c r="AV63" s="87" t="s">
        <v>16756</v>
      </c>
      <c r="AW63" s="457">
        <v>0</v>
      </c>
      <c r="AX63" s="630" t="str">
        <f t="shared" si="38"/>
        <v/>
      </c>
      <c r="AY63" s="630" t="str">
        <f t="shared" si="39"/>
        <v/>
      </c>
      <c r="AZ63" s="630" t="str">
        <f t="shared" si="40"/>
        <v/>
      </c>
      <c r="BA63" s="3"/>
      <c r="BB63" s="3"/>
      <c r="BC63" s="3"/>
      <c r="BD63" s="3"/>
      <c r="BE63" s="3"/>
      <c r="BF63" s="3"/>
      <c r="BG63" s="3"/>
      <c r="BH63" s="3"/>
      <c r="BI63" s="3"/>
      <c r="BJ63" s="3"/>
      <c r="BK63" s="3"/>
      <c r="BL63" s="3"/>
      <c r="BM63" s="3">
        <v>71</v>
      </c>
      <c r="BN63" s="3"/>
      <c r="BP63" s="3"/>
      <c r="BQ63" s="83" t="s">
        <v>11868</v>
      </c>
      <c r="BR63" s="3"/>
      <c r="BS63" s="3"/>
      <c r="BT63" s="3"/>
      <c r="BU63" s="3"/>
      <c r="BV63" s="3"/>
      <c r="BW63" s="3"/>
      <c r="BX63" s="3" t="str">
        <f>IF(Province="Ligue de l'Ostermark","Taudis d'Ligue de l'Ostermark","")</f>
        <v/>
      </c>
      <c r="BY63" t="str">
        <f t="shared" si="33"/>
        <v/>
      </c>
      <c r="BZ63" s="83" t="str">
        <f t="shared" si="7"/>
        <v/>
      </c>
      <c r="CA63" s="83" t="str">
        <f t="shared" si="8"/>
        <v/>
      </c>
      <c r="CB63" s="530" t="str">
        <f t="shared" si="9"/>
        <v/>
      </c>
      <c r="CC63" s="3" t="s">
        <v>3253</v>
      </c>
      <c r="CD63" t="s">
        <v>10669</v>
      </c>
      <c r="CE63" s="3" t="s">
        <v>1091</v>
      </c>
      <c r="CG63" s="3" t="s">
        <v>6169</v>
      </c>
      <c r="CH63" s="3" t="s">
        <v>5957</v>
      </c>
      <c r="CI63" s="3" t="s">
        <v>938</v>
      </c>
      <c r="CJ63" s="3"/>
      <c r="CK63" s="3" t="s">
        <v>6899</v>
      </c>
      <c r="CL63" s="3" t="s">
        <v>6471</v>
      </c>
      <c r="CM63" t="s">
        <v>10288</v>
      </c>
      <c r="CN63" s="3" t="s">
        <v>6577</v>
      </c>
      <c r="CO63" s="3" t="s">
        <v>10923</v>
      </c>
      <c r="CP63" s="3"/>
      <c r="CQ63" s="3"/>
      <c r="CR63" s="3" t="s">
        <v>13434</v>
      </c>
      <c r="CS63" s="3"/>
      <c r="CT63" s="3"/>
      <c r="CU63" s="3"/>
      <c r="CV63" s="3"/>
      <c r="CW63" s="3"/>
      <c r="CX63" s="3"/>
      <c r="CY63" s="38" t="s">
        <v>148</v>
      </c>
      <c r="CZ63" s="3"/>
      <c r="DA63" s="3" t="s">
        <v>429</v>
      </c>
      <c r="DB63" s="83" t="s">
        <v>12690</v>
      </c>
      <c r="DC63" s="3"/>
      <c r="DD63" s="83" t="s">
        <v>2174</v>
      </c>
      <c r="DE63" s="83" t="s">
        <v>135</v>
      </c>
      <c r="DF63" s="3">
        <f>ROW()</f>
        <v>63</v>
      </c>
      <c r="DG63" s="3" t="s">
        <v>780</v>
      </c>
      <c r="DH63" s="3">
        <f t="shared" si="59"/>
        <v>400</v>
      </c>
      <c r="DI63" s="3">
        <f t="shared" si="60"/>
        <v>300</v>
      </c>
      <c r="DJ63" s="3">
        <f t="shared" si="61"/>
        <v>210</v>
      </c>
      <c r="DK63" s="3">
        <f t="shared" si="62"/>
        <v>120</v>
      </c>
      <c r="DL63" s="3"/>
      <c r="DM63" s="3"/>
      <c r="DN63" s="3"/>
      <c r="DO63" s="3"/>
      <c r="DP63" s="3"/>
      <c r="DQ63" s="3"/>
      <c r="DR63" s="3"/>
      <c r="DS63" s="3"/>
      <c r="DT63" s="3"/>
      <c r="DU63" s="3"/>
      <c r="DV63" s="3"/>
      <c r="DW63" s="3"/>
      <c r="DX63" s="3"/>
      <c r="DY63" s="3"/>
      <c r="DZ63" s="83" t="s">
        <v>16757</v>
      </c>
      <c r="EA63" s="83" t="s">
        <v>4533</v>
      </c>
      <c r="EB63" s="3"/>
      <c r="ED63" s="83" t="s">
        <v>14536</v>
      </c>
      <c r="EE63" s="83" t="s">
        <v>2574</v>
      </c>
      <c r="EF63" s="530" t="s">
        <v>14537</v>
      </c>
      <c r="EG63" s="356" t="str">
        <f>IF(SelectRace="homme-bête","Ymir","")</f>
        <v/>
      </c>
      <c r="EH63" s="83" t="str">
        <f t="shared" si="52"/>
        <v/>
      </c>
      <c r="EI63" s="83" t="str">
        <f t="shared" si="53"/>
        <v/>
      </c>
      <c r="EJ63" s="83" t="str">
        <f t="shared" si="54"/>
        <v/>
      </c>
      <c r="EK63" s="874" t="s">
        <v>16758</v>
      </c>
      <c r="EM63" s="90" t="s">
        <v>5033</v>
      </c>
      <c r="EN63" s="90" t="s">
        <v>5151</v>
      </c>
      <c r="EO63" s="90" t="s">
        <v>15210</v>
      </c>
      <c r="EP63" s="83" t="s">
        <v>5049</v>
      </c>
      <c r="EQ63" s="77" t="str">
        <f>IF(Pays="Nippon","Tsakayumo",IF(Pays="Inja","Miyi",""))</f>
        <v/>
      </c>
      <c r="ER63" s="83">
        <f t="shared" si="63"/>
        <v>63</v>
      </c>
      <c r="ES63" s="83" t="str">
        <f t="shared" si="35"/>
        <v/>
      </c>
      <c r="ET63" s="530" t="str">
        <f t="shared" si="36"/>
        <v/>
      </c>
      <c r="EU63" s="177" t="str">
        <f>IF(Dieu="Ormazd/L'Unique","Rigoristes","")</f>
        <v/>
      </c>
      <c r="EV63" s="83" t="str">
        <f t="shared" si="64"/>
        <v/>
      </c>
      <c r="EW63" s="83" t="str">
        <f t="shared" si="22"/>
        <v/>
      </c>
      <c r="EX63" s="530" t="str">
        <f t="shared" si="23"/>
        <v/>
      </c>
      <c r="EY63" s="83" t="s">
        <v>9644</v>
      </c>
      <c r="EZ63" s="530" t="s">
        <v>16275</v>
      </c>
      <c r="FB63" s="83" t="s">
        <v>13019</v>
      </c>
      <c r="FC63" s="133" t="s">
        <v>13214</v>
      </c>
      <c r="FD63" t="s">
        <v>2200</v>
      </c>
      <c r="FE63" s="849">
        <v>231</v>
      </c>
      <c r="FF63">
        <v>30</v>
      </c>
      <c r="FG63">
        <v>0</v>
      </c>
      <c r="FH63">
        <v>30</v>
      </c>
      <c r="FI63">
        <v>30</v>
      </c>
      <c r="FJ63" s="10">
        <v>10</v>
      </c>
      <c r="FK63">
        <v>14</v>
      </c>
      <c r="FL63">
        <v>25</v>
      </c>
      <c r="FM63" s="165">
        <v>0</v>
      </c>
      <c r="FN63" s="88">
        <v>1</v>
      </c>
      <c r="FO63" s="88">
        <v>10</v>
      </c>
      <c r="FP63" s="164">
        <f t="shared" si="57"/>
        <v>3</v>
      </c>
      <c r="FQ63" s="164">
        <f t="shared" si="56"/>
        <v>3</v>
      </c>
      <c r="FR63" s="682">
        <v>6</v>
      </c>
      <c r="FS63" s="88">
        <v>0</v>
      </c>
      <c r="FT63" s="88">
        <v>0</v>
      </c>
      <c r="FU63" s="165">
        <v>0</v>
      </c>
      <c r="FV63" s="83" t="s">
        <v>7237</v>
      </c>
      <c r="FW63" s="83" t="s">
        <v>14619</v>
      </c>
      <c r="FX63" s="567" t="s">
        <v>7658</v>
      </c>
      <c r="GA63" s="83" t="s">
        <v>7594</v>
      </c>
      <c r="GE63" s="356"/>
      <c r="GF63" t="s">
        <v>8200</v>
      </c>
      <c r="GG63" s="356" t="s">
        <v>8874</v>
      </c>
      <c r="GH63" s="83" t="s">
        <v>8876</v>
      </c>
      <c r="GI63" s="83" t="s">
        <v>8856</v>
      </c>
      <c r="GJ63" s="83"/>
      <c r="GK63" s="530"/>
    </row>
    <row r="64" spans="8:193" ht="13.2" customHeight="1">
      <c r="H64" s="3" t="s">
        <v>2895</v>
      </c>
      <c r="I64" s="3" t="s">
        <v>2896</v>
      </c>
      <c r="J64" s="3"/>
      <c r="K64" s="3"/>
      <c r="L64" s="3"/>
      <c r="M64" s="651"/>
      <c r="N64" s="3"/>
      <c r="O64" s="3"/>
      <c r="P64" s="3"/>
      <c r="Q64" s="3"/>
      <c r="R64" s="651"/>
      <c r="S64" s="83" t="str">
        <f>IF(CareerType=Y187,"Chamelier/Cornac",IF(AllCareers="X","Chamelier/Cornac",IF(OR(SelectRace="homme-bête",SelectRace="peau-verte",SelectRace="créature du chaos",SelectRace="Homme-lézard",SelectRace="skaven",SelectRace="Vampire"),"",IF(Pays="Arabie","Chamelier",IF(Pays="Inja","Cornac","")))))</f>
        <v/>
      </c>
      <c r="T64" s="106">
        <f>IF(X64="oui",0,1)</f>
        <v>0</v>
      </c>
      <c r="U64" s="693" t="str">
        <f t="shared" si="26"/>
        <v/>
      </c>
      <c r="V64" s="693" t="str">
        <f t="shared" si="27"/>
        <v/>
      </c>
      <c r="W64" s="693" t="str">
        <f t="shared" si="28"/>
        <v/>
      </c>
      <c r="X64" s="89" t="s">
        <v>2160</v>
      </c>
      <c r="Y64" s="743" t="s">
        <v>7134</v>
      </c>
      <c r="Z64" s="56" t="s">
        <v>9975</v>
      </c>
      <c r="AA64" s="89">
        <v>233</v>
      </c>
      <c r="AB64" s="89" t="s">
        <v>12160</v>
      </c>
      <c r="AD64" s="105" t="s">
        <v>114</v>
      </c>
      <c r="AE64" s="15" t="s">
        <v>149</v>
      </c>
      <c r="AF64" s="105" t="s">
        <v>98</v>
      </c>
      <c r="AG64" s="105" t="s">
        <v>114</v>
      </c>
      <c r="AH64" s="105" t="s">
        <v>114</v>
      </c>
      <c r="AI64" s="105" t="s">
        <v>149</v>
      </c>
      <c r="AJ64" s="105" t="s">
        <v>114</v>
      </c>
      <c r="AK64" s="443" t="s">
        <v>98</v>
      </c>
      <c r="AL64" s="105" t="s">
        <v>149</v>
      </c>
      <c r="AM64" s="105" t="s">
        <v>113</v>
      </c>
      <c r="AN64" s="105" t="s">
        <v>149</v>
      </c>
      <c r="AO64" s="105" t="s">
        <v>149</v>
      </c>
      <c r="AP64" s="87" t="s">
        <v>10056</v>
      </c>
      <c r="AQ64" s="87" t="s">
        <v>734</v>
      </c>
      <c r="AR64" s="87" t="s">
        <v>10057</v>
      </c>
      <c r="AS64" s="87" t="s">
        <v>734</v>
      </c>
      <c r="AT64" s="87" t="s">
        <v>10058</v>
      </c>
      <c r="AU64" s="87" t="s">
        <v>10059</v>
      </c>
      <c r="AV64" s="630" t="str">
        <f>CONCATENATE(IF(Pays="Inja","un éléphant","2d6 chameaux"))</f>
        <v>2d6 chameaux</v>
      </c>
      <c r="AW64" s="458">
        <v>0</v>
      </c>
      <c r="AX64" s="630" t="str">
        <f t="shared" si="38"/>
        <v/>
      </c>
      <c r="AY64" s="630" t="str">
        <f t="shared" si="39"/>
        <v/>
      </c>
      <c r="AZ64" s="630" t="str">
        <f t="shared" si="40"/>
        <v/>
      </c>
      <c r="BA64" s="3"/>
      <c r="BB64" s="3"/>
      <c r="BC64" s="3"/>
      <c r="BD64" s="3"/>
      <c r="BE64" s="3"/>
      <c r="BF64" s="3"/>
      <c r="BG64" s="3"/>
      <c r="BH64" s="3"/>
      <c r="BI64" s="3"/>
      <c r="BJ64" s="3"/>
      <c r="BK64" s="3"/>
      <c r="BL64" s="3"/>
      <c r="BM64" s="3">
        <v>72</v>
      </c>
      <c r="BN64" s="3"/>
      <c r="BP64" s="3"/>
      <c r="BQ64" s="3" t="s">
        <v>11869</v>
      </c>
      <c r="BR64" s="83"/>
      <c r="BS64" s="83"/>
      <c r="BT64" s="3"/>
      <c r="BU64" s="3"/>
      <c r="BV64" s="3"/>
      <c r="BW64" s="3"/>
      <c r="BX64" s="3" t="str">
        <f>IF(Province="Grande principauté d'Ostland","Taudis d'Grande principauté d'Ostland","")</f>
        <v/>
      </c>
      <c r="BY64" t="str">
        <f t="shared" si="33"/>
        <v/>
      </c>
      <c r="BZ64" s="83" t="str">
        <f t="shared" si="7"/>
        <v/>
      </c>
      <c r="CA64" s="83" t="str">
        <f t="shared" si="8"/>
        <v/>
      </c>
      <c r="CB64" s="530" t="str">
        <f t="shared" si="9"/>
        <v/>
      </c>
      <c r="CC64" s="83" t="s">
        <v>15170</v>
      </c>
      <c r="CD64" s="3" t="s">
        <v>1059</v>
      </c>
      <c r="CE64" s="3" t="s">
        <v>1092</v>
      </c>
      <c r="CG64" s="83" t="s">
        <v>14990</v>
      </c>
      <c r="CH64" s="3" t="s">
        <v>5958</v>
      </c>
      <c r="CI64" s="3"/>
      <c r="CJ64" s="3"/>
      <c r="CK64" s="3" t="s">
        <v>6862</v>
      </c>
      <c r="CL64" s="3" t="s">
        <v>6483</v>
      </c>
      <c r="CM64" t="s">
        <v>10287</v>
      </c>
      <c r="CN64" s="3" t="s">
        <v>6581</v>
      </c>
      <c r="CO64" s="3" t="s">
        <v>10938</v>
      </c>
      <c r="CP64" s="3"/>
      <c r="CQ64" s="3"/>
      <c r="CR64" s="3" t="s">
        <v>13435</v>
      </c>
      <c r="CS64" s="3"/>
      <c r="CT64" s="3"/>
      <c r="CU64" s="3"/>
      <c r="CV64" s="3"/>
      <c r="CW64" s="3"/>
      <c r="CX64" s="3"/>
      <c r="CY64" s="3" t="s">
        <v>2873</v>
      </c>
      <c r="CZ64" s="3"/>
      <c r="DA64" s="83" t="s">
        <v>15321</v>
      </c>
      <c r="DB64" s="83" t="s">
        <v>15319</v>
      </c>
      <c r="DC64" s="3"/>
      <c r="DD64" s="83" t="s">
        <v>11206</v>
      </c>
      <c r="DE64" s="3" t="s">
        <v>133</v>
      </c>
      <c r="DF64" s="3">
        <f>ROW()</f>
        <v>64</v>
      </c>
      <c r="DG64" s="3" t="s">
        <v>2174</v>
      </c>
      <c r="DH64" s="3">
        <f t="shared" si="59"/>
        <v>135</v>
      </c>
      <c r="DI64" s="3">
        <f t="shared" si="60"/>
        <v>115</v>
      </c>
      <c r="DJ64" s="3">
        <f t="shared" si="61"/>
        <v>95</v>
      </c>
      <c r="DK64" s="3">
        <f t="shared" si="62"/>
        <v>75</v>
      </c>
      <c r="DL64" s="3"/>
      <c r="DM64" s="3"/>
      <c r="DN64" s="3"/>
      <c r="DO64" s="3"/>
      <c r="DP64" s="3"/>
      <c r="DQ64" s="3"/>
      <c r="DR64" s="3"/>
      <c r="DS64" s="3"/>
      <c r="DT64" s="3"/>
      <c r="DU64" s="3"/>
      <c r="DV64" s="3"/>
      <c r="DW64" s="3"/>
      <c r="DX64" s="3"/>
      <c r="DY64" s="3"/>
      <c r="DZ64" s="3" t="s">
        <v>2974</v>
      </c>
      <c r="EA64" s="83" t="s">
        <v>4533</v>
      </c>
      <c r="EB64" s="3"/>
      <c r="ED64" s="83" t="s">
        <v>14544</v>
      </c>
      <c r="EE64" s="83" t="s">
        <v>2574</v>
      </c>
      <c r="EF64" s="530" t="s">
        <v>15421</v>
      </c>
      <c r="EG64" s="356" t="str">
        <f>IF(SelectRace="homme-bête","Zoat","")</f>
        <v/>
      </c>
      <c r="EH64" s="83" t="str">
        <f t="shared" ref="EH64" si="65">IF(EG64="","",ROW()-1)</f>
        <v/>
      </c>
      <c r="EI64" s="83" t="str">
        <f t="shared" si="53"/>
        <v/>
      </c>
      <c r="EJ64" s="83" t="str">
        <f t="shared" si="54"/>
        <v/>
      </c>
      <c r="EK64" s="874" t="s">
        <v>16252</v>
      </c>
      <c r="EM64" s="90" t="s">
        <v>5038</v>
      </c>
      <c r="EN64" s="90" t="s">
        <v>5151</v>
      </c>
      <c r="EO64" s="90" t="s">
        <v>5051</v>
      </c>
      <c r="EP64" s="83" t="s">
        <v>5050</v>
      </c>
      <c r="EQ64" s="566" t="str">
        <f>IF(Pays="Nippon","Ikaninushi",IF(Pays="Inja","Ghithutkichi",IF(Selectsousrace="Kurgan/Hung","Tchar",IF(OR(Pays="Terres des morts",Pays="Arabie"),"Asaph","Tzeentch"))))</f>
        <v>Tzeentch</v>
      </c>
      <c r="ER64" s="83" t="str">
        <f t="shared" si="63"/>
        <v/>
      </c>
      <c r="ES64" s="83" t="str">
        <f t="shared" si="35"/>
        <v/>
      </c>
      <c r="ET64" s="530" t="str">
        <f t="shared" si="36"/>
        <v/>
      </c>
      <c r="EU64" s="177" t="str">
        <f>IF(Dieu="Ormazd/L'Unique","Sejamahites","")</f>
        <v/>
      </c>
      <c r="EV64" s="83" t="str">
        <f t="shared" si="64"/>
        <v/>
      </c>
      <c r="EW64" s="83" t="str">
        <f t="shared" si="22"/>
        <v/>
      </c>
      <c r="EX64" s="530" t="str">
        <f t="shared" si="23"/>
        <v/>
      </c>
      <c r="EY64" s="83" t="s">
        <v>9510</v>
      </c>
      <c r="EZ64" s="530" t="s">
        <v>11746</v>
      </c>
      <c r="FB64" s="83" t="s">
        <v>13016</v>
      </c>
      <c r="FC64" s="133" t="s">
        <v>13214</v>
      </c>
      <c r="FD64" s="85" t="s">
        <v>2211</v>
      </c>
      <c r="FF64">
        <v>18</v>
      </c>
      <c r="FG64">
        <v>0</v>
      </c>
      <c r="FH64">
        <v>16</v>
      </c>
      <c r="FI64">
        <v>18</v>
      </c>
      <c r="FJ64" s="10">
        <v>30</v>
      </c>
      <c r="FK64">
        <v>15</v>
      </c>
      <c r="FL64">
        <v>30</v>
      </c>
      <c r="FM64" s="165">
        <v>5</v>
      </c>
      <c r="FN64" s="88">
        <v>1</v>
      </c>
      <c r="FO64" s="88">
        <v>4</v>
      </c>
      <c r="FP64" s="164">
        <f t="shared" si="57"/>
        <v>1</v>
      </c>
      <c r="FQ64" s="164">
        <f t="shared" si="56"/>
        <v>1</v>
      </c>
      <c r="FR64" s="682">
        <v>6</v>
      </c>
      <c r="FS64" s="88">
        <v>0</v>
      </c>
      <c r="FT64" s="88">
        <v>0</v>
      </c>
      <c r="FU64" s="165">
        <v>0</v>
      </c>
      <c r="FV64" s="83" t="s">
        <v>7237</v>
      </c>
      <c r="FW64" s="83" t="s">
        <v>14616</v>
      </c>
      <c r="FX64" s="567" t="s">
        <v>7657</v>
      </c>
      <c r="GA64" t="s">
        <v>7465</v>
      </c>
      <c r="GE64" s="356"/>
      <c r="GF64" t="s">
        <v>8207</v>
      </c>
      <c r="GG64" s="356" t="s">
        <v>8866</v>
      </c>
      <c r="GH64" s="83" t="s">
        <v>8876</v>
      </c>
      <c r="GI64" s="83" t="s">
        <v>8856</v>
      </c>
      <c r="GJ64" s="83"/>
      <c r="GK64" s="530"/>
    </row>
    <row r="65" spans="8:193" ht="13.2" customHeight="1">
      <c r="H65" s="83" t="s">
        <v>5319</v>
      </c>
      <c r="I65" s="3" t="s">
        <v>2861</v>
      </c>
      <c r="J65" s="3"/>
      <c r="K65" s="3"/>
      <c r="L65" s="3"/>
      <c r="M65" s="651"/>
      <c r="N65" s="3"/>
      <c r="O65" s="3"/>
      <c r="P65" s="3"/>
      <c r="Q65" s="3"/>
      <c r="R65" s="651"/>
      <c r="S65" s="83" t="str">
        <f>IF(CareerType=Y65,"Champion",IF(AllCareers="X","Champion",IF(Selectsousrace="","",IF(OR(SelectRace="homme-bête",SelectRace="peau-verte",SelectRace="créature du chaos",SelectRace="Homme-lézard",SelectRace="skaven"),"",IF(FirstCareer="1ère carrière","","Champion")))))</f>
        <v/>
      </c>
      <c r="T65" s="106">
        <v>2</v>
      </c>
      <c r="U65" s="693" t="str">
        <f t="shared" si="26"/>
        <v/>
      </c>
      <c r="V65" s="693" t="str">
        <f t="shared" si="27"/>
        <v/>
      </c>
      <c r="W65" s="693" t="str">
        <f t="shared" si="28"/>
        <v/>
      </c>
      <c r="X65" s="47" t="s">
        <v>2153</v>
      </c>
      <c r="Y65" s="743" t="s">
        <v>7130</v>
      </c>
      <c r="Z65" s="55" t="s">
        <v>2200</v>
      </c>
      <c r="AA65" s="47">
        <v>65</v>
      </c>
      <c r="AB65" s="47" t="s">
        <v>448</v>
      </c>
      <c r="AC65" s="47">
        <v>46</v>
      </c>
      <c r="AD65" s="15" t="s">
        <v>97</v>
      </c>
      <c r="AE65" s="15" t="s">
        <v>97</v>
      </c>
      <c r="AF65" s="15" t="s">
        <v>99</v>
      </c>
      <c r="AG65" s="15" t="s">
        <v>99</v>
      </c>
      <c r="AH65" s="15" t="s">
        <v>116</v>
      </c>
      <c r="AI65" s="15" t="s">
        <v>149</v>
      </c>
      <c r="AJ65" s="15" t="s">
        <v>100</v>
      </c>
      <c r="AK65" s="18" t="s">
        <v>149</v>
      </c>
      <c r="AL65" s="15" t="s">
        <v>113</v>
      </c>
      <c r="AM65" s="15" t="s">
        <v>118</v>
      </c>
      <c r="AN65" s="15" t="s">
        <v>149</v>
      </c>
      <c r="AO65" s="15" t="s">
        <v>149</v>
      </c>
      <c r="AP65" s="87" t="s">
        <v>16168</v>
      </c>
      <c r="AQ65" s="87" t="s">
        <v>734</v>
      </c>
      <c r="AR65" s="87" t="s">
        <v>734</v>
      </c>
      <c r="AS65" s="87" t="s">
        <v>734</v>
      </c>
      <c r="AT65" s="22" t="s">
        <v>3547</v>
      </c>
      <c r="AU65" s="87" t="s">
        <v>16759</v>
      </c>
      <c r="AV65" s="87" t="s">
        <v>16760</v>
      </c>
      <c r="AW65" s="457">
        <v>0</v>
      </c>
      <c r="AX65" s="630" t="str">
        <f t="shared" si="38"/>
        <v/>
      </c>
      <c r="AY65" s="630" t="str">
        <f t="shared" si="39"/>
        <v/>
      </c>
      <c r="AZ65" s="630" t="str">
        <f t="shared" si="40"/>
        <v/>
      </c>
      <c r="BA65" s="3"/>
      <c r="BB65" s="3"/>
      <c r="BC65" s="3"/>
      <c r="BD65" s="3"/>
      <c r="BE65" s="3"/>
      <c r="BF65" s="3"/>
      <c r="BG65" s="3"/>
      <c r="BH65" s="3"/>
      <c r="BI65" s="3"/>
      <c r="BJ65" s="3"/>
      <c r="BK65" s="3"/>
      <c r="BL65" s="3"/>
      <c r="BM65" s="3">
        <v>73</v>
      </c>
      <c r="BN65" s="3"/>
      <c r="BP65" s="3"/>
      <c r="BQ65" s="3" t="s">
        <v>11870</v>
      </c>
      <c r="BR65" s="3"/>
      <c r="BS65" s="3"/>
      <c r="BT65" s="3"/>
      <c r="BU65" s="3"/>
      <c r="BV65" s="3"/>
      <c r="BW65" s="3"/>
      <c r="BX65" s="83" t="str">
        <f>IF(Province="Grande baronnie du Hochland","Village agricole de la Grande baronnie du Hochland","")</f>
        <v/>
      </c>
      <c r="BY65" t="str">
        <f t="shared" si="33"/>
        <v/>
      </c>
      <c r="BZ65" s="83" t="str">
        <f t="shared" si="7"/>
        <v/>
      </c>
      <c r="CA65" s="83" t="str">
        <f t="shared" si="8"/>
        <v/>
      </c>
      <c r="CB65" s="530" t="str">
        <f t="shared" si="9"/>
        <v/>
      </c>
      <c r="CC65" s="3" t="s">
        <v>3254</v>
      </c>
      <c r="CD65" t="s">
        <v>3272</v>
      </c>
      <c r="CE65" s="3" t="s">
        <v>1093</v>
      </c>
      <c r="CG65" s="83" t="s">
        <v>15151</v>
      </c>
      <c r="CH65" s="3" t="s">
        <v>3118</v>
      </c>
      <c r="CI65" s="3"/>
      <c r="CJ65" s="3"/>
      <c r="CK65" s="3" t="s">
        <v>6736</v>
      </c>
      <c r="CL65" s="3" t="s">
        <v>6474</v>
      </c>
      <c r="CM65" t="s">
        <v>6159</v>
      </c>
      <c r="CN65" s="3" t="s">
        <v>6578</v>
      </c>
      <c r="CO65" s="3" t="str">
        <f>CONCATENATE("Chundur",IF(AND('page 1'!M11="Féminin",Pays="Norsca"),"dottir",IF(AND('page 1'!M11="Masculin",Pays="Norsca"),"son",IF(AND('page 1'!M11="Féminin",Pays="Kislev"),"ovna",IF(AND('page 1'!M11="Masculin",Pays="Kislev"),"sky","")))))</f>
        <v>Chundur</v>
      </c>
      <c r="CP65" s="3"/>
      <c r="CQ65" s="3"/>
      <c r="CR65" s="3" t="s">
        <v>13436</v>
      </c>
      <c r="CS65" s="3"/>
      <c r="CT65" s="3"/>
      <c r="CU65" s="3"/>
      <c r="CV65" s="3"/>
      <c r="CW65" s="3"/>
      <c r="CX65" s="3"/>
      <c r="CY65" s="3" t="s">
        <v>416</v>
      </c>
      <c r="CZ65" s="3"/>
      <c r="DA65" s="83" t="s">
        <v>12694</v>
      </c>
      <c r="DB65" s="83" t="s">
        <v>12697</v>
      </c>
      <c r="DC65" s="3"/>
      <c r="DD65" s="83" t="s">
        <v>11233</v>
      </c>
      <c r="DE65" s="3" t="s">
        <v>131</v>
      </c>
      <c r="DF65" s="3">
        <f>ROW()</f>
        <v>65</v>
      </c>
      <c r="DG65" s="3" t="s">
        <v>2680</v>
      </c>
      <c r="DH65" s="3">
        <f t="shared" si="59"/>
        <v>750</v>
      </c>
      <c r="DI65" s="3">
        <f t="shared" si="60"/>
        <v>565</v>
      </c>
      <c r="DJ65" s="3">
        <f t="shared" si="61"/>
        <v>380</v>
      </c>
      <c r="DK65" s="3">
        <f t="shared" si="62"/>
        <v>195</v>
      </c>
      <c r="DL65" s="3"/>
      <c r="DM65" s="3"/>
      <c r="DN65" s="3"/>
      <c r="DO65" s="3"/>
      <c r="DP65" s="3"/>
      <c r="DQ65" s="3"/>
      <c r="DR65" s="3"/>
      <c r="DS65" s="3"/>
      <c r="DT65" s="3"/>
      <c r="DU65" s="3"/>
      <c r="DV65" s="3"/>
      <c r="DW65" s="3"/>
      <c r="DX65" s="3"/>
      <c r="DY65" s="3"/>
      <c r="DZ65" s="3" t="s">
        <v>2975</v>
      </c>
      <c r="EA65" s="83" t="s">
        <v>4533</v>
      </c>
      <c r="EB65" s="3"/>
      <c r="ED65" s="83" t="s">
        <v>14539</v>
      </c>
      <c r="EE65" s="83" t="s">
        <v>2574</v>
      </c>
      <c r="EF65" s="530" t="s">
        <v>14547</v>
      </c>
      <c r="EG65" s="85" t="str">
        <f>IF(SelectRace="créature du chaos","Dragon-ogre","")</f>
        <v/>
      </c>
      <c r="EH65" s="83" t="str">
        <f t="shared" ref="EH65:EH68" si="66">IF(EG65="","",ROW()-1)</f>
        <v/>
      </c>
      <c r="EI65" s="83" t="str">
        <f t="shared" ref="EI65:EI68" si="67">IFERROR(SMALL(EH:EH,ROW()-1),"")</f>
        <v/>
      </c>
      <c r="EJ65" s="83" t="str">
        <f t="shared" ref="EJ65:EJ68" si="68">IFERROR(INDEX(EG:EG,EI65+1),"")</f>
        <v/>
      </c>
      <c r="EK65" s="874" t="s">
        <v>16604</v>
      </c>
      <c r="EM65" s="90" t="s">
        <v>5030</v>
      </c>
      <c r="EN65" s="90" t="s">
        <v>5151</v>
      </c>
      <c r="EO65" s="90" t="s">
        <v>5039</v>
      </c>
      <c r="EP65" s="83" t="s">
        <v>5048</v>
      </c>
      <c r="EQ65" s="77" t="str">
        <f>IF(Pays="Nippon","Uchodan","")</f>
        <v/>
      </c>
      <c r="ER65" s="83">
        <f t="shared" si="63"/>
        <v>65</v>
      </c>
      <c r="ES65" s="83" t="str">
        <f t="shared" si="35"/>
        <v/>
      </c>
      <c r="ET65" s="530" t="str">
        <f t="shared" si="36"/>
        <v/>
      </c>
      <c r="EU65" s="177" t="str">
        <f>IF(Dieu="Malal","Adepte/Croyant","")</f>
        <v/>
      </c>
      <c r="EV65" s="83" t="str">
        <f t="shared" ref="EV65:EV128" si="69">IF(EU65="","",ROW())</f>
        <v/>
      </c>
      <c r="EW65" s="83" t="str">
        <f t="shared" si="22"/>
        <v/>
      </c>
      <c r="EX65" s="530" t="str">
        <f t="shared" si="23"/>
        <v/>
      </c>
      <c r="EZ65" s="530" t="s">
        <v>5873</v>
      </c>
      <c r="FB65" s="83" t="s">
        <v>13014</v>
      </c>
      <c r="FC65" s="133" t="s">
        <v>13214</v>
      </c>
      <c r="FD65" s="85" t="s">
        <v>12985</v>
      </c>
      <c r="FE65" s="849">
        <v>35</v>
      </c>
      <c r="FF65">
        <v>20</v>
      </c>
      <c r="FG65">
        <v>0</v>
      </c>
      <c r="FH65">
        <v>18</v>
      </c>
      <c r="FI65">
        <v>18</v>
      </c>
      <c r="FJ65" s="10">
        <v>35</v>
      </c>
      <c r="FK65">
        <v>14</v>
      </c>
      <c r="FL65">
        <v>30</v>
      </c>
      <c r="FM65" s="165">
        <v>0</v>
      </c>
      <c r="FN65" s="88">
        <v>1</v>
      </c>
      <c r="FO65" s="88">
        <v>6</v>
      </c>
      <c r="FP65" s="164">
        <f t="shared" si="57"/>
        <v>1</v>
      </c>
      <c r="FQ65" s="164">
        <f t="shared" si="56"/>
        <v>1</v>
      </c>
      <c r="FR65" s="682">
        <v>6</v>
      </c>
      <c r="FS65" s="88">
        <v>0</v>
      </c>
      <c r="FT65" s="88">
        <v>0</v>
      </c>
      <c r="FU65" s="165">
        <v>0</v>
      </c>
      <c r="FV65" s="83" t="s">
        <v>13013</v>
      </c>
      <c r="FW65" s="83" t="s">
        <v>12997</v>
      </c>
      <c r="FX65" s="567" t="s">
        <v>7659</v>
      </c>
      <c r="GA65" t="s">
        <v>7466</v>
      </c>
      <c r="GE65" s="356"/>
      <c r="GF65" t="s">
        <v>8214</v>
      </c>
      <c r="GG65" s="356" t="s">
        <v>8873</v>
      </c>
      <c r="GH65" s="83" t="s">
        <v>8876</v>
      </c>
      <c r="GI65" s="83" t="s">
        <v>8870</v>
      </c>
      <c r="GJ65" s="83"/>
      <c r="GK65" s="530"/>
    </row>
    <row r="66" spans="8:193" ht="13.2" customHeight="1">
      <c r="H66" s="3" t="s">
        <v>426</v>
      </c>
      <c r="I66" s="83" t="s">
        <v>496</v>
      </c>
      <c r="J66" s="3"/>
      <c r="K66" s="3"/>
      <c r="L66" s="3"/>
      <c r="M66" s="651"/>
      <c r="N66" s="3"/>
      <c r="O66" s="3"/>
      <c r="P66" s="3"/>
      <c r="Q66" s="3"/>
      <c r="R66" s="651"/>
      <c r="S66" s="83" t="str">
        <f>IF(CareerType=Y66,"Champion de justice",IF(AllCareers="X","Champion de justice",IF(Selectsousrace="","",IF(OR(SelectRace="homme-bête",SelectRace="peau-verte",SelectRace="créature du chaos",SelectRace="Homme-lézard",SelectRace="skaven"),"",IF(FirstCareer="1ère carrière","","Champion de justice")))))</f>
        <v/>
      </c>
      <c r="T66" s="106">
        <f>IF(X66="oui",0,1)</f>
        <v>1</v>
      </c>
      <c r="U66" s="693" t="str">
        <f t="shared" si="26"/>
        <v/>
      </c>
      <c r="V66" s="693" t="str">
        <f t="shared" si="27"/>
        <v/>
      </c>
      <c r="W66" s="693" t="str">
        <f t="shared" si="28"/>
        <v/>
      </c>
      <c r="X66" s="47" t="s">
        <v>2153</v>
      </c>
      <c r="Y66" s="743" t="s">
        <v>7134</v>
      </c>
      <c r="Z66" s="55" t="s">
        <v>2200</v>
      </c>
      <c r="AA66" s="47">
        <v>66</v>
      </c>
      <c r="AB66" s="47" t="s">
        <v>2243</v>
      </c>
      <c r="AC66" s="47">
        <v>118</v>
      </c>
      <c r="AD66" s="15" t="s">
        <v>119</v>
      </c>
      <c r="AE66" s="15" t="s">
        <v>149</v>
      </c>
      <c r="AF66" s="15" t="s">
        <v>101</v>
      </c>
      <c r="AG66" s="15" t="s">
        <v>101</v>
      </c>
      <c r="AH66" s="15" t="s">
        <v>100</v>
      </c>
      <c r="AI66" s="15" t="s">
        <v>98</v>
      </c>
      <c r="AJ66" s="15" t="s">
        <v>101</v>
      </c>
      <c r="AK66" s="18" t="s">
        <v>149</v>
      </c>
      <c r="AL66" s="15" t="s">
        <v>113</v>
      </c>
      <c r="AM66" s="15" t="s">
        <v>112</v>
      </c>
      <c r="AN66" s="15" t="s">
        <v>149</v>
      </c>
      <c r="AO66" s="15" t="s">
        <v>149</v>
      </c>
      <c r="AP66" s="87" t="s">
        <v>16179</v>
      </c>
      <c r="AQ66" s="87" t="s">
        <v>734</v>
      </c>
      <c r="AR66" s="87" t="s">
        <v>734</v>
      </c>
      <c r="AS66" s="87" t="s">
        <v>734</v>
      </c>
      <c r="AT66" s="22" t="s">
        <v>3425</v>
      </c>
      <c r="AU66" s="87" t="s">
        <v>5356</v>
      </c>
      <c r="AV66" s="87" t="s">
        <v>4597</v>
      </c>
      <c r="AW66" s="457">
        <v>0</v>
      </c>
      <c r="AX66" s="630" t="str">
        <f t="shared" si="38"/>
        <v/>
      </c>
      <c r="AY66" s="630" t="str">
        <f t="shared" si="39"/>
        <v/>
      </c>
      <c r="AZ66" s="630" t="str">
        <f t="shared" si="40"/>
        <v/>
      </c>
      <c r="BA66" s="3"/>
      <c r="BB66" s="3"/>
      <c r="BC66" s="3"/>
      <c r="BD66" s="3"/>
      <c r="BE66" s="3"/>
      <c r="BF66" s="3"/>
      <c r="BG66" s="3"/>
      <c r="BH66" s="3"/>
      <c r="BI66" s="3"/>
      <c r="BJ66" s="3"/>
      <c r="BK66" s="3"/>
      <c r="BL66" s="3"/>
      <c r="BM66" s="3">
        <v>74</v>
      </c>
      <c r="BN66" s="3"/>
      <c r="BP66" s="3"/>
      <c r="BQ66" s="3" t="s">
        <v>11871</v>
      </c>
      <c r="BR66" s="3"/>
      <c r="BS66" s="3"/>
      <c r="BT66" s="3"/>
      <c r="BU66" s="3"/>
      <c r="BV66" s="3"/>
      <c r="BW66" s="3"/>
      <c r="BX66" s="3" t="str">
        <f>IF(Province="Grands-duchés de Middenheim et du Middenland","Village agricole de Grands-duchés de Middenheim et du Middenland","")</f>
        <v/>
      </c>
      <c r="BY66" t="str">
        <f t="shared" si="33"/>
        <v/>
      </c>
      <c r="BZ66" s="83" t="str">
        <f t="shared" ref="BZ66:BZ129" si="70">IFERROR(SMALL(BY:BY,ROW()-1),"")</f>
        <v/>
      </c>
      <c r="CA66" s="83" t="str">
        <f t="shared" ref="CA66:CA129" si="71">IFERROR(INDEX(BX:BX,BZ66),"")</f>
        <v/>
      </c>
      <c r="CB66" s="530" t="str">
        <f t="shared" ref="CB66:CB129" si="72">INDEX(CA:CA,ROW())</f>
        <v/>
      </c>
      <c r="CC66" s="3" t="s">
        <v>3255</v>
      </c>
      <c r="CD66" s="3" t="s">
        <v>3173</v>
      </c>
      <c r="CE66" s="83" t="s">
        <v>10235</v>
      </c>
      <c r="CG66" s="3" t="s">
        <v>944</v>
      </c>
      <c r="CH66" s="83" t="s">
        <v>15256</v>
      </c>
      <c r="CI66" s="3"/>
      <c r="CJ66" s="3"/>
      <c r="CK66" s="3" t="s">
        <v>6782</v>
      </c>
      <c r="CL66" s="3" t="s">
        <v>6437</v>
      </c>
      <c r="CM66" t="s">
        <v>10289</v>
      </c>
      <c r="CN66" s="3" t="s">
        <v>6559</v>
      </c>
      <c r="CO66" s="3" t="s">
        <v>10939</v>
      </c>
      <c r="CP66" s="3"/>
      <c r="CQ66" s="3"/>
      <c r="CR66" s="3" t="s">
        <v>13437</v>
      </c>
      <c r="CS66" s="3"/>
      <c r="CT66" s="3"/>
      <c r="CU66" s="3"/>
      <c r="CV66" s="3"/>
      <c r="CW66" s="3"/>
      <c r="CX66" s="3"/>
      <c r="CY66" s="3" t="s">
        <v>3784</v>
      </c>
      <c r="CZ66" s="3"/>
      <c r="DA66" s="83" t="s">
        <v>12695</v>
      </c>
      <c r="DB66" s="83" t="s">
        <v>12754</v>
      </c>
      <c r="DC66" s="3"/>
      <c r="DD66" s="3" t="s">
        <v>2697</v>
      </c>
      <c r="DE66" s="3" t="s">
        <v>131</v>
      </c>
      <c r="DF66" s="3">
        <f>ROW()</f>
        <v>66</v>
      </c>
      <c r="DG66" s="3" t="s">
        <v>780</v>
      </c>
      <c r="DH66" s="3">
        <f t="shared" si="59"/>
        <v>400</v>
      </c>
      <c r="DI66" s="3">
        <f t="shared" si="60"/>
        <v>300</v>
      </c>
      <c r="DJ66" s="3">
        <f t="shared" si="61"/>
        <v>210</v>
      </c>
      <c r="DK66" s="3">
        <f t="shared" si="62"/>
        <v>120</v>
      </c>
      <c r="DL66" s="3"/>
      <c r="DM66" s="3"/>
      <c r="DN66" s="3"/>
      <c r="DO66" s="3"/>
      <c r="DP66" s="3"/>
      <c r="DQ66" s="3"/>
      <c r="DR66" s="3"/>
      <c r="DS66" s="3"/>
      <c r="DT66" s="3"/>
      <c r="DU66" s="3"/>
      <c r="DV66" s="3"/>
      <c r="DW66" s="3"/>
      <c r="DX66" s="3"/>
      <c r="DY66" s="3"/>
      <c r="DZ66" s="3" t="s">
        <v>2976</v>
      </c>
      <c r="EA66" s="83" t="s">
        <v>4533</v>
      </c>
      <c r="EB66" s="3"/>
      <c r="ED66" s="83" t="s">
        <v>11520</v>
      </c>
      <c r="EE66" s="83" t="s">
        <v>2574</v>
      </c>
      <c r="EF66" s="530" t="s">
        <v>16761</v>
      </c>
      <c r="EG66" s="356" t="str">
        <f>IF(SelectRace="Homme-lézard","Saurus","")</f>
        <v/>
      </c>
      <c r="EH66" s="83" t="str">
        <f t="shared" si="66"/>
        <v/>
      </c>
      <c r="EI66" s="83" t="str">
        <f t="shared" si="67"/>
        <v/>
      </c>
      <c r="EJ66" s="83" t="str">
        <f t="shared" si="68"/>
        <v/>
      </c>
      <c r="EK66" s="874" t="s">
        <v>16635</v>
      </c>
      <c r="EM66" s="90" t="s">
        <v>5037</v>
      </c>
      <c r="EN66" s="90" t="s">
        <v>5151</v>
      </c>
      <c r="EO66" s="90" t="s">
        <v>5047</v>
      </c>
      <c r="EP66" s="83" t="s">
        <v>5049</v>
      </c>
      <c r="EQ66" s="481" t="str">
        <f>IF(Pays="Nippon","Ryūjin",IF(Pays="Inja","Rudri",IF(Pays="Norsca","Ursash",IF(Pays="Albion","Fiann",IF(Selectsousrace="Ulfenwar","Olric",IF(OR(Pays="Terres des morts",Pays="Arabie"),"Geheb","Ulric"))))))</f>
        <v>Ulric</v>
      </c>
      <c r="ER66" s="83" t="str">
        <f t="shared" si="63"/>
        <v/>
      </c>
      <c r="ES66" s="83" t="str">
        <f t="shared" si="35"/>
        <v/>
      </c>
      <c r="ET66" s="530" t="str">
        <f t="shared" si="36"/>
        <v/>
      </c>
      <c r="EU66" s="177" t="str">
        <f>IF(OR(Dieu="Manann",Dieu="Mathlann"),"Chevaliers navigateurs","")</f>
        <v/>
      </c>
      <c r="EV66" s="83" t="str">
        <f t="shared" si="69"/>
        <v/>
      </c>
      <c r="EW66" s="83" t="str">
        <f t="shared" ref="EW66:EW129" si="73">IFERROR(SMALL(EV:EV,ROW()-1),"")</f>
        <v/>
      </c>
      <c r="EX66" s="530" t="str">
        <f t="shared" ref="EX66:EX129" si="74">IFERROR(INDEX(EU:EU,EW66),"")</f>
        <v/>
      </c>
      <c r="EZ66" s="530" t="s">
        <v>5873</v>
      </c>
      <c r="FB66" s="83" t="s">
        <v>17613</v>
      </c>
      <c r="FC66" s="133" t="s">
        <v>13214</v>
      </c>
      <c r="FD66" s="85" t="s">
        <v>1328</v>
      </c>
      <c r="FE66" s="849">
        <v>111</v>
      </c>
      <c r="FF66">
        <v>32</v>
      </c>
      <c r="FG66">
        <v>0</v>
      </c>
      <c r="FH66">
        <v>40</v>
      </c>
      <c r="FI66">
        <v>32</v>
      </c>
      <c r="FJ66" s="10">
        <v>36</v>
      </c>
      <c r="FK66">
        <v>18</v>
      </c>
      <c r="FL66">
        <v>41</v>
      </c>
      <c r="FM66" s="165">
        <v>10</v>
      </c>
      <c r="FN66" s="88">
        <v>1</v>
      </c>
      <c r="FO66" s="88">
        <v>10</v>
      </c>
      <c r="FP66" s="691">
        <f t="shared" si="57"/>
        <v>4</v>
      </c>
      <c r="FQ66" s="691">
        <f t="shared" si="56"/>
        <v>3</v>
      </c>
      <c r="FR66" s="10">
        <v>4</v>
      </c>
      <c r="FS66" s="88">
        <v>0</v>
      </c>
      <c r="FT66" s="88">
        <v>0</v>
      </c>
      <c r="FU66" s="165">
        <v>0</v>
      </c>
      <c r="FV66" s="83" t="s">
        <v>17614</v>
      </c>
      <c r="FW66" s="83" t="s">
        <v>17615</v>
      </c>
      <c r="FX66" s="530" t="s">
        <v>7659</v>
      </c>
      <c r="GA66" t="s">
        <v>7467</v>
      </c>
      <c r="GE66" s="356"/>
      <c r="GF66" t="s">
        <v>7684</v>
      </c>
      <c r="GG66" s="356" t="s">
        <v>8868</v>
      </c>
      <c r="GH66" s="83" t="s">
        <v>8876</v>
      </c>
      <c r="GI66" s="83" t="s">
        <v>8870</v>
      </c>
      <c r="GJ66" s="83"/>
      <c r="GK66" s="530"/>
    </row>
    <row r="67" spans="8:193" ht="13.2" customHeight="1">
      <c r="H67" s="3" t="s">
        <v>427</v>
      </c>
      <c r="I67" s="6" t="s">
        <v>497</v>
      </c>
      <c r="J67" s="3"/>
      <c r="K67" s="3"/>
      <c r="L67" s="3"/>
      <c r="M67" s="651"/>
      <c r="N67" s="3"/>
      <c r="O67" s="3"/>
      <c r="P67" s="3"/>
      <c r="Q67" s="3"/>
      <c r="R67" s="651"/>
      <c r="S67" s="83" t="str">
        <f>IF(CareerType=Y67,"Champion du Chaos",IF(AllCareers="X","Champion du Chaos",IF(Selectsousrace="","",IF(OR(SelectRace="skaven",SelectRace="homme-lézard"),"",IF(FirstCareer="1ère carrière","","Champion du Chaos")))))</f>
        <v/>
      </c>
      <c r="T67" s="106">
        <v>3</v>
      </c>
      <c r="U67" s="693" t="str">
        <f t="shared" ref="U67:U130" si="75">IF(S67="","",ROW()-1)</f>
        <v/>
      </c>
      <c r="V67" s="693" t="str">
        <f t="shared" ref="V67:V130" si="76">IFERROR(SMALL(U:U,ROW()-1),"")</f>
        <v/>
      </c>
      <c r="W67" s="693" t="str">
        <f t="shared" ref="W67:W130" si="77">IFERROR(INDEX(S:S,V67+1),"")</f>
        <v/>
      </c>
      <c r="X67" s="47" t="s">
        <v>2153</v>
      </c>
      <c r="Y67" s="743" t="s">
        <v>7130</v>
      </c>
      <c r="Z67" s="55" t="s">
        <v>2196</v>
      </c>
      <c r="AA67" s="47">
        <v>175</v>
      </c>
      <c r="AB67" s="89" t="s">
        <v>4681</v>
      </c>
      <c r="AC67" s="47"/>
      <c r="AD67" s="15" t="s">
        <v>116</v>
      </c>
      <c r="AE67" s="15" t="s">
        <v>101</v>
      </c>
      <c r="AF67" s="15" t="s">
        <v>99</v>
      </c>
      <c r="AG67" s="15" t="s">
        <v>116</v>
      </c>
      <c r="AH67" s="15" t="s">
        <v>99</v>
      </c>
      <c r="AI67" s="15" t="s">
        <v>101</v>
      </c>
      <c r="AJ67" s="15" t="s">
        <v>116</v>
      </c>
      <c r="AK67" s="18" t="s">
        <v>101</v>
      </c>
      <c r="AL67" s="15" t="s">
        <v>113</v>
      </c>
      <c r="AM67" s="15" t="s">
        <v>1505</v>
      </c>
      <c r="AN67" s="15" t="s">
        <v>149</v>
      </c>
      <c r="AO67" s="15" t="s">
        <v>149</v>
      </c>
      <c r="AP67" s="22" t="s">
        <v>735</v>
      </c>
      <c r="AQ67" s="22" t="s">
        <v>735</v>
      </c>
      <c r="AR67" s="22" t="s">
        <v>608</v>
      </c>
      <c r="AS67" s="22" t="s">
        <v>608</v>
      </c>
      <c r="AT67" s="87" t="s">
        <v>16762</v>
      </c>
      <c r="AU67" s="87" t="s">
        <v>16440</v>
      </c>
      <c r="AV67" s="87" t="s">
        <v>4820</v>
      </c>
      <c r="AW67" s="457">
        <v>0</v>
      </c>
      <c r="AX67" s="630" t="str">
        <f t="shared" si="38"/>
        <v/>
      </c>
      <c r="AY67" s="630" t="str">
        <f t="shared" si="39"/>
        <v/>
      </c>
      <c r="AZ67" s="630" t="str">
        <f t="shared" si="40"/>
        <v/>
      </c>
      <c r="BA67" s="3"/>
      <c r="BB67" s="3"/>
      <c r="BC67" s="3"/>
      <c r="BD67" s="3"/>
      <c r="BE67" s="3"/>
      <c r="BF67" s="3"/>
      <c r="BG67" s="3"/>
      <c r="BH67" s="3"/>
      <c r="BI67" s="3"/>
      <c r="BJ67" s="3"/>
      <c r="BK67" s="3"/>
      <c r="BL67" s="3"/>
      <c r="BM67" s="3">
        <v>75</v>
      </c>
      <c r="BN67" s="3"/>
      <c r="BP67" s="3"/>
      <c r="BQ67" s="83" t="s">
        <v>11872</v>
      </c>
      <c r="BR67" s="3"/>
      <c r="BS67" s="3"/>
      <c r="BT67" s="3"/>
      <c r="BU67" s="3"/>
      <c r="BV67" s="3"/>
      <c r="BW67" s="3"/>
      <c r="BX67" s="3" t="str">
        <f>IF(Province="Grande baronnie du Nordland","Village agricole de la Grande baronnie du Nordland","")</f>
        <v/>
      </c>
      <c r="BY67" t="str">
        <f t="shared" ref="BY67:BY130" si="78">IF(BX67="","",ROW())</f>
        <v/>
      </c>
      <c r="BZ67" s="83" t="str">
        <f t="shared" si="70"/>
        <v/>
      </c>
      <c r="CA67" s="83" t="str">
        <f t="shared" si="71"/>
        <v/>
      </c>
      <c r="CB67" s="530" t="str">
        <f t="shared" si="72"/>
        <v/>
      </c>
      <c r="CC67" s="3" t="s">
        <v>3256</v>
      </c>
      <c r="CD67" t="s">
        <v>10670</v>
      </c>
      <c r="CG67" s="3" t="s">
        <v>6170</v>
      </c>
      <c r="CH67" s="3" t="s">
        <v>5959</v>
      </c>
      <c r="CI67" s="3"/>
      <c r="CJ67" s="3"/>
      <c r="CK67" s="3" t="s">
        <v>6934</v>
      </c>
      <c r="CL67" s="3" t="s">
        <v>6502</v>
      </c>
      <c r="CM67" t="s">
        <v>10290</v>
      </c>
      <c r="CN67" s="3" t="s">
        <v>6527</v>
      </c>
      <c r="CO67" s="3" t="s">
        <v>10933</v>
      </c>
      <c r="CP67" s="3"/>
      <c r="CQ67" s="3"/>
      <c r="CR67" s="3" t="s">
        <v>13438</v>
      </c>
      <c r="CS67" s="3"/>
      <c r="CT67" s="3"/>
      <c r="CU67" s="3"/>
      <c r="CV67" s="3"/>
      <c r="CW67" s="3"/>
      <c r="CX67" s="3"/>
      <c r="CY67" s="83" t="s">
        <v>16044</v>
      </c>
      <c r="CZ67" s="3"/>
      <c r="DA67" s="83" t="s">
        <v>12696</v>
      </c>
      <c r="DB67" s="83" t="s">
        <v>12755</v>
      </c>
      <c r="DC67" s="3"/>
      <c r="DD67" s="3" t="s">
        <v>2698</v>
      </c>
      <c r="DE67" s="3" t="s">
        <v>132</v>
      </c>
      <c r="DF67" s="3">
        <f>ROW()</f>
        <v>67</v>
      </c>
      <c r="DG67" s="3" t="s">
        <v>780</v>
      </c>
      <c r="DH67" s="3">
        <f t="shared" si="59"/>
        <v>400</v>
      </c>
      <c r="DI67" s="3">
        <f t="shared" si="60"/>
        <v>300</v>
      </c>
      <c r="DJ67" s="3">
        <f t="shared" si="61"/>
        <v>210</v>
      </c>
      <c r="DK67" s="3">
        <f t="shared" si="62"/>
        <v>120</v>
      </c>
      <c r="DL67" s="3"/>
      <c r="DM67" s="3"/>
      <c r="DN67" s="3"/>
      <c r="DO67" s="3"/>
      <c r="DP67" s="3"/>
      <c r="DQ67" s="3"/>
      <c r="DR67" s="3"/>
      <c r="DS67" s="3"/>
      <c r="DT67" s="3"/>
      <c r="DU67" s="3"/>
      <c r="DV67" s="3"/>
      <c r="DW67" s="3"/>
      <c r="DX67" s="3"/>
      <c r="DY67" s="3"/>
      <c r="DZ67" s="3" t="s">
        <v>2977</v>
      </c>
      <c r="EA67" s="83" t="s">
        <v>4533</v>
      </c>
      <c r="EB67" s="3"/>
      <c r="ED67" s="83" t="s">
        <v>14528</v>
      </c>
      <c r="EE67" s="83" t="s">
        <v>2574</v>
      </c>
      <c r="EF67" s="530" t="s">
        <v>14529</v>
      </c>
      <c r="EG67" s="356" t="str">
        <f>IF(SelectRace="Homme-lézard","Skink","")</f>
        <v/>
      </c>
      <c r="EH67" s="83" t="str">
        <f t="shared" si="66"/>
        <v/>
      </c>
      <c r="EI67" s="83" t="str">
        <f t="shared" si="67"/>
        <v/>
      </c>
      <c r="EJ67" s="83" t="str">
        <f t="shared" si="68"/>
        <v/>
      </c>
      <c r="EK67" s="874" t="s">
        <v>16636</v>
      </c>
      <c r="EM67" s="90" t="s">
        <v>5034</v>
      </c>
      <c r="EN67" s="90" t="s">
        <v>5151</v>
      </c>
      <c r="EO67" s="90" t="s">
        <v>5045</v>
      </c>
      <c r="EP67" s="83" t="s">
        <v>5049</v>
      </c>
      <c r="EQ67" s="77" t="str">
        <f>IF(Pays="Inja","Mahaballa",IF(Pays="Kislev","Ursun",""))</f>
        <v/>
      </c>
      <c r="ER67" s="83">
        <f t="shared" si="63"/>
        <v>67</v>
      </c>
      <c r="ES67" s="83" t="str">
        <f t="shared" ref="ES67:ES78" si="79">IFERROR(SMALL(ER:ER,ROW()-1),"")</f>
        <v/>
      </c>
      <c r="ET67" s="530" t="str">
        <f t="shared" ref="ET67:ET78" si="80">IFERROR(INDEX(EQ:EQ,ES67),"")</f>
        <v/>
      </c>
      <c r="EU67" s="177" t="str">
        <f>IF(Dieu="Manann","Fils de Manann",IF(Dieu="Mathlaan","Fils de Mathlaan",""))</f>
        <v/>
      </c>
      <c r="EV67" s="83" t="str">
        <f t="shared" si="69"/>
        <v/>
      </c>
      <c r="EW67" s="83" t="str">
        <f t="shared" si="73"/>
        <v/>
      </c>
      <c r="EX67" s="530" t="str">
        <f t="shared" si="74"/>
        <v/>
      </c>
      <c r="EY67" s="83" t="s">
        <v>9536</v>
      </c>
      <c r="EZ67" s="530" t="s">
        <v>9535</v>
      </c>
      <c r="FB67" s="83" t="s">
        <v>13045</v>
      </c>
      <c r="FC67" s="133" t="s">
        <v>13214</v>
      </c>
      <c r="FD67" s="85" t="s">
        <v>12985</v>
      </c>
      <c r="FE67" s="849">
        <v>26</v>
      </c>
      <c r="FF67">
        <v>22</v>
      </c>
      <c r="FG67">
        <v>0</v>
      </c>
      <c r="FH67">
        <v>20</v>
      </c>
      <c r="FI67">
        <v>25</v>
      </c>
      <c r="FJ67" s="10">
        <v>35</v>
      </c>
      <c r="FK67">
        <v>10</v>
      </c>
      <c r="FL67">
        <v>30</v>
      </c>
      <c r="FM67" s="531">
        <v>0</v>
      </c>
      <c r="FN67" s="88">
        <v>1</v>
      </c>
      <c r="FO67" s="88">
        <v>8</v>
      </c>
      <c r="FP67" s="164">
        <f>ROUNDDOWN(FH67/10,0)</f>
        <v>2</v>
      </c>
      <c r="FQ67" s="164">
        <f>ROUNDDOWN(FI67/10,0)</f>
        <v>2</v>
      </c>
      <c r="FR67" s="682">
        <v>2</v>
      </c>
      <c r="FS67" s="88">
        <v>0</v>
      </c>
      <c r="FT67" s="88">
        <v>0</v>
      </c>
      <c r="FU67" s="531">
        <v>0</v>
      </c>
      <c r="FV67" s="83" t="s">
        <v>13069</v>
      </c>
      <c r="FW67" s="83" t="s">
        <v>13048</v>
      </c>
      <c r="FX67" s="567" t="s">
        <v>7659</v>
      </c>
      <c r="GA67" s="83" t="s">
        <v>16763</v>
      </c>
      <c r="GE67" s="356"/>
      <c r="GF67" t="s">
        <v>7685</v>
      </c>
      <c r="GG67" s="356" t="s">
        <v>8867</v>
      </c>
      <c r="GH67" s="83" t="s">
        <v>8876</v>
      </c>
      <c r="GI67" s="83" t="s">
        <v>8870</v>
      </c>
      <c r="GJ67" s="83"/>
      <c r="GK67" s="530"/>
    </row>
    <row r="68" spans="8:193" ht="13.2" customHeight="1">
      <c r="H68" s="3" t="s">
        <v>428</v>
      </c>
      <c r="I68" s="6" t="s">
        <v>498</v>
      </c>
      <c r="J68" s="3"/>
      <c r="K68" s="3"/>
      <c r="L68" s="3"/>
      <c r="M68" s="651"/>
      <c r="N68" s="3"/>
      <c r="O68" s="3"/>
      <c r="P68" s="3"/>
      <c r="Q68" s="3"/>
      <c r="R68" s="651"/>
      <c r="S68" s="83" t="str">
        <f>IF(CareerType=Y68,"Champion du Chaos exalté",IF(AllCareers="X","Champion du Chaos exalté",IF(Selectsousrace="","",IF(OR(SelectRace="skaven",SelectRace="homme-lézard"),"",IF(FirstCareer="1ère carrière","","Champion du Chaos exalté")))))</f>
        <v/>
      </c>
      <c r="T68" s="106">
        <v>4</v>
      </c>
      <c r="U68" s="693" t="str">
        <f t="shared" si="75"/>
        <v/>
      </c>
      <c r="V68" s="693" t="str">
        <f t="shared" si="76"/>
        <v/>
      </c>
      <c r="W68" s="693" t="str">
        <f t="shared" si="77"/>
        <v/>
      </c>
      <c r="X68" s="47" t="s">
        <v>2153</v>
      </c>
      <c r="Y68" s="743" t="s">
        <v>7130</v>
      </c>
      <c r="Z68" s="55" t="s">
        <v>2196</v>
      </c>
      <c r="AA68" s="47">
        <v>176</v>
      </c>
      <c r="AB68" s="89" t="s">
        <v>9285</v>
      </c>
      <c r="AC68" s="47"/>
      <c r="AD68" s="15" t="s">
        <v>97</v>
      </c>
      <c r="AE68" s="15" t="s">
        <v>100</v>
      </c>
      <c r="AF68" s="15" t="s">
        <v>116</v>
      </c>
      <c r="AG68" s="15" t="s">
        <v>97</v>
      </c>
      <c r="AH68" s="15" t="s">
        <v>116</v>
      </c>
      <c r="AI68" s="15" t="s">
        <v>100</v>
      </c>
      <c r="AJ68" s="15" t="s">
        <v>97</v>
      </c>
      <c r="AK68" s="18" t="s">
        <v>100</v>
      </c>
      <c r="AL68" s="15" t="s">
        <v>115</v>
      </c>
      <c r="AM68" s="15" t="s">
        <v>98</v>
      </c>
      <c r="AN68" s="15" t="s">
        <v>149</v>
      </c>
      <c r="AO68" s="15" t="s">
        <v>149</v>
      </c>
      <c r="AP68" s="22" t="s">
        <v>777</v>
      </c>
      <c r="AQ68" s="22" t="s">
        <v>777</v>
      </c>
      <c r="AR68" s="22" t="s">
        <v>734</v>
      </c>
      <c r="AS68" s="22" t="s">
        <v>734</v>
      </c>
      <c r="AT68" s="22" t="s">
        <v>3548</v>
      </c>
      <c r="AU68" s="87" t="s">
        <v>5444</v>
      </c>
      <c r="AV68" s="87" t="s">
        <v>4821</v>
      </c>
      <c r="AW68" s="457">
        <v>0</v>
      </c>
      <c r="AX68" s="630" t="str">
        <f t="shared" ref="AX68:AX131" si="81">IF(S68="","","Chasseur, Coupe-jarret, Esclave/Thrall, Fanatique, Garde, Garde du corps, Guerrier des clans, Hors-la-loi, Naufrageur, Pillard, Pilleur de tombes, Trafiquant de cadavres, Vagabond, Voleur")</f>
        <v/>
      </c>
      <c r="AY68" s="630" t="str">
        <f t="shared" ref="AY68:AY131" si="82">IF(AX68="","","Acolyte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68" s="630" t="str">
        <f t="shared" ref="AZ68:AZ131" si="83">IF(S68="","","Apprenti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68" s="3"/>
      <c r="BB68" s="3"/>
      <c r="BC68" s="3"/>
      <c r="BD68" s="3"/>
      <c r="BE68" s="3"/>
      <c r="BF68" s="3"/>
      <c r="BG68" s="3"/>
      <c r="BH68" s="3"/>
      <c r="BI68" s="3"/>
      <c r="BJ68" s="3"/>
      <c r="BK68" s="3"/>
      <c r="BL68" s="3"/>
      <c r="BM68" s="3">
        <v>76</v>
      </c>
      <c r="BN68" s="3"/>
      <c r="BP68" s="3"/>
      <c r="BQ68" s="3" t="s">
        <v>11873</v>
      </c>
      <c r="BR68" s="83"/>
      <c r="BS68" s="83"/>
      <c r="BT68" s="3"/>
      <c r="BU68" s="3"/>
      <c r="BV68" s="3"/>
      <c r="BW68" s="3"/>
      <c r="BX68" s="3" t="str">
        <f>IF(Province="Grande principauté du Reikland","Village agricole de Grande principauté du Reikland","")</f>
        <v/>
      </c>
      <c r="BY68" t="str">
        <f t="shared" si="78"/>
        <v/>
      </c>
      <c r="BZ68" s="83" t="str">
        <f t="shared" si="70"/>
        <v/>
      </c>
      <c r="CA68" s="83" t="str">
        <f t="shared" si="71"/>
        <v/>
      </c>
      <c r="CB68" s="530" t="str">
        <f t="shared" si="72"/>
        <v/>
      </c>
      <c r="CC68" s="3" t="s">
        <v>3257</v>
      </c>
      <c r="CD68" t="s">
        <v>3273</v>
      </c>
      <c r="CG68" s="3" t="s">
        <v>6171</v>
      </c>
      <c r="CH68" s="3" t="s">
        <v>5960</v>
      </c>
      <c r="CI68" s="3"/>
      <c r="CJ68" s="3"/>
      <c r="CK68" s="3" t="s">
        <v>6823</v>
      </c>
      <c r="CL68" s="3" t="s">
        <v>6500</v>
      </c>
      <c r="CM68" s="3" t="s">
        <v>6625</v>
      </c>
      <c r="CN68" s="3" t="s">
        <v>6526</v>
      </c>
      <c r="CO68" s="3" t="s">
        <v>10921</v>
      </c>
      <c r="CP68" s="3"/>
      <c r="CQ68" s="3"/>
      <c r="CR68" s="3" t="s">
        <v>13439</v>
      </c>
      <c r="CS68" s="3"/>
      <c r="CT68" s="3"/>
      <c r="CU68" s="3"/>
      <c r="CV68" s="3"/>
      <c r="CW68" s="3"/>
      <c r="CX68" s="3"/>
      <c r="CY68" s="3" t="s">
        <v>825</v>
      </c>
      <c r="CZ68" s="3"/>
      <c r="DA68" s="83" t="s">
        <v>12691</v>
      </c>
      <c r="DB68" s="83" t="s">
        <v>12756</v>
      </c>
      <c r="DC68" s="3"/>
      <c r="DD68" s="83" t="s">
        <v>11235</v>
      </c>
      <c r="DE68" s="3" t="s">
        <v>134</v>
      </c>
      <c r="DF68" s="3">
        <f>ROW()</f>
        <v>68</v>
      </c>
      <c r="DG68" s="3" t="s">
        <v>780</v>
      </c>
      <c r="DH68" s="3">
        <f t="shared" si="59"/>
        <v>400</v>
      </c>
      <c r="DI68" s="3">
        <f t="shared" si="60"/>
        <v>300</v>
      </c>
      <c r="DJ68" s="3">
        <f t="shared" si="61"/>
        <v>210</v>
      </c>
      <c r="DK68" s="3">
        <f t="shared" si="62"/>
        <v>120</v>
      </c>
      <c r="DL68" s="3"/>
      <c r="DM68" s="3"/>
      <c r="DN68" s="3"/>
      <c r="DO68" s="3"/>
      <c r="DP68" s="3"/>
      <c r="DQ68" s="3"/>
      <c r="DR68" s="3"/>
      <c r="DS68" s="3"/>
      <c r="DT68" s="3"/>
      <c r="DU68" s="3"/>
      <c r="DV68" s="3"/>
      <c r="DW68" s="3"/>
      <c r="DX68" s="3"/>
      <c r="DY68" s="3"/>
      <c r="DZ68" s="3" t="s">
        <v>2978</v>
      </c>
      <c r="EA68" s="83" t="s">
        <v>4534</v>
      </c>
      <c r="EB68" s="3"/>
      <c r="ED68" s="83" t="s">
        <v>11519</v>
      </c>
      <c r="EE68" s="83" t="s">
        <v>2574</v>
      </c>
      <c r="EF68" s="530" t="s">
        <v>16764</v>
      </c>
      <c r="EG68" s="356" t="str">
        <f>IF(SelectRace="Homme-lézard","Kroxigor","")</f>
        <v/>
      </c>
      <c r="EH68" s="83" t="str">
        <f t="shared" si="66"/>
        <v/>
      </c>
      <c r="EI68" s="83" t="str">
        <f t="shared" si="67"/>
        <v/>
      </c>
      <c r="EJ68" s="83" t="str">
        <f t="shared" si="68"/>
        <v/>
      </c>
      <c r="EK68" s="874" t="s">
        <v>16765</v>
      </c>
      <c r="EM68" s="90" t="s">
        <v>5035</v>
      </c>
      <c r="EN68" s="90" t="s">
        <v>5151</v>
      </c>
      <c r="EO68" s="90" t="s">
        <v>5043</v>
      </c>
      <c r="EP68" s="83" t="s">
        <v>5049</v>
      </c>
      <c r="EQ68" s="77" t="str">
        <f>IF(OR(Pays="Lustrie",Pays="Terres du Sud"),"Uxmac","")</f>
        <v/>
      </c>
      <c r="ER68" s="83" t="str">
        <f t="shared" si="63"/>
        <v/>
      </c>
      <c r="ES68" s="83" t="str">
        <f t="shared" si="79"/>
        <v/>
      </c>
      <c r="ET68" s="530" t="str">
        <f t="shared" si="80"/>
        <v/>
      </c>
      <c r="EU68" s="177" t="str">
        <f>IF(Dieu="Manann","Fils de Manann",IF(Dieu="Mathlaan","Ordre de l'Albatros",""))</f>
        <v/>
      </c>
      <c r="EV68" s="83" t="str">
        <f t="shared" si="69"/>
        <v/>
      </c>
      <c r="EW68" s="83" t="str">
        <f t="shared" si="73"/>
        <v/>
      </c>
      <c r="EX68" s="530" t="str">
        <f t="shared" si="74"/>
        <v/>
      </c>
      <c r="EY68" s="83" t="s">
        <v>5874</v>
      </c>
      <c r="EZ68" s="530" t="s">
        <v>16052</v>
      </c>
      <c r="FB68" t="s">
        <v>4349</v>
      </c>
      <c r="FC68" s="133" t="s">
        <v>13214</v>
      </c>
      <c r="FD68" t="s">
        <v>2211</v>
      </c>
      <c r="FE68" s="849">
        <v>189</v>
      </c>
      <c r="FF68">
        <v>24</v>
      </c>
      <c r="FG68">
        <v>0</v>
      </c>
      <c r="FH68">
        <v>10</v>
      </c>
      <c r="FI68">
        <v>10</v>
      </c>
      <c r="FJ68" s="10">
        <v>18</v>
      </c>
      <c r="FK68">
        <v>10</v>
      </c>
      <c r="FL68">
        <v>10</v>
      </c>
      <c r="FM68" s="165">
        <v>0</v>
      </c>
      <c r="FN68" s="88">
        <v>1</v>
      </c>
      <c r="FO68" s="88">
        <v>2</v>
      </c>
      <c r="FP68" s="164">
        <f>ROUNDDOWN(FH68/10,0)</f>
        <v>1</v>
      </c>
      <c r="FQ68" s="164">
        <f>ROUNDDOWN(FI68/10,0)</f>
        <v>1</v>
      </c>
      <c r="FR68" s="683" t="s">
        <v>7256</v>
      </c>
      <c r="FS68">
        <v>0</v>
      </c>
      <c r="FT68">
        <v>0</v>
      </c>
      <c r="FU68" s="165">
        <v>0</v>
      </c>
      <c r="FV68" t="s">
        <v>7242</v>
      </c>
      <c r="FW68" s="83" t="s">
        <v>15216</v>
      </c>
      <c r="FX68" s="531" t="s">
        <v>7657</v>
      </c>
      <c r="GA68" s="83" t="s">
        <v>7592</v>
      </c>
      <c r="GE68" s="356"/>
      <c r="GF68" t="s">
        <v>7686</v>
      </c>
      <c r="GG68" s="356" t="s">
        <v>8872</v>
      </c>
      <c r="GH68" s="83" t="s">
        <v>8876</v>
      </c>
      <c r="GI68" s="83" t="s">
        <v>8870</v>
      </c>
      <c r="GJ68" s="83"/>
      <c r="GK68" s="530"/>
    </row>
    <row r="69" spans="8:193" ht="13.2" customHeight="1">
      <c r="H69" s="3" t="s">
        <v>429</v>
      </c>
      <c r="I69" s="3" t="s">
        <v>722</v>
      </c>
      <c r="J69" s="3"/>
      <c r="K69" s="3"/>
      <c r="L69" s="3"/>
      <c r="M69" s="651"/>
      <c r="N69" s="3"/>
      <c r="O69" s="3"/>
      <c r="P69" s="3"/>
      <c r="Q69" s="3"/>
      <c r="R69" s="651"/>
      <c r="S69" s="83" t="str">
        <f>IF(CareerType=Y69,"Champion hiérogrammate",IF(AllCareers="X","Champion hiérogrammate",IF(FirstCareer="1ère carrière","",IF(SelectRace="Nain","Champion hiérogrammate",""))))</f>
        <v/>
      </c>
      <c r="T69" s="106">
        <f>IF(X69="oui",0,1)</f>
        <v>1</v>
      </c>
      <c r="U69" s="693" t="str">
        <f t="shared" si="75"/>
        <v/>
      </c>
      <c r="V69" s="693" t="str">
        <f t="shared" si="76"/>
        <v/>
      </c>
      <c r="W69" s="693" t="str">
        <f t="shared" si="77"/>
        <v/>
      </c>
      <c r="X69" s="47" t="s">
        <v>2153</v>
      </c>
      <c r="Y69" s="743" t="s">
        <v>15709</v>
      </c>
      <c r="Z69" s="55" t="s">
        <v>2196</v>
      </c>
      <c r="AA69" s="47">
        <v>169</v>
      </c>
      <c r="AB69" s="89" t="s">
        <v>10834</v>
      </c>
      <c r="AC69" s="47"/>
      <c r="AD69" s="15" t="s">
        <v>98</v>
      </c>
      <c r="AE69" s="15" t="s">
        <v>114</v>
      </c>
      <c r="AF69" s="15" t="s">
        <v>149</v>
      </c>
      <c r="AG69" s="15" t="s">
        <v>98</v>
      </c>
      <c r="AH69" s="15" t="s">
        <v>149</v>
      </c>
      <c r="AI69" s="15" t="s">
        <v>101</v>
      </c>
      <c r="AJ69" s="15" t="s">
        <v>149</v>
      </c>
      <c r="AK69" s="18" t="s">
        <v>98</v>
      </c>
      <c r="AL69" s="15" t="s">
        <v>149</v>
      </c>
      <c r="AM69" s="15" t="s">
        <v>115</v>
      </c>
      <c r="AN69" s="15" t="s">
        <v>149</v>
      </c>
      <c r="AO69" s="15" t="s">
        <v>113</v>
      </c>
      <c r="AP69" s="22" t="s">
        <v>609</v>
      </c>
      <c r="AQ69" s="87" t="s">
        <v>734</v>
      </c>
      <c r="AR69" s="87" t="s">
        <v>734</v>
      </c>
      <c r="AS69" s="87" t="s">
        <v>734</v>
      </c>
      <c r="AT69" s="87" t="s">
        <v>16766</v>
      </c>
      <c r="AU69" s="87" t="s">
        <v>16441</v>
      </c>
      <c r="AV69" s="87" t="s">
        <v>4676</v>
      </c>
      <c r="AW69" s="457">
        <v>0</v>
      </c>
      <c r="AX69" s="630" t="str">
        <f t="shared" si="81"/>
        <v/>
      </c>
      <c r="AY69" s="630" t="str">
        <f t="shared" si="82"/>
        <v/>
      </c>
      <c r="AZ69" s="630" t="str">
        <f t="shared" si="83"/>
        <v/>
      </c>
      <c r="BA69" s="3"/>
      <c r="BB69" s="3"/>
      <c r="BC69" s="3"/>
      <c r="BD69" s="3"/>
      <c r="BE69" s="3"/>
      <c r="BF69" s="3"/>
      <c r="BG69" s="3"/>
      <c r="BH69" s="3"/>
      <c r="BI69" s="3"/>
      <c r="BJ69" s="3"/>
      <c r="BK69" s="3"/>
      <c r="BL69" s="3"/>
      <c r="BM69" s="3">
        <v>77</v>
      </c>
      <c r="BN69" s="3"/>
      <c r="BP69" s="3"/>
      <c r="BQ69" s="3" t="s">
        <v>11874</v>
      </c>
      <c r="BR69" s="3"/>
      <c r="BS69" s="3"/>
      <c r="BT69" s="3"/>
      <c r="BU69" s="3"/>
      <c r="BV69" s="3"/>
      <c r="BW69" s="3"/>
      <c r="BX69" s="3" t="str">
        <f>IF(Province="Grand comté du Stirland","Village agricole de Grand comté du Stirland","")</f>
        <v/>
      </c>
      <c r="BY69" t="str">
        <f t="shared" si="78"/>
        <v/>
      </c>
      <c r="BZ69" s="83" t="str">
        <f t="shared" si="70"/>
        <v/>
      </c>
      <c r="CA69" s="83" t="str">
        <f t="shared" si="71"/>
        <v/>
      </c>
      <c r="CB69" s="530" t="str">
        <f t="shared" si="72"/>
        <v/>
      </c>
      <c r="CC69" s="3" t="s">
        <v>3258</v>
      </c>
      <c r="CD69" s="3" t="s">
        <v>1060</v>
      </c>
      <c r="CG69" s="3" t="s">
        <v>6172</v>
      </c>
      <c r="CH69" s="3" t="s">
        <v>5961</v>
      </c>
      <c r="CI69" s="3"/>
      <c r="CJ69" s="3"/>
      <c r="CK69" s="3" t="s">
        <v>6901</v>
      </c>
      <c r="CL69" s="3" t="s">
        <v>6445</v>
      </c>
      <c r="CM69" s="3" t="s">
        <v>6626</v>
      </c>
      <c r="CN69" s="3" t="s">
        <v>6544</v>
      </c>
      <c r="CO69" s="3" t="s">
        <v>10924</v>
      </c>
      <c r="CP69" s="3"/>
      <c r="CQ69" s="3"/>
      <c r="CR69" s="3" t="s">
        <v>13440</v>
      </c>
      <c r="CS69" s="3"/>
      <c r="CT69" s="3"/>
      <c r="CU69" s="3"/>
      <c r="CV69" s="3"/>
      <c r="CW69" s="3"/>
      <c r="CX69" s="3"/>
      <c r="CY69" s="3" t="s">
        <v>5900</v>
      </c>
      <c r="CZ69" s="3"/>
      <c r="DA69" s="83" t="s">
        <v>12692</v>
      </c>
      <c r="DB69" s="83" t="s">
        <v>12757</v>
      </c>
      <c r="DC69" s="3"/>
      <c r="DD69" s="83" t="s">
        <v>11232</v>
      </c>
      <c r="DE69" s="3" t="s">
        <v>132</v>
      </c>
      <c r="DF69" s="3">
        <f>ROW()</f>
        <v>69</v>
      </c>
      <c r="DG69" s="3" t="s">
        <v>2174</v>
      </c>
      <c r="DH69" s="3">
        <f t="shared" si="59"/>
        <v>135</v>
      </c>
      <c r="DI69" s="3">
        <f t="shared" si="60"/>
        <v>115</v>
      </c>
      <c r="DJ69" s="3">
        <f t="shared" si="61"/>
        <v>95</v>
      </c>
      <c r="DK69" s="3">
        <f t="shared" si="62"/>
        <v>75</v>
      </c>
      <c r="DL69" s="3"/>
      <c r="DM69" s="3"/>
      <c r="DN69" s="3"/>
      <c r="DO69" s="3"/>
      <c r="DP69" s="3"/>
      <c r="DQ69" s="3"/>
      <c r="DR69" s="3"/>
      <c r="DS69" s="3"/>
      <c r="DT69" s="3"/>
      <c r="DU69" s="3"/>
      <c r="DV69" s="3"/>
      <c r="DW69" s="3"/>
      <c r="DX69" s="3"/>
      <c r="DY69" s="3"/>
      <c r="DZ69" s="3" t="s">
        <v>2979</v>
      </c>
      <c r="EA69" s="83" t="s">
        <v>4534</v>
      </c>
      <c r="EB69" s="3"/>
      <c r="ED69" s="83" t="s">
        <v>11522</v>
      </c>
      <c r="EE69" s="83" t="s">
        <v>2574</v>
      </c>
      <c r="EF69" s="530" t="s">
        <v>16767</v>
      </c>
      <c r="EG69" s="106"/>
      <c r="EH69" s="106"/>
      <c r="EI69" s="106"/>
      <c r="EJ69" s="106"/>
      <c r="EK69" s="874"/>
      <c r="EM69" s="90" t="s">
        <v>420</v>
      </c>
      <c r="EN69" s="90" t="s">
        <v>5151</v>
      </c>
      <c r="EO69" s="90" t="s">
        <v>5041</v>
      </c>
      <c r="EP69" s="83" t="s">
        <v>5048</v>
      </c>
      <c r="EQ69" s="481" t="str">
        <f>IF(Pays="Nippon","Ebosu",IF(SelectRace="Nain","Valaya",""))</f>
        <v/>
      </c>
      <c r="ER69" s="83" t="str">
        <f t="shared" si="63"/>
        <v/>
      </c>
      <c r="ES69" s="83" t="str">
        <f t="shared" si="79"/>
        <v/>
      </c>
      <c r="ET69" s="530" t="str">
        <f t="shared" si="80"/>
        <v/>
      </c>
      <c r="EU69" s="177" t="str">
        <f>IF(OR(Dieu="Manann",Dieu="Mathlann"),"Garde Tempête","")</f>
        <v/>
      </c>
      <c r="EV69" s="83" t="str">
        <f t="shared" si="69"/>
        <v/>
      </c>
      <c r="EW69" s="83" t="str">
        <f t="shared" si="73"/>
        <v/>
      </c>
      <c r="EX69" s="530" t="str">
        <f t="shared" si="74"/>
        <v/>
      </c>
      <c r="EY69" s="83" t="s">
        <v>5874</v>
      </c>
      <c r="EZ69" s="530" t="s">
        <v>9506</v>
      </c>
      <c r="FB69" s="83" t="s">
        <v>9939</v>
      </c>
      <c r="FC69" s="133" t="s">
        <v>13214</v>
      </c>
      <c r="FD69" s="83" t="s">
        <v>9703</v>
      </c>
      <c r="FE69" s="849">
        <v>327</v>
      </c>
      <c r="FF69">
        <v>36</v>
      </c>
      <c r="FG69">
        <v>0</v>
      </c>
      <c r="FH69">
        <v>40</v>
      </c>
      <c r="FI69">
        <v>32</v>
      </c>
      <c r="FJ69" s="10">
        <v>15</v>
      </c>
      <c r="FK69">
        <v>7</v>
      </c>
      <c r="FL69">
        <v>20</v>
      </c>
      <c r="FM69" s="165">
        <v>0</v>
      </c>
      <c r="FN69" s="88">
        <v>2</v>
      </c>
      <c r="FO69" s="88">
        <v>19</v>
      </c>
      <c r="FP69" s="164">
        <f>ROUNDDOWN(FH69/10,0)</f>
        <v>4</v>
      </c>
      <c r="FQ69" s="164">
        <f>ROUNDDOWN(FI69/10,0)</f>
        <v>3</v>
      </c>
      <c r="FR69" s="684">
        <v>4</v>
      </c>
      <c r="FS69" s="167">
        <v>0</v>
      </c>
      <c r="FT69" s="167">
        <v>0</v>
      </c>
      <c r="FU69" s="165">
        <v>0</v>
      </c>
      <c r="FV69" s="83" t="s">
        <v>13064</v>
      </c>
      <c r="FW69" s="83" t="s">
        <v>9940</v>
      </c>
      <c r="FX69" s="567" t="s">
        <v>7665</v>
      </c>
      <c r="GA69" s="83" t="s">
        <v>16768</v>
      </c>
      <c r="GE69" s="356"/>
      <c r="GF69" t="s">
        <v>8208</v>
      </c>
      <c r="GG69" s="356" t="s">
        <v>8869</v>
      </c>
      <c r="GH69" s="83" t="s">
        <v>8876</v>
      </c>
      <c r="GI69" s="83" t="s">
        <v>8870</v>
      </c>
      <c r="GJ69" s="83"/>
      <c r="GK69" s="530"/>
    </row>
    <row r="70" spans="8:193" ht="13.2" customHeight="1">
      <c r="H70" s="3" t="s">
        <v>430</v>
      </c>
      <c r="I70" s="6" t="s">
        <v>501</v>
      </c>
      <c r="J70" s="3"/>
      <c r="K70" s="3"/>
      <c r="L70" s="3"/>
      <c r="M70" s="651"/>
      <c r="N70" s="3"/>
      <c r="O70" s="3"/>
      <c r="P70" s="3"/>
      <c r="Q70" s="3"/>
      <c r="R70" s="651"/>
      <c r="S70" s="83" t="str">
        <f>IF(CareerType=Y70,"Champion homme-bête",IF(AllCareers="X","Champion homme-bete",IF(FirstCareer="1ère carrière","",IF(SelectRace="homme-bête","Champion homme-bête",""))))</f>
        <v/>
      </c>
      <c r="T70" s="106">
        <v>2</v>
      </c>
      <c r="U70" s="693" t="str">
        <f t="shared" si="75"/>
        <v/>
      </c>
      <c r="V70" s="693" t="str">
        <f t="shared" si="76"/>
        <v/>
      </c>
      <c r="W70" s="693" t="str">
        <f t="shared" si="77"/>
        <v/>
      </c>
      <c r="X70" s="47" t="s">
        <v>2153</v>
      </c>
      <c r="Y70" s="743" t="s">
        <v>7130</v>
      </c>
      <c r="Z70" s="55" t="s">
        <v>2196</v>
      </c>
      <c r="AA70" s="47">
        <v>106</v>
      </c>
      <c r="AB70" s="89" t="s">
        <v>9286</v>
      </c>
      <c r="AC70" s="47"/>
      <c r="AD70" s="15" t="s">
        <v>116</v>
      </c>
      <c r="AE70" s="15" t="s">
        <v>98</v>
      </c>
      <c r="AF70" s="15" t="s">
        <v>99</v>
      </c>
      <c r="AG70" s="15" t="s">
        <v>99</v>
      </c>
      <c r="AH70" s="15" t="s">
        <v>116</v>
      </c>
      <c r="AI70" s="15" t="s">
        <v>98</v>
      </c>
      <c r="AJ70" s="15" t="s">
        <v>100</v>
      </c>
      <c r="AK70" s="18" t="s">
        <v>101</v>
      </c>
      <c r="AL70" s="15" t="s">
        <v>113</v>
      </c>
      <c r="AM70" s="15" t="s">
        <v>118</v>
      </c>
      <c r="AN70" s="15" t="s">
        <v>149</v>
      </c>
      <c r="AO70" s="15" t="s">
        <v>149</v>
      </c>
      <c r="AP70" s="87" t="s">
        <v>3076</v>
      </c>
      <c r="AQ70" s="87" t="s">
        <v>3076</v>
      </c>
      <c r="AR70" s="87" t="s">
        <v>15833</v>
      </c>
      <c r="AS70" s="22" t="s">
        <v>611</v>
      </c>
      <c r="AT70" s="22" t="s">
        <v>3549</v>
      </c>
      <c r="AU70" s="87" t="s">
        <v>5473</v>
      </c>
      <c r="AV70" s="87" t="s">
        <v>4685</v>
      </c>
      <c r="AW70" s="457">
        <v>0</v>
      </c>
      <c r="AX70" s="630" t="str">
        <f t="shared" si="81"/>
        <v/>
      </c>
      <c r="AY70" s="630" t="str">
        <f t="shared" si="82"/>
        <v/>
      </c>
      <c r="AZ70" s="630" t="str">
        <f t="shared" si="83"/>
        <v/>
      </c>
      <c r="BA70" s="3"/>
      <c r="BB70" s="3"/>
      <c r="BC70" s="3"/>
      <c r="BD70" s="3"/>
      <c r="BE70" s="3"/>
      <c r="BF70" s="3"/>
      <c r="BG70" s="3"/>
      <c r="BH70" s="3"/>
      <c r="BI70" s="3"/>
      <c r="BJ70" s="3"/>
      <c r="BK70" s="3"/>
      <c r="BL70" s="3"/>
      <c r="BM70" s="3">
        <v>78</v>
      </c>
      <c r="BN70" s="3"/>
      <c r="BP70" s="3"/>
      <c r="BQ70" s="3" t="s">
        <v>11875</v>
      </c>
      <c r="BR70" s="3"/>
      <c r="BS70" s="3"/>
      <c r="BT70" s="3"/>
      <c r="BU70" s="3"/>
      <c r="BV70" s="3"/>
      <c r="BW70" s="3"/>
      <c r="BX70" s="3" t="str">
        <f>IF(Province="Grand-duché du Talabecland","Village agricole de Grand-duché du Talabecland","")</f>
        <v/>
      </c>
      <c r="BY70" t="str">
        <f t="shared" si="78"/>
        <v/>
      </c>
      <c r="BZ70" s="83" t="str">
        <f t="shared" si="70"/>
        <v/>
      </c>
      <c r="CA70" s="83" t="str">
        <f t="shared" si="71"/>
        <v/>
      </c>
      <c r="CB70" s="530" t="str">
        <f t="shared" si="72"/>
        <v/>
      </c>
      <c r="CC70" s="3" t="s">
        <v>3259</v>
      </c>
      <c r="CD70" t="s">
        <v>3275</v>
      </c>
      <c r="CG70" s="3" t="s">
        <v>6173</v>
      </c>
      <c r="CH70" s="3" t="s">
        <v>5962</v>
      </c>
      <c r="CI70" s="3"/>
      <c r="CJ70" s="3"/>
      <c r="CK70" s="3" t="s">
        <v>6864</v>
      </c>
      <c r="CL70" s="3" t="s">
        <v>6512</v>
      </c>
      <c r="CM70" t="s">
        <v>10291</v>
      </c>
      <c r="CN70" s="3" t="s">
        <v>6593</v>
      </c>
      <c r="CO70" s="3" t="s">
        <v>10920</v>
      </c>
      <c r="CP70" s="3"/>
      <c r="CQ70" s="3"/>
      <c r="CR70" s="3" t="s">
        <v>13441</v>
      </c>
      <c r="CS70" s="3"/>
      <c r="CT70" s="3"/>
      <c r="CU70" s="3"/>
      <c r="CV70" s="3"/>
      <c r="CW70" s="3"/>
      <c r="CX70" s="3"/>
      <c r="CY70" s="83" t="s">
        <v>16707</v>
      </c>
      <c r="CZ70" s="3"/>
      <c r="DA70" s="83" t="s">
        <v>12693</v>
      </c>
      <c r="DB70" s="83" t="s">
        <v>12698</v>
      </c>
      <c r="DC70" s="3"/>
      <c r="DD70" s="83" t="s">
        <v>11190</v>
      </c>
      <c r="DE70" s="83" t="s">
        <v>131</v>
      </c>
      <c r="DF70" s="3">
        <f>ROW()</f>
        <v>70</v>
      </c>
      <c r="DG70" s="3" t="s">
        <v>2174</v>
      </c>
      <c r="DH70" s="3">
        <f t="shared" si="59"/>
        <v>135</v>
      </c>
      <c r="DI70" s="3">
        <f t="shared" si="60"/>
        <v>115</v>
      </c>
      <c r="DJ70" s="3">
        <f t="shared" si="61"/>
        <v>95</v>
      </c>
      <c r="DK70" s="3">
        <f t="shared" si="62"/>
        <v>75</v>
      </c>
      <c r="DL70" s="3"/>
      <c r="DM70" s="3"/>
      <c r="DN70" s="3"/>
      <c r="DO70" s="3"/>
      <c r="DP70" s="3"/>
      <c r="DQ70" s="3"/>
      <c r="DR70" s="3"/>
      <c r="DS70" s="3"/>
      <c r="DT70" s="3"/>
      <c r="DU70" s="3"/>
      <c r="DV70" s="3"/>
      <c r="DW70" s="3"/>
      <c r="DX70" s="3"/>
      <c r="DY70" s="3"/>
      <c r="DZ70" s="3" t="s">
        <v>2980</v>
      </c>
      <c r="EA70" s="83" t="s">
        <v>4534</v>
      </c>
      <c r="EB70" s="3"/>
      <c r="ED70" s="83" t="s">
        <v>11516</v>
      </c>
      <c r="EE70" s="83" t="s">
        <v>2574</v>
      </c>
      <c r="EF70" s="530" t="s">
        <v>16767</v>
      </c>
      <c r="EG70" s="106"/>
      <c r="EH70" s="106"/>
      <c r="EI70" s="106"/>
      <c r="EJ70" s="106"/>
      <c r="EK70" s="874"/>
      <c r="EM70" s="90" t="s">
        <v>2977</v>
      </c>
      <c r="EN70" s="90" t="s">
        <v>5151</v>
      </c>
      <c r="EO70" t="s">
        <v>5074</v>
      </c>
      <c r="EP70" s="83" t="s">
        <v>5064</v>
      </c>
      <c r="EQ70" s="566" t="str">
        <f>IF(Pays="Nippon","Kagutsochi",IF(Pays="Inja","Agnisattva",IF(SelectRace="Elfe","Vaul","")))</f>
        <v/>
      </c>
      <c r="ER70" s="83" t="str">
        <f t="shared" si="63"/>
        <v/>
      </c>
      <c r="ES70" s="83" t="str">
        <f t="shared" si="79"/>
        <v/>
      </c>
      <c r="ET70" s="530" t="str">
        <f t="shared" si="80"/>
        <v/>
      </c>
      <c r="EU70" s="177" t="str">
        <f>IF(Dieu="Mermedus","Adepte/Croyant","")</f>
        <v/>
      </c>
      <c r="EV70" s="83" t="str">
        <f t="shared" si="69"/>
        <v/>
      </c>
      <c r="EW70" s="83" t="str">
        <f t="shared" si="73"/>
        <v/>
      </c>
      <c r="EX70" s="530" t="str">
        <f t="shared" si="74"/>
        <v/>
      </c>
      <c r="EZ70" s="530" t="s">
        <v>9137</v>
      </c>
      <c r="FB70" s="83" t="s">
        <v>13202</v>
      </c>
      <c r="FC70" s="133" t="s">
        <v>13214</v>
      </c>
      <c r="FD70" s="85" t="s">
        <v>12985</v>
      </c>
      <c r="FE70" s="849">
        <v>14</v>
      </c>
      <c r="FF70">
        <v>25</v>
      </c>
      <c r="FG70">
        <v>0</v>
      </c>
      <c r="FH70">
        <v>31</v>
      </c>
      <c r="FI70">
        <v>35</v>
      </c>
      <c r="FJ70" s="10">
        <v>35</v>
      </c>
      <c r="FK70">
        <v>10</v>
      </c>
      <c r="FL70">
        <v>10</v>
      </c>
      <c r="FM70" s="165">
        <v>0</v>
      </c>
      <c r="FN70" s="88">
        <v>1</v>
      </c>
      <c r="FO70" s="88">
        <v>12</v>
      </c>
      <c r="FP70" s="164">
        <f>ROUNDDOWN(FH70/10,0)</f>
        <v>3</v>
      </c>
      <c r="FQ70" s="164">
        <f>ROUNDDOWN(FI70/10,0)</f>
        <v>3</v>
      </c>
      <c r="FR70" s="10">
        <v>7</v>
      </c>
      <c r="FS70" s="167">
        <v>0</v>
      </c>
      <c r="FT70" s="167">
        <v>0</v>
      </c>
      <c r="FU70" s="165">
        <v>0</v>
      </c>
      <c r="FV70" s="83" t="s">
        <v>13221</v>
      </c>
      <c r="FW70" s="83" t="s">
        <v>7227</v>
      </c>
      <c r="FX70" s="567" t="s">
        <v>7659</v>
      </c>
      <c r="GA70" s="83" t="s">
        <v>7584</v>
      </c>
      <c r="GE70" s="356"/>
      <c r="GF70" t="s">
        <v>8193</v>
      </c>
      <c r="GG70" s="356" t="s">
        <v>8881</v>
      </c>
      <c r="GH70" s="83" t="s">
        <v>8875</v>
      </c>
      <c r="GI70" s="83" t="s">
        <v>8870</v>
      </c>
      <c r="GJ70" s="83"/>
      <c r="GK70" s="530"/>
    </row>
    <row r="71" spans="8:193" ht="13.2" customHeight="1">
      <c r="H71" s="83" t="s">
        <v>15635</v>
      </c>
      <c r="I71" s="84" t="s">
        <v>15636</v>
      </c>
      <c r="J71" s="3"/>
      <c r="K71" s="3"/>
      <c r="L71" s="3"/>
      <c r="M71" s="651"/>
      <c r="N71" s="3"/>
      <c r="O71" s="3"/>
      <c r="P71" s="3"/>
      <c r="Q71" s="3"/>
      <c r="R71" s="651"/>
      <c r="S71" s="83" t="str">
        <f>IF(CareerType=Y118,"Chantelame",IF(AllCareers="X","Chantelame",IF(Selectsousrace="","",IF(OR(FirstCareer="1ère carrière",Selectsousrace&lt;&gt;"Elfe Sylvain"),"","Chantelame"))))</f>
        <v/>
      </c>
      <c r="T71" s="106">
        <v>2</v>
      </c>
      <c r="U71" s="693" t="str">
        <f t="shared" si="75"/>
        <v/>
      </c>
      <c r="V71" s="693" t="str">
        <f t="shared" si="76"/>
        <v/>
      </c>
      <c r="W71" s="693" t="str">
        <f t="shared" si="77"/>
        <v/>
      </c>
      <c r="X71" s="47" t="s">
        <v>2153</v>
      </c>
      <c r="Y71" s="743" t="s">
        <v>7130</v>
      </c>
      <c r="Z71" s="56" t="s">
        <v>11171</v>
      </c>
      <c r="AA71" s="89">
        <v>30</v>
      </c>
      <c r="AB71" s="89" t="s">
        <v>11175</v>
      </c>
      <c r="AD71" s="105" t="s">
        <v>116</v>
      </c>
      <c r="AE71" s="105" t="s">
        <v>99</v>
      </c>
      <c r="AF71" s="105" t="s">
        <v>100</v>
      </c>
      <c r="AG71" s="105" t="s">
        <v>100</v>
      </c>
      <c r="AH71" s="105" t="s">
        <v>99</v>
      </c>
      <c r="AI71" s="105" t="s">
        <v>149</v>
      </c>
      <c r="AJ71" s="105" t="s">
        <v>99</v>
      </c>
      <c r="AK71" s="443" t="s">
        <v>149</v>
      </c>
      <c r="AL71" s="105" t="s">
        <v>113</v>
      </c>
      <c r="AM71" s="105" t="s">
        <v>112</v>
      </c>
      <c r="AN71" s="105" t="s">
        <v>149</v>
      </c>
      <c r="AO71" s="105" t="s">
        <v>113</v>
      </c>
      <c r="AP71" s="87" t="s">
        <v>11176</v>
      </c>
      <c r="AQ71" s="87" t="s">
        <v>734</v>
      </c>
      <c r="AR71" s="87" t="s">
        <v>11177</v>
      </c>
      <c r="AS71" s="87" t="s">
        <v>734</v>
      </c>
      <c r="AT71" s="87" t="s">
        <v>16769</v>
      </c>
      <c r="AU71" s="87" t="s">
        <v>11180</v>
      </c>
      <c r="AV71" s="87" t="s">
        <v>11174</v>
      </c>
      <c r="AW71" s="458">
        <v>0</v>
      </c>
      <c r="AX71" s="630" t="str">
        <f t="shared" si="81"/>
        <v/>
      </c>
      <c r="AY71" s="630" t="str">
        <f t="shared" si="82"/>
        <v/>
      </c>
      <c r="AZ71" s="630" t="str">
        <f t="shared" si="83"/>
        <v/>
      </c>
      <c r="BA71" s="3"/>
      <c r="BB71" s="3"/>
      <c r="BC71" s="3"/>
      <c r="BD71" s="3"/>
      <c r="BE71" s="3"/>
      <c r="BF71" s="3"/>
      <c r="BG71" s="3"/>
      <c r="BH71" s="3"/>
      <c r="BI71" s="3"/>
      <c r="BJ71" s="3"/>
      <c r="BK71" s="3"/>
      <c r="BL71" s="3"/>
      <c r="BM71" s="3">
        <v>79</v>
      </c>
      <c r="BN71" s="3"/>
      <c r="BP71" s="3"/>
      <c r="BQ71" s="83" t="s">
        <v>11876</v>
      </c>
      <c r="BR71" s="3"/>
      <c r="BS71" s="3"/>
      <c r="BT71" s="3"/>
      <c r="BU71" s="3"/>
      <c r="BV71" s="3"/>
      <c r="BW71" s="3"/>
      <c r="BX71" s="3" t="str">
        <f>IF(Province="Grand comté du Wissenland","Village agricole de Grand comté du Wissenland","")</f>
        <v/>
      </c>
      <c r="BY71" t="str">
        <f t="shared" si="78"/>
        <v/>
      </c>
      <c r="BZ71" s="83" t="str">
        <f t="shared" si="70"/>
        <v/>
      </c>
      <c r="CA71" s="83" t="str">
        <f t="shared" si="71"/>
        <v/>
      </c>
      <c r="CB71" s="530" t="str">
        <f t="shared" si="72"/>
        <v/>
      </c>
      <c r="CC71" s="3" t="s">
        <v>3260</v>
      </c>
      <c r="CD71" s="3" t="s">
        <v>1061</v>
      </c>
      <c r="CG71" s="3" t="s">
        <v>6174</v>
      </c>
      <c r="CH71" s="3" t="s">
        <v>5963</v>
      </c>
      <c r="CI71" s="3"/>
      <c r="CJ71" s="3"/>
      <c r="CK71" s="3" t="s">
        <v>6738</v>
      </c>
      <c r="CL71" s="3" t="s">
        <v>6436</v>
      </c>
      <c r="CM71" t="s">
        <v>10293</v>
      </c>
      <c r="CN71" s="3" t="s">
        <v>6573</v>
      </c>
      <c r="CO71" s="3" t="s">
        <v>10934</v>
      </c>
      <c r="CP71" s="3"/>
      <c r="CQ71" s="3"/>
      <c r="CR71" s="3" t="s">
        <v>13442</v>
      </c>
      <c r="CS71" s="3"/>
      <c r="CT71" s="3"/>
      <c r="CU71" s="3"/>
      <c r="CV71" s="3"/>
      <c r="CW71" s="3"/>
      <c r="CX71" s="3"/>
      <c r="CY71" s="39" t="s">
        <v>250</v>
      </c>
      <c r="CZ71" s="3"/>
      <c r="DA71" s="83" t="s">
        <v>12700</v>
      </c>
      <c r="DB71" s="83" t="s">
        <v>12699</v>
      </c>
      <c r="DC71" s="3"/>
      <c r="DD71" s="83" t="s">
        <v>15803</v>
      </c>
      <c r="DE71" s="3" t="s">
        <v>133</v>
      </c>
      <c r="DF71" s="3">
        <f>ROW()</f>
        <v>71</v>
      </c>
      <c r="DG71" s="3" t="s">
        <v>780</v>
      </c>
      <c r="DH71" s="3">
        <f t="shared" si="59"/>
        <v>400</v>
      </c>
      <c r="DI71" s="3">
        <f t="shared" si="60"/>
        <v>300</v>
      </c>
      <c r="DJ71" s="3">
        <f t="shared" si="61"/>
        <v>210</v>
      </c>
      <c r="DK71" s="3">
        <f t="shared" si="62"/>
        <v>120</v>
      </c>
      <c r="DL71" s="3"/>
      <c r="DM71" s="3"/>
      <c r="DN71" s="3"/>
      <c r="DO71" s="3"/>
      <c r="DP71" s="3"/>
      <c r="DQ71" s="3"/>
      <c r="DR71" s="3"/>
      <c r="DS71" s="3"/>
      <c r="DT71" s="3"/>
      <c r="DU71" s="3"/>
      <c r="DV71" s="3"/>
      <c r="DW71" s="3"/>
      <c r="DX71" s="3"/>
      <c r="DY71" s="3"/>
      <c r="DZ71" s="83" t="s">
        <v>12918</v>
      </c>
      <c r="EA71" s="83" t="s">
        <v>12916</v>
      </c>
      <c r="EB71" s="3"/>
      <c r="ED71" s="83" t="s">
        <v>14543</v>
      </c>
      <c r="EE71" s="83" t="s">
        <v>2574</v>
      </c>
      <c r="EF71" s="530" t="s">
        <v>16770</v>
      </c>
      <c r="EH71" s="106"/>
      <c r="EI71" s="106"/>
      <c r="EJ71" s="106"/>
      <c r="EK71" s="874"/>
      <c r="EM71" s="90" t="s">
        <v>5031</v>
      </c>
      <c r="EN71" s="90" t="s">
        <v>5151</v>
      </c>
      <c r="EO71" s="90" t="s">
        <v>5040</v>
      </c>
      <c r="EP71" s="83" t="s">
        <v>5048</v>
      </c>
      <c r="EQ71" s="481" t="str">
        <f>IF(Pays="Nippon","Fukurokojo",IF(OR(Pays="Lustrie",Pays="Terres du Sud"),"Topek",IF(Pays="Inja","Vahana",IF(OR(Pays="Terres des morts",Pays="Arabie"),"Tahoth",IF(Selectsousrace="Gnome","Randandill","Véréna")))))</f>
        <v>Véréna</v>
      </c>
      <c r="ER71" s="83" t="str">
        <f t="shared" si="63"/>
        <v/>
      </c>
      <c r="ES71" s="83" t="str">
        <f t="shared" si="79"/>
        <v/>
      </c>
      <c r="ET71" s="530" t="str">
        <f t="shared" si="80"/>
        <v/>
      </c>
      <c r="EU71" s="177" t="str">
        <f>IF(Dieu="Morgrim","Adepte/Croyant","")</f>
        <v/>
      </c>
      <c r="EV71" s="83" t="str">
        <f t="shared" si="69"/>
        <v/>
      </c>
      <c r="EW71" s="83" t="str">
        <f t="shared" si="73"/>
        <v/>
      </c>
      <c r="EX71" s="530" t="str">
        <f t="shared" si="74"/>
        <v/>
      </c>
      <c r="EZ71" s="531" t="s">
        <v>9334</v>
      </c>
      <c r="FB71" s="83" t="s">
        <v>13293</v>
      </c>
      <c r="FC71" s="133" t="s">
        <v>13214</v>
      </c>
      <c r="FD71" s="85" t="s">
        <v>2196</v>
      </c>
      <c r="FE71" s="849">
        <v>250</v>
      </c>
      <c r="FF71">
        <v>28</v>
      </c>
      <c r="FG71">
        <v>26</v>
      </c>
      <c r="FH71">
        <v>25</v>
      </c>
      <c r="FI71">
        <v>36</v>
      </c>
      <c r="FJ71" s="10">
        <v>55</v>
      </c>
      <c r="FK71">
        <v>31</v>
      </c>
      <c r="FL71">
        <v>31</v>
      </c>
      <c r="FM71" s="165">
        <v>45</v>
      </c>
      <c r="FN71" s="88">
        <v>1</v>
      </c>
      <c r="FO71" s="88">
        <v>5</v>
      </c>
      <c r="FP71" s="691">
        <f>ROUNDDOWN(FH71/10,0)</f>
        <v>2</v>
      </c>
      <c r="FQ71" s="691">
        <f>ROUNDDOWN(FI71/10,0)</f>
        <v>3</v>
      </c>
      <c r="FR71" s="683" t="s">
        <v>13294</v>
      </c>
      <c r="FS71" s="167">
        <v>1</v>
      </c>
      <c r="FT71" s="167">
        <v>0</v>
      </c>
      <c r="FU71" s="165">
        <v>0</v>
      </c>
      <c r="FV71" s="83" t="s">
        <v>13295</v>
      </c>
      <c r="FW71" s="83" t="s">
        <v>16771</v>
      </c>
      <c r="FX71" s="567" t="s">
        <v>7659</v>
      </c>
      <c r="GA71" t="s">
        <v>7284</v>
      </c>
      <c r="GE71" s="356"/>
      <c r="GF71" t="s">
        <v>7687</v>
      </c>
      <c r="GG71" s="356" t="s">
        <v>8880</v>
      </c>
      <c r="GH71" s="83" t="s">
        <v>8875</v>
      </c>
      <c r="GI71" s="83" t="s">
        <v>8870</v>
      </c>
      <c r="GJ71" s="83"/>
      <c r="GK71" s="530"/>
    </row>
    <row r="72" spans="8:193" ht="13.2" customHeight="1">
      <c r="H72" s="3" t="s">
        <v>431</v>
      </c>
      <c r="I72" s="6" t="s">
        <v>502</v>
      </c>
      <c r="J72" s="3"/>
      <c r="K72" s="3"/>
      <c r="L72" s="3"/>
      <c r="M72" s="651"/>
      <c r="N72" s="3"/>
      <c r="O72" s="3"/>
      <c r="P72" s="3"/>
      <c r="Q72" s="3"/>
      <c r="R72" s="651"/>
      <c r="S72" s="83" t="str">
        <f>IF(CareerType=Y72,"Chantre",IF(AllCareers="X","Chantre",IF(Selectsousrace="","",IF(OR(SelectRace="homme-bête",SelectRace="peau-verte",SelectRace="créature du chaos",SelectRace="Homme-lézard",SelectRace="skaven"),"",IF(FirstCareer="1ère carrière","","Chantre")))))</f>
        <v/>
      </c>
      <c r="T72" s="106">
        <f t="shared" ref="T72:T78" si="84">IF(X72="oui",0,1)</f>
        <v>1</v>
      </c>
      <c r="U72" s="693" t="str">
        <f t="shared" si="75"/>
        <v/>
      </c>
      <c r="V72" s="693" t="str">
        <f t="shared" si="76"/>
        <v/>
      </c>
      <c r="W72" s="693" t="str">
        <f t="shared" si="77"/>
        <v/>
      </c>
      <c r="X72" s="47" t="s">
        <v>2153</v>
      </c>
      <c r="Y72" s="743" t="s">
        <v>7132</v>
      </c>
      <c r="Z72" s="55" t="s">
        <v>538</v>
      </c>
      <c r="AA72" s="47">
        <v>196</v>
      </c>
      <c r="AB72" s="47" t="s">
        <v>2244</v>
      </c>
      <c r="AC72" s="47">
        <v>39</v>
      </c>
      <c r="AD72" s="15" t="s">
        <v>98</v>
      </c>
      <c r="AE72" s="15" t="s">
        <v>98</v>
      </c>
      <c r="AF72" s="15" t="s">
        <v>149</v>
      </c>
      <c r="AG72" s="15" t="s">
        <v>149</v>
      </c>
      <c r="AH72" s="15" t="s">
        <v>101</v>
      </c>
      <c r="AI72" s="15" t="s">
        <v>98</v>
      </c>
      <c r="AJ72" s="15" t="s">
        <v>101</v>
      </c>
      <c r="AK72" s="18" t="s">
        <v>100</v>
      </c>
      <c r="AL72" s="15" t="s">
        <v>149</v>
      </c>
      <c r="AM72" s="15" t="s">
        <v>103</v>
      </c>
      <c r="AN72" s="15" t="s">
        <v>149</v>
      </c>
      <c r="AO72" s="15" t="s">
        <v>149</v>
      </c>
      <c r="AP72" s="22" t="s">
        <v>612</v>
      </c>
      <c r="AQ72" s="87" t="s">
        <v>734</v>
      </c>
      <c r="AR72" s="22" t="s">
        <v>2245</v>
      </c>
      <c r="AS72" s="87" t="s">
        <v>734</v>
      </c>
      <c r="AT72" s="87" t="s">
        <v>15664</v>
      </c>
      <c r="AU72" s="87" t="s">
        <v>16772</v>
      </c>
      <c r="AV72" s="87" t="s">
        <v>4735</v>
      </c>
      <c r="AW72" s="457">
        <v>0</v>
      </c>
      <c r="AX72" s="630" t="str">
        <f t="shared" si="81"/>
        <v/>
      </c>
      <c r="AY72" s="630" t="str">
        <f t="shared" si="82"/>
        <v/>
      </c>
      <c r="AZ72" s="630" t="str">
        <f t="shared" si="83"/>
        <v/>
      </c>
      <c r="BA72" s="3"/>
      <c r="BB72" s="3"/>
      <c r="BC72" s="3"/>
      <c r="BD72" s="3"/>
      <c r="BE72" s="3"/>
      <c r="BF72" s="3"/>
      <c r="BG72" s="3"/>
      <c r="BH72" s="3"/>
      <c r="BI72" s="3"/>
      <c r="BJ72" s="3"/>
      <c r="BK72" s="3"/>
      <c r="BL72" s="3"/>
      <c r="BM72" s="3">
        <v>80</v>
      </c>
      <c r="BN72" s="3"/>
      <c r="BP72" s="3"/>
      <c r="BQ72" s="3" t="s">
        <v>11877</v>
      </c>
      <c r="BR72" s="83"/>
      <c r="BS72" s="83"/>
      <c r="BT72" s="3"/>
      <c r="BU72" s="3"/>
      <c r="BV72" s="3"/>
      <c r="BW72" s="3"/>
      <c r="BX72" s="3" t="str">
        <f>IF(Province="Ligue de l'Ostermark","Village agricole d'Ligue de l'Ostermark","")</f>
        <v/>
      </c>
      <c r="BY72" t="str">
        <f t="shared" si="78"/>
        <v/>
      </c>
      <c r="BZ72" s="83" t="str">
        <f t="shared" si="70"/>
        <v/>
      </c>
      <c r="CA72" s="83" t="str">
        <f t="shared" si="71"/>
        <v/>
      </c>
      <c r="CB72" s="530" t="str">
        <f t="shared" si="72"/>
        <v/>
      </c>
      <c r="CC72" s="3" t="s">
        <v>3261</v>
      </c>
      <c r="CD72" s="3" t="s">
        <v>3174</v>
      </c>
      <c r="CG72" s="3" t="s">
        <v>6175</v>
      </c>
      <c r="CH72" s="3" t="s">
        <v>5964</v>
      </c>
      <c r="CI72" s="3"/>
      <c r="CJ72" s="3"/>
      <c r="CK72" s="3" t="s">
        <v>6784</v>
      </c>
      <c r="CL72" s="83" t="s">
        <v>10751</v>
      </c>
      <c r="CM72" s="3" t="s">
        <v>6627</v>
      </c>
      <c r="CN72" s="3" t="s">
        <v>6556</v>
      </c>
      <c r="CO72" s="3" t="s">
        <v>10930</v>
      </c>
      <c r="CP72" s="3"/>
      <c r="CQ72" s="3"/>
      <c r="CR72" s="3" t="s">
        <v>13443</v>
      </c>
      <c r="CS72" s="3"/>
      <c r="CT72" s="3"/>
      <c r="CU72" s="3"/>
      <c r="CV72" s="3"/>
      <c r="CW72" s="3"/>
      <c r="CX72" s="3"/>
      <c r="CY72" s="39" t="s">
        <v>251</v>
      </c>
      <c r="CZ72" s="3"/>
      <c r="DA72" s="3" t="s">
        <v>12634</v>
      </c>
      <c r="DB72" s="83" t="s">
        <v>12746</v>
      </c>
      <c r="DC72" s="3"/>
      <c r="DD72" s="83" t="s">
        <v>2699</v>
      </c>
      <c r="DE72" s="3" t="s">
        <v>133</v>
      </c>
      <c r="DF72" s="3">
        <f>ROW()</f>
        <v>72</v>
      </c>
      <c r="DG72" s="3" t="s">
        <v>2680</v>
      </c>
      <c r="DH72" s="3">
        <f t="shared" si="59"/>
        <v>750</v>
      </c>
      <c r="DI72" s="3">
        <f t="shared" si="60"/>
        <v>565</v>
      </c>
      <c r="DJ72" s="3">
        <f t="shared" si="61"/>
        <v>380</v>
      </c>
      <c r="DK72" s="3">
        <f t="shared" si="62"/>
        <v>195</v>
      </c>
      <c r="DL72" s="3"/>
      <c r="DM72" s="3"/>
      <c r="DN72" s="3"/>
      <c r="DO72" s="3"/>
      <c r="DP72" s="3"/>
      <c r="DQ72" s="3"/>
      <c r="DR72" s="3"/>
      <c r="DS72" s="3"/>
      <c r="DT72" s="3"/>
      <c r="DU72" s="3"/>
      <c r="DV72" s="3"/>
      <c r="DW72" s="3"/>
      <c r="DX72" s="3"/>
      <c r="DY72" s="3"/>
      <c r="DZ72" s="83" t="s">
        <v>12919</v>
      </c>
      <c r="EA72" s="83" t="s">
        <v>12920</v>
      </c>
      <c r="EB72" s="3"/>
      <c r="ED72" s="83" t="s">
        <v>11521</v>
      </c>
      <c r="EE72" s="83" t="s">
        <v>2574</v>
      </c>
      <c r="EF72" s="530" t="s">
        <v>16773</v>
      </c>
      <c r="EG72" s="106"/>
      <c r="EK72" s="874"/>
      <c r="EM72" s="90" t="s">
        <v>5078</v>
      </c>
      <c r="EN72" s="90" t="s">
        <v>5151</v>
      </c>
      <c r="EO72" t="s">
        <v>5082</v>
      </c>
      <c r="EP72" s="83" t="s">
        <v>5083</v>
      </c>
      <c r="EQ72" s="77" t="str">
        <f>IF(OR(Pays="Lustrie",Pays="Terres du Sud"),"Xholankha","")</f>
        <v/>
      </c>
      <c r="ER72" s="83">
        <f t="shared" si="63"/>
        <v>72</v>
      </c>
      <c r="ES72" s="83" t="str">
        <f t="shared" si="79"/>
        <v/>
      </c>
      <c r="ET72" s="530" t="str">
        <f t="shared" si="80"/>
        <v/>
      </c>
      <c r="EU72" s="177" t="str">
        <f>IF(Dieu="Morgrim","Initié","")</f>
        <v/>
      </c>
      <c r="EV72" s="83" t="str">
        <f t="shared" si="69"/>
        <v/>
      </c>
      <c r="EW72" s="83" t="str">
        <f t="shared" si="73"/>
        <v/>
      </c>
      <c r="EX72" s="530" t="str">
        <f t="shared" si="74"/>
        <v/>
      </c>
      <c r="EZ72" s="530" t="s">
        <v>9502</v>
      </c>
      <c r="FB72" s="83" t="s">
        <v>16609</v>
      </c>
      <c r="FC72" s="133" t="s">
        <v>13214</v>
      </c>
      <c r="FD72" s="641" t="s">
        <v>4551</v>
      </c>
      <c r="FF72">
        <v>20</v>
      </c>
      <c r="FG72">
        <v>0</v>
      </c>
      <c r="FH72">
        <v>25</v>
      </c>
      <c r="FI72">
        <v>26</v>
      </c>
      <c r="FJ72" s="10">
        <v>30</v>
      </c>
      <c r="FK72">
        <v>22</v>
      </c>
      <c r="FL72">
        <v>26</v>
      </c>
      <c r="FM72" s="165">
        <v>30</v>
      </c>
      <c r="FN72" s="88">
        <v>1</v>
      </c>
      <c r="FP72" s="691">
        <f>ROUNDDOWN(FH72/10,0)</f>
        <v>2</v>
      </c>
      <c r="FQ72" s="691">
        <f>ROUNDDOWN(FI72/10,0)</f>
        <v>2</v>
      </c>
      <c r="FR72" s="10">
        <v>0</v>
      </c>
      <c r="FS72" s="167">
        <v>0</v>
      </c>
      <c r="FT72" s="167">
        <v>0</v>
      </c>
      <c r="FU72" s="166">
        <v>0</v>
      </c>
      <c r="FV72" s="177" t="s">
        <v>16774</v>
      </c>
      <c r="FW72" s="177" t="s">
        <v>16610</v>
      </c>
      <c r="FX72" s="567" t="s">
        <v>7667</v>
      </c>
      <c r="GA72" s="83" t="s">
        <v>16775</v>
      </c>
      <c r="GE72" s="356"/>
      <c r="GF72" t="s">
        <v>7688</v>
      </c>
      <c r="GG72" s="356" t="s">
        <v>8886</v>
      </c>
      <c r="GH72" s="83" t="s">
        <v>8875</v>
      </c>
      <c r="GI72" s="83" t="s">
        <v>8870</v>
      </c>
      <c r="GJ72" s="83"/>
      <c r="GK72" s="530"/>
    </row>
    <row r="73" spans="8:193" ht="13.2" customHeight="1">
      <c r="H73" s="3" t="s">
        <v>432</v>
      </c>
      <c r="I73" s="3" t="s">
        <v>503</v>
      </c>
      <c r="J73" s="3"/>
      <c r="K73" s="3"/>
      <c r="L73" s="3"/>
      <c r="M73" s="651"/>
      <c r="N73" s="3"/>
      <c r="O73" s="3"/>
      <c r="P73" s="3"/>
      <c r="Q73" s="3"/>
      <c r="R73" s="651"/>
      <c r="S73" s="83" t="str">
        <f>IF(CareerType=Y73,"Charbonnier",IF(AllCareers="X","Charbonnier",IF(OR(SelectRace="homme-bête",SelectRace="peau-verte",SelectRace="créature du chaos",SelectRace="Homme-lézard",SelectRace="skaven"),"",IF(OR(Pays="Désolations du Chaos",Pays="Norsca"),"",IF(SelectRace="Halfling","Charbonnier",IF(SelectRace="Humain","Charbonnier",""))))))</f>
        <v/>
      </c>
      <c r="T73" s="106">
        <f t="shared" si="84"/>
        <v>0</v>
      </c>
      <c r="U73" s="693" t="str">
        <f t="shared" si="75"/>
        <v/>
      </c>
      <c r="V73" s="693" t="str">
        <f t="shared" si="76"/>
        <v/>
      </c>
      <c r="W73" s="693" t="str">
        <f t="shared" si="77"/>
        <v/>
      </c>
      <c r="X73" s="47" t="s">
        <v>2160</v>
      </c>
      <c r="Y73" s="743" t="s">
        <v>7132</v>
      </c>
      <c r="Z73" s="55" t="s">
        <v>2200</v>
      </c>
      <c r="AA73" s="47">
        <v>35</v>
      </c>
      <c r="AB73" s="47" t="s">
        <v>2246</v>
      </c>
      <c r="AC73" s="47">
        <v>47</v>
      </c>
      <c r="AD73" s="20" t="s">
        <v>114</v>
      </c>
      <c r="AE73" s="15" t="s">
        <v>149</v>
      </c>
      <c r="AF73" s="20" t="s">
        <v>114</v>
      </c>
      <c r="AG73" s="20" t="s">
        <v>114</v>
      </c>
      <c r="AH73" s="20" t="s">
        <v>114</v>
      </c>
      <c r="AI73" s="20" t="s">
        <v>114</v>
      </c>
      <c r="AJ73" s="20" t="s">
        <v>114</v>
      </c>
      <c r="AK73" s="21" t="s">
        <v>114</v>
      </c>
      <c r="AL73" s="15" t="s">
        <v>149</v>
      </c>
      <c r="AM73" s="15" t="s">
        <v>113</v>
      </c>
      <c r="AN73" s="15" t="s">
        <v>149</v>
      </c>
      <c r="AO73" s="15" t="s">
        <v>149</v>
      </c>
      <c r="AP73" s="22" t="s">
        <v>15725</v>
      </c>
      <c r="AQ73" s="87" t="s">
        <v>734</v>
      </c>
      <c r="AR73" s="87" t="s">
        <v>15652</v>
      </c>
      <c r="AS73" s="87" t="s">
        <v>734</v>
      </c>
      <c r="AT73" s="22" t="s">
        <v>3426</v>
      </c>
      <c r="AU73" s="87" t="s">
        <v>16776</v>
      </c>
      <c r="AV73" s="87" t="s">
        <v>4564</v>
      </c>
      <c r="AW73" s="457">
        <v>0</v>
      </c>
      <c r="AX73" s="630" t="str">
        <f t="shared" si="81"/>
        <v/>
      </c>
      <c r="AY73" s="630" t="str">
        <f t="shared" si="82"/>
        <v/>
      </c>
      <c r="AZ73" s="630" t="str">
        <f t="shared" si="83"/>
        <v/>
      </c>
      <c r="BA73" s="3"/>
      <c r="BB73" s="3"/>
      <c r="BC73" s="3"/>
      <c r="BD73" s="3"/>
      <c r="BE73" s="3"/>
      <c r="BF73" s="3"/>
      <c r="BG73" s="3"/>
      <c r="BH73" s="3"/>
      <c r="BI73" s="3"/>
      <c r="BJ73" s="3"/>
      <c r="BK73" s="3"/>
      <c r="BL73" s="3"/>
      <c r="BM73" s="3">
        <v>81</v>
      </c>
      <c r="BN73" s="3"/>
      <c r="BP73" s="3"/>
      <c r="BQ73" s="3" t="s">
        <v>11878</v>
      </c>
      <c r="BR73" s="3"/>
      <c r="BS73" s="3"/>
      <c r="BT73" s="3"/>
      <c r="BU73" s="3"/>
      <c r="BV73" s="3"/>
      <c r="BW73" s="3"/>
      <c r="BX73" s="3" t="str">
        <f>IF(Province="Grande principauté d'Ostland","Village agricole d'Grande principauté d'Ostland","")</f>
        <v/>
      </c>
      <c r="BY73" t="str">
        <f t="shared" si="78"/>
        <v/>
      </c>
      <c r="BZ73" s="83" t="str">
        <f t="shared" si="70"/>
        <v/>
      </c>
      <c r="CA73" s="83" t="str">
        <f t="shared" si="71"/>
        <v/>
      </c>
      <c r="CB73" s="530" t="str">
        <f t="shared" si="72"/>
        <v/>
      </c>
      <c r="CC73" s="3" t="s">
        <v>3262</v>
      </c>
      <c r="CD73" t="s">
        <v>10671</v>
      </c>
      <c r="CG73" s="83" t="s">
        <v>15247</v>
      </c>
      <c r="CH73" s="3" t="s">
        <v>5965</v>
      </c>
      <c r="CI73" s="3"/>
      <c r="CJ73" s="3"/>
      <c r="CK73" s="3" t="s">
        <v>6936</v>
      </c>
      <c r="CL73" s="3" t="s">
        <v>6456</v>
      </c>
      <c r="CM73" t="s">
        <v>10294</v>
      </c>
      <c r="CN73" s="3" t="s">
        <v>6540</v>
      </c>
      <c r="CO73" s="3" t="s">
        <v>10928</v>
      </c>
      <c r="CP73" s="3"/>
      <c r="CQ73" s="3"/>
      <c r="CR73" s="3" t="s">
        <v>13444</v>
      </c>
      <c r="CS73" s="3"/>
      <c r="CT73" s="3"/>
      <c r="CU73" s="3"/>
      <c r="CV73" s="3"/>
      <c r="CW73" s="3"/>
      <c r="CX73" s="3"/>
      <c r="CY73" s="3" t="s">
        <v>826</v>
      </c>
      <c r="CZ73" s="3"/>
      <c r="DA73" s="3" t="s">
        <v>12635</v>
      </c>
      <c r="DB73" s="83" t="s">
        <v>12747</v>
      </c>
      <c r="DC73" s="3"/>
      <c r="DD73" s="83" t="s">
        <v>11214</v>
      </c>
      <c r="DE73" s="3" t="s">
        <v>133</v>
      </c>
      <c r="DF73" s="3">
        <f>ROW()</f>
        <v>73</v>
      </c>
      <c r="DG73" s="3" t="s">
        <v>2680</v>
      </c>
      <c r="DH73" s="3">
        <f t="shared" si="59"/>
        <v>750</v>
      </c>
      <c r="DI73" s="3">
        <f t="shared" si="60"/>
        <v>565</v>
      </c>
      <c r="DJ73" s="3">
        <f t="shared" si="61"/>
        <v>380</v>
      </c>
      <c r="DK73" s="3">
        <f t="shared" si="62"/>
        <v>195</v>
      </c>
      <c r="DL73" s="3"/>
      <c r="DM73" s="3"/>
      <c r="DN73" s="3"/>
      <c r="DO73" s="3"/>
      <c r="DP73" s="3"/>
      <c r="DQ73" s="3"/>
      <c r="DR73" s="3"/>
      <c r="DS73" s="3"/>
      <c r="DT73" s="3"/>
      <c r="DU73" s="3"/>
      <c r="DV73" s="3"/>
      <c r="DW73" s="3"/>
      <c r="DX73" s="3"/>
      <c r="DY73" s="3"/>
      <c r="DZ73" s="3" t="s">
        <v>2981</v>
      </c>
      <c r="EA73" s="83" t="s">
        <v>4534</v>
      </c>
      <c r="EB73" s="3"/>
      <c r="ED73" s="83" t="s">
        <v>14530</v>
      </c>
      <c r="EE73" s="83" t="s">
        <v>2574</v>
      </c>
      <c r="EF73" s="530" t="s">
        <v>14532</v>
      </c>
      <c r="EK73" s="874"/>
      <c r="EM73" s="90" t="s">
        <v>16777</v>
      </c>
      <c r="EN73" s="90" t="s">
        <v>5151</v>
      </c>
      <c r="EO73" s="90" t="s">
        <v>5052</v>
      </c>
      <c r="EP73" s="83" t="s">
        <v>5050</v>
      </c>
      <c r="EQ73" s="77" t="str">
        <f>IF(OR(Pays="Lustrie",Pays="Terres du Sud"),"Xokha","")</f>
        <v/>
      </c>
      <c r="ER73" s="83" t="str">
        <f t="shared" si="63"/>
        <v/>
      </c>
      <c r="ES73" s="83" t="str">
        <f t="shared" si="79"/>
        <v/>
      </c>
      <c r="ET73" s="530" t="str">
        <f t="shared" si="80"/>
        <v/>
      </c>
      <c r="EU73" s="177" t="str">
        <f>IF(Dieu="Morgrim","Prêtre","")</f>
        <v/>
      </c>
      <c r="EV73" s="83" t="str">
        <f t="shared" si="69"/>
        <v/>
      </c>
      <c r="EW73" s="83" t="str">
        <f t="shared" si="73"/>
        <v/>
      </c>
      <c r="EX73" s="530" t="str">
        <f t="shared" si="74"/>
        <v/>
      </c>
      <c r="EZ73" s="530" t="s">
        <v>9501</v>
      </c>
      <c r="FB73" s="83" t="s">
        <v>13020</v>
      </c>
      <c r="FC73" s="133" t="s">
        <v>13214</v>
      </c>
      <c r="FD73" t="s">
        <v>2211</v>
      </c>
      <c r="FE73" s="849">
        <v>189</v>
      </c>
      <c r="FF73">
        <v>24</v>
      </c>
      <c r="FG73">
        <v>0</v>
      </c>
      <c r="FH73">
        <v>10</v>
      </c>
      <c r="FI73">
        <v>10</v>
      </c>
      <c r="FJ73" s="10">
        <v>18</v>
      </c>
      <c r="FK73">
        <v>10</v>
      </c>
      <c r="FL73">
        <v>10</v>
      </c>
      <c r="FM73" s="165">
        <v>0</v>
      </c>
      <c r="FN73" s="88">
        <v>1</v>
      </c>
      <c r="FO73" s="88">
        <v>6</v>
      </c>
      <c r="FP73" s="164">
        <f>ROUNDDOWN(FH73/10,0)</f>
        <v>1</v>
      </c>
      <c r="FQ73" s="164">
        <f t="shared" ref="FQ73:FQ80" si="85">ROUNDDOWN(FI73/10,0)</f>
        <v>1</v>
      </c>
      <c r="FR73" s="682">
        <v>6</v>
      </c>
      <c r="FS73" s="88">
        <v>0</v>
      </c>
      <c r="FT73" s="88">
        <v>0</v>
      </c>
      <c r="FU73" s="165">
        <v>0</v>
      </c>
      <c r="FV73" s="83" t="s">
        <v>7241</v>
      </c>
      <c r="FW73" s="83" t="s">
        <v>14625</v>
      </c>
      <c r="FX73" s="530" t="s">
        <v>7657</v>
      </c>
      <c r="GA73" t="s">
        <v>7468</v>
      </c>
      <c r="GE73" s="356"/>
      <c r="GF73" t="s">
        <v>8215</v>
      </c>
      <c r="GG73" s="356" t="s">
        <v>8883</v>
      </c>
      <c r="GH73" s="83" t="s">
        <v>8875</v>
      </c>
      <c r="GI73" s="83" t="s">
        <v>8870</v>
      </c>
      <c r="GJ73" s="83"/>
      <c r="GK73" s="530"/>
    </row>
    <row r="74" spans="8:193" ht="13.2" customHeight="1">
      <c r="H74" s="83" t="s">
        <v>12949</v>
      </c>
      <c r="I74" s="83" t="s">
        <v>12959</v>
      </c>
      <c r="J74" s="3"/>
      <c r="K74" s="3"/>
      <c r="L74" s="3"/>
      <c r="M74" s="651"/>
      <c r="N74" s="3"/>
      <c r="O74" s="3"/>
      <c r="P74" s="3"/>
      <c r="Q74" s="3"/>
      <c r="R74" s="651"/>
      <c r="S74" s="83" t="str">
        <f>IF(CareerType=Y74,"Charlatan",IF(AllCareers="X","Charlatan",IF(Selectsousrace="","",IF(OR(SelectRace="homme-bête",SelectRace="peau-verte",SelectRace="créature du chaos",SelectRace="Homme-lézard",SelectRace="skaven"),"",IF(FirstCareer="1ère carrière","","Charlatan")))))</f>
        <v/>
      </c>
      <c r="T74" s="106">
        <f t="shared" si="84"/>
        <v>1</v>
      </c>
      <c r="U74" s="693" t="str">
        <f t="shared" si="75"/>
        <v/>
      </c>
      <c r="V74" s="693" t="str">
        <f t="shared" si="76"/>
        <v/>
      </c>
      <c r="W74" s="693" t="str">
        <f t="shared" si="77"/>
        <v/>
      </c>
      <c r="X74" s="47" t="s">
        <v>2153</v>
      </c>
      <c r="Y74" s="743" t="s">
        <v>7133</v>
      </c>
      <c r="Z74" s="55" t="s">
        <v>2200</v>
      </c>
      <c r="AA74" s="47">
        <v>66</v>
      </c>
      <c r="AB74" s="47" t="s">
        <v>449</v>
      </c>
      <c r="AC74" s="47">
        <v>48</v>
      </c>
      <c r="AD74" s="15" t="s">
        <v>98</v>
      </c>
      <c r="AE74" s="15" t="s">
        <v>98</v>
      </c>
      <c r="AF74" s="20" t="s">
        <v>114</v>
      </c>
      <c r="AG74" s="15" t="s">
        <v>98</v>
      </c>
      <c r="AH74" s="15" t="s">
        <v>101</v>
      </c>
      <c r="AI74" s="15" t="s">
        <v>101</v>
      </c>
      <c r="AJ74" s="15" t="s">
        <v>101</v>
      </c>
      <c r="AK74" s="18" t="s">
        <v>99</v>
      </c>
      <c r="AL74" s="15" t="s">
        <v>149</v>
      </c>
      <c r="AM74" s="15" t="s">
        <v>103</v>
      </c>
      <c r="AN74" s="15" t="s">
        <v>149</v>
      </c>
      <c r="AO74" s="15" t="s">
        <v>149</v>
      </c>
      <c r="AP74" s="87" t="s">
        <v>15726</v>
      </c>
      <c r="AQ74" s="87" t="s">
        <v>734</v>
      </c>
      <c r="AR74" s="22" t="s">
        <v>444</v>
      </c>
      <c r="AS74" s="87" t="s">
        <v>734</v>
      </c>
      <c r="AT74" s="87" t="s">
        <v>16778</v>
      </c>
      <c r="AU74" s="87" t="s">
        <v>16779</v>
      </c>
      <c r="AV74" s="87" t="s">
        <v>4598</v>
      </c>
      <c r="AW74" s="457">
        <v>0</v>
      </c>
      <c r="AX74" s="630" t="str">
        <f t="shared" si="81"/>
        <v/>
      </c>
      <c r="AY74" s="630" t="str">
        <f t="shared" si="82"/>
        <v/>
      </c>
      <c r="AZ74" s="630" t="str">
        <f t="shared" si="83"/>
        <v/>
      </c>
      <c r="BA74" s="3"/>
      <c r="BB74" s="3"/>
      <c r="BC74" s="3"/>
      <c r="BD74" s="3"/>
      <c r="BE74" s="3"/>
      <c r="BF74" s="3"/>
      <c r="BG74" s="3"/>
      <c r="BH74" s="3"/>
      <c r="BI74" s="3"/>
      <c r="BJ74" s="3"/>
      <c r="BK74" s="3"/>
      <c r="BL74" s="3"/>
      <c r="BM74" s="3">
        <v>82</v>
      </c>
      <c r="BN74" s="3"/>
      <c r="BP74" s="3"/>
      <c r="BQ74" s="3" t="s">
        <v>11879</v>
      </c>
      <c r="BR74" s="3"/>
      <c r="BS74" s="3"/>
      <c r="BT74" s="3"/>
      <c r="BU74" s="3"/>
      <c r="BV74" s="3"/>
      <c r="BW74" s="3"/>
      <c r="BX74" s="3" t="str">
        <f>IF(Province="Grande baronnie du Hochland","Village pauvre de la Grande baronnie du Hochland","")</f>
        <v/>
      </c>
      <c r="BY74" t="str">
        <f t="shared" si="78"/>
        <v/>
      </c>
      <c r="BZ74" s="83" t="str">
        <f t="shared" si="70"/>
        <v/>
      </c>
      <c r="CA74" s="83" t="str">
        <f t="shared" si="71"/>
        <v/>
      </c>
      <c r="CB74" s="530" t="str">
        <f t="shared" si="72"/>
        <v/>
      </c>
      <c r="CC74" s="3" t="s">
        <v>3263</v>
      </c>
      <c r="CD74" s="3" t="s">
        <v>3154</v>
      </c>
      <c r="CG74" s="3" t="s">
        <v>887</v>
      </c>
      <c r="CH74" s="3" t="s">
        <v>3119</v>
      </c>
      <c r="CI74" s="3"/>
      <c r="CJ74" s="3"/>
      <c r="CK74" s="3" t="s">
        <v>6825</v>
      </c>
      <c r="CL74" s="3" t="s">
        <v>6421</v>
      </c>
      <c r="CM74" t="s">
        <v>10295</v>
      </c>
      <c r="CN74" s="3" t="s">
        <v>6604</v>
      </c>
      <c r="CO74" s="3" t="s">
        <v>10935</v>
      </c>
      <c r="CR74" s="3" t="s">
        <v>13445</v>
      </c>
      <c r="CS74" s="83"/>
      <c r="CT74" s="83"/>
      <c r="CU74" s="3"/>
      <c r="CV74" s="3"/>
      <c r="CW74" s="3"/>
      <c r="CX74" s="3"/>
      <c r="CY74" s="3" t="s">
        <v>3837</v>
      </c>
      <c r="CZ74" s="3"/>
      <c r="DA74" s="3" t="s">
        <v>210</v>
      </c>
      <c r="DB74" s="83" t="s">
        <v>12701</v>
      </c>
      <c r="DC74" s="3"/>
      <c r="DD74" s="83" t="s">
        <v>11590</v>
      </c>
      <c r="DE74" s="83" t="s">
        <v>135</v>
      </c>
      <c r="DF74" s="3">
        <f>ROW()</f>
        <v>74</v>
      </c>
      <c r="DG74" s="3" t="s">
        <v>2680</v>
      </c>
      <c r="DH74" s="3">
        <f t="shared" si="59"/>
        <v>750</v>
      </c>
      <c r="DI74" s="3">
        <f t="shared" si="60"/>
        <v>565</v>
      </c>
      <c r="DJ74" s="3">
        <f t="shared" si="61"/>
        <v>380</v>
      </c>
      <c r="DK74" s="3">
        <f t="shared" si="62"/>
        <v>195</v>
      </c>
      <c r="DL74" s="3"/>
      <c r="DM74" s="3"/>
      <c r="DN74" s="3"/>
      <c r="DO74" s="3"/>
      <c r="DP74" s="3"/>
      <c r="DQ74" s="3"/>
      <c r="DR74" s="3"/>
      <c r="DS74" s="3"/>
      <c r="DT74" s="3"/>
      <c r="DU74" s="3"/>
      <c r="DV74" s="3"/>
      <c r="DW74" s="3"/>
      <c r="DX74" s="3"/>
      <c r="DY74" s="3"/>
      <c r="DZ74" s="83" t="s">
        <v>16780</v>
      </c>
      <c r="EA74" s="83" t="s">
        <v>4534</v>
      </c>
      <c r="EB74" s="3"/>
      <c r="ED74" s="83" t="s">
        <v>11514</v>
      </c>
      <c r="EE74" s="83" t="s">
        <v>2574</v>
      </c>
      <c r="EF74" s="530" t="s">
        <v>16781</v>
      </c>
      <c r="EK74" s="874"/>
      <c r="EM74" s="90" t="s">
        <v>5036</v>
      </c>
      <c r="EN74" s="90" t="s">
        <v>5151</v>
      </c>
      <c r="EO74" s="102" t="s">
        <v>5044</v>
      </c>
      <c r="EP74" s="83" t="s">
        <v>5049</v>
      </c>
      <c r="EQ74" s="77" t="str">
        <f>IF(OR(Pays="Lustrie",Pays="Terres du Sud"),"Xhotl","")</f>
        <v/>
      </c>
      <c r="ER74" s="83" t="str">
        <f t="shared" si="63"/>
        <v/>
      </c>
      <c r="ES74" s="83" t="str">
        <f t="shared" si="79"/>
        <v/>
      </c>
      <c r="ET74" s="530" t="str">
        <f t="shared" si="80"/>
        <v/>
      </c>
      <c r="EU74" s="571" t="str">
        <f>IF(Dieu="Mork et Gork","Apprenti Chamane","")</f>
        <v/>
      </c>
      <c r="EV74" s="83" t="str">
        <f t="shared" si="69"/>
        <v/>
      </c>
      <c r="EW74" s="83" t="str">
        <f t="shared" si="73"/>
        <v/>
      </c>
      <c r="EX74" s="530" t="str">
        <f t="shared" si="74"/>
        <v/>
      </c>
      <c r="EY74" s="83" t="s">
        <v>12976</v>
      </c>
      <c r="EZ74" s="530" t="s">
        <v>11754</v>
      </c>
      <c r="FB74" s="83" t="s">
        <v>13021</v>
      </c>
      <c r="FC74" s="133" t="s">
        <v>13214</v>
      </c>
      <c r="FD74" s="83" t="s">
        <v>11345</v>
      </c>
      <c r="FE74" s="849">
        <v>324</v>
      </c>
      <c r="FF74">
        <v>30</v>
      </c>
      <c r="FG74">
        <v>0</v>
      </c>
      <c r="FH74">
        <v>35</v>
      </c>
      <c r="FI74">
        <v>38</v>
      </c>
      <c r="FJ74" s="10">
        <v>40</v>
      </c>
      <c r="FK74">
        <v>15</v>
      </c>
      <c r="FL74">
        <v>15</v>
      </c>
      <c r="FM74" s="165">
        <v>0</v>
      </c>
      <c r="FN74" s="88">
        <v>3</v>
      </c>
      <c r="FO74" s="88">
        <v>16</v>
      </c>
      <c r="FP74" s="164">
        <f>ROUNDDOWN(FH74/10,0)</f>
        <v>3</v>
      </c>
      <c r="FQ74" s="164">
        <f t="shared" si="85"/>
        <v>3</v>
      </c>
      <c r="FR74" s="684">
        <v>5</v>
      </c>
      <c r="FS74" s="167">
        <v>0</v>
      </c>
      <c r="FT74" s="167">
        <v>0</v>
      </c>
      <c r="FU74" s="165">
        <v>0</v>
      </c>
      <c r="FV74" s="83" t="s">
        <v>9937</v>
      </c>
      <c r="FW74" s="83" t="s">
        <v>14707</v>
      </c>
      <c r="FX74" s="567" t="s">
        <v>7658</v>
      </c>
      <c r="GA74" t="s">
        <v>7562</v>
      </c>
      <c r="GE74" s="356"/>
      <c r="GF74" t="s">
        <v>7689</v>
      </c>
      <c r="GG74" s="356" t="s">
        <v>8879</v>
      </c>
      <c r="GH74" s="83" t="s">
        <v>8875</v>
      </c>
      <c r="GI74" s="83" t="s">
        <v>8870</v>
      </c>
      <c r="GJ74" s="83"/>
      <c r="GK74" s="530"/>
    </row>
    <row r="75" spans="8:193" ht="13.2" customHeight="1">
      <c r="H75" s="83" t="s">
        <v>11350</v>
      </c>
      <c r="I75" s="83" t="s">
        <v>11351</v>
      </c>
      <c r="J75" s="3"/>
      <c r="K75" s="3"/>
      <c r="L75" s="3"/>
      <c r="M75" s="651"/>
      <c r="N75" s="3"/>
      <c r="O75" s="3"/>
      <c r="P75" s="3"/>
      <c r="Q75" s="3"/>
      <c r="R75" s="651"/>
      <c r="S75" s="83" t="str">
        <f>IF(CareerType=Y75,"Chasseur",IF(AllCareers="X","Chasseur",IF(Selectsousrace="","","Chasseur")))</f>
        <v/>
      </c>
      <c r="T75" s="106">
        <f t="shared" si="84"/>
        <v>0</v>
      </c>
      <c r="U75" s="693" t="str">
        <f t="shared" si="75"/>
        <v/>
      </c>
      <c r="V75" s="693" t="str">
        <f t="shared" si="76"/>
        <v/>
      </c>
      <c r="W75" s="693" t="str">
        <f t="shared" si="77"/>
        <v/>
      </c>
      <c r="X75" s="47" t="s">
        <v>2160</v>
      </c>
      <c r="Y75" s="743" t="s">
        <v>7134</v>
      </c>
      <c r="Z75" s="55" t="s">
        <v>2200</v>
      </c>
      <c r="AA75" s="47">
        <v>35</v>
      </c>
      <c r="AB75" s="47" t="s">
        <v>2248</v>
      </c>
      <c r="AC75" s="47">
        <v>109</v>
      </c>
      <c r="AD75" s="15" t="s">
        <v>149</v>
      </c>
      <c r="AE75" s="15" t="s">
        <v>101</v>
      </c>
      <c r="AF75" s="15" t="s">
        <v>149</v>
      </c>
      <c r="AG75" s="15" t="s">
        <v>114</v>
      </c>
      <c r="AH75" s="15" t="s">
        <v>98</v>
      </c>
      <c r="AI75" s="15" t="s">
        <v>114</v>
      </c>
      <c r="AJ75" s="15" t="s">
        <v>149</v>
      </c>
      <c r="AK75" s="18" t="s">
        <v>149</v>
      </c>
      <c r="AL75" s="15" t="s">
        <v>149</v>
      </c>
      <c r="AM75" s="15" t="s">
        <v>115</v>
      </c>
      <c r="AN75" s="15" t="s">
        <v>149</v>
      </c>
      <c r="AO75" s="49" t="s">
        <v>149</v>
      </c>
      <c r="AP75" s="87" t="s">
        <v>16562</v>
      </c>
      <c r="AQ75" s="87" t="s">
        <v>734</v>
      </c>
      <c r="AR75" s="87" t="s">
        <v>16782</v>
      </c>
      <c r="AS75" s="87" t="s">
        <v>734</v>
      </c>
      <c r="AT75" s="87" t="s">
        <v>16783</v>
      </c>
      <c r="AU75" s="87" t="s">
        <v>5328</v>
      </c>
      <c r="AV75" s="87" t="s">
        <v>16784</v>
      </c>
      <c r="AW75" s="457">
        <v>0</v>
      </c>
      <c r="AX75" s="630" t="str">
        <f t="shared" si="81"/>
        <v/>
      </c>
      <c r="AY75" s="630" t="str">
        <f t="shared" si="82"/>
        <v/>
      </c>
      <c r="AZ75" s="630" t="str">
        <f t="shared" si="83"/>
        <v/>
      </c>
      <c r="BA75" s="3"/>
      <c r="BB75" s="3"/>
      <c r="BC75" s="3"/>
      <c r="BD75" s="3"/>
      <c r="BE75" s="3"/>
      <c r="BF75" s="3"/>
      <c r="BG75" s="3"/>
      <c r="BH75" s="3"/>
      <c r="BI75" s="3"/>
      <c r="BJ75" s="3"/>
      <c r="BK75" s="3"/>
      <c r="BL75" s="3"/>
      <c r="BM75" s="3">
        <v>83</v>
      </c>
      <c r="BN75" s="3"/>
      <c r="BP75" s="3"/>
      <c r="BQ75" s="83" t="s">
        <v>11880</v>
      </c>
      <c r="BR75" s="3"/>
      <c r="BS75" s="3"/>
      <c r="BT75" s="3"/>
      <c r="BU75" s="3"/>
      <c r="BV75" s="3"/>
      <c r="BW75" s="3"/>
      <c r="BX75" s="3" t="str">
        <f>IF(Province="Grands-duchés de Middenheim et du Middenland","Village pauvre de Grands-duchés de Middenheim et du Middenland","")</f>
        <v/>
      </c>
      <c r="BY75" t="str">
        <f t="shared" si="78"/>
        <v/>
      </c>
      <c r="BZ75" s="83" t="str">
        <f t="shared" si="70"/>
        <v/>
      </c>
      <c r="CA75" s="83" t="str">
        <f t="shared" si="71"/>
        <v/>
      </c>
      <c r="CB75" s="530" t="str">
        <f t="shared" si="72"/>
        <v/>
      </c>
      <c r="CC75" s="3" t="s">
        <v>3264</v>
      </c>
      <c r="CD75" t="s">
        <v>10672</v>
      </c>
      <c r="CG75" s="83" t="s">
        <v>887</v>
      </c>
      <c r="CH75" s="83" t="s">
        <v>10177</v>
      </c>
      <c r="CI75" s="3"/>
      <c r="CJ75" s="3"/>
      <c r="CK75" s="3" t="s">
        <v>6993</v>
      </c>
      <c r="CL75" s="3" t="s">
        <v>6453</v>
      </c>
      <c r="CM75" t="s">
        <v>10292</v>
      </c>
      <c r="CN75" s="3" t="s">
        <v>6534</v>
      </c>
      <c r="CO75" s="3" t="str">
        <f>CONCATENATE("Craggen",IF(AND('page 1'!M11="Féminin",Pays="Norsca"),"dottir",IF(AND('page 1'!M11="Masculin",Pays="Norsca"),"son",IF(AND('page 1'!M11="Féminin",Pays="Kislev"),"ovna",IF(AND('page 1'!M11="Masculin",Pays="Kislev"),"sky","")))))</f>
        <v>Craggen</v>
      </c>
      <c r="CP75" s="3"/>
      <c r="CQ75" s="3"/>
      <c r="CR75" s="3" t="s">
        <v>13446</v>
      </c>
      <c r="CU75" s="3"/>
      <c r="CV75" s="3"/>
      <c r="CW75" s="3"/>
      <c r="CX75" s="3"/>
      <c r="CY75" s="3" t="s">
        <v>827</v>
      </c>
      <c r="CZ75" s="3"/>
      <c r="DA75" s="3" t="s">
        <v>2473</v>
      </c>
      <c r="DB75" s="83" t="s">
        <v>12727</v>
      </c>
      <c r="DC75" s="3"/>
      <c r="DD75" s="83" t="s">
        <v>15420</v>
      </c>
      <c r="DE75" s="83" t="s">
        <v>133</v>
      </c>
      <c r="DF75" s="3">
        <f>ROW()</f>
        <v>75</v>
      </c>
      <c r="DG75" s="3" t="s">
        <v>2680</v>
      </c>
      <c r="DH75" s="3">
        <f t="shared" si="59"/>
        <v>750</v>
      </c>
      <c r="DI75" s="3">
        <f t="shared" si="60"/>
        <v>565</v>
      </c>
      <c r="DJ75" s="3">
        <f t="shared" si="61"/>
        <v>380</v>
      </c>
      <c r="DK75" s="3">
        <f t="shared" si="62"/>
        <v>195</v>
      </c>
      <c r="DL75" s="3"/>
      <c r="DM75" s="3"/>
      <c r="DN75" s="3"/>
      <c r="DO75" s="3"/>
      <c r="DP75" s="3"/>
      <c r="DQ75" s="3"/>
      <c r="DR75" s="3"/>
      <c r="DS75" s="3"/>
      <c r="DT75" s="3"/>
      <c r="DU75" s="3"/>
      <c r="DV75" s="3"/>
      <c r="DW75" s="3"/>
      <c r="DX75" s="3"/>
      <c r="DY75" s="3"/>
      <c r="DZ75" s="3" t="s">
        <v>2982</v>
      </c>
      <c r="EA75" s="83" t="s">
        <v>4534</v>
      </c>
      <c r="EB75" s="3"/>
      <c r="ED75" s="83" t="s">
        <v>11517</v>
      </c>
      <c r="EE75" s="83" t="s">
        <v>2574</v>
      </c>
      <c r="EF75" s="530" t="s">
        <v>16785</v>
      </c>
      <c r="EK75" s="874"/>
      <c r="EM75" s="83" t="s">
        <v>4971</v>
      </c>
      <c r="EN75" s="83" t="s">
        <v>4974</v>
      </c>
      <c r="EO75" s="84" t="s">
        <v>4989</v>
      </c>
      <c r="EP75" s="83" t="s">
        <v>4992</v>
      </c>
      <c r="EQ75" s="77" t="str">
        <f>IF(Pays="Nippon","Yoki-inna",IF(Pays="Inja","Dhritirāshtri",""))</f>
        <v/>
      </c>
      <c r="ER75" s="83" t="str">
        <f t="shared" si="63"/>
        <v/>
      </c>
      <c r="ES75" s="83" t="str">
        <f t="shared" si="79"/>
        <v/>
      </c>
      <c r="ET75" s="530" t="str">
        <f t="shared" si="80"/>
        <v/>
      </c>
      <c r="EU75" s="571" t="str">
        <f>IF(Dieu="Mork et Gork","Chamane","")</f>
        <v/>
      </c>
      <c r="EV75" s="83" t="str">
        <f t="shared" si="69"/>
        <v/>
      </c>
      <c r="EW75" s="83" t="str">
        <f t="shared" si="73"/>
        <v/>
      </c>
      <c r="EX75" s="530" t="str">
        <f t="shared" si="74"/>
        <v/>
      </c>
      <c r="EY75" s="83" t="s">
        <v>12977</v>
      </c>
      <c r="EZ75" s="530"/>
      <c r="FB75" s="83" t="s">
        <v>13022</v>
      </c>
      <c r="FC75" s="133" t="s">
        <v>13214</v>
      </c>
      <c r="FD75" s="83" t="s">
        <v>9703</v>
      </c>
      <c r="FE75" s="849">
        <v>323</v>
      </c>
      <c r="FF75">
        <v>38</v>
      </c>
      <c r="FG75">
        <v>0</v>
      </c>
      <c r="FH75">
        <v>45</v>
      </c>
      <c r="FI75">
        <v>42</v>
      </c>
      <c r="FJ75" s="10">
        <v>35</v>
      </c>
      <c r="FK75">
        <v>10</v>
      </c>
      <c r="FL75">
        <v>45</v>
      </c>
      <c r="FM75" s="165">
        <v>0</v>
      </c>
      <c r="FN75" s="88">
        <v>2</v>
      </c>
      <c r="FO75" s="88">
        <v>19</v>
      </c>
      <c r="FP75" s="164">
        <f>ROUNDDOWN(FH75/10,0)</f>
        <v>4</v>
      </c>
      <c r="FQ75" s="164">
        <f t="shared" si="85"/>
        <v>4</v>
      </c>
      <c r="FR75" s="684">
        <v>5</v>
      </c>
      <c r="FS75" s="167">
        <v>0</v>
      </c>
      <c r="FT75" s="167">
        <v>0</v>
      </c>
      <c r="FU75" s="165">
        <v>0</v>
      </c>
      <c r="FV75" s="83" t="s">
        <v>9930</v>
      </c>
      <c r="FW75" s="83" t="s">
        <v>9931</v>
      </c>
      <c r="FX75" s="567" t="s">
        <v>7658</v>
      </c>
      <c r="GA75" t="s">
        <v>7469</v>
      </c>
      <c r="GE75" s="356"/>
      <c r="GF75" t="s">
        <v>8209</v>
      </c>
      <c r="GG75" s="356" t="s">
        <v>8884</v>
      </c>
      <c r="GH75" s="83" t="s">
        <v>8875</v>
      </c>
      <c r="GI75" s="83" t="s">
        <v>8870</v>
      </c>
      <c r="GJ75" s="83"/>
      <c r="GK75" s="530"/>
    </row>
    <row r="76" spans="8:193" ht="13.2" customHeight="1">
      <c r="H76" s="3" t="s">
        <v>433</v>
      </c>
      <c r="I76" s="3" t="s">
        <v>504</v>
      </c>
      <c r="J76" s="3"/>
      <c r="K76" s="3"/>
      <c r="L76" s="3"/>
      <c r="M76" s="651"/>
      <c r="N76" s="3"/>
      <c r="O76" s="3"/>
      <c r="P76" s="3"/>
      <c r="Q76" s="3"/>
      <c r="R76" s="651"/>
      <c r="S76" s="83" t="str">
        <f>IF(CareerType=Y76,"Chasseur cornu",IF(AllCareers="X","Chasseur cornu",IF(Selectsousrace&lt;&gt;"Humain","",IF(Pays="Empire","Chasseur cornu",""))))</f>
        <v/>
      </c>
      <c r="T76" s="106">
        <f t="shared" si="84"/>
        <v>1</v>
      </c>
      <c r="U76" s="693" t="str">
        <f t="shared" si="75"/>
        <v/>
      </c>
      <c r="V76" s="693" t="str">
        <f t="shared" si="76"/>
        <v/>
      </c>
      <c r="W76" s="693" t="str">
        <f t="shared" si="77"/>
        <v/>
      </c>
      <c r="X76" s="89" t="s">
        <v>2153</v>
      </c>
      <c r="Y76" s="743" t="s">
        <v>7134</v>
      </c>
      <c r="Z76" s="55" t="s">
        <v>2249</v>
      </c>
      <c r="AA76" s="47">
        <v>9</v>
      </c>
      <c r="AB76" s="47" t="s">
        <v>2250</v>
      </c>
      <c r="AC76" s="47">
        <v>105</v>
      </c>
      <c r="AD76" s="105" t="s">
        <v>98</v>
      </c>
      <c r="AE76" s="105" t="s">
        <v>101</v>
      </c>
      <c r="AF76" s="105" t="s">
        <v>101</v>
      </c>
      <c r="AG76" s="15" t="s">
        <v>149</v>
      </c>
      <c r="AH76" s="105" t="s">
        <v>101</v>
      </c>
      <c r="AI76" s="15" t="s">
        <v>149</v>
      </c>
      <c r="AJ76" s="105" t="s">
        <v>101</v>
      </c>
      <c r="AK76" s="18" t="s">
        <v>149</v>
      </c>
      <c r="AL76" s="105" t="s">
        <v>102</v>
      </c>
      <c r="AM76" s="15" t="s">
        <v>115</v>
      </c>
      <c r="AN76" s="15" t="s">
        <v>149</v>
      </c>
      <c r="AO76" s="15" t="s">
        <v>149</v>
      </c>
      <c r="AP76" s="22" t="s">
        <v>878</v>
      </c>
      <c r="AQ76" s="87" t="s">
        <v>734</v>
      </c>
      <c r="AR76" s="22" t="s">
        <v>879</v>
      </c>
      <c r="AS76" s="87" t="s">
        <v>734</v>
      </c>
      <c r="AT76" s="87" t="s">
        <v>16786</v>
      </c>
      <c r="AU76" s="87" t="s">
        <v>5475</v>
      </c>
      <c r="AV76" s="87" t="s">
        <v>15657</v>
      </c>
      <c r="AW76" s="457">
        <v>0</v>
      </c>
      <c r="AX76" s="630" t="str">
        <f t="shared" si="81"/>
        <v/>
      </c>
      <c r="AY76" s="630" t="str">
        <f t="shared" si="82"/>
        <v/>
      </c>
      <c r="AZ76" s="630" t="str">
        <f t="shared" si="83"/>
        <v/>
      </c>
      <c r="BA76" s="3"/>
      <c r="BB76" s="3"/>
      <c r="BC76" s="3"/>
      <c r="BD76" s="3"/>
      <c r="BE76" s="3"/>
      <c r="BF76" s="3"/>
      <c r="BG76" s="3"/>
      <c r="BH76" s="3"/>
      <c r="BI76" s="3"/>
      <c r="BJ76" s="3"/>
      <c r="BK76" s="3"/>
      <c r="BL76" s="3"/>
      <c r="BM76" s="3">
        <v>84</v>
      </c>
      <c r="BN76" s="3"/>
      <c r="BP76" s="3"/>
      <c r="BQ76" s="3" t="s">
        <v>11881</v>
      </c>
      <c r="BR76" s="83"/>
      <c r="BS76" s="83"/>
      <c r="BT76" s="3"/>
      <c r="BU76" s="3"/>
      <c r="BV76" s="3"/>
      <c r="BW76" s="3"/>
      <c r="BX76" s="3" t="str">
        <f>IF(Province="Grande baronnie du Nordland","Village pauvre de la Grande baronnie du Nordland","")</f>
        <v/>
      </c>
      <c r="BY76" t="str">
        <f t="shared" si="78"/>
        <v/>
      </c>
      <c r="BZ76" s="83" t="str">
        <f t="shared" si="70"/>
        <v/>
      </c>
      <c r="CA76" s="83" t="str">
        <f t="shared" si="71"/>
        <v/>
      </c>
      <c r="CB76" s="530" t="str">
        <f t="shared" si="72"/>
        <v/>
      </c>
      <c r="CC76" s="3" t="s">
        <v>1039</v>
      </c>
      <c r="CD76" t="s">
        <v>10673</v>
      </c>
      <c r="CG76" s="3" t="s">
        <v>6176</v>
      </c>
      <c r="CH76" s="83" t="s">
        <v>1096</v>
      </c>
      <c r="CI76" s="3"/>
      <c r="CJ76" s="3"/>
      <c r="CK76" s="83" t="s">
        <v>15062</v>
      </c>
      <c r="CL76" s="3" t="s">
        <v>6463</v>
      </c>
      <c r="CM76" t="s">
        <v>10296</v>
      </c>
      <c r="CN76" s="3" t="s">
        <v>6533</v>
      </c>
      <c r="CO76" s="3" t="s">
        <v>10929</v>
      </c>
      <c r="CP76" s="3"/>
      <c r="CQ76" s="3"/>
      <c r="CR76" s="3" t="s">
        <v>13447</v>
      </c>
      <c r="CU76" s="3"/>
      <c r="CV76" s="3"/>
      <c r="CW76" s="3"/>
      <c r="CX76" s="3"/>
      <c r="CY76" s="3" t="s">
        <v>2875</v>
      </c>
      <c r="CZ76" s="3"/>
      <c r="DA76" s="3" t="s">
        <v>2477</v>
      </c>
      <c r="DB76" s="655" t="s">
        <v>12579</v>
      </c>
      <c r="DC76" s="3"/>
      <c r="DD76" s="3" t="s">
        <v>2700</v>
      </c>
      <c r="DE76" s="3" t="s">
        <v>132</v>
      </c>
      <c r="DF76" s="3">
        <f>ROW()</f>
        <v>76</v>
      </c>
      <c r="DG76" s="3" t="s">
        <v>2680</v>
      </c>
      <c r="DH76" s="3">
        <f t="shared" si="59"/>
        <v>750</v>
      </c>
      <c r="DI76" s="3">
        <f t="shared" si="60"/>
        <v>565</v>
      </c>
      <c r="DJ76" s="3">
        <f t="shared" si="61"/>
        <v>380</v>
      </c>
      <c r="DK76" s="3">
        <f t="shared" si="62"/>
        <v>195</v>
      </c>
      <c r="DL76" s="3"/>
      <c r="DM76" s="3"/>
      <c r="DN76" s="3"/>
      <c r="DO76" s="3"/>
      <c r="DP76" s="3"/>
      <c r="DQ76" s="3"/>
      <c r="DR76" s="3"/>
      <c r="DS76" s="3"/>
      <c r="DT76" s="3"/>
      <c r="DU76" s="3"/>
      <c r="DV76" s="3"/>
      <c r="DW76" s="3"/>
      <c r="DX76" s="3"/>
      <c r="DY76" s="3"/>
      <c r="DZ76" s="3" t="s">
        <v>2983</v>
      </c>
      <c r="EA76" s="83" t="s">
        <v>4535</v>
      </c>
      <c r="EB76" s="3"/>
      <c r="ED76" s="83" t="s">
        <v>14540</v>
      </c>
      <c r="EE76" s="83" t="s">
        <v>2574</v>
      </c>
      <c r="EF76" s="530" t="s">
        <v>16787</v>
      </c>
      <c r="EK76" s="874"/>
      <c r="EM76" s="83" t="s">
        <v>4970</v>
      </c>
      <c r="EN76" s="83" t="s">
        <v>4974</v>
      </c>
      <c r="EO76" s="83" t="s">
        <v>4990</v>
      </c>
      <c r="EP76" s="83" t="s">
        <v>4992</v>
      </c>
      <c r="EQ76" s="481" t="s">
        <v>15318</v>
      </c>
      <c r="ER76" s="83" t="str">
        <f t="shared" si="63"/>
        <v/>
      </c>
      <c r="ES76" s="83" t="str">
        <f t="shared" si="79"/>
        <v/>
      </c>
      <c r="ET76" s="530" t="str">
        <f t="shared" si="80"/>
        <v/>
      </c>
      <c r="EU76" s="177" t="str">
        <f>IF(Dieu="Morr","Andanti","")</f>
        <v/>
      </c>
      <c r="EV76" s="83" t="str">
        <f t="shared" si="69"/>
        <v/>
      </c>
      <c r="EW76" s="83" t="str">
        <f t="shared" si="73"/>
        <v/>
      </c>
      <c r="EX76" s="530" t="str">
        <f t="shared" si="74"/>
        <v/>
      </c>
      <c r="EY76" s="83" t="s">
        <v>410</v>
      </c>
      <c r="EZ76" s="530" t="s">
        <v>9537</v>
      </c>
      <c r="FB76" s="83" t="s">
        <v>13023</v>
      </c>
      <c r="FC76" s="133" t="s">
        <v>13214</v>
      </c>
      <c r="FD76" s="85" t="s">
        <v>15539</v>
      </c>
      <c r="FE76" s="848" t="s">
        <v>15540</v>
      </c>
      <c r="FF76">
        <v>34</v>
      </c>
      <c r="FG76">
        <v>0</v>
      </c>
      <c r="FH76">
        <v>32</v>
      </c>
      <c r="FI76">
        <v>36</v>
      </c>
      <c r="FJ76" s="10">
        <v>46</v>
      </c>
      <c r="FK76">
        <v>18</v>
      </c>
      <c r="FL76">
        <v>28</v>
      </c>
      <c r="FM76" s="165">
        <v>35</v>
      </c>
      <c r="FN76" s="88">
        <v>1</v>
      </c>
      <c r="FO76" s="88">
        <v>17</v>
      </c>
      <c r="FP76" s="164">
        <f t="shared" ref="FP76:FP80" si="86">ROUNDDOWN(FH76/10,0)</f>
        <v>3</v>
      </c>
      <c r="FQ76" s="164">
        <f t="shared" si="85"/>
        <v>3</v>
      </c>
      <c r="FR76" s="684">
        <v>6</v>
      </c>
      <c r="FS76" s="167">
        <v>0</v>
      </c>
      <c r="FT76" s="167">
        <v>0</v>
      </c>
      <c r="FU76" s="165">
        <v>0</v>
      </c>
      <c r="FV76" s="83" t="s">
        <v>15541</v>
      </c>
      <c r="FW76" s="83" t="s">
        <v>16788</v>
      </c>
      <c r="FX76" s="567" t="s">
        <v>7658</v>
      </c>
      <c r="GA76" s="83" t="s">
        <v>7628</v>
      </c>
      <c r="GE76" s="356"/>
      <c r="GF76" t="s">
        <v>8210</v>
      </c>
      <c r="GG76" s="356" t="s">
        <v>8882</v>
      </c>
      <c r="GH76" s="83" t="s">
        <v>8875</v>
      </c>
      <c r="GI76" s="83" t="s">
        <v>8870</v>
      </c>
      <c r="GJ76" s="83"/>
      <c r="GK76" s="530"/>
    </row>
    <row r="77" spans="8:193" ht="13.2" customHeight="1">
      <c r="H77" s="3" t="s">
        <v>434</v>
      </c>
      <c r="I77" s="3" t="s">
        <v>2905</v>
      </c>
      <c r="J77" s="3"/>
      <c r="K77" s="3"/>
      <c r="L77" s="3"/>
      <c r="M77" s="651"/>
      <c r="N77" s="3"/>
      <c r="O77" s="3"/>
      <c r="P77" s="3"/>
      <c r="Q77" s="3"/>
      <c r="R77" s="651"/>
      <c r="S77" s="83" t="str">
        <f>IF(CareerType=Y77,"Chasseur de primes",IF(AllCareers="X","Chasseur de primes",IF(OR(Pays="Désolations du Chaos",Pays="Norsca",SelectRace="Halfling",SelectRace="Humain",SelectRace="skaven",SelectRace="Homme-lézard",SelectRace="Vampire"),"Chasseur de primes","")))</f>
        <v/>
      </c>
      <c r="T77" s="106">
        <f t="shared" si="84"/>
        <v>0</v>
      </c>
      <c r="U77" s="693" t="str">
        <f t="shared" si="75"/>
        <v/>
      </c>
      <c r="V77" s="693" t="str">
        <f t="shared" si="76"/>
        <v/>
      </c>
      <c r="W77" s="693" t="str">
        <f t="shared" si="77"/>
        <v/>
      </c>
      <c r="X77" s="47" t="s">
        <v>2160</v>
      </c>
      <c r="Y77" s="743" t="s">
        <v>7134</v>
      </c>
      <c r="Z77" s="55" t="s">
        <v>2200</v>
      </c>
      <c r="AA77" s="47">
        <v>36</v>
      </c>
      <c r="AB77" s="47" t="s">
        <v>2251</v>
      </c>
      <c r="AC77" s="47">
        <v>35</v>
      </c>
      <c r="AD77" s="20" t="s">
        <v>114</v>
      </c>
      <c r="AE77" s="15" t="s">
        <v>98</v>
      </c>
      <c r="AF77" s="20" t="s">
        <v>114</v>
      </c>
      <c r="AG77" s="15" t="s">
        <v>149</v>
      </c>
      <c r="AH77" s="15" t="s">
        <v>98</v>
      </c>
      <c r="AI77" s="15" t="s">
        <v>149</v>
      </c>
      <c r="AJ77" s="20" t="s">
        <v>114</v>
      </c>
      <c r="AK77" s="18" t="s">
        <v>149</v>
      </c>
      <c r="AL77" s="15" t="s">
        <v>149</v>
      </c>
      <c r="AM77" s="15" t="s">
        <v>113</v>
      </c>
      <c r="AN77" s="15" t="s">
        <v>149</v>
      </c>
      <c r="AO77" s="15" t="s">
        <v>149</v>
      </c>
      <c r="AP77" s="87" t="s">
        <v>16169</v>
      </c>
      <c r="AQ77" s="87" t="s">
        <v>16789</v>
      </c>
      <c r="AR77" s="22" t="s">
        <v>15679</v>
      </c>
      <c r="AS77" s="87" t="s">
        <v>15840</v>
      </c>
      <c r="AT77" s="22" t="s">
        <v>3427</v>
      </c>
      <c r="AU77" s="87" t="s">
        <v>5329</v>
      </c>
      <c r="AV77" s="87" t="s">
        <v>16790</v>
      </c>
      <c r="AW77" s="457">
        <v>0</v>
      </c>
      <c r="AX77" s="630" t="str">
        <f t="shared" si="81"/>
        <v/>
      </c>
      <c r="AY77" s="630" t="str">
        <f t="shared" si="82"/>
        <v/>
      </c>
      <c r="AZ77" s="630" t="str">
        <f t="shared" si="83"/>
        <v/>
      </c>
      <c r="BA77" s="3"/>
      <c r="BB77" s="3"/>
      <c r="BC77" s="3"/>
      <c r="BD77" s="3"/>
      <c r="BE77" s="3"/>
      <c r="BF77" s="3"/>
      <c r="BG77" s="3"/>
      <c r="BH77" s="3"/>
      <c r="BI77" s="3"/>
      <c r="BJ77" s="3"/>
      <c r="BK77" s="3"/>
      <c r="BL77" s="3"/>
      <c r="BM77" s="3">
        <v>85</v>
      </c>
      <c r="BN77" s="3"/>
      <c r="BP77" s="3"/>
      <c r="BQ77" s="3" t="s">
        <v>11882</v>
      </c>
      <c r="BR77" s="3"/>
      <c r="BS77" s="3"/>
      <c r="BT77" s="3"/>
      <c r="BU77" s="3"/>
      <c r="BV77" s="3"/>
      <c r="BW77" s="3"/>
      <c r="BX77" s="3" t="str">
        <f>IF(Province="Grande principauté du Reikland","Village pauvre de Grande principauté du Reikland","")</f>
        <v/>
      </c>
      <c r="BY77" t="str">
        <f t="shared" si="78"/>
        <v/>
      </c>
      <c r="BZ77" s="83" t="str">
        <f t="shared" si="70"/>
        <v/>
      </c>
      <c r="CA77" s="83" t="str">
        <f t="shared" si="71"/>
        <v/>
      </c>
      <c r="CB77" s="530" t="str">
        <f t="shared" si="72"/>
        <v/>
      </c>
      <c r="CC77" s="3" t="s">
        <v>10715</v>
      </c>
      <c r="CD77" s="3" t="s">
        <v>1062</v>
      </c>
      <c r="CG77" s="3" t="s">
        <v>6177</v>
      </c>
      <c r="CH77" s="3" t="s">
        <v>908</v>
      </c>
      <c r="CI77" s="3"/>
      <c r="CJ77" s="3"/>
      <c r="CK77" s="3" t="s">
        <v>6900</v>
      </c>
      <c r="CL77" s="3" t="s">
        <v>6491</v>
      </c>
      <c r="CM77" t="s">
        <v>10299</v>
      </c>
      <c r="CN77" s="3" t="s">
        <v>6606</v>
      </c>
      <c r="CO77" s="3" t="s">
        <v>10922</v>
      </c>
      <c r="CP77" s="3"/>
      <c r="CQ77" s="3"/>
      <c r="CR77" s="3" t="s">
        <v>13448</v>
      </c>
      <c r="CU77" s="3"/>
      <c r="CV77" s="3"/>
      <c r="CW77" s="3"/>
      <c r="CX77" s="3"/>
      <c r="CY77" s="3" t="s">
        <v>418</v>
      </c>
      <c r="CZ77" s="3"/>
      <c r="DA77" s="3" t="s">
        <v>2483</v>
      </c>
      <c r="DB77" s="83" t="s">
        <v>12728</v>
      </c>
      <c r="DC77" s="3"/>
      <c r="DD77" s="83" t="s">
        <v>11183</v>
      </c>
      <c r="DE77" s="3" t="s">
        <v>131</v>
      </c>
      <c r="DF77" s="3">
        <f>ROW()</f>
        <v>77</v>
      </c>
      <c r="DG77" s="3" t="s">
        <v>2174</v>
      </c>
      <c r="DH77" s="3">
        <f t="shared" si="59"/>
        <v>135</v>
      </c>
      <c r="DI77" s="3">
        <f t="shared" si="60"/>
        <v>115</v>
      </c>
      <c r="DJ77" s="3">
        <f t="shared" si="61"/>
        <v>95</v>
      </c>
      <c r="DK77" s="3">
        <f t="shared" si="62"/>
        <v>75</v>
      </c>
      <c r="DL77" s="3"/>
      <c r="DM77" s="3"/>
      <c r="DN77" s="3"/>
      <c r="DO77" s="3"/>
      <c r="DP77" s="3"/>
      <c r="DQ77" s="3"/>
      <c r="DR77" s="3"/>
      <c r="DS77" s="3"/>
      <c r="DT77" s="3"/>
      <c r="DU77" s="3"/>
      <c r="DV77" s="3"/>
      <c r="DW77" s="3"/>
      <c r="DX77" s="3"/>
      <c r="DY77" s="3"/>
      <c r="DZ77" s="3" t="s">
        <v>2984</v>
      </c>
      <c r="EA77" s="83" t="s">
        <v>4535</v>
      </c>
      <c r="EB77" s="3"/>
      <c r="ED77" s="83" t="s">
        <v>14533</v>
      </c>
      <c r="EE77" s="83" t="s">
        <v>2574</v>
      </c>
      <c r="EF77" s="530" t="s">
        <v>14534</v>
      </c>
      <c r="EK77" s="874"/>
      <c r="EM77" s="83" t="s">
        <v>4966</v>
      </c>
      <c r="EN77" s="83" t="s">
        <v>4974</v>
      </c>
      <c r="EO77" s="84" t="s">
        <v>4995</v>
      </c>
      <c r="EP77" s="83" t="s">
        <v>4992</v>
      </c>
      <c r="EQ77" s="631"/>
      <c r="ER77" s="83">
        <f t="shared" si="63"/>
        <v>77</v>
      </c>
      <c r="ES77" s="83" t="str">
        <f t="shared" si="79"/>
        <v/>
      </c>
      <c r="ET77" s="530" t="str">
        <f t="shared" si="80"/>
        <v/>
      </c>
      <c r="EU77" s="177" t="str">
        <f>IF(Dieu="Morr","Aucun ordre","")</f>
        <v/>
      </c>
      <c r="EV77" s="83" t="str">
        <f t="shared" si="69"/>
        <v/>
      </c>
      <c r="EW77" s="83" t="str">
        <f t="shared" si="73"/>
        <v/>
      </c>
      <c r="EX77" s="530" t="str">
        <f t="shared" si="74"/>
        <v/>
      </c>
      <c r="EY77" s="83" t="s">
        <v>439</v>
      </c>
      <c r="EZ77" s="530" t="s">
        <v>9108</v>
      </c>
      <c r="FB77" s="83" t="s">
        <v>13203</v>
      </c>
      <c r="FC77" s="133" t="s">
        <v>13214</v>
      </c>
      <c r="FD77" s="83" t="s">
        <v>9703</v>
      </c>
      <c r="FE77" s="849">
        <v>324</v>
      </c>
      <c r="FF77">
        <v>25</v>
      </c>
      <c r="FG77">
        <v>0</v>
      </c>
      <c r="FH77">
        <v>31</v>
      </c>
      <c r="FI77">
        <v>32</v>
      </c>
      <c r="FJ77" s="10">
        <v>50</v>
      </c>
      <c r="FK77">
        <v>15</v>
      </c>
      <c r="FL77">
        <v>15</v>
      </c>
      <c r="FM77" s="165">
        <v>0</v>
      </c>
      <c r="FN77" s="88">
        <v>3</v>
      </c>
      <c r="FO77" s="88">
        <v>15</v>
      </c>
      <c r="FP77" s="164">
        <f t="shared" si="86"/>
        <v>3</v>
      </c>
      <c r="FQ77" s="164">
        <f t="shared" si="85"/>
        <v>3</v>
      </c>
      <c r="FR77" s="682">
        <v>6</v>
      </c>
      <c r="FS77" s="88">
        <v>0</v>
      </c>
      <c r="FT77" s="88">
        <v>0</v>
      </c>
      <c r="FU77" s="165">
        <v>0</v>
      </c>
      <c r="FV77" s="83" t="s">
        <v>9935</v>
      </c>
      <c r="FW77" s="83" t="s">
        <v>14708</v>
      </c>
      <c r="FX77" s="751" t="s">
        <v>9938</v>
      </c>
      <c r="GA77" s="83" t="s">
        <v>7550</v>
      </c>
      <c r="GE77" s="356"/>
      <c r="GF77" t="s">
        <v>1345</v>
      </c>
      <c r="GG77" s="356" t="s">
        <v>8885</v>
      </c>
      <c r="GH77" s="83" t="s">
        <v>8875</v>
      </c>
      <c r="GI77" s="83" t="s">
        <v>8870</v>
      </c>
      <c r="GJ77" s="83"/>
      <c r="GK77" s="530"/>
    </row>
    <row r="78" spans="8:193" ht="13.2" customHeight="1">
      <c r="H78" s="3" t="s">
        <v>435</v>
      </c>
      <c r="I78" s="3" t="s">
        <v>1256</v>
      </c>
      <c r="J78" s="3"/>
      <c r="K78" s="3"/>
      <c r="L78" s="3"/>
      <c r="M78" s="651"/>
      <c r="N78" s="3"/>
      <c r="O78" s="3"/>
      <c r="P78" s="3"/>
      <c r="Q78" s="3"/>
      <c r="R78" s="651"/>
      <c r="S78" s="83" t="str">
        <f>IF(CareerType=Y78,"Chasseur de vampires",IF(AllCareers="X","Chasseur de vampires",IF(Selectsousrace="","",IF(OR(SelectRace="homme-bête",SelectRace="peau-verte",SelectRace="créature du chaos",SelectRace="Homme-lézard",SelectRace="Vampire"),"",IF(FirstCareer="1ère carrière","","Chasseur de vampires")))))</f>
        <v/>
      </c>
      <c r="T78" s="106">
        <f t="shared" si="84"/>
        <v>1</v>
      </c>
      <c r="U78" s="693" t="str">
        <f t="shared" si="75"/>
        <v/>
      </c>
      <c r="V78" s="693" t="str">
        <f t="shared" si="76"/>
        <v/>
      </c>
      <c r="W78" s="693" t="str">
        <f t="shared" si="77"/>
        <v/>
      </c>
      <c r="X78" s="47" t="s">
        <v>2153</v>
      </c>
      <c r="Y78" s="743" t="s">
        <v>7134</v>
      </c>
      <c r="Z78" s="55" t="s">
        <v>2200</v>
      </c>
      <c r="AA78" s="47">
        <v>67</v>
      </c>
      <c r="AB78" s="47" t="s">
        <v>2252</v>
      </c>
      <c r="AC78" s="47">
        <v>217</v>
      </c>
      <c r="AD78" s="15" t="s">
        <v>100</v>
      </c>
      <c r="AE78" s="15" t="s">
        <v>100</v>
      </c>
      <c r="AF78" s="15" t="s">
        <v>98</v>
      </c>
      <c r="AG78" s="15" t="s">
        <v>100</v>
      </c>
      <c r="AH78" s="15" t="s">
        <v>101</v>
      </c>
      <c r="AI78" s="15" t="s">
        <v>101</v>
      </c>
      <c r="AJ78" s="15" t="s">
        <v>100</v>
      </c>
      <c r="AK78" s="18" t="s">
        <v>149</v>
      </c>
      <c r="AL78" s="15" t="s">
        <v>102</v>
      </c>
      <c r="AM78" s="15" t="s">
        <v>103</v>
      </c>
      <c r="AN78" s="15" t="s">
        <v>149</v>
      </c>
      <c r="AO78" s="15" t="s">
        <v>149</v>
      </c>
      <c r="AP78" s="141" t="s">
        <v>11178</v>
      </c>
      <c r="AQ78" s="87" t="s">
        <v>15931</v>
      </c>
      <c r="AR78" s="87" t="s">
        <v>14768</v>
      </c>
      <c r="AS78" s="87" t="s">
        <v>15933</v>
      </c>
      <c r="AT78" s="22" t="s">
        <v>3428</v>
      </c>
      <c r="AU78" s="87" t="s">
        <v>5357</v>
      </c>
      <c r="AV78" s="87" t="s">
        <v>4599</v>
      </c>
      <c r="AW78" s="457">
        <v>0</v>
      </c>
      <c r="AX78" s="630" t="str">
        <f t="shared" si="81"/>
        <v/>
      </c>
      <c r="AY78" s="630" t="str">
        <f t="shared" si="82"/>
        <v/>
      </c>
      <c r="AZ78" s="630" t="str">
        <f t="shared" si="83"/>
        <v/>
      </c>
      <c r="BA78" s="3"/>
      <c r="BB78" s="3"/>
      <c r="BC78" s="3"/>
      <c r="BD78" s="3"/>
      <c r="BE78" s="3"/>
      <c r="BF78" s="3"/>
      <c r="BG78" s="3"/>
      <c r="BH78" s="3"/>
      <c r="BI78" s="3"/>
      <c r="BJ78" s="3"/>
      <c r="BK78" s="3"/>
      <c r="BL78" s="3"/>
      <c r="BM78" s="3">
        <v>86</v>
      </c>
      <c r="BN78" s="3"/>
      <c r="BP78" s="3"/>
      <c r="BQ78" s="3" t="s">
        <v>11883</v>
      </c>
      <c r="BR78" s="3"/>
      <c r="BS78" s="3"/>
      <c r="BT78" s="3"/>
      <c r="BU78" s="3"/>
      <c r="BV78" s="3"/>
      <c r="BW78" s="3"/>
      <c r="BX78" s="3" t="str">
        <f>IF(Province="Grand comté du Stirland","Village pauvre de Grand comté du Stirland","")</f>
        <v/>
      </c>
      <c r="BY78" t="str">
        <f t="shared" si="78"/>
        <v/>
      </c>
      <c r="BZ78" s="83" t="str">
        <f t="shared" si="70"/>
        <v/>
      </c>
      <c r="CA78" s="83" t="str">
        <f t="shared" si="71"/>
        <v/>
      </c>
      <c r="CB78" s="530" t="str">
        <f t="shared" si="72"/>
        <v/>
      </c>
      <c r="CC78" s="3" t="s">
        <v>10716</v>
      </c>
      <c r="CD78" t="s">
        <v>10674</v>
      </c>
      <c r="CG78" s="3" t="s">
        <v>6178</v>
      </c>
      <c r="CH78" s="3" t="s">
        <v>5966</v>
      </c>
      <c r="CI78" s="3"/>
      <c r="CJ78" s="3"/>
      <c r="CK78" s="3" t="s">
        <v>6863</v>
      </c>
      <c r="CL78" s="3" t="s">
        <v>6492</v>
      </c>
      <c r="CM78" t="s">
        <v>10297</v>
      </c>
      <c r="CN78" s="83" t="s">
        <v>14969</v>
      </c>
      <c r="CO78" s="3" t="s">
        <v>10927</v>
      </c>
      <c r="CP78" s="3"/>
      <c r="CQ78" s="3"/>
      <c r="CR78" s="3" t="s">
        <v>13449</v>
      </c>
      <c r="CU78" s="3"/>
      <c r="CV78" s="3"/>
      <c r="CW78" s="3"/>
      <c r="CX78" s="3"/>
      <c r="CY78" s="83" t="s">
        <v>16717</v>
      </c>
      <c r="CZ78" s="3"/>
      <c r="DA78" s="3" t="s">
        <v>12636</v>
      </c>
      <c r="DB78" s="83" t="s">
        <v>12748</v>
      </c>
      <c r="DC78" s="3"/>
      <c r="DD78" s="83" t="s">
        <v>11186</v>
      </c>
      <c r="DE78" s="3" t="s">
        <v>132</v>
      </c>
      <c r="DF78" s="3">
        <f>ROW()</f>
        <v>78</v>
      </c>
      <c r="DG78" s="3" t="s">
        <v>2678</v>
      </c>
      <c r="DH78" s="3">
        <f t="shared" si="59"/>
        <v>195</v>
      </c>
      <c r="DI78" s="3">
        <f t="shared" si="60"/>
        <v>160</v>
      </c>
      <c r="DJ78" s="3">
        <f t="shared" si="61"/>
        <v>130</v>
      </c>
      <c r="DK78" s="3">
        <f t="shared" si="62"/>
        <v>105</v>
      </c>
      <c r="DL78" s="3"/>
      <c r="DM78" s="3"/>
      <c r="DN78" s="3"/>
      <c r="DO78" s="3"/>
      <c r="DP78" s="3"/>
      <c r="DQ78" s="3"/>
      <c r="DR78" s="3"/>
      <c r="DS78" s="3"/>
      <c r="DT78" s="3"/>
      <c r="DU78" s="3"/>
      <c r="DV78" s="3"/>
      <c r="DW78" s="3"/>
      <c r="DX78" s="3"/>
      <c r="DY78" s="3"/>
      <c r="DZ78" s="3" t="s">
        <v>2985</v>
      </c>
      <c r="EA78" s="83" t="s">
        <v>4535</v>
      </c>
      <c r="EB78" s="3"/>
      <c r="ED78" s="83" t="s">
        <v>14541</v>
      </c>
      <c r="EE78" s="83" t="s">
        <v>2574</v>
      </c>
      <c r="EF78" s="530" t="s">
        <v>14548</v>
      </c>
      <c r="EK78" s="874"/>
      <c r="EM78" s="90" t="s">
        <v>4958</v>
      </c>
      <c r="EN78" s="83" t="s">
        <v>4974</v>
      </c>
      <c r="EO78" s="84" t="s">
        <v>5213</v>
      </c>
      <c r="EP78" s="83" t="s">
        <v>4999</v>
      </c>
      <c r="ER78" s="632" t="str">
        <f t="shared" si="63"/>
        <v/>
      </c>
      <c r="ES78" s="632" t="str">
        <f t="shared" si="79"/>
        <v/>
      </c>
      <c r="ET78" s="633" t="str">
        <f t="shared" si="80"/>
        <v/>
      </c>
      <c r="EU78" s="177" t="str">
        <f>IF(Dieu="Morr","Augures","")</f>
        <v/>
      </c>
      <c r="EV78" s="83" t="str">
        <f t="shared" si="69"/>
        <v/>
      </c>
      <c r="EW78" s="83" t="str">
        <f t="shared" si="73"/>
        <v/>
      </c>
      <c r="EX78" s="530" t="str">
        <f t="shared" si="74"/>
        <v/>
      </c>
      <c r="EZ78" s="530" t="s">
        <v>9107</v>
      </c>
      <c r="FB78" s="83" t="s">
        <v>13188</v>
      </c>
      <c r="FC78" s="133" t="s">
        <v>13214</v>
      </c>
      <c r="FD78" s="85" t="s">
        <v>11347</v>
      </c>
      <c r="FE78" s="849">
        <v>9</v>
      </c>
      <c r="FF78">
        <v>41</v>
      </c>
      <c r="FG78">
        <v>0</v>
      </c>
      <c r="FH78">
        <v>43</v>
      </c>
      <c r="FI78">
        <v>43</v>
      </c>
      <c r="FJ78" s="10">
        <v>43</v>
      </c>
      <c r="FK78">
        <v>40</v>
      </c>
      <c r="FL78">
        <v>40</v>
      </c>
      <c r="FM78" s="165">
        <v>0</v>
      </c>
      <c r="FN78" s="88">
        <v>3</v>
      </c>
      <c r="FO78" s="88">
        <v>11</v>
      </c>
      <c r="FP78" s="164">
        <f t="shared" si="86"/>
        <v>4</v>
      </c>
      <c r="FQ78" s="164">
        <f t="shared" si="85"/>
        <v>4</v>
      </c>
      <c r="FR78" s="682">
        <v>5</v>
      </c>
      <c r="FS78" s="88">
        <v>0</v>
      </c>
      <c r="FT78" s="88">
        <v>0</v>
      </c>
      <c r="FU78" s="165">
        <v>0</v>
      </c>
      <c r="FV78" s="83" t="s">
        <v>11348</v>
      </c>
      <c r="FW78" s="83" t="s">
        <v>9936</v>
      </c>
      <c r="FX78" s="751" t="s">
        <v>7658</v>
      </c>
      <c r="GA78" t="s">
        <v>7470</v>
      </c>
      <c r="GE78" s="356"/>
      <c r="GF78" t="s">
        <v>8194</v>
      </c>
      <c r="GG78" s="356" t="s">
        <v>8878</v>
      </c>
      <c r="GH78" s="83" t="s">
        <v>8875</v>
      </c>
      <c r="GI78" s="83" t="s">
        <v>8870</v>
      </c>
      <c r="GJ78" s="83"/>
      <c r="GK78" s="530"/>
    </row>
    <row r="79" spans="8:193" ht="13.2" customHeight="1">
      <c r="H79" s="3" t="s">
        <v>436</v>
      </c>
      <c r="I79" s="6" t="s">
        <v>505</v>
      </c>
      <c r="J79" s="3"/>
      <c r="K79" s="3"/>
      <c r="L79" s="3"/>
      <c r="M79" s="651"/>
      <c r="N79" s="3"/>
      <c r="O79" s="3"/>
      <c r="P79" s="3"/>
      <c r="Q79" s="3"/>
      <c r="R79" s="651"/>
      <c r="S79" s="83" t="str">
        <f>IF(CareerType=Y79,"Chef",IF(AllCareers="X","Chef",IF(Selectsousrace="","",IF(SelectRace="skaven","",IF(OR(SelectRace="homme-bête",SelectRace="peau-verte",SelectRace="créature du chaos",SelectRace="Homme-lézard"),"",IF(FirstCareer="1ère carrière","","Chef"))))))</f>
        <v/>
      </c>
      <c r="T79" s="106">
        <v>2</v>
      </c>
      <c r="U79" s="693" t="str">
        <f t="shared" si="75"/>
        <v/>
      </c>
      <c r="V79" s="693" t="str">
        <f t="shared" si="76"/>
        <v/>
      </c>
      <c r="W79" s="693" t="str">
        <f t="shared" si="77"/>
        <v/>
      </c>
      <c r="X79" s="47" t="s">
        <v>2153</v>
      </c>
      <c r="Y79" s="743" t="s">
        <v>7133</v>
      </c>
      <c r="Z79" s="55" t="s">
        <v>2200</v>
      </c>
      <c r="AA79" s="47">
        <v>226</v>
      </c>
      <c r="AB79" s="47" t="s">
        <v>2459</v>
      </c>
      <c r="AC79" s="47"/>
      <c r="AD79" s="15" t="s">
        <v>116</v>
      </c>
      <c r="AE79" s="15" t="s">
        <v>100</v>
      </c>
      <c r="AF79" s="15" t="s">
        <v>100</v>
      </c>
      <c r="AG79" s="15" t="s">
        <v>100</v>
      </c>
      <c r="AH79" s="15" t="s">
        <v>119</v>
      </c>
      <c r="AI79" s="15" t="s">
        <v>101</v>
      </c>
      <c r="AJ79" s="15" t="s">
        <v>100</v>
      </c>
      <c r="AK79" s="18" t="s">
        <v>100</v>
      </c>
      <c r="AL79" s="15" t="s">
        <v>113</v>
      </c>
      <c r="AM79" s="15" t="s">
        <v>118</v>
      </c>
      <c r="AN79" s="15" t="s">
        <v>149</v>
      </c>
      <c r="AO79" s="15" t="s">
        <v>149</v>
      </c>
      <c r="AP79" s="22" t="s">
        <v>1263</v>
      </c>
      <c r="AQ79" s="22" t="s">
        <v>1263</v>
      </c>
      <c r="AR79" s="22" t="s">
        <v>734</v>
      </c>
      <c r="AS79" s="22" t="s">
        <v>734</v>
      </c>
      <c r="AT79" s="22" t="s">
        <v>3550</v>
      </c>
      <c r="AU79" s="87" t="s">
        <v>16791</v>
      </c>
      <c r="AV79" s="87" t="s">
        <v>4637</v>
      </c>
      <c r="AW79" s="457">
        <v>0</v>
      </c>
      <c r="AX79" s="630" t="str">
        <f t="shared" si="81"/>
        <v/>
      </c>
      <c r="AY79" s="630" t="str">
        <f t="shared" si="82"/>
        <v/>
      </c>
      <c r="AZ79" s="630" t="str">
        <f t="shared" si="83"/>
        <v/>
      </c>
      <c r="BA79" s="3"/>
      <c r="BB79" s="3"/>
      <c r="BC79" s="3"/>
      <c r="BD79" s="3"/>
      <c r="BE79" s="3"/>
      <c r="BF79" s="3"/>
      <c r="BG79" s="3"/>
      <c r="BH79" s="3"/>
      <c r="BI79" s="3"/>
      <c r="BJ79" s="3"/>
      <c r="BK79" s="3"/>
      <c r="BL79" s="3"/>
      <c r="BM79" s="3">
        <v>87</v>
      </c>
      <c r="BN79" s="3"/>
      <c r="BP79" s="3"/>
      <c r="BQ79" s="83" t="s">
        <v>11884</v>
      </c>
      <c r="BR79" s="3"/>
      <c r="BS79" s="3"/>
      <c r="BT79" s="3"/>
      <c r="BU79" s="3"/>
      <c r="BV79" s="3"/>
      <c r="BW79" s="3"/>
      <c r="BX79" s="3" t="str">
        <f>IF(Province="Grand-duché du Talabecland","Village pauvre de Grand-duché du Talabecland","")</f>
        <v/>
      </c>
      <c r="BY79" t="str">
        <f t="shared" si="78"/>
        <v/>
      </c>
      <c r="BZ79" s="83" t="str">
        <f t="shared" si="70"/>
        <v/>
      </c>
      <c r="CA79" s="83" t="str">
        <f t="shared" si="71"/>
        <v/>
      </c>
      <c r="CB79" s="530" t="str">
        <f t="shared" si="72"/>
        <v/>
      </c>
      <c r="CC79" s="3" t="s">
        <v>10717</v>
      </c>
      <c r="CD79" s="3" t="s">
        <v>3175</v>
      </c>
      <c r="CG79" s="3" t="s">
        <v>6179</v>
      </c>
      <c r="CH79" s="3" t="s">
        <v>3782</v>
      </c>
      <c r="CI79" s="3"/>
      <c r="CJ79" s="3"/>
      <c r="CK79" s="3" t="s">
        <v>6737</v>
      </c>
      <c r="CL79" s="3" t="s">
        <v>6465</v>
      </c>
      <c r="CM79" s="3" t="s">
        <v>6628</v>
      </c>
      <c r="CN79" s="3" t="s">
        <v>6520</v>
      </c>
      <c r="CO79" s="3" t="s">
        <v>10926</v>
      </c>
      <c r="CP79" s="3"/>
      <c r="CQ79" s="3"/>
      <c r="CR79" s="83" t="s">
        <v>13450</v>
      </c>
      <c r="CU79" s="3"/>
      <c r="CV79" s="3"/>
      <c r="CW79" s="3"/>
      <c r="CX79" s="3"/>
      <c r="CY79" s="39" t="s">
        <v>252</v>
      </c>
      <c r="CZ79" s="3"/>
      <c r="DA79" s="3" t="s">
        <v>2478</v>
      </c>
      <c r="DB79" s="83" t="s">
        <v>12578</v>
      </c>
      <c r="DC79" s="3"/>
      <c r="DD79" s="3" t="s">
        <v>2701</v>
      </c>
      <c r="DE79" s="3" t="s">
        <v>133</v>
      </c>
      <c r="DF79" s="3">
        <f>ROW()</f>
        <v>79</v>
      </c>
      <c r="DG79" s="3" t="s">
        <v>2678</v>
      </c>
      <c r="DH79" s="3">
        <f t="shared" si="59"/>
        <v>195</v>
      </c>
      <c r="DI79" s="3">
        <f t="shared" si="60"/>
        <v>160</v>
      </c>
      <c r="DJ79" s="3">
        <f t="shared" si="61"/>
        <v>130</v>
      </c>
      <c r="DK79" s="3">
        <f t="shared" si="62"/>
        <v>105</v>
      </c>
      <c r="DL79" s="3"/>
      <c r="DM79" s="3"/>
      <c r="DN79" s="3"/>
      <c r="DO79" s="3"/>
      <c r="DP79" s="3"/>
      <c r="DQ79" s="3"/>
      <c r="DR79" s="3"/>
      <c r="DS79" s="3"/>
      <c r="DT79" s="3"/>
      <c r="DU79" s="3"/>
      <c r="DV79" s="3"/>
      <c r="DW79" s="3"/>
      <c r="DX79" s="3"/>
      <c r="DY79" s="3"/>
      <c r="DZ79" s="3" t="s">
        <v>2986</v>
      </c>
      <c r="EA79" s="83" t="s">
        <v>4535</v>
      </c>
      <c r="EB79" s="3"/>
      <c r="ED79" s="83" t="s">
        <v>14538</v>
      </c>
      <c r="EE79" s="83" t="s">
        <v>2574</v>
      </c>
      <c r="EF79" s="530" t="s">
        <v>14546</v>
      </c>
      <c r="EK79" s="874"/>
      <c r="EM79" s="83" t="s">
        <v>4967</v>
      </c>
      <c r="EN79" s="83" t="s">
        <v>4974</v>
      </c>
      <c r="EO79" s="84" t="s">
        <v>4994</v>
      </c>
      <c r="EP79" s="83" t="s">
        <v>4992</v>
      </c>
      <c r="EQ79" s="481"/>
      <c r="ER79" s="83"/>
      <c r="ES79" s="83"/>
      <c r="ET79" s="530"/>
      <c r="EU79" s="177" t="str">
        <f>IF(Dieu="Morr","Confrérie du Suaire","")</f>
        <v/>
      </c>
      <c r="EV79" s="83" t="str">
        <f t="shared" si="69"/>
        <v/>
      </c>
      <c r="EW79" s="83" t="str">
        <f t="shared" si="73"/>
        <v/>
      </c>
      <c r="EX79" s="530" t="str">
        <f t="shared" si="74"/>
        <v/>
      </c>
      <c r="EZ79" s="530" t="s">
        <v>15422</v>
      </c>
      <c r="FB79" s="83" t="s">
        <v>14592</v>
      </c>
      <c r="FC79" s="133" t="s">
        <v>13214</v>
      </c>
      <c r="FD79" s="85" t="s">
        <v>2196</v>
      </c>
      <c r="FE79" s="849">
        <v>251</v>
      </c>
      <c r="FF79">
        <v>35</v>
      </c>
      <c r="FG79">
        <v>0</v>
      </c>
      <c r="FH79">
        <v>41</v>
      </c>
      <c r="FI79">
        <v>36</v>
      </c>
      <c r="FJ79" s="10">
        <v>44</v>
      </c>
      <c r="FK79">
        <v>30</v>
      </c>
      <c r="FL79">
        <v>42</v>
      </c>
      <c r="FM79" s="165">
        <v>15</v>
      </c>
      <c r="FN79" s="88">
        <v>1</v>
      </c>
      <c r="FO79" s="88">
        <v>12</v>
      </c>
      <c r="FP79" s="691">
        <f t="shared" si="86"/>
        <v>4</v>
      </c>
      <c r="FQ79" s="691">
        <f t="shared" si="85"/>
        <v>3</v>
      </c>
      <c r="FR79" s="683" t="s">
        <v>14593</v>
      </c>
      <c r="FS79" s="88">
        <v>0</v>
      </c>
      <c r="FT79" s="88">
        <v>0</v>
      </c>
      <c r="FU79" s="165">
        <v>0</v>
      </c>
      <c r="FV79" s="83" t="s">
        <v>14594</v>
      </c>
      <c r="FW79" s="83" t="s">
        <v>14595</v>
      </c>
      <c r="FX79" s="751" t="s">
        <v>9938</v>
      </c>
      <c r="GA79" t="s">
        <v>7471</v>
      </c>
      <c r="GE79" s="356"/>
      <c r="GF79" t="s">
        <v>7690</v>
      </c>
      <c r="GG79" s="356" t="s">
        <v>8877</v>
      </c>
      <c r="GH79" s="83" t="s">
        <v>8875</v>
      </c>
      <c r="GI79" s="83" t="s">
        <v>8870</v>
      </c>
      <c r="GJ79" s="83"/>
      <c r="GK79" s="530"/>
    </row>
    <row r="80" spans="8:193" ht="13.2" customHeight="1">
      <c r="H80" s="3" t="s">
        <v>437</v>
      </c>
      <c r="I80" s="6" t="s">
        <v>506</v>
      </c>
      <c r="J80" s="3"/>
      <c r="K80" s="3"/>
      <c r="L80" s="3"/>
      <c r="M80" s="651"/>
      <c r="N80" s="3"/>
      <c r="O80" s="3"/>
      <c r="P80" s="3"/>
      <c r="Q80" s="3"/>
      <c r="R80" s="651"/>
      <c r="S80" s="83" t="str">
        <f>IF(OR(CareerType=Y80,AllCareers="X",SelectRace="Humain",SelectRace="halfling"),"Chef coq",IF(OR(FirstCareer="1ère carrière",Selectsousrace="",Pays="Désolations du Chaos",Pays="Naggaroth",Pays="Lustrie",Pays="Kuresh",SelectRace="homme-bête",SelectRace="peau-verte",SelectRace="créature du chaos",SelectRace="Homme-lézard",SelectRace="skaven",SelectRace="Vampire",SelectRace="Nain",SelectRace="Elfe"),"",))</f>
        <v/>
      </c>
      <c r="T80" s="106">
        <f>IF(X80="oui",0,1)</f>
        <v>1</v>
      </c>
      <c r="U80" s="693" t="str">
        <f t="shared" si="75"/>
        <v/>
      </c>
      <c r="V80" s="693" t="str">
        <f t="shared" si="76"/>
        <v/>
      </c>
      <c r="W80" s="693" t="str">
        <f t="shared" si="77"/>
        <v/>
      </c>
      <c r="X80" s="47" t="s">
        <v>2153</v>
      </c>
      <c r="Y80" s="744" t="s">
        <v>7131</v>
      </c>
      <c r="Z80" s="56" t="s">
        <v>16792</v>
      </c>
      <c r="AB80" s="89" t="s">
        <v>611</v>
      </c>
      <c r="AD80" s="16" t="s">
        <v>98</v>
      </c>
      <c r="AE80" s="16" t="s">
        <v>14766</v>
      </c>
      <c r="AF80" s="16" t="s">
        <v>114</v>
      </c>
      <c r="AG80" s="16" t="s">
        <v>98</v>
      </c>
      <c r="AH80" s="16" t="s">
        <v>99</v>
      </c>
      <c r="AI80" s="16" t="s">
        <v>98</v>
      </c>
      <c r="AJ80" s="16" t="s">
        <v>101</v>
      </c>
      <c r="AK80" s="19" t="s">
        <v>101</v>
      </c>
      <c r="AL80" s="105" t="s">
        <v>149</v>
      </c>
      <c r="AM80" s="105" t="s">
        <v>113</v>
      </c>
      <c r="AN80" s="105" t="s">
        <v>149</v>
      </c>
      <c r="AO80" s="105" t="s">
        <v>149</v>
      </c>
      <c r="AP80" s="87" t="s">
        <v>14767</v>
      </c>
      <c r="AQ80" s="87" t="s">
        <v>734</v>
      </c>
      <c r="AR80" s="87" t="s">
        <v>14768</v>
      </c>
      <c r="AS80" s="87" t="s">
        <v>734</v>
      </c>
      <c r="AT80" s="87" t="s">
        <v>15789</v>
      </c>
      <c r="AU80" s="87" t="s">
        <v>14769</v>
      </c>
      <c r="AV80" s="87" t="s">
        <v>14985</v>
      </c>
      <c r="AW80" s="458">
        <v>0</v>
      </c>
      <c r="AX80" s="630" t="str">
        <f t="shared" si="81"/>
        <v/>
      </c>
      <c r="AY80" s="630" t="str">
        <f t="shared" si="82"/>
        <v/>
      </c>
      <c r="AZ80" s="630" t="str">
        <f t="shared" si="83"/>
        <v/>
      </c>
      <c r="BA80" s="3"/>
      <c r="BB80" s="3"/>
      <c r="BC80" s="3"/>
      <c r="BD80" s="3"/>
      <c r="BE80" s="3"/>
      <c r="BF80" s="3"/>
      <c r="BG80" s="3"/>
      <c r="BH80" s="3"/>
      <c r="BI80" s="3"/>
      <c r="BJ80" s="3"/>
      <c r="BK80" s="3"/>
      <c r="BL80" s="3"/>
      <c r="BM80" s="3">
        <v>88</v>
      </c>
      <c r="BN80" s="3"/>
      <c r="BP80" s="3"/>
      <c r="BQ80" s="3" t="s">
        <v>11885</v>
      </c>
      <c r="BR80" s="83"/>
      <c r="BS80" s="83"/>
      <c r="BT80" s="3"/>
      <c r="BU80" s="3"/>
      <c r="BV80" s="3"/>
      <c r="BW80" s="3"/>
      <c r="BX80" s="3" t="str">
        <f>IF(Province="Grand comté du Wissenland","Village pauvre de Grand comté du Wissenland","")</f>
        <v/>
      </c>
      <c r="BY80" t="str">
        <f t="shared" si="78"/>
        <v/>
      </c>
      <c r="BZ80" s="83" t="str">
        <f t="shared" si="70"/>
        <v/>
      </c>
      <c r="CA80" s="83" t="str">
        <f t="shared" si="71"/>
        <v/>
      </c>
      <c r="CB80" s="530" t="str">
        <f t="shared" si="72"/>
        <v/>
      </c>
      <c r="CC80" s="3" t="s">
        <v>10727</v>
      </c>
      <c r="CD80" s="3" t="s">
        <v>3176</v>
      </c>
      <c r="CG80" s="3" t="s">
        <v>6180</v>
      </c>
      <c r="CH80" s="3" t="s">
        <v>5967</v>
      </c>
      <c r="CI80" s="3"/>
      <c r="CJ80" s="3"/>
      <c r="CK80" s="3" t="s">
        <v>6783</v>
      </c>
      <c r="CL80" s="3" t="s">
        <v>6499</v>
      </c>
      <c r="CM80" t="s">
        <v>10298</v>
      </c>
      <c r="CN80" s="3" t="s">
        <v>6539</v>
      </c>
      <c r="CO80" s="3" t="s">
        <v>10936</v>
      </c>
      <c r="CP80" s="3"/>
      <c r="CQ80" s="3"/>
      <c r="CR80" s="3" t="s">
        <v>13451</v>
      </c>
      <c r="CU80" s="3"/>
      <c r="CV80" s="3"/>
      <c r="CW80" s="3"/>
      <c r="CX80" s="3"/>
      <c r="CY80" s="3" t="s">
        <v>787</v>
      </c>
      <c r="CZ80" s="3"/>
      <c r="DA80" s="3" t="s">
        <v>12637</v>
      </c>
      <c r="DB80" s="83" t="s">
        <v>12702</v>
      </c>
      <c r="DC80" s="3"/>
      <c r="DD80" s="3" t="s">
        <v>2702</v>
      </c>
      <c r="DE80" s="3" t="s">
        <v>132</v>
      </c>
      <c r="DF80" s="3">
        <f>ROW()</f>
        <v>80</v>
      </c>
      <c r="DG80" s="3" t="s">
        <v>780</v>
      </c>
      <c r="DH80" s="3">
        <f t="shared" si="59"/>
        <v>400</v>
      </c>
      <c r="DI80" s="3">
        <f t="shared" si="60"/>
        <v>300</v>
      </c>
      <c r="DJ80" s="3">
        <f t="shared" si="61"/>
        <v>210</v>
      </c>
      <c r="DK80" s="3">
        <f t="shared" si="62"/>
        <v>120</v>
      </c>
      <c r="DL80" s="3"/>
      <c r="DM80" s="3"/>
      <c r="DN80" s="3"/>
      <c r="DO80" s="3"/>
      <c r="DP80" s="3"/>
      <c r="DQ80" s="3"/>
      <c r="DR80" s="3"/>
      <c r="DS80" s="3"/>
      <c r="DT80" s="3"/>
      <c r="DU80" s="3"/>
      <c r="DV80" s="3"/>
      <c r="DW80" s="3"/>
      <c r="DX80" s="3"/>
      <c r="DY80" s="3"/>
      <c r="DZ80" s="3" t="s">
        <v>2987</v>
      </c>
      <c r="EA80" s="83" t="s">
        <v>4535</v>
      </c>
      <c r="EB80" s="3"/>
      <c r="ED80" s="3" t="s">
        <v>3804</v>
      </c>
      <c r="EE80" s="83" t="s">
        <v>11512</v>
      </c>
      <c r="EF80" s="530" t="s">
        <v>16793</v>
      </c>
      <c r="EK80" s="874"/>
      <c r="EM80" s="90" t="s">
        <v>4965</v>
      </c>
      <c r="EN80" s="83" t="s">
        <v>4974</v>
      </c>
      <c r="EO80" s="84" t="s">
        <v>4996</v>
      </c>
      <c r="EP80" s="83" t="s">
        <v>4992</v>
      </c>
      <c r="EQ80" s="481"/>
      <c r="ER80" s="83"/>
      <c r="ES80" s="83"/>
      <c r="ET80" s="530"/>
      <c r="EU80" s="177" t="str">
        <f>IF(Dieu="Morr","Gardes noirs/ Ordre du Corbeau","")</f>
        <v/>
      </c>
      <c r="EV80" s="83" t="str">
        <f t="shared" si="69"/>
        <v/>
      </c>
      <c r="EW80" s="83" t="str">
        <f t="shared" si="73"/>
        <v/>
      </c>
      <c r="EX80" s="530" t="str">
        <f t="shared" si="74"/>
        <v/>
      </c>
      <c r="EY80" s="83" t="s">
        <v>439</v>
      </c>
      <c r="EZ80" s="530" t="s">
        <v>9106</v>
      </c>
      <c r="FB80" s="83" t="s">
        <v>17607</v>
      </c>
      <c r="FC80" s="133" t="s">
        <v>13214</v>
      </c>
      <c r="FD80" s="85" t="s">
        <v>1328</v>
      </c>
      <c r="FE80" s="849">
        <v>113</v>
      </c>
      <c r="FF80">
        <v>28</v>
      </c>
      <c r="FG80">
        <v>36</v>
      </c>
      <c r="FH80">
        <v>34</v>
      </c>
      <c r="FI80">
        <v>32</v>
      </c>
      <c r="FJ80" s="10">
        <v>45</v>
      </c>
      <c r="FK80">
        <v>12</v>
      </c>
      <c r="FL80">
        <v>34</v>
      </c>
      <c r="FM80" s="165">
        <v>0</v>
      </c>
      <c r="FN80" s="88">
        <v>1</v>
      </c>
      <c r="FO80" s="88">
        <v>8</v>
      </c>
      <c r="FP80" s="691">
        <f t="shared" si="86"/>
        <v>3</v>
      </c>
      <c r="FQ80" s="691">
        <f t="shared" si="85"/>
        <v>3</v>
      </c>
      <c r="FR80" s="10">
        <v>6</v>
      </c>
      <c r="FS80" s="88">
        <v>0</v>
      </c>
      <c r="FT80" s="88">
        <v>0</v>
      </c>
      <c r="FU80" s="165">
        <v>0</v>
      </c>
      <c r="FV80" s="83" t="s">
        <v>17608</v>
      </c>
      <c r="FW80" s="83" t="s">
        <v>17609</v>
      </c>
      <c r="FX80" s="530" t="s">
        <v>7659</v>
      </c>
      <c r="GA80" t="s">
        <v>7472</v>
      </c>
      <c r="GE80" s="356"/>
      <c r="GF80" t="s">
        <v>8218</v>
      </c>
      <c r="GG80" s="356" t="s">
        <v>8887</v>
      </c>
      <c r="GH80" s="83" t="s">
        <v>8900</v>
      </c>
      <c r="GI80" s="83" t="s">
        <v>8906</v>
      </c>
      <c r="GJ80" s="83"/>
      <c r="GK80" s="530"/>
    </row>
    <row r="81" spans="8:193" ht="13.2" customHeight="1">
      <c r="H81" s="3" t="s">
        <v>2862</v>
      </c>
      <c r="I81" s="6" t="s">
        <v>2867</v>
      </c>
      <c r="J81" s="3"/>
      <c r="K81" s="3"/>
      <c r="L81" s="3"/>
      <c r="M81" s="651"/>
      <c r="N81" s="3"/>
      <c r="O81" s="3"/>
      <c r="P81" s="3"/>
      <c r="Q81" s="3"/>
      <c r="R81" s="651"/>
      <c r="S81" s="83" t="str">
        <f>IF(CareerType=Y81,"Chef de bande",IF(AllCareers="X","Chef de bande",IF(Selectsousrace="","",IF(SelectRace="skaven","",IF(FirstCareer="1ère carrière","","Chef de bande")))))</f>
        <v/>
      </c>
      <c r="T81" s="106">
        <v>2</v>
      </c>
      <c r="U81" s="693" t="str">
        <f t="shared" si="75"/>
        <v/>
      </c>
      <c r="V81" s="693" t="str">
        <f t="shared" si="76"/>
        <v/>
      </c>
      <c r="W81" s="693" t="str">
        <f t="shared" si="77"/>
        <v/>
      </c>
      <c r="X81" s="47" t="s">
        <v>2153</v>
      </c>
      <c r="Y81" s="743" t="s">
        <v>7133</v>
      </c>
      <c r="Z81" s="55" t="s">
        <v>2200</v>
      </c>
      <c r="AA81" s="47">
        <v>67</v>
      </c>
      <c r="AB81" s="47" t="s">
        <v>2253</v>
      </c>
      <c r="AC81" s="47">
        <v>157</v>
      </c>
      <c r="AD81" s="15" t="s">
        <v>100</v>
      </c>
      <c r="AE81" s="15" t="s">
        <v>116</v>
      </c>
      <c r="AF81" s="15" t="s">
        <v>98</v>
      </c>
      <c r="AG81" s="15" t="s">
        <v>100</v>
      </c>
      <c r="AH81" s="15" t="s">
        <v>98</v>
      </c>
      <c r="AI81" s="15" t="s">
        <v>98</v>
      </c>
      <c r="AJ81" s="15" t="s">
        <v>98</v>
      </c>
      <c r="AK81" s="18" t="s">
        <v>100</v>
      </c>
      <c r="AL81" s="15" t="s">
        <v>113</v>
      </c>
      <c r="AM81" s="15" t="s">
        <v>112</v>
      </c>
      <c r="AN81" s="15" t="s">
        <v>149</v>
      </c>
      <c r="AO81" s="15" t="s">
        <v>149</v>
      </c>
      <c r="AP81" s="87" t="s">
        <v>15821</v>
      </c>
      <c r="AQ81" s="87" t="s">
        <v>734</v>
      </c>
      <c r="AR81" s="87" t="s">
        <v>15747</v>
      </c>
      <c r="AS81" s="87" t="s">
        <v>734</v>
      </c>
      <c r="AT81" s="22" t="s">
        <v>3429</v>
      </c>
      <c r="AU81" s="87" t="s">
        <v>16794</v>
      </c>
      <c r="AV81" s="87" t="s">
        <v>16795</v>
      </c>
      <c r="AW81" s="457">
        <v>0</v>
      </c>
      <c r="AX81" s="630" t="str">
        <f t="shared" si="81"/>
        <v/>
      </c>
      <c r="AY81" s="630" t="str">
        <f t="shared" si="82"/>
        <v/>
      </c>
      <c r="AZ81" s="630" t="str">
        <f t="shared" si="83"/>
        <v/>
      </c>
      <c r="BA81" s="3"/>
      <c r="BB81" s="3"/>
      <c r="BC81" s="3"/>
      <c r="BD81" s="3"/>
      <c r="BE81" s="3"/>
      <c r="BF81" s="3"/>
      <c r="BG81" s="3"/>
      <c r="BH81" s="3"/>
      <c r="BI81" s="3"/>
      <c r="BJ81" s="3"/>
      <c r="BK81" s="3"/>
      <c r="BL81" s="3"/>
      <c r="BM81" s="3">
        <v>89</v>
      </c>
      <c r="BN81" s="3"/>
      <c r="BP81" s="3"/>
      <c r="BQ81" s="3" t="s">
        <v>11886</v>
      </c>
      <c r="BR81" s="3"/>
      <c r="BS81" s="3"/>
      <c r="BT81" s="3"/>
      <c r="BU81" s="3"/>
      <c r="BV81" s="3"/>
      <c r="BW81" s="3"/>
      <c r="BX81" s="3" t="str">
        <f>IF(Province="Ligue de l'Ostermark","Village pauvre d'Ligue de l'Ostermark","")</f>
        <v/>
      </c>
      <c r="BY81" t="str">
        <f t="shared" si="78"/>
        <v/>
      </c>
      <c r="BZ81" s="83" t="str">
        <f t="shared" si="70"/>
        <v/>
      </c>
      <c r="CA81" s="83" t="str">
        <f t="shared" si="71"/>
        <v/>
      </c>
      <c r="CB81" s="530" t="str">
        <f t="shared" si="72"/>
        <v/>
      </c>
      <c r="CC81" s="3" t="s">
        <v>10718</v>
      </c>
      <c r="CD81" s="3" t="s">
        <v>1063</v>
      </c>
      <c r="CG81" s="3" t="s">
        <v>6181</v>
      </c>
      <c r="CH81" s="83" t="s">
        <v>14904</v>
      </c>
      <c r="CI81" s="3"/>
      <c r="CJ81" s="3"/>
      <c r="CK81" s="3" t="s">
        <v>6824</v>
      </c>
      <c r="CL81" s="3" t="s">
        <v>6509</v>
      </c>
      <c r="CM81" t="s">
        <v>10300</v>
      </c>
      <c r="CN81" s="3" t="s">
        <v>6536</v>
      </c>
      <c r="CO81" s="3" t="str">
        <f>CONCATENATE("Crom",IF(AND('page 1'!M11="Féminin",Pays="Norsca"),"dottir",IF(AND('page 1'!M11="Masculin",Pays="Norsca"),"son",IF(AND('page 1'!M11="Féminin",Pays="Kislev"),"ovna",IF(AND('page 1'!M11="Masculin",Pays="Kislev"),"sky","")))))</f>
        <v>Crom</v>
      </c>
      <c r="CP81" s="3"/>
      <c r="CQ81" s="3"/>
      <c r="CR81" s="3" t="s">
        <v>13452</v>
      </c>
      <c r="CU81" s="3"/>
      <c r="CV81" s="3"/>
      <c r="CW81" s="3"/>
      <c r="CX81" s="3"/>
      <c r="CY81" s="38" t="s">
        <v>131</v>
      </c>
      <c r="CZ81" s="3"/>
      <c r="DA81" s="3" t="s">
        <v>12638</v>
      </c>
      <c r="DB81" s="84" t="s">
        <v>12707</v>
      </c>
      <c r="DC81" s="3"/>
      <c r="DD81" s="83" t="s">
        <v>11211</v>
      </c>
      <c r="DE81" s="3" t="s">
        <v>135</v>
      </c>
      <c r="DF81" s="3">
        <f>ROW()</f>
        <v>81</v>
      </c>
      <c r="DG81" s="3" t="s">
        <v>447</v>
      </c>
      <c r="DH81" s="3">
        <f t="shared" si="59"/>
        <v>150</v>
      </c>
      <c r="DI81" s="3">
        <f t="shared" si="60"/>
        <v>135</v>
      </c>
      <c r="DJ81" s="3">
        <f t="shared" si="61"/>
        <v>120</v>
      </c>
      <c r="DK81" s="3">
        <f t="shared" si="62"/>
        <v>105</v>
      </c>
      <c r="DL81" s="3"/>
      <c r="DM81" s="3"/>
      <c r="DN81" s="3"/>
      <c r="DO81" s="3"/>
      <c r="DP81" s="3"/>
      <c r="DQ81" s="3"/>
      <c r="DR81" s="3"/>
      <c r="DS81" s="3"/>
      <c r="DT81" s="3"/>
      <c r="DU81" s="3"/>
      <c r="DV81" s="3"/>
      <c r="DW81" s="3"/>
      <c r="DX81" s="3"/>
      <c r="DY81" s="3"/>
      <c r="DZ81" s="3" t="s">
        <v>2988</v>
      </c>
      <c r="EA81" s="83" t="s">
        <v>4535</v>
      </c>
      <c r="EB81" s="3"/>
      <c r="ED81" s="83" t="s">
        <v>10860</v>
      </c>
      <c r="EE81" s="83" t="s">
        <v>11512</v>
      </c>
      <c r="EF81" s="530" t="s">
        <v>16796</v>
      </c>
      <c r="EK81" s="874"/>
      <c r="EM81" s="90" t="s">
        <v>4963</v>
      </c>
      <c r="EN81" s="83" t="s">
        <v>4974</v>
      </c>
      <c r="EO81" s="83" t="s">
        <v>4998</v>
      </c>
      <c r="EP81" s="83" t="s">
        <v>4992</v>
      </c>
      <c r="EQ81" s="481"/>
      <c r="ER81" s="83"/>
      <c r="ES81" s="83"/>
      <c r="ET81" s="530"/>
      <c r="EU81" s="177" t="str">
        <f>IF(Dieu="Morr","Initié","")</f>
        <v/>
      </c>
      <c r="EV81" s="83" t="str">
        <f t="shared" si="69"/>
        <v/>
      </c>
      <c r="EW81" s="83" t="str">
        <f t="shared" si="73"/>
        <v/>
      </c>
      <c r="EX81" s="530" t="str">
        <f t="shared" si="74"/>
        <v/>
      </c>
      <c r="EZ81" s="530" t="s">
        <v>254</v>
      </c>
      <c r="FB81" s="83" t="s">
        <v>13033</v>
      </c>
      <c r="FC81" s="133" t="s">
        <v>13214</v>
      </c>
      <c r="FD81" s="83" t="s">
        <v>13005</v>
      </c>
      <c r="FE81" s="848" t="s">
        <v>13006</v>
      </c>
      <c r="FF81">
        <v>10</v>
      </c>
      <c r="FG81">
        <v>0</v>
      </c>
      <c r="FH81">
        <v>3</v>
      </c>
      <c r="FI81">
        <v>5</v>
      </c>
      <c r="FJ81" s="10">
        <v>20</v>
      </c>
      <c r="FK81">
        <v>10</v>
      </c>
      <c r="FL81">
        <v>10</v>
      </c>
      <c r="FM81" s="165">
        <v>0</v>
      </c>
      <c r="FN81" s="88">
        <v>1</v>
      </c>
      <c r="FO81" s="88">
        <v>1</v>
      </c>
      <c r="FP81" s="164">
        <f>ROUNDDOWN(FH81/10,0)</f>
        <v>0</v>
      </c>
      <c r="FQ81" s="164">
        <f>ROUNDDOWN(FI81/10,0)</f>
        <v>0</v>
      </c>
      <c r="FR81" s="684">
        <v>1</v>
      </c>
      <c r="FS81" s="167">
        <v>0</v>
      </c>
      <c r="FT81" s="167">
        <v>0</v>
      </c>
      <c r="FU81" s="165">
        <v>0</v>
      </c>
      <c r="FV81" s="83" t="s">
        <v>13008</v>
      </c>
      <c r="FW81" s="84" t="s">
        <v>16203</v>
      </c>
      <c r="FX81" s="752" t="s">
        <v>7659</v>
      </c>
      <c r="GA81" t="s">
        <v>7474</v>
      </c>
      <c r="GE81" s="356"/>
      <c r="GF81" t="s">
        <v>8201</v>
      </c>
      <c r="GG81" s="356" t="s">
        <v>8888</v>
      </c>
      <c r="GH81" s="83" t="s">
        <v>8900</v>
      </c>
      <c r="GI81" s="83" t="s">
        <v>8896</v>
      </c>
      <c r="GJ81" s="83"/>
      <c r="GK81" s="530"/>
    </row>
    <row r="82" spans="8:193" ht="13.2" customHeight="1">
      <c r="H82" s="3" t="s">
        <v>457</v>
      </c>
      <c r="I82" s="3" t="s">
        <v>511</v>
      </c>
      <c r="J82" s="3"/>
      <c r="K82" s="3"/>
      <c r="L82" s="3"/>
      <c r="M82" s="651"/>
      <c r="N82" s="3"/>
      <c r="O82" s="3"/>
      <c r="P82" s="3"/>
      <c r="Q82" s="3"/>
      <c r="R82" s="651"/>
      <c r="S82" s="83" t="str">
        <f>IF(CareerType=Y82,"Chef de clan",IF(AllCareers="X","Chef de clan",IF(FirstCareer="1ère carrière","",IF(SelectRace="skaven","Chef de clan",""))))</f>
        <v/>
      </c>
      <c r="T82" s="106">
        <f>IF(X82="oui",0,1)</f>
        <v>1</v>
      </c>
      <c r="U82" s="693" t="str">
        <f t="shared" si="75"/>
        <v/>
      </c>
      <c r="V82" s="693" t="str">
        <f t="shared" si="76"/>
        <v/>
      </c>
      <c r="W82" s="693" t="str">
        <f t="shared" si="77"/>
        <v/>
      </c>
      <c r="X82" s="47" t="s">
        <v>2153</v>
      </c>
      <c r="Y82" s="743" t="s">
        <v>7130</v>
      </c>
      <c r="Z82" s="56" t="s">
        <v>1328</v>
      </c>
      <c r="AA82" s="47">
        <v>97</v>
      </c>
      <c r="AB82" s="47" t="s">
        <v>3094</v>
      </c>
      <c r="AC82" s="48"/>
      <c r="AD82" s="15" t="s">
        <v>97</v>
      </c>
      <c r="AE82" s="15" t="s">
        <v>116</v>
      </c>
      <c r="AF82" s="15" t="s">
        <v>116</v>
      </c>
      <c r="AG82" s="15" t="s">
        <v>116</v>
      </c>
      <c r="AH82" s="15" t="s">
        <v>97</v>
      </c>
      <c r="AI82" s="15" t="s">
        <v>116</v>
      </c>
      <c r="AJ82" s="15" t="s">
        <v>99</v>
      </c>
      <c r="AK82" s="18" t="s">
        <v>100</v>
      </c>
      <c r="AL82" s="15" t="s">
        <v>113</v>
      </c>
      <c r="AM82" s="15" t="s">
        <v>112</v>
      </c>
      <c r="AN82" s="15" t="s">
        <v>149</v>
      </c>
      <c r="AO82" s="15" t="s">
        <v>149</v>
      </c>
      <c r="AP82" s="87" t="s">
        <v>734</v>
      </c>
      <c r="AQ82" s="87" t="s">
        <v>8760</v>
      </c>
      <c r="AR82" s="22" t="s">
        <v>14808</v>
      </c>
      <c r="AS82" s="87" t="s">
        <v>14809</v>
      </c>
      <c r="AT82" s="87" t="s">
        <v>16797</v>
      </c>
      <c r="AU82" s="87" t="s">
        <v>5499</v>
      </c>
      <c r="AV82" s="87" t="s">
        <v>15748</v>
      </c>
      <c r="AW82" s="457">
        <v>0</v>
      </c>
      <c r="AX82" s="630" t="str">
        <f t="shared" si="81"/>
        <v/>
      </c>
      <c r="AY82" s="630" t="str">
        <f t="shared" si="82"/>
        <v/>
      </c>
      <c r="AZ82" s="630" t="str">
        <f t="shared" si="83"/>
        <v/>
      </c>
      <c r="BA82" s="3"/>
      <c r="BB82" s="3"/>
      <c r="BC82" s="3"/>
      <c r="BD82" s="3"/>
      <c r="BE82" s="3"/>
      <c r="BF82" s="3"/>
      <c r="BG82" s="3"/>
      <c r="BH82" s="3"/>
      <c r="BI82" s="3"/>
      <c r="BJ82" s="3"/>
      <c r="BK82" s="3"/>
      <c r="BL82" s="3"/>
      <c r="BM82" s="3">
        <v>90</v>
      </c>
      <c r="BN82" s="3"/>
      <c r="BP82" s="3"/>
      <c r="BQ82" s="3" t="s">
        <v>11887</v>
      </c>
      <c r="BR82" s="3"/>
      <c r="BS82" s="3"/>
      <c r="BT82" s="3"/>
      <c r="BU82" s="3"/>
      <c r="BV82" s="3"/>
      <c r="BW82" s="3"/>
      <c r="BX82" s="3" t="str">
        <f>IF(Province="Grande principauté d'Ostland","Village pauvre d'Grande principauté d'Ostland","")</f>
        <v/>
      </c>
      <c r="BY82" t="str">
        <f t="shared" si="78"/>
        <v/>
      </c>
      <c r="BZ82" s="83" t="str">
        <f t="shared" si="70"/>
        <v/>
      </c>
      <c r="CA82" s="83" t="str">
        <f t="shared" si="71"/>
        <v/>
      </c>
      <c r="CB82" s="530" t="str">
        <f t="shared" si="72"/>
        <v/>
      </c>
      <c r="CC82" s="3" t="s">
        <v>10746</v>
      </c>
      <c r="CD82" t="s">
        <v>10675</v>
      </c>
      <c r="CG82" s="3" t="s">
        <v>6182</v>
      </c>
      <c r="CH82" s="3" t="s">
        <v>5969</v>
      </c>
      <c r="CI82" s="3"/>
      <c r="CJ82" s="3"/>
      <c r="CK82" s="3" t="s">
        <v>6935</v>
      </c>
      <c r="CL82" s="3" t="s">
        <v>6434</v>
      </c>
      <c r="CM82" s="83" t="s">
        <v>15221</v>
      </c>
      <c r="CN82" s="3" t="s">
        <v>6579</v>
      </c>
      <c r="CO82" s="3" t="s">
        <v>10937</v>
      </c>
      <c r="CP82" s="3"/>
      <c r="CQ82" s="3"/>
      <c r="CR82" s="3" t="s">
        <v>13453</v>
      </c>
      <c r="CU82" s="3"/>
      <c r="CV82" s="3"/>
      <c r="CW82" s="3"/>
      <c r="CX82" s="3"/>
      <c r="CY82" s="3" t="s">
        <v>7472</v>
      </c>
      <c r="CZ82" s="3"/>
      <c r="DA82" s="3" t="s">
        <v>12639</v>
      </c>
      <c r="DB82" s="83" t="s">
        <v>12709</v>
      </c>
      <c r="DC82" s="3"/>
      <c r="DD82" s="83" t="s">
        <v>11189</v>
      </c>
      <c r="DE82" s="3" t="s">
        <v>135</v>
      </c>
      <c r="DF82" s="3">
        <f>ROW()</f>
        <v>82</v>
      </c>
      <c r="DG82" s="3" t="s">
        <v>780</v>
      </c>
      <c r="DH82" s="3">
        <f t="shared" si="59"/>
        <v>400</v>
      </c>
      <c r="DI82" s="3">
        <f t="shared" si="60"/>
        <v>300</v>
      </c>
      <c r="DJ82" s="3">
        <f t="shared" si="61"/>
        <v>210</v>
      </c>
      <c r="DK82" s="3">
        <f t="shared" si="62"/>
        <v>120</v>
      </c>
      <c r="DL82" s="3"/>
      <c r="DM82" s="3"/>
      <c r="DN82" s="3"/>
      <c r="DO82" s="3"/>
      <c r="DP82" s="3"/>
      <c r="DQ82" s="3"/>
      <c r="DR82" s="3"/>
      <c r="DS82" s="3"/>
      <c r="DT82" s="3"/>
      <c r="DU82" s="3"/>
      <c r="DV82" s="3"/>
      <c r="DW82" s="3"/>
      <c r="DX82" s="3"/>
      <c r="DY82" s="3"/>
      <c r="DZ82" s="3" t="s">
        <v>2989</v>
      </c>
      <c r="EA82" s="83" t="s">
        <v>4535</v>
      </c>
      <c r="EB82" s="3"/>
      <c r="ED82" s="83" t="s">
        <v>4674</v>
      </c>
      <c r="EE82" s="83" t="s">
        <v>11512</v>
      </c>
      <c r="EF82" s="540" t="s">
        <v>16798</v>
      </c>
      <c r="EK82" s="874"/>
      <c r="EM82" s="90" t="s">
        <v>4962</v>
      </c>
      <c r="EN82" s="83" t="s">
        <v>4974</v>
      </c>
      <c r="EO82" s="84" t="s">
        <v>5000</v>
      </c>
      <c r="EP82" s="83" t="s">
        <v>4992</v>
      </c>
      <c r="EQ82" s="481"/>
      <c r="ER82" s="83"/>
      <c r="ES82" s="83"/>
      <c r="ET82" s="530"/>
      <c r="EU82" s="177" t="str">
        <f>IF(Dieu="Morr","Ordre de la Couvée des Corbeaux","")</f>
        <v/>
      </c>
      <c r="EV82" s="83" t="str">
        <f t="shared" si="69"/>
        <v/>
      </c>
      <c r="EW82" s="83" t="str">
        <f t="shared" si="73"/>
        <v/>
      </c>
      <c r="EX82" s="530" t="str">
        <f t="shared" si="74"/>
        <v/>
      </c>
      <c r="EZ82" s="531" t="s">
        <v>9106</v>
      </c>
      <c r="FB82" s="83" t="s">
        <v>16242</v>
      </c>
      <c r="FC82" s="133" t="s">
        <v>13214</v>
      </c>
      <c r="FD82" s="83" t="s">
        <v>13104</v>
      </c>
      <c r="FE82" s="848">
        <v>27</v>
      </c>
      <c r="FF82">
        <v>23</v>
      </c>
      <c r="FG82">
        <v>0</v>
      </c>
      <c r="FH82">
        <v>10</v>
      </c>
      <c r="FI82">
        <v>10</v>
      </c>
      <c r="FJ82" s="10">
        <v>38</v>
      </c>
      <c r="FK82">
        <v>12</v>
      </c>
      <c r="FL82">
        <v>10</v>
      </c>
      <c r="FM82" s="165">
        <v>5</v>
      </c>
      <c r="FN82" s="88">
        <v>1</v>
      </c>
      <c r="FO82" s="88">
        <v>2</v>
      </c>
      <c r="FP82" s="164">
        <f>ROUNDDOWN(FH82/10,0)</f>
        <v>1</v>
      </c>
      <c r="FQ82" s="164">
        <f>ROUNDDOWN(FI82/10,0)</f>
        <v>1</v>
      </c>
      <c r="FR82" s="684">
        <v>7</v>
      </c>
      <c r="FS82" s="167">
        <v>0</v>
      </c>
      <c r="FT82" s="167">
        <v>0</v>
      </c>
      <c r="FU82" s="165">
        <v>0</v>
      </c>
      <c r="FV82" s="83" t="s">
        <v>9941</v>
      </c>
      <c r="FW82" s="83" t="s">
        <v>16245</v>
      </c>
      <c r="FX82" s="567" t="s">
        <v>7660</v>
      </c>
      <c r="GA82" t="s">
        <v>7473</v>
      </c>
      <c r="GE82" s="356"/>
      <c r="GF82" t="s">
        <v>7691</v>
      </c>
      <c r="GG82" s="356" t="s">
        <v>8898</v>
      </c>
      <c r="GH82" s="83" t="s">
        <v>8900</v>
      </c>
      <c r="GI82" s="83" t="s">
        <v>8906</v>
      </c>
      <c r="GJ82" s="83"/>
      <c r="GK82" s="530"/>
    </row>
    <row r="83" spans="8:193" ht="13.2" customHeight="1">
      <c r="H83" s="3" t="s">
        <v>438</v>
      </c>
      <c r="I83" s="3" t="s">
        <v>507</v>
      </c>
      <c r="J83" s="3"/>
      <c r="K83" s="3"/>
      <c r="L83" s="3"/>
      <c r="M83" s="651"/>
      <c r="N83" s="3"/>
      <c r="O83" s="3"/>
      <c r="P83" s="3"/>
      <c r="Q83" s="3"/>
      <c r="R83" s="651"/>
      <c r="S83" s="83" t="str">
        <f>IF(OR(CareerType=Y83,AllCareers="X"),"Chef de guerre",IF(SelectRace="","",IF(FirstCareer="1ère carrière","","Chef de guerre")))</f>
        <v/>
      </c>
      <c r="T83" s="106">
        <f>IF(X83="oui",0,1)</f>
        <v>1</v>
      </c>
      <c r="U83" s="693" t="str">
        <f t="shared" si="75"/>
        <v/>
      </c>
      <c r="V83" s="693" t="str">
        <f t="shared" si="76"/>
        <v/>
      </c>
      <c r="W83" s="693" t="str">
        <f t="shared" si="77"/>
        <v/>
      </c>
      <c r="X83" s="47" t="s">
        <v>2153</v>
      </c>
      <c r="Y83" s="743" t="s">
        <v>7130</v>
      </c>
      <c r="Z83" s="55" t="s">
        <v>2196</v>
      </c>
      <c r="AA83" s="47">
        <v>155</v>
      </c>
      <c r="AB83" s="47" t="s">
        <v>2254</v>
      </c>
      <c r="AC83" s="47">
        <v>222</v>
      </c>
      <c r="AD83" s="15" t="s">
        <v>100</v>
      </c>
      <c r="AE83" s="15" t="s">
        <v>149</v>
      </c>
      <c r="AF83" s="15" t="s">
        <v>100</v>
      </c>
      <c r="AG83" s="15" t="s">
        <v>100</v>
      </c>
      <c r="AH83" s="15" t="s">
        <v>98</v>
      </c>
      <c r="AI83" s="15" t="s">
        <v>114</v>
      </c>
      <c r="AJ83" s="15" t="s">
        <v>98</v>
      </c>
      <c r="AK83" s="18" t="s">
        <v>98</v>
      </c>
      <c r="AL83" s="15" t="s">
        <v>113</v>
      </c>
      <c r="AM83" s="15" t="s">
        <v>114</v>
      </c>
      <c r="AN83" s="15" t="s">
        <v>149</v>
      </c>
      <c r="AO83" s="15" t="s">
        <v>149</v>
      </c>
      <c r="AP83" s="22" t="s">
        <v>122</v>
      </c>
      <c r="AQ83" s="87" t="s">
        <v>15890</v>
      </c>
      <c r="AR83" s="22" t="s">
        <v>12258</v>
      </c>
      <c r="AS83" s="87" t="s">
        <v>15891</v>
      </c>
      <c r="AT83" s="22" t="s">
        <v>3430</v>
      </c>
      <c r="AU83" s="87" t="s">
        <v>5447</v>
      </c>
      <c r="AV83" s="87" t="s">
        <v>4666</v>
      </c>
      <c r="AW83" s="457">
        <v>0</v>
      </c>
      <c r="AX83" s="630" t="str">
        <f t="shared" si="81"/>
        <v/>
      </c>
      <c r="AY83" s="630" t="str">
        <f t="shared" si="82"/>
        <v/>
      </c>
      <c r="AZ83" s="630" t="str">
        <f t="shared" si="83"/>
        <v/>
      </c>
      <c r="BA83" s="3"/>
      <c r="BB83" s="3"/>
      <c r="BC83" s="3"/>
      <c r="BD83" s="3"/>
      <c r="BE83" s="3"/>
      <c r="BF83" s="3"/>
      <c r="BG83" s="3"/>
      <c r="BH83" s="3"/>
      <c r="BI83" s="3"/>
      <c r="BJ83" s="3"/>
      <c r="BK83" s="3"/>
      <c r="BL83" s="3"/>
      <c r="BM83" s="3">
        <v>91</v>
      </c>
      <c r="BN83" s="3"/>
      <c r="BP83" s="3"/>
      <c r="BQ83" s="83" t="s">
        <v>11888</v>
      </c>
      <c r="BR83" s="3"/>
      <c r="BS83" s="3"/>
      <c r="BT83" s="3"/>
      <c r="BU83" s="3"/>
      <c r="BV83" s="3"/>
      <c r="BW83" s="3"/>
      <c r="BX83" s="83" t="str">
        <f>IF(Province="Grand comté d'Averland","Ville fortifiée du Grand comté d'Averland","")</f>
        <v/>
      </c>
      <c r="BY83" t="str">
        <f t="shared" si="78"/>
        <v/>
      </c>
      <c r="BZ83" s="83" t="str">
        <f t="shared" si="70"/>
        <v/>
      </c>
      <c r="CA83" s="83" t="str">
        <f t="shared" si="71"/>
        <v/>
      </c>
      <c r="CB83" s="530" t="str">
        <f t="shared" si="72"/>
        <v/>
      </c>
      <c r="CC83" s="3" t="s">
        <v>1040</v>
      </c>
      <c r="CD83" s="3" t="s">
        <v>3177</v>
      </c>
      <c r="CG83" s="3" t="s">
        <v>6183</v>
      </c>
      <c r="CH83" s="3" t="s">
        <v>5970</v>
      </c>
      <c r="CI83" s="3"/>
      <c r="CJ83" s="3"/>
      <c r="CK83" s="83" t="s">
        <v>15045</v>
      </c>
      <c r="CL83" s="83" t="s">
        <v>10749</v>
      </c>
      <c r="CM83" t="s">
        <v>10301</v>
      </c>
      <c r="CN83" s="3" t="s">
        <v>6552</v>
      </c>
      <c r="CO83" s="3" t="str">
        <f>CONCATENATE("Damir",IF(AND('page 1'!M11="Féminin",Pays="Norsca"),"dottir",IF(AND('page 1'!M11="Masculin",Pays="Norsca"),"son",IF(AND('page 1'!M11="Féminin",Pays="Kislev"),"ovna",IF(AND('page 1'!M11="Masculin",Pays="Kislev"),"sky","")))))</f>
        <v>Damir</v>
      </c>
      <c r="CP83" s="3"/>
      <c r="CQ83" s="3"/>
      <c r="CR83" s="3" t="s">
        <v>13454</v>
      </c>
      <c r="CU83" s="3"/>
      <c r="CV83" s="3"/>
      <c r="CW83" s="3"/>
      <c r="CX83" s="3"/>
      <c r="CY83" s="3" t="s">
        <v>828</v>
      </c>
      <c r="CZ83" s="3"/>
      <c r="DA83" s="3" t="s">
        <v>2479</v>
      </c>
      <c r="DB83" s="83" t="s">
        <v>12581</v>
      </c>
      <c r="DC83" s="3"/>
      <c r="DD83" s="83" t="s">
        <v>11188</v>
      </c>
      <c r="DE83" s="3" t="s">
        <v>135</v>
      </c>
      <c r="DF83" s="3">
        <f>ROW()</f>
        <v>83</v>
      </c>
      <c r="DG83" s="3" t="s">
        <v>447</v>
      </c>
      <c r="DH83" s="3">
        <f t="shared" si="59"/>
        <v>150</v>
      </c>
      <c r="DI83" s="3">
        <f t="shared" si="60"/>
        <v>135</v>
      </c>
      <c r="DJ83" s="3">
        <f t="shared" si="61"/>
        <v>120</v>
      </c>
      <c r="DK83" s="3">
        <f t="shared" si="62"/>
        <v>105</v>
      </c>
      <c r="DL83" s="3"/>
      <c r="DM83" s="3"/>
      <c r="DN83" s="3"/>
      <c r="DO83" s="3"/>
      <c r="DP83" s="3"/>
      <c r="DQ83" s="3"/>
      <c r="DR83" s="3"/>
      <c r="DS83" s="3"/>
      <c r="DT83" s="3"/>
      <c r="DU83" s="3"/>
      <c r="DV83" s="3"/>
      <c r="DW83" s="3"/>
      <c r="DX83" s="3"/>
      <c r="DY83" s="3"/>
      <c r="DZ83" s="3" t="s">
        <v>2990</v>
      </c>
      <c r="EA83" s="83" t="s">
        <v>4535</v>
      </c>
      <c r="EB83" s="3"/>
      <c r="ED83" s="83" t="s">
        <v>3077</v>
      </c>
      <c r="EE83" s="83" t="s">
        <v>11512</v>
      </c>
      <c r="EF83" s="530" t="s">
        <v>9066</v>
      </c>
      <c r="EK83" s="874"/>
      <c r="EM83" s="90" t="s">
        <v>4961</v>
      </c>
      <c r="EN83" s="83" t="s">
        <v>4974</v>
      </c>
      <c r="EO83" s="83" t="s">
        <v>5001</v>
      </c>
      <c r="EP83" s="83" t="s">
        <v>4992</v>
      </c>
      <c r="EQ83" s="481"/>
      <c r="ER83" s="83"/>
      <c r="ES83" s="83"/>
      <c r="ET83" s="530"/>
      <c r="EU83" s="85" t="str">
        <f>IF(Dieu="Morr","Ordre de la Faux Sacrée","")</f>
        <v/>
      </c>
      <c r="EV83" s="83" t="str">
        <f t="shared" si="69"/>
        <v/>
      </c>
      <c r="EW83" s="83" t="str">
        <f t="shared" si="73"/>
        <v/>
      </c>
      <c r="EX83" s="530" t="str">
        <f t="shared" si="74"/>
        <v/>
      </c>
      <c r="EY83" s="85" t="s">
        <v>12872</v>
      </c>
      <c r="EZ83" s="531" t="s">
        <v>9106</v>
      </c>
      <c r="FB83" s="83" t="s">
        <v>16243</v>
      </c>
      <c r="FC83" s="133" t="s">
        <v>13214</v>
      </c>
      <c r="FD83" s="641" t="s">
        <v>4551</v>
      </c>
      <c r="FE83" s="848" t="s">
        <v>149</v>
      </c>
      <c r="FF83">
        <v>25</v>
      </c>
      <c r="FG83">
        <v>0</v>
      </c>
      <c r="FH83">
        <v>6</v>
      </c>
      <c r="FI83">
        <v>4</v>
      </c>
      <c r="FJ83" s="10">
        <v>40</v>
      </c>
      <c r="FK83">
        <v>10</v>
      </c>
      <c r="FL83">
        <v>14</v>
      </c>
      <c r="FM83" s="165">
        <v>5</v>
      </c>
      <c r="FN83" s="88">
        <v>1</v>
      </c>
      <c r="FO83" s="88">
        <v>2</v>
      </c>
      <c r="FP83" s="691">
        <f>ROUNDDOWN(FH83/10,0)</f>
        <v>0</v>
      </c>
      <c r="FQ83" s="691">
        <f>ROUNDDOWN(FI83/10,0)</f>
        <v>0</v>
      </c>
      <c r="FR83" s="10">
        <v>4</v>
      </c>
      <c r="FS83" s="167">
        <v>0</v>
      </c>
      <c r="FT83" s="167">
        <v>0</v>
      </c>
      <c r="FU83" s="165">
        <v>0</v>
      </c>
      <c r="FV83" s="83" t="s">
        <v>9941</v>
      </c>
      <c r="FW83" s="83" t="s">
        <v>16245</v>
      </c>
      <c r="FX83" s="567" t="s">
        <v>7660</v>
      </c>
      <c r="GA83" t="s">
        <v>7475</v>
      </c>
      <c r="GE83" s="356"/>
      <c r="GF83" t="s">
        <v>7692</v>
      </c>
      <c r="GG83" s="356" t="s">
        <v>8889</v>
      </c>
      <c r="GH83" s="83" t="s">
        <v>8900</v>
      </c>
      <c r="GI83" s="83" t="s">
        <v>8906</v>
      </c>
      <c r="GJ83" s="83"/>
      <c r="GK83" s="530"/>
    </row>
    <row r="84" spans="8:193" ht="13.2" customHeight="1">
      <c r="H84" s="3" t="s">
        <v>439</v>
      </c>
      <c r="I84" s="6" t="s">
        <v>508</v>
      </c>
      <c r="J84" s="3"/>
      <c r="K84" s="3"/>
      <c r="L84" s="3"/>
      <c r="M84" s="651"/>
      <c r="N84" s="3"/>
      <c r="O84" s="3"/>
      <c r="P84" s="3"/>
      <c r="Q84" s="3"/>
      <c r="R84" s="651"/>
      <c r="S84" s="83" t="str">
        <f>IF(CareerType=Y84,"Chef de meute Moulder",IF(AllCareers="X","Chef de meute Moulder",IF(SelectRace="skaven","Chef de meute Moulder","")))</f>
        <v/>
      </c>
      <c r="T84" s="106">
        <f>IF(X84="oui",0,1)</f>
        <v>0</v>
      </c>
      <c r="U84" s="693" t="str">
        <f t="shared" si="75"/>
        <v/>
      </c>
      <c r="V84" s="693" t="str">
        <f t="shared" si="76"/>
        <v/>
      </c>
      <c r="W84" s="693" t="str">
        <f t="shared" si="77"/>
        <v/>
      </c>
      <c r="X84" s="47" t="s">
        <v>2160</v>
      </c>
      <c r="Y84" s="743" t="s">
        <v>7130</v>
      </c>
      <c r="Z84" s="56" t="s">
        <v>1328</v>
      </c>
      <c r="AA84" s="47">
        <v>93</v>
      </c>
      <c r="AB84" s="89" t="s">
        <v>9287</v>
      </c>
      <c r="AC84" s="48"/>
      <c r="AD84" s="15" t="s">
        <v>114</v>
      </c>
      <c r="AE84" s="15" t="s">
        <v>149</v>
      </c>
      <c r="AF84" s="15" t="s">
        <v>114</v>
      </c>
      <c r="AG84" s="15" t="s">
        <v>114</v>
      </c>
      <c r="AH84" s="15" t="s">
        <v>114</v>
      </c>
      <c r="AI84" s="15" t="s">
        <v>114</v>
      </c>
      <c r="AJ84" s="15" t="s">
        <v>114</v>
      </c>
      <c r="AK84" s="18" t="s">
        <v>114</v>
      </c>
      <c r="AL84" s="15" t="s">
        <v>149</v>
      </c>
      <c r="AM84" s="15" t="s">
        <v>115</v>
      </c>
      <c r="AN84" s="15" t="s">
        <v>149</v>
      </c>
      <c r="AO84" s="15" t="s">
        <v>149</v>
      </c>
      <c r="AP84" s="87" t="s">
        <v>734</v>
      </c>
      <c r="AQ84" s="87" t="s">
        <v>3088</v>
      </c>
      <c r="AR84" s="22" t="s">
        <v>14810</v>
      </c>
      <c r="AS84" s="87" t="s">
        <v>14811</v>
      </c>
      <c r="AT84" s="22" t="s">
        <v>3431</v>
      </c>
      <c r="AU84" s="87" t="s">
        <v>5495</v>
      </c>
      <c r="AV84" s="22" t="s">
        <v>4791</v>
      </c>
      <c r="AW84" s="457">
        <v>0</v>
      </c>
      <c r="AX84" s="630" t="str">
        <f t="shared" si="81"/>
        <v/>
      </c>
      <c r="AY84" s="630" t="str">
        <f t="shared" si="82"/>
        <v/>
      </c>
      <c r="AZ84" s="630" t="str">
        <f t="shared" si="83"/>
        <v/>
      </c>
      <c r="BA84" s="3"/>
      <c r="BB84" s="3"/>
      <c r="BC84" s="3"/>
      <c r="BD84" s="3"/>
      <c r="BE84" s="3"/>
      <c r="BF84" s="3"/>
      <c r="BG84" s="3"/>
      <c r="BH84" s="3"/>
      <c r="BI84" s="3"/>
      <c r="BJ84" s="3"/>
      <c r="BK84" s="3"/>
      <c r="BL84" s="3"/>
      <c r="BM84" s="3">
        <v>92</v>
      </c>
      <c r="BN84" s="3"/>
      <c r="BP84" s="3"/>
      <c r="BQ84" s="3" t="s">
        <v>11889</v>
      </c>
      <c r="BR84" s="83"/>
      <c r="BS84" s="83"/>
      <c r="BT84" s="3"/>
      <c r="BU84" s="3"/>
      <c r="BV84" s="3"/>
      <c r="BW84" s="3"/>
      <c r="BX84" s="3" t="str">
        <f>IF(Province="Grande baronnie du Hochland","Ville fortifiée de la Grande baronnie du Hochland","")</f>
        <v/>
      </c>
      <c r="BY84" t="str">
        <f t="shared" si="78"/>
        <v/>
      </c>
      <c r="BZ84" s="83" t="str">
        <f t="shared" si="70"/>
        <v/>
      </c>
      <c r="CA84" s="83" t="str">
        <f t="shared" si="71"/>
        <v/>
      </c>
      <c r="CB84" s="530" t="str">
        <f t="shared" si="72"/>
        <v/>
      </c>
      <c r="CC84" s="3" t="s">
        <v>3265</v>
      </c>
      <c r="CD84" s="3" t="s">
        <v>3178</v>
      </c>
      <c r="CG84" s="3" t="s">
        <v>6184</v>
      </c>
      <c r="CH84" s="3" t="s">
        <v>5971</v>
      </c>
      <c r="CI84" s="3"/>
      <c r="CJ84" s="3"/>
      <c r="CK84" s="3" t="s">
        <v>6902</v>
      </c>
      <c r="CL84" s="3" t="s">
        <v>6475</v>
      </c>
      <c r="CM84" t="s">
        <v>10302</v>
      </c>
      <c r="CN84" s="3" t="s">
        <v>6592</v>
      </c>
      <c r="CO84" s="3" t="str">
        <f>CONCATENATE("Damni",IF(AND('page 1'!M11="Féminin",Pays="Norsca"),"dottir",IF(AND('page 1'!M11="Masculin",Pays="Norsca"),"son",IF(AND('page 1'!M11="Féminin",Pays="Kislev"),"ovna",IF(AND('page 1'!M11="Masculin",Pays="Kislev"),"sky","")))))</f>
        <v>Damni</v>
      </c>
      <c r="CP84" s="3"/>
      <c r="CQ84" s="3"/>
      <c r="CR84" s="3" t="s">
        <v>13455</v>
      </c>
      <c r="CU84" s="3"/>
      <c r="CV84" s="3"/>
      <c r="CW84" s="3"/>
      <c r="CX84" s="3"/>
      <c r="CY84" s="83" t="s">
        <v>9578</v>
      </c>
      <c r="CZ84" s="3"/>
      <c r="DA84" s="3" t="s">
        <v>12640</v>
      </c>
      <c r="DB84" s="84" t="s">
        <v>12749</v>
      </c>
      <c r="DC84" s="3"/>
      <c r="DD84" s="3" t="s">
        <v>451</v>
      </c>
      <c r="DE84" s="3" t="s">
        <v>133</v>
      </c>
      <c r="DF84" s="3">
        <f>ROW()</f>
        <v>84</v>
      </c>
      <c r="DG84" s="3" t="s">
        <v>2680</v>
      </c>
      <c r="DH84" s="3">
        <f t="shared" si="59"/>
        <v>750</v>
      </c>
      <c r="DI84" s="3">
        <f t="shared" si="60"/>
        <v>565</v>
      </c>
      <c r="DJ84" s="3">
        <f t="shared" si="61"/>
        <v>380</v>
      </c>
      <c r="DK84" s="3">
        <f t="shared" si="62"/>
        <v>195</v>
      </c>
      <c r="DL84" s="3"/>
      <c r="DM84" s="3"/>
      <c r="DN84" s="3"/>
      <c r="DO84" s="3"/>
      <c r="DP84" s="3"/>
      <c r="DQ84" s="3"/>
      <c r="DR84" s="3"/>
      <c r="DS84" s="3"/>
      <c r="DT84" s="3"/>
      <c r="DU84" s="3"/>
      <c r="DV84" s="3"/>
      <c r="DW84" s="3"/>
      <c r="DX84" s="3"/>
      <c r="DY84" s="3"/>
      <c r="DZ84" s="3" t="s">
        <v>429</v>
      </c>
      <c r="EA84" s="83" t="s">
        <v>4535</v>
      </c>
      <c r="EB84" s="3"/>
      <c r="ED84" s="83" t="s">
        <v>9593</v>
      </c>
      <c r="EE84" s="83" t="s">
        <v>11512</v>
      </c>
      <c r="EF84" s="530" t="s">
        <v>10820</v>
      </c>
      <c r="EK84" s="874"/>
      <c r="EM84" s="90" t="s">
        <v>4960</v>
      </c>
      <c r="EN84" s="83" t="s">
        <v>4974</v>
      </c>
      <c r="EO84" s="83" t="s">
        <v>5002</v>
      </c>
      <c r="EP84" s="83" t="s">
        <v>4999</v>
      </c>
      <c r="EQ84" s="481"/>
      <c r="ER84" s="83"/>
      <c r="ES84" s="83"/>
      <c r="ET84" s="530"/>
      <c r="EU84" s="85" t="str">
        <f>IF(Dieu="Morr","Ordre de la Rose noire","")</f>
        <v/>
      </c>
      <c r="EV84" s="83" t="str">
        <f t="shared" si="69"/>
        <v/>
      </c>
      <c r="EW84" s="83" t="str">
        <f t="shared" si="73"/>
        <v/>
      </c>
      <c r="EX84" s="530" t="str">
        <f t="shared" si="74"/>
        <v/>
      </c>
      <c r="EY84" s="85" t="s">
        <v>12873</v>
      </c>
      <c r="FB84" s="83" t="s">
        <v>16244</v>
      </c>
      <c r="FC84" s="133" t="s">
        <v>13214</v>
      </c>
      <c r="FD84" t="s">
        <v>2211</v>
      </c>
      <c r="FE84" s="849">
        <v>189</v>
      </c>
      <c r="FF84">
        <v>20</v>
      </c>
      <c r="FG84">
        <v>0</v>
      </c>
      <c r="FH84">
        <v>12</v>
      </c>
      <c r="FI84">
        <v>25</v>
      </c>
      <c r="FJ84" s="10">
        <v>25</v>
      </c>
      <c r="FK84">
        <v>10</v>
      </c>
      <c r="FL84">
        <v>20</v>
      </c>
      <c r="FM84" s="165">
        <v>0</v>
      </c>
      <c r="FN84" s="88">
        <v>1</v>
      </c>
      <c r="FO84" s="88">
        <v>4</v>
      </c>
      <c r="FP84" s="164">
        <f>ROUNDDOWN(FH84/10,0)</f>
        <v>1</v>
      </c>
      <c r="FQ84" s="164">
        <f>ROUNDDOWN(FI84/10,0)</f>
        <v>2</v>
      </c>
      <c r="FR84" s="684">
        <v>3</v>
      </c>
      <c r="FS84" s="167">
        <v>0</v>
      </c>
      <c r="FT84" s="167">
        <v>0</v>
      </c>
      <c r="FU84" s="165">
        <v>0</v>
      </c>
      <c r="FV84" s="83" t="s">
        <v>7243</v>
      </c>
      <c r="FW84" s="83" t="s">
        <v>16204</v>
      </c>
      <c r="FX84" s="567" t="s">
        <v>7659</v>
      </c>
      <c r="GA84" t="s">
        <v>7476</v>
      </c>
      <c r="GE84" s="356"/>
      <c r="GF84" s="83" t="s">
        <v>16799</v>
      </c>
      <c r="GG84" s="356" t="s">
        <v>8899</v>
      </c>
      <c r="GH84" s="83" t="s">
        <v>8900</v>
      </c>
      <c r="GI84" s="83" t="s">
        <v>8906</v>
      </c>
      <c r="GJ84" s="83"/>
      <c r="GK84" s="530"/>
    </row>
    <row r="85" spans="8:193" ht="13.2" customHeight="1">
      <c r="H85" s="3" t="s">
        <v>2863</v>
      </c>
      <c r="I85" s="3" t="s">
        <v>2864</v>
      </c>
      <c r="J85" s="136"/>
      <c r="K85" s="3"/>
      <c r="L85" s="3"/>
      <c r="M85" s="651"/>
      <c r="N85" s="3"/>
      <c r="O85" s="3"/>
      <c r="P85" s="3"/>
      <c r="Q85" s="3"/>
      <c r="R85" s="651"/>
      <c r="S85" s="83" t="str">
        <f>IF(CareerType=Y85,"Chevalier",IF(AllCareers="X","Chevalier",IF(Selectsousrace="","",IF(OR(SelectRace="homme-bête",SelectRace="peau-verte",SelectRace="créature du chaos",SelectRace="Homme-lézard",SelectRace="skaven"),"",IF(FirstCareer="1ère carrière","","Chevalier")))))</f>
        <v/>
      </c>
      <c r="T85" s="106">
        <f>IF(X85="oui",0,1)</f>
        <v>1</v>
      </c>
      <c r="U85" s="693" t="str">
        <f t="shared" si="75"/>
        <v/>
      </c>
      <c r="V85" s="693" t="str">
        <f t="shared" si="76"/>
        <v/>
      </c>
      <c r="W85" s="693" t="str">
        <f t="shared" si="77"/>
        <v/>
      </c>
      <c r="X85" s="47" t="s">
        <v>2153</v>
      </c>
      <c r="Y85" s="743" t="s">
        <v>7130</v>
      </c>
      <c r="Z85" s="55" t="s">
        <v>2200</v>
      </c>
      <c r="AA85" s="47">
        <v>68</v>
      </c>
      <c r="AB85" s="47" t="s">
        <v>2255</v>
      </c>
      <c r="AC85" s="47">
        <v>122</v>
      </c>
      <c r="AD85" s="15" t="s">
        <v>99</v>
      </c>
      <c r="AE85" s="15" t="s">
        <v>149</v>
      </c>
      <c r="AF85" s="15" t="s">
        <v>101</v>
      </c>
      <c r="AG85" s="15" t="s">
        <v>101</v>
      </c>
      <c r="AH85" s="15" t="s">
        <v>101</v>
      </c>
      <c r="AI85" s="20" t="s">
        <v>114</v>
      </c>
      <c r="AJ85" s="15" t="s">
        <v>101</v>
      </c>
      <c r="AK85" s="21" t="s">
        <v>114</v>
      </c>
      <c r="AL85" s="15" t="s">
        <v>102</v>
      </c>
      <c r="AM85" s="15" t="s">
        <v>103</v>
      </c>
      <c r="AN85" s="15" t="s">
        <v>149</v>
      </c>
      <c r="AO85" s="15" t="s">
        <v>149</v>
      </c>
      <c r="AP85" s="141" t="s">
        <v>16153</v>
      </c>
      <c r="AQ85" s="87" t="s">
        <v>734</v>
      </c>
      <c r="AR85" s="87" t="s">
        <v>10139</v>
      </c>
      <c r="AS85" s="87" t="s">
        <v>734</v>
      </c>
      <c r="AT85" s="22" t="s">
        <v>3432</v>
      </c>
      <c r="AU85" s="87" t="s">
        <v>16800</v>
      </c>
      <c r="AV85" s="87" t="s">
        <v>4601</v>
      </c>
      <c r="AW85" s="457">
        <v>0</v>
      </c>
      <c r="AX85" s="630" t="str">
        <f t="shared" si="81"/>
        <v/>
      </c>
      <c r="AY85" s="630" t="str">
        <f t="shared" si="82"/>
        <v/>
      </c>
      <c r="AZ85" s="630" t="str">
        <f t="shared" si="83"/>
        <v/>
      </c>
      <c r="BA85" s="3"/>
      <c r="BB85" s="3"/>
      <c r="BC85" s="3"/>
      <c r="BD85" s="3"/>
      <c r="BE85" s="3"/>
      <c r="BF85" s="3"/>
      <c r="BG85" s="3"/>
      <c r="BH85" s="3"/>
      <c r="BI85" s="3"/>
      <c r="BJ85" s="3"/>
      <c r="BK85" s="3"/>
      <c r="BL85" s="3"/>
      <c r="BM85" s="3">
        <v>93</v>
      </c>
      <c r="BN85" s="3"/>
      <c r="BP85" s="3"/>
      <c r="BQ85" s="3" t="s">
        <v>11890</v>
      </c>
      <c r="BR85" s="3"/>
      <c r="BS85" s="3"/>
      <c r="BT85" s="3"/>
      <c r="BU85" s="3"/>
      <c r="BV85" s="3"/>
      <c r="BW85" s="3"/>
      <c r="BX85" s="3" t="str">
        <f>IF(Province="Grands-duchés de Middenheim et du Middenland","Ville fortifiée de Grands-duchés de Middenheim et du Middenland","")</f>
        <v/>
      </c>
      <c r="BY85" t="str">
        <f t="shared" si="78"/>
        <v/>
      </c>
      <c r="BZ85" s="83" t="str">
        <f t="shared" si="70"/>
        <v/>
      </c>
      <c r="CA85" s="83" t="str">
        <f t="shared" si="71"/>
        <v/>
      </c>
      <c r="CB85" s="530" t="str">
        <f t="shared" si="72"/>
        <v/>
      </c>
      <c r="CC85" s="3" t="s">
        <v>3266</v>
      </c>
      <c r="CD85" s="3" t="s">
        <v>1064</v>
      </c>
      <c r="CG85" s="3" t="s">
        <v>888</v>
      </c>
      <c r="CH85" s="3" t="s">
        <v>3121</v>
      </c>
      <c r="CI85" s="3"/>
      <c r="CJ85" s="3"/>
      <c r="CK85" s="3" t="s">
        <v>6865</v>
      </c>
      <c r="CL85" s="3" t="s">
        <v>6447</v>
      </c>
      <c r="CM85" s="83" t="s">
        <v>15239</v>
      </c>
      <c r="CN85" s="3" t="s">
        <v>6542</v>
      </c>
      <c r="CO85" s="3" t="str">
        <f>CONCATENATE("Danis",IF(AND('page 1'!M11="Féminin",Pays="Norsca"),"dottir",IF(AND('page 1'!M11="Masculin",Pays="Norsca"),"son",IF(AND('page 1'!M11="Féminin",Pays="Kislev"),"ovna",IF(AND('page 1'!M11="Masculin",Pays="Kislev"),"sky","")))))</f>
        <v>Danis</v>
      </c>
      <c r="CP85" s="3"/>
      <c r="CQ85" s="3"/>
      <c r="CR85" s="83" t="s">
        <v>13456</v>
      </c>
      <c r="CU85" s="3"/>
      <c r="CV85" s="3"/>
      <c r="CW85" s="3"/>
      <c r="CX85" s="3"/>
      <c r="CY85" s="38" t="s">
        <v>134</v>
      </c>
      <c r="CZ85" s="3"/>
      <c r="DA85" s="3" t="s">
        <v>12641</v>
      </c>
      <c r="DB85" s="84" t="s">
        <v>12711</v>
      </c>
      <c r="DC85" s="3"/>
      <c r="DD85" s="83" t="s">
        <v>11197</v>
      </c>
      <c r="DE85" s="3" t="s">
        <v>131</v>
      </c>
      <c r="DF85" s="3">
        <f>ROW()</f>
        <v>85</v>
      </c>
      <c r="DG85" s="3" t="s">
        <v>780</v>
      </c>
      <c r="DH85" s="3">
        <f t="shared" si="59"/>
        <v>400</v>
      </c>
      <c r="DI85" s="3">
        <f t="shared" si="60"/>
        <v>300</v>
      </c>
      <c r="DJ85" s="3">
        <f t="shared" si="61"/>
        <v>210</v>
      </c>
      <c r="DK85" s="3">
        <f t="shared" si="62"/>
        <v>120</v>
      </c>
      <c r="DL85" s="3"/>
      <c r="DM85" s="3"/>
      <c r="DN85" s="3"/>
      <c r="DO85" s="3"/>
      <c r="DP85" s="3"/>
      <c r="DQ85" s="3"/>
      <c r="DR85" s="3"/>
      <c r="DS85" s="3"/>
      <c r="DT85" s="3"/>
      <c r="DU85" s="3"/>
      <c r="DV85" s="3"/>
      <c r="DW85" s="3"/>
      <c r="DX85" s="3"/>
      <c r="DY85" s="3"/>
      <c r="DZ85" s="3" t="s">
        <v>2991</v>
      </c>
      <c r="EA85" s="83" t="s">
        <v>4536</v>
      </c>
      <c r="EB85" s="3"/>
      <c r="ED85" s="3" t="s">
        <v>12848</v>
      </c>
      <c r="EE85" s="83" t="s">
        <v>148</v>
      </c>
      <c r="EF85" s="530" t="s">
        <v>16801</v>
      </c>
      <c r="EK85" s="874"/>
      <c r="EM85" s="83" t="s">
        <v>4968</v>
      </c>
      <c r="EN85" s="83" t="s">
        <v>4974</v>
      </c>
      <c r="EO85" s="83" t="s">
        <v>4991</v>
      </c>
      <c r="EP85" s="83" t="s">
        <v>4992</v>
      </c>
      <c r="EQ85" s="481"/>
      <c r="ER85" s="83"/>
      <c r="ES85" s="83"/>
      <c r="ET85" s="530"/>
      <c r="EU85" s="177" t="str">
        <f>IF(Dieu="Morr","Prophètes des derniers jours","")</f>
        <v/>
      </c>
      <c r="EV85" s="83" t="str">
        <f t="shared" si="69"/>
        <v/>
      </c>
      <c r="EW85" s="83" t="str">
        <f t="shared" si="73"/>
        <v/>
      </c>
      <c r="EX85" s="530" t="str">
        <f t="shared" si="74"/>
        <v/>
      </c>
      <c r="EY85" s="83" t="s">
        <v>439</v>
      </c>
      <c r="EZ85" s="530" t="s">
        <v>5875</v>
      </c>
      <c r="FB85" s="83" t="s">
        <v>16221</v>
      </c>
      <c r="FC85" s="133" t="s">
        <v>13214</v>
      </c>
      <c r="FD85" s="641" t="s">
        <v>4551</v>
      </c>
      <c r="FE85" s="848" t="s">
        <v>149</v>
      </c>
      <c r="FF85">
        <v>33</v>
      </c>
      <c r="FG85">
        <v>0</v>
      </c>
      <c r="FH85">
        <v>10</v>
      </c>
      <c r="FI85">
        <v>20</v>
      </c>
      <c r="FJ85" s="10">
        <v>40</v>
      </c>
      <c r="FK85">
        <v>10</v>
      </c>
      <c r="FL85">
        <v>10</v>
      </c>
      <c r="FM85" s="165">
        <v>1</v>
      </c>
      <c r="FN85" s="88">
        <v>1</v>
      </c>
      <c r="FO85" s="88">
        <v>5</v>
      </c>
      <c r="FP85" s="691">
        <f>ROUNDDOWN(FH85/10,0)</f>
        <v>1</v>
      </c>
      <c r="FQ85" s="691">
        <f>ROUNDDOWN(FI85/10,0)</f>
        <v>2</v>
      </c>
      <c r="FR85" s="10">
        <v>6</v>
      </c>
      <c r="FS85" s="167">
        <v>0</v>
      </c>
      <c r="FT85" s="167">
        <v>0</v>
      </c>
      <c r="FU85" s="165">
        <v>0</v>
      </c>
      <c r="FV85" s="83" t="s">
        <v>13069</v>
      </c>
      <c r="FW85" s="83" t="s">
        <v>13048</v>
      </c>
      <c r="FX85" s="567" t="s">
        <v>7659</v>
      </c>
      <c r="GA85" t="s">
        <v>7477</v>
      </c>
      <c r="GE85" s="356"/>
      <c r="GF85" t="s">
        <v>7693</v>
      </c>
      <c r="GG85" s="356" t="s">
        <v>16802</v>
      </c>
      <c r="GH85" s="83" t="s">
        <v>8900</v>
      </c>
      <c r="GI85" s="83" t="s">
        <v>8906</v>
      </c>
      <c r="GJ85" s="83"/>
      <c r="GK85" s="530"/>
    </row>
    <row r="86" spans="8:193" ht="13.2" customHeight="1">
      <c r="H86" s="3" t="s">
        <v>1257</v>
      </c>
      <c r="I86" s="3" t="s">
        <v>509</v>
      </c>
      <c r="J86" s="3"/>
      <c r="K86" s="3"/>
      <c r="L86" s="3"/>
      <c r="M86" s="651"/>
      <c r="N86" s="3"/>
      <c r="O86" s="3"/>
      <c r="P86" s="3"/>
      <c r="Q86" s="3"/>
      <c r="R86" s="651"/>
      <c r="S86" s="83" t="str">
        <f>IF(CareerType=Y86,"Chevalier de la Quête",IF(AllCareers="X","Chevalier de la Quête",IF(Selectsousrace="","",IF(OR(SelectRace="homme-bête",SelectRace="peau-verte",SelectRace="créature du chaos",SelectRace="Homme-lézard",SelectRace="skaven"),"",IF(FirstCareer="1ère carrière","","Chevalier de la Quête")))))</f>
        <v/>
      </c>
      <c r="T86" s="106">
        <v>2</v>
      </c>
      <c r="U86" s="693" t="str">
        <f t="shared" si="75"/>
        <v/>
      </c>
      <c r="V86" s="693" t="str">
        <f t="shared" si="76"/>
        <v/>
      </c>
      <c r="W86" s="693" t="str">
        <f t="shared" si="77"/>
        <v/>
      </c>
      <c r="X86" s="47" t="s">
        <v>2153</v>
      </c>
      <c r="Y86" s="743" t="s">
        <v>7130</v>
      </c>
      <c r="Z86" s="55" t="s">
        <v>2206</v>
      </c>
      <c r="AA86" s="47">
        <v>95</v>
      </c>
      <c r="AB86" s="47" t="s">
        <v>2256</v>
      </c>
      <c r="AC86" s="47">
        <v>170</v>
      </c>
      <c r="AD86" s="15" t="s">
        <v>119</v>
      </c>
      <c r="AE86" s="15" t="s">
        <v>149</v>
      </c>
      <c r="AF86" s="15" t="s">
        <v>100</v>
      </c>
      <c r="AG86" s="15" t="s">
        <v>100</v>
      </c>
      <c r="AH86" s="15" t="s">
        <v>99</v>
      </c>
      <c r="AI86" s="15" t="s">
        <v>98</v>
      </c>
      <c r="AJ86" s="15" t="s">
        <v>99</v>
      </c>
      <c r="AK86" s="18" t="s">
        <v>99</v>
      </c>
      <c r="AL86" s="15" t="s">
        <v>113</v>
      </c>
      <c r="AM86" s="15" t="s">
        <v>112</v>
      </c>
      <c r="AN86" s="15" t="s">
        <v>149</v>
      </c>
      <c r="AO86" s="15" t="s">
        <v>149</v>
      </c>
      <c r="AP86" s="22" t="s">
        <v>123</v>
      </c>
      <c r="AQ86" s="87" t="s">
        <v>734</v>
      </c>
      <c r="AR86" s="87" t="s">
        <v>16165</v>
      </c>
      <c r="AS86" s="87" t="s">
        <v>734</v>
      </c>
      <c r="AT86" s="87" t="s">
        <v>4772</v>
      </c>
      <c r="AU86" s="87" t="s">
        <v>5457</v>
      </c>
      <c r="AV86" s="87" t="s">
        <v>4701</v>
      </c>
      <c r="AW86" s="457">
        <v>0</v>
      </c>
      <c r="AX86" s="630" t="str">
        <f t="shared" si="81"/>
        <v/>
      </c>
      <c r="AY86" s="630" t="str">
        <f t="shared" si="82"/>
        <v/>
      </c>
      <c r="AZ86" s="630" t="str">
        <f t="shared" si="83"/>
        <v/>
      </c>
      <c r="BA86" s="3"/>
      <c r="BB86" s="3"/>
      <c r="BC86" s="3"/>
      <c r="BD86" s="3"/>
      <c r="BE86" s="3"/>
      <c r="BF86" s="3"/>
      <c r="BG86" s="3"/>
      <c r="BH86" s="3"/>
      <c r="BI86" s="3"/>
      <c r="BJ86" s="3"/>
      <c r="BK86" s="3"/>
      <c r="BL86" s="3"/>
      <c r="BM86" s="3">
        <v>94</v>
      </c>
      <c r="BN86" s="3"/>
      <c r="BP86" s="3"/>
      <c r="BQ86" s="3" t="s">
        <v>11891</v>
      </c>
      <c r="BR86" s="3"/>
      <c r="BS86" s="3"/>
      <c r="BT86" s="3"/>
      <c r="BU86" s="3"/>
      <c r="BV86" s="3"/>
      <c r="BW86" s="3"/>
      <c r="BX86" s="3" t="str">
        <f>IF(Province="Grande baronnie du Nordland","Ville fortifiée de la Grande baronnie du Nordland","")</f>
        <v/>
      </c>
      <c r="BY86" t="str">
        <f t="shared" si="78"/>
        <v/>
      </c>
      <c r="BZ86" s="83" t="str">
        <f t="shared" si="70"/>
        <v/>
      </c>
      <c r="CA86" s="83" t="str">
        <f t="shared" si="71"/>
        <v/>
      </c>
      <c r="CB86" s="530" t="str">
        <f t="shared" si="72"/>
        <v/>
      </c>
      <c r="CC86" s="3" t="s">
        <v>10719</v>
      </c>
      <c r="CD86" t="s">
        <v>10677</v>
      </c>
      <c r="CG86" s="3" t="s">
        <v>6185</v>
      </c>
      <c r="CH86" s="3" t="s">
        <v>945</v>
      </c>
      <c r="CI86" s="3"/>
      <c r="CJ86" s="3"/>
      <c r="CK86" s="3" t="s">
        <v>6739</v>
      </c>
      <c r="CL86" s="3" t="s">
        <v>6468</v>
      </c>
      <c r="CM86" t="s">
        <v>10303</v>
      </c>
      <c r="CN86" s="3" t="s">
        <v>6543</v>
      </c>
      <c r="CO86" s="3" t="s">
        <v>10988</v>
      </c>
      <c r="CP86" s="3"/>
      <c r="CQ86" s="3"/>
      <c r="CR86" s="3" t="s">
        <v>13457</v>
      </c>
      <c r="CU86" s="3"/>
      <c r="CV86" s="3"/>
      <c r="CW86" s="3"/>
      <c r="CX86" s="3"/>
      <c r="CY86" s="3" t="s">
        <v>829</v>
      </c>
      <c r="CZ86" s="3"/>
      <c r="DA86" s="3" t="s">
        <v>12642</v>
      </c>
      <c r="DB86" s="83" t="s">
        <v>12712</v>
      </c>
      <c r="DC86" s="3"/>
      <c r="DD86" s="83" t="s">
        <v>11196</v>
      </c>
      <c r="DE86" s="3" t="s">
        <v>131</v>
      </c>
      <c r="DF86" s="3">
        <f>ROW()</f>
        <v>86</v>
      </c>
      <c r="DG86" s="3" t="s">
        <v>780</v>
      </c>
      <c r="DH86" s="3">
        <f t="shared" si="59"/>
        <v>400</v>
      </c>
      <c r="DI86" s="3">
        <f t="shared" si="60"/>
        <v>300</v>
      </c>
      <c r="DJ86" s="3">
        <f t="shared" si="61"/>
        <v>210</v>
      </c>
      <c r="DK86" s="3">
        <f t="shared" si="62"/>
        <v>120</v>
      </c>
      <c r="DL86" s="3"/>
      <c r="DM86" s="3"/>
      <c r="DN86" s="3"/>
      <c r="DO86" s="3"/>
      <c r="DP86" s="3"/>
      <c r="DQ86" s="3"/>
      <c r="DR86" s="3"/>
      <c r="DS86" s="3"/>
      <c r="DT86" s="3"/>
      <c r="DU86" s="3"/>
      <c r="DV86" s="3"/>
      <c r="DW86" s="3"/>
      <c r="DX86" s="3"/>
      <c r="DY86" s="3"/>
      <c r="DZ86" s="3" t="s">
        <v>2992</v>
      </c>
      <c r="EA86" s="83" t="s">
        <v>4536</v>
      </c>
      <c r="EB86" s="3"/>
      <c r="ED86" s="83" t="s">
        <v>16563</v>
      </c>
      <c r="EE86" s="83" t="s">
        <v>148</v>
      </c>
      <c r="EF86" s="530" t="s">
        <v>16564</v>
      </c>
      <c r="EK86" s="874"/>
      <c r="EM86" s="83" t="s">
        <v>4973</v>
      </c>
      <c r="EN86" s="83" t="s">
        <v>4974</v>
      </c>
      <c r="EO86" s="83" t="s">
        <v>4987</v>
      </c>
      <c r="EP86" s="83" t="s">
        <v>4992</v>
      </c>
      <c r="EQ86" s="481"/>
      <c r="ER86" s="83"/>
      <c r="ES86" s="83"/>
      <c r="ET86" s="530"/>
      <c r="EU86" s="177" t="str">
        <f>IF(Dieu="Myrmidia","Adepte/Croyant","")</f>
        <v/>
      </c>
      <c r="EV86" s="83" t="str">
        <f t="shared" si="69"/>
        <v/>
      </c>
      <c r="EW86" s="83" t="str">
        <f t="shared" si="73"/>
        <v/>
      </c>
      <c r="EX86" s="530" t="str">
        <f t="shared" si="74"/>
        <v/>
      </c>
      <c r="EZ86" s="530" t="s">
        <v>244</v>
      </c>
      <c r="FB86" t="s">
        <v>7412</v>
      </c>
      <c r="FC86" s="133" t="s">
        <v>13214</v>
      </c>
      <c r="FD86" s="83" t="s">
        <v>15265</v>
      </c>
      <c r="FE86" s="848" t="s">
        <v>15200</v>
      </c>
      <c r="FF86">
        <v>20</v>
      </c>
      <c r="FG86">
        <v>30</v>
      </c>
      <c r="FH86">
        <v>21</v>
      </c>
      <c r="FI86">
        <v>23</v>
      </c>
      <c r="FJ86" s="10">
        <v>60</v>
      </c>
      <c r="FK86">
        <v>25</v>
      </c>
      <c r="FL86">
        <v>30</v>
      </c>
      <c r="FM86" s="165">
        <v>25</v>
      </c>
      <c r="FN86" s="88">
        <v>2</v>
      </c>
      <c r="FO86" s="88">
        <v>7</v>
      </c>
      <c r="FP86" s="164">
        <f>ROUNDDOWN(FH86/10,0)</f>
        <v>2</v>
      </c>
      <c r="FQ86" s="164">
        <f>ROUNDDOWN(FI86/10,0)</f>
        <v>2</v>
      </c>
      <c r="FR86" s="10" t="s">
        <v>7413</v>
      </c>
      <c r="FS86" s="88">
        <v>0</v>
      </c>
      <c r="FT86" s="88">
        <v>0</v>
      </c>
      <c r="FU86" s="165">
        <v>0</v>
      </c>
      <c r="FV86" s="83" t="s">
        <v>16442</v>
      </c>
      <c r="FW86" t="s">
        <v>7414</v>
      </c>
      <c r="FX86" s="567" t="s">
        <v>7659</v>
      </c>
      <c r="GA86" s="83" t="s">
        <v>7545</v>
      </c>
      <c r="GE86" s="356"/>
      <c r="GF86" t="s">
        <v>7694</v>
      </c>
      <c r="GG86" s="356" t="s">
        <v>8890</v>
      </c>
      <c r="GH86" s="83" t="s">
        <v>8900</v>
      </c>
      <c r="GI86" s="83" t="s">
        <v>8896</v>
      </c>
      <c r="GJ86" s="83"/>
      <c r="GK86" s="530"/>
    </row>
    <row r="87" spans="8:193" ht="13.2" customHeight="1">
      <c r="H87" s="3" t="s">
        <v>440</v>
      </c>
      <c r="I87" s="3" t="s">
        <v>510</v>
      </c>
      <c r="J87" s="3"/>
      <c r="K87" s="3"/>
      <c r="L87" s="3"/>
      <c r="M87" s="651"/>
      <c r="N87" s="3"/>
      <c r="O87" s="3"/>
      <c r="P87" s="3"/>
      <c r="Q87" s="3"/>
      <c r="R87" s="651"/>
      <c r="S87" s="83" t="str">
        <f>IF(CareerType=Y87,"Chevalier du Cercle Intérieur",IF(AllCareers="X","Chevalier du Cercle Intérieur",IF(Selectsousrace="","",IF(OR(SelectRace="homme-bête",SelectRace="peau-verte",SelectRace="créature du chaos",SelectRace="Homme-lézard",SelectRace="skaven"),"",IF(FirstCareer="1ère carrière","","Chevalier du Cercle Intérieur")))))</f>
        <v/>
      </c>
      <c r="T87" s="106">
        <v>2</v>
      </c>
      <c r="U87" s="693" t="str">
        <f t="shared" si="75"/>
        <v/>
      </c>
      <c r="V87" s="693" t="str">
        <f t="shared" si="76"/>
        <v/>
      </c>
      <c r="W87" s="693" t="str">
        <f t="shared" si="77"/>
        <v/>
      </c>
      <c r="X87" s="47" t="s">
        <v>2153</v>
      </c>
      <c r="Y87" s="743" t="s">
        <v>7130</v>
      </c>
      <c r="Z87" s="55" t="s">
        <v>2200</v>
      </c>
      <c r="AA87" s="47">
        <v>68</v>
      </c>
      <c r="AB87" s="89" t="s">
        <v>4602</v>
      </c>
      <c r="AC87" s="47">
        <v>125</v>
      </c>
      <c r="AD87" s="15" t="s">
        <v>119</v>
      </c>
      <c r="AE87" s="15" t="s">
        <v>98</v>
      </c>
      <c r="AF87" s="15" t="s">
        <v>100</v>
      </c>
      <c r="AG87" s="15" t="s">
        <v>100</v>
      </c>
      <c r="AH87" s="15" t="s">
        <v>100</v>
      </c>
      <c r="AI87" s="15" t="s">
        <v>101</v>
      </c>
      <c r="AJ87" s="15" t="s">
        <v>99</v>
      </c>
      <c r="AK87" s="18" t="s">
        <v>101</v>
      </c>
      <c r="AL87" s="15" t="s">
        <v>113</v>
      </c>
      <c r="AM87" s="15" t="s">
        <v>118</v>
      </c>
      <c r="AN87" s="15" t="s">
        <v>149</v>
      </c>
      <c r="AO87" s="15" t="s">
        <v>149</v>
      </c>
      <c r="AP87" s="87" t="s">
        <v>458</v>
      </c>
      <c r="AQ87" s="87" t="s">
        <v>734</v>
      </c>
      <c r="AR87" s="22" t="s">
        <v>2257</v>
      </c>
      <c r="AS87" s="87" t="s">
        <v>734</v>
      </c>
      <c r="AT87" s="87" t="s">
        <v>16803</v>
      </c>
      <c r="AU87" s="87" t="s">
        <v>16804</v>
      </c>
      <c r="AV87" s="87" t="s">
        <v>16805</v>
      </c>
      <c r="AW87" s="457">
        <v>25</v>
      </c>
      <c r="AX87" s="630" t="str">
        <f t="shared" si="81"/>
        <v/>
      </c>
      <c r="AY87" s="630" t="str">
        <f t="shared" si="82"/>
        <v/>
      </c>
      <c r="AZ87" s="630" t="str">
        <f t="shared" si="83"/>
        <v/>
      </c>
      <c r="BA87" s="3"/>
      <c r="BB87" s="3"/>
      <c r="BC87" s="3"/>
      <c r="BD87" s="3"/>
      <c r="BE87" s="3"/>
      <c r="BF87" s="3"/>
      <c r="BG87" s="3"/>
      <c r="BH87" s="3"/>
      <c r="BI87" s="3"/>
      <c r="BJ87" s="3"/>
      <c r="BK87" s="3"/>
      <c r="BL87" s="3"/>
      <c r="BM87" s="3">
        <v>95</v>
      </c>
      <c r="BN87" s="3"/>
      <c r="BP87" s="3"/>
      <c r="BQ87" s="83" t="s">
        <v>11892</v>
      </c>
      <c r="BR87" s="3"/>
      <c r="BS87" s="3"/>
      <c r="BT87" s="3"/>
      <c r="BU87" s="3"/>
      <c r="BV87" s="3"/>
      <c r="BW87" s="3"/>
      <c r="BX87" s="3" t="str">
        <f>IF(Province="Grande principauté du Reikland","Ville fortifiée de Grande principauté du Reikland","")</f>
        <v/>
      </c>
      <c r="BY87" t="str">
        <f t="shared" si="78"/>
        <v/>
      </c>
      <c r="BZ87" s="83" t="str">
        <f t="shared" si="70"/>
        <v/>
      </c>
      <c r="CA87" s="83" t="str">
        <f t="shared" si="71"/>
        <v/>
      </c>
      <c r="CB87" s="530" t="str">
        <f t="shared" si="72"/>
        <v/>
      </c>
      <c r="CC87" s="3" t="s">
        <v>3156</v>
      </c>
      <c r="CD87" s="3" t="s">
        <v>3179</v>
      </c>
      <c r="CG87" s="3" t="s">
        <v>1079</v>
      </c>
      <c r="CH87" s="3" t="s">
        <v>5972</v>
      </c>
      <c r="CI87" s="3"/>
      <c r="CJ87" s="3"/>
      <c r="CK87" s="3" t="s">
        <v>6785</v>
      </c>
      <c r="CL87" s="3" t="s">
        <v>6424</v>
      </c>
      <c r="CM87" t="s">
        <v>10304</v>
      </c>
      <c r="CN87" s="3" t="s">
        <v>6615</v>
      </c>
      <c r="CO87" s="3" t="s">
        <v>10940</v>
      </c>
      <c r="CP87" s="3"/>
      <c r="CQ87" s="3"/>
      <c r="CR87" s="3" t="s">
        <v>13458</v>
      </c>
      <c r="CU87" s="3"/>
      <c r="CV87" s="3"/>
      <c r="CW87" s="3"/>
      <c r="CX87" s="3"/>
      <c r="CY87" s="3" t="s">
        <v>419</v>
      </c>
      <c r="CZ87" s="3"/>
      <c r="DA87" s="3" t="s">
        <v>12643</v>
      </c>
      <c r="DB87" s="83" t="s">
        <v>12713</v>
      </c>
      <c r="DC87" s="3"/>
      <c r="DD87" s="83" t="s">
        <v>11236</v>
      </c>
      <c r="DE87" s="3" t="s">
        <v>132</v>
      </c>
      <c r="DF87" s="3">
        <f>ROW()</f>
        <v>87</v>
      </c>
      <c r="DG87" s="3" t="s">
        <v>780</v>
      </c>
      <c r="DH87" s="3">
        <f t="shared" si="59"/>
        <v>400</v>
      </c>
      <c r="DI87" s="3">
        <f t="shared" si="60"/>
        <v>300</v>
      </c>
      <c r="DJ87" s="3">
        <f t="shared" si="61"/>
        <v>210</v>
      </c>
      <c r="DK87" s="3">
        <f t="shared" si="62"/>
        <v>120</v>
      </c>
      <c r="DL87" s="3"/>
      <c r="DM87" s="3"/>
      <c r="DN87" s="3"/>
      <c r="DO87" s="3"/>
      <c r="DP87" s="3"/>
      <c r="DQ87" s="3"/>
      <c r="DR87" s="3"/>
      <c r="DS87" s="3"/>
      <c r="DT87" s="3"/>
      <c r="DU87" s="3"/>
      <c r="DV87" s="3"/>
      <c r="DW87" s="3"/>
      <c r="DX87" s="3"/>
      <c r="DY87" s="3"/>
      <c r="DZ87" s="3" t="s">
        <v>2993</v>
      </c>
      <c r="EA87" s="83" t="s">
        <v>4536</v>
      </c>
      <c r="EB87" s="3"/>
      <c r="ED87" s="83" t="s">
        <v>12447</v>
      </c>
      <c r="EE87" s="83" t="s">
        <v>148</v>
      </c>
      <c r="EF87" s="530" t="s">
        <v>12450</v>
      </c>
      <c r="EK87" s="874"/>
      <c r="EM87" s="83" t="s">
        <v>4972</v>
      </c>
      <c r="EN87" s="83" t="s">
        <v>4974</v>
      </c>
      <c r="EO87" s="83" t="s">
        <v>4988</v>
      </c>
      <c r="EP87" s="83" t="s">
        <v>4992</v>
      </c>
      <c r="EQ87" s="481"/>
      <c r="ER87" s="83"/>
      <c r="ES87" s="83"/>
      <c r="ET87" s="530"/>
      <c r="EU87" s="177" t="str">
        <f>IF(Dieu="Myrmidia","Aucun Ordre","")</f>
        <v/>
      </c>
      <c r="EV87" s="83" t="str">
        <f t="shared" si="69"/>
        <v/>
      </c>
      <c r="EW87" s="83" t="str">
        <f t="shared" si="73"/>
        <v/>
      </c>
      <c r="EX87" s="530" t="str">
        <f t="shared" si="74"/>
        <v/>
      </c>
      <c r="EY87" s="83" t="s">
        <v>12384</v>
      </c>
      <c r="EZ87" s="530" t="s">
        <v>9105</v>
      </c>
      <c r="FB87" s="83" t="s">
        <v>12989</v>
      </c>
      <c r="FC87" s="133" t="s">
        <v>13214</v>
      </c>
      <c r="FD87" s="85" t="s">
        <v>12985</v>
      </c>
      <c r="FE87" s="849">
        <v>10</v>
      </c>
      <c r="FF87">
        <v>15</v>
      </c>
      <c r="FG87">
        <v>0</v>
      </c>
      <c r="FH87">
        <v>10</v>
      </c>
      <c r="FI87">
        <v>10</v>
      </c>
      <c r="FJ87" s="10">
        <v>4</v>
      </c>
      <c r="FK87">
        <v>10</v>
      </c>
      <c r="FL87">
        <v>18</v>
      </c>
      <c r="FM87" s="165">
        <v>0</v>
      </c>
      <c r="FN87" s="88">
        <v>1</v>
      </c>
      <c r="FO87" s="88">
        <v>18</v>
      </c>
      <c r="FP87" s="164">
        <f>ROUNDDOWN(FH87/10,0)</f>
        <v>1</v>
      </c>
      <c r="FQ87" s="164">
        <f>ROUNDDOWN(FI87/10,0)</f>
        <v>1</v>
      </c>
      <c r="FR87" s="683" t="s">
        <v>12990</v>
      </c>
      <c r="FS87" s="88">
        <v>0</v>
      </c>
      <c r="FT87" s="88">
        <v>0</v>
      </c>
      <c r="FU87" s="165">
        <v>0</v>
      </c>
      <c r="FV87" s="83" t="s">
        <v>12991</v>
      </c>
      <c r="FW87" s="83" t="s">
        <v>12995</v>
      </c>
      <c r="FX87" s="567" t="s">
        <v>7659</v>
      </c>
      <c r="GA87" s="83" t="s">
        <v>7478</v>
      </c>
      <c r="GE87" s="356"/>
      <c r="GF87" t="s">
        <v>7695</v>
      </c>
      <c r="GG87" s="356" t="s">
        <v>8891</v>
      </c>
      <c r="GH87" s="83" t="s">
        <v>8900</v>
      </c>
      <c r="GI87" s="83" t="s">
        <v>8906</v>
      </c>
      <c r="GJ87" s="83"/>
      <c r="GK87" s="530"/>
    </row>
    <row r="88" spans="8:193" ht="13.2" customHeight="1">
      <c r="H88" s="83" t="s">
        <v>15661</v>
      </c>
      <c r="I88" s="84" t="s">
        <v>15662</v>
      </c>
      <c r="J88" s="3"/>
      <c r="K88" s="3"/>
      <c r="L88" s="3"/>
      <c r="M88" s="651"/>
      <c r="N88" s="3"/>
      <c r="O88" s="3"/>
      <c r="P88" s="3"/>
      <c r="Q88" s="3"/>
      <c r="R88" s="651"/>
      <c r="S88" s="83" t="str">
        <f>IF(CareerType=Y88,"Chevalier du Champ Verdoyant",IF(AllCareers="X","Chevalier du Champ Verdoyant",IF(OR(Selectsousrace="",SelectRace="homme-bête",SelectRace="peau-verte",SelectRace="créature du chaos",SelectRace="Homme-lézard",SelectRace="skaven"),"",IF(FirstCareer="1ère carrière","","Chevalier du Champ Vedoyant"))))</f>
        <v/>
      </c>
      <c r="T88" s="106">
        <f>IF(X88="oui",0,1)</f>
        <v>1</v>
      </c>
      <c r="U88" s="693" t="str">
        <f t="shared" si="75"/>
        <v/>
      </c>
      <c r="V88" s="693" t="str">
        <f t="shared" si="76"/>
        <v/>
      </c>
      <c r="W88" s="693" t="str">
        <f t="shared" si="77"/>
        <v/>
      </c>
      <c r="X88" s="47" t="s">
        <v>2153</v>
      </c>
      <c r="Y88" s="743" t="s">
        <v>7130</v>
      </c>
      <c r="Z88" s="55" t="s">
        <v>2249</v>
      </c>
      <c r="AA88" s="47">
        <v>23</v>
      </c>
      <c r="AB88" s="47" t="s">
        <v>2258</v>
      </c>
      <c r="AC88" s="47">
        <v>128</v>
      </c>
      <c r="AD88" s="15" t="s">
        <v>100</v>
      </c>
      <c r="AE88" s="15" t="s">
        <v>100</v>
      </c>
      <c r="AF88" s="15" t="s">
        <v>101</v>
      </c>
      <c r="AG88" s="15" t="s">
        <v>101</v>
      </c>
      <c r="AH88" s="15" t="s">
        <v>98</v>
      </c>
      <c r="AI88" s="15" t="s">
        <v>114</v>
      </c>
      <c r="AJ88" s="15" t="s">
        <v>98</v>
      </c>
      <c r="AK88" s="18" t="s">
        <v>114</v>
      </c>
      <c r="AL88" s="15" t="s">
        <v>102</v>
      </c>
      <c r="AM88" s="15" t="s">
        <v>103</v>
      </c>
      <c r="AN88" s="15" t="s">
        <v>149</v>
      </c>
      <c r="AO88" s="15" t="s">
        <v>149</v>
      </c>
      <c r="AP88" s="22" t="s">
        <v>880</v>
      </c>
      <c r="AQ88" s="87" t="s">
        <v>734</v>
      </c>
      <c r="AR88" s="22" t="s">
        <v>12259</v>
      </c>
      <c r="AS88" s="87" t="s">
        <v>734</v>
      </c>
      <c r="AT88" s="22" t="s">
        <v>3433</v>
      </c>
      <c r="AU88" s="87" t="s">
        <v>5477</v>
      </c>
      <c r="AV88" s="87" t="s">
        <v>4744</v>
      </c>
      <c r="AW88" s="457">
        <v>0</v>
      </c>
      <c r="AX88" s="630" t="str">
        <f t="shared" si="81"/>
        <v/>
      </c>
      <c r="AY88" s="630" t="str">
        <f t="shared" si="82"/>
        <v/>
      </c>
      <c r="AZ88" s="630" t="str">
        <f t="shared" si="83"/>
        <v/>
      </c>
      <c r="BA88" s="3"/>
      <c r="BB88" s="3"/>
      <c r="BC88" s="3"/>
      <c r="BD88" s="3"/>
      <c r="BE88" s="3"/>
      <c r="BF88" s="3"/>
      <c r="BG88" s="3"/>
      <c r="BH88" s="3"/>
      <c r="BI88" s="3"/>
      <c r="BJ88" s="3"/>
      <c r="BK88" s="3"/>
      <c r="BL88" s="3"/>
      <c r="BM88" s="3">
        <v>96</v>
      </c>
      <c r="BN88" s="3"/>
      <c r="BP88" s="3"/>
      <c r="BQ88" s="3" t="s">
        <v>11893</v>
      </c>
      <c r="BR88" s="83"/>
      <c r="BS88" s="83"/>
      <c r="BT88" s="3"/>
      <c r="BU88" s="3"/>
      <c r="BV88" s="3"/>
      <c r="BW88" s="3"/>
      <c r="BX88" s="3" t="str">
        <f>IF(Province="Grand comté du Stirland","Ville fortifiée de Grand comté du Stirland","")</f>
        <v/>
      </c>
      <c r="BY88" t="str">
        <f t="shared" si="78"/>
        <v/>
      </c>
      <c r="BZ88" s="83" t="str">
        <f t="shared" si="70"/>
        <v/>
      </c>
      <c r="CA88" s="83" t="str">
        <f t="shared" si="71"/>
        <v/>
      </c>
      <c r="CB88" s="530" t="str">
        <f t="shared" si="72"/>
        <v/>
      </c>
      <c r="CC88" s="3" t="s">
        <v>3267</v>
      </c>
      <c r="CD88" s="3" t="s">
        <v>1065</v>
      </c>
      <c r="CG88" s="3" t="s">
        <v>6186</v>
      </c>
      <c r="CH88" s="3" t="s">
        <v>5968</v>
      </c>
      <c r="CI88" s="3"/>
      <c r="CJ88" s="3"/>
      <c r="CK88" s="3" t="s">
        <v>6970</v>
      </c>
      <c r="CL88" s="3" t="s">
        <v>6458</v>
      </c>
      <c r="CM88" t="s">
        <v>10305</v>
      </c>
      <c r="CN88" s="3" t="s">
        <v>6601</v>
      </c>
      <c r="CO88" s="3" t="s">
        <v>10945</v>
      </c>
      <c r="CP88" s="3"/>
      <c r="CQ88" s="3"/>
      <c r="CR88" s="3" t="s">
        <v>13459</v>
      </c>
      <c r="CU88" s="3"/>
      <c r="CV88" s="3"/>
      <c r="CW88" s="3"/>
      <c r="CX88" s="3"/>
      <c r="CY88" s="39" t="s">
        <v>253</v>
      </c>
      <c r="CZ88" s="3"/>
      <c r="DA88" s="3" t="s">
        <v>12644</v>
      </c>
      <c r="DB88" s="83" t="s">
        <v>12750</v>
      </c>
      <c r="DC88" s="3"/>
      <c r="DD88" s="83" t="s">
        <v>11224</v>
      </c>
      <c r="DE88" s="3" t="s">
        <v>132</v>
      </c>
      <c r="DF88" s="3">
        <f>ROW()</f>
        <v>88</v>
      </c>
      <c r="DG88" s="3" t="s">
        <v>2680</v>
      </c>
      <c r="DH88" s="3">
        <f t="shared" si="59"/>
        <v>750</v>
      </c>
      <c r="DI88" s="3">
        <f t="shared" si="60"/>
        <v>565</v>
      </c>
      <c r="DJ88" s="3">
        <f t="shared" si="61"/>
        <v>380</v>
      </c>
      <c r="DK88" s="3">
        <f t="shared" si="62"/>
        <v>195</v>
      </c>
      <c r="DL88" s="3"/>
      <c r="DM88" s="3"/>
      <c r="DN88" s="3"/>
      <c r="DO88" s="3"/>
      <c r="DP88" s="3"/>
      <c r="DQ88" s="3"/>
      <c r="DR88" s="3"/>
      <c r="DS88" s="3"/>
      <c r="DT88" s="3"/>
      <c r="DU88" s="3"/>
      <c r="DV88" s="3"/>
      <c r="DW88" s="3"/>
      <c r="DX88" s="3"/>
      <c r="DY88" s="3"/>
      <c r="DZ88" s="3" t="s">
        <v>2994</v>
      </c>
      <c r="EA88" s="83" t="s">
        <v>4536</v>
      </c>
      <c r="ED88" s="83" t="s">
        <v>12469</v>
      </c>
      <c r="EE88" s="83" t="s">
        <v>148</v>
      </c>
      <c r="EF88" s="530" t="s">
        <v>12471</v>
      </c>
      <c r="EK88" s="874"/>
      <c r="EM88" s="83" t="s">
        <v>4969</v>
      </c>
      <c r="EN88" s="83" t="s">
        <v>4974</v>
      </c>
      <c r="EO88" s="84" t="s">
        <v>16807</v>
      </c>
      <c r="EP88" s="83" t="s">
        <v>4992</v>
      </c>
      <c r="EQ88" s="481"/>
      <c r="ER88" s="83"/>
      <c r="ES88" s="83"/>
      <c r="ET88" s="530"/>
      <c r="EU88" s="177" t="str">
        <f>IF(Dieu="Myrmidia","Initié","")</f>
        <v/>
      </c>
      <c r="EV88" s="83" t="str">
        <f t="shared" si="69"/>
        <v/>
      </c>
      <c r="EW88" s="83" t="str">
        <f t="shared" si="73"/>
        <v/>
      </c>
      <c r="EX88" s="530" t="str">
        <f t="shared" si="74"/>
        <v/>
      </c>
      <c r="EY88" s="83" t="s">
        <v>410</v>
      </c>
      <c r="EZ88" s="530" t="s">
        <v>9105</v>
      </c>
      <c r="FB88" s="83" t="s">
        <v>16806</v>
      </c>
      <c r="FC88" s="133" t="s">
        <v>13214</v>
      </c>
      <c r="FD88" t="s">
        <v>2200</v>
      </c>
      <c r="FE88" s="849">
        <v>230</v>
      </c>
      <c r="FF88">
        <v>38</v>
      </c>
      <c r="FG88">
        <v>0</v>
      </c>
      <c r="FH88">
        <v>10</v>
      </c>
      <c r="FI88">
        <v>10</v>
      </c>
      <c r="FJ88" s="10">
        <v>38</v>
      </c>
      <c r="FK88">
        <v>12</v>
      </c>
      <c r="FL88">
        <v>24</v>
      </c>
      <c r="FM88" s="165">
        <v>0</v>
      </c>
      <c r="FN88" s="88">
        <v>2</v>
      </c>
      <c r="FO88" s="88">
        <v>6</v>
      </c>
      <c r="FP88" s="164">
        <f>ROUNDDOWN(FH88/10,0)</f>
        <v>1</v>
      </c>
      <c r="FQ88" s="164">
        <f>ROUNDDOWN(FI88/10,0)</f>
        <v>1</v>
      </c>
      <c r="FR88" s="683" t="s">
        <v>7253</v>
      </c>
      <c r="FS88">
        <v>0</v>
      </c>
      <c r="FT88">
        <v>0</v>
      </c>
      <c r="FU88" s="165">
        <v>0</v>
      </c>
      <c r="FV88" s="83" t="s">
        <v>7236</v>
      </c>
      <c r="FW88" s="83" t="s">
        <v>9074</v>
      </c>
      <c r="FX88" s="567" t="s">
        <v>7657</v>
      </c>
      <c r="GA88" t="s">
        <v>7300</v>
      </c>
      <c r="GE88" s="356"/>
      <c r="GF88" t="s">
        <v>8211</v>
      </c>
      <c r="GG88" s="356" t="s">
        <v>8892</v>
      </c>
      <c r="GH88" s="83" t="s">
        <v>8900</v>
      </c>
      <c r="GI88" s="83" t="s">
        <v>8906</v>
      </c>
      <c r="GJ88" s="83"/>
      <c r="GK88" s="530"/>
    </row>
    <row r="89" spans="8:193" ht="13.2" customHeight="1">
      <c r="H89" s="3" t="s">
        <v>441</v>
      </c>
      <c r="I89" s="3" t="s">
        <v>512</v>
      </c>
      <c r="J89" s="3"/>
      <c r="K89" s="3"/>
      <c r="L89" s="3"/>
      <c r="M89" s="651"/>
      <c r="N89" s="3"/>
      <c r="O89" s="3"/>
      <c r="P89" s="3"/>
      <c r="Q89" s="3"/>
      <c r="R89" s="651"/>
      <c r="S89" s="83" t="str">
        <f>IF(CareerType=Y89,"Chevalier du Chaos",IF(AllCareers="X","Chevalier du Chaos",IF(Selectsousrace="","",IF(OR(SelectRace="skaven",SelectRace="Homme-lézard"),"",IF(FirstCareer="1ère carrière","","Chevalier du Chaos")))))</f>
        <v/>
      </c>
      <c r="T89" s="85">
        <v>2</v>
      </c>
      <c r="U89" s="693" t="str">
        <f t="shared" si="75"/>
        <v/>
      </c>
      <c r="V89" s="693" t="str">
        <f t="shared" si="76"/>
        <v/>
      </c>
      <c r="W89" s="693" t="str">
        <f t="shared" si="77"/>
        <v/>
      </c>
      <c r="X89" s="47" t="s">
        <v>2153</v>
      </c>
      <c r="Y89" s="743" t="s">
        <v>7130</v>
      </c>
      <c r="Z89" s="55" t="s">
        <v>2196</v>
      </c>
      <c r="AA89" s="47">
        <v>174</v>
      </c>
      <c r="AB89" s="89" t="s">
        <v>4603</v>
      </c>
      <c r="AC89" s="47"/>
      <c r="AD89" s="15" t="s">
        <v>100</v>
      </c>
      <c r="AE89" s="15" t="s">
        <v>114</v>
      </c>
      <c r="AF89" s="15" t="s">
        <v>101</v>
      </c>
      <c r="AG89" s="15" t="s">
        <v>101</v>
      </c>
      <c r="AH89" s="15" t="s">
        <v>100</v>
      </c>
      <c r="AI89" s="15" t="s">
        <v>114</v>
      </c>
      <c r="AJ89" s="15" t="s">
        <v>101</v>
      </c>
      <c r="AK89" s="18" t="s">
        <v>114</v>
      </c>
      <c r="AL89" s="15" t="s">
        <v>102</v>
      </c>
      <c r="AM89" s="15" t="s">
        <v>112</v>
      </c>
      <c r="AN89" s="15" t="s">
        <v>149</v>
      </c>
      <c r="AO89" s="15" t="s">
        <v>149</v>
      </c>
      <c r="AP89" s="22" t="s">
        <v>613</v>
      </c>
      <c r="AQ89" s="87" t="s">
        <v>734</v>
      </c>
      <c r="AR89" s="22" t="s">
        <v>735</v>
      </c>
      <c r="AS89" s="87" t="s">
        <v>734</v>
      </c>
      <c r="AT89" s="87" t="s">
        <v>16809</v>
      </c>
      <c r="AU89" s="87" t="s">
        <v>16443</v>
      </c>
      <c r="AV89" s="87" t="s">
        <v>4680</v>
      </c>
      <c r="AW89" s="457">
        <v>0</v>
      </c>
      <c r="AX89" s="630" t="str">
        <f t="shared" si="81"/>
        <v/>
      </c>
      <c r="AY89" s="630" t="str">
        <f t="shared" si="82"/>
        <v/>
      </c>
      <c r="AZ89" s="630" t="str">
        <f t="shared" si="83"/>
        <v/>
      </c>
      <c r="BA89" s="3"/>
      <c r="BB89" s="3"/>
      <c r="BC89" s="3"/>
      <c r="BD89" s="3"/>
      <c r="BE89" s="3"/>
      <c r="BF89" s="3"/>
      <c r="BG89" s="3"/>
      <c r="BH89" s="3"/>
      <c r="BI89" s="3"/>
      <c r="BJ89" s="3"/>
      <c r="BK89" s="3"/>
      <c r="BL89" s="3"/>
      <c r="BM89" s="3">
        <v>97</v>
      </c>
      <c r="BN89" s="3"/>
      <c r="BP89" s="3"/>
      <c r="BQ89" s="3" t="s">
        <v>11894</v>
      </c>
      <c r="BR89" s="3"/>
      <c r="BS89" s="3"/>
      <c r="BT89" s="3"/>
      <c r="BU89" s="3"/>
      <c r="BV89" s="3"/>
      <c r="BW89" s="3"/>
      <c r="BX89" s="3" t="str">
        <f>IF(Province="Grand-duché du Talabecland","Ville fortifiée de Grand-duché du Talabecland","")</f>
        <v/>
      </c>
      <c r="BY89" t="str">
        <f t="shared" si="78"/>
        <v/>
      </c>
      <c r="BZ89" s="83" t="str">
        <f t="shared" si="70"/>
        <v/>
      </c>
      <c r="CA89" s="83" t="str">
        <f t="shared" si="71"/>
        <v/>
      </c>
      <c r="CB89" s="530" t="str">
        <f t="shared" si="72"/>
        <v/>
      </c>
      <c r="CC89" s="3" t="s">
        <v>3268</v>
      </c>
      <c r="CD89" t="s">
        <v>10676</v>
      </c>
      <c r="CG89" s="3" t="s">
        <v>6187</v>
      </c>
      <c r="CH89" s="3" t="s">
        <v>5973</v>
      </c>
      <c r="CI89" s="3"/>
      <c r="CJ89" s="3"/>
      <c r="CK89" s="3" t="s">
        <v>6937</v>
      </c>
      <c r="CL89" s="3" t="s">
        <v>6489</v>
      </c>
      <c r="CM89" s="3" t="s">
        <v>6629</v>
      </c>
      <c r="CN89" s="3" t="s">
        <v>6575</v>
      </c>
      <c r="CO89" s="3" t="s">
        <v>10953</v>
      </c>
      <c r="CP89" s="3"/>
      <c r="CQ89" s="3"/>
      <c r="CR89" s="3" t="s">
        <v>13460</v>
      </c>
      <c r="CU89" s="3"/>
      <c r="CV89" s="3"/>
      <c r="CW89" s="3"/>
      <c r="CX89" s="3"/>
      <c r="CY89" s="3" t="s">
        <v>420</v>
      </c>
      <c r="CZ89" s="3"/>
      <c r="DA89" s="3" t="s">
        <v>12645</v>
      </c>
      <c r="DB89" s="83" t="s">
        <v>12714</v>
      </c>
      <c r="DC89" s="3"/>
      <c r="DD89" s="83" t="s">
        <v>11245</v>
      </c>
      <c r="DE89" s="3" t="s">
        <v>132</v>
      </c>
      <c r="DF89" s="3">
        <f>ROW()</f>
        <v>89</v>
      </c>
      <c r="DG89" s="3" t="s">
        <v>2678</v>
      </c>
      <c r="DH89" s="3">
        <f t="shared" si="59"/>
        <v>195</v>
      </c>
      <c r="DI89" s="3">
        <f t="shared" si="60"/>
        <v>160</v>
      </c>
      <c r="DJ89" s="3">
        <f t="shared" si="61"/>
        <v>130</v>
      </c>
      <c r="DK89" s="3">
        <f t="shared" si="62"/>
        <v>105</v>
      </c>
      <c r="DL89" s="3"/>
      <c r="DM89" s="3"/>
      <c r="DN89" s="3"/>
      <c r="DO89" s="3"/>
      <c r="DP89" s="3"/>
      <c r="DQ89" s="3"/>
      <c r="DR89" s="3"/>
      <c r="DS89" s="3"/>
      <c r="DT89" s="3"/>
      <c r="DU89" s="3"/>
      <c r="DV89" s="3"/>
      <c r="DW89" s="3"/>
      <c r="DX89" s="3"/>
      <c r="DY89" s="3"/>
      <c r="DZ89" s="3" t="s">
        <v>2995</v>
      </c>
      <c r="EA89" s="83" t="s">
        <v>4536</v>
      </c>
      <c r="ED89" s="83" t="s">
        <v>12470</v>
      </c>
      <c r="EE89" s="83" t="s">
        <v>148</v>
      </c>
      <c r="EF89" s="530" t="s">
        <v>12472</v>
      </c>
      <c r="EK89" s="874"/>
      <c r="EM89" s="90" t="s">
        <v>4964</v>
      </c>
      <c r="EN89" s="83" t="s">
        <v>4974</v>
      </c>
      <c r="EO89" s="83" t="s">
        <v>4997</v>
      </c>
      <c r="EP89" s="83" t="s">
        <v>4992</v>
      </c>
      <c r="EQ89" s="481"/>
      <c r="ER89" s="83"/>
      <c r="ES89" s="83"/>
      <c r="ET89" s="530"/>
      <c r="EU89" s="177" t="str">
        <f>IF(Dieu="Myrmidia","Ordre de la clairvoyance véritable","")</f>
        <v/>
      </c>
      <c r="EV89" s="83" t="str">
        <f t="shared" si="69"/>
        <v/>
      </c>
      <c r="EW89" s="83" t="str">
        <f t="shared" si="73"/>
        <v/>
      </c>
      <c r="EX89" s="530" t="str">
        <f t="shared" si="74"/>
        <v/>
      </c>
      <c r="EY89" s="83" t="s">
        <v>402</v>
      </c>
      <c r="EZ89" s="530" t="s">
        <v>9104</v>
      </c>
      <c r="FB89" s="83" t="s">
        <v>16808</v>
      </c>
      <c r="FC89" s="133" t="s">
        <v>13214</v>
      </c>
      <c r="FD89" s="85" t="s">
        <v>12985</v>
      </c>
      <c r="FE89" s="849">
        <v>11</v>
      </c>
      <c r="FF89">
        <v>38</v>
      </c>
      <c r="FG89">
        <v>0</v>
      </c>
      <c r="FH89">
        <v>16</v>
      </c>
      <c r="FI89">
        <v>20</v>
      </c>
      <c r="FJ89" s="10">
        <v>38</v>
      </c>
      <c r="FK89">
        <v>12</v>
      </c>
      <c r="FL89">
        <v>24</v>
      </c>
      <c r="FM89" s="165">
        <v>0</v>
      </c>
      <c r="FN89" s="88">
        <v>1</v>
      </c>
      <c r="FO89" s="88">
        <v>4</v>
      </c>
      <c r="FP89" s="164">
        <f>ROUNDDOWN(FH89/10,0)</f>
        <v>1</v>
      </c>
      <c r="FQ89" s="164">
        <f>ROUNDDOWN(FI89/10,0)</f>
        <v>2</v>
      </c>
      <c r="FR89" s="683" t="s">
        <v>12993</v>
      </c>
      <c r="FS89">
        <v>0</v>
      </c>
      <c r="FT89">
        <v>0</v>
      </c>
      <c r="FU89" s="165">
        <v>0</v>
      </c>
      <c r="FV89" s="83" t="s">
        <v>12994</v>
      </c>
      <c r="FW89" s="83" t="s">
        <v>12995</v>
      </c>
      <c r="FX89" s="567" t="s">
        <v>7659</v>
      </c>
      <c r="GA89" t="s">
        <v>7563</v>
      </c>
      <c r="GE89" s="356"/>
      <c r="GF89" t="s">
        <v>7696</v>
      </c>
      <c r="GG89" s="356" t="s">
        <v>2965</v>
      </c>
      <c r="GH89" s="83" t="s">
        <v>8900</v>
      </c>
      <c r="GI89" s="83" t="s">
        <v>8906</v>
      </c>
      <c r="GJ89" s="83"/>
      <c r="GK89" s="530"/>
    </row>
    <row r="90" spans="8:193" ht="13.2" customHeight="1">
      <c r="H90" s="83" t="s">
        <v>9579</v>
      </c>
      <c r="I90" s="83" t="s">
        <v>9684</v>
      </c>
      <c r="J90" s="3"/>
      <c r="K90" s="3"/>
      <c r="L90" s="3"/>
      <c r="M90" s="651"/>
      <c r="N90" s="3"/>
      <c r="O90" s="3"/>
      <c r="P90" s="3"/>
      <c r="Q90" s="3"/>
      <c r="R90" s="651"/>
      <c r="S90" s="83" t="str">
        <f>IF(CareerType=Y90,"Chevalier du Corbeau",IF(AllCareers="X","Chevalier du Corbeau",IF(Selectsousrace="","",IF(OR(SelectRace="homme-bête",SelectRace="peau-verte",SelectRace="créature du chaos",SelectRace="Homme-lézard",SelectRace="skaven"),"",IF(FirstCareer="1ère carrière","","Chevalier du Corbeau")))))</f>
        <v/>
      </c>
      <c r="T90" s="85">
        <f>IF(X90="oui",0,1)</f>
        <v>1</v>
      </c>
      <c r="U90" s="693" t="str">
        <f t="shared" si="75"/>
        <v/>
      </c>
      <c r="V90" s="693" t="str">
        <f t="shared" si="76"/>
        <v/>
      </c>
      <c r="W90" s="693" t="str">
        <f t="shared" si="77"/>
        <v/>
      </c>
      <c r="X90" s="47" t="s">
        <v>2153</v>
      </c>
      <c r="Y90" s="743" t="s">
        <v>7130</v>
      </c>
      <c r="Z90" s="55" t="s">
        <v>2198</v>
      </c>
      <c r="AA90" s="47">
        <v>91</v>
      </c>
      <c r="AB90" s="47" t="s">
        <v>2259</v>
      </c>
      <c r="AC90" s="47">
        <v>126</v>
      </c>
      <c r="AD90" s="15" t="s">
        <v>119</v>
      </c>
      <c r="AE90" s="15" t="s">
        <v>101</v>
      </c>
      <c r="AF90" s="15" t="s">
        <v>100</v>
      </c>
      <c r="AG90" s="15" t="s">
        <v>100</v>
      </c>
      <c r="AH90" s="15" t="s">
        <v>100</v>
      </c>
      <c r="AI90" s="15" t="s">
        <v>101</v>
      </c>
      <c r="AJ90" s="15" t="s">
        <v>116</v>
      </c>
      <c r="AK90" s="18" t="s">
        <v>98</v>
      </c>
      <c r="AL90" s="15" t="s">
        <v>113</v>
      </c>
      <c r="AM90" s="15" t="s">
        <v>118</v>
      </c>
      <c r="AN90" s="15" t="s">
        <v>149</v>
      </c>
      <c r="AO90" s="15" t="s">
        <v>149</v>
      </c>
      <c r="AP90" s="140" t="s">
        <v>212</v>
      </c>
      <c r="AQ90" s="87" t="s">
        <v>734</v>
      </c>
      <c r="AR90" s="22" t="s">
        <v>2260</v>
      </c>
      <c r="AS90" s="87" t="s">
        <v>734</v>
      </c>
      <c r="AT90" s="22" t="s">
        <v>3434</v>
      </c>
      <c r="AU90" s="87" t="s">
        <v>16811</v>
      </c>
      <c r="AV90" s="87" t="s">
        <v>4693</v>
      </c>
      <c r="AW90" s="457">
        <v>0</v>
      </c>
      <c r="AX90" s="630" t="str">
        <f t="shared" si="81"/>
        <v/>
      </c>
      <c r="AY90" s="630" t="str">
        <f t="shared" si="82"/>
        <v/>
      </c>
      <c r="AZ90" s="630" t="str">
        <f t="shared" si="83"/>
        <v/>
      </c>
      <c r="BA90" s="3"/>
      <c r="BB90" s="3"/>
      <c r="BC90" s="3"/>
      <c r="BD90" s="3"/>
      <c r="BE90" s="3"/>
      <c r="BF90" s="3"/>
      <c r="BG90" s="3"/>
      <c r="BH90" s="3"/>
      <c r="BI90" s="3"/>
      <c r="BJ90" s="3"/>
      <c r="BK90" s="3"/>
      <c r="BL90" s="3"/>
      <c r="BM90" s="3">
        <v>98</v>
      </c>
      <c r="BN90" s="3"/>
      <c r="BP90" s="3"/>
      <c r="BQ90" s="3" t="s">
        <v>11895</v>
      </c>
      <c r="BR90" s="3"/>
      <c r="BS90" s="3"/>
      <c r="BT90" s="3"/>
      <c r="BU90" s="3"/>
      <c r="BV90" s="3"/>
      <c r="BW90" s="3"/>
      <c r="BX90" s="3" t="str">
        <f>IF(Province="Grand comté du Wissenland","Ville fortifiée de Grand comté du Wissenland","")</f>
        <v/>
      </c>
      <c r="BY90" t="str">
        <f t="shared" si="78"/>
        <v/>
      </c>
      <c r="BZ90" s="83" t="str">
        <f t="shared" si="70"/>
        <v/>
      </c>
      <c r="CA90" s="83" t="str">
        <f t="shared" si="71"/>
        <v/>
      </c>
      <c r="CB90" s="530" t="str">
        <f t="shared" si="72"/>
        <v/>
      </c>
      <c r="CC90" s="3" t="s">
        <v>3269</v>
      </c>
      <c r="CD90" s="3" t="s">
        <v>3181</v>
      </c>
      <c r="CG90" s="3" t="s">
        <v>6188</v>
      </c>
      <c r="CH90" s="83" t="s">
        <v>5973</v>
      </c>
      <c r="CI90" s="3"/>
      <c r="CJ90" s="3"/>
      <c r="CK90" s="3" t="s">
        <v>6826</v>
      </c>
      <c r="CL90" s="3" t="s">
        <v>6450</v>
      </c>
      <c r="CM90" t="s">
        <v>10306</v>
      </c>
      <c r="CN90" s="3" t="s">
        <v>6558</v>
      </c>
      <c r="CO90" s="3" t="str">
        <f>CONCATENATE("Dokri",IF(AND('page 1'!M11="Féminin",Pays="Norsca"),"dottir",IF(AND('page 1'!M11="Masculin",Pays="Norsca"),"son",IF(AND('page 1'!M11="Féminin",Pays="Kislev"),"ovna",IF(AND('page 1'!M11="Masculin",Pays="Kislev"),"sky","")))))</f>
        <v>Dokri</v>
      </c>
      <c r="CP90" s="3"/>
      <c r="CQ90" s="3"/>
      <c r="CR90" s="3" t="s">
        <v>13461</v>
      </c>
      <c r="CU90" s="3"/>
      <c r="CV90" s="3"/>
      <c r="CW90" s="3"/>
      <c r="CX90" s="3"/>
      <c r="CY90" s="3" t="s">
        <v>421</v>
      </c>
      <c r="CZ90" s="3"/>
      <c r="DA90" s="3" t="s">
        <v>12646</v>
      </c>
      <c r="DB90" s="84" t="s">
        <v>12715</v>
      </c>
      <c r="DC90" s="3"/>
      <c r="DD90" s="3" t="s">
        <v>2703</v>
      </c>
      <c r="DE90" s="3" t="s">
        <v>135</v>
      </c>
      <c r="DF90" s="3">
        <f>ROW()</f>
        <v>90</v>
      </c>
      <c r="DG90" s="3" t="s">
        <v>780</v>
      </c>
      <c r="DH90" s="3">
        <f t="shared" ref="DH90:DH121" si="87">IF($DG90="Artisan",400,IF($DG90="Détaillant",195,IF($DG90="Fermier",135,IF($DG90="Aubergiste",150,IF($DG90="Spécialiste",750,0)))))</f>
        <v>400</v>
      </c>
      <c r="DI90" s="3">
        <f t="shared" ref="DI90:DI121" si="88">IF($DG90="Artisan",300,IF($DG90="Détaillant",160,IF($DG90="Fermier",115,IF($DG90="Aubergiste",135,IF($DG90="Spécialiste",565,0)))))</f>
        <v>300</v>
      </c>
      <c r="DJ90" s="3">
        <f t="shared" ref="DJ90:DJ121" si="89">IF($DG90="Artisan",210,IF($DG90="Détaillant",130,IF($DG90="Fermier",95,IF($DG90="Aubergiste",120,IF($DG90="Spécialiste",380,0)))))</f>
        <v>210</v>
      </c>
      <c r="DK90" s="3">
        <f t="shared" ref="DK90:DK121" si="90">IF($DG90="Artisan",120,IF($DG90="Détaillant",105,IF($DG90="Fermier",75,IF($DG90="Aubergiste",105,IF($DG90="Spécialiste",195,0)))))</f>
        <v>120</v>
      </c>
      <c r="DL90" s="3"/>
      <c r="DM90" s="3"/>
      <c r="DN90" s="3"/>
      <c r="DO90" s="3"/>
      <c r="DP90" s="3"/>
      <c r="DQ90" s="3"/>
      <c r="DR90" s="3"/>
      <c r="DS90" s="3"/>
      <c r="DT90" s="3"/>
      <c r="DU90" s="3"/>
      <c r="DV90" s="3"/>
      <c r="DW90" s="3"/>
      <c r="DX90" s="3"/>
      <c r="DY90" s="3"/>
      <c r="DZ90" s="3" t="s">
        <v>2996</v>
      </c>
      <c r="EA90" s="83" t="s">
        <v>4536</v>
      </c>
      <c r="ED90" s="3" t="s">
        <v>12851</v>
      </c>
      <c r="EE90" s="83" t="s">
        <v>148</v>
      </c>
      <c r="EF90" s="530" t="s">
        <v>16812</v>
      </c>
      <c r="EK90" s="874"/>
      <c r="EM90" s="90" t="s">
        <v>4959</v>
      </c>
      <c r="EN90" s="83" t="s">
        <v>4974</v>
      </c>
      <c r="EO90" s="83" t="s">
        <v>15211</v>
      </c>
      <c r="EP90" s="83" t="s">
        <v>4999</v>
      </c>
      <c r="EQ90" s="481"/>
      <c r="ER90" s="83"/>
      <c r="ES90" s="83"/>
      <c r="ET90" s="530"/>
      <c r="EU90" s="177" t="str">
        <f>IF(Dieu="Myrmidia","Ordre de la furie","")</f>
        <v/>
      </c>
      <c r="EV90" s="83" t="str">
        <f t="shared" si="69"/>
        <v/>
      </c>
      <c r="EW90" s="83" t="str">
        <f t="shared" si="73"/>
        <v/>
      </c>
      <c r="EX90" s="530" t="str">
        <f t="shared" si="74"/>
        <v/>
      </c>
      <c r="EY90" s="83" t="s">
        <v>5881</v>
      </c>
      <c r="EZ90" s="530" t="s">
        <v>244</v>
      </c>
      <c r="FB90" s="83" t="s">
        <v>16810</v>
      </c>
      <c r="FC90" s="133" t="s">
        <v>13214</v>
      </c>
      <c r="FD90" s="85" t="s">
        <v>16792</v>
      </c>
      <c r="FF90">
        <v>38</v>
      </c>
      <c r="FG90">
        <v>0</v>
      </c>
      <c r="FH90">
        <v>16</v>
      </c>
      <c r="FI90">
        <v>20</v>
      </c>
      <c r="FJ90" s="10">
        <v>38</v>
      </c>
      <c r="FK90">
        <v>20</v>
      </c>
      <c r="FL90">
        <v>30</v>
      </c>
      <c r="FM90" s="165">
        <v>10</v>
      </c>
      <c r="FN90" s="88">
        <v>1</v>
      </c>
      <c r="FO90" s="88">
        <v>4</v>
      </c>
      <c r="FP90" s="164">
        <f>ROUNDDOWN(FH90/10,0)</f>
        <v>1</v>
      </c>
      <c r="FQ90" s="164">
        <f>ROUNDDOWN(FI90/10,0)</f>
        <v>2</v>
      </c>
      <c r="FR90" s="683" t="s">
        <v>12993</v>
      </c>
      <c r="FS90">
        <v>0</v>
      </c>
      <c r="FT90">
        <v>0</v>
      </c>
      <c r="FU90" s="165">
        <v>0</v>
      </c>
      <c r="FV90" s="83" t="s">
        <v>13042</v>
      </c>
      <c r="FW90" s="83" t="s">
        <v>12995</v>
      </c>
      <c r="FX90" s="567" t="s">
        <v>7660</v>
      </c>
      <c r="GA90" t="s">
        <v>7479</v>
      </c>
      <c r="GE90" s="356"/>
      <c r="GF90" t="s">
        <v>8195</v>
      </c>
      <c r="GG90" s="356" t="s">
        <v>8901</v>
      </c>
      <c r="GH90" s="83" t="s">
        <v>8900</v>
      </c>
      <c r="GI90" s="83" t="s">
        <v>8906</v>
      </c>
      <c r="GJ90" s="83"/>
      <c r="GK90" s="530"/>
    </row>
    <row r="91" spans="8:193" ht="13.2" customHeight="1">
      <c r="H91" s="3" t="s">
        <v>2906</v>
      </c>
      <c r="I91" s="84" t="s">
        <v>16813</v>
      </c>
      <c r="J91" s="3"/>
      <c r="K91" s="3"/>
      <c r="L91" s="3"/>
      <c r="M91" s="651"/>
      <c r="N91" s="3"/>
      <c r="O91" s="3"/>
      <c r="P91" s="3"/>
      <c r="Q91" s="3"/>
      <c r="R91" s="651"/>
      <c r="S91" s="83" t="str">
        <f>IF(CareerType=Y91,"Chevalier du Graal",IF(AllCareers="X","Chevalier du Graal",IF(Selectsousrace="","",IF(OR(SelectRace="homme-bête",SelectRace="peau-verte",SelectRace="créature du chaos",SelectRace="Homme-lézard",SelectRace="skaven"),"",IF(FirstCareer="1ère carrière","","Chevalier du Graal")))))</f>
        <v/>
      </c>
      <c r="T91" s="85">
        <v>3</v>
      </c>
      <c r="U91" s="693" t="str">
        <f t="shared" si="75"/>
        <v/>
      </c>
      <c r="V91" s="693" t="str">
        <f t="shared" si="76"/>
        <v/>
      </c>
      <c r="W91" s="693" t="str">
        <f t="shared" si="77"/>
        <v/>
      </c>
      <c r="X91" s="47" t="s">
        <v>2153</v>
      </c>
      <c r="Y91" s="743" t="s">
        <v>7130</v>
      </c>
      <c r="Z91" s="55" t="s">
        <v>2206</v>
      </c>
      <c r="AA91" s="47">
        <v>96</v>
      </c>
      <c r="AB91" s="47" t="s">
        <v>2261</v>
      </c>
      <c r="AC91" s="47">
        <v>89</v>
      </c>
      <c r="AD91" s="15" t="s">
        <v>97</v>
      </c>
      <c r="AE91" s="15" t="s">
        <v>149</v>
      </c>
      <c r="AF91" s="15" t="s">
        <v>116</v>
      </c>
      <c r="AG91" s="15" t="s">
        <v>116</v>
      </c>
      <c r="AH91" s="15" t="s">
        <v>99</v>
      </c>
      <c r="AI91" s="15" t="s">
        <v>98</v>
      </c>
      <c r="AJ91" s="15" t="s">
        <v>99</v>
      </c>
      <c r="AK91" s="18" t="s">
        <v>99</v>
      </c>
      <c r="AL91" s="15" t="s">
        <v>113</v>
      </c>
      <c r="AM91" s="15" t="s">
        <v>118</v>
      </c>
      <c r="AN91" s="15" t="s">
        <v>149</v>
      </c>
      <c r="AO91" s="15" t="s">
        <v>149</v>
      </c>
      <c r="AP91" s="87" t="s">
        <v>614</v>
      </c>
      <c r="AQ91" s="87" t="s">
        <v>734</v>
      </c>
      <c r="AR91" s="22" t="s">
        <v>615</v>
      </c>
      <c r="AS91" s="87" t="s">
        <v>734</v>
      </c>
      <c r="AT91" s="87" t="s">
        <v>16814</v>
      </c>
      <c r="AU91" s="87" t="s">
        <v>5458</v>
      </c>
      <c r="AV91" s="87" t="s">
        <v>4701</v>
      </c>
      <c r="AW91" s="457">
        <v>0</v>
      </c>
      <c r="AX91" s="630" t="str">
        <f t="shared" si="81"/>
        <v/>
      </c>
      <c r="AY91" s="630" t="str">
        <f t="shared" si="82"/>
        <v/>
      </c>
      <c r="AZ91" s="630" t="str">
        <f t="shared" si="83"/>
        <v/>
      </c>
      <c r="BA91" s="3"/>
      <c r="BB91" s="3"/>
      <c r="BC91" s="3"/>
      <c r="BD91" s="3"/>
      <c r="BE91" s="3"/>
      <c r="BF91" s="3"/>
      <c r="BG91" s="3"/>
      <c r="BH91" s="3"/>
      <c r="BI91" s="3"/>
      <c r="BJ91" s="3"/>
      <c r="BK91" s="3"/>
      <c r="BL91" s="3"/>
      <c r="BM91" s="3">
        <v>99</v>
      </c>
      <c r="BN91" s="3"/>
      <c r="BP91" s="3"/>
      <c r="BQ91" s="83" t="s">
        <v>11896</v>
      </c>
      <c r="BR91" s="3"/>
      <c r="BS91" s="3"/>
      <c r="BT91" s="3"/>
      <c r="BU91" s="3"/>
      <c r="BV91" s="3"/>
      <c r="BW91" s="3"/>
      <c r="BX91" s="3" t="str">
        <f>IF(Province="Ligue de l'Ostermark","Ville fortifiée d'Ligue de l'Ostermark","")</f>
        <v/>
      </c>
      <c r="BY91" t="str">
        <f t="shared" si="78"/>
        <v/>
      </c>
      <c r="BZ91" s="83" t="str">
        <f t="shared" si="70"/>
        <v/>
      </c>
      <c r="CA91" s="83" t="str">
        <f t="shared" si="71"/>
        <v/>
      </c>
      <c r="CB91" s="530" t="str">
        <f t="shared" si="72"/>
        <v/>
      </c>
      <c r="CC91" s="3" t="s">
        <v>3270</v>
      </c>
      <c r="CD91" t="s">
        <v>10678</v>
      </c>
      <c r="CG91" s="3" t="s">
        <v>6189</v>
      </c>
      <c r="CH91" s="3" t="s">
        <v>5974</v>
      </c>
      <c r="CI91" s="3"/>
      <c r="CJ91" s="3"/>
      <c r="CK91" s="3" t="s">
        <v>6994</v>
      </c>
      <c r="CL91" s="3" t="s">
        <v>6497</v>
      </c>
      <c r="CM91" s="3" t="s">
        <v>6630</v>
      </c>
      <c r="CN91" s="3" t="s">
        <v>6611</v>
      </c>
      <c r="CO91" s="3" t="s">
        <v>10941</v>
      </c>
      <c r="CP91" s="3"/>
      <c r="CQ91" s="3"/>
      <c r="CR91" s="3" t="s">
        <v>13462</v>
      </c>
      <c r="CU91" s="3"/>
      <c r="CV91" s="3"/>
      <c r="CW91" s="3"/>
      <c r="CX91" s="3"/>
      <c r="CY91" s="3" t="s">
        <v>79</v>
      </c>
      <c r="CZ91" s="3"/>
      <c r="DA91" s="3" t="s">
        <v>12647</v>
      </c>
      <c r="DB91" s="83" t="s">
        <v>12751</v>
      </c>
      <c r="DC91" s="3"/>
      <c r="DD91" s="83" t="s">
        <v>11193</v>
      </c>
      <c r="DE91" s="3" t="s">
        <v>133</v>
      </c>
      <c r="DF91" s="3">
        <f>ROW()</f>
        <v>91</v>
      </c>
      <c r="DG91" s="3" t="s">
        <v>2680</v>
      </c>
      <c r="DH91" s="3">
        <f t="shared" si="87"/>
        <v>750</v>
      </c>
      <c r="DI91" s="3">
        <f t="shared" si="88"/>
        <v>565</v>
      </c>
      <c r="DJ91" s="3">
        <f t="shared" si="89"/>
        <v>380</v>
      </c>
      <c r="DK91" s="3">
        <f t="shared" si="90"/>
        <v>195</v>
      </c>
      <c r="DL91" s="3"/>
      <c r="DM91" s="3"/>
      <c r="DN91" s="3"/>
      <c r="DO91" s="3"/>
      <c r="DP91" s="3"/>
      <c r="DQ91" s="3"/>
      <c r="DR91" s="3"/>
      <c r="DS91" s="3"/>
      <c r="DT91" s="3"/>
      <c r="DU91" s="3"/>
      <c r="DV91" s="3"/>
      <c r="DW91" s="3"/>
      <c r="DX91" s="3"/>
      <c r="DY91" s="3"/>
      <c r="DZ91" s="3" t="s">
        <v>2997</v>
      </c>
      <c r="EA91" s="83" t="s">
        <v>4537</v>
      </c>
      <c r="ED91" s="3" t="s">
        <v>12853</v>
      </c>
      <c r="EE91" s="83" t="s">
        <v>148</v>
      </c>
      <c r="EF91" s="530" t="s">
        <v>12854</v>
      </c>
      <c r="EK91" s="874"/>
      <c r="EM91" s="83" t="s">
        <v>5017</v>
      </c>
      <c r="EN91" s="83" t="s">
        <v>4975</v>
      </c>
      <c r="EO91" s="83" t="s">
        <v>5003</v>
      </c>
      <c r="EP91" s="83" t="s">
        <v>4999</v>
      </c>
      <c r="EQ91" s="481"/>
      <c r="ER91" s="83"/>
      <c r="ES91" s="83"/>
      <c r="ET91" s="530"/>
      <c r="EU91" s="177" t="str">
        <f>IF(Dieu="Myrmidia","Ordre de la lance de vertu","")</f>
        <v/>
      </c>
      <c r="EV91" s="83" t="str">
        <f t="shared" si="69"/>
        <v/>
      </c>
      <c r="EW91" s="83" t="str">
        <f t="shared" si="73"/>
        <v/>
      </c>
      <c r="EX91" s="530" t="str">
        <f t="shared" si="74"/>
        <v/>
      </c>
      <c r="EY91" s="83" t="s">
        <v>5880</v>
      </c>
      <c r="EZ91" s="530" t="s">
        <v>5877</v>
      </c>
      <c r="FB91" s="83" t="s">
        <v>12992</v>
      </c>
      <c r="FC91" s="133" t="s">
        <v>13214</v>
      </c>
      <c r="FD91" t="s">
        <v>2211</v>
      </c>
      <c r="FE91" s="849">
        <v>190</v>
      </c>
      <c r="FF91">
        <v>5</v>
      </c>
      <c r="FG91">
        <v>0</v>
      </c>
      <c r="FH91">
        <v>5</v>
      </c>
      <c r="FI91">
        <v>5</v>
      </c>
      <c r="FJ91" s="10">
        <v>50</v>
      </c>
      <c r="FK91">
        <v>12</v>
      </c>
      <c r="FL91">
        <v>12</v>
      </c>
      <c r="FM91" s="165">
        <v>0</v>
      </c>
      <c r="FN91" s="88">
        <v>1</v>
      </c>
      <c r="FO91" s="88">
        <v>3</v>
      </c>
      <c r="FP91" s="164">
        <f>ROUNDDOWN(FH91/10,0)</f>
        <v>0</v>
      </c>
      <c r="FQ91" s="164">
        <f>ROUNDDOWN(FI91/10,0)</f>
        <v>0</v>
      </c>
      <c r="FR91" s="683" t="s">
        <v>7254</v>
      </c>
      <c r="FS91">
        <v>0</v>
      </c>
      <c r="FT91">
        <v>0</v>
      </c>
      <c r="FU91" s="165">
        <v>0</v>
      </c>
      <c r="FV91" t="s">
        <v>7242</v>
      </c>
      <c r="FW91" s="83" t="s">
        <v>14709</v>
      </c>
      <c r="FX91" s="567" t="s">
        <v>7660</v>
      </c>
      <c r="GA91" t="s">
        <v>7533</v>
      </c>
      <c r="GE91" s="356"/>
      <c r="GF91" t="s">
        <v>7697</v>
      </c>
      <c r="GG91" s="356" t="s">
        <v>8902</v>
      </c>
      <c r="GH91" s="83" t="s">
        <v>8900</v>
      </c>
      <c r="GI91" s="83" t="s">
        <v>8906</v>
      </c>
      <c r="GJ91" s="83"/>
      <c r="GK91" s="530"/>
    </row>
    <row r="92" spans="8:193" ht="13.2" customHeight="1">
      <c r="H92" s="3" t="s">
        <v>2903</v>
      </c>
      <c r="I92" s="6" t="s">
        <v>2904</v>
      </c>
      <c r="J92" s="3"/>
      <c r="K92" s="3"/>
      <c r="L92" s="3"/>
      <c r="M92" s="651"/>
      <c r="N92" s="3"/>
      <c r="O92" s="3"/>
      <c r="P92" s="3"/>
      <c r="Q92" s="3"/>
      <c r="R92" s="651"/>
      <c r="S92" s="83" t="str">
        <f>IF(CareerType=Y92,"Chevalier du Royaume",IF(AllCareers="X","Chevalier du Royaume",IF(Selectsousrace="","",IF(OR(SelectRace="homme-bête",SelectRace="peau-verte",SelectRace="créature du chaos",SelectRace="Homme-lézard",SelectRace="skaven"),"",IF(FirstCareer="1ère carrière","","Chevalier du Royaume")))))</f>
        <v/>
      </c>
      <c r="T92" s="85">
        <f>IF(X92="oui",0,1)</f>
        <v>1</v>
      </c>
      <c r="U92" s="693" t="str">
        <f t="shared" si="75"/>
        <v/>
      </c>
      <c r="V92" s="693" t="str">
        <f t="shared" si="76"/>
        <v/>
      </c>
      <c r="W92" s="693" t="str">
        <f t="shared" si="77"/>
        <v/>
      </c>
      <c r="X92" s="47" t="s">
        <v>2153</v>
      </c>
      <c r="Y92" s="743" t="s">
        <v>7130</v>
      </c>
      <c r="Z92" s="55" t="s">
        <v>2206</v>
      </c>
      <c r="AA92" s="47">
        <v>96</v>
      </c>
      <c r="AB92" s="47" t="s">
        <v>2262</v>
      </c>
      <c r="AC92" s="47">
        <v>127</v>
      </c>
      <c r="AD92" s="15" t="s">
        <v>99</v>
      </c>
      <c r="AE92" s="15" t="s">
        <v>149</v>
      </c>
      <c r="AF92" s="15" t="s">
        <v>101</v>
      </c>
      <c r="AG92" s="15" t="s">
        <v>101</v>
      </c>
      <c r="AH92" s="15" t="s">
        <v>101</v>
      </c>
      <c r="AI92" s="15" t="s">
        <v>149</v>
      </c>
      <c r="AJ92" s="15" t="s">
        <v>98</v>
      </c>
      <c r="AK92" s="18" t="s">
        <v>101</v>
      </c>
      <c r="AL92" s="15" t="s">
        <v>102</v>
      </c>
      <c r="AM92" s="15" t="s">
        <v>103</v>
      </c>
      <c r="AN92" s="15" t="s">
        <v>149</v>
      </c>
      <c r="AO92" s="15" t="s">
        <v>149</v>
      </c>
      <c r="AP92" s="87" t="s">
        <v>616</v>
      </c>
      <c r="AQ92" s="87" t="s">
        <v>734</v>
      </c>
      <c r="AR92" s="22" t="s">
        <v>617</v>
      </c>
      <c r="AS92" s="87" t="s">
        <v>734</v>
      </c>
      <c r="AT92" s="22" t="s">
        <v>3435</v>
      </c>
      <c r="AU92" s="87" t="s">
        <v>5459</v>
      </c>
      <c r="AV92" s="87" t="s">
        <v>4702</v>
      </c>
      <c r="AW92" s="457">
        <v>0</v>
      </c>
      <c r="AX92" s="630" t="str">
        <f t="shared" si="81"/>
        <v/>
      </c>
      <c r="AY92" s="630" t="str">
        <f t="shared" si="82"/>
        <v/>
      </c>
      <c r="AZ92" s="630" t="str">
        <f t="shared" si="83"/>
        <v/>
      </c>
      <c r="BM92" s="3">
        <v>100</v>
      </c>
      <c r="BN92" s="3"/>
      <c r="BP92" s="3"/>
      <c r="BQ92" s="3" t="s">
        <v>11897</v>
      </c>
      <c r="BR92" s="83"/>
      <c r="BS92" s="83"/>
      <c r="BT92" s="3"/>
      <c r="BU92" s="3"/>
      <c r="BV92" s="3"/>
      <c r="BW92" s="3"/>
      <c r="BX92" s="3" t="str">
        <f>IF(Province="Grande principauté d'Ostland","Ville fortifiée d'Grande principauté d'Ostland","")</f>
        <v/>
      </c>
      <c r="BY92" t="str">
        <f t="shared" si="78"/>
        <v/>
      </c>
      <c r="BZ92" s="83" t="str">
        <f t="shared" si="70"/>
        <v/>
      </c>
      <c r="CA92" s="83" t="str">
        <f t="shared" si="71"/>
        <v/>
      </c>
      <c r="CB92" s="530" t="str">
        <f t="shared" si="72"/>
        <v/>
      </c>
      <c r="CC92" s="3" t="s">
        <v>3271</v>
      </c>
      <c r="CD92" s="3" t="s">
        <v>3180</v>
      </c>
      <c r="CG92" s="3" t="s">
        <v>6190</v>
      </c>
      <c r="CH92" s="3" t="s">
        <v>5975</v>
      </c>
      <c r="CI92" s="3"/>
      <c r="CJ92" s="3"/>
      <c r="CK92" s="83" t="s">
        <v>14898</v>
      </c>
      <c r="CL92" s="3" t="s">
        <v>6472</v>
      </c>
      <c r="CM92" s="83" t="s">
        <v>6630</v>
      </c>
      <c r="CN92" s="3" t="s">
        <v>6557</v>
      </c>
      <c r="CO92" s="3" t="s">
        <v>10943</v>
      </c>
      <c r="CP92" s="3"/>
      <c r="CQ92" s="3"/>
      <c r="CR92" s="3" t="s">
        <v>13463</v>
      </c>
      <c r="CU92" s="3"/>
      <c r="CV92" s="3"/>
      <c r="CW92" s="3"/>
      <c r="CX92" s="3"/>
      <c r="CY92" s="3" t="s">
        <v>422</v>
      </c>
      <c r="CZ92" s="3"/>
      <c r="DA92" s="3" t="s">
        <v>1371</v>
      </c>
      <c r="DB92" s="83" t="s">
        <v>12716</v>
      </c>
      <c r="DC92" s="3"/>
      <c r="DD92" s="83" t="s">
        <v>11207</v>
      </c>
      <c r="DE92" s="3" t="s">
        <v>132</v>
      </c>
      <c r="DF92" s="3">
        <f>ROW()</f>
        <v>92</v>
      </c>
      <c r="DG92" s="3" t="s">
        <v>2174</v>
      </c>
      <c r="DH92" s="3">
        <f t="shared" si="87"/>
        <v>135</v>
      </c>
      <c r="DI92" s="3">
        <f t="shared" si="88"/>
        <v>115</v>
      </c>
      <c r="DJ92" s="3">
        <f t="shared" si="89"/>
        <v>95</v>
      </c>
      <c r="DK92" s="3">
        <f t="shared" si="90"/>
        <v>75</v>
      </c>
      <c r="DL92" s="3"/>
      <c r="DM92" s="3"/>
      <c r="DN92" s="3"/>
      <c r="DO92" s="3"/>
      <c r="DP92" s="3"/>
      <c r="DQ92" s="3"/>
      <c r="DR92" s="3"/>
      <c r="DS92" s="3"/>
      <c r="DT92" s="3"/>
      <c r="DU92" s="3"/>
      <c r="DV92" s="3"/>
      <c r="DW92" s="3"/>
      <c r="DX92" s="3"/>
      <c r="DY92" s="3"/>
      <c r="DZ92" s="83" t="s">
        <v>16815</v>
      </c>
      <c r="EA92" s="83" t="s">
        <v>4537</v>
      </c>
      <c r="ED92" s="3" t="s">
        <v>12858</v>
      </c>
      <c r="EE92" s="83" t="s">
        <v>148</v>
      </c>
      <c r="EF92" s="530" t="s">
        <v>12859</v>
      </c>
      <c r="EK92" s="874"/>
      <c r="EM92" s="83" t="s">
        <v>5018</v>
      </c>
      <c r="EN92" s="83" t="s">
        <v>4975</v>
      </c>
      <c r="EO92" s="83" t="s">
        <v>5006</v>
      </c>
      <c r="EP92" s="83" t="s">
        <v>5005</v>
      </c>
      <c r="EQ92" s="481"/>
      <c r="ER92" s="83"/>
      <c r="ES92" s="83"/>
      <c r="ET92" s="530"/>
      <c r="EU92" s="177" t="str">
        <f>IF(Dieu="Myrmidia","Ordre de l'aigle","")</f>
        <v/>
      </c>
      <c r="EV92" s="83" t="str">
        <f t="shared" si="69"/>
        <v/>
      </c>
      <c r="EW92" s="83" t="str">
        <f t="shared" si="73"/>
        <v/>
      </c>
      <c r="EX92" s="530" t="str">
        <f t="shared" si="74"/>
        <v/>
      </c>
      <c r="EY92" s="83" t="s">
        <v>5879</v>
      </c>
      <c r="EZ92" s="530" t="s">
        <v>5878</v>
      </c>
      <c r="FB92" s="83" t="s">
        <v>12988</v>
      </c>
      <c r="FC92" s="133" t="s">
        <v>13214</v>
      </c>
      <c r="FD92" s="85" t="s">
        <v>12985</v>
      </c>
      <c r="FE92" s="849">
        <v>10</v>
      </c>
      <c r="FF92">
        <v>10</v>
      </c>
      <c r="FG92">
        <v>0</v>
      </c>
      <c r="FH92">
        <v>8</v>
      </c>
      <c r="FI92">
        <v>8</v>
      </c>
      <c r="FJ92" s="10">
        <v>50</v>
      </c>
      <c r="FK92">
        <v>10</v>
      </c>
      <c r="FL92">
        <v>12</v>
      </c>
      <c r="FM92" s="165">
        <v>0</v>
      </c>
      <c r="FN92" s="88">
        <v>0</v>
      </c>
      <c r="FO92" s="88">
        <v>12</v>
      </c>
      <c r="FP92" s="164">
        <f>ROUNDDOWN(FH92/10,0)</f>
        <v>0</v>
      </c>
      <c r="FQ92" s="164">
        <f>ROUNDDOWN(FI92/10,0)</f>
        <v>0</v>
      </c>
      <c r="FR92" s="682">
        <v>1</v>
      </c>
      <c r="FS92" s="88">
        <v>0</v>
      </c>
      <c r="FT92" s="88">
        <v>0</v>
      </c>
      <c r="FU92" s="165">
        <v>0</v>
      </c>
      <c r="FV92" s="83" t="s">
        <v>12986</v>
      </c>
      <c r="FW92" s="83" t="s">
        <v>12987</v>
      </c>
      <c r="FX92" s="567" t="s">
        <v>7659</v>
      </c>
      <c r="GA92" t="s">
        <v>7288</v>
      </c>
      <c r="GE92" s="356"/>
      <c r="GF92" t="s">
        <v>8196</v>
      </c>
      <c r="GG92" s="356" t="s">
        <v>8893</v>
      </c>
      <c r="GH92" s="83" t="s">
        <v>8900</v>
      </c>
      <c r="GI92" s="83" t="s">
        <v>8896</v>
      </c>
      <c r="GJ92" s="83"/>
      <c r="GK92" s="530"/>
    </row>
    <row r="93" spans="8:193" ht="13.2" customHeight="1">
      <c r="H93" s="83" t="s">
        <v>15786</v>
      </c>
      <c r="I93" t="s">
        <v>15787</v>
      </c>
      <c r="J93" s="3"/>
      <c r="K93" s="3"/>
      <c r="L93" s="3"/>
      <c r="M93" s="651"/>
      <c r="N93" s="3"/>
      <c r="O93" s="3"/>
      <c r="P93" s="3"/>
      <c r="Q93" s="3"/>
      <c r="R93" s="651"/>
      <c r="S93" s="83" t="str">
        <f>IF(CareerType=Y93,"Chevalier du soleil",IF(AllCareers="X","Chevalier du soleil",IF(Selectsousrace="","",IF(OR(SelectRace="homme-bête",SelectRace="peau-verte",SelectRace="créature du chaos",SelectRace="Homme-lézard",SelectRace="skaven"),"",IF(FirstCareer="1ère carrière","","Chevalier du soleil")))))</f>
        <v/>
      </c>
      <c r="T93" s="85">
        <v>2</v>
      </c>
      <c r="U93" s="693" t="str">
        <f t="shared" si="75"/>
        <v/>
      </c>
      <c r="V93" s="693" t="str">
        <f t="shared" si="76"/>
        <v/>
      </c>
      <c r="W93" s="693" t="str">
        <f t="shared" si="77"/>
        <v/>
      </c>
      <c r="X93" s="47" t="s">
        <v>2153</v>
      </c>
      <c r="Y93" s="743" t="s">
        <v>7130</v>
      </c>
      <c r="Z93" s="55" t="s">
        <v>2208</v>
      </c>
      <c r="AA93" s="47">
        <v>123</v>
      </c>
      <c r="AB93" s="47" t="s">
        <v>2263</v>
      </c>
      <c r="AC93" s="47">
        <v>124</v>
      </c>
      <c r="AD93" s="15" t="s">
        <v>99</v>
      </c>
      <c r="AE93" s="15" t="s">
        <v>149</v>
      </c>
      <c r="AF93" s="15" t="s">
        <v>98</v>
      </c>
      <c r="AG93" s="15" t="s">
        <v>100</v>
      </c>
      <c r="AH93" s="15" t="s">
        <v>100</v>
      </c>
      <c r="AI93" s="15" t="s">
        <v>98</v>
      </c>
      <c r="AJ93" s="15" t="s">
        <v>101</v>
      </c>
      <c r="AK93" s="18" t="s">
        <v>98</v>
      </c>
      <c r="AL93" s="15" t="s">
        <v>102</v>
      </c>
      <c r="AM93" s="15" t="s">
        <v>114</v>
      </c>
      <c r="AN93" s="15" t="s">
        <v>149</v>
      </c>
      <c r="AO93" s="15" t="s">
        <v>149</v>
      </c>
      <c r="AP93" s="87" t="s">
        <v>15831</v>
      </c>
      <c r="AQ93" s="87" t="s">
        <v>734</v>
      </c>
      <c r="AR93" s="22" t="s">
        <v>2264</v>
      </c>
      <c r="AS93" s="87" t="s">
        <v>734</v>
      </c>
      <c r="AT93" s="87" t="s">
        <v>16816</v>
      </c>
      <c r="AU93" s="87" t="s">
        <v>16817</v>
      </c>
      <c r="AV93" s="87" t="s">
        <v>4721</v>
      </c>
      <c r="AW93" s="457">
        <v>0</v>
      </c>
      <c r="AX93" s="630" t="str">
        <f t="shared" si="81"/>
        <v/>
      </c>
      <c r="AY93" s="630" t="str">
        <f t="shared" si="82"/>
        <v/>
      </c>
      <c r="AZ93" s="630" t="str">
        <f t="shared" si="83"/>
        <v/>
      </c>
      <c r="BA93" s="3"/>
      <c r="BB93" s="3"/>
      <c r="BC93" s="3"/>
      <c r="BD93" s="3"/>
      <c r="BE93" s="3"/>
      <c r="BF93" s="3"/>
      <c r="BG93" s="3"/>
      <c r="BH93" s="3"/>
      <c r="BI93" s="3"/>
      <c r="BJ93" s="3"/>
      <c r="BK93" s="3"/>
      <c r="BL93" s="3"/>
      <c r="BM93" s="3">
        <v>101</v>
      </c>
      <c r="BN93" s="3"/>
      <c r="BP93" s="3"/>
      <c r="BQ93" s="3" t="s">
        <v>11898</v>
      </c>
      <c r="BR93" s="3"/>
      <c r="BS93" s="3"/>
      <c r="BT93" s="3"/>
      <c r="BU93" s="3"/>
      <c r="BV93" s="3"/>
      <c r="BW93" s="3"/>
      <c r="BX93" s="83" t="str">
        <f>IF(Province="Grande baronnie du Hochland","Ville prospère de la Grande baronnie du Hochland","")</f>
        <v/>
      </c>
      <c r="BY93" t="str">
        <f t="shared" si="78"/>
        <v/>
      </c>
      <c r="BZ93" s="83" t="str">
        <f t="shared" si="70"/>
        <v/>
      </c>
      <c r="CA93" s="83" t="str">
        <f t="shared" si="71"/>
        <v/>
      </c>
      <c r="CB93" s="530" t="str">
        <f t="shared" si="72"/>
        <v/>
      </c>
      <c r="CC93" s="3" t="s">
        <v>3272</v>
      </c>
      <c r="CD93" t="s">
        <v>10679</v>
      </c>
      <c r="CG93" s="3" t="s">
        <v>6191</v>
      </c>
      <c r="CH93" s="3" t="s">
        <v>5976</v>
      </c>
      <c r="CI93" s="3"/>
      <c r="CJ93" s="3"/>
      <c r="CK93" s="3" t="s">
        <v>6903</v>
      </c>
      <c r="CL93" s="3" t="s">
        <v>6452</v>
      </c>
      <c r="CM93" s="83" t="s">
        <v>15174</v>
      </c>
      <c r="CN93" s="3" t="s">
        <v>6570</v>
      </c>
      <c r="CO93" s="3" t="s">
        <v>10950</v>
      </c>
      <c r="CP93" s="3"/>
      <c r="CQ93" s="3"/>
      <c r="CR93" t="s">
        <v>13464</v>
      </c>
      <c r="CU93" s="3"/>
      <c r="CV93" s="3"/>
      <c r="CW93" s="3"/>
      <c r="CX93" s="3"/>
      <c r="CY93" s="83" t="s">
        <v>16739</v>
      </c>
      <c r="CZ93" s="3"/>
      <c r="DA93" s="3" t="s">
        <v>2480</v>
      </c>
      <c r="DB93" s="83" t="s">
        <v>12729</v>
      </c>
      <c r="DC93" s="3"/>
      <c r="DD93" s="83" t="s">
        <v>11228</v>
      </c>
      <c r="DE93" s="3" t="s">
        <v>132</v>
      </c>
      <c r="DF93" s="3">
        <f>ROW()</f>
        <v>93</v>
      </c>
      <c r="DG93" s="3" t="s">
        <v>2678</v>
      </c>
      <c r="DH93" s="3">
        <f t="shared" si="87"/>
        <v>195</v>
      </c>
      <c r="DI93" s="3">
        <f t="shared" si="88"/>
        <v>160</v>
      </c>
      <c r="DJ93" s="3">
        <f t="shared" si="89"/>
        <v>130</v>
      </c>
      <c r="DK93" s="3">
        <f t="shared" si="90"/>
        <v>105</v>
      </c>
      <c r="DL93" s="3"/>
      <c r="DM93" s="3"/>
      <c r="DN93" s="3"/>
      <c r="DO93" s="3"/>
      <c r="DP93" s="3"/>
      <c r="DQ93" s="3"/>
      <c r="DR93" s="3"/>
      <c r="DS93" s="3"/>
      <c r="DT93" s="3"/>
      <c r="DU93" s="3"/>
      <c r="DV93" s="3"/>
      <c r="DW93" s="3"/>
      <c r="DX93" s="3"/>
      <c r="DY93" s="3"/>
      <c r="DZ93" s="3" t="s">
        <v>2998</v>
      </c>
      <c r="EA93" s="83" t="s">
        <v>4537</v>
      </c>
      <c r="ED93" s="3" t="s">
        <v>12860</v>
      </c>
      <c r="EE93" s="83" t="s">
        <v>148</v>
      </c>
      <c r="EF93" s="530" t="s">
        <v>12861</v>
      </c>
      <c r="EK93" s="874"/>
      <c r="EM93" s="83" t="s">
        <v>5022</v>
      </c>
      <c r="EN93" s="83" t="s">
        <v>4975</v>
      </c>
      <c r="EO93" s="83" t="s">
        <v>5007</v>
      </c>
      <c r="EP93" s="83" t="s">
        <v>5005</v>
      </c>
      <c r="EQ93" s="481"/>
      <c r="ER93" s="83"/>
      <c r="ES93" s="83"/>
      <c r="ET93" s="530"/>
      <c r="EU93" s="177" t="str">
        <f>IF(Dieu="Myrmidia","Ordre du soleil flamboyant","")</f>
        <v/>
      </c>
      <c r="EV93" s="83" t="str">
        <f t="shared" si="69"/>
        <v/>
      </c>
      <c r="EW93" s="83" t="str">
        <f t="shared" si="73"/>
        <v/>
      </c>
      <c r="EX93" s="530" t="str">
        <f t="shared" si="74"/>
        <v/>
      </c>
      <c r="EY93" s="83" t="s">
        <v>5876</v>
      </c>
      <c r="EZ93" s="530" t="s">
        <v>5877</v>
      </c>
      <c r="FB93" s="83" t="s">
        <v>9943</v>
      </c>
      <c r="FC93" s="133" t="s">
        <v>13214</v>
      </c>
      <c r="FD93" s="83" t="s">
        <v>9703</v>
      </c>
      <c r="FE93" s="849">
        <v>329</v>
      </c>
      <c r="FF93">
        <v>35</v>
      </c>
      <c r="FG93">
        <v>0</v>
      </c>
      <c r="FH93">
        <v>12</v>
      </c>
      <c r="FI93">
        <v>16</v>
      </c>
      <c r="FJ93" s="10">
        <v>35</v>
      </c>
      <c r="FK93">
        <v>17</v>
      </c>
      <c r="FL93">
        <v>25</v>
      </c>
      <c r="FM93" s="165">
        <v>0</v>
      </c>
      <c r="FN93" s="88">
        <v>2</v>
      </c>
      <c r="FO93" s="88">
        <v>8</v>
      </c>
      <c r="FP93" s="164">
        <f>ROUNDDOWN(FH93/10,0)</f>
        <v>1</v>
      </c>
      <c r="FQ93" s="164">
        <f>ROUNDDOWN(FI93/10,0)</f>
        <v>1</v>
      </c>
      <c r="FR93" s="683" t="s">
        <v>7253</v>
      </c>
      <c r="FS93">
        <v>0</v>
      </c>
      <c r="FT93">
        <v>0</v>
      </c>
      <c r="FU93" s="165">
        <v>0</v>
      </c>
      <c r="FV93" s="83" t="s">
        <v>7236</v>
      </c>
      <c r="FW93" s="83" t="s">
        <v>9945</v>
      </c>
      <c r="FX93" s="567" t="s">
        <v>7658</v>
      </c>
      <c r="GA93" s="83" t="s">
        <v>7588</v>
      </c>
      <c r="GE93" s="356"/>
      <c r="GF93" t="s">
        <v>7698</v>
      </c>
      <c r="GG93" s="356" t="s">
        <v>8903</v>
      </c>
      <c r="GH93" s="83" t="s">
        <v>8900</v>
      </c>
      <c r="GI93" s="83" t="s">
        <v>8907</v>
      </c>
      <c r="GJ93" s="83"/>
      <c r="GK93" s="530"/>
    </row>
    <row r="94" spans="8:193" ht="13.2" customHeight="1">
      <c r="H94" s="3" t="s">
        <v>791</v>
      </c>
      <c r="I94" s="84" t="s">
        <v>9680</v>
      </c>
      <c r="J94" s="3"/>
      <c r="K94" s="3"/>
      <c r="L94" s="3"/>
      <c r="M94" s="651"/>
      <c r="N94" s="3"/>
      <c r="O94" s="3"/>
      <c r="P94" s="3"/>
      <c r="Q94" s="3"/>
      <c r="R94" s="651"/>
      <c r="S94" s="83" t="str">
        <f>IF(CareerType=Y94,"Chevalier errant",IF(AllCareers="X","Chevalier errant",IF(Selectsousrace="","",IF(OR(SelectRace="homme-bête",SelectRace="peau-verte",SelectRace="créature du chaos",SelectRace="Homme-lézard",SelectRace="skaven"),"",IF(Pays="Bretonnie","Chevalier errant","")))))</f>
        <v/>
      </c>
      <c r="T94" s="106">
        <f>IF(X94="oui",0,1)</f>
        <v>0</v>
      </c>
      <c r="U94" s="693" t="str">
        <f t="shared" si="75"/>
        <v/>
      </c>
      <c r="V94" s="693" t="str">
        <f t="shared" si="76"/>
        <v/>
      </c>
      <c r="W94" s="693" t="str">
        <f t="shared" si="77"/>
        <v/>
      </c>
      <c r="X94" s="47" t="s">
        <v>2160</v>
      </c>
      <c r="Y94" s="743" t="s">
        <v>7130</v>
      </c>
      <c r="Z94" s="55" t="s">
        <v>2206</v>
      </c>
      <c r="AA94" s="47">
        <v>97</v>
      </c>
      <c r="AB94" s="47" t="s">
        <v>2265</v>
      </c>
      <c r="AC94" s="47">
        <v>123</v>
      </c>
      <c r="AD94" s="15" t="s">
        <v>101</v>
      </c>
      <c r="AE94" s="15" t="s">
        <v>149</v>
      </c>
      <c r="AF94" s="15" t="s">
        <v>114</v>
      </c>
      <c r="AG94" s="15" t="s">
        <v>114</v>
      </c>
      <c r="AH94" s="15" t="s">
        <v>114</v>
      </c>
      <c r="AI94" s="15" t="s">
        <v>149</v>
      </c>
      <c r="AJ94" s="15" t="s">
        <v>114</v>
      </c>
      <c r="AK94" s="18" t="s">
        <v>114</v>
      </c>
      <c r="AL94" s="15" t="s">
        <v>102</v>
      </c>
      <c r="AM94" s="15" t="s">
        <v>113</v>
      </c>
      <c r="AN94" s="15" t="s">
        <v>149</v>
      </c>
      <c r="AO94" s="15" t="s">
        <v>149</v>
      </c>
      <c r="AP94" s="87" t="s">
        <v>14853</v>
      </c>
      <c r="AQ94" s="87" t="s">
        <v>734</v>
      </c>
      <c r="AR94" s="22" t="s">
        <v>618</v>
      </c>
      <c r="AS94" s="87" t="s">
        <v>734</v>
      </c>
      <c r="AT94" s="87" t="s">
        <v>16818</v>
      </c>
      <c r="AU94" s="87" t="s">
        <v>5460</v>
      </c>
      <c r="AV94" s="87" t="s">
        <v>4703</v>
      </c>
      <c r="AW94" s="457">
        <v>0</v>
      </c>
      <c r="AX94" s="630" t="str">
        <f t="shared" si="81"/>
        <v/>
      </c>
      <c r="AY94" s="630" t="str">
        <f t="shared" si="82"/>
        <v/>
      </c>
      <c r="AZ94" s="630" t="str">
        <f t="shared" si="83"/>
        <v/>
      </c>
      <c r="BA94" s="3"/>
      <c r="BB94" s="3"/>
      <c r="BC94" s="3"/>
      <c r="BD94" s="3"/>
      <c r="BE94" s="3"/>
      <c r="BF94" s="3"/>
      <c r="BG94" s="3"/>
      <c r="BH94" s="3"/>
      <c r="BI94" s="3"/>
      <c r="BJ94" s="3"/>
      <c r="BK94" s="3"/>
      <c r="BL94" s="3"/>
      <c r="BM94" s="3">
        <v>102</v>
      </c>
      <c r="BN94" s="3"/>
      <c r="BP94" s="3"/>
      <c r="BQ94" s="3" t="s">
        <v>11899</v>
      </c>
      <c r="BR94" s="3"/>
      <c r="BS94" s="3"/>
      <c r="BT94" s="3"/>
      <c r="BU94" s="3"/>
      <c r="BV94" s="3"/>
      <c r="BW94" s="3"/>
      <c r="BX94" s="3" t="str">
        <f>IF(Province="Grands-duchés de Middenheim et du Middenland","Ville prospère de Grands-duchés de Middenheim et du Middenland","")</f>
        <v/>
      </c>
      <c r="BY94" t="str">
        <f t="shared" si="78"/>
        <v/>
      </c>
      <c r="BZ94" s="83" t="str">
        <f t="shared" si="70"/>
        <v/>
      </c>
      <c r="CA94" s="83" t="str">
        <f t="shared" si="71"/>
        <v/>
      </c>
      <c r="CB94" s="530" t="str">
        <f t="shared" si="72"/>
        <v/>
      </c>
      <c r="CC94" s="3" t="s">
        <v>1041</v>
      </c>
      <c r="CD94" s="3" t="s">
        <v>3182</v>
      </c>
      <c r="CG94" s="83" t="s">
        <v>10171</v>
      </c>
      <c r="CH94" s="3" t="s">
        <v>5980</v>
      </c>
      <c r="CI94" s="3"/>
      <c r="CJ94" s="3"/>
      <c r="CK94" s="3" t="s">
        <v>6866</v>
      </c>
      <c r="CL94" s="3" t="s">
        <v>6433</v>
      </c>
      <c r="CM94" s="83" t="s">
        <v>15193</v>
      </c>
      <c r="CN94" s="3" t="s">
        <v>6588</v>
      </c>
      <c r="CO94" s="3" t="s">
        <v>10949</v>
      </c>
      <c r="CP94" s="3"/>
      <c r="CQ94" s="3"/>
      <c r="CR94" s="83" t="s">
        <v>13465</v>
      </c>
      <c r="CU94" s="3"/>
      <c r="CV94" s="3"/>
      <c r="CW94" s="3"/>
      <c r="CX94" s="3"/>
      <c r="CY94" s="3" t="s">
        <v>423</v>
      </c>
      <c r="CZ94" s="3"/>
      <c r="DA94" s="3" t="s">
        <v>12648</v>
      </c>
      <c r="DB94" s="83" t="s">
        <v>12752</v>
      </c>
      <c r="DC94" s="3"/>
      <c r="DD94" s="83" t="s">
        <v>11237</v>
      </c>
      <c r="DE94" s="3" t="s">
        <v>132</v>
      </c>
      <c r="DF94" s="3">
        <f>ROW()</f>
        <v>94</v>
      </c>
      <c r="DG94" s="3" t="s">
        <v>780</v>
      </c>
      <c r="DH94" s="3">
        <f t="shared" si="87"/>
        <v>400</v>
      </c>
      <c r="DI94" s="3">
        <f t="shared" si="88"/>
        <v>300</v>
      </c>
      <c r="DJ94" s="3">
        <f t="shared" si="89"/>
        <v>210</v>
      </c>
      <c r="DK94" s="3">
        <f t="shared" si="90"/>
        <v>120</v>
      </c>
      <c r="DL94" s="3"/>
      <c r="DM94" s="3"/>
      <c r="DN94" s="3"/>
      <c r="DO94" s="3"/>
      <c r="DP94" s="3"/>
      <c r="DQ94" s="3"/>
      <c r="DR94" s="3"/>
      <c r="DS94" s="3"/>
      <c r="DT94" s="3"/>
      <c r="DU94" s="3"/>
      <c r="DV94" s="3"/>
      <c r="DW94" s="3"/>
      <c r="DX94" s="3"/>
      <c r="DY94" s="3"/>
      <c r="DZ94" s="3" t="s">
        <v>2999</v>
      </c>
      <c r="EA94" s="83" t="s">
        <v>4538</v>
      </c>
      <c r="EB94" s="3"/>
      <c r="ED94" s="3" t="s">
        <v>12863</v>
      </c>
      <c r="EE94" s="83" t="s">
        <v>148</v>
      </c>
      <c r="EF94" s="530" t="s">
        <v>12864</v>
      </c>
      <c r="EK94" s="874"/>
      <c r="EM94" s="83" t="s">
        <v>5021</v>
      </c>
      <c r="EN94" s="83" t="s">
        <v>4975</v>
      </c>
      <c r="EO94" s="83" t="s">
        <v>16819</v>
      </c>
      <c r="EP94" s="83" t="s">
        <v>5005</v>
      </c>
      <c r="EQ94" s="481"/>
      <c r="ER94" s="83"/>
      <c r="ES94" s="83"/>
      <c r="ET94" s="530"/>
      <c r="EU94" s="571" t="str">
        <f>IF(OR(Dieu="Nurgle",Dieu="Hôsô",Dieu="Râvana",Dieu="Nieglen",Dieu="Ualapt"),"Disciples de la Gueule Fétide","")</f>
        <v/>
      </c>
      <c r="EV94" s="83" t="str">
        <f t="shared" si="69"/>
        <v/>
      </c>
      <c r="EW94" s="83" t="str">
        <f t="shared" si="73"/>
        <v/>
      </c>
      <c r="EX94" s="530" t="str">
        <f t="shared" si="74"/>
        <v/>
      </c>
      <c r="EY94" s="83" t="s">
        <v>9513</v>
      </c>
      <c r="EZ94" s="530" t="s">
        <v>9512</v>
      </c>
      <c r="FB94" s="83" t="s">
        <v>7260</v>
      </c>
      <c r="FC94" s="133" t="s">
        <v>13214</v>
      </c>
      <c r="FD94" t="s">
        <v>2211</v>
      </c>
      <c r="FE94" s="849">
        <v>190</v>
      </c>
      <c r="FF94">
        <v>38</v>
      </c>
      <c r="FG94">
        <v>0</v>
      </c>
      <c r="FH94">
        <v>10</v>
      </c>
      <c r="FI94">
        <v>10</v>
      </c>
      <c r="FJ94" s="10">
        <v>38</v>
      </c>
      <c r="FK94">
        <v>12</v>
      </c>
      <c r="FL94">
        <v>24</v>
      </c>
      <c r="FM94" s="165">
        <v>0</v>
      </c>
      <c r="FN94" s="88">
        <v>2</v>
      </c>
      <c r="FO94" s="103">
        <v>12</v>
      </c>
      <c r="FP94" s="164">
        <f>ROUNDDOWN(FH94/10,0)</f>
        <v>1</v>
      </c>
      <c r="FQ94" s="164">
        <f>ROUNDDOWN(FI94/10,0)</f>
        <v>1</v>
      </c>
      <c r="FR94" s="683" t="s">
        <v>7253</v>
      </c>
      <c r="FS94">
        <v>0</v>
      </c>
      <c r="FT94">
        <v>0</v>
      </c>
      <c r="FU94" s="165">
        <v>0</v>
      </c>
      <c r="FV94" s="83" t="s">
        <v>7236</v>
      </c>
      <c r="FW94" s="83" t="s">
        <v>14710</v>
      </c>
      <c r="FX94" s="567" t="s">
        <v>7658</v>
      </c>
      <c r="GA94" s="83" t="s">
        <v>7589</v>
      </c>
      <c r="GE94" s="356"/>
      <c r="GF94" t="s">
        <v>8197</v>
      </c>
      <c r="GG94" s="356" t="s">
        <v>16820</v>
      </c>
      <c r="GH94" s="83" t="s">
        <v>8900</v>
      </c>
      <c r="GI94" s="83" t="s">
        <v>8896</v>
      </c>
      <c r="GJ94" s="83"/>
      <c r="GK94" s="530"/>
    </row>
    <row r="95" spans="8:193" ht="13.2" customHeight="1">
      <c r="H95" s="353" t="s">
        <v>2877</v>
      </c>
      <c r="I95" s="519" t="s">
        <v>2878</v>
      </c>
      <c r="J95" s="3"/>
      <c r="K95" s="3"/>
      <c r="L95" s="3"/>
      <c r="M95" s="651"/>
      <c r="N95" s="3"/>
      <c r="O95" s="3"/>
      <c r="P95" s="3"/>
      <c r="Q95" s="3"/>
      <c r="R95" s="651"/>
      <c r="S95" s="83" t="str">
        <f>IF(CareerType=Y95,"Chevalier Panthère",IF(AllCareers="X","Chevalier Panthère",IF(Selectsousrace="","",IF(OR(SelectRace="homme-bête",SelectRace="peau-verte",SelectRace="créature du chaos",SelectRace="Homme-lézard",SelectRace="skaven"),"",IF(FirstCareer="1ère carrière","","Chevalier Panthère")))))</f>
        <v/>
      </c>
      <c r="T95" s="106">
        <f>IF(X95="oui",0,1)</f>
        <v>1</v>
      </c>
      <c r="U95" s="693" t="str">
        <f t="shared" si="75"/>
        <v/>
      </c>
      <c r="V95" s="693" t="str">
        <f t="shared" si="76"/>
        <v/>
      </c>
      <c r="W95" s="693" t="str">
        <f t="shared" si="77"/>
        <v/>
      </c>
      <c r="X95" s="47" t="s">
        <v>2153</v>
      </c>
      <c r="Y95" s="743" t="s">
        <v>7130</v>
      </c>
      <c r="Z95" s="55" t="s">
        <v>2196</v>
      </c>
      <c r="AA95" s="47">
        <v>135</v>
      </c>
      <c r="AB95" s="89" t="s">
        <v>4667</v>
      </c>
      <c r="AC95" s="47">
        <v>129</v>
      </c>
      <c r="AD95" s="15" t="s">
        <v>116</v>
      </c>
      <c r="AE95" s="15" t="s">
        <v>149</v>
      </c>
      <c r="AF95" s="15" t="s">
        <v>101</v>
      </c>
      <c r="AG95" s="15" t="s">
        <v>101</v>
      </c>
      <c r="AH95" s="15" t="s">
        <v>101</v>
      </c>
      <c r="AI95" s="15" t="s">
        <v>98</v>
      </c>
      <c r="AJ95" s="15" t="s">
        <v>98</v>
      </c>
      <c r="AK95" s="18" t="s">
        <v>101</v>
      </c>
      <c r="AL95" s="15" t="s">
        <v>102</v>
      </c>
      <c r="AM95" s="15" t="s">
        <v>112</v>
      </c>
      <c r="AN95" s="15" t="s">
        <v>149</v>
      </c>
      <c r="AO95" s="15" t="s">
        <v>149</v>
      </c>
      <c r="AP95" s="87" t="s">
        <v>619</v>
      </c>
      <c r="AQ95" s="87" t="s">
        <v>734</v>
      </c>
      <c r="AR95" s="22" t="s">
        <v>12260</v>
      </c>
      <c r="AS95" s="87" t="s">
        <v>734</v>
      </c>
      <c r="AT95" s="87" t="s">
        <v>16821</v>
      </c>
      <c r="AU95" s="87" t="s">
        <v>5479</v>
      </c>
      <c r="AV95" s="87" t="s">
        <v>4757</v>
      </c>
      <c r="AW95" s="457">
        <v>50</v>
      </c>
      <c r="AX95" s="630" t="str">
        <f t="shared" si="81"/>
        <v/>
      </c>
      <c r="AY95" s="630" t="str">
        <f t="shared" si="82"/>
        <v/>
      </c>
      <c r="AZ95" s="630" t="str">
        <f t="shared" si="83"/>
        <v/>
      </c>
      <c r="BA95" s="3"/>
      <c r="BB95" s="3"/>
      <c r="BC95" s="3"/>
      <c r="BD95" s="3"/>
      <c r="BE95" s="3"/>
      <c r="BF95" s="3"/>
      <c r="BG95" s="3"/>
      <c r="BH95" s="3"/>
      <c r="BI95" s="3"/>
      <c r="BJ95" s="3"/>
      <c r="BK95" s="3"/>
      <c r="BL95" s="3"/>
      <c r="BM95" s="3">
        <v>103</v>
      </c>
      <c r="BN95" s="3"/>
      <c r="BP95" s="3"/>
      <c r="BQ95" s="83" t="s">
        <v>11900</v>
      </c>
      <c r="BR95" s="3"/>
      <c r="BS95" s="3"/>
      <c r="BT95" s="3"/>
      <c r="BU95" s="3"/>
      <c r="BV95" s="3"/>
      <c r="BW95" s="3"/>
      <c r="BX95" s="3" t="str">
        <f>IF(Province="Grande baronnie du Nordland","Ville prospère  Grande baronnie du Nordland","")</f>
        <v/>
      </c>
      <c r="BY95" t="str">
        <f t="shared" si="78"/>
        <v/>
      </c>
      <c r="BZ95" s="83" t="str">
        <f t="shared" si="70"/>
        <v/>
      </c>
      <c r="CA95" s="83" t="str">
        <f t="shared" si="71"/>
        <v/>
      </c>
      <c r="CB95" s="530" t="str">
        <f t="shared" si="72"/>
        <v/>
      </c>
      <c r="CC95" s="3" t="s">
        <v>10720</v>
      </c>
      <c r="CD95" s="3" t="s">
        <v>3183</v>
      </c>
      <c r="CG95" s="3" t="s">
        <v>6192</v>
      </c>
      <c r="CH95" s="3" t="s">
        <v>5981</v>
      </c>
      <c r="CI95" s="3"/>
      <c r="CJ95" s="3"/>
      <c r="CK95" s="3" t="s">
        <v>6740</v>
      </c>
      <c r="CL95" s="3" t="s">
        <v>6510</v>
      </c>
      <c r="CM95" s="83" t="s">
        <v>15142</v>
      </c>
      <c r="CN95" s="83" t="s">
        <v>14973</v>
      </c>
      <c r="CO95" s="3" t="str">
        <f>CONCATENATE("Dotho",IF(AND('page 1'!M11="Féminin",Pays="Norsca"),"dottir",IF(AND('page 1'!M11="Masculin",Pays="Norsca"),"son",IF(AND('page 1'!M11="Féminin",Pays="Kislev"),"ovna",IF(AND('page 1'!M11="Masculin",Pays="Kislev"),"sky","")))))</f>
        <v>Dotho</v>
      </c>
      <c r="CP95" s="83"/>
      <c r="CQ95" s="83"/>
      <c r="CR95" s="3" t="s">
        <v>13466</v>
      </c>
      <c r="CU95" s="3"/>
      <c r="CV95" s="3"/>
      <c r="CW95" s="3"/>
      <c r="CX95" s="3"/>
      <c r="CY95" s="3" t="s">
        <v>80</v>
      </c>
      <c r="CZ95" s="3"/>
      <c r="DA95" s="3" t="s">
        <v>12649</v>
      </c>
      <c r="DB95" s="83" t="s">
        <v>12753</v>
      </c>
      <c r="DC95" s="3"/>
      <c r="DD95" s="83" t="s">
        <v>11524</v>
      </c>
      <c r="DE95" s="3" t="s">
        <v>131</v>
      </c>
      <c r="DF95" s="3">
        <f>ROW()</f>
        <v>95</v>
      </c>
      <c r="DG95" s="3" t="s">
        <v>447</v>
      </c>
      <c r="DH95" s="3">
        <f t="shared" si="87"/>
        <v>150</v>
      </c>
      <c r="DI95" s="3">
        <f t="shared" si="88"/>
        <v>135</v>
      </c>
      <c r="DJ95" s="3">
        <f t="shared" si="89"/>
        <v>120</v>
      </c>
      <c r="DK95" s="3">
        <f t="shared" si="90"/>
        <v>105</v>
      </c>
      <c r="DL95" s="3"/>
      <c r="DM95" s="3"/>
      <c r="DN95" s="3"/>
      <c r="DO95" s="3"/>
      <c r="DP95" s="3"/>
      <c r="DQ95" s="3"/>
      <c r="DR95" s="3"/>
      <c r="DS95" s="3"/>
      <c r="DT95" s="3"/>
      <c r="DU95" s="3"/>
      <c r="DV95" s="3"/>
      <c r="DW95" s="3"/>
      <c r="DX95" s="3"/>
      <c r="DY95" s="3"/>
      <c r="DZ95" s="3" t="s">
        <v>3000</v>
      </c>
      <c r="EA95" s="83" t="s">
        <v>4538</v>
      </c>
      <c r="EB95" s="3"/>
      <c r="ED95" s="3" t="s">
        <v>12867</v>
      </c>
      <c r="EE95" s="83" t="s">
        <v>148</v>
      </c>
      <c r="EF95" s="530" t="s">
        <v>12868</v>
      </c>
      <c r="EK95" s="874"/>
      <c r="EM95" s="90" t="s">
        <v>5023</v>
      </c>
      <c r="EN95" s="83" t="s">
        <v>4975</v>
      </c>
      <c r="EO95" s="84" t="s">
        <v>5008</v>
      </c>
      <c r="EP95" s="83" t="s">
        <v>5005</v>
      </c>
      <c r="EQ95" s="481"/>
      <c r="ER95" s="83"/>
      <c r="ES95" s="83"/>
      <c r="ET95" s="530"/>
      <c r="EU95" s="571" t="str">
        <f>IF(OR(Dieu="Nurgle",Dieu="Hôsô",Dieu="Râvana",Dieu="Nieglen",Dieu="Ualapt"),"Enfants du Destin","")</f>
        <v/>
      </c>
      <c r="EV95" s="83" t="str">
        <f t="shared" si="69"/>
        <v/>
      </c>
      <c r="EW95" s="83" t="str">
        <f t="shared" si="73"/>
        <v/>
      </c>
      <c r="EX95" s="530" t="str">
        <f t="shared" si="74"/>
        <v/>
      </c>
      <c r="EY95" s="83" t="s">
        <v>2850</v>
      </c>
      <c r="EZ95" s="530" t="s">
        <v>840</v>
      </c>
      <c r="FB95" s="83" t="s">
        <v>7261</v>
      </c>
      <c r="FC95" s="133" t="s">
        <v>13214</v>
      </c>
      <c r="FD95" t="s">
        <v>2211</v>
      </c>
      <c r="FE95" s="849">
        <v>190</v>
      </c>
      <c r="FF95">
        <v>32</v>
      </c>
      <c r="FG95">
        <v>0</v>
      </c>
      <c r="FH95">
        <v>10</v>
      </c>
      <c r="FI95">
        <v>10</v>
      </c>
      <c r="FJ95" s="10">
        <v>50</v>
      </c>
      <c r="FK95">
        <v>14</v>
      </c>
      <c r="FL95">
        <v>14</v>
      </c>
      <c r="FM95" s="165">
        <v>43</v>
      </c>
      <c r="FN95" s="88">
        <v>2</v>
      </c>
      <c r="FO95" s="88">
        <v>6</v>
      </c>
      <c r="FP95" s="164">
        <f>ROUNDDOWN(FH95/10,0)</f>
        <v>1</v>
      </c>
      <c r="FQ95" s="164">
        <f>ROUNDDOWN(FI95/10,0)</f>
        <v>1</v>
      </c>
      <c r="FR95" s="683" t="s">
        <v>7253</v>
      </c>
      <c r="FS95">
        <v>0</v>
      </c>
      <c r="FT95">
        <v>0</v>
      </c>
      <c r="FU95" s="165">
        <v>0</v>
      </c>
      <c r="FV95" s="83" t="s">
        <v>7236</v>
      </c>
      <c r="FW95" s="83" t="s">
        <v>14711</v>
      </c>
      <c r="FX95" s="567" t="s">
        <v>7658</v>
      </c>
      <c r="GA95" t="s">
        <v>7522</v>
      </c>
      <c r="GE95" s="356"/>
      <c r="GF95" t="s">
        <v>8198</v>
      </c>
      <c r="GG95" s="356" t="s">
        <v>8894</v>
      </c>
      <c r="GH95" s="83" t="s">
        <v>8900</v>
      </c>
      <c r="GI95" s="83" t="s">
        <v>8896</v>
      </c>
      <c r="GJ95" s="83"/>
      <c r="GK95" s="530"/>
    </row>
    <row r="96" spans="8:193" ht="13.2" customHeight="1">
      <c r="H96" s="3" t="s">
        <v>2865</v>
      </c>
      <c r="I96" s="3" t="s">
        <v>2866</v>
      </c>
      <c r="J96" s="3"/>
      <c r="K96" s="3"/>
      <c r="L96" s="3"/>
      <c r="M96" s="651"/>
      <c r="N96" s="3"/>
      <c r="O96" s="3"/>
      <c r="P96" s="3"/>
      <c r="Q96" s="3"/>
      <c r="R96" s="651"/>
      <c r="S96" s="83" t="str">
        <f>IF(OR(CareerType=Y96,AllCareers="X"),"Chevaucheur d'Aigle de Guerre/Terradon",IF(Selectsousrace="","",IF(FirstCareer="1ère carrière","",IF(AND(Pays="Lustrie",OR(SelectRace="Humain",SelectRace="Elfe")),"Chevaucheur de Terradon",""))))</f>
        <v/>
      </c>
      <c r="T96" s="106">
        <v>2</v>
      </c>
      <c r="U96" s="693" t="str">
        <f t="shared" si="75"/>
        <v/>
      </c>
      <c r="V96" s="693" t="str">
        <f t="shared" si="76"/>
        <v/>
      </c>
      <c r="W96" s="693" t="str">
        <f t="shared" si="77"/>
        <v/>
      </c>
      <c r="X96" s="47" t="s">
        <v>2153</v>
      </c>
      <c r="Y96" s="743" t="s">
        <v>7130</v>
      </c>
      <c r="Z96" s="56" t="s">
        <v>11171</v>
      </c>
      <c r="AA96" s="89">
        <v>35</v>
      </c>
      <c r="AB96" s="89" t="s">
        <v>13084</v>
      </c>
      <c r="AD96" s="105" t="s">
        <v>101</v>
      </c>
      <c r="AE96" s="105" t="s">
        <v>99</v>
      </c>
      <c r="AF96" s="105" t="s">
        <v>98</v>
      </c>
      <c r="AG96" s="105" t="s">
        <v>98</v>
      </c>
      <c r="AH96" s="105" t="s">
        <v>100</v>
      </c>
      <c r="AI96" s="105" t="s">
        <v>149</v>
      </c>
      <c r="AJ96" s="105" t="s">
        <v>101</v>
      </c>
      <c r="AK96" s="443" t="s">
        <v>149</v>
      </c>
      <c r="AL96" s="105" t="s">
        <v>102</v>
      </c>
      <c r="AM96" s="105" t="s">
        <v>103</v>
      </c>
      <c r="AN96" s="105" t="s">
        <v>149</v>
      </c>
      <c r="AO96" s="105" t="s">
        <v>149</v>
      </c>
      <c r="AP96" s="87" t="s">
        <v>16565</v>
      </c>
      <c r="AQ96" s="87" t="s">
        <v>734</v>
      </c>
      <c r="AR96" s="87" t="s">
        <v>14720</v>
      </c>
      <c r="AS96" s="87" t="s">
        <v>734</v>
      </c>
      <c r="AT96" s="87" t="s">
        <v>16822</v>
      </c>
      <c r="AU96" s="87" t="s">
        <v>14724</v>
      </c>
      <c r="AV96" s="630" t="str">
        <f>CONCATENATE(IF(Pays="Lustrie","Terradon, Arc long et 10 flèches",""),IF(SelectRace="Elfe","Oiseau (aigle (grand)) OU Oiseau (faucon de guerre (grand)), arc elfique et 10 flèches",""))</f>
        <v/>
      </c>
      <c r="AW96" s="458">
        <v>0</v>
      </c>
      <c r="AX96" s="630" t="str">
        <f t="shared" si="81"/>
        <v/>
      </c>
      <c r="AY96" s="630" t="str">
        <f t="shared" si="82"/>
        <v/>
      </c>
      <c r="AZ96" s="630" t="str">
        <f t="shared" si="83"/>
        <v/>
      </c>
      <c r="BA96" s="3"/>
      <c r="BB96" s="3"/>
      <c r="BC96" s="3"/>
      <c r="BD96" s="3"/>
      <c r="BE96" s="3"/>
      <c r="BF96" s="3"/>
      <c r="BG96" s="3"/>
      <c r="BH96" s="3"/>
      <c r="BI96" s="3"/>
      <c r="BJ96" s="3"/>
      <c r="BK96" s="3"/>
      <c r="BL96" s="3"/>
      <c r="BM96" s="3">
        <v>104</v>
      </c>
      <c r="BN96" s="3"/>
      <c r="BP96" s="3"/>
      <c r="BQ96" s="3" t="s">
        <v>11901</v>
      </c>
      <c r="BR96" s="83"/>
      <c r="BS96" s="83"/>
      <c r="BT96" s="3"/>
      <c r="BU96" s="3"/>
      <c r="BV96" s="3"/>
      <c r="BW96" s="3"/>
      <c r="BX96" s="3" t="str">
        <f>IF(Province="Grande principauté du Reikland","Ville prospère de Grande principauté du Reikland","")</f>
        <v/>
      </c>
      <c r="BY96" t="str">
        <f t="shared" si="78"/>
        <v/>
      </c>
      <c r="BZ96" s="83" t="str">
        <f t="shared" si="70"/>
        <v/>
      </c>
      <c r="CA96" s="83" t="str">
        <f t="shared" si="71"/>
        <v/>
      </c>
      <c r="CB96" s="530" t="str">
        <f t="shared" si="72"/>
        <v/>
      </c>
      <c r="CC96" s="3" t="s">
        <v>3273</v>
      </c>
      <c r="CD96" t="s">
        <v>10680</v>
      </c>
      <c r="CG96" s="3" t="s">
        <v>6193</v>
      </c>
      <c r="CH96" s="3" t="s">
        <v>5978</v>
      </c>
      <c r="CI96" s="3"/>
      <c r="CJ96" s="3"/>
      <c r="CK96" s="3" t="s">
        <v>6786</v>
      </c>
      <c r="CL96" s="3" t="s">
        <v>6422</v>
      </c>
      <c r="CM96" t="s">
        <v>10307</v>
      </c>
      <c r="CN96" s="3" t="s">
        <v>6586</v>
      </c>
      <c r="CO96" s="3" t="s">
        <v>10946</v>
      </c>
      <c r="CP96" s="3"/>
      <c r="CQ96" s="3"/>
      <c r="CR96" s="3" t="s">
        <v>13467</v>
      </c>
      <c r="CU96" s="3"/>
      <c r="CV96" s="3"/>
      <c r="CW96" s="3"/>
      <c r="CX96" s="3"/>
      <c r="CY96" s="3" t="s">
        <v>830</v>
      </c>
      <c r="CZ96" s="3"/>
      <c r="DA96" s="3" t="s">
        <v>12650</v>
      </c>
      <c r="DB96" s="83" t="s">
        <v>12717</v>
      </c>
      <c r="DC96" s="3"/>
      <c r="DD96" s="83" t="s">
        <v>11192</v>
      </c>
      <c r="DE96" s="3" t="s">
        <v>132</v>
      </c>
      <c r="DF96" s="3">
        <f>ROW()</f>
        <v>96</v>
      </c>
      <c r="DG96" s="3" t="s">
        <v>780</v>
      </c>
      <c r="DH96" s="3">
        <f t="shared" si="87"/>
        <v>400</v>
      </c>
      <c r="DI96" s="3">
        <f t="shared" si="88"/>
        <v>300</v>
      </c>
      <c r="DJ96" s="3">
        <f t="shared" si="89"/>
        <v>210</v>
      </c>
      <c r="DK96" s="3">
        <f t="shared" si="90"/>
        <v>120</v>
      </c>
      <c r="DL96" s="3"/>
      <c r="DM96" s="3"/>
      <c r="DN96" s="3"/>
      <c r="DO96" s="3"/>
      <c r="DP96" s="3"/>
      <c r="DQ96" s="3"/>
      <c r="DR96" s="3"/>
      <c r="DS96" s="3"/>
      <c r="DT96" s="3"/>
      <c r="DU96" s="3"/>
      <c r="DV96" s="3"/>
      <c r="DW96" s="3"/>
      <c r="DX96" s="3"/>
      <c r="DY96" s="3"/>
      <c r="DZ96" s="3" t="s">
        <v>3001</v>
      </c>
      <c r="EA96" s="83" t="s">
        <v>4538</v>
      </c>
      <c r="EB96" s="3"/>
      <c r="ED96" s="3" t="s">
        <v>12874</v>
      </c>
      <c r="EE96" s="83" t="s">
        <v>148</v>
      </c>
      <c r="EF96" s="530" t="s">
        <v>9068</v>
      </c>
      <c r="EK96" s="874"/>
      <c r="EM96" s="90" t="s">
        <v>5025</v>
      </c>
      <c r="EN96" s="83" t="s">
        <v>4975</v>
      </c>
      <c r="EO96" s="83" t="s">
        <v>5009</v>
      </c>
      <c r="EP96" s="83" t="s">
        <v>5005</v>
      </c>
      <c r="EQ96" s="481"/>
      <c r="ER96" s="83"/>
      <c r="ES96" s="83"/>
      <c r="ET96" s="530"/>
      <c r="EU96" s="177" t="str">
        <f>IF(Dieu="Osir","Initié","")</f>
        <v/>
      </c>
      <c r="EV96" s="83" t="str">
        <f t="shared" si="69"/>
        <v/>
      </c>
      <c r="EW96" s="83" t="str">
        <f t="shared" si="73"/>
        <v/>
      </c>
      <c r="EX96" s="530" t="str">
        <f t="shared" si="74"/>
        <v/>
      </c>
      <c r="EY96" s="83" t="s">
        <v>800</v>
      </c>
      <c r="EZ96" s="530" t="s">
        <v>9623</v>
      </c>
      <c r="FB96" s="83" t="s">
        <v>13047</v>
      </c>
      <c r="FC96" s="133" t="s">
        <v>13214</v>
      </c>
      <c r="FD96" s="85" t="s">
        <v>12985</v>
      </c>
      <c r="FE96" s="849">
        <v>29</v>
      </c>
      <c r="FF96">
        <v>25</v>
      </c>
      <c r="FG96">
        <v>0</v>
      </c>
      <c r="FH96">
        <v>30</v>
      </c>
      <c r="FI96">
        <v>30</v>
      </c>
      <c r="FJ96" s="10">
        <v>30</v>
      </c>
      <c r="FK96">
        <v>12</v>
      </c>
      <c r="FL96">
        <v>25</v>
      </c>
      <c r="FM96" s="165">
        <v>0</v>
      </c>
      <c r="FN96" s="88">
        <v>1</v>
      </c>
      <c r="FO96" s="88">
        <v>10</v>
      </c>
      <c r="FP96" s="164">
        <f>ROUNDDOWN(FH96/10,0)</f>
        <v>3</v>
      </c>
      <c r="FQ96" s="164">
        <f>ROUNDDOWN(FI96/10,0)</f>
        <v>3</v>
      </c>
      <c r="FR96" s="684">
        <v>6</v>
      </c>
      <c r="FS96" s="167">
        <v>0</v>
      </c>
      <c r="FT96" s="167">
        <v>0</v>
      </c>
      <c r="FU96" s="165">
        <v>0</v>
      </c>
      <c r="FV96" s="83" t="s">
        <v>13077</v>
      </c>
      <c r="FW96" s="83" t="s">
        <v>13007</v>
      </c>
      <c r="FX96" s="751" t="s">
        <v>7659</v>
      </c>
      <c r="GA96" s="83" t="s">
        <v>7603</v>
      </c>
      <c r="GE96" s="356"/>
      <c r="GF96" t="s">
        <v>7699</v>
      </c>
      <c r="GG96" s="356" t="s">
        <v>3029</v>
      </c>
      <c r="GH96" s="83" t="s">
        <v>8900</v>
      </c>
      <c r="GI96" s="83" t="s">
        <v>8896</v>
      </c>
      <c r="GJ96" s="83"/>
      <c r="GK96" s="530"/>
    </row>
    <row r="97" spans="8:193" ht="13.2" customHeight="1">
      <c r="H97" s="3" t="s">
        <v>792</v>
      </c>
      <c r="I97" s="6" t="s">
        <v>514</v>
      </c>
      <c r="J97" s="3"/>
      <c r="K97" s="3"/>
      <c r="L97" s="3"/>
      <c r="M97" s="651"/>
      <c r="N97" s="3"/>
      <c r="O97" s="3"/>
      <c r="P97" s="3"/>
      <c r="Q97" s="3"/>
      <c r="R97" s="651"/>
      <c r="S97" s="83" t="str">
        <f>IF(OR(CareerType=Y97,AllCareers="X"),"Chevaucheur de dragon",IF(Selectsousrace="","",IF(AND(SelectRace="Elfe",FirstCareer="1ère carrière"),"","Chevaucheur de dragon")))</f>
        <v/>
      </c>
      <c r="T97" s="106">
        <v>3</v>
      </c>
      <c r="U97" s="693" t="str">
        <f t="shared" si="75"/>
        <v/>
      </c>
      <c r="V97" s="693" t="str">
        <f t="shared" si="76"/>
        <v/>
      </c>
      <c r="W97" s="693" t="str">
        <f t="shared" si="77"/>
        <v/>
      </c>
      <c r="X97" s="47" t="s">
        <v>2153</v>
      </c>
      <c r="Y97" s="743" t="s">
        <v>7130</v>
      </c>
      <c r="Z97" s="56" t="s">
        <v>16792</v>
      </c>
      <c r="AB97" s="89" t="s">
        <v>14726</v>
      </c>
      <c r="AD97" s="105" t="s">
        <v>98</v>
      </c>
      <c r="AE97" s="105" t="s">
        <v>98</v>
      </c>
      <c r="AF97" s="16" t="s">
        <v>114</v>
      </c>
      <c r="AG97" s="16" t="s">
        <v>114</v>
      </c>
      <c r="AH97" s="16" t="s">
        <v>98</v>
      </c>
      <c r="AI97" s="16" t="s">
        <v>100</v>
      </c>
      <c r="AJ97" s="16" t="s">
        <v>100</v>
      </c>
      <c r="AK97" s="19" t="s">
        <v>101</v>
      </c>
      <c r="AL97" s="105" t="s">
        <v>115</v>
      </c>
      <c r="AM97" s="105" t="s">
        <v>103</v>
      </c>
      <c r="AN97" s="105" t="s">
        <v>149</v>
      </c>
      <c r="AO97" s="105" t="s">
        <v>149</v>
      </c>
      <c r="AP97" s="87" t="s">
        <v>14721</v>
      </c>
      <c r="AQ97" s="87" t="s">
        <v>734</v>
      </c>
      <c r="AR97" s="87" t="s">
        <v>14722</v>
      </c>
      <c r="AS97" s="87" t="s">
        <v>734</v>
      </c>
      <c r="AT97" s="23" t="s">
        <v>14723</v>
      </c>
      <c r="AU97" s="87" t="s">
        <v>14724</v>
      </c>
      <c r="AV97" s="87" t="s">
        <v>14725</v>
      </c>
      <c r="AW97" s="458">
        <v>0</v>
      </c>
      <c r="AX97" s="630" t="str">
        <f t="shared" si="81"/>
        <v/>
      </c>
      <c r="AY97" s="630" t="str">
        <f t="shared" si="82"/>
        <v/>
      </c>
      <c r="AZ97" s="630" t="str">
        <f t="shared" si="83"/>
        <v/>
      </c>
      <c r="BA97" s="3"/>
      <c r="BB97" s="3"/>
      <c r="BC97" s="3"/>
      <c r="BD97" s="3"/>
      <c r="BE97" s="3"/>
      <c r="BF97" s="3"/>
      <c r="BG97" s="3"/>
      <c r="BH97" s="3"/>
      <c r="BI97" s="3"/>
      <c r="BJ97" s="3"/>
      <c r="BK97" s="3"/>
      <c r="BL97" s="3"/>
      <c r="BM97" s="3">
        <v>105</v>
      </c>
      <c r="BN97" s="3"/>
      <c r="BP97" s="3"/>
      <c r="BQ97" s="3" t="s">
        <v>11902</v>
      </c>
      <c r="BR97" s="3"/>
      <c r="BS97" s="3"/>
      <c r="BT97" s="3"/>
      <c r="BU97" s="3"/>
      <c r="BV97" s="3"/>
      <c r="BW97" s="3"/>
      <c r="BX97" s="3" t="str">
        <f>IF(Province="Grand comté du Stirland","Ville prospère de Grand comté du Stirland","")</f>
        <v/>
      </c>
      <c r="BY97" t="str">
        <f t="shared" si="78"/>
        <v/>
      </c>
      <c r="BZ97" s="83" t="str">
        <f t="shared" si="70"/>
        <v/>
      </c>
      <c r="CA97" s="83" t="str">
        <f t="shared" si="71"/>
        <v/>
      </c>
      <c r="CB97" s="530" t="str">
        <f t="shared" si="72"/>
        <v/>
      </c>
      <c r="CC97" s="3" t="s">
        <v>10721</v>
      </c>
      <c r="CD97" s="3" t="s">
        <v>3184</v>
      </c>
      <c r="CG97" s="3" t="s">
        <v>6194</v>
      </c>
      <c r="CH97" s="3" t="s">
        <v>5979</v>
      </c>
      <c r="CI97" s="3"/>
      <c r="CJ97" s="3"/>
      <c r="CK97" s="3" t="s">
        <v>6971</v>
      </c>
      <c r="CL97" s="83" t="s">
        <v>10754</v>
      </c>
      <c r="CM97" s="83" t="s">
        <v>15146</v>
      </c>
      <c r="CN97" s="3" t="s">
        <v>6583</v>
      </c>
      <c r="CO97" s="83" t="s">
        <v>10944</v>
      </c>
      <c r="CP97" s="3"/>
      <c r="CQ97" s="3"/>
      <c r="CR97" s="3" t="s">
        <v>13468</v>
      </c>
      <c r="CU97" s="3"/>
      <c r="CV97" s="3"/>
      <c r="CW97" s="3"/>
      <c r="CX97" s="3"/>
      <c r="CY97" s="3" t="s">
        <v>424</v>
      </c>
      <c r="CZ97" s="3"/>
      <c r="DA97" s="3" t="s">
        <v>3066</v>
      </c>
      <c r="DB97" s="83" t="s">
        <v>12718</v>
      </c>
      <c r="DC97" s="3"/>
      <c r="DD97" s="3" t="s">
        <v>2704</v>
      </c>
      <c r="DE97" s="3" t="s">
        <v>133</v>
      </c>
      <c r="DF97" s="3">
        <f>ROW()</f>
        <v>97</v>
      </c>
      <c r="DG97" s="3" t="s">
        <v>780</v>
      </c>
      <c r="DH97" s="3">
        <f t="shared" si="87"/>
        <v>400</v>
      </c>
      <c r="DI97" s="3">
        <f t="shared" si="88"/>
        <v>300</v>
      </c>
      <c r="DJ97" s="3">
        <f t="shared" si="89"/>
        <v>210</v>
      </c>
      <c r="DK97" s="3">
        <f t="shared" si="90"/>
        <v>120</v>
      </c>
      <c r="DL97" s="3"/>
      <c r="DM97" s="3"/>
      <c r="DN97" s="3"/>
      <c r="DO97" s="3"/>
      <c r="DP97" s="3"/>
      <c r="DQ97" s="3"/>
      <c r="DR97" s="3"/>
      <c r="DS97" s="3"/>
      <c r="DT97" s="3"/>
      <c r="DU97" s="3"/>
      <c r="DV97" s="3"/>
      <c r="DW97" s="3"/>
      <c r="DX97" s="3"/>
      <c r="DY97" s="3"/>
      <c r="DZ97" s="3" t="s">
        <v>3002</v>
      </c>
      <c r="EA97" s="83" t="s">
        <v>4538</v>
      </c>
      <c r="EB97" s="3"/>
      <c r="ED97" s="3" t="s">
        <v>2783</v>
      </c>
      <c r="EE97" s="83" t="s">
        <v>148</v>
      </c>
      <c r="EF97" s="530" t="s">
        <v>9067</v>
      </c>
      <c r="EK97" s="874"/>
      <c r="EM97" s="90" t="s">
        <v>5026</v>
      </c>
      <c r="EN97" s="83" t="s">
        <v>4975</v>
      </c>
      <c r="EO97" s="83" t="s">
        <v>5010</v>
      </c>
      <c r="EP97" s="83" t="s">
        <v>5005</v>
      </c>
      <c r="EQ97" s="481"/>
      <c r="ER97" s="83"/>
      <c r="ES97" s="83"/>
      <c r="ET97" s="530"/>
      <c r="EU97" s="177" t="str">
        <f>IF(Dieu="Ranald","Aucun Ordre","")</f>
        <v/>
      </c>
      <c r="EV97" s="83" t="str">
        <f t="shared" si="69"/>
        <v/>
      </c>
      <c r="EW97" s="83" t="str">
        <f t="shared" si="73"/>
        <v/>
      </c>
      <c r="EX97" s="530" t="str">
        <f t="shared" si="74"/>
        <v/>
      </c>
      <c r="EY97" s="83" t="s">
        <v>402</v>
      </c>
      <c r="EZ97" s="530" t="s">
        <v>9507</v>
      </c>
      <c r="FB97" s="83" t="s">
        <v>16823</v>
      </c>
      <c r="FC97" s="133" t="s">
        <v>13214</v>
      </c>
      <c r="FD97" t="s">
        <v>2211</v>
      </c>
      <c r="FE97" s="849">
        <v>189</v>
      </c>
      <c r="FF97">
        <v>18</v>
      </c>
      <c r="FG97">
        <v>0</v>
      </c>
      <c r="FH97">
        <v>13</v>
      </c>
      <c r="FI97">
        <v>18</v>
      </c>
      <c r="FJ97" s="10">
        <v>30</v>
      </c>
      <c r="FK97">
        <v>15</v>
      </c>
      <c r="FL97">
        <v>20</v>
      </c>
      <c r="FM97" s="165">
        <v>0</v>
      </c>
      <c r="FN97" s="88">
        <v>1</v>
      </c>
      <c r="FO97" s="88">
        <v>4</v>
      </c>
      <c r="FP97" s="164">
        <f>ROUNDDOWN(FH97/10,0)</f>
        <v>1</v>
      </c>
      <c r="FQ97" s="164">
        <f>ROUNDDOWN(FI97/10,0)</f>
        <v>1</v>
      </c>
      <c r="FR97" s="682">
        <v>5</v>
      </c>
      <c r="FS97" s="88">
        <v>0</v>
      </c>
      <c r="FT97" s="88">
        <v>0</v>
      </c>
      <c r="FU97" s="165">
        <v>0</v>
      </c>
      <c r="FV97" s="83" t="s">
        <v>7239</v>
      </c>
      <c r="FW97" s="83" t="s">
        <v>13281</v>
      </c>
      <c r="FX97" s="567" t="s">
        <v>7657</v>
      </c>
      <c r="GA97" s="83" t="s">
        <v>7357</v>
      </c>
      <c r="GE97" s="356"/>
      <c r="GF97" t="s">
        <v>7700</v>
      </c>
      <c r="GG97" s="356" t="s">
        <v>3030</v>
      </c>
      <c r="GH97" s="83" t="s">
        <v>8900</v>
      </c>
      <c r="GI97" s="83" t="s">
        <v>8907</v>
      </c>
      <c r="GJ97" s="83"/>
      <c r="GK97" s="530"/>
    </row>
    <row r="98" spans="8:193" ht="13.2" customHeight="1">
      <c r="H98" s="3" t="s">
        <v>793</v>
      </c>
      <c r="I98" s="6" t="s">
        <v>515</v>
      </c>
      <c r="J98" s="3"/>
      <c r="K98" s="3"/>
      <c r="L98" s="3"/>
      <c r="M98" s="651"/>
      <c r="N98" s="3"/>
      <c r="O98" s="3"/>
      <c r="P98" s="3"/>
      <c r="Q98" s="3"/>
      <c r="R98" s="651"/>
      <c r="S98" s="83" t="str">
        <f>IF(CareerType=Y98,"Chiffonnier",IF(AllCareers="X","Chiffonnier",IF(OR(Pays="Désolations du Chaos",Pays="Norsca"),"",IF(OR(SelectRace="homme-bête",SelectRace="peau-verte",SelectRace="créature du chaos",SelectRace="Homme-lézard"),"",IF(SelectRace="Halfling","Chiffonnier",IF(SelectRace="Humain","Chiffonnier",IF(SelectRace="skaven","Chiffonnier","")))))))</f>
        <v/>
      </c>
      <c r="T98" s="106">
        <f>IF(X98="oui",0,1)</f>
        <v>0</v>
      </c>
      <c r="U98" s="693" t="str">
        <f t="shared" si="75"/>
        <v/>
      </c>
      <c r="V98" s="693" t="str">
        <f t="shared" si="76"/>
        <v/>
      </c>
      <c r="W98" s="693" t="str">
        <f t="shared" si="77"/>
        <v/>
      </c>
      <c r="X98" s="47" t="s">
        <v>2160</v>
      </c>
      <c r="Y98" s="743" t="s">
        <v>7132</v>
      </c>
      <c r="Z98" s="55" t="s">
        <v>2200</v>
      </c>
      <c r="AA98" s="47">
        <v>36</v>
      </c>
      <c r="AB98" s="47" t="s">
        <v>2266</v>
      </c>
      <c r="AC98" s="47">
        <v>33</v>
      </c>
      <c r="AD98" s="20" t="s">
        <v>114</v>
      </c>
      <c r="AE98" s="15" t="s">
        <v>149</v>
      </c>
      <c r="AF98" s="20" t="s">
        <v>114</v>
      </c>
      <c r="AG98" s="15" t="s">
        <v>98</v>
      </c>
      <c r="AH98" s="20" t="s">
        <v>114</v>
      </c>
      <c r="AI98" s="15" t="s">
        <v>149</v>
      </c>
      <c r="AJ98" s="20" t="s">
        <v>114</v>
      </c>
      <c r="AK98" s="21" t="s">
        <v>114</v>
      </c>
      <c r="AL98" s="15" t="s">
        <v>149</v>
      </c>
      <c r="AM98" s="15" t="s">
        <v>113</v>
      </c>
      <c r="AN98" s="15" t="s">
        <v>149</v>
      </c>
      <c r="AO98" s="15" t="s">
        <v>149</v>
      </c>
      <c r="AP98" s="87" t="s">
        <v>4948</v>
      </c>
      <c r="AQ98" s="87" t="s">
        <v>3090</v>
      </c>
      <c r="AR98" s="87" t="s">
        <v>16824</v>
      </c>
      <c r="AS98" s="87" t="s">
        <v>14812</v>
      </c>
      <c r="AT98" s="87" t="s">
        <v>16825</v>
      </c>
      <c r="AU98" s="87" t="s">
        <v>16826</v>
      </c>
      <c r="AV98" s="87" t="s">
        <v>4565</v>
      </c>
      <c r="AW98" s="457">
        <v>0</v>
      </c>
      <c r="AX98" s="630" t="str">
        <f t="shared" si="81"/>
        <v/>
      </c>
      <c r="AY98" s="630" t="str">
        <f t="shared" si="82"/>
        <v/>
      </c>
      <c r="AZ98" s="630" t="str">
        <f t="shared" si="83"/>
        <v/>
      </c>
      <c r="BA98" s="3"/>
      <c r="BB98" s="3"/>
      <c r="BC98" s="3"/>
      <c r="BD98" s="3"/>
      <c r="BE98" s="3"/>
      <c r="BF98" s="3"/>
      <c r="BG98" s="3"/>
      <c r="BH98" s="3"/>
      <c r="BI98" s="3"/>
      <c r="BJ98" s="3"/>
      <c r="BK98" s="3"/>
      <c r="BL98" s="3"/>
      <c r="BM98" s="3">
        <v>106</v>
      </c>
      <c r="BN98" s="3"/>
      <c r="BP98" s="3"/>
      <c r="BQ98" s="3" t="s">
        <v>11903</v>
      </c>
      <c r="BR98" s="3"/>
      <c r="BS98" s="3"/>
      <c r="BT98" s="3"/>
      <c r="BU98" s="3"/>
      <c r="BV98" s="3"/>
      <c r="BW98" s="3"/>
      <c r="BX98" s="3" t="str">
        <f>IF(Province="Grand-duché du Talabecland","Ville prospère de Grand-duché du Talabecland","")</f>
        <v/>
      </c>
      <c r="BY98" t="str">
        <f t="shared" si="78"/>
        <v/>
      </c>
      <c r="BZ98" s="83" t="str">
        <f t="shared" si="70"/>
        <v/>
      </c>
      <c r="CA98" s="83" t="str">
        <f t="shared" si="71"/>
        <v/>
      </c>
      <c r="CB98" s="530" t="str">
        <f t="shared" si="72"/>
        <v/>
      </c>
      <c r="CC98" s="3" t="s">
        <v>10722</v>
      </c>
      <c r="CD98" t="s">
        <v>10681</v>
      </c>
      <c r="CG98" s="3" t="s">
        <v>6195</v>
      </c>
      <c r="CH98" s="3" t="s">
        <v>5977</v>
      </c>
      <c r="CI98" s="3"/>
      <c r="CJ98" s="3"/>
      <c r="CK98" s="3" t="s">
        <v>6938</v>
      </c>
      <c r="CL98" s="3" t="s">
        <v>6427</v>
      </c>
      <c r="CM98" t="s">
        <v>10308</v>
      </c>
      <c r="CN98" s="3" t="s">
        <v>6529</v>
      </c>
      <c r="CO98" s="3" t="str">
        <f>CONCATENATE("Drakku",IF(AND('page 1'!M11="Féminin",Pays="Norsca"),"dottir",IF(AND('page 1'!M11="Masculin",Pays="Norsca"),"son",IF(AND('page 1'!M11="Féminin",Pays="Kislev"),"ovna",IF(AND('page 1'!M11="Masculin",Pays="Kislev"),"sky","")))))</f>
        <v>Drakku</v>
      </c>
      <c r="CP98" s="3"/>
      <c r="CQ98" s="3"/>
      <c r="CR98" s="3" t="s">
        <v>13469</v>
      </c>
      <c r="CU98" s="3"/>
      <c r="CV98" s="3"/>
      <c r="CW98" s="3"/>
      <c r="CX98" s="3"/>
      <c r="CY98" s="3" t="s">
        <v>198</v>
      </c>
      <c r="CZ98" s="3"/>
      <c r="DA98" s="3" t="s">
        <v>12651</v>
      </c>
      <c r="DB98" s="84" t="s">
        <v>12719</v>
      </c>
      <c r="DC98" s="3"/>
      <c r="DD98" s="3" t="s">
        <v>2381</v>
      </c>
      <c r="DE98" s="3" t="s">
        <v>135</v>
      </c>
      <c r="DF98" s="3">
        <f>ROW()</f>
        <v>98</v>
      </c>
      <c r="DG98" s="3" t="s">
        <v>780</v>
      </c>
      <c r="DH98" s="3">
        <f t="shared" si="87"/>
        <v>400</v>
      </c>
      <c r="DI98" s="3">
        <f t="shared" si="88"/>
        <v>300</v>
      </c>
      <c r="DJ98" s="3">
        <f t="shared" si="89"/>
        <v>210</v>
      </c>
      <c r="DK98" s="3">
        <f t="shared" si="90"/>
        <v>120</v>
      </c>
      <c r="DL98" s="3"/>
      <c r="DM98" s="3"/>
      <c r="DN98" s="3"/>
      <c r="DO98" s="3"/>
      <c r="DP98" s="3"/>
      <c r="DQ98" s="3"/>
      <c r="DR98" s="3"/>
      <c r="DS98" s="3"/>
      <c r="DT98" s="3"/>
      <c r="DU98" s="3"/>
      <c r="DV98" s="3"/>
      <c r="DW98" s="3"/>
      <c r="DX98" s="3"/>
      <c r="DY98" s="3"/>
      <c r="DZ98" s="3" t="s">
        <v>3003</v>
      </c>
      <c r="EA98" s="83" t="s">
        <v>4538</v>
      </c>
      <c r="EB98" s="3"/>
      <c r="ED98" s="3" t="s">
        <v>12876</v>
      </c>
      <c r="EE98" s="83" t="s">
        <v>148</v>
      </c>
      <c r="EF98" s="530" t="s">
        <v>12877</v>
      </c>
      <c r="EK98" s="874"/>
      <c r="EM98" s="90" t="s">
        <v>5027</v>
      </c>
      <c r="EN98" s="83" t="s">
        <v>4975</v>
      </c>
      <c r="EO98" s="83" t="s">
        <v>5214</v>
      </c>
      <c r="EP98" s="83" t="s">
        <v>5005</v>
      </c>
      <c r="EQ98" s="481"/>
      <c r="ER98" s="83"/>
      <c r="ES98" s="83"/>
      <c r="ET98" s="530"/>
      <c r="EU98" s="177" t="str">
        <f>IF(Dieu="Ranald","Initié","")</f>
        <v/>
      </c>
      <c r="EV98" s="83" t="str">
        <f t="shared" si="69"/>
        <v/>
      </c>
      <c r="EW98" s="83" t="str">
        <f t="shared" si="73"/>
        <v/>
      </c>
      <c r="EX98" s="530" t="str">
        <f t="shared" si="74"/>
        <v/>
      </c>
      <c r="EZ98" s="530" t="s">
        <v>826</v>
      </c>
      <c r="FB98" t="s">
        <v>4350</v>
      </c>
      <c r="FC98" s="133" t="s">
        <v>13214</v>
      </c>
      <c r="FD98" s="83" t="s">
        <v>13005</v>
      </c>
      <c r="FE98" s="848" t="s">
        <v>13046</v>
      </c>
      <c r="FF98">
        <v>16</v>
      </c>
      <c r="FG98">
        <v>0</v>
      </c>
      <c r="FH98">
        <v>10</v>
      </c>
      <c r="FI98">
        <v>10</v>
      </c>
      <c r="FJ98" s="10">
        <v>14</v>
      </c>
      <c r="FK98">
        <v>10</v>
      </c>
      <c r="FL98">
        <v>10</v>
      </c>
      <c r="FM98" s="165">
        <v>0</v>
      </c>
      <c r="FN98" s="88">
        <v>1</v>
      </c>
      <c r="FO98" s="88">
        <v>12</v>
      </c>
      <c r="FP98" s="164">
        <f>ROUNDDOWN(FH98/10,0)</f>
        <v>1</v>
      </c>
      <c r="FQ98" s="164">
        <f>ROUNDDOWN(FI98/10,0)</f>
        <v>1</v>
      </c>
      <c r="FR98" s="682">
        <v>1</v>
      </c>
      <c r="FS98" s="88">
        <v>0</v>
      </c>
      <c r="FT98" s="88">
        <v>0</v>
      </c>
      <c r="FU98" s="165">
        <v>0</v>
      </c>
      <c r="FV98" t="s">
        <v>7242</v>
      </c>
      <c r="FW98" s="83" t="s">
        <v>13049</v>
      </c>
      <c r="FX98" s="753" t="s">
        <v>7659</v>
      </c>
      <c r="GA98" s="83" t="s">
        <v>7602</v>
      </c>
      <c r="GE98" s="356"/>
      <c r="GF98" t="s">
        <v>8203</v>
      </c>
      <c r="GG98" s="356" t="s">
        <v>8904</v>
      </c>
      <c r="GH98" s="83" t="s">
        <v>8900</v>
      </c>
      <c r="GI98" s="83" t="s">
        <v>8907</v>
      </c>
      <c r="GJ98" s="83"/>
      <c r="GK98" s="530"/>
    </row>
    <row r="99" spans="8:193" ht="13.2" customHeight="1">
      <c r="H99" s="3" t="s">
        <v>795</v>
      </c>
      <c r="I99" s="6" t="s">
        <v>517</v>
      </c>
      <c r="J99" s="3"/>
      <c r="K99" s="3"/>
      <c r="L99" s="3"/>
      <c r="M99" s="651"/>
      <c r="N99" s="3"/>
      <c r="O99" s="3"/>
      <c r="P99" s="3"/>
      <c r="Q99" s="3"/>
      <c r="R99" s="651"/>
      <c r="S99" s="83" t="str">
        <f>IF(CareerType=Y99,"Chirurgien barbier",IF(AllCareers="X","Chirurgien barbier",IF(OR(SelectRace="homme-bête",SelectRace="peau-verte",SelectRace="créature du chaos",SelectRace="Homme-lézard"),"",IF(OR(Pays="Désolations du Chaos",Pays="Norsca"),"",IF(SelectRace="Halfling","Chirurgien barbier",IF(SelectRace="Humain","Chirurgien barbier",IF(SelectRace="skaven","Chirurgien barbier","")))))))</f>
        <v/>
      </c>
      <c r="T99" s="106">
        <f>IF(X99="oui",0,1)</f>
        <v>0</v>
      </c>
      <c r="U99" s="693" t="str">
        <f t="shared" si="75"/>
        <v/>
      </c>
      <c r="V99" s="693" t="str">
        <f t="shared" si="76"/>
        <v/>
      </c>
      <c r="W99" s="693" t="str">
        <f t="shared" si="77"/>
        <v/>
      </c>
      <c r="X99" s="47" t="s">
        <v>2160</v>
      </c>
      <c r="Y99" s="743" t="s">
        <v>7132</v>
      </c>
      <c r="Z99" s="55" t="s">
        <v>2200</v>
      </c>
      <c r="AA99" s="47">
        <v>37</v>
      </c>
      <c r="AB99" s="47" t="s">
        <v>2267</v>
      </c>
      <c r="AC99" s="47">
        <v>26</v>
      </c>
      <c r="AD99" s="20" t="s">
        <v>114</v>
      </c>
      <c r="AE99" s="15" t="s">
        <v>149</v>
      </c>
      <c r="AF99" s="15" t="s">
        <v>149</v>
      </c>
      <c r="AG99" s="15" t="s">
        <v>149</v>
      </c>
      <c r="AH99" s="15" t="s">
        <v>98</v>
      </c>
      <c r="AI99" s="15" t="s">
        <v>98</v>
      </c>
      <c r="AJ99" s="15" t="s">
        <v>98</v>
      </c>
      <c r="AK99" s="21" t="s">
        <v>114</v>
      </c>
      <c r="AL99" s="15" t="s">
        <v>149</v>
      </c>
      <c r="AM99" s="15" t="s">
        <v>113</v>
      </c>
      <c r="AN99" s="15" t="s">
        <v>149</v>
      </c>
      <c r="AO99" s="15" t="s">
        <v>149</v>
      </c>
      <c r="AP99" s="87" t="s">
        <v>15432</v>
      </c>
      <c r="AQ99" s="87" t="s">
        <v>3090</v>
      </c>
      <c r="AR99" s="22" t="s">
        <v>2268</v>
      </c>
      <c r="AS99" s="87" t="s">
        <v>14813</v>
      </c>
      <c r="AT99" s="22" t="s">
        <v>3436</v>
      </c>
      <c r="AU99" s="87" t="s">
        <v>16827</v>
      </c>
      <c r="AV99" s="87" t="s">
        <v>4566</v>
      </c>
      <c r="AW99" s="457">
        <v>0</v>
      </c>
      <c r="AX99" s="630" t="str">
        <f t="shared" si="81"/>
        <v/>
      </c>
      <c r="AY99" s="630" t="str">
        <f t="shared" si="82"/>
        <v/>
      </c>
      <c r="AZ99" s="630" t="str">
        <f t="shared" si="83"/>
        <v/>
      </c>
      <c r="BA99" s="3"/>
      <c r="BB99" s="3"/>
      <c r="BC99" s="3"/>
      <c r="BD99" s="3"/>
      <c r="BE99" s="3"/>
      <c r="BF99" s="3"/>
      <c r="BG99" s="3"/>
      <c r="BH99" s="3"/>
      <c r="BI99" s="3"/>
      <c r="BJ99" s="3"/>
      <c r="BK99" s="3"/>
      <c r="BL99" s="3"/>
      <c r="BM99" s="3">
        <v>107</v>
      </c>
      <c r="BN99" s="3"/>
      <c r="BP99" s="3"/>
      <c r="BQ99" s="83" t="s">
        <v>11904</v>
      </c>
      <c r="BR99" s="3"/>
      <c r="BS99" s="3"/>
      <c r="BT99" s="3"/>
      <c r="BU99" s="3"/>
      <c r="BV99" s="3"/>
      <c r="BW99" s="3"/>
      <c r="BX99" s="3" t="str">
        <f>IF(Province="Grand comté du Wissenland","Ville prospère de Grand comté du Wissenland","")</f>
        <v/>
      </c>
      <c r="BY99" t="str">
        <f t="shared" si="78"/>
        <v/>
      </c>
      <c r="BZ99" s="83" t="str">
        <f t="shared" si="70"/>
        <v/>
      </c>
      <c r="CA99" s="83" t="str">
        <f t="shared" si="71"/>
        <v/>
      </c>
      <c r="CB99" s="530" t="str">
        <f t="shared" si="72"/>
        <v/>
      </c>
      <c r="CC99" s="3" t="s">
        <v>1042</v>
      </c>
      <c r="CD99" s="3" t="s">
        <v>3185</v>
      </c>
      <c r="CG99" s="3" t="s">
        <v>6196</v>
      </c>
      <c r="CH99" s="3" t="s">
        <v>5982</v>
      </c>
      <c r="CI99" s="3"/>
      <c r="CJ99" s="3"/>
      <c r="CK99" s="3" t="s">
        <v>6827</v>
      </c>
      <c r="CL99" s="3" t="s">
        <v>6507</v>
      </c>
      <c r="CM99" t="s">
        <v>10309</v>
      </c>
      <c r="CN99" s="3" t="s">
        <v>6531</v>
      </c>
      <c r="CO99" s="3" t="s">
        <v>10942</v>
      </c>
      <c r="CP99" s="3"/>
      <c r="CQ99" s="3"/>
      <c r="CR99" s="3" t="s">
        <v>13470</v>
      </c>
      <c r="CU99" s="3"/>
      <c r="CV99" s="3"/>
      <c r="CW99" s="3"/>
      <c r="CX99" s="3"/>
      <c r="CY99" s="3" t="s">
        <v>425</v>
      </c>
      <c r="CZ99" s="3"/>
      <c r="DA99" s="3" t="s">
        <v>12652</v>
      </c>
      <c r="DB99" s="83" t="s">
        <v>12720</v>
      </c>
      <c r="DC99" s="3"/>
      <c r="DD99" s="83" t="s">
        <v>11525</v>
      </c>
      <c r="DE99" s="3" t="s">
        <v>132</v>
      </c>
      <c r="DF99" s="3">
        <f>ROW()</f>
        <v>99</v>
      </c>
      <c r="DG99" s="3" t="s">
        <v>780</v>
      </c>
      <c r="DH99" s="3">
        <f t="shared" si="87"/>
        <v>400</v>
      </c>
      <c r="DI99" s="3">
        <f t="shared" si="88"/>
        <v>300</v>
      </c>
      <c r="DJ99" s="3">
        <f t="shared" si="89"/>
        <v>210</v>
      </c>
      <c r="DK99" s="3">
        <f t="shared" si="90"/>
        <v>120</v>
      </c>
      <c r="DL99" s="3"/>
      <c r="DM99" s="3"/>
      <c r="DN99" s="3"/>
      <c r="DO99" s="3"/>
      <c r="DP99" s="3"/>
      <c r="DQ99" s="3"/>
      <c r="DR99" s="3"/>
      <c r="DS99" s="3"/>
      <c r="DT99" s="3"/>
      <c r="DU99" s="3"/>
      <c r="DV99" s="3"/>
      <c r="DW99" s="3"/>
      <c r="DX99" s="3"/>
      <c r="DY99" s="3"/>
      <c r="DZ99" s="83" t="s">
        <v>12917</v>
      </c>
      <c r="EA99" s="83" t="s">
        <v>12916</v>
      </c>
      <c r="EB99" s="3"/>
      <c r="ED99" s="3" t="s">
        <v>12879</v>
      </c>
      <c r="EE99" s="83" t="s">
        <v>148</v>
      </c>
      <c r="EF99" s="530" t="s">
        <v>16828</v>
      </c>
      <c r="EK99" s="874"/>
      <c r="EM99" s="90" t="s">
        <v>5028</v>
      </c>
      <c r="EN99" s="83" t="s">
        <v>4975</v>
      </c>
      <c r="EO99" s="83" t="s">
        <v>5011</v>
      </c>
      <c r="EP99" s="83" t="s">
        <v>5005</v>
      </c>
      <c r="EU99" s="177" t="str">
        <f>IF(Dieu="Ranald","La Confrérie","")</f>
        <v/>
      </c>
      <c r="EV99" s="83" t="str">
        <f t="shared" si="69"/>
        <v/>
      </c>
      <c r="EW99" s="83" t="str">
        <f t="shared" si="73"/>
        <v/>
      </c>
      <c r="EX99" s="530" t="str">
        <f t="shared" si="74"/>
        <v/>
      </c>
      <c r="EY99" s="83" t="s">
        <v>415</v>
      </c>
      <c r="EZ99" s="530" t="s">
        <v>16829</v>
      </c>
      <c r="FB99" s="83" t="s">
        <v>13011</v>
      </c>
      <c r="FC99" s="133" t="s">
        <v>13214</v>
      </c>
      <c r="FD99" s="85" t="s">
        <v>12985</v>
      </c>
      <c r="FE99" s="849">
        <v>25</v>
      </c>
      <c r="FF99">
        <v>20</v>
      </c>
      <c r="FG99">
        <v>0</v>
      </c>
      <c r="FH99">
        <v>15</v>
      </c>
      <c r="FI99">
        <v>25</v>
      </c>
      <c r="FJ99" s="10">
        <v>35</v>
      </c>
      <c r="FK99">
        <v>12</v>
      </c>
      <c r="FL99">
        <v>20</v>
      </c>
      <c r="FM99" s="165">
        <v>0</v>
      </c>
      <c r="FN99" s="88">
        <v>1</v>
      </c>
      <c r="FO99" s="88">
        <v>6</v>
      </c>
      <c r="FP99" s="164">
        <f>ROUNDDOWN(FH99/10,0)</f>
        <v>1</v>
      </c>
      <c r="FQ99" s="164">
        <f>ROUNDDOWN(FI99/10,0)</f>
        <v>2</v>
      </c>
      <c r="FR99" s="682">
        <v>5</v>
      </c>
      <c r="FS99" s="88">
        <v>0</v>
      </c>
      <c r="FT99" s="88">
        <v>0</v>
      </c>
      <c r="FU99" s="165">
        <v>0</v>
      </c>
      <c r="FV99" s="83" t="s">
        <v>13078</v>
      </c>
      <c r="FW99" s="83" t="s">
        <v>13012</v>
      </c>
      <c r="FX99" s="753" t="s">
        <v>7659</v>
      </c>
      <c r="GA99" s="83" t="s">
        <v>7625</v>
      </c>
      <c r="GE99" s="356"/>
      <c r="GF99" t="s">
        <v>7701</v>
      </c>
      <c r="GG99" s="356" t="s">
        <v>8905</v>
      </c>
      <c r="GH99" s="83" t="s">
        <v>8900</v>
      </c>
      <c r="GI99" s="83" t="s">
        <v>8907</v>
      </c>
      <c r="GJ99" s="83"/>
      <c r="GK99" s="530"/>
    </row>
    <row r="100" spans="8:193" ht="13.2" customHeight="1">
      <c r="H100" s="3" t="s">
        <v>794</v>
      </c>
      <c r="I100" s="6" t="s">
        <v>516</v>
      </c>
      <c r="J100" s="3"/>
      <c r="K100" s="3"/>
      <c r="L100" s="3"/>
      <c r="M100" s="651"/>
      <c r="N100" s="3"/>
      <c r="O100" s="3"/>
      <c r="P100" s="3"/>
      <c r="Q100" s="3"/>
      <c r="R100" s="651"/>
      <c r="S100" s="83" t="str">
        <f>IF(CareerType=Y100,"Cocher",IF(AllCareers="X","Cocher",IF(OR(Pays="Désolations du Chaos",Pays="Norsca"),"",IF(OR(SelectRace="homme-bête",SelectRace="peau-verte",SelectRace="créature du chaos",SelectRace="Homme-lézard",SelectRace="skaven"),"",IF(SelectRace="Nain","Cocher",IF(SelectRace="Humain","Cocher",""))))))</f>
        <v/>
      </c>
      <c r="T100" s="106">
        <f>IF(X100="oui",0,1)</f>
        <v>0</v>
      </c>
      <c r="U100" s="693" t="str">
        <f t="shared" si="75"/>
        <v/>
      </c>
      <c r="V100" s="693" t="str">
        <f t="shared" si="76"/>
        <v/>
      </c>
      <c r="W100" s="693" t="str">
        <f t="shared" si="77"/>
        <v/>
      </c>
      <c r="X100" s="47" t="s">
        <v>2160</v>
      </c>
      <c r="Y100" s="743" t="s">
        <v>7130</v>
      </c>
      <c r="Z100" s="55" t="s">
        <v>2200</v>
      </c>
      <c r="AA100" s="47">
        <v>37</v>
      </c>
      <c r="AB100" s="47" t="s">
        <v>2269</v>
      </c>
      <c r="AC100" s="47">
        <v>52</v>
      </c>
      <c r="AD100" s="20" t="s">
        <v>114</v>
      </c>
      <c r="AE100" s="15" t="s">
        <v>98</v>
      </c>
      <c r="AF100" s="15" t="s">
        <v>149</v>
      </c>
      <c r="AG100" s="15" t="s">
        <v>149</v>
      </c>
      <c r="AH100" s="15" t="s">
        <v>98</v>
      </c>
      <c r="AI100" s="15" t="s">
        <v>149</v>
      </c>
      <c r="AJ100" s="20" t="s">
        <v>114</v>
      </c>
      <c r="AK100" s="21" t="s">
        <v>114</v>
      </c>
      <c r="AL100" s="15" t="s">
        <v>149</v>
      </c>
      <c r="AM100" s="15" t="s">
        <v>113</v>
      </c>
      <c r="AN100" s="15" t="s">
        <v>149</v>
      </c>
      <c r="AO100" s="15" t="s">
        <v>149</v>
      </c>
      <c r="AP100" s="22" t="s">
        <v>3785</v>
      </c>
      <c r="AQ100" s="87" t="s">
        <v>734</v>
      </c>
      <c r="AR100" s="87" t="s">
        <v>12155</v>
      </c>
      <c r="AS100" s="87" t="s">
        <v>734</v>
      </c>
      <c r="AT100" s="87" t="s">
        <v>16048</v>
      </c>
      <c r="AU100" s="87" t="s">
        <v>16830</v>
      </c>
      <c r="AV100" s="87" t="s">
        <v>16831</v>
      </c>
      <c r="AW100" s="457">
        <v>0</v>
      </c>
      <c r="AX100" s="630" t="str">
        <f t="shared" si="81"/>
        <v/>
      </c>
      <c r="AY100" s="630" t="str">
        <f t="shared" si="82"/>
        <v/>
      </c>
      <c r="AZ100" s="630" t="str">
        <f t="shared" si="83"/>
        <v/>
      </c>
      <c r="BA100" s="3"/>
      <c r="BB100" s="3"/>
      <c r="BC100" s="3"/>
      <c r="BD100" s="3"/>
      <c r="BE100" s="3"/>
      <c r="BF100" s="3"/>
      <c r="BG100" s="3"/>
      <c r="BH100" s="3"/>
      <c r="BI100" s="3"/>
      <c r="BJ100" s="3"/>
      <c r="BK100" s="3"/>
      <c r="BL100" s="3"/>
      <c r="BM100" s="3">
        <v>108</v>
      </c>
      <c r="BN100" s="3"/>
      <c r="BP100" s="3"/>
      <c r="BQ100" s="3" t="s">
        <v>11905</v>
      </c>
      <c r="BR100" s="83"/>
      <c r="BS100" s="83"/>
      <c r="BT100" s="3"/>
      <c r="BU100" s="3"/>
      <c r="BV100" s="3"/>
      <c r="BW100" s="3"/>
      <c r="BX100" s="3" t="str">
        <f>IF(Province="Ligue de l'Ostermark","Ville prospère d'Ligue de l'Ostermark","")</f>
        <v/>
      </c>
      <c r="BY100" t="str">
        <f t="shared" si="78"/>
        <v/>
      </c>
      <c r="BZ100" s="83" t="str">
        <f t="shared" si="70"/>
        <v/>
      </c>
      <c r="CA100" s="83" t="str">
        <f t="shared" si="71"/>
        <v/>
      </c>
      <c r="CB100" s="530" t="str">
        <f t="shared" si="72"/>
        <v/>
      </c>
      <c r="CC100" s="3" t="s">
        <v>3274</v>
      </c>
      <c r="CD100" s="3" t="s">
        <v>1066</v>
      </c>
      <c r="CG100" s="3" t="s">
        <v>6197</v>
      </c>
      <c r="CH100" s="83" t="s">
        <v>14910</v>
      </c>
      <c r="CI100" s="3"/>
      <c r="CJ100" s="3"/>
      <c r="CK100" s="3" t="s">
        <v>6995</v>
      </c>
      <c r="CL100" s="3" t="s">
        <v>6506</v>
      </c>
      <c r="CM100" t="s">
        <v>10310</v>
      </c>
      <c r="CN100" s="3" t="s">
        <v>6563</v>
      </c>
      <c r="CO100" s="3" t="s">
        <v>10952</v>
      </c>
      <c r="CP100" s="3"/>
      <c r="CQ100" s="3"/>
      <c r="CR100" s="3" t="s">
        <v>13471</v>
      </c>
      <c r="CU100" s="3"/>
      <c r="CV100" s="3"/>
      <c r="CW100" s="3"/>
      <c r="CX100" s="3"/>
      <c r="CY100" s="3" t="s">
        <v>2895</v>
      </c>
      <c r="CZ100" s="3"/>
      <c r="DA100" s="3" t="s">
        <v>12653</v>
      </c>
      <c r="DB100" s="83" t="s">
        <v>12721</v>
      </c>
      <c r="DC100" s="3"/>
      <c r="DD100" s="3" t="s">
        <v>2705</v>
      </c>
      <c r="DE100" s="3" t="s">
        <v>132</v>
      </c>
      <c r="DF100" s="3">
        <f>ROW()</f>
        <v>100</v>
      </c>
      <c r="DG100" s="3" t="s">
        <v>780</v>
      </c>
      <c r="DH100" s="3">
        <f t="shared" si="87"/>
        <v>400</v>
      </c>
      <c r="DI100" s="3">
        <f t="shared" si="88"/>
        <v>300</v>
      </c>
      <c r="DJ100" s="3">
        <f t="shared" si="89"/>
        <v>210</v>
      </c>
      <c r="DK100" s="3">
        <f t="shared" si="90"/>
        <v>120</v>
      </c>
      <c r="DL100" s="3"/>
      <c r="DM100" s="3"/>
      <c r="DN100" s="3"/>
      <c r="DO100" s="3"/>
      <c r="DP100" s="3"/>
      <c r="DQ100" s="3"/>
      <c r="DR100" s="3"/>
      <c r="DS100" s="3"/>
      <c r="DT100" s="3"/>
      <c r="DU100" s="3"/>
      <c r="DV100" s="3"/>
      <c r="DW100" s="3"/>
      <c r="DX100" s="3"/>
      <c r="DY100" s="3"/>
      <c r="DZ100" s="3" t="s">
        <v>3004</v>
      </c>
      <c r="EA100" s="83" t="s">
        <v>4538</v>
      </c>
      <c r="EB100" s="3"/>
      <c r="ED100" s="83" t="s">
        <v>12456</v>
      </c>
      <c r="EE100" s="83" t="s">
        <v>131</v>
      </c>
      <c r="EF100" s="540" t="s">
        <v>12457</v>
      </c>
      <c r="EK100" s="874"/>
      <c r="EM100" s="83" t="s">
        <v>5020</v>
      </c>
      <c r="EN100" s="83" t="s">
        <v>4975</v>
      </c>
      <c r="EO100" s="83" t="s">
        <v>5012</v>
      </c>
      <c r="EP100" t="s">
        <v>5005</v>
      </c>
      <c r="EQ100" s="481"/>
      <c r="ER100" s="83"/>
      <c r="ES100" s="83"/>
      <c r="ET100" s="530"/>
      <c r="EU100" s="177" t="str">
        <f>IF(Dieu="Ranald","Les Bienfaiteurs","")</f>
        <v/>
      </c>
      <c r="EV100" s="83" t="str">
        <f t="shared" si="69"/>
        <v/>
      </c>
      <c r="EW100" s="83" t="str">
        <f t="shared" si="73"/>
        <v/>
      </c>
      <c r="EX100" s="530" t="str">
        <f t="shared" si="74"/>
        <v/>
      </c>
      <c r="EY100" s="83" t="s">
        <v>16832</v>
      </c>
      <c r="EZ100" s="530" t="s">
        <v>5882</v>
      </c>
      <c r="FB100" s="83" t="s">
        <v>14660</v>
      </c>
      <c r="FC100" s="133" t="s">
        <v>13214</v>
      </c>
      <c r="FD100" s="85" t="s">
        <v>16792</v>
      </c>
      <c r="FF100">
        <v>17.5</v>
      </c>
      <c r="FG100">
        <v>0</v>
      </c>
      <c r="FH100">
        <v>5</v>
      </c>
      <c r="FI100">
        <v>5</v>
      </c>
      <c r="FJ100" s="10">
        <v>29</v>
      </c>
      <c r="FK100">
        <v>10</v>
      </c>
      <c r="FL100">
        <v>10</v>
      </c>
      <c r="FM100" s="165">
        <v>0</v>
      </c>
      <c r="FN100">
        <v>1</v>
      </c>
      <c r="FO100">
        <v>2</v>
      </c>
      <c r="FP100">
        <v>0</v>
      </c>
      <c r="FQ100">
        <v>0</v>
      </c>
      <c r="FR100">
        <v>2</v>
      </c>
      <c r="FS100">
        <v>0</v>
      </c>
      <c r="FT100">
        <v>0</v>
      </c>
      <c r="FU100" s="165">
        <v>0</v>
      </c>
      <c r="FV100" s="83" t="s">
        <v>14659</v>
      </c>
      <c r="FW100" s="83" t="s">
        <v>16205</v>
      </c>
      <c r="FX100" s="567" t="s">
        <v>7659</v>
      </c>
      <c r="GA100" t="s">
        <v>7480</v>
      </c>
      <c r="GE100" s="356"/>
      <c r="GF100" t="s">
        <v>7702</v>
      </c>
      <c r="GG100" s="356" t="s">
        <v>8895</v>
      </c>
      <c r="GH100" s="83" t="s">
        <v>8900</v>
      </c>
      <c r="GI100" s="83" t="s">
        <v>8897</v>
      </c>
      <c r="GJ100" s="83"/>
      <c r="GK100" s="530"/>
    </row>
    <row r="101" spans="8:193" ht="13.2" customHeight="1">
      <c r="H101" s="3" t="s">
        <v>796</v>
      </c>
      <c r="I101" s="6" t="s">
        <v>518</v>
      </c>
      <c r="J101" s="3"/>
      <c r="K101" s="3"/>
      <c r="L101" s="3"/>
      <c r="M101" s="651"/>
      <c r="N101" s="3"/>
      <c r="O101" s="3"/>
      <c r="P101" s="3"/>
      <c r="Q101" s="3"/>
      <c r="R101" s="651"/>
      <c r="S101" s="83" t="str">
        <f>IF(CareerType=Y101,"Collecteur de taxes",IF(AllCareers="X","Collecteur de taxes",IF(OR(SelectRace="homme-bête",SelectRace="peau-verte",SelectRace="créature du chaos",SelectRace="Homme-lézard",SelectRace="skaven"),"",IF(OR(Pays="Désolations du Chaos",Pays="Norsca"),"",IF(SelectRace="Nain","Collecteur de taxes",IF(SelectRace="Humain","Collecteur de taxes",IF(SelectRace="Halfling","Collecteur de taxes","")))))))</f>
        <v/>
      </c>
      <c r="T101" s="106">
        <f>IF(X101="oui",0,1)</f>
        <v>0</v>
      </c>
      <c r="U101" s="693" t="str">
        <f t="shared" si="75"/>
        <v/>
      </c>
      <c r="V101" s="693" t="str">
        <f t="shared" si="76"/>
        <v/>
      </c>
      <c r="W101" s="693" t="str">
        <f t="shared" si="77"/>
        <v/>
      </c>
      <c r="X101" s="47" t="s">
        <v>2160</v>
      </c>
      <c r="Y101" s="743" t="s">
        <v>7132</v>
      </c>
      <c r="Z101" s="55" t="s">
        <v>2200</v>
      </c>
      <c r="AA101" s="47">
        <v>38</v>
      </c>
      <c r="AB101" s="47" t="s">
        <v>2270</v>
      </c>
      <c r="AC101" s="47">
        <v>211</v>
      </c>
      <c r="AD101" s="15" t="s">
        <v>98</v>
      </c>
      <c r="AE101" s="20" t="s">
        <v>114</v>
      </c>
      <c r="AF101" s="20" t="s">
        <v>114</v>
      </c>
      <c r="AG101" s="15" t="s">
        <v>98</v>
      </c>
      <c r="AH101" s="20" t="s">
        <v>114</v>
      </c>
      <c r="AI101" s="15" t="s">
        <v>149</v>
      </c>
      <c r="AJ101" s="20" t="s">
        <v>114</v>
      </c>
      <c r="AK101" s="18" t="s">
        <v>149</v>
      </c>
      <c r="AL101" s="15" t="s">
        <v>149</v>
      </c>
      <c r="AM101" s="15" t="s">
        <v>113</v>
      </c>
      <c r="AN101" s="15" t="s">
        <v>149</v>
      </c>
      <c r="AO101" s="15" t="s">
        <v>149</v>
      </c>
      <c r="AP101" s="87" t="s">
        <v>16833</v>
      </c>
      <c r="AQ101" s="87" t="s">
        <v>734</v>
      </c>
      <c r="AR101" s="87" t="s">
        <v>9499</v>
      </c>
      <c r="AS101" s="87" t="s">
        <v>734</v>
      </c>
      <c r="AT101" s="22" t="s">
        <v>3437</v>
      </c>
      <c r="AU101" s="87" t="s">
        <v>16834</v>
      </c>
      <c r="AV101" s="87" t="s">
        <v>16835</v>
      </c>
      <c r="AW101" s="457">
        <f ca="1">RANDBETWEEN(1,10)</f>
        <v>6</v>
      </c>
      <c r="AX101" s="630" t="str">
        <f t="shared" si="81"/>
        <v/>
      </c>
      <c r="AY101" s="630" t="str">
        <f t="shared" si="82"/>
        <v/>
      </c>
      <c r="AZ101" s="630" t="str">
        <f t="shared" si="83"/>
        <v/>
      </c>
      <c r="BC101" s="3"/>
      <c r="BD101" s="3"/>
      <c r="BE101" s="3"/>
      <c r="BF101" s="3"/>
      <c r="BG101" s="3"/>
      <c r="BH101" s="3"/>
      <c r="BI101" s="3"/>
      <c r="BJ101" s="3"/>
      <c r="BK101" s="3"/>
      <c r="BL101" s="3"/>
      <c r="BM101" s="3">
        <v>109</v>
      </c>
      <c r="BN101" s="3"/>
      <c r="BP101" s="3"/>
      <c r="BQ101" s="3" t="s">
        <v>11906</v>
      </c>
      <c r="BR101" s="3"/>
      <c r="BS101" s="3"/>
      <c r="BT101" s="3"/>
      <c r="BU101" s="3"/>
      <c r="BV101" s="3"/>
      <c r="BW101" s="3"/>
      <c r="BX101" s="3" t="str">
        <f>IF(Province="Grande principauté d'Ostland","Ville prospère d'Grande principauté d'Ostland","")</f>
        <v/>
      </c>
      <c r="BY101" t="str">
        <f t="shared" si="78"/>
        <v/>
      </c>
      <c r="BZ101" s="83" t="str">
        <f t="shared" si="70"/>
        <v/>
      </c>
      <c r="CA101" s="83" t="str">
        <f t="shared" si="71"/>
        <v/>
      </c>
      <c r="CB101" s="530" t="str">
        <f t="shared" si="72"/>
        <v/>
      </c>
      <c r="CC101" s="3" t="s">
        <v>3275</v>
      </c>
      <c r="CD101" s="3" t="s">
        <v>3186</v>
      </c>
      <c r="CG101" s="3" t="s">
        <v>6198</v>
      </c>
      <c r="CH101" s="3" t="s">
        <v>5983</v>
      </c>
      <c r="CI101" s="3"/>
      <c r="CJ101" s="3"/>
      <c r="CK101" s="83" t="s">
        <v>15037</v>
      </c>
      <c r="CL101" s="3" t="s">
        <v>6487</v>
      </c>
      <c r="CM101" t="s">
        <v>10311</v>
      </c>
      <c r="CN101" s="3" t="s">
        <v>6525</v>
      </c>
      <c r="CO101" s="3" t="s">
        <v>10947</v>
      </c>
      <c r="CP101" s="83"/>
      <c r="CQ101" s="83"/>
      <c r="CR101" s="83" t="s">
        <v>13472</v>
      </c>
      <c r="CU101" s="3"/>
      <c r="CV101" s="3"/>
      <c r="CW101" s="3"/>
      <c r="CX101" s="3"/>
      <c r="CY101" s="83" t="s">
        <v>5319</v>
      </c>
      <c r="CZ101" s="3"/>
      <c r="DA101" s="3" t="s">
        <v>12654</v>
      </c>
      <c r="DB101" s="83" t="s">
        <v>12722</v>
      </c>
      <c r="DC101" s="3"/>
      <c r="DD101" s="83" t="s">
        <v>11210</v>
      </c>
      <c r="DE101" s="3" t="s">
        <v>132</v>
      </c>
      <c r="DF101" s="3">
        <f>ROW()</f>
        <v>101</v>
      </c>
      <c r="DG101" s="3" t="s">
        <v>780</v>
      </c>
      <c r="DH101" s="3">
        <f t="shared" si="87"/>
        <v>400</v>
      </c>
      <c r="DI101" s="3">
        <f t="shared" si="88"/>
        <v>300</v>
      </c>
      <c r="DJ101" s="3">
        <f t="shared" si="89"/>
        <v>210</v>
      </c>
      <c r="DK101" s="3">
        <f t="shared" si="90"/>
        <v>120</v>
      </c>
      <c r="DL101" s="3"/>
      <c r="DM101" s="3"/>
      <c r="DN101" s="3"/>
      <c r="DO101" s="3"/>
      <c r="DP101" s="3"/>
      <c r="DQ101" s="3"/>
      <c r="DR101" s="3"/>
      <c r="DS101" s="3"/>
      <c r="DT101" s="3"/>
      <c r="DU101" s="3"/>
      <c r="DV101" s="3"/>
      <c r="DW101" s="3"/>
      <c r="DX101" s="3"/>
      <c r="DY101" s="3"/>
      <c r="DZ101" s="3" t="s">
        <v>3005</v>
      </c>
      <c r="EA101" s="83" t="s">
        <v>4538</v>
      </c>
      <c r="EB101" s="3"/>
      <c r="ED101" s="83" t="s">
        <v>11621</v>
      </c>
      <c r="EE101" s="83" t="s">
        <v>131</v>
      </c>
      <c r="EF101" s="540" t="s">
        <v>11641</v>
      </c>
      <c r="EK101" s="874"/>
      <c r="EM101" s="83" t="s">
        <v>5016</v>
      </c>
      <c r="EN101" s="83" t="s">
        <v>4975</v>
      </c>
      <c r="EO101" s="83" t="s">
        <v>16836</v>
      </c>
      <c r="EP101" s="83" t="s">
        <v>5005</v>
      </c>
      <c r="EQ101" s="481"/>
      <c r="ER101" s="83"/>
      <c r="ES101" s="83"/>
      <c r="ET101" s="530"/>
      <c r="EU101" s="177" t="str">
        <f>IF(Dieu="Ranald","Les Doigts Crochus","")</f>
        <v/>
      </c>
      <c r="EV101" s="83" t="str">
        <f t="shared" si="69"/>
        <v/>
      </c>
      <c r="EW101" s="83" t="str">
        <f t="shared" si="73"/>
        <v/>
      </c>
      <c r="EX101" s="530" t="str">
        <f t="shared" si="74"/>
        <v/>
      </c>
      <c r="EY101" s="83" t="s">
        <v>16713</v>
      </c>
      <c r="EZ101" s="530" t="s">
        <v>5883</v>
      </c>
      <c r="FB101" s="83" t="s">
        <v>13275</v>
      </c>
      <c r="FC101" s="133" t="s">
        <v>13214</v>
      </c>
      <c r="FD101" t="s">
        <v>2211</v>
      </c>
      <c r="FE101" s="849">
        <v>118</v>
      </c>
      <c r="FF101">
        <v>33</v>
      </c>
      <c r="FG101">
        <v>0</v>
      </c>
      <c r="FH101">
        <v>42</v>
      </c>
      <c r="FI101">
        <v>36</v>
      </c>
      <c r="FJ101" s="10">
        <v>43</v>
      </c>
      <c r="FK101">
        <v>5</v>
      </c>
      <c r="FL101">
        <v>43</v>
      </c>
      <c r="FM101" s="165">
        <v>2</v>
      </c>
      <c r="FN101" s="88">
        <v>2</v>
      </c>
      <c r="FO101" s="88">
        <v>15</v>
      </c>
      <c r="FP101" s="691">
        <f t="shared" ref="FP101:FP128" si="91">ROUNDDOWN(FH101/10,0)</f>
        <v>4</v>
      </c>
      <c r="FQ101" s="691">
        <f t="shared" ref="FQ101:FQ128" si="92">ROUNDDOWN(FI101/10,0)</f>
        <v>3</v>
      </c>
      <c r="FR101" s="10">
        <v>4</v>
      </c>
      <c r="FS101" s="88">
        <v>0</v>
      </c>
      <c r="FT101" s="88">
        <v>0</v>
      </c>
      <c r="FU101" s="165">
        <v>0</v>
      </c>
      <c r="FV101" s="83" t="s">
        <v>13276</v>
      </c>
      <c r="FW101" s="83" t="s">
        <v>16206</v>
      </c>
      <c r="FX101" s="753" t="s">
        <v>7664</v>
      </c>
      <c r="GA101" s="83" t="s">
        <v>7638</v>
      </c>
      <c r="GE101" s="356"/>
      <c r="GF101" t="s">
        <v>8219</v>
      </c>
      <c r="GG101" s="356" t="s">
        <v>16837</v>
      </c>
      <c r="GH101" s="83" t="s">
        <v>8900</v>
      </c>
      <c r="GI101" s="83" t="s">
        <v>8907</v>
      </c>
      <c r="GJ101" s="83"/>
      <c r="GK101" s="530"/>
    </row>
    <row r="102" spans="8:193" ht="13.2" customHeight="1">
      <c r="H102" s="3" t="s">
        <v>797</v>
      </c>
      <c r="I102" s="6" t="s">
        <v>2655</v>
      </c>
      <c r="J102" s="3"/>
      <c r="K102" s="3"/>
      <c r="L102" s="3"/>
      <c r="M102" s="651"/>
      <c r="N102" s="3"/>
      <c r="O102" s="3"/>
      <c r="P102" s="3"/>
      <c r="Q102" s="3"/>
      <c r="R102" s="651"/>
      <c r="S102" s="83" t="str">
        <f>IF(CareerType=Y102,"Combattant des tunnels",IF(AllCareers="X","Combattant des tunnels",IF(OR(SelectRace="homme-bête",SelectRace="peau-verte",SelectRace="créature du chaos",SelectRace="Homme-lézard",SelectRace="skaven"),"",IF(SelectRace="Nain","Combattant des tunnels",""))))</f>
        <v/>
      </c>
      <c r="T102" s="106">
        <f>IF(X102="oui",0,1)</f>
        <v>0</v>
      </c>
      <c r="U102" s="693" t="str">
        <f t="shared" si="75"/>
        <v/>
      </c>
      <c r="V102" s="693" t="str">
        <f t="shared" si="76"/>
        <v/>
      </c>
      <c r="W102" s="693" t="str">
        <f t="shared" si="77"/>
        <v/>
      </c>
      <c r="X102" s="47" t="s">
        <v>2160</v>
      </c>
      <c r="Y102" s="743" t="s">
        <v>7130</v>
      </c>
      <c r="Z102" s="55" t="s">
        <v>2200</v>
      </c>
      <c r="AA102" s="47">
        <v>38</v>
      </c>
      <c r="AB102" s="47" t="s">
        <v>2271</v>
      </c>
      <c r="AC102" s="47">
        <v>191</v>
      </c>
      <c r="AD102" s="15" t="s">
        <v>98</v>
      </c>
      <c r="AE102" s="15" t="s">
        <v>149</v>
      </c>
      <c r="AF102" s="20" t="s">
        <v>114</v>
      </c>
      <c r="AG102" s="20" t="s">
        <v>114</v>
      </c>
      <c r="AH102" s="15" t="s">
        <v>98</v>
      </c>
      <c r="AI102" s="15" t="s">
        <v>149</v>
      </c>
      <c r="AJ102" s="20" t="s">
        <v>114</v>
      </c>
      <c r="AK102" s="18" t="s">
        <v>149</v>
      </c>
      <c r="AL102" s="15" t="s">
        <v>102</v>
      </c>
      <c r="AM102" s="15" t="s">
        <v>113</v>
      </c>
      <c r="AN102" s="15" t="s">
        <v>149</v>
      </c>
      <c r="AO102" s="15" t="s">
        <v>149</v>
      </c>
      <c r="AP102" s="22" t="s">
        <v>124</v>
      </c>
      <c r="AQ102" s="87" t="s">
        <v>734</v>
      </c>
      <c r="AR102" s="22" t="s">
        <v>12261</v>
      </c>
      <c r="AS102" s="87" t="s">
        <v>734</v>
      </c>
      <c r="AT102" s="22" t="s">
        <v>3438</v>
      </c>
      <c r="AU102" s="87" t="s">
        <v>5330</v>
      </c>
      <c r="AV102" s="87" t="s">
        <v>16838</v>
      </c>
      <c r="AW102" s="457">
        <v>0</v>
      </c>
      <c r="AX102" s="630" t="str">
        <f t="shared" si="81"/>
        <v/>
      </c>
      <c r="AY102" s="630" t="str">
        <f t="shared" si="82"/>
        <v/>
      </c>
      <c r="AZ102" s="630" t="str">
        <f t="shared" si="83"/>
        <v/>
      </c>
      <c r="BA102" s="3"/>
      <c r="BB102" s="3"/>
      <c r="BC102" s="3"/>
      <c r="BD102" s="3"/>
      <c r="BE102" s="3"/>
      <c r="BF102" s="3"/>
      <c r="BG102" s="3"/>
      <c r="BH102" s="3"/>
      <c r="BI102" s="3"/>
      <c r="BJ102" s="3"/>
      <c r="BK102" s="3"/>
      <c r="BL102" s="3"/>
      <c r="BM102" s="3">
        <v>110</v>
      </c>
      <c r="BN102" s="3"/>
      <c r="BP102" s="3"/>
      <c r="BQ102" s="3" t="s">
        <v>11907</v>
      </c>
      <c r="BR102" s="3"/>
      <c r="BS102" s="3"/>
      <c r="BT102" s="3"/>
      <c r="BU102" s="3"/>
      <c r="BV102" s="3"/>
      <c r="BW102" s="3"/>
      <c r="BX102" s="3" t="str">
        <f>IF(SelectRace="Nain","Barak Varr (Golfe Noir)","")</f>
        <v/>
      </c>
      <c r="BY102" t="str">
        <f t="shared" si="78"/>
        <v/>
      </c>
      <c r="BZ102" s="83" t="str">
        <f t="shared" si="70"/>
        <v/>
      </c>
      <c r="CA102" s="83" t="str">
        <f t="shared" si="71"/>
        <v/>
      </c>
      <c r="CB102" s="530" t="str">
        <f t="shared" si="72"/>
        <v/>
      </c>
      <c r="CC102" s="3" t="s">
        <v>3276</v>
      </c>
      <c r="CD102" s="3" t="s">
        <v>1067</v>
      </c>
      <c r="CG102" s="3" t="s">
        <v>6199</v>
      </c>
      <c r="CH102" s="3" t="s">
        <v>5984</v>
      </c>
      <c r="CI102" s="3"/>
      <c r="CJ102" s="3"/>
      <c r="CK102" s="3" t="s">
        <v>6904</v>
      </c>
      <c r="CL102" s="3" t="s">
        <v>6511</v>
      </c>
      <c r="CM102" s="3" t="s">
        <v>6631</v>
      </c>
      <c r="CN102" s="3" t="s">
        <v>6613</v>
      </c>
      <c r="CO102" s="83" t="str">
        <f>CONCATENATE("Drongdor",IF(AND('page 1'!M11="Féminin",Pays="Norsca"),"dottir",IF(AND('page 1'!M11="Masculin",Pays="Norsca"),"son",IF(AND('page 1'!M11="Féminin",Pays="Kislev"),"ovna",IF(AND('page 1'!M11="Masculin",Pays="Kislev"),"sky","")))))</f>
        <v>Drongdor</v>
      </c>
      <c r="CP102" s="3"/>
      <c r="CQ102" s="3"/>
      <c r="CR102" s="3" t="s">
        <v>13473</v>
      </c>
      <c r="CU102" s="3"/>
      <c r="CV102" s="3"/>
      <c r="CW102" s="3"/>
      <c r="CX102" s="3"/>
      <c r="CY102" s="83" t="s">
        <v>5319</v>
      </c>
      <c r="CZ102" s="3"/>
      <c r="DA102" s="3" t="s">
        <v>12655</v>
      </c>
      <c r="DB102" s="83" t="s">
        <v>12760</v>
      </c>
      <c r="DC102" s="3"/>
      <c r="DD102" s="83" t="s">
        <v>11187</v>
      </c>
      <c r="DE102" s="3" t="s">
        <v>132</v>
      </c>
      <c r="DF102" s="3">
        <f>ROW()</f>
        <v>102</v>
      </c>
      <c r="DG102" s="3" t="s">
        <v>780</v>
      </c>
      <c r="DH102" s="3">
        <f t="shared" si="87"/>
        <v>400</v>
      </c>
      <c r="DI102" s="3">
        <f t="shared" si="88"/>
        <v>300</v>
      </c>
      <c r="DJ102" s="3">
        <f t="shared" si="89"/>
        <v>210</v>
      </c>
      <c r="DK102" s="3">
        <f t="shared" si="90"/>
        <v>120</v>
      </c>
      <c r="DL102" s="3"/>
      <c r="DM102" s="3"/>
      <c r="DN102" s="3"/>
      <c r="DO102" s="3"/>
      <c r="DP102" s="3"/>
      <c r="DQ102" s="3"/>
      <c r="DR102" s="3"/>
      <c r="DS102" s="3"/>
      <c r="DT102" s="3"/>
      <c r="DU102" s="3"/>
      <c r="DV102" s="3"/>
      <c r="DW102" s="3"/>
      <c r="DX102" s="3"/>
      <c r="DY102" s="3"/>
      <c r="DZ102" s="83" t="s">
        <v>4550</v>
      </c>
      <c r="EA102" s="83" t="s">
        <v>11768</v>
      </c>
      <c r="EB102" s="3"/>
      <c r="ED102" s="83" t="s">
        <v>11622</v>
      </c>
      <c r="EE102" s="83" t="s">
        <v>131</v>
      </c>
      <c r="EF102" s="540" t="s">
        <v>11642</v>
      </c>
      <c r="EK102" s="874"/>
      <c r="EM102" s="83" t="s">
        <v>5019</v>
      </c>
      <c r="EN102" s="83" t="s">
        <v>4975</v>
      </c>
      <c r="EO102" s="83" t="s">
        <v>5004</v>
      </c>
      <c r="EP102" s="83" t="s">
        <v>5005</v>
      </c>
      <c r="EQ102" s="481"/>
      <c r="ER102" s="83"/>
      <c r="ES102" s="83"/>
      <c r="ET102" s="530"/>
      <c r="EU102" s="177" t="str">
        <f>IF(Dieu="Rhya","Aucun Ordre","")</f>
        <v/>
      </c>
      <c r="EV102" s="83" t="str">
        <f t="shared" si="69"/>
        <v/>
      </c>
      <c r="EW102" s="83" t="str">
        <f t="shared" si="73"/>
        <v/>
      </c>
      <c r="EX102" s="530" t="str">
        <f t="shared" si="74"/>
        <v/>
      </c>
      <c r="EY102" s="83" t="s">
        <v>5874</v>
      </c>
      <c r="EZ102" s="530" t="s">
        <v>5891</v>
      </c>
      <c r="FB102" s="83" t="s">
        <v>13024</v>
      </c>
      <c r="FC102" s="133" t="s">
        <v>13214</v>
      </c>
      <c r="FD102" s="83" t="s">
        <v>9703</v>
      </c>
      <c r="FE102" s="849">
        <v>277</v>
      </c>
      <c r="FF102">
        <v>30</v>
      </c>
      <c r="FG102">
        <v>0</v>
      </c>
      <c r="FH102">
        <v>12</v>
      </c>
      <c r="FI102">
        <v>15</v>
      </c>
      <c r="FJ102" s="10">
        <v>32</v>
      </c>
      <c r="FK102">
        <v>5</v>
      </c>
      <c r="FL102">
        <v>15</v>
      </c>
      <c r="FM102" s="165">
        <v>0</v>
      </c>
      <c r="FN102" s="88">
        <v>1</v>
      </c>
      <c r="FO102" s="88">
        <v>5</v>
      </c>
      <c r="FP102" s="164">
        <f t="shared" si="91"/>
        <v>1</v>
      </c>
      <c r="FQ102" s="164">
        <f t="shared" si="92"/>
        <v>1</v>
      </c>
      <c r="FR102" s="682">
        <v>3</v>
      </c>
      <c r="FS102" s="88">
        <v>0</v>
      </c>
      <c r="FT102" s="88">
        <v>0</v>
      </c>
      <c r="FU102" s="165">
        <v>0</v>
      </c>
      <c r="FV102" s="83" t="s">
        <v>13211</v>
      </c>
      <c r="FW102" s="83" t="s">
        <v>16207</v>
      </c>
      <c r="FX102" s="751" t="s">
        <v>7664</v>
      </c>
      <c r="GA102" t="s">
        <v>7289</v>
      </c>
      <c r="GE102" s="356"/>
      <c r="GF102" t="s">
        <v>7703</v>
      </c>
      <c r="GG102" s="356" t="s">
        <v>8912</v>
      </c>
      <c r="GH102" s="83" t="s">
        <v>16289</v>
      </c>
      <c r="GI102" s="83" t="s">
        <v>8916</v>
      </c>
      <c r="GJ102" s="83"/>
      <c r="GK102" s="530"/>
    </row>
    <row r="103" spans="8:193" ht="13.2" customHeight="1">
      <c r="H103" s="3" t="s">
        <v>798</v>
      </c>
      <c r="I103" s="6" t="s">
        <v>2657</v>
      </c>
      <c r="J103" s="3"/>
      <c r="K103" s="3"/>
      <c r="L103" s="3"/>
      <c r="M103" s="651"/>
      <c r="N103" s="3"/>
      <c r="O103" s="3"/>
      <c r="P103" s="3"/>
      <c r="Q103" s="3"/>
      <c r="R103" s="651"/>
      <c r="S103" s="83" t="str">
        <f>IF(CareerType=Y103,"Compagnon maître des runes",IF(AllCareers="X","Compagnon maître des runes",IF(OR(SelectRace="homme-bête",SelectRace="peau-verte",SelectRace="créature du chaos",SelectRace="Homme-lézard",SelectRace="skaven"),"",IF(FirstCareer="1ère carrière","",IF(SelectRace="Nain","Compagnon maître des runes","")))))</f>
        <v/>
      </c>
      <c r="T103" s="106">
        <v>2</v>
      </c>
      <c r="U103" s="693" t="str">
        <f t="shared" si="75"/>
        <v/>
      </c>
      <c r="V103" s="693" t="str">
        <f t="shared" si="76"/>
        <v/>
      </c>
      <c r="W103" s="693" t="str">
        <f t="shared" si="77"/>
        <v/>
      </c>
      <c r="X103" s="47" t="s">
        <v>2153</v>
      </c>
      <c r="Y103" s="743" t="s">
        <v>15709</v>
      </c>
      <c r="Z103" s="55" t="s">
        <v>2211</v>
      </c>
      <c r="AA103" s="47">
        <v>216</v>
      </c>
      <c r="AB103" s="47" t="s">
        <v>2272</v>
      </c>
      <c r="AC103" s="47">
        <v>116</v>
      </c>
      <c r="AD103" s="15" t="s">
        <v>98</v>
      </c>
      <c r="AE103" s="15" t="s">
        <v>114</v>
      </c>
      <c r="AF103" s="15" t="s">
        <v>98</v>
      </c>
      <c r="AG103" s="15" t="s">
        <v>114</v>
      </c>
      <c r="AH103" s="15" t="s">
        <v>114</v>
      </c>
      <c r="AI103" s="15" t="s">
        <v>100</v>
      </c>
      <c r="AJ103" s="15" t="s">
        <v>99</v>
      </c>
      <c r="AK103" s="18" t="s">
        <v>114</v>
      </c>
      <c r="AL103" s="15" t="s">
        <v>149</v>
      </c>
      <c r="AM103" s="15" t="s">
        <v>115</v>
      </c>
      <c r="AN103" s="15" t="s">
        <v>149</v>
      </c>
      <c r="AO103" s="15" t="s">
        <v>113</v>
      </c>
      <c r="AP103" s="22" t="s">
        <v>620</v>
      </c>
      <c r="AQ103" s="87" t="s">
        <v>734</v>
      </c>
      <c r="AR103" s="22" t="s">
        <v>2273</v>
      </c>
      <c r="AS103" s="87" t="s">
        <v>734</v>
      </c>
      <c r="AT103" s="87" t="s">
        <v>16839</v>
      </c>
      <c r="AU103" s="87" t="s">
        <v>16840</v>
      </c>
      <c r="AV103" s="87" t="s">
        <v>4747</v>
      </c>
      <c r="AW103" s="457">
        <v>0</v>
      </c>
      <c r="AX103" s="630" t="str">
        <f t="shared" si="81"/>
        <v/>
      </c>
      <c r="AY103" s="630" t="str">
        <f t="shared" si="82"/>
        <v/>
      </c>
      <c r="AZ103" s="630" t="str">
        <f t="shared" si="83"/>
        <v/>
      </c>
      <c r="BA103" s="3"/>
      <c r="BB103" s="3"/>
      <c r="BC103" s="3"/>
      <c r="BD103" s="3"/>
      <c r="BE103" s="3"/>
      <c r="BF103" s="3"/>
      <c r="BG103" s="3"/>
      <c r="BH103" s="3"/>
      <c r="BI103" s="3"/>
      <c r="BJ103" s="3"/>
      <c r="BK103" s="3"/>
      <c r="BL103" s="3"/>
      <c r="BM103" s="3">
        <v>111</v>
      </c>
      <c r="BN103" s="3"/>
      <c r="BP103" s="3"/>
      <c r="BQ103" s="83" t="s">
        <v>11908</v>
      </c>
      <c r="BR103" s="3"/>
      <c r="BS103" s="3"/>
      <c r="BT103" s="3"/>
      <c r="BU103" s="3"/>
      <c r="BV103" s="3"/>
      <c r="BW103" s="3"/>
      <c r="BX103" s="3" t="str">
        <f>IF(SelectRace="Nain","Karak Hirn (Montagnes Noires)","")</f>
        <v/>
      </c>
      <c r="BY103" t="str">
        <f t="shared" si="78"/>
        <v/>
      </c>
      <c r="BZ103" s="83" t="str">
        <f t="shared" si="70"/>
        <v/>
      </c>
      <c r="CA103" s="83" t="str">
        <f t="shared" si="71"/>
        <v/>
      </c>
      <c r="CB103" s="530" t="str">
        <f t="shared" si="72"/>
        <v/>
      </c>
      <c r="CC103" s="3" t="s">
        <v>3277</v>
      </c>
      <c r="CD103" s="3" t="s">
        <v>3187</v>
      </c>
      <c r="CG103" s="3" t="s">
        <v>6203</v>
      </c>
      <c r="CH103" s="3" t="s">
        <v>5985</v>
      </c>
      <c r="CI103" s="3"/>
      <c r="CJ103" s="3"/>
      <c r="CK103" s="3" t="s">
        <v>6867</v>
      </c>
      <c r="CL103" s="3" t="s">
        <v>6459</v>
      </c>
      <c r="CM103" t="s">
        <v>10313</v>
      </c>
      <c r="CN103" s="3" t="s">
        <v>6562</v>
      </c>
      <c r="CO103" s="3" t="str">
        <f>CONCATENATE("Drongdur",IF(AND('page 1'!M11="Féminin",Pays="Norsca"),"dottir",IF(AND('page 1'!M11="Masculin",Pays="Norsca"),"son",IF(AND('page 1'!M11="Féminin",Pays="Kislev"),"ovna",IF(AND('page 1'!M11="Masculin",Pays="Kislev"),"sky","")))))</f>
        <v>Drongdur</v>
      </c>
      <c r="CP103" s="3"/>
      <c r="CQ103" s="3"/>
      <c r="CR103" s="3" t="s">
        <v>13474</v>
      </c>
      <c r="CU103" s="3"/>
      <c r="CV103" s="3"/>
      <c r="CW103" s="3"/>
      <c r="CX103" s="3"/>
      <c r="CY103" s="3" t="s">
        <v>426</v>
      </c>
      <c r="CZ103" s="3"/>
      <c r="DA103" s="3" t="s">
        <v>12656</v>
      </c>
      <c r="DB103" s="83" t="s">
        <v>12723</v>
      </c>
      <c r="DC103" s="3"/>
      <c r="DD103" s="83" t="s">
        <v>11226</v>
      </c>
      <c r="DE103" s="3" t="s">
        <v>132</v>
      </c>
      <c r="DF103" s="3">
        <f>ROW()</f>
        <v>103</v>
      </c>
      <c r="DG103" s="3" t="s">
        <v>780</v>
      </c>
      <c r="DH103" s="3">
        <f t="shared" si="87"/>
        <v>400</v>
      </c>
      <c r="DI103" s="3">
        <f t="shared" si="88"/>
        <v>300</v>
      </c>
      <c r="DJ103" s="3">
        <f t="shared" si="89"/>
        <v>210</v>
      </c>
      <c r="DK103" s="3">
        <f t="shared" si="90"/>
        <v>120</v>
      </c>
      <c r="DL103" s="3"/>
      <c r="DM103" s="3"/>
      <c r="DN103" s="3"/>
      <c r="DO103" s="3"/>
      <c r="DP103" s="3"/>
      <c r="DQ103" s="3"/>
      <c r="DR103" s="3"/>
      <c r="DS103" s="3"/>
      <c r="DT103" s="3"/>
      <c r="DU103" s="3"/>
      <c r="DV103" s="3"/>
      <c r="DW103" s="3"/>
      <c r="DX103" s="3"/>
      <c r="DY103" s="3"/>
      <c r="DZ103" s="3" t="s">
        <v>3006</v>
      </c>
      <c r="EA103" s="83" t="s">
        <v>4539</v>
      </c>
      <c r="EB103" s="3"/>
      <c r="ED103" s="83" t="s">
        <v>12192</v>
      </c>
      <c r="EE103" s="83" t="s">
        <v>131</v>
      </c>
      <c r="EF103" s="540" t="s">
        <v>12193</v>
      </c>
      <c r="EK103" s="874"/>
      <c r="EM103" s="90" t="s">
        <v>5024</v>
      </c>
      <c r="EN103" s="83" t="s">
        <v>4975</v>
      </c>
      <c r="EO103" s="84" t="s">
        <v>16841</v>
      </c>
      <c r="EP103" s="83" t="s">
        <v>5005</v>
      </c>
      <c r="EQ103" s="481"/>
      <c r="ER103" s="83"/>
      <c r="ES103" s="83"/>
      <c r="ET103" s="530"/>
      <c r="EU103" s="177" t="str">
        <f>IF(Dieu="Rhya","Filles de Rhya","")</f>
        <v/>
      </c>
      <c r="EV103" s="83" t="str">
        <f t="shared" si="69"/>
        <v/>
      </c>
      <c r="EW103" s="83" t="str">
        <f t="shared" si="73"/>
        <v/>
      </c>
      <c r="EX103" s="530" t="str">
        <f t="shared" si="74"/>
        <v/>
      </c>
      <c r="EY103" s="83" t="s">
        <v>801</v>
      </c>
      <c r="EZ103" s="530" t="s">
        <v>5890</v>
      </c>
      <c r="FB103" s="83" t="s">
        <v>15337</v>
      </c>
      <c r="FC103" s="133" t="s">
        <v>13214</v>
      </c>
      <c r="FD103" s="85" t="s">
        <v>14968</v>
      </c>
      <c r="FE103" s="849">
        <v>41</v>
      </c>
      <c r="FF103">
        <v>32</v>
      </c>
      <c r="FG103">
        <v>0</v>
      </c>
      <c r="FH103">
        <v>35</v>
      </c>
      <c r="FI103">
        <v>32</v>
      </c>
      <c r="FJ103" s="10">
        <v>75</v>
      </c>
      <c r="FK103">
        <v>10</v>
      </c>
      <c r="FL103">
        <v>25</v>
      </c>
      <c r="FM103" s="165">
        <v>5</v>
      </c>
      <c r="FN103" s="88">
        <v>1</v>
      </c>
      <c r="FO103" s="88">
        <v>13</v>
      </c>
      <c r="FP103" s="691">
        <f t="shared" si="91"/>
        <v>3</v>
      </c>
      <c r="FQ103" s="691">
        <f t="shared" si="92"/>
        <v>3</v>
      </c>
      <c r="FR103" s="10">
        <v>6</v>
      </c>
      <c r="FS103" s="88">
        <v>0</v>
      </c>
      <c r="FT103" s="88">
        <v>0</v>
      </c>
      <c r="FU103" s="165">
        <v>0</v>
      </c>
      <c r="FV103" s="83" t="s">
        <v>15003</v>
      </c>
      <c r="FW103" s="83" t="s">
        <v>16208</v>
      </c>
      <c r="FX103" s="753" t="s">
        <v>7664</v>
      </c>
      <c r="GA103" t="s">
        <v>7290</v>
      </c>
      <c r="GE103" s="356"/>
      <c r="GF103" t="s">
        <v>7704</v>
      </c>
      <c r="GG103" s="356" t="s">
        <v>8915</v>
      </c>
      <c r="GH103" s="83" t="s">
        <v>16289</v>
      </c>
      <c r="GI103" s="83" t="s">
        <v>8916</v>
      </c>
      <c r="GJ103" s="83"/>
      <c r="GK103" s="530"/>
    </row>
    <row r="104" spans="8:193" ht="13.2" customHeight="1">
      <c r="H104" s="83" t="s">
        <v>4873</v>
      </c>
      <c r="I104" s="83" t="s">
        <v>4874</v>
      </c>
      <c r="J104" s="3"/>
      <c r="K104" s="3"/>
      <c r="L104" s="3"/>
      <c r="M104" s="651"/>
      <c r="N104" s="3"/>
      <c r="O104" s="3"/>
      <c r="P104" s="3"/>
      <c r="Q104" s="3"/>
      <c r="R104" s="651"/>
      <c r="S104" s="83" t="str">
        <f>IF(CareerType=Y104,"Compagnon sorcier",IF(AllCareers="X","Compagnon sorcier",IF(Selectsousrace="","",IF(OR(SelectRace="homme-bête",SelectRace="peau-verte",SelectRace="créature du chaos",SelectRace="skaven"),"",IF(FirstCareer="1ère carrière","","Compagon sorcier")))))</f>
        <v/>
      </c>
      <c r="T104" s="106">
        <v>2</v>
      </c>
      <c r="U104" s="693" t="str">
        <f t="shared" si="75"/>
        <v/>
      </c>
      <c r="V104" s="693" t="str">
        <f t="shared" si="76"/>
        <v/>
      </c>
      <c r="W104" s="693" t="str">
        <f t="shared" si="77"/>
        <v/>
      </c>
      <c r="X104" s="47" t="s">
        <v>2153</v>
      </c>
      <c r="Y104" s="743" t="s">
        <v>15709</v>
      </c>
      <c r="Z104" s="55" t="s">
        <v>2200</v>
      </c>
      <c r="AA104" s="47">
        <v>69</v>
      </c>
      <c r="AB104" s="47" t="s">
        <v>2274</v>
      </c>
      <c r="AC104" s="47">
        <v>117</v>
      </c>
      <c r="AD104" s="20" t="s">
        <v>114</v>
      </c>
      <c r="AE104" s="20" t="s">
        <v>114</v>
      </c>
      <c r="AF104" s="15" t="s">
        <v>149</v>
      </c>
      <c r="AG104" s="20" t="s">
        <v>114</v>
      </c>
      <c r="AH104" s="15" t="s">
        <v>98</v>
      </c>
      <c r="AI104" s="15" t="s">
        <v>100</v>
      </c>
      <c r="AJ104" s="15" t="s">
        <v>99</v>
      </c>
      <c r="AK104" s="18" t="s">
        <v>98</v>
      </c>
      <c r="AL104" s="15" t="s">
        <v>149</v>
      </c>
      <c r="AM104" s="15" t="s">
        <v>115</v>
      </c>
      <c r="AN104" s="15" t="s">
        <v>149</v>
      </c>
      <c r="AO104" s="15" t="s">
        <v>113</v>
      </c>
      <c r="AP104" s="87" t="s">
        <v>9191</v>
      </c>
      <c r="AQ104" s="87" t="s">
        <v>734</v>
      </c>
      <c r="AR104" s="87" t="s">
        <v>15832</v>
      </c>
      <c r="AS104" s="87" t="s">
        <v>734</v>
      </c>
      <c r="AT104" s="87" t="s">
        <v>3551</v>
      </c>
      <c r="AU104" s="87" t="s">
        <v>16842</v>
      </c>
      <c r="AV104" s="87" t="s">
        <v>4604</v>
      </c>
      <c r="AW104" s="457">
        <v>0</v>
      </c>
      <c r="AX104" s="630" t="str">
        <f t="shared" si="81"/>
        <v/>
      </c>
      <c r="AY104" s="630" t="str">
        <f t="shared" si="82"/>
        <v/>
      </c>
      <c r="AZ104" s="630" t="str">
        <f t="shared" si="83"/>
        <v/>
      </c>
      <c r="BA104" s="3"/>
      <c r="BB104" s="3"/>
      <c r="BC104" s="3"/>
      <c r="BD104" s="3"/>
      <c r="BE104" s="3"/>
      <c r="BF104" s="3"/>
      <c r="BG104" s="3"/>
      <c r="BH104" s="3"/>
      <c r="BI104" s="3"/>
      <c r="BJ104" s="3"/>
      <c r="BK104" s="3"/>
      <c r="BL104" s="3"/>
      <c r="BM104" s="3">
        <v>112</v>
      </c>
      <c r="BN104" s="3"/>
      <c r="BP104" s="3"/>
      <c r="BQ104" s="3" t="s">
        <v>11909</v>
      </c>
      <c r="BR104" s="83"/>
      <c r="BS104" s="83"/>
      <c r="BT104" s="3"/>
      <c r="BU104" s="3"/>
      <c r="BV104" s="3"/>
      <c r="BW104" s="3"/>
      <c r="BX104" s="3" t="str">
        <f>IF(SelectRace="Nain","Karak Izor (la Voûte)","")</f>
        <v/>
      </c>
      <c r="BY104" t="str">
        <f t="shared" si="78"/>
        <v/>
      </c>
      <c r="BZ104" s="83" t="str">
        <f t="shared" si="70"/>
        <v/>
      </c>
      <c r="CA104" s="83" t="str">
        <f t="shared" si="71"/>
        <v/>
      </c>
      <c r="CB104" s="530" t="str">
        <f t="shared" si="72"/>
        <v/>
      </c>
      <c r="CC104" s="3" t="s">
        <v>3278</v>
      </c>
      <c r="CD104" s="3" t="s">
        <v>3188</v>
      </c>
      <c r="CG104" s="3" t="s">
        <v>6200</v>
      </c>
      <c r="CH104" s="3" t="s">
        <v>5986</v>
      </c>
      <c r="CI104" s="3"/>
      <c r="CJ104" s="3"/>
      <c r="CK104" s="3" t="s">
        <v>6741</v>
      </c>
      <c r="CL104" s="3" t="s">
        <v>6438</v>
      </c>
      <c r="CM104" t="s">
        <v>10312</v>
      </c>
      <c r="CN104" s="3" t="s">
        <v>6561</v>
      </c>
      <c r="CO104" s="3" t="str">
        <f>CONCATENATE(,"Drongnira",IF(AND('page 1'!M11="Féminin",Pays="Norsca"),"dottir",IF(AND('page 1'!M11="Masculin",Pays="Norsca"),"son",IF(AND('page 1'!M11="Féminin",Pays="Kislev"),"ovna",IF(AND('page 1'!M11="Masculin",Pays="Kislev"),"sky","")))))</f>
        <v>Drongnira</v>
      </c>
      <c r="CP104" s="3"/>
      <c r="CQ104" s="3"/>
      <c r="CR104" s="3" t="s">
        <v>13475</v>
      </c>
      <c r="CU104" s="3"/>
      <c r="CV104" s="3"/>
      <c r="CW104" s="3"/>
      <c r="CX104" s="3"/>
      <c r="CY104" s="38" t="s">
        <v>133</v>
      </c>
      <c r="CZ104" s="3"/>
      <c r="DA104" s="83" t="s">
        <v>5208</v>
      </c>
      <c r="DB104" s="83" t="s">
        <v>12669</v>
      </c>
      <c r="DC104" s="3"/>
      <c r="DD104" s="83" t="s">
        <v>16843</v>
      </c>
      <c r="DE104" s="3" t="s">
        <v>135</v>
      </c>
      <c r="DF104" s="3">
        <f>ROW()</f>
        <v>104</v>
      </c>
      <c r="DG104" s="3" t="s">
        <v>780</v>
      </c>
      <c r="DH104" s="3">
        <f t="shared" si="87"/>
        <v>400</v>
      </c>
      <c r="DI104" s="3">
        <f t="shared" si="88"/>
        <v>300</v>
      </c>
      <c r="DJ104" s="3">
        <f t="shared" si="89"/>
        <v>210</v>
      </c>
      <c r="DK104" s="3">
        <f t="shared" si="90"/>
        <v>120</v>
      </c>
      <c r="DL104" s="3"/>
      <c r="DM104" s="3"/>
      <c r="DN104" s="3"/>
      <c r="DO104" s="3"/>
      <c r="DP104" s="3"/>
      <c r="DQ104" s="3"/>
      <c r="DR104" s="3"/>
      <c r="DS104" s="3"/>
      <c r="DT104" s="3"/>
      <c r="DU104" s="3"/>
      <c r="DV104" s="3"/>
      <c r="DW104" s="3"/>
      <c r="DX104" s="3"/>
      <c r="DY104" s="3"/>
      <c r="DZ104" s="3" t="s">
        <v>3007</v>
      </c>
      <c r="EA104" s="83" t="s">
        <v>4539</v>
      </c>
      <c r="EB104" s="3"/>
      <c r="ED104" s="83" t="s">
        <v>11620</v>
      </c>
      <c r="EE104" s="83" t="s">
        <v>131</v>
      </c>
      <c r="EF104" s="540" t="s">
        <v>11640</v>
      </c>
      <c r="EK104" s="874"/>
      <c r="EM104" s="90" t="s">
        <v>5029</v>
      </c>
      <c r="EN104" s="83" t="s">
        <v>4975</v>
      </c>
      <c r="EO104" s="83" t="s">
        <v>5013</v>
      </c>
      <c r="EP104" s="83" t="s">
        <v>5005</v>
      </c>
      <c r="EQ104" s="481"/>
      <c r="ER104" s="83"/>
      <c r="ES104" s="83"/>
      <c r="ET104" s="530"/>
      <c r="EU104" s="177" t="str">
        <f>IF(Dieu="Rhya","Initié","")</f>
        <v/>
      </c>
      <c r="EV104" s="83" t="str">
        <f t="shared" si="69"/>
        <v/>
      </c>
      <c r="EW104" s="83" t="str">
        <f t="shared" si="73"/>
        <v/>
      </c>
      <c r="EX104" s="530" t="str">
        <f t="shared" si="74"/>
        <v/>
      </c>
      <c r="EY104" s="83" t="s">
        <v>16053</v>
      </c>
      <c r="EZ104" s="530" t="s">
        <v>261</v>
      </c>
      <c r="FB104" s="83" t="s">
        <v>13177</v>
      </c>
      <c r="FC104" s="133" t="s">
        <v>13214</v>
      </c>
      <c r="FD104" s="85" t="s">
        <v>11347</v>
      </c>
      <c r="FE104" s="849">
        <v>6</v>
      </c>
      <c r="FF104">
        <v>57</v>
      </c>
      <c r="FG104">
        <v>0</v>
      </c>
      <c r="FH104">
        <v>4</v>
      </c>
      <c r="FI104">
        <v>5</v>
      </c>
      <c r="FJ104" s="10">
        <v>30</v>
      </c>
      <c r="FK104">
        <v>43</v>
      </c>
      <c r="FM104" s="165">
        <v>29</v>
      </c>
      <c r="FN104" s="88">
        <v>3</v>
      </c>
      <c r="FO104" s="88">
        <v>3</v>
      </c>
      <c r="FP104" s="164">
        <f t="shared" si="91"/>
        <v>0</v>
      </c>
      <c r="FQ104" s="164">
        <f t="shared" si="92"/>
        <v>0</v>
      </c>
      <c r="FR104" s="10">
        <v>2</v>
      </c>
      <c r="FS104" s="88">
        <v>0</v>
      </c>
      <c r="FT104" s="88">
        <v>0</v>
      </c>
      <c r="FU104" s="165">
        <v>0</v>
      </c>
      <c r="FV104" s="83" t="s">
        <v>13211</v>
      </c>
      <c r="FW104" s="83" t="s">
        <v>16209</v>
      </c>
      <c r="FX104" s="751" t="s">
        <v>7664</v>
      </c>
      <c r="GA104" t="s">
        <v>7481</v>
      </c>
      <c r="GE104" s="356"/>
      <c r="GF104" t="s">
        <v>8216</v>
      </c>
      <c r="GG104" s="356" t="s">
        <v>8909</v>
      </c>
      <c r="GH104" s="83" t="s">
        <v>16289</v>
      </c>
      <c r="GI104" s="83" t="s">
        <v>8916</v>
      </c>
      <c r="GJ104" s="83"/>
      <c r="GK104" s="530"/>
    </row>
    <row r="105" spans="8:193" ht="13.2" customHeight="1">
      <c r="H105" s="3" t="s">
        <v>799</v>
      </c>
      <c r="I105" s="3" t="s">
        <v>519</v>
      </c>
      <c r="J105" s="3"/>
      <c r="K105" s="3"/>
      <c r="L105" s="3"/>
      <c r="M105" s="651"/>
      <c r="N105" s="3"/>
      <c r="O105" s="3"/>
      <c r="P105" s="3"/>
      <c r="Q105" s="3"/>
      <c r="R105" s="651"/>
      <c r="S105" s="83" t="str">
        <f>IF(CareerType=Y105,"Comte vampire",IF(AllCareers="X","Comte vampire",IF(Selectsousrace="","",IF(OR(SelectRace="homme-bête",SelectRace="peau-verte",SelectRace="créature du chaos",SelectRace="Homme-lézard",SelectRace="skaven"),"",IF(AND(FirstCareer="1ère carrière",OR(SelectRace="Vampire",'page 1'!K4="Vampire")),"Comte vampire","")))))</f>
        <v/>
      </c>
      <c r="T105" s="106">
        <v>2</v>
      </c>
      <c r="U105" s="693" t="str">
        <f t="shared" si="75"/>
        <v/>
      </c>
      <c r="V105" s="693" t="str">
        <f t="shared" si="76"/>
        <v/>
      </c>
      <c r="W105" s="693" t="str">
        <f t="shared" si="77"/>
        <v/>
      </c>
      <c r="X105" s="47" t="s">
        <v>2153</v>
      </c>
      <c r="Y105" s="743" t="s">
        <v>7131</v>
      </c>
      <c r="Z105" s="55" t="s">
        <v>2198</v>
      </c>
      <c r="AA105" s="47">
        <v>104</v>
      </c>
      <c r="AB105" s="89" t="s">
        <v>9288</v>
      </c>
      <c r="AC105" s="47"/>
      <c r="AD105" s="15" t="s">
        <v>100</v>
      </c>
      <c r="AE105" s="15" t="s">
        <v>98</v>
      </c>
      <c r="AF105" s="15" t="s">
        <v>99</v>
      </c>
      <c r="AG105" s="15" t="s">
        <v>100</v>
      </c>
      <c r="AH105" s="15" t="s">
        <v>100</v>
      </c>
      <c r="AI105" s="15" t="s">
        <v>101</v>
      </c>
      <c r="AJ105" s="15" t="s">
        <v>100</v>
      </c>
      <c r="AK105" s="18" t="s">
        <v>101</v>
      </c>
      <c r="AL105" s="15" t="s">
        <v>113</v>
      </c>
      <c r="AM105" s="15" t="s">
        <v>117</v>
      </c>
      <c r="AN105" s="15" t="s">
        <v>149</v>
      </c>
      <c r="AO105" s="15" t="s">
        <v>113</v>
      </c>
      <c r="AP105" s="22" t="s">
        <v>464</v>
      </c>
      <c r="AQ105" s="87" t="s">
        <v>734</v>
      </c>
      <c r="AR105" s="22" t="s">
        <v>2275</v>
      </c>
      <c r="AS105" s="87" t="s">
        <v>734</v>
      </c>
      <c r="AT105" s="87" t="s">
        <v>16844</v>
      </c>
      <c r="AU105" s="87" t="s">
        <v>16845</v>
      </c>
      <c r="AV105" s="87" t="s">
        <v>15749</v>
      </c>
      <c r="AW105" s="457">
        <v>1000</v>
      </c>
      <c r="AX105" s="630" t="str">
        <f t="shared" si="81"/>
        <v/>
      </c>
      <c r="AY105" s="630" t="str">
        <f t="shared" si="82"/>
        <v/>
      </c>
      <c r="AZ105" s="630" t="str">
        <f t="shared" si="83"/>
        <v/>
      </c>
      <c r="BA105" s="3"/>
      <c r="BB105" s="3"/>
      <c r="BC105" s="3"/>
      <c r="BD105" s="3"/>
      <c r="BE105" s="3"/>
      <c r="BF105" s="3"/>
      <c r="BG105" s="3"/>
      <c r="BH105" s="3"/>
      <c r="BI105" s="3"/>
      <c r="BJ105" s="3"/>
      <c r="BK105" s="3"/>
      <c r="BL105" s="3"/>
      <c r="BM105" s="3">
        <v>113</v>
      </c>
      <c r="BN105" s="3"/>
      <c r="BP105" s="3"/>
      <c r="BQ105" s="3" t="s">
        <v>11910</v>
      </c>
      <c r="BR105" s="3"/>
      <c r="BS105" s="3"/>
      <c r="BT105" s="3"/>
      <c r="BU105" s="3"/>
      <c r="BV105" s="3"/>
      <c r="BW105" s="3"/>
      <c r="BX105" s="3" t="str">
        <f>IF(SelectRace="Nain","Karak Kadrin (Montagnes du Bord du Monde)","")</f>
        <v/>
      </c>
      <c r="BY105" t="str">
        <f t="shared" si="78"/>
        <v/>
      </c>
      <c r="BZ105" s="83" t="str">
        <f t="shared" si="70"/>
        <v/>
      </c>
      <c r="CA105" s="83" t="str">
        <f t="shared" si="71"/>
        <v/>
      </c>
      <c r="CB105" s="530" t="str">
        <f t="shared" si="72"/>
        <v/>
      </c>
      <c r="CC105" s="3" t="s">
        <v>3279</v>
      </c>
      <c r="CD105" t="s">
        <v>10682</v>
      </c>
      <c r="CG105" s="3" t="s">
        <v>6201</v>
      </c>
      <c r="CH105" s="3" t="s">
        <v>5987</v>
      </c>
      <c r="CI105" s="3"/>
      <c r="CJ105" s="3"/>
      <c r="CK105" s="3" t="s">
        <v>6787</v>
      </c>
      <c r="CL105" s="3" t="s">
        <v>6457</v>
      </c>
      <c r="CM105" t="s">
        <v>10314</v>
      </c>
      <c r="CN105" s="3" t="s">
        <v>6551</v>
      </c>
      <c r="CO105" s="3" t="str">
        <f>CONCATENATE("Durgar",IF(AND('page 1'!M11="Féminin",Pays="Norsca"),"dottir",IF(AND('page 1'!M11="Masculin",Pays="Norsca"),"son",IF(AND('page 1'!M11="Féminin",Pays="Kislev"),"ovna",IF(AND('page 1'!M11="Masculin",Pays="Kislev"),"sky","")))))</f>
        <v>Durgar</v>
      </c>
      <c r="CP105" s="3"/>
      <c r="CQ105" s="3"/>
      <c r="CR105" s="3" t="s">
        <v>13476</v>
      </c>
      <c r="CU105" s="3"/>
      <c r="CV105" s="3"/>
      <c r="CW105" s="3"/>
      <c r="CX105" s="3"/>
      <c r="CY105" s="3" t="s">
        <v>427</v>
      </c>
      <c r="CZ105" s="3"/>
      <c r="DA105" s="3"/>
      <c r="DB105" s="3"/>
      <c r="DC105" s="3"/>
      <c r="DD105" s="83" t="s">
        <v>11244</v>
      </c>
      <c r="DE105" s="3" t="s">
        <v>132</v>
      </c>
      <c r="DF105" s="3">
        <f>ROW()</f>
        <v>105</v>
      </c>
      <c r="DG105" s="3" t="s">
        <v>780</v>
      </c>
      <c r="DH105" s="3">
        <f t="shared" si="87"/>
        <v>400</v>
      </c>
      <c r="DI105" s="3">
        <f t="shared" si="88"/>
        <v>300</v>
      </c>
      <c r="DJ105" s="3">
        <f t="shared" si="89"/>
        <v>210</v>
      </c>
      <c r="DK105" s="3">
        <f t="shared" si="90"/>
        <v>120</v>
      </c>
      <c r="DL105" s="3"/>
      <c r="DM105" s="3"/>
      <c r="DN105" s="3"/>
      <c r="DO105" s="3"/>
      <c r="DP105" s="3"/>
      <c r="DQ105" s="3"/>
      <c r="DR105" s="3"/>
      <c r="DS105" s="3"/>
      <c r="DT105" s="3"/>
      <c r="DU105" s="3"/>
      <c r="DV105" s="3"/>
      <c r="DW105" s="3"/>
      <c r="DX105" s="3"/>
      <c r="DY105" s="3"/>
      <c r="DZ105" s="3" t="s">
        <v>3008</v>
      </c>
      <c r="EA105" s="83" t="s">
        <v>4539</v>
      </c>
      <c r="EB105" s="3"/>
      <c r="ED105" s="83" t="s">
        <v>11623</v>
      </c>
      <c r="EE105" s="83" t="s">
        <v>131</v>
      </c>
      <c r="EF105" s="540" t="s">
        <v>11643</v>
      </c>
      <c r="EK105" s="874"/>
      <c r="EM105" s="90" t="s">
        <v>5156</v>
      </c>
      <c r="EN105" s="83" t="s">
        <v>5015</v>
      </c>
      <c r="EO105" s="83" t="s">
        <v>5247</v>
      </c>
      <c r="EP105" t="s">
        <v>5159</v>
      </c>
      <c r="EU105" s="177" t="str">
        <f>IF(AND(OR(Dieu="Rigg",Dieu="Séréna/Déesse Serpent"),'page 1'!M11="Féminin"),"Initiée du Serpent","")</f>
        <v/>
      </c>
      <c r="EV105" s="83" t="str">
        <f t="shared" si="69"/>
        <v/>
      </c>
      <c r="EW105" s="83" t="str">
        <f t="shared" si="73"/>
        <v/>
      </c>
      <c r="EX105" s="530" t="str">
        <f t="shared" si="74"/>
        <v/>
      </c>
      <c r="EY105" s="83" t="s">
        <v>11699</v>
      </c>
      <c r="EZ105" s="530" t="s">
        <v>12201</v>
      </c>
      <c r="FB105" s="83" t="s">
        <v>13025</v>
      </c>
      <c r="FC105" s="133" t="s">
        <v>13214</v>
      </c>
      <c r="FD105" s="83" t="s">
        <v>9703</v>
      </c>
      <c r="FE105" s="849">
        <v>325</v>
      </c>
      <c r="FF105">
        <v>40</v>
      </c>
      <c r="FG105">
        <v>15</v>
      </c>
      <c r="FH105">
        <v>28</v>
      </c>
      <c r="FI105">
        <v>25</v>
      </c>
      <c r="FJ105" s="10">
        <v>35</v>
      </c>
      <c r="FK105">
        <v>7</v>
      </c>
      <c r="FL105">
        <v>20</v>
      </c>
      <c r="FM105" s="165">
        <v>0</v>
      </c>
      <c r="FN105" s="88">
        <v>2</v>
      </c>
      <c r="FO105" s="88">
        <v>10</v>
      </c>
      <c r="FP105" s="164">
        <f t="shared" si="91"/>
        <v>2</v>
      </c>
      <c r="FQ105" s="164">
        <f t="shared" si="92"/>
        <v>2</v>
      </c>
      <c r="FR105" s="682">
        <v>3</v>
      </c>
      <c r="FS105" s="88">
        <v>0</v>
      </c>
      <c r="FT105" s="88">
        <v>0</v>
      </c>
      <c r="FU105" s="165">
        <v>0</v>
      </c>
      <c r="FV105" s="83" t="s">
        <v>13212</v>
      </c>
      <c r="FW105" s="83" t="s">
        <v>16210</v>
      </c>
      <c r="FX105" s="751" t="s">
        <v>7664</v>
      </c>
      <c r="GA105" t="s">
        <v>7482</v>
      </c>
      <c r="GE105" s="356"/>
      <c r="GF105" t="s">
        <v>7705</v>
      </c>
      <c r="GG105" s="356" t="s">
        <v>8910</v>
      </c>
      <c r="GH105" s="83" t="s">
        <v>16289</v>
      </c>
      <c r="GI105" s="83" t="s">
        <v>8916</v>
      </c>
      <c r="GJ105" s="83"/>
      <c r="GK105" s="530"/>
    </row>
    <row r="106" spans="8:193" ht="13.2" customHeight="1">
      <c r="H106" s="3" t="s">
        <v>2881</v>
      </c>
      <c r="I106" s="3" t="s">
        <v>2882</v>
      </c>
      <c r="J106" s="3"/>
      <c r="K106" s="3"/>
      <c r="L106" s="3"/>
      <c r="M106" s="651"/>
      <c r="N106" s="3"/>
      <c r="O106" s="3"/>
      <c r="P106" s="3"/>
      <c r="Q106" s="3"/>
      <c r="R106" s="651"/>
      <c r="S106" s="83" t="str">
        <f>IF(CareerType=Y106,"Concubine",IF(AllCareers="X","Concubine",IF(OR('page 1'!M11="Masculin",'page 1'!M11=""),"",IF(OR(SelectRace="homme-bête",SelectRace="peau-verte",SelectRace="créature du chaos",SelectRace="Homme-lézard",SelectRace="skaven"),"",IF(OR(SelectRace="Humain",'page 1'!K4="Lahmiane"),"Concubine",IF(OR(Pays="Désolations du Chaos",Pays="Norsca",Selectsousrace=""),"","Concubine"))))))</f>
        <v/>
      </c>
      <c r="T106" s="106">
        <f t="shared" ref="T106:T115" si="93">IF(X106="oui",0,1)</f>
        <v>0</v>
      </c>
      <c r="U106" s="693" t="str">
        <f t="shared" si="75"/>
        <v/>
      </c>
      <c r="V106" s="693" t="str">
        <f t="shared" si="76"/>
        <v/>
      </c>
      <c r="W106" s="693" t="str">
        <f t="shared" si="77"/>
        <v/>
      </c>
      <c r="X106" s="89" t="s">
        <v>2160</v>
      </c>
      <c r="Y106" s="743" t="s">
        <v>7132</v>
      </c>
      <c r="Z106" s="56" t="s">
        <v>9975</v>
      </c>
      <c r="AA106" s="89">
        <v>234</v>
      </c>
      <c r="AB106" s="89" t="s">
        <v>10033</v>
      </c>
      <c r="AD106" s="105" t="s">
        <v>114</v>
      </c>
      <c r="AE106" s="105" t="s">
        <v>98</v>
      </c>
      <c r="AF106" s="105" t="s">
        <v>149</v>
      </c>
      <c r="AG106" s="105" t="s">
        <v>114</v>
      </c>
      <c r="AH106" s="105" t="s">
        <v>149</v>
      </c>
      <c r="AI106" s="105" t="s">
        <v>149</v>
      </c>
      <c r="AJ106" s="105" t="s">
        <v>114</v>
      </c>
      <c r="AK106" s="443" t="s">
        <v>98</v>
      </c>
      <c r="AL106" s="105" t="s">
        <v>149</v>
      </c>
      <c r="AM106" s="105" t="s">
        <v>113</v>
      </c>
      <c r="AN106" s="105" t="s">
        <v>149</v>
      </c>
      <c r="AO106" s="105" t="s">
        <v>149</v>
      </c>
      <c r="AP106" s="87" t="s">
        <v>771</v>
      </c>
      <c r="AQ106" s="87" t="s">
        <v>734</v>
      </c>
      <c r="AR106" s="87" t="s">
        <v>14854</v>
      </c>
      <c r="AS106" s="87" t="s">
        <v>734</v>
      </c>
      <c r="AT106" s="87" t="s">
        <v>15665</v>
      </c>
      <c r="AU106" s="87" t="s">
        <v>10062</v>
      </c>
      <c r="AV106" s="87" t="s">
        <v>10116</v>
      </c>
      <c r="AW106" s="458">
        <v>0</v>
      </c>
      <c r="AX106" s="630" t="str">
        <f t="shared" si="81"/>
        <v/>
      </c>
      <c r="AY106" s="630" t="str">
        <f t="shared" si="82"/>
        <v/>
      </c>
      <c r="AZ106" s="630" t="str">
        <f t="shared" si="83"/>
        <v/>
      </c>
      <c r="BA106" s="3"/>
      <c r="BB106" s="3"/>
      <c r="BC106" s="3"/>
      <c r="BD106" s="3"/>
      <c r="BE106" s="3"/>
      <c r="BF106" s="3"/>
      <c r="BG106" s="3"/>
      <c r="BH106" s="3"/>
      <c r="BI106" s="3"/>
      <c r="BJ106" s="3"/>
      <c r="BK106" s="3"/>
      <c r="BL106" s="3"/>
      <c r="BM106" s="3">
        <v>114</v>
      </c>
      <c r="BN106" s="3"/>
      <c r="BP106" s="3"/>
      <c r="BQ106" s="3" t="s">
        <v>11911</v>
      </c>
      <c r="BR106" s="3"/>
      <c r="BS106" s="3"/>
      <c r="BT106" s="3"/>
      <c r="BU106" s="3"/>
      <c r="BV106" s="3"/>
      <c r="BW106" s="3"/>
      <c r="BX106" s="3" t="str">
        <f>IF(SelectRace="Nain","Karak Norn (Montagnes Grises)","")</f>
        <v/>
      </c>
      <c r="BY106" t="str">
        <f t="shared" si="78"/>
        <v/>
      </c>
      <c r="BZ106" s="83" t="str">
        <f t="shared" si="70"/>
        <v/>
      </c>
      <c r="CA106" s="83" t="str">
        <f t="shared" si="71"/>
        <v/>
      </c>
      <c r="CB106" s="530" t="str">
        <f t="shared" si="72"/>
        <v/>
      </c>
      <c r="CC106" s="3" t="s">
        <v>3280</v>
      </c>
      <c r="CD106" t="s">
        <v>3306</v>
      </c>
      <c r="CG106" s="3" t="s">
        <v>6204</v>
      </c>
      <c r="CH106" s="3" t="s">
        <v>5988</v>
      </c>
      <c r="CI106" s="3"/>
      <c r="CJ106" s="3"/>
      <c r="CK106" s="3" t="s">
        <v>6972</v>
      </c>
      <c r="CL106" s="3" t="s">
        <v>6442</v>
      </c>
      <c r="CM106" s="83" t="s">
        <v>15101</v>
      </c>
      <c r="CN106" s="83" t="s">
        <v>15113</v>
      </c>
      <c r="CO106" s="3" t="str">
        <f>CONCATENATE("Durin",IF(AND('page 1'!M11="Féminin",Pays="Norsca"),"dottir",IF(AND('page 1'!M11="Masculin",Pays="Norsca"),"son",IF(AND('page 1'!M11="Féminin",Pays="Kislev"),"ovna",IF(AND('page 1'!M11="Masculin",Pays="Kislev"),"sky","")))))</f>
        <v>Durin</v>
      </c>
      <c r="CP106" s="3"/>
      <c r="CQ106" s="3"/>
      <c r="CR106" s="3" t="s">
        <v>13477</v>
      </c>
      <c r="CU106" s="3"/>
      <c r="CV106" s="3"/>
      <c r="CW106" s="3"/>
      <c r="CX106" s="3"/>
      <c r="CY106" s="39" t="s">
        <v>254</v>
      </c>
      <c r="CZ106" s="3"/>
      <c r="DA106" s="3"/>
      <c r="DB106" s="3"/>
      <c r="DC106" s="3"/>
      <c r="DD106" s="83" t="s">
        <v>11191</v>
      </c>
      <c r="DE106" s="3" t="s">
        <v>133</v>
      </c>
      <c r="DF106" s="3">
        <f>ROW()</f>
        <v>106</v>
      </c>
      <c r="DG106" s="3" t="s">
        <v>780</v>
      </c>
      <c r="DH106" s="3">
        <f t="shared" si="87"/>
        <v>400</v>
      </c>
      <c r="DI106" s="3">
        <f t="shared" si="88"/>
        <v>300</v>
      </c>
      <c r="DJ106" s="3">
        <f t="shared" si="89"/>
        <v>210</v>
      </c>
      <c r="DK106" s="3">
        <f t="shared" si="90"/>
        <v>120</v>
      </c>
      <c r="DL106" s="3"/>
      <c r="DM106" s="3"/>
      <c r="DN106" s="3"/>
      <c r="DO106" s="3"/>
      <c r="DP106" s="3"/>
      <c r="DQ106" s="3"/>
      <c r="DR106" s="3"/>
      <c r="DS106" s="3"/>
      <c r="DT106" s="3"/>
      <c r="DU106" s="3"/>
      <c r="DV106" s="3"/>
      <c r="DW106" s="3"/>
      <c r="DX106" s="3"/>
      <c r="DY106" s="3"/>
      <c r="DZ106" s="83" t="s">
        <v>3009</v>
      </c>
      <c r="EA106" s="83" t="s">
        <v>4539</v>
      </c>
      <c r="EB106" s="3"/>
      <c r="ED106" s="83" t="s">
        <v>12189</v>
      </c>
      <c r="EE106" s="83" t="s">
        <v>131</v>
      </c>
      <c r="EF106" s="540" t="s">
        <v>12190</v>
      </c>
      <c r="EK106" s="874"/>
      <c r="EM106" s="90" t="s">
        <v>5158</v>
      </c>
      <c r="EN106" s="83" t="s">
        <v>5015</v>
      </c>
      <c r="EO106" t="s">
        <v>5145</v>
      </c>
      <c r="EP106" t="s">
        <v>5159</v>
      </c>
      <c r="EU106" s="177" t="str">
        <f>IF(AND(OR(Dieu="Rigg",Dieu="Séréna/Déesse Serpent"),'page 1'!M11="Féminin"),"Sorcière-Prêtresse amazone","")</f>
        <v/>
      </c>
      <c r="EV106" s="83" t="str">
        <f t="shared" si="69"/>
        <v/>
      </c>
      <c r="EW106" s="83" t="str">
        <f t="shared" si="73"/>
        <v/>
      </c>
      <c r="EX106" s="530" t="str">
        <f t="shared" si="74"/>
        <v/>
      </c>
      <c r="EY106" s="83" t="s">
        <v>11700</v>
      </c>
      <c r="EZ106" s="530"/>
      <c r="FB106" s="83" t="s">
        <v>13026</v>
      </c>
      <c r="FC106" s="133" t="s">
        <v>13214</v>
      </c>
      <c r="FD106" s="83" t="s">
        <v>9703</v>
      </c>
      <c r="FE106" s="849">
        <v>325</v>
      </c>
      <c r="FF106">
        <v>34</v>
      </c>
      <c r="FG106">
        <v>15</v>
      </c>
      <c r="FH106">
        <v>25</v>
      </c>
      <c r="FI106">
        <v>18</v>
      </c>
      <c r="FJ106" s="10">
        <v>25</v>
      </c>
      <c r="FK106">
        <v>5</v>
      </c>
      <c r="FL106">
        <v>15</v>
      </c>
      <c r="FM106" s="165">
        <v>0</v>
      </c>
      <c r="FN106" s="88">
        <v>2</v>
      </c>
      <c r="FO106" s="88">
        <v>9</v>
      </c>
      <c r="FP106" s="164">
        <f t="shared" si="91"/>
        <v>2</v>
      </c>
      <c r="FQ106" s="164">
        <f t="shared" si="92"/>
        <v>1</v>
      </c>
      <c r="FR106" s="682">
        <v>3</v>
      </c>
      <c r="FS106" s="88">
        <v>0</v>
      </c>
      <c r="FT106" s="88">
        <v>0</v>
      </c>
      <c r="FU106" s="165">
        <v>0</v>
      </c>
      <c r="FV106" s="83" t="s">
        <v>13211</v>
      </c>
      <c r="FW106" s="83" t="s">
        <v>16211</v>
      </c>
      <c r="FX106" s="751" t="s">
        <v>7664</v>
      </c>
      <c r="GA106" s="83" t="s">
        <v>7547</v>
      </c>
      <c r="GE106" s="356"/>
      <c r="GF106" t="s">
        <v>7706</v>
      </c>
      <c r="GG106" s="356" t="s">
        <v>8911</v>
      </c>
      <c r="GH106" s="83" t="s">
        <v>16289</v>
      </c>
      <c r="GI106" s="83" t="s">
        <v>8916</v>
      </c>
      <c r="GJ106" s="83"/>
      <c r="GK106" s="530"/>
    </row>
    <row r="107" spans="8:193" ht="13.2" customHeight="1">
      <c r="H107" s="3" t="s">
        <v>2662</v>
      </c>
      <c r="I107" s="3" t="s">
        <v>2665</v>
      </c>
      <c r="J107" s="3"/>
      <c r="K107" s="3"/>
      <c r="L107" s="3"/>
      <c r="M107" s="651"/>
      <c r="N107" s="3"/>
      <c r="O107" s="3"/>
      <c r="P107" s="3"/>
      <c r="Q107" s="3"/>
      <c r="R107" s="651"/>
      <c r="S107" s="83" t="str">
        <f>IF(CareerType=Y107,"Conducteur de bestiaux",IF(AllCareers="X","Conducteur de bestiaux",IF(OR(SelectRace="peau-verte",SelectRace="créature du chaos",SelectRace="skaven",SelectRace="Vampire"),"",IF(OR(Pays="Désolations du Chaos",Pays="Norsca"),"",IF(OR(SelectRace="Halfling",SelectRace="Humain"),"Conducteur de bestiaux","")))))</f>
        <v/>
      </c>
      <c r="T107" s="106">
        <f t="shared" si="93"/>
        <v>0</v>
      </c>
      <c r="U107" s="693" t="str">
        <f t="shared" si="75"/>
        <v/>
      </c>
      <c r="V107" s="693" t="str">
        <f t="shared" si="76"/>
        <v/>
      </c>
      <c r="W107" s="693" t="str">
        <f t="shared" si="77"/>
        <v/>
      </c>
      <c r="X107" s="47" t="s">
        <v>2160</v>
      </c>
      <c r="Y107" s="743" t="s">
        <v>7132</v>
      </c>
      <c r="Z107" s="55" t="s">
        <v>1319</v>
      </c>
      <c r="AA107" s="47">
        <v>100</v>
      </c>
      <c r="AB107" s="47" t="s">
        <v>2276</v>
      </c>
      <c r="AC107" s="47">
        <v>61</v>
      </c>
      <c r="AD107" s="15" t="s">
        <v>114</v>
      </c>
      <c r="AE107" s="15" t="s">
        <v>98</v>
      </c>
      <c r="AF107" s="15" t="s">
        <v>98</v>
      </c>
      <c r="AG107" s="15" t="s">
        <v>114</v>
      </c>
      <c r="AH107" s="15" t="s">
        <v>98</v>
      </c>
      <c r="AI107" s="15" t="s">
        <v>149</v>
      </c>
      <c r="AJ107" s="15" t="s">
        <v>114</v>
      </c>
      <c r="AK107" s="18" t="s">
        <v>149</v>
      </c>
      <c r="AL107" s="15" t="s">
        <v>149</v>
      </c>
      <c r="AM107" s="15" t="s">
        <v>113</v>
      </c>
      <c r="AN107" s="15" t="s">
        <v>149</v>
      </c>
      <c r="AO107" s="15" t="s">
        <v>113</v>
      </c>
      <c r="AP107" s="22" t="s">
        <v>3786</v>
      </c>
      <c r="AQ107" s="87" t="s">
        <v>734</v>
      </c>
      <c r="AR107" s="22" t="s">
        <v>3787</v>
      </c>
      <c r="AS107" s="22" t="s">
        <v>3787</v>
      </c>
      <c r="AT107" s="87" t="s">
        <v>16846</v>
      </c>
      <c r="AU107" s="87" t="s">
        <v>5427</v>
      </c>
      <c r="AV107" s="87" t="s">
        <v>9978</v>
      </c>
      <c r="AW107" s="457">
        <v>0</v>
      </c>
      <c r="AX107" s="630" t="str">
        <f t="shared" si="81"/>
        <v/>
      </c>
      <c r="AY107" s="630" t="str">
        <f t="shared" si="82"/>
        <v/>
      </c>
      <c r="AZ107" s="630" t="str">
        <f t="shared" si="83"/>
        <v/>
      </c>
      <c r="BA107" s="3"/>
      <c r="BB107" s="3"/>
      <c r="BC107" s="3"/>
      <c r="BD107" s="3"/>
      <c r="BE107" s="3"/>
      <c r="BF107" s="3"/>
      <c r="BG107" s="3"/>
      <c r="BH107" s="3"/>
      <c r="BI107" s="3"/>
      <c r="BJ107" s="3"/>
      <c r="BK107" s="3"/>
      <c r="BL107" s="3"/>
      <c r="BM107" s="3">
        <v>115</v>
      </c>
      <c r="BN107" s="3"/>
      <c r="BP107" s="3"/>
      <c r="BQ107" s="83" t="s">
        <v>11912</v>
      </c>
      <c r="BR107" s="3"/>
      <c r="BS107" s="3"/>
      <c r="BT107" s="3"/>
      <c r="BU107" s="3"/>
      <c r="BV107" s="3"/>
      <c r="BW107" s="3"/>
      <c r="BX107" s="3" t="str">
        <f>IF(SelectRace="Nain","Karaz-a-Karak (Montagnes du Bord du Monde)","")</f>
        <v/>
      </c>
      <c r="BY107" t="str">
        <f t="shared" si="78"/>
        <v/>
      </c>
      <c r="BZ107" s="83" t="str">
        <f t="shared" si="70"/>
        <v/>
      </c>
      <c r="CA107" s="83" t="str">
        <f t="shared" si="71"/>
        <v/>
      </c>
      <c r="CB107" s="530" t="str">
        <f t="shared" si="72"/>
        <v/>
      </c>
      <c r="CC107" s="3" t="s">
        <v>3281</v>
      </c>
      <c r="CD107" t="s">
        <v>3309</v>
      </c>
      <c r="CG107" s="3" t="s">
        <v>6202</v>
      </c>
      <c r="CH107" s="3" t="s">
        <v>5989</v>
      </c>
      <c r="CI107" s="3"/>
      <c r="CJ107" s="3"/>
      <c r="CK107" s="3" t="s">
        <v>6939</v>
      </c>
      <c r="CL107" s="3" t="s">
        <v>6443</v>
      </c>
      <c r="CM107" s="83" t="s">
        <v>10315</v>
      </c>
      <c r="CN107" s="3"/>
      <c r="CO107" s="3" t="s">
        <v>10951</v>
      </c>
      <c r="CP107" s="3"/>
      <c r="CQ107" s="3"/>
      <c r="CR107" s="3" t="s">
        <v>13478</v>
      </c>
      <c r="CU107" s="3"/>
      <c r="CV107" s="3"/>
      <c r="CW107" s="3"/>
      <c r="CX107" s="3"/>
      <c r="CY107" s="3" t="s">
        <v>428</v>
      </c>
      <c r="CZ107" s="3"/>
      <c r="DA107" s="3"/>
      <c r="DB107" s="3"/>
      <c r="DC107" s="3"/>
      <c r="DD107" s="83" t="s">
        <v>16847</v>
      </c>
      <c r="DE107" s="83" t="s">
        <v>133</v>
      </c>
      <c r="DF107" s="3">
        <f>ROW()</f>
        <v>107</v>
      </c>
      <c r="DG107" s="83" t="s">
        <v>2680</v>
      </c>
      <c r="DH107" s="83">
        <f t="shared" si="87"/>
        <v>750</v>
      </c>
      <c r="DI107" s="83">
        <f t="shared" si="88"/>
        <v>565</v>
      </c>
      <c r="DJ107" s="83">
        <f t="shared" si="89"/>
        <v>380</v>
      </c>
      <c r="DK107" s="83">
        <f t="shared" si="90"/>
        <v>195</v>
      </c>
      <c r="DL107" s="3"/>
      <c r="DM107" s="3"/>
      <c r="DN107" s="3"/>
      <c r="DO107" s="3"/>
      <c r="DP107" s="3"/>
      <c r="DQ107" s="3"/>
      <c r="DR107" s="3"/>
      <c r="DS107" s="3"/>
      <c r="DT107" s="3"/>
      <c r="DU107" s="3"/>
      <c r="DV107" s="3"/>
      <c r="DW107" s="3"/>
      <c r="DX107" s="3"/>
      <c r="DY107" s="3"/>
      <c r="DZ107" s="3" t="s">
        <v>3010</v>
      </c>
      <c r="EA107" s="83" t="s">
        <v>4540</v>
      </c>
      <c r="EB107" s="3"/>
      <c r="ED107" s="83" t="s">
        <v>11624</v>
      </c>
      <c r="EE107" s="83" t="s">
        <v>131</v>
      </c>
      <c r="EF107" s="540" t="s">
        <v>11644</v>
      </c>
      <c r="EK107" s="874"/>
      <c r="EM107" s="90" t="s">
        <v>5160</v>
      </c>
      <c r="EN107" s="83" t="s">
        <v>5015</v>
      </c>
      <c r="EO107" s="83" t="s">
        <v>5246</v>
      </c>
      <c r="EP107" t="s">
        <v>5159</v>
      </c>
      <c r="EU107" s="177" t="str">
        <f>IF(AND(Dieu="Rigg",'page 1'!M12="Féminin"),"Fanatique Koka-Kalim","")</f>
        <v/>
      </c>
      <c r="EV107" s="83" t="str">
        <f t="shared" si="69"/>
        <v/>
      </c>
      <c r="EW107" s="83" t="str">
        <f t="shared" si="73"/>
        <v/>
      </c>
      <c r="EX107" s="530" t="str">
        <f t="shared" si="74"/>
        <v/>
      </c>
      <c r="EY107" s="83" t="s">
        <v>420</v>
      </c>
      <c r="EZ107" s="530" t="s">
        <v>12247</v>
      </c>
      <c r="FB107" s="83" t="s">
        <v>13027</v>
      </c>
      <c r="FC107" s="133" t="s">
        <v>13214</v>
      </c>
      <c r="FD107" t="s">
        <v>2211</v>
      </c>
      <c r="FE107" s="849">
        <v>190</v>
      </c>
      <c r="FF107">
        <v>15</v>
      </c>
      <c r="FG107">
        <v>0</v>
      </c>
      <c r="FH107">
        <v>10</v>
      </c>
      <c r="FI107">
        <v>10</v>
      </c>
      <c r="FJ107" s="10">
        <v>20</v>
      </c>
      <c r="FK107">
        <v>10</v>
      </c>
      <c r="FL107">
        <v>10</v>
      </c>
      <c r="FM107" s="165">
        <v>0</v>
      </c>
      <c r="FN107" s="88">
        <v>1</v>
      </c>
      <c r="FO107" s="88">
        <v>1</v>
      </c>
      <c r="FP107" s="164">
        <f t="shared" si="91"/>
        <v>1</v>
      </c>
      <c r="FQ107" s="164">
        <f t="shared" si="92"/>
        <v>1</v>
      </c>
      <c r="FR107" s="682">
        <v>2</v>
      </c>
      <c r="FS107" s="88">
        <v>0</v>
      </c>
      <c r="FT107" s="88">
        <v>0</v>
      </c>
      <c r="FU107" s="165">
        <v>0</v>
      </c>
      <c r="FV107" s="83" t="s">
        <v>13213</v>
      </c>
      <c r="FW107" s="83" t="s">
        <v>16207</v>
      </c>
      <c r="FX107" s="751" t="s">
        <v>7664</v>
      </c>
      <c r="GA107" t="s">
        <v>7483</v>
      </c>
      <c r="GE107" s="356"/>
      <c r="GF107" t="s">
        <v>7707</v>
      </c>
      <c r="GG107" s="356" t="s">
        <v>16291</v>
      </c>
      <c r="GH107" s="83" t="s">
        <v>16289</v>
      </c>
      <c r="GI107" s="83" t="s">
        <v>8916</v>
      </c>
      <c r="GJ107" s="83"/>
      <c r="GK107" s="530"/>
    </row>
    <row r="108" spans="8:193" ht="13.2" customHeight="1">
      <c r="H108" s="3" t="s">
        <v>2663</v>
      </c>
      <c r="I108" s="3" t="s">
        <v>2666</v>
      </c>
      <c r="J108" s="3"/>
      <c r="K108" s="3"/>
      <c r="L108" s="3"/>
      <c r="M108" s="651"/>
      <c r="N108" s="3"/>
      <c r="O108" s="3"/>
      <c r="P108" s="3"/>
      <c r="Q108" s="3"/>
      <c r="R108" s="651"/>
      <c r="S108" s="83" t="str">
        <f>IF(CareerType=Y108,"Conducteur de pousse-pousse",IF(AllCareers="X","Conducteur de pousse-pousse",IF(OR(SelectRace="homme-bête",SelectRace="peau-verte",SelectRace="créature du chaos",SelectRace="Homme-lézard",SelectRace="skaven",SelectRace="Vampire"),"",IF(Pays="Ind","Conducteur de pousse-pousse",IF(Pays="Tilée","Conducteur de pousse-pousse",IF(Pays="Cathay","Conducteur de pousse-pousse",IF(Pays="Nippon","Conducteur de pousse-pousse",IF(SelectRace="Elfe","",""))))))))</f>
        <v/>
      </c>
      <c r="T108" s="106">
        <f t="shared" si="93"/>
        <v>0</v>
      </c>
      <c r="U108" s="693" t="str">
        <f t="shared" si="75"/>
        <v/>
      </c>
      <c r="V108" s="693" t="str">
        <f t="shared" si="76"/>
        <v/>
      </c>
      <c r="W108" s="693" t="str">
        <f t="shared" si="77"/>
        <v/>
      </c>
      <c r="X108" s="89" t="s">
        <v>2160</v>
      </c>
      <c r="Y108" s="743" t="s">
        <v>7132</v>
      </c>
      <c r="Z108" s="56" t="s">
        <v>5513</v>
      </c>
      <c r="AA108" s="89">
        <v>58</v>
      </c>
      <c r="AB108" s="89" t="s">
        <v>5521</v>
      </c>
      <c r="AD108" s="16" t="s">
        <v>114</v>
      </c>
      <c r="AE108" s="16" t="s">
        <v>114</v>
      </c>
      <c r="AF108" s="16" t="s">
        <v>149</v>
      </c>
      <c r="AG108" s="16" t="s">
        <v>149</v>
      </c>
      <c r="AH108" s="16" t="s">
        <v>98</v>
      </c>
      <c r="AI108" s="16" t="s">
        <v>114</v>
      </c>
      <c r="AJ108" s="16" t="s">
        <v>149</v>
      </c>
      <c r="AK108" s="19" t="s">
        <v>98</v>
      </c>
      <c r="AL108" s="15" t="s">
        <v>149</v>
      </c>
      <c r="AM108" s="15" t="s">
        <v>113</v>
      </c>
      <c r="AN108" s="15" t="s">
        <v>149</v>
      </c>
      <c r="AO108" s="15" t="s">
        <v>149</v>
      </c>
      <c r="AP108" s="87" t="s">
        <v>16849</v>
      </c>
      <c r="AQ108" s="87" t="s">
        <v>734</v>
      </c>
      <c r="AR108" s="87" t="s">
        <v>16850</v>
      </c>
      <c r="AS108" s="22" t="s">
        <v>3787</v>
      </c>
      <c r="AT108" s="87" t="s">
        <v>16851</v>
      </c>
      <c r="AU108" s="87" t="s">
        <v>16852</v>
      </c>
      <c r="AV108" s="23" t="s">
        <v>5522</v>
      </c>
      <c r="AW108" s="458">
        <v>0</v>
      </c>
      <c r="AX108" s="630" t="str">
        <f t="shared" si="81"/>
        <v/>
      </c>
      <c r="AY108" s="630" t="str">
        <f t="shared" si="82"/>
        <v/>
      </c>
      <c r="AZ108" s="630" t="str">
        <f t="shared" si="83"/>
        <v/>
      </c>
      <c r="BA108" s="3"/>
      <c r="BB108" s="3"/>
      <c r="BC108" s="3"/>
      <c r="BD108" s="3"/>
      <c r="BE108" s="3"/>
      <c r="BF108" s="3"/>
      <c r="BG108" s="3"/>
      <c r="BH108" s="3"/>
      <c r="BI108" s="3"/>
      <c r="BJ108" s="3"/>
      <c r="BK108" s="3"/>
      <c r="BL108" s="3"/>
      <c r="BM108" s="3">
        <v>116</v>
      </c>
      <c r="BN108" s="3"/>
      <c r="BP108" s="3"/>
      <c r="BQ108" s="3" t="s">
        <v>11913</v>
      </c>
      <c r="BR108" s="83"/>
      <c r="BS108" s="83"/>
      <c r="BT108" s="3"/>
      <c r="BU108" s="3"/>
      <c r="BV108" s="3"/>
      <c r="BW108" s="3"/>
      <c r="BX108" s="3" t="str">
        <f>IF(SelectRace="Nain","Zbutbar (Montagnes du Bord du Monde)","")</f>
        <v/>
      </c>
      <c r="BY108" t="str">
        <f t="shared" si="78"/>
        <v/>
      </c>
      <c r="BZ108" s="83" t="str">
        <f t="shared" si="70"/>
        <v/>
      </c>
      <c r="CA108" s="83" t="str">
        <f t="shared" si="71"/>
        <v/>
      </c>
      <c r="CB108" s="530" t="str">
        <f t="shared" si="72"/>
        <v/>
      </c>
      <c r="CC108" s="3" t="s">
        <v>3282</v>
      </c>
      <c r="CD108" t="s">
        <v>10683</v>
      </c>
      <c r="CG108" s="3" t="s">
        <v>6205</v>
      </c>
      <c r="CH108" s="3" t="s">
        <v>5990</v>
      </c>
      <c r="CI108" s="3"/>
      <c r="CJ108" s="3"/>
      <c r="CK108" s="3" t="s">
        <v>6828</v>
      </c>
      <c r="CL108" s="3" t="s">
        <v>6479</v>
      </c>
      <c r="CM108" s="3" t="s">
        <v>6632</v>
      </c>
      <c r="CN108" s="3"/>
      <c r="CO108" s="3" t="str">
        <f>CONCATENATE("Dwalin",IF(AND('page 1'!M11="Féminin",Pays="Norsca"),"dottir",IF(AND('page 1'!M11="Masculin",Pays="Norsca"),"son",IF(AND('page 1'!M11="Féminin",Pays="Kislev"),"ovna",IF(AND('page 1'!M11="Masculin",Pays="Kislev"),"sky","")))))</f>
        <v>Dwalin</v>
      </c>
      <c r="CP108" s="3"/>
      <c r="CQ108" s="3"/>
      <c r="CR108" s="3" t="s">
        <v>13479</v>
      </c>
      <c r="CU108" s="3"/>
      <c r="CV108" s="3"/>
      <c r="CW108" s="3"/>
      <c r="CX108" s="3"/>
      <c r="CY108" s="39" t="s">
        <v>255</v>
      </c>
      <c r="CZ108" s="3"/>
      <c r="DA108" s="3"/>
      <c r="DB108" s="3"/>
      <c r="DC108" s="3"/>
      <c r="DD108" s="3" t="s">
        <v>2712</v>
      </c>
      <c r="DE108" s="3" t="s">
        <v>131</v>
      </c>
      <c r="DF108" s="3">
        <f>ROW()</f>
        <v>108</v>
      </c>
      <c r="DG108" s="3" t="s">
        <v>2174</v>
      </c>
      <c r="DH108" s="3">
        <f t="shared" si="87"/>
        <v>135</v>
      </c>
      <c r="DI108" s="3">
        <f t="shared" si="88"/>
        <v>115</v>
      </c>
      <c r="DJ108" s="3">
        <f t="shared" si="89"/>
        <v>95</v>
      </c>
      <c r="DK108" s="3">
        <f t="shared" si="90"/>
        <v>75</v>
      </c>
      <c r="DL108" s="3"/>
      <c r="DM108" s="3"/>
      <c r="DN108" s="3"/>
      <c r="DO108" s="3"/>
      <c r="DP108" s="3"/>
      <c r="DQ108" s="3"/>
      <c r="DR108" s="3"/>
      <c r="DS108" s="3"/>
      <c r="DT108" s="3"/>
      <c r="DU108" s="3"/>
      <c r="DV108" s="3"/>
      <c r="DW108" s="3"/>
      <c r="DX108" s="3"/>
      <c r="DY108" s="3"/>
      <c r="DZ108" s="3" t="s">
        <v>3011</v>
      </c>
      <c r="EA108" s="83" t="s">
        <v>4540</v>
      </c>
      <c r="EB108" s="3"/>
      <c r="ED108" s="83" t="s">
        <v>11616</v>
      </c>
      <c r="EE108" s="83" t="s">
        <v>131</v>
      </c>
      <c r="EF108" s="540" t="s">
        <v>11636</v>
      </c>
      <c r="EK108" s="874"/>
      <c r="EM108" s="90" t="s">
        <v>5161</v>
      </c>
      <c r="EN108" s="83" t="s">
        <v>5015</v>
      </c>
      <c r="EO108" s="83" t="s">
        <v>5245</v>
      </c>
      <c r="EP108" t="s">
        <v>5159</v>
      </c>
      <c r="EU108" s="177" t="str">
        <f>IF(OR(Dieu="Shallya",Dieu="Salyak",Dieu="Isha"),"Initiée","")</f>
        <v/>
      </c>
      <c r="EV108" s="83" t="str">
        <f t="shared" si="69"/>
        <v/>
      </c>
      <c r="EW108" s="83" t="str">
        <f t="shared" si="73"/>
        <v/>
      </c>
      <c r="EX108" s="530" t="str">
        <f t="shared" si="74"/>
        <v/>
      </c>
      <c r="EZ108" s="530" t="s">
        <v>16272</v>
      </c>
      <c r="FB108" s="83" t="s">
        <v>15339</v>
      </c>
      <c r="FC108" s="133" t="s">
        <v>13214</v>
      </c>
      <c r="FD108" s="83" t="s">
        <v>15340</v>
      </c>
      <c r="FE108" s="849">
        <v>265</v>
      </c>
      <c r="FF108">
        <v>20</v>
      </c>
      <c r="FG108">
        <v>0</v>
      </c>
      <c r="FH108">
        <v>31</v>
      </c>
      <c r="FI108">
        <v>28</v>
      </c>
      <c r="FJ108" s="10">
        <v>33</v>
      </c>
      <c r="FK108">
        <v>12</v>
      </c>
      <c r="FL108">
        <v>21</v>
      </c>
      <c r="FM108" s="165">
        <v>4</v>
      </c>
      <c r="FN108" s="88">
        <v>4</v>
      </c>
      <c r="FO108" s="88">
        <v>8</v>
      </c>
      <c r="FP108" s="691">
        <f t="shared" si="91"/>
        <v>3</v>
      </c>
      <c r="FQ108" s="691">
        <f t="shared" si="92"/>
        <v>2</v>
      </c>
      <c r="FR108" s="10">
        <v>4</v>
      </c>
      <c r="FS108" s="88">
        <v>0</v>
      </c>
      <c r="FT108" s="88">
        <v>0</v>
      </c>
      <c r="FU108" s="165">
        <v>0</v>
      </c>
      <c r="FV108" s="83" t="s">
        <v>15341</v>
      </c>
      <c r="FW108" s="83" t="s">
        <v>16848</v>
      </c>
      <c r="FX108" s="753" t="s">
        <v>7664</v>
      </c>
      <c r="GA108" t="s">
        <v>7484</v>
      </c>
      <c r="GE108" s="356"/>
      <c r="GF108" t="s">
        <v>8126</v>
      </c>
      <c r="GG108" s="356" t="s">
        <v>16292</v>
      </c>
      <c r="GH108" s="83" t="s">
        <v>16289</v>
      </c>
      <c r="GI108" s="83" t="s">
        <v>8916</v>
      </c>
      <c r="GJ108" s="83"/>
      <c r="GK108" s="530"/>
    </row>
    <row r="109" spans="8:193" ht="13.2" customHeight="1">
      <c r="H109" s="83" t="s">
        <v>16117</v>
      </c>
      <c r="I109" s="83" t="s">
        <v>16118</v>
      </c>
      <c r="J109" s="3"/>
      <c r="K109" s="3"/>
      <c r="L109" s="3"/>
      <c r="M109" s="651"/>
      <c r="N109" s="3"/>
      <c r="O109" s="3"/>
      <c r="P109" s="3"/>
      <c r="Q109" s="3"/>
      <c r="R109" s="651"/>
      <c r="S109" s="83" t="str">
        <f>IF(CareerType=Y109,"Contrebandier",IF(AllCareers="X","Contrebandier",IF(OR(Pays="Désolations du Chaos",Pays="Norsca"),"",IF(OR(SelectRace="Humain",SelectRace="Nain",SelectRace="Halfling",SelectRace="Vampire",SelectRace="skaven",SelectRace="Homme-lézard"),"Contrebandier",""))))</f>
        <v/>
      </c>
      <c r="T109" s="106">
        <f t="shared" si="93"/>
        <v>0</v>
      </c>
      <c r="U109" s="693" t="str">
        <f t="shared" si="75"/>
        <v/>
      </c>
      <c r="V109" s="693" t="str">
        <f t="shared" si="76"/>
        <v/>
      </c>
      <c r="W109" s="693" t="str">
        <f t="shared" si="77"/>
        <v/>
      </c>
      <c r="X109" s="47" t="s">
        <v>2160</v>
      </c>
      <c r="Y109" s="743" t="s">
        <v>7133</v>
      </c>
      <c r="Z109" s="55" t="s">
        <v>2200</v>
      </c>
      <c r="AA109" s="47">
        <v>39</v>
      </c>
      <c r="AB109" s="47" t="s">
        <v>2277</v>
      </c>
      <c r="AC109" s="47">
        <v>195</v>
      </c>
      <c r="AD109" s="20" t="s">
        <v>114</v>
      </c>
      <c r="AE109" s="20" t="s">
        <v>114</v>
      </c>
      <c r="AF109" s="15" t="s">
        <v>149</v>
      </c>
      <c r="AG109" s="15" t="s">
        <v>149</v>
      </c>
      <c r="AH109" s="15" t="s">
        <v>98</v>
      </c>
      <c r="AI109" s="15" t="s">
        <v>98</v>
      </c>
      <c r="AJ109" s="15" t="s">
        <v>149</v>
      </c>
      <c r="AK109" s="18" t="s">
        <v>98</v>
      </c>
      <c r="AL109" s="15" t="s">
        <v>149</v>
      </c>
      <c r="AM109" s="15" t="s">
        <v>113</v>
      </c>
      <c r="AN109" s="15" t="s">
        <v>149</v>
      </c>
      <c r="AO109" s="15" t="s">
        <v>149</v>
      </c>
      <c r="AP109" s="87" t="s">
        <v>16853</v>
      </c>
      <c r="AQ109" s="87" t="s">
        <v>16854</v>
      </c>
      <c r="AR109" s="87" t="s">
        <v>15741</v>
      </c>
      <c r="AS109" s="87" t="s">
        <v>14814</v>
      </c>
      <c r="AT109" s="22" t="s">
        <v>3439</v>
      </c>
      <c r="AU109" s="87" t="s">
        <v>16855</v>
      </c>
      <c r="AV109" s="87" t="s">
        <v>4567</v>
      </c>
      <c r="AW109" s="457">
        <v>0</v>
      </c>
      <c r="AX109" s="630" t="str">
        <f t="shared" si="81"/>
        <v/>
      </c>
      <c r="AY109" s="630" t="str">
        <f t="shared" si="82"/>
        <v/>
      </c>
      <c r="AZ109" s="630" t="str">
        <f t="shared" si="83"/>
        <v/>
      </c>
      <c r="BA109" s="3"/>
      <c r="BB109" s="3"/>
      <c r="BC109" s="3"/>
      <c r="BD109" s="3"/>
      <c r="BE109" s="3"/>
      <c r="BF109" s="3"/>
      <c r="BG109" s="3"/>
      <c r="BH109" s="3"/>
      <c r="BI109" s="3"/>
      <c r="BJ109" s="3"/>
      <c r="BK109" s="3"/>
      <c r="BL109" s="3"/>
      <c r="BM109" s="3">
        <v>117</v>
      </c>
      <c r="BN109" s="3"/>
      <c r="BP109" s="3"/>
      <c r="BQ109" s="3" t="s">
        <v>11914</v>
      </c>
      <c r="BR109" s="3"/>
      <c r="BS109" s="3"/>
      <c r="BT109" s="3"/>
      <c r="BU109" s="3"/>
      <c r="BV109" s="3"/>
      <c r="BW109" s="3"/>
      <c r="BX109" t="str">
        <f>IF(SelectRace="Elfe","Antique royaume d’Assur Lacoï","")</f>
        <v/>
      </c>
      <c r="BY109" t="str">
        <f t="shared" si="78"/>
        <v/>
      </c>
      <c r="BZ109" s="83" t="str">
        <f t="shared" si="70"/>
        <v/>
      </c>
      <c r="CA109" s="83" t="str">
        <f t="shared" si="71"/>
        <v/>
      </c>
      <c r="CB109" s="530" t="str">
        <f t="shared" si="72"/>
        <v/>
      </c>
      <c r="CC109" s="3" t="s">
        <v>1043</v>
      </c>
      <c r="CD109" s="3" t="s">
        <v>1068</v>
      </c>
      <c r="CG109" s="3" t="s">
        <v>6206</v>
      </c>
      <c r="CH109" s="3" t="s">
        <v>5991</v>
      </c>
      <c r="CI109" s="3"/>
      <c r="CJ109" s="3"/>
      <c r="CK109" s="3" t="s">
        <v>6996</v>
      </c>
      <c r="CL109" s="3" t="s">
        <v>6464</v>
      </c>
      <c r="CM109" t="s">
        <v>10316</v>
      </c>
      <c r="CN109" s="3"/>
      <c r="CO109" s="3" t="str">
        <f>CONCATENATE("Elalin",IF(AND('page 1'!M11="Féminin",Pays="Norsca"),"dottir",IF(AND('page 1'!M11="Masculin",Pays="Norsca"),"son",IF(AND('page 1'!M11="Féminin",Pays="Kislev"),"ovna",IF(AND('page 1'!M11="Masculin",Pays="Kislev"),"sky","")))))</f>
        <v>Elalin</v>
      </c>
      <c r="CR109" t="s">
        <v>14205</v>
      </c>
      <c r="CU109" s="3"/>
      <c r="CV109" s="3"/>
      <c r="CW109" s="3"/>
      <c r="CX109" s="3"/>
      <c r="CY109" s="3" t="s">
        <v>831</v>
      </c>
      <c r="CZ109" s="3"/>
      <c r="DA109" s="3"/>
      <c r="DB109" s="3"/>
      <c r="DC109" s="3"/>
      <c r="DD109" s="83" t="s">
        <v>11227</v>
      </c>
      <c r="DE109" s="3" t="s">
        <v>135</v>
      </c>
      <c r="DF109" s="3">
        <f>ROW()</f>
        <v>109</v>
      </c>
      <c r="DG109" s="83" t="s">
        <v>2678</v>
      </c>
      <c r="DH109" s="3">
        <f t="shared" si="87"/>
        <v>195</v>
      </c>
      <c r="DI109" s="3">
        <f t="shared" si="88"/>
        <v>160</v>
      </c>
      <c r="DJ109" s="3">
        <f t="shared" si="89"/>
        <v>130</v>
      </c>
      <c r="DK109" s="3">
        <f t="shared" si="90"/>
        <v>105</v>
      </c>
      <c r="DL109" s="3"/>
      <c r="DM109" s="3"/>
      <c r="DN109" s="3"/>
      <c r="DO109" s="3"/>
      <c r="DP109" s="3"/>
      <c r="DQ109" s="3"/>
      <c r="DR109" s="3"/>
      <c r="DS109" s="3"/>
      <c r="DT109" s="3"/>
      <c r="DU109" s="3"/>
      <c r="DV109" s="3"/>
      <c r="DW109" s="3"/>
      <c r="DX109" s="3"/>
      <c r="DY109" s="3"/>
      <c r="DZ109" s="3" t="s">
        <v>3012</v>
      </c>
      <c r="EA109" s="83" t="s">
        <v>4540</v>
      </c>
      <c r="EB109" s="3"/>
      <c r="ED109" s="83" t="s">
        <v>16856</v>
      </c>
      <c r="EE109" s="83" t="s">
        <v>131</v>
      </c>
      <c r="EF109" s="558" t="s">
        <v>16857</v>
      </c>
      <c r="EK109" s="874"/>
      <c r="EM109" s="90" t="s">
        <v>5162</v>
      </c>
      <c r="EN109" s="83" t="s">
        <v>5015</v>
      </c>
      <c r="EO109" s="83" t="s">
        <v>8766</v>
      </c>
      <c r="EP109" t="s">
        <v>5159</v>
      </c>
      <c r="EU109" s="177" t="str">
        <f>IF(OR(Dieu="Shallya",Dieu="Salyak",Dieu="Isha"),"Prêtresse/Ordre du cœur Miséricordieux","")</f>
        <v/>
      </c>
      <c r="EV109" s="83" t="str">
        <f t="shared" si="69"/>
        <v/>
      </c>
      <c r="EW109" s="83" t="str">
        <f t="shared" si="73"/>
        <v/>
      </c>
      <c r="EX109" s="530" t="str">
        <f t="shared" si="74"/>
        <v/>
      </c>
      <c r="EY109" s="83" t="s">
        <v>797</v>
      </c>
      <c r="EZ109" s="530" t="s">
        <v>5884</v>
      </c>
      <c r="FB109" s="83" t="s">
        <v>15338</v>
      </c>
      <c r="FC109" s="133" t="s">
        <v>13214</v>
      </c>
      <c r="FD109" s="83" t="s">
        <v>9703</v>
      </c>
      <c r="FE109" s="849">
        <v>325</v>
      </c>
      <c r="FF109">
        <v>25</v>
      </c>
      <c r="FG109">
        <v>0</v>
      </c>
      <c r="FH109">
        <v>18</v>
      </c>
      <c r="FI109">
        <v>18</v>
      </c>
      <c r="FJ109" s="10">
        <v>31</v>
      </c>
      <c r="FK109">
        <v>5</v>
      </c>
      <c r="FL109">
        <v>10</v>
      </c>
      <c r="FM109" s="165">
        <v>0</v>
      </c>
      <c r="FN109" s="88">
        <v>1</v>
      </c>
      <c r="FO109" s="88">
        <v>6</v>
      </c>
      <c r="FP109" s="164">
        <f t="shared" si="91"/>
        <v>1</v>
      </c>
      <c r="FQ109" s="164">
        <f t="shared" si="92"/>
        <v>1</v>
      </c>
      <c r="FR109" s="682">
        <v>4</v>
      </c>
      <c r="FS109" s="88">
        <v>0</v>
      </c>
      <c r="FT109" s="88">
        <v>0</v>
      </c>
      <c r="FU109" s="165">
        <v>0</v>
      </c>
      <c r="FV109" s="83" t="s">
        <v>13211</v>
      </c>
      <c r="FW109" s="83" t="s">
        <v>16212</v>
      </c>
      <c r="FX109" s="751" t="s">
        <v>7664</v>
      </c>
      <c r="GA109" t="s">
        <v>7485</v>
      </c>
      <c r="GE109" s="356"/>
      <c r="GF109" t="s">
        <v>8199</v>
      </c>
      <c r="GG109" s="356" t="s">
        <v>8908</v>
      </c>
      <c r="GH109" s="83" t="s">
        <v>16289</v>
      </c>
      <c r="GI109" s="83" t="s">
        <v>8916</v>
      </c>
      <c r="GJ109" s="83"/>
      <c r="GK109" s="530"/>
    </row>
    <row r="110" spans="8:193" ht="13.2" customHeight="1">
      <c r="H110" s="3" t="s">
        <v>800</v>
      </c>
      <c r="I110" s="3" t="s">
        <v>520</v>
      </c>
      <c r="J110" s="3"/>
      <c r="K110" s="3"/>
      <c r="L110" s="3"/>
      <c r="M110" s="651"/>
      <c r="N110" s="3"/>
      <c r="O110" s="3"/>
      <c r="P110" s="3"/>
      <c r="Q110" s="3"/>
      <c r="R110" s="651"/>
      <c r="S110" s="83" t="str">
        <f>IF(CareerType=Y110,"Contremaître",IF(AllCareers="X","Contremaître",IF(Selectsousrace="","",IF(OR(SelectRace="homme-bête",SelectRace="peau-verte",SelectRace="créature du chaos",SelectRace="Homme-lézard",SelectRace="skaven"),"",IF(SelectRace="Vampire","",IF(FirstCareer="1ère carrière","","Contremaître"))))))</f>
        <v/>
      </c>
      <c r="T110" s="106">
        <f t="shared" si="93"/>
        <v>1</v>
      </c>
      <c r="U110" s="693" t="str">
        <f t="shared" si="75"/>
        <v/>
      </c>
      <c r="V110" s="693" t="str">
        <f t="shared" si="76"/>
        <v/>
      </c>
      <c r="W110" s="693" t="str">
        <f t="shared" si="77"/>
        <v/>
      </c>
      <c r="X110" s="48" t="s">
        <v>2153</v>
      </c>
      <c r="Y110" s="744" t="s">
        <v>7132</v>
      </c>
      <c r="Z110" s="56" t="s">
        <v>2217</v>
      </c>
      <c r="AA110" s="48">
        <v>23</v>
      </c>
      <c r="AB110" s="48" t="s">
        <v>2278</v>
      </c>
      <c r="AC110" s="48">
        <v>81</v>
      </c>
      <c r="AD110" s="15" t="s">
        <v>98</v>
      </c>
      <c r="AE110" s="15" t="s">
        <v>114</v>
      </c>
      <c r="AF110" s="15" t="s">
        <v>98</v>
      </c>
      <c r="AG110" s="15" t="s">
        <v>98</v>
      </c>
      <c r="AH110" s="15" t="s">
        <v>114</v>
      </c>
      <c r="AI110" s="15" t="s">
        <v>114</v>
      </c>
      <c r="AJ110" s="15" t="s">
        <v>101</v>
      </c>
      <c r="AK110" s="18" t="s">
        <v>101</v>
      </c>
      <c r="AL110" s="15" t="s">
        <v>149</v>
      </c>
      <c r="AM110" s="15" t="s">
        <v>103</v>
      </c>
      <c r="AN110" s="15" t="s">
        <v>149</v>
      </c>
      <c r="AO110" s="15" t="s">
        <v>149</v>
      </c>
      <c r="AP110" s="87" t="s">
        <v>15771</v>
      </c>
      <c r="AQ110" s="87" t="s">
        <v>734</v>
      </c>
      <c r="AR110" s="87" t="s">
        <v>16858</v>
      </c>
      <c r="AS110" s="87" t="s">
        <v>734</v>
      </c>
      <c r="AT110" s="87" t="s">
        <v>16859</v>
      </c>
      <c r="AU110" s="87" t="s">
        <v>5390</v>
      </c>
      <c r="AV110" s="87" t="s">
        <v>4753</v>
      </c>
      <c r="AW110" s="457">
        <v>0</v>
      </c>
      <c r="AX110" s="630" t="str">
        <f t="shared" si="81"/>
        <v/>
      </c>
      <c r="AY110" s="630" t="str">
        <f t="shared" si="82"/>
        <v/>
      </c>
      <c r="AZ110" s="630" t="str">
        <f t="shared" si="83"/>
        <v/>
      </c>
      <c r="BA110" s="3"/>
      <c r="BB110" s="3"/>
      <c r="BC110" s="3"/>
      <c r="BD110" s="3"/>
      <c r="BE110" s="3"/>
      <c r="BF110" s="3"/>
      <c r="BG110" s="3"/>
      <c r="BH110" s="3"/>
      <c r="BI110" s="3"/>
      <c r="BJ110" s="3"/>
      <c r="BK110" s="3"/>
      <c r="BL110" s="3"/>
      <c r="BM110" s="3">
        <v>118</v>
      </c>
      <c r="BN110" s="3"/>
      <c r="BP110" s="3"/>
      <c r="BQ110" s="3" t="s">
        <v>11915</v>
      </c>
      <c r="BR110" s="3"/>
      <c r="BS110" s="3"/>
      <c r="BT110" s="3"/>
      <c r="BU110" s="3"/>
      <c r="BV110" s="3"/>
      <c r="BW110" s="3"/>
      <c r="BX110" s="3" t="str">
        <f>IF(Province="Aiir","Medina de Sadiz","")</f>
        <v/>
      </c>
      <c r="BY110" t="str">
        <f t="shared" si="78"/>
        <v/>
      </c>
      <c r="BZ110" s="83" t="str">
        <f t="shared" si="70"/>
        <v/>
      </c>
      <c r="CA110" s="83" t="str">
        <f t="shared" si="71"/>
        <v/>
      </c>
      <c r="CB110" s="530" t="str">
        <f t="shared" si="72"/>
        <v/>
      </c>
      <c r="CC110" s="3" t="s">
        <v>3283</v>
      </c>
      <c r="CD110" s="3" t="s">
        <v>3189</v>
      </c>
      <c r="CG110" s="3" t="s">
        <v>6207</v>
      </c>
      <c r="CH110" s="3" t="s">
        <v>5992</v>
      </c>
      <c r="CI110" s="3"/>
      <c r="CJ110" s="3"/>
      <c r="CK110" s="3" t="s">
        <v>6905</v>
      </c>
      <c r="CM110" t="s">
        <v>10318</v>
      </c>
      <c r="CN110" s="3"/>
      <c r="CO110" s="3" t="s">
        <v>10954</v>
      </c>
      <c r="CP110" s="83"/>
      <c r="CQ110" s="83"/>
      <c r="CR110" s="3" t="s">
        <v>13480</v>
      </c>
      <c r="CU110" s="3"/>
      <c r="CV110" s="3"/>
      <c r="CW110" s="3"/>
      <c r="CX110" s="3"/>
      <c r="CY110" s="3" t="s">
        <v>832</v>
      </c>
      <c r="CZ110" s="3"/>
      <c r="DA110" s="3"/>
      <c r="DB110" s="3"/>
      <c r="DC110" s="3"/>
      <c r="DD110" s="83" t="s">
        <v>11221</v>
      </c>
      <c r="DE110" s="3" t="s">
        <v>132</v>
      </c>
      <c r="DF110" s="3">
        <f>ROW()</f>
        <v>110</v>
      </c>
      <c r="DG110" s="3" t="s">
        <v>2174</v>
      </c>
      <c r="DH110" s="3">
        <f t="shared" si="87"/>
        <v>135</v>
      </c>
      <c r="DI110" s="3">
        <f t="shared" si="88"/>
        <v>115</v>
      </c>
      <c r="DJ110" s="3">
        <f t="shared" si="89"/>
        <v>95</v>
      </c>
      <c r="DK110" s="3">
        <f t="shared" si="90"/>
        <v>75</v>
      </c>
      <c r="DL110" s="3"/>
      <c r="DM110" s="3"/>
      <c r="DN110" s="3"/>
      <c r="DO110" s="3"/>
      <c r="DP110" s="3"/>
      <c r="DQ110" s="3"/>
      <c r="DR110" s="3"/>
      <c r="DS110" s="3"/>
      <c r="DT110" s="3"/>
      <c r="DU110" s="3"/>
      <c r="DV110" s="3"/>
      <c r="DW110" s="3"/>
      <c r="DX110" s="3"/>
      <c r="DY110" s="3"/>
      <c r="DZ110" s="3" t="s">
        <v>3013</v>
      </c>
      <c r="EA110" s="83" t="s">
        <v>4540</v>
      </c>
      <c r="EB110" s="3"/>
      <c r="ED110" s="83" t="s">
        <v>11615</v>
      </c>
      <c r="EE110" s="83" t="s">
        <v>131</v>
      </c>
      <c r="EF110" s="540" t="s">
        <v>15643</v>
      </c>
      <c r="EK110" s="874"/>
      <c r="EM110" s="90" t="s">
        <v>9960</v>
      </c>
      <c r="EN110" s="83" t="s">
        <v>5015</v>
      </c>
      <c r="EO110" s="83" t="s">
        <v>9963</v>
      </c>
      <c r="EP110" s="83" t="s">
        <v>11943</v>
      </c>
      <c r="EQ110" s="481"/>
      <c r="ER110" s="83"/>
      <c r="ES110" s="83"/>
      <c r="ET110" s="530"/>
      <c r="EU110" s="177" t="str">
        <f>IF(Dieu="Sigmar","Initié","")</f>
        <v/>
      </c>
      <c r="EV110" s="83" t="str">
        <f t="shared" si="69"/>
        <v/>
      </c>
      <c r="EW110" s="83" t="str">
        <f t="shared" si="73"/>
        <v/>
      </c>
      <c r="EX110" s="530" t="str">
        <f t="shared" si="74"/>
        <v/>
      </c>
      <c r="EZ110" s="530" t="s">
        <v>5885</v>
      </c>
      <c r="FB110" s="83" t="s">
        <v>14877</v>
      </c>
      <c r="FC110" s="133" t="s">
        <v>13214</v>
      </c>
      <c r="FD110" s="85" t="s">
        <v>14869</v>
      </c>
      <c r="FE110" s="849">
        <v>117</v>
      </c>
      <c r="FF110">
        <v>45</v>
      </c>
      <c r="FG110">
        <v>0</v>
      </c>
      <c r="FH110">
        <v>15</v>
      </c>
      <c r="FI110">
        <v>21</v>
      </c>
      <c r="FJ110" s="10">
        <v>35</v>
      </c>
      <c r="FK110">
        <v>6</v>
      </c>
      <c r="FL110">
        <v>16</v>
      </c>
      <c r="FM110" s="165">
        <v>0</v>
      </c>
      <c r="FN110" s="88">
        <v>1</v>
      </c>
      <c r="FO110" s="88">
        <v>6</v>
      </c>
      <c r="FP110" s="691">
        <f t="shared" si="91"/>
        <v>1</v>
      </c>
      <c r="FQ110" s="691">
        <f t="shared" si="92"/>
        <v>2</v>
      </c>
      <c r="FR110" s="10">
        <v>3</v>
      </c>
      <c r="FS110" s="88">
        <v>0</v>
      </c>
      <c r="FT110" s="88">
        <v>0</v>
      </c>
      <c r="FU110" s="165">
        <v>0</v>
      </c>
      <c r="FV110" s="83" t="s">
        <v>14878</v>
      </c>
      <c r="FW110" s="83" t="s">
        <v>16208</v>
      </c>
      <c r="FX110" s="531" t="s">
        <v>7664</v>
      </c>
      <c r="GA110" t="s">
        <v>7605</v>
      </c>
      <c r="GE110" s="356"/>
      <c r="GF110" t="s">
        <v>7708</v>
      </c>
      <c r="GG110" s="356" t="s">
        <v>8914</v>
      </c>
      <c r="GH110" s="83" t="s">
        <v>16289</v>
      </c>
      <c r="GI110" s="83" t="s">
        <v>8916</v>
      </c>
      <c r="GJ110" s="83"/>
      <c r="GK110" s="530"/>
    </row>
    <row r="111" spans="8:193" ht="13.2" customHeight="1">
      <c r="H111" s="3" t="s">
        <v>801</v>
      </c>
      <c r="I111" s="6" t="s">
        <v>521</v>
      </c>
      <c r="J111" s="3"/>
      <c r="K111" s="3"/>
      <c r="L111" s="3"/>
      <c r="M111" s="651"/>
      <c r="N111" s="3"/>
      <c r="O111" s="3"/>
      <c r="P111" s="3"/>
      <c r="Q111" s="3"/>
      <c r="R111" s="651"/>
      <c r="S111" s="83" t="str">
        <f>IF(CareerType=Y111,"Coupe-jarret",IF(AllCareers="X","Coupe-jarret",IF(Pays="Norsca","",IF(SelectRace="Humain","Coupe-jarret",IF(OR(SelectRace="skaven",SelectRace="homme-bête",SelectRace="peau-verte",SelectRace="créature du chaos",SelectRace="Homme-lézard"),"Coupe-jarret","")))))</f>
        <v/>
      </c>
      <c r="T111" s="106">
        <f t="shared" si="93"/>
        <v>0</v>
      </c>
      <c r="U111" s="693" t="str">
        <f t="shared" si="75"/>
        <v/>
      </c>
      <c r="V111" s="693" t="str">
        <f t="shared" si="76"/>
        <v/>
      </c>
      <c r="W111" s="693" t="str">
        <f t="shared" si="77"/>
        <v/>
      </c>
      <c r="X111" s="47" t="s">
        <v>2160</v>
      </c>
      <c r="Y111" s="743" t="s">
        <v>7133</v>
      </c>
      <c r="Z111" s="55" t="s">
        <v>2200</v>
      </c>
      <c r="AA111" s="47">
        <v>39</v>
      </c>
      <c r="AB111" s="47" t="s">
        <v>2279</v>
      </c>
      <c r="AC111" s="47">
        <v>210</v>
      </c>
      <c r="AD111" s="15" t="s">
        <v>98</v>
      </c>
      <c r="AE111" s="15" t="s">
        <v>149</v>
      </c>
      <c r="AF111" s="20" t="s">
        <v>114</v>
      </c>
      <c r="AG111" s="20" t="s">
        <v>114</v>
      </c>
      <c r="AH111" s="15" t="s">
        <v>149</v>
      </c>
      <c r="AI111" s="15" t="s">
        <v>149</v>
      </c>
      <c r="AJ111" s="20" t="s">
        <v>114</v>
      </c>
      <c r="AK111" s="21" t="s">
        <v>114</v>
      </c>
      <c r="AL111" s="15" t="s">
        <v>102</v>
      </c>
      <c r="AM111" s="15" t="s">
        <v>113</v>
      </c>
      <c r="AN111" s="15" t="s">
        <v>149</v>
      </c>
      <c r="AO111" s="15" t="s">
        <v>149</v>
      </c>
      <c r="AP111" s="87" t="s">
        <v>15772</v>
      </c>
      <c r="AQ111" s="87" t="s">
        <v>15841</v>
      </c>
      <c r="AR111" s="87" t="s">
        <v>16170</v>
      </c>
      <c r="AS111" s="87" t="s">
        <v>14815</v>
      </c>
      <c r="AT111" s="22" t="s">
        <v>3440</v>
      </c>
      <c r="AU111" s="87" t="s">
        <v>5331</v>
      </c>
      <c r="AV111" s="87" t="s">
        <v>4628</v>
      </c>
      <c r="AW111" s="457">
        <v>0</v>
      </c>
      <c r="AX111" s="630" t="str">
        <f t="shared" si="81"/>
        <v/>
      </c>
      <c r="AY111" s="630" t="str">
        <f t="shared" si="82"/>
        <v/>
      </c>
      <c r="AZ111" s="630" t="str">
        <f t="shared" si="83"/>
        <v/>
      </c>
      <c r="BA111" s="3"/>
      <c r="BB111" s="3"/>
      <c r="BC111" s="3"/>
      <c r="BD111" s="3"/>
      <c r="BE111" s="3"/>
      <c r="BF111" s="3"/>
      <c r="BG111" s="3"/>
      <c r="BH111" s="3"/>
      <c r="BI111" s="3"/>
      <c r="BJ111" s="3"/>
      <c r="BK111" s="3"/>
      <c r="BL111" s="3"/>
      <c r="BM111" s="3">
        <v>119</v>
      </c>
      <c r="BN111" s="3"/>
      <c r="BP111" s="3"/>
      <c r="BQ111" s="83" t="s">
        <v>11916</v>
      </c>
      <c r="BR111" s="3"/>
      <c r="BS111" s="3"/>
      <c r="BT111" s="3"/>
      <c r="BU111" s="3"/>
      <c r="BV111" s="3"/>
      <c r="BW111" s="3"/>
      <c r="BX111" s="83" t="str">
        <f>IF(Province="Alhaka","Medina d'Alhaka","")</f>
        <v/>
      </c>
      <c r="BY111" t="str">
        <f t="shared" si="78"/>
        <v/>
      </c>
      <c r="BZ111" s="83" t="str">
        <f t="shared" si="70"/>
        <v/>
      </c>
      <c r="CA111" s="83" t="str">
        <f t="shared" si="71"/>
        <v/>
      </c>
      <c r="CB111" s="530" t="str">
        <f t="shared" si="72"/>
        <v/>
      </c>
      <c r="CC111" s="3" t="s">
        <v>3155</v>
      </c>
      <c r="CD111" s="3" t="s">
        <v>3190</v>
      </c>
      <c r="CG111" s="3" t="s">
        <v>6208</v>
      </c>
      <c r="CH111" s="3" t="s">
        <v>5993</v>
      </c>
      <c r="CI111" s="3"/>
      <c r="CJ111" s="3"/>
      <c r="CK111" s="3" t="s">
        <v>6868</v>
      </c>
      <c r="CM111" t="s">
        <v>10317</v>
      </c>
      <c r="CN111" s="3"/>
      <c r="CO111" t="str">
        <f>CONCATENATE("Erik",IF(AND('page 1'!M11="Féminin",Pays="Norsca"),"dottir",IF(AND('page 1'!M11="Masculin",Pays="Norsca"),"son",IF(AND('page 1'!M11="Féminin",Pays="Kislev"),"ovna",IF(AND('page 1'!M11="Masculin",Pays="Kislev"),"sky","")))))</f>
        <v>Erik</v>
      </c>
      <c r="CP111" s="3"/>
      <c r="CQ111" s="3"/>
      <c r="CR111" s="3" t="s">
        <v>13481</v>
      </c>
      <c r="CU111" s="3"/>
      <c r="CV111" s="3"/>
      <c r="CW111" s="3"/>
      <c r="CX111" s="3"/>
      <c r="CY111" s="3" t="s">
        <v>789</v>
      </c>
      <c r="CZ111" s="3"/>
      <c r="DA111" s="3"/>
      <c r="DB111" s="3"/>
      <c r="DC111" s="3"/>
      <c r="DD111" s="83" t="s">
        <v>11242</v>
      </c>
      <c r="DE111" s="3" t="s">
        <v>132</v>
      </c>
      <c r="DF111" s="3">
        <f>ROW()</f>
        <v>111</v>
      </c>
      <c r="DG111" s="3" t="s">
        <v>2174</v>
      </c>
      <c r="DH111" s="3">
        <f t="shared" si="87"/>
        <v>135</v>
      </c>
      <c r="DI111" s="3">
        <f t="shared" si="88"/>
        <v>115</v>
      </c>
      <c r="DJ111" s="3">
        <f t="shared" si="89"/>
        <v>95</v>
      </c>
      <c r="DK111" s="3">
        <f t="shared" si="90"/>
        <v>75</v>
      </c>
      <c r="DL111" s="3"/>
      <c r="DM111" s="3"/>
      <c r="DN111" s="3"/>
      <c r="DO111" s="3"/>
      <c r="DP111" s="3"/>
      <c r="DQ111" s="3"/>
      <c r="DR111" s="3"/>
      <c r="DS111" s="3"/>
      <c r="DT111" s="3"/>
      <c r="DU111" s="3"/>
      <c r="DV111" s="3"/>
      <c r="DW111" s="3"/>
      <c r="DX111" s="3"/>
      <c r="DY111" s="3"/>
      <c r="DZ111" s="3" t="s">
        <v>3014</v>
      </c>
      <c r="EA111" s="83" t="s">
        <v>4541</v>
      </c>
      <c r="EB111" s="3"/>
      <c r="ED111" s="83" t="s">
        <v>11617</v>
      </c>
      <c r="EE111" s="83" t="s">
        <v>131</v>
      </c>
      <c r="EF111" s="540" t="s">
        <v>11637</v>
      </c>
      <c r="EK111" s="874"/>
      <c r="EM111" s="90" t="s">
        <v>5163</v>
      </c>
      <c r="EN111" s="83" t="s">
        <v>5015</v>
      </c>
      <c r="EO111" s="83" t="s">
        <v>5243</v>
      </c>
      <c r="EP111" t="s">
        <v>5159</v>
      </c>
      <c r="EU111" s="177" t="str">
        <f>IF(Dieu="Sigmar","Ordre de la flamme purificatrice","")</f>
        <v/>
      </c>
      <c r="EV111" s="83" t="str">
        <f t="shared" si="69"/>
        <v/>
      </c>
      <c r="EW111" s="83" t="str">
        <f t="shared" si="73"/>
        <v/>
      </c>
      <c r="EX111" s="530" t="str">
        <f t="shared" si="74"/>
        <v/>
      </c>
      <c r="EZ111" s="530" t="s">
        <v>5886</v>
      </c>
      <c r="FB111" s="83" t="s">
        <v>13051</v>
      </c>
      <c r="FC111" s="133" t="s">
        <v>13214</v>
      </c>
      <c r="FD111" s="85" t="s">
        <v>12985</v>
      </c>
      <c r="FE111" s="849">
        <v>32</v>
      </c>
      <c r="FF111">
        <v>25</v>
      </c>
      <c r="FG111">
        <v>0</v>
      </c>
      <c r="FH111">
        <v>10</v>
      </c>
      <c r="FI111">
        <v>5</v>
      </c>
      <c r="FJ111" s="10">
        <v>40</v>
      </c>
      <c r="FK111">
        <v>8</v>
      </c>
      <c r="FL111">
        <v>10</v>
      </c>
      <c r="FM111" s="165">
        <v>0</v>
      </c>
      <c r="FN111" s="88">
        <v>1</v>
      </c>
      <c r="FO111" s="88">
        <v>2</v>
      </c>
      <c r="FP111" s="164">
        <f t="shared" si="91"/>
        <v>1</v>
      </c>
      <c r="FQ111" s="164">
        <f t="shared" si="92"/>
        <v>0</v>
      </c>
      <c r="FR111" s="682">
        <v>2</v>
      </c>
      <c r="FS111" s="88">
        <v>0</v>
      </c>
      <c r="FT111" s="88">
        <v>0</v>
      </c>
      <c r="FU111" s="165">
        <v>0</v>
      </c>
      <c r="FV111" s="83" t="s">
        <v>13052</v>
      </c>
      <c r="FW111" s="83" t="s">
        <v>16213</v>
      </c>
      <c r="FX111" s="751" t="s">
        <v>7664</v>
      </c>
      <c r="GA111" t="s">
        <v>7534</v>
      </c>
      <c r="GE111" s="356"/>
      <c r="GF111" t="s">
        <v>7709</v>
      </c>
      <c r="GG111" s="356" t="s">
        <v>8913</v>
      </c>
      <c r="GH111" s="83" t="s">
        <v>16289</v>
      </c>
      <c r="GI111" s="83" t="s">
        <v>8916</v>
      </c>
      <c r="GJ111" s="83"/>
      <c r="GK111" s="530"/>
    </row>
    <row r="112" spans="8:193" ht="13.2" customHeight="1">
      <c r="H112" s="3" t="s">
        <v>802</v>
      </c>
      <c r="I112" s="83" t="s">
        <v>9685</v>
      </c>
      <c r="J112" s="3"/>
      <c r="K112" s="3"/>
      <c r="L112" s="3"/>
      <c r="M112" s="651"/>
      <c r="N112" s="3"/>
      <c r="O112" s="3"/>
      <c r="P112" s="3"/>
      <c r="Q112" s="3"/>
      <c r="R112" s="651"/>
      <c r="S112" s="83" t="str">
        <f>IF(CareerType=Y112,"Courreur d'égouts",IF(AllCareers="X","Courreur d'égouts",IF(FirstCareer="1ère carrière","",IF(SelectRace="skaven","Courreur d'égouts",""))))</f>
        <v/>
      </c>
      <c r="T112" s="106">
        <f t="shared" si="93"/>
        <v>1</v>
      </c>
      <c r="U112" s="693" t="str">
        <f t="shared" si="75"/>
        <v/>
      </c>
      <c r="V112" s="693" t="str">
        <f t="shared" si="76"/>
        <v/>
      </c>
      <c r="W112" s="693" t="str">
        <f t="shared" si="77"/>
        <v/>
      </c>
      <c r="X112" s="47" t="s">
        <v>2153</v>
      </c>
      <c r="Y112" s="743" t="s">
        <v>7134</v>
      </c>
      <c r="Z112" s="56" t="s">
        <v>1328</v>
      </c>
      <c r="AA112" s="47">
        <v>97</v>
      </c>
      <c r="AB112" s="89" t="s">
        <v>9289</v>
      </c>
      <c r="AC112" s="48"/>
      <c r="AD112" s="15" t="s">
        <v>101</v>
      </c>
      <c r="AE112" s="15" t="s">
        <v>101</v>
      </c>
      <c r="AF112" s="20" t="s">
        <v>114</v>
      </c>
      <c r="AG112" s="15" t="s">
        <v>98</v>
      </c>
      <c r="AH112" s="15" t="s">
        <v>100</v>
      </c>
      <c r="AI112" s="15" t="s">
        <v>114</v>
      </c>
      <c r="AJ112" s="15" t="s">
        <v>98</v>
      </c>
      <c r="AK112" s="21" t="s">
        <v>114</v>
      </c>
      <c r="AL112" s="15" t="s">
        <v>102</v>
      </c>
      <c r="AM112" s="15" t="s">
        <v>103</v>
      </c>
      <c r="AN112" s="15" t="s">
        <v>149</v>
      </c>
      <c r="AO112" s="15" t="s">
        <v>149</v>
      </c>
      <c r="AP112" s="87" t="s">
        <v>734</v>
      </c>
      <c r="AQ112" s="22" t="s">
        <v>3095</v>
      </c>
      <c r="AR112" s="22" t="s">
        <v>14816</v>
      </c>
      <c r="AS112" s="87" t="s">
        <v>14817</v>
      </c>
      <c r="AT112" s="87" t="s">
        <v>9491</v>
      </c>
      <c r="AU112" s="87" t="s">
        <v>9492</v>
      </c>
      <c r="AV112" s="87" t="s">
        <v>4797</v>
      </c>
      <c r="AW112" s="457">
        <v>0</v>
      </c>
      <c r="AX112" s="630" t="str">
        <f t="shared" si="81"/>
        <v/>
      </c>
      <c r="AY112" s="630" t="str">
        <f t="shared" si="82"/>
        <v/>
      </c>
      <c r="AZ112" s="630" t="str">
        <f t="shared" si="83"/>
        <v/>
      </c>
      <c r="BA112" s="3"/>
      <c r="BB112" s="3"/>
      <c r="BC112" s="3"/>
      <c r="BD112" s="3"/>
      <c r="BE112" s="3"/>
      <c r="BF112" s="3"/>
      <c r="BG112" s="3"/>
      <c r="BH112" s="3"/>
      <c r="BI112" s="3"/>
      <c r="BJ112" s="3"/>
      <c r="BK112" s="3"/>
      <c r="BL112" s="3"/>
      <c r="BM112" s="3">
        <v>120</v>
      </c>
      <c r="BN112" s="3"/>
      <c r="BP112" s="3"/>
      <c r="BQ112" s="3" t="s">
        <v>11917</v>
      </c>
      <c r="BR112" s="83"/>
      <c r="BS112" s="83"/>
      <c r="BT112" s="3"/>
      <c r="BU112" s="3"/>
      <c r="BV112" s="3"/>
      <c r="BW112" s="3"/>
      <c r="BX112" s="83" t="str">
        <f>IF(Province="Al-Itzarr","Medina d'Al-Itzarr","")</f>
        <v/>
      </c>
      <c r="BY112" t="str">
        <f t="shared" si="78"/>
        <v/>
      </c>
      <c r="BZ112" s="83" t="str">
        <f t="shared" si="70"/>
        <v/>
      </c>
      <c r="CA112" s="83" t="str">
        <f t="shared" si="71"/>
        <v/>
      </c>
      <c r="CB112" s="530" t="str">
        <f t="shared" si="72"/>
        <v/>
      </c>
      <c r="CC112" s="3" t="s">
        <v>3284</v>
      </c>
      <c r="CD112" s="3" t="s">
        <v>3191</v>
      </c>
      <c r="CG112" s="3" t="s">
        <v>6209</v>
      </c>
      <c r="CH112" s="3" t="s">
        <v>5995</v>
      </c>
      <c r="CI112" s="3"/>
      <c r="CJ112" s="3"/>
      <c r="CK112" s="3" t="s">
        <v>6742</v>
      </c>
      <c r="CM112" t="s">
        <v>887</v>
      </c>
      <c r="CN112" s="3"/>
      <c r="CO112" s="83" t="str">
        <f>CONCATENATE("Falin",IF(AND('page 1'!M11="Féminin",Pays="Norsca"),"dottir",IF(AND('page 1'!M11="Masculin",Pays="Norsca"),"son",IF(AND('page 1'!M11="Féminin",Pays="Kislev"),"ovna",IF(AND('page 1'!M11="Masculin",Pays="Kislev"),"sky","")))))</f>
        <v>Falin</v>
      </c>
      <c r="CP112" s="3"/>
      <c r="CQ112" s="3"/>
      <c r="CR112" s="3" t="s">
        <v>13482</v>
      </c>
      <c r="CU112" s="3"/>
      <c r="CV112" s="3"/>
      <c r="CW112" s="3"/>
      <c r="CX112" s="3"/>
      <c r="CY112" s="3" t="s">
        <v>833</v>
      </c>
      <c r="CZ112" s="3"/>
      <c r="DA112" s="3"/>
      <c r="DB112" s="3"/>
      <c r="DC112" s="3"/>
      <c r="DD112" s="83" t="s">
        <v>11230</v>
      </c>
      <c r="DE112" s="3" t="s">
        <v>132</v>
      </c>
      <c r="DF112" s="3">
        <f>ROW()</f>
        <v>112</v>
      </c>
      <c r="DG112" s="3" t="s">
        <v>780</v>
      </c>
      <c r="DH112" s="3">
        <f t="shared" si="87"/>
        <v>400</v>
      </c>
      <c r="DI112" s="3">
        <f t="shared" si="88"/>
        <v>300</v>
      </c>
      <c r="DJ112" s="3">
        <f t="shared" si="89"/>
        <v>210</v>
      </c>
      <c r="DK112" s="3">
        <f t="shared" si="90"/>
        <v>120</v>
      </c>
      <c r="DL112" s="3"/>
      <c r="DM112" s="3"/>
      <c r="DN112" s="3"/>
      <c r="DO112" s="3"/>
      <c r="DP112" s="3"/>
      <c r="DQ112" s="3"/>
      <c r="DR112" s="3"/>
      <c r="DS112" s="3"/>
      <c r="DT112" s="3"/>
      <c r="DU112" s="3"/>
      <c r="DV112" s="3"/>
      <c r="DW112" s="3"/>
      <c r="DX112" s="3"/>
      <c r="DY112" s="3"/>
      <c r="DZ112" s="3" t="s">
        <v>3015</v>
      </c>
      <c r="EA112" s="83" t="s">
        <v>4541</v>
      </c>
      <c r="EB112" s="3"/>
      <c r="ED112" s="83" t="s">
        <v>11619</v>
      </c>
      <c r="EE112" s="83" t="s">
        <v>131</v>
      </c>
      <c r="EF112" s="540" t="s">
        <v>11639</v>
      </c>
      <c r="EK112" s="874"/>
      <c r="EM112" s="90" t="s">
        <v>5164</v>
      </c>
      <c r="EN112" s="83" t="s">
        <v>5015</v>
      </c>
      <c r="EO112" s="83" t="s">
        <v>8767</v>
      </c>
      <c r="EP112" t="s">
        <v>5159</v>
      </c>
      <c r="EU112" s="177" t="str">
        <f>IF(Dieu="Sigmar","Ordre de la torche","")</f>
        <v/>
      </c>
      <c r="EV112" s="83" t="str">
        <f t="shared" si="69"/>
        <v/>
      </c>
      <c r="EW112" s="83" t="str">
        <f t="shared" si="73"/>
        <v/>
      </c>
      <c r="EX112" s="530" t="str">
        <f t="shared" si="74"/>
        <v/>
      </c>
      <c r="EY112" s="83" t="s">
        <v>418</v>
      </c>
      <c r="EZ112" s="530" t="s">
        <v>5887</v>
      </c>
      <c r="FB112" s="83" t="s">
        <v>13029</v>
      </c>
      <c r="FC112" s="133" t="s">
        <v>13214</v>
      </c>
      <c r="FD112" s="83" t="s">
        <v>13000</v>
      </c>
      <c r="FE112" s="848" t="s">
        <v>13001</v>
      </c>
      <c r="FF112">
        <v>20</v>
      </c>
      <c r="FG112">
        <v>25</v>
      </c>
      <c r="FH112">
        <v>10</v>
      </c>
      <c r="FI112">
        <v>10</v>
      </c>
      <c r="FJ112" s="10">
        <v>40</v>
      </c>
      <c r="FK112">
        <v>15</v>
      </c>
      <c r="FL112">
        <v>10</v>
      </c>
      <c r="FM112" s="165">
        <v>5</v>
      </c>
      <c r="FN112" s="88">
        <v>1</v>
      </c>
      <c r="FO112" s="88">
        <v>6</v>
      </c>
      <c r="FP112" s="164">
        <f t="shared" si="91"/>
        <v>1</v>
      </c>
      <c r="FQ112" s="164">
        <f t="shared" si="92"/>
        <v>1</v>
      </c>
      <c r="FR112" s="682">
        <v>4</v>
      </c>
      <c r="FS112" s="88">
        <v>0</v>
      </c>
      <c r="FT112" s="88">
        <v>0</v>
      </c>
      <c r="FU112" s="165">
        <v>0</v>
      </c>
      <c r="FV112" s="83" t="s">
        <v>16860</v>
      </c>
      <c r="FW112" s="83" t="s">
        <v>16861</v>
      </c>
      <c r="FX112" s="751" t="s">
        <v>7664</v>
      </c>
      <c r="GA112" s="83" t="s">
        <v>7546</v>
      </c>
      <c r="GE112" s="356"/>
      <c r="GF112" t="s">
        <v>7710</v>
      </c>
      <c r="GG112" s="356" t="s">
        <v>8919</v>
      </c>
      <c r="GH112" s="83" t="s">
        <v>8917</v>
      </c>
      <c r="GI112" s="83" t="s">
        <v>8916</v>
      </c>
      <c r="GJ112" s="83"/>
      <c r="GK112" s="530"/>
    </row>
    <row r="113" spans="8:193" ht="13.2" customHeight="1">
      <c r="H113" s="3" t="s">
        <v>803</v>
      </c>
      <c r="I113" s="6" t="s">
        <v>710</v>
      </c>
      <c r="J113" s="3"/>
      <c r="K113" s="3"/>
      <c r="L113" s="3"/>
      <c r="M113" s="651"/>
      <c r="N113" s="3"/>
      <c r="O113" s="3"/>
      <c r="P113" s="3"/>
      <c r="Q113" s="3"/>
      <c r="R113" s="651"/>
      <c r="S113" s="83" t="str">
        <f>IF(CareerType=Y113,"Courreur nocturne Eshin",IF(AllCareers="X","Courreur nocturne Eshin",IF(SelectRace="skaven","Courreur nocturne Eshin","")))</f>
        <v/>
      </c>
      <c r="T113" s="106">
        <f t="shared" si="93"/>
        <v>0</v>
      </c>
      <c r="U113" s="693" t="str">
        <f t="shared" si="75"/>
        <v/>
      </c>
      <c r="V113" s="693" t="str">
        <f t="shared" si="76"/>
        <v/>
      </c>
      <c r="W113" s="693" t="str">
        <f t="shared" si="77"/>
        <v/>
      </c>
      <c r="X113" s="47" t="s">
        <v>2160</v>
      </c>
      <c r="Y113" s="743" t="s">
        <v>7134</v>
      </c>
      <c r="Z113" s="56" t="s">
        <v>1328</v>
      </c>
      <c r="AA113" s="47">
        <v>94</v>
      </c>
      <c r="AB113" s="89" t="s">
        <v>9290</v>
      </c>
      <c r="AC113" s="48"/>
      <c r="AD113" s="15" t="s">
        <v>98</v>
      </c>
      <c r="AE113" s="15" t="s">
        <v>98</v>
      </c>
      <c r="AF113" s="15" t="s">
        <v>149</v>
      </c>
      <c r="AG113" s="15" t="s">
        <v>114</v>
      </c>
      <c r="AH113" s="15" t="s">
        <v>98</v>
      </c>
      <c r="AI113" s="15" t="s">
        <v>149</v>
      </c>
      <c r="AJ113" s="15" t="s">
        <v>114</v>
      </c>
      <c r="AK113" s="21" t="s">
        <v>149</v>
      </c>
      <c r="AL113" s="15" t="s">
        <v>149</v>
      </c>
      <c r="AM113" s="15" t="s">
        <v>113</v>
      </c>
      <c r="AN113" s="15" t="s">
        <v>149</v>
      </c>
      <c r="AO113" s="15" t="s">
        <v>149</v>
      </c>
      <c r="AP113" s="87" t="s">
        <v>734</v>
      </c>
      <c r="AQ113" s="22" t="s">
        <v>3089</v>
      </c>
      <c r="AR113" s="22" t="s">
        <v>14818</v>
      </c>
      <c r="AS113" s="87" t="s">
        <v>14819</v>
      </c>
      <c r="AT113" s="22" t="s">
        <v>3442</v>
      </c>
      <c r="AU113" s="87" t="s">
        <v>5496</v>
      </c>
      <c r="AV113" s="87" t="s">
        <v>4792</v>
      </c>
      <c r="AW113" s="457">
        <v>0</v>
      </c>
      <c r="AX113" s="630" t="str">
        <f t="shared" si="81"/>
        <v/>
      </c>
      <c r="AY113" s="630" t="str">
        <f t="shared" si="82"/>
        <v/>
      </c>
      <c r="AZ113" s="630" t="str">
        <f t="shared" si="83"/>
        <v/>
      </c>
      <c r="BA113" s="3"/>
      <c r="BB113" s="3"/>
      <c r="BC113" s="3"/>
      <c r="BD113" s="3"/>
      <c r="BE113" s="3"/>
      <c r="BF113" s="3"/>
      <c r="BG113" s="3"/>
      <c r="BH113" s="3"/>
      <c r="BI113" s="3"/>
      <c r="BJ113" s="3"/>
      <c r="BK113" s="3"/>
      <c r="BL113" s="3"/>
      <c r="BM113" s="3">
        <v>121</v>
      </c>
      <c r="BN113" s="3"/>
      <c r="BP113" s="3"/>
      <c r="BQ113" s="3" t="s">
        <v>11918</v>
      </c>
      <c r="BR113" s="3"/>
      <c r="BS113" s="3"/>
      <c r="BT113" s="3"/>
      <c r="BU113" s="3"/>
      <c r="BV113" s="3"/>
      <c r="BW113" s="3"/>
      <c r="BX113" s="83" t="str">
        <f>IF(Province="Amhabal","Medina d'Amhabal","")</f>
        <v/>
      </c>
      <c r="BY113" t="str">
        <f t="shared" si="78"/>
        <v/>
      </c>
      <c r="BZ113" s="83" t="str">
        <f t="shared" si="70"/>
        <v/>
      </c>
      <c r="CA113" s="83" t="str">
        <f t="shared" si="71"/>
        <v/>
      </c>
      <c r="CB113" s="530" t="str">
        <f t="shared" si="72"/>
        <v/>
      </c>
      <c r="CC113" s="3" t="s">
        <v>3285</v>
      </c>
      <c r="CD113" s="3" t="s">
        <v>3192</v>
      </c>
      <c r="CG113" s="3" t="s">
        <v>6210</v>
      </c>
      <c r="CH113" s="3" t="s">
        <v>5994</v>
      </c>
      <c r="CI113" s="3"/>
      <c r="CJ113" s="3"/>
      <c r="CK113" s="3" t="s">
        <v>6788</v>
      </c>
      <c r="CM113" t="s">
        <v>10319</v>
      </c>
      <c r="CN113" s="3"/>
      <c r="CO113" s="3" t="str">
        <f>CONCATENATE("Falir",IF(AND('page 1'!M11="Féminin",Pays="Norsca"),"dottir",IF(AND('page 1'!M11="Masculin",Pays="Norsca"),"son",IF(AND('page 1'!M11="Féminin",Pays="Kislev"),"ovna",IF(AND('page 1'!M11="Masculin",Pays="Kislev"),"sky","")))))</f>
        <v>Falir</v>
      </c>
      <c r="CP113" s="3"/>
      <c r="CQ113" s="3"/>
      <c r="CR113" s="3" t="s">
        <v>13483</v>
      </c>
      <c r="CU113" s="3"/>
      <c r="CV113" s="3"/>
      <c r="CW113" s="3"/>
      <c r="CX113" s="3"/>
      <c r="CY113" s="3" t="s">
        <v>429</v>
      </c>
      <c r="CZ113" s="3"/>
      <c r="DA113" s="3"/>
      <c r="DB113" s="3"/>
      <c r="DC113" s="3"/>
      <c r="DD113" s="83" t="s">
        <v>11218</v>
      </c>
      <c r="DE113" s="3" t="s">
        <v>132</v>
      </c>
      <c r="DF113" s="3">
        <f>ROW()</f>
        <v>113</v>
      </c>
      <c r="DG113" s="3" t="s">
        <v>780</v>
      </c>
      <c r="DH113" s="3">
        <f t="shared" si="87"/>
        <v>400</v>
      </c>
      <c r="DI113" s="3">
        <f t="shared" si="88"/>
        <v>300</v>
      </c>
      <c r="DJ113" s="3">
        <f t="shared" si="89"/>
        <v>210</v>
      </c>
      <c r="DK113" s="3">
        <f t="shared" si="90"/>
        <v>120</v>
      </c>
      <c r="DL113" s="3"/>
      <c r="DM113" s="3"/>
      <c r="DN113" s="3"/>
      <c r="DO113" s="3"/>
      <c r="DP113" s="3"/>
      <c r="DQ113" s="3"/>
      <c r="DR113" s="3"/>
      <c r="DS113" s="3"/>
      <c r="DT113" s="3"/>
      <c r="DU113" s="3"/>
      <c r="DV113" s="3"/>
      <c r="DW113" s="3"/>
      <c r="DX113" s="3"/>
      <c r="DY113" s="3"/>
      <c r="DZ113" s="3" t="s">
        <v>3017</v>
      </c>
      <c r="EA113" s="83" t="s">
        <v>4541</v>
      </c>
      <c r="EB113" s="3"/>
      <c r="ED113" s="83" t="s">
        <v>11618</v>
      </c>
      <c r="EE113" s="83" t="s">
        <v>131</v>
      </c>
      <c r="EF113" s="540" t="s">
        <v>11638</v>
      </c>
      <c r="EK113" s="874"/>
      <c r="EM113" s="90" t="s">
        <v>5165</v>
      </c>
      <c r="EN113" s="83" t="s">
        <v>5015</v>
      </c>
      <c r="EO113" s="83" t="s">
        <v>5242</v>
      </c>
      <c r="EP113" t="s">
        <v>5159</v>
      </c>
      <c r="EU113" s="177" t="str">
        <f>IF(Dieu="Sigmar","Ordre de l'épée divine","")</f>
        <v/>
      </c>
      <c r="EV113" s="83" t="str">
        <f t="shared" si="69"/>
        <v/>
      </c>
      <c r="EW113" s="83" t="str">
        <f t="shared" si="73"/>
        <v/>
      </c>
      <c r="EX113" s="530" t="str">
        <f t="shared" si="74"/>
        <v/>
      </c>
      <c r="EY113" s="83" t="s">
        <v>418</v>
      </c>
      <c r="EZ113" s="530" t="s">
        <v>5888</v>
      </c>
      <c r="FB113" s="83" t="s">
        <v>16229</v>
      </c>
      <c r="FC113" s="133" t="s">
        <v>13214</v>
      </c>
      <c r="FD113" s="83" t="s">
        <v>2196</v>
      </c>
      <c r="FE113" s="848">
        <v>125</v>
      </c>
      <c r="FF113">
        <v>5</v>
      </c>
      <c r="FG113">
        <v>0</v>
      </c>
      <c r="FH113">
        <v>6</v>
      </c>
      <c r="FI113">
        <v>11</v>
      </c>
      <c r="FJ113" s="10">
        <v>18</v>
      </c>
      <c r="FK113">
        <v>2</v>
      </c>
      <c r="FL113">
        <v>10</v>
      </c>
      <c r="FM113" s="165">
        <v>4</v>
      </c>
      <c r="FN113" s="88">
        <v>1</v>
      </c>
      <c r="FO113" s="88">
        <v>1</v>
      </c>
      <c r="FP113" s="164">
        <f t="shared" si="91"/>
        <v>0</v>
      </c>
      <c r="FQ113" s="164">
        <f t="shared" si="92"/>
        <v>1</v>
      </c>
      <c r="FR113" s="682">
        <v>4</v>
      </c>
      <c r="FS113" s="88">
        <v>0</v>
      </c>
      <c r="FT113" s="88">
        <v>0</v>
      </c>
      <c r="FU113" s="165">
        <v>0</v>
      </c>
      <c r="FV113" s="83" t="s">
        <v>16234</v>
      </c>
      <c r="FW113" s="83" t="s">
        <v>16201</v>
      </c>
      <c r="FX113" s="751" t="s">
        <v>7664</v>
      </c>
      <c r="GA113" t="s">
        <v>7486</v>
      </c>
      <c r="GE113" s="356"/>
      <c r="GF113" t="s">
        <v>7711</v>
      </c>
      <c r="GG113" s="356" t="s">
        <v>8925</v>
      </c>
      <c r="GH113" s="83" t="s">
        <v>8917</v>
      </c>
      <c r="GI113" s="83" t="s">
        <v>8916</v>
      </c>
      <c r="GJ113" s="83"/>
      <c r="GK113" s="530"/>
    </row>
    <row r="114" spans="8:193" ht="13.2" customHeight="1">
      <c r="H114" s="3" t="s">
        <v>804</v>
      </c>
      <c r="I114" s="3" t="s">
        <v>711</v>
      </c>
      <c r="J114" s="3"/>
      <c r="K114" s="3"/>
      <c r="L114" s="3"/>
      <c r="M114" s="651"/>
      <c r="N114" s="3"/>
      <c r="O114" s="3"/>
      <c r="P114" s="3"/>
      <c r="Q114" s="3"/>
      <c r="R114" s="651"/>
      <c r="S114" s="83" t="str">
        <f>IF(CareerType=Y114,"Courtisan",IF(AllCareers="X","Courtisan",IF(Selectsousrace="","",IF(OR(SelectRace="homme-bête",SelectRace="peau-verte",SelectRace="créature du chaos",SelectRace="Homme-lézard",SelectRace="skaven"),"",IF(FirstCareer="1ère carrière","","Courtisan")))))</f>
        <v/>
      </c>
      <c r="T114" s="106">
        <f t="shared" si="93"/>
        <v>1</v>
      </c>
      <c r="U114" s="693" t="str">
        <f t="shared" si="75"/>
        <v/>
      </c>
      <c r="V114" s="693" t="str">
        <f t="shared" si="76"/>
        <v/>
      </c>
      <c r="W114" s="693" t="str">
        <f t="shared" si="77"/>
        <v/>
      </c>
      <c r="X114" s="47" t="s">
        <v>2153</v>
      </c>
      <c r="Y114" s="743" t="s">
        <v>7134</v>
      </c>
      <c r="Z114" s="55" t="s">
        <v>2200</v>
      </c>
      <c r="AA114" s="47">
        <v>69</v>
      </c>
      <c r="AB114" s="47" t="s">
        <v>2280</v>
      </c>
      <c r="AC114" s="47">
        <v>53</v>
      </c>
      <c r="AD114" s="20" t="s">
        <v>114</v>
      </c>
      <c r="AE114" s="20" t="s">
        <v>114</v>
      </c>
      <c r="AF114" s="15" t="s">
        <v>149</v>
      </c>
      <c r="AG114" s="15" t="s">
        <v>149</v>
      </c>
      <c r="AH114" s="15" t="s">
        <v>98</v>
      </c>
      <c r="AI114" s="15" t="s">
        <v>100</v>
      </c>
      <c r="AJ114" s="15" t="s">
        <v>100</v>
      </c>
      <c r="AK114" s="18" t="s">
        <v>100</v>
      </c>
      <c r="AL114" s="15" t="s">
        <v>149</v>
      </c>
      <c r="AM114" s="15" t="s">
        <v>103</v>
      </c>
      <c r="AN114" s="15" t="s">
        <v>149</v>
      </c>
      <c r="AO114" s="15" t="s">
        <v>149</v>
      </c>
      <c r="AP114" s="87" t="s">
        <v>16158</v>
      </c>
      <c r="AQ114" s="87" t="s">
        <v>734</v>
      </c>
      <c r="AR114" s="22" t="s">
        <v>3566</v>
      </c>
      <c r="AS114" s="87" t="s">
        <v>734</v>
      </c>
      <c r="AT114" s="87" t="s">
        <v>16862</v>
      </c>
      <c r="AU114" s="87" t="s">
        <v>16863</v>
      </c>
      <c r="AV114" s="87" t="s">
        <v>16864</v>
      </c>
      <c r="AW114" s="457">
        <v>100</v>
      </c>
      <c r="AX114" s="630" t="str">
        <f t="shared" si="81"/>
        <v/>
      </c>
      <c r="AY114" s="630" t="str">
        <f t="shared" si="82"/>
        <v/>
      </c>
      <c r="AZ114" s="630" t="str">
        <f t="shared" si="83"/>
        <v/>
      </c>
      <c r="BA114" s="3"/>
      <c r="BB114" s="3"/>
      <c r="BC114" s="3"/>
      <c r="BD114" s="3"/>
      <c r="BE114" s="3"/>
      <c r="BF114" s="3"/>
      <c r="BG114" s="3"/>
      <c r="BH114" s="3"/>
      <c r="BI114" s="3"/>
      <c r="BJ114" s="3"/>
      <c r="BK114" s="3"/>
      <c r="BL114" s="3"/>
      <c r="BM114" s="3">
        <v>122</v>
      </c>
      <c r="BN114" s="3"/>
      <c r="BP114" s="3"/>
      <c r="BQ114" s="3" t="s">
        <v>11919</v>
      </c>
      <c r="BR114" s="3"/>
      <c r="BS114" s="3"/>
      <c r="BT114" s="3"/>
      <c r="BU114" s="3"/>
      <c r="BV114" s="3"/>
      <c r="BW114" s="3"/>
      <c r="BX114" s="83" t="str">
        <f>IF(Province="Bur-Shitrak","Medina de Bur-Shitrakl","")</f>
        <v/>
      </c>
      <c r="BY114" t="str">
        <f t="shared" si="78"/>
        <v/>
      </c>
      <c r="BZ114" s="83" t="str">
        <f t="shared" si="70"/>
        <v/>
      </c>
      <c r="CA114" s="83" t="str">
        <f t="shared" si="71"/>
        <v/>
      </c>
      <c r="CB114" s="530" t="str">
        <f t="shared" si="72"/>
        <v/>
      </c>
      <c r="CC114" s="3" t="s">
        <v>3286</v>
      </c>
      <c r="CD114" t="s">
        <v>10684</v>
      </c>
      <c r="CG114" s="3" t="s">
        <v>6211</v>
      </c>
      <c r="CH114" s="3" t="s">
        <v>5996</v>
      </c>
      <c r="CI114" s="3"/>
      <c r="CJ114" s="3"/>
      <c r="CK114" s="3" t="s">
        <v>6973</v>
      </c>
      <c r="CM114" t="s">
        <v>10320</v>
      </c>
      <c r="CN114" s="3"/>
      <c r="CO114" s="3" t="s">
        <v>10968</v>
      </c>
      <c r="CP114" s="3"/>
      <c r="CQ114" s="3"/>
      <c r="CR114" t="s">
        <v>13484</v>
      </c>
      <c r="CU114" s="3"/>
      <c r="CV114" s="3"/>
      <c r="CW114" s="3"/>
      <c r="CX114" s="3"/>
      <c r="CY114" s="3" t="s">
        <v>430</v>
      </c>
      <c r="CZ114" s="3"/>
      <c r="DA114" s="3"/>
      <c r="DB114" s="3"/>
      <c r="DC114" s="3"/>
      <c r="DD114" s="83" t="s">
        <v>16865</v>
      </c>
      <c r="DE114" s="3" t="s">
        <v>132</v>
      </c>
      <c r="DF114" s="3">
        <f>ROW()</f>
        <v>114</v>
      </c>
      <c r="DG114" s="3" t="s">
        <v>780</v>
      </c>
      <c r="DH114" s="3">
        <f t="shared" si="87"/>
        <v>400</v>
      </c>
      <c r="DI114" s="3">
        <f t="shared" si="88"/>
        <v>300</v>
      </c>
      <c r="DJ114" s="3">
        <f t="shared" si="89"/>
        <v>210</v>
      </c>
      <c r="DK114" s="3">
        <f t="shared" si="90"/>
        <v>120</v>
      </c>
      <c r="DL114" s="3"/>
      <c r="DM114" s="3"/>
      <c r="DN114" s="3"/>
      <c r="DO114" s="3"/>
      <c r="DP114" s="3"/>
      <c r="DQ114" s="3"/>
      <c r="DR114" s="3"/>
      <c r="DS114" s="3"/>
      <c r="DT114" s="3"/>
      <c r="DU114" s="3"/>
      <c r="DV114" s="3"/>
      <c r="DW114" s="3"/>
      <c r="DX114" s="3"/>
      <c r="DY114" s="3"/>
      <c r="DZ114" s="3" t="s">
        <v>3016</v>
      </c>
      <c r="EA114" s="83" t="s">
        <v>4541</v>
      </c>
      <c r="EB114" s="3"/>
      <c r="ED114" s="83" t="s">
        <v>12191</v>
      </c>
      <c r="EE114" s="83" t="s">
        <v>131</v>
      </c>
      <c r="EF114" s="540" t="s">
        <v>15634</v>
      </c>
      <c r="EK114" s="874"/>
      <c r="EM114" s="90" t="s">
        <v>5166</v>
      </c>
      <c r="EN114" s="83" t="s">
        <v>5015</v>
      </c>
      <c r="EO114" s="83" t="s">
        <v>5241</v>
      </c>
      <c r="EP114" t="s">
        <v>5174</v>
      </c>
      <c r="EU114" s="177" t="str">
        <f>IF(Dieu="Sigmar","Ordre de l'orbe à deux queues","")</f>
        <v/>
      </c>
      <c r="EV114" s="83" t="str">
        <f t="shared" si="69"/>
        <v/>
      </c>
      <c r="EW114" s="83" t="str">
        <f t="shared" si="73"/>
        <v/>
      </c>
      <c r="EX114" s="530" t="str">
        <f t="shared" si="74"/>
        <v/>
      </c>
      <c r="EY114" s="83" t="s">
        <v>12855</v>
      </c>
      <c r="EZ114" s="531" t="s">
        <v>10150</v>
      </c>
      <c r="FB114" s="83" t="s">
        <v>16230</v>
      </c>
      <c r="FC114" s="133" t="s">
        <v>13214</v>
      </c>
      <c r="FD114" s="83" t="s">
        <v>2196</v>
      </c>
      <c r="FE114" s="848">
        <v>126</v>
      </c>
      <c r="FF114">
        <v>35</v>
      </c>
      <c r="FG114">
        <v>0</v>
      </c>
      <c r="FH114">
        <v>64</v>
      </c>
      <c r="FI114">
        <v>41</v>
      </c>
      <c r="FJ114" s="10">
        <v>32</v>
      </c>
      <c r="FK114">
        <v>10</v>
      </c>
      <c r="FL114">
        <v>12</v>
      </c>
      <c r="FM114" s="531">
        <v>4</v>
      </c>
      <c r="FN114" s="88">
        <v>4</v>
      </c>
      <c r="FO114" s="88">
        <v>23</v>
      </c>
      <c r="FP114" s="164">
        <f t="shared" si="91"/>
        <v>6</v>
      </c>
      <c r="FQ114" s="164">
        <f t="shared" si="92"/>
        <v>4</v>
      </c>
      <c r="FR114" s="682">
        <v>4</v>
      </c>
      <c r="FS114" s="88">
        <v>0</v>
      </c>
      <c r="FT114" s="88">
        <v>0</v>
      </c>
      <c r="FU114" s="165">
        <v>0</v>
      </c>
      <c r="FV114" s="83" t="s">
        <v>16231</v>
      </c>
      <c r="FW114" s="83" t="s">
        <v>16232</v>
      </c>
      <c r="FX114" s="751" t="s">
        <v>7664</v>
      </c>
      <c r="GA114" t="s">
        <v>7487</v>
      </c>
      <c r="GF114" t="s">
        <v>7712</v>
      </c>
      <c r="GG114" s="356" t="s">
        <v>8921</v>
      </c>
      <c r="GH114" s="83" t="s">
        <v>8917</v>
      </c>
      <c r="GI114" s="83" t="s">
        <v>8916</v>
      </c>
      <c r="GJ114" s="83"/>
      <c r="GK114" s="530"/>
    </row>
    <row r="115" spans="8:193" ht="13.2" customHeight="1">
      <c r="H115" s="3" t="s">
        <v>805</v>
      </c>
      <c r="I115" s="6" t="s">
        <v>712</v>
      </c>
      <c r="J115" s="3"/>
      <c r="K115" s="3"/>
      <c r="L115" s="3"/>
      <c r="M115" s="651"/>
      <c r="N115" s="3"/>
      <c r="O115" s="3"/>
      <c r="P115" s="3"/>
      <c r="Q115" s="3"/>
      <c r="R115" s="651"/>
      <c r="S115" s="83" t="str">
        <f>IF(CareerType=Y115,"Courtisan des Principautés",IF(AllCareers="X","Courtisan des Principautés",IF(Selectsousrace="","",IF(OR(SelectRace="homme-bête",SelectRace="peau-verte",SelectRace="créature du chaos",SelectRace="Homme-lézard",SelectRace="skaven"),"",IF(FirstCareer="1ère carrière","","Courtisan des Principautés")))))</f>
        <v/>
      </c>
      <c r="T115" s="85">
        <f t="shared" si="93"/>
        <v>1</v>
      </c>
      <c r="U115" s="693" t="str">
        <f t="shared" si="75"/>
        <v/>
      </c>
      <c r="V115" s="693" t="str">
        <f t="shared" si="76"/>
        <v/>
      </c>
      <c r="W115" s="693" t="str">
        <f t="shared" si="77"/>
        <v/>
      </c>
      <c r="X115" s="47" t="s">
        <v>2153</v>
      </c>
      <c r="Y115" s="743" t="s">
        <v>7134</v>
      </c>
      <c r="Z115" s="55" t="s">
        <v>2204</v>
      </c>
      <c r="AA115" s="47">
        <v>55</v>
      </c>
      <c r="AB115" s="47" t="s">
        <v>2281</v>
      </c>
      <c r="AC115" s="47">
        <v>34</v>
      </c>
      <c r="AD115" s="15" t="s">
        <v>101</v>
      </c>
      <c r="AE115" s="15" t="s">
        <v>114</v>
      </c>
      <c r="AF115" s="15" t="s">
        <v>98</v>
      </c>
      <c r="AG115" s="15" t="s">
        <v>101</v>
      </c>
      <c r="AH115" s="15" t="s">
        <v>101</v>
      </c>
      <c r="AI115" s="15" t="s">
        <v>100</v>
      </c>
      <c r="AJ115" s="15" t="s">
        <v>100</v>
      </c>
      <c r="AK115" s="18" t="s">
        <v>98</v>
      </c>
      <c r="AL115" s="15" t="s">
        <v>149</v>
      </c>
      <c r="AM115" s="15" t="s">
        <v>103</v>
      </c>
      <c r="AN115" s="15" t="s">
        <v>149</v>
      </c>
      <c r="AO115" s="15" t="s">
        <v>149</v>
      </c>
      <c r="AP115" s="87" t="s">
        <v>16159</v>
      </c>
      <c r="AQ115" s="87" t="s">
        <v>734</v>
      </c>
      <c r="AR115" s="22" t="s">
        <v>1114</v>
      </c>
      <c r="AS115" s="87" t="s">
        <v>734</v>
      </c>
      <c r="AT115" s="22" t="s">
        <v>3443</v>
      </c>
      <c r="AU115" s="87" t="s">
        <v>5388</v>
      </c>
      <c r="AV115" s="87" t="s">
        <v>14855</v>
      </c>
      <c r="AW115" s="457">
        <v>0</v>
      </c>
      <c r="AX115" s="630" t="str">
        <f t="shared" si="81"/>
        <v/>
      </c>
      <c r="AY115" s="630" t="str">
        <f t="shared" si="82"/>
        <v/>
      </c>
      <c r="AZ115" s="630" t="str">
        <f t="shared" si="83"/>
        <v/>
      </c>
      <c r="BA115" s="3"/>
      <c r="BB115" s="3"/>
      <c r="BC115" s="3"/>
      <c r="BD115" s="3"/>
      <c r="BE115" s="3"/>
      <c r="BF115" s="3"/>
      <c r="BG115" s="3"/>
      <c r="BH115" s="3"/>
      <c r="BI115" s="3"/>
      <c r="BJ115" s="3"/>
      <c r="BK115" s="3"/>
      <c r="BL115" s="3"/>
      <c r="BM115" s="3">
        <v>123</v>
      </c>
      <c r="BN115" s="3"/>
      <c r="BP115" s="3"/>
      <c r="BQ115" s="83" t="s">
        <v>11920</v>
      </c>
      <c r="BR115" s="3"/>
      <c r="BS115" s="3"/>
      <c r="BT115" s="3"/>
      <c r="BU115" s="3"/>
      <c r="BV115" s="3"/>
      <c r="BW115" s="3"/>
      <c r="BX115" s="83" t="str">
        <f>IF(Province="Copher","Medina de Copher","")</f>
        <v/>
      </c>
      <c r="BY115" t="str">
        <f t="shared" si="78"/>
        <v/>
      </c>
      <c r="BZ115" s="83" t="str">
        <f t="shared" si="70"/>
        <v/>
      </c>
      <c r="CA115" s="83" t="str">
        <f t="shared" si="71"/>
        <v/>
      </c>
      <c r="CB115" s="530" t="str">
        <f t="shared" si="72"/>
        <v/>
      </c>
      <c r="CC115" s="3" t="s">
        <v>3287</v>
      </c>
      <c r="CD115" s="3" t="s">
        <v>3193</v>
      </c>
      <c r="CG115" s="3" t="s">
        <v>6212</v>
      </c>
      <c r="CH115" s="3" t="s">
        <v>5997</v>
      </c>
      <c r="CI115" s="3"/>
      <c r="CJ115" s="3"/>
      <c r="CK115" s="3" t="s">
        <v>6940</v>
      </c>
      <c r="CM115" t="s">
        <v>10323</v>
      </c>
      <c r="CN115" s="3"/>
      <c r="CO115" s="3" t="s">
        <v>10957</v>
      </c>
      <c r="CP115" s="3"/>
      <c r="CQ115" s="3"/>
      <c r="CR115" t="s">
        <v>13485</v>
      </c>
      <c r="CU115" s="3"/>
      <c r="CV115" s="3"/>
      <c r="CW115" s="3"/>
      <c r="CX115" s="3"/>
      <c r="CY115" s="3" t="s">
        <v>834</v>
      </c>
      <c r="CZ115" s="3"/>
      <c r="DA115" s="3"/>
      <c r="DB115" s="3"/>
      <c r="DC115" s="3"/>
      <c r="DD115" s="3" t="s">
        <v>2706</v>
      </c>
      <c r="DE115" s="3" t="s">
        <v>135</v>
      </c>
      <c r="DF115" s="3">
        <f>ROW()</f>
        <v>115</v>
      </c>
      <c r="DG115" s="3" t="s">
        <v>2678</v>
      </c>
      <c r="DH115" s="3">
        <f t="shared" si="87"/>
        <v>195</v>
      </c>
      <c r="DI115" s="3">
        <f t="shared" si="88"/>
        <v>160</v>
      </c>
      <c r="DJ115" s="3">
        <f t="shared" si="89"/>
        <v>130</v>
      </c>
      <c r="DK115" s="3">
        <f t="shared" si="90"/>
        <v>105</v>
      </c>
      <c r="DL115" s="3"/>
      <c r="DM115" s="3"/>
      <c r="DN115" s="3"/>
      <c r="DO115" s="3"/>
      <c r="DP115" s="3"/>
      <c r="DQ115" s="3"/>
      <c r="DR115" s="3"/>
      <c r="DS115" s="3"/>
      <c r="DT115" s="3"/>
      <c r="DU115" s="3"/>
      <c r="DV115" s="3"/>
      <c r="DW115" s="3"/>
      <c r="DX115" s="3"/>
      <c r="DY115" s="3"/>
      <c r="DZ115" s="3" t="s">
        <v>3018</v>
      </c>
      <c r="EA115" s="83" t="s">
        <v>4541</v>
      </c>
      <c r="EB115" s="3"/>
      <c r="ED115" s="83" t="s">
        <v>11625</v>
      </c>
      <c r="EE115" s="83" t="s">
        <v>131</v>
      </c>
      <c r="EF115" s="540" t="s">
        <v>15385</v>
      </c>
      <c r="EK115" s="874"/>
      <c r="EM115" s="90" t="s">
        <v>5167</v>
      </c>
      <c r="EN115" s="83" t="s">
        <v>5015</v>
      </c>
      <c r="EO115" s="83" t="s">
        <v>5240</v>
      </c>
      <c r="EP115" t="s">
        <v>5174</v>
      </c>
      <c r="EU115" s="177" t="str">
        <f>IF(Dieu="Sigmar","Ordre des chasseurs","")</f>
        <v/>
      </c>
      <c r="EV115" s="83" t="str">
        <f t="shared" si="69"/>
        <v/>
      </c>
      <c r="EW115" s="83" t="str">
        <f t="shared" si="73"/>
        <v/>
      </c>
      <c r="EX115" s="530" t="str">
        <f t="shared" si="74"/>
        <v/>
      </c>
      <c r="EY115" s="83" t="s">
        <v>12856</v>
      </c>
      <c r="EZ115" s="530" t="s">
        <v>10148</v>
      </c>
      <c r="FB115" s="83" t="s">
        <v>16866</v>
      </c>
      <c r="FC115" s="133" t="s">
        <v>13214</v>
      </c>
      <c r="FD115" s="83" t="s">
        <v>2196</v>
      </c>
      <c r="FE115" s="849">
        <v>127</v>
      </c>
      <c r="FF115">
        <v>0</v>
      </c>
      <c r="FG115">
        <v>33</v>
      </c>
      <c r="FH115">
        <v>10</v>
      </c>
      <c r="FI115">
        <v>12</v>
      </c>
      <c r="FJ115" s="10">
        <v>24</v>
      </c>
      <c r="FK115">
        <v>0</v>
      </c>
      <c r="FL115">
        <v>0</v>
      </c>
      <c r="FM115" s="531">
        <v>0</v>
      </c>
      <c r="FN115" s="88">
        <v>1</v>
      </c>
      <c r="FO115" s="88">
        <v>7</v>
      </c>
      <c r="FP115" s="691">
        <f t="shared" si="91"/>
        <v>1</v>
      </c>
      <c r="FQ115" s="691">
        <f t="shared" si="92"/>
        <v>1</v>
      </c>
      <c r="FR115" s="10">
        <v>0</v>
      </c>
      <c r="FS115" s="88">
        <v>0</v>
      </c>
      <c r="FT115" s="88">
        <v>0</v>
      </c>
      <c r="FU115" s="165">
        <v>0</v>
      </c>
      <c r="FV115" s="83" t="s">
        <v>16234</v>
      </c>
      <c r="FW115" s="83" t="s">
        <v>16201</v>
      </c>
      <c r="FX115" s="751" t="s">
        <v>7664</v>
      </c>
      <c r="GA115" t="s">
        <v>7291</v>
      </c>
      <c r="GE115" s="356"/>
      <c r="GF115" t="s">
        <v>7719</v>
      </c>
      <c r="GG115" s="356" t="s">
        <v>8918</v>
      </c>
      <c r="GH115" s="83" t="s">
        <v>8917</v>
      </c>
      <c r="GI115" s="83" t="s">
        <v>8916</v>
      </c>
      <c r="GJ115" s="83"/>
      <c r="GK115" s="530"/>
    </row>
    <row r="116" spans="8:193" ht="13.2" customHeight="1">
      <c r="H116" s="3" t="s">
        <v>806</v>
      </c>
      <c r="I116" s="6" t="s">
        <v>713</v>
      </c>
      <c r="J116" s="3"/>
      <c r="K116" s="3"/>
      <c r="L116" s="3"/>
      <c r="M116" s="651"/>
      <c r="N116" s="3"/>
      <c r="O116" s="3"/>
      <c r="P116" s="3"/>
      <c r="Q116" s="3"/>
      <c r="R116" s="651"/>
      <c r="S116" s="83" t="str">
        <f>IF(CareerType=Y116,"Croisé",IF(AllCareers="X","Croisé",IF(Selectsousrace="","",IF(OR(SelectRace="homme-bête",SelectRace="peau-verte",SelectRace="créature du chaos",SelectRace="Homme-lézard",SelectRace="skaven"),"",IF(FirstCareer="1ère carrière","","Croisé")))))</f>
        <v/>
      </c>
      <c r="T116" s="106">
        <v>2</v>
      </c>
      <c r="U116" s="693" t="str">
        <f t="shared" si="75"/>
        <v/>
      </c>
      <c r="V116" s="693" t="str">
        <f t="shared" si="76"/>
        <v/>
      </c>
      <c r="W116" s="693" t="str">
        <f t="shared" si="77"/>
        <v/>
      </c>
      <c r="X116" s="47" t="s">
        <v>2153</v>
      </c>
      <c r="Y116" s="743" t="s">
        <v>7130</v>
      </c>
      <c r="Z116" s="55" t="s">
        <v>538</v>
      </c>
      <c r="AA116" s="47">
        <v>203</v>
      </c>
      <c r="AB116" s="47" t="s">
        <v>2282</v>
      </c>
      <c r="AC116" s="47">
        <v>55</v>
      </c>
      <c r="AD116" s="15" t="s">
        <v>116</v>
      </c>
      <c r="AE116" s="15" t="s">
        <v>98</v>
      </c>
      <c r="AF116" s="15" t="s">
        <v>100</v>
      </c>
      <c r="AG116" s="15" t="s">
        <v>100</v>
      </c>
      <c r="AH116" s="15" t="s">
        <v>100</v>
      </c>
      <c r="AI116" s="15" t="s">
        <v>100</v>
      </c>
      <c r="AJ116" s="15" t="s">
        <v>99</v>
      </c>
      <c r="AK116" s="18" t="s">
        <v>101</v>
      </c>
      <c r="AL116" s="15" t="s">
        <v>113</v>
      </c>
      <c r="AM116" s="15" t="s">
        <v>118</v>
      </c>
      <c r="AN116" s="15" t="s">
        <v>149</v>
      </c>
      <c r="AO116" s="15" t="s">
        <v>149</v>
      </c>
      <c r="AP116" s="22" t="s">
        <v>12262</v>
      </c>
      <c r="AQ116" s="87" t="s">
        <v>734</v>
      </c>
      <c r="AR116" s="22" t="s">
        <v>12263</v>
      </c>
      <c r="AS116" s="87" t="s">
        <v>734</v>
      </c>
      <c r="AT116" s="22" t="s">
        <v>3444</v>
      </c>
      <c r="AU116" s="87" t="s">
        <v>16868</v>
      </c>
      <c r="AV116" s="87" t="s">
        <v>16869</v>
      </c>
      <c r="AW116" s="457">
        <v>0</v>
      </c>
      <c r="AX116" s="630" t="str">
        <f t="shared" si="81"/>
        <v/>
      </c>
      <c r="AY116" s="630" t="str">
        <f t="shared" si="82"/>
        <v/>
      </c>
      <c r="AZ116" s="630" t="str">
        <f t="shared" si="83"/>
        <v/>
      </c>
      <c r="BA116" s="3"/>
      <c r="BB116" s="3"/>
      <c r="BC116" s="3"/>
      <c r="BD116" s="3"/>
      <c r="BE116" s="3"/>
      <c r="BF116" s="3"/>
      <c r="BG116" s="3"/>
      <c r="BH116" s="3"/>
      <c r="BI116" s="3"/>
      <c r="BJ116" s="3"/>
      <c r="BK116" s="3"/>
      <c r="BL116" s="3"/>
      <c r="BM116" s="3">
        <v>124</v>
      </c>
      <c r="BN116" s="3"/>
      <c r="BP116" s="3"/>
      <c r="BQ116" s="3" t="s">
        <v>11921</v>
      </c>
      <c r="BR116" s="83"/>
      <c r="BS116" s="83"/>
      <c r="BT116" s="3"/>
      <c r="BU116" s="3"/>
      <c r="BV116" s="3"/>
      <c r="BW116" s="3"/>
      <c r="BX116" s="83" t="str">
        <f>IF(Province="Dimashque","Medina de Dimashque","")</f>
        <v/>
      </c>
      <c r="BY116" t="str">
        <f t="shared" si="78"/>
        <v/>
      </c>
      <c r="BZ116" s="83" t="str">
        <f t="shared" si="70"/>
        <v/>
      </c>
      <c r="CA116" s="83" t="str">
        <f t="shared" si="71"/>
        <v/>
      </c>
      <c r="CB116" s="530" t="str">
        <f t="shared" si="72"/>
        <v/>
      </c>
      <c r="CC116" s="3" t="s">
        <v>3288</v>
      </c>
      <c r="CD116" t="s">
        <v>10685</v>
      </c>
      <c r="CG116" s="3" t="s">
        <v>6213</v>
      </c>
      <c r="CH116" s="3" t="s">
        <v>909</v>
      </c>
      <c r="CI116" s="3"/>
      <c r="CJ116" s="3"/>
      <c r="CK116" s="3" t="s">
        <v>6829</v>
      </c>
      <c r="CM116" t="s">
        <v>10321</v>
      </c>
      <c r="CN116" s="3"/>
      <c r="CO116" s="3" t="s">
        <v>10966</v>
      </c>
      <c r="CP116" s="3"/>
      <c r="CQ116" s="3"/>
      <c r="CR116" s="3" t="s">
        <v>13486</v>
      </c>
      <c r="CU116" s="3"/>
      <c r="CV116" s="3"/>
      <c r="CW116" s="3"/>
      <c r="CX116" s="3"/>
      <c r="CY116" s="83" t="s">
        <v>15635</v>
      </c>
      <c r="CZ116" s="3"/>
      <c r="DA116" s="3"/>
      <c r="DB116" s="3"/>
      <c r="DC116" s="3"/>
      <c r="DD116" s="83" t="s">
        <v>11231</v>
      </c>
      <c r="DE116" s="3" t="s">
        <v>132</v>
      </c>
      <c r="DF116" s="3">
        <f>ROW()</f>
        <v>116</v>
      </c>
      <c r="DG116" s="3" t="s">
        <v>2174</v>
      </c>
      <c r="DH116" s="3">
        <f t="shared" si="87"/>
        <v>135</v>
      </c>
      <c r="DI116" s="3">
        <f t="shared" si="88"/>
        <v>115</v>
      </c>
      <c r="DJ116" s="3">
        <f t="shared" si="89"/>
        <v>95</v>
      </c>
      <c r="DK116" s="3">
        <f t="shared" si="90"/>
        <v>75</v>
      </c>
      <c r="DL116" s="3"/>
      <c r="DM116" s="3"/>
      <c r="DN116" s="3"/>
      <c r="DO116" s="3"/>
      <c r="DP116" s="3"/>
      <c r="DQ116" s="3"/>
      <c r="DR116" s="3"/>
      <c r="DS116" s="3"/>
      <c r="DT116" s="3"/>
      <c r="DU116" s="3"/>
      <c r="DV116" s="3"/>
      <c r="DW116" s="3"/>
      <c r="DX116" s="3"/>
      <c r="DY116" s="3"/>
      <c r="DZ116" s="3" t="s">
        <v>3019</v>
      </c>
      <c r="EA116" s="83" t="s">
        <v>4541</v>
      </c>
      <c r="EB116" s="3"/>
      <c r="ED116" s="83" t="s">
        <v>11611</v>
      </c>
      <c r="EE116" s="83" t="s">
        <v>131</v>
      </c>
      <c r="EF116" s="540" t="s">
        <v>11612</v>
      </c>
      <c r="EK116" s="874"/>
      <c r="EM116" s="90" t="s">
        <v>9961</v>
      </c>
      <c r="EN116" s="83" t="s">
        <v>5015</v>
      </c>
      <c r="EO116" s="83" t="s">
        <v>9962</v>
      </c>
      <c r="EP116" s="83" t="s">
        <v>11943</v>
      </c>
      <c r="EQ116" s="481"/>
      <c r="ER116" s="83"/>
      <c r="ES116" s="83"/>
      <c r="ET116" s="530"/>
      <c r="EU116" s="177" t="str">
        <f>IF(Dieu="Sigmar","Ordre des templiers","")</f>
        <v/>
      </c>
      <c r="EV116" s="83" t="str">
        <f t="shared" si="69"/>
        <v/>
      </c>
      <c r="EW116" s="83" t="str">
        <f t="shared" si="73"/>
        <v/>
      </c>
      <c r="EX116" s="530" t="str">
        <f t="shared" si="74"/>
        <v/>
      </c>
      <c r="EY116" s="83" t="s">
        <v>12391</v>
      </c>
      <c r="EZ116" s="530" t="s">
        <v>5888</v>
      </c>
      <c r="FB116" s="83" t="s">
        <v>14879</v>
      </c>
      <c r="FC116" s="133" t="s">
        <v>13214</v>
      </c>
      <c r="FD116" s="85" t="s">
        <v>14869</v>
      </c>
      <c r="FE116" s="850">
        <v>117</v>
      </c>
      <c r="FF116">
        <v>44</v>
      </c>
      <c r="FG116">
        <v>0</v>
      </c>
      <c r="FH116">
        <v>38</v>
      </c>
      <c r="FI116">
        <v>38</v>
      </c>
      <c r="FJ116" s="10">
        <v>60</v>
      </c>
      <c r="FK116">
        <v>24</v>
      </c>
      <c r="FL116">
        <v>31</v>
      </c>
      <c r="FM116" s="165">
        <v>5</v>
      </c>
      <c r="FN116" s="88">
        <v>4</v>
      </c>
      <c r="FO116" s="88">
        <v>18</v>
      </c>
      <c r="FP116" s="691">
        <f t="shared" si="91"/>
        <v>3</v>
      </c>
      <c r="FQ116" s="691">
        <f t="shared" si="92"/>
        <v>3</v>
      </c>
      <c r="FR116" s="10">
        <v>7</v>
      </c>
      <c r="FS116" s="88">
        <v>0</v>
      </c>
      <c r="FT116" s="88">
        <v>0</v>
      </c>
      <c r="FU116" s="165">
        <v>0</v>
      </c>
      <c r="FV116" s="83" t="s">
        <v>14880</v>
      </c>
      <c r="FW116" s="83" t="s">
        <v>16867</v>
      </c>
      <c r="FX116" s="531" t="s">
        <v>7659</v>
      </c>
      <c r="GA116" t="s">
        <v>7564</v>
      </c>
      <c r="GE116" s="356"/>
      <c r="GF116" t="s">
        <v>7713</v>
      </c>
      <c r="GG116" s="356" t="s">
        <v>8922</v>
      </c>
      <c r="GH116" s="83" t="s">
        <v>8917</v>
      </c>
      <c r="GI116" s="83" t="s">
        <v>8916</v>
      </c>
      <c r="GJ116" s="83"/>
      <c r="GK116" s="530"/>
    </row>
    <row r="117" spans="8:193" ht="13.2" customHeight="1">
      <c r="H117" s="83" t="s">
        <v>13257</v>
      </c>
      <c r="I117" s="84" t="s">
        <v>13258</v>
      </c>
      <c r="J117" s="3"/>
      <c r="K117" s="3"/>
      <c r="L117" s="3"/>
      <c r="M117" s="651"/>
      <c r="N117" s="3"/>
      <c r="O117" s="3"/>
      <c r="P117" s="3"/>
      <c r="Q117" s="3"/>
      <c r="R117" s="651"/>
      <c r="S117" s="83" t="str">
        <f>IF(CareerType=Y117,"Dame d'honneur",IF(AllCareers="X","Dame d'honneur",IF(Selectsousrace="","",IF(FirstCareer="1ère carrière","",IF(OR(SelectRace="homme-bête",SelectRace="peau-verte",SelectRace="créature du chaos",SelectRace="Homme-lézard",SelectRace="skaven"),"",IF('page 1'!M11="féminin","Dame d'honneur",""))))))</f>
        <v/>
      </c>
      <c r="T117" s="106">
        <f t="shared" ref="T117:T130" si="94">IF(X117="oui",0,1)</f>
        <v>1</v>
      </c>
      <c r="U117" s="693" t="str">
        <f t="shared" si="75"/>
        <v/>
      </c>
      <c r="V117" s="693" t="str">
        <f t="shared" si="76"/>
        <v/>
      </c>
      <c r="W117" s="693" t="str">
        <f t="shared" si="77"/>
        <v/>
      </c>
      <c r="X117" s="47" t="s">
        <v>2153</v>
      </c>
      <c r="Y117" s="743" t="s">
        <v>7132</v>
      </c>
      <c r="Z117" s="56" t="s">
        <v>2458</v>
      </c>
      <c r="AA117" s="48"/>
      <c r="AB117" s="89" t="s">
        <v>9291</v>
      </c>
      <c r="AC117" s="48"/>
      <c r="AD117" s="20" t="s">
        <v>114</v>
      </c>
      <c r="AE117" s="20" t="s">
        <v>114</v>
      </c>
      <c r="AF117" s="15" t="s">
        <v>149</v>
      </c>
      <c r="AG117" s="15" t="s">
        <v>149</v>
      </c>
      <c r="AH117" s="15" t="s">
        <v>98</v>
      </c>
      <c r="AI117" s="15" t="s">
        <v>99</v>
      </c>
      <c r="AJ117" s="49" t="s">
        <v>100</v>
      </c>
      <c r="AK117" s="18" t="s">
        <v>119</v>
      </c>
      <c r="AL117" s="15" t="s">
        <v>149</v>
      </c>
      <c r="AM117" s="15" t="s">
        <v>115</v>
      </c>
      <c r="AN117" s="15" t="s">
        <v>149</v>
      </c>
      <c r="AO117" s="15" t="s">
        <v>149</v>
      </c>
      <c r="AP117" s="87" t="s">
        <v>4949</v>
      </c>
      <c r="AQ117" s="87" t="s">
        <v>734</v>
      </c>
      <c r="AR117" s="87" t="s">
        <v>4952</v>
      </c>
      <c r="AS117" s="87" t="s">
        <v>734</v>
      </c>
      <c r="AT117" s="87" t="s">
        <v>16870</v>
      </c>
      <c r="AU117" s="87" t="s">
        <v>16871</v>
      </c>
      <c r="AV117" s="87" t="s">
        <v>16872</v>
      </c>
      <c r="AW117" s="457">
        <v>0</v>
      </c>
      <c r="AX117" s="630" t="str">
        <f t="shared" si="81"/>
        <v/>
      </c>
      <c r="AY117" s="630" t="str">
        <f t="shared" si="82"/>
        <v/>
      </c>
      <c r="AZ117" s="630" t="str">
        <f t="shared" si="83"/>
        <v/>
      </c>
      <c r="BM117" s="3">
        <v>125</v>
      </c>
      <c r="BN117" s="3"/>
      <c r="BP117" s="3"/>
      <c r="BQ117" s="3" t="s">
        <v>11922</v>
      </c>
      <c r="BR117" s="3"/>
      <c r="BS117" s="3"/>
      <c r="BT117" s="3"/>
      <c r="BU117" s="3"/>
      <c r="BV117" s="3"/>
      <c r="BW117" s="3"/>
      <c r="BX117" t="str">
        <f>IF(Province="Djambiya","Medina de Djambiya","")</f>
        <v/>
      </c>
      <c r="BY117" t="str">
        <f t="shared" si="78"/>
        <v/>
      </c>
      <c r="BZ117" s="83" t="str">
        <f t="shared" si="70"/>
        <v/>
      </c>
      <c r="CA117" s="83" t="str">
        <f t="shared" si="71"/>
        <v/>
      </c>
      <c r="CB117" s="530" t="str">
        <f t="shared" si="72"/>
        <v/>
      </c>
      <c r="CC117" s="3" t="s">
        <v>3289</v>
      </c>
      <c r="CD117" s="3" t="s">
        <v>3194</v>
      </c>
      <c r="CG117" s="3" t="s">
        <v>6214</v>
      </c>
      <c r="CH117" s="3" t="s">
        <v>5998</v>
      </c>
      <c r="CI117" s="3"/>
      <c r="CJ117" s="3"/>
      <c r="CK117" s="3" t="s">
        <v>6997</v>
      </c>
      <c r="CM117" t="s">
        <v>10322</v>
      </c>
      <c r="CN117" s="3"/>
      <c r="CO117" s="3" t="str">
        <f>CONCATENATE("Fimdor",IF(AND('page 1'!M11="Féminin",Pays="Norsca"),"dottir",IF(AND('page 1'!M11="Masculin",Pays="Norsca"),"son",IF(AND('page 1'!M11="Féminin",Pays="Kislev"),"ovna",IF(AND('page 1'!M11="Masculin",Pays="Kislev"),"sky","")))))</f>
        <v>Fimdor</v>
      </c>
      <c r="CP117" s="3"/>
      <c r="CQ117" s="3"/>
      <c r="CR117" s="3" t="s">
        <v>13487</v>
      </c>
      <c r="CU117" s="3"/>
      <c r="CV117" s="3"/>
      <c r="CW117" s="3"/>
      <c r="CX117" s="3"/>
      <c r="CY117" s="3" t="s">
        <v>431</v>
      </c>
      <c r="CZ117" s="3"/>
      <c r="DA117" s="3"/>
      <c r="DB117" s="3"/>
      <c r="DC117" s="3"/>
      <c r="DD117" s="83" t="s">
        <v>11217</v>
      </c>
      <c r="DE117" s="3" t="s">
        <v>132</v>
      </c>
      <c r="DF117" s="3">
        <f>ROW()</f>
        <v>117</v>
      </c>
      <c r="DG117" s="3" t="s">
        <v>780</v>
      </c>
      <c r="DH117" s="3">
        <f t="shared" si="87"/>
        <v>400</v>
      </c>
      <c r="DI117" s="3">
        <f t="shared" si="88"/>
        <v>300</v>
      </c>
      <c r="DJ117" s="3">
        <f t="shared" si="89"/>
        <v>210</v>
      </c>
      <c r="DK117" s="3">
        <f t="shared" si="90"/>
        <v>120</v>
      </c>
      <c r="DL117" s="3"/>
      <c r="DM117" s="3"/>
      <c r="DN117" s="3"/>
      <c r="DO117" s="3"/>
      <c r="DP117" s="3"/>
      <c r="DQ117" s="3"/>
      <c r="DR117" s="3"/>
      <c r="DS117" s="3"/>
      <c r="DT117" s="3"/>
      <c r="DU117" s="3"/>
      <c r="DV117" s="3"/>
      <c r="DW117" s="3"/>
      <c r="DX117" s="3"/>
      <c r="DY117" s="3"/>
      <c r="DZ117" s="3" t="s">
        <v>3020</v>
      </c>
      <c r="EA117" s="83" t="s">
        <v>4541</v>
      </c>
      <c r="EB117" s="3"/>
      <c r="ED117" s="83" t="s">
        <v>12411</v>
      </c>
      <c r="EE117" s="83" t="s">
        <v>12409</v>
      </c>
      <c r="EF117" s="530" t="s">
        <v>12412</v>
      </c>
      <c r="EK117" s="874"/>
      <c r="EM117" s="90" t="s">
        <v>5168</v>
      </c>
      <c r="EN117" s="83" t="s">
        <v>5015</v>
      </c>
      <c r="EO117" s="83" t="s">
        <v>5244</v>
      </c>
      <c r="EP117" t="s">
        <v>5174</v>
      </c>
      <c r="EU117" s="177" t="str">
        <f>IF(Dieu="Sigmar","Ordre du cœur ardent","")</f>
        <v/>
      </c>
      <c r="EV117" s="83" t="str">
        <f t="shared" si="69"/>
        <v/>
      </c>
      <c r="EW117" s="83" t="str">
        <f t="shared" si="73"/>
        <v/>
      </c>
      <c r="EX117" s="530" t="str">
        <f t="shared" si="74"/>
        <v/>
      </c>
      <c r="EY117" s="83" t="s">
        <v>12387</v>
      </c>
      <c r="EZ117" s="530" t="s">
        <v>9132</v>
      </c>
      <c r="FB117" s="83" t="s">
        <v>16233</v>
      </c>
      <c r="FC117" s="133" t="s">
        <v>13214</v>
      </c>
      <c r="FD117" s="83" t="s">
        <v>2196</v>
      </c>
      <c r="FE117" s="849">
        <v>127</v>
      </c>
      <c r="FF117">
        <v>14</v>
      </c>
      <c r="FG117">
        <v>0</v>
      </c>
      <c r="FH117">
        <v>46</v>
      </c>
      <c r="FI117">
        <v>48</v>
      </c>
      <c r="FJ117" s="10">
        <v>60</v>
      </c>
      <c r="FK117">
        <v>14</v>
      </c>
      <c r="FL117">
        <v>18</v>
      </c>
      <c r="FM117" s="165">
        <v>8</v>
      </c>
      <c r="FN117" s="88">
        <v>1</v>
      </c>
      <c r="FO117" s="88">
        <v>15</v>
      </c>
      <c r="FP117" s="691">
        <f t="shared" si="91"/>
        <v>4</v>
      </c>
      <c r="FQ117" s="691">
        <f t="shared" si="92"/>
        <v>4</v>
      </c>
      <c r="FR117" s="10">
        <v>1</v>
      </c>
      <c r="FS117" s="88">
        <v>0</v>
      </c>
      <c r="FT117" s="88">
        <v>0</v>
      </c>
      <c r="FU117" s="165">
        <v>0</v>
      </c>
      <c r="FV117" s="83" t="s">
        <v>7242</v>
      </c>
      <c r="FW117" s="83" t="s">
        <v>16235</v>
      </c>
      <c r="FX117" s="751" t="s">
        <v>7664</v>
      </c>
      <c r="FY117" s="87"/>
      <c r="GA117" s="83" t="s">
        <v>7565</v>
      </c>
      <c r="GE117" s="356"/>
      <c r="GF117" t="s">
        <v>7714</v>
      </c>
      <c r="GG117" s="356" t="s">
        <v>8924</v>
      </c>
      <c r="GH117" s="83" t="s">
        <v>8917</v>
      </c>
      <c r="GI117" s="83" t="s">
        <v>8916</v>
      </c>
      <c r="GJ117" s="83"/>
      <c r="GK117" s="530"/>
    </row>
    <row r="118" spans="8:193" ht="13.2" customHeight="1">
      <c r="H118" s="3" t="s">
        <v>807</v>
      </c>
      <c r="I118" s="3" t="s">
        <v>714</v>
      </c>
      <c r="J118" s="136"/>
      <c r="K118" s="3"/>
      <c r="L118" s="3"/>
      <c r="M118" s="651"/>
      <c r="N118" s="3"/>
      <c r="O118" s="3"/>
      <c r="P118" s="3"/>
      <c r="Q118" s="3"/>
      <c r="R118" s="651"/>
      <c r="S118" s="83" t="str">
        <f>IF(CareerType=Y118,"Danseur de guerre",IF(AllCareers="X","Danseur de guerre",IF(Selectsousrace="","",IF(OR(FirstCareer="1ère carrière",Selectsousrace&lt;&gt;"Elfe Sylvain"),"","Danseur de guerre"))))</f>
        <v/>
      </c>
      <c r="T118" s="106">
        <f t="shared" si="94"/>
        <v>1</v>
      </c>
      <c r="U118" s="693" t="str">
        <f t="shared" si="75"/>
        <v/>
      </c>
      <c r="V118" s="693" t="str">
        <f t="shared" si="76"/>
        <v/>
      </c>
      <c r="W118" s="693" t="str">
        <f t="shared" si="77"/>
        <v/>
      </c>
      <c r="X118" s="89" t="s">
        <v>2153</v>
      </c>
      <c r="Y118" s="744" t="s">
        <v>7130</v>
      </c>
      <c r="Z118" s="56" t="s">
        <v>11171</v>
      </c>
      <c r="AA118" s="89">
        <v>35</v>
      </c>
      <c r="AB118" s="89" t="s">
        <v>11172</v>
      </c>
      <c r="AD118" s="105" t="s">
        <v>100</v>
      </c>
      <c r="AE118" s="105" t="s">
        <v>101</v>
      </c>
      <c r="AF118" s="105" t="s">
        <v>98</v>
      </c>
      <c r="AG118" s="105" t="s">
        <v>98</v>
      </c>
      <c r="AH118" s="105" t="s">
        <v>101</v>
      </c>
      <c r="AI118" s="105" t="s">
        <v>149</v>
      </c>
      <c r="AJ118" s="105" t="s">
        <v>101</v>
      </c>
      <c r="AK118" s="443" t="s">
        <v>149</v>
      </c>
      <c r="AL118" s="105" t="s">
        <v>102</v>
      </c>
      <c r="AM118" s="105" t="s">
        <v>103</v>
      </c>
      <c r="AN118" s="105" t="s">
        <v>149</v>
      </c>
      <c r="AO118" s="105" t="s">
        <v>102</v>
      </c>
      <c r="AP118" s="87" t="s">
        <v>16566</v>
      </c>
      <c r="AQ118" s="87" t="s">
        <v>734</v>
      </c>
      <c r="AR118" s="87" t="s">
        <v>12264</v>
      </c>
      <c r="AS118" s="87" t="s">
        <v>734</v>
      </c>
      <c r="AT118" s="87" t="s">
        <v>11173</v>
      </c>
      <c r="AU118" s="87" t="s">
        <v>11179</v>
      </c>
      <c r="AV118" s="87" t="s">
        <v>11174</v>
      </c>
      <c r="AW118" s="458">
        <v>0</v>
      </c>
      <c r="AX118" s="630" t="str">
        <f t="shared" si="81"/>
        <v/>
      </c>
      <c r="AY118" s="630" t="str">
        <f t="shared" si="82"/>
        <v/>
      </c>
      <c r="AZ118" s="630" t="str">
        <f t="shared" si="83"/>
        <v/>
      </c>
      <c r="BA118" s="3"/>
      <c r="BB118" s="3"/>
      <c r="BC118" s="3"/>
      <c r="BD118" s="3"/>
      <c r="BE118" s="3"/>
      <c r="BF118" s="3"/>
      <c r="BG118" s="3"/>
      <c r="BH118" s="3"/>
      <c r="BI118" s="3"/>
      <c r="BJ118" s="3"/>
      <c r="BK118" s="3"/>
      <c r="BL118" s="3"/>
      <c r="BN118" s="3"/>
      <c r="BP118" s="3"/>
      <c r="BQ118" s="3" t="s">
        <v>11923</v>
      </c>
      <c r="BR118" s="3"/>
      <c r="BS118" s="3"/>
      <c r="BT118" s="3"/>
      <c r="BU118" s="3"/>
      <c r="BV118" s="3"/>
      <c r="BW118" s="3"/>
      <c r="BX118" s="83" t="str">
        <f>IF(Province="El Kabbath","Medina d'El Kabbath","")</f>
        <v/>
      </c>
      <c r="BY118" t="str">
        <f t="shared" si="78"/>
        <v/>
      </c>
      <c r="BZ118" s="83" t="str">
        <f t="shared" si="70"/>
        <v/>
      </c>
      <c r="CA118" s="83" t="str">
        <f t="shared" si="71"/>
        <v/>
      </c>
      <c r="CB118" s="530" t="str">
        <f t="shared" si="72"/>
        <v/>
      </c>
      <c r="CC118" s="3" t="s">
        <v>3290</v>
      </c>
      <c r="CD118" s="83" t="s">
        <v>15472</v>
      </c>
      <c r="CG118" s="3" t="s">
        <v>3138</v>
      </c>
      <c r="CH118" s="3" t="s">
        <v>5999</v>
      </c>
      <c r="CI118" s="3"/>
      <c r="CJ118" s="3"/>
      <c r="CK118" s="83" t="s">
        <v>15119</v>
      </c>
      <c r="CM118" s="83" t="s">
        <v>15232</v>
      </c>
      <c r="CN118" s="3"/>
      <c r="CO118" s="3" t="s">
        <v>10925</v>
      </c>
      <c r="CP118" s="83"/>
      <c r="CQ118" s="83"/>
      <c r="CR118" s="3" t="s">
        <v>13488</v>
      </c>
      <c r="CU118" s="3"/>
      <c r="CV118" s="3"/>
      <c r="CW118" s="3"/>
      <c r="CX118" s="3"/>
      <c r="CY118" s="38" t="s">
        <v>144</v>
      </c>
      <c r="CZ118" s="3"/>
      <c r="DA118" s="3"/>
      <c r="DB118" s="3"/>
      <c r="DC118" s="3"/>
      <c r="DD118" s="3" t="s">
        <v>2707</v>
      </c>
      <c r="DE118" s="3" t="s">
        <v>132</v>
      </c>
      <c r="DF118" s="3">
        <f>ROW()</f>
        <v>118</v>
      </c>
      <c r="DG118" s="3" t="s">
        <v>780</v>
      </c>
      <c r="DH118" s="3">
        <f t="shared" si="87"/>
        <v>400</v>
      </c>
      <c r="DI118" s="3">
        <f t="shared" si="88"/>
        <v>300</v>
      </c>
      <c r="DJ118" s="3">
        <f t="shared" si="89"/>
        <v>210</v>
      </c>
      <c r="DK118" s="3">
        <f t="shared" si="90"/>
        <v>120</v>
      </c>
      <c r="DL118" s="3"/>
      <c r="DM118" s="3"/>
      <c r="DN118" s="3"/>
      <c r="DO118" s="3"/>
      <c r="DP118" s="3"/>
      <c r="DQ118" s="3"/>
      <c r="DR118" s="3"/>
      <c r="DS118" s="3"/>
      <c r="DT118" s="3"/>
      <c r="DU118" s="3"/>
      <c r="DV118" s="3"/>
      <c r="DW118" s="3"/>
      <c r="DX118" s="3"/>
      <c r="DY118" s="3"/>
      <c r="DZ118" s="3" t="s">
        <v>3021</v>
      </c>
      <c r="EA118" s="83" t="s">
        <v>4541</v>
      </c>
      <c r="EB118" s="3"/>
      <c r="ED118" s="83" t="s">
        <v>12410</v>
      </c>
      <c r="EE118" s="83" t="s">
        <v>12409</v>
      </c>
      <c r="EF118" s="530" t="s">
        <v>16873</v>
      </c>
      <c r="EK118" s="874"/>
      <c r="EM118" s="90" t="s">
        <v>5169</v>
      </c>
      <c r="EN118" s="83" t="s">
        <v>5015</v>
      </c>
      <c r="EO118" s="83" t="s">
        <v>5239</v>
      </c>
      <c r="EP118" t="s">
        <v>5174</v>
      </c>
      <c r="EU118" s="177" t="str">
        <f>IF(Dieu="Sigmar","Ordre du lion d’or","")</f>
        <v/>
      </c>
      <c r="EV118" s="83" t="str">
        <f t="shared" si="69"/>
        <v/>
      </c>
      <c r="EW118" s="83" t="str">
        <f t="shared" si="73"/>
        <v/>
      </c>
      <c r="EX118" s="530" t="str">
        <f t="shared" si="74"/>
        <v/>
      </c>
      <c r="EY118" s="83" t="s">
        <v>12849</v>
      </c>
      <c r="EZ118" s="530" t="s">
        <v>10151</v>
      </c>
      <c r="FB118" s="83" t="s">
        <v>16236</v>
      </c>
      <c r="FC118" s="133" t="s">
        <v>7362</v>
      </c>
      <c r="FD118" s="85" t="s">
        <v>13003</v>
      </c>
      <c r="FE118" s="848" t="s">
        <v>13004</v>
      </c>
      <c r="FF118">
        <v>29</v>
      </c>
      <c r="FG118">
        <v>0</v>
      </c>
      <c r="FH118">
        <v>35</v>
      </c>
      <c r="FI118">
        <v>35</v>
      </c>
      <c r="FJ118" s="10">
        <v>30</v>
      </c>
      <c r="FK118">
        <v>8</v>
      </c>
      <c r="FL118">
        <v>10</v>
      </c>
      <c r="FM118" s="531">
        <v>0</v>
      </c>
      <c r="FN118" s="88">
        <v>1</v>
      </c>
      <c r="FO118" s="88">
        <v>12</v>
      </c>
      <c r="FP118" s="164">
        <f t="shared" si="91"/>
        <v>3</v>
      </c>
      <c r="FQ118" s="164">
        <f t="shared" si="92"/>
        <v>3</v>
      </c>
      <c r="FR118" s="682">
        <v>9</v>
      </c>
      <c r="FS118" s="88">
        <v>0</v>
      </c>
      <c r="FT118" s="88">
        <v>0</v>
      </c>
      <c r="FU118" s="531">
        <v>0</v>
      </c>
      <c r="FV118" s="83" t="s">
        <v>13093</v>
      </c>
      <c r="FW118" s="83" t="s">
        <v>13103</v>
      </c>
      <c r="FX118" s="530" t="s">
        <v>7659</v>
      </c>
      <c r="GA118" t="s">
        <v>7488</v>
      </c>
      <c r="GE118" s="356"/>
      <c r="GF118" t="s">
        <v>7715</v>
      </c>
      <c r="GG118" s="356" t="s">
        <v>16875</v>
      </c>
      <c r="GH118" s="83" t="s">
        <v>8917</v>
      </c>
      <c r="GI118" s="83" t="s">
        <v>8916</v>
      </c>
      <c r="GJ118" s="83"/>
      <c r="GK118" s="530"/>
    </row>
    <row r="119" spans="8:193" ht="13.2" customHeight="1">
      <c r="H119" s="3" t="s">
        <v>808</v>
      </c>
      <c r="I119" s="6" t="s">
        <v>715</v>
      </c>
      <c r="J119" s="136"/>
      <c r="K119" s="3"/>
      <c r="L119" s="3"/>
      <c r="M119" s="651"/>
      <c r="N119" s="3"/>
      <c r="O119" s="3"/>
      <c r="P119" s="3"/>
      <c r="Q119" s="3"/>
      <c r="R119" s="651"/>
      <c r="S119" s="83" t="str">
        <f>IF(CareerType=Y119,"Démagogue",IF(AllCareers="X","Démagogue",IF(Selectsousrace="","",IF(OR(SelectRace="homme-bête",SelectRace="peau-verte",SelectRace="créature du chaos",SelectRace="Homme-lézard",SelectRace="skaven"),"",IF(FirstCareer="1ère carrière","","Démagogue")))))</f>
        <v/>
      </c>
      <c r="T119" s="106">
        <f t="shared" si="94"/>
        <v>1</v>
      </c>
      <c r="U119" s="693" t="str">
        <f t="shared" si="75"/>
        <v/>
      </c>
      <c r="V119" s="693" t="str">
        <f t="shared" si="76"/>
        <v/>
      </c>
      <c r="W119" s="693" t="str">
        <f t="shared" si="77"/>
        <v/>
      </c>
      <c r="X119" s="47" t="s">
        <v>2153</v>
      </c>
      <c r="Y119" s="743" t="s">
        <v>7132</v>
      </c>
      <c r="Z119" s="55" t="s">
        <v>2200</v>
      </c>
      <c r="AA119" s="47">
        <v>70</v>
      </c>
      <c r="AB119" s="89" t="s">
        <v>16876</v>
      </c>
      <c r="AC119" s="47">
        <v>59</v>
      </c>
      <c r="AD119" s="15" t="s">
        <v>98</v>
      </c>
      <c r="AE119" s="15" t="s">
        <v>98</v>
      </c>
      <c r="AF119" s="15" t="s">
        <v>149</v>
      </c>
      <c r="AG119" s="15" t="s">
        <v>98</v>
      </c>
      <c r="AH119" s="15" t="s">
        <v>101</v>
      </c>
      <c r="AI119" s="15" t="s">
        <v>100</v>
      </c>
      <c r="AJ119" s="15" t="s">
        <v>101</v>
      </c>
      <c r="AK119" s="18" t="s">
        <v>116</v>
      </c>
      <c r="AL119" s="15" t="s">
        <v>102</v>
      </c>
      <c r="AM119" s="15" t="s">
        <v>103</v>
      </c>
      <c r="AN119" s="15" t="s">
        <v>149</v>
      </c>
      <c r="AO119" s="15" t="s">
        <v>149</v>
      </c>
      <c r="AP119" s="87" t="s">
        <v>12157</v>
      </c>
      <c r="AQ119" s="87" t="s">
        <v>734</v>
      </c>
      <c r="AR119" s="87" t="s">
        <v>10093</v>
      </c>
      <c r="AS119" s="87" t="s">
        <v>734</v>
      </c>
      <c r="AT119" s="87" t="s">
        <v>16877</v>
      </c>
      <c r="AU119" s="87" t="s">
        <v>5358</v>
      </c>
      <c r="AV119" s="87" t="s">
        <v>4605</v>
      </c>
      <c r="AW119" s="457">
        <v>0</v>
      </c>
      <c r="AX119" s="630" t="str">
        <f t="shared" si="81"/>
        <v/>
      </c>
      <c r="AY119" s="630" t="str">
        <f t="shared" si="82"/>
        <v/>
      </c>
      <c r="AZ119" s="630" t="str">
        <f t="shared" si="83"/>
        <v/>
      </c>
      <c r="BA119" s="3"/>
      <c r="BB119" s="3"/>
      <c r="BC119" s="3"/>
      <c r="BD119" s="3"/>
      <c r="BE119" s="3"/>
      <c r="BF119" s="3"/>
      <c r="BG119" s="3"/>
      <c r="BH119" s="3"/>
      <c r="BI119" s="3"/>
      <c r="BJ119" s="3"/>
      <c r="BK119" s="3"/>
      <c r="BL119" s="3"/>
      <c r="BN119" s="3"/>
      <c r="BP119" s="3"/>
      <c r="BQ119" s="83" t="s">
        <v>11924</v>
      </c>
      <c r="BR119" s="3"/>
      <c r="BS119" s="3"/>
      <c r="BT119" s="3"/>
      <c r="BU119" s="3"/>
      <c r="BV119" s="3"/>
      <c r="BW119" s="3"/>
      <c r="BX119" s="83" t="str">
        <f>IF(Province="El Kalabad","Medina d'El Kalabad","")</f>
        <v/>
      </c>
      <c r="BY119" t="str">
        <f t="shared" si="78"/>
        <v/>
      </c>
      <c r="BZ119" s="83" t="str">
        <f t="shared" si="70"/>
        <v/>
      </c>
      <c r="CA119" s="83" t="str">
        <f t="shared" si="71"/>
        <v/>
      </c>
      <c r="CB119" s="530" t="str">
        <f t="shared" si="72"/>
        <v/>
      </c>
      <c r="CC119" s="3" t="s">
        <v>3291</v>
      </c>
      <c r="CD119" s="3" t="s">
        <v>3195</v>
      </c>
      <c r="CG119" s="83" t="s">
        <v>15246</v>
      </c>
      <c r="CH119" s="83" t="s">
        <v>16878</v>
      </c>
      <c r="CI119" s="3"/>
      <c r="CJ119" s="3"/>
      <c r="CK119" s="83" t="s">
        <v>15043</v>
      </c>
      <c r="CM119" s="83" t="s">
        <v>15190</v>
      </c>
      <c r="CN119" s="3"/>
      <c r="CO119" s="3" t="str">
        <f>CONCATENATE("Finn",IF(AND('page 1'!M11="Féminin",Pays="Norsca"),"dottir",IF(AND('page 1'!M11="Masculin",Pays="Norsca"),"son",IF(AND('page 1'!M11="Féminin",Pays="Kislev"),"ovna",IF(AND('page 1'!M11="Masculin",Pays="Kislev"),"sky","")))))</f>
        <v>Finn</v>
      </c>
      <c r="CP119" s="3"/>
      <c r="CQ119" s="3"/>
      <c r="CR119" s="3" t="s">
        <v>13489</v>
      </c>
      <c r="CU119" s="3"/>
      <c r="CV119" s="3"/>
      <c r="CW119" s="3"/>
      <c r="CX119" s="3"/>
      <c r="CY119" s="38" t="s">
        <v>145</v>
      </c>
      <c r="CZ119" s="3"/>
      <c r="DA119" s="3"/>
      <c r="DB119" s="3"/>
      <c r="DC119" s="3"/>
      <c r="DD119" s="83" t="s">
        <v>9983</v>
      </c>
      <c r="DE119" s="83" t="s">
        <v>133</v>
      </c>
      <c r="DF119" s="3">
        <f>ROW()</f>
        <v>119</v>
      </c>
      <c r="DG119" s="3" t="s">
        <v>2174</v>
      </c>
      <c r="DH119" s="3">
        <f t="shared" si="87"/>
        <v>135</v>
      </c>
      <c r="DI119" s="3">
        <f t="shared" si="88"/>
        <v>115</v>
      </c>
      <c r="DJ119" s="3">
        <f t="shared" si="89"/>
        <v>95</v>
      </c>
      <c r="DK119" s="3">
        <f t="shared" si="90"/>
        <v>75</v>
      </c>
      <c r="DL119" s="3"/>
      <c r="DM119" s="3"/>
      <c r="DN119" s="3"/>
      <c r="DO119" s="3"/>
      <c r="DP119" s="3"/>
      <c r="DQ119" s="3"/>
      <c r="DR119" s="3"/>
      <c r="DS119" s="3"/>
      <c r="DT119" s="3"/>
      <c r="DU119" s="3"/>
      <c r="DV119" s="3"/>
      <c r="DW119" s="3"/>
      <c r="DX119" s="3"/>
      <c r="DY119" s="3"/>
      <c r="DZ119" s="3" t="s">
        <v>3022</v>
      </c>
      <c r="EA119" s="83" t="s">
        <v>4541</v>
      </c>
      <c r="EB119" s="3"/>
      <c r="ED119" s="83" t="s">
        <v>12172</v>
      </c>
      <c r="EE119" s="83" t="s">
        <v>2578</v>
      </c>
      <c r="EF119" s="540" t="s">
        <v>12174</v>
      </c>
      <c r="EK119" s="874"/>
      <c r="EM119" s="90" t="s">
        <v>5170</v>
      </c>
      <c r="EN119" s="83" t="s">
        <v>5015</v>
      </c>
      <c r="EO119" s="83" t="s">
        <v>5238</v>
      </c>
      <c r="EP119" t="s">
        <v>5174</v>
      </c>
      <c r="EU119" s="177" t="str">
        <f>IF(Dieu="Sigmar","Ordre du Marteau d'argent","")</f>
        <v/>
      </c>
      <c r="EV119" s="83" t="str">
        <f t="shared" si="69"/>
        <v/>
      </c>
      <c r="EW119" s="83" t="str">
        <f t="shared" si="73"/>
        <v/>
      </c>
      <c r="EX119" s="530" t="str">
        <f t="shared" si="74"/>
        <v/>
      </c>
      <c r="EZ119" s="530" t="s">
        <v>10147</v>
      </c>
      <c r="FB119" s="83" t="s">
        <v>14997</v>
      </c>
      <c r="FC119" s="133" t="s">
        <v>7362</v>
      </c>
      <c r="FD119" s="85" t="s">
        <v>14968</v>
      </c>
      <c r="FE119" s="849">
        <v>41</v>
      </c>
      <c r="FF119">
        <v>58</v>
      </c>
      <c r="FG119">
        <v>0</v>
      </c>
      <c r="FH119">
        <v>56</v>
      </c>
      <c r="FI119">
        <v>65</v>
      </c>
      <c r="FJ119" s="10">
        <v>70</v>
      </c>
      <c r="FK119">
        <v>50</v>
      </c>
      <c r="FL119">
        <v>44</v>
      </c>
      <c r="FM119" s="165">
        <v>5</v>
      </c>
      <c r="FN119" s="88">
        <v>2</v>
      </c>
      <c r="FO119" s="88">
        <v>30</v>
      </c>
      <c r="FP119" s="691">
        <f t="shared" si="91"/>
        <v>5</v>
      </c>
      <c r="FQ119" s="691">
        <f t="shared" si="92"/>
        <v>6</v>
      </c>
      <c r="FR119" s="10">
        <v>6</v>
      </c>
      <c r="FS119" s="88">
        <v>0</v>
      </c>
      <c r="FT119" s="88">
        <v>0</v>
      </c>
      <c r="FU119" s="165">
        <v>0</v>
      </c>
      <c r="FV119" s="83" t="s">
        <v>14999</v>
      </c>
      <c r="FW119" s="83" t="s">
        <v>16874</v>
      </c>
      <c r="FX119" s="530" t="s">
        <v>14998</v>
      </c>
      <c r="GA119" t="s">
        <v>7566</v>
      </c>
      <c r="GE119" s="356"/>
      <c r="GF119" t="s">
        <v>7716</v>
      </c>
      <c r="GG119" s="356" t="s">
        <v>8920</v>
      </c>
      <c r="GH119" s="83" t="s">
        <v>8917</v>
      </c>
      <c r="GI119" s="83" t="s">
        <v>8916</v>
      </c>
      <c r="GJ119" s="83"/>
      <c r="GK119" s="530"/>
    </row>
    <row r="120" spans="8:193" ht="13.2" customHeight="1">
      <c r="H120" s="3" t="s">
        <v>809</v>
      </c>
      <c r="I120" s="3" t="s">
        <v>711</v>
      </c>
      <c r="J120" s="136"/>
      <c r="K120" s="3"/>
      <c r="L120" s="3"/>
      <c r="M120" s="651"/>
      <c r="N120" s="3"/>
      <c r="O120" s="3"/>
      <c r="P120" s="3"/>
      <c r="Q120" s="3"/>
      <c r="R120" s="651"/>
      <c r="S120" s="83" t="str">
        <f>IF(CareerType=Y120,"Démon exalté",IF(AllCareers="X","Démon exalté",IF(OR(SelectRace="Homme-lézard",SelectRace=""),"",IF(FirstCareer="1ère carrière","","Démon exalté"))))</f>
        <v/>
      </c>
      <c r="T120" s="106">
        <f t="shared" si="94"/>
        <v>1</v>
      </c>
      <c r="U120" s="693" t="str">
        <f t="shared" si="75"/>
        <v/>
      </c>
      <c r="V120" s="693" t="str">
        <f t="shared" si="76"/>
        <v/>
      </c>
      <c r="W120" s="693" t="str">
        <f t="shared" si="77"/>
        <v/>
      </c>
      <c r="X120" s="47" t="s">
        <v>2153</v>
      </c>
      <c r="Y120" s="743" t="s">
        <v>7133</v>
      </c>
      <c r="Z120" s="55" t="s">
        <v>2196</v>
      </c>
      <c r="AA120" s="47">
        <v>180</v>
      </c>
      <c r="AB120" s="89" t="s">
        <v>9292</v>
      </c>
      <c r="AC120" s="47"/>
      <c r="AD120" s="15" t="s">
        <v>1506</v>
      </c>
      <c r="AE120" s="15" t="s">
        <v>149</v>
      </c>
      <c r="AF120" s="15" t="s">
        <v>97</v>
      </c>
      <c r="AG120" s="15" t="s">
        <v>97</v>
      </c>
      <c r="AH120" s="15" t="s">
        <v>116</v>
      </c>
      <c r="AI120" s="15" t="s">
        <v>116</v>
      </c>
      <c r="AJ120" s="15" t="s">
        <v>97</v>
      </c>
      <c r="AK120" s="18" t="s">
        <v>100</v>
      </c>
      <c r="AL120" s="15" t="s">
        <v>103</v>
      </c>
      <c r="AM120" s="15" t="s">
        <v>101</v>
      </c>
      <c r="AN120" s="15" t="s">
        <v>149</v>
      </c>
      <c r="AO120" s="15" t="s">
        <v>103</v>
      </c>
      <c r="AP120" s="22" t="s">
        <v>771</v>
      </c>
      <c r="AQ120" s="87" t="s">
        <v>771</v>
      </c>
      <c r="AR120" s="22" t="s">
        <v>734</v>
      </c>
      <c r="AS120" s="22" t="s">
        <v>734</v>
      </c>
      <c r="AT120" s="22" t="s">
        <v>3540</v>
      </c>
      <c r="AU120" s="87" t="s">
        <v>16444</v>
      </c>
      <c r="AV120" s="87" t="s">
        <v>4698</v>
      </c>
      <c r="AW120" s="457">
        <v>0</v>
      </c>
      <c r="AX120" s="630" t="str">
        <f t="shared" si="81"/>
        <v/>
      </c>
      <c r="AY120" s="630" t="str">
        <f t="shared" si="82"/>
        <v/>
      </c>
      <c r="AZ120" s="630" t="str">
        <f t="shared" si="83"/>
        <v/>
      </c>
      <c r="BA120" s="3"/>
      <c r="BB120" s="3"/>
      <c r="BC120" s="3"/>
      <c r="BD120" s="3"/>
      <c r="BE120" s="3"/>
      <c r="BF120" s="3"/>
      <c r="BG120" s="3"/>
      <c r="BH120" s="3"/>
      <c r="BI120" s="3"/>
      <c r="BJ120" s="3"/>
      <c r="BK120" s="3"/>
      <c r="BL120" s="3"/>
      <c r="BN120" s="3"/>
      <c r="BP120" s="3"/>
      <c r="BQ120" s="3" t="s">
        <v>11925</v>
      </c>
      <c r="BR120" s="83"/>
      <c r="BS120" s="83"/>
      <c r="BT120" s="3"/>
      <c r="BU120" s="3"/>
      <c r="BV120" s="3"/>
      <c r="BW120" s="3"/>
      <c r="BX120" s="83" t="str">
        <f>IF(Province="Gobi-Alain","Medina de Gobi-Alain","")</f>
        <v/>
      </c>
      <c r="BY120" t="str">
        <f t="shared" si="78"/>
        <v/>
      </c>
      <c r="BZ120" s="83" t="str">
        <f t="shared" si="70"/>
        <v/>
      </c>
      <c r="CA120" s="83" t="str">
        <f t="shared" si="71"/>
        <v/>
      </c>
      <c r="CB120" s="530" t="str">
        <f t="shared" si="72"/>
        <v/>
      </c>
      <c r="CC120" s="3" t="s">
        <v>3292</v>
      </c>
      <c r="CD120" s="3" t="s">
        <v>3196</v>
      </c>
      <c r="CG120" s="3" t="s">
        <v>6215</v>
      </c>
      <c r="CH120" s="3" t="s">
        <v>6000</v>
      </c>
      <c r="CI120" s="3"/>
      <c r="CJ120" s="3"/>
      <c r="CK120" s="3" t="s">
        <v>6906</v>
      </c>
      <c r="CM120" s="3" t="s">
        <v>6633</v>
      </c>
      <c r="CN120" s="3"/>
      <c r="CO120" s="83" t="str">
        <f>CONCATENATE("Firen",IF(AND('page 1'!M11="Féminin",Pays="Norsca"),"dottir",IF(AND('page 1'!M11="Masculin",Pays="Norsca"),"son",IF(AND('page 1'!M11="Féminin",Pays="Kislev"),"ovna",IF(AND('page 1'!M11="Masculin",Pays="Kislev"),"sky","")))))</f>
        <v>Firen</v>
      </c>
      <c r="CP120" s="3"/>
      <c r="CQ120" s="3"/>
      <c r="CR120" s="3" t="s">
        <v>13490</v>
      </c>
      <c r="CU120" s="3"/>
      <c r="CV120" s="3"/>
      <c r="CW120" s="3"/>
      <c r="CX120" s="3"/>
      <c r="CY120" s="3" t="s">
        <v>432</v>
      </c>
      <c r="CZ120" s="3"/>
      <c r="DA120" s="3"/>
      <c r="DB120" s="3"/>
      <c r="DC120" s="3"/>
      <c r="DD120" s="83" t="s">
        <v>11182</v>
      </c>
      <c r="DE120" s="83" t="s">
        <v>135</v>
      </c>
      <c r="DF120" s="3">
        <f>ROW()</f>
        <v>120</v>
      </c>
      <c r="DG120" s="3" t="s">
        <v>2174</v>
      </c>
      <c r="DH120" s="3">
        <f t="shared" si="87"/>
        <v>135</v>
      </c>
      <c r="DI120" s="3">
        <f t="shared" si="88"/>
        <v>115</v>
      </c>
      <c r="DJ120" s="3">
        <f t="shared" si="89"/>
        <v>95</v>
      </c>
      <c r="DK120" s="3">
        <f t="shared" si="90"/>
        <v>75</v>
      </c>
      <c r="DL120" s="3"/>
      <c r="DM120" s="3"/>
      <c r="DN120" s="3"/>
      <c r="DO120" s="3"/>
      <c r="DP120" s="3"/>
      <c r="DQ120" s="3"/>
      <c r="DR120" s="3"/>
      <c r="DS120" s="3"/>
      <c r="DT120" s="3"/>
      <c r="DU120" s="3"/>
      <c r="DV120" s="3"/>
      <c r="DW120" s="3"/>
      <c r="DX120" s="3"/>
      <c r="DY120" s="3"/>
      <c r="DZ120" s="3" t="s">
        <v>3023</v>
      </c>
      <c r="EA120" s="83" t="s">
        <v>4542</v>
      </c>
      <c r="EB120" s="3"/>
      <c r="ED120" s="83" t="s">
        <v>12173</v>
      </c>
      <c r="EE120" s="83" t="s">
        <v>2578</v>
      </c>
      <c r="EF120" s="540" t="s">
        <v>16880</v>
      </c>
      <c r="EK120" s="874"/>
      <c r="EM120" s="90" t="s">
        <v>5171</v>
      </c>
      <c r="EN120" s="83" t="s">
        <v>5015</v>
      </c>
      <c r="EO120" s="83" t="s">
        <v>5237</v>
      </c>
      <c r="EP120" t="s">
        <v>5174</v>
      </c>
      <c r="EU120" s="177" t="str">
        <f>IF(Dieu="Sigmar","Ordre du sang","")</f>
        <v/>
      </c>
      <c r="EV120" s="83" t="str">
        <f t="shared" si="69"/>
        <v/>
      </c>
      <c r="EW120" s="83" t="str">
        <f t="shared" si="73"/>
        <v/>
      </c>
      <c r="EX120" s="530" t="str">
        <f t="shared" si="74"/>
        <v/>
      </c>
      <c r="EY120" s="83" t="s">
        <v>12390</v>
      </c>
      <c r="EZ120" s="530" t="s">
        <v>5887</v>
      </c>
      <c r="FB120" s="83" t="s">
        <v>13092</v>
      </c>
      <c r="FC120" s="133" t="s">
        <v>7362</v>
      </c>
      <c r="FD120" s="85" t="s">
        <v>7245</v>
      </c>
      <c r="FE120" s="849">
        <v>85</v>
      </c>
      <c r="FF120">
        <v>38</v>
      </c>
      <c r="FG120">
        <v>0</v>
      </c>
      <c r="FH120">
        <v>41</v>
      </c>
      <c r="FI120">
        <v>44</v>
      </c>
      <c r="FJ120" s="10">
        <v>60</v>
      </c>
      <c r="FK120">
        <v>15</v>
      </c>
      <c r="FL120">
        <v>35</v>
      </c>
      <c r="FM120" s="165">
        <v>5</v>
      </c>
      <c r="FN120" s="88">
        <v>2</v>
      </c>
      <c r="FO120" s="88">
        <v>25</v>
      </c>
      <c r="FP120" s="164">
        <f t="shared" si="91"/>
        <v>4</v>
      </c>
      <c r="FQ120" s="164">
        <f t="shared" si="92"/>
        <v>4</v>
      </c>
      <c r="FR120" s="682">
        <v>6</v>
      </c>
      <c r="FS120" s="88">
        <v>0</v>
      </c>
      <c r="FT120" s="88">
        <v>0</v>
      </c>
      <c r="FU120" s="165">
        <v>0</v>
      </c>
      <c r="FV120" s="83" t="s">
        <v>13066</v>
      </c>
      <c r="FW120" s="83" t="s">
        <v>16879</v>
      </c>
      <c r="FX120" s="530" t="s">
        <v>9938</v>
      </c>
      <c r="GA120" s="83" t="s">
        <v>7549</v>
      </c>
      <c r="GE120" s="356"/>
      <c r="GF120" t="s">
        <v>7717</v>
      </c>
      <c r="GG120" s="356" t="s">
        <v>8923</v>
      </c>
      <c r="GH120" s="83" t="s">
        <v>8917</v>
      </c>
      <c r="GI120" s="83" t="s">
        <v>8916</v>
      </c>
      <c r="GJ120" s="83"/>
      <c r="GK120" s="530"/>
    </row>
    <row r="121" spans="8:193" ht="13.2" customHeight="1">
      <c r="H121" s="3" t="s">
        <v>2667</v>
      </c>
      <c r="I121" s="83" t="s">
        <v>2668</v>
      </c>
      <c r="J121" s="3"/>
      <c r="K121" s="3"/>
      <c r="L121" s="3"/>
      <c r="M121" s="651"/>
      <c r="N121" s="3"/>
      <c r="O121" s="3"/>
      <c r="P121" s="3"/>
      <c r="Q121" s="3"/>
      <c r="R121" s="651"/>
      <c r="S121" s="83" t="str">
        <f>IF(CareerType=Y121,"Démon exalté de Khorne",IF(AllCareers="X","Démon exalté de Khorne",IF(OR(SelectRace="Homme-lézard",SelectRace=""),"",IF(FirstCareer="1ère carrière","","Démon exalté de Khorne"))))</f>
        <v/>
      </c>
      <c r="T121" s="106">
        <f t="shared" si="94"/>
        <v>1</v>
      </c>
      <c r="U121" s="693" t="str">
        <f t="shared" si="75"/>
        <v/>
      </c>
      <c r="V121" s="693" t="str">
        <f t="shared" si="76"/>
        <v/>
      </c>
      <c r="W121" s="693" t="str">
        <f t="shared" si="77"/>
        <v/>
      </c>
      <c r="X121" s="47" t="s">
        <v>2153</v>
      </c>
      <c r="Y121" s="743" t="s">
        <v>7130</v>
      </c>
      <c r="Z121" s="55" t="s">
        <v>2196</v>
      </c>
      <c r="AA121" s="47">
        <v>180</v>
      </c>
      <c r="AB121" s="89" t="s">
        <v>9293</v>
      </c>
      <c r="AC121" s="47"/>
      <c r="AD121" s="15" t="s">
        <v>1506</v>
      </c>
      <c r="AE121" s="15" t="s">
        <v>149</v>
      </c>
      <c r="AF121" s="15" t="s">
        <v>97</v>
      </c>
      <c r="AG121" s="15" t="s">
        <v>97</v>
      </c>
      <c r="AH121" s="15" t="s">
        <v>116</v>
      </c>
      <c r="AI121" s="15" t="s">
        <v>116</v>
      </c>
      <c r="AJ121" s="15" t="s">
        <v>97</v>
      </c>
      <c r="AK121" s="18" t="s">
        <v>100</v>
      </c>
      <c r="AL121" s="15" t="s">
        <v>112</v>
      </c>
      <c r="AM121" s="15" t="s">
        <v>101</v>
      </c>
      <c r="AN121" s="15" t="s">
        <v>149</v>
      </c>
      <c r="AO121" s="15" t="s">
        <v>149</v>
      </c>
      <c r="AP121" s="22" t="s">
        <v>771</v>
      </c>
      <c r="AQ121" s="87" t="s">
        <v>771</v>
      </c>
      <c r="AR121" s="22" t="s">
        <v>734</v>
      </c>
      <c r="AS121" s="22" t="s">
        <v>734</v>
      </c>
      <c r="AT121" s="22" t="s">
        <v>3541</v>
      </c>
      <c r="AU121" s="87" t="s">
        <v>16445</v>
      </c>
      <c r="AV121" s="87" t="s">
        <v>4698</v>
      </c>
      <c r="AW121" s="457">
        <v>0</v>
      </c>
      <c r="AX121" s="630" t="str">
        <f t="shared" si="81"/>
        <v/>
      </c>
      <c r="AY121" s="630" t="str">
        <f t="shared" si="82"/>
        <v/>
      </c>
      <c r="AZ121" s="630" t="str">
        <f t="shared" si="83"/>
        <v/>
      </c>
      <c r="BA121" s="3"/>
      <c r="BB121" s="3"/>
      <c r="BC121" s="3"/>
      <c r="BD121" s="3"/>
      <c r="BE121" s="3"/>
      <c r="BF121" s="3"/>
      <c r="BG121" s="3"/>
      <c r="BH121" s="3"/>
      <c r="BI121" s="3"/>
      <c r="BJ121" s="3"/>
      <c r="BK121" s="3"/>
      <c r="BL121" s="3"/>
      <c r="BN121" s="3"/>
      <c r="BP121" s="3"/>
      <c r="BQ121" s="3" t="s">
        <v>11926</v>
      </c>
      <c r="BR121" s="3"/>
      <c r="BS121" s="3"/>
      <c r="BT121" s="3"/>
      <c r="BU121" s="3"/>
      <c r="BV121" s="3"/>
      <c r="BW121" s="3"/>
      <c r="BX121" t="str">
        <f>IF(Province="Gomorh","Medina de Gomorh","")</f>
        <v/>
      </c>
      <c r="BY121" t="str">
        <f t="shared" si="78"/>
        <v/>
      </c>
      <c r="BZ121" s="83" t="str">
        <f t="shared" si="70"/>
        <v/>
      </c>
      <c r="CA121" s="83" t="str">
        <f t="shared" si="71"/>
        <v/>
      </c>
      <c r="CB121" s="530" t="str">
        <f t="shared" si="72"/>
        <v/>
      </c>
      <c r="CC121" s="3" t="s">
        <v>3293</v>
      </c>
      <c r="CD121" s="3" t="s">
        <v>3197</v>
      </c>
      <c r="CG121" s="3" t="s">
        <v>6216</v>
      </c>
      <c r="CH121" s="3" t="s">
        <v>6001</v>
      </c>
      <c r="CI121" s="3"/>
      <c r="CJ121" s="3"/>
      <c r="CK121" s="3" t="s">
        <v>6869</v>
      </c>
      <c r="CM121" s="3" t="s">
        <v>6634</v>
      </c>
      <c r="CN121" s="3"/>
      <c r="CO121" s="3" t="s">
        <v>10964</v>
      </c>
      <c r="CP121" s="3"/>
      <c r="CQ121" s="3"/>
      <c r="CR121" s="3" t="s">
        <v>13491</v>
      </c>
      <c r="CU121" s="3"/>
      <c r="CV121" s="3"/>
      <c r="CW121" s="3"/>
      <c r="CX121" s="3"/>
      <c r="CY121" s="83" t="s">
        <v>12949</v>
      </c>
      <c r="CZ121" s="3"/>
      <c r="DA121" s="3"/>
      <c r="DB121" s="3"/>
      <c r="DC121" s="3"/>
      <c r="DD121" s="83" t="s">
        <v>11208</v>
      </c>
      <c r="DE121" s="3" t="s">
        <v>131</v>
      </c>
      <c r="DF121" s="3">
        <f>ROW()</f>
        <v>121</v>
      </c>
      <c r="DG121" s="3" t="s">
        <v>780</v>
      </c>
      <c r="DH121" s="3">
        <f t="shared" si="87"/>
        <v>400</v>
      </c>
      <c r="DI121" s="3">
        <f t="shared" si="88"/>
        <v>300</v>
      </c>
      <c r="DJ121" s="3">
        <f t="shared" si="89"/>
        <v>210</v>
      </c>
      <c r="DK121" s="3">
        <f t="shared" si="90"/>
        <v>120</v>
      </c>
      <c r="DL121" s="3"/>
      <c r="DM121" s="3"/>
      <c r="DN121" s="3"/>
      <c r="DO121" s="3"/>
      <c r="DP121" s="3"/>
      <c r="DQ121" s="3"/>
      <c r="DR121" s="3"/>
      <c r="DS121" s="3"/>
      <c r="DT121" s="3"/>
      <c r="DU121" s="3"/>
      <c r="DV121" s="3"/>
      <c r="DW121" s="3"/>
      <c r="DX121" s="3"/>
      <c r="DY121" s="3"/>
      <c r="DZ121" s="3" t="s">
        <v>3024</v>
      </c>
      <c r="EA121" s="83" t="s">
        <v>4542</v>
      </c>
      <c r="EB121" s="3"/>
      <c r="ED121" s="83" t="s">
        <v>12170</v>
      </c>
      <c r="EE121" s="83" t="s">
        <v>2578</v>
      </c>
      <c r="EF121" s="540" t="s">
        <v>12171</v>
      </c>
      <c r="EK121" s="874"/>
      <c r="EM121" s="90" t="s">
        <v>5172</v>
      </c>
      <c r="EN121" s="83" t="s">
        <v>5015</v>
      </c>
      <c r="EO121" s="83" t="s">
        <v>5236</v>
      </c>
      <c r="EP121" t="s">
        <v>5174</v>
      </c>
      <c r="EU121" s="177" t="str">
        <f>IF(Dieu="Sigmar","Ordre monastique de l'enclume","")</f>
        <v/>
      </c>
      <c r="EV121" s="83" t="str">
        <f t="shared" si="69"/>
        <v/>
      </c>
      <c r="EW121" s="83" t="str">
        <f t="shared" si="73"/>
        <v/>
      </c>
      <c r="EX121" s="530" t="str">
        <f t="shared" si="74"/>
        <v/>
      </c>
      <c r="EZ121" s="530" t="s">
        <v>9103</v>
      </c>
      <c r="FB121" s="83" t="s">
        <v>10161</v>
      </c>
      <c r="FC121" s="133" t="s">
        <v>7362</v>
      </c>
      <c r="FD121" s="85" t="s">
        <v>9703</v>
      </c>
      <c r="FE121" s="849">
        <v>357</v>
      </c>
      <c r="FF121">
        <v>54</v>
      </c>
      <c r="FG121">
        <v>37</v>
      </c>
      <c r="FH121">
        <v>48</v>
      </c>
      <c r="FI121">
        <v>51</v>
      </c>
      <c r="FJ121" s="10">
        <v>43</v>
      </c>
      <c r="FK121">
        <v>36</v>
      </c>
      <c r="FL121">
        <v>47</v>
      </c>
      <c r="FM121" s="165">
        <v>39</v>
      </c>
      <c r="FN121" s="88">
        <v>2</v>
      </c>
      <c r="FO121" s="88">
        <v>16</v>
      </c>
      <c r="FP121" s="164">
        <f t="shared" si="91"/>
        <v>4</v>
      </c>
      <c r="FQ121" s="164">
        <f t="shared" si="92"/>
        <v>5</v>
      </c>
      <c r="FR121" s="682">
        <v>4</v>
      </c>
      <c r="FS121" s="88">
        <v>0</v>
      </c>
      <c r="FT121" s="88">
        <v>0</v>
      </c>
      <c r="FU121" s="165">
        <v>0</v>
      </c>
      <c r="FV121" s="83" t="s">
        <v>9362</v>
      </c>
      <c r="FW121" s="83" t="s">
        <v>7228</v>
      </c>
      <c r="GA121" t="s">
        <v>7567</v>
      </c>
      <c r="GE121" s="356"/>
      <c r="GF121" t="s">
        <v>7718</v>
      </c>
      <c r="GG121" s="356" t="s">
        <v>8933</v>
      </c>
      <c r="GH121" s="83" t="s">
        <v>8926</v>
      </c>
      <c r="GI121" s="83" t="s">
        <v>8927</v>
      </c>
      <c r="GJ121" s="83"/>
      <c r="GK121" s="530"/>
    </row>
    <row r="122" spans="8:193" ht="13.2" customHeight="1">
      <c r="H122" s="3" t="s">
        <v>810</v>
      </c>
      <c r="I122" s="3" t="s">
        <v>716</v>
      </c>
      <c r="J122" s="3"/>
      <c r="K122" s="3"/>
      <c r="L122" s="3"/>
      <c r="M122" s="651"/>
      <c r="N122" s="3"/>
      <c r="O122" s="3"/>
      <c r="P122" s="3"/>
      <c r="Q122" s="3"/>
      <c r="R122" s="651"/>
      <c r="S122" s="83" t="str">
        <f>IF(CareerType=Y122,"Derviche",IF(AllCareers="X","Derviche",IF(OR(FirstCareer="1ère carrière",SelectRace="homme-bête",SelectRace="peau-verte",SelectRace="créature du chaos",SelectRace="Homme-lézard",SelectRace="skaven"),"",IF(Pays="Arabie","Derviche",""))))</f>
        <v/>
      </c>
      <c r="T122" s="106">
        <f t="shared" si="94"/>
        <v>1</v>
      </c>
      <c r="U122" s="693" t="str">
        <f t="shared" si="75"/>
        <v/>
      </c>
      <c r="V122" s="693" t="str">
        <f t="shared" si="76"/>
        <v/>
      </c>
      <c r="W122" s="693" t="str">
        <f t="shared" si="77"/>
        <v/>
      </c>
      <c r="X122" s="89" t="s">
        <v>2153</v>
      </c>
      <c r="Y122" s="743" t="s">
        <v>7130</v>
      </c>
      <c r="Z122" s="56" t="s">
        <v>9975</v>
      </c>
      <c r="AA122" s="89">
        <v>235</v>
      </c>
      <c r="AB122" s="89" t="s">
        <v>10034</v>
      </c>
      <c r="AD122" s="105" t="s">
        <v>100</v>
      </c>
      <c r="AE122" s="105" t="s">
        <v>149</v>
      </c>
      <c r="AF122" s="105" t="s">
        <v>98</v>
      </c>
      <c r="AG122" s="105" t="s">
        <v>101</v>
      </c>
      <c r="AH122" s="105" t="s">
        <v>101</v>
      </c>
      <c r="AI122" s="105" t="s">
        <v>149</v>
      </c>
      <c r="AJ122" s="105" t="s">
        <v>98</v>
      </c>
      <c r="AK122" s="443" t="s">
        <v>149</v>
      </c>
      <c r="AL122" s="105" t="s">
        <v>102</v>
      </c>
      <c r="AM122" s="105" t="s">
        <v>114</v>
      </c>
      <c r="AN122" s="105" t="s">
        <v>149</v>
      </c>
      <c r="AO122" s="105" t="s">
        <v>149</v>
      </c>
      <c r="AP122" s="87" t="s">
        <v>10063</v>
      </c>
      <c r="AQ122" s="87" t="s">
        <v>734</v>
      </c>
      <c r="AR122" s="87" t="s">
        <v>10064</v>
      </c>
      <c r="AS122" s="87" t="s">
        <v>734</v>
      </c>
      <c r="AT122" s="87" t="s">
        <v>10065</v>
      </c>
      <c r="AU122" s="87" t="s">
        <v>10066</v>
      </c>
      <c r="AV122" s="87" t="s">
        <v>10067</v>
      </c>
      <c r="AW122" s="458">
        <v>0</v>
      </c>
      <c r="AX122" s="630" t="str">
        <f t="shared" si="81"/>
        <v/>
      </c>
      <c r="AY122" s="630" t="str">
        <f t="shared" si="82"/>
        <v/>
      </c>
      <c r="AZ122" s="630" t="str">
        <f t="shared" si="83"/>
        <v/>
      </c>
      <c r="BA122" s="3"/>
      <c r="BB122" s="3"/>
      <c r="BC122" s="3"/>
      <c r="BD122" s="3"/>
      <c r="BE122" s="3"/>
      <c r="BF122" s="3"/>
      <c r="BG122" s="3"/>
      <c r="BH122" s="3"/>
      <c r="BI122" s="3"/>
      <c r="BJ122" s="3"/>
      <c r="BK122" s="3"/>
      <c r="BL122" s="3"/>
      <c r="BN122" s="3"/>
      <c r="BP122" s="3"/>
      <c r="BQ122" s="3" t="s">
        <v>11927</v>
      </c>
      <c r="BR122" s="3"/>
      <c r="BS122" s="3"/>
      <c r="BT122" s="3"/>
      <c r="BU122" s="3"/>
      <c r="BV122" s="3"/>
      <c r="BW122" s="3"/>
      <c r="BX122" t="str">
        <f>IF(Province="Istrabul","Medina d'Istrabul","")</f>
        <v/>
      </c>
      <c r="BY122" t="str">
        <f t="shared" si="78"/>
        <v/>
      </c>
      <c r="BZ122" s="83" t="str">
        <f t="shared" si="70"/>
        <v/>
      </c>
      <c r="CA122" s="83" t="str">
        <f t="shared" si="71"/>
        <v/>
      </c>
      <c r="CB122" s="530" t="str">
        <f t="shared" si="72"/>
        <v/>
      </c>
      <c r="CC122" s="3" t="s">
        <v>1044</v>
      </c>
      <c r="CD122" s="3" t="s">
        <v>3198</v>
      </c>
      <c r="CG122" s="3" t="s">
        <v>6217</v>
      </c>
      <c r="CH122" s="3" t="s">
        <v>6002</v>
      </c>
      <c r="CI122" s="3"/>
      <c r="CJ122" s="3"/>
      <c r="CK122" t="s">
        <v>15036</v>
      </c>
      <c r="CM122" t="s">
        <v>10324</v>
      </c>
      <c r="CN122" s="3"/>
      <c r="CO122" s="3" t="s">
        <v>4024</v>
      </c>
      <c r="CP122" s="3"/>
      <c r="CQ122" s="3"/>
      <c r="CR122" s="3" t="s">
        <v>13492</v>
      </c>
      <c r="CS122" s="3"/>
      <c r="CT122" s="3"/>
      <c r="CU122" s="3"/>
      <c r="CV122" s="3"/>
      <c r="CW122" s="3"/>
      <c r="CX122" s="3"/>
      <c r="CY122" s="83" t="s">
        <v>11350</v>
      </c>
      <c r="CZ122" s="3"/>
      <c r="DA122" s="3"/>
      <c r="DB122" s="3"/>
      <c r="DC122" s="3"/>
      <c r="DD122" s="83" t="s">
        <v>9400</v>
      </c>
      <c r="DE122" s="83" t="s">
        <v>132</v>
      </c>
      <c r="DF122" s="3">
        <f>ROW()</f>
        <v>122</v>
      </c>
      <c r="DG122" s="3" t="s">
        <v>780</v>
      </c>
      <c r="DH122" s="3">
        <f t="shared" ref="DH122:DH132" si="95">IF($DG122="Artisan",400,IF($DG122="Détaillant",195,IF($DG122="Fermier",135,IF($DG122="Aubergiste",150,IF($DG122="Spécialiste",750,0)))))</f>
        <v>400</v>
      </c>
      <c r="DI122" s="3">
        <f t="shared" ref="DI122:DI132" si="96">IF($DG122="Artisan",300,IF($DG122="Détaillant",160,IF($DG122="Fermier",115,IF($DG122="Aubergiste",135,IF($DG122="Spécialiste",565,0)))))</f>
        <v>300</v>
      </c>
      <c r="DJ122" s="3">
        <f t="shared" ref="DJ122:DJ132" si="97">IF($DG122="Artisan",210,IF($DG122="Détaillant",130,IF($DG122="Fermier",95,IF($DG122="Aubergiste",120,IF($DG122="Spécialiste",380,0)))))</f>
        <v>210</v>
      </c>
      <c r="DK122" s="3">
        <f t="shared" ref="DK122:DK132" si="98">IF($DG122="Artisan",120,IF($DG122="Détaillant",105,IF($DG122="Fermier",75,IF($DG122="Aubergiste",105,IF($DG122="Spécialiste",195,0)))))</f>
        <v>120</v>
      </c>
      <c r="DL122" s="3"/>
      <c r="DM122" s="3"/>
      <c r="DN122" s="3"/>
      <c r="DO122" s="3"/>
      <c r="DP122" s="3"/>
      <c r="DQ122" s="3"/>
      <c r="DR122" s="3"/>
      <c r="DS122" s="3"/>
      <c r="DT122" s="3"/>
      <c r="DU122" s="3"/>
      <c r="DV122" s="3"/>
      <c r="DW122" s="3"/>
      <c r="DX122" s="3"/>
      <c r="DY122" s="3"/>
      <c r="DZ122" s="3" t="s">
        <v>3025</v>
      </c>
      <c r="EA122" s="83" t="s">
        <v>4543</v>
      </c>
      <c r="EB122" s="3"/>
      <c r="ED122" s="83" t="s">
        <v>12161</v>
      </c>
      <c r="EE122" s="83" t="s">
        <v>2578</v>
      </c>
      <c r="EF122" s="540" t="s">
        <v>12162</v>
      </c>
      <c r="EK122" s="874"/>
      <c r="EM122" s="90" t="s">
        <v>5173</v>
      </c>
      <c r="EN122" s="83" t="s">
        <v>5015</v>
      </c>
      <c r="EO122" s="83" t="s">
        <v>8768</v>
      </c>
      <c r="EP122" t="s">
        <v>5174</v>
      </c>
      <c r="EU122" s="177" t="str">
        <f>IF(Dieu="Sigmar","Sœurs de la foi et de la Chasteté","")</f>
        <v/>
      </c>
      <c r="EV122" s="83" t="str">
        <f t="shared" si="69"/>
        <v/>
      </c>
      <c r="EW122" s="83" t="str">
        <f t="shared" si="73"/>
        <v/>
      </c>
      <c r="EX122" s="530" t="str">
        <f t="shared" si="74"/>
        <v/>
      </c>
      <c r="EY122" s="83" t="s">
        <v>12390</v>
      </c>
      <c r="EZ122" s="530" t="s">
        <v>5889</v>
      </c>
      <c r="FB122" s="83" t="s">
        <v>13088</v>
      </c>
      <c r="FC122" s="133" t="s">
        <v>7362</v>
      </c>
      <c r="FD122" s="85" t="s">
        <v>15268</v>
      </c>
      <c r="FE122" s="848" t="s">
        <v>15201</v>
      </c>
      <c r="FF122">
        <v>36</v>
      </c>
      <c r="FG122">
        <v>0</v>
      </c>
      <c r="FH122">
        <v>35</v>
      </c>
      <c r="FI122">
        <v>37</v>
      </c>
      <c r="FJ122" s="10">
        <v>36</v>
      </c>
      <c r="FK122">
        <v>18</v>
      </c>
      <c r="FL122">
        <v>35</v>
      </c>
      <c r="FM122" s="165">
        <v>10</v>
      </c>
      <c r="FN122" s="88">
        <v>1</v>
      </c>
      <c r="FO122" s="88">
        <v>12</v>
      </c>
      <c r="FP122" s="164">
        <f t="shared" si="91"/>
        <v>3</v>
      </c>
      <c r="FQ122" s="164">
        <f t="shared" si="92"/>
        <v>3</v>
      </c>
      <c r="FR122" s="682">
        <v>9</v>
      </c>
      <c r="FS122" s="88">
        <v>0</v>
      </c>
      <c r="FT122" s="88">
        <v>0</v>
      </c>
      <c r="FU122" s="165">
        <v>0</v>
      </c>
      <c r="FV122" s="83" t="s">
        <v>13089</v>
      </c>
      <c r="FW122" s="83" t="s">
        <v>12997</v>
      </c>
      <c r="FX122" s="567" t="s">
        <v>13090</v>
      </c>
      <c r="GA122" t="s">
        <v>7568</v>
      </c>
      <c r="GE122" s="356"/>
      <c r="GF122" t="s">
        <v>7720</v>
      </c>
      <c r="GG122" s="356" t="s">
        <v>8935</v>
      </c>
      <c r="GH122" s="83" t="s">
        <v>8926</v>
      </c>
      <c r="GI122" s="83" t="s">
        <v>8927</v>
      </c>
      <c r="GJ122" s="83"/>
      <c r="GK122" s="530"/>
    </row>
    <row r="123" spans="8:193" ht="13.2" customHeight="1">
      <c r="H123" s="3" t="s">
        <v>811</v>
      </c>
      <c r="I123" s="6" t="s">
        <v>1258</v>
      </c>
      <c r="J123" s="3"/>
      <c r="K123" s="3"/>
      <c r="L123" s="3"/>
      <c r="M123" s="651"/>
      <c r="N123" s="3"/>
      <c r="O123" s="3"/>
      <c r="P123" s="3"/>
      <c r="Q123" s="3"/>
      <c r="R123" s="651"/>
      <c r="S123" s="83" t="str">
        <f>IF(CareerType=Y123,"Diacre de la Peste",IF(AllCareers="X","Diacre de la Peste",IF(FirstCareer="1ère carrière","",IF(SelectRace="skaven","Diacre de la Peste",""))))</f>
        <v/>
      </c>
      <c r="T123" s="106">
        <f t="shared" si="94"/>
        <v>1</v>
      </c>
      <c r="U123" s="693" t="str">
        <f t="shared" si="75"/>
        <v/>
      </c>
      <c r="V123" s="693" t="str">
        <f t="shared" si="76"/>
        <v/>
      </c>
      <c r="W123" s="693" t="str">
        <f t="shared" si="77"/>
        <v/>
      </c>
      <c r="X123" s="47" t="s">
        <v>2153</v>
      </c>
      <c r="Y123" s="743" t="s">
        <v>15709</v>
      </c>
      <c r="Z123" s="56" t="s">
        <v>1328</v>
      </c>
      <c r="AA123" s="47">
        <v>98</v>
      </c>
      <c r="AB123" s="89" t="s">
        <v>10836</v>
      </c>
      <c r="AC123" s="48"/>
      <c r="AD123" s="15" t="s">
        <v>98</v>
      </c>
      <c r="AE123" s="20" t="s">
        <v>114</v>
      </c>
      <c r="AF123" s="15" t="s">
        <v>98</v>
      </c>
      <c r="AG123" s="15" t="s">
        <v>101</v>
      </c>
      <c r="AH123" s="20" t="s">
        <v>98</v>
      </c>
      <c r="AI123" s="15" t="s">
        <v>114</v>
      </c>
      <c r="AJ123" s="15" t="s">
        <v>101</v>
      </c>
      <c r="AK123" s="18" t="s">
        <v>98</v>
      </c>
      <c r="AL123" s="15" t="s">
        <v>102</v>
      </c>
      <c r="AM123" s="15" t="s">
        <v>103</v>
      </c>
      <c r="AN123" s="15" t="s">
        <v>149</v>
      </c>
      <c r="AO123" s="15" t="s">
        <v>102</v>
      </c>
      <c r="AP123" s="87" t="s">
        <v>734</v>
      </c>
      <c r="AQ123" s="22" t="s">
        <v>15924</v>
      </c>
      <c r="AR123" s="22" t="s">
        <v>14820</v>
      </c>
      <c r="AS123" s="87" t="s">
        <v>14821</v>
      </c>
      <c r="AT123" s="87" t="s">
        <v>16881</v>
      </c>
      <c r="AU123" s="87" t="s">
        <v>5500</v>
      </c>
      <c r="AV123" s="87" t="s">
        <v>4798</v>
      </c>
      <c r="AW123" s="457">
        <v>0</v>
      </c>
      <c r="AX123" s="630" t="str">
        <f t="shared" si="81"/>
        <v/>
      </c>
      <c r="AY123" s="630" t="str">
        <f t="shared" si="82"/>
        <v/>
      </c>
      <c r="AZ123" s="630" t="str">
        <f t="shared" si="83"/>
        <v/>
      </c>
      <c r="BA123" s="3"/>
      <c r="BB123" s="3"/>
      <c r="BC123" s="3"/>
      <c r="BD123" s="3"/>
      <c r="BE123" s="3"/>
      <c r="BF123" s="3"/>
      <c r="BG123" s="3"/>
      <c r="BH123" s="3"/>
      <c r="BI123" s="3"/>
      <c r="BJ123" s="3"/>
      <c r="BK123" s="3"/>
      <c r="BL123" s="3"/>
      <c r="BN123" s="3"/>
      <c r="BP123" s="3"/>
      <c r="BQ123" s="83" t="s">
        <v>11928</v>
      </c>
      <c r="BR123" s="3"/>
      <c r="BS123" s="3"/>
      <c r="BT123" s="3"/>
      <c r="BU123" s="3"/>
      <c r="BV123" s="3"/>
      <c r="BW123" s="3"/>
      <c r="BX123" t="str">
        <f>IF(Province="Kadira","Medina de Kadira","")</f>
        <v/>
      </c>
      <c r="BY123" t="str">
        <f t="shared" si="78"/>
        <v/>
      </c>
      <c r="BZ123" s="83" t="str">
        <f t="shared" si="70"/>
        <v/>
      </c>
      <c r="CA123" s="83" t="str">
        <f t="shared" si="71"/>
        <v/>
      </c>
      <c r="CB123" s="530" t="str">
        <f t="shared" si="72"/>
        <v/>
      </c>
      <c r="CC123" s="3" t="s">
        <v>3294</v>
      </c>
      <c r="CD123" t="s">
        <v>10686</v>
      </c>
      <c r="CG123" s="3" t="s">
        <v>6218</v>
      </c>
      <c r="CH123" s="3" t="s">
        <v>6003</v>
      </c>
      <c r="CI123" s="3"/>
      <c r="CJ123" s="3"/>
      <c r="CK123" s="3" t="s">
        <v>6743</v>
      </c>
      <c r="CM123" t="s">
        <v>10325</v>
      </c>
      <c r="CN123" s="3"/>
      <c r="CO123" s="3" t="s">
        <v>10963</v>
      </c>
      <c r="CP123" s="3"/>
      <c r="CQ123" s="3"/>
      <c r="CR123" s="3" t="s">
        <v>13493</v>
      </c>
      <c r="CS123" s="3"/>
      <c r="CT123" s="3"/>
      <c r="CU123" s="3"/>
      <c r="CV123" s="3"/>
      <c r="CW123" s="3"/>
      <c r="CX123" s="3"/>
      <c r="CY123" s="3" t="s">
        <v>433</v>
      </c>
      <c r="CZ123" s="3"/>
      <c r="DA123" s="3"/>
      <c r="DB123" s="3"/>
      <c r="DC123" s="3"/>
      <c r="DD123" s="83" t="s">
        <v>11239</v>
      </c>
      <c r="DE123" s="3" t="s">
        <v>135</v>
      </c>
      <c r="DF123" s="3">
        <f>ROW()</f>
        <v>123</v>
      </c>
      <c r="DG123" s="3" t="s">
        <v>447</v>
      </c>
      <c r="DH123" s="3">
        <f t="shared" si="95"/>
        <v>150</v>
      </c>
      <c r="DI123" s="3">
        <f t="shared" si="96"/>
        <v>135</v>
      </c>
      <c r="DJ123" s="3">
        <f t="shared" si="97"/>
        <v>120</v>
      </c>
      <c r="DK123" s="3">
        <f t="shared" si="98"/>
        <v>105</v>
      </c>
      <c r="DL123" s="3"/>
      <c r="DM123" s="3"/>
      <c r="DN123" s="3"/>
      <c r="DO123" s="3"/>
      <c r="DP123" s="3"/>
      <c r="DQ123" s="3"/>
      <c r="DR123" s="3"/>
      <c r="DS123" s="3"/>
      <c r="DT123" s="3"/>
      <c r="DU123" s="3"/>
      <c r="DV123" s="3"/>
      <c r="DW123" s="3"/>
      <c r="DX123" s="3"/>
      <c r="DY123" s="3"/>
      <c r="DZ123" s="83" t="s">
        <v>1496</v>
      </c>
      <c r="EA123" s="83" t="s">
        <v>4543</v>
      </c>
      <c r="EB123" s="3"/>
      <c r="ED123" s="83" t="s">
        <v>12163</v>
      </c>
      <c r="EE123" s="83" t="s">
        <v>2578</v>
      </c>
      <c r="EF123" s="540" t="s">
        <v>12164</v>
      </c>
      <c r="EK123" s="874"/>
      <c r="EM123" s="90" t="s">
        <v>5175</v>
      </c>
      <c r="EN123" s="83" t="s">
        <v>5015</v>
      </c>
      <c r="EO123" s="83" t="s">
        <v>8770</v>
      </c>
      <c r="EP123" t="s">
        <v>5187</v>
      </c>
      <c r="EU123" s="571" t="str">
        <f>IF(OR(Dieu="Slaanesh",Dieu="Qu’aph",Dieu="Loesh",Dieu="Takchaka",Dieu="Shornaal",Dieu="Banzaïgen"),"Morne Société","")</f>
        <v/>
      </c>
      <c r="EV123" s="83" t="str">
        <f t="shared" si="69"/>
        <v/>
      </c>
      <c r="EW123" s="83" t="str">
        <f t="shared" si="73"/>
        <v/>
      </c>
      <c r="EX123" s="530" t="str">
        <f t="shared" si="74"/>
        <v/>
      </c>
      <c r="EY123" s="83" t="s">
        <v>427</v>
      </c>
      <c r="EZ123" s="531" t="s">
        <v>9185</v>
      </c>
      <c r="FB123" s="90" t="s">
        <v>13035</v>
      </c>
      <c r="FC123" s="133" t="s">
        <v>7362</v>
      </c>
      <c r="FD123" s="90" t="s">
        <v>9703</v>
      </c>
      <c r="FE123" s="849">
        <v>285</v>
      </c>
      <c r="FF123">
        <v>25</v>
      </c>
      <c r="FG123">
        <v>0</v>
      </c>
      <c r="FH123">
        <v>35</v>
      </c>
      <c r="FI123">
        <v>47</v>
      </c>
      <c r="FJ123" s="10">
        <v>25</v>
      </c>
      <c r="FK123">
        <v>8</v>
      </c>
      <c r="FL123">
        <v>15</v>
      </c>
      <c r="FM123" s="531">
        <v>0</v>
      </c>
      <c r="FN123" s="88">
        <v>1</v>
      </c>
      <c r="FO123" s="88">
        <v>14</v>
      </c>
      <c r="FP123" s="164">
        <f t="shared" si="91"/>
        <v>3</v>
      </c>
      <c r="FQ123" s="164">
        <f t="shared" si="92"/>
        <v>4</v>
      </c>
      <c r="FR123" s="682">
        <v>6</v>
      </c>
      <c r="FS123" s="88">
        <v>0</v>
      </c>
      <c r="FT123" s="88">
        <v>0</v>
      </c>
      <c r="FU123" s="531">
        <v>0</v>
      </c>
      <c r="FV123" t="s">
        <v>7231</v>
      </c>
      <c r="FW123" s="83" t="s">
        <v>9924</v>
      </c>
      <c r="FX123" s="567" t="s">
        <v>7658</v>
      </c>
      <c r="GA123" t="s">
        <v>7569</v>
      </c>
      <c r="GE123" s="356"/>
      <c r="GF123" t="s">
        <v>8217</v>
      </c>
      <c r="GG123" s="356" t="s">
        <v>8930</v>
      </c>
      <c r="GH123" s="83" t="s">
        <v>8926</v>
      </c>
      <c r="GI123" s="83" t="s">
        <v>8927</v>
      </c>
      <c r="GJ123" s="83"/>
      <c r="GK123" s="530"/>
    </row>
    <row r="124" spans="8:193" ht="13.2" customHeight="1">
      <c r="H124" s="83" t="s">
        <v>15631</v>
      </c>
      <c r="I124" s="84" t="s">
        <v>15632</v>
      </c>
      <c r="J124" s="3"/>
      <c r="K124" s="3"/>
      <c r="L124" s="3"/>
      <c r="M124" s="651"/>
      <c r="N124" s="3"/>
      <c r="O124" s="3"/>
      <c r="P124" s="3"/>
      <c r="Q124" s="3"/>
      <c r="R124" s="651"/>
      <c r="S124" s="83" t="str">
        <f>IF(CareerType=Y124,"Diestro estalien",IF(AllCareers="X","Diestro estalien",IF(Selectsousrace="","",IF(Pays="Estalie","Diestro estalien",IF(OR(SelectRace="homme-bête",SelectRace="peau-verte",SelectRace="créature du chaos",SelectRace="Homme-lézard",SelectRace="skaven"),"","")))))</f>
        <v/>
      </c>
      <c r="T124" s="106">
        <f t="shared" si="94"/>
        <v>0</v>
      </c>
      <c r="U124" s="693" t="str">
        <f t="shared" si="75"/>
        <v/>
      </c>
      <c r="V124" s="693" t="str">
        <f t="shared" si="76"/>
        <v/>
      </c>
      <c r="W124" s="693" t="str">
        <f t="shared" si="77"/>
        <v/>
      </c>
      <c r="X124" s="47" t="s">
        <v>2160</v>
      </c>
      <c r="Y124" s="743" t="s">
        <v>7130</v>
      </c>
      <c r="Z124" s="55" t="s">
        <v>2200</v>
      </c>
      <c r="AA124" s="47">
        <v>40</v>
      </c>
      <c r="AB124" s="47" t="s">
        <v>2283</v>
      </c>
      <c r="AC124" s="47">
        <v>69</v>
      </c>
      <c r="AD124" s="15" t="s">
        <v>101</v>
      </c>
      <c r="AE124" s="15" t="s">
        <v>149</v>
      </c>
      <c r="AF124" s="20" t="s">
        <v>114</v>
      </c>
      <c r="AG124" s="20" t="s">
        <v>114</v>
      </c>
      <c r="AH124" s="15" t="s">
        <v>98</v>
      </c>
      <c r="AI124" s="20" t="s">
        <v>114</v>
      </c>
      <c r="AJ124" s="15" t="s">
        <v>149</v>
      </c>
      <c r="AK124" s="18" t="s">
        <v>149</v>
      </c>
      <c r="AL124" s="15" t="s">
        <v>102</v>
      </c>
      <c r="AM124" s="15" t="s">
        <v>113</v>
      </c>
      <c r="AN124" s="15" t="s">
        <v>149</v>
      </c>
      <c r="AO124" s="15" t="s">
        <v>149</v>
      </c>
      <c r="AP124" s="87" t="s">
        <v>16143</v>
      </c>
      <c r="AQ124" s="22" t="s">
        <v>734</v>
      </c>
      <c r="AR124" s="87" t="s">
        <v>15703</v>
      </c>
      <c r="AS124" s="87" t="s">
        <v>734</v>
      </c>
      <c r="AT124" s="87" t="s">
        <v>15710</v>
      </c>
      <c r="AU124" s="87" t="s">
        <v>16883</v>
      </c>
      <c r="AV124" s="87" t="s">
        <v>16884</v>
      </c>
      <c r="AW124" s="457">
        <v>0</v>
      </c>
      <c r="AX124" s="630" t="str">
        <f t="shared" si="81"/>
        <v/>
      </c>
      <c r="AY124" s="630" t="str">
        <f t="shared" si="82"/>
        <v/>
      </c>
      <c r="AZ124" s="630" t="str">
        <f t="shared" si="83"/>
        <v/>
      </c>
      <c r="BA124" s="3"/>
      <c r="BB124" s="3"/>
      <c r="BC124" s="3"/>
      <c r="BD124" s="3"/>
      <c r="BE124" s="3"/>
      <c r="BF124" s="3"/>
      <c r="BG124" s="3"/>
      <c r="BH124" s="3"/>
      <c r="BI124" s="3"/>
      <c r="BJ124" s="3"/>
      <c r="BK124" s="3"/>
      <c r="BL124" s="3"/>
      <c r="BN124" s="3"/>
      <c r="BP124" s="3"/>
      <c r="BQ124" s="3" t="s">
        <v>11929</v>
      </c>
      <c r="BR124" s="83"/>
      <c r="BS124" s="83"/>
      <c r="BT124" s="3"/>
      <c r="BU124" s="3"/>
      <c r="BV124" s="3"/>
      <c r="BW124" s="3"/>
      <c r="BX124" t="str">
        <f>IF(Province="Kamt","Medina de Kamt","")</f>
        <v/>
      </c>
      <c r="BY124" t="str">
        <f t="shared" si="78"/>
        <v/>
      </c>
      <c r="BZ124" s="83" t="str">
        <f t="shared" si="70"/>
        <v/>
      </c>
      <c r="CA124" s="83" t="str">
        <f t="shared" si="71"/>
        <v/>
      </c>
      <c r="CB124" s="530" t="str">
        <f t="shared" si="72"/>
        <v/>
      </c>
      <c r="CC124" s="3" t="s">
        <v>10723</v>
      </c>
      <c r="CD124" t="s">
        <v>10687</v>
      </c>
      <c r="CG124" s="3" t="s">
        <v>6219</v>
      </c>
      <c r="CH124" s="3" t="s">
        <v>6004</v>
      </c>
      <c r="CI124" s="3"/>
      <c r="CJ124" s="3"/>
      <c r="CK124" s="3" t="s">
        <v>6789</v>
      </c>
      <c r="CM124" s="83" t="s">
        <v>15226</v>
      </c>
      <c r="CN124" s="3"/>
      <c r="CO124" s="3" t="s">
        <v>10959</v>
      </c>
      <c r="CP124" s="3"/>
      <c r="CQ124" s="3"/>
      <c r="CR124" s="3" t="s">
        <v>13494</v>
      </c>
      <c r="CS124" s="3"/>
      <c r="CT124" s="3"/>
      <c r="CU124" s="3"/>
      <c r="CV124" s="3"/>
      <c r="CW124" s="3"/>
      <c r="CX124" s="3"/>
      <c r="CY124" s="3" t="s">
        <v>434</v>
      </c>
      <c r="CZ124" s="3"/>
      <c r="DA124" s="3"/>
      <c r="DB124" s="3"/>
      <c r="DC124" s="3"/>
      <c r="DD124" s="3" t="s">
        <v>2708</v>
      </c>
      <c r="DE124" s="3" t="s">
        <v>132</v>
      </c>
      <c r="DF124" s="3">
        <f>ROW()</f>
        <v>124</v>
      </c>
      <c r="DG124" s="3" t="s">
        <v>780</v>
      </c>
      <c r="DH124" s="3">
        <f t="shared" si="95"/>
        <v>400</v>
      </c>
      <c r="DI124" s="3">
        <f t="shared" si="96"/>
        <v>300</v>
      </c>
      <c r="DJ124" s="3">
        <f t="shared" si="97"/>
        <v>210</v>
      </c>
      <c r="DK124" s="3">
        <f t="shared" si="98"/>
        <v>120</v>
      </c>
      <c r="DL124" s="3"/>
      <c r="DM124" s="3"/>
      <c r="DN124" s="3"/>
      <c r="DO124" s="3"/>
      <c r="DP124" s="3"/>
      <c r="DQ124" s="3"/>
      <c r="DR124" s="3"/>
      <c r="DS124" s="3"/>
      <c r="DT124" s="3"/>
      <c r="DU124" s="3"/>
      <c r="DV124" s="3"/>
      <c r="DW124" s="3"/>
      <c r="DX124" s="3"/>
      <c r="DY124" s="3"/>
      <c r="DZ124" s="3" t="s">
        <v>3026</v>
      </c>
      <c r="EA124" s="83" t="s">
        <v>4543</v>
      </c>
      <c r="EB124" s="3"/>
      <c r="ED124" s="83" t="s">
        <v>12168</v>
      </c>
      <c r="EE124" s="83" t="s">
        <v>2578</v>
      </c>
      <c r="EF124" s="540" t="s">
        <v>12169</v>
      </c>
      <c r="EK124" s="874"/>
      <c r="EM124" s="90" t="s">
        <v>5176</v>
      </c>
      <c r="EN124" s="83" t="s">
        <v>5015</v>
      </c>
      <c r="EO124" s="83" t="s">
        <v>16885</v>
      </c>
      <c r="EP124" t="s">
        <v>5187</v>
      </c>
      <c r="EU124" s="571" t="str">
        <f>IF(OR(Dieu="Slaanesh",Dieu="Qu’aph",Dieu="Loesh",Dieu="Takchaka",Dieu="Shornaal",Dieu="Banzaïgen"),"Septre de Jade","")</f>
        <v/>
      </c>
      <c r="EV124" s="83" t="str">
        <f t="shared" si="69"/>
        <v/>
      </c>
      <c r="EW124" s="83" t="str">
        <f t="shared" si="73"/>
        <v/>
      </c>
      <c r="EX124" s="530" t="str">
        <f t="shared" si="74"/>
        <v/>
      </c>
      <c r="EY124" s="83" t="s">
        <v>401</v>
      </c>
      <c r="EZ124" s="530" t="s">
        <v>841</v>
      </c>
      <c r="FB124" s="177" t="s">
        <v>14938</v>
      </c>
      <c r="FC124" s="133" t="s">
        <v>7362</v>
      </c>
      <c r="FD124" s="85" t="s">
        <v>14900</v>
      </c>
      <c r="FE124" s="848">
        <v>74</v>
      </c>
      <c r="FF124">
        <v>21</v>
      </c>
      <c r="FG124">
        <v>0</v>
      </c>
      <c r="FH124">
        <v>35</v>
      </c>
      <c r="FI124">
        <v>41</v>
      </c>
      <c r="FJ124" s="756">
        <v>25</v>
      </c>
      <c r="FK124">
        <v>0</v>
      </c>
      <c r="FL124">
        <v>0</v>
      </c>
      <c r="FM124" s="165">
        <v>0</v>
      </c>
      <c r="FN124" s="88">
        <v>2</v>
      </c>
      <c r="FO124" s="88">
        <v>15</v>
      </c>
      <c r="FP124" s="691">
        <f t="shared" si="91"/>
        <v>3</v>
      </c>
      <c r="FQ124" s="691">
        <f t="shared" si="92"/>
        <v>4</v>
      </c>
      <c r="FR124" s="683" t="s">
        <v>14939</v>
      </c>
      <c r="FS124" s="88">
        <v>0</v>
      </c>
      <c r="FT124" s="88">
        <v>0</v>
      </c>
      <c r="FU124" s="165">
        <v>0</v>
      </c>
      <c r="FV124" s="84" t="s">
        <v>149</v>
      </c>
      <c r="FW124" s="83" t="s">
        <v>16882</v>
      </c>
      <c r="FX124" s="530" t="s">
        <v>7659</v>
      </c>
      <c r="GA124" s="83" t="s">
        <v>7632</v>
      </c>
      <c r="GE124" s="356"/>
      <c r="GF124" t="s">
        <v>8212</v>
      </c>
      <c r="GG124" s="356" t="s">
        <v>7130</v>
      </c>
      <c r="GH124" s="83" t="s">
        <v>8926</v>
      </c>
      <c r="GI124" s="83" t="s">
        <v>8927</v>
      </c>
      <c r="GJ124" s="83"/>
      <c r="GK124" s="530"/>
    </row>
    <row r="125" spans="8:193" ht="13.2" customHeight="1">
      <c r="H125" s="3" t="s">
        <v>812</v>
      </c>
      <c r="I125" s="3" t="s">
        <v>717</v>
      </c>
      <c r="J125" s="3"/>
      <c r="K125" s="3"/>
      <c r="L125" s="3"/>
      <c r="M125" s="651"/>
      <c r="N125" s="3"/>
      <c r="O125" s="3"/>
      <c r="P125" s="3"/>
      <c r="Q125" s="3"/>
      <c r="R125" s="651"/>
      <c r="S125" s="83" t="str">
        <f>IF(CareerType=Y125,"Dilettante",IF(AllCareers="X","Dilettante",IF(OR(SelectRace="homme-bête",SelectRace="peau-verte",SelectRace="créature du chaos",SelectRace="Homme-lézard",SelectRace="skaven"),"",IF(SelectRace="Nain","",IF(SelectRace="Elfe","Dilettante",IF(Pays="Empire","Dilettante",IF(Pays="Bretonnie","Dilettante",IF(Pays="Estalie","Dilettante",IF(Pays="Tilée","Dilettante","")))))))))</f>
        <v/>
      </c>
      <c r="T125" s="106">
        <f t="shared" si="94"/>
        <v>0</v>
      </c>
      <c r="U125" s="693" t="str">
        <f t="shared" si="75"/>
        <v/>
      </c>
      <c r="V125" s="693" t="str">
        <f t="shared" si="76"/>
        <v/>
      </c>
      <c r="W125" s="693" t="str">
        <f t="shared" si="77"/>
        <v/>
      </c>
      <c r="X125" s="48" t="s">
        <v>2160</v>
      </c>
      <c r="Y125" s="744" t="s">
        <v>7132</v>
      </c>
      <c r="Z125" s="55" t="s">
        <v>2176</v>
      </c>
      <c r="AA125" s="48">
        <v>60</v>
      </c>
      <c r="AB125" s="48" t="s">
        <v>2168</v>
      </c>
      <c r="AC125" s="48">
        <v>60</v>
      </c>
      <c r="AD125" s="15" t="s">
        <v>114</v>
      </c>
      <c r="AE125" s="15" t="s">
        <v>114</v>
      </c>
      <c r="AF125" s="15" t="s">
        <v>114</v>
      </c>
      <c r="AG125" s="15" t="s">
        <v>114</v>
      </c>
      <c r="AH125" s="15" t="s">
        <v>114</v>
      </c>
      <c r="AI125" s="15" t="s">
        <v>114</v>
      </c>
      <c r="AJ125" s="15" t="s">
        <v>114</v>
      </c>
      <c r="AK125" s="18" t="s">
        <v>114</v>
      </c>
      <c r="AL125" s="15" t="s">
        <v>149</v>
      </c>
      <c r="AM125" s="15" t="s">
        <v>113</v>
      </c>
      <c r="AN125" s="15" t="s">
        <v>149</v>
      </c>
      <c r="AO125" s="15" t="s">
        <v>149</v>
      </c>
      <c r="AP125" s="87" t="s">
        <v>16886</v>
      </c>
      <c r="AQ125" s="22" t="s">
        <v>734</v>
      </c>
      <c r="AR125" s="22" t="s">
        <v>2169</v>
      </c>
      <c r="AS125" s="87" t="s">
        <v>734</v>
      </c>
      <c r="AT125" s="87" t="s">
        <v>418</v>
      </c>
      <c r="AU125" s="87" t="s">
        <v>16887</v>
      </c>
      <c r="AV125" s="87" t="s">
        <v>4758</v>
      </c>
      <c r="AW125" s="457">
        <v>0</v>
      </c>
      <c r="AX125" s="630" t="str">
        <f t="shared" si="81"/>
        <v/>
      </c>
      <c r="AY125" s="630" t="str">
        <f t="shared" si="82"/>
        <v/>
      </c>
      <c r="AZ125" s="630" t="str">
        <f t="shared" si="83"/>
        <v/>
      </c>
      <c r="BA125" s="3"/>
      <c r="BB125" s="3"/>
      <c r="BC125" s="3"/>
      <c r="BD125" s="3"/>
      <c r="BE125" s="3"/>
      <c r="BF125" s="3"/>
      <c r="BG125" s="3"/>
      <c r="BH125" s="3"/>
      <c r="BI125" s="3"/>
      <c r="BJ125" s="3"/>
      <c r="BK125" s="3"/>
      <c r="BL125" s="3"/>
      <c r="BN125" s="3"/>
      <c r="BP125" s="3"/>
      <c r="BQ125" s="3" t="s">
        <v>11930</v>
      </c>
      <c r="BR125" s="3"/>
      <c r="BS125" s="3"/>
      <c r="BT125" s="3"/>
      <c r="BU125" s="3"/>
      <c r="BV125" s="3"/>
      <c r="BW125" s="3"/>
      <c r="BX125" t="str">
        <f>IF(Province="Ka-Sabar","Medina de Ka-Sabar","")</f>
        <v/>
      </c>
      <c r="BY125" t="str">
        <f t="shared" si="78"/>
        <v/>
      </c>
      <c r="BZ125" s="83" t="str">
        <f t="shared" si="70"/>
        <v/>
      </c>
      <c r="CA125" s="83" t="str">
        <f t="shared" si="71"/>
        <v/>
      </c>
      <c r="CB125" s="530" t="str">
        <f t="shared" si="72"/>
        <v/>
      </c>
      <c r="CC125" s="3" t="s">
        <v>10724</v>
      </c>
      <c r="CD125" s="3" t="s">
        <v>3199</v>
      </c>
      <c r="CG125" s="3" t="s">
        <v>6220</v>
      </c>
      <c r="CH125" s="3" t="s">
        <v>6005</v>
      </c>
      <c r="CI125" s="3"/>
      <c r="CJ125" s="3"/>
      <c r="CK125" s="3" t="s">
        <v>6974</v>
      </c>
      <c r="CM125" t="s">
        <v>10327</v>
      </c>
      <c r="CN125" s="3"/>
      <c r="CO125" s="3" t="str">
        <f>CONCATENATE("Forseti",IF(AND('page 1'!M11="Féminin",Pays="Norsca"),"dottir",IF(AND('page 1'!M11="Masculin",Pays="Norsca"),"son",IF(AND('page 1'!M11="Féminin",Pays="Kislev"),"ovna",IF(AND('page 1'!M11="Masculin",Pays="Kislev"),"sky","")))))</f>
        <v>Forseti</v>
      </c>
      <c r="CP125" s="3"/>
      <c r="CQ125" s="3"/>
      <c r="CR125" s="3" t="s">
        <v>13495</v>
      </c>
      <c r="CS125" s="3"/>
      <c r="CT125" s="3"/>
      <c r="CU125" s="3"/>
      <c r="CV125" s="3"/>
      <c r="CW125" s="3"/>
      <c r="CX125" s="3"/>
      <c r="CY125" s="3" t="s">
        <v>435</v>
      </c>
      <c r="CZ125" s="3"/>
      <c r="DA125" s="3"/>
      <c r="DB125" s="3"/>
      <c r="DC125" s="3"/>
      <c r="DD125" s="3" t="s">
        <v>2709</v>
      </c>
      <c r="DE125" s="3" t="s">
        <v>135</v>
      </c>
      <c r="DF125" s="3">
        <f>ROW()</f>
        <v>125</v>
      </c>
      <c r="DG125" s="3" t="s">
        <v>2174</v>
      </c>
      <c r="DH125" s="3">
        <f t="shared" si="95"/>
        <v>135</v>
      </c>
      <c r="DI125" s="3">
        <f t="shared" si="96"/>
        <v>115</v>
      </c>
      <c r="DJ125" s="3">
        <f t="shared" si="97"/>
        <v>95</v>
      </c>
      <c r="DK125" s="3">
        <f t="shared" si="98"/>
        <v>75</v>
      </c>
      <c r="DL125" s="3"/>
      <c r="DM125" s="3"/>
      <c r="DN125" s="3"/>
      <c r="DO125" s="3"/>
      <c r="DP125" s="3"/>
      <c r="DQ125" s="3"/>
      <c r="DR125" s="3"/>
      <c r="DS125" s="3"/>
      <c r="DT125" s="3"/>
      <c r="DU125" s="3"/>
      <c r="DV125" s="3"/>
      <c r="DW125" s="3"/>
      <c r="DX125" s="3"/>
      <c r="DY125" s="3"/>
      <c r="DZ125" s="3" t="s">
        <v>3027</v>
      </c>
      <c r="EA125" s="83" t="s">
        <v>4543</v>
      </c>
      <c r="EB125" s="3"/>
      <c r="ED125" s="83" t="s">
        <v>12177</v>
      </c>
      <c r="EE125" s="83" t="s">
        <v>2578</v>
      </c>
      <c r="EF125" s="540" t="s">
        <v>16888</v>
      </c>
      <c r="EK125" s="874"/>
      <c r="EM125" s="90" t="s">
        <v>5177</v>
      </c>
      <c r="EN125" s="83" t="s">
        <v>5015</v>
      </c>
      <c r="EO125" s="83" t="s">
        <v>16889</v>
      </c>
      <c r="EP125" t="s">
        <v>5187</v>
      </c>
      <c r="EU125" s="571" t="str">
        <f>IF(OR(Dieu="Slaanesh",Dieu="Qu’aph",Dieu="Loesh",Dieu="Takchaka",Dieu="Shornaal",Dieu="Banzaïgen"),"Sybarites","")</f>
        <v/>
      </c>
      <c r="EV125" s="83" t="str">
        <f t="shared" si="69"/>
        <v/>
      </c>
      <c r="EW125" s="83" t="str">
        <f t="shared" si="73"/>
        <v/>
      </c>
      <c r="EX125" s="530" t="str">
        <f t="shared" si="74"/>
        <v/>
      </c>
      <c r="EY125" s="83" t="s">
        <v>418</v>
      </c>
      <c r="EZ125" s="530" t="s">
        <v>9507</v>
      </c>
      <c r="FB125" s="106" t="s">
        <v>13150</v>
      </c>
      <c r="FC125" s="133" t="s">
        <v>7362</v>
      </c>
      <c r="FD125" s="83" t="s">
        <v>13173</v>
      </c>
      <c r="FE125" s="848" t="s">
        <v>13174</v>
      </c>
      <c r="FF125">
        <v>30</v>
      </c>
      <c r="FG125">
        <v>0</v>
      </c>
      <c r="FH125">
        <v>36</v>
      </c>
      <c r="FI125">
        <v>38</v>
      </c>
      <c r="FJ125" s="10">
        <v>30</v>
      </c>
      <c r="FK125">
        <v>11</v>
      </c>
      <c r="FL125">
        <v>15</v>
      </c>
      <c r="FM125" s="165">
        <v>0</v>
      </c>
      <c r="FN125" s="88">
        <v>1</v>
      </c>
      <c r="FO125" s="88">
        <v>12</v>
      </c>
      <c r="FP125" s="164">
        <f t="shared" si="91"/>
        <v>3</v>
      </c>
      <c r="FQ125" s="164">
        <f t="shared" si="92"/>
        <v>3</v>
      </c>
      <c r="FR125" s="10">
        <v>6</v>
      </c>
      <c r="FS125">
        <v>0</v>
      </c>
      <c r="FT125">
        <v>0</v>
      </c>
      <c r="FU125" s="165">
        <v>0</v>
      </c>
      <c r="FV125" s="83" t="s">
        <v>13175</v>
      </c>
      <c r="FW125" s="83" t="s">
        <v>13176</v>
      </c>
      <c r="FX125" s="530" t="s">
        <v>7657</v>
      </c>
      <c r="GA125" s="83" t="s">
        <v>7292</v>
      </c>
      <c r="GE125" s="356"/>
      <c r="GF125" t="s">
        <v>7721</v>
      </c>
      <c r="GG125" s="356" t="s">
        <v>8931</v>
      </c>
      <c r="GH125" s="83" t="s">
        <v>8926</v>
      </c>
      <c r="GI125" s="83" t="s">
        <v>8927</v>
      </c>
      <c r="GJ125" s="83"/>
      <c r="GK125" s="530"/>
    </row>
    <row r="126" spans="8:193" ht="13.2" customHeight="1">
      <c r="H126" s="3" t="s">
        <v>813</v>
      </c>
      <c r="I126" s="3" t="s">
        <v>718</v>
      </c>
      <c r="J126" s="3"/>
      <c r="K126" s="3"/>
      <c r="L126" s="3"/>
      <c r="M126" s="651"/>
      <c r="N126" s="3"/>
      <c r="O126" s="3"/>
      <c r="P126" s="3"/>
      <c r="Q126" s="3"/>
      <c r="R126" s="651"/>
      <c r="S126" s="83" t="str">
        <f>IF(CareerType=Y126,"Diplomate",IF(AllCareers="X","Diplomate",IF(OR(SelectRace="skaven",SelectRace="homme-bête",SelectRace="peau-verte",SelectRace="créature du chaos",SelectRace="Homme-lézard",SelectRace="skaven",Pays="Norsca",Pays="Désolations du Chaos",Selectsousrace=""),"",IF(FirstCareer="1ère carrière","","Diplomate"))))</f>
        <v/>
      </c>
      <c r="T126" s="106">
        <f t="shared" si="94"/>
        <v>1</v>
      </c>
      <c r="U126" s="693" t="str">
        <f t="shared" si="75"/>
        <v/>
      </c>
      <c r="V126" s="693" t="str">
        <f t="shared" si="76"/>
        <v/>
      </c>
      <c r="W126" s="693" t="str">
        <f t="shared" si="77"/>
        <v/>
      </c>
      <c r="X126" s="48" t="s">
        <v>2153</v>
      </c>
      <c r="Y126" s="743" t="s">
        <v>7131</v>
      </c>
      <c r="Z126" s="56" t="s">
        <v>11941</v>
      </c>
      <c r="AA126" s="111">
        <v>235</v>
      </c>
      <c r="AB126" s="48" t="s">
        <v>9294</v>
      </c>
      <c r="AC126" s="48"/>
      <c r="AD126" s="15" t="s">
        <v>149</v>
      </c>
      <c r="AE126" s="15" t="s">
        <v>149</v>
      </c>
      <c r="AF126" s="15" t="s">
        <v>149</v>
      </c>
      <c r="AG126" s="15" t="s">
        <v>149</v>
      </c>
      <c r="AH126" s="544" t="s">
        <v>101</v>
      </c>
      <c r="AI126" s="105" t="s">
        <v>100</v>
      </c>
      <c r="AJ126" s="105" t="s">
        <v>116</v>
      </c>
      <c r="AK126" s="443" t="s">
        <v>100</v>
      </c>
      <c r="AL126" s="15" t="s">
        <v>149</v>
      </c>
      <c r="AM126" s="15" t="s">
        <v>113</v>
      </c>
      <c r="AN126" s="15" t="s">
        <v>149</v>
      </c>
      <c r="AO126" s="15" t="s">
        <v>149</v>
      </c>
      <c r="AP126" s="87" t="s">
        <v>16890</v>
      </c>
      <c r="AQ126" s="87" t="s">
        <v>734</v>
      </c>
      <c r="AR126" s="22" t="s">
        <v>14856</v>
      </c>
      <c r="AS126" s="87" t="s">
        <v>734</v>
      </c>
      <c r="AT126" s="87" t="s">
        <v>16891</v>
      </c>
      <c r="AU126" s="87" t="s">
        <v>16892</v>
      </c>
      <c r="AV126" s="87" t="s">
        <v>16893</v>
      </c>
      <c r="AW126" s="457">
        <v>0</v>
      </c>
      <c r="AX126" s="630" t="str">
        <f t="shared" si="81"/>
        <v/>
      </c>
      <c r="AY126" s="630" t="str">
        <f t="shared" si="82"/>
        <v/>
      </c>
      <c r="AZ126" s="630" t="str">
        <f t="shared" si="83"/>
        <v/>
      </c>
      <c r="BA126" s="3"/>
      <c r="BB126" s="3"/>
      <c r="BC126" s="3"/>
      <c r="BD126" s="3"/>
      <c r="BE126" s="3"/>
      <c r="BF126" s="3"/>
      <c r="BG126" s="3"/>
      <c r="BH126" s="3"/>
      <c r="BI126" s="3"/>
      <c r="BJ126" s="3"/>
      <c r="BK126" s="3"/>
      <c r="BL126" s="3"/>
      <c r="BN126" s="3"/>
      <c r="BP126" s="3"/>
      <c r="BQ126" s="3" t="s">
        <v>11931</v>
      </c>
      <c r="BR126" s="3"/>
      <c r="BS126" s="3"/>
      <c r="BT126" s="3"/>
      <c r="BU126" s="3"/>
      <c r="BV126" s="3"/>
      <c r="BW126" s="3"/>
      <c r="BX126" s="83" t="str">
        <f>IF(Province="Khalibon","Medina de Khalibon","")</f>
        <v/>
      </c>
      <c r="BY126" t="str">
        <f t="shared" si="78"/>
        <v/>
      </c>
      <c r="BZ126" s="83" t="str">
        <f t="shared" si="70"/>
        <v/>
      </c>
      <c r="CA126" s="83" t="str">
        <f t="shared" si="71"/>
        <v/>
      </c>
      <c r="CB126" s="530" t="str">
        <f t="shared" si="72"/>
        <v/>
      </c>
      <c r="CC126" s="3" t="s">
        <v>10725</v>
      </c>
      <c r="CD126" t="s">
        <v>3317</v>
      </c>
      <c r="CG126" s="3" t="s">
        <v>6221</v>
      </c>
      <c r="CH126" s="3" t="s">
        <v>6006</v>
      </c>
      <c r="CI126" s="3"/>
      <c r="CJ126" s="3"/>
      <c r="CK126" s="3" t="s">
        <v>6941</v>
      </c>
      <c r="CM126" t="s">
        <v>10326</v>
      </c>
      <c r="CN126" s="3"/>
      <c r="CO126" s="3" t="str">
        <f>CONCATENATE("Forsgon",IF(AND('page 1'!M11="Féminin",Pays="Norsca"),"dottir",IF(AND('page 1'!M11="Masculin",Pays="Norsca"),"son",IF(AND('page 1'!M11="Féminin",Pays="Kislev"),"ovna",IF(AND('page 1'!M11="Masculin",Pays="Kislev"),"sky","")))))</f>
        <v>Forsgon</v>
      </c>
      <c r="CP126" s="3"/>
      <c r="CQ126" s="3"/>
      <c r="CR126" s="3" t="s">
        <v>13496</v>
      </c>
      <c r="CS126" s="3"/>
      <c r="CT126" s="3"/>
      <c r="CU126" s="3"/>
      <c r="CV126" s="3"/>
      <c r="CW126" s="3"/>
      <c r="CX126" s="3"/>
      <c r="CY126" s="3" t="s">
        <v>436</v>
      </c>
      <c r="CZ126" s="3"/>
      <c r="DA126" s="3"/>
      <c r="DB126" s="3"/>
      <c r="DC126" s="3"/>
      <c r="DD126" s="83" t="s">
        <v>11195</v>
      </c>
      <c r="DE126" s="3" t="s">
        <v>132</v>
      </c>
      <c r="DF126" s="3">
        <f>ROW()</f>
        <v>126</v>
      </c>
      <c r="DG126" s="3" t="s">
        <v>780</v>
      </c>
      <c r="DH126" s="3">
        <f t="shared" si="95"/>
        <v>400</v>
      </c>
      <c r="DI126" s="3">
        <f t="shared" si="96"/>
        <v>300</v>
      </c>
      <c r="DJ126" s="3">
        <f t="shared" si="97"/>
        <v>210</v>
      </c>
      <c r="DK126" s="3">
        <f t="shared" si="98"/>
        <v>120</v>
      </c>
      <c r="DL126" s="3"/>
      <c r="DM126" s="3"/>
      <c r="DN126" s="3"/>
      <c r="DO126" s="3"/>
      <c r="DP126" s="3"/>
      <c r="DQ126" s="3"/>
      <c r="DR126" s="3"/>
      <c r="DS126" s="3"/>
      <c r="DT126" s="3"/>
      <c r="DU126" s="3"/>
      <c r="DV126" s="3"/>
      <c r="DW126" s="3"/>
      <c r="DX126" s="3"/>
      <c r="DY126" s="3"/>
      <c r="DZ126" s="3" t="s">
        <v>3028</v>
      </c>
      <c r="EA126" s="83" t="s">
        <v>4543</v>
      </c>
      <c r="EB126" s="3"/>
      <c r="ED126" s="83" t="s">
        <v>12178</v>
      </c>
      <c r="EE126" s="83" t="s">
        <v>2578</v>
      </c>
      <c r="EF126" s="540" t="s">
        <v>16894</v>
      </c>
      <c r="EK126" s="874"/>
      <c r="EM126" s="90" t="s">
        <v>5178</v>
      </c>
      <c r="EN126" s="83" t="s">
        <v>5015</v>
      </c>
      <c r="EO126" t="s">
        <v>5179</v>
      </c>
      <c r="EP126" t="s">
        <v>5187</v>
      </c>
      <c r="EU126" s="177" t="str">
        <f>IF(Dieu="Smednir","Adepte/Croyant","")</f>
        <v/>
      </c>
      <c r="EV126" s="83" t="str">
        <f t="shared" si="69"/>
        <v/>
      </c>
      <c r="EW126" s="83" t="str">
        <f t="shared" si="73"/>
        <v/>
      </c>
      <c r="EX126" s="530" t="str">
        <f t="shared" si="74"/>
        <v/>
      </c>
      <c r="EZ126" s="531" t="s">
        <v>9333</v>
      </c>
      <c r="FB126" s="90" t="s">
        <v>7271</v>
      </c>
      <c r="FC126" s="133" t="s">
        <v>7362</v>
      </c>
      <c r="FD126" t="s">
        <v>7245</v>
      </c>
      <c r="FE126" s="849">
        <v>119</v>
      </c>
      <c r="FF126">
        <v>24</v>
      </c>
      <c r="FG126">
        <v>0</v>
      </c>
      <c r="FH126">
        <v>40</v>
      </c>
      <c r="FI126">
        <v>40</v>
      </c>
      <c r="FJ126" s="10">
        <v>25</v>
      </c>
      <c r="FK126">
        <v>0</v>
      </c>
      <c r="FL126">
        <v>0</v>
      </c>
      <c r="FM126" s="165">
        <v>0</v>
      </c>
      <c r="FN126" s="88">
        <v>1</v>
      </c>
      <c r="FO126" s="88">
        <v>14</v>
      </c>
      <c r="FP126" s="164">
        <f t="shared" si="91"/>
        <v>4</v>
      </c>
      <c r="FQ126" s="164">
        <f t="shared" si="92"/>
        <v>4</v>
      </c>
      <c r="FR126" s="682">
        <v>8</v>
      </c>
      <c r="FS126" s="88">
        <v>0</v>
      </c>
      <c r="FT126" s="88">
        <v>0</v>
      </c>
      <c r="FU126" s="165">
        <v>0</v>
      </c>
      <c r="FV126" s="84" t="s">
        <v>149</v>
      </c>
      <c r="FW126" s="83" t="s">
        <v>7274</v>
      </c>
      <c r="FX126" s="567" t="s">
        <v>7659</v>
      </c>
      <c r="GA126" t="s">
        <v>7489</v>
      </c>
      <c r="GE126" s="356"/>
      <c r="GF126" t="s">
        <v>8202</v>
      </c>
      <c r="GG126" s="356" t="s">
        <v>8936</v>
      </c>
      <c r="GH126" s="83" t="s">
        <v>8926</v>
      </c>
      <c r="GI126" s="83" t="s">
        <v>8927</v>
      </c>
      <c r="GJ126" s="83"/>
      <c r="GK126" s="530"/>
    </row>
    <row r="127" spans="8:193" ht="13.2" customHeight="1">
      <c r="H127" s="3" t="s">
        <v>104</v>
      </c>
      <c r="I127" s="6" t="s">
        <v>719</v>
      </c>
      <c r="J127" s="3"/>
      <c r="K127" s="3"/>
      <c r="L127" s="3"/>
      <c r="M127" s="651"/>
      <c r="N127" s="3"/>
      <c r="O127" s="3"/>
      <c r="P127" s="3"/>
      <c r="Q127" s="3"/>
      <c r="R127" s="651"/>
      <c r="S127" s="83" t="str">
        <f>IF(CareerType=Y127,"Dresseur",IF(AllCareers="X","Dresseur",IF(Selectsousrace="","",IF(OR(SelectRace="homme-bête",SelectRace="peau-verte",SelectRace="créature du chaos",SelectRace="Homme-lézard",SelectRace="skaven"),"",IF(FirstCareer="1ère carrière","","Dresseur")))))</f>
        <v/>
      </c>
      <c r="T127" s="106">
        <f t="shared" si="94"/>
        <v>1</v>
      </c>
      <c r="U127" s="693" t="str">
        <f t="shared" si="75"/>
        <v/>
      </c>
      <c r="V127" s="693" t="str">
        <f t="shared" si="76"/>
        <v/>
      </c>
      <c r="W127" s="693" t="str">
        <f t="shared" si="77"/>
        <v/>
      </c>
      <c r="X127" s="48" t="s">
        <v>2153</v>
      </c>
      <c r="Y127" s="744" t="s">
        <v>7132</v>
      </c>
      <c r="Z127" s="55" t="s">
        <v>2176</v>
      </c>
      <c r="AA127" s="48"/>
      <c r="AB127" s="48" t="s">
        <v>2170</v>
      </c>
      <c r="AC127" s="48">
        <v>12</v>
      </c>
      <c r="AD127" s="15" t="s">
        <v>98</v>
      </c>
      <c r="AE127" s="15" t="s">
        <v>98</v>
      </c>
      <c r="AF127" s="15" t="s">
        <v>98</v>
      </c>
      <c r="AG127" s="15" t="s">
        <v>98</v>
      </c>
      <c r="AH127" s="15" t="s">
        <v>101</v>
      </c>
      <c r="AI127" s="15" t="s">
        <v>98</v>
      </c>
      <c r="AJ127" s="15" t="s">
        <v>98</v>
      </c>
      <c r="AK127" s="18" t="s">
        <v>101</v>
      </c>
      <c r="AL127" s="15" t="s">
        <v>149</v>
      </c>
      <c r="AM127" s="15" t="s">
        <v>103</v>
      </c>
      <c r="AN127" s="15" t="s">
        <v>149</v>
      </c>
      <c r="AO127" s="15" t="s">
        <v>149</v>
      </c>
      <c r="AP127" s="87" t="s">
        <v>15654</v>
      </c>
      <c r="AQ127" s="87" t="s">
        <v>15892</v>
      </c>
      <c r="AR127" s="87" t="s">
        <v>15653</v>
      </c>
      <c r="AS127" s="87" t="s">
        <v>15892</v>
      </c>
      <c r="AT127" s="87" t="s">
        <v>16895</v>
      </c>
      <c r="AU127" s="87" t="s">
        <v>16896</v>
      </c>
      <c r="AV127" s="87" t="s">
        <v>16897</v>
      </c>
      <c r="AW127" s="457">
        <v>0</v>
      </c>
      <c r="AX127" s="630" t="str">
        <f t="shared" si="81"/>
        <v/>
      </c>
      <c r="AY127" s="630" t="str">
        <f t="shared" si="82"/>
        <v/>
      </c>
      <c r="AZ127" s="630" t="str">
        <f t="shared" si="83"/>
        <v/>
      </c>
      <c r="BA127" s="3"/>
      <c r="BB127" s="3"/>
      <c r="BC127" s="3"/>
      <c r="BD127" s="3"/>
      <c r="BE127" s="3"/>
      <c r="BF127" s="3"/>
      <c r="BG127" s="3"/>
      <c r="BH127" s="3"/>
      <c r="BI127" s="3"/>
      <c r="BJ127" s="3"/>
      <c r="BK127" s="3"/>
      <c r="BL127" s="3"/>
      <c r="BM127" s="3"/>
      <c r="BN127" s="3"/>
      <c r="BP127" s="3"/>
      <c r="BQ127" s="83" t="s">
        <v>11932</v>
      </c>
      <c r="BR127" s="3"/>
      <c r="BS127" s="3"/>
      <c r="BT127" s="3"/>
      <c r="BU127" s="3"/>
      <c r="BV127" s="3"/>
      <c r="BW127" s="3"/>
      <c r="BX127" s="83" t="str">
        <f>IF(Province="Lashiek","Medina de Lashiek","")</f>
        <v/>
      </c>
      <c r="BY127" t="str">
        <f t="shared" si="78"/>
        <v/>
      </c>
      <c r="BZ127" s="83" t="str">
        <f t="shared" si="70"/>
        <v/>
      </c>
      <c r="CA127" s="83" t="str">
        <f t="shared" si="71"/>
        <v/>
      </c>
      <c r="CB127" s="530" t="str">
        <f t="shared" si="72"/>
        <v/>
      </c>
      <c r="CC127" s="3" t="s">
        <v>10726</v>
      </c>
      <c r="CD127" t="s">
        <v>3318</v>
      </c>
      <c r="CG127" s="3" t="s">
        <v>6222</v>
      </c>
      <c r="CH127" s="3" t="s">
        <v>910</v>
      </c>
      <c r="CI127" s="3"/>
      <c r="CJ127" s="3"/>
      <c r="CK127" s="3" t="s">
        <v>6830</v>
      </c>
      <c r="CM127" s="3" t="s">
        <v>6635</v>
      </c>
      <c r="CN127" s="3"/>
      <c r="CO127" s="3" t="s">
        <v>10956</v>
      </c>
      <c r="CP127" s="3"/>
      <c r="CQ127" s="3"/>
      <c r="CR127" s="3" t="s">
        <v>13497</v>
      </c>
      <c r="CS127" s="3"/>
      <c r="CT127" s="3"/>
      <c r="CU127" s="3"/>
      <c r="CV127" s="3"/>
      <c r="CW127" s="3"/>
      <c r="CX127" s="3"/>
      <c r="CY127" s="3" t="s">
        <v>437</v>
      </c>
      <c r="CZ127" s="3"/>
      <c r="DA127" s="3"/>
      <c r="DB127" s="3"/>
      <c r="DC127" s="3"/>
      <c r="DD127" s="83" t="s">
        <v>11213</v>
      </c>
      <c r="DE127" s="3" t="s">
        <v>131</v>
      </c>
      <c r="DF127" s="3">
        <f>ROW()</f>
        <v>127</v>
      </c>
      <c r="DG127" s="3" t="s">
        <v>780</v>
      </c>
      <c r="DH127" s="3">
        <f t="shared" si="95"/>
        <v>400</v>
      </c>
      <c r="DI127" s="3">
        <f t="shared" si="96"/>
        <v>300</v>
      </c>
      <c r="DJ127" s="3">
        <f t="shared" si="97"/>
        <v>210</v>
      </c>
      <c r="DK127" s="3">
        <f t="shared" si="98"/>
        <v>120</v>
      </c>
      <c r="DL127" s="3"/>
      <c r="DM127" s="3"/>
      <c r="DN127" s="3"/>
      <c r="DO127" s="3"/>
      <c r="DP127" s="3"/>
      <c r="DQ127" s="3"/>
      <c r="DR127" s="3"/>
      <c r="DS127" s="3"/>
      <c r="DT127" s="3"/>
      <c r="DU127" s="3"/>
      <c r="DV127" s="3"/>
      <c r="DW127" s="3"/>
      <c r="DX127" s="3"/>
      <c r="DY127" s="3"/>
      <c r="DZ127" s="3" t="s">
        <v>3029</v>
      </c>
      <c r="EA127" s="83" t="s">
        <v>4543</v>
      </c>
      <c r="EB127" s="3"/>
      <c r="ED127" s="83" t="s">
        <v>12468</v>
      </c>
      <c r="EE127" s="83" t="s">
        <v>5249</v>
      </c>
      <c r="EF127" s="530" t="s">
        <v>12788</v>
      </c>
      <c r="EK127" s="874"/>
      <c r="EM127" s="90" t="s">
        <v>5234</v>
      </c>
      <c r="EN127" s="83" t="s">
        <v>5015</v>
      </c>
      <c r="EO127" s="83" t="s">
        <v>5235</v>
      </c>
      <c r="EP127" t="s">
        <v>5187</v>
      </c>
      <c r="EU127" s="177" t="str">
        <f>IF(Dieu="Smednir","Initié","")</f>
        <v/>
      </c>
      <c r="EV127" s="83" t="str">
        <f t="shared" si="69"/>
        <v/>
      </c>
      <c r="EW127" s="83" t="str">
        <f t="shared" si="73"/>
        <v/>
      </c>
      <c r="EX127" s="530" t="str">
        <f t="shared" si="74"/>
        <v/>
      </c>
      <c r="EZ127" s="530" t="s">
        <v>16898</v>
      </c>
      <c r="FB127" t="s">
        <v>7244</v>
      </c>
      <c r="FC127" s="133" t="s">
        <v>7362</v>
      </c>
      <c r="FD127" t="s">
        <v>7245</v>
      </c>
      <c r="FE127" s="849">
        <v>120</v>
      </c>
      <c r="FF127">
        <v>36</v>
      </c>
      <c r="FG127">
        <v>0</v>
      </c>
      <c r="FH127">
        <v>43</v>
      </c>
      <c r="FI127">
        <v>41</v>
      </c>
      <c r="FJ127" s="10">
        <v>42</v>
      </c>
      <c r="FK127">
        <v>10</v>
      </c>
      <c r="FL127">
        <v>10</v>
      </c>
      <c r="FM127" s="165">
        <v>20</v>
      </c>
      <c r="FN127" s="88">
        <v>1</v>
      </c>
      <c r="FO127" s="88">
        <v>16</v>
      </c>
      <c r="FP127" s="164">
        <f t="shared" si="91"/>
        <v>4</v>
      </c>
      <c r="FQ127" s="164">
        <f t="shared" si="92"/>
        <v>4</v>
      </c>
      <c r="FR127" s="682">
        <v>9</v>
      </c>
      <c r="FS127" s="88">
        <v>0</v>
      </c>
      <c r="FT127" s="88">
        <v>0</v>
      </c>
      <c r="FU127" s="165">
        <v>0</v>
      </c>
      <c r="FV127" t="s">
        <v>7246</v>
      </c>
      <c r="FW127" s="83" t="s">
        <v>14712</v>
      </c>
      <c r="FX127" s="531" t="s">
        <v>7657</v>
      </c>
      <c r="GA127" s="83" t="s">
        <v>7618</v>
      </c>
      <c r="GE127" s="356"/>
      <c r="GF127" t="s">
        <v>8204</v>
      </c>
      <c r="GG127" s="356" t="s">
        <v>8932</v>
      </c>
      <c r="GH127" s="83" t="s">
        <v>8926</v>
      </c>
      <c r="GI127" s="83" t="s">
        <v>8927</v>
      </c>
      <c r="GJ127" s="83"/>
      <c r="GK127" s="530"/>
    </row>
    <row r="128" spans="8:193" ht="13.2" customHeight="1">
      <c r="H128" s="3" t="s">
        <v>814</v>
      </c>
      <c r="I128" s="6" t="s">
        <v>2133</v>
      </c>
      <c r="J128" s="3"/>
      <c r="K128" s="3"/>
      <c r="L128" s="3"/>
      <c r="M128" s="651"/>
      <c r="N128" s="3"/>
      <c r="O128" s="3"/>
      <c r="P128" s="3"/>
      <c r="Q128" s="3"/>
      <c r="R128" s="651"/>
      <c r="S128" s="83" t="str">
        <f>IF(CareerType=Y128,"Dresseur d'ours",IF(AllCareers="X","Dresseur d'ours",IF(Selectsousrace="","",IF(OR(SelectRace="skaven",SelectRace="homme-bête",SelectRace="peau-verte",SelectRace="créature du chaos",SelectRace="Homme-lézard"),"",IF(SelectRace="skaven","",IF(Pays="Bretonnie","",IF(SelectRace="Humain","Dresseur d'ours",IF(SelectRace="Halfling","Dresseur d'ours",""))))))))</f>
        <v/>
      </c>
      <c r="T128" s="106">
        <f t="shared" si="94"/>
        <v>0</v>
      </c>
      <c r="U128" s="693" t="str">
        <f t="shared" si="75"/>
        <v/>
      </c>
      <c r="V128" s="693" t="str">
        <f t="shared" si="76"/>
        <v/>
      </c>
      <c r="W128" s="693" t="str">
        <f t="shared" si="77"/>
        <v/>
      </c>
      <c r="X128" s="47" t="s">
        <v>2160</v>
      </c>
      <c r="Y128" s="743" t="s">
        <v>7132</v>
      </c>
      <c r="Z128" s="55" t="s">
        <v>1319</v>
      </c>
      <c r="AA128" s="47">
        <v>100</v>
      </c>
      <c r="AB128" s="47" t="s">
        <v>2284</v>
      </c>
      <c r="AC128" s="47">
        <v>28</v>
      </c>
      <c r="AD128" s="15" t="s">
        <v>114</v>
      </c>
      <c r="AE128" s="15" t="s">
        <v>149</v>
      </c>
      <c r="AF128" s="15" t="s">
        <v>98</v>
      </c>
      <c r="AG128" s="15" t="s">
        <v>114</v>
      </c>
      <c r="AH128" s="15" t="s">
        <v>114</v>
      </c>
      <c r="AI128" s="15" t="s">
        <v>149</v>
      </c>
      <c r="AJ128" s="15" t="s">
        <v>98</v>
      </c>
      <c r="AK128" s="18" t="s">
        <v>114</v>
      </c>
      <c r="AL128" s="15" t="s">
        <v>149</v>
      </c>
      <c r="AM128" s="15" t="s">
        <v>113</v>
      </c>
      <c r="AN128" s="15" t="s">
        <v>149</v>
      </c>
      <c r="AO128" s="15" t="s">
        <v>149</v>
      </c>
      <c r="AP128" s="22" t="s">
        <v>2285</v>
      </c>
      <c r="AQ128" s="87" t="s">
        <v>734</v>
      </c>
      <c r="AR128" s="22" t="s">
        <v>2286</v>
      </c>
      <c r="AS128" s="87" t="s">
        <v>734</v>
      </c>
      <c r="AT128" s="87" t="s">
        <v>16899</v>
      </c>
      <c r="AU128" s="87" t="s">
        <v>5428</v>
      </c>
      <c r="AV128" s="87" t="s">
        <v>16900</v>
      </c>
      <c r="AW128" s="457">
        <v>0</v>
      </c>
      <c r="AX128" s="630" t="str">
        <f t="shared" si="81"/>
        <v/>
      </c>
      <c r="AY128" s="630" t="str">
        <f t="shared" si="82"/>
        <v/>
      </c>
      <c r="AZ128" s="630" t="str">
        <f t="shared" si="83"/>
        <v/>
      </c>
      <c r="BA128" s="3"/>
      <c r="BB128" s="3"/>
      <c r="BC128" s="3"/>
      <c r="BD128" s="3"/>
      <c r="BE128" s="3"/>
      <c r="BF128" s="3"/>
      <c r="BG128" s="3"/>
      <c r="BH128" s="3"/>
      <c r="BI128" s="3"/>
      <c r="BJ128" s="3"/>
      <c r="BK128" s="3"/>
      <c r="BL128" s="3"/>
      <c r="BM128" s="3"/>
      <c r="BN128" s="3"/>
      <c r="BP128" s="3"/>
      <c r="BQ128" s="3" t="s">
        <v>11933</v>
      </c>
      <c r="BR128" s="83"/>
      <c r="BS128" s="83"/>
      <c r="BT128" s="3"/>
      <c r="BU128" s="3"/>
      <c r="BV128" s="3"/>
      <c r="BW128" s="3"/>
      <c r="BX128" s="83" t="str">
        <f>IF(Province="Lazzara","Medina de Lazzara","")</f>
        <v/>
      </c>
      <c r="BY128" t="str">
        <f t="shared" si="78"/>
        <v/>
      </c>
      <c r="BZ128" s="83" t="str">
        <f t="shared" si="70"/>
        <v/>
      </c>
      <c r="CA128" s="83" t="str">
        <f t="shared" si="71"/>
        <v/>
      </c>
      <c r="CB128" s="530" t="str">
        <f t="shared" si="72"/>
        <v/>
      </c>
      <c r="CC128" s="3" t="s">
        <v>1045</v>
      </c>
      <c r="CD128" t="s">
        <v>3319</v>
      </c>
      <c r="CG128" s="83" t="s">
        <v>10168</v>
      </c>
      <c r="CH128" s="3" t="s">
        <v>6007</v>
      </c>
      <c r="CI128" s="3"/>
      <c r="CJ128" s="3"/>
      <c r="CK128" t="s">
        <v>6998</v>
      </c>
      <c r="CM128" s="83" t="s">
        <v>14897</v>
      </c>
      <c r="CN128" s="3"/>
      <c r="CO128" s="3" t="s">
        <v>10969</v>
      </c>
      <c r="CP128" s="3"/>
      <c r="CQ128" s="3"/>
      <c r="CR128" s="3" t="s">
        <v>13498</v>
      </c>
      <c r="CS128" s="3"/>
      <c r="CT128" s="3"/>
      <c r="CU128" s="3"/>
      <c r="CV128" s="3"/>
      <c r="CW128" s="3"/>
      <c r="CX128" s="3"/>
      <c r="CY128" s="3" t="s">
        <v>2862</v>
      </c>
      <c r="CZ128" s="3"/>
      <c r="DA128" s="3"/>
      <c r="DB128" s="3"/>
      <c r="DC128" s="3"/>
      <c r="DD128" s="83" t="s">
        <v>15419</v>
      </c>
      <c r="DE128" s="83" t="s">
        <v>132</v>
      </c>
      <c r="DF128" s="3">
        <f>ROW()</f>
        <v>128</v>
      </c>
      <c r="DG128" s="3" t="s">
        <v>2174</v>
      </c>
      <c r="DH128" s="3">
        <f t="shared" si="95"/>
        <v>135</v>
      </c>
      <c r="DI128" s="3">
        <f t="shared" si="96"/>
        <v>115</v>
      </c>
      <c r="DJ128" s="3">
        <f t="shared" si="97"/>
        <v>95</v>
      </c>
      <c r="DK128" s="3">
        <f t="shared" si="98"/>
        <v>75</v>
      </c>
      <c r="DL128" s="3"/>
      <c r="DM128" s="3"/>
      <c r="DN128" s="3"/>
      <c r="DO128" s="3"/>
      <c r="DP128" s="3"/>
      <c r="DQ128" s="3"/>
      <c r="DR128" s="3"/>
      <c r="DS128" s="3"/>
      <c r="DT128" s="3"/>
      <c r="DU128" s="3"/>
      <c r="DV128" s="3"/>
      <c r="DW128" s="3"/>
      <c r="DX128" s="3"/>
      <c r="DY128" s="3"/>
      <c r="DZ128" s="3" t="s">
        <v>3030</v>
      </c>
      <c r="EA128" s="83" t="s">
        <v>4543</v>
      </c>
      <c r="EB128" s="3"/>
      <c r="ED128" s="83" t="s">
        <v>4519</v>
      </c>
      <c r="EE128" s="83" t="s">
        <v>5249</v>
      </c>
      <c r="EF128" s="530" t="s">
        <v>9556</v>
      </c>
      <c r="EK128" s="874"/>
      <c r="EM128" s="90" t="s">
        <v>5180</v>
      </c>
      <c r="EN128" s="83" t="s">
        <v>5015</v>
      </c>
      <c r="EO128" s="83" t="s">
        <v>8769</v>
      </c>
      <c r="EP128" t="s">
        <v>5187</v>
      </c>
      <c r="EU128" s="177" t="str">
        <f>IF(Dieu="Smednir","Prêtre","")</f>
        <v/>
      </c>
      <c r="EV128" s="83" t="str">
        <f t="shared" si="69"/>
        <v/>
      </c>
      <c r="EW128" s="83" t="str">
        <f t="shared" si="73"/>
        <v/>
      </c>
      <c r="EX128" s="530" t="str">
        <f t="shared" si="74"/>
        <v/>
      </c>
      <c r="EY128" s="83" t="s">
        <v>419</v>
      </c>
      <c r="FB128" s="83" t="s">
        <v>17605</v>
      </c>
      <c r="FC128" s="133" t="s">
        <v>7362</v>
      </c>
      <c r="FD128" s="85" t="s">
        <v>1328</v>
      </c>
      <c r="FE128" s="849">
        <v>112</v>
      </c>
      <c r="FF128">
        <v>25</v>
      </c>
      <c r="FG128">
        <v>0</v>
      </c>
      <c r="FH128">
        <v>55</v>
      </c>
      <c r="FI128">
        <v>47</v>
      </c>
      <c r="FJ128" s="10">
        <v>25</v>
      </c>
      <c r="FK128">
        <v>5</v>
      </c>
      <c r="FL128">
        <v>20</v>
      </c>
      <c r="FM128" s="165">
        <v>0</v>
      </c>
      <c r="FN128" s="88">
        <v>1</v>
      </c>
      <c r="FO128" s="88">
        <v>20</v>
      </c>
      <c r="FP128" s="691">
        <f t="shared" si="91"/>
        <v>5</v>
      </c>
      <c r="FQ128" s="691">
        <f t="shared" si="92"/>
        <v>4</v>
      </c>
      <c r="FR128" s="10">
        <v>9</v>
      </c>
      <c r="FS128" s="88">
        <v>0</v>
      </c>
      <c r="FT128" s="88">
        <v>0</v>
      </c>
      <c r="FU128" s="165">
        <v>0</v>
      </c>
      <c r="FV128" s="83" t="s">
        <v>7242</v>
      </c>
      <c r="FW128" t="s">
        <v>17606</v>
      </c>
      <c r="FX128" s="530" t="s">
        <v>7659</v>
      </c>
      <c r="GA128" s="83" t="s">
        <v>7523</v>
      </c>
      <c r="GE128" s="356"/>
      <c r="GF128" t="s">
        <v>7722</v>
      </c>
      <c r="GG128" s="356" t="s">
        <v>8929</v>
      </c>
      <c r="GH128" s="83" t="s">
        <v>8926</v>
      </c>
      <c r="GI128" s="83" t="s">
        <v>8927</v>
      </c>
      <c r="GJ128" s="83"/>
      <c r="GK128" s="530"/>
    </row>
    <row r="129" spans="8:193" ht="13.2" customHeight="1">
      <c r="H129" s="3" t="s">
        <v>2671</v>
      </c>
      <c r="I129" s="3" t="s">
        <v>711</v>
      </c>
      <c r="J129" s="3"/>
      <c r="K129" s="3"/>
      <c r="L129" s="3"/>
      <c r="M129" s="651"/>
      <c r="N129" s="3"/>
      <c r="O129" s="3"/>
      <c r="P129" s="3"/>
      <c r="Q129" s="3"/>
      <c r="R129" s="651"/>
      <c r="S129" s="83" t="str">
        <f>IF(CareerType=Y129,"Duelliste",IF(AllCareers="X","Duelliste",IF(Selectsousrace="","",IF(OR(SelectRace="homme-bête",SelectRace="peau-verte",SelectRace="créature du chaos",SelectRace="Homme-lézard",SelectRace="skaven"),"",IF(FirstCareer="1ère carrière","","Duelliste")))))</f>
        <v/>
      </c>
      <c r="T129" s="106">
        <f t="shared" si="94"/>
        <v>1</v>
      </c>
      <c r="U129" s="693" t="str">
        <f t="shared" si="75"/>
        <v/>
      </c>
      <c r="V129" s="693" t="str">
        <f t="shared" si="76"/>
        <v/>
      </c>
      <c r="W129" s="693" t="str">
        <f t="shared" si="77"/>
        <v/>
      </c>
      <c r="X129" s="47" t="s">
        <v>2153</v>
      </c>
      <c r="Y129" s="743" t="s">
        <v>7134</v>
      </c>
      <c r="Z129" s="55" t="s">
        <v>2200</v>
      </c>
      <c r="AA129" s="47">
        <v>70</v>
      </c>
      <c r="AB129" s="47" t="s">
        <v>2287</v>
      </c>
      <c r="AC129" s="47">
        <v>62</v>
      </c>
      <c r="AD129" s="15" t="s">
        <v>100</v>
      </c>
      <c r="AE129" s="15" t="s">
        <v>100</v>
      </c>
      <c r="AF129" s="15" t="s">
        <v>98</v>
      </c>
      <c r="AG129" s="15" t="s">
        <v>100</v>
      </c>
      <c r="AH129" s="15" t="s">
        <v>100</v>
      </c>
      <c r="AI129" s="15" t="s">
        <v>101</v>
      </c>
      <c r="AJ129" s="15" t="s">
        <v>101</v>
      </c>
      <c r="AK129" s="18" t="s">
        <v>98</v>
      </c>
      <c r="AL129" s="15" t="s">
        <v>102</v>
      </c>
      <c r="AM129" s="15" t="s">
        <v>103</v>
      </c>
      <c r="AN129" s="15" t="s">
        <v>149</v>
      </c>
      <c r="AO129" s="15" t="s">
        <v>149</v>
      </c>
      <c r="AP129" s="87" t="s">
        <v>16180</v>
      </c>
      <c r="AQ129" s="87" t="s">
        <v>734</v>
      </c>
      <c r="AR129" s="87" t="s">
        <v>5535</v>
      </c>
      <c r="AS129" s="87" t="s">
        <v>734</v>
      </c>
      <c r="AT129" s="87" t="s">
        <v>16901</v>
      </c>
      <c r="AU129" s="87" t="s">
        <v>5359</v>
      </c>
      <c r="AV129" s="87" t="s">
        <v>4606</v>
      </c>
      <c r="AW129" s="457">
        <v>0</v>
      </c>
      <c r="AX129" s="630" t="str">
        <f t="shared" si="81"/>
        <v/>
      </c>
      <c r="AY129" s="630" t="str">
        <f t="shared" si="82"/>
        <v/>
      </c>
      <c r="AZ129" s="630" t="str">
        <f t="shared" si="83"/>
        <v/>
      </c>
      <c r="BA129" s="3"/>
      <c r="BB129" s="3"/>
      <c r="BC129" s="3"/>
      <c r="BD129" s="3"/>
      <c r="BE129" s="3"/>
      <c r="BF129" s="3"/>
      <c r="BG129" s="3"/>
      <c r="BH129" s="3"/>
      <c r="BI129" s="3"/>
      <c r="BJ129" s="3"/>
      <c r="BK129" s="3"/>
      <c r="BL129" s="3"/>
      <c r="BM129" s="3"/>
      <c r="BN129" s="3"/>
      <c r="BP129" s="3"/>
      <c r="BQ129" s="3" t="s">
        <v>11934</v>
      </c>
      <c r="BR129" s="3"/>
      <c r="BS129" s="3"/>
      <c r="BT129" s="3"/>
      <c r="BU129" s="3"/>
      <c r="BV129" s="3"/>
      <c r="BW129" s="3"/>
      <c r="BX129" s="83" t="str">
        <f>IF(Province="Mahabbah","Medina de Mahabbah","")</f>
        <v/>
      </c>
      <c r="BY129" t="str">
        <f t="shared" si="78"/>
        <v/>
      </c>
      <c r="BZ129" s="83" t="str">
        <f t="shared" si="70"/>
        <v/>
      </c>
      <c r="CA129" s="83" t="str">
        <f t="shared" si="71"/>
        <v/>
      </c>
      <c r="CB129" s="530" t="str">
        <f t="shared" si="72"/>
        <v/>
      </c>
      <c r="CC129" s="3" t="s">
        <v>3295</v>
      </c>
      <c r="CD129" t="s">
        <v>3320</v>
      </c>
      <c r="CG129" s="3" t="s">
        <v>6223</v>
      </c>
      <c r="CH129" s="3" t="s">
        <v>6008</v>
      </c>
      <c r="CI129" s="3"/>
      <c r="CJ129" s="3"/>
      <c r="CK129" s="3" t="s">
        <v>6907</v>
      </c>
      <c r="CM129" t="s">
        <v>6183</v>
      </c>
      <c r="CN129" s="3"/>
      <c r="CO129" s="3" t="s">
        <v>10965</v>
      </c>
      <c r="CP129" s="3"/>
      <c r="CQ129" s="3"/>
      <c r="CR129" s="3" t="s">
        <v>13499</v>
      </c>
      <c r="CS129" s="3"/>
      <c r="CT129" s="3"/>
      <c r="CU129" s="3"/>
      <c r="CV129" s="3"/>
      <c r="CW129" s="3"/>
      <c r="CX129" s="3"/>
      <c r="CY129" s="3" t="s">
        <v>457</v>
      </c>
      <c r="CZ129" s="3"/>
      <c r="DA129" s="3"/>
      <c r="DB129" s="3"/>
      <c r="DC129" s="3"/>
      <c r="DD129" s="83" t="s">
        <v>11209</v>
      </c>
      <c r="DE129" s="3" t="s">
        <v>135</v>
      </c>
      <c r="DF129" s="3">
        <f>ROW()</f>
        <v>129</v>
      </c>
      <c r="DG129" s="3" t="s">
        <v>2680</v>
      </c>
      <c r="DH129" s="3">
        <f t="shared" si="95"/>
        <v>750</v>
      </c>
      <c r="DI129" s="3">
        <f t="shared" si="96"/>
        <v>565</v>
      </c>
      <c r="DJ129" s="3">
        <f t="shared" si="97"/>
        <v>380</v>
      </c>
      <c r="DK129" s="3">
        <f t="shared" si="98"/>
        <v>195</v>
      </c>
      <c r="DL129" s="3"/>
      <c r="DM129" s="3"/>
      <c r="DN129" s="3"/>
      <c r="DO129" s="3"/>
      <c r="DP129" s="3"/>
      <c r="DQ129" s="3"/>
      <c r="DR129" s="3"/>
      <c r="DS129" s="3"/>
      <c r="DT129" s="3"/>
      <c r="DU129" s="3"/>
      <c r="DV129" s="3"/>
      <c r="DW129" s="3"/>
      <c r="DX129" s="3"/>
      <c r="DY129" s="3"/>
      <c r="DZ129" s="3" t="s">
        <v>3031</v>
      </c>
      <c r="EA129" s="83" t="s">
        <v>4543</v>
      </c>
      <c r="EB129" s="3"/>
      <c r="ED129" s="83" t="s">
        <v>4520</v>
      </c>
      <c r="EE129" s="83" t="s">
        <v>5249</v>
      </c>
      <c r="EF129" s="530" t="s">
        <v>9557</v>
      </c>
      <c r="EK129" s="874"/>
      <c r="EM129" s="90" t="s">
        <v>5181</v>
      </c>
      <c r="EN129" s="83" t="s">
        <v>5015</v>
      </c>
      <c r="EO129" s="83" t="s">
        <v>8771</v>
      </c>
      <c r="EP129" t="s">
        <v>5187</v>
      </c>
      <c r="EU129" s="571" t="str">
        <f>IF(Dieu="Solkan","Initié","")</f>
        <v/>
      </c>
      <c r="EV129" s="83" t="str">
        <f t="shared" ref="EV129:EV192" si="99">IF(EU129="","",ROW())</f>
        <v/>
      </c>
      <c r="EW129" s="83" t="str">
        <f t="shared" si="73"/>
        <v/>
      </c>
      <c r="EX129" s="530" t="str">
        <f t="shared" si="74"/>
        <v/>
      </c>
      <c r="EY129" t="s">
        <v>9094</v>
      </c>
      <c r="EZ129" s="530" t="s">
        <v>9095</v>
      </c>
      <c r="FB129" s="83" t="s">
        <v>13038</v>
      </c>
      <c r="FC129" s="133" t="s">
        <v>7362</v>
      </c>
      <c r="FD129" t="s">
        <v>2200</v>
      </c>
      <c r="FE129" s="849">
        <v>230</v>
      </c>
      <c r="FF129">
        <v>30</v>
      </c>
      <c r="FG129">
        <v>0</v>
      </c>
      <c r="FH129">
        <v>40</v>
      </c>
      <c r="FI129">
        <v>40</v>
      </c>
      <c r="FJ129" s="10">
        <v>30</v>
      </c>
      <c r="FK129">
        <v>10</v>
      </c>
      <c r="FL129">
        <v>10</v>
      </c>
      <c r="FM129" s="165">
        <v>10</v>
      </c>
      <c r="FN129">
        <v>1</v>
      </c>
      <c r="FO129">
        <v>14</v>
      </c>
      <c r="FP129" s="164">
        <f>ROUNDDOWN(FH129/10,0)</f>
        <v>4</v>
      </c>
      <c r="FQ129" s="164">
        <f>ROUNDDOWN(FI129/10,0)</f>
        <v>4</v>
      </c>
      <c r="FR129" s="10">
        <v>8</v>
      </c>
      <c r="FS129">
        <v>0</v>
      </c>
      <c r="FT129">
        <v>0</v>
      </c>
      <c r="FU129" s="165">
        <v>0</v>
      </c>
      <c r="FV129" t="s">
        <v>7231</v>
      </c>
      <c r="FW129" s="83" t="s">
        <v>7225</v>
      </c>
      <c r="FX129" s="567" t="s">
        <v>7657</v>
      </c>
      <c r="GA129" s="83" t="s">
        <v>7627</v>
      </c>
      <c r="GE129" s="356"/>
      <c r="GF129" t="s">
        <v>7752</v>
      </c>
      <c r="GG129" s="356" t="s">
        <v>8928</v>
      </c>
      <c r="GH129" s="83" t="s">
        <v>8926</v>
      </c>
      <c r="GI129" s="83" t="s">
        <v>8927</v>
      </c>
      <c r="GJ129" s="83"/>
      <c r="GK129" s="530"/>
    </row>
    <row r="130" spans="8:193" ht="13.2" customHeight="1">
      <c r="H130" s="3" t="s">
        <v>815</v>
      </c>
      <c r="I130" s="3" t="s">
        <v>720</v>
      </c>
      <c r="J130" s="3"/>
      <c r="K130" s="3"/>
      <c r="L130" s="3"/>
      <c r="M130" s="651"/>
      <c r="N130" s="3"/>
      <c r="O130" s="3"/>
      <c r="P130" s="3"/>
      <c r="Q130" s="3"/>
      <c r="R130" s="651"/>
      <c r="S130" s="83" t="str">
        <f>IF(CareerType=Y130,"Éclaireur",IF(AllCareers="X","Éclaireur",IF(OR(SelectRace="homme-bête",SelectRace="peau-verte",SelectRace="créature du chaos",SelectRace="Homme-lézard",SelectRace="skaven"),"",IF(Pays="Norsca","",IF(SelectRace="Humain","Éclaireur",IF(SelectRace="Elfe","Éclaireur",""))))))</f>
        <v/>
      </c>
      <c r="T130" s="106">
        <f t="shared" si="94"/>
        <v>0</v>
      </c>
      <c r="U130" s="693" t="str">
        <f t="shared" si="75"/>
        <v/>
      </c>
      <c r="V130" s="693" t="str">
        <f t="shared" si="76"/>
        <v/>
      </c>
      <c r="W130" s="693" t="str">
        <f t="shared" si="77"/>
        <v/>
      </c>
      <c r="X130" s="47" t="s">
        <v>2160</v>
      </c>
      <c r="Y130" s="743" t="s">
        <v>7134</v>
      </c>
      <c r="Z130" s="55" t="s">
        <v>2200</v>
      </c>
      <c r="AA130" s="47">
        <v>40</v>
      </c>
      <c r="AB130" s="47" t="s">
        <v>2288</v>
      </c>
      <c r="AC130" s="47">
        <v>158</v>
      </c>
      <c r="AD130" s="20" t="s">
        <v>114</v>
      </c>
      <c r="AE130" s="15" t="s">
        <v>98</v>
      </c>
      <c r="AF130" s="15" t="s">
        <v>149</v>
      </c>
      <c r="AG130" s="15" t="s">
        <v>149</v>
      </c>
      <c r="AH130" s="15" t="s">
        <v>98</v>
      </c>
      <c r="AI130" s="15" t="s">
        <v>98</v>
      </c>
      <c r="AJ130" s="20" t="s">
        <v>114</v>
      </c>
      <c r="AK130" s="18" t="s">
        <v>149</v>
      </c>
      <c r="AL130" s="15" t="s">
        <v>149</v>
      </c>
      <c r="AM130" s="15" t="s">
        <v>113</v>
      </c>
      <c r="AN130" s="15" t="s">
        <v>149</v>
      </c>
      <c r="AO130" s="15" t="s">
        <v>149</v>
      </c>
      <c r="AP130" s="87" t="s">
        <v>16567</v>
      </c>
      <c r="AQ130" s="87" t="s">
        <v>734</v>
      </c>
      <c r="AR130" s="87" t="s">
        <v>16903</v>
      </c>
      <c r="AS130" s="87" t="s">
        <v>734</v>
      </c>
      <c r="AT130" s="22" t="s">
        <v>3445</v>
      </c>
      <c r="AU130" s="87" t="s">
        <v>16904</v>
      </c>
      <c r="AV130" s="87" t="s">
        <v>16905</v>
      </c>
      <c r="AW130" s="457">
        <v>0</v>
      </c>
      <c r="AX130" s="630" t="str">
        <f t="shared" si="81"/>
        <v/>
      </c>
      <c r="AY130" s="630" t="str">
        <f t="shared" si="82"/>
        <v/>
      </c>
      <c r="AZ130" s="630" t="str">
        <f t="shared" si="83"/>
        <v/>
      </c>
      <c r="BA130" s="3"/>
      <c r="BB130" s="3"/>
      <c r="BC130" s="3"/>
      <c r="BD130" s="3"/>
      <c r="BE130" s="3"/>
      <c r="BF130" s="3"/>
      <c r="BG130" s="3"/>
      <c r="BH130" s="3"/>
      <c r="BI130" s="3"/>
      <c r="BJ130" s="3"/>
      <c r="BK130" s="3"/>
      <c r="BL130" s="3"/>
      <c r="BM130" s="3"/>
      <c r="BN130" s="3"/>
      <c r="BP130" s="3"/>
      <c r="BQ130" s="3" t="s">
        <v>11935</v>
      </c>
      <c r="BR130" s="3"/>
      <c r="BS130" s="3"/>
      <c r="BT130" s="3"/>
      <c r="BU130" s="3"/>
      <c r="BV130" s="3"/>
      <c r="BW130" s="3"/>
      <c r="BX130" t="str">
        <f>IF(Province="Martek","Medina de Martek","")</f>
        <v/>
      </c>
      <c r="BY130" t="str">
        <f t="shared" si="78"/>
        <v/>
      </c>
      <c r="BZ130" s="83" t="str">
        <f t="shared" ref="BZ130:BZ193" si="100">IFERROR(SMALL(BY:BY,ROW()-1),"")</f>
        <v/>
      </c>
      <c r="CA130" s="83" t="str">
        <f t="shared" ref="CA130:CA193" si="101">IFERROR(INDEX(BX:BX,BZ130),"")</f>
        <v/>
      </c>
      <c r="CB130" s="530" t="str">
        <f t="shared" ref="CB130:CB193" si="102">INDEX(CA:CA,ROW())</f>
        <v/>
      </c>
      <c r="CC130" s="3" t="s">
        <v>3296</v>
      </c>
      <c r="CD130" s="3" t="s">
        <v>1069</v>
      </c>
      <c r="CG130" s="83" t="s">
        <v>14948</v>
      </c>
      <c r="CH130" s="3" t="s">
        <v>6009</v>
      </c>
      <c r="CI130" s="3"/>
      <c r="CJ130" s="3"/>
      <c r="CK130" s="3" t="s">
        <v>6870</v>
      </c>
      <c r="CM130" t="s">
        <v>10328</v>
      </c>
      <c r="CN130" s="3"/>
      <c r="CO130" s="3" t="s">
        <v>10958</v>
      </c>
      <c r="CR130" s="3" t="s">
        <v>13500</v>
      </c>
      <c r="CS130" s="3"/>
      <c r="CT130" s="3"/>
      <c r="CU130" s="3"/>
      <c r="CV130" s="3"/>
      <c r="CW130" s="3"/>
      <c r="CX130" s="3"/>
      <c r="CY130" s="39" t="s">
        <v>256</v>
      </c>
      <c r="CZ130" s="3"/>
      <c r="DA130" s="3"/>
      <c r="DB130" s="3"/>
      <c r="DC130" s="3"/>
      <c r="DD130" s="83" t="s">
        <v>11223</v>
      </c>
      <c r="DE130" s="3" t="s">
        <v>132</v>
      </c>
      <c r="DF130" s="3">
        <f>ROW()</f>
        <v>130</v>
      </c>
      <c r="DG130" s="3" t="s">
        <v>2174</v>
      </c>
      <c r="DH130" s="3">
        <f t="shared" si="95"/>
        <v>135</v>
      </c>
      <c r="DI130" s="3">
        <f t="shared" si="96"/>
        <v>115</v>
      </c>
      <c r="DJ130" s="3">
        <f t="shared" si="97"/>
        <v>95</v>
      </c>
      <c r="DK130" s="3">
        <f t="shared" si="98"/>
        <v>75</v>
      </c>
      <c r="DL130" s="3"/>
      <c r="DM130" s="3"/>
      <c r="DN130" s="3"/>
      <c r="DO130" s="3"/>
      <c r="DP130" s="3"/>
      <c r="DQ130" s="3"/>
      <c r="DR130" s="3"/>
      <c r="DS130" s="3"/>
      <c r="DT130" s="3"/>
      <c r="DU130" s="3"/>
      <c r="DV130" s="3"/>
      <c r="DW130" s="3"/>
      <c r="DX130" s="3"/>
      <c r="DY130" s="3"/>
      <c r="DZ130" s="3" t="s">
        <v>3032</v>
      </c>
      <c r="EA130" s="83" t="s">
        <v>4543</v>
      </c>
      <c r="EB130" s="3"/>
      <c r="ED130" s="83" t="s">
        <v>4521</v>
      </c>
      <c r="EE130" s="83" t="s">
        <v>5249</v>
      </c>
      <c r="EF130" s="530" t="s">
        <v>9558</v>
      </c>
      <c r="EK130" s="874"/>
      <c r="EM130" s="90" t="s">
        <v>5182</v>
      </c>
      <c r="EN130" s="83" t="s">
        <v>5015</v>
      </c>
      <c r="EO130" s="83" t="s">
        <v>8772</v>
      </c>
      <c r="EP130" t="s">
        <v>5187</v>
      </c>
      <c r="EU130" s="571" t="str">
        <f>IF(Dieu="Solkan","Prêtre","")</f>
        <v/>
      </c>
      <c r="EV130" s="83" t="str">
        <f t="shared" si="99"/>
        <v/>
      </c>
      <c r="EW130" s="83" t="str">
        <f t="shared" ref="EW130:EW193" si="103">IFERROR(SMALL(EV:EV,ROW()-1),"")</f>
        <v/>
      </c>
      <c r="EX130" s="530" t="str">
        <f t="shared" ref="EX130:EX193" si="104">IFERROR(INDEX(EU:EU,EW130),"")</f>
        <v/>
      </c>
      <c r="EY130" s="83" t="s">
        <v>16906</v>
      </c>
      <c r="FB130" s="83" t="s">
        <v>13039</v>
      </c>
      <c r="FC130" s="133" t="s">
        <v>7362</v>
      </c>
      <c r="FD130" t="s">
        <v>2200</v>
      </c>
      <c r="FE130" s="849">
        <v>230</v>
      </c>
      <c r="FF130">
        <v>25</v>
      </c>
      <c r="FG130">
        <v>0</v>
      </c>
      <c r="FH130">
        <v>38</v>
      </c>
      <c r="FI130">
        <v>30</v>
      </c>
      <c r="FJ130" s="10">
        <v>10</v>
      </c>
      <c r="FK130">
        <v>10</v>
      </c>
      <c r="FL130">
        <v>10</v>
      </c>
      <c r="FM130" s="165">
        <v>10</v>
      </c>
      <c r="FN130" s="88">
        <v>0</v>
      </c>
      <c r="FO130" s="88">
        <v>12</v>
      </c>
      <c r="FP130" s="164">
        <f>ROUNDDOWN(FH130/10,0)</f>
        <v>3</v>
      </c>
      <c r="FQ130" s="164">
        <f>ROUNDDOWN(FI130/10,0)</f>
        <v>3</v>
      </c>
      <c r="FR130" s="682">
        <v>8</v>
      </c>
      <c r="FS130" s="88">
        <v>0</v>
      </c>
      <c r="FT130" s="88">
        <v>0</v>
      </c>
      <c r="FU130" s="165">
        <v>0</v>
      </c>
      <c r="FV130" t="s">
        <v>7231</v>
      </c>
      <c r="FW130" s="83" t="s">
        <v>7226</v>
      </c>
      <c r="FX130" s="567" t="s">
        <v>7657</v>
      </c>
      <c r="GA130" s="83" t="s">
        <v>7610</v>
      </c>
      <c r="GE130" s="356"/>
      <c r="GF130" t="s">
        <v>8213</v>
      </c>
      <c r="GG130" s="356" t="s">
        <v>8934</v>
      </c>
      <c r="GH130" s="83" t="s">
        <v>8926</v>
      </c>
      <c r="GI130" s="83" t="s">
        <v>8927</v>
      </c>
      <c r="GJ130" s="83"/>
      <c r="GK130" s="530"/>
    </row>
    <row r="131" spans="8:193" ht="13.2" customHeight="1">
      <c r="H131" s="177" t="s">
        <v>816</v>
      </c>
      <c r="I131" s="520" t="s">
        <v>1259</v>
      </c>
      <c r="J131" s="3"/>
      <c r="K131" s="3"/>
      <c r="L131" s="3"/>
      <c r="M131" s="651"/>
      <c r="N131" s="3"/>
      <c r="O131" s="3"/>
      <c r="P131" s="3"/>
      <c r="Q131" s="3"/>
      <c r="R131" s="651"/>
      <c r="S131" s="83" t="str">
        <f>IF(CareerType=Y131,"Éclaireur (créatures)",IF(AllCareers="X","Éclaireur (créatures)",IF(Selectsousrace="","",IF(SelectRace="skaven","",IF(FirstCareer="1ère carrière","","Éclaireur (créatures)")))))</f>
        <v/>
      </c>
      <c r="T131" s="106">
        <v>2</v>
      </c>
      <c r="U131" s="693" t="str">
        <f t="shared" ref="U131:U194" si="105">IF(S131="","",ROW()-1)</f>
        <v/>
      </c>
      <c r="V131" s="693" t="str">
        <f t="shared" ref="V131:V194" si="106">IFERROR(SMALL(U:U,ROW()-1),"")</f>
        <v/>
      </c>
      <c r="W131" s="693" t="str">
        <f t="shared" ref="W131:W194" si="107">IFERROR(INDEX(S:S,V131+1),"")</f>
        <v/>
      </c>
      <c r="X131" s="47" t="s">
        <v>2153</v>
      </c>
      <c r="Y131" s="743" t="s">
        <v>7134</v>
      </c>
      <c r="Z131" s="55" t="s">
        <v>2200</v>
      </c>
      <c r="AA131" s="47">
        <v>226</v>
      </c>
      <c r="AB131" s="47" t="s">
        <v>2288</v>
      </c>
      <c r="AC131" s="47"/>
      <c r="AD131" s="15" t="s">
        <v>98</v>
      </c>
      <c r="AE131" s="15" t="s">
        <v>100</v>
      </c>
      <c r="AF131" s="15" t="s">
        <v>98</v>
      </c>
      <c r="AG131" s="15" t="s">
        <v>98</v>
      </c>
      <c r="AH131" s="15" t="s">
        <v>100</v>
      </c>
      <c r="AI131" s="15" t="s">
        <v>98</v>
      </c>
      <c r="AJ131" s="15" t="s">
        <v>101</v>
      </c>
      <c r="AK131" s="18" t="s">
        <v>149</v>
      </c>
      <c r="AL131" s="15" t="s">
        <v>102</v>
      </c>
      <c r="AM131" s="15" t="s">
        <v>103</v>
      </c>
      <c r="AN131" s="15" t="s">
        <v>149</v>
      </c>
      <c r="AO131" s="15" t="s">
        <v>149</v>
      </c>
      <c r="AP131" s="22" t="s">
        <v>1266</v>
      </c>
      <c r="AQ131" s="87" t="s">
        <v>734</v>
      </c>
      <c r="AR131" s="22" t="s">
        <v>611</v>
      </c>
      <c r="AS131" s="87" t="s">
        <v>734</v>
      </c>
      <c r="AT131" s="22" t="s">
        <v>3446</v>
      </c>
      <c r="AU131" s="87" t="s">
        <v>16907</v>
      </c>
      <c r="AV131" s="87" t="s">
        <v>4743</v>
      </c>
      <c r="AW131" s="457">
        <v>0</v>
      </c>
      <c r="AX131" s="630" t="str">
        <f t="shared" si="81"/>
        <v/>
      </c>
      <c r="AY131" s="630" t="str">
        <f t="shared" si="82"/>
        <v/>
      </c>
      <c r="AZ131" s="630" t="str">
        <f t="shared" si="83"/>
        <v/>
      </c>
      <c r="BA131" s="3"/>
      <c r="BB131" s="3"/>
      <c r="BC131" s="3"/>
      <c r="BD131" s="3"/>
      <c r="BE131" s="3"/>
      <c r="BF131" s="3"/>
      <c r="BG131" s="3"/>
      <c r="BH131" s="3"/>
      <c r="BI131" s="3"/>
      <c r="BJ131" s="3"/>
      <c r="BK131" s="3"/>
      <c r="BL131" s="3"/>
      <c r="BM131" s="3"/>
      <c r="BN131" s="3"/>
      <c r="BP131" s="3"/>
      <c r="BQ131" s="83" t="s">
        <v>11936</v>
      </c>
      <c r="BR131" s="3"/>
      <c r="BS131" s="3"/>
      <c r="BT131" s="3"/>
      <c r="BU131" s="3"/>
      <c r="BV131" s="3"/>
      <c r="BW131" s="3"/>
      <c r="BX131" s="83" t="str">
        <f>IF(Province="Ra'Ban","Medina de Ra'Ban","")</f>
        <v/>
      </c>
      <c r="BY131" t="str">
        <f t="shared" ref="BY131:BY194" si="108">IF(BX131="","",ROW())</f>
        <v/>
      </c>
      <c r="BZ131" s="83" t="str">
        <f t="shared" si="100"/>
        <v/>
      </c>
      <c r="CA131" s="83" t="str">
        <f t="shared" si="101"/>
        <v/>
      </c>
      <c r="CB131" s="530" t="str">
        <f t="shared" si="102"/>
        <v/>
      </c>
      <c r="CC131" s="3" t="s">
        <v>3297</v>
      </c>
      <c r="CD131" t="s">
        <v>10688</v>
      </c>
      <c r="CG131" s="3" t="s">
        <v>6224</v>
      </c>
      <c r="CH131" s="3" t="s">
        <v>6010</v>
      </c>
      <c r="CI131" s="3"/>
      <c r="CJ131" s="3"/>
      <c r="CK131" s="3" t="s">
        <v>6744</v>
      </c>
      <c r="CM131" t="s">
        <v>10329</v>
      </c>
      <c r="CN131" s="3"/>
      <c r="CO131" s="3" t="s">
        <v>10960</v>
      </c>
      <c r="CR131" s="3" t="s">
        <v>13501</v>
      </c>
      <c r="CS131" s="3"/>
      <c r="CT131" s="3"/>
      <c r="CU131" s="3"/>
      <c r="CV131" s="3"/>
      <c r="CW131" s="3"/>
      <c r="CX131" s="3"/>
      <c r="CY131" s="3" t="s">
        <v>438</v>
      </c>
      <c r="CZ131" s="3"/>
      <c r="DA131" s="3"/>
      <c r="DB131" s="3"/>
      <c r="DC131" s="3"/>
      <c r="DD131" s="83" t="s">
        <v>2710</v>
      </c>
      <c r="DE131" s="3" t="s">
        <v>135</v>
      </c>
      <c r="DF131" s="3">
        <f>ROW()</f>
        <v>131</v>
      </c>
      <c r="DG131" s="3" t="s">
        <v>780</v>
      </c>
      <c r="DH131" s="3">
        <f t="shared" si="95"/>
        <v>400</v>
      </c>
      <c r="DI131" s="3">
        <f t="shared" si="96"/>
        <v>300</v>
      </c>
      <c r="DJ131" s="3">
        <f t="shared" si="97"/>
        <v>210</v>
      </c>
      <c r="DK131" s="3">
        <f t="shared" si="98"/>
        <v>120</v>
      </c>
      <c r="DL131" s="3"/>
      <c r="DM131" s="3"/>
      <c r="DN131" s="3"/>
      <c r="DO131" s="3"/>
      <c r="DP131" s="3"/>
      <c r="DQ131" s="3"/>
      <c r="DR131" s="3"/>
      <c r="DS131" s="3"/>
      <c r="DT131" s="3"/>
      <c r="DU131" s="3"/>
      <c r="DV131" s="3"/>
      <c r="DW131" s="3"/>
      <c r="DX131" s="3"/>
      <c r="DY131" s="3"/>
      <c r="DZ131" s="3" t="s">
        <v>3033</v>
      </c>
      <c r="EA131" s="83" t="s">
        <v>4544</v>
      </c>
      <c r="EB131" s="3"/>
      <c r="ED131" s="83" t="s">
        <v>4522</v>
      </c>
      <c r="EE131" s="83" t="s">
        <v>5249</v>
      </c>
      <c r="EF131" s="530" t="s">
        <v>9559</v>
      </c>
      <c r="EK131" s="874"/>
      <c r="EM131" s="90" t="s">
        <v>2995</v>
      </c>
      <c r="EN131" s="83" t="s">
        <v>5015</v>
      </c>
      <c r="EO131" s="83" t="s">
        <v>5233</v>
      </c>
      <c r="EP131" t="s">
        <v>5188</v>
      </c>
      <c r="EU131" s="177" t="str">
        <f>IF(Dieu="Stormfels","Initié","")</f>
        <v/>
      </c>
      <c r="EV131" s="83" t="str">
        <f t="shared" si="99"/>
        <v/>
      </c>
      <c r="EW131" s="83" t="str">
        <f t="shared" si="103"/>
        <v/>
      </c>
      <c r="EX131" s="530" t="str">
        <f t="shared" si="104"/>
        <v/>
      </c>
      <c r="EZ131" s="530" t="s">
        <v>9138</v>
      </c>
      <c r="FB131" s="83" t="s">
        <v>16902</v>
      </c>
      <c r="FC131" s="133" t="s">
        <v>7362</v>
      </c>
      <c r="FD131" t="s">
        <v>2200</v>
      </c>
      <c r="FE131" s="849">
        <v>231</v>
      </c>
      <c r="FF131">
        <v>30</v>
      </c>
      <c r="FG131">
        <v>0</v>
      </c>
      <c r="FH131">
        <v>45</v>
      </c>
      <c r="FI131">
        <v>45</v>
      </c>
      <c r="FJ131" s="10">
        <v>30</v>
      </c>
      <c r="FK131">
        <v>10</v>
      </c>
      <c r="FL131">
        <v>10</v>
      </c>
      <c r="FM131" s="165">
        <v>0</v>
      </c>
      <c r="FN131" s="88">
        <v>1</v>
      </c>
      <c r="FO131" s="88">
        <v>18</v>
      </c>
      <c r="FP131" s="164">
        <f>ROUNDDOWN(FH131/10,0)</f>
        <v>4</v>
      </c>
      <c r="FQ131" s="164">
        <f>ROUNDDOWN(FI131/10,0)</f>
        <v>4</v>
      </c>
      <c r="FR131" s="682">
        <v>8</v>
      </c>
      <c r="FS131" s="88">
        <v>0</v>
      </c>
      <c r="FT131" s="88">
        <v>0</v>
      </c>
      <c r="FU131" s="165">
        <v>0</v>
      </c>
      <c r="FV131" t="s">
        <v>7231</v>
      </c>
      <c r="FW131" t="s">
        <v>7225</v>
      </c>
      <c r="FX131" s="531" t="s">
        <v>7657</v>
      </c>
      <c r="GA131" t="s">
        <v>5681</v>
      </c>
      <c r="GE131" s="356"/>
      <c r="GF131" t="s">
        <v>7723</v>
      </c>
      <c r="GG131" s="356" t="s">
        <v>8941</v>
      </c>
      <c r="GH131" s="83" t="s">
        <v>8939</v>
      </c>
      <c r="GI131" s="83" t="s">
        <v>8927</v>
      </c>
      <c r="GJ131" s="83"/>
      <c r="GK131" s="530"/>
    </row>
    <row r="132" spans="8:193" ht="13.2" customHeight="1">
      <c r="H132" s="85" t="s">
        <v>16908</v>
      </c>
      <c r="I132" s="519" t="s">
        <v>2787</v>
      </c>
      <c r="J132" s="3"/>
      <c r="K132" s="3"/>
      <c r="L132" s="3"/>
      <c r="M132" s="651"/>
      <c r="N132" s="3"/>
      <c r="O132" s="3"/>
      <c r="P132" s="3"/>
      <c r="Q132" s="3"/>
      <c r="R132" s="651"/>
      <c r="S132" s="83" t="str">
        <f>IF(CareerType=Y129,"Eclusier",IF(AllCareers="X","Eclusier",IF(Selectsousrace="","",IF(OR(SelectRace="homme-bête",SelectRace="peau-verte",SelectRace="créature du chaos",SelectRace="Homme-lézard",SelectRace="skaven"),"",IF(FirstCareer="1ère carrière","","Eclusier")))))</f>
        <v/>
      </c>
      <c r="T132" s="106">
        <f>IF(X132="oui",0,1)</f>
        <v>1</v>
      </c>
      <c r="U132" s="693" t="str">
        <f t="shared" si="105"/>
        <v/>
      </c>
      <c r="V132" s="693" t="str">
        <f t="shared" si="106"/>
        <v/>
      </c>
      <c r="W132" s="693" t="str">
        <f t="shared" si="107"/>
        <v/>
      </c>
      <c r="X132" s="89" t="s">
        <v>2153</v>
      </c>
      <c r="Y132" s="743" t="s">
        <v>7132</v>
      </c>
      <c r="Z132" s="101" t="s">
        <v>4943</v>
      </c>
      <c r="AB132" s="89" t="s">
        <v>9985</v>
      </c>
      <c r="AD132" s="15" t="s">
        <v>98</v>
      </c>
      <c r="AE132" s="15" t="s">
        <v>149</v>
      </c>
      <c r="AF132" s="15" t="s">
        <v>114</v>
      </c>
      <c r="AG132" s="15" t="s">
        <v>114</v>
      </c>
      <c r="AH132" s="15" t="s">
        <v>114</v>
      </c>
      <c r="AI132" s="15" t="s">
        <v>114</v>
      </c>
      <c r="AJ132" s="15" t="s">
        <v>149</v>
      </c>
      <c r="AK132" s="18" t="s">
        <v>114</v>
      </c>
      <c r="AL132" s="15" t="s">
        <v>149</v>
      </c>
      <c r="AM132" s="15" t="s">
        <v>113</v>
      </c>
      <c r="AN132" s="15" t="s">
        <v>149</v>
      </c>
      <c r="AO132" s="15" t="s">
        <v>149</v>
      </c>
      <c r="AP132" s="23" t="s">
        <v>15131</v>
      </c>
      <c r="AQ132" s="87" t="s">
        <v>734</v>
      </c>
      <c r="AR132" s="87" t="s">
        <v>4947</v>
      </c>
      <c r="AS132" s="87" t="s">
        <v>15893</v>
      </c>
      <c r="AT132" s="87" t="s">
        <v>4944</v>
      </c>
      <c r="AU132" s="87" t="s">
        <v>16909</v>
      </c>
      <c r="AV132" s="87" t="s">
        <v>4946</v>
      </c>
      <c r="AW132" s="457">
        <v>0</v>
      </c>
      <c r="AX132" s="630" t="str">
        <f t="shared" ref="AX132:AX195" si="109">IF(S132="","","Chasseur, Coupe-jarret, Esclave/Thrall, Fanatique, Garde, Garde du corps, Guerrier des clans, Hors-la-loi, Naufrageur, Pillard, Pilleur de tombes, Trafiquant de cadavres, Vagabond, Voleur")</f>
        <v/>
      </c>
      <c r="AY132" s="630" t="str">
        <f t="shared" ref="AY132:AY195" si="110">IF(AX132="","","Acolyte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132" s="630" t="str">
        <f t="shared" ref="AZ132:AZ195" si="111">IF(S132="","","Apprenti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132" s="3"/>
      <c r="BB132" s="3"/>
      <c r="BC132" s="3"/>
      <c r="BD132" s="3"/>
      <c r="BE132" s="3"/>
      <c r="BF132" s="3"/>
      <c r="BG132" s="3"/>
      <c r="BH132" s="3"/>
      <c r="BI132" s="3"/>
      <c r="BJ132" s="3"/>
      <c r="BK132" s="3"/>
      <c r="BL132" s="3"/>
      <c r="BM132" s="3"/>
      <c r="BN132" s="3"/>
      <c r="BP132" s="3"/>
      <c r="BQ132" s="3" t="s">
        <v>11937</v>
      </c>
      <c r="BR132" s="83"/>
      <c r="BS132" s="83"/>
      <c r="BT132" s="3"/>
      <c r="BU132" s="3"/>
      <c r="BV132" s="3"/>
      <c r="BW132" s="3"/>
      <c r="BX132" s="83" t="str">
        <f>IF(Province="Ras Karim","Medina de Ras Karim","")</f>
        <v/>
      </c>
      <c r="BY132" t="str">
        <f t="shared" si="108"/>
        <v/>
      </c>
      <c r="BZ132" s="83" t="str">
        <f t="shared" si="100"/>
        <v/>
      </c>
      <c r="CA132" s="83" t="str">
        <f t="shared" si="101"/>
        <v/>
      </c>
      <c r="CB132" s="530" t="str">
        <f t="shared" si="102"/>
        <v/>
      </c>
      <c r="CC132" s="3" t="s">
        <v>3298</v>
      </c>
      <c r="CD132" s="3" t="s">
        <v>3200</v>
      </c>
      <c r="CG132" s="3" t="s">
        <v>6225</v>
      </c>
      <c r="CH132" s="85" t="s">
        <v>15118</v>
      </c>
      <c r="CI132" s="3"/>
      <c r="CJ132" s="3"/>
      <c r="CK132" s="3" t="s">
        <v>6790</v>
      </c>
      <c r="CM132" t="s">
        <v>10330</v>
      </c>
      <c r="CN132" s="3"/>
      <c r="CO132" t="str">
        <f>CONCATENATE("Freya",IF(AND('page 1'!M15="Féminin",Pays="Norsca"),"dottir",IF(AND('page 1'!M15="Masculin",Pays="Norsca"),"son",IF(AND('page 1'!M15="Féminin",Pays="Kislev"),"ovna",IF(AND('page 1'!M15="Masculin",Pays="Kislev"),"sky","")))))</f>
        <v>Freya</v>
      </c>
      <c r="CP132" s="3"/>
      <c r="CQ132" s="3"/>
      <c r="CR132" s="3" t="s">
        <v>13502</v>
      </c>
      <c r="CS132" s="3"/>
      <c r="CT132" s="3"/>
      <c r="CU132" s="3"/>
      <c r="CV132" s="3"/>
      <c r="CW132" s="3"/>
      <c r="CX132" s="3"/>
      <c r="CY132" s="3" t="s">
        <v>439</v>
      </c>
      <c r="CZ132" s="3"/>
      <c r="DA132" s="3"/>
      <c r="DB132" s="3"/>
      <c r="DC132" s="3"/>
      <c r="DD132" s="83" t="s">
        <v>11194</v>
      </c>
      <c r="DE132" s="83" t="s">
        <v>135</v>
      </c>
      <c r="DF132" s="3">
        <f>ROW()</f>
        <v>132</v>
      </c>
      <c r="DG132" s="3" t="s">
        <v>2174</v>
      </c>
      <c r="DH132" s="3">
        <f t="shared" si="95"/>
        <v>135</v>
      </c>
      <c r="DI132" s="3">
        <f t="shared" si="96"/>
        <v>115</v>
      </c>
      <c r="DJ132" s="3">
        <f t="shared" si="97"/>
        <v>95</v>
      </c>
      <c r="DK132" s="3">
        <f t="shared" si="98"/>
        <v>75</v>
      </c>
      <c r="DL132" s="3"/>
      <c r="DM132" s="3"/>
      <c r="DN132" s="3"/>
      <c r="DO132" s="3"/>
      <c r="DP132" s="3"/>
      <c r="DQ132" s="3"/>
      <c r="DR132" s="3"/>
      <c r="DS132" s="3"/>
      <c r="DT132" s="3"/>
      <c r="DU132" s="3"/>
      <c r="DV132" s="3"/>
      <c r="DW132" s="3"/>
      <c r="DX132" s="3"/>
      <c r="DY132" s="3"/>
      <c r="DZ132" s="3" t="s">
        <v>3034</v>
      </c>
      <c r="EA132" s="83" t="s">
        <v>4544</v>
      </c>
      <c r="EB132" s="3"/>
      <c r="ED132" s="83" t="s">
        <v>4515</v>
      </c>
      <c r="EE132" s="83" t="s">
        <v>5249</v>
      </c>
      <c r="EF132" s="530" t="s">
        <v>9560</v>
      </c>
      <c r="EK132" s="874"/>
      <c r="EM132" s="90" t="s">
        <v>15209</v>
      </c>
      <c r="EN132" s="83" t="s">
        <v>5015</v>
      </c>
      <c r="EO132" s="84" t="s">
        <v>15213</v>
      </c>
      <c r="EP132" s="85" t="s">
        <v>15266</v>
      </c>
      <c r="EU132" s="177" t="str">
        <f>IF(Dieu="Stormfels","Prêtre","")</f>
        <v/>
      </c>
      <c r="EV132" s="83" t="str">
        <f t="shared" si="99"/>
        <v/>
      </c>
      <c r="EW132" s="83" t="str">
        <f t="shared" si="103"/>
        <v/>
      </c>
      <c r="EX132" s="530" t="str">
        <f t="shared" si="104"/>
        <v/>
      </c>
      <c r="EY132" s="83" t="s">
        <v>439</v>
      </c>
      <c r="EZ132" s="530" t="s">
        <v>9137</v>
      </c>
      <c r="FB132" t="s">
        <v>4110</v>
      </c>
      <c r="FC132" s="133" t="s">
        <v>7362</v>
      </c>
      <c r="FD132" t="s">
        <v>2200</v>
      </c>
      <c r="FE132" s="849">
        <v>231</v>
      </c>
      <c r="FF132">
        <v>30</v>
      </c>
      <c r="FG132">
        <v>0</v>
      </c>
      <c r="FH132">
        <v>45</v>
      </c>
      <c r="FI132">
        <v>45</v>
      </c>
      <c r="FJ132" s="10">
        <v>30</v>
      </c>
      <c r="FK132">
        <v>10</v>
      </c>
      <c r="FL132">
        <v>10</v>
      </c>
      <c r="FM132" s="165">
        <v>0</v>
      </c>
      <c r="FN132" s="88">
        <v>1</v>
      </c>
      <c r="FO132" s="88">
        <v>18</v>
      </c>
      <c r="FP132" s="164">
        <f>ROUNDDOWN(FH132/10,0)</f>
        <v>4</v>
      </c>
      <c r="FQ132" s="164">
        <f>ROUNDDOWN(FI132/10,0)</f>
        <v>4</v>
      </c>
      <c r="FR132" s="682">
        <v>8</v>
      </c>
      <c r="FS132" s="88">
        <v>0</v>
      </c>
      <c r="FT132" s="88">
        <v>0</v>
      </c>
      <c r="FU132" s="165">
        <v>0</v>
      </c>
      <c r="FV132" t="s">
        <v>7231</v>
      </c>
      <c r="FW132" t="s">
        <v>7225</v>
      </c>
      <c r="FX132" s="531" t="s">
        <v>7657</v>
      </c>
      <c r="GA132" t="s">
        <v>7535</v>
      </c>
      <c r="GE132" s="356"/>
      <c r="GF132" t="s">
        <v>7724</v>
      </c>
      <c r="GG132" s="356" t="s">
        <v>8943</v>
      </c>
      <c r="GH132" s="83" t="s">
        <v>8939</v>
      </c>
      <c r="GI132" s="83" t="s">
        <v>8927</v>
      </c>
      <c r="GJ132" s="83"/>
      <c r="GK132" s="530"/>
    </row>
    <row r="133" spans="8:193" ht="13.2" customHeight="1">
      <c r="H133" s="136" t="s">
        <v>817</v>
      </c>
      <c r="I133" s="136" t="s">
        <v>721</v>
      </c>
      <c r="J133" s="3"/>
      <c r="K133" s="3"/>
      <c r="L133" s="3"/>
      <c r="M133" s="651"/>
      <c r="N133" s="3"/>
      <c r="O133" s="3"/>
      <c r="P133" s="3"/>
      <c r="Q133" s="3"/>
      <c r="R133" s="651"/>
      <c r="S133" s="83" t="str">
        <f>IF(CareerType=Y133,"Écorcheur d'âmes",IF(AllCareers="X","Écorcheur d'âmes",IF(Selectsousrace="","",IF(OR(SelectRace="homme-bête",SelectRace="peau-verte",SelectRace="créature du chaos",SelectRace="Homme-lézard",SelectRace="skaven"),"",IF(FirstCareer="1ère carrière","","Écorcheur d'âmes")))))</f>
        <v/>
      </c>
      <c r="T133" s="106">
        <v>5</v>
      </c>
      <c r="U133" s="693" t="str">
        <f t="shared" si="105"/>
        <v/>
      </c>
      <c r="V133" s="693" t="str">
        <f t="shared" si="106"/>
        <v/>
      </c>
      <c r="W133" s="693" t="str">
        <f t="shared" si="107"/>
        <v/>
      </c>
      <c r="X133" s="47" t="s">
        <v>2153</v>
      </c>
      <c r="Y133" s="743" t="s">
        <v>7131</v>
      </c>
      <c r="Z133" s="55" t="s">
        <v>2196</v>
      </c>
      <c r="AA133" s="47">
        <v>178</v>
      </c>
      <c r="AB133" s="47"/>
      <c r="AC133" s="47"/>
      <c r="AD133" s="15" t="s">
        <v>98</v>
      </c>
      <c r="AE133" s="15" t="s">
        <v>98</v>
      </c>
      <c r="AF133" s="15" t="s">
        <v>149</v>
      </c>
      <c r="AG133" s="15" t="s">
        <v>98</v>
      </c>
      <c r="AH133" s="15" t="s">
        <v>101</v>
      </c>
      <c r="AI133" s="15" t="s">
        <v>116</v>
      </c>
      <c r="AJ133" s="15" t="s">
        <v>119</v>
      </c>
      <c r="AK133" s="100" t="s">
        <v>101</v>
      </c>
      <c r="AL133" s="15" t="s">
        <v>149</v>
      </c>
      <c r="AM133" s="15" t="s">
        <v>103</v>
      </c>
      <c r="AN133" s="15" t="s">
        <v>149</v>
      </c>
      <c r="AO133" s="15" t="s">
        <v>115</v>
      </c>
      <c r="AP133" s="22" t="s">
        <v>1158</v>
      </c>
      <c r="AQ133" s="22" t="s">
        <v>1158</v>
      </c>
      <c r="AR133" s="22" t="s">
        <v>2289</v>
      </c>
      <c r="AS133" s="87" t="s">
        <v>15894</v>
      </c>
      <c r="AT133" s="87" t="s">
        <v>16910</v>
      </c>
      <c r="AU133" s="87" t="s">
        <v>5445</v>
      </c>
      <c r="AV133" s="87" t="s">
        <v>4713</v>
      </c>
      <c r="AW133" s="457">
        <v>0</v>
      </c>
      <c r="AX133" s="630" t="str">
        <f t="shared" si="109"/>
        <v/>
      </c>
      <c r="AY133" s="630" t="str">
        <f t="shared" si="110"/>
        <v/>
      </c>
      <c r="AZ133" s="630" t="str">
        <f t="shared" si="111"/>
        <v/>
      </c>
      <c r="BA133" s="3"/>
      <c r="BB133" s="3"/>
      <c r="BC133" s="3"/>
      <c r="BD133" s="3"/>
      <c r="BE133" s="3"/>
      <c r="BF133" s="3"/>
      <c r="BG133" s="3"/>
      <c r="BH133" s="3"/>
      <c r="BI133" s="3"/>
      <c r="BJ133" s="3"/>
      <c r="BK133" s="3"/>
      <c r="BL133" s="3"/>
      <c r="BM133" s="3"/>
      <c r="BN133" s="3"/>
      <c r="BP133" s="3"/>
      <c r="BR133" s="3"/>
      <c r="BS133" s="3"/>
      <c r="BT133" s="3"/>
      <c r="BU133" s="3"/>
      <c r="BV133" s="3"/>
      <c r="BW133" s="3"/>
      <c r="BX133" s="83" t="str">
        <f>IF(Province="Sanaà","Medina de Sanaà","")</f>
        <v/>
      </c>
      <c r="BY133" t="str">
        <f t="shared" si="108"/>
        <v/>
      </c>
      <c r="BZ133" s="83" t="str">
        <f t="shared" si="100"/>
        <v/>
      </c>
      <c r="CA133" s="83" t="str">
        <f t="shared" si="101"/>
        <v/>
      </c>
      <c r="CB133" s="530" t="str">
        <f t="shared" si="102"/>
        <v/>
      </c>
      <c r="CC133" s="83" t="s">
        <v>15010</v>
      </c>
      <c r="CD133" s="3" t="s">
        <v>3201</v>
      </c>
      <c r="CG133" s="3" t="s">
        <v>6226</v>
      </c>
      <c r="CH133" s="3" t="s">
        <v>1100</v>
      </c>
      <c r="CI133" s="3"/>
      <c r="CJ133" s="3"/>
      <c r="CK133" s="3" t="s">
        <v>6975</v>
      </c>
      <c r="CM133" t="s">
        <v>10332</v>
      </c>
      <c r="CN133" s="3"/>
      <c r="CO133" t="str">
        <f>CONCATENATE("Freyr",IF(AND('page 1'!M12="Féminin",Pays="Norsca"),"dottir",IF(AND('page 1'!M12="Masculin",Pays="Norsca"),"son",IF(AND('page 1'!M12="Féminin",Pays="Kislev"),"ovna",IF(AND('page 1'!M12="Masculin",Pays="Kislev"),"sky","")))))</f>
        <v>Freyr</v>
      </c>
      <c r="CP133" s="3"/>
      <c r="CQ133" s="3"/>
      <c r="CR133" s="3" t="s">
        <v>13503</v>
      </c>
      <c r="CS133" s="3"/>
      <c r="CT133" s="3"/>
      <c r="CU133" s="3"/>
      <c r="CV133" s="3"/>
      <c r="CW133" s="3"/>
      <c r="CX133" s="3"/>
      <c r="CY133" s="3" t="s">
        <v>790</v>
      </c>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t="s">
        <v>3035</v>
      </c>
      <c r="EA133" s="83" t="s">
        <v>4544</v>
      </c>
      <c r="EB133" s="3"/>
      <c r="ED133" s="83" t="s">
        <v>4516</v>
      </c>
      <c r="EE133" s="83" t="s">
        <v>5249</v>
      </c>
      <c r="EF133" s="530" t="s">
        <v>9561</v>
      </c>
      <c r="EK133" s="874"/>
      <c r="EM133" s="90" t="s">
        <v>5183</v>
      </c>
      <c r="EN133" s="83" t="s">
        <v>5015</v>
      </c>
      <c r="EO133" s="84" t="s">
        <v>5232</v>
      </c>
      <c r="EP133" t="s">
        <v>5188</v>
      </c>
      <c r="EU133" s="177" t="str">
        <f>IF(OR(Dieu="Taal",Dieu="Torothal"),"Confrérie de l'Ours","")</f>
        <v/>
      </c>
      <c r="EV133" s="83" t="str">
        <f t="shared" si="99"/>
        <v/>
      </c>
      <c r="EW133" s="83" t="str">
        <f t="shared" si="103"/>
        <v/>
      </c>
      <c r="EX133" s="530" t="str">
        <f t="shared" si="104"/>
        <v/>
      </c>
      <c r="EY133" s="83" t="s">
        <v>16911</v>
      </c>
      <c r="EZ133" s="530" t="s">
        <v>16912</v>
      </c>
      <c r="FB133" s="83" t="s">
        <v>7268</v>
      </c>
      <c r="FC133" s="133" t="s">
        <v>7362</v>
      </c>
      <c r="FD133" t="s">
        <v>7245</v>
      </c>
      <c r="FE133" s="849">
        <v>120</v>
      </c>
      <c r="FF133">
        <v>38</v>
      </c>
      <c r="FG133">
        <v>0</v>
      </c>
      <c r="FH133">
        <v>49</v>
      </c>
      <c r="FI133">
        <v>45</v>
      </c>
      <c r="FJ133" s="10">
        <v>30</v>
      </c>
      <c r="FK133">
        <v>10</v>
      </c>
      <c r="FL133">
        <v>16</v>
      </c>
      <c r="FM133" s="165">
        <v>0</v>
      </c>
      <c r="FN133" s="88">
        <v>1</v>
      </c>
      <c r="FO133" s="88">
        <v>18</v>
      </c>
      <c r="FP133" s="164">
        <f>ROUNDDOWN(FH133/10,0)</f>
        <v>4</v>
      </c>
      <c r="FQ133" s="164">
        <f>ROUNDDOWN(FI133/10,0)</f>
        <v>4</v>
      </c>
      <c r="FR133" s="682">
        <v>8</v>
      </c>
      <c r="FS133" s="88">
        <v>0</v>
      </c>
      <c r="FT133" s="88">
        <v>0</v>
      </c>
      <c r="FU133" s="165">
        <v>0</v>
      </c>
      <c r="FV133" s="83" t="s">
        <v>7231</v>
      </c>
      <c r="FW133" s="83" t="s">
        <v>7273</v>
      </c>
      <c r="FX133" s="567" t="s">
        <v>7657</v>
      </c>
      <c r="GA133" t="s">
        <v>7490</v>
      </c>
      <c r="GE133" s="356"/>
      <c r="GF133" t="s">
        <v>7725</v>
      </c>
      <c r="GG133" s="356" t="s">
        <v>8945</v>
      </c>
      <c r="GH133" s="83" t="s">
        <v>8939</v>
      </c>
      <c r="GI133" s="83" t="s">
        <v>8927</v>
      </c>
      <c r="GJ133" s="83"/>
      <c r="GK133" s="530"/>
    </row>
    <row r="134" spans="8:193" ht="13.2" customHeight="1">
      <c r="H134" s="177" t="s">
        <v>14698</v>
      </c>
      <c r="I134" s="735" t="s">
        <v>14699</v>
      </c>
      <c r="J134" s="3"/>
      <c r="K134" s="3"/>
      <c r="L134" s="3"/>
      <c r="M134" s="651"/>
      <c r="N134" s="3"/>
      <c r="O134" s="3"/>
      <c r="P134" s="3"/>
      <c r="Q134" s="3"/>
      <c r="R134" s="651"/>
      <c r="S134" s="83" t="str">
        <f>IF(OR(CareerType=Y134,AllCareers="X"),"Écumeur des marais",IF(OR(SelectRace="homme-bête",SelectRace="peau-verte",SelectRace="créature du chaos",SelectRace="Homme-lézard",SelectRace="Nain",SelectRace="skaven",SelectRace="Elfe"),"",IF(OR(Pays="Empire",Pays="Bretonnie",Pays="Estalie",Pays="Tilée",),"Écumeur des marais","")))</f>
        <v/>
      </c>
      <c r="T134" s="106">
        <f t="shared" ref="T134:T143" si="112">IF(X134="oui",0,1)</f>
        <v>0</v>
      </c>
      <c r="U134" s="693" t="str">
        <f t="shared" si="105"/>
        <v/>
      </c>
      <c r="V134" s="693" t="str">
        <f t="shared" si="106"/>
        <v/>
      </c>
      <c r="W134" s="693" t="str">
        <f t="shared" si="107"/>
        <v/>
      </c>
      <c r="X134" s="47" t="s">
        <v>2160</v>
      </c>
      <c r="Y134" s="743" t="s">
        <v>7134</v>
      </c>
      <c r="Z134" s="55" t="s">
        <v>2204</v>
      </c>
      <c r="AA134" s="47">
        <v>51</v>
      </c>
      <c r="AB134" s="47" t="s">
        <v>2290</v>
      </c>
      <c r="AC134" s="47">
        <v>205</v>
      </c>
      <c r="AD134" s="15" t="s">
        <v>114</v>
      </c>
      <c r="AE134" s="15" t="s">
        <v>114</v>
      </c>
      <c r="AF134" s="15" t="s">
        <v>149</v>
      </c>
      <c r="AG134" s="15" t="s">
        <v>98</v>
      </c>
      <c r="AH134" s="15" t="s">
        <v>98</v>
      </c>
      <c r="AI134" s="15" t="s">
        <v>98</v>
      </c>
      <c r="AJ134" s="15" t="s">
        <v>149</v>
      </c>
      <c r="AK134" s="18" t="s">
        <v>149</v>
      </c>
      <c r="AL134" s="15" t="s">
        <v>149</v>
      </c>
      <c r="AM134" s="15" t="s">
        <v>113</v>
      </c>
      <c r="AN134" s="15" t="s">
        <v>149</v>
      </c>
      <c r="AO134" s="15" t="s">
        <v>149</v>
      </c>
      <c r="AP134" s="22" t="s">
        <v>980</v>
      </c>
      <c r="AQ134" s="87" t="s">
        <v>734</v>
      </c>
      <c r="AR134" s="22" t="s">
        <v>981</v>
      </c>
      <c r="AS134" s="87" t="s">
        <v>734</v>
      </c>
      <c r="AT134" s="22" t="s">
        <v>3447</v>
      </c>
      <c r="AU134" s="87" t="s">
        <v>5382</v>
      </c>
      <c r="AV134" s="87" t="s">
        <v>4760</v>
      </c>
      <c r="AW134" s="457">
        <v>0</v>
      </c>
      <c r="AX134" s="630" t="str">
        <f t="shared" si="109"/>
        <v/>
      </c>
      <c r="AY134" s="630" t="str">
        <f t="shared" si="110"/>
        <v/>
      </c>
      <c r="AZ134" s="630" t="str">
        <f t="shared" si="111"/>
        <v/>
      </c>
      <c r="BA134" s="3"/>
      <c r="BB134" s="3"/>
      <c r="BC134" s="3"/>
      <c r="BD134" s="3"/>
      <c r="BE134" s="3"/>
      <c r="BF134" s="3"/>
      <c r="BG134" s="3"/>
      <c r="BH134" s="3"/>
      <c r="BI134" s="3"/>
      <c r="BJ134" s="3"/>
      <c r="BK134" s="3"/>
      <c r="BL134" s="3"/>
      <c r="BM134" s="3"/>
      <c r="BN134" s="3"/>
      <c r="BP134" s="3"/>
      <c r="BT134" s="3"/>
      <c r="BU134" s="3"/>
      <c r="BV134" s="3"/>
      <c r="BW134" s="3"/>
      <c r="BX134" s="83" t="str">
        <f>IF(Province="Shaharazar","Medina de Shaharazar","")</f>
        <v/>
      </c>
      <c r="BY134" t="str">
        <f t="shared" si="108"/>
        <v/>
      </c>
      <c r="BZ134" s="83" t="str">
        <f t="shared" si="100"/>
        <v/>
      </c>
      <c r="CA134" s="83" t="str">
        <f t="shared" si="101"/>
        <v/>
      </c>
      <c r="CB134" s="530" t="str">
        <f t="shared" si="102"/>
        <v/>
      </c>
      <c r="CC134" s="3" t="s">
        <v>1046</v>
      </c>
      <c r="CD134" t="s">
        <v>3328</v>
      </c>
      <c r="CG134" s="3" t="s">
        <v>6227</v>
      </c>
      <c r="CH134" s="3" t="s">
        <v>6011</v>
      </c>
      <c r="CI134" s="3"/>
      <c r="CJ134" s="3"/>
      <c r="CK134" s="3" t="s">
        <v>6942</v>
      </c>
      <c r="CM134" t="s">
        <v>10333</v>
      </c>
      <c r="CN134" s="3"/>
      <c r="CO134" s="3" t="s">
        <v>10961</v>
      </c>
      <c r="CP134" s="3"/>
      <c r="CQ134" s="3"/>
      <c r="CR134" s="3" t="s">
        <v>13504</v>
      </c>
      <c r="CS134" s="3"/>
      <c r="CT134" s="3"/>
      <c r="CU134" s="3"/>
      <c r="CV134" s="3"/>
      <c r="CW134" s="3"/>
      <c r="CX134" s="3"/>
      <c r="CY134" s="3" t="s">
        <v>2863</v>
      </c>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t="s">
        <v>3036</v>
      </c>
      <c r="EA134" s="83" t="s">
        <v>4544</v>
      </c>
      <c r="EB134" s="3"/>
      <c r="ED134" s="83" t="s">
        <v>4517</v>
      </c>
      <c r="EE134" s="83" t="s">
        <v>5249</v>
      </c>
      <c r="EF134" s="530" t="s">
        <v>9562</v>
      </c>
      <c r="EK134" s="874"/>
      <c r="EM134" s="90" t="s">
        <v>5184</v>
      </c>
      <c r="EN134" s="83" t="s">
        <v>5015</v>
      </c>
      <c r="EO134" s="83" t="s">
        <v>5231</v>
      </c>
      <c r="EP134" t="s">
        <v>5188</v>
      </c>
      <c r="EU134" s="177" t="str">
        <f>IF(OR(Dieu="Taal",Dieu="Torothal"),"Aucun Ordre","")</f>
        <v/>
      </c>
      <c r="EV134" s="83" t="str">
        <f t="shared" si="99"/>
        <v/>
      </c>
      <c r="EW134" s="83" t="str">
        <f t="shared" si="103"/>
        <v/>
      </c>
      <c r="EX134" s="530" t="str">
        <f t="shared" si="104"/>
        <v/>
      </c>
      <c r="EY134" s="83" t="s">
        <v>5874</v>
      </c>
      <c r="EZ134" s="530" t="s">
        <v>5891</v>
      </c>
      <c r="FB134" s="83" t="s">
        <v>16199</v>
      </c>
      <c r="FC134" s="133" t="s">
        <v>7362</v>
      </c>
      <c r="FD134" s="641" t="s">
        <v>4551</v>
      </c>
      <c r="FE134" s="848" t="s">
        <v>149</v>
      </c>
      <c r="FF134">
        <v>54</v>
      </c>
      <c r="FG134">
        <v>0</v>
      </c>
      <c r="FH134">
        <v>55</v>
      </c>
      <c r="FI134">
        <v>50</v>
      </c>
      <c r="FJ134" s="10">
        <v>52</v>
      </c>
      <c r="FK134">
        <v>30</v>
      </c>
      <c r="FL134">
        <v>35</v>
      </c>
      <c r="FM134" s="165">
        <v>0</v>
      </c>
      <c r="FN134" s="88">
        <v>2</v>
      </c>
      <c r="FO134" s="88">
        <v>20</v>
      </c>
      <c r="FP134" s="691">
        <f t="shared" ref="FP134:FP135" si="113">ROUNDDOWN(FH134/10,0)</f>
        <v>5</v>
      </c>
      <c r="FQ134" s="691">
        <f t="shared" ref="FQ134:FQ135" si="114">ROUNDDOWN(FI134/10,0)</f>
        <v>5</v>
      </c>
      <c r="FR134" s="10">
        <v>8</v>
      </c>
      <c r="FS134" s="88">
        <v>0</v>
      </c>
      <c r="FT134" s="88">
        <v>0</v>
      </c>
      <c r="FU134" s="165">
        <v>0</v>
      </c>
      <c r="FV134" s="83" t="s">
        <v>16200</v>
      </c>
      <c r="FW134" s="83" t="s">
        <v>16218</v>
      </c>
      <c r="FX134" s="567" t="s">
        <v>7657</v>
      </c>
      <c r="GA134" t="s">
        <v>7293</v>
      </c>
      <c r="GE134" s="356"/>
      <c r="GF134" t="s">
        <v>7726</v>
      </c>
      <c r="GG134" s="356" t="s">
        <v>8940</v>
      </c>
      <c r="GH134" s="83" t="s">
        <v>8939</v>
      </c>
      <c r="GI134" s="83" t="s">
        <v>8927</v>
      </c>
      <c r="GJ134" s="83"/>
      <c r="GK134" s="530"/>
    </row>
    <row r="135" spans="8:193" ht="13.2" customHeight="1">
      <c r="H135" s="3" t="s">
        <v>818</v>
      </c>
      <c r="I135" s="3" t="s">
        <v>500</v>
      </c>
      <c r="J135" s="3"/>
      <c r="K135" s="3"/>
      <c r="L135" s="3"/>
      <c r="M135" s="651"/>
      <c r="N135" s="3"/>
      <c r="O135" s="3"/>
      <c r="P135" s="3"/>
      <c r="Q135" s="3"/>
      <c r="R135" s="651"/>
      <c r="S135" s="83" t="str">
        <f>IF(CareerType=Y135,"Écuyer/Porte-épée",IF(AllCareers="X","Écuyer/Porte-épée",IF(Selectsousrace&lt;&gt;"Humain","",IF(Pays="Empire","Écuyer",IF(Pays="Bretonnie","Écuyer",IF(Pays="Estalie","Porte-épée",""))))))</f>
        <v/>
      </c>
      <c r="T135" s="106">
        <f t="shared" si="112"/>
        <v>0</v>
      </c>
      <c r="U135" s="693" t="str">
        <f t="shared" si="105"/>
        <v/>
      </c>
      <c r="V135" s="693" t="str">
        <f t="shared" si="106"/>
        <v/>
      </c>
      <c r="W135" s="693" t="str">
        <f t="shared" si="107"/>
        <v/>
      </c>
      <c r="X135" s="47" t="s">
        <v>2160</v>
      </c>
      <c r="Y135" s="743" t="s">
        <v>7130</v>
      </c>
      <c r="Z135" s="55" t="s">
        <v>16139</v>
      </c>
      <c r="AA135" s="89" t="s">
        <v>16140</v>
      </c>
      <c r="AB135" s="89" t="s">
        <v>16141</v>
      </c>
      <c r="AC135" s="47">
        <v>198</v>
      </c>
      <c r="AD135" s="15" t="s">
        <v>98</v>
      </c>
      <c r="AE135" s="20" t="s">
        <v>114</v>
      </c>
      <c r="AF135" s="20" t="s">
        <v>114</v>
      </c>
      <c r="AG135" s="20" t="s">
        <v>114</v>
      </c>
      <c r="AH135" s="20" t="s">
        <v>114</v>
      </c>
      <c r="AI135" s="15" t="s">
        <v>149</v>
      </c>
      <c r="AJ135" s="15" t="s">
        <v>149</v>
      </c>
      <c r="AK135" s="21" t="s">
        <v>114</v>
      </c>
      <c r="AL135" s="15" t="s">
        <v>102</v>
      </c>
      <c r="AM135" s="15" t="s">
        <v>113</v>
      </c>
      <c r="AN135" s="15" t="s">
        <v>149</v>
      </c>
      <c r="AO135" s="15" t="s">
        <v>149</v>
      </c>
      <c r="AP135" s="22" t="s">
        <v>14857</v>
      </c>
      <c r="AQ135" s="87" t="s">
        <v>734</v>
      </c>
      <c r="AR135" s="87" t="s">
        <v>16142</v>
      </c>
      <c r="AS135" s="22" t="s">
        <v>14858</v>
      </c>
      <c r="AT135" s="87" t="s">
        <v>16913</v>
      </c>
      <c r="AU135" s="87" t="s">
        <v>16914</v>
      </c>
      <c r="AV135" s="87" t="s">
        <v>16915</v>
      </c>
      <c r="AW135" s="457">
        <v>0</v>
      </c>
      <c r="AX135" s="630" t="str">
        <f t="shared" si="109"/>
        <v/>
      </c>
      <c r="AY135" s="630" t="str">
        <f t="shared" si="110"/>
        <v/>
      </c>
      <c r="AZ135" s="630" t="str">
        <f t="shared" si="111"/>
        <v/>
      </c>
      <c r="BA135" s="3"/>
      <c r="BB135" s="3"/>
      <c r="BC135" s="3"/>
      <c r="BD135" s="3"/>
      <c r="BE135" s="3"/>
      <c r="BF135" s="3"/>
      <c r="BG135" s="3"/>
      <c r="BH135" s="3"/>
      <c r="BI135" s="3"/>
      <c r="BJ135" s="3"/>
      <c r="BK135" s="3"/>
      <c r="BL135" s="3"/>
      <c r="BM135" s="3"/>
      <c r="BN135" s="3"/>
      <c r="BP135" s="3"/>
      <c r="BR135" s="3"/>
      <c r="BS135" s="3"/>
      <c r="BT135" s="3"/>
      <c r="BU135" s="3"/>
      <c r="BV135" s="3"/>
      <c r="BW135" s="3"/>
      <c r="BX135" s="83" t="str">
        <f>IF(Province="Teshert","Medina de Teshert","")</f>
        <v/>
      </c>
      <c r="BY135" t="str">
        <f t="shared" si="108"/>
        <v/>
      </c>
      <c r="BZ135" s="83" t="str">
        <f t="shared" si="100"/>
        <v/>
      </c>
      <c r="CA135" s="83" t="str">
        <f t="shared" si="101"/>
        <v/>
      </c>
      <c r="CB135" s="530" t="str">
        <f t="shared" si="102"/>
        <v/>
      </c>
      <c r="CC135" s="3" t="s">
        <v>10728</v>
      </c>
      <c r="CD135" s="3" t="s">
        <v>3202</v>
      </c>
      <c r="CG135" s="3" t="s">
        <v>6228</v>
      </c>
      <c r="CH135" s="3" t="s">
        <v>1101</v>
      </c>
      <c r="CI135" s="3"/>
      <c r="CJ135" s="3"/>
      <c r="CK135" s="3" t="s">
        <v>6831</v>
      </c>
      <c r="CM135" s="3" t="s">
        <v>6636</v>
      </c>
      <c r="CN135" s="3"/>
      <c r="CO135" s="3" t="s">
        <v>10955</v>
      </c>
      <c r="CP135" s="3"/>
      <c r="CQ135" s="3"/>
      <c r="CR135" s="3" t="s">
        <v>13505</v>
      </c>
      <c r="CS135" s="3"/>
      <c r="CT135" s="3"/>
      <c r="CU135" s="3"/>
      <c r="CV135" s="3"/>
      <c r="CW135" s="3"/>
      <c r="CX135" s="3"/>
      <c r="CY135" s="3" t="s">
        <v>1257</v>
      </c>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t="s">
        <v>2479</v>
      </c>
      <c r="EA135" s="83" t="s">
        <v>4544</v>
      </c>
      <c r="EB135" s="3"/>
      <c r="ED135" s="83" t="s">
        <v>4518</v>
      </c>
      <c r="EE135" s="83" t="s">
        <v>5249</v>
      </c>
      <c r="EF135" s="530" t="s">
        <v>9563</v>
      </c>
      <c r="EK135" s="874"/>
      <c r="EM135" s="90" t="s">
        <v>5185</v>
      </c>
      <c r="EN135" s="83" t="s">
        <v>5015</v>
      </c>
      <c r="EO135" t="s">
        <v>5186</v>
      </c>
      <c r="EP135" t="s">
        <v>5188</v>
      </c>
      <c r="EU135" s="177" t="str">
        <f>IF(OR(Dieu="Taal",Dieu="Torothal"),"Chasseurs cornus","")</f>
        <v/>
      </c>
      <c r="EV135" s="83" t="str">
        <f t="shared" si="99"/>
        <v/>
      </c>
      <c r="EW135" s="83" t="str">
        <f t="shared" si="103"/>
        <v/>
      </c>
      <c r="EX135" s="530" t="str">
        <f t="shared" si="104"/>
        <v/>
      </c>
      <c r="EY135" s="83" t="s">
        <v>16916</v>
      </c>
      <c r="FB135" s="83" t="s">
        <v>17602</v>
      </c>
      <c r="FC135" s="133" t="s">
        <v>7362</v>
      </c>
      <c r="FD135" t="s">
        <v>7230</v>
      </c>
      <c r="FE135" s="849">
        <v>132</v>
      </c>
      <c r="FF135">
        <v>24</v>
      </c>
      <c r="FG135">
        <v>0</v>
      </c>
      <c r="FH135">
        <v>45</v>
      </c>
      <c r="FI135">
        <v>48</v>
      </c>
      <c r="FJ135" s="10">
        <v>22</v>
      </c>
      <c r="FK135">
        <v>14</v>
      </c>
      <c r="FL135">
        <v>20</v>
      </c>
      <c r="FM135" s="165">
        <v>18</v>
      </c>
      <c r="FN135" s="88">
        <v>1</v>
      </c>
      <c r="FO135" s="88">
        <v>18</v>
      </c>
      <c r="FP135" s="691">
        <f t="shared" si="113"/>
        <v>4</v>
      </c>
      <c r="FQ135" s="691">
        <f t="shared" si="114"/>
        <v>4</v>
      </c>
      <c r="FR135" s="10">
        <v>6</v>
      </c>
      <c r="FS135" s="88">
        <v>0</v>
      </c>
      <c r="FT135" s="88">
        <v>0</v>
      </c>
      <c r="FU135" s="165">
        <v>0</v>
      </c>
      <c r="FV135" s="83" t="s">
        <v>17604</v>
      </c>
      <c r="FW135" s="83" t="s">
        <v>7228</v>
      </c>
      <c r="FX135" s="530" t="s">
        <v>7657</v>
      </c>
      <c r="GA135" t="s">
        <v>2815</v>
      </c>
      <c r="GE135" s="356"/>
      <c r="GF135" t="s">
        <v>7727</v>
      </c>
      <c r="GG135" s="356" t="s">
        <v>8946</v>
      </c>
      <c r="GH135" s="83" t="s">
        <v>8939</v>
      </c>
      <c r="GI135" s="83" t="s">
        <v>8927</v>
      </c>
      <c r="GJ135" s="83"/>
      <c r="GK135" s="530"/>
    </row>
    <row r="136" spans="8:193" ht="13.2" customHeight="1">
      <c r="H136" s="3" t="s">
        <v>2879</v>
      </c>
      <c r="I136" s="3" t="s">
        <v>2880</v>
      </c>
      <c r="J136" s="3"/>
      <c r="K136" s="3"/>
      <c r="L136" s="3"/>
      <c r="M136" s="651"/>
      <c r="N136" s="3"/>
      <c r="O136" s="3"/>
      <c r="P136" s="3"/>
      <c r="Q136" s="3"/>
      <c r="R136" s="651"/>
      <c r="S136" s="83" t="str">
        <f>IF(CareerType=Y136,"Égoutier",IF(AllCareers="X","Égoutier",IF(OR(SelectRace="homme-bête",SelectRace="peau-verte",SelectRace="créature du chaos",SelectRace="Homme-lézard",SelectRace="skaven"),"",IF(OR(Pays="Désolations du Chaos",Pays="Norsca"),"",IF(SelectRace="Nain","Égoutier",IF(SelectRace="Humain","Égoutier",IF(SelectRace="Halfling","Égoutier","")))))))</f>
        <v/>
      </c>
      <c r="T136" s="106">
        <f t="shared" si="112"/>
        <v>0</v>
      </c>
      <c r="U136" s="693" t="str">
        <f t="shared" si="105"/>
        <v/>
      </c>
      <c r="V136" s="693" t="str">
        <f t="shared" si="106"/>
        <v/>
      </c>
      <c r="W136" s="693" t="str">
        <f t="shared" si="107"/>
        <v/>
      </c>
      <c r="X136" s="47" t="s">
        <v>2160</v>
      </c>
      <c r="Y136" s="743" t="s">
        <v>7132</v>
      </c>
      <c r="Z136" s="55" t="s">
        <v>2291</v>
      </c>
      <c r="AA136" s="47">
        <v>28</v>
      </c>
      <c r="AB136" s="47" t="s">
        <v>2292</v>
      </c>
      <c r="AC136" s="47">
        <v>190</v>
      </c>
      <c r="AD136" s="15" t="s">
        <v>98</v>
      </c>
      <c r="AE136" s="20" t="s">
        <v>114</v>
      </c>
      <c r="AF136" s="15" t="s">
        <v>149</v>
      </c>
      <c r="AG136" s="15" t="s">
        <v>98</v>
      </c>
      <c r="AH136" s="20" t="s">
        <v>114</v>
      </c>
      <c r="AI136" s="24" t="s">
        <v>149</v>
      </c>
      <c r="AJ136" s="15" t="s">
        <v>98</v>
      </c>
      <c r="AK136" s="18" t="s">
        <v>149</v>
      </c>
      <c r="AL136" s="15" t="s">
        <v>149</v>
      </c>
      <c r="AM136" s="15" t="s">
        <v>113</v>
      </c>
      <c r="AN136" s="15" t="s">
        <v>149</v>
      </c>
      <c r="AO136" s="15" t="s">
        <v>149</v>
      </c>
      <c r="AP136" s="22" t="s">
        <v>15132</v>
      </c>
      <c r="AQ136" s="87" t="s">
        <v>734</v>
      </c>
      <c r="AR136" s="87" t="s">
        <v>15123</v>
      </c>
      <c r="AS136" s="87" t="s">
        <v>5626</v>
      </c>
      <c r="AT136" s="22" t="s">
        <v>3448</v>
      </c>
      <c r="AU136" s="87" t="s">
        <v>5393</v>
      </c>
      <c r="AV136" s="87" t="s">
        <v>4712</v>
      </c>
      <c r="AW136" s="457">
        <v>0</v>
      </c>
      <c r="AX136" s="630" t="str">
        <f t="shared" si="109"/>
        <v/>
      </c>
      <c r="AY136" s="630" t="str">
        <f t="shared" si="110"/>
        <v/>
      </c>
      <c r="AZ136" s="630" t="str">
        <f t="shared" si="111"/>
        <v/>
      </c>
      <c r="BA136" s="3"/>
      <c r="BB136" s="3"/>
      <c r="BC136" s="3"/>
      <c r="BD136" s="3"/>
      <c r="BE136" s="3"/>
      <c r="BF136" s="3"/>
      <c r="BG136" s="3"/>
      <c r="BH136" s="3"/>
      <c r="BI136" s="3"/>
      <c r="BJ136" s="3"/>
      <c r="BK136" s="3"/>
      <c r="BL136" s="3"/>
      <c r="BM136" s="3"/>
      <c r="BN136" s="3"/>
      <c r="BP136" s="3"/>
      <c r="BR136" s="3"/>
      <c r="BS136" s="3"/>
      <c r="BT136" s="3"/>
      <c r="BU136" s="3"/>
      <c r="BV136" s="3"/>
      <c r="BW136" s="3"/>
      <c r="BX136" t="str">
        <f>IF(Province="Aiir","Petite communauté de Meknes","")</f>
        <v/>
      </c>
      <c r="BY136" t="str">
        <f t="shared" si="108"/>
        <v/>
      </c>
      <c r="BZ136" s="83" t="str">
        <f t="shared" si="100"/>
        <v/>
      </c>
      <c r="CA136" s="83" t="str">
        <f t="shared" si="101"/>
        <v/>
      </c>
      <c r="CB136" s="530" t="str">
        <f t="shared" si="102"/>
        <v/>
      </c>
      <c r="CC136" s="3" t="s">
        <v>1047</v>
      </c>
      <c r="CD136" t="s">
        <v>10689</v>
      </c>
      <c r="CG136" s="3" t="s">
        <v>6229</v>
      </c>
      <c r="CH136" s="3" t="s">
        <v>6012</v>
      </c>
      <c r="CI136" s="3"/>
      <c r="CJ136" s="3"/>
      <c r="CK136" t="s">
        <v>6999</v>
      </c>
      <c r="CM136" t="s">
        <v>10335</v>
      </c>
      <c r="CN136" s="3"/>
      <c r="CO136" s="3" t="s">
        <v>10967</v>
      </c>
      <c r="CP136" s="3"/>
      <c r="CQ136" s="3"/>
      <c r="CR136" s="3" t="s">
        <v>13506</v>
      </c>
      <c r="CS136" s="3"/>
      <c r="CT136" s="3"/>
      <c r="CU136" s="3"/>
      <c r="CV136" s="3"/>
      <c r="CW136" s="3"/>
      <c r="CX136" s="3"/>
      <c r="CY136" s="39" t="s">
        <v>257</v>
      </c>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t="s">
        <v>3037</v>
      </c>
      <c r="EA136" s="83" t="s">
        <v>4544</v>
      </c>
      <c r="EB136" s="3"/>
      <c r="ED136" s="83" t="s">
        <v>5416</v>
      </c>
      <c r="EE136" s="83" t="s">
        <v>5249</v>
      </c>
      <c r="EF136" s="530" t="s">
        <v>12464</v>
      </c>
      <c r="EK136" s="874"/>
      <c r="EM136" s="90" t="s">
        <v>5189</v>
      </c>
      <c r="EN136" s="83" t="s">
        <v>5015</v>
      </c>
      <c r="EO136" s="83" t="s">
        <v>16917</v>
      </c>
      <c r="EP136" t="s">
        <v>5188</v>
      </c>
      <c r="EU136" s="177" t="str">
        <f>IF(OR(Dieu="Taal",Dieu="Torothal"),"Colère de Taal","")</f>
        <v/>
      </c>
      <c r="EV136" s="83" t="str">
        <f t="shared" si="99"/>
        <v/>
      </c>
      <c r="EW136" s="83" t="str">
        <f t="shared" si="103"/>
        <v/>
      </c>
      <c r="EX136" s="530" t="str">
        <f t="shared" si="104"/>
        <v/>
      </c>
      <c r="EY136" s="83" t="s">
        <v>420</v>
      </c>
      <c r="EZ136" s="530" t="s">
        <v>10148</v>
      </c>
      <c r="FB136" t="s">
        <v>7229</v>
      </c>
      <c r="FC136" s="133" t="s">
        <v>7362</v>
      </c>
      <c r="FD136" t="s">
        <v>7230</v>
      </c>
      <c r="FE136" s="849">
        <v>96</v>
      </c>
      <c r="FF136">
        <v>25</v>
      </c>
      <c r="FG136">
        <v>0</v>
      </c>
      <c r="FH136">
        <v>37</v>
      </c>
      <c r="FI136">
        <v>42</v>
      </c>
      <c r="FJ136" s="10">
        <v>29</v>
      </c>
      <c r="FK136">
        <v>10</v>
      </c>
      <c r="FL136">
        <v>15</v>
      </c>
      <c r="FM136" s="165">
        <v>0</v>
      </c>
      <c r="FN136" s="88">
        <v>1</v>
      </c>
      <c r="FO136" s="88">
        <v>14</v>
      </c>
      <c r="FP136" s="164">
        <f>ROUNDDOWN(FH136/10,0)</f>
        <v>3</v>
      </c>
      <c r="FQ136" s="164">
        <f>ROUNDDOWN(FI136/10,0)</f>
        <v>4</v>
      </c>
      <c r="FR136" s="682">
        <v>8</v>
      </c>
      <c r="FS136" s="88">
        <v>0</v>
      </c>
      <c r="FT136" s="88">
        <v>0</v>
      </c>
      <c r="FU136" s="165">
        <v>0</v>
      </c>
      <c r="FV136" t="s">
        <v>7231</v>
      </c>
      <c r="FW136" s="83" t="s">
        <v>7226</v>
      </c>
      <c r="FX136" s="567" t="s">
        <v>7657</v>
      </c>
      <c r="GA136" s="83" t="s">
        <v>7617</v>
      </c>
      <c r="GE136" s="356"/>
      <c r="GF136" t="s">
        <v>7728</v>
      </c>
      <c r="GG136" s="356" t="s">
        <v>8947</v>
      </c>
      <c r="GH136" s="83" t="s">
        <v>8939</v>
      </c>
      <c r="GI136" s="83" t="s">
        <v>8927</v>
      </c>
      <c r="GJ136" s="83"/>
      <c r="GK136" s="530"/>
    </row>
    <row r="137" spans="8:193" ht="13.2" customHeight="1">
      <c r="H137" s="83" t="s">
        <v>11352</v>
      </c>
      <c r="I137" s="83" t="s">
        <v>11353</v>
      </c>
      <c r="J137" s="3"/>
      <c r="K137" s="3"/>
      <c r="L137" s="3"/>
      <c r="M137" s="651"/>
      <c r="N137" s="3"/>
      <c r="O137" s="3"/>
      <c r="P137" s="3"/>
      <c r="Q137" s="3"/>
      <c r="R137" s="651"/>
      <c r="S137" s="83" t="str">
        <f>IF(CareerType=Y137,"Embaumeur",IF(AllCareers="X","Embaumeur",IF(OR(SelectRace="homme-bête",SelectRace="peau-verte",SelectRace="créature du chaos",SelectRace="Homme-lézard",SelectRace="skaven"),"",IF(SelectRace="Elfe","",IF(SelectRace="Nain","",IF(Pays="Empire","Embaumeur",IF(Pays="Bretonnie","Embaumeur",IF(Pays="Estalie","Embaumeur",IF(Pays="Tilée","Embaumeur",IF(SelectRace="Halfling","Embaumeur",""))))))))))</f>
        <v/>
      </c>
      <c r="T137" s="106">
        <f t="shared" si="112"/>
        <v>0</v>
      </c>
      <c r="U137" s="693" t="str">
        <f t="shared" si="105"/>
        <v/>
      </c>
      <c r="V137" s="693" t="str">
        <f t="shared" si="106"/>
        <v/>
      </c>
      <c r="W137" s="693" t="str">
        <f t="shared" si="107"/>
        <v/>
      </c>
      <c r="X137" s="47" t="s">
        <v>2160</v>
      </c>
      <c r="Y137" s="743" t="s">
        <v>7131</v>
      </c>
      <c r="Z137" s="55" t="s">
        <v>2198</v>
      </c>
      <c r="AA137" s="47">
        <v>92</v>
      </c>
      <c r="AB137" s="89" t="s">
        <v>7135</v>
      </c>
      <c r="AC137" s="47">
        <v>64</v>
      </c>
      <c r="AD137" s="15" t="s">
        <v>149</v>
      </c>
      <c r="AE137" s="15" t="s">
        <v>149</v>
      </c>
      <c r="AF137" s="15" t="s">
        <v>114</v>
      </c>
      <c r="AG137" s="15" t="s">
        <v>114</v>
      </c>
      <c r="AH137" s="15" t="s">
        <v>149</v>
      </c>
      <c r="AI137" s="15" t="s">
        <v>101</v>
      </c>
      <c r="AJ137" s="15" t="s">
        <v>98</v>
      </c>
      <c r="AK137" s="18" t="s">
        <v>114</v>
      </c>
      <c r="AL137" s="15" t="s">
        <v>149</v>
      </c>
      <c r="AM137" s="15" t="s">
        <v>113</v>
      </c>
      <c r="AN137" s="15" t="s">
        <v>149</v>
      </c>
      <c r="AO137" s="15" t="s">
        <v>149</v>
      </c>
      <c r="AP137" s="22" t="s">
        <v>3788</v>
      </c>
      <c r="AQ137" s="87" t="s">
        <v>734</v>
      </c>
      <c r="AR137" s="22" t="s">
        <v>3789</v>
      </c>
      <c r="AS137" s="87" t="s">
        <v>5762</v>
      </c>
      <c r="AT137" s="22" t="s">
        <v>3449</v>
      </c>
      <c r="AU137" s="87" t="s">
        <v>16918</v>
      </c>
      <c r="AV137" s="87" t="s">
        <v>16919</v>
      </c>
      <c r="AW137" s="457">
        <v>0</v>
      </c>
      <c r="AX137" s="630" t="str">
        <f t="shared" si="109"/>
        <v/>
      </c>
      <c r="AY137" s="630" t="str">
        <f t="shared" si="110"/>
        <v/>
      </c>
      <c r="AZ137" s="630" t="str">
        <f t="shared" si="111"/>
        <v/>
      </c>
      <c r="BA137" s="3"/>
      <c r="BB137" s="3"/>
      <c r="BC137" s="3"/>
      <c r="BD137" s="3"/>
      <c r="BE137" s="3"/>
      <c r="BF137" s="3"/>
      <c r="BG137" s="3"/>
      <c r="BH137" s="3"/>
      <c r="BI137" s="3"/>
      <c r="BJ137" s="3"/>
      <c r="BK137" s="3"/>
      <c r="BL137" s="3"/>
      <c r="BM137" s="3"/>
      <c r="BN137" s="3"/>
      <c r="BP137" s="3"/>
      <c r="BR137" s="3"/>
      <c r="BS137" s="3"/>
      <c r="BT137" s="3"/>
      <c r="BU137" s="3"/>
      <c r="BV137" s="3"/>
      <c r="BW137" s="3"/>
      <c r="BX137" t="str">
        <f>IF(Province="Aiir","Port de Meknes","")</f>
        <v/>
      </c>
      <c r="BY137" t="str">
        <f t="shared" si="108"/>
        <v/>
      </c>
      <c r="BZ137" s="83" t="str">
        <f t="shared" si="100"/>
        <v/>
      </c>
      <c r="CA137" s="83" t="str">
        <f t="shared" si="101"/>
        <v/>
      </c>
      <c r="CB137" s="530" t="str">
        <f t="shared" si="102"/>
        <v/>
      </c>
      <c r="CC137" s="3" t="s">
        <v>10729</v>
      </c>
      <c r="CD137" s="3" t="s">
        <v>3157</v>
      </c>
      <c r="CG137" s="3" t="s">
        <v>6230</v>
      </c>
      <c r="CH137" s="3" t="s">
        <v>6013</v>
      </c>
      <c r="CI137" s="3"/>
      <c r="CJ137" s="3"/>
      <c r="CK137" s="3" t="s">
        <v>6908</v>
      </c>
      <c r="CM137" t="s">
        <v>10334</v>
      </c>
      <c r="CN137" s="3"/>
      <c r="CO137" s="3" t="s">
        <v>10962</v>
      </c>
      <c r="CP137" s="3"/>
      <c r="CQ137" s="3"/>
      <c r="CR137" s="3" t="s">
        <v>13507</v>
      </c>
      <c r="CS137" s="3"/>
      <c r="CT137" s="3"/>
      <c r="CU137" s="3"/>
      <c r="CV137" s="3"/>
      <c r="CW137" s="3"/>
      <c r="CX137" s="3"/>
      <c r="CY137" s="3" t="s">
        <v>835</v>
      </c>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t="s">
        <v>3038</v>
      </c>
      <c r="EA137" s="83" t="s">
        <v>4544</v>
      </c>
      <c r="EB137" s="3"/>
      <c r="ED137" s="83" t="s">
        <v>12176</v>
      </c>
      <c r="EE137" s="83" t="s">
        <v>11614</v>
      </c>
      <c r="EF137" s="530" t="s">
        <v>15633</v>
      </c>
      <c r="EK137" s="874"/>
      <c r="EM137" s="90" t="s">
        <v>5190</v>
      </c>
      <c r="EN137" s="83" t="s">
        <v>5015</v>
      </c>
      <c r="EO137" s="83" t="s">
        <v>5230</v>
      </c>
      <c r="EP137" t="s">
        <v>5188</v>
      </c>
      <c r="EU137" s="177" t="str">
        <f>IF(OR(Dieu="Taal",Dieu="Torothal"),"Coureurs des bois","")</f>
        <v/>
      </c>
      <c r="EV137" s="83" t="str">
        <f t="shared" si="99"/>
        <v/>
      </c>
      <c r="EW137" s="83" t="str">
        <f t="shared" si="103"/>
        <v/>
      </c>
      <c r="EX137" s="530" t="str">
        <f t="shared" si="104"/>
        <v/>
      </c>
      <c r="EY137" s="83" t="s">
        <v>16650</v>
      </c>
      <c r="EZ137" s="530" t="s">
        <v>5893</v>
      </c>
      <c r="FB137" s="83" t="s">
        <v>7266</v>
      </c>
      <c r="FC137" s="133" t="s">
        <v>7362</v>
      </c>
      <c r="FD137" t="s">
        <v>7245</v>
      </c>
      <c r="FE137" s="849">
        <v>121</v>
      </c>
      <c r="FF137">
        <v>41</v>
      </c>
      <c r="FG137">
        <v>0</v>
      </c>
      <c r="FH137">
        <v>58</v>
      </c>
      <c r="FI137">
        <v>59</v>
      </c>
      <c r="FJ137" s="10">
        <v>34</v>
      </c>
      <c r="FK137">
        <v>13</v>
      </c>
      <c r="FL137">
        <v>38</v>
      </c>
      <c r="FM137" s="165">
        <v>10</v>
      </c>
      <c r="FN137" s="88">
        <v>2</v>
      </c>
      <c r="FO137" s="88">
        <v>28</v>
      </c>
      <c r="FP137" s="164">
        <f>ROUNDDOWN(FH137/10,0)</f>
        <v>5</v>
      </c>
      <c r="FQ137" s="164">
        <f>ROUNDDOWN(FI137/10,0)</f>
        <v>5</v>
      </c>
      <c r="FR137" s="682">
        <v>8</v>
      </c>
      <c r="FS137" s="88">
        <v>0</v>
      </c>
      <c r="FT137" s="88">
        <v>0</v>
      </c>
      <c r="FU137" s="165">
        <v>0</v>
      </c>
      <c r="FV137" t="s">
        <v>7231</v>
      </c>
      <c r="FW137" s="83" t="s">
        <v>7267</v>
      </c>
      <c r="FX137" s="567" t="s">
        <v>7657</v>
      </c>
      <c r="GA137" s="83" t="s">
        <v>7637</v>
      </c>
      <c r="GE137" s="356"/>
      <c r="GF137" s="83" t="s">
        <v>16920</v>
      </c>
      <c r="GG137" s="356" t="s">
        <v>7571</v>
      </c>
      <c r="GH137" s="83" t="s">
        <v>8939</v>
      </c>
      <c r="GI137" s="83" t="s">
        <v>8927</v>
      </c>
      <c r="GJ137" s="83"/>
      <c r="GK137" s="530"/>
    </row>
    <row r="138" spans="8:193" ht="13.2" customHeight="1">
      <c r="H138" s="3"/>
      <c r="I138" s="3"/>
      <c r="J138" s="3"/>
      <c r="K138" s="3"/>
      <c r="L138" s="3"/>
      <c r="M138" s="651"/>
      <c r="N138" s="3"/>
      <c r="O138" s="3"/>
      <c r="P138" s="3"/>
      <c r="Q138" s="3"/>
      <c r="R138" s="651"/>
      <c r="S138" s="83" t="str">
        <f>IF(CareerType=Y138,"Émissaire elfe",IF(AllCareers="X","Émissaire elfe",IF(Selectsousrace&lt;&gt;"Elfe","","Émissaire elfe")))</f>
        <v/>
      </c>
      <c r="T138" s="106">
        <f t="shared" si="112"/>
        <v>0</v>
      </c>
      <c r="U138" s="693" t="str">
        <f t="shared" si="105"/>
        <v/>
      </c>
      <c r="V138" s="693" t="str">
        <f t="shared" si="106"/>
        <v/>
      </c>
      <c r="W138" s="693" t="str">
        <f t="shared" si="107"/>
        <v/>
      </c>
      <c r="X138" s="47" t="s">
        <v>2160</v>
      </c>
      <c r="Y138" s="743" t="s">
        <v>7131</v>
      </c>
      <c r="Z138" s="55" t="s">
        <v>2200</v>
      </c>
      <c r="AA138" s="47">
        <v>41</v>
      </c>
      <c r="AB138" s="47" t="s">
        <v>2294</v>
      </c>
      <c r="AC138" s="47">
        <v>68</v>
      </c>
      <c r="AD138" s="20" t="s">
        <v>114</v>
      </c>
      <c r="AE138" s="20" t="s">
        <v>114</v>
      </c>
      <c r="AF138" s="15" t="s">
        <v>149</v>
      </c>
      <c r="AG138" s="15" t="s">
        <v>149</v>
      </c>
      <c r="AH138" s="20" t="s">
        <v>114</v>
      </c>
      <c r="AI138" s="15" t="s">
        <v>98</v>
      </c>
      <c r="AJ138" s="20" t="s">
        <v>114</v>
      </c>
      <c r="AK138" s="18" t="s">
        <v>98</v>
      </c>
      <c r="AL138" s="15" t="s">
        <v>149</v>
      </c>
      <c r="AM138" s="15" t="s">
        <v>113</v>
      </c>
      <c r="AN138" s="15" t="s">
        <v>149</v>
      </c>
      <c r="AO138" s="15" t="s">
        <v>149</v>
      </c>
      <c r="AP138" s="22" t="s">
        <v>1159</v>
      </c>
      <c r="AQ138" s="87" t="s">
        <v>734</v>
      </c>
      <c r="AR138" s="22" t="s">
        <v>3565</v>
      </c>
      <c r="AS138" s="87" t="s">
        <v>734</v>
      </c>
      <c r="AT138" s="22" t="s">
        <v>3450</v>
      </c>
      <c r="AU138" s="87" t="s">
        <v>16921</v>
      </c>
      <c r="AV138" s="87" t="s">
        <v>4568</v>
      </c>
      <c r="AW138" s="457">
        <v>0</v>
      </c>
      <c r="AX138" s="630" t="str">
        <f t="shared" si="109"/>
        <v/>
      </c>
      <c r="AY138" s="630" t="str">
        <f t="shared" si="110"/>
        <v/>
      </c>
      <c r="AZ138" s="630" t="str">
        <f t="shared" si="111"/>
        <v/>
      </c>
      <c r="BA138" s="3"/>
      <c r="BB138" s="3"/>
      <c r="BC138" s="3"/>
      <c r="BD138" s="3"/>
      <c r="BE138" s="3"/>
      <c r="BF138" s="3"/>
      <c r="BG138" s="3"/>
      <c r="BH138" s="3"/>
      <c r="BI138" s="3"/>
      <c r="BJ138" s="3"/>
      <c r="BK138" s="3"/>
      <c r="BL138" s="3"/>
      <c r="BM138" s="3"/>
      <c r="BN138" s="3"/>
      <c r="BP138" s="3"/>
      <c r="BR138" s="3"/>
      <c r="BS138" s="3"/>
      <c r="BT138" s="3"/>
      <c r="BU138" s="3"/>
      <c r="BV138" s="3"/>
      <c r="BW138" s="3"/>
      <c r="BX138" t="str">
        <f>IF(Province="Aiir","Bas quartiers de Meknes","")</f>
        <v/>
      </c>
      <c r="BY138" t="str">
        <f t="shared" si="108"/>
        <v/>
      </c>
      <c r="BZ138" s="83" t="str">
        <f t="shared" si="100"/>
        <v/>
      </c>
      <c r="CA138" s="83" t="str">
        <f t="shared" si="101"/>
        <v/>
      </c>
      <c r="CB138" s="530" t="str">
        <f t="shared" si="102"/>
        <v/>
      </c>
      <c r="CC138" s="3" t="s">
        <v>3299</v>
      </c>
      <c r="CD138" s="3" t="s">
        <v>3203</v>
      </c>
      <c r="CG138" s="3" t="s">
        <v>6231</v>
      </c>
      <c r="CH138" s="3" t="s">
        <v>6014</v>
      </c>
      <c r="CI138" s="3"/>
      <c r="CJ138" s="3"/>
      <c r="CK138" s="3" t="s">
        <v>6871</v>
      </c>
      <c r="CM138" t="s">
        <v>10336</v>
      </c>
      <c r="CN138" s="3"/>
      <c r="CO138" s="3" t="str">
        <f>CONCATENATE("Furlis",IF(AND('page 1'!M11="Féminin",Pays="Norsca"),"dottir",IF(AND('page 1'!M11="Masculin",Pays="Norsca"),"son",IF(AND('page 1'!M11="Féminin",Pays="Kislev"),"ovna",IF(AND('page 1'!M11="Masculin",Pays="Kislev"),"sky","")))))</f>
        <v>Furlis</v>
      </c>
      <c r="CP138" s="3"/>
      <c r="CQ138" s="3"/>
      <c r="CR138" s="3" t="s">
        <v>13508</v>
      </c>
      <c r="CS138" s="3"/>
      <c r="CT138" s="3"/>
      <c r="CU138" s="3"/>
      <c r="CV138" s="3"/>
      <c r="CW138" s="3"/>
      <c r="CX138" s="3"/>
      <c r="CY138" s="3" t="s">
        <v>440</v>
      </c>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t="s">
        <v>795</v>
      </c>
      <c r="EA138" s="83" t="s">
        <v>4544</v>
      </c>
      <c r="EB138" s="3"/>
      <c r="ED138" s="83" t="s">
        <v>11613</v>
      </c>
      <c r="EE138" s="83" t="s">
        <v>11614</v>
      </c>
      <c r="EF138" s="530" t="s">
        <v>12446</v>
      </c>
      <c r="EK138" s="874"/>
      <c r="EM138" s="90" t="s">
        <v>5191</v>
      </c>
      <c r="EN138" s="83" t="s">
        <v>5015</v>
      </c>
      <c r="EO138" s="83" t="s">
        <v>5229</v>
      </c>
      <c r="EP138" t="s">
        <v>5188</v>
      </c>
      <c r="EU138" s="177" t="str">
        <f>IF(OR(Dieu="Taal",Dieu="Torothal"),"Elus de Taal","")</f>
        <v/>
      </c>
      <c r="EV138" s="83" t="str">
        <f t="shared" si="99"/>
        <v/>
      </c>
      <c r="EW138" s="83" t="str">
        <f t="shared" si="103"/>
        <v/>
      </c>
      <c r="EX138" s="530" t="str">
        <f t="shared" si="104"/>
        <v/>
      </c>
      <c r="EY138" s="83" t="s">
        <v>16922</v>
      </c>
      <c r="FB138" s="106" t="s">
        <v>13196</v>
      </c>
      <c r="FC138" s="133" t="s">
        <v>7362</v>
      </c>
      <c r="FD138" s="83" t="s">
        <v>13173</v>
      </c>
      <c r="FE138" s="848" t="s">
        <v>13174</v>
      </c>
      <c r="FF138">
        <v>30</v>
      </c>
      <c r="FG138">
        <v>0</v>
      </c>
      <c r="FH138">
        <v>40</v>
      </c>
      <c r="FI138">
        <v>40</v>
      </c>
      <c r="FJ138" s="10">
        <v>30</v>
      </c>
      <c r="FK138">
        <v>11</v>
      </c>
      <c r="FL138">
        <v>15</v>
      </c>
      <c r="FM138" s="165">
        <v>0</v>
      </c>
      <c r="FN138" s="88">
        <v>1</v>
      </c>
      <c r="FO138" s="88">
        <v>12</v>
      </c>
      <c r="FP138" s="164">
        <f>ROUNDDOWN(FH138/10,0)</f>
        <v>4</v>
      </c>
      <c r="FQ138" s="164">
        <f>ROUNDDOWN(FI138/10,0)</f>
        <v>4</v>
      </c>
      <c r="FR138" s="10">
        <v>6</v>
      </c>
      <c r="FS138">
        <v>0</v>
      </c>
      <c r="FT138">
        <v>0</v>
      </c>
      <c r="FU138" s="165">
        <v>0</v>
      </c>
      <c r="FV138" s="83" t="s">
        <v>13175</v>
      </c>
      <c r="FW138" s="83" t="s">
        <v>13176</v>
      </c>
      <c r="FX138" s="530" t="s">
        <v>7657</v>
      </c>
      <c r="GA138" s="83" t="s">
        <v>7612</v>
      </c>
      <c r="GE138" s="356"/>
      <c r="GF138" t="s">
        <v>7729</v>
      </c>
      <c r="GG138" s="356" t="s">
        <v>8942</v>
      </c>
      <c r="GH138" s="83" t="s">
        <v>8939</v>
      </c>
      <c r="GI138" s="83" t="s">
        <v>8927</v>
      </c>
      <c r="GJ138" s="83"/>
      <c r="GK138" s="530"/>
    </row>
    <row r="139" spans="8:193" ht="13.2" customHeight="1">
      <c r="H139" s="3"/>
      <c r="I139" s="3"/>
      <c r="J139" s="3"/>
      <c r="K139" s="3"/>
      <c r="L139" s="3"/>
      <c r="M139" s="651"/>
      <c r="N139" s="3"/>
      <c r="O139" s="3"/>
      <c r="P139" s="3"/>
      <c r="Q139" s="3"/>
      <c r="R139" s="651"/>
      <c r="S139" s="83" t="str">
        <f>IF(CareerType=Y139,"Encenseur à Peste",IF(AllCareers="X","Encenseur à Peste",IF(FirstCareer="1ère carrière","",IF(SelectRace="skaven","Encenseur à Peste",""))))</f>
        <v/>
      </c>
      <c r="T139" s="106">
        <f t="shared" si="112"/>
        <v>1</v>
      </c>
      <c r="U139" s="693" t="str">
        <f t="shared" si="105"/>
        <v/>
      </c>
      <c r="V139" s="693" t="str">
        <f t="shared" si="106"/>
        <v/>
      </c>
      <c r="W139" s="693" t="str">
        <f t="shared" si="107"/>
        <v/>
      </c>
      <c r="X139" s="47" t="s">
        <v>2153</v>
      </c>
      <c r="Y139" s="743" t="s">
        <v>7130</v>
      </c>
      <c r="Z139" s="56" t="s">
        <v>1328</v>
      </c>
      <c r="AA139" s="47">
        <v>99</v>
      </c>
      <c r="AB139" s="48"/>
      <c r="AC139" s="48"/>
      <c r="AD139" s="15" t="s">
        <v>99</v>
      </c>
      <c r="AE139" s="15" t="s">
        <v>149</v>
      </c>
      <c r="AF139" s="15" t="s">
        <v>99</v>
      </c>
      <c r="AG139" s="15" t="s">
        <v>100</v>
      </c>
      <c r="AH139" s="15" t="s">
        <v>98</v>
      </c>
      <c r="AI139" s="15" t="s">
        <v>149</v>
      </c>
      <c r="AJ139" s="15" t="s">
        <v>99</v>
      </c>
      <c r="AK139" s="18" t="s">
        <v>149</v>
      </c>
      <c r="AL139" s="15" t="s">
        <v>102</v>
      </c>
      <c r="AM139" s="15" t="s">
        <v>112</v>
      </c>
      <c r="AN139" s="15" t="s">
        <v>149</v>
      </c>
      <c r="AO139" s="15" t="s">
        <v>149</v>
      </c>
      <c r="AP139" s="22" t="s">
        <v>3097</v>
      </c>
      <c r="AQ139" s="87" t="s">
        <v>15925</v>
      </c>
      <c r="AR139" s="22" t="s">
        <v>3098</v>
      </c>
      <c r="AS139" s="22" t="s">
        <v>3098</v>
      </c>
      <c r="AT139" s="87" t="s">
        <v>16923</v>
      </c>
      <c r="AU139" s="87" t="s">
        <v>5501</v>
      </c>
      <c r="AV139" s="87" t="s">
        <v>4799</v>
      </c>
      <c r="AW139" s="457">
        <v>0</v>
      </c>
      <c r="AX139" s="630" t="str">
        <f t="shared" si="109"/>
        <v/>
      </c>
      <c r="AY139" s="630" t="str">
        <f t="shared" si="110"/>
        <v/>
      </c>
      <c r="AZ139" s="630" t="str">
        <f t="shared" si="111"/>
        <v/>
      </c>
      <c r="BA139" s="3"/>
      <c r="BB139" s="3"/>
      <c r="BC139" s="3"/>
      <c r="BD139" s="3"/>
      <c r="BE139" s="3"/>
      <c r="BF139" s="3"/>
      <c r="BG139" s="3"/>
      <c r="BH139" s="3"/>
      <c r="BI139" s="3"/>
      <c r="BJ139" s="3"/>
      <c r="BK139" s="3"/>
      <c r="BL139" s="3"/>
      <c r="BM139" s="3"/>
      <c r="BN139" s="3"/>
      <c r="BP139" s="3"/>
      <c r="BR139" s="3"/>
      <c r="BS139" s="3"/>
      <c r="BT139" s="3"/>
      <c r="BU139" s="3"/>
      <c r="BV139" s="3"/>
      <c r="BW139" s="3"/>
      <c r="BX139" s="83" t="str">
        <f>IF(Province="Alhaka","Petite communauté d'Alhaka","")</f>
        <v/>
      </c>
      <c r="BY139" t="str">
        <f t="shared" si="108"/>
        <v/>
      </c>
      <c r="BZ139" s="83" t="str">
        <f t="shared" si="100"/>
        <v/>
      </c>
      <c r="CA139" s="83" t="str">
        <f t="shared" si="101"/>
        <v/>
      </c>
      <c r="CB139" s="530" t="str">
        <f t="shared" si="102"/>
        <v/>
      </c>
      <c r="CC139" s="3" t="s">
        <v>3300</v>
      </c>
      <c r="CD139" t="s">
        <v>10690</v>
      </c>
      <c r="CG139" s="3" t="s">
        <v>6232</v>
      </c>
      <c r="CH139" s="83" t="s">
        <v>15258</v>
      </c>
      <c r="CI139" s="3"/>
      <c r="CJ139" s="3"/>
      <c r="CK139" s="3" t="s">
        <v>6745</v>
      </c>
      <c r="CM139" s="83" t="s">
        <v>15175</v>
      </c>
      <c r="CN139" s="3"/>
      <c r="CO139" s="3" t="s">
        <v>10976</v>
      </c>
      <c r="CP139" s="3"/>
      <c r="CQ139" s="3"/>
      <c r="CR139" s="3" t="s">
        <v>13509</v>
      </c>
      <c r="CS139" s="3"/>
      <c r="CT139" s="3"/>
      <c r="CU139" s="3"/>
      <c r="CV139" s="3"/>
      <c r="CW139" s="3"/>
      <c r="CX139" s="3"/>
      <c r="CY139" s="83" t="s">
        <v>15661</v>
      </c>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83" t="s">
        <v>12922</v>
      </c>
      <c r="EA139" s="83" t="s">
        <v>12920</v>
      </c>
      <c r="EB139" s="3"/>
      <c r="ED139" s="83" t="s">
        <v>11645</v>
      </c>
      <c r="EE139" s="83" t="s">
        <v>11614</v>
      </c>
      <c r="EF139" s="530" t="s">
        <v>11646</v>
      </c>
      <c r="EK139" s="874"/>
      <c r="EM139" s="90" t="s">
        <v>5192</v>
      </c>
      <c r="EN139" s="83" t="s">
        <v>5015</v>
      </c>
      <c r="EO139" s="83" t="s">
        <v>5228</v>
      </c>
      <c r="EP139" t="s">
        <v>5188</v>
      </c>
      <c r="EU139" s="177" t="str">
        <f>IF(OR(Dieu="Taal",Dieu="Torothal"),"Ordre des blanches épées","")</f>
        <v/>
      </c>
      <c r="EV139" s="83" t="str">
        <f t="shared" si="99"/>
        <v/>
      </c>
      <c r="EW139" s="83" t="str">
        <f t="shared" si="103"/>
        <v/>
      </c>
      <c r="EX139" s="530" t="str">
        <f t="shared" si="104"/>
        <v/>
      </c>
      <c r="EZ139" s="530" t="s">
        <v>9133</v>
      </c>
      <c r="FB139" s="83" t="s">
        <v>13041</v>
      </c>
      <c r="FC139" s="133" t="s">
        <v>7362</v>
      </c>
      <c r="FD139" s="85" t="s">
        <v>2196</v>
      </c>
      <c r="FE139" s="848">
        <v>166</v>
      </c>
      <c r="FF139">
        <v>30</v>
      </c>
      <c r="FG139">
        <v>0</v>
      </c>
      <c r="FH139">
        <v>45</v>
      </c>
      <c r="FI139">
        <v>40</v>
      </c>
      <c r="FJ139" s="10">
        <v>55</v>
      </c>
      <c r="FK139">
        <v>10</v>
      </c>
      <c r="FL139">
        <v>10</v>
      </c>
      <c r="FM139" s="165">
        <v>0</v>
      </c>
      <c r="FN139" s="88">
        <v>1</v>
      </c>
      <c r="FO139" s="88">
        <v>14</v>
      </c>
      <c r="FP139" s="164">
        <f>ROUNDDOWN(FH139/10,0)</f>
        <v>4</v>
      </c>
      <c r="FQ139" s="164">
        <f>ROUNDDOWN(FI139/10,0)</f>
        <v>4</v>
      </c>
      <c r="FR139" s="682">
        <v>6</v>
      </c>
      <c r="FS139" s="88">
        <v>0</v>
      </c>
      <c r="FT139" s="88">
        <v>0</v>
      </c>
      <c r="FU139" s="165">
        <v>0</v>
      </c>
      <c r="FV139" t="s">
        <v>7238</v>
      </c>
      <c r="FW139" s="83" t="s">
        <v>7257</v>
      </c>
      <c r="FX139" s="751" t="s">
        <v>7657</v>
      </c>
      <c r="GA139" s="83" t="s">
        <v>7644</v>
      </c>
      <c r="GE139" s="356"/>
      <c r="GF139" t="s">
        <v>7730</v>
      </c>
      <c r="GG139" s="356" t="s">
        <v>8944</v>
      </c>
      <c r="GH139" s="83" t="s">
        <v>8939</v>
      </c>
      <c r="GI139" s="83" t="s">
        <v>8927</v>
      </c>
      <c r="GJ139" s="83"/>
      <c r="GK139" s="530"/>
    </row>
    <row r="140" spans="8:193" ht="13.2" customHeight="1">
      <c r="H140" s="3"/>
      <c r="I140" s="3"/>
      <c r="J140" s="3"/>
      <c r="K140" s="3"/>
      <c r="L140" s="3"/>
      <c r="M140" s="651"/>
      <c r="N140" s="3"/>
      <c r="O140" s="3"/>
      <c r="P140" s="3"/>
      <c r="Q140" s="3"/>
      <c r="R140" s="651"/>
      <c r="S140" s="83" t="str">
        <f>IF(CareerType=Y140,"Envoûteur",IF(AllCareers="X","Envoûteur",IF(Selectsousrace="","",IF(OR(SelectRace="homme-bête",SelectRace="peau-verte",SelectRace="créature du chaos",SelectRace="Homme-lézard",SelectRace="skaven"),"",IF(FirstCareer="1ère carrière","","Envoûteur")))))</f>
        <v/>
      </c>
      <c r="T140" s="106">
        <f t="shared" si="112"/>
        <v>1</v>
      </c>
      <c r="U140" s="693" t="str">
        <f t="shared" si="105"/>
        <v/>
      </c>
      <c r="V140" s="693" t="str">
        <f t="shared" si="106"/>
        <v/>
      </c>
      <c r="W140" s="693" t="str">
        <f t="shared" si="107"/>
        <v/>
      </c>
      <c r="X140" s="47" t="s">
        <v>2153</v>
      </c>
      <c r="Y140" s="743" t="s">
        <v>7131</v>
      </c>
      <c r="Z140" s="55" t="s">
        <v>2211</v>
      </c>
      <c r="AA140" s="47">
        <v>131</v>
      </c>
      <c r="AB140" s="47" t="s">
        <v>2295</v>
      </c>
      <c r="AC140" s="47">
        <v>229</v>
      </c>
      <c r="AD140" s="15" t="s">
        <v>114</v>
      </c>
      <c r="AE140" s="15" t="s">
        <v>114</v>
      </c>
      <c r="AF140" s="15" t="s">
        <v>114</v>
      </c>
      <c r="AG140" s="15" t="s">
        <v>98</v>
      </c>
      <c r="AH140" s="15" t="s">
        <v>98</v>
      </c>
      <c r="AI140" s="15" t="s">
        <v>98</v>
      </c>
      <c r="AJ140" s="15" t="s">
        <v>101</v>
      </c>
      <c r="AK140" s="18" t="s">
        <v>101</v>
      </c>
      <c r="AL140" s="15" t="s">
        <v>149</v>
      </c>
      <c r="AM140" s="15" t="s">
        <v>103</v>
      </c>
      <c r="AN140" s="15" t="s">
        <v>149</v>
      </c>
      <c r="AO140" s="15" t="s">
        <v>113</v>
      </c>
      <c r="AP140" s="87" t="s">
        <v>10791</v>
      </c>
      <c r="AQ140" s="87" t="s">
        <v>734</v>
      </c>
      <c r="AR140" s="22" t="s">
        <v>1160</v>
      </c>
      <c r="AS140" s="87" t="s">
        <v>734</v>
      </c>
      <c r="AT140" s="22" t="s">
        <v>3451</v>
      </c>
      <c r="AU140" s="87" t="s">
        <v>16924</v>
      </c>
      <c r="AV140" s="87" t="s">
        <v>4766</v>
      </c>
      <c r="AW140" s="457">
        <v>0</v>
      </c>
      <c r="AX140" s="630" t="str">
        <f t="shared" si="109"/>
        <v/>
      </c>
      <c r="AY140" s="630" t="str">
        <f t="shared" si="110"/>
        <v/>
      </c>
      <c r="AZ140" s="630" t="str">
        <f t="shared" si="111"/>
        <v/>
      </c>
      <c r="BA140" s="3"/>
      <c r="BB140" s="3"/>
      <c r="BC140" s="3"/>
      <c r="BD140" s="3"/>
      <c r="BE140" s="3"/>
      <c r="BF140" s="3"/>
      <c r="BG140" s="3"/>
      <c r="BH140" s="3"/>
      <c r="BI140" s="3"/>
      <c r="BJ140" s="3"/>
      <c r="BK140" s="3"/>
      <c r="BL140" s="3"/>
      <c r="BM140" s="3"/>
      <c r="BN140" s="3"/>
      <c r="BP140" s="3"/>
      <c r="BR140" s="3"/>
      <c r="BS140" s="3"/>
      <c r="BT140" s="3"/>
      <c r="BU140" s="3"/>
      <c r="BV140" s="3"/>
      <c r="BW140" s="3"/>
      <c r="BX140" s="83" t="str">
        <f>IF(Province="Al-Itzarr","Petite communauté d'Al-Itzarr","")</f>
        <v/>
      </c>
      <c r="BY140" t="str">
        <f t="shared" si="108"/>
        <v/>
      </c>
      <c r="BZ140" s="83" t="str">
        <f t="shared" si="100"/>
        <v/>
      </c>
      <c r="CA140" s="83" t="str">
        <f t="shared" si="101"/>
        <v/>
      </c>
      <c r="CB140" s="530" t="str">
        <f t="shared" si="102"/>
        <v/>
      </c>
      <c r="CC140" s="3" t="s">
        <v>3301</v>
      </c>
      <c r="CD140" s="3" t="s">
        <v>1070</v>
      </c>
      <c r="CG140" s="3" t="s">
        <v>6233</v>
      </c>
      <c r="CH140" s="3" t="s">
        <v>6015</v>
      </c>
      <c r="CI140" s="3"/>
      <c r="CJ140" s="3"/>
      <c r="CK140" s="3" t="s">
        <v>6791</v>
      </c>
      <c r="CM140" s="3" t="s">
        <v>6637</v>
      </c>
      <c r="CN140" s="3"/>
      <c r="CO140" s="3" t="s">
        <v>10982</v>
      </c>
      <c r="CP140" s="3"/>
      <c r="CQ140" s="3"/>
      <c r="CR140" s="3" t="s">
        <v>13510</v>
      </c>
      <c r="CS140" s="3"/>
      <c r="CT140" s="3"/>
      <c r="CU140" s="3"/>
      <c r="CV140" s="3"/>
      <c r="CW140" s="3"/>
      <c r="CX140" s="3"/>
      <c r="CY140" s="3" t="s">
        <v>836</v>
      </c>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t="s">
        <v>3039</v>
      </c>
      <c r="EA140" s="83" t="s">
        <v>4544</v>
      </c>
      <c r="EB140" s="3"/>
      <c r="ED140" s="83" t="s">
        <v>12453</v>
      </c>
      <c r="EE140" s="83" t="s">
        <v>11614</v>
      </c>
      <c r="EF140" s="530" t="s">
        <v>12454</v>
      </c>
      <c r="EK140" s="874"/>
      <c r="EM140" s="90" t="s">
        <v>5193</v>
      </c>
      <c r="EN140" s="83" t="s">
        <v>5015</v>
      </c>
      <c r="EO140" s="83" t="s">
        <v>5227</v>
      </c>
      <c r="EP140" t="s">
        <v>5188</v>
      </c>
      <c r="EU140" s="177" t="str">
        <f>IF(Dieu="Thungni","Initié","")</f>
        <v/>
      </c>
      <c r="EV140" s="83" t="str">
        <f t="shared" si="99"/>
        <v/>
      </c>
      <c r="EW140" s="83" t="str">
        <f t="shared" si="103"/>
        <v/>
      </c>
      <c r="EX140" s="530" t="str">
        <f t="shared" si="104"/>
        <v/>
      </c>
      <c r="EY140" s="83" t="s">
        <v>2662</v>
      </c>
      <c r="EZ140" s="530" t="s">
        <v>16925</v>
      </c>
      <c r="FB140" s="83" t="s">
        <v>13040</v>
      </c>
      <c r="FC140" s="133" t="s">
        <v>7362</v>
      </c>
      <c r="FD140" t="s">
        <v>2200</v>
      </c>
      <c r="FE140" s="849">
        <v>231</v>
      </c>
      <c r="FF140">
        <v>25</v>
      </c>
      <c r="FG140">
        <v>0</v>
      </c>
      <c r="FH140">
        <v>35</v>
      </c>
      <c r="FI140">
        <v>35</v>
      </c>
      <c r="FJ140" s="10">
        <v>35</v>
      </c>
      <c r="FK140">
        <v>10</v>
      </c>
      <c r="FL140">
        <v>10</v>
      </c>
      <c r="FM140" s="165">
        <v>0</v>
      </c>
      <c r="FN140" s="88">
        <v>0</v>
      </c>
      <c r="FO140" s="88">
        <v>12</v>
      </c>
      <c r="FP140" s="164">
        <f>ROUNDDOWN(FH140/10,0)</f>
        <v>3</v>
      </c>
      <c r="FQ140" s="164">
        <f>ROUNDDOWN(FI140/10,0)</f>
        <v>3</v>
      </c>
      <c r="FR140" s="682">
        <v>6</v>
      </c>
      <c r="FS140" s="88">
        <v>0</v>
      </c>
      <c r="FT140" s="88">
        <v>0</v>
      </c>
      <c r="FU140" s="165">
        <v>0</v>
      </c>
      <c r="FV140" t="s">
        <v>7238</v>
      </c>
      <c r="FW140" s="83" t="s">
        <v>7226</v>
      </c>
      <c r="FX140" s="751" t="s">
        <v>7657</v>
      </c>
      <c r="GA140" t="s">
        <v>7285</v>
      </c>
      <c r="GE140" s="356"/>
      <c r="GF140" t="s">
        <v>7731</v>
      </c>
      <c r="GG140" s="356" t="s">
        <v>16926</v>
      </c>
      <c r="GH140" s="83" t="s">
        <v>8939</v>
      </c>
      <c r="GI140" s="83" t="s">
        <v>8927</v>
      </c>
      <c r="GJ140" s="83"/>
      <c r="GK140" s="530"/>
    </row>
    <row r="141" spans="8:193" ht="13.2" customHeight="1">
      <c r="H141" s="3"/>
      <c r="I141" s="3"/>
      <c r="J141" s="3"/>
      <c r="K141" s="3"/>
      <c r="L141" s="3"/>
      <c r="M141" s="651"/>
      <c r="N141" s="3"/>
      <c r="O141" s="3"/>
      <c r="P141" s="3"/>
      <c r="Q141" s="3"/>
      <c r="R141" s="651"/>
      <c r="S141" s="83" t="str">
        <f>IF(CareerType=Y141,"Érudit",IF(AllCareers="X","Érudit",IF(Selectsousrace="","",IF(OR(SelectRace="homme-bête",SelectRace="peau-verte",SelectRace="créature du chaos"),"",IF(FirstCareer="1ère carrière","","Érudit")))))</f>
        <v/>
      </c>
      <c r="T141" s="106">
        <f t="shared" si="112"/>
        <v>1</v>
      </c>
      <c r="U141" s="693" t="str">
        <f t="shared" si="105"/>
        <v/>
      </c>
      <c r="V141" s="693" t="str">
        <f t="shared" si="106"/>
        <v/>
      </c>
      <c r="W141" s="693" t="str">
        <f t="shared" si="107"/>
        <v/>
      </c>
      <c r="X141" s="47" t="s">
        <v>2153</v>
      </c>
      <c r="Y141" s="743" t="s">
        <v>7131</v>
      </c>
      <c r="Z141" s="55" t="s">
        <v>2200</v>
      </c>
      <c r="AA141" s="47">
        <v>71</v>
      </c>
      <c r="AB141" s="47" t="s">
        <v>2296</v>
      </c>
      <c r="AC141" s="47">
        <v>181</v>
      </c>
      <c r="AD141" s="20" t="s">
        <v>114</v>
      </c>
      <c r="AE141" s="20" t="s">
        <v>114</v>
      </c>
      <c r="AF141" s="20" t="s">
        <v>114</v>
      </c>
      <c r="AG141" s="20" t="s">
        <v>114</v>
      </c>
      <c r="AH141" s="15" t="s">
        <v>98</v>
      </c>
      <c r="AI141" s="15" t="s">
        <v>116</v>
      </c>
      <c r="AJ141" s="15" t="s">
        <v>101</v>
      </c>
      <c r="AK141" s="18" t="s">
        <v>101</v>
      </c>
      <c r="AL141" s="15" t="s">
        <v>149</v>
      </c>
      <c r="AM141" s="15" t="s">
        <v>103</v>
      </c>
      <c r="AN141" s="15" t="s">
        <v>149</v>
      </c>
      <c r="AO141" s="15" t="s">
        <v>149</v>
      </c>
      <c r="AP141" s="87" t="s">
        <v>16154</v>
      </c>
      <c r="AQ141" s="87" t="s">
        <v>3105</v>
      </c>
      <c r="AR141" s="87" t="s">
        <v>15801</v>
      </c>
      <c r="AS141" s="87" t="s">
        <v>15888</v>
      </c>
      <c r="AT141" s="87" t="s">
        <v>15644</v>
      </c>
      <c r="AU141" s="87" t="s">
        <v>16927</v>
      </c>
      <c r="AV141" s="87" t="s">
        <v>4569</v>
      </c>
      <c r="AW141" s="457">
        <v>0</v>
      </c>
      <c r="AX141" s="630" t="str">
        <f t="shared" si="109"/>
        <v/>
      </c>
      <c r="AY141" s="630" t="str">
        <f t="shared" si="110"/>
        <v/>
      </c>
      <c r="AZ141" s="630" t="str">
        <f t="shared" si="111"/>
        <v/>
      </c>
      <c r="BA141" s="3"/>
      <c r="BB141" s="3"/>
      <c r="BC141" s="3"/>
      <c r="BD141" s="3"/>
      <c r="BE141" s="3"/>
      <c r="BF141" s="3"/>
      <c r="BG141" s="3"/>
      <c r="BH141" s="3"/>
      <c r="BI141" s="3"/>
      <c r="BJ141" s="3"/>
      <c r="BK141" s="3"/>
      <c r="BL141" s="3"/>
      <c r="BM141" s="3"/>
      <c r="BN141" s="3"/>
      <c r="BP141" s="3"/>
      <c r="BR141" s="3"/>
      <c r="BS141" s="3"/>
      <c r="BT141" s="3"/>
      <c r="BU141" s="3"/>
      <c r="BV141" s="3"/>
      <c r="BW141" s="3"/>
      <c r="BX141" s="83" t="str">
        <f>IF(Province="Amhabal","Petite communauté d'Amhabal","")</f>
        <v/>
      </c>
      <c r="BY141" t="str">
        <f t="shared" si="108"/>
        <v/>
      </c>
      <c r="BZ141" s="83" t="str">
        <f t="shared" si="100"/>
        <v/>
      </c>
      <c r="CA141" s="83" t="str">
        <f t="shared" si="101"/>
        <v/>
      </c>
      <c r="CB141" s="530" t="str">
        <f t="shared" si="102"/>
        <v/>
      </c>
      <c r="CC141" s="3" t="s">
        <v>3302</v>
      </c>
      <c r="CD141" t="s">
        <v>10691</v>
      </c>
      <c r="CG141" s="3" t="s">
        <v>6234</v>
      </c>
      <c r="CH141" s="3" t="s">
        <v>1102</v>
      </c>
      <c r="CI141" s="3"/>
      <c r="CJ141" s="3"/>
      <c r="CK141" s="3" t="s">
        <v>6976</v>
      </c>
      <c r="CM141" t="s">
        <v>10337</v>
      </c>
      <c r="CN141" s="3"/>
      <c r="CO141" s="3" t="s">
        <v>10984</v>
      </c>
      <c r="CP141" s="3"/>
      <c r="CQ141" s="3"/>
      <c r="CR141" s="3" t="s">
        <v>13511</v>
      </c>
      <c r="CS141" s="3"/>
      <c r="CT141" s="3"/>
      <c r="CU141" s="3"/>
      <c r="CV141" s="3"/>
      <c r="CW141" s="3"/>
      <c r="CX141" s="3"/>
      <c r="CY141" s="3" t="s">
        <v>441</v>
      </c>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t="s">
        <v>3040</v>
      </c>
      <c r="EA141" s="83" t="s">
        <v>4544</v>
      </c>
      <c r="EB141" s="3"/>
      <c r="ED141" s="83" t="s">
        <v>11647</v>
      </c>
      <c r="EE141" s="83" t="s">
        <v>11614</v>
      </c>
      <c r="EF141" s="540" t="s">
        <v>12175</v>
      </c>
      <c r="EK141" s="874"/>
      <c r="EM141" s="90" t="s">
        <v>5194</v>
      </c>
      <c r="EN141" s="83" t="s">
        <v>5015</v>
      </c>
      <c r="EO141" s="83" t="s">
        <v>5226</v>
      </c>
      <c r="EP141" t="s">
        <v>5188</v>
      </c>
      <c r="EU141" s="177" t="str">
        <f>IF(Dieu="Thungni","Prêtre","")</f>
        <v/>
      </c>
      <c r="EV141" s="83" t="str">
        <f t="shared" si="99"/>
        <v/>
      </c>
      <c r="EW141" s="83" t="str">
        <f t="shared" si="103"/>
        <v/>
      </c>
      <c r="EX141" s="530" t="str">
        <f t="shared" si="104"/>
        <v/>
      </c>
      <c r="EY141" s="83" t="s">
        <v>2663</v>
      </c>
      <c r="FB141" s="83" t="s">
        <v>9928</v>
      </c>
      <c r="FC141" s="133" t="s">
        <v>7362</v>
      </c>
      <c r="FD141" s="83" t="s">
        <v>9703</v>
      </c>
      <c r="FE141" s="849">
        <v>334</v>
      </c>
      <c r="FF141">
        <v>30</v>
      </c>
      <c r="FG141">
        <v>0</v>
      </c>
      <c r="FH141">
        <v>35</v>
      </c>
      <c r="FI141">
        <v>40</v>
      </c>
      <c r="FJ141" s="10">
        <v>38</v>
      </c>
      <c r="FK141">
        <v>13</v>
      </c>
      <c r="FL141">
        <v>12</v>
      </c>
      <c r="FM141" s="165">
        <v>0</v>
      </c>
      <c r="FN141" s="88">
        <v>1</v>
      </c>
      <c r="FO141" s="88">
        <v>13</v>
      </c>
      <c r="FP141" s="164">
        <f>ROUNDDOWN(FH141/10,0)</f>
        <v>3</v>
      </c>
      <c r="FQ141" s="164">
        <f>ROUNDDOWN(FI141/10,0)</f>
        <v>4</v>
      </c>
      <c r="FR141" s="682">
        <v>8</v>
      </c>
      <c r="FS141" s="88">
        <v>0</v>
      </c>
      <c r="FT141" s="88">
        <v>0</v>
      </c>
      <c r="FU141" s="165">
        <v>0</v>
      </c>
      <c r="FV141" s="83" t="s">
        <v>9929</v>
      </c>
      <c r="FW141" s="83" t="s">
        <v>14713</v>
      </c>
      <c r="FX141" s="567" t="s">
        <v>7657</v>
      </c>
      <c r="GA141" t="s">
        <v>7536</v>
      </c>
      <c r="GE141" s="356"/>
      <c r="GF141" t="s">
        <v>7732</v>
      </c>
      <c r="GG141" s="356" t="s">
        <v>8950</v>
      </c>
      <c r="GH141" s="83" t="s">
        <v>8948</v>
      </c>
      <c r="GI141" s="83" t="s">
        <v>8937</v>
      </c>
      <c r="GJ141" s="83"/>
      <c r="GK141" s="530"/>
    </row>
    <row r="142" spans="8:193" ht="13.2" customHeight="1">
      <c r="H142" s="3"/>
      <c r="I142" s="3"/>
      <c r="J142" s="3"/>
      <c r="K142" s="3"/>
      <c r="L142" s="3"/>
      <c r="M142" s="651"/>
      <c r="N142" s="3"/>
      <c r="O142" s="3"/>
      <c r="P142" s="3"/>
      <c r="Q142" s="3"/>
      <c r="R142" s="651"/>
      <c r="S142" s="83" t="str">
        <f>IF(CareerType=Y142,"Esclave/Thrall",IF(AllCareers="X","Esclave/Thrall",IF(OR(SelectRace="Vampire",SelectRace="créature du chaos",SelectRace=""),"",IF(AND(OR(SelectRace="homme-bête",SelectRace="créature du chaos",SelectRace="Homme-lézard",SelectRace="peau-verte",SelectRace="Humain",SelectRace="Nain",SelectRace="Halfling",SelectRace="Elfe"),Pays="Norsca"),"Thrall","Esclave"))))</f>
        <v/>
      </c>
      <c r="T142" s="106">
        <f t="shared" si="112"/>
        <v>0</v>
      </c>
      <c r="U142" s="693" t="str">
        <f t="shared" si="105"/>
        <v/>
      </c>
      <c r="V142" s="693" t="str">
        <f t="shared" si="106"/>
        <v/>
      </c>
      <c r="W142" s="693" t="str">
        <f t="shared" si="107"/>
        <v/>
      </c>
      <c r="X142" s="47" t="s">
        <v>2160</v>
      </c>
      <c r="Y142" s="743" t="s">
        <v>7132</v>
      </c>
      <c r="Z142" s="55" t="s">
        <v>1328</v>
      </c>
      <c r="AA142" s="47">
        <v>94</v>
      </c>
      <c r="AB142" s="47" t="s">
        <v>2299</v>
      </c>
      <c r="AC142" s="47">
        <v>193</v>
      </c>
      <c r="AD142" s="15" t="s">
        <v>114</v>
      </c>
      <c r="AE142" s="15" t="s">
        <v>149</v>
      </c>
      <c r="AF142" s="15" t="s">
        <v>114</v>
      </c>
      <c r="AG142" s="15" t="s">
        <v>114</v>
      </c>
      <c r="AH142" s="15" t="s">
        <v>98</v>
      </c>
      <c r="AI142" s="15" t="s">
        <v>149</v>
      </c>
      <c r="AJ142" s="15" t="s">
        <v>114</v>
      </c>
      <c r="AK142" s="18" t="s">
        <v>149</v>
      </c>
      <c r="AL142" s="15" t="s">
        <v>149</v>
      </c>
      <c r="AM142" s="15" t="s">
        <v>103</v>
      </c>
      <c r="AN142" s="15" t="s">
        <v>149</v>
      </c>
      <c r="AO142" s="15" t="s">
        <v>149</v>
      </c>
      <c r="AP142" s="87" t="s">
        <v>771</v>
      </c>
      <c r="AQ142" s="87" t="s">
        <v>771</v>
      </c>
      <c r="AR142" s="87" t="s">
        <v>10076</v>
      </c>
      <c r="AS142" s="87" t="s">
        <v>5854</v>
      </c>
      <c r="AT142" s="87" t="s">
        <v>16928</v>
      </c>
      <c r="AU142" s="87" t="s">
        <v>12321</v>
      </c>
      <c r="AV142" s="87" t="s">
        <v>4698</v>
      </c>
      <c r="AW142" s="457">
        <v>0</v>
      </c>
      <c r="AX142" s="630" t="str">
        <f t="shared" si="109"/>
        <v/>
      </c>
      <c r="AY142" s="630" t="str">
        <f t="shared" si="110"/>
        <v/>
      </c>
      <c r="AZ142" s="630" t="str">
        <f t="shared" si="111"/>
        <v/>
      </c>
      <c r="BA142" s="3"/>
      <c r="BB142" s="3"/>
      <c r="BC142" s="3"/>
      <c r="BD142" s="3"/>
      <c r="BE142" s="3"/>
      <c r="BF142" s="3"/>
      <c r="BG142" s="3"/>
      <c r="BH142" s="3"/>
      <c r="BI142" s="3"/>
      <c r="BJ142" s="3"/>
      <c r="BK142" s="3"/>
      <c r="BL142" s="3"/>
      <c r="BM142" s="3"/>
      <c r="BN142" s="3"/>
      <c r="BP142" s="3"/>
      <c r="BR142" s="3"/>
      <c r="BS142" s="3"/>
      <c r="BT142" s="3"/>
      <c r="BU142" s="3"/>
      <c r="BV142" s="3"/>
      <c r="BW142" s="3"/>
      <c r="BX142" s="83" t="str">
        <f>IF(Province="Bur-Shitrak","Petite communauté de Bur-Shitrakl","")</f>
        <v/>
      </c>
      <c r="BY142" t="str">
        <f t="shared" si="108"/>
        <v/>
      </c>
      <c r="BZ142" s="83" t="str">
        <f t="shared" si="100"/>
        <v/>
      </c>
      <c r="CA142" s="83" t="str">
        <f t="shared" si="101"/>
        <v/>
      </c>
      <c r="CB142" s="530" t="str">
        <f t="shared" si="102"/>
        <v/>
      </c>
      <c r="CC142" s="3" t="s">
        <v>3303</v>
      </c>
      <c r="CD142" s="3" t="s">
        <v>1071</v>
      </c>
      <c r="CG142" s="3" t="s">
        <v>6235</v>
      </c>
      <c r="CH142" s="3" t="s">
        <v>6016</v>
      </c>
      <c r="CI142" s="3"/>
      <c r="CJ142" s="3"/>
      <c r="CK142" s="3" t="s">
        <v>6943</v>
      </c>
      <c r="CM142" t="s">
        <v>10331</v>
      </c>
      <c r="CN142" s="3"/>
      <c r="CO142" s="3" t="str">
        <f>CONCATENATE("Ginar",IF(AND('page 1'!M11="Féminin",Pays="Norsca"),"dottir",IF(AND('page 1'!M11="Masculin",Pays="Norsca"),"son",IF(AND('page 1'!M11="Féminin",Pays="Kislev"),"ovna",IF(AND('page 1'!M11="Masculin",Pays="Kislev"),"sky","")))))</f>
        <v>Ginar</v>
      </c>
      <c r="CP142" s="3"/>
      <c r="CQ142" s="3"/>
      <c r="CR142" s="3" t="s">
        <v>13512</v>
      </c>
      <c r="CS142" s="3"/>
      <c r="CT142" s="3"/>
      <c r="CU142" s="3"/>
      <c r="CV142" s="3"/>
      <c r="CW142" s="3"/>
      <c r="CX142" s="3"/>
      <c r="CY142" s="83" t="s">
        <v>10818</v>
      </c>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t="s">
        <v>3041</v>
      </c>
      <c r="EA142" s="83" t="s">
        <v>4544</v>
      </c>
      <c r="EB142" s="3"/>
      <c r="ED142" s="83" t="s">
        <v>15395</v>
      </c>
      <c r="EE142" s="83" t="s">
        <v>9450</v>
      </c>
      <c r="EF142" s="561" t="s">
        <v>9564</v>
      </c>
      <c r="EK142" s="874"/>
      <c r="EM142" s="90" t="s">
        <v>3029</v>
      </c>
      <c r="EN142" s="83" t="s">
        <v>5015</v>
      </c>
      <c r="EO142" s="84" t="s">
        <v>5225</v>
      </c>
      <c r="EP142" t="s">
        <v>5188</v>
      </c>
      <c r="EU142" s="177" t="str">
        <f>IF(Dieu="Tor","Initié","")</f>
        <v/>
      </c>
      <c r="EV142" s="83" t="str">
        <f t="shared" si="99"/>
        <v/>
      </c>
      <c r="EW142" s="83" t="str">
        <f t="shared" si="103"/>
        <v/>
      </c>
      <c r="EX142" s="530" t="str">
        <f t="shared" si="104"/>
        <v/>
      </c>
      <c r="EY142" s="83" t="s">
        <v>816</v>
      </c>
      <c r="EZ142" s="530" t="s">
        <v>13207</v>
      </c>
      <c r="FB142" s="83" t="s">
        <v>13199</v>
      </c>
      <c r="FC142" s="133" t="s">
        <v>7362</v>
      </c>
      <c r="FD142" s="85" t="s">
        <v>12985</v>
      </c>
      <c r="FE142" s="849">
        <v>31</v>
      </c>
      <c r="FF142">
        <v>15</v>
      </c>
      <c r="FG142">
        <v>0</v>
      </c>
      <c r="FH142">
        <v>18</v>
      </c>
      <c r="FI142">
        <v>20</v>
      </c>
      <c r="FJ142" s="10">
        <v>40</v>
      </c>
      <c r="FK142">
        <v>10</v>
      </c>
      <c r="FL142">
        <v>20</v>
      </c>
      <c r="FM142" s="165">
        <v>0</v>
      </c>
      <c r="FN142" s="88">
        <v>1</v>
      </c>
      <c r="FO142" s="88">
        <v>6</v>
      </c>
      <c r="FP142" s="164">
        <f>ROUNDDOWN(FH142/10,0)</f>
        <v>1</v>
      </c>
      <c r="FQ142" s="164">
        <f>ROUNDDOWN(FI142/10,0)</f>
        <v>2</v>
      </c>
      <c r="FR142" s="682">
        <v>6</v>
      </c>
      <c r="FS142" s="88">
        <v>0</v>
      </c>
      <c r="FT142" s="88">
        <v>0</v>
      </c>
      <c r="FU142" s="165">
        <v>0</v>
      </c>
      <c r="FV142" s="83" t="s">
        <v>12986</v>
      </c>
      <c r="FW142" s="83" t="s">
        <v>12997</v>
      </c>
      <c r="FX142" s="530" t="s">
        <v>7657</v>
      </c>
      <c r="GA142" s="83" t="s">
        <v>7353</v>
      </c>
      <c r="GE142" s="356"/>
      <c r="GF142" t="s">
        <v>7733</v>
      </c>
      <c r="GG142" s="356" t="s">
        <v>8956</v>
      </c>
      <c r="GH142" s="83" t="s">
        <v>8948</v>
      </c>
      <c r="GI142" s="83" t="s">
        <v>8937</v>
      </c>
      <c r="GJ142" s="83"/>
      <c r="GK142" s="530"/>
    </row>
    <row r="143" spans="8:193" ht="13.2" customHeight="1">
      <c r="H143" s="3"/>
      <c r="I143" s="3"/>
      <c r="J143" s="3"/>
      <c r="K143" s="3"/>
      <c r="L143" s="3"/>
      <c r="M143" s="651"/>
      <c r="N143" s="3"/>
      <c r="O143" s="3"/>
      <c r="P143" s="3"/>
      <c r="Q143" s="3"/>
      <c r="R143" s="651"/>
      <c r="S143" s="83" t="str">
        <f>IF(CareerType=Y143,"Escroc",IF(AllCareers="X","Escroc",IF(OR(Selectsousrace="",Pays="Vampire",SelectRace="homme-bête",SelectRace="peau-verte",SelectRace="créature du chaos",SelectRace="Homme-lézard"),"","Escroc")))</f>
        <v/>
      </c>
      <c r="T143" s="106">
        <f t="shared" si="112"/>
        <v>0</v>
      </c>
      <c r="U143" s="693" t="str">
        <f t="shared" si="105"/>
        <v/>
      </c>
      <c r="V143" s="693" t="str">
        <f t="shared" si="106"/>
        <v/>
      </c>
      <c r="W143" s="693" t="str">
        <f t="shared" si="107"/>
        <v/>
      </c>
      <c r="X143" s="47" t="s">
        <v>2160</v>
      </c>
      <c r="Y143" s="743" t="s">
        <v>7133</v>
      </c>
      <c r="Z143" s="55" t="s">
        <v>2200</v>
      </c>
      <c r="AA143" s="47">
        <v>42</v>
      </c>
      <c r="AB143" s="47" t="s">
        <v>2300</v>
      </c>
      <c r="AC143" s="47">
        <v>178</v>
      </c>
      <c r="AD143" s="20" t="s">
        <v>114</v>
      </c>
      <c r="AE143" s="20" t="s">
        <v>114</v>
      </c>
      <c r="AF143" s="15" t="s">
        <v>149</v>
      </c>
      <c r="AG143" s="15" t="s">
        <v>149</v>
      </c>
      <c r="AH143" s="15" t="s">
        <v>98</v>
      </c>
      <c r="AI143" s="20" t="s">
        <v>114</v>
      </c>
      <c r="AJ143" s="20" t="s">
        <v>114</v>
      </c>
      <c r="AK143" s="18" t="s">
        <v>98</v>
      </c>
      <c r="AL143" s="15" t="s">
        <v>149</v>
      </c>
      <c r="AM143" s="15" t="s">
        <v>113</v>
      </c>
      <c r="AN143" s="15" t="s">
        <v>149</v>
      </c>
      <c r="AO143" s="15" t="s">
        <v>149</v>
      </c>
      <c r="AP143" s="87" t="s">
        <v>14859</v>
      </c>
      <c r="AQ143" s="87" t="s">
        <v>5575</v>
      </c>
      <c r="AR143" s="87" t="s">
        <v>15750</v>
      </c>
      <c r="AS143" s="87" t="s">
        <v>734</v>
      </c>
      <c r="AT143" s="87" t="s">
        <v>16930</v>
      </c>
      <c r="AU143" s="87" t="s">
        <v>16931</v>
      </c>
      <c r="AV143" s="87" t="s">
        <v>4571</v>
      </c>
      <c r="AW143" s="457">
        <f ca="1">RANDBETWEEN(1,10)</f>
        <v>9</v>
      </c>
      <c r="AX143" s="630" t="str">
        <f t="shared" si="109"/>
        <v/>
      </c>
      <c r="AY143" s="630" t="str">
        <f t="shared" si="110"/>
        <v/>
      </c>
      <c r="AZ143" s="630" t="str">
        <f t="shared" si="111"/>
        <v/>
      </c>
      <c r="BA143" s="3"/>
      <c r="BB143" s="3"/>
      <c r="BC143" s="3"/>
      <c r="BD143" s="3"/>
      <c r="BE143" s="3"/>
      <c r="BF143" s="3"/>
      <c r="BG143" s="3"/>
      <c r="BH143" s="3"/>
      <c r="BI143" s="3"/>
      <c r="BJ143" s="3"/>
      <c r="BK143" s="3"/>
      <c r="BL143" s="3"/>
      <c r="BM143" s="3"/>
      <c r="BN143" s="3"/>
      <c r="BP143" s="3"/>
      <c r="BR143" s="3"/>
      <c r="BS143" s="3"/>
      <c r="BT143" s="3"/>
      <c r="BU143" s="3"/>
      <c r="BV143" s="3"/>
      <c r="BW143" s="3"/>
      <c r="BX143" s="83" t="str">
        <f>IF(Province="Copher","Petite communauté de Copher","")</f>
        <v/>
      </c>
      <c r="BY143" t="str">
        <f t="shared" si="108"/>
        <v/>
      </c>
      <c r="BZ143" s="83" t="str">
        <f t="shared" si="100"/>
        <v/>
      </c>
      <c r="CA143" s="83" t="str">
        <f t="shared" si="101"/>
        <v/>
      </c>
      <c r="CB143" s="530" t="str">
        <f t="shared" si="102"/>
        <v/>
      </c>
      <c r="CC143" s="83" t="s">
        <v>15167</v>
      </c>
      <c r="CD143" s="83" t="s">
        <v>10205</v>
      </c>
      <c r="CG143" s="3" t="s">
        <v>6236</v>
      </c>
      <c r="CH143" s="3" t="s">
        <v>6017</v>
      </c>
      <c r="CI143" s="3"/>
      <c r="CJ143" s="3"/>
      <c r="CK143" s="3" t="s">
        <v>6832</v>
      </c>
      <c r="CM143" t="s">
        <v>6195</v>
      </c>
      <c r="CN143" s="3"/>
      <c r="CO143" s="3" t="s">
        <v>10979</v>
      </c>
      <c r="CP143" s="3"/>
      <c r="CQ143" s="3"/>
      <c r="CR143" s="3" t="s">
        <v>13513</v>
      </c>
      <c r="CS143" s="3"/>
      <c r="CT143" s="3"/>
      <c r="CU143" s="3"/>
      <c r="CV143" s="3"/>
      <c r="CW143" s="3"/>
      <c r="CX143" s="3"/>
      <c r="CY143" s="39" t="s">
        <v>258</v>
      </c>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t="s">
        <v>3042</v>
      </c>
      <c r="EA143" s="83" t="s">
        <v>4544</v>
      </c>
      <c r="EB143" s="3"/>
      <c r="ED143" s="83" t="s">
        <v>12770</v>
      </c>
      <c r="EE143" s="83" t="s">
        <v>9450</v>
      </c>
      <c r="EF143" s="561" t="s">
        <v>12771</v>
      </c>
      <c r="EK143" s="874"/>
      <c r="EM143" s="90" t="s">
        <v>5195</v>
      </c>
      <c r="EN143" s="83" t="s">
        <v>5015</v>
      </c>
      <c r="EO143" s="83" t="s">
        <v>5224</v>
      </c>
      <c r="EP143" t="s">
        <v>5188</v>
      </c>
      <c r="EU143" s="177" t="str">
        <f>IF(AND(Dieu="Tor",'page 1'!M11="Masculin"),"Prêtre","")</f>
        <v/>
      </c>
      <c r="EV143" s="83" t="str">
        <f t="shared" si="99"/>
        <v/>
      </c>
      <c r="EW143" s="83" t="str">
        <f t="shared" si="103"/>
        <v/>
      </c>
      <c r="EX143" s="530" t="str">
        <f t="shared" si="104"/>
        <v/>
      </c>
      <c r="EY143" s="83" t="s">
        <v>12388</v>
      </c>
      <c r="FB143" s="83" t="s">
        <v>9541</v>
      </c>
      <c r="FC143" s="133" t="s">
        <v>7362</v>
      </c>
      <c r="FD143" s="85" t="s">
        <v>12985</v>
      </c>
      <c r="FE143" s="849">
        <v>25</v>
      </c>
      <c r="FF143">
        <v>23</v>
      </c>
      <c r="FG143">
        <v>0</v>
      </c>
      <c r="FH143">
        <v>36</v>
      </c>
      <c r="FI143">
        <v>42</v>
      </c>
      <c r="FJ143" s="10">
        <v>30</v>
      </c>
      <c r="FK143">
        <v>14</v>
      </c>
      <c r="FL143">
        <v>15</v>
      </c>
      <c r="FM143" s="165">
        <v>0</v>
      </c>
      <c r="FN143" s="88">
        <v>1</v>
      </c>
      <c r="FO143" s="88">
        <v>11</v>
      </c>
      <c r="FP143" s="164">
        <f>ROUNDDOWN(FH143/10,0)</f>
        <v>3</v>
      </c>
      <c r="FQ143" s="164">
        <f>ROUNDDOWN(FI143/10,0)</f>
        <v>4</v>
      </c>
      <c r="FR143" s="682">
        <v>6</v>
      </c>
      <c r="FS143" s="88">
        <v>0</v>
      </c>
      <c r="FT143" s="88">
        <v>0</v>
      </c>
      <c r="FU143" s="165">
        <v>0</v>
      </c>
      <c r="FV143" s="83" t="s">
        <v>13009</v>
      </c>
      <c r="FW143" s="83" t="s">
        <v>13010</v>
      </c>
      <c r="FX143" s="567" t="s">
        <v>7659</v>
      </c>
      <c r="GA143" s="83" t="s">
        <v>7597</v>
      </c>
      <c r="GE143" s="356"/>
      <c r="GF143" t="s">
        <v>8243</v>
      </c>
      <c r="GG143" s="356" t="s">
        <v>8957</v>
      </c>
      <c r="GH143" s="83" t="s">
        <v>8948</v>
      </c>
      <c r="GI143" s="83" t="s">
        <v>8937</v>
      </c>
      <c r="GJ143" s="83"/>
      <c r="GK143" s="530"/>
    </row>
    <row r="144" spans="8:193" ht="13.2" customHeight="1">
      <c r="H144" s="3"/>
      <c r="I144" s="3"/>
      <c r="J144" s="3"/>
      <c r="K144" s="3"/>
      <c r="L144" s="3"/>
      <c r="M144" s="651"/>
      <c r="N144" s="3"/>
      <c r="O144" s="3"/>
      <c r="P144" s="3"/>
      <c r="Q144" s="3"/>
      <c r="R144" s="651"/>
      <c r="S144" s="83" t="str">
        <f>IF(CareerType=Y144,"Espion",IF(AllCareers="X","Espion",IF(SelectRace="skaven","Espion",IF(OR(SelectRace="homme-bête",SelectRace="peau-verte",SelectRace="créature du chaos",SelectRace="Homme-lézard",SelectRace=""),"",IF(FirstCareer="1ère carrière","","Espion")))))</f>
        <v/>
      </c>
      <c r="T144" s="106">
        <v>2</v>
      </c>
      <c r="U144" s="693" t="str">
        <f t="shared" si="105"/>
        <v/>
      </c>
      <c r="V144" s="693" t="str">
        <f t="shared" si="106"/>
        <v/>
      </c>
      <c r="W144" s="693" t="str">
        <f t="shared" si="107"/>
        <v/>
      </c>
      <c r="X144" s="47" t="s">
        <v>2153</v>
      </c>
      <c r="Y144" s="743" t="s">
        <v>7134</v>
      </c>
      <c r="Z144" s="55" t="s">
        <v>2200</v>
      </c>
      <c r="AA144" s="47">
        <v>71</v>
      </c>
      <c r="AB144" s="47" t="s">
        <v>2301</v>
      </c>
      <c r="AC144" s="47">
        <v>197</v>
      </c>
      <c r="AD144" s="15" t="s">
        <v>101</v>
      </c>
      <c r="AE144" s="15" t="s">
        <v>101</v>
      </c>
      <c r="AF144" s="20" t="s">
        <v>114</v>
      </c>
      <c r="AG144" s="15" t="s">
        <v>98</v>
      </c>
      <c r="AH144" s="15" t="s">
        <v>100</v>
      </c>
      <c r="AI144" s="15" t="s">
        <v>100</v>
      </c>
      <c r="AJ144" s="15" t="s">
        <v>119</v>
      </c>
      <c r="AK144" s="18" t="s">
        <v>100</v>
      </c>
      <c r="AL144" s="15" t="s">
        <v>102</v>
      </c>
      <c r="AM144" s="15" t="s">
        <v>103</v>
      </c>
      <c r="AN144" s="15" t="s">
        <v>149</v>
      </c>
      <c r="AO144" s="15" t="s">
        <v>149</v>
      </c>
      <c r="AP144" s="87" t="s">
        <v>16933</v>
      </c>
      <c r="AQ144" s="87" t="s">
        <v>8761</v>
      </c>
      <c r="AR144" s="87" t="s">
        <v>15680</v>
      </c>
      <c r="AS144" s="87" t="s">
        <v>734</v>
      </c>
      <c r="AT144" s="22" t="s">
        <v>3452</v>
      </c>
      <c r="AU144" s="87" t="s">
        <v>16934</v>
      </c>
      <c r="AV144" s="87" t="s">
        <v>4607</v>
      </c>
      <c r="AW144" s="457">
        <v>0</v>
      </c>
      <c r="AX144" s="630" t="str">
        <f t="shared" si="109"/>
        <v/>
      </c>
      <c r="AY144" s="630" t="str">
        <f t="shared" si="110"/>
        <v/>
      </c>
      <c r="AZ144" s="630" t="str">
        <f t="shared" si="111"/>
        <v/>
      </c>
      <c r="BA144" s="3"/>
      <c r="BB144" s="3"/>
      <c r="BC144" s="3"/>
      <c r="BD144" s="3"/>
      <c r="BE144" s="3"/>
      <c r="BF144" s="3"/>
      <c r="BG144" s="3"/>
      <c r="BH144" s="3"/>
      <c r="BI144" s="3"/>
      <c r="BJ144" s="3"/>
      <c r="BK144" s="3"/>
      <c r="BL144" s="3"/>
      <c r="BM144" s="3"/>
      <c r="BN144" s="3"/>
      <c r="BP144" s="3"/>
      <c r="BR144" s="3"/>
      <c r="BS144" s="3"/>
      <c r="BT144" s="3"/>
      <c r="BU144" s="3"/>
      <c r="BV144" s="3"/>
      <c r="BW144" s="3"/>
      <c r="BX144" s="83" t="str">
        <f>IF(Province="Dimashque","Petite communauté de Dimashque","")</f>
        <v/>
      </c>
      <c r="BY144" t="str">
        <f t="shared" si="108"/>
        <v/>
      </c>
      <c r="BZ144" s="83" t="str">
        <f t="shared" si="100"/>
        <v/>
      </c>
      <c r="CA144" s="83" t="str">
        <f t="shared" si="101"/>
        <v/>
      </c>
      <c r="CB144" s="530" t="str">
        <f t="shared" si="102"/>
        <v/>
      </c>
      <c r="CC144" s="3" t="s">
        <v>3304</v>
      </c>
      <c r="CD144" s="3" t="s">
        <v>3204</v>
      </c>
      <c r="CG144" s="3" t="s">
        <v>6237</v>
      </c>
      <c r="CH144" s="3" t="s">
        <v>6018</v>
      </c>
      <c r="CI144" s="3"/>
      <c r="CJ144" s="3"/>
      <c r="CK144" t="s">
        <v>7000</v>
      </c>
      <c r="CM144" t="s">
        <v>10339</v>
      </c>
      <c r="CN144" s="3"/>
      <c r="CO144" s="3" t="s">
        <v>10977</v>
      </c>
      <c r="CP144" s="3"/>
      <c r="CQ144" s="3"/>
      <c r="CR144" s="3" t="s">
        <v>13514</v>
      </c>
      <c r="CS144" s="3"/>
      <c r="CT144" s="3"/>
      <c r="CU144" s="3"/>
      <c r="CV144" s="3"/>
      <c r="CW144" s="3"/>
      <c r="CX144" s="3"/>
      <c r="CY144" s="3" t="s">
        <v>2906</v>
      </c>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t="s">
        <v>3043</v>
      </c>
      <c r="EA144" s="83" t="s">
        <v>4545</v>
      </c>
      <c r="EB144" s="3"/>
      <c r="ED144" s="83" t="s">
        <v>10821</v>
      </c>
      <c r="EE144" s="83" t="s">
        <v>9450</v>
      </c>
      <c r="EF144" s="530" t="s">
        <v>16935</v>
      </c>
      <c r="EK144" s="874"/>
      <c r="EM144" s="90" t="s">
        <v>3037</v>
      </c>
      <c r="EN144" s="83" t="s">
        <v>5015</v>
      </c>
      <c r="EO144" s="83" t="s">
        <v>16936</v>
      </c>
      <c r="EP144" t="s">
        <v>5188</v>
      </c>
      <c r="EU144" s="571" t="str">
        <f>IF(OR(Dieu="Tzeentch",Dieu="Asaph",Dieu="Tchar",Dieu="Ghithutkichi",Dieu="Ikaninushi"),"Duché de Couronne Rouge","")</f>
        <v/>
      </c>
      <c r="EV144" s="83" t="str">
        <f t="shared" si="99"/>
        <v/>
      </c>
      <c r="EW144" s="83" t="str">
        <f t="shared" si="103"/>
        <v/>
      </c>
      <c r="EX144" s="530" t="str">
        <f t="shared" si="104"/>
        <v/>
      </c>
      <c r="EY144" s="83" t="s">
        <v>9530</v>
      </c>
      <c r="EZ144" s="530" t="s">
        <v>9531</v>
      </c>
      <c r="FB144" s="83" t="s">
        <v>13058</v>
      </c>
      <c r="FC144" s="133" t="s">
        <v>7362</v>
      </c>
      <c r="FD144" s="85" t="s">
        <v>12985</v>
      </c>
      <c r="FE144" s="849">
        <v>16</v>
      </c>
      <c r="FF144">
        <v>30</v>
      </c>
      <c r="FG144">
        <v>0</v>
      </c>
      <c r="FH144">
        <v>34</v>
      </c>
      <c r="FI144">
        <v>34</v>
      </c>
      <c r="FJ144" s="10">
        <v>40</v>
      </c>
      <c r="FK144">
        <v>16</v>
      </c>
      <c r="FL144">
        <v>40</v>
      </c>
      <c r="FM144" s="165">
        <v>0</v>
      </c>
      <c r="FN144" s="88">
        <v>1</v>
      </c>
      <c r="FO144" s="88">
        <v>10</v>
      </c>
      <c r="FP144" s="164">
        <f>ROUNDDOWN(FH144/10,0)</f>
        <v>3</v>
      </c>
      <c r="FQ144" s="164">
        <f>ROUNDDOWN(FI144/10,0)</f>
        <v>3</v>
      </c>
      <c r="FR144" s="684">
        <v>10</v>
      </c>
      <c r="FS144" s="167">
        <v>0</v>
      </c>
      <c r="FT144" s="167">
        <v>0</v>
      </c>
      <c r="FU144" s="165">
        <v>0</v>
      </c>
      <c r="FV144" s="83" t="s">
        <v>13074</v>
      </c>
      <c r="FW144" s="83" t="s">
        <v>13063</v>
      </c>
      <c r="FX144" s="530" t="s">
        <v>7659</v>
      </c>
      <c r="GA144" s="83" t="s">
        <v>7642</v>
      </c>
      <c r="GE144" s="356"/>
      <c r="GF144" t="s">
        <v>8220</v>
      </c>
      <c r="GG144" s="356" t="s">
        <v>8952</v>
      </c>
      <c r="GH144" s="83" t="s">
        <v>8948</v>
      </c>
      <c r="GI144" s="83" t="s">
        <v>8937</v>
      </c>
      <c r="GJ144" s="83"/>
      <c r="GK144" s="530"/>
    </row>
    <row r="145" spans="8:193" ht="13.2" customHeight="1">
      <c r="H145" s="3"/>
      <c r="I145" s="3"/>
      <c r="J145" s="3"/>
      <c r="K145" s="3"/>
      <c r="L145" s="3"/>
      <c r="M145" s="651"/>
      <c r="N145" s="3"/>
      <c r="O145" s="3"/>
      <c r="P145" s="3"/>
      <c r="Q145" s="3"/>
      <c r="R145" s="651"/>
      <c r="S145" s="83" t="str">
        <f>IF(CareerType=Y145,"Étudiant",IF(AllCareers="X","Étudiant",IF(OR(Pays="Désolations du Chaos",Pays="Norsca"),"",IF(OR(SelectRace="homme-bête",SelectRace="peau-verte",SelectRace="créature du chaos",SelectRace="Homme-lézard"),"",IF(OR(SelectRace="Elfe",SelectRace="Humain",SelectRace="Nain",Selectsousrace="Halfing",SelectRace="Vampire"),"Étudiant","")))))</f>
        <v/>
      </c>
      <c r="T145" s="106">
        <f>IF(X145="oui",0,1)</f>
        <v>0</v>
      </c>
      <c r="U145" s="693" t="str">
        <f t="shared" si="105"/>
        <v/>
      </c>
      <c r="V145" s="693" t="str">
        <f t="shared" si="106"/>
        <v/>
      </c>
      <c r="W145" s="693" t="str">
        <f t="shared" si="107"/>
        <v/>
      </c>
      <c r="X145" s="47" t="s">
        <v>2160</v>
      </c>
      <c r="Y145" s="743" t="s">
        <v>7131</v>
      </c>
      <c r="Z145" s="55" t="s">
        <v>2200</v>
      </c>
      <c r="AA145" s="47">
        <v>42</v>
      </c>
      <c r="AB145" s="47" t="s">
        <v>2302</v>
      </c>
      <c r="AC145" s="47">
        <v>204</v>
      </c>
      <c r="AD145" s="15" t="s">
        <v>149</v>
      </c>
      <c r="AE145" s="15" t="s">
        <v>149</v>
      </c>
      <c r="AF145" s="15" t="s">
        <v>149</v>
      </c>
      <c r="AG145" s="15" t="s">
        <v>149</v>
      </c>
      <c r="AH145" s="15" t="s">
        <v>98</v>
      </c>
      <c r="AI145" s="15" t="s">
        <v>98</v>
      </c>
      <c r="AJ145" s="20" t="s">
        <v>114</v>
      </c>
      <c r="AK145" s="18" t="s">
        <v>98</v>
      </c>
      <c r="AL145" s="15" t="s">
        <v>149</v>
      </c>
      <c r="AM145" s="15" t="s">
        <v>113</v>
      </c>
      <c r="AN145" s="15" t="s">
        <v>149</v>
      </c>
      <c r="AO145" s="15" t="s">
        <v>149</v>
      </c>
      <c r="AP145" s="87" t="s">
        <v>14860</v>
      </c>
      <c r="AQ145" s="22" t="s">
        <v>15889</v>
      </c>
      <c r="AR145" s="87" t="s">
        <v>15863</v>
      </c>
      <c r="AS145" s="87" t="s">
        <v>15864</v>
      </c>
      <c r="AT145" s="87" t="s">
        <v>16937</v>
      </c>
      <c r="AU145" s="87" t="s">
        <v>16938</v>
      </c>
      <c r="AV145" s="87" t="s">
        <v>4572</v>
      </c>
      <c r="AW145" s="457">
        <v>0</v>
      </c>
      <c r="AX145" s="630" t="str">
        <f t="shared" si="109"/>
        <v/>
      </c>
      <c r="AY145" s="630" t="str">
        <f t="shared" si="110"/>
        <v/>
      </c>
      <c r="AZ145" s="630" t="str">
        <f t="shared" si="111"/>
        <v/>
      </c>
      <c r="BA145" s="3"/>
      <c r="BB145" s="3"/>
      <c r="BC145" s="3"/>
      <c r="BD145" s="3"/>
      <c r="BE145" s="3"/>
      <c r="BF145" s="3"/>
      <c r="BG145" s="3"/>
      <c r="BH145" s="3"/>
      <c r="BI145" s="3"/>
      <c r="BJ145" s="3"/>
      <c r="BK145" s="3"/>
      <c r="BL145" s="3"/>
      <c r="BM145" s="3"/>
      <c r="BN145" s="3"/>
      <c r="BP145" s="3"/>
      <c r="BR145" s="3"/>
      <c r="BS145" s="3"/>
      <c r="BT145" s="3"/>
      <c r="BU145" s="3"/>
      <c r="BV145" s="3"/>
      <c r="BW145" s="3"/>
      <c r="BX145" t="str">
        <f>IF(Province="Djambiya","Petite communauté de Djambiya","")</f>
        <v/>
      </c>
      <c r="BY145" t="str">
        <f t="shared" si="108"/>
        <v/>
      </c>
      <c r="BZ145" s="83" t="str">
        <f t="shared" si="100"/>
        <v/>
      </c>
      <c r="CA145" s="83" t="str">
        <f t="shared" si="101"/>
        <v/>
      </c>
      <c r="CB145" s="530" t="str">
        <f t="shared" si="102"/>
        <v/>
      </c>
      <c r="CC145" s="3" t="s">
        <v>3305</v>
      </c>
      <c r="CD145" s="3" t="s">
        <v>3205</v>
      </c>
      <c r="CG145" s="3" t="s">
        <v>889</v>
      </c>
      <c r="CH145" s="3" t="s">
        <v>3120</v>
      </c>
      <c r="CI145" s="3"/>
      <c r="CJ145" s="3"/>
      <c r="CK145" s="83" t="s">
        <v>15050</v>
      </c>
      <c r="CM145" t="s">
        <v>10338</v>
      </c>
      <c r="CN145" s="3"/>
      <c r="CO145" s="3" t="str">
        <f>CONCATENATE("Godrik",IF(AND('page 1'!M11="Féminin",Pays="Norsca"),"dottir",IF(AND('page 1'!M11="Masculin",Pays="Norsca"),"son",IF(AND('page 1'!M11="Féminin",Pays="Kislev"),"ovna",IF(AND('page 1'!M11="Masculin",Pays="Kislev"),"sky","")))))</f>
        <v>Godrik</v>
      </c>
      <c r="CP145" s="3"/>
      <c r="CQ145" s="3"/>
      <c r="CR145" s="3" t="s">
        <v>13515</v>
      </c>
      <c r="CS145" s="3"/>
      <c r="CT145" s="3"/>
      <c r="CU145" s="3"/>
      <c r="CV145" s="3"/>
      <c r="CW145" s="3"/>
      <c r="CX145" s="3"/>
      <c r="CY145" s="3" t="s">
        <v>837</v>
      </c>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t="s">
        <v>3044</v>
      </c>
      <c r="EA145" s="83" t="s">
        <v>4545</v>
      </c>
      <c r="EB145" s="3"/>
      <c r="ED145" s="83" t="s">
        <v>12796</v>
      </c>
      <c r="EE145" s="83" t="s">
        <v>9450</v>
      </c>
      <c r="EF145" s="530" t="s">
        <v>16939</v>
      </c>
      <c r="EK145" s="874"/>
      <c r="EM145" s="90" t="s">
        <v>5196</v>
      </c>
      <c r="EN145" s="83" t="s">
        <v>5015</v>
      </c>
      <c r="EO145" s="83" t="s">
        <v>5223</v>
      </c>
      <c r="EP145" t="s">
        <v>5209</v>
      </c>
      <c r="EU145" s="571" t="str">
        <f>IF(OR(Dieu="Tzeentch",Dieu="Asaph",Dieu="Tchar",Dieu="Ghithutkichi",Dieu="Ikaninushi"),"Main Pourpre","")</f>
        <v/>
      </c>
      <c r="EV145" s="83" t="str">
        <f t="shared" si="99"/>
        <v/>
      </c>
      <c r="EW145" s="83" t="str">
        <f t="shared" si="103"/>
        <v/>
      </c>
      <c r="EX145" s="530" t="str">
        <f t="shared" si="104"/>
        <v/>
      </c>
      <c r="EY145" s="83" t="s">
        <v>16940</v>
      </c>
      <c r="EZ145" s="530" t="s">
        <v>9518</v>
      </c>
      <c r="FB145" s="83" t="s">
        <v>17603</v>
      </c>
      <c r="FC145" s="133" t="s">
        <v>7362</v>
      </c>
      <c r="FD145" t="s">
        <v>7230</v>
      </c>
      <c r="FE145" s="849">
        <v>132</v>
      </c>
      <c r="FF145">
        <v>35</v>
      </c>
      <c r="FG145">
        <v>0</v>
      </c>
      <c r="FH145">
        <v>36</v>
      </c>
      <c r="FI145">
        <v>40</v>
      </c>
      <c r="FJ145" s="10">
        <v>30</v>
      </c>
      <c r="FK145">
        <v>6</v>
      </c>
      <c r="FL145">
        <v>12</v>
      </c>
      <c r="FM145" s="165">
        <v>0</v>
      </c>
      <c r="FN145" s="88">
        <v>1</v>
      </c>
      <c r="FO145" s="88">
        <v>13</v>
      </c>
      <c r="FP145" s="691">
        <f>ROUNDDOWN(FH145/10,0)</f>
        <v>3</v>
      </c>
      <c r="FQ145" s="691">
        <f>ROUNDDOWN(FI145/10,0)</f>
        <v>4</v>
      </c>
      <c r="FR145" s="10">
        <v>6</v>
      </c>
      <c r="FS145" s="88">
        <v>0</v>
      </c>
      <c r="FT145" s="88">
        <v>0</v>
      </c>
      <c r="FU145" s="165">
        <v>0</v>
      </c>
      <c r="FV145" s="83" t="s">
        <v>14999</v>
      </c>
      <c r="FW145" t="s">
        <v>7226</v>
      </c>
      <c r="FX145" s="530" t="s">
        <v>7657</v>
      </c>
      <c r="GA145" s="83" t="s">
        <v>7587</v>
      </c>
      <c r="GE145" s="356"/>
      <c r="GF145" s="83" t="s">
        <v>16941</v>
      </c>
      <c r="GG145" s="356" t="s">
        <v>8955</v>
      </c>
      <c r="GH145" s="83" t="s">
        <v>8948</v>
      </c>
      <c r="GI145" s="83" t="s">
        <v>8937</v>
      </c>
      <c r="GJ145" s="83"/>
      <c r="GK145" s="530"/>
    </row>
    <row r="146" spans="8:193" ht="13.2" customHeight="1">
      <c r="H146" s="3"/>
      <c r="I146" s="3"/>
      <c r="J146" s="3"/>
      <c r="K146" s="3"/>
      <c r="L146" s="3"/>
      <c r="M146" s="651"/>
      <c r="N146" s="3"/>
      <c r="O146" s="3"/>
      <c r="P146" s="3"/>
      <c r="Q146" s="3"/>
      <c r="R146" s="651"/>
      <c r="S146" s="83" t="str">
        <f>IF(CareerType=Y146,"Eunuque",IF(AllCareers="X","Eunuque",IF(OR(SelectRace="skaven",SelectRace="Homme-lézard"),"",IF(Pays="Arabie","Eunuque",""))))</f>
        <v/>
      </c>
      <c r="T146" s="106">
        <f>IF(X146="oui",0,1)</f>
        <v>0</v>
      </c>
      <c r="U146" s="693" t="str">
        <f t="shared" si="105"/>
        <v/>
      </c>
      <c r="V146" s="693" t="str">
        <f t="shared" si="106"/>
        <v/>
      </c>
      <c r="W146" s="693" t="str">
        <f t="shared" si="107"/>
        <v/>
      </c>
      <c r="X146" s="89" t="s">
        <v>2160</v>
      </c>
      <c r="Y146" s="743" t="s">
        <v>7132</v>
      </c>
      <c r="Z146" s="56" t="s">
        <v>9975</v>
      </c>
      <c r="AA146" s="89">
        <v>236</v>
      </c>
      <c r="AB146" s="89" t="s">
        <v>10035</v>
      </c>
      <c r="AD146" s="105" t="s">
        <v>98</v>
      </c>
      <c r="AE146" s="105" t="s">
        <v>149</v>
      </c>
      <c r="AF146" s="105" t="s">
        <v>98</v>
      </c>
      <c r="AG146" s="105" t="s">
        <v>98</v>
      </c>
      <c r="AH146" s="105" t="s">
        <v>149</v>
      </c>
      <c r="AI146" s="105" t="s">
        <v>149</v>
      </c>
      <c r="AJ146" s="105" t="s">
        <v>98</v>
      </c>
      <c r="AK146" s="443" t="s">
        <v>149</v>
      </c>
      <c r="AL146" s="105" t="s">
        <v>149</v>
      </c>
      <c r="AM146" s="105" t="s">
        <v>115</v>
      </c>
      <c r="AN146" s="105" t="s">
        <v>149</v>
      </c>
      <c r="AO146" s="105" t="s">
        <v>149</v>
      </c>
      <c r="AP146" s="87" t="s">
        <v>14822</v>
      </c>
      <c r="AQ146" s="87" t="s">
        <v>734</v>
      </c>
      <c r="AR146" s="87" t="s">
        <v>10074</v>
      </c>
      <c r="AS146" s="87" t="s">
        <v>734</v>
      </c>
      <c r="AT146" s="87" t="s">
        <v>16942</v>
      </c>
      <c r="AU146" s="87" t="s">
        <v>10075</v>
      </c>
      <c r="AV146" s="87" t="s">
        <v>4698</v>
      </c>
      <c r="AW146" s="458">
        <v>0</v>
      </c>
      <c r="AX146" s="630" t="str">
        <f t="shared" si="109"/>
        <v/>
      </c>
      <c r="AY146" s="630" t="str">
        <f t="shared" si="110"/>
        <v/>
      </c>
      <c r="AZ146" s="630" t="str">
        <f t="shared" si="111"/>
        <v/>
      </c>
      <c r="BA146" s="3"/>
      <c r="BB146" s="3"/>
      <c r="BC146" s="3"/>
      <c r="BD146" s="3"/>
      <c r="BE146" s="3"/>
      <c r="BF146" s="3"/>
      <c r="BG146" s="3"/>
      <c r="BH146" s="3"/>
      <c r="BI146" s="3"/>
      <c r="BJ146" s="3"/>
      <c r="BK146" s="3"/>
      <c r="BL146" s="3"/>
      <c r="BM146" s="3"/>
      <c r="BN146" s="3"/>
      <c r="BP146" s="3"/>
      <c r="BR146" s="3"/>
      <c r="BS146" s="3"/>
      <c r="BT146" s="3"/>
      <c r="BU146" s="3"/>
      <c r="BV146" s="3"/>
      <c r="BW146" s="3"/>
      <c r="BX146" s="83" t="str">
        <f>IF(Province="El Kabbath","Petite communauté d'El Kabbath","")</f>
        <v/>
      </c>
      <c r="BY146" t="str">
        <f t="shared" si="108"/>
        <v/>
      </c>
      <c r="BZ146" s="83" t="str">
        <f t="shared" si="100"/>
        <v/>
      </c>
      <c r="CA146" s="83" t="str">
        <f t="shared" si="101"/>
        <v/>
      </c>
      <c r="CB146" s="530" t="str">
        <f t="shared" si="102"/>
        <v/>
      </c>
      <c r="CC146" s="3" t="s">
        <v>3306</v>
      </c>
      <c r="CD146" s="3" t="s">
        <v>3206</v>
      </c>
      <c r="CG146" s="3" t="s">
        <v>6238</v>
      </c>
      <c r="CH146" s="3" t="s">
        <v>6019</v>
      </c>
      <c r="CI146" s="3"/>
      <c r="CJ146" s="3"/>
      <c r="CK146" s="3" t="s">
        <v>6909</v>
      </c>
      <c r="CM146" s="3" t="s">
        <v>6638</v>
      </c>
      <c r="CN146" s="3"/>
      <c r="CO146" s="3" t="str">
        <f>CONCATENATE("Gold",IF(AND('page 1'!M11="Féminin",Pays="Norsca"),"dottir",IF(AND('page 1'!M11="Masculin",Pays="Norsca"),"son",IF(AND('page 1'!M11="Féminin",Pays="Kislev"),"ovna",IF(AND('page 1'!M11="Masculin",Pays="Kislev"),"sky","")))))</f>
        <v>Gold</v>
      </c>
      <c r="CP146" s="3"/>
      <c r="CQ146" s="3"/>
      <c r="CR146" s="3" t="s">
        <v>13516</v>
      </c>
      <c r="CS146" s="3"/>
      <c r="CT146" s="3"/>
      <c r="CU146" s="3"/>
      <c r="CV146" s="3"/>
      <c r="CW146" s="3"/>
      <c r="CX146" s="3"/>
      <c r="CY146" s="3" t="s">
        <v>2903</v>
      </c>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t="s">
        <v>3045</v>
      </c>
      <c r="EA146" s="83" t="s">
        <v>4545</v>
      </c>
      <c r="EB146" s="3"/>
      <c r="ED146" s="83" t="s">
        <v>12203</v>
      </c>
      <c r="EE146" s="83" t="s">
        <v>9450</v>
      </c>
      <c r="EF146" s="530" t="s">
        <v>15525</v>
      </c>
      <c r="EK146" s="874"/>
      <c r="EM146" s="90" t="s">
        <v>5197</v>
      </c>
      <c r="EN146" s="83" t="s">
        <v>5015</v>
      </c>
      <c r="EO146" s="83" t="s">
        <v>5222</v>
      </c>
      <c r="EP146" t="s">
        <v>5209</v>
      </c>
      <c r="EU146" s="177" t="str">
        <f>IF(Dieu="Ulric","Aucun Ordre","")</f>
        <v/>
      </c>
      <c r="EV146" s="83" t="str">
        <f t="shared" si="99"/>
        <v/>
      </c>
      <c r="EW146" s="83" t="str">
        <f t="shared" si="103"/>
        <v/>
      </c>
      <c r="EX146" s="530" t="str">
        <f t="shared" si="104"/>
        <v/>
      </c>
      <c r="EY146" s="83" t="s">
        <v>12389</v>
      </c>
      <c r="EZ146" s="530" t="s">
        <v>254</v>
      </c>
      <c r="FB146" s="83" t="s">
        <v>16929</v>
      </c>
      <c r="FC146" s="133" t="s">
        <v>7362</v>
      </c>
      <c r="FD146" s="83" t="s">
        <v>9703</v>
      </c>
      <c r="FE146" s="849">
        <v>335</v>
      </c>
      <c r="FF146">
        <v>35</v>
      </c>
      <c r="FG146" s="83">
        <v>0</v>
      </c>
      <c r="FH146">
        <v>51</v>
      </c>
      <c r="FI146">
        <v>56</v>
      </c>
      <c r="FJ146" s="10">
        <v>10</v>
      </c>
      <c r="FK146">
        <v>19</v>
      </c>
      <c r="FL146">
        <v>25</v>
      </c>
      <c r="FM146" s="165">
        <v>20</v>
      </c>
      <c r="FN146" s="88">
        <v>2</v>
      </c>
      <c r="FO146" s="88">
        <v>20</v>
      </c>
      <c r="FP146" s="164">
        <f>ROUNDDOWN(FH146/10,0)</f>
        <v>5</v>
      </c>
      <c r="FQ146" s="164">
        <f>ROUNDDOWN(FI146/10,0)</f>
        <v>5</v>
      </c>
      <c r="FR146" s="682">
        <v>8</v>
      </c>
      <c r="FS146" s="88">
        <v>0</v>
      </c>
      <c r="FT146" s="88">
        <v>0</v>
      </c>
      <c r="FU146" s="165">
        <v>0</v>
      </c>
      <c r="FV146" s="83" t="s">
        <v>9925</v>
      </c>
      <c r="FW146" s="83" t="s">
        <v>13227</v>
      </c>
      <c r="FX146" s="567" t="s">
        <v>7659</v>
      </c>
      <c r="GA146" t="s">
        <v>7537</v>
      </c>
      <c r="GE146" s="356"/>
      <c r="GF146" t="s">
        <v>6164</v>
      </c>
      <c r="GG146" s="356" t="s">
        <v>8958</v>
      </c>
      <c r="GH146" s="83" t="s">
        <v>8948</v>
      </c>
      <c r="GI146" s="83" t="s">
        <v>8937</v>
      </c>
      <c r="GJ146" s="83"/>
      <c r="GK146" s="530"/>
    </row>
    <row r="147" spans="8:193" ht="13.2" customHeight="1">
      <c r="H147" s="3"/>
      <c r="I147" s="3"/>
      <c r="J147" s="3"/>
      <c r="K147" s="3"/>
      <c r="L147" s="3"/>
      <c r="M147" s="651"/>
      <c r="N147" s="3"/>
      <c r="O147" s="3"/>
      <c r="P147" s="3"/>
      <c r="Q147" s="3"/>
      <c r="R147" s="651"/>
      <c r="S147" s="83" t="str">
        <f>IF(CareerType=Y147,"Esclavagiste skaven",IF(AllCareers="X","Exclavagiste Skaven",IF(Selectsousrace="","",IF(FirstCareer="1ère carrière","",IF(SelectRace="skaven","","Esclavagiste skaven")))))</f>
        <v/>
      </c>
      <c r="T147" s="106">
        <f>IF(X147="oui",0,1)</f>
        <v>1</v>
      </c>
      <c r="U147" s="693" t="str">
        <f t="shared" si="105"/>
        <v/>
      </c>
      <c r="V147" s="693" t="str">
        <f t="shared" si="106"/>
        <v/>
      </c>
      <c r="W147" s="693" t="str">
        <f t="shared" si="107"/>
        <v/>
      </c>
      <c r="X147" s="47" t="s">
        <v>2153</v>
      </c>
      <c r="Y147" s="743" t="s">
        <v>7133</v>
      </c>
      <c r="Z147" s="55" t="s">
        <v>2196</v>
      </c>
      <c r="AA147" s="47">
        <v>156</v>
      </c>
      <c r="AB147" s="47" t="s">
        <v>2297</v>
      </c>
      <c r="AC147" s="47">
        <v>194</v>
      </c>
      <c r="AD147" s="15" t="s">
        <v>100</v>
      </c>
      <c r="AE147" s="15" t="s">
        <v>100</v>
      </c>
      <c r="AF147" s="15" t="s">
        <v>100</v>
      </c>
      <c r="AG147" s="15" t="s">
        <v>149</v>
      </c>
      <c r="AH147" s="15" t="s">
        <v>98</v>
      </c>
      <c r="AI147" s="15" t="s">
        <v>149</v>
      </c>
      <c r="AJ147" s="15" t="s">
        <v>98</v>
      </c>
      <c r="AK147" s="18" t="s">
        <v>149</v>
      </c>
      <c r="AL147" s="15" t="s">
        <v>149</v>
      </c>
      <c r="AM147" s="15" t="s">
        <v>103</v>
      </c>
      <c r="AN147" s="15" t="s">
        <v>149</v>
      </c>
      <c r="AO147" s="15" t="s">
        <v>149</v>
      </c>
      <c r="AP147" s="22" t="s">
        <v>1161</v>
      </c>
      <c r="AQ147" s="87" t="s">
        <v>734</v>
      </c>
      <c r="AR147" s="22" t="s">
        <v>1162</v>
      </c>
      <c r="AS147" s="87" t="s">
        <v>734</v>
      </c>
      <c r="AT147" s="87" t="s">
        <v>16943</v>
      </c>
      <c r="AU147" s="87" t="s">
        <v>5448</v>
      </c>
      <c r="AV147" s="87" t="s">
        <v>15751</v>
      </c>
      <c r="AW147" s="457">
        <v>0</v>
      </c>
      <c r="AX147" s="630" t="str">
        <f t="shared" si="109"/>
        <v/>
      </c>
      <c r="AY147" s="630" t="str">
        <f t="shared" si="110"/>
        <v/>
      </c>
      <c r="AZ147" s="630" t="str">
        <f t="shared" si="111"/>
        <v/>
      </c>
      <c r="BA147" s="3"/>
      <c r="BB147" s="3"/>
      <c r="BC147" s="3"/>
      <c r="BD147" s="3"/>
      <c r="BE147" s="3"/>
      <c r="BF147" s="3"/>
      <c r="BG147" s="3"/>
      <c r="BH147" s="3"/>
      <c r="BI147" s="3"/>
      <c r="BJ147" s="3"/>
      <c r="BK147" s="3"/>
      <c r="BL147" s="3"/>
      <c r="BM147" s="3"/>
      <c r="BN147" s="3"/>
      <c r="BP147" s="3"/>
      <c r="BR147" s="3"/>
      <c r="BS147" s="3"/>
      <c r="BT147" s="3"/>
      <c r="BU147" s="3"/>
      <c r="BV147" s="3"/>
      <c r="BW147" s="3"/>
      <c r="BX147" s="83" t="str">
        <f>IF(Province="El Kalabad","Petite communauté d'El Kalabad","")</f>
        <v/>
      </c>
      <c r="BY147" t="str">
        <f t="shared" si="108"/>
        <v/>
      </c>
      <c r="BZ147" s="83" t="str">
        <f t="shared" si="100"/>
        <v/>
      </c>
      <c r="CA147" s="83" t="str">
        <f t="shared" si="101"/>
        <v/>
      </c>
      <c r="CB147" s="530" t="str">
        <f t="shared" si="102"/>
        <v/>
      </c>
      <c r="CC147" s="3" t="s">
        <v>3307</v>
      </c>
      <c r="CD147" s="3" t="s">
        <v>3207</v>
      </c>
      <c r="CG147" s="3" t="s">
        <v>6239</v>
      </c>
      <c r="CH147" s="3" t="s">
        <v>911</v>
      </c>
      <c r="CI147" s="3"/>
      <c r="CJ147" s="3"/>
      <c r="CK147" s="3" t="s">
        <v>6872</v>
      </c>
      <c r="CM147" s="83" t="s">
        <v>15189</v>
      </c>
      <c r="CN147" s="3"/>
      <c r="CO147" s="3" t="s">
        <v>10978</v>
      </c>
      <c r="CP147" s="3"/>
      <c r="CQ147" s="3"/>
      <c r="CR147" s="3" t="s">
        <v>13517</v>
      </c>
      <c r="CS147" s="3"/>
      <c r="CT147" s="3"/>
      <c r="CU147" s="3"/>
      <c r="CV147" s="3"/>
      <c r="CW147" s="3"/>
      <c r="CX147" s="3"/>
      <c r="CY147" s="83" t="s">
        <v>15786</v>
      </c>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t="s">
        <v>3046</v>
      </c>
      <c r="EA147" s="83" t="s">
        <v>4545</v>
      </c>
      <c r="EB147" s="3"/>
      <c r="ED147" s="83" t="s">
        <v>10822</v>
      </c>
      <c r="EE147" s="83" t="s">
        <v>9450</v>
      </c>
      <c r="EF147" s="530" t="s">
        <v>9463</v>
      </c>
      <c r="EK147" s="874"/>
      <c r="EM147" s="90" t="s">
        <v>5198</v>
      </c>
      <c r="EN147" s="83" t="s">
        <v>5015</v>
      </c>
      <c r="EO147" s="83" t="s">
        <v>5215</v>
      </c>
      <c r="EP147" t="s">
        <v>5209</v>
      </c>
      <c r="EU147" s="177" t="str">
        <f>IF(Dieu="Ulric","Confrérie de la Hache","")</f>
        <v/>
      </c>
      <c r="EV147" s="83" t="str">
        <f t="shared" si="99"/>
        <v/>
      </c>
      <c r="EW147" s="83" t="str">
        <f t="shared" si="103"/>
        <v/>
      </c>
      <c r="EX147" s="530" t="str">
        <f t="shared" si="104"/>
        <v/>
      </c>
      <c r="EY147" s="83" t="s">
        <v>5894</v>
      </c>
      <c r="EZ147" s="530" t="s">
        <v>254</v>
      </c>
      <c r="FB147" s="83" t="s">
        <v>16932</v>
      </c>
      <c r="FC147" s="133" t="s">
        <v>7362</v>
      </c>
      <c r="FD147" s="85" t="s">
        <v>2742</v>
      </c>
      <c r="FE147" s="849">
        <v>26</v>
      </c>
      <c r="FF147">
        <v>33</v>
      </c>
      <c r="FG147" s="83">
        <v>0</v>
      </c>
      <c r="FH147" s="83">
        <v>80</v>
      </c>
      <c r="FI147" s="83">
        <v>60</v>
      </c>
      <c r="FJ147" s="683">
        <v>30</v>
      </c>
      <c r="FK147" s="83">
        <v>30</v>
      </c>
      <c r="FL147" s="83">
        <v>29</v>
      </c>
      <c r="FM147" s="165">
        <v>0</v>
      </c>
      <c r="FN147" s="88">
        <v>3</v>
      </c>
      <c r="FO147" s="88">
        <v>35</v>
      </c>
      <c r="FP147" s="691">
        <f>ROUNDDOWN(FH147/10,0)</f>
        <v>8</v>
      </c>
      <c r="FQ147" s="691">
        <f>ROUNDDOWN(FI147/10,0)</f>
        <v>6</v>
      </c>
      <c r="FR147" s="10">
        <v>8</v>
      </c>
      <c r="FS147" s="88">
        <v>0</v>
      </c>
      <c r="FT147" s="88">
        <v>0</v>
      </c>
      <c r="FU147" s="165">
        <v>0</v>
      </c>
      <c r="FV147" s="83" t="s">
        <v>9925</v>
      </c>
      <c r="FW147" s="83" t="s">
        <v>14866</v>
      </c>
      <c r="FX147" s="567" t="s">
        <v>7659</v>
      </c>
      <c r="GA147" t="s">
        <v>7570</v>
      </c>
      <c r="GE147" s="356"/>
      <c r="GF147" t="s">
        <v>7734</v>
      </c>
      <c r="GG147" s="356" t="s">
        <v>8953</v>
      </c>
      <c r="GH147" s="83" t="s">
        <v>8948</v>
      </c>
      <c r="GI147" s="83" t="s">
        <v>8937</v>
      </c>
      <c r="GJ147" s="83"/>
      <c r="GK147" s="530"/>
    </row>
    <row r="148" spans="8:193" ht="13.2" customHeight="1">
      <c r="H148" s="3"/>
      <c r="I148" s="3"/>
      <c r="J148" s="3"/>
      <c r="K148" s="3"/>
      <c r="L148" s="3"/>
      <c r="M148" s="651"/>
      <c r="N148" s="3"/>
      <c r="O148" s="3"/>
      <c r="P148" s="3"/>
      <c r="Q148" s="3"/>
      <c r="R148" s="651"/>
      <c r="S148" s="83" t="str">
        <f>IF(CareerType=Y148,"Ex-détenu",IF(AllCareers="X","Ex-détenu",IF(OR(SelectRace="homme-bête",SelectRace="peau-verte",SelectRace="créature du chaos",SelectRace="Homme-lézard",SelectRace="skaven"),"",IF(Pays="Désolations du Chaos","",IF(OR(SelectRace="Nain",SelectRace="Humain",SelectRace="Halfling",SelectRace="Vampire"),"Ex-détenu","")))))</f>
        <v/>
      </c>
      <c r="T148" s="106">
        <f>IF(X148="oui",0,1)</f>
        <v>0</v>
      </c>
      <c r="U148" s="693" t="str">
        <f t="shared" si="105"/>
        <v/>
      </c>
      <c r="V148" s="693" t="str">
        <f t="shared" si="106"/>
        <v/>
      </c>
      <c r="W148" s="693" t="str">
        <f t="shared" si="107"/>
        <v/>
      </c>
      <c r="X148" s="48" t="s">
        <v>2160</v>
      </c>
      <c r="Y148" s="744" t="s">
        <v>7133</v>
      </c>
      <c r="Z148" s="55" t="s">
        <v>2176</v>
      </c>
      <c r="AA148" s="48">
        <v>70</v>
      </c>
      <c r="AB148" s="48" t="s">
        <v>2171</v>
      </c>
      <c r="AC148" s="48">
        <v>70</v>
      </c>
      <c r="AD148" s="15" t="s">
        <v>98</v>
      </c>
      <c r="AE148" s="15" t="s">
        <v>149</v>
      </c>
      <c r="AF148" s="15" t="s">
        <v>114</v>
      </c>
      <c r="AG148" s="15" t="s">
        <v>98</v>
      </c>
      <c r="AH148" s="15" t="s">
        <v>114</v>
      </c>
      <c r="AI148" s="15" t="s">
        <v>149</v>
      </c>
      <c r="AJ148" s="15" t="s">
        <v>98</v>
      </c>
      <c r="AK148" s="18" t="s">
        <v>149</v>
      </c>
      <c r="AL148" s="15" t="s">
        <v>149</v>
      </c>
      <c r="AM148" s="15" t="s">
        <v>113</v>
      </c>
      <c r="AN148" s="15" t="s">
        <v>149</v>
      </c>
      <c r="AO148" s="15" t="s">
        <v>149</v>
      </c>
      <c r="AP148" s="22" t="s">
        <v>2172</v>
      </c>
      <c r="AQ148" s="87" t="s">
        <v>734</v>
      </c>
      <c r="AR148" s="22" t="s">
        <v>2173</v>
      </c>
      <c r="AS148" s="87" t="s">
        <v>734</v>
      </c>
      <c r="AT148" s="87" t="s">
        <v>16944</v>
      </c>
      <c r="AU148" s="87" t="s">
        <v>5485</v>
      </c>
      <c r="AV148" s="87" t="s">
        <v>4761</v>
      </c>
      <c r="AW148" s="457">
        <v>0</v>
      </c>
      <c r="AX148" s="630" t="str">
        <f t="shared" si="109"/>
        <v/>
      </c>
      <c r="AY148" s="630" t="str">
        <f t="shared" si="110"/>
        <v/>
      </c>
      <c r="AZ148" s="630" t="str">
        <f t="shared" si="111"/>
        <v/>
      </c>
      <c r="BA148" s="3"/>
      <c r="BB148" s="3"/>
      <c r="BC148" s="3"/>
      <c r="BD148" s="3"/>
      <c r="BE148" s="3"/>
      <c r="BF148" s="3"/>
      <c r="BG148" s="3"/>
      <c r="BH148" s="3"/>
      <c r="BI148" s="3"/>
      <c r="BJ148" s="3"/>
      <c r="BK148" s="3"/>
      <c r="BL148" s="3"/>
      <c r="BM148" s="3"/>
      <c r="BN148" s="3"/>
      <c r="BP148" s="3"/>
      <c r="BR148" s="3"/>
      <c r="BS148" s="3"/>
      <c r="BT148" s="3"/>
      <c r="BU148" s="3"/>
      <c r="BV148" s="3"/>
      <c r="BW148" s="3"/>
      <c r="BX148" s="83" t="str">
        <f>IF(Province="Gobi-Alain","Petite communauté de Gobi-Alain","")</f>
        <v/>
      </c>
      <c r="BY148" t="str">
        <f t="shared" si="108"/>
        <v/>
      </c>
      <c r="BZ148" s="83" t="str">
        <f t="shared" si="100"/>
        <v/>
      </c>
      <c r="CA148" s="83" t="str">
        <f t="shared" si="101"/>
        <v/>
      </c>
      <c r="CB148" s="530" t="str">
        <f t="shared" si="102"/>
        <v/>
      </c>
      <c r="CC148" s="3" t="s">
        <v>3308</v>
      </c>
      <c r="CD148" s="3" t="s">
        <v>1073</v>
      </c>
      <c r="CG148" s="3" t="s">
        <v>6240</v>
      </c>
      <c r="CH148" s="3" t="s">
        <v>949</v>
      </c>
      <c r="CI148" s="3"/>
      <c r="CJ148" s="3"/>
      <c r="CK148" s="3" t="s">
        <v>6746</v>
      </c>
      <c r="CM148" t="s">
        <v>10340</v>
      </c>
      <c r="CN148" s="3"/>
      <c r="CO148" s="3" t="str">
        <f>CONCATENATE("Grid",IF(AND('page 1'!M11="Féminin",Pays="Norsca"),"dottir",IF(AND('page 1'!M11="Masculin",Pays="Norsca"),"son",IF(AND('page 1'!M11="Féminin",Pays="Kislev"),"ovna",IF(AND('page 1'!M11="Masculin",Pays="Kislev"),"sky","")))))</f>
        <v>Grid</v>
      </c>
      <c r="CP148" s="3"/>
      <c r="CQ148" s="3"/>
      <c r="CR148" t="s">
        <v>13518</v>
      </c>
      <c r="CS148" s="3"/>
      <c r="CT148" s="3"/>
      <c r="CU148" s="3"/>
      <c r="CV148" s="3"/>
      <c r="CW148" s="3"/>
      <c r="CX148" s="3"/>
      <c r="CY148" s="3" t="s">
        <v>838</v>
      </c>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t="s">
        <v>3047</v>
      </c>
      <c r="EA148" s="83" t="s">
        <v>4546</v>
      </c>
      <c r="EB148" s="3"/>
      <c r="ED148" s="83" t="s">
        <v>12809</v>
      </c>
      <c r="EE148" s="83" t="s">
        <v>9450</v>
      </c>
      <c r="EF148" s="530" t="s">
        <v>12813</v>
      </c>
      <c r="EK148" s="874"/>
      <c r="EM148" s="90" t="s">
        <v>5199</v>
      </c>
      <c r="EN148" s="83" t="s">
        <v>5015</v>
      </c>
      <c r="EO148" s="83" t="s">
        <v>5216</v>
      </c>
      <c r="EP148" t="s">
        <v>5209</v>
      </c>
      <c r="EU148" s="177" t="str">
        <f>IF(Dieu="Ulric","Initié","")</f>
        <v/>
      </c>
      <c r="EV148" s="83" t="str">
        <f t="shared" si="99"/>
        <v/>
      </c>
      <c r="EW148" s="83" t="str">
        <f t="shared" si="103"/>
        <v/>
      </c>
      <c r="EX148" s="530" t="str">
        <f t="shared" si="104"/>
        <v/>
      </c>
      <c r="EY148" s="83" t="s">
        <v>411</v>
      </c>
      <c r="FB148" s="83" t="s">
        <v>13183</v>
      </c>
      <c r="FC148" s="133" t="s">
        <v>7362</v>
      </c>
      <c r="FD148" s="83" t="s">
        <v>13186</v>
      </c>
      <c r="FE148" s="848" t="s">
        <v>13187</v>
      </c>
      <c r="FF148">
        <v>15</v>
      </c>
      <c r="FG148" s="83">
        <v>0</v>
      </c>
      <c r="FH148" s="83">
        <v>45</v>
      </c>
      <c r="FI148" s="83">
        <v>50</v>
      </c>
      <c r="FJ148" s="683">
        <v>10</v>
      </c>
      <c r="FK148" s="83">
        <v>5</v>
      </c>
      <c r="FL148" s="83">
        <v>40</v>
      </c>
      <c r="FM148" s="165">
        <v>0</v>
      </c>
      <c r="FN148" s="88">
        <v>1</v>
      </c>
      <c r="FO148" s="88">
        <v>25</v>
      </c>
      <c r="FP148" s="164">
        <f>ROUNDDOWN(FH148/10,0)</f>
        <v>4</v>
      </c>
      <c r="FQ148" s="164">
        <f>ROUNDDOWN(FI148/10,0)</f>
        <v>5</v>
      </c>
      <c r="FR148" s="10">
        <v>3</v>
      </c>
      <c r="FS148" s="88">
        <v>0</v>
      </c>
      <c r="FT148" s="88">
        <v>0</v>
      </c>
      <c r="FU148" s="165">
        <v>0</v>
      </c>
      <c r="FV148" s="83" t="s">
        <v>13184</v>
      </c>
      <c r="FW148" s="83" t="s">
        <v>16214</v>
      </c>
      <c r="FX148" s="567" t="s">
        <v>7659</v>
      </c>
      <c r="GA148" t="s">
        <v>7491</v>
      </c>
      <c r="GE148" s="356"/>
      <c r="GF148" t="s">
        <v>8221</v>
      </c>
      <c r="GG148" s="356" t="s">
        <v>8954</v>
      </c>
      <c r="GH148" s="83" t="s">
        <v>8948</v>
      </c>
      <c r="GI148" s="83" t="s">
        <v>8937</v>
      </c>
      <c r="GJ148" s="83"/>
      <c r="GK148" s="530"/>
    </row>
    <row r="149" spans="8:193" ht="13.2" customHeight="1">
      <c r="H149" s="3"/>
      <c r="I149" s="3"/>
      <c r="J149" s="3"/>
      <c r="K149" s="3"/>
      <c r="L149" s="3"/>
      <c r="M149" s="651"/>
      <c r="N149" s="3"/>
      <c r="O149" s="3"/>
      <c r="P149" s="3"/>
      <c r="Q149" s="3"/>
      <c r="R149" s="651"/>
      <c r="S149" s="83" t="str">
        <f>IF(CareerType=Y149,"Exécuteur",IF(AllCareers="X","Exécuteur",IF(OR(SelectRace="homme-bête",SelectRace="peau-verte",SelectRace="créature du chaos",SelectRace="Homme-lézard",SelectRace="skaven"),"",IF(Pays="Désolations du Chaos","",IF(OR(SelectRace="Nain",SelectRace="Humain",SelectRace="Halfling",SelectRace="Vampire"),"Exécuteur","")))))</f>
        <v/>
      </c>
      <c r="T149" s="106">
        <f>IF(X149="oui",0,1)</f>
        <v>0</v>
      </c>
      <c r="U149" s="693" t="str">
        <f t="shared" si="105"/>
        <v/>
      </c>
      <c r="V149" s="693" t="str">
        <f t="shared" si="106"/>
        <v/>
      </c>
      <c r="W149" s="693" t="str">
        <f t="shared" si="107"/>
        <v/>
      </c>
      <c r="X149" s="47" t="s">
        <v>2160</v>
      </c>
      <c r="Y149" s="743" t="s">
        <v>7130</v>
      </c>
      <c r="Z149" s="56" t="s">
        <v>2458</v>
      </c>
      <c r="AA149" s="48"/>
      <c r="AB149" s="48" t="s">
        <v>2462</v>
      </c>
      <c r="AC149" s="48"/>
      <c r="AD149" s="15" t="s">
        <v>98</v>
      </c>
      <c r="AE149" s="15" t="s">
        <v>149</v>
      </c>
      <c r="AF149" s="15" t="s">
        <v>98</v>
      </c>
      <c r="AG149" s="20" t="s">
        <v>114</v>
      </c>
      <c r="AH149" s="15" t="s">
        <v>149</v>
      </c>
      <c r="AI149" s="15" t="s">
        <v>149</v>
      </c>
      <c r="AJ149" s="15" t="s">
        <v>98</v>
      </c>
      <c r="AK149" s="18" t="s">
        <v>149</v>
      </c>
      <c r="AL149" s="15" t="s">
        <v>149</v>
      </c>
      <c r="AM149" s="15" t="s">
        <v>115</v>
      </c>
      <c r="AN149" s="15" t="s">
        <v>149</v>
      </c>
      <c r="AO149" s="15" t="s">
        <v>149</v>
      </c>
      <c r="AP149" s="87" t="s">
        <v>16946</v>
      </c>
      <c r="AQ149" s="87" t="s">
        <v>734</v>
      </c>
      <c r="AR149" s="87" t="s">
        <v>16947</v>
      </c>
      <c r="AS149" s="87" t="s">
        <v>734</v>
      </c>
      <c r="AT149" s="87" t="s">
        <v>16948</v>
      </c>
      <c r="AU149" s="87" t="s">
        <v>5365</v>
      </c>
      <c r="AV149" s="87" t="s">
        <v>16949</v>
      </c>
      <c r="AW149" s="457">
        <v>0</v>
      </c>
      <c r="AX149" s="630" t="str">
        <f t="shared" si="109"/>
        <v/>
      </c>
      <c r="AY149" s="630" t="str">
        <f t="shared" si="110"/>
        <v/>
      </c>
      <c r="AZ149" s="630" t="str">
        <f t="shared" si="111"/>
        <v/>
      </c>
      <c r="BA149" s="3"/>
      <c r="BB149" s="3"/>
      <c r="BC149" s="3"/>
      <c r="BD149" s="3"/>
      <c r="BE149" s="3"/>
      <c r="BF149" s="3"/>
      <c r="BG149" s="3"/>
      <c r="BH149" s="3"/>
      <c r="BI149" s="3"/>
      <c r="BJ149" s="3"/>
      <c r="BK149" s="3"/>
      <c r="BL149" s="3"/>
      <c r="BM149" s="3"/>
      <c r="BN149" s="3"/>
      <c r="BP149" s="3"/>
      <c r="BR149" s="3"/>
      <c r="BS149" s="3"/>
      <c r="BT149" s="3"/>
      <c r="BU149" s="3"/>
      <c r="BV149" s="3"/>
      <c r="BW149" s="3"/>
      <c r="BX149" t="str">
        <f>IF(Province="Gomorh","Petite communauté de Gomorh","")</f>
        <v/>
      </c>
      <c r="BY149" t="str">
        <f t="shared" si="108"/>
        <v/>
      </c>
      <c r="BZ149" s="83" t="str">
        <f t="shared" si="100"/>
        <v/>
      </c>
      <c r="CA149" s="83" t="str">
        <f t="shared" si="101"/>
        <v/>
      </c>
      <c r="CB149" s="530" t="str">
        <f t="shared" si="102"/>
        <v/>
      </c>
      <c r="CC149" s="3" t="s">
        <v>3309</v>
      </c>
      <c r="CD149" t="s">
        <v>10692</v>
      </c>
      <c r="CG149" s="3" t="s">
        <v>6241</v>
      </c>
      <c r="CH149" s="3" t="s">
        <v>6020</v>
      </c>
      <c r="CI149" s="3"/>
      <c r="CJ149" s="3"/>
      <c r="CK149" s="3" t="s">
        <v>6792</v>
      </c>
      <c r="CM149" t="s">
        <v>10341</v>
      </c>
      <c r="CN149" s="3"/>
      <c r="CO149" s="3" t="str">
        <f>CONCATENATE("Grim",IF(AND('page 1'!M11="Féminin",Pays="Norsca"),"dottir",IF(AND('page 1'!M11="Masculin",Pays="Norsca"),"son",IF(AND('page 1'!M11="Féminin",Pays="Kislev"),"ovna",IF(AND('page 1'!M11="Masculin",Pays="Kislev"),"sky","")))))</f>
        <v>Grim</v>
      </c>
      <c r="CP149" s="3"/>
      <c r="CQ149" s="3"/>
      <c r="CR149" s="3" t="s">
        <v>13519</v>
      </c>
      <c r="CS149" s="3"/>
      <c r="CT149" s="3"/>
      <c r="CU149" s="3"/>
      <c r="CV149" s="3"/>
      <c r="CW149" s="3"/>
      <c r="CX149" s="3"/>
      <c r="CY149" s="3" t="s">
        <v>791</v>
      </c>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t="s">
        <v>3048</v>
      </c>
      <c r="EA149" s="83" t="s">
        <v>4546</v>
      </c>
      <c r="EB149" s="3"/>
      <c r="ED149" s="83" t="s">
        <v>12814</v>
      </c>
      <c r="EE149" s="83" t="s">
        <v>9450</v>
      </c>
      <c r="EF149" s="530" t="s">
        <v>12815</v>
      </c>
      <c r="EK149" s="874"/>
      <c r="EM149" s="90" t="s">
        <v>5200</v>
      </c>
      <c r="EN149" s="83" t="s">
        <v>5015</v>
      </c>
      <c r="EO149" s="83" t="s">
        <v>16950</v>
      </c>
      <c r="EP149" t="s">
        <v>5209</v>
      </c>
      <c r="EU149" s="177" t="str">
        <f>IF(Dieu="Ulric","Ordre de la Meute Vorace/ Crocs de l’Hiver","")</f>
        <v/>
      </c>
      <c r="EV149" s="83" t="str">
        <f t="shared" si="99"/>
        <v/>
      </c>
      <c r="EW149" s="83" t="str">
        <f t="shared" si="103"/>
        <v/>
      </c>
      <c r="EX149" s="530" t="str">
        <f t="shared" si="104"/>
        <v/>
      </c>
      <c r="EY149" s="83" t="s">
        <v>5894</v>
      </c>
      <c r="EZ149" s="530" t="s">
        <v>9508</v>
      </c>
      <c r="FB149" s="83" t="s">
        <v>16239</v>
      </c>
      <c r="FC149" s="133" t="s">
        <v>7362</v>
      </c>
      <c r="FD149" s="641" t="s">
        <v>16241</v>
      </c>
      <c r="FE149" s="848">
        <v>8</v>
      </c>
      <c r="FF149">
        <v>36</v>
      </c>
      <c r="FG149">
        <v>0</v>
      </c>
      <c r="FH149">
        <v>45</v>
      </c>
      <c r="FI149">
        <v>40</v>
      </c>
      <c r="FJ149" s="10">
        <v>21</v>
      </c>
      <c r="FK149">
        <v>6</v>
      </c>
      <c r="FL149">
        <v>35</v>
      </c>
      <c r="FM149" s="165">
        <v>0</v>
      </c>
      <c r="FN149" s="88">
        <v>1</v>
      </c>
      <c r="FO149" s="88">
        <v>38</v>
      </c>
      <c r="FP149" s="164">
        <f>ROUNDDOWN(FH149/10,0)</f>
        <v>4</v>
      </c>
      <c r="FQ149" s="164">
        <f>ROUNDDOWN(FI149/10,0)</f>
        <v>4</v>
      </c>
      <c r="FR149" s="10">
        <v>4</v>
      </c>
      <c r="FS149" s="167">
        <v>0</v>
      </c>
      <c r="FT149" s="167">
        <v>0</v>
      </c>
      <c r="FU149" s="165">
        <v>0</v>
      </c>
      <c r="FV149" s="83" t="s">
        <v>13008</v>
      </c>
      <c r="FW149" s="84" t="s">
        <v>16240</v>
      </c>
      <c r="FX149" s="752" t="s">
        <v>7659</v>
      </c>
      <c r="GA149" t="s">
        <v>7571</v>
      </c>
      <c r="GE149" s="356"/>
      <c r="GF149" t="s">
        <v>8228</v>
      </c>
      <c r="GG149" s="356" t="s">
        <v>8949</v>
      </c>
      <c r="GH149" s="83" t="s">
        <v>8948</v>
      </c>
      <c r="GI149" s="83" t="s">
        <v>8937</v>
      </c>
      <c r="GJ149" s="83"/>
      <c r="GK149" s="530"/>
    </row>
    <row r="150" spans="8:193" ht="13.2" customHeight="1">
      <c r="H150" s="3"/>
      <c r="I150" s="3"/>
      <c r="J150" s="3"/>
      <c r="K150" s="3"/>
      <c r="L150" s="3"/>
      <c r="M150" s="651"/>
      <c r="N150" s="3"/>
      <c r="O150" s="3"/>
      <c r="P150" s="3"/>
      <c r="Q150" s="3"/>
      <c r="R150" s="651"/>
      <c r="S150" s="83" t="str">
        <f>IF(CareerType=Y150,"Exorciste",IF(AllCareers="X","Exorciste",IF(Selectsousrace="","",IF(OR(SelectRace="homme-bête",SelectRace="peau-verte",SelectRace="créature du chaos",SelectRace="Homme-lézard",SelectRace="skaven"),"",IF(FirstCareer="1ère carrière","","Exorciste")))))</f>
        <v/>
      </c>
      <c r="T150" s="106">
        <v>2</v>
      </c>
      <c r="U150" s="693" t="str">
        <f t="shared" si="105"/>
        <v/>
      </c>
      <c r="V150" s="693" t="str">
        <f t="shared" si="106"/>
        <v/>
      </c>
      <c r="W150" s="693" t="str">
        <f t="shared" si="107"/>
        <v/>
      </c>
      <c r="X150" s="47" t="s">
        <v>2153</v>
      </c>
      <c r="Y150" s="743" t="s">
        <v>15709</v>
      </c>
      <c r="Z150" s="55" t="s">
        <v>2208</v>
      </c>
      <c r="AA150" s="47">
        <v>123</v>
      </c>
      <c r="AB150" s="47" t="s">
        <v>2303</v>
      </c>
      <c r="AC150" s="47">
        <v>72</v>
      </c>
      <c r="AD150" s="15" t="s">
        <v>149</v>
      </c>
      <c r="AE150" s="15" t="s">
        <v>149</v>
      </c>
      <c r="AF150" s="15" t="s">
        <v>98</v>
      </c>
      <c r="AG150" s="15" t="s">
        <v>101</v>
      </c>
      <c r="AH150" s="15" t="s">
        <v>101</v>
      </c>
      <c r="AI150" s="15" t="s">
        <v>100</v>
      </c>
      <c r="AJ150" s="15" t="s">
        <v>119</v>
      </c>
      <c r="AK150" s="18" t="s">
        <v>100</v>
      </c>
      <c r="AL150" s="15" t="s">
        <v>102</v>
      </c>
      <c r="AM150" s="15" t="s">
        <v>112</v>
      </c>
      <c r="AN150" s="15" t="s">
        <v>149</v>
      </c>
      <c r="AO150" s="15" t="s">
        <v>113</v>
      </c>
      <c r="AP150" s="22" t="s">
        <v>1250</v>
      </c>
      <c r="AQ150" s="87" t="s">
        <v>734</v>
      </c>
      <c r="AR150" s="22" t="s">
        <v>3790</v>
      </c>
      <c r="AS150" s="87" t="s">
        <v>734</v>
      </c>
      <c r="AT150" s="22" t="s">
        <v>3453</v>
      </c>
      <c r="AU150" s="87" t="s">
        <v>16446</v>
      </c>
      <c r="AV150" s="87" t="s">
        <v>4720</v>
      </c>
      <c r="AW150" s="457">
        <v>0</v>
      </c>
      <c r="AX150" s="630" t="str">
        <f t="shared" si="109"/>
        <v/>
      </c>
      <c r="AY150" s="630" t="str">
        <f t="shared" si="110"/>
        <v/>
      </c>
      <c r="AZ150" s="630" t="str">
        <f t="shared" si="111"/>
        <v/>
      </c>
      <c r="BA150" s="3"/>
      <c r="BB150" s="3"/>
      <c r="BC150" s="3"/>
      <c r="BD150" s="3"/>
      <c r="BE150" s="3"/>
      <c r="BF150" s="3"/>
      <c r="BG150" s="3"/>
      <c r="BH150" s="3"/>
      <c r="BI150" s="3"/>
      <c r="BJ150" s="3"/>
      <c r="BK150" s="3"/>
      <c r="BL150" s="3"/>
      <c r="BM150" s="3"/>
      <c r="BN150" s="3"/>
      <c r="BP150" s="3"/>
      <c r="BR150" s="3"/>
      <c r="BS150" s="3"/>
      <c r="BT150" s="3"/>
      <c r="BU150" s="3"/>
      <c r="BV150" s="3"/>
      <c r="BW150" s="3"/>
      <c r="BX150" t="str">
        <f>IF(Province="Istrabul","Petite communauté d'Istrabul","")</f>
        <v/>
      </c>
      <c r="BY150" t="str">
        <f t="shared" si="108"/>
        <v/>
      </c>
      <c r="BZ150" s="83" t="str">
        <f t="shared" si="100"/>
        <v/>
      </c>
      <c r="CA150" s="83" t="str">
        <f t="shared" si="101"/>
        <v/>
      </c>
      <c r="CB150" s="530" t="str">
        <f t="shared" si="102"/>
        <v/>
      </c>
      <c r="CC150" s="3" t="s">
        <v>3310</v>
      </c>
      <c r="CD150" s="3" t="s">
        <v>3208</v>
      </c>
      <c r="CG150" s="83" t="s">
        <v>15078</v>
      </c>
      <c r="CH150" s="3" t="s">
        <v>6021</v>
      </c>
      <c r="CI150" s="3"/>
      <c r="CJ150" s="3"/>
      <c r="CK150" s="3" t="s">
        <v>6977</v>
      </c>
      <c r="CM150" s="3" t="s">
        <v>6639</v>
      </c>
      <c r="CN150" s="3"/>
      <c r="CO150" s="3" t="s">
        <v>10971</v>
      </c>
      <c r="CP150" s="3"/>
      <c r="CQ150" s="3"/>
      <c r="CR150" s="3" t="s">
        <v>13520</v>
      </c>
      <c r="CS150" s="3"/>
      <c r="CT150" s="3"/>
      <c r="CU150" s="3"/>
      <c r="CV150" s="3"/>
      <c r="CW150" s="3"/>
      <c r="CX150" s="3"/>
      <c r="CY150" s="3" t="s">
        <v>2877</v>
      </c>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t="s">
        <v>3049</v>
      </c>
      <c r="EA150" s="83" t="s">
        <v>4546</v>
      </c>
      <c r="EB150" s="3"/>
      <c r="ED150" s="83" t="s">
        <v>16479</v>
      </c>
      <c r="EE150" s="83" t="s">
        <v>9450</v>
      </c>
      <c r="EF150" s="530" t="s">
        <v>16480</v>
      </c>
      <c r="EK150" s="874"/>
      <c r="EM150" s="90" t="s">
        <v>5201</v>
      </c>
      <c r="EN150" s="83" t="s">
        <v>5015</v>
      </c>
      <c r="EO150" s="83" t="s">
        <v>16951</v>
      </c>
      <c r="EP150" t="s">
        <v>5209</v>
      </c>
      <c r="EU150" s="177" t="str">
        <f>IF(Dieu="Ulric","Ordre des Chevaliers du Loup Blanc","")</f>
        <v/>
      </c>
      <c r="EV150" s="83" t="str">
        <f t="shared" si="99"/>
        <v/>
      </c>
      <c r="EW150" s="83" t="str">
        <f t="shared" si="103"/>
        <v/>
      </c>
      <c r="EX150" s="530" t="str">
        <f t="shared" si="104"/>
        <v/>
      </c>
      <c r="EY150" s="83" t="s">
        <v>5894</v>
      </c>
      <c r="EZ150" s="530" t="s">
        <v>254</v>
      </c>
      <c r="FB150" s="83" t="s">
        <v>9771</v>
      </c>
      <c r="FC150" s="133" t="s">
        <v>7362</v>
      </c>
      <c r="FD150" s="83" t="s">
        <v>9703</v>
      </c>
      <c r="FE150" s="849">
        <v>335</v>
      </c>
      <c r="FF150">
        <v>36</v>
      </c>
      <c r="FG150">
        <v>0</v>
      </c>
      <c r="FH150">
        <v>45</v>
      </c>
      <c r="FI150">
        <v>50</v>
      </c>
      <c r="FJ150" s="10">
        <v>10</v>
      </c>
      <c r="FK150">
        <v>15</v>
      </c>
      <c r="FL150">
        <v>25</v>
      </c>
      <c r="FM150" s="165">
        <v>0</v>
      </c>
      <c r="FN150" s="88">
        <v>2</v>
      </c>
      <c r="FO150" s="88">
        <v>18</v>
      </c>
      <c r="FP150" s="164">
        <f>ROUNDDOWN(FH150/10,0)</f>
        <v>4</v>
      </c>
      <c r="FQ150" s="164">
        <f>ROUNDDOWN(FI150/10,0)</f>
        <v>5</v>
      </c>
      <c r="FR150" s="684">
        <v>5</v>
      </c>
      <c r="FS150" s="167">
        <v>0</v>
      </c>
      <c r="FT150" s="167">
        <v>0</v>
      </c>
      <c r="FU150" s="165">
        <v>0</v>
      </c>
      <c r="FV150" s="83" t="s">
        <v>9926</v>
      </c>
      <c r="FW150" s="83" t="s">
        <v>9927</v>
      </c>
      <c r="FX150" s="567" t="s">
        <v>7658</v>
      </c>
      <c r="GA150" s="83" t="s">
        <v>7621</v>
      </c>
      <c r="GE150" s="356"/>
      <c r="GF150" t="s">
        <v>8244</v>
      </c>
      <c r="GG150" s="356" t="s">
        <v>8951</v>
      </c>
      <c r="GH150" s="83" t="s">
        <v>8948</v>
      </c>
      <c r="GI150" s="83" t="s">
        <v>8937</v>
      </c>
      <c r="GJ150" s="83"/>
      <c r="GK150" s="530"/>
    </row>
    <row r="151" spans="8:193" ht="13.2" customHeight="1">
      <c r="H151" s="3"/>
      <c r="I151" s="3"/>
      <c r="J151" s="3"/>
      <c r="K151" s="3"/>
      <c r="L151" s="3"/>
      <c r="M151" s="651"/>
      <c r="N151" s="3"/>
      <c r="O151" s="3"/>
      <c r="P151" s="3"/>
      <c r="Q151" s="3"/>
      <c r="R151" s="651"/>
      <c r="S151" s="83" t="str">
        <f>IF(CareerType=Y151,"Explorateur",IF(AllCareers="X","Explorateur",IF(OR(Selectsousrace="",SelectRace="homme-bête",SelectRace="peau-verte",SelectRace="créature du chaos",SelectRace="Homme-lézard",SelectRace="skaven"),"",IF(FirstCareer="1ère carrière","","Explorateur"))))</f>
        <v/>
      </c>
      <c r="T151" s="106">
        <v>2</v>
      </c>
      <c r="U151" s="693" t="str">
        <f t="shared" si="105"/>
        <v/>
      </c>
      <c r="V151" s="693" t="str">
        <f t="shared" si="106"/>
        <v/>
      </c>
      <c r="W151" s="693" t="str">
        <f t="shared" si="107"/>
        <v/>
      </c>
      <c r="X151" s="47" t="s">
        <v>2153</v>
      </c>
      <c r="Y151" s="743" t="s">
        <v>7134</v>
      </c>
      <c r="Z151" s="55" t="s">
        <v>2200</v>
      </c>
      <c r="AA151" s="47">
        <v>72</v>
      </c>
      <c r="AB151" s="47" t="s">
        <v>2304</v>
      </c>
      <c r="AC151" s="47">
        <v>73</v>
      </c>
      <c r="AD151" s="15" t="s">
        <v>100</v>
      </c>
      <c r="AE151" s="15" t="s">
        <v>100</v>
      </c>
      <c r="AF151" s="15" t="s">
        <v>98</v>
      </c>
      <c r="AG151" s="15" t="s">
        <v>101</v>
      </c>
      <c r="AH151" s="15" t="s">
        <v>101</v>
      </c>
      <c r="AI151" s="15" t="s">
        <v>99</v>
      </c>
      <c r="AJ151" s="15" t="s">
        <v>100</v>
      </c>
      <c r="AK151" s="18" t="s">
        <v>101</v>
      </c>
      <c r="AL151" s="15" t="s">
        <v>102</v>
      </c>
      <c r="AM151" s="15" t="s">
        <v>112</v>
      </c>
      <c r="AN151" s="15" t="s">
        <v>149</v>
      </c>
      <c r="AO151" s="15" t="s">
        <v>149</v>
      </c>
      <c r="AP151" s="87" t="s">
        <v>15838</v>
      </c>
      <c r="AQ151" s="87" t="s">
        <v>734</v>
      </c>
      <c r="AR151" s="87" t="s">
        <v>15742</v>
      </c>
      <c r="AS151" s="87" t="s">
        <v>734</v>
      </c>
      <c r="AT151" s="87" t="s">
        <v>4773</v>
      </c>
      <c r="AU151" s="87" t="s">
        <v>16952</v>
      </c>
      <c r="AV151" s="87" t="s">
        <v>16953</v>
      </c>
      <c r="AW151" s="457">
        <v>0</v>
      </c>
      <c r="AX151" s="630" t="str">
        <f t="shared" si="109"/>
        <v/>
      </c>
      <c r="AY151" s="630" t="str">
        <f t="shared" si="110"/>
        <v/>
      </c>
      <c r="AZ151" s="630" t="str">
        <f t="shared" si="111"/>
        <v/>
      </c>
      <c r="BU151" s="3"/>
      <c r="BV151" s="3"/>
      <c r="BW151" s="3"/>
      <c r="BX151" t="str">
        <f>IF(Province="Kadira","Petite communauté de Kadira","")</f>
        <v/>
      </c>
      <c r="BY151" t="str">
        <f t="shared" si="108"/>
        <v/>
      </c>
      <c r="BZ151" s="83" t="str">
        <f t="shared" si="100"/>
        <v/>
      </c>
      <c r="CA151" s="83" t="str">
        <f t="shared" si="101"/>
        <v/>
      </c>
      <c r="CB151" s="530" t="str">
        <f t="shared" si="102"/>
        <v/>
      </c>
      <c r="CC151" s="3" t="s">
        <v>10730</v>
      </c>
      <c r="CD151" t="s">
        <v>3358</v>
      </c>
      <c r="CG151" s="3" t="s">
        <v>6242</v>
      </c>
      <c r="CH151" s="3" t="s">
        <v>6022</v>
      </c>
      <c r="CI151" s="3"/>
      <c r="CJ151" s="3"/>
      <c r="CK151" s="3" t="s">
        <v>6944</v>
      </c>
      <c r="CM151" t="s">
        <v>10342</v>
      </c>
      <c r="CN151" s="3"/>
      <c r="CO151" s="3" t="str">
        <f>CONCATENATE("Grimgir",IF(AND('page 1'!M11="Féminin",Pays="Norsca"),"dottir",IF(AND('page 1'!M11="Masculin",Pays="Norsca"),"son",IF(AND('page 1'!M11="Féminin",Pays="Kislev"),"ovna",IF(AND('page 1'!M11="Masculin",Pays="Kislev"),"sky","")))))</f>
        <v>Grimgir</v>
      </c>
      <c r="CP151" s="3"/>
      <c r="CQ151" s="3"/>
      <c r="CR151" s="3" t="s">
        <v>13521</v>
      </c>
      <c r="CS151" s="3"/>
      <c r="CT151" s="3"/>
      <c r="CU151" s="3"/>
      <c r="CV151" s="3"/>
      <c r="CW151" s="3"/>
      <c r="CX151" s="3"/>
      <c r="CY151" s="3" t="s">
        <v>2865</v>
      </c>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t="s">
        <v>657</v>
      </c>
      <c r="EA151" s="83" t="s">
        <v>4546</v>
      </c>
      <c r="EB151" s="3"/>
      <c r="ED151" s="83" t="s">
        <v>12816</v>
      </c>
      <c r="EE151" s="83" t="s">
        <v>9450</v>
      </c>
      <c r="EF151" s="530" t="s">
        <v>16954</v>
      </c>
      <c r="EK151" s="874"/>
      <c r="EM151" s="90" t="s">
        <v>5202</v>
      </c>
      <c r="EN151" s="83" t="s">
        <v>5015</v>
      </c>
      <c r="EO151" s="83" t="s">
        <v>5217</v>
      </c>
      <c r="EP151" t="s">
        <v>5209</v>
      </c>
      <c r="EU151" s="177" t="str">
        <f>IF(Dieu="Ulric","Ordre du Loup Hurlant","")</f>
        <v/>
      </c>
      <c r="EV151" s="83" t="str">
        <f t="shared" si="99"/>
        <v/>
      </c>
      <c r="EW151" s="83" t="str">
        <f t="shared" si="103"/>
        <v/>
      </c>
      <c r="EX151" s="530" t="str">
        <f t="shared" si="104"/>
        <v/>
      </c>
      <c r="EY151" s="83" t="s">
        <v>12389</v>
      </c>
      <c r="EZ151" s="530" t="s">
        <v>254</v>
      </c>
      <c r="FB151" s="83" t="s">
        <v>16186</v>
      </c>
      <c r="FC151" s="133" t="s">
        <v>7362</v>
      </c>
      <c r="FD151" s="83" t="s">
        <v>16187</v>
      </c>
      <c r="FE151" s="849" t="s">
        <v>16188</v>
      </c>
      <c r="FF151">
        <v>34</v>
      </c>
      <c r="FG151">
        <v>15</v>
      </c>
      <c r="FH151">
        <v>25</v>
      </c>
      <c r="FI151">
        <v>18</v>
      </c>
      <c r="FJ151" s="10">
        <v>25</v>
      </c>
      <c r="FK151">
        <v>5</v>
      </c>
      <c r="FL151">
        <v>15</v>
      </c>
      <c r="FM151" s="165">
        <v>0</v>
      </c>
      <c r="FN151" s="88">
        <v>2</v>
      </c>
      <c r="FO151" s="88">
        <v>9</v>
      </c>
      <c r="FP151" s="164">
        <f>ROUNDDOWN(FH151/10,0)</f>
        <v>2</v>
      </c>
      <c r="FQ151" s="164">
        <f>ROUNDDOWN(FI151/10,0)</f>
        <v>1</v>
      </c>
      <c r="FR151" s="684">
        <v>4</v>
      </c>
      <c r="FS151" s="167">
        <v>0</v>
      </c>
      <c r="FT151" s="167">
        <v>0</v>
      </c>
      <c r="FU151" s="165">
        <v>0</v>
      </c>
      <c r="FV151" s="83" t="s">
        <v>9941</v>
      </c>
      <c r="FW151" s="83" t="s">
        <v>16215</v>
      </c>
      <c r="FX151" s="567" t="s">
        <v>9934</v>
      </c>
      <c r="GA151" t="s">
        <v>7524</v>
      </c>
      <c r="GF151" t="s">
        <v>7735</v>
      </c>
      <c r="GG151" s="341" t="s">
        <v>8965</v>
      </c>
      <c r="GH151" s="83" t="s">
        <v>8959</v>
      </c>
      <c r="GI151" s="83" t="s">
        <v>8937</v>
      </c>
      <c r="GJ151" s="83"/>
      <c r="GK151" s="530"/>
    </row>
    <row r="152" spans="8:193" ht="13.2" customHeight="1">
      <c r="H152" s="3"/>
      <c r="I152" s="3"/>
      <c r="J152" s="3"/>
      <c r="K152" s="3"/>
      <c r="L152" s="3"/>
      <c r="M152" s="651"/>
      <c r="N152" s="3"/>
      <c r="O152" s="3"/>
      <c r="P152" s="3"/>
      <c r="Q152" s="3"/>
      <c r="R152" s="651"/>
      <c r="S152" s="83" t="str">
        <f>IF(CareerType=Y152,"Fanatique",IF(AllCareers="X","Fanatique",IF(Selectsousrace="","",IF(OR(Pays="Norsca",Pays="Désolations du Chaos"),"",IF(OR(SelectRace="Humain",SelectRace="skaven",SelectRace="homme-bête",SelectRace="peau-verte",SelectRace="créature du chaos",SelectRace="Homme-lézard",SelectRace="Vampire"),"Fanatique","")))))</f>
        <v/>
      </c>
      <c r="T152" s="106">
        <f t="shared" ref="T152:T158" si="115">IF(X152="oui",0,1)</f>
        <v>0</v>
      </c>
      <c r="U152" s="693" t="str">
        <f t="shared" si="105"/>
        <v/>
      </c>
      <c r="V152" s="693" t="str">
        <f t="shared" si="106"/>
        <v/>
      </c>
      <c r="W152" s="693" t="str">
        <f t="shared" si="107"/>
        <v/>
      </c>
      <c r="X152" s="47" t="s">
        <v>2160</v>
      </c>
      <c r="Y152" s="743" t="s">
        <v>7131</v>
      </c>
      <c r="Z152" s="55" t="s">
        <v>2200</v>
      </c>
      <c r="AA152" s="47">
        <v>43</v>
      </c>
      <c r="AB152" s="47" t="s">
        <v>2305</v>
      </c>
      <c r="AC152" s="47">
        <v>235</v>
      </c>
      <c r="AD152" s="15" t="s">
        <v>98</v>
      </c>
      <c r="AE152" s="15" t="s">
        <v>149</v>
      </c>
      <c r="AF152" s="20" t="s">
        <v>114</v>
      </c>
      <c r="AG152" s="15" t="s">
        <v>98</v>
      </c>
      <c r="AH152" s="15" t="s">
        <v>149</v>
      </c>
      <c r="AI152" s="15" t="s">
        <v>149</v>
      </c>
      <c r="AJ152" s="15" t="s">
        <v>98</v>
      </c>
      <c r="AK152" s="21" t="s">
        <v>114</v>
      </c>
      <c r="AL152" s="15" t="s">
        <v>149</v>
      </c>
      <c r="AM152" s="15" t="s">
        <v>113</v>
      </c>
      <c r="AN152" s="15" t="s">
        <v>149</v>
      </c>
      <c r="AO152" s="15" t="s">
        <v>149</v>
      </c>
      <c r="AP152" s="87" t="s">
        <v>15433</v>
      </c>
      <c r="AQ152" s="87" t="s">
        <v>15926</v>
      </c>
      <c r="AR152" s="87" t="s">
        <v>10011</v>
      </c>
      <c r="AS152" s="87" t="s">
        <v>14823</v>
      </c>
      <c r="AT152" s="87" t="s">
        <v>16955</v>
      </c>
      <c r="AU152" s="87" t="s">
        <v>16956</v>
      </c>
      <c r="AV152" s="87" t="s">
        <v>9442</v>
      </c>
      <c r="AW152" s="457">
        <v>0</v>
      </c>
      <c r="AX152" s="630" t="str">
        <f t="shared" si="109"/>
        <v/>
      </c>
      <c r="AY152" s="630" t="str">
        <f t="shared" si="110"/>
        <v/>
      </c>
      <c r="AZ152" s="630" t="str">
        <f t="shared" si="111"/>
        <v/>
      </c>
      <c r="BA152" s="3"/>
      <c r="BB152" s="3"/>
      <c r="BC152" s="3"/>
      <c r="BD152" s="3"/>
      <c r="BE152" s="3"/>
      <c r="BF152" s="3"/>
      <c r="BG152" s="3"/>
      <c r="BH152" s="3"/>
      <c r="BI152" s="3"/>
      <c r="BJ152" s="3"/>
      <c r="BK152" s="3"/>
      <c r="BL152" s="3"/>
      <c r="BM152" s="3"/>
      <c r="BN152" s="3"/>
      <c r="BP152" s="3"/>
      <c r="BR152" s="3"/>
      <c r="BS152" s="3"/>
      <c r="BT152" s="3"/>
      <c r="BU152" s="3"/>
      <c r="BV152" s="3"/>
      <c r="BW152" s="3"/>
      <c r="BX152" t="str">
        <f>IF(Province="Kamt","Petite communauté de Kamt","")</f>
        <v/>
      </c>
      <c r="BY152" t="str">
        <f t="shared" si="108"/>
        <v/>
      </c>
      <c r="BZ152" s="83" t="str">
        <f t="shared" si="100"/>
        <v/>
      </c>
      <c r="CA152" s="83" t="str">
        <f t="shared" si="101"/>
        <v/>
      </c>
      <c r="CB152" s="530" t="str">
        <f t="shared" si="102"/>
        <v/>
      </c>
      <c r="CC152" s="3" t="s">
        <v>1048</v>
      </c>
      <c r="CD152" s="3" t="s">
        <v>3209</v>
      </c>
      <c r="CG152" s="3" t="s">
        <v>6243</v>
      </c>
      <c r="CH152" s="3" t="s">
        <v>6023</v>
      </c>
      <c r="CI152" s="3"/>
      <c r="CJ152" s="3"/>
      <c r="CK152" s="3" t="s">
        <v>6833</v>
      </c>
      <c r="CM152" s="83" t="s">
        <v>15233</v>
      </c>
      <c r="CN152" s="3"/>
      <c r="CO152" s="3" t="str">
        <f>CONCATENATE("Grimgor",IF(AND('page 1'!M11="Féminin",Pays="Norsca"),"dottir",IF(AND('page 1'!M11="Masculin",Pays="Norsca"),"son",IF(AND('page 1'!M11="Féminin",Pays="Kislev"),"ovna",IF(AND('page 1'!M11="Masculin",Pays="Kislev"),"sky","")))))</f>
        <v>Grimgor</v>
      </c>
      <c r="CP152" s="3"/>
      <c r="CQ152" s="3"/>
      <c r="CR152" s="3" t="s">
        <v>13522</v>
      </c>
      <c r="CS152" s="3"/>
      <c r="CT152" s="3"/>
      <c r="CU152" s="3"/>
      <c r="CV152" s="3"/>
      <c r="CW152" s="3"/>
      <c r="CX152" s="3"/>
      <c r="CY152" s="3" t="s">
        <v>792</v>
      </c>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t="s">
        <v>3050</v>
      </c>
      <c r="EA152" s="83" t="s">
        <v>4546</v>
      </c>
      <c r="EB152" s="3"/>
      <c r="ED152" s="83" t="s">
        <v>12805</v>
      </c>
      <c r="EE152" s="83" t="s">
        <v>9450</v>
      </c>
      <c r="EF152" s="530" t="s">
        <v>12810</v>
      </c>
      <c r="EK152" s="874"/>
      <c r="EM152" s="90" t="s">
        <v>5203</v>
      </c>
      <c r="EN152" s="83" t="s">
        <v>5015</v>
      </c>
      <c r="EO152" s="83" t="s">
        <v>15212</v>
      </c>
      <c r="EP152" t="s">
        <v>5209</v>
      </c>
      <c r="EU152" s="177" t="str">
        <f>IF(Dieu="Ulric","Ordre du trône de l'hiver","")</f>
        <v/>
      </c>
      <c r="EV152" s="83" t="str">
        <f t="shared" si="99"/>
        <v/>
      </c>
      <c r="EW152" s="83" t="str">
        <f t="shared" si="103"/>
        <v/>
      </c>
      <c r="EX152" s="530" t="str">
        <f t="shared" si="104"/>
        <v/>
      </c>
      <c r="EY152" s="83" t="s">
        <v>5895</v>
      </c>
      <c r="EZ152" s="530" t="s">
        <v>9509</v>
      </c>
      <c r="FB152" s="83" t="s">
        <v>14876</v>
      </c>
      <c r="FC152" s="133" t="s">
        <v>7362</v>
      </c>
      <c r="FD152" s="83" t="s">
        <v>14869</v>
      </c>
      <c r="FE152" s="849">
        <v>117</v>
      </c>
      <c r="FF152">
        <v>38</v>
      </c>
      <c r="FG152">
        <v>0</v>
      </c>
      <c r="FH152">
        <v>40</v>
      </c>
      <c r="FI152">
        <v>35</v>
      </c>
      <c r="FJ152" s="10">
        <v>38</v>
      </c>
      <c r="FK152">
        <v>18</v>
      </c>
      <c r="FL152">
        <v>32</v>
      </c>
      <c r="FM152" s="165">
        <v>10</v>
      </c>
      <c r="FN152" s="88">
        <v>2</v>
      </c>
      <c r="FO152" s="88">
        <v>25</v>
      </c>
      <c r="FP152" s="164">
        <f>ROUNDDOWN(FH152/10,0)</f>
        <v>4</v>
      </c>
      <c r="FQ152" s="164">
        <f>ROUNDDOWN(FI152/10,0)</f>
        <v>3</v>
      </c>
      <c r="FR152" s="684">
        <v>6</v>
      </c>
      <c r="FS152" s="167">
        <v>0</v>
      </c>
      <c r="FT152" s="167">
        <v>0</v>
      </c>
      <c r="FU152" s="165">
        <v>0</v>
      </c>
      <c r="FV152" s="83" t="s">
        <v>16189</v>
      </c>
      <c r="FW152" s="83" t="s">
        <v>16945</v>
      </c>
      <c r="FX152" s="567" t="s">
        <v>7659</v>
      </c>
      <c r="GA152" s="83" t="s">
        <v>7446</v>
      </c>
      <c r="GE152" s="356"/>
      <c r="GF152" s="83" t="s">
        <v>16957</v>
      </c>
      <c r="GG152" s="356" t="s">
        <v>8964</v>
      </c>
      <c r="GH152" s="83" t="s">
        <v>8959</v>
      </c>
      <c r="GI152" s="83" t="s">
        <v>8937</v>
      </c>
      <c r="GJ152" s="83"/>
      <c r="GK152" s="530"/>
    </row>
    <row r="153" spans="8:193" ht="13.2" customHeight="1">
      <c r="H153" s="3"/>
      <c r="I153" s="3"/>
      <c r="J153" s="3"/>
      <c r="K153" s="3"/>
      <c r="L153" s="3"/>
      <c r="M153" s="651"/>
      <c r="N153" s="3"/>
      <c r="O153" s="3"/>
      <c r="P153" s="3"/>
      <c r="Q153" s="3"/>
      <c r="R153" s="651"/>
      <c r="S153" s="83" t="str">
        <f>IF(CareerType=Y154,"Faussaire",IF(AllCareers="X","Faussaire",IF(Selectsousrace="","",IF(OR(SelectRace="homme-bête",SelectRace="peau-verte",SelectRace="créature du chaos",SelectRace="Homme-lézard",SelectRace="skaven"),"",IF(FirstCareer="1ère carrière","","Faussaire")))))</f>
        <v/>
      </c>
      <c r="T153" s="106">
        <f t="shared" si="115"/>
        <v>1</v>
      </c>
      <c r="U153" s="693" t="str">
        <f t="shared" si="105"/>
        <v/>
      </c>
      <c r="V153" s="693" t="str">
        <f t="shared" si="106"/>
        <v/>
      </c>
      <c r="W153" s="693" t="str">
        <f t="shared" si="107"/>
        <v/>
      </c>
      <c r="X153" s="89" t="s">
        <v>2153</v>
      </c>
      <c r="Y153" s="743" t="s">
        <v>7133</v>
      </c>
      <c r="Z153" s="55" t="s">
        <v>2208</v>
      </c>
      <c r="AA153" s="47">
        <v>124</v>
      </c>
      <c r="AB153" s="47" t="s">
        <v>2306</v>
      </c>
      <c r="AC153" s="47">
        <v>82</v>
      </c>
      <c r="AD153" s="15" t="s">
        <v>114</v>
      </c>
      <c r="AE153" s="15" t="s">
        <v>114</v>
      </c>
      <c r="AF153" s="15" t="s">
        <v>98</v>
      </c>
      <c r="AG153" s="15" t="s">
        <v>98</v>
      </c>
      <c r="AH153" s="15" t="s">
        <v>100</v>
      </c>
      <c r="AI153" s="15" t="s">
        <v>100</v>
      </c>
      <c r="AJ153" s="15" t="s">
        <v>98</v>
      </c>
      <c r="AK153" s="18" t="s">
        <v>98</v>
      </c>
      <c r="AL153" s="15" t="s">
        <v>149</v>
      </c>
      <c r="AM153" s="15" t="s">
        <v>115</v>
      </c>
      <c r="AN153" s="15" t="s">
        <v>149</v>
      </c>
      <c r="AO153" s="15" t="s">
        <v>149</v>
      </c>
      <c r="AP153" s="87" t="s">
        <v>3791</v>
      </c>
      <c r="AQ153" s="87" t="s">
        <v>15885</v>
      </c>
      <c r="AR153" s="22" t="s">
        <v>3792</v>
      </c>
      <c r="AS153" s="22" t="s">
        <v>3792</v>
      </c>
      <c r="AT153" s="22" t="s">
        <v>3454</v>
      </c>
      <c r="AU153" s="87" t="s">
        <v>16958</v>
      </c>
      <c r="AV153" s="87" t="s">
        <v>4634</v>
      </c>
      <c r="AW153" s="457">
        <v>0</v>
      </c>
      <c r="AX153" s="630" t="str">
        <f t="shared" si="109"/>
        <v/>
      </c>
      <c r="AY153" s="630" t="str">
        <f t="shared" si="110"/>
        <v/>
      </c>
      <c r="AZ153" s="630" t="str">
        <f t="shared" si="111"/>
        <v/>
      </c>
      <c r="BA153" s="3"/>
      <c r="BB153" s="3"/>
      <c r="BC153" s="3"/>
      <c r="BD153" s="3"/>
      <c r="BE153" s="3"/>
      <c r="BF153" s="3"/>
      <c r="BG153" s="3"/>
      <c r="BH153" s="3"/>
      <c r="BI153" s="3"/>
      <c r="BJ153" s="3"/>
      <c r="BK153" s="3"/>
      <c r="BL153" s="3"/>
      <c r="BM153" s="3"/>
      <c r="BN153" s="3"/>
      <c r="BP153" s="3"/>
      <c r="BR153" s="3"/>
      <c r="BS153" s="3"/>
      <c r="BT153" s="3"/>
      <c r="BU153" s="3"/>
      <c r="BV153" s="3"/>
      <c r="BW153" s="3"/>
      <c r="BX153" t="str">
        <f>IF(Province="Ka-Sabar","Petite communauté de Ka-Sabar","")</f>
        <v/>
      </c>
      <c r="BY153" t="str">
        <f t="shared" si="108"/>
        <v/>
      </c>
      <c r="BZ153" s="83" t="str">
        <f t="shared" si="100"/>
        <v/>
      </c>
      <c r="CA153" s="83" t="str">
        <f t="shared" si="101"/>
        <v/>
      </c>
      <c r="CB153" s="530" t="str">
        <f t="shared" si="102"/>
        <v/>
      </c>
      <c r="CC153" s="3" t="s">
        <v>3311</v>
      </c>
      <c r="CD153" t="s">
        <v>10693</v>
      </c>
      <c r="CG153" s="3" t="s">
        <v>6244</v>
      </c>
      <c r="CH153" s="3" t="s">
        <v>6024</v>
      </c>
      <c r="CI153" s="3"/>
      <c r="CJ153" s="3"/>
      <c r="CK153" t="s">
        <v>7001</v>
      </c>
      <c r="CM153" s="3" t="s">
        <v>6640</v>
      </c>
      <c r="CN153" s="3"/>
      <c r="CO153" s="3" t="str">
        <f>CONCATENATE("Grimlin",IF(AND('page 1'!M11="Féminin",Pays="Norsca"),"dottir",IF(AND('page 1'!M11="Masculin",Pays="Norsca"),"son",IF(AND('page 1'!M11="Féminin",Pays="Kislev"),"ovna",IF(AND('page 1'!M11="Masculin",Pays="Kislev"),"sky","")))))</f>
        <v>Grimlin</v>
      </c>
      <c r="CP153" s="3"/>
      <c r="CQ153" s="3"/>
      <c r="CR153" s="3" t="s">
        <v>13523</v>
      </c>
      <c r="CS153" s="3"/>
      <c r="CT153" s="3"/>
      <c r="CU153" s="3"/>
      <c r="CV153" s="3"/>
      <c r="CW153" s="3"/>
      <c r="CX153" s="3"/>
      <c r="CY153" s="3" t="s">
        <v>793</v>
      </c>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t="s">
        <v>3051</v>
      </c>
      <c r="EA153" s="83" t="s">
        <v>4547</v>
      </c>
      <c r="EB153" s="3"/>
      <c r="ED153" s="83" t="s">
        <v>12806</v>
      </c>
      <c r="EE153" s="83" t="s">
        <v>9450</v>
      </c>
      <c r="EF153" s="530" t="s">
        <v>12810</v>
      </c>
      <c r="EK153" s="874"/>
      <c r="EM153" s="90" t="s">
        <v>5204</v>
      </c>
      <c r="EN153" s="83" t="s">
        <v>5015</v>
      </c>
      <c r="EO153" s="83" t="s">
        <v>8773</v>
      </c>
      <c r="EP153" t="s">
        <v>5209</v>
      </c>
      <c r="EU153" s="177" t="str">
        <f>IF(Dieu="Ursun","Initié","")</f>
        <v/>
      </c>
      <c r="EV153" s="83" t="str">
        <f t="shared" si="99"/>
        <v/>
      </c>
      <c r="EW153" s="83" t="str">
        <f t="shared" si="103"/>
        <v/>
      </c>
      <c r="EX153" s="530" t="str">
        <f t="shared" si="104"/>
        <v/>
      </c>
      <c r="EY153" s="83" t="s">
        <v>16044</v>
      </c>
      <c r="EZ153" s="530" t="s">
        <v>16276</v>
      </c>
      <c r="FB153" s="83" t="s">
        <v>13055</v>
      </c>
      <c r="FC153" s="133" t="s">
        <v>7362</v>
      </c>
      <c r="FD153" s="85" t="s">
        <v>12985</v>
      </c>
      <c r="FE153" s="849">
        <v>34</v>
      </c>
      <c r="FF153">
        <v>33</v>
      </c>
      <c r="FG153">
        <v>0</v>
      </c>
      <c r="FH153">
        <v>50</v>
      </c>
      <c r="FI153">
        <v>50</v>
      </c>
      <c r="FJ153" s="10">
        <v>30</v>
      </c>
      <c r="FK153">
        <v>10</v>
      </c>
      <c r="FL153">
        <v>25</v>
      </c>
      <c r="FM153" s="165">
        <v>0</v>
      </c>
      <c r="FN153" s="88">
        <v>2</v>
      </c>
      <c r="FO153" s="88">
        <v>20</v>
      </c>
      <c r="FP153" s="164">
        <f>ROUNDDOWN(FH153/10,0)</f>
        <v>5</v>
      </c>
      <c r="FQ153" s="164">
        <f>ROUNDDOWN(FI153/10,0)</f>
        <v>5</v>
      </c>
      <c r="FR153" s="684">
        <v>1</v>
      </c>
      <c r="FS153" s="167">
        <v>0</v>
      </c>
      <c r="FT153" s="167">
        <v>0</v>
      </c>
      <c r="FU153" s="165">
        <v>0</v>
      </c>
      <c r="FV153" s="83" t="s">
        <v>13057</v>
      </c>
      <c r="FW153" s="83" t="s">
        <v>13056</v>
      </c>
      <c r="FX153" s="567" t="s">
        <v>7659</v>
      </c>
      <c r="GA153" s="83" t="s">
        <v>7445</v>
      </c>
      <c r="GF153" t="s">
        <v>7736</v>
      </c>
      <c r="GG153" s="341" t="s">
        <v>8999</v>
      </c>
      <c r="GH153" s="83" t="s">
        <v>8959</v>
      </c>
      <c r="GI153" s="83" t="s">
        <v>8937</v>
      </c>
      <c r="GJ153" s="83"/>
      <c r="GK153" s="530"/>
    </row>
    <row r="154" spans="8:193" ht="13.2" customHeight="1">
      <c r="H154" s="3"/>
      <c r="I154" s="3"/>
      <c r="J154" s="3"/>
      <c r="K154" s="3"/>
      <c r="L154" s="3"/>
      <c r="M154" s="651"/>
      <c r="N154" s="3"/>
      <c r="O154" s="3"/>
      <c r="P154" s="3"/>
      <c r="Q154" s="3"/>
      <c r="R154" s="651"/>
      <c r="S154" s="83" t="str">
        <f>IF(CareerType=Y153,"Fauconnier",IF(AllCareers="X","Fauconnier",IF(OR(Selectsousrace="",SelectRace="homme-bête",SelectRace="peau-verte",SelectRace="créature du chaos",SelectRace="Homme-lézard",SelectRace="skaven"),"","Fauconnier")))</f>
        <v/>
      </c>
      <c r="T154" s="106">
        <f t="shared" si="115"/>
        <v>0</v>
      </c>
      <c r="U154" s="693" t="str">
        <f t="shared" si="105"/>
        <v/>
      </c>
      <c r="V154" s="693" t="str">
        <f t="shared" si="106"/>
        <v/>
      </c>
      <c r="W154" s="693" t="str">
        <f t="shared" si="107"/>
        <v/>
      </c>
      <c r="X154" s="89" t="s">
        <v>2160</v>
      </c>
      <c r="Y154" s="744" t="s">
        <v>7131</v>
      </c>
      <c r="Z154" s="56" t="s">
        <v>15646</v>
      </c>
      <c r="AA154" s="89">
        <v>85</v>
      </c>
      <c r="AB154" s="89" t="s">
        <v>15647</v>
      </c>
      <c r="AD154" s="105" t="s">
        <v>149</v>
      </c>
      <c r="AE154" s="105" t="s">
        <v>15648</v>
      </c>
      <c r="AF154" s="105" t="s">
        <v>149</v>
      </c>
      <c r="AG154" s="105" t="s">
        <v>98</v>
      </c>
      <c r="AH154" s="105" t="s">
        <v>101</v>
      </c>
      <c r="AI154" s="105" t="s">
        <v>100</v>
      </c>
      <c r="AJ154" s="105" t="s">
        <v>149</v>
      </c>
      <c r="AK154" s="443" t="s">
        <v>101</v>
      </c>
      <c r="AL154" s="105" t="s">
        <v>149</v>
      </c>
      <c r="AM154" s="105" t="s">
        <v>102</v>
      </c>
      <c r="AN154" s="105" t="s">
        <v>149</v>
      </c>
      <c r="AO154" s="105" t="s">
        <v>149</v>
      </c>
      <c r="AP154" s="141" t="s">
        <v>15649</v>
      </c>
      <c r="AQ154" s="87" t="s">
        <v>734</v>
      </c>
      <c r="AR154" s="141" t="s">
        <v>15650</v>
      </c>
      <c r="AS154" s="87" t="s">
        <v>734</v>
      </c>
      <c r="AT154" s="87" t="s">
        <v>16049</v>
      </c>
      <c r="AU154" s="87" t="s">
        <v>15651</v>
      </c>
      <c r="AV154" s="87" t="s">
        <v>16959</v>
      </c>
      <c r="AW154" s="458">
        <v>3</v>
      </c>
      <c r="AX154" s="630" t="str">
        <f t="shared" si="109"/>
        <v/>
      </c>
      <c r="AY154" s="630" t="str">
        <f t="shared" si="110"/>
        <v/>
      </c>
      <c r="AZ154" s="630" t="str">
        <f t="shared" si="111"/>
        <v/>
      </c>
      <c r="BA154" s="3"/>
      <c r="BB154" s="3"/>
      <c r="BC154" s="3"/>
      <c r="BD154" s="3"/>
      <c r="BE154" s="3"/>
      <c r="BF154" s="3"/>
      <c r="BG154" s="3"/>
      <c r="BH154" s="3"/>
      <c r="BI154" s="3"/>
      <c r="BJ154" s="3"/>
      <c r="BK154" s="3"/>
      <c r="BL154" s="3"/>
      <c r="BM154" s="3"/>
      <c r="BN154" s="3"/>
      <c r="BP154" s="3"/>
      <c r="BR154" s="3"/>
      <c r="BS154" s="3"/>
      <c r="BT154" s="3"/>
      <c r="BU154" s="3"/>
      <c r="BV154" s="3"/>
      <c r="BW154" s="3"/>
      <c r="BX154" s="83" t="str">
        <f>IF(Province="Khalibon","Petite communauté de Khalibon","")</f>
        <v/>
      </c>
      <c r="BY154" t="str">
        <f t="shared" si="108"/>
        <v/>
      </c>
      <c r="BZ154" s="83" t="str">
        <f t="shared" si="100"/>
        <v/>
      </c>
      <c r="CA154" s="83" t="str">
        <f t="shared" si="101"/>
        <v/>
      </c>
      <c r="CB154" s="530" t="str">
        <f t="shared" si="102"/>
        <v/>
      </c>
      <c r="CC154" s="3" t="s">
        <v>1049</v>
      </c>
      <c r="CD154" s="3" t="s">
        <v>3210</v>
      </c>
      <c r="CG154" s="83" t="s">
        <v>15116</v>
      </c>
      <c r="CH154" s="3" t="s">
        <v>3122</v>
      </c>
      <c r="CI154" s="3"/>
      <c r="CJ154" s="3"/>
      <c r="CK154" s="3" t="s">
        <v>6910</v>
      </c>
      <c r="CM154" s="83" t="s">
        <v>15235</v>
      </c>
      <c r="CN154" s="3"/>
      <c r="CO154" s="3" t="s">
        <v>10981</v>
      </c>
      <c r="CP154" s="3"/>
      <c r="CQ154" s="3"/>
      <c r="CR154" s="3" t="s">
        <v>13524</v>
      </c>
      <c r="CS154" s="3"/>
      <c r="CT154" s="3"/>
      <c r="CU154" s="3"/>
      <c r="CV154" s="3"/>
      <c r="CW154" s="3"/>
      <c r="CX154" s="3"/>
      <c r="CY154" s="3" t="s">
        <v>795</v>
      </c>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t="s">
        <v>3052</v>
      </c>
      <c r="EA154" s="83" t="s">
        <v>4547</v>
      </c>
      <c r="EB154" s="3"/>
      <c r="ED154" s="83" t="s">
        <v>12807</v>
      </c>
      <c r="EE154" s="83" t="s">
        <v>9450</v>
      </c>
      <c r="EF154" s="530" t="s">
        <v>12811</v>
      </c>
      <c r="EK154" s="874"/>
      <c r="EM154" s="90" t="s">
        <v>5205</v>
      </c>
      <c r="EN154" s="83" t="s">
        <v>5015</v>
      </c>
      <c r="EO154" s="83" t="s">
        <v>5218</v>
      </c>
      <c r="EP154" t="s">
        <v>5209</v>
      </c>
      <c r="EU154" s="177" t="str">
        <f>IF(AND(Dieu="Ursun",'page 1'!M11="Masculin"),"Prêtres de père ours","")</f>
        <v/>
      </c>
      <c r="EV154" s="83" t="str">
        <f t="shared" si="99"/>
        <v/>
      </c>
      <c r="EW154" s="83" t="str">
        <f t="shared" si="103"/>
        <v/>
      </c>
      <c r="EX154" s="530" t="str">
        <f t="shared" si="104"/>
        <v/>
      </c>
      <c r="EY154" s="83" t="s">
        <v>419</v>
      </c>
      <c r="EZ154" s="530" t="s">
        <v>824</v>
      </c>
      <c r="FB154" s="83" t="s">
        <v>13065</v>
      </c>
      <c r="FC154" s="133" t="s">
        <v>7362</v>
      </c>
      <c r="FD154" s="85" t="s">
        <v>12985</v>
      </c>
      <c r="FE154" s="849">
        <v>31</v>
      </c>
      <c r="FF154">
        <v>36</v>
      </c>
      <c r="FG154">
        <v>0</v>
      </c>
      <c r="FH154">
        <v>35</v>
      </c>
      <c r="FI154">
        <v>30</v>
      </c>
      <c r="FJ154" s="10">
        <v>40</v>
      </c>
      <c r="FK154">
        <v>10</v>
      </c>
      <c r="FL154">
        <v>20</v>
      </c>
      <c r="FM154" s="531">
        <v>0</v>
      </c>
      <c r="FN154" s="88">
        <v>1</v>
      </c>
      <c r="FO154" s="88">
        <v>11</v>
      </c>
      <c r="FP154" s="164">
        <f>ROUNDDOWN(FH154/10,0)</f>
        <v>3</v>
      </c>
      <c r="FQ154" s="164">
        <f>ROUNDDOWN(FI154/10,0)</f>
        <v>3</v>
      </c>
      <c r="FR154" s="684">
        <v>6</v>
      </c>
      <c r="FS154" s="167">
        <v>0</v>
      </c>
      <c r="FT154" s="167">
        <v>0</v>
      </c>
      <c r="FU154" s="531">
        <v>0</v>
      </c>
      <c r="FV154" s="83" t="s">
        <v>13075</v>
      </c>
      <c r="FW154" s="83" t="s">
        <v>13050</v>
      </c>
      <c r="FX154" s="567" t="s">
        <v>7659</v>
      </c>
      <c r="GA154" s="83" t="s">
        <v>7619</v>
      </c>
      <c r="GF154" t="s">
        <v>7737</v>
      </c>
      <c r="GG154" s="341" t="s">
        <v>8967</v>
      </c>
      <c r="GH154" s="83" t="s">
        <v>8959</v>
      </c>
      <c r="GI154" s="83" t="s">
        <v>8937</v>
      </c>
      <c r="GJ154" s="83"/>
      <c r="GK154" s="530"/>
    </row>
    <row r="155" spans="8:193" ht="13.2" customHeight="1">
      <c r="H155" s="3"/>
      <c r="I155" s="3"/>
      <c r="J155" s="3"/>
      <c r="K155" s="3"/>
      <c r="L155" s="3"/>
      <c r="M155" s="651"/>
      <c r="N155" s="3"/>
      <c r="O155" s="3"/>
      <c r="P155" s="3"/>
      <c r="Q155" s="3"/>
      <c r="R155" s="651"/>
      <c r="S155" s="83" t="str">
        <f>IF(CareerType=Y155,"Femme-médecine",IF(AllCareers="X","Femme-médecine",IF('page 1'!M11="","",IF(OR(SelectRace="homme-bête",SelectRace="peau-verte",SelectRace="créature du chaos",SelectRace="Homme-lézard",SelectRace="skaven"),"",IF(AND('page 1'!M11="féminin",Pays="Kislev"),"Femme-médecine","")))))</f>
        <v/>
      </c>
      <c r="T155" s="106">
        <f t="shared" si="115"/>
        <v>0</v>
      </c>
      <c r="U155" s="693" t="str">
        <f t="shared" si="105"/>
        <v/>
      </c>
      <c r="V155" s="693" t="str">
        <f t="shared" si="106"/>
        <v/>
      </c>
      <c r="W155" s="693" t="str">
        <f t="shared" si="107"/>
        <v/>
      </c>
      <c r="X155" s="47" t="s">
        <v>2160</v>
      </c>
      <c r="Y155" s="743" t="s">
        <v>7131</v>
      </c>
      <c r="Z155" s="55" t="s">
        <v>1319</v>
      </c>
      <c r="AA155" s="47">
        <v>101</v>
      </c>
      <c r="AB155" s="47" t="s">
        <v>2307</v>
      </c>
      <c r="AC155" s="47">
        <v>228</v>
      </c>
      <c r="AD155" s="15" t="s">
        <v>149</v>
      </c>
      <c r="AE155" s="15" t="s">
        <v>149</v>
      </c>
      <c r="AF155" s="15" t="s">
        <v>149</v>
      </c>
      <c r="AG155" s="15" t="s">
        <v>114</v>
      </c>
      <c r="AH155" s="15" t="s">
        <v>149</v>
      </c>
      <c r="AI155" s="15" t="s">
        <v>101</v>
      </c>
      <c r="AJ155" s="15" t="s">
        <v>98</v>
      </c>
      <c r="AK155" s="18" t="s">
        <v>114</v>
      </c>
      <c r="AL155" s="15" t="s">
        <v>149</v>
      </c>
      <c r="AM155" s="15" t="s">
        <v>113</v>
      </c>
      <c r="AN155" s="15" t="s">
        <v>149</v>
      </c>
      <c r="AO155" s="15" t="s">
        <v>149</v>
      </c>
      <c r="AP155" s="22" t="s">
        <v>771</v>
      </c>
      <c r="AQ155" s="87" t="s">
        <v>734</v>
      </c>
      <c r="AR155" s="22" t="s">
        <v>336</v>
      </c>
      <c r="AS155" s="87" t="s">
        <v>734</v>
      </c>
      <c r="AT155" s="22" t="s">
        <v>3455</v>
      </c>
      <c r="AU155" s="87" t="s">
        <v>16266</v>
      </c>
      <c r="AV155" s="87" t="s">
        <v>16884</v>
      </c>
      <c r="AW155" s="457">
        <v>0</v>
      </c>
      <c r="AX155" s="630" t="str">
        <f t="shared" si="109"/>
        <v/>
      </c>
      <c r="AY155" s="630" t="str">
        <f t="shared" si="110"/>
        <v/>
      </c>
      <c r="AZ155" s="630" t="str">
        <f t="shared" si="111"/>
        <v/>
      </c>
      <c r="BA155" s="3"/>
      <c r="BB155" s="3"/>
      <c r="BC155" s="3"/>
      <c r="BD155" s="3"/>
      <c r="BE155" s="3"/>
      <c r="BF155" s="3"/>
      <c r="BG155" s="3"/>
      <c r="BH155" s="3"/>
      <c r="BI155" s="3"/>
      <c r="BJ155" s="3"/>
      <c r="BK155" s="3"/>
      <c r="BL155" s="3"/>
      <c r="BM155" s="3"/>
      <c r="BN155" s="3"/>
      <c r="BP155" s="3"/>
      <c r="BR155" s="3"/>
      <c r="BS155" s="3"/>
      <c r="BT155" s="3"/>
      <c r="BU155" s="3"/>
      <c r="BV155" s="3"/>
      <c r="BW155" s="3"/>
      <c r="BX155" s="83" t="str">
        <f>IF(Province="Lashiek","Petite communauté de Lashiek","")</f>
        <v/>
      </c>
      <c r="BY155" t="str">
        <f t="shared" si="108"/>
        <v/>
      </c>
      <c r="BZ155" s="83" t="str">
        <f t="shared" si="100"/>
        <v/>
      </c>
      <c r="CA155" s="83" t="str">
        <f t="shared" si="101"/>
        <v/>
      </c>
      <c r="CB155" s="530" t="str">
        <f t="shared" si="102"/>
        <v/>
      </c>
      <c r="CC155" s="3" t="s">
        <v>3312</v>
      </c>
      <c r="CD155" t="s">
        <v>10694</v>
      </c>
      <c r="CG155" s="3" t="s">
        <v>6245</v>
      </c>
      <c r="CH155" s="3" t="s">
        <v>6025</v>
      </c>
      <c r="CI155" s="3"/>
      <c r="CJ155" s="3"/>
      <c r="CK155" s="3" t="s">
        <v>6873</v>
      </c>
      <c r="CM155" t="s">
        <v>10344</v>
      </c>
      <c r="CN155" s="3"/>
      <c r="CO155" s="3" t="str">
        <f>CONCATENATE("Grindol",IF(AND('page 1'!M11="Féminin",Pays="Norsca"),"dottir",IF(AND('page 1'!M11="Masculin",Pays="Norsca"),"son",IF(AND('page 1'!M11="Féminin",Pays="Kislev"),"ovna",IF(AND('page 1'!M11="Masculin",Pays="Kislev"),"sky","")))))</f>
        <v>Grindol</v>
      </c>
      <c r="CP155" s="3"/>
      <c r="CQ155" s="3"/>
      <c r="CR155" t="s">
        <v>13525</v>
      </c>
      <c r="CS155" s="3"/>
      <c r="CT155" s="3"/>
      <c r="CU155" s="3"/>
      <c r="CV155" s="3"/>
      <c r="CW155" s="3"/>
      <c r="CX155" s="3"/>
      <c r="CY155" s="39" t="s">
        <v>259</v>
      </c>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t="s">
        <v>3053</v>
      </c>
      <c r="EA155" s="83" t="s">
        <v>4547</v>
      </c>
      <c r="EB155" s="3"/>
      <c r="ED155" s="83" t="s">
        <v>12808</v>
      </c>
      <c r="EE155" s="83" t="s">
        <v>9450</v>
      </c>
      <c r="EF155" s="530" t="s">
        <v>12812</v>
      </c>
      <c r="EK155" s="874"/>
      <c r="EM155" s="90" t="s">
        <v>5206</v>
      </c>
      <c r="EN155" s="83" t="s">
        <v>5015</v>
      </c>
      <c r="EO155" s="83" t="s">
        <v>5219</v>
      </c>
      <c r="EP155" t="s">
        <v>5209</v>
      </c>
      <c r="EU155" s="177" t="str">
        <f>IF(Dieu="Uzzal","Initié","")</f>
        <v/>
      </c>
      <c r="EV155" s="83" t="str">
        <f t="shared" si="99"/>
        <v/>
      </c>
      <c r="EW155" s="83" t="str">
        <f t="shared" si="103"/>
        <v/>
      </c>
      <c r="EX155" s="530" t="str">
        <f t="shared" si="104"/>
        <v/>
      </c>
      <c r="EZ155" s="530" t="s">
        <v>9643</v>
      </c>
      <c r="FB155" s="90" t="s">
        <v>13036</v>
      </c>
      <c r="FC155" s="133" t="s">
        <v>7362</v>
      </c>
      <c r="FD155" t="s">
        <v>7245</v>
      </c>
      <c r="FE155" s="849">
        <v>95</v>
      </c>
      <c r="FF155">
        <v>65</v>
      </c>
      <c r="FG155">
        <v>0</v>
      </c>
      <c r="FH155">
        <v>44</v>
      </c>
      <c r="FI155">
        <v>43</v>
      </c>
      <c r="FJ155" s="10">
        <v>52</v>
      </c>
      <c r="FK155">
        <v>38</v>
      </c>
      <c r="FL155">
        <v>43</v>
      </c>
      <c r="FM155" s="165">
        <v>25</v>
      </c>
      <c r="FN155" s="88">
        <v>2</v>
      </c>
      <c r="FO155" s="88">
        <v>26</v>
      </c>
      <c r="FP155" s="164">
        <f>ROUNDDOWN(FH155/10,0)</f>
        <v>4</v>
      </c>
      <c r="FQ155" s="164">
        <f>ROUNDDOWN(FI155/10,0)</f>
        <v>4</v>
      </c>
      <c r="FR155" s="683" t="s">
        <v>9363</v>
      </c>
      <c r="FS155">
        <v>0</v>
      </c>
      <c r="FT155">
        <v>0</v>
      </c>
      <c r="FU155" s="165">
        <v>0</v>
      </c>
      <c r="FV155" t="s">
        <v>9364</v>
      </c>
      <c r="FW155" s="83" t="s">
        <v>14714</v>
      </c>
      <c r="FX155" s="531" t="s">
        <v>7657</v>
      </c>
      <c r="GA155" s="83" t="s">
        <v>7629</v>
      </c>
      <c r="GE155" s="356"/>
      <c r="GF155" t="s">
        <v>8248</v>
      </c>
      <c r="GG155" s="356" t="s">
        <v>8962</v>
      </c>
      <c r="GH155" s="83" t="s">
        <v>8959</v>
      </c>
      <c r="GI155" s="83" t="s">
        <v>8937</v>
      </c>
      <c r="GJ155" s="83"/>
      <c r="GK155" s="530"/>
    </row>
    <row r="156" spans="8:193" ht="13.2" customHeight="1">
      <c r="H156" s="3"/>
      <c r="I156" s="3"/>
      <c r="J156" s="3"/>
      <c r="K156" s="3"/>
      <c r="L156" s="3"/>
      <c r="M156" s="651"/>
      <c r="N156" s="3"/>
      <c r="O156" s="3"/>
      <c r="P156" s="3"/>
      <c r="Q156" s="3"/>
      <c r="R156" s="651"/>
      <c r="S156" s="83" t="str">
        <f>IF(CareerType=Y156,"Fermier",IF(AllCareers="X","Fermier",IF(Pays="Bretonnie","Fermier",IF(Pays="Estalie","Fermier",IF(Pays="Tilée","Fermier",IF(OR(SelectRace="homme-bête",SelectRace="peau-verte",SelectRace="créature du chaos",SelectRace="Homme-lézard"),"",IF(OR(Selectsousrace&lt;&gt;"Halfling",Selectsousrace&lt;&gt;"Humain"),"","Fermier")))))))</f>
        <v/>
      </c>
      <c r="T156" s="106">
        <f t="shared" si="115"/>
        <v>0</v>
      </c>
      <c r="U156" s="693" t="str">
        <f t="shared" si="105"/>
        <v/>
      </c>
      <c r="V156" s="693" t="str">
        <f t="shared" si="106"/>
        <v/>
      </c>
      <c r="W156" s="693" t="str">
        <f t="shared" si="107"/>
        <v/>
      </c>
      <c r="X156" s="48" t="s">
        <v>2160</v>
      </c>
      <c r="Y156" s="744" t="s">
        <v>7132</v>
      </c>
      <c r="Z156" s="55" t="s">
        <v>2176</v>
      </c>
      <c r="AA156" s="48">
        <v>75</v>
      </c>
      <c r="AB156" s="48" t="s">
        <v>2175</v>
      </c>
      <c r="AC156" s="48">
        <v>75</v>
      </c>
      <c r="AD156" s="15" t="s">
        <v>114</v>
      </c>
      <c r="AE156" s="15" t="s">
        <v>114</v>
      </c>
      <c r="AF156" s="15" t="s">
        <v>98</v>
      </c>
      <c r="AG156" s="15" t="s">
        <v>98</v>
      </c>
      <c r="AH156" s="15" t="s">
        <v>114</v>
      </c>
      <c r="AI156" s="15" t="s">
        <v>149</v>
      </c>
      <c r="AJ156" s="15" t="s">
        <v>114</v>
      </c>
      <c r="AK156" s="18" t="s">
        <v>149</v>
      </c>
      <c r="AL156" s="15" t="s">
        <v>149</v>
      </c>
      <c r="AM156" s="15" t="s">
        <v>113</v>
      </c>
      <c r="AN156" s="15" t="s">
        <v>149</v>
      </c>
      <c r="AO156" s="15" t="s">
        <v>149</v>
      </c>
      <c r="AP156" s="22" t="s">
        <v>12266</v>
      </c>
      <c r="AQ156" s="87" t="s">
        <v>734</v>
      </c>
      <c r="AR156" s="87" t="s">
        <v>15850</v>
      </c>
      <c r="AS156" s="87" t="s">
        <v>734</v>
      </c>
      <c r="AT156" s="87" t="s">
        <v>16960</v>
      </c>
      <c r="AU156" s="87" t="s">
        <v>16961</v>
      </c>
      <c r="AV156" s="87" t="s">
        <v>9979</v>
      </c>
      <c r="AW156" s="457">
        <v>0</v>
      </c>
      <c r="AX156" s="630" t="str">
        <f t="shared" si="109"/>
        <v/>
      </c>
      <c r="AY156" s="630" t="str">
        <f t="shared" si="110"/>
        <v/>
      </c>
      <c r="AZ156" s="630" t="str">
        <f t="shared" si="111"/>
        <v/>
      </c>
      <c r="BD156" s="3"/>
      <c r="BE156" s="3"/>
      <c r="BF156" s="3"/>
      <c r="BG156" s="3"/>
      <c r="BH156" s="3"/>
      <c r="BI156" s="3"/>
      <c r="BJ156" s="3"/>
      <c r="BK156" s="3"/>
      <c r="BL156" s="3"/>
      <c r="BM156" s="3"/>
      <c r="BN156" s="3"/>
      <c r="BP156" s="3"/>
      <c r="BR156" s="3"/>
      <c r="BS156" s="3"/>
      <c r="BT156" s="3"/>
      <c r="BU156" s="3"/>
      <c r="BV156" s="3"/>
      <c r="BW156" s="3"/>
      <c r="BX156" s="83" t="str">
        <f>IF(Province="Lazzara","Petite communauté de Lazzara","")</f>
        <v/>
      </c>
      <c r="BY156" t="str">
        <f t="shared" si="108"/>
        <v/>
      </c>
      <c r="BZ156" s="83" t="str">
        <f t="shared" si="100"/>
        <v/>
      </c>
      <c r="CA156" s="83" t="str">
        <f t="shared" si="101"/>
        <v/>
      </c>
      <c r="CB156" s="530" t="str">
        <f t="shared" si="102"/>
        <v/>
      </c>
      <c r="CC156" s="3" t="s">
        <v>3313</v>
      </c>
      <c r="CD156" s="3" t="s">
        <v>1072</v>
      </c>
      <c r="CG156" s="3" t="s">
        <v>6246</v>
      </c>
      <c r="CH156" s="83" t="s">
        <v>6130</v>
      </c>
      <c r="CI156" s="3"/>
      <c r="CJ156" s="3"/>
      <c r="CK156" s="3" t="s">
        <v>6747</v>
      </c>
      <c r="CM156" t="s">
        <v>10343</v>
      </c>
      <c r="CN156" s="3"/>
      <c r="CO156" s="3" t="s">
        <v>10970</v>
      </c>
      <c r="CP156" s="3"/>
      <c r="CQ156" s="3"/>
      <c r="CR156" s="3" t="s">
        <v>13526</v>
      </c>
      <c r="CS156" s="3"/>
      <c r="CT156" s="3"/>
      <c r="CU156" s="3"/>
      <c r="CV156" s="3"/>
      <c r="CW156" s="3"/>
      <c r="CX156" s="3"/>
      <c r="CY156" s="3" t="s">
        <v>794</v>
      </c>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t="s">
        <v>3054</v>
      </c>
      <c r="EA156" s="83" t="s">
        <v>4547</v>
      </c>
      <c r="EB156" s="3"/>
      <c r="ED156" s="83" t="s">
        <v>12297</v>
      </c>
      <c r="EE156" s="83" t="s">
        <v>9450</v>
      </c>
      <c r="EF156" s="567" t="s">
        <v>12298</v>
      </c>
      <c r="EK156" s="874"/>
      <c r="EM156" s="90" t="s">
        <v>5207</v>
      </c>
      <c r="EN156" s="83" t="s">
        <v>5015</v>
      </c>
      <c r="EO156" s="83" t="s">
        <v>5220</v>
      </c>
      <c r="EP156" t="s">
        <v>5209</v>
      </c>
      <c r="EU156" s="177" t="str">
        <f>IF(Dieu="Valaya","Adepte/Croyant","")</f>
        <v/>
      </c>
      <c r="EV156" s="83" t="str">
        <f t="shared" si="99"/>
        <v/>
      </c>
      <c r="EW156" s="83" t="str">
        <f t="shared" si="103"/>
        <v/>
      </c>
      <c r="EX156" s="530" t="str">
        <f t="shared" si="104"/>
        <v/>
      </c>
      <c r="EZ156" s="530" t="s">
        <v>5905</v>
      </c>
      <c r="FB156" s="83" t="s">
        <v>13095</v>
      </c>
      <c r="FC156" s="133" t="s">
        <v>7362</v>
      </c>
      <c r="FD156" s="562" t="s">
        <v>4551</v>
      </c>
      <c r="FF156">
        <v>30</v>
      </c>
      <c r="FG156">
        <v>0</v>
      </c>
      <c r="FH156">
        <v>40</v>
      </c>
      <c r="FI156">
        <v>30</v>
      </c>
      <c r="FJ156" s="10">
        <v>35</v>
      </c>
      <c r="FK156">
        <v>25</v>
      </c>
      <c r="FL156">
        <v>60</v>
      </c>
      <c r="FM156" s="165">
        <v>15</v>
      </c>
      <c r="FN156">
        <v>1</v>
      </c>
      <c r="FO156">
        <v>10</v>
      </c>
      <c r="FP156" s="164">
        <f>ROUNDDOWN(FH156/10,0)</f>
        <v>4</v>
      </c>
      <c r="FQ156" s="164">
        <f>ROUNDDOWN(FI156/10,0)</f>
        <v>3</v>
      </c>
      <c r="FR156" s="10">
        <v>9</v>
      </c>
      <c r="FS156">
        <v>0</v>
      </c>
      <c r="FT156">
        <v>0</v>
      </c>
      <c r="FU156" s="165">
        <v>0</v>
      </c>
      <c r="FV156" t="s">
        <v>9364</v>
      </c>
      <c r="FW156" s="83" t="s">
        <v>12208</v>
      </c>
      <c r="FX156" s="531" t="s">
        <v>7659</v>
      </c>
      <c r="GA156" t="s">
        <v>7492</v>
      </c>
      <c r="GE156" s="356"/>
      <c r="GF156" t="s">
        <v>7738</v>
      </c>
      <c r="GG156" s="356" t="s">
        <v>8963</v>
      </c>
      <c r="GH156" s="83" t="s">
        <v>8959</v>
      </c>
      <c r="GI156" s="83" t="s">
        <v>8937</v>
      </c>
      <c r="GJ156" s="83"/>
      <c r="GK156" s="530"/>
    </row>
    <row r="157" spans="8:193" ht="13.2" customHeight="1">
      <c r="H157" s="3"/>
      <c r="I157" s="3"/>
      <c r="J157" s="3"/>
      <c r="K157" s="3"/>
      <c r="L157" s="3"/>
      <c r="M157" s="651"/>
      <c r="N157" s="3"/>
      <c r="O157" s="3"/>
      <c r="P157" s="3"/>
      <c r="Q157" s="3"/>
      <c r="R157" s="651"/>
      <c r="S157" s="83" t="str">
        <f>IF(CareerType=Y157,"Flagellant",IF(AllCareers="X","Flagellant",IF(Selectsousrace="","",IF(OR(SelectRace="homme-bête",SelectRace="peau-verte",SelectRace="créature du chaos",SelectRace="Homme-lézard",SelectRace="skaven"),"",IF(FirstCareer="1ère carrière","","Flagellant")))))</f>
        <v/>
      </c>
      <c r="T157" s="106">
        <f t="shared" si="115"/>
        <v>1</v>
      </c>
      <c r="U157" s="693" t="str">
        <f t="shared" si="105"/>
        <v/>
      </c>
      <c r="V157" s="693" t="str">
        <f t="shared" si="106"/>
        <v/>
      </c>
      <c r="W157" s="693" t="str">
        <f t="shared" si="107"/>
        <v/>
      </c>
      <c r="X157" s="47" t="s">
        <v>2153</v>
      </c>
      <c r="Y157" s="743" t="s">
        <v>7134</v>
      </c>
      <c r="Z157" s="55" t="s">
        <v>2200</v>
      </c>
      <c r="AA157" s="47">
        <v>72</v>
      </c>
      <c r="AB157" s="47" t="s">
        <v>450</v>
      </c>
      <c r="AC157" s="47">
        <v>80</v>
      </c>
      <c r="AD157" s="15" t="s">
        <v>101</v>
      </c>
      <c r="AE157" s="15" t="s">
        <v>149</v>
      </c>
      <c r="AF157" s="15" t="s">
        <v>98</v>
      </c>
      <c r="AG157" s="15" t="s">
        <v>101</v>
      </c>
      <c r="AH157" s="20" t="s">
        <v>114</v>
      </c>
      <c r="AI157" s="15" t="s">
        <v>149</v>
      </c>
      <c r="AJ157" s="15" t="s">
        <v>100</v>
      </c>
      <c r="AK157" s="18" t="s">
        <v>98</v>
      </c>
      <c r="AL157" s="15" t="s">
        <v>102</v>
      </c>
      <c r="AM157" s="15" t="s">
        <v>112</v>
      </c>
      <c r="AN157" s="15" t="s">
        <v>149</v>
      </c>
      <c r="AO157" s="15" t="s">
        <v>149</v>
      </c>
      <c r="AP157" s="87" t="s">
        <v>10002</v>
      </c>
      <c r="AQ157" s="87" t="s">
        <v>734</v>
      </c>
      <c r="AR157" s="87" t="s">
        <v>15681</v>
      </c>
      <c r="AS157" s="87" t="s">
        <v>734</v>
      </c>
      <c r="AT157" s="22" t="s">
        <v>3456</v>
      </c>
      <c r="AU157" s="87" t="s">
        <v>5360</v>
      </c>
      <c r="AV157" s="87" t="s">
        <v>4933</v>
      </c>
      <c r="AW157" s="457">
        <v>0</v>
      </c>
      <c r="AX157" s="630" t="str">
        <f t="shared" si="109"/>
        <v/>
      </c>
      <c r="AY157" s="630" t="str">
        <f t="shared" si="110"/>
        <v/>
      </c>
      <c r="AZ157" s="630" t="str">
        <f t="shared" si="111"/>
        <v/>
      </c>
      <c r="BM157" s="3"/>
      <c r="BN157" s="3"/>
      <c r="BP157" s="3"/>
      <c r="BR157" s="3"/>
      <c r="BS157" s="3"/>
      <c r="BT157" s="3"/>
      <c r="BU157" s="3"/>
      <c r="BV157" s="3"/>
      <c r="BW157" s="3"/>
      <c r="BX157" s="83" t="str">
        <f>IF(Province="Mahabbah","Petite communauté de Mahabbah","")</f>
        <v/>
      </c>
      <c r="BY157" t="str">
        <f t="shared" si="108"/>
        <v/>
      </c>
      <c r="BZ157" s="83" t="str">
        <f t="shared" si="100"/>
        <v/>
      </c>
      <c r="CA157" s="83" t="str">
        <f t="shared" si="101"/>
        <v/>
      </c>
      <c r="CB157" s="530" t="str">
        <f t="shared" si="102"/>
        <v/>
      </c>
      <c r="CC157" s="3" t="s">
        <v>10731</v>
      </c>
      <c r="CD157" t="s">
        <v>10695</v>
      </c>
      <c r="CG157" s="3" t="s">
        <v>6247</v>
      </c>
      <c r="CH157" s="3" t="s">
        <v>3123</v>
      </c>
      <c r="CI157" s="3"/>
      <c r="CJ157" s="3"/>
      <c r="CK157" s="3" t="s">
        <v>6793</v>
      </c>
      <c r="CM157" s="3" t="s">
        <v>6641</v>
      </c>
      <c r="CN157" s="3"/>
      <c r="CO157" s="3" t="s">
        <v>10973</v>
      </c>
      <c r="CP157" s="3"/>
      <c r="CQ157" s="3"/>
      <c r="CR157" s="3" t="s">
        <v>13527</v>
      </c>
      <c r="CS157" s="3"/>
      <c r="CT157" s="3"/>
      <c r="CU157" s="3"/>
      <c r="CV157" s="3"/>
      <c r="CW157" s="3"/>
      <c r="CX157" s="3"/>
      <c r="CY157" s="3" t="s">
        <v>796</v>
      </c>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t="s">
        <v>3055</v>
      </c>
      <c r="EA157" s="83" t="s">
        <v>4547</v>
      </c>
      <c r="EB157" s="3"/>
      <c r="ED157" s="83" t="s">
        <v>12195</v>
      </c>
      <c r="EE157" s="83" t="s">
        <v>11513</v>
      </c>
      <c r="EF157" s="540" t="s">
        <v>16962</v>
      </c>
      <c r="EK157" s="874"/>
      <c r="EM157" s="90" t="s">
        <v>5208</v>
      </c>
      <c r="EN157" s="83" t="s">
        <v>5015</v>
      </c>
      <c r="EO157" s="83" t="s">
        <v>5221</v>
      </c>
      <c r="EP157" t="s">
        <v>5209</v>
      </c>
      <c r="EU157" s="177" t="str">
        <f>IF(Dieu="Valaya","Initié","")</f>
        <v/>
      </c>
      <c r="EV157" s="83" t="str">
        <f t="shared" si="99"/>
        <v/>
      </c>
      <c r="EW157" s="83" t="str">
        <f t="shared" si="103"/>
        <v/>
      </c>
      <c r="EX157" s="530" t="str">
        <f t="shared" si="104"/>
        <v/>
      </c>
      <c r="EY157" s="83" t="s">
        <v>9139</v>
      </c>
      <c r="EZ157" s="530" t="s">
        <v>12244</v>
      </c>
      <c r="FB157" s="83" t="s">
        <v>13094</v>
      </c>
      <c r="FC157" s="133" t="s">
        <v>7362</v>
      </c>
      <c r="FD157" t="s">
        <v>7245</v>
      </c>
      <c r="FE157" s="849">
        <v>92</v>
      </c>
      <c r="FF157">
        <v>42</v>
      </c>
      <c r="FG157" s="83">
        <v>0</v>
      </c>
      <c r="FH157" s="83">
        <v>39</v>
      </c>
      <c r="FI157" s="83">
        <v>36</v>
      </c>
      <c r="FJ157" s="683">
        <v>53</v>
      </c>
      <c r="FK157" s="83">
        <v>15</v>
      </c>
      <c r="FL157" s="83">
        <v>37</v>
      </c>
      <c r="FM157" s="165">
        <v>18</v>
      </c>
      <c r="FN157" s="88">
        <v>1</v>
      </c>
      <c r="FO157" s="88">
        <v>15</v>
      </c>
      <c r="FP157" s="164">
        <f>ROUNDDOWN(FH157/10,0)</f>
        <v>3</v>
      </c>
      <c r="FQ157" s="164">
        <f>ROUNDDOWN(FI157/10,0)</f>
        <v>3</v>
      </c>
      <c r="FR157" s="683" t="s">
        <v>7253</v>
      </c>
      <c r="FS157" s="88">
        <v>0</v>
      </c>
      <c r="FT157" s="88">
        <v>0</v>
      </c>
      <c r="FU157" s="165">
        <v>0</v>
      </c>
      <c r="FV157" t="s">
        <v>7252</v>
      </c>
      <c r="FW157" t="s">
        <v>9359</v>
      </c>
      <c r="FX157" s="567" t="s">
        <v>7657</v>
      </c>
      <c r="GA157" s="83" t="s">
        <v>7606</v>
      </c>
      <c r="GE157" s="356"/>
      <c r="GF157" t="s">
        <v>8230</v>
      </c>
      <c r="GG157" s="356" t="s">
        <v>8961</v>
      </c>
      <c r="GH157" s="83" t="s">
        <v>8959</v>
      </c>
      <c r="GI157" s="83" t="s">
        <v>8937</v>
      </c>
      <c r="GJ157" s="83"/>
      <c r="GK157" s="530"/>
    </row>
    <row r="158" spans="8:193" ht="13.2" customHeight="1">
      <c r="H158" s="3"/>
      <c r="I158" s="3"/>
      <c r="J158" s="3"/>
      <c r="K158" s="3"/>
      <c r="L158" s="3"/>
      <c r="M158" s="651"/>
      <c r="N158" s="3"/>
      <c r="O158" s="3"/>
      <c r="P158" s="3"/>
      <c r="Q158" s="3"/>
      <c r="R158" s="651"/>
      <c r="S158" s="83" t="str">
        <f>IF(CareerType=Y158,"Fossoyeur",IF(AllCareers="X","Fossoyeur",IF(OR(SelectRace="homme-bête",SelectRace="peau-verte",SelectRace="créature du chaos",SelectRace="Homme-lézard",SelectRace="skaven"),"",IF(Pays="Empire","Fossoyeur",IF(Pays="Bretonnie","Fossoyeur",IF(Pays="Estalie","Fossoyeur",IF(Pays="Tilée","Fossoyeur",IF(SelectRace="Halfling","Fossoyeur",IF(SelectRace="Nain","Fossoyeur","")))))))))</f>
        <v/>
      </c>
      <c r="T158" s="106">
        <f t="shared" si="115"/>
        <v>0</v>
      </c>
      <c r="U158" s="693" t="str">
        <f t="shared" si="105"/>
        <v/>
      </c>
      <c r="V158" s="693" t="str">
        <f t="shared" si="106"/>
        <v/>
      </c>
      <c r="W158" s="693" t="str">
        <f t="shared" si="107"/>
        <v/>
      </c>
      <c r="X158" s="47" t="s">
        <v>2160</v>
      </c>
      <c r="Y158" s="743" t="s">
        <v>7130</v>
      </c>
      <c r="Z158" s="55" t="s">
        <v>2198</v>
      </c>
      <c r="AA158" s="47">
        <v>92</v>
      </c>
      <c r="AB158" s="47" t="s">
        <v>2308</v>
      </c>
      <c r="AC158" s="47">
        <v>93</v>
      </c>
      <c r="AD158" s="15" t="s">
        <v>114</v>
      </c>
      <c r="AE158" s="15" t="s">
        <v>114</v>
      </c>
      <c r="AF158" s="15" t="s">
        <v>98</v>
      </c>
      <c r="AG158" s="15" t="s">
        <v>98</v>
      </c>
      <c r="AH158" s="15" t="s">
        <v>149</v>
      </c>
      <c r="AI158" s="15" t="s">
        <v>149</v>
      </c>
      <c r="AJ158" s="15" t="s">
        <v>98</v>
      </c>
      <c r="AK158" s="18" t="s">
        <v>149</v>
      </c>
      <c r="AL158" s="15" t="s">
        <v>149</v>
      </c>
      <c r="AM158" s="15" t="s">
        <v>113</v>
      </c>
      <c r="AN158" s="15" t="s">
        <v>149</v>
      </c>
      <c r="AO158" s="15" t="s">
        <v>149</v>
      </c>
      <c r="AP158" s="22" t="s">
        <v>784</v>
      </c>
      <c r="AQ158" s="87" t="s">
        <v>734</v>
      </c>
      <c r="AR158" s="87" t="s">
        <v>15124</v>
      </c>
      <c r="AS158" s="87" t="s">
        <v>734</v>
      </c>
      <c r="AT158" s="22" t="s">
        <v>3457</v>
      </c>
      <c r="AU158" s="87" t="s">
        <v>16963</v>
      </c>
      <c r="AV158" s="87" t="s">
        <v>4694</v>
      </c>
      <c r="AW158" s="457">
        <v>0</v>
      </c>
      <c r="AX158" s="630" t="str">
        <f t="shared" si="109"/>
        <v/>
      </c>
      <c r="AY158" s="630" t="str">
        <f t="shared" si="110"/>
        <v/>
      </c>
      <c r="AZ158" s="630" t="str">
        <f t="shared" si="111"/>
        <v/>
      </c>
      <c r="BA158" s="3"/>
      <c r="BB158" s="3"/>
      <c r="BC158" s="3"/>
      <c r="BD158" s="3"/>
      <c r="BE158" s="3"/>
      <c r="BF158" s="3"/>
      <c r="BG158" s="3"/>
      <c r="BH158" s="3"/>
      <c r="BI158" s="3"/>
      <c r="BJ158" s="3"/>
      <c r="BK158" s="3"/>
      <c r="BL158" s="3"/>
      <c r="BM158" s="3"/>
      <c r="BN158" s="3"/>
      <c r="BP158" s="3"/>
      <c r="BR158" s="3"/>
      <c r="BS158" s="3"/>
      <c r="BT158" s="3"/>
      <c r="BU158" s="3"/>
      <c r="BV158" s="3"/>
      <c r="BW158" s="3"/>
      <c r="BX158" t="str">
        <f>IF(Province="Martek","Petite communauté de Martek","")</f>
        <v/>
      </c>
      <c r="BY158" t="str">
        <f t="shared" si="108"/>
        <v/>
      </c>
      <c r="BZ158" s="83" t="str">
        <f t="shared" si="100"/>
        <v/>
      </c>
      <c r="CA158" s="83" t="str">
        <f t="shared" si="101"/>
        <v/>
      </c>
      <c r="CB158" s="530" t="str">
        <f t="shared" si="102"/>
        <v/>
      </c>
      <c r="CC158" s="3" t="s">
        <v>3314</v>
      </c>
      <c r="CD158" t="s">
        <v>3363</v>
      </c>
      <c r="CG158" s="3" t="s">
        <v>6248</v>
      </c>
      <c r="CH158" s="3" t="s">
        <v>913</v>
      </c>
      <c r="CI158" s="3"/>
      <c r="CJ158" s="3"/>
      <c r="CK158" s="3" t="s">
        <v>6978</v>
      </c>
      <c r="CM158" s="83" t="s">
        <v>15095</v>
      </c>
      <c r="CN158" s="3"/>
      <c r="CO158" s="3" t="s">
        <v>10983</v>
      </c>
      <c r="CP158" s="3"/>
      <c r="CQ158" s="3"/>
      <c r="CR158" s="3" t="s">
        <v>13528</v>
      </c>
      <c r="CS158" s="3"/>
      <c r="CT158" s="3"/>
      <c r="CU158" s="3"/>
      <c r="CV158" s="3"/>
      <c r="CW158" s="3"/>
      <c r="CX158" s="3"/>
      <c r="CY158" s="3" t="s">
        <v>797</v>
      </c>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t="s">
        <v>3056</v>
      </c>
      <c r="EA158" s="83" t="s">
        <v>4547</v>
      </c>
      <c r="EB158" s="3"/>
      <c r="ED158" s="83" t="s">
        <v>12196</v>
      </c>
      <c r="EE158" s="83" t="s">
        <v>11513</v>
      </c>
      <c r="EF158" s="540" t="s">
        <v>16964</v>
      </c>
      <c r="EK158" s="874"/>
      <c r="EM158" s="90" t="s">
        <v>11289</v>
      </c>
      <c r="EN158" t="s">
        <v>11285</v>
      </c>
      <c r="EO158" s="84" t="s">
        <v>11290</v>
      </c>
      <c r="EP158" s="562" t="s">
        <v>4551</v>
      </c>
      <c r="EU158" s="177" t="str">
        <f>IF(Dieu="Valaya","Prêtre","")</f>
        <v/>
      </c>
      <c r="EV158" s="83" t="str">
        <f t="shared" si="99"/>
        <v/>
      </c>
      <c r="EW158" s="83" t="str">
        <f t="shared" si="103"/>
        <v/>
      </c>
      <c r="EX158" s="530" t="str">
        <f t="shared" si="104"/>
        <v/>
      </c>
      <c r="EY158" s="83" t="s">
        <v>403</v>
      </c>
      <c r="EZ158" s="530" t="s">
        <v>16273</v>
      </c>
      <c r="FB158" s="83" t="s">
        <v>9944</v>
      </c>
      <c r="FC158" s="133" t="s">
        <v>7362</v>
      </c>
      <c r="FD158" s="83" t="s">
        <v>9703</v>
      </c>
      <c r="FE158" s="849">
        <v>280</v>
      </c>
      <c r="FF158">
        <v>41</v>
      </c>
      <c r="FG158">
        <v>0</v>
      </c>
      <c r="FH158">
        <v>39</v>
      </c>
      <c r="FI158">
        <v>45</v>
      </c>
      <c r="FJ158" s="10">
        <v>33</v>
      </c>
      <c r="FK158">
        <v>19</v>
      </c>
      <c r="FL158">
        <v>40</v>
      </c>
      <c r="FM158" s="165">
        <v>0</v>
      </c>
      <c r="FN158" s="88">
        <v>3</v>
      </c>
      <c r="FO158" s="88">
        <v>16</v>
      </c>
      <c r="FP158" s="164">
        <f>ROUNDDOWN(FH158/10,0)</f>
        <v>3</v>
      </c>
      <c r="FQ158" s="164">
        <f>ROUNDDOWN(FI158/10,0)</f>
        <v>4</v>
      </c>
      <c r="FR158" s="683" t="s">
        <v>7253</v>
      </c>
      <c r="FS158">
        <v>0</v>
      </c>
      <c r="FT158">
        <v>0</v>
      </c>
      <c r="FU158" s="165">
        <v>0</v>
      </c>
      <c r="FV158" s="83" t="s">
        <v>7236</v>
      </c>
      <c r="FW158" s="83" t="s">
        <v>9946</v>
      </c>
      <c r="FX158" s="567" t="s">
        <v>7658</v>
      </c>
      <c r="GA158" s="83" t="s">
        <v>7620</v>
      </c>
      <c r="GE158" s="356"/>
      <c r="GF158" t="s">
        <v>7739</v>
      </c>
      <c r="GG158" s="356" t="s">
        <v>7503</v>
      </c>
      <c r="GH158" s="83" t="s">
        <v>8959</v>
      </c>
      <c r="GI158" s="83" t="s">
        <v>8937</v>
      </c>
      <c r="GJ158" s="83"/>
      <c r="GK158" s="530"/>
    </row>
    <row r="159" spans="8:193" ht="13.2" customHeight="1">
      <c r="H159" s="3"/>
      <c r="I159" s="3"/>
      <c r="J159" s="3"/>
      <c r="K159" s="3"/>
      <c r="L159" s="3"/>
      <c r="M159" s="651"/>
      <c r="N159" s="3"/>
      <c r="O159" s="3"/>
      <c r="P159" s="3"/>
      <c r="Q159" s="3"/>
      <c r="R159" s="651"/>
      <c r="S159" s="83" t="str">
        <f>IF(CareerType=Y159,"Fouet de dieu",IF(AllCareers="X","Fouet de dieu",IF(Selectsousrace="","",IF(OR(SelectRace="homme-bête",SelectRace="peau-verte",SelectRace="créature du chaos",SelectRace="Homme-lézard",SelectRace="skaven"),"",IF(FirstCareer="1ère carrière","","Fouet de dieu")))))</f>
        <v/>
      </c>
      <c r="T159" s="106">
        <v>2</v>
      </c>
      <c r="U159" s="693" t="str">
        <f t="shared" si="105"/>
        <v/>
      </c>
      <c r="V159" s="693" t="str">
        <f t="shared" si="106"/>
        <v/>
      </c>
      <c r="W159" s="693" t="str">
        <f t="shared" si="107"/>
        <v/>
      </c>
      <c r="X159" s="47" t="s">
        <v>2153</v>
      </c>
      <c r="Y159" s="743" t="s">
        <v>7134</v>
      </c>
      <c r="Z159" s="55" t="s">
        <v>538</v>
      </c>
      <c r="AA159" s="47">
        <v>117</v>
      </c>
      <c r="AB159" s="47" t="s">
        <v>2309</v>
      </c>
      <c r="AC159" s="47">
        <v>182</v>
      </c>
      <c r="AD159" s="15" t="s">
        <v>99</v>
      </c>
      <c r="AE159" s="15" t="s">
        <v>149</v>
      </c>
      <c r="AF159" s="15" t="s">
        <v>99</v>
      </c>
      <c r="AG159" s="15" t="s">
        <v>99</v>
      </c>
      <c r="AH159" s="15" t="s">
        <v>98</v>
      </c>
      <c r="AI159" s="15" t="s">
        <v>149</v>
      </c>
      <c r="AJ159" s="15" t="s">
        <v>116</v>
      </c>
      <c r="AK159" s="18" t="s">
        <v>100</v>
      </c>
      <c r="AL159" s="15" t="s">
        <v>113</v>
      </c>
      <c r="AM159" s="15" t="s">
        <v>118</v>
      </c>
      <c r="AN159" s="15" t="s">
        <v>149</v>
      </c>
      <c r="AO159" s="15" t="s">
        <v>149</v>
      </c>
      <c r="AP159" s="87" t="s">
        <v>10071</v>
      </c>
      <c r="AQ159" s="87" t="s">
        <v>734</v>
      </c>
      <c r="AR159" s="22" t="s">
        <v>1163</v>
      </c>
      <c r="AS159" s="87" t="s">
        <v>734</v>
      </c>
      <c r="AT159" s="87" t="s">
        <v>16965</v>
      </c>
      <c r="AU159" s="87" t="s">
        <v>5378</v>
      </c>
      <c r="AV159" s="87" t="s">
        <v>4934</v>
      </c>
      <c r="AW159" s="457">
        <v>0</v>
      </c>
      <c r="AX159" s="630" t="str">
        <f t="shared" si="109"/>
        <v/>
      </c>
      <c r="AY159" s="630" t="str">
        <f t="shared" si="110"/>
        <v/>
      </c>
      <c r="AZ159" s="630" t="str">
        <f t="shared" si="111"/>
        <v/>
      </c>
      <c r="BA159" s="3"/>
      <c r="BB159" s="3"/>
      <c r="BC159" s="3"/>
      <c r="BD159" s="3"/>
      <c r="BE159" s="3"/>
      <c r="BF159" s="3"/>
      <c r="BG159" s="3"/>
      <c r="BH159" s="3"/>
      <c r="BI159" s="3"/>
      <c r="BJ159" s="3"/>
      <c r="BK159" s="3"/>
      <c r="BL159" s="3"/>
      <c r="BM159" s="3"/>
      <c r="BN159" s="3"/>
      <c r="BP159" s="3"/>
      <c r="BR159" s="3"/>
      <c r="BS159" s="3"/>
      <c r="BT159" s="3"/>
      <c r="BU159" s="3"/>
      <c r="BV159" s="3"/>
      <c r="BW159" s="3"/>
      <c r="BX159" s="83" t="str">
        <f>IF(Province="Ra'Ban","Petite communauté de Ra'Ban","")</f>
        <v/>
      </c>
      <c r="BY159" t="str">
        <f t="shared" si="108"/>
        <v/>
      </c>
      <c r="BZ159" s="83" t="str">
        <f t="shared" si="100"/>
        <v/>
      </c>
      <c r="CA159" s="83" t="str">
        <f t="shared" si="101"/>
        <v/>
      </c>
      <c r="CB159" s="530" t="str">
        <f t="shared" si="102"/>
        <v/>
      </c>
      <c r="CC159" s="3" t="s">
        <v>3315</v>
      </c>
      <c r="CD159" t="s">
        <v>3364</v>
      </c>
      <c r="CG159" s="3" t="s">
        <v>6249</v>
      </c>
      <c r="CH159" s="3" t="s">
        <v>6026</v>
      </c>
      <c r="CI159" s="3"/>
      <c r="CJ159" s="3"/>
      <c r="CK159" s="3" t="s">
        <v>6834</v>
      </c>
      <c r="CM159" s="83" t="s">
        <v>14946</v>
      </c>
      <c r="CN159" s="3"/>
      <c r="CO159" s="3" t="s">
        <v>10972</v>
      </c>
      <c r="CP159" s="3"/>
      <c r="CQ159" s="3"/>
      <c r="CR159" s="3" t="s">
        <v>13529</v>
      </c>
      <c r="CS159" s="3"/>
      <c r="CT159" s="3"/>
      <c r="CU159" s="3"/>
      <c r="CV159" s="3"/>
      <c r="CW159" s="3"/>
      <c r="CX159" s="3"/>
      <c r="CY159" s="3" t="s">
        <v>798</v>
      </c>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t="s">
        <v>3057</v>
      </c>
      <c r="EA159" s="83" t="s">
        <v>4548</v>
      </c>
      <c r="EB159" s="3"/>
      <c r="ED159" s="83" t="s">
        <v>12197</v>
      </c>
      <c r="EE159" s="83" t="s">
        <v>11513</v>
      </c>
      <c r="EF159" s="540" t="s">
        <v>16966</v>
      </c>
      <c r="EK159" s="874"/>
      <c r="EM159" s="90" t="s">
        <v>11286</v>
      </c>
      <c r="EN159" t="s">
        <v>11285</v>
      </c>
      <c r="EO159" s="83" t="s">
        <v>11287</v>
      </c>
      <c r="EP159" s="562" t="s">
        <v>4551</v>
      </c>
      <c r="EU159" s="177" t="str">
        <f>IF(Dieu="Vaul","Adepte/Croyant","")</f>
        <v/>
      </c>
      <c r="EV159" s="83" t="str">
        <f t="shared" si="99"/>
        <v/>
      </c>
      <c r="EW159" s="83" t="str">
        <f t="shared" si="103"/>
        <v/>
      </c>
      <c r="EX159" s="530" t="str">
        <f t="shared" si="104"/>
        <v/>
      </c>
      <c r="EZ159" s="530" t="s">
        <v>9184</v>
      </c>
      <c r="FB159" s="83" t="s">
        <v>13067</v>
      </c>
      <c r="FC159" s="133" t="s">
        <v>7362</v>
      </c>
      <c r="FD159" s="85" t="s">
        <v>12985</v>
      </c>
      <c r="FE159" s="849">
        <v>34</v>
      </c>
      <c r="FF159">
        <v>69</v>
      </c>
      <c r="FG159">
        <v>0</v>
      </c>
      <c r="FH159">
        <v>60</v>
      </c>
      <c r="FI159">
        <v>65</v>
      </c>
      <c r="FJ159" s="10">
        <v>34</v>
      </c>
      <c r="FK159">
        <v>14</v>
      </c>
      <c r="FL159">
        <v>44</v>
      </c>
      <c r="FM159" s="165">
        <v>0</v>
      </c>
      <c r="FN159" s="88">
        <v>2</v>
      </c>
      <c r="FO159" s="88">
        <v>25</v>
      </c>
      <c r="FP159" s="164">
        <f>ROUNDDOWN(FH159/10,0)</f>
        <v>6</v>
      </c>
      <c r="FQ159" s="164">
        <f>ROUNDDOWN(FI159/10,0)</f>
        <v>6</v>
      </c>
      <c r="FR159" s="682">
        <v>10</v>
      </c>
      <c r="FS159" s="88">
        <v>0</v>
      </c>
      <c r="FT159" s="88">
        <v>0</v>
      </c>
      <c r="FU159" s="165">
        <v>0</v>
      </c>
      <c r="FV159" s="83" t="s">
        <v>13068</v>
      </c>
      <c r="FW159" s="83" t="s">
        <v>13080</v>
      </c>
      <c r="FX159" s="567" t="s">
        <v>7659</v>
      </c>
      <c r="GA159" s="83" t="s">
        <v>7623</v>
      </c>
      <c r="GF159" t="s">
        <v>7740</v>
      </c>
      <c r="GG159" s="341" t="s">
        <v>8966</v>
      </c>
      <c r="GH159" s="83" t="s">
        <v>8959</v>
      </c>
      <c r="GI159" s="83" t="s">
        <v>8937</v>
      </c>
      <c r="GJ159" s="83"/>
      <c r="GK159" s="530"/>
    </row>
    <row r="160" spans="8:193" ht="13.2" customHeight="1">
      <c r="H160" s="3"/>
      <c r="I160" s="3"/>
      <c r="J160" s="3"/>
      <c r="K160" s="3"/>
      <c r="L160" s="3"/>
      <c r="M160" s="651"/>
      <c r="N160" s="3"/>
      <c r="O160" s="3"/>
      <c r="P160" s="3"/>
      <c r="Q160" s="3"/>
      <c r="R160" s="651"/>
      <c r="S160" s="83" t="str">
        <f>IF(CareerType=Y160,"Franc-archer",IF(AllCareers="X","Franc-archer",IF(Selectsousrace="","",IF(OR(SelectRace="homme-bête",SelectRace="peau-verte",SelectRace="créature du chaos",SelectRace="Homme-lézard",SelectRace="skaven"),"",IF(FirstCareer="1ère carrière","","Franc-archer")))))</f>
        <v/>
      </c>
      <c r="T160" s="106">
        <f>IF(X160="oui",0,1)</f>
        <v>1</v>
      </c>
      <c r="U160" s="693" t="str">
        <f t="shared" si="105"/>
        <v/>
      </c>
      <c r="V160" s="693" t="str">
        <f t="shared" si="106"/>
        <v/>
      </c>
      <c r="W160" s="693" t="str">
        <f t="shared" si="107"/>
        <v/>
      </c>
      <c r="X160" s="47" t="s">
        <v>2153</v>
      </c>
      <c r="Y160" s="743" t="s">
        <v>7130</v>
      </c>
      <c r="Z160" s="55" t="s">
        <v>2200</v>
      </c>
      <c r="AA160" s="47">
        <v>73</v>
      </c>
      <c r="AB160" s="47" t="s">
        <v>2310</v>
      </c>
      <c r="AC160" s="47">
        <v>207</v>
      </c>
      <c r="AD160" s="15" t="s">
        <v>149</v>
      </c>
      <c r="AE160" s="15" t="s">
        <v>97</v>
      </c>
      <c r="AF160" s="15" t="s">
        <v>98</v>
      </c>
      <c r="AG160" s="15" t="s">
        <v>98</v>
      </c>
      <c r="AH160" s="15" t="s">
        <v>99</v>
      </c>
      <c r="AI160" s="15" t="s">
        <v>98</v>
      </c>
      <c r="AJ160" s="15" t="s">
        <v>100</v>
      </c>
      <c r="AK160" s="18" t="s">
        <v>101</v>
      </c>
      <c r="AL160" s="15" t="s">
        <v>102</v>
      </c>
      <c r="AM160" s="15" t="s">
        <v>103</v>
      </c>
      <c r="AN160" s="15" t="s">
        <v>149</v>
      </c>
      <c r="AO160" s="15" t="s">
        <v>149</v>
      </c>
      <c r="AP160" s="87" t="s">
        <v>12267</v>
      </c>
      <c r="AQ160" s="87" t="s">
        <v>734</v>
      </c>
      <c r="AR160" s="87" t="s">
        <v>5530</v>
      </c>
      <c r="AS160" s="87" t="s">
        <v>734</v>
      </c>
      <c r="AT160" s="22" t="s">
        <v>3458</v>
      </c>
      <c r="AU160" s="87" t="s">
        <v>5361</v>
      </c>
      <c r="AV160" s="87" t="s">
        <v>4608</v>
      </c>
      <c r="AW160" s="457">
        <v>0</v>
      </c>
      <c r="AX160" s="630" t="str">
        <f t="shared" si="109"/>
        <v/>
      </c>
      <c r="AY160" s="630" t="str">
        <f t="shared" si="110"/>
        <v/>
      </c>
      <c r="AZ160" s="630" t="str">
        <f t="shared" si="111"/>
        <v/>
      </c>
      <c r="BA160" s="3"/>
      <c r="BB160" s="3"/>
      <c r="BC160" s="3"/>
      <c r="BD160" s="3"/>
      <c r="BE160" s="3"/>
      <c r="BF160" s="3"/>
      <c r="BG160" s="3"/>
      <c r="BH160" s="3"/>
      <c r="BI160" s="3"/>
      <c r="BJ160" s="3"/>
      <c r="BK160" s="3"/>
      <c r="BL160" s="3"/>
      <c r="BM160" s="3"/>
      <c r="BN160" s="3"/>
      <c r="BP160" s="3"/>
      <c r="BR160" s="3"/>
      <c r="BS160" s="3"/>
      <c r="BT160" s="3"/>
      <c r="BU160" s="3"/>
      <c r="BV160" s="3"/>
      <c r="BW160" s="3"/>
      <c r="BX160" s="83" t="str">
        <f>IF(Province="Ras Karim","Petite communauté de Ras Karim","")</f>
        <v/>
      </c>
      <c r="BY160" t="str">
        <f t="shared" si="108"/>
        <v/>
      </c>
      <c r="BZ160" s="83" t="str">
        <f t="shared" si="100"/>
        <v/>
      </c>
      <c r="CA160" s="83" t="str">
        <f t="shared" si="101"/>
        <v/>
      </c>
      <c r="CB160" s="530" t="str">
        <f t="shared" si="102"/>
        <v/>
      </c>
      <c r="CC160" s="3" t="s">
        <v>3316</v>
      </c>
      <c r="CD160" t="s">
        <v>10696</v>
      </c>
      <c r="CG160" s="3" t="s">
        <v>6250</v>
      </c>
      <c r="CH160" s="3" t="s">
        <v>6027</v>
      </c>
      <c r="CI160" s="3"/>
      <c r="CJ160" s="3"/>
      <c r="CK160" s="3" t="s">
        <v>6945</v>
      </c>
      <c r="CM160" s="83" t="s">
        <v>6642</v>
      </c>
      <c r="CN160" s="3"/>
      <c r="CO160" s="3" t="s">
        <v>10975</v>
      </c>
      <c r="CP160" s="3"/>
      <c r="CQ160" s="3"/>
      <c r="CR160" s="3" t="s">
        <v>13530</v>
      </c>
      <c r="CS160" s="3"/>
      <c r="CT160" s="3"/>
      <c r="CU160" s="3"/>
      <c r="CV160" s="3"/>
      <c r="CW160" s="3"/>
      <c r="CX160" s="3"/>
      <c r="CY160" s="3" t="s">
        <v>4873</v>
      </c>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t="s">
        <v>3058</v>
      </c>
      <c r="EA160" s="83" t="s">
        <v>4548</v>
      </c>
      <c r="EB160" s="3"/>
      <c r="ED160" s="83" t="s">
        <v>12194</v>
      </c>
      <c r="EE160" s="83" t="s">
        <v>11513</v>
      </c>
      <c r="EF160" s="540" t="s">
        <v>16967</v>
      </c>
      <c r="EK160" s="874"/>
      <c r="EM160" s="90" t="s">
        <v>11291</v>
      </c>
      <c r="EN160" t="s">
        <v>11285</v>
      </c>
      <c r="EO160" s="84" t="s">
        <v>11292</v>
      </c>
      <c r="EP160" s="562" t="s">
        <v>4551</v>
      </c>
      <c r="EU160" s="571" t="str">
        <f>IF(Dieu="Véréna","Adepte/Croyant","")</f>
        <v/>
      </c>
      <c r="EV160" s="83" t="str">
        <f t="shared" si="99"/>
        <v/>
      </c>
      <c r="EW160" s="83" t="str">
        <f t="shared" si="103"/>
        <v/>
      </c>
      <c r="EX160" s="530" t="str">
        <f t="shared" si="104"/>
        <v/>
      </c>
      <c r="EZ160" s="530" t="s">
        <v>9330</v>
      </c>
      <c r="FB160" s="83" t="s">
        <v>7656</v>
      </c>
      <c r="FC160" s="133" t="s">
        <v>7362</v>
      </c>
      <c r="FD160" t="s">
        <v>7230</v>
      </c>
      <c r="FE160" s="849">
        <v>134</v>
      </c>
      <c r="FF160">
        <v>33</v>
      </c>
      <c r="FG160">
        <v>0</v>
      </c>
      <c r="FH160">
        <v>52</v>
      </c>
      <c r="FI160">
        <v>47</v>
      </c>
      <c r="FJ160" s="10">
        <v>25</v>
      </c>
      <c r="FK160">
        <v>10</v>
      </c>
      <c r="FL160">
        <v>25</v>
      </c>
      <c r="FM160" s="165">
        <v>0</v>
      </c>
      <c r="FN160" s="88">
        <v>2</v>
      </c>
      <c r="FO160" s="88">
        <v>20</v>
      </c>
      <c r="FP160" s="164">
        <f>ROUNDDOWN(FH160/10,0)</f>
        <v>5</v>
      </c>
      <c r="FQ160" s="164">
        <f>ROUNDDOWN(FI160/10,0)</f>
        <v>4</v>
      </c>
      <c r="FR160" s="10">
        <v>4</v>
      </c>
      <c r="FS160">
        <v>0</v>
      </c>
      <c r="FT160">
        <v>0</v>
      </c>
      <c r="FU160" s="165">
        <v>0</v>
      </c>
      <c r="FV160" s="83" t="s">
        <v>7238</v>
      </c>
      <c r="FW160" s="83" t="s">
        <v>14620</v>
      </c>
      <c r="FX160" s="751" t="s">
        <v>7663</v>
      </c>
      <c r="GA160" t="s">
        <v>7493</v>
      </c>
      <c r="GE160" s="356"/>
      <c r="GF160" t="s">
        <v>7741</v>
      </c>
      <c r="GG160" s="356" t="s">
        <v>8960</v>
      </c>
      <c r="GH160" s="83" t="s">
        <v>8959</v>
      </c>
      <c r="GI160" s="83" t="s">
        <v>8937</v>
      </c>
      <c r="GJ160" s="83"/>
      <c r="GK160" s="530"/>
    </row>
    <row r="161" spans="8:193" ht="13.2" customHeight="1">
      <c r="H161" s="3"/>
      <c r="I161" s="3"/>
      <c r="J161" s="3"/>
      <c r="K161" s="3"/>
      <c r="L161" s="3"/>
      <c r="M161" s="651"/>
      <c r="N161" s="3"/>
      <c r="O161" s="3"/>
      <c r="P161" s="3"/>
      <c r="Q161" s="3"/>
      <c r="R161" s="651"/>
      <c r="S161" s="83" t="str">
        <f>IF(CareerType=Y161,"Frère de la cape",IF(AllCareers="X","Frère de la cape",IF(Selectsousrace="","",IF(OR(SelectRace="homme-bête",SelectRace="peau-verte",SelectRace="créature du chaos",SelectRace="Homme-lézard",SelectRace="skaven"),"",IF(FirstCareer="1ère carrière","","Frère de la cape")))))</f>
        <v/>
      </c>
      <c r="T161" s="106">
        <v>2</v>
      </c>
      <c r="U161" s="693" t="str">
        <f t="shared" si="105"/>
        <v/>
      </c>
      <c r="V161" s="693" t="str">
        <f t="shared" si="106"/>
        <v/>
      </c>
      <c r="W161" s="693" t="str">
        <f t="shared" si="107"/>
        <v/>
      </c>
      <c r="X161" s="47" t="s">
        <v>2153</v>
      </c>
      <c r="Y161" s="743" t="s">
        <v>7134</v>
      </c>
      <c r="Z161" s="55" t="s">
        <v>2196</v>
      </c>
      <c r="AA161" s="47">
        <v>133</v>
      </c>
      <c r="AB161" s="47" t="s">
        <v>2311</v>
      </c>
      <c r="AC161" s="47">
        <v>51</v>
      </c>
      <c r="AD161" s="15" t="s">
        <v>101</v>
      </c>
      <c r="AE161" s="15" t="s">
        <v>98</v>
      </c>
      <c r="AF161" s="15" t="s">
        <v>101</v>
      </c>
      <c r="AG161" s="15" t="s">
        <v>101</v>
      </c>
      <c r="AH161" s="15" t="s">
        <v>99</v>
      </c>
      <c r="AI161" s="15" t="s">
        <v>116</v>
      </c>
      <c r="AJ161" s="15" t="s">
        <v>99</v>
      </c>
      <c r="AK161" s="18" t="s">
        <v>116</v>
      </c>
      <c r="AL161" s="15" t="s">
        <v>102</v>
      </c>
      <c r="AM161" s="15" t="s">
        <v>112</v>
      </c>
      <c r="AN161" s="15" t="s">
        <v>149</v>
      </c>
      <c r="AO161" s="15" t="s">
        <v>149</v>
      </c>
      <c r="AP161" s="22" t="s">
        <v>12268</v>
      </c>
      <c r="AQ161" s="87" t="s">
        <v>734</v>
      </c>
      <c r="AR161" s="87" t="s">
        <v>12269</v>
      </c>
      <c r="AS161" s="87" t="s">
        <v>734</v>
      </c>
      <c r="AT161" s="22" t="s">
        <v>3459</v>
      </c>
      <c r="AU161" s="87" t="s">
        <v>5478</v>
      </c>
      <c r="AV161" s="87" t="s">
        <v>16968</v>
      </c>
      <c r="AW161" s="457">
        <v>0</v>
      </c>
      <c r="AX161" s="630" t="str">
        <f t="shared" si="109"/>
        <v/>
      </c>
      <c r="AY161" s="630" t="str">
        <f t="shared" si="110"/>
        <v/>
      </c>
      <c r="AZ161" s="630" t="str">
        <f t="shared" si="111"/>
        <v/>
      </c>
      <c r="BD161" s="3"/>
      <c r="BE161" s="3"/>
      <c r="BF161" s="3"/>
      <c r="BG161" s="3"/>
      <c r="BH161" s="3"/>
      <c r="BI161" s="3"/>
      <c r="BJ161" s="3"/>
      <c r="BK161" s="3"/>
      <c r="BL161" s="3"/>
      <c r="BM161" s="3"/>
      <c r="BN161" s="3"/>
      <c r="BP161" s="3"/>
      <c r="BR161" s="3"/>
      <c r="BS161" s="3"/>
      <c r="BT161" s="3"/>
      <c r="BU161" s="3"/>
      <c r="BV161" s="3"/>
      <c r="BW161" s="3"/>
      <c r="BX161" s="83" t="str">
        <f>IF(Province="Sanaà","Petite communauté de Sanaà","")</f>
        <v/>
      </c>
      <c r="BY161" t="str">
        <f t="shared" si="108"/>
        <v/>
      </c>
      <c r="BZ161" s="83" t="str">
        <f t="shared" si="100"/>
        <v/>
      </c>
      <c r="CA161" s="83" t="str">
        <f t="shared" si="101"/>
        <v/>
      </c>
      <c r="CB161" s="530" t="str">
        <f t="shared" si="102"/>
        <v/>
      </c>
      <c r="CC161" s="3" t="s">
        <v>3317</v>
      </c>
      <c r="CD161" t="s">
        <v>10697</v>
      </c>
      <c r="CG161" s="3" t="s">
        <v>890</v>
      </c>
      <c r="CH161" s="3" t="s">
        <v>6028</v>
      </c>
      <c r="CI161" s="3"/>
      <c r="CJ161" s="3"/>
      <c r="CK161" t="s">
        <v>7002</v>
      </c>
      <c r="CM161" s="83" t="s">
        <v>15163</v>
      </c>
      <c r="CN161" s="3"/>
      <c r="CO161" s="3" t="s">
        <v>10985</v>
      </c>
      <c r="CP161" s="3"/>
      <c r="CQ161" s="3"/>
      <c r="CR161" s="3" t="s">
        <v>13531</v>
      </c>
      <c r="CS161" s="3"/>
      <c r="CT161" s="3"/>
      <c r="CU161" s="3"/>
      <c r="CV161" s="3"/>
      <c r="CW161" s="3"/>
      <c r="CX161" s="3"/>
      <c r="CY161" s="3" t="s">
        <v>799</v>
      </c>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t="s">
        <v>3059</v>
      </c>
      <c r="EA161" s="83" t="s">
        <v>4548</v>
      </c>
      <c r="EB161" s="3"/>
      <c r="ED161" s="83" t="s">
        <v>2455</v>
      </c>
      <c r="EE161" s="83" t="s">
        <v>2607</v>
      </c>
      <c r="EF161" s="530" t="s">
        <v>9069</v>
      </c>
      <c r="EK161" s="874"/>
      <c r="EM161" s="90" t="s">
        <v>15473</v>
      </c>
      <c r="EN161" t="s">
        <v>11285</v>
      </c>
      <c r="EO161" s="83" t="s">
        <v>11288</v>
      </c>
      <c r="EP161" s="562" t="s">
        <v>4551</v>
      </c>
      <c r="EU161" s="177" t="str">
        <f>IF(Dieu="Véréna","Aucun Ordre","")</f>
        <v/>
      </c>
      <c r="EV161" s="83" t="str">
        <f t="shared" si="99"/>
        <v/>
      </c>
      <c r="EW161" s="83" t="str">
        <f t="shared" si="103"/>
        <v/>
      </c>
      <c r="EX161" s="530" t="str">
        <f t="shared" si="104"/>
        <v/>
      </c>
      <c r="EZ161" s="530" t="s">
        <v>9529</v>
      </c>
      <c r="FB161" t="s">
        <v>7232</v>
      </c>
      <c r="FC161" s="133" t="s">
        <v>7362</v>
      </c>
      <c r="FD161" t="s">
        <v>7230</v>
      </c>
      <c r="FE161" s="849">
        <v>134</v>
      </c>
      <c r="FF161">
        <v>36</v>
      </c>
      <c r="FG161">
        <v>0</v>
      </c>
      <c r="FH161">
        <v>56</v>
      </c>
      <c r="FI161">
        <v>49</v>
      </c>
      <c r="FJ161" s="10">
        <v>28</v>
      </c>
      <c r="FK161">
        <v>10</v>
      </c>
      <c r="FL161">
        <v>30</v>
      </c>
      <c r="FM161" s="165">
        <v>0</v>
      </c>
      <c r="FN161" s="88">
        <v>2</v>
      </c>
      <c r="FO161" s="88">
        <v>24</v>
      </c>
      <c r="FP161" s="164">
        <f>ROUNDDOWN(FH161/10,0)</f>
        <v>5</v>
      </c>
      <c r="FQ161" s="164">
        <f>ROUNDDOWN(FI161/10,0)</f>
        <v>4</v>
      </c>
      <c r="FR161" s="10">
        <v>4</v>
      </c>
      <c r="FS161">
        <v>0</v>
      </c>
      <c r="FT161">
        <v>0</v>
      </c>
      <c r="FU161" s="165">
        <v>0</v>
      </c>
      <c r="FV161" t="s">
        <v>7421</v>
      </c>
      <c r="FW161" s="90" t="s">
        <v>14621</v>
      </c>
      <c r="FX161" s="751" t="s">
        <v>7661</v>
      </c>
      <c r="GA161" s="83" t="s">
        <v>7586</v>
      </c>
      <c r="GF161" t="s">
        <v>8222</v>
      </c>
      <c r="GG161" s="341" t="s">
        <v>8974</v>
      </c>
      <c r="GH161" s="83" t="s">
        <v>8968</v>
      </c>
      <c r="GI161" s="83" t="s">
        <v>8937</v>
      </c>
      <c r="GJ161" s="83"/>
      <c r="GK161" s="530"/>
    </row>
    <row r="162" spans="8:193" ht="13.2" customHeight="1">
      <c r="H162" s="3"/>
      <c r="I162" s="3"/>
      <c r="J162" s="3"/>
      <c r="K162" s="3"/>
      <c r="L162" s="3"/>
      <c r="M162" s="651"/>
      <c r="N162" s="3"/>
      <c r="O162" s="3"/>
      <c r="P162" s="3"/>
      <c r="Q162" s="3"/>
      <c r="R162" s="651"/>
      <c r="S162" s="83" t="str">
        <f>IF(CareerType=Y162,"Garde/Chapeau noir",IF(AllCareers="X","Garde/Chapeau noir",IF(Selectsousrace="","",IF(OR(SelectRace="Humain",SelectRace="Nain",SelectRace="Halfling",SelectRace="skaven",SelectRace="homme-bête",SelectRace="peau-verte",SelectRace="créature du chaos",SelectRace="homme-lézard"),"Garde",IF(Pays="Pays Perdu","Chapeau noir",IF(OR(Pays="Désolations du Chaos",Pays="Norsca"),"","Garde"))))))</f>
        <v/>
      </c>
      <c r="T162" s="106">
        <f>IF(X162="oui",0,1)</f>
        <v>0</v>
      </c>
      <c r="U162" s="693" t="str">
        <f t="shared" si="105"/>
        <v/>
      </c>
      <c r="V162" s="693" t="str">
        <f t="shared" si="106"/>
        <v/>
      </c>
      <c r="W162" s="693" t="str">
        <f t="shared" si="107"/>
        <v/>
      </c>
      <c r="X162" s="47" t="s">
        <v>2160</v>
      </c>
      <c r="Y162" s="743" t="s">
        <v>7130</v>
      </c>
      <c r="Z162" s="55" t="s">
        <v>2200</v>
      </c>
      <c r="AA162" s="47">
        <v>43</v>
      </c>
      <c r="AB162" s="47" t="s">
        <v>2312</v>
      </c>
      <c r="AC162" s="47">
        <v>225</v>
      </c>
      <c r="AD162" s="15" t="s">
        <v>98</v>
      </c>
      <c r="AE162" s="20" t="s">
        <v>114</v>
      </c>
      <c r="AF162" s="20" t="s">
        <v>114</v>
      </c>
      <c r="AG162" s="15" t="s">
        <v>149</v>
      </c>
      <c r="AH162" s="20" t="s">
        <v>114</v>
      </c>
      <c r="AI162" s="15" t="s">
        <v>98</v>
      </c>
      <c r="AJ162" s="15" t="s">
        <v>149</v>
      </c>
      <c r="AK162" s="21" t="s">
        <v>114</v>
      </c>
      <c r="AL162" s="15" t="s">
        <v>149</v>
      </c>
      <c r="AM162" s="15" t="s">
        <v>113</v>
      </c>
      <c r="AN162" s="15" t="s">
        <v>149</v>
      </c>
      <c r="AO162" s="15" t="s">
        <v>149</v>
      </c>
      <c r="AP162" s="87" t="s">
        <v>10054</v>
      </c>
      <c r="AQ162" s="87" t="s">
        <v>5669</v>
      </c>
      <c r="AR162" s="87" t="s">
        <v>16969</v>
      </c>
      <c r="AS162" s="87" t="s">
        <v>14824</v>
      </c>
      <c r="AT162" s="22" t="s">
        <v>3460</v>
      </c>
      <c r="AU162" s="87" t="s">
        <v>5332</v>
      </c>
      <c r="AV162" s="87" t="s">
        <v>4573</v>
      </c>
      <c r="AW162" s="457">
        <v>0</v>
      </c>
      <c r="AX162" s="630" t="str">
        <f t="shared" si="109"/>
        <v/>
      </c>
      <c r="AY162" s="630" t="str">
        <f t="shared" si="110"/>
        <v/>
      </c>
      <c r="AZ162" s="630" t="str">
        <f t="shared" si="111"/>
        <v/>
      </c>
      <c r="BA162" s="3"/>
      <c r="BB162" s="3"/>
      <c r="BC162" s="3"/>
      <c r="BD162" s="3"/>
      <c r="BE162" s="3"/>
      <c r="BF162" s="3"/>
      <c r="BG162" s="3"/>
      <c r="BH162" s="3"/>
      <c r="BI162" s="3"/>
      <c r="BJ162" s="3"/>
      <c r="BK162" s="3"/>
      <c r="BL162" s="3"/>
      <c r="BM162" s="3"/>
      <c r="BN162" s="3"/>
      <c r="BP162" s="3"/>
      <c r="BR162" s="3"/>
      <c r="BS162" s="3"/>
      <c r="BT162" s="3"/>
      <c r="BU162" s="3"/>
      <c r="BV162" s="3"/>
      <c r="BW162" s="3"/>
      <c r="BX162" s="83" t="str">
        <f>IF(Province="Shaharazar","Petite communauté de Shaharazar","")</f>
        <v/>
      </c>
      <c r="BY162" t="str">
        <f t="shared" si="108"/>
        <v/>
      </c>
      <c r="BZ162" s="83" t="str">
        <f t="shared" si="100"/>
        <v/>
      </c>
      <c r="CA162" s="83" t="str">
        <f t="shared" si="101"/>
        <v/>
      </c>
      <c r="CB162" s="530" t="str">
        <f t="shared" si="102"/>
        <v/>
      </c>
      <c r="CC162" s="3" t="s">
        <v>3318</v>
      </c>
      <c r="CD162" s="3" t="s">
        <v>3211</v>
      </c>
      <c r="CG162" s="3" t="s">
        <v>6251</v>
      </c>
      <c r="CH162" s="3" t="s">
        <v>1104</v>
      </c>
      <c r="CI162" s="3"/>
      <c r="CJ162" s="3"/>
      <c r="CK162" s="3" t="s">
        <v>6911</v>
      </c>
      <c r="CM162" s="83" t="s">
        <v>14926</v>
      </c>
      <c r="CN162" s="3"/>
      <c r="CO162" s="3" t="s">
        <v>10974</v>
      </c>
      <c r="CP162" s="3"/>
      <c r="CQ162" s="3"/>
      <c r="CR162" s="3" t="s">
        <v>13532</v>
      </c>
      <c r="CS162" s="3"/>
      <c r="CT162" s="3"/>
      <c r="CU162" s="3"/>
      <c r="CV162" s="3"/>
      <c r="CW162" s="3"/>
      <c r="CX162" s="3"/>
      <c r="CY162" s="3" t="s">
        <v>2881</v>
      </c>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t="s">
        <v>3060</v>
      </c>
      <c r="EA162" s="83" t="s">
        <v>4548</v>
      </c>
      <c r="EB162" s="3"/>
      <c r="ED162" s="83" t="s">
        <v>845</v>
      </c>
      <c r="EE162" s="83" t="s">
        <v>2607</v>
      </c>
      <c r="EF162" s="640" t="str">
        <f>IF(Selectsousrace&lt;&gt;"Pygmée",CONCATENATE("Compétences: Commérage, Connaissances académiques (généalogie/héraldique), Connaissances générales (Halflings)",", Langue (halfling), Langue (reikspiel), Métier (cuisinier OU fermier) Talents : Résistance au chaos, Vision nocturne, 1 talent déterminé aléatoirement"),CONCATENATE("Compétences: Connaissances générales (Pygméen), Perception, Pistage",", Langue (sudron ou pygméen ou khuresian), Talents : Acuité Gustative, Résistance au chaos, Vision nocturne"))</f>
        <v>Compétences: Commérage, Connaissances académiques (généalogie/héraldique), Connaissances générales (Halflings), Langue (halfling), Langue (reikspiel), Métier (cuisinier OU fermier) Talents : Résistance au chaos, Vision nocturne, 1 talent déterminé aléatoirement</v>
      </c>
      <c r="EK162" s="874"/>
      <c r="EU162" s="177" t="str">
        <f>IF(Dieu="Véréna","Gardiens des lois/ Chevaliers du Parchemin","")</f>
        <v/>
      </c>
      <c r="EV162" s="83" t="str">
        <f t="shared" si="99"/>
        <v/>
      </c>
      <c r="EW162" s="83" t="str">
        <f t="shared" si="103"/>
        <v/>
      </c>
      <c r="EX162" s="530" t="str">
        <f t="shared" si="104"/>
        <v/>
      </c>
      <c r="EZ162" s="530" t="s">
        <v>5896</v>
      </c>
      <c r="FB162" t="s">
        <v>7233</v>
      </c>
      <c r="FC162" s="133" t="s">
        <v>7362</v>
      </c>
      <c r="FD162" t="s">
        <v>7230</v>
      </c>
      <c r="FE162" s="849">
        <v>134</v>
      </c>
      <c r="FF162">
        <v>39</v>
      </c>
      <c r="FG162">
        <v>0</v>
      </c>
      <c r="FH162">
        <v>59</v>
      </c>
      <c r="FI162">
        <v>53</v>
      </c>
      <c r="FJ162" s="10">
        <v>30</v>
      </c>
      <c r="FK162">
        <v>12</v>
      </c>
      <c r="FL162">
        <v>35</v>
      </c>
      <c r="FM162" s="165">
        <v>0</v>
      </c>
      <c r="FN162" s="88">
        <v>2</v>
      </c>
      <c r="FO162" s="88">
        <v>28</v>
      </c>
      <c r="FP162" s="164">
        <f>ROUNDDOWN(FH162/10,0)</f>
        <v>5</v>
      </c>
      <c r="FQ162" s="164">
        <f>ROUNDDOWN(FI162/10,0)</f>
        <v>5</v>
      </c>
      <c r="FR162" s="682">
        <v>4</v>
      </c>
      <c r="FS162" s="88">
        <v>0</v>
      </c>
      <c r="FT162" s="88">
        <v>0</v>
      </c>
      <c r="FU162" s="165">
        <v>0</v>
      </c>
      <c r="FV162" s="83" t="s">
        <v>13076</v>
      </c>
      <c r="FW162" s="83" t="s">
        <v>14620</v>
      </c>
      <c r="FX162" s="751" t="s">
        <v>7662</v>
      </c>
      <c r="GA162" t="s">
        <v>7538</v>
      </c>
      <c r="GF162" t="s">
        <v>7742</v>
      </c>
      <c r="GG162" s="341" t="s">
        <v>8969</v>
      </c>
      <c r="GH162" s="83" t="s">
        <v>8968</v>
      </c>
      <c r="GI162" s="83" t="s">
        <v>8937</v>
      </c>
      <c r="GJ162" s="83"/>
      <c r="GK162" s="530"/>
    </row>
    <row r="163" spans="8:193" ht="13.2" customHeight="1">
      <c r="H163" s="3"/>
      <c r="I163" s="3"/>
      <c r="J163" s="3"/>
      <c r="K163" s="3"/>
      <c r="L163" s="3"/>
      <c r="M163" s="651"/>
      <c r="N163" s="3"/>
      <c r="O163" s="3"/>
      <c r="P163" s="3"/>
      <c r="Q163" s="3"/>
      <c r="R163" s="651"/>
      <c r="S163" s="83" t="str">
        <f>IF(CareerType=Y163,"Garde de caravane",IF(AllCareers="X","Garde de caravane",IF(OR(FirstCareer="1ère carrière",SelectRace="homme-bête",SelectRace="peau-verte",SelectRace="créature du chaos",SelectRace="Homme-lézard",SelectRace="skaven"),"",IF(Pays="Arabie","Garde de caravane",""))))</f>
        <v/>
      </c>
      <c r="T163" s="106">
        <f>IF(X163="oui",0,1)</f>
        <v>1</v>
      </c>
      <c r="U163" s="693" t="str">
        <f t="shared" si="105"/>
        <v/>
      </c>
      <c r="V163" s="693" t="str">
        <f t="shared" si="106"/>
        <v/>
      </c>
      <c r="W163" s="693" t="str">
        <f t="shared" si="107"/>
        <v/>
      </c>
      <c r="X163" s="89" t="s">
        <v>2153</v>
      </c>
      <c r="Y163" s="743" t="s">
        <v>7130</v>
      </c>
      <c r="Z163" s="56" t="s">
        <v>9975</v>
      </c>
      <c r="AA163" s="89">
        <v>236</v>
      </c>
      <c r="AB163" s="89" t="s">
        <v>10036</v>
      </c>
      <c r="AD163" s="105" t="s">
        <v>101</v>
      </c>
      <c r="AE163" s="105" t="s">
        <v>98</v>
      </c>
      <c r="AF163" s="105" t="s">
        <v>98</v>
      </c>
      <c r="AG163" s="105" t="s">
        <v>101</v>
      </c>
      <c r="AH163" s="105" t="s">
        <v>98</v>
      </c>
      <c r="AI163" s="105" t="s">
        <v>149</v>
      </c>
      <c r="AJ163" s="105" t="s">
        <v>98</v>
      </c>
      <c r="AK163" s="443" t="s">
        <v>101</v>
      </c>
      <c r="AL163" s="105" t="s">
        <v>102</v>
      </c>
      <c r="AM163" s="105" t="s">
        <v>103</v>
      </c>
      <c r="AN163" s="105" t="s">
        <v>149</v>
      </c>
      <c r="AO163" s="105" t="s">
        <v>149</v>
      </c>
      <c r="AP163" s="87" t="s">
        <v>15133</v>
      </c>
      <c r="AQ163" s="87" t="s">
        <v>734</v>
      </c>
      <c r="AR163" s="87" t="s">
        <v>10077</v>
      </c>
      <c r="AS163" s="87" t="s">
        <v>734</v>
      </c>
      <c r="AT163" s="87" t="s">
        <v>16970</v>
      </c>
      <c r="AU163" s="87" t="s">
        <v>10128</v>
      </c>
      <c r="AV163" s="87" t="s">
        <v>10078</v>
      </c>
      <c r="AW163" s="458">
        <v>0</v>
      </c>
      <c r="AX163" s="630" t="str">
        <f t="shared" si="109"/>
        <v/>
      </c>
      <c r="AY163" s="630" t="str">
        <f t="shared" si="110"/>
        <v/>
      </c>
      <c r="AZ163" s="630" t="str">
        <f t="shared" si="111"/>
        <v/>
      </c>
      <c r="BA163" s="3"/>
      <c r="BB163" s="3"/>
      <c r="BC163" s="3"/>
      <c r="BD163" s="3"/>
      <c r="BE163" s="3"/>
      <c r="BF163" s="3"/>
      <c r="BG163" s="3"/>
      <c r="BH163" s="3"/>
      <c r="BI163" s="3"/>
      <c r="BJ163" s="3"/>
      <c r="BK163" s="3"/>
      <c r="BL163" s="3"/>
      <c r="BM163" s="3"/>
      <c r="BN163" s="3"/>
      <c r="BP163" s="3"/>
      <c r="BR163" s="3"/>
      <c r="BS163" s="3"/>
      <c r="BT163" s="3"/>
      <c r="BU163" s="3"/>
      <c r="BV163" s="3"/>
      <c r="BW163" s="3"/>
      <c r="BX163" s="3" t="str">
        <f>IF(Province="Aiir","Bas quartiers de Sadiz","")</f>
        <v/>
      </c>
      <c r="BY163" t="str">
        <f t="shared" si="108"/>
        <v/>
      </c>
      <c r="BZ163" s="83" t="str">
        <f t="shared" si="100"/>
        <v/>
      </c>
      <c r="CA163" s="83" t="str">
        <f t="shared" si="101"/>
        <v/>
      </c>
      <c r="CB163" s="530" t="str">
        <f t="shared" si="102"/>
        <v/>
      </c>
      <c r="CC163" s="3" t="s">
        <v>3319</v>
      </c>
      <c r="CD163" t="s">
        <v>10698</v>
      </c>
      <c r="CG163" s="3" t="s">
        <v>6252</v>
      </c>
      <c r="CH163" s="3" t="s">
        <v>6029</v>
      </c>
      <c r="CI163" s="3"/>
      <c r="CJ163" s="3"/>
      <c r="CK163" s="3" t="s">
        <v>6874</v>
      </c>
      <c r="CM163" s="83" t="s">
        <v>15166</v>
      </c>
      <c r="CN163" s="3"/>
      <c r="CO163" s="3" t="s">
        <v>10986</v>
      </c>
      <c r="CP163" s="3"/>
      <c r="CQ163" s="3"/>
      <c r="CR163" s="3" t="s">
        <v>13533</v>
      </c>
      <c r="CS163" s="3"/>
      <c r="CT163" s="3"/>
      <c r="CU163" s="3"/>
      <c r="CV163" s="3"/>
      <c r="CW163" s="3"/>
      <c r="CX163" s="3"/>
      <c r="CY163" s="3" t="s">
        <v>2662</v>
      </c>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83" t="s">
        <v>12915</v>
      </c>
      <c r="EA163" s="83" t="s">
        <v>12916</v>
      </c>
      <c r="EB163" s="3"/>
      <c r="ED163" s="83" t="s">
        <v>3572</v>
      </c>
      <c r="EE163" s="83" t="s">
        <v>2607</v>
      </c>
      <c r="EF163" s="530" t="s">
        <v>9070</v>
      </c>
      <c r="EK163" s="874"/>
      <c r="EU163" s="177" t="str">
        <f>IF(Dieu="Véréna","Initié","")</f>
        <v/>
      </c>
      <c r="EV163" s="83" t="str">
        <f t="shared" si="99"/>
        <v/>
      </c>
      <c r="EW163" s="83" t="str">
        <f t="shared" si="103"/>
        <v/>
      </c>
      <c r="EX163" s="530" t="str">
        <f t="shared" si="104"/>
        <v/>
      </c>
      <c r="EZ163" s="530" t="s">
        <v>258</v>
      </c>
      <c r="FB163" t="s">
        <v>14867</v>
      </c>
      <c r="FC163" s="133" t="s">
        <v>7362</v>
      </c>
      <c r="FD163" s="83" t="s">
        <v>15067</v>
      </c>
      <c r="FE163" s="849">
        <v>116</v>
      </c>
      <c r="FF163">
        <v>25</v>
      </c>
      <c r="FG163">
        <v>0</v>
      </c>
      <c r="FH163">
        <v>31</v>
      </c>
      <c r="FI163">
        <v>30</v>
      </c>
      <c r="FJ163" s="10">
        <v>42</v>
      </c>
      <c r="FK163">
        <v>14</v>
      </c>
      <c r="FL163">
        <v>18</v>
      </c>
      <c r="FM163" s="165">
        <v>5</v>
      </c>
      <c r="FN163" s="88">
        <v>1</v>
      </c>
      <c r="FO163" s="88">
        <v>7</v>
      </c>
      <c r="FP163" s="691">
        <f>ROUNDDOWN(FH163/10,0)</f>
        <v>3</v>
      </c>
      <c r="FQ163" s="691">
        <f>ROUNDDOWN(FI163/10,0)</f>
        <v>3</v>
      </c>
      <c r="FR163" s="10">
        <v>6</v>
      </c>
      <c r="FS163" s="88">
        <v>0</v>
      </c>
      <c r="FT163" s="88">
        <v>0</v>
      </c>
      <c r="FU163" s="165">
        <v>0</v>
      </c>
      <c r="FV163" s="83" t="s">
        <v>14870</v>
      </c>
      <c r="FW163" s="83" t="s">
        <v>12997</v>
      </c>
      <c r="FX163" s="751" t="s">
        <v>7659</v>
      </c>
      <c r="GA163" s="83" t="s">
        <v>7626</v>
      </c>
      <c r="GF163" t="s">
        <v>8249</v>
      </c>
      <c r="GG163" s="341" t="s">
        <v>8971</v>
      </c>
      <c r="GH163" s="83" t="s">
        <v>8968</v>
      </c>
      <c r="GI163" s="83" t="s">
        <v>8937</v>
      </c>
      <c r="GJ163" s="83"/>
      <c r="GK163" s="530"/>
    </row>
    <row r="164" spans="8:193" ht="13.2" customHeight="1">
      <c r="H164" s="3"/>
      <c r="I164" s="3"/>
      <c r="J164" s="3"/>
      <c r="K164" s="3"/>
      <c r="L164" s="3"/>
      <c r="M164" s="651"/>
      <c r="N164" s="3"/>
      <c r="O164" s="3"/>
      <c r="P164" s="3"/>
      <c r="Q164" s="3"/>
      <c r="R164" s="651"/>
      <c r="S164" s="83" t="str">
        <f>IF(CareerType=Y164,"Garde des profondeurs",IF(AllCareers="X","Garde des profondeurs",IF(OR(SelectRace="homme-bête",SelectRace="peau-verte",SelectRace="créature du chaos",SelectRace="Homme-lézard",SelectRace="skaven"),"",IF(Pays="Estalie","Garde des profondeurs",IF(Pays="Tilée","Garde des profondeurs","")))))</f>
        <v/>
      </c>
      <c r="T164" s="106">
        <f>IF(X164="oui",0,1)</f>
        <v>0</v>
      </c>
      <c r="U164" s="693" t="str">
        <f t="shared" si="105"/>
        <v/>
      </c>
      <c r="V164" s="693" t="str">
        <f t="shared" si="106"/>
        <v/>
      </c>
      <c r="W164" s="693" t="str">
        <f t="shared" si="107"/>
        <v/>
      </c>
      <c r="X164" s="48" t="s">
        <v>2160</v>
      </c>
      <c r="Y164" s="744" t="s">
        <v>7134</v>
      </c>
      <c r="Z164" s="56" t="s">
        <v>2217</v>
      </c>
      <c r="AA164" s="48">
        <v>83</v>
      </c>
      <c r="AB164" s="48" t="s">
        <v>2313</v>
      </c>
      <c r="AC164" s="48">
        <v>59</v>
      </c>
      <c r="AD164" s="15" t="s">
        <v>98</v>
      </c>
      <c r="AE164" s="15" t="s">
        <v>149</v>
      </c>
      <c r="AF164" s="15" t="s">
        <v>114</v>
      </c>
      <c r="AG164" s="15" t="s">
        <v>114</v>
      </c>
      <c r="AH164" s="15" t="s">
        <v>114</v>
      </c>
      <c r="AI164" s="15" t="s">
        <v>149</v>
      </c>
      <c r="AJ164" s="15" t="s">
        <v>114</v>
      </c>
      <c r="AK164" s="18" t="s">
        <v>149</v>
      </c>
      <c r="AL164" s="15" t="s">
        <v>102</v>
      </c>
      <c r="AM164" s="15" t="s">
        <v>113</v>
      </c>
      <c r="AN164" s="15" t="s">
        <v>149</v>
      </c>
      <c r="AO164" s="15" t="s">
        <v>149</v>
      </c>
      <c r="AP164" s="22" t="s">
        <v>15134</v>
      </c>
      <c r="AQ164" s="87" t="s">
        <v>734</v>
      </c>
      <c r="AR164" s="22" t="s">
        <v>12270</v>
      </c>
      <c r="AS164" s="87" t="s">
        <v>734</v>
      </c>
      <c r="AT164" s="87" t="s">
        <v>16971</v>
      </c>
      <c r="AU164" s="87" t="s">
        <v>5392</v>
      </c>
      <c r="AV164" s="87" t="s">
        <v>4767</v>
      </c>
      <c r="AW164" s="457">
        <v>0</v>
      </c>
      <c r="AX164" s="630" t="str">
        <f t="shared" si="109"/>
        <v/>
      </c>
      <c r="AY164" s="630" t="str">
        <f t="shared" si="110"/>
        <v/>
      </c>
      <c r="AZ164" s="630" t="str">
        <f t="shared" si="111"/>
        <v/>
      </c>
      <c r="BA164" s="3"/>
      <c r="BB164" s="3"/>
      <c r="BC164" s="3"/>
      <c r="BD164" s="3"/>
      <c r="BE164" s="3"/>
      <c r="BF164" s="3"/>
      <c r="BG164" s="3"/>
      <c r="BH164" s="3"/>
      <c r="BI164" s="3"/>
      <c r="BJ164" s="3"/>
      <c r="BK164" s="3"/>
      <c r="BL164" s="3"/>
      <c r="BM164" s="3"/>
      <c r="BN164" s="3"/>
      <c r="BP164" s="3"/>
      <c r="BR164" s="3"/>
      <c r="BS164" s="3"/>
      <c r="BT164" s="3"/>
      <c r="BU164" s="3"/>
      <c r="BV164" s="3"/>
      <c r="BW164" s="3"/>
      <c r="BX164" s="83" t="str">
        <f>IF(Province="Alhaka","Bas quartiers d'Alhaka","")</f>
        <v/>
      </c>
      <c r="BY164" t="str">
        <f t="shared" si="108"/>
        <v/>
      </c>
      <c r="BZ164" s="83" t="str">
        <f t="shared" si="100"/>
        <v/>
      </c>
      <c r="CA164" s="83" t="str">
        <f t="shared" si="101"/>
        <v/>
      </c>
      <c r="CB164" s="530" t="str">
        <f t="shared" si="102"/>
        <v/>
      </c>
      <c r="CC164" s="3" t="s">
        <v>3320</v>
      </c>
      <c r="CD164" t="s">
        <v>10699</v>
      </c>
      <c r="CG164" s="3" t="s">
        <v>6253</v>
      </c>
      <c r="CH164" s="3" t="s">
        <v>6032</v>
      </c>
      <c r="CI164" s="3"/>
      <c r="CJ164" s="3"/>
      <c r="CK164" s="3" t="s">
        <v>6748</v>
      </c>
      <c r="CM164" s="83" t="s">
        <v>15228</v>
      </c>
      <c r="CN164" s="3"/>
      <c r="CO164" s="3" t="s">
        <v>10980</v>
      </c>
      <c r="CR164" s="3" t="s">
        <v>13534</v>
      </c>
      <c r="CS164" s="3"/>
      <c r="CT164" s="3"/>
      <c r="CU164" s="3"/>
      <c r="CV164" s="3"/>
      <c r="CW164" s="3"/>
      <c r="CX164" s="3"/>
      <c r="CY164" s="3" t="s">
        <v>2663</v>
      </c>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t="s">
        <v>3061</v>
      </c>
      <c r="EA164" s="83" t="s">
        <v>4548</v>
      </c>
      <c r="EB164" s="3"/>
      <c r="ED164" s="83" t="s">
        <v>847</v>
      </c>
      <c r="EE164" s="83" t="s">
        <v>2607</v>
      </c>
      <c r="EF164" s="530" t="s">
        <v>9071</v>
      </c>
      <c r="EK164" s="874"/>
      <c r="EU164" s="177" t="str">
        <f>IF(Dieu="Véréna","Ordre des mystères","")</f>
        <v/>
      </c>
      <c r="EV164" s="83" t="str">
        <f t="shared" si="99"/>
        <v/>
      </c>
      <c r="EW164" s="83" t="str">
        <f t="shared" si="103"/>
        <v/>
      </c>
      <c r="EX164" s="530" t="str">
        <f t="shared" si="104"/>
        <v/>
      </c>
      <c r="EY164" s="83" t="s">
        <v>5897</v>
      </c>
      <c r="EZ164" s="530" t="s">
        <v>10149</v>
      </c>
      <c r="FB164" t="s">
        <v>14868</v>
      </c>
      <c r="FC164" s="133" t="s">
        <v>7362</v>
      </c>
      <c r="FD164" t="s">
        <v>14869</v>
      </c>
      <c r="FE164" s="849">
        <v>116</v>
      </c>
      <c r="FF164">
        <v>32</v>
      </c>
      <c r="FG164">
        <v>0</v>
      </c>
      <c r="FH164">
        <v>34</v>
      </c>
      <c r="FI164">
        <v>32</v>
      </c>
      <c r="FJ164" s="10">
        <v>44</v>
      </c>
      <c r="FK164">
        <v>18</v>
      </c>
      <c r="FL164">
        <v>25</v>
      </c>
      <c r="FM164" s="165">
        <v>8</v>
      </c>
      <c r="FN164" s="88">
        <v>1</v>
      </c>
      <c r="FO164" s="88">
        <v>10</v>
      </c>
      <c r="FP164" s="691">
        <f>ROUNDDOWN(FH164/10,0)</f>
        <v>3</v>
      </c>
      <c r="FQ164" s="691">
        <f>ROUNDDOWN(FI164/10,0)</f>
        <v>3</v>
      </c>
      <c r="FR164" s="10">
        <v>6</v>
      </c>
      <c r="FS164" s="88">
        <v>0</v>
      </c>
      <c r="FT164" s="88">
        <v>0</v>
      </c>
      <c r="FU164" s="165">
        <v>0</v>
      </c>
      <c r="FV164" s="83" t="s">
        <v>14872</v>
      </c>
      <c r="FW164" s="83" t="s">
        <v>14871</v>
      </c>
      <c r="FX164" s="751" t="s">
        <v>7659</v>
      </c>
      <c r="GA164" t="s">
        <v>7494</v>
      </c>
      <c r="GF164" t="s">
        <v>8236</v>
      </c>
      <c r="GG164" s="341" t="s">
        <v>8976</v>
      </c>
      <c r="GH164" s="83" t="s">
        <v>8968</v>
      </c>
      <c r="GI164" s="83" t="s">
        <v>8937</v>
      </c>
      <c r="GJ164" s="83"/>
      <c r="GK164" s="530"/>
    </row>
    <row r="165" spans="8:193" ht="13.2" customHeight="1">
      <c r="H165" s="3"/>
      <c r="I165" s="3"/>
      <c r="J165" s="3"/>
      <c r="K165" s="3"/>
      <c r="L165" s="3"/>
      <c r="M165" s="651"/>
      <c r="N165" s="3"/>
      <c r="O165" s="3"/>
      <c r="P165" s="3"/>
      <c r="Q165" s="3"/>
      <c r="R165" s="651"/>
      <c r="S165" s="83" t="str">
        <f>IF(CareerType=Y165,"Garde du corps/Marteleur",IF(AllCareers="X","Garde du corps/Marteleur",IF(OR(SelectRace="Humain",SelectRace="skaven",SelectRace="homme-bête",SelectRace="peau-verte",SelectRace="créature du chaos",SelectRace="Homme-lézard"),"Garde du corps",IF(SelectRace="Nain","Marteleur",IF(OR(Pays="Désolations du Chaos",Pays="",SelectRace="Elfe",SelectRace="halfling"),"")))))</f>
        <v/>
      </c>
      <c r="T165" s="106">
        <f>IF(X165="oui",0,1)</f>
        <v>0</v>
      </c>
      <c r="U165" s="693" t="str">
        <f t="shared" si="105"/>
        <v/>
      </c>
      <c r="V165" s="693" t="str">
        <f t="shared" si="106"/>
        <v/>
      </c>
      <c r="W165" s="693" t="str">
        <f t="shared" si="107"/>
        <v/>
      </c>
      <c r="X165" s="47" t="s">
        <v>2160</v>
      </c>
      <c r="Y165" s="743" t="s">
        <v>7130</v>
      </c>
      <c r="Z165" s="55" t="s">
        <v>2200</v>
      </c>
      <c r="AA165" s="47">
        <v>44</v>
      </c>
      <c r="AB165" s="47" t="s">
        <v>2314</v>
      </c>
      <c r="AC165" s="47">
        <v>31</v>
      </c>
      <c r="AD165" s="15" t="s">
        <v>98</v>
      </c>
      <c r="AE165" s="15" t="s">
        <v>149</v>
      </c>
      <c r="AF165" s="20" t="s">
        <v>114</v>
      </c>
      <c r="AG165" s="20" t="s">
        <v>114</v>
      </c>
      <c r="AH165" s="20" t="s">
        <v>114</v>
      </c>
      <c r="AI165" s="15" t="s">
        <v>149</v>
      </c>
      <c r="AJ165" s="15" t="s">
        <v>149</v>
      </c>
      <c r="AK165" s="18" t="s">
        <v>149</v>
      </c>
      <c r="AL165" s="15" t="s">
        <v>102</v>
      </c>
      <c r="AM165" s="15" t="s">
        <v>115</v>
      </c>
      <c r="AN165" s="15" t="s">
        <v>149</v>
      </c>
      <c r="AO165" s="15" t="s">
        <v>149</v>
      </c>
      <c r="AP165" s="87" t="s">
        <v>16972</v>
      </c>
      <c r="AQ165" s="87" t="s">
        <v>8762</v>
      </c>
      <c r="AR165" s="87" t="s">
        <v>10025</v>
      </c>
      <c r="AS165" s="87" t="s">
        <v>14825</v>
      </c>
      <c r="AT165" s="22" t="s">
        <v>3461</v>
      </c>
      <c r="AU165" s="87" t="s">
        <v>5333</v>
      </c>
      <c r="AV165" s="87" t="s">
        <v>16973</v>
      </c>
      <c r="AW165" s="457">
        <v>0</v>
      </c>
      <c r="AX165" s="630" t="str">
        <f t="shared" si="109"/>
        <v/>
      </c>
      <c r="AY165" s="630" t="str">
        <f t="shared" si="110"/>
        <v/>
      </c>
      <c r="AZ165" s="630" t="str">
        <f t="shared" si="111"/>
        <v/>
      </c>
      <c r="BA165" s="3"/>
      <c r="BB165" s="3"/>
      <c r="BC165" s="3"/>
      <c r="BD165" s="3"/>
      <c r="BE165" s="3"/>
      <c r="BF165" s="3"/>
      <c r="BG165" s="3"/>
      <c r="BH165" s="3"/>
      <c r="BI165" s="3"/>
      <c r="BJ165" s="3"/>
      <c r="BK165" s="3"/>
      <c r="BL165" s="3"/>
      <c r="BM165" s="3"/>
      <c r="BN165" s="3"/>
      <c r="BP165" s="3"/>
      <c r="BQ165" s="3"/>
      <c r="BR165" s="3"/>
      <c r="BS165" s="3"/>
      <c r="BT165" s="3"/>
      <c r="BU165" s="3"/>
      <c r="BV165" s="3"/>
      <c r="BW165" s="3"/>
      <c r="BX165" s="83" t="str">
        <f>IF(Province="Al-Itzarr","Bas quartiers d'Al-Itzarr","")</f>
        <v/>
      </c>
      <c r="BY165" t="str">
        <f t="shared" si="108"/>
        <v/>
      </c>
      <c r="BZ165" s="83" t="str">
        <f t="shared" si="100"/>
        <v/>
      </c>
      <c r="CA165" s="83" t="str">
        <f t="shared" si="101"/>
        <v/>
      </c>
      <c r="CB165" s="530" t="str">
        <f t="shared" si="102"/>
        <v/>
      </c>
      <c r="CC165" s="3" t="s">
        <v>3321</v>
      </c>
      <c r="CD165" t="s">
        <v>10700</v>
      </c>
      <c r="CG165" s="3" t="s">
        <v>6254</v>
      </c>
      <c r="CH165" s="3" t="s">
        <v>6031</v>
      </c>
      <c r="CI165" s="3"/>
      <c r="CJ165" s="3"/>
      <c r="CK165" s="3" t="s">
        <v>6794</v>
      </c>
      <c r="CM165" t="s">
        <v>10345</v>
      </c>
      <c r="CN165" s="3"/>
      <c r="CO165" s="3" t="str">
        <f>CONCATENATE("Groth",IF(AND('page 1'!M11="Féminin",Pays="Norsca"),"dottir",IF(AND('page 1'!M11="Masculin",Pays="Norsca"),"son",IF(AND('page 1'!M11="Féminin",Pays="Kislev"),"ovna",IF(AND('page 1'!M11="Masculin",Pays="Kislev"),"sky","")))))</f>
        <v>Groth</v>
      </c>
      <c r="CP165" s="3"/>
      <c r="CQ165" s="3"/>
      <c r="CR165" s="3" t="s">
        <v>13535</v>
      </c>
      <c r="CS165" s="3"/>
      <c r="CT165" s="3"/>
      <c r="CU165" s="3"/>
      <c r="CV165" s="3"/>
      <c r="CW165" s="3"/>
      <c r="CX165" s="3"/>
      <c r="CY165" s="83" t="s">
        <v>16117</v>
      </c>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t="s">
        <v>3062</v>
      </c>
      <c r="EA165" s="83" t="s">
        <v>4548</v>
      </c>
      <c r="EB165" s="3"/>
      <c r="ED165" s="83" t="s">
        <v>11772</v>
      </c>
      <c r="EE165" s="83" t="s">
        <v>2607</v>
      </c>
      <c r="EF165" s="530" t="s">
        <v>16974</v>
      </c>
      <c r="EK165" s="874"/>
      <c r="EU165" s="177" t="str">
        <f>IF(Dieu="Véréna","Ordre des templiers","")</f>
        <v/>
      </c>
      <c r="EV165" s="83" t="str">
        <f t="shared" si="99"/>
        <v/>
      </c>
      <c r="EW165" s="83" t="str">
        <f t="shared" si="103"/>
        <v/>
      </c>
      <c r="EX165" s="530" t="str">
        <f t="shared" si="104"/>
        <v/>
      </c>
      <c r="EY165" s="83" t="s">
        <v>800</v>
      </c>
      <c r="EZ165" s="530" t="s">
        <v>5899</v>
      </c>
      <c r="FB165" s="83" t="s">
        <v>12452</v>
      </c>
      <c r="FC165" s="133" t="s">
        <v>7362</v>
      </c>
      <c r="FD165" s="562" t="s">
        <v>13059</v>
      </c>
      <c r="FE165" s="852" t="s">
        <v>13060</v>
      </c>
      <c r="FF165">
        <v>60</v>
      </c>
      <c r="FG165">
        <v>0</v>
      </c>
      <c r="FH165">
        <v>53</v>
      </c>
      <c r="FI165">
        <v>45</v>
      </c>
      <c r="FJ165" s="10">
        <v>45</v>
      </c>
      <c r="FK165">
        <v>20</v>
      </c>
      <c r="FL165">
        <v>50</v>
      </c>
      <c r="FM165" s="165">
        <v>0</v>
      </c>
      <c r="FN165" s="88">
        <v>2</v>
      </c>
      <c r="FO165" s="88">
        <v>18</v>
      </c>
      <c r="FP165" s="164">
        <f>ROUNDDOWN(FH165/10,0)</f>
        <v>5</v>
      </c>
      <c r="FQ165" s="164">
        <f>ROUNDDOWN(FI165/10,0)</f>
        <v>4</v>
      </c>
      <c r="FR165" s="682">
        <v>7</v>
      </c>
      <c r="FS165" s="88">
        <v>0</v>
      </c>
      <c r="FT165" s="88">
        <v>0</v>
      </c>
      <c r="FU165" s="165">
        <v>0</v>
      </c>
      <c r="FV165" s="83" t="s">
        <v>13061</v>
      </c>
      <c r="FW165" s="83" t="s">
        <v>14622</v>
      </c>
      <c r="FX165" s="753" t="s">
        <v>7659</v>
      </c>
      <c r="GA165" t="s">
        <v>7525</v>
      </c>
      <c r="GF165" t="s">
        <v>7743</v>
      </c>
      <c r="GG165" s="341" t="s">
        <v>8975</v>
      </c>
      <c r="GH165" s="83" t="s">
        <v>8968</v>
      </c>
      <c r="GI165" s="83" t="s">
        <v>8937</v>
      </c>
      <c r="GJ165" s="83"/>
      <c r="GK165" s="530"/>
    </row>
    <row r="166" spans="8:193" ht="13.2" customHeight="1">
      <c r="H166" s="3"/>
      <c r="I166" s="3"/>
      <c r="J166" s="3"/>
      <c r="K166" s="3"/>
      <c r="L166" s="3"/>
      <c r="M166" s="651"/>
      <c r="N166" s="3"/>
      <c r="O166" s="3"/>
      <c r="P166" s="3"/>
      <c r="Q166" s="3"/>
      <c r="R166" s="651"/>
      <c r="S166" s="83" t="str">
        <f>IF(CareerType=Y166,"Garde noir",IF(AllCareers="X","Garde noir",IF(Selectsousrace="","",IF(OR(SelectRace="homme-bête",SelectRace="peau-verte",SelectRace="créature du chaos",SelectRace="Homme-lézard",SelectRace="skaven"),"",IF(FirstCareer="1ère carrière","","Garde noir")))))</f>
        <v/>
      </c>
      <c r="T166" s="106">
        <v>2</v>
      </c>
      <c r="U166" s="693" t="str">
        <f t="shared" si="105"/>
        <v/>
      </c>
      <c r="V166" s="693" t="str">
        <f t="shared" si="106"/>
        <v/>
      </c>
      <c r="W166" s="693" t="str">
        <f t="shared" si="107"/>
        <v/>
      </c>
      <c r="X166" s="47" t="s">
        <v>2153</v>
      </c>
      <c r="Y166" s="743" t="s">
        <v>7130</v>
      </c>
      <c r="Z166" s="55" t="s">
        <v>2198</v>
      </c>
      <c r="AA166" s="47">
        <v>93</v>
      </c>
      <c r="AB166" s="47" t="s">
        <v>2315</v>
      </c>
      <c r="AC166" s="47">
        <v>29</v>
      </c>
      <c r="AD166" s="15" t="s">
        <v>99</v>
      </c>
      <c r="AE166" s="15" t="s">
        <v>101</v>
      </c>
      <c r="AF166" s="15" t="s">
        <v>98</v>
      </c>
      <c r="AG166" s="15" t="s">
        <v>101</v>
      </c>
      <c r="AH166" s="15" t="s">
        <v>101</v>
      </c>
      <c r="AI166" s="15" t="s">
        <v>114</v>
      </c>
      <c r="AJ166" s="15" t="s">
        <v>100</v>
      </c>
      <c r="AK166" s="18" t="s">
        <v>149</v>
      </c>
      <c r="AL166" s="15" t="s">
        <v>102</v>
      </c>
      <c r="AM166" s="15" t="s">
        <v>103</v>
      </c>
      <c r="AN166" s="15" t="s">
        <v>149</v>
      </c>
      <c r="AO166" s="15" t="s">
        <v>149</v>
      </c>
      <c r="AP166" s="87" t="s">
        <v>15839</v>
      </c>
      <c r="AQ166" s="87" t="s">
        <v>734</v>
      </c>
      <c r="AR166" s="87" t="s">
        <v>15872</v>
      </c>
      <c r="AS166" s="87" t="s">
        <v>734</v>
      </c>
      <c r="AT166" s="22" t="s">
        <v>3462</v>
      </c>
      <c r="AU166" s="87" t="s">
        <v>16975</v>
      </c>
      <c r="AV166" s="87" t="s">
        <v>4695</v>
      </c>
      <c r="AW166" s="457">
        <v>0</v>
      </c>
      <c r="AX166" s="630" t="str">
        <f t="shared" si="109"/>
        <v/>
      </c>
      <c r="AY166" s="630" t="str">
        <f t="shared" si="110"/>
        <v/>
      </c>
      <c r="AZ166" s="630" t="str">
        <f t="shared" si="111"/>
        <v/>
      </c>
      <c r="BA166" s="3"/>
      <c r="BB166" s="3"/>
      <c r="BC166" s="3"/>
      <c r="BD166" s="3"/>
      <c r="BE166" s="3"/>
      <c r="BF166" s="3"/>
      <c r="BG166" s="3"/>
      <c r="BH166" s="3"/>
      <c r="BI166" s="3"/>
      <c r="BJ166" s="3"/>
      <c r="BK166" s="3"/>
      <c r="BL166" s="3"/>
      <c r="BM166" s="3"/>
      <c r="BN166" s="3"/>
      <c r="BP166" s="3"/>
      <c r="BQ166" s="3"/>
      <c r="BR166" s="3"/>
      <c r="BS166" s="3"/>
      <c r="BT166" s="3"/>
      <c r="BU166" s="3"/>
      <c r="BV166" s="3"/>
      <c r="BW166" s="3"/>
      <c r="BX166" s="83" t="str">
        <f>IF(Province="Amhabal","Bas quartiers d'Amhabal","")</f>
        <v/>
      </c>
      <c r="BY166" t="str">
        <f t="shared" si="108"/>
        <v/>
      </c>
      <c r="BZ166" s="83" t="str">
        <f t="shared" si="100"/>
        <v/>
      </c>
      <c r="CA166" s="83" t="str">
        <f t="shared" si="101"/>
        <v/>
      </c>
      <c r="CB166" s="530" t="str">
        <f t="shared" si="102"/>
        <v/>
      </c>
      <c r="CC166" s="3" t="s">
        <v>10732</v>
      </c>
      <c r="CD166" s="3" t="s">
        <v>1074</v>
      </c>
      <c r="CG166" s="3" t="s">
        <v>6255</v>
      </c>
      <c r="CH166" s="3" t="s">
        <v>6030</v>
      </c>
      <c r="CI166" s="3"/>
      <c r="CJ166" s="3"/>
      <c r="CK166" s="3" t="s">
        <v>6946</v>
      </c>
      <c r="CM166" s="3" t="s">
        <v>6643</v>
      </c>
      <c r="CN166" s="3"/>
      <c r="CO166" t="s">
        <v>12248</v>
      </c>
      <c r="CP166" s="3"/>
      <c r="CQ166" s="3"/>
      <c r="CR166" s="3" t="s">
        <v>13536</v>
      </c>
      <c r="CS166" s="3"/>
      <c r="CT166" s="3"/>
      <c r="CU166" s="3"/>
      <c r="CV166" s="3"/>
      <c r="CW166" s="3"/>
      <c r="CX166" s="3"/>
      <c r="CY166" s="3" t="s">
        <v>800</v>
      </c>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t="s">
        <v>3063</v>
      </c>
      <c r="EA166" s="83" t="s">
        <v>4548</v>
      </c>
      <c r="EB166" s="3"/>
      <c r="ED166" s="83" t="s">
        <v>3087</v>
      </c>
      <c r="EE166" s="83" t="s">
        <v>2607</v>
      </c>
      <c r="EF166" s="530" t="s">
        <v>9565</v>
      </c>
      <c r="EK166" s="874"/>
      <c r="EU166" s="177" t="str">
        <f>IF(Dieu="Véréna","Porteurs de la Balance","")</f>
        <v/>
      </c>
      <c r="EV166" s="83" t="str">
        <f t="shared" si="99"/>
        <v/>
      </c>
      <c r="EW166" s="83" t="str">
        <f t="shared" si="103"/>
        <v/>
      </c>
      <c r="EX166" s="530" t="str">
        <f t="shared" si="104"/>
        <v/>
      </c>
      <c r="EY166" s="83" t="s">
        <v>3784</v>
      </c>
      <c r="EZ166" s="530" t="s">
        <v>5898</v>
      </c>
      <c r="FB166" s="83" t="s">
        <v>16247</v>
      </c>
      <c r="FC166" s="133" t="s">
        <v>7362</v>
      </c>
      <c r="FD166" s="562" t="s">
        <v>4551</v>
      </c>
      <c r="FE166" s="848" t="s">
        <v>149</v>
      </c>
      <c r="FF166">
        <v>33</v>
      </c>
      <c r="FG166" s="83">
        <v>0</v>
      </c>
      <c r="FH166">
        <v>70</v>
      </c>
      <c r="FI166">
        <v>70</v>
      </c>
      <c r="FJ166" s="10">
        <v>10</v>
      </c>
      <c r="FK166">
        <v>19</v>
      </c>
      <c r="FL166">
        <v>25</v>
      </c>
      <c r="FM166" s="165">
        <v>20</v>
      </c>
      <c r="FN166" s="88">
        <v>2</v>
      </c>
      <c r="FO166" s="88">
        <v>20</v>
      </c>
      <c r="FP166" s="164">
        <f>ROUNDDOWN(FH166/10,0)</f>
        <v>7</v>
      </c>
      <c r="FQ166" s="164">
        <f>ROUNDDOWN(FI166/10,0)</f>
        <v>7</v>
      </c>
      <c r="FR166" s="682">
        <v>8</v>
      </c>
      <c r="FS166" s="88">
        <v>0</v>
      </c>
      <c r="FT166" s="88">
        <v>0</v>
      </c>
      <c r="FU166" s="165">
        <v>0</v>
      </c>
      <c r="FV166" s="83" t="s">
        <v>9925</v>
      </c>
      <c r="FW166" s="83" t="s">
        <v>16248</v>
      </c>
      <c r="FX166" s="567" t="s">
        <v>7659</v>
      </c>
      <c r="GA166" s="83" t="s">
        <v>7631</v>
      </c>
      <c r="GF166" t="s">
        <v>6165</v>
      </c>
      <c r="GG166" s="341" t="s">
        <v>8978</v>
      </c>
      <c r="GH166" s="83" t="s">
        <v>8968</v>
      </c>
      <c r="GI166" s="83" t="s">
        <v>8937</v>
      </c>
      <c r="GJ166" s="83"/>
      <c r="GK166" s="530"/>
    </row>
    <row r="167" spans="8:193" ht="13.2" customHeight="1">
      <c r="H167" s="3"/>
      <c r="I167" s="3"/>
      <c r="J167" s="3"/>
      <c r="K167" s="3"/>
      <c r="L167" s="3"/>
      <c r="M167" s="651"/>
      <c r="N167" s="3"/>
      <c r="O167" s="3"/>
      <c r="P167" s="3"/>
      <c r="Q167" s="3"/>
      <c r="R167" s="651"/>
      <c r="S167" s="83" t="str">
        <f>IF(CareerType=Y167,"Garde républicain",IF(AllCareers="X","Garde républicain",IF(OR(SelectRace="homme-bête",SelectRace="peau-verte",SelectRace="créature du chaos",SelectRace="Homme-lézard",SelectRace="skaven"),"",IF(FirstCareer="1ère carrière","",IF(Pays="Tilée","Garde républicain","")))))</f>
        <v/>
      </c>
      <c r="T167" s="106">
        <f>IF(X167="oui",0,1)</f>
        <v>1</v>
      </c>
      <c r="U167" s="693" t="str">
        <f t="shared" si="105"/>
        <v/>
      </c>
      <c r="V167" s="693" t="str">
        <f t="shared" si="106"/>
        <v/>
      </c>
      <c r="W167" s="693" t="str">
        <f t="shared" si="107"/>
        <v/>
      </c>
      <c r="X167" s="111" t="s">
        <v>2153</v>
      </c>
      <c r="Y167" s="744" t="s">
        <v>7130</v>
      </c>
      <c r="Z167" s="56" t="s">
        <v>5513</v>
      </c>
      <c r="AA167" s="111">
        <v>60</v>
      </c>
      <c r="AB167" s="111" t="s">
        <v>5534</v>
      </c>
      <c r="AD167" s="16" t="s">
        <v>99</v>
      </c>
      <c r="AE167" s="16" t="s">
        <v>149</v>
      </c>
      <c r="AF167" s="16" t="s">
        <v>100</v>
      </c>
      <c r="AG167" s="16" t="s">
        <v>101</v>
      </c>
      <c r="AH167" s="16" t="s">
        <v>101</v>
      </c>
      <c r="AI167" s="16" t="s">
        <v>149</v>
      </c>
      <c r="AJ167" s="16" t="s">
        <v>98</v>
      </c>
      <c r="AK167" s="19" t="s">
        <v>98</v>
      </c>
      <c r="AL167" s="15" t="s">
        <v>102</v>
      </c>
      <c r="AM167" s="15" t="s">
        <v>103</v>
      </c>
      <c r="AN167" s="15" t="s">
        <v>149</v>
      </c>
      <c r="AO167" s="15" t="s">
        <v>149</v>
      </c>
      <c r="AP167" s="87" t="s">
        <v>16976</v>
      </c>
      <c r="AQ167" s="87" t="s">
        <v>734</v>
      </c>
      <c r="AR167" s="87" t="s">
        <v>16977</v>
      </c>
      <c r="AS167" s="87" t="s">
        <v>734</v>
      </c>
      <c r="AT167" s="87" t="s">
        <v>16978</v>
      </c>
      <c r="AU167" s="23" t="s">
        <v>5539</v>
      </c>
      <c r="AV167" s="87" t="s">
        <v>16979</v>
      </c>
      <c r="AW167" s="458">
        <v>0</v>
      </c>
      <c r="AX167" s="630" t="str">
        <f t="shared" si="109"/>
        <v/>
      </c>
      <c r="AY167" s="630" t="str">
        <f t="shared" si="110"/>
        <v/>
      </c>
      <c r="AZ167" s="630" t="str">
        <f t="shared" si="111"/>
        <v/>
      </c>
      <c r="BA167" s="3"/>
      <c r="BB167" s="3"/>
      <c r="BC167" s="3"/>
      <c r="BD167" s="3"/>
      <c r="BE167" s="3"/>
      <c r="BF167" s="3"/>
      <c r="BG167" s="3"/>
      <c r="BH167" s="3"/>
      <c r="BI167" s="3"/>
      <c r="BJ167" s="3"/>
      <c r="BK167" s="3"/>
      <c r="BL167" s="3"/>
      <c r="BM167" s="3"/>
      <c r="BN167" s="3"/>
      <c r="BP167" s="3"/>
      <c r="BQ167" s="3"/>
      <c r="BR167" s="3"/>
      <c r="BS167" s="3"/>
      <c r="BT167" s="3"/>
      <c r="BU167" s="3"/>
      <c r="BV167" s="3"/>
      <c r="BW167" s="3"/>
      <c r="BX167" s="83" t="str">
        <f>IF(Province="Bur-Shitrak","Bas quartiers de Bur-Shitrakl","")</f>
        <v/>
      </c>
      <c r="BY167" t="str">
        <f t="shared" si="108"/>
        <v/>
      </c>
      <c r="BZ167" s="83" t="str">
        <f t="shared" si="100"/>
        <v/>
      </c>
      <c r="CA167" s="83" t="str">
        <f t="shared" si="101"/>
        <v/>
      </c>
      <c r="CB167" s="530" t="str">
        <f t="shared" si="102"/>
        <v/>
      </c>
      <c r="CC167" s="3" t="s">
        <v>10733</v>
      </c>
      <c r="CG167" s="3" t="s">
        <v>6256</v>
      </c>
      <c r="CH167" s="3" t="s">
        <v>6033</v>
      </c>
      <c r="CI167" s="3"/>
      <c r="CJ167" s="3"/>
      <c r="CK167" s="3" t="s">
        <v>6979</v>
      </c>
      <c r="CM167" t="s">
        <v>10346</v>
      </c>
      <c r="CN167" s="3"/>
      <c r="CO167" s="3" t="str">
        <f>CONCATENATE("Grundis",IF(AND('page 1'!M11="Féminin",Pays="Norsca"),"dottir",IF(AND('page 1'!M11="Masculin",Pays="Norsca"),"son",IF(AND('page 1'!M11="Féminin",Pays="Kislev"),"ovna",IF(AND('page 1'!M11="Masculin",Pays="Kislev"),"sky","")))))</f>
        <v>Grundis</v>
      </c>
      <c r="CP167" s="3"/>
      <c r="CQ167" s="3"/>
      <c r="CR167" s="3" t="s">
        <v>13537</v>
      </c>
      <c r="CS167" s="3"/>
      <c r="CT167" s="3"/>
      <c r="CU167" s="3"/>
      <c r="CV167" s="3"/>
      <c r="CW167" s="3"/>
      <c r="CX167" s="3"/>
      <c r="CY167" s="3" t="s">
        <v>801</v>
      </c>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t="s">
        <v>3064</v>
      </c>
      <c r="EA167" s="83" t="s">
        <v>4548</v>
      </c>
      <c r="EB167" s="3"/>
      <c r="ED167" s="83" t="s">
        <v>12438</v>
      </c>
      <c r="EE167" s="83" t="s">
        <v>3876</v>
      </c>
      <c r="EF167" s="530" t="s">
        <v>15056</v>
      </c>
      <c r="EK167" s="874"/>
      <c r="EU167" s="177" t="str">
        <f>IF(Dieu="Véréna","Templiers de la Lumière Eternelle","")</f>
        <v/>
      </c>
      <c r="EV167" s="83" t="str">
        <f t="shared" si="99"/>
        <v/>
      </c>
      <c r="EW167" s="83" t="str">
        <f t="shared" si="103"/>
        <v/>
      </c>
      <c r="EX167" s="530" t="str">
        <f t="shared" si="104"/>
        <v/>
      </c>
      <c r="EY167" s="83" t="s">
        <v>12395</v>
      </c>
      <c r="EZ167" s="530" t="s">
        <v>10152</v>
      </c>
      <c r="FB167" s="83" t="s">
        <v>13031</v>
      </c>
      <c r="FC167" s="133" t="s">
        <v>7362</v>
      </c>
      <c r="FD167" s="85" t="s">
        <v>11347</v>
      </c>
      <c r="FE167" s="849">
        <v>7</v>
      </c>
      <c r="FF167">
        <v>33</v>
      </c>
      <c r="FG167">
        <v>0</v>
      </c>
      <c r="FH167">
        <v>24</v>
      </c>
      <c r="FI167">
        <v>26</v>
      </c>
      <c r="FJ167" s="10">
        <v>35</v>
      </c>
      <c r="FK167">
        <v>20</v>
      </c>
      <c r="FL167">
        <v>10</v>
      </c>
      <c r="FM167" s="165">
        <v>17</v>
      </c>
      <c r="FN167" s="88">
        <v>2</v>
      </c>
      <c r="FO167" s="88">
        <v>14</v>
      </c>
      <c r="FP167" s="164">
        <f>ROUNDDOWN(FH167/10,0)</f>
        <v>2</v>
      </c>
      <c r="FQ167" s="164">
        <f>ROUNDDOWN(FI167/10,0)</f>
        <v>2</v>
      </c>
      <c r="FR167" s="682">
        <v>8</v>
      </c>
      <c r="FS167" s="88">
        <v>0</v>
      </c>
      <c r="FT167" s="88">
        <v>0</v>
      </c>
      <c r="FU167" s="165">
        <v>0</v>
      </c>
      <c r="FV167" s="83" t="s">
        <v>7243</v>
      </c>
      <c r="FW167" s="83" t="s">
        <v>12996</v>
      </c>
      <c r="FX167" s="753" t="s">
        <v>7659</v>
      </c>
      <c r="GA167" t="s">
        <v>7295</v>
      </c>
      <c r="GF167" t="s">
        <v>8223</v>
      </c>
      <c r="GG167" s="341" t="s">
        <v>8973</v>
      </c>
      <c r="GH167" s="83" t="s">
        <v>8968</v>
      </c>
      <c r="GI167" s="83" t="s">
        <v>8937</v>
      </c>
      <c r="GJ167" s="83"/>
      <c r="GK167" s="530"/>
    </row>
    <row r="168" spans="8:193" ht="13.2" customHeight="1">
      <c r="H168" s="3"/>
      <c r="I168" s="3"/>
      <c r="J168" s="3"/>
      <c r="K168" s="3"/>
      <c r="L168" s="3"/>
      <c r="M168" s="651"/>
      <c r="N168" s="3"/>
      <c r="O168" s="3"/>
      <c r="P168" s="3"/>
      <c r="Q168" s="3"/>
      <c r="R168" s="651"/>
      <c r="S168" s="83" t="str">
        <f>IF(CareerType=Y168,"Gardien du harem",IF(AllCareers="X","Gardien du harem",IF(OR(FirstCareer="1ère carrière",SelectRace="homme-bête",SelectRace="peau-verte",SelectRace="créature du chaos",SelectRace="Homme-lézard",SelectRace="skaven"),"",IF(Pays="Arabie","Gardien du harem",""))))</f>
        <v/>
      </c>
      <c r="T168" s="106">
        <f>IF(X168="oui",0,1)</f>
        <v>1</v>
      </c>
      <c r="U168" s="693" t="str">
        <f t="shared" si="105"/>
        <v/>
      </c>
      <c r="V168" s="693" t="str">
        <f t="shared" si="106"/>
        <v/>
      </c>
      <c r="W168" s="693" t="str">
        <f t="shared" si="107"/>
        <v/>
      </c>
      <c r="X168" s="111" t="s">
        <v>2153</v>
      </c>
      <c r="Y168" s="744" t="s">
        <v>7130</v>
      </c>
      <c r="Z168" s="56" t="s">
        <v>9975</v>
      </c>
      <c r="AA168" s="111">
        <v>237</v>
      </c>
      <c r="AB168" s="111" t="s">
        <v>10037</v>
      </c>
      <c r="AD168" s="105" t="s">
        <v>100</v>
      </c>
      <c r="AE168" s="105" t="s">
        <v>149</v>
      </c>
      <c r="AF168" s="105" t="s">
        <v>101</v>
      </c>
      <c r="AG168" s="105" t="s">
        <v>101</v>
      </c>
      <c r="AH168" s="105" t="s">
        <v>101</v>
      </c>
      <c r="AI168" s="105" t="s">
        <v>149</v>
      </c>
      <c r="AJ168" s="105" t="s">
        <v>100</v>
      </c>
      <c r="AK168" s="443" t="s">
        <v>98</v>
      </c>
      <c r="AL168" s="105" t="s">
        <v>102</v>
      </c>
      <c r="AM168" s="105" t="s">
        <v>114</v>
      </c>
      <c r="AN168" s="105" t="s">
        <v>149</v>
      </c>
      <c r="AO168" s="105" t="s">
        <v>149</v>
      </c>
      <c r="AP168" s="87" t="s">
        <v>15135</v>
      </c>
      <c r="AQ168" s="87" t="s">
        <v>734</v>
      </c>
      <c r="AR168" s="87" t="s">
        <v>10079</v>
      </c>
      <c r="AS168" s="87" t="s">
        <v>734</v>
      </c>
      <c r="AT168" s="87" t="s">
        <v>16980</v>
      </c>
      <c r="AU168" s="87" t="s">
        <v>10080</v>
      </c>
      <c r="AV168" s="87" t="s">
        <v>10117</v>
      </c>
      <c r="AW168" s="458">
        <v>0</v>
      </c>
      <c r="AX168" s="630" t="str">
        <f t="shared" si="109"/>
        <v/>
      </c>
      <c r="AY168" s="630" t="str">
        <f t="shared" si="110"/>
        <v/>
      </c>
      <c r="AZ168" s="630" t="str">
        <f t="shared" si="111"/>
        <v/>
      </c>
      <c r="BA168" s="3"/>
      <c r="BB168" s="3"/>
      <c r="BC168" s="3"/>
      <c r="BD168" s="3"/>
      <c r="BE168" s="3"/>
      <c r="BF168" s="3"/>
      <c r="BG168" s="3"/>
      <c r="BH168" s="3"/>
      <c r="BI168" s="3"/>
      <c r="BJ168" s="3"/>
      <c r="BK168" s="3"/>
      <c r="BL168" s="3"/>
      <c r="BM168" s="3"/>
      <c r="BN168" s="3"/>
      <c r="BP168" s="3"/>
      <c r="BQ168" s="3"/>
      <c r="BR168" s="3"/>
      <c r="BS168" s="3"/>
      <c r="BT168" s="3"/>
      <c r="BU168" s="3"/>
      <c r="BV168" s="3"/>
      <c r="BW168" s="3"/>
      <c r="BX168" s="83" t="str">
        <f>IF(Province="Copher","Bas quartiers de Copher","")</f>
        <v/>
      </c>
      <c r="BY168" t="str">
        <f t="shared" si="108"/>
        <v/>
      </c>
      <c r="BZ168" s="83" t="str">
        <f t="shared" si="100"/>
        <v/>
      </c>
      <c r="CA168" s="83" t="str">
        <f t="shared" si="101"/>
        <v/>
      </c>
      <c r="CB168" s="530" t="str">
        <f t="shared" si="102"/>
        <v/>
      </c>
      <c r="CC168" s="3" t="s">
        <v>10734</v>
      </c>
      <c r="CG168" s="3" t="s">
        <v>6257</v>
      </c>
      <c r="CH168" s="3" t="s">
        <v>6034</v>
      </c>
      <c r="CI168" s="3"/>
      <c r="CJ168" s="3"/>
      <c r="CK168" s="3" t="s">
        <v>6835</v>
      </c>
      <c r="CM168" s="3" t="s">
        <v>6644</v>
      </c>
      <c r="CN168" s="3"/>
      <c r="CO168" s="3" t="str">
        <f>CONCATENATE("Grungni",IF(AND('page 1'!M11="Féminin",Pays="Norsca"),"dottir",IF(AND('page 1'!M11="Masculin",Pays="Norsca"),"son",IF(AND('page 1'!M11="Féminin",Pays="Kislev"),"ovna",IF(AND('page 1'!M11="Masculin",Pays="Kislev"),"sky","")))))</f>
        <v>Grungni</v>
      </c>
      <c r="CP168" s="3"/>
      <c r="CQ168" s="3"/>
      <c r="CR168" s="3" t="s">
        <v>13538</v>
      </c>
      <c r="CS168" s="3"/>
      <c r="CT168" s="3"/>
      <c r="CU168" s="3"/>
      <c r="CV168" s="3"/>
      <c r="CW168" s="3"/>
      <c r="CX168" s="3"/>
      <c r="CY168" s="3" t="s">
        <v>802</v>
      </c>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t="s">
        <v>3065</v>
      </c>
      <c r="EA168" s="83" t="s">
        <v>4548</v>
      </c>
      <c r="EB168" s="3"/>
      <c r="ED168" s="83" t="s">
        <v>11721</v>
      </c>
      <c r="EE168" s="83" t="s">
        <v>3876</v>
      </c>
      <c r="EF168" s="540" t="s">
        <v>11722</v>
      </c>
      <c r="EK168" s="874"/>
      <c r="EU168" s="177" t="str">
        <f>IF(Dieu="Myrmidia","Ordre hermétique de la paix de Nahmud","")</f>
        <v/>
      </c>
      <c r="EV168" s="83" t="str">
        <f t="shared" si="99"/>
        <v/>
      </c>
      <c r="EW168" s="83" t="str">
        <f t="shared" si="103"/>
        <v/>
      </c>
      <c r="EX168" s="530" t="str">
        <f t="shared" si="104"/>
        <v/>
      </c>
      <c r="EY168" s="83" t="s">
        <v>5907</v>
      </c>
      <c r="EZ168" s="530" t="s">
        <v>5908</v>
      </c>
      <c r="FB168" s="83" t="s">
        <v>13255</v>
      </c>
      <c r="FC168" s="133" t="s">
        <v>7362</v>
      </c>
      <c r="FD168" s="85" t="s">
        <v>2196</v>
      </c>
      <c r="FE168" s="849">
        <v>111</v>
      </c>
      <c r="FF168">
        <v>33</v>
      </c>
      <c r="FG168">
        <v>0</v>
      </c>
      <c r="FH168">
        <v>36</v>
      </c>
      <c r="FI168">
        <v>44</v>
      </c>
      <c r="FJ168" s="10">
        <v>32</v>
      </c>
      <c r="FK168">
        <v>20</v>
      </c>
      <c r="FL168">
        <v>37</v>
      </c>
      <c r="FM168" s="165">
        <v>12</v>
      </c>
      <c r="FN168" s="88">
        <v>1</v>
      </c>
      <c r="FO168" s="88">
        <v>8</v>
      </c>
      <c r="FP168" s="691">
        <f t="shared" ref="FP168:FP184" si="116">ROUNDDOWN(FH168/10,0)</f>
        <v>3</v>
      </c>
      <c r="FQ168" s="691">
        <f t="shared" ref="FQ168:FQ184" si="117">ROUNDDOWN(FI168/10,0)</f>
        <v>4</v>
      </c>
      <c r="FR168" s="10">
        <v>7</v>
      </c>
      <c r="FS168" s="88">
        <v>0</v>
      </c>
      <c r="FT168" s="88">
        <v>0</v>
      </c>
      <c r="FU168" s="165">
        <v>0</v>
      </c>
      <c r="FV168" s="83" t="s">
        <v>13256</v>
      </c>
      <c r="FW168" s="83" t="s">
        <v>14623</v>
      </c>
      <c r="FX168" s="753" t="s">
        <v>7659</v>
      </c>
      <c r="GA168" t="s">
        <v>7495</v>
      </c>
      <c r="GF168" t="s">
        <v>7744</v>
      </c>
      <c r="GG168" s="341" t="s">
        <v>8970</v>
      </c>
      <c r="GH168" s="83" t="s">
        <v>8968</v>
      </c>
      <c r="GI168" s="83" t="s">
        <v>8937</v>
      </c>
      <c r="GJ168" s="83"/>
      <c r="GK168" s="530"/>
    </row>
    <row r="169" spans="8:193" ht="13.2" customHeight="1">
      <c r="H169" s="3"/>
      <c r="I169" s="3"/>
      <c r="J169" s="3"/>
      <c r="K169" s="3"/>
      <c r="L169" s="3"/>
      <c r="M169" s="651"/>
      <c r="N169" s="3"/>
      <c r="O169" s="3"/>
      <c r="P169" s="3"/>
      <c r="Q169" s="3"/>
      <c r="R169" s="651"/>
      <c r="S169" s="83" t="str">
        <f>IF(CareerType=Y169,"Gardien du temple",IF(AllCareers="X","Gardien du temple",IF(OR(SelectRace="homme-bête",SelectRace="peau-verte",SelectRace="créature du chaos",SelectRace="skaven"),"",IF(OR(Pays="Désolations du Chaos",Pays="Norsca"),"",IF(OR(SelectRace="Nain",SelectRace="Humain",SelectRace="Homme-lézard"),"Gardien du temple","")))))</f>
        <v/>
      </c>
      <c r="T169" s="106">
        <f>IF(X169="oui",0,1)</f>
        <v>0</v>
      </c>
      <c r="U169" s="693" t="str">
        <f t="shared" si="105"/>
        <v/>
      </c>
      <c r="V169" s="693" t="str">
        <f t="shared" si="106"/>
        <v/>
      </c>
      <c r="W169" s="693" t="str">
        <f t="shared" si="107"/>
        <v/>
      </c>
      <c r="X169" s="47" t="s">
        <v>2160</v>
      </c>
      <c r="Y169" s="743" t="s">
        <v>7132</v>
      </c>
      <c r="Z169" s="55" t="s">
        <v>538</v>
      </c>
      <c r="AA169" s="47">
        <v>195</v>
      </c>
      <c r="AB169" s="47" t="s">
        <v>2316</v>
      </c>
      <c r="AC169" s="47">
        <v>208</v>
      </c>
      <c r="AD169" s="15" t="s">
        <v>98</v>
      </c>
      <c r="AE169" s="15" t="s">
        <v>114</v>
      </c>
      <c r="AF169" s="15" t="s">
        <v>114</v>
      </c>
      <c r="AG169" s="15" t="s">
        <v>114</v>
      </c>
      <c r="AH169" s="15" t="s">
        <v>114</v>
      </c>
      <c r="AI169" s="15" t="s">
        <v>149</v>
      </c>
      <c r="AJ169" s="15" t="s">
        <v>114</v>
      </c>
      <c r="AK169" s="18" t="s">
        <v>149</v>
      </c>
      <c r="AL169" s="15" t="s">
        <v>149</v>
      </c>
      <c r="AM169" s="15" t="s">
        <v>113</v>
      </c>
      <c r="AN169" s="15" t="s">
        <v>149</v>
      </c>
      <c r="AO169" s="15" t="s">
        <v>149</v>
      </c>
      <c r="AP169" s="87" t="s">
        <v>15136</v>
      </c>
      <c r="AQ169" s="87" t="s">
        <v>734</v>
      </c>
      <c r="AR169" s="87" t="s">
        <v>15125</v>
      </c>
      <c r="AS169" s="87" t="s">
        <v>734</v>
      </c>
      <c r="AT169" s="22" t="s">
        <v>3463</v>
      </c>
      <c r="AU169" s="87" t="s">
        <v>5375</v>
      </c>
      <c r="AV169" s="87" t="s">
        <v>4733</v>
      </c>
      <c r="AW169" s="457">
        <v>0</v>
      </c>
      <c r="AX169" s="630" t="str">
        <f t="shared" si="109"/>
        <v/>
      </c>
      <c r="AY169" s="630" t="str">
        <f t="shared" si="110"/>
        <v/>
      </c>
      <c r="AZ169" s="630" t="str">
        <f t="shared" si="111"/>
        <v/>
      </c>
      <c r="BA169" s="3"/>
      <c r="BB169" s="3"/>
      <c r="BC169" s="3"/>
      <c r="BD169" s="3"/>
      <c r="BE169" s="3"/>
      <c r="BF169" s="3"/>
      <c r="BG169" s="3"/>
      <c r="BH169" s="3"/>
      <c r="BI169" s="3"/>
      <c r="BJ169" s="3"/>
      <c r="BK169" s="3"/>
      <c r="BL169" s="3"/>
      <c r="BM169" s="3"/>
      <c r="BN169" s="3"/>
      <c r="BP169" s="3"/>
      <c r="BQ169" s="3"/>
      <c r="BR169" s="3"/>
      <c r="BS169" s="3"/>
      <c r="BT169" s="3"/>
      <c r="BU169" s="3"/>
      <c r="BV169" s="3"/>
      <c r="BW169" s="3"/>
      <c r="BX169" s="83" t="str">
        <f>IF(Province="Dimashque","Bas quartiers de Dimashque","")</f>
        <v/>
      </c>
      <c r="BY169" t="str">
        <f t="shared" si="108"/>
        <v/>
      </c>
      <c r="BZ169" s="83" t="str">
        <f t="shared" si="100"/>
        <v/>
      </c>
      <c r="CA169" s="83" t="str">
        <f t="shared" si="101"/>
        <v/>
      </c>
      <c r="CB169" s="530" t="str">
        <f t="shared" si="102"/>
        <v/>
      </c>
      <c r="CC169" s="3" t="s">
        <v>3322</v>
      </c>
      <c r="CG169" s="3" t="s">
        <v>6258</v>
      </c>
      <c r="CH169" s="3" t="s">
        <v>6039</v>
      </c>
      <c r="CI169" s="3"/>
      <c r="CJ169" s="3"/>
      <c r="CK169" t="s">
        <v>7003</v>
      </c>
      <c r="CM169" s="3" t="s">
        <v>6645</v>
      </c>
      <c r="CN169" s="3"/>
      <c r="CO169" s="3" t="str">
        <f>CONCATENATE("Grunkyas",IF(AND('page 1'!M11="Féminin",Pays="Norsca"),"dottir",IF(AND('page 1'!M11="Masculin",Pays="Norsca"),"son",IF(AND('page 1'!M11="Féminin",Pays="Kislev"),"ovna",IF(AND('page 1'!M11="Masculin",Pays="Kislev"),"sky","")))))</f>
        <v>Grunkyas</v>
      </c>
      <c r="CP169" s="3"/>
      <c r="CQ169" s="3"/>
      <c r="CR169" s="3" t="s">
        <v>13539</v>
      </c>
      <c r="CS169" s="3"/>
      <c r="CT169" s="3"/>
      <c r="CU169" s="3"/>
      <c r="CV169" s="3"/>
      <c r="CW169" s="3"/>
      <c r="CX169" s="3"/>
      <c r="CY169" s="83" t="s">
        <v>803</v>
      </c>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t="s">
        <v>3066</v>
      </c>
      <c r="EA169" s="83" t="s">
        <v>4549</v>
      </c>
      <c r="EB169" s="3"/>
      <c r="ED169" s="83" t="s">
        <v>12437</v>
      </c>
      <c r="EE169" s="83" t="s">
        <v>3876</v>
      </c>
      <c r="EF169" s="530" t="s">
        <v>15057</v>
      </c>
      <c r="EK169" s="874"/>
      <c r="EU169" s="177" t="str">
        <f>IF(OR(Pays="Norsca",Pays="Désolations du Chaos",Pays="",Pays="Steppes orientales",Pays="",Pays="Steppes orientales"),"",IF(Pays="Empire","Boucliers Rouges",""))</f>
        <v/>
      </c>
      <c r="EV169" s="83" t="str">
        <f t="shared" si="99"/>
        <v/>
      </c>
      <c r="EW169" s="83" t="str">
        <f t="shared" si="103"/>
        <v/>
      </c>
      <c r="EX169" s="530" t="str">
        <f t="shared" si="104"/>
        <v/>
      </c>
      <c r="EY169" s="83" t="s">
        <v>12878</v>
      </c>
      <c r="FB169" s="106" t="s">
        <v>13197</v>
      </c>
      <c r="FC169" s="133" t="s">
        <v>7362</v>
      </c>
      <c r="FD169" s="85" t="s">
        <v>13096</v>
      </c>
      <c r="FE169" s="848" t="s">
        <v>13097</v>
      </c>
      <c r="FF169">
        <v>32</v>
      </c>
      <c r="FG169">
        <v>0</v>
      </c>
      <c r="FH169">
        <v>33</v>
      </c>
      <c r="FI169">
        <v>41</v>
      </c>
      <c r="FJ169" s="10">
        <v>30</v>
      </c>
      <c r="FK169">
        <v>14</v>
      </c>
      <c r="FL169">
        <v>15</v>
      </c>
      <c r="FM169" s="165">
        <v>5</v>
      </c>
      <c r="FN169" s="88">
        <v>1</v>
      </c>
      <c r="FO169" s="88">
        <v>14</v>
      </c>
      <c r="FP169" s="164">
        <f t="shared" si="116"/>
        <v>3</v>
      </c>
      <c r="FQ169" s="164">
        <f t="shared" si="117"/>
        <v>4</v>
      </c>
      <c r="FR169" s="682">
        <v>7</v>
      </c>
      <c r="FS169" s="88">
        <v>0</v>
      </c>
      <c r="FT169" s="88">
        <v>0</v>
      </c>
      <c r="FU169" s="165">
        <v>0</v>
      </c>
      <c r="FV169" s="83" t="s">
        <v>13002</v>
      </c>
      <c r="FW169" s="83" t="s">
        <v>14624</v>
      </c>
      <c r="FX169" s="753" t="s">
        <v>7659</v>
      </c>
      <c r="GA169" t="s">
        <v>7296</v>
      </c>
      <c r="GF169" t="s">
        <v>8231</v>
      </c>
      <c r="GG169" s="341" t="s">
        <v>8972</v>
      </c>
      <c r="GH169" s="83" t="s">
        <v>8968</v>
      </c>
      <c r="GI169" s="83" t="s">
        <v>8937</v>
      </c>
      <c r="GJ169" s="83"/>
      <c r="GK169" s="530"/>
    </row>
    <row r="170" spans="8:193" ht="13.2" customHeight="1">
      <c r="H170" s="3"/>
      <c r="I170" s="3"/>
      <c r="J170" s="3"/>
      <c r="K170" s="3"/>
      <c r="L170" s="3"/>
      <c r="M170" s="651"/>
      <c r="N170" s="3"/>
      <c r="O170" s="3"/>
      <c r="P170" s="3"/>
      <c r="Q170" s="3"/>
      <c r="R170" s="651"/>
      <c r="S170" s="83" t="str">
        <f>IF(CareerType=Y170,"Gardien tribal/Amazone/Fianna d'Albion",IF(AllCareers="X","Gardien tribal/Amazone/Fianna d'Albion",IF(SelectRace="Elfe","Gardien tribal",IF(AND('page 1'!M11="Féminin",Pays="Lustrie"),"Amazone",IF(AND('page 1'!M11="Féminin",Pays="Albion"),"Fianna d'Albion","")))))</f>
        <v/>
      </c>
      <c r="T170" s="106">
        <f>IF(X170="oui",0,1)</f>
        <v>0</v>
      </c>
      <c r="U170" s="693" t="str">
        <f t="shared" si="105"/>
        <v/>
      </c>
      <c r="V170" s="693" t="str">
        <f t="shared" si="106"/>
        <v/>
      </c>
      <c r="W170" s="693" t="str">
        <f t="shared" si="107"/>
        <v/>
      </c>
      <c r="X170" s="47" t="s">
        <v>2160</v>
      </c>
      <c r="Y170" s="743" t="s">
        <v>7130</v>
      </c>
      <c r="Z170" s="55" t="s">
        <v>2200</v>
      </c>
      <c r="AA170" s="47">
        <v>44</v>
      </c>
      <c r="AB170" s="872" t="s">
        <v>16572</v>
      </c>
      <c r="AC170" s="47">
        <v>121</v>
      </c>
      <c r="AD170" s="20" t="s">
        <v>114</v>
      </c>
      <c r="AE170" s="20" t="s">
        <v>114</v>
      </c>
      <c r="AF170" s="15" t="s">
        <v>149</v>
      </c>
      <c r="AG170" s="15" t="s">
        <v>149</v>
      </c>
      <c r="AH170" s="15" t="s">
        <v>98</v>
      </c>
      <c r="AI170" s="15" t="s">
        <v>98</v>
      </c>
      <c r="AJ170" s="20" t="s">
        <v>114</v>
      </c>
      <c r="AK170" s="18" t="s">
        <v>149</v>
      </c>
      <c r="AL170" s="15" t="s">
        <v>149</v>
      </c>
      <c r="AM170" s="15" t="s">
        <v>113</v>
      </c>
      <c r="AN170" s="15" t="s">
        <v>149</v>
      </c>
      <c r="AO170" s="15" t="s">
        <v>149</v>
      </c>
      <c r="AP170" s="22" t="s">
        <v>624</v>
      </c>
      <c r="AQ170" s="87" t="s">
        <v>734</v>
      </c>
      <c r="AR170" s="87" t="s">
        <v>12271</v>
      </c>
      <c r="AS170" s="87" t="s">
        <v>734</v>
      </c>
      <c r="AT170" s="630" t="str">
        <f>CONCATENATE(IF(S170="Amazone","Camouflage rural OU Tireur d’élite, Guerrier né",IF(S170="Gardien Tribal","Camouflage rural OU Tireur d’élite, Guerrier né OU Rechargement rapide","Frénésie, Guerrier né, Maîtrise (à 2 mains)")))</f>
        <v>Frénésie, Guerrier né, Maîtrise (à 2 mains)</v>
      </c>
      <c r="AU170" s="87" t="s">
        <v>5334</v>
      </c>
      <c r="AV170" s="630" t="str">
        <f>CONCATENATE(IF(S170="Amazone","Arc long, carcois avec 20 flèches, javeline, armure légère (veste de cuir)",IF(S170="Fianna d'Albion","Epée à 2 mains, javeline, tatouages tribaux","Arc elfique, carquois avec 10 flèches, armure légère (veste de cuir)")))</f>
        <v>Arc elfique, carquois avec 10 flèches, armure légère (veste de cuir)</v>
      </c>
      <c r="AW170" s="457">
        <v>0</v>
      </c>
      <c r="AX170" s="630" t="str">
        <f t="shared" si="109"/>
        <v/>
      </c>
      <c r="AY170" s="630" t="str">
        <f t="shared" si="110"/>
        <v/>
      </c>
      <c r="AZ170" s="630" t="str">
        <f t="shared" si="111"/>
        <v/>
      </c>
      <c r="BA170" s="3"/>
      <c r="BB170" s="3"/>
      <c r="BC170" s="3"/>
      <c r="BD170" s="3"/>
      <c r="BE170" s="3"/>
      <c r="BF170" s="3"/>
      <c r="BG170" s="3"/>
      <c r="BH170" s="3"/>
      <c r="BI170" s="3"/>
      <c r="BJ170" s="3"/>
      <c r="BK170" s="3"/>
      <c r="BL170" s="3"/>
      <c r="BM170" s="3"/>
      <c r="BN170" s="3"/>
      <c r="BP170" s="3"/>
      <c r="BQ170" s="3"/>
      <c r="BR170" s="3"/>
      <c r="BS170" s="3"/>
      <c r="BT170" s="3"/>
      <c r="BU170" s="3"/>
      <c r="BV170" s="3"/>
      <c r="BW170" s="3"/>
      <c r="BX170" t="str">
        <f>IF(Province="Djambiya","Bas quartiers de Djambiya","")</f>
        <v/>
      </c>
      <c r="BY170" t="str">
        <f t="shared" si="108"/>
        <v/>
      </c>
      <c r="BZ170" s="83" t="str">
        <f t="shared" si="100"/>
        <v/>
      </c>
      <c r="CA170" s="83" t="str">
        <f t="shared" si="101"/>
        <v/>
      </c>
      <c r="CB170" s="530" t="str">
        <f t="shared" si="102"/>
        <v/>
      </c>
      <c r="CC170" s="83" t="s">
        <v>3323</v>
      </c>
      <c r="CG170" s="83" t="s">
        <v>15245</v>
      </c>
      <c r="CH170" s="3" t="s">
        <v>6040</v>
      </c>
      <c r="CI170" s="3"/>
      <c r="CJ170" s="3"/>
      <c r="CK170" s="3" t="s">
        <v>6912</v>
      </c>
      <c r="CM170" t="s">
        <v>10347</v>
      </c>
      <c r="CN170" s="3"/>
      <c r="CO170" s="3" t="str">
        <f>CONCATENATE("Grunn",IF(AND('page 1'!M11="Féminin",Pays="Norsca"),"dottir",IF(AND('page 1'!M11="Masculin",Pays="Norsca"),"son",IF(AND('page 1'!M11="Féminin",Pays="Kislev"),"ovna",IF(AND('page 1'!M11="Masculin",Pays="Kislev"),"sky","")))))</f>
        <v>Grunn</v>
      </c>
      <c r="CP170" s="3"/>
      <c r="CQ170" s="3"/>
      <c r="CR170" s="3" t="s">
        <v>13540</v>
      </c>
      <c r="CS170" s="3"/>
      <c r="CT170" s="3"/>
      <c r="CU170" s="3"/>
      <c r="CV170" s="3"/>
      <c r="CW170" s="3"/>
      <c r="CX170" s="3"/>
      <c r="CY170" s="3" t="s">
        <v>804</v>
      </c>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83" t="s">
        <v>13210</v>
      </c>
      <c r="EA170" s="83" t="s">
        <v>12921</v>
      </c>
      <c r="EB170" s="3"/>
      <c r="ED170" s="83" t="s">
        <v>12442</v>
      </c>
      <c r="EE170" s="83" t="s">
        <v>3876</v>
      </c>
      <c r="EF170" s="530" t="s">
        <v>15058</v>
      </c>
      <c r="EK170" s="874"/>
      <c r="EU170" s="25" t="str">
        <f>IF(OR(Pays="Norsca",Pays="Désolations du Chaos",Pays="",Pays="Steppes orientales"),"","Chevaliers Carmins")</f>
        <v/>
      </c>
      <c r="EV170" s="83" t="str">
        <f t="shared" si="99"/>
        <v/>
      </c>
      <c r="EW170" s="83" t="str">
        <f t="shared" si="103"/>
        <v/>
      </c>
      <c r="EX170" s="530" t="str">
        <f t="shared" si="104"/>
        <v/>
      </c>
      <c r="EY170" s="83" t="s">
        <v>2903</v>
      </c>
      <c r="FB170" s="85" t="s">
        <v>16249</v>
      </c>
      <c r="FC170" s="133" t="s">
        <v>7362</v>
      </c>
      <c r="FD170" s="562" t="s">
        <v>4551</v>
      </c>
      <c r="FE170" s="848" t="s">
        <v>149</v>
      </c>
      <c r="FF170">
        <v>33</v>
      </c>
      <c r="FG170">
        <v>0</v>
      </c>
      <c r="FH170">
        <v>30</v>
      </c>
      <c r="FI170">
        <v>30</v>
      </c>
      <c r="FJ170" s="10">
        <v>10</v>
      </c>
      <c r="FK170">
        <v>2</v>
      </c>
      <c r="FL170">
        <v>6</v>
      </c>
      <c r="FM170" s="165">
        <v>0</v>
      </c>
      <c r="FN170" s="88">
        <v>2</v>
      </c>
      <c r="FO170" s="88">
        <v>11</v>
      </c>
      <c r="FP170" s="691">
        <f t="shared" si="116"/>
        <v>3</v>
      </c>
      <c r="FQ170" s="691">
        <f t="shared" si="117"/>
        <v>3</v>
      </c>
      <c r="FR170" s="10">
        <v>5</v>
      </c>
      <c r="FS170" s="88">
        <v>0</v>
      </c>
      <c r="FT170" s="88">
        <v>0</v>
      </c>
      <c r="FU170" s="165">
        <v>0</v>
      </c>
      <c r="FV170" s="83" t="s">
        <v>9362</v>
      </c>
      <c r="FW170" s="83" t="s">
        <v>16250</v>
      </c>
      <c r="FX170" s="530" t="s">
        <v>7659</v>
      </c>
      <c r="GA170" t="s">
        <v>7572</v>
      </c>
      <c r="GF170" t="s">
        <v>8245</v>
      </c>
      <c r="GG170" s="341" t="s">
        <v>8977</v>
      </c>
      <c r="GH170" s="83" t="s">
        <v>8968</v>
      </c>
      <c r="GI170" s="83" t="s">
        <v>8937</v>
      </c>
      <c r="GJ170" s="83"/>
      <c r="GK170" s="530"/>
    </row>
    <row r="171" spans="8:193" ht="13.2" customHeight="1">
      <c r="H171" s="3"/>
      <c r="I171" s="3"/>
      <c r="J171" s="3"/>
      <c r="K171" s="3"/>
      <c r="L171" s="3"/>
      <c r="M171" s="651"/>
      <c r="N171" s="3"/>
      <c r="O171" s="3"/>
      <c r="P171" s="3"/>
      <c r="Q171" s="3"/>
      <c r="R171" s="651"/>
      <c r="S171" s="83" t="str">
        <f>IF(CareerType=Y171,"Génie royal",IF(AllCareers="X","Génie royal",IF(OR(Pays="Désolations du Chaos",Pays="Norsca",FirstCareer="1ère carrière"),"",IF(OR(SelectRace="Nain",SelectRace="Humain",SelectRace="skaven",SelectRace="Vampire"),"Génie royal",""))))</f>
        <v/>
      </c>
      <c r="T171" s="106">
        <v>2</v>
      </c>
      <c r="U171" s="693" t="str">
        <f t="shared" si="105"/>
        <v/>
      </c>
      <c r="V171" s="693" t="str">
        <f t="shared" si="106"/>
        <v/>
      </c>
      <c r="W171" s="693" t="str">
        <f t="shared" si="107"/>
        <v/>
      </c>
      <c r="X171" s="89" t="s">
        <v>2153</v>
      </c>
      <c r="Y171" s="743" t="s">
        <v>15709</v>
      </c>
      <c r="Z171" s="56" t="s">
        <v>9975</v>
      </c>
      <c r="AA171" s="89">
        <v>305</v>
      </c>
      <c r="AB171" s="89" t="s">
        <v>10784</v>
      </c>
      <c r="AD171" s="105" t="s">
        <v>100</v>
      </c>
      <c r="AE171" s="105" t="s">
        <v>98</v>
      </c>
      <c r="AF171" s="105" t="s">
        <v>99</v>
      </c>
      <c r="AG171" s="105" t="s">
        <v>99</v>
      </c>
      <c r="AH171" s="105" t="s">
        <v>101</v>
      </c>
      <c r="AI171" s="105" t="s">
        <v>99</v>
      </c>
      <c r="AJ171" s="105" t="s">
        <v>100</v>
      </c>
      <c r="AK171" s="443" t="s">
        <v>99</v>
      </c>
      <c r="AL171" s="105" t="s">
        <v>102</v>
      </c>
      <c r="AM171" s="105" t="s">
        <v>98</v>
      </c>
      <c r="AN171" s="15" t="s">
        <v>149</v>
      </c>
      <c r="AO171" s="15" t="s">
        <v>149</v>
      </c>
      <c r="AP171" s="87" t="s">
        <v>10786</v>
      </c>
      <c r="AQ171" s="87" t="s">
        <v>10786</v>
      </c>
      <c r="AR171" s="87" t="s">
        <v>10787</v>
      </c>
      <c r="AS171" s="87" t="s">
        <v>10787</v>
      </c>
      <c r="AT171" s="87" t="s">
        <v>10789</v>
      </c>
      <c r="AU171" s="87" t="s">
        <v>10790</v>
      </c>
      <c r="AV171" s="87" t="s">
        <v>4698</v>
      </c>
      <c r="AW171" s="458">
        <v>0</v>
      </c>
      <c r="AX171" s="630" t="str">
        <f t="shared" si="109"/>
        <v/>
      </c>
      <c r="AY171" s="630" t="str">
        <f t="shared" si="110"/>
        <v/>
      </c>
      <c r="AZ171" s="630" t="str">
        <f t="shared" si="111"/>
        <v/>
      </c>
      <c r="BA171" s="3"/>
      <c r="BB171" s="3"/>
      <c r="BC171" s="3"/>
      <c r="BD171" s="3"/>
      <c r="BE171" s="3"/>
      <c r="BF171" s="3"/>
      <c r="BG171" s="3"/>
      <c r="BH171" s="3"/>
      <c r="BI171" s="3"/>
      <c r="BJ171" s="3"/>
      <c r="BK171" s="3"/>
      <c r="BL171" s="3"/>
      <c r="BM171" s="3"/>
      <c r="BN171" s="3"/>
      <c r="BP171" s="3"/>
      <c r="BQ171" s="3"/>
      <c r="BR171" s="3"/>
      <c r="BS171" s="3"/>
      <c r="BT171" s="3"/>
      <c r="BU171" s="3"/>
      <c r="BV171" s="3"/>
      <c r="BW171" s="3"/>
      <c r="BX171" s="83" t="str">
        <f>IF(Province="El Kabbath","Bas quartiers d'El Kabbath","")</f>
        <v/>
      </c>
      <c r="BY171" t="str">
        <f t="shared" si="108"/>
        <v/>
      </c>
      <c r="BZ171" s="83" t="str">
        <f t="shared" si="100"/>
        <v/>
      </c>
      <c r="CA171" s="83" t="str">
        <f t="shared" si="101"/>
        <v/>
      </c>
      <c r="CB171" s="530" t="str">
        <f t="shared" si="102"/>
        <v/>
      </c>
      <c r="CC171" s="3" t="s">
        <v>3324</v>
      </c>
      <c r="CG171" s="3" t="s">
        <v>6259</v>
      </c>
      <c r="CH171" s="3" t="s">
        <v>6035</v>
      </c>
      <c r="CI171" s="3"/>
      <c r="CJ171" s="3"/>
      <c r="CK171" s="3" t="s">
        <v>6875</v>
      </c>
      <c r="CM171" t="s">
        <v>10349</v>
      </c>
      <c r="CN171" s="3"/>
      <c r="CO171" s="3" t="str">
        <f>CONCATENATE("Gundor",IF(AND('page 1'!M11="Féminin",Pays="Norsca"),"dottir",IF(AND('page 1'!M11="Masculin",Pays="Norsca"),"son",IF(AND('page 1'!M11="Féminin",Pays="Kislev"),"ovna",IF(AND('page 1'!M11="Masculin",Pays="Kislev"),"sky","")))))</f>
        <v>Gundor</v>
      </c>
      <c r="CP171" s="3"/>
      <c r="CQ171" s="3"/>
      <c r="CR171" t="s">
        <v>13541</v>
      </c>
      <c r="CS171" s="3"/>
      <c r="CT171" s="3"/>
      <c r="CU171" s="3"/>
      <c r="CV171" s="3"/>
      <c r="CW171" s="3"/>
      <c r="CX171" s="3"/>
      <c r="CY171" s="3" t="s">
        <v>805</v>
      </c>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t="s">
        <v>3067</v>
      </c>
      <c r="EA171" s="83" t="s">
        <v>4549</v>
      </c>
      <c r="EB171" s="3"/>
      <c r="ED171" s="83" t="s">
        <v>15055</v>
      </c>
      <c r="EE171" s="83" t="s">
        <v>3876</v>
      </c>
      <c r="EF171" s="530" t="s">
        <v>15059</v>
      </c>
      <c r="EK171" s="874"/>
      <c r="EU171" s="25" t="str">
        <f>IF(OR(Pays="Norsca",Pays="Désolations du Chaos",Pays="",Pays="Steppes orientales"),"","Chevaliers de l’Épée Brisée")</f>
        <v/>
      </c>
      <c r="EV171" s="83" t="str">
        <f t="shared" si="99"/>
        <v/>
      </c>
      <c r="EW171" s="83" t="str">
        <f t="shared" si="103"/>
        <v/>
      </c>
      <c r="EX171" s="530" t="str">
        <f t="shared" si="104"/>
        <v/>
      </c>
      <c r="EY171" s="83" t="s">
        <v>837</v>
      </c>
      <c r="EZ171" s="530" t="s">
        <v>10853</v>
      </c>
      <c r="FB171" s="85" t="s">
        <v>13222</v>
      </c>
      <c r="FC171" s="133" t="s">
        <v>7362</v>
      </c>
      <c r="FD171" s="85" t="s">
        <v>9703</v>
      </c>
      <c r="FE171" s="848">
        <v>325</v>
      </c>
      <c r="FF171">
        <v>33</v>
      </c>
      <c r="FG171">
        <v>0</v>
      </c>
      <c r="FH171">
        <v>51</v>
      </c>
      <c r="FI171">
        <v>40</v>
      </c>
      <c r="FJ171" s="10">
        <v>38</v>
      </c>
      <c r="FK171">
        <v>12</v>
      </c>
      <c r="FL171">
        <v>42</v>
      </c>
      <c r="FM171" s="165">
        <v>0</v>
      </c>
      <c r="FN171" s="88">
        <v>3</v>
      </c>
      <c r="FO171" s="88">
        <v>16</v>
      </c>
      <c r="FP171" s="691">
        <f t="shared" si="116"/>
        <v>5</v>
      </c>
      <c r="FQ171" s="691">
        <f t="shared" si="117"/>
        <v>4</v>
      </c>
      <c r="FR171" s="10">
        <v>6</v>
      </c>
      <c r="FS171" s="88">
        <v>0</v>
      </c>
      <c r="FT171" s="88">
        <v>0</v>
      </c>
      <c r="FU171" s="165">
        <v>0</v>
      </c>
      <c r="FV171" s="83" t="s">
        <v>9362</v>
      </c>
      <c r="FW171" s="83" t="s">
        <v>16216</v>
      </c>
      <c r="FX171" s="753" t="s">
        <v>7659</v>
      </c>
      <c r="GA171" t="s">
        <v>7496</v>
      </c>
      <c r="GF171" t="s">
        <v>7745</v>
      </c>
      <c r="GG171" s="341" t="s">
        <v>8984</v>
      </c>
      <c r="GH171" s="83" t="s">
        <v>8979</v>
      </c>
      <c r="GI171" s="83" t="s">
        <v>8937</v>
      </c>
      <c r="GJ171" s="83"/>
      <c r="GK171" s="530"/>
    </row>
    <row r="172" spans="8:193" ht="13.2" customHeight="1">
      <c r="H172" s="3"/>
      <c r="I172" s="3"/>
      <c r="J172" s="3"/>
      <c r="K172" s="3"/>
      <c r="L172" s="3"/>
      <c r="M172" s="651"/>
      <c r="N172" s="3"/>
      <c r="O172" s="3"/>
      <c r="P172" s="3"/>
      <c r="Q172" s="3"/>
      <c r="R172" s="651"/>
      <c r="S172" s="83" t="str">
        <f>IF(CareerType=Y172,"Génie supérieur",IF(AllCareers="X","Génie supérieur",IF(OR(Pays="Désolations du Chaos",Pays="Norsca",FirstCareer="1ère carrière"),"",IF(OR(SelectRace="Nain",SelectRace="Humain",SelectRace="skaven",SelectRace="Vampire"),"Génie supérieur",""))))</f>
        <v/>
      </c>
      <c r="T172" s="106">
        <f>IF(X172="oui",0,1)</f>
        <v>1</v>
      </c>
      <c r="U172" s="693" t="str">
        <f t="shared" si="105"/>
        <v/>
      </c>
      <c r="V172" s="693" t="str">
        <f t="shared" si="106"/>
        <v/>
      </c>
      <c r="W172" s="693" t="str">
        <f t="shared" si="107"/>
        <v/>
      </c>
      <c r="X172" s="89" t="s">
        <v>2153</v>
      </c>
      <c r="Y172" s="743" t="s">
        <v>15709</v>
      </c>
      <c r="Z172" s="56" t="s">
        <v>9975</v>
      </c>
      <c r="AA172" s="89">
        <v>304</v>
      </c>
      <c r="AB172" s="89" t="s">
        <v>10783</v>
      </c>
      <c r="AD172" s="105" t="s">
        <v>101</v>
      </c>
      <c r="AE172" s="105" t="s">
        <v>98</v>
      </c>
      <c r="AF172" s="105" t="s">
        <v>101</v>
      </c>
      <c r="AG172" s="105" t="s">
        <v>98</v>
      </c>
      <c r="AH172" s="105" t="s">
        <v>98</v>
      </c>
      <c r="AI172" s="105" t="s">
        <v>100</v>
      </c>
      <c r="AJ172" s="105" t="s">
        <v>101</v>
      </c>
      <c r="AK172" s="443" t="s">
        <v>98</v>
      </c>
      <c r="AL172" s="105" t="s">
        <v>102</v>
      </c>
      <c r="AM172" s="105" t="s">
        <v>118</v>
      </c>
      <c r="AN172" s="15" t="s">
        <v>149</v>
      </c>
      <c r="AO172" s="15" t="s">
        <v>149</v>
      </c>
      <c r="AP172" s="87" t="s">
        <v>771</v>
      </c>
      <c r="AQ172" s="87" t="s">
        <v>771</v>
      </c>
      <c r="AR172" s="87" t="s">
        <v>10785</v>
      </c>
      <c r="AS172" s="87" t="s">
        <v>10785</v>
      </c>
      <c r="AT172" s="87" t="s">
        <v>15790</v>
      </c>
      <c r="AU172" s="87" t="s">
        <v>10788</v>
      </c>
      <c r="AV172" s="87" t="s">
        <v>4698</v>
      </c>
      <c r="AW172" s="458">
        <v>0</v>
      </c>
      <c r="AX172" s="630" t="str">
        <f t="shared" si="109"/>
        <v/>
      </c>
      <c r="AY172" s="630" t="str">
        <f t="shared" si="110"/>
        <v/>
      </c>
      <c r="AZ172" s="630" t="str">
        <f t="shared" si="111"/>
        <v/>
      </c>
      <c r="BA172" s="3"/>
      <c r="BB172" s="3"/>
      <c r="BC172" s="3"/>
      <c r="BD172" s="3"/>
      <c r="BE172" s="3"/>
      <c r="BF172" s="3"/>
      <c r="BG172" s="3"/>
      <c r="BH172" s="3"/>
      <c r="BI172" s="3"/>
      <c r="BJ172" s="3"/>
      <c r="BK172" s="3"/>
      <c r="BL172" s="3"/>
      <c r="BM172" s="3"/>
      <c r="BN172" s="3"/>
      <c r="BP172" s="3"/>
      <c r="BQ172" s="3"/>
      <c r="BR172" s="3"/>
      <c r="BS172" s="3"/>
      <c r="BT172" s="3"/>
      <c r="BU172" s="3"/>
      <c r="BV172" s="3"/>
      <c r="BW172" s="3"/>
      <c r="BX172" s="83" t="str">
        <f>IF(Province="El Kalabad","Bas quartiers d'El Kalabad","")</f>
        <v/>
      </c>
      <c r="BY172" t="str">
        <f t="shared" si="108"/>
        <v/>
      </c>
      <c r="BZ172" s="83" t="str">
        <f t="shared" si="100"/>
        <v/>
      </c>
      <c r="CA172" s="83" t="str">
        <f t="shared" si="101"/>
        <v/>
      </c>
      <c r="CB172" s="530" t="str">
        <f t="shared" si="102"/>
        <v/>
      </c>
      <c r="CC172" s="3" t="s">
        <v>3325</v>
      </c>
      <c r="CG172" s="3" t="s">
        <v>6260</v>
      </c>
      <c r="CH172" s="3" t="s">
        <v>912</v>
      </c>
      <c r="CI172" s="3"/>
      <c r="CJ172" s="3"/>
      <c r="CK172" s="3" t="s">
        <v>6749</v>
      </c>
      <c r="CM172" s="3" t="s">
        <v>6647</v>
      </c>
      <c r="CN172" s="3"/>
      <c r="CO172" s="3" t="str">
        <f>CONCATENATE("Gundrik",IF(AND('page 1'!M11="Féminin",Pays="Norsca"),"dottir",IF(AND('page 1'!M11="Masculin",Pays="Norsca"),"son",IF(AND('page 1'!M11="Féminin",Pays="Kislev"),"ovna",IF(AND('page 1'!M11="Masculin",Pays="Kislev"),"sky","")))))</f>
        <v>Gundrik</v>
      </c>
      <c r="CR172" s="3" t="s">
        <v>13542</v>
      </c>
      <c r="CS172" s="3"/>
      <c r="CT172" s="3"/>
      <c r="CU172" s="3"/>
      <c r="CV172" s="3"/>
      <c r="CW172" s="3"/>
      <c r="CX172" s="3"/>
      <c r="CY172" s="3" t="s">
        <v>839</v>
      </c>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83" t="s">
        <v>3068</v>
      </c>
      <c r="EA172" s="83" t="s">
        <v>4549</v>
      </c>
      <c r="EB172" s="3"/>
      <c r="ED172" s="83" t="s">
        <v>15524</v>
      </c>
      <c r="EE172" s="83" t="s">
        <v>5906</v>
      </c>
      <c r="EF172" s="530" t="s">
        <v>15526</v>
      </c>
      <c r="EK172" s="874"/>
      <c r="EU172" s="25" t="str">
        <f>IF(OR(Pays="Norsca",Pays="Désolations du Chaos",Pays="",Pays="Steppes orientales",Pays="",Pays="Steppes orientales"),"",IF(Pays="Empire","Chevaliers de la Flèche",""))</f>
        <v/>
      </c>
      <c r="EV172" s="83" t="str">
        <f t="shared" si="99"/>
        <v/>
      </c>
      <c r="EW172" s="83" t="str">
        <f t="shared" si="103"/>
        <v/>
      </c>
      <c r="EX172" s="530" t="str">
        <f t="shared" si="104"/>
        <v/>
      </c>
      <c r="EY172" s="83" t="s">
        <v>10850</v>
      </c>
      <c r="EZ172" s="530" t="s">
        <v>10852</v>
      </c>
      <c r="FB172" s="83" t="s">
        <v>13054</v>
      </c>
      <c r="FC172" s="133" t="s">
        <v>7362</v>
      </c>
      <c r="FD172" s="83" t="s">
        <v>9703</v>
      </c>
      <c r="FE172" s="849">
        <v>278</v>
      </c>
      <c r="FF172">
        <v>45</v>
      </c>
      <c r="FG172">
        <v>0</v>
      </c>
      <c r="FH172">
        <v>52</v>
      </c>
      <c r="FI172">
        <v>57</v>
      </c>
      <c r="FJ172" s="10">
        <v>33</v>
      </c>
      <c r="FK172">
        <v>7</v>
      </c>
      <c r="FL172">
        <v>45</v>
      </c>
      <c r="FM172" s="165">
        <v>0</v>
      </c>
      <c r="FN172" s="88">
        <v>3</v>
      </c>
      <c r="FO172" s="88">
        <v>20</v>
      </c>
      <c r="FP172" s="164">
        <f t="shared" si="116"/>
        <v>5</v>
      </c>
      <c r="FQ172" s="164">
        <f t="shared" si="117"/>
        <v>5</v>
      </c>
      <c r="FR172" s="682">
        <v>3</v>
      </c>
      <c r="FS172" s="88">
        <v>0</v>
      </c>
      <c r="FT172" s="88">
        <v>0</v>
      </c>
      <c r="FU172" s="165">
        <v>0</v>
      </c>
      <c r="FV172" s="83" t="s">
        <v>13053</v>
      </c>
      <c r="FW172" s="83" t="s">
        <v>16217</v>
      </c>
      <c r="FX172" s="751" t="s">
        <v>9938</v>
      </c>
      <c r="GA172" t="s">
        <v>7497</v>
      </c>
      <c r="GF172" t="s">
        <v>7746</v>
      </c>
      <c r="GG172" s="341" t="s">
        <v>8980</v>
      </c>
      <c r="GH172" s="83" t="s">
        <v>8979</v>
      </c>
      <c r="GI172" s="83" t="s">
        <v>8937</v>
      </c>
      <c r="GJ172" s="83"/>
      <c r="GK172" s="530"/>
    </row>
    <row r="173" spans="8:193" ht="13.2" customHeight="1">
      <c r="H173" s="3"/>
      <c r="I173" s="3"/>
      <c r="J173" s="3"/>
      <c r="K173" s="3"/>
      <c r="L173" s="3"/>
      <c r="M173" s="651"/>
      <c r="N173" s="3"/>
      <c r="O173" s="3"/>
      <c r="P173" s="3"/>
      <c r="Q173" s="3"/>
      <c r="R173" s="651"/>
      <c r="S173" s="83" t="str">
        <f>IF(CareerType=Y173,"Geôlier",IF(AllCareers="X","Geôlier",IF(OR(Pays="Désolations du Chaos",Pays="Norsca"),"",IF(OR(SelectRace="Nain",SelectRace="Humain",SelectRace="skaven",SelectRace="Vampire"),"Geôlier",""))))</f>
        <v/>
      </c>
      <c r="T173" s="106">
        <f>IF(X173="oui",0,1)</f>
        <v>0</v>
      </c>
      <c r="U173" s="693" t="str">
        <f t="shared" si="105"/>
        <v/>
      </c>
      <c r="V173" s="693" t="str">
        <f t="shared" si="106"/>
        <v/>
      </c>
      <c r="W173" s="693" t="str">
        <f t="shared" si="107"/>
        <v/>
      </c>
      <c r="X173" s="47" t="s">
        <v>2160</v>
      </c>
      <c r="Y173" s="743" t="s">
        <v>7132</v>
      </c>
      <c r="Z173" s="55" t="s">
        <v>2200</v>
      </c>
      <c r="AA173" s="47">
        <v>45</v>
      </c>
      <c r="AB173" s="47" t="s">
        <v>2317</v>
      </c>
      <c r="AC173" s="47">
        <v>115</v>
      </c>
      <c r="AD173" s="15" t="s">
        <v>98</v>
      </c>
      <c r="AE173" s="15" t="s">
        <v>149</v>
      </c>
      <c r="AF173" s="15" t="s">
        <v>98</v>
      </c>
      <c r="AG173" s="15" t="s">
        <v>98</v>
      </c>
      <c r="AH173" s="15" t="s">
        <v>149</v>
      </c>
      <c r="AI173" s="15" t="s">
        <v>149</v>
      </c>
      <c r="AJ173" s="20" t="s">
        <v>114</v>
      </c>
      <c r="AK173" s="18" t="s">
        <v>149</v>
      </c>
      <c r="AL173" s="15" t="s">
        <v>149</v>
      </c>
      <c r="AM173" s="15" t="s">
        <v>115</v>
      </c>
      <c r="AN173" s="15" t="s">
        <v>149</v>
      </c>
      <c r="AO173" s="15" t="s">
        <v>149</v>
      </c>
      <c r="AP173" s="87" t="s">
        <v>4955</v>
      </c>
      <c r="AQ173" s="87" t="s">
        <v>5856</v>
      </c>
      <c r="AR173" s="87" t="s">
        <v>15126</v>
      </c>
      <c r="AS173" s="87" t="s">
        <v>14826</v>
      </c>
      <c r="AT173" s="22" t="s">
        <v>3464</v>
      </c>
      <c r="AU173" s="87" t="s">
        <v>5335</v>
      </c>
      <c r="AV173" s="87" t="s">
        <v>16573</v>
      </c>
      <c r="AW173" s="457">
        <v>0</v>
      </c>
      <c r="AX173" s="630" t="str">
        <f t="shared" si="109"/>
        <v/>
      </c>
      <c r="AY173" s="630" t="str">
        <f t="shared" si="110"/>
        <v/>
      </c>
      <c r="AZ173" s="630" t="str">
        <f t="shared" si="111"/>
        <v/>
      </c>
      <c r="BA173" s="3"/>
      <c r="BB173" s="3"/>
      <c r="BC173" s="3"/>
      <c r="BD173" s="3"/>
      <c r="BE173" s="3"/>
      <c r="BF173" s="3"/>
      <c r="BG173" s="3"/>
      <c r="BH173" s="3"/>
      <c r="BI173" s="3"/>
      <c r="BJ173" s="3"/>
      <c r="BK173" s="3"/>
      <c r="BL173" s="3"/>
      <c r="BM173" s="3"/>
      <c r="BN173" s="3"/>
      <c r="BP173" s="3"/>
      <c r="BQ173" s="3"/>
      <c r="BR173" s="3"/>
      <c r="BS173" s="3"/>
      <c r="BT173" s="3"/>
      <c r="BU173" s="3"/>
      <c r="BV173" s="3"/>
      <c r="BW173" s="3"/>
      <c r="BX173" s="83" t="str">
        <f>IF(Province="Gobi-Alain","Bas quartiers de Gobi-Alain","")</f>
        <v/>
      </c>
      <c r="BY173" t="str">
        <f t="shared" si="108"/>
        <v/>
      </c>
      <c r="BZ173" s="83" t="str">
        <f t="shared" si="100"/>
        <v/>
      </c>
      <c r="CA173" s="83" t="str">
        <f t="shared" si="101"/>
        <v/>
      </c>
      <c r="CB173" s="530" t="str">
        <f t="shared" si="102"/>
        <v/>
      </c>
      <c r="CC173" s="3" t="s">
        <v>3326</v>
      </c>
      <c r="CG173" s="3" t="s">
        <v>6261</v>
      </c>
      <c r="CH173" s="3" t="s">
        <v>6036</v>
      </c>
      <c r="CI173" s="3"/>
      <c r="CJ173" s="3"/>
      <c r="CK173" s="3" t="s">
        <v>6795</v>
      </c>
      <c r="CM173" s="83" t="s">
        <v>15147</v>
      </c>
      <c r="CN173" s="3"/>
      <c r="CO173" s="3" t="str">
        <f>CONCATENATE("Gurnis",IF(AND('page 1'!M11="Féminin",Pays="Norsca"),"dottir",IF(AND('page 1'!M11="Masculin",Pays="Norsca"),"son",IF(AND('page 1'!M11="Féminin",Pays="Kislev"),"ovna",IF(AND('page 1'!M11="Masculin",Pays="Kislev"),"sky","")))))</f>
        <v>Gurnis</v>
      </c>
      <c r="CP173" s="3"/>
      <c r="CQ173" s="3"/>
      <c r="CR173" s="3" t="s">
        <v>13543</v>
      </c>
      <c r="CS173" s="3"/>
      <c r="CT173" s="3"/>
      <c r="CU173" s="3"/>
      <c r="CV173" s="3"/>
      <c r="CW173" s="3"/>
      <c r="CX173" s="3"/>
      <c r="CY173" s="3" t="s">
        <v>806</v>
      </c>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t="s">
        <v>3069</v>
      </c>
      <c r="EA173" s="83" t="s">
        <v>4549</v>
      </c>
      <c r="EB173" s="3"/>
      <c r="ED173" s="83" t="s">
        <v>11629</v>
      </c>
      <c r="EE173" s="83" t="s">
        <v>5906</v>
      </c>
      <c r="EF173" s="540" t="s">
        <v>16982</v>
      </c>
      <c r="EK173" s="874"/>
      <c r="EU173" s="25" t="str">
        <f>IF(OR(Pays="Norsca",Pays="Désolations du Chaos",Pays="",Pays="Steppes orientales"),"","Chevaliers de la Serre Étincelante")</f>
        <v/>
      </c>
      <c r="EV173" s="83" t="str">
        <f t="shared" si="99"/>
        <v/>
      </c>
      <c r="EW173" s="83" t="str">
        <f t="shared" si="103"/>
        <v/>
      </c>
      <c r="EX173" s="530" t="str">
        <f t="shared" si="104"/>
        <v/>
      </c>
      <c r="EZ173" s="530" t="s">
        <v>11256</v>
      </c>
      <c r="FB173" s="83" t="s">
        <v>13030</v>
      </c>
      <c r="FC173" s="133" t="s">
        <v>7362</v>
      </c>
      <c r="FD173" s="562" t="s">
        <v>4551</v>
      </c>
      <c r="FE173" s="848" t="s">
        <v>149</v>
      </c>
      <c r="FF173">
        <v>40</v>
      </c>
      <c r="FG173">
        <v>0</v>
      </c>
      <c r="FH173">
        <v>50</v>
      </c>
      <c r="FI173">
        <v>40</v>
      </c>
      <c r="FJ173" s="10">
        <v>30</v>
      </c>
      <c r="FK173">
        <v>40</v>
      </c>
      <c r="FL173">
        <v>60</v>
      </c>
      <c r="FM173" s="165">
        <v>5</v>
      </c>
      <c r="FN173" s="88">
        <v>9</v>
      </c>
      <c r="FO173" s="88">
        <v>30</v>
      </c>
      <c r="FP173" s="164">
        <f t="shared" si="116"/>
        <v>5</v>
      </c>
      <c r="FQ173" s="164">
        <f t="shared" si="117"/>
        <v>4</v>
      </c>
      <c r="FR173" s="682">
        <v>6</v>
      </c>
      <c r="FS173" s="88">
        <v>0</v>
      </c>
      <c r="FT173" s="88">
        <v>0</v>
      </c>
      <c r="FU173" s="165">
        <v>0</v>
      </c>
      <c r="FV173" s="83" t="s">
        <v>16981</v>
      </c>
      <c r="FW173" s="83" t="s">
        <v>12292</v>
      </c>
      <c r="FX173" s="751" t="s">
        <v>7661</v>
      </c>
      <c r="GA173" t="s">
        <v>7498</v>
      </c>
      <c r="GF173" t="s">
        <v>8224</v>
      </c>
      <c r="GG173" s="341" t="s">
        <v>8985</v>
      </c>
      <c r="GH173" s="83" t="s">
        <v>8979</v>
      </c>
      <c r="GI173" s="83" t="s">
        <v>8937</v>
      </c>
      <c r="GJ173" s="83"/>
      <c r="GK173" s="530"/>
    </row>
    <row r="174" spans="8:193" ht="13.2" customHeight="1">
      <c r="H174" s="3"/>
      <c r="I174" s="3"/>
      <c r="J174" s="3"/>
      <c r="K174" s="3"/>
      <c r="L174" s="3"/>
      <c r="M174" s="651"/>
      <c r="N174" s="3"/>
      <c r="O174" s="3"/>
      <c r="P174" s="3"/>
      <c r="Q174" s="3"/>
      <c r="R174" s="651"/>
      <c r="S174" s="83" t="str">
        <f>IF(CareerType=Y174,"Géomètre",IF(AllCareers="X","Géomètre",IF(Selectsousrace="","",IF(OR(SelectRace="homme-bête",SelectRace="peau-verte",SelectRace="créature du chaos",SelectRace="Homme-lézard",SelectRace="skaven"),"",IF(FirstCareer="1ère carrière","","Géomètre")))))</f>
        <v/>
      </c>
      <c r="T174" s="106">
        <f>IF(X174="oui",0,1)</f>
        <v>1</v>
      </c>
      <c r="U174" s="693" t="str">
        <f t="shared" si="105"/>
        <v/>
      </c>
      <c r="V174" s="693" t="str">
        <f t="shared" si="106"/>
        <v/>
      </c>
      <c r="W174" s="693" t="str">
        <f t="shared" si="107"/>
        <v/>
      </c>
      <c r="X174" s="89" t="s">
        <v>2153</v>
      </c>
      <c r="Y174" s="743" t="s">
        <v>7131</v>
      </c>
      <c r="Z174" s="101" t="s">
        <v>4943</v>
      </c>
      <c r="AB174" s="89" t="s">
        <v>9295</v>
      </c>
      <c r="AD174" s="15" t="s">
        <v>149</v>
      </c>
      <c r="AE174" s="15" t="s">
        <v>149</v>
      </c>
      <c r="AF174" s="15" t="s">
        <v>98</v>
      </c>
      <c r="AG174" s="15" t="s">
        <v>98</v>
      </c>
      <c r="AH174" s="15" t="s">
        <v>98</v>
      </c>
      <c r="AI174" s="15" t="s">
        <v>116</v>
      </c>
      <c r="AJ174" s="15" t="s">
        <v>98</v>
      </c>
      <c r="AK174" s="18" t="s">
        <v>100</v>
      </c>
      <c r="AL174" s="15" t="s">
        <v>149</v>
      </c>
      <c r="AM174" s="15" t="s">
        <v>103</v>
      </c>
      <c r="AN174" s="15" t="s">
        <v>149</v>
      </c>
      <c r="AO174" s="15" t="s">
        <v>149</v>
      </c>
      <c r="AP174" s="87" t="s">
        <v>16983</v>
      </c>
      <c r="AQ174" s="87" t="s">
        <v>734</v>
      </c>
      <c r="AR174" s="87" t="s">
        <v>16984</v>
      </c>
      <c r="AS174" s="87" t="s">
        <v>734</v>
      </c>
      <c r="AT174" s="87" t="s">
        <v>4956</v>
      </c>
      <c r="AU174" s="87" t="s">
        <v>5398</v>
      </c>
      <c r="AV174" s="87" t="s">
        <v>16985</v>
      </c>
      <c r="AW174" s="457">
        <v>0</v>
      </c>
      <c r="AX174" s="630" t="str">
        <f t="shared" si="109"/>
        <v/>
      </c>
      <c r="AY174" s="630" t="str">
        <f t="shared" si="110"/>
        <v/>
      </c>
      <c r="AZ174" s="630" t="str">
        <f t="shared" si="111"/>
        <v/>
      </c>
      <c r="BA174" s="3"/>
      <c r="BB174" s="3"/>
      <c r="BC174" s="3"/>
      <c r="BD174" s="3"/>
      <c r="BE174" s="3"/>
      <c r="BF174" s="3"/>
      <c r="BG174" s="3"/>
      <c r="BH174" s="3"/>
      <c r="BI174" s="3"/>
      <c r="BJ174" s="3"/>
      <c r="BK174" s="3"/>
      <c r="BL174" s="3"/>
      <c r="BM174" s="3"/>
      <c r="BN174" s="3"/>
      <c r="BP174" s="3"/>
      <c r="BQ174" s="3"/>
      <c r="BR174" s="3"/>
      <c r="BS174" s="3"/>
      <c r="BT174" s="3"/>
      <c r="BU174" s="3"/>
      <c r="BV174" s="3"/>
      <c r="BW174" s="3"/>
      <c r="BX174" t="str">
        <f>IF(Province="Gomorh","Bas quartiers de Gomorh","")</f>
        <v/>
      </c>
      <c r="BY174" t="str">
        <f t="shared" si="108"/>
        <v/>
      </c>
      <c r="BZ174" s="83" t="str">
        <f t="shared" si="100"/>
        <v/>
      </c>
      <c r="CA174" s="83" t="str">
        <f t="shared" si="101"/>
        <v/>
      </c>
      <c r="CB174" s="530" t="str">
        <f t="shared" si="102"/>
        <v/>
      </c>
      <c r="CC174" s="3" t="s">
        <v>1050</v>
      </c>
      <c r="CG174" s="3" t="s">
        <v>6262</v>
      </c>
      <c r="CH174" s="3" t="s">
        <v>6037</v>
      </c>
      <c r="CI174" s="3"/>
      <c r="CJ174" s="3"/>
      <c r="CK174" s="3" t="s">
        <v>6980</v>
      </c>
      <c r="CM174" s="3" t="s">
        <v>6646</v>
      </c>
      <c r="CN174" s="3"/>
      <c r="CO174" t="str">
        <f>CONCATENATE("Gustaf",IF(AND('page 1'!M11="Féminin",Pays="Norsca"),"dottir",IF(AND('page 1'!M11="Masculin",Pays="Norsca"),"son",IF(AND('page 1'!M11="Féminin",Pays="Kislev"),"ovna",IF(AND('page 1'!M11="Masculin",Pays="Kislev"),"sky","")))))</f>
        <v>Gustaf</v>
      </c>
      <c r="CP174" s="3"/>
      <c r="CQ174" s="3"/>
      <c r="CR174" s="3" t="s">
        <v>13544</v>
      </c>
      <c r="CS174" s="3"/>
      <c r="CT174" s="3"/>
      <c r="CU174" s="3"/>
      <c r="CV174" s="3"/>
      <c r="CW174" s="3"/>
      <c r="CX174" s="3"/>
      <c r="CY174" s="3" t="s">
        <v>13257</v>
      </c>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t="s">
        <v>3070</v>
      </c>
      <c r="EA174" s="83" t="s">
        <v>4549</v>
      </c>
      <c r="EB174" s="3"/>
      <c r="ED174" s="83" t="s">
        <v>11631</v>
      </c>
      <c r="EE174" s="83" t="s">
        <v>5906</v>
      </c>
      <c r="EF174" s="530" t="s">
        <v>16986</v>
      </c>
      <c r="EK174" s="874"/>
      <c r="EU174" s="25" t="str">
        <f>IF(OR(Pays="Norsca",Pays="Désolations du Chaos",Pays="",Pays="Steppes orientales"),"","Chevaliers des Épines Tordues")</f>
        <v/>
      </c>
      <c r="EV174" s="83" t="str">
        <f t="shared" si="99"/>
        <v/>
      </c>
      <c r="EW174" s="83" t="str">
        <f t="shared" si="103"/>
        <v/>
      </c>
      <c r="EX174" s="530" t="str">
        <f t="shared" si="104"/>
        <v/>
      </c>
      <c r="EZ174" s="530" t="s">
        <v>11256</v>
      </c>
      <c r="FB174" s="83" t="s">
        <v>12981</v>
      </c>
      <c r="FC174" s="133" t="s">
        <v>7362</v>
      </c>
      <c r="FD174" s="85" t="s">
        <v>7245</v>
      </c>
      <c r="FE174" s="849">
        <v>110</v>
      </c>
      <c r="FF174">
        <v>42</v>
      </c>
      <c r="FG174">
        <v>0</v>
      </c>
      <c r="FH174">
        <v>53</v>
      </c>
      <c r="FI174">
        <v>35</v>
      </c>
      <c r="FJ174" s="10">
        <v>56</v>
      </c>
      <c r="FK174">
        <v>5</v>
      </c>
      <c r="FL174">
        <v>22</v>
      </c>
      <c r="FM174" s="165">
        <v>5</v>
      </c>
      <c r="FN174" s="88">
        <v>2</v>
      </c>
      <c r="FO174" s="88">
        <v>10</v>
      </c>
      <c r="FP174" s="164">
        <f t="shared" si="116"/>
        <v>5</v>
      </c>
      <c r="FQ174" s="164">
        <f t="shared" si="117"/>
        <v>3</v>
      </c>
      <c r="FR174" s="772" t="s">
        <v>5806</v>
      </c>
      <c r="FS174" s="88">
        <v>0</v>
      </c>
      <c r="FT174" s="88">
        <v>0</v>
      </c>
      <c r="FU174" s="165">
        <v>0</v>
      </c>
      <c r="FV174" s="83" t="s">
        <v>12982</v>
      </c>
      <c r="FW174" s="83" t="s">
        <v>12983</v>
      </c>
      <c r="FX174" s="751" t="s">
        <v>7659</v>
      </c>
      <c r="GA174" s="25" t="s">
        <v>7499</v>
      </c>
      <c r="GF174" s="83" t="s">
        <v>16988</v>
      </c>
      <c r="GG174" s="341" t="s">
        <v>8986</v>
      </c>
      <c r="GH174" s="83" t="s">
        <v>8979</v>
      </c>
      <c r="GI174" s="83" t="s">
        <v>8937</v>
      </c>
      <c r="GJ174" s="83"/>
      <c r="GK174" s="530"/>
    </row>
    <row r="175" spans="8:193" ht="13.2" customHeight="1">
      <c r="H175" s="3"/>
      <c r="I175" s="3"/>
      <c r="J175" s="3"/>
      <c r="K175" s="3"/>
      <c r="L175" s="3"/>
      <c r="M175" s="651"/>
      <c r="N175" s="3"/>
      <c r="O175" s="3"/>
      <c r="P175" s="3"/>
      <c r="Q175" s="3"/>
      <c r="R175" s="651"/>
      <c r="S175" s="83" t="str">
        <f>IF(CareerType=Y175,"Gladiateur",IF(AllCareers="X","Gladiateur",IF(OR(SelectRace="homme-bête",SelectRace="Homme-lézard"),"",IF(AND('page 1'!E13="Noir",SelectRace="skaven"),"Gladiateur",IF(OR(SelectRace="Nain",SelectRace="Humain",SelectRace="Vampire"),"Gladiateur","")))))</f>
        <v/>
      </c>
      <c r="T175" s="106">
        <f>IF(X175="oui",0,1)</f>
        <v>0</v>
      </c>
      <c r="U175" s="693" t="str">
        <f t="shared" si="105"/>
        <v/>
      </c>
      <c r="V175" s="693" t="str">
        <f t="shared" si="106"/>
        <v/>
      </c>
      <c r="W175" s="693" t="str">
        <f t="shared" si="107"/>
        <v/>
      </c>
      <c r="X175" s="47" t="s">
        <v>2160</v>
      </c>
      <c r="Y175" s="743" t="s">
        <v>7130</v>
      </c>
      <c r="Z175" s="55" t="s">
        <v>2200</v>
      </c>
      <c r="AA175" s="47">
        <v>45</v>
      </c>
      <c r="AB175" s="47" t="s">
        <v>2318</v>
      </c>
      <c r="AC175" s="47">
        <v>165</v>
      </c>
      <c r="AD175" s="15" t="s">
        <v>101</v>
      </c>
      <c r="AE175" s="15" t="s">
        <v>149</v>
      </c>
      <c r="AF175" s="15" t="s">
        <v>149</v>
      </c>
      <c r="AG175" s="15" t="s">
        <v>98</v>
      </c>
      <c r="AH175" s="15" t="s">
        <v>98</v>
      </c>
      <c r="AI175" s="15" t="s">
        <v>149</v>
      </c>
      <c r="AJ175" s="15" t="s">
        <v>98</v>
      </c>
      <c r="AK175" s="18" t="s">
        <v>149</v>
      </c>
      <c r="AL175" s="15" t="s">
        <v>149</v>
      </c>
      <c r="AM175" s="15" t="s">
        <v>113</v>
      </c>
      <c r="AN175" s="15" t="s">
        <v>149</v>
      </c>
      <c r="AO175" s="15" t="s">
        <v>149</v>
      </c>
      <c r="AP175" s="87" t="s">
        <v>15702</v>
      </c>
      <c r="AQ175" s="87" t="s">
        <v>3107</v>
      </c>
      <c r="AR175" s="87" t="s">
        <v>16166</v>
      </c>
      <c r="AS175" s="87" t="s">
        <v>734</v>
      </c>
      <c r="AT175" s="22" t="s">
        <v>3465</v>
      </c>
      <c r="AU175" s="87" t="s">
        <v>5336</v>
      </c>
      <c r="AV175" s="87" t="s">
        <v>4658</v>
      </c>
      <c r="AW175" s="457">
        <v>0</v>
      </c>
      <c r="AX175" s="630" t="str">
        <f t="shared" si="109"/>
        <v/>
      </c>
      <c r="AY175" s="630" t="str">
        <f t="shared" si="110"/>
        <v/>
      </c>
      <c r="AZ175" s="630" t="str">
        <f t="shared" si="111"/>
        <v/>
      </c>
      <c r="BA175" s="3"/>
      <c r="BB175" s="3"/>
      <c r="BC175" s="3"/>
      <c r="BD175" s="3"/>
      <c r="BE175" s="3"/>
      <c r="BF175" s="3"/>
      <c r="BG175" s="3"/>
      <c r="BH175" s="3"/>
      <c r="BI175" s="3"/>
      <c r="BJ175" s="3"/>
      <c r="BK175" s="3"/>
      <c r="BL175" s="3"/>
      <c r="BM175" s="3"/>
      <c r="BN175" s="3"/>
      <c r="BP175" s="3"/>
      <c r="BQ175" s="3"/>
      <c r="BR175" s="3"/>
      <c r="BS175" s="3"/>
      <c r="BT175" s="3"/>
      <c r="BU175" s="3"/>
      <c r="BV175" s="3"/>
      <c r="BW175" s="3"/>
      <c r="BX175" t="str">
        <f>IF(Province="Istrabul","Bas quartiers d'Istrabul","")</f>
        <v/>
      </c>
      <c r="BY175" t="str">
        <f t="shared" si="108"/>
        <v/>
      </c>
      <c r="BZ175" s="83" t="str">
        <f t="shared" si="100"/>
        <v/>
      </c>
      <c r="CA175" s="83" t="str">
        <f t="shared" si="101"/>
        <v/>
      </c>
      <c r="CB175" s="530" t="str">
        <f t="shared" si="102"/>
        <v/>
      </c>
      <c r="CC175" s="3" t="s">
        <v>10735</v>
      </c>
      <c r="CG175" s="3" t="s">
        <v>6263</v>
      </c>
      <c r="CH175" s="3" t="s">
        <v>6038</v>
      </c>
      <c r="CI175" s="3"/>
      <c r="CJ175" s="3"/>
      <c r="CK175" s="3" t="s">
        <v>6947</v>
      </c>
      <c r="CM175" t="s">
        <v>10348</v>
      </c>
      <c r="CN175" s="3"/>
      <c r="CO175" s="3" t="s">
        <v>10990</v>
      </c>
      <c r="CP175" s="3"/>
      <c r="CQ175" s="3"/>
      <c r="CR175" s="3" t="s">
        <v>13545</v>
      </c>
      <c r="CS175" s="3"/>
      <c r="CT175" s="3"/>
      <c r="CU175" s="3"/>
      <c r="CV175" s="3"/>
      <c r="CW175" s="3"/>
      <c r="CX175" s="3"/>
      <c r="CY175" s="3" t="s">
        <v>807</v>
      </c>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t="s">
        <v>3071</v>
      </c>
      <c r="EA175" s="83" t="s">
        <v>4549</v>
      </c>
      <c r="EB175" s="3"/>
      <c r="ED175" s="83" t="s">
        <v>11630</v>
      </c>
      <c r="EE175" s="83" t="s">
        <v>5906</v>
      </c>
      <c r="EF175" s="530" t="s">
        <v>16989</v>
      </c>
      <c r="EK175" s="874"/>
      <c r="EU175" s="25" t="str">
        <f>IF(Pays="Arabie","Chevaliers d'Origo","")</f>
        <v/>
      </c>
      <c r="EV175" s="83" t="str">
        <f t="shared" si="99"/>
        <v/>
      </c>
      <c r="EW175" s="83" t="str">
        <f t="shared" si="103"/>
        <v/>
      </c>
      <c r="EX175" s="530" t="str">
        <f t="shared" si="104"/>
        <v/>
      </c>
      <c r="EY175" s="83" t="s">
        <v>420</v>
      </c>
      <c r="EZ175" s="530" t="s">
        <v>9623</v>
      </c>
      <c r="FB175" s="83" t="s">
        <v>15087</v>
      </c>
      <c r="FC175" s="133" t="s">
        <v>7362</v>
      </c>
      <c r="FD175" s="85" t="s">
        <v>14968</v>
      </c>
      <c r="FE175" s="849">
        <v>78</v>
      </c>
      <c r="FF175">
        <v>42</v>
      </c>
      <c r="FG175">
        <v>0</v>
      </c>
      <c r="FH175">
        <v>53</v>
      </c>
      <c r="FI175">
        <v>35</v>
      </c>
      <c r="FJ175" s="10">
        <v>56</v>
      </c>
      <c r="FK175">
        <v>5</v>
      </c>
      <c r="FL175">
        <v>22</v>
      </c>
      <c r="FM175" s="165">
        <v>5</v>
      </c>
      <c r="FN175" s="88">
        <v>2</v>
      </c>
      <c r="FO175" s="88">
        <v>10</v>
      </c>
      <c r="FP175" s="691">
        <f t="shared" si="116"/>
        <v>5</v>
      </c>
      <c r="FQ175" s="691">
        <f t="shared" si="117"/>
        <v>3</v>
      </c>
      <c r="FR175" s="772" t="s">
        <v>5806</v>
      </c>
      <c r="FS175" s="88">
        <v>0</v>
      </c>
      <c r="FT175" s="88">
        <v>0</v>
      </c>
      <c r="FU175" s="165">
        <v>0</v>
      </c>
      <c r="FV175" s="83" t="s">
        <v>12982</v>
      </c>
      <c r="FW175" s="83" t="s">
        <v>15088</v>
      </c>
      <c r="FX175" s="751" t="s">
        <v>7659</v>
      </c>
      <c r="GA175" t="s">
        <v>7517</v>
      </c>
      <c r="GF175" t="s">
        <v>7747</v>
      </c>
      <c r="GG175" s="341" t="s">
        <v>2972</v>
      </c>
      <c r="GH175" s="83" t="s">
        <v>8979</v>
      </c>
      <c r="GI175" s="83" t="s">
        <v>8937</v>
      </c>
      <c r="GJ175" s="83"/>
      <c r="GK175" s="530"/>
    </row>
    <row r="176" spans="8:193" ht="13.2" customHeight="1">
      <c r="H176" s="3"/>
      <c r="I176" s="3"/>
      <c r="J176" s="3"/>
      <c r="K176" s="3"/>
      <c r="L176" s="3"/>
      <c r="M176" s="651"/>
      <c r="N176" s="3"/>
      <c r="O176" s="3"/>
      <c r="P176" s="3"/>
      <c r="Q176" s="3"/>
      <c r="R176" s="651"/>
      <c r="S176" s="83" t="str">
        <f>IF(CareerType=Y176,"Grand Chaman",IF(AllCareers="X","Gran Chaman",IF(Selectsousrace="","",IF(SelectRace="skaven","",IF(FirstCareer="1ère carrière","","Grand Chaman")))))</f>
        <v/>
      </c>
      <c r="T176" s="106">
        <v>3</v>
      </c>
      <c r="U176" s="693" t="str">
        <f t="shared" si="105"/>
        <v/>
      </c>
      <c r="V176" s="693" t="str">
        <f t="shared" si="106"/>
        <v/>
      </c>
      <c r="W176" s="693" t="str">
        <f t="shared" si="107"/>
        <v/>
      </c>
      <c r="X176" s="47" t="s">
        <v>2153</v>
      </c>
      <c r="Y176" s="743" t="s">
        <v>15709</v>
      </c>
      <c r="Z176" s="55" t="s">
        <v>2210</v>
      </c>
      <c r="AA176" s="47">
        <v>80</v>
      </c>
      <c r="AB176" s="89" t="s">
        <v>9296</v>
      </c>
      <c r="AC176" s="47"/>
      <c r="AD176" s="15" t="s">
        <v>101</v>
      </c>
      <c r="AE176" s="15" t="s">
        <v>101</v>
      </c>
      <c r="AF176" s="15" t="s">
        <v>98</v>
      </c>
      <c r="AG176" s="15" t="s">
        <v>101</v>
      </c>
      <c r="AH176" s="15" t="s">
        <v>101</v>
      </c>
      <c r="AI176" s="15" t="s">
        <v>100</v>
      </c>
      <c r="AJ176" s="15" t="s">
        <v>99</v>
      </c>
      <c r="AK176" s="18" t="s">
        <v>100</v>
      </c>
      <c r="AL176" s="15" t="s">
        <v>102</v>
      </c>
      <c r="AM176" s="15" t="s">
        <v>112</v>
      </c>
      <c r="AN176" s="15" t="s">
        <v>149</v>
      </c>
      <c r="AO176" s="15" t="s">
        <v>115</v>
      </c>
      <c r="AP176" s="22" t="s">
        <v>1264</v>
      </c>
      <c r="AQ176" s="22" t="s">
        <v>1264</v>
      </c>
      <c r="AR176" s="22" t="s">
        <v>611</v>
      </c>
      <c r="AS176" s="22" t="s">
        <v>611</v>
      </c>
      <c r="AT176" s="22" t="s">
        <v>3552</v>
      </c>
      <c r="AU176" s="87" t="s">
        <v>16990</v>
      </c>
      <c r="AV176" s="87" t="s">
        <v>4609</v>
      </c>
      <c r="AW176" s="457">
        <v>0</v>
      </c>
      <c r="AX176" s="630" t="str">
        <f t="shared" si="109"/>
        <v/>
      </c>
      <c r="AY176" s="630" t="str">
        <f t="shared" si="110"/>
        <v/>
      </c>
      <c r="AZ176" s="630" t="str">
        <f t="shared" si="111"/>
        <v/>
      </c>
      <c r="BA176" s="3"/>
      <c r="BB176" s="3"/>
      <c r="BC176" s="3"/>
      <c r="BD176" s="3"/>
      <c r="BE176" s="3"/>
      <c r="BF176" s="3"/>
      <c r="BG176" s="3"/>
      <c r="BH176" s="3"/>
      <c r="BI176" s="3"/>
      <c r="BJ176" s="3"/>
      <c r="BK176" s="3"/>
      <c r="BL176" s="3"/>
      <c r="BM176" s="3"/>
      <c r="BN176" s="3"/>
      <c r="BP176" s="3"/>
      <c r="BQ176" s="3"/>
      <c r="BR176" s="3"/>
      <c r="BS176" s="3"/>
      <c r="BT176" s="3"/>
      <c r="BU176" s="3"/>
      <c r="BV176" s="3"/>
      <c r="BW176" s="3"/>
      <c r="BX176" t="str">
        <f>IF(Province="Kadira","Bas quartiers de Kadira","")</f>
        <v/>
      </c>
      <c r="BY176" t="str">
        <f t="shared" si="108"/>
        <v/>
      </c>
      <c r="BZ176" s="83" t="str">
        <f t="shared" si="100"/>
        <v/>
      </c>
      <c r="CA176" s="83" t="str">
        <f t="shared" si="101"/>
        <v/>
      </c>
      <c r="CB176" s="530" t="str">
        <f t="shared" si="102"/>
        <v/>
      </c>
      <c r="CC176" s="3" t="s">
        <v>3327</v>
      </c>
      <c r="CG176" s="3" t="s">
        <v>6264</v>
      </c>
      <c r="CH176" s="3" t="s">
        <v>6041</v>
      </c>
      <c r="CI176" s="3"/>
      <c r="CJ176" s="3"/>
      <c r="CK176" s="3" t="s">
        <v>6836</v>
      </c>
      <c r="CM176" s="83" t="s">
        <v>14945</v>
      </c>
      <c r="CN176" s="3"/>
      <c r="CO176" s="3" t="s">
        <v>10991</v>
      </c>
      <c r="CP176" s="3"/>
      <c r="CQ176" s="3"/>
      <c r="CR176" s="3" t="s">
        <v>13546</v>
      </c>
      <c r="CS176" s="3"/>
      <c r="CT176" s="3"/>
      <c r="CU176" s="3"/>
      <c r="CV176" s="3"/>
      <c r="CW176" s="3"/>
      <c r="CX176" s="3"/>
      <c r="CY176" s="38" t="s">
        <v>135</v>
      </c>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t="s">
        <v>3072</v>
      </c>
      <c r="EA176" s="83" t="s">
        <v>4549</v>
      </c>
      <c r="EB176" s="3"/>
      <c r="ED176" s="83" t="s">
        <v>11632</v>
      </c>
      <c r="EE176" s="83" t="s">
        <v>5906</v>
      </c>
      <c r="EF176" s="540" t="s">
        <v>11634</v>
      </c>
      <c r="EK176" s="874"/>
      <c r="EU176" s="25" t="str">
        <f>IF(OR(Pays="Norsca",Pays="Désolations du Chaos",Pays=""),"","Chevaliers du Jugement")</f>
        <v/>
      </c>
      <c r="EV176" s="83" t="str">
        <f t="shared" si="99"/>
        <v/>
      </c>
      <c r="EW176" s="83" t="str">
        <f t="shared" si="103"/>
        <v/>
      </c>
      <c r="EX176" s="530" t="str">
        <f t="shared" si="104"/>
        <v/>
      </c>
      <c r="EY176" s="83"/>
      <c r="EZ176" s="530" t="s">
        <v>16136</v>
      </c>
      <c r="FB176" s="83" t="s">
        <v>15620</v>
      </c>
      <c r="FC176" s="133" t="s">
        <v>7362</v>
      </c>
      <c r="FD176" s="85" t="s">
        <v>15548</v>
      </c>
      <c r="FE176" s="849">
        <v>115</v>
      </c>
      <c r="FF176">
        <v>42</v>
      </c>
      <c r="FG176">
        <v>0</v>
      </c>
      <c r="FH176">
        <v>45</v>
      </c>
      <c r="FI176">
        <v>51</v>
      </c>
      <c r="FJ176" s="10">
        <v>49</v>
      </c>
      <c r="FK176">
        <v>4</v>
      </c>
      <c r="FL176">
        <v>21</v>
      </c>
      <c r="FM176" s="165">
        <v>5</v>
      </c>
      <c r="FN176" s="88">
        <v>1</v>
      </c>
      <c r="FO176" s="88">
        <v>12</v>
      </c>
      <c r="FP176" s="691">
        <f t="shared" si="116"/>
        <v>4</v>
      </c>
      <c r="FQ176" s="691">
        <f t="shared" si="117"/>
        <v>5</v>
      </c>
      <c r="FR176" s="772" t="s">
        <v>5806</v>
      </c>
      <c r="FS176" s="88">
        <v>0</v>
      </c>
      <c r="FT176" s="88">
        <v>0</v>
      </c>
      <c r="FU176" s="165">
        <v>0</v>
      </c>
      <c r="FV176" s="83" t="s">
        <v>15621</v>
      </c>
      <c r="FW176" s="83" t="s">
        <v>15622</v>
      </c>
      <c r="FX176" s="751" t="s">
        <v>7659</v>
      </c>
      <c r="GA176" s="83" t="s">
        <v>7355</v>
      </c>
      <c r="GF176" t="s">
        <v>8251</v>
      </c>
      <c r="GG176" s="341" t="s">
        <v>8988</v>
      </c>
      <c r="GH176" s="83" t="s">
        <v>8979</v>
      </c>
      <c r="GI176" s="83" t="s">
        <v>8937</v>
      </c>
      <c r="GJ176" s="83"/>
      <c r="GK176" s="530"/>
    </row>
    <row r="177" spans="8:193" ht="13.2" customHeight="1">
      <c r="H177" s="3"/>
      <c r="I177" s="3"/>
      <c r="J177" s="3"/>
      <c r="K177" s="3"/>
      <c r="L177" s="3"/>
      <c r="M177" s="651"/>
      <c r="N177" s="3"/>
      <c r="O177" s="3"/>
      <c r="P177" s="3"/>
      <c r="Q177" s="3"/>
      <c r="R177" s="651"/>
      <c r="S177" s="83" t="str">
        <f>IF(CareerType=Y177,"Gran-chaman bray",IF(AllCareers="X","Gran-chaman bray",IF(FirstCareer="1ère carrière","",IF(SelectRace="homme-bête","Gran-chaman bray",""))))</f>
        <v/>
      </c>
      <c r="T177" s="85">
        <v>2</v>
      </c>
      <c r="U177" s="693" t="str">
        <f t="shared" si="105"/>
        <v/>
      </c>
      <c r="V177" s="693" t="str">
        <f t="shared" si="106"/>
        <v/>
      </c>
      <c r="W177" s="693" t="str">
        <f t="shared" si="107"/>
        <v/>
      </c>
      <c r="X177" s="47" t="s">
        <v>2153</v>
      </c>
      <c r="Y177" s="743" t="s">
        <v>15709</v>
      </c>
      <c r="Z177" s="55" t="s">
        <v>2196</v>
      </c>
      <c r="AA177" s="47">
        <v>108</v>
      </c>
      <c r="AB177" s="89" t="s">
        <v>9297</v>
      </c>
      <c r="AC177" s="47"/>
      <c r="AD177" s="15" t="s">
        <v>100</v>
      </c>
      <c r="AE177" s="15" t="s">
        <v>98</v>
      </c>
      <c r="AF177" s="15" t="s">
        <v>101</v>
      </c>
      <c r="AG177" s="15" t="s">
        <v>100</v>
      </c>
      <c r="AH177" s="15" t="s">
        <v>100</v>
      </c>
      <c r="AI177" s="15" t="s">
        <v>100</v>
      </c>
      <c r="AJ177" s="15" t="s">
        <v>116</v>
      </c>
      <c r="AK177" s="18" t="s">
        <v>100</v>
      </c>
      <c r="AL177" s="15" t="s">
        <v>113</v>
      </c>
      <c r="AM177" s="15" t="s">
        <v>118</v>
      </c>
      <c r="AN177" s="15" t="s">
        <v>149</v>
      </c>
      <c r="AO177" s="15" t="s">
        <v>103</v>
      </c>
      <c r="AP177" s="87" t="s">
        <v>16991</v>
      </c>
      <c r="AQ177" s="87" t="s">
        <v>16991</v>
      </c>
      <c r="AR177" s="22" t="s">
        <v>734</v>
      </c>
      <c r="AS177" s="22" t="s">
        <v>734</v>
      </c>
      <c r="AT177" s="87" t="s">
        <v>15791</v>
      </c>
      <c r="AU177" s="87" t="s">
        <v>16447</v>
      </c>
      <c r="AV177" s="87" t="s">
        <v>16992</v>
      </c>
      <c r="AW177" s="457">
        <v>0</v>
      </c>
      <c r="AX177" s="630" t="str">
        <f t="shared" si="109"/>
        <v/>
      </c>
      <c r="AY177" s="630" t="str">
        <f t="shared" si="110"/>
        <v/>
      </c>
      <c r="AZ177" s="630" t="str">
        <f t="shared" si="111"/>
        <v/>
      </c>
      <c r="BA177" s="3"/>
      <c r="BB177" s="3"/>
      <c r="BC177" s="3"/>
      <c r="BD177" s="3"/>
      <c r="BE177" s="3"/>
      <c r="BF177" s="3"/>
      <c r="BG177" s="3"/>
      <c r="BH177" s="3"/>
      <c r="BI177" s="3"/>
      <c r="BJ177" s="3"/>
      <c r="BK177" s="3"/>
      <c r="BL177" s="3"/>
      <c r="BM177" s="3"/>
      <c r="BN177" s="3"/>
      <c r="BP177" s="3"/>
      <c r="BQ177" s="3"/>
      <c r="BR177" s="3"/>
      <c r="BS177" s="3"/>
      <c r="BT177" s="3"/>
      <c r="BU177" s="3"/>
      <c r="BV177" s="3"/>
      <c r="BW177" s="3"/>
      <c r="BX177" t="str">
        <f>IF(Province="Kamt","Bas quartiers de Kamt","")</f>
        <v/>
      </c>
      <c r="BY177" t="str">
        <f t="shared" si="108"/>
        <v/>
      </c>
      <c r="BZ177" s="83" t="str">
        <f t="shared" si="100"/>
        <v/>
      </c>
      <c r="CA177" s="83" t="str">
        <f t="shared" si="101"/>
        <v/>
      </c>
      <c r="CB177" s="530" t="str">
        <f t="shared" si="102"/>
        <v/>
      </c>
      <c r="CC177" s="3" t="s">
        <v>3328</v>
      </c>
      <c r="CG177" s="3" t="s">
        <v>6265</v>
      </c>
      <c r="CH177" s="3" t="s">
        <v>6042</v>
      </c>
      <c r="CI177" s="3"/>
      <c r="CJ177" s="3"/>
      <c r="CK177" t="s">
        <v>7004</v>
      </c>
      <c r="CM177" t="s">
        <v>10350</v>
      </c>
      <c r="CN177" s="3"/>
      <c r="CO177" s="3" t="s">
        <v>10995</v>
      </c>
      <c r="CP177" s="3"/>
      <c r="CQ177" s="3"/>
      <c r="CR177" s="3" t="s">
        <v>13547</v>
      </c>
      <c r="CS177" s="3"/>
      <c r="CT177" s="3"/>
      <c r="CU177" s="3"/>
      <c r="CV177" s="3"/>
      <c r="CW177" s="3"/>
      <c r="CX177" s="3"/>
      <c r="CY177" s="3" t="s">
        <v>808</v>
      </c>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t="s">
        <v>3073</v>
      </c>
      <c r="EA177" s="83" t="s">
        <v>4549</v>
      </c>
      <c r="EB177" s="3"/>
      <c r="ED177" s="83" t="s">
        <v>11633</v>
      </c>
      <c r="EE177" s="83" t="s">
        <v>5906</v>
      </c>
      <c r="EF177" s="540" t="s">
        <v>11635</v>
      </c>
      <c r="EK177" s="874"/>
      <c r="EU177" s="25" t="str">
        <f>IF(OR(Pays="Norsca",Pays="Désolations du Chaos",Pays="",Pays="Steppes orientales"),"",IF(Pays="Empire","Garde de l'Aigle Noir",""))</f>
        <v/>
      </c>
      <c r="EV177" s="83" t="str">
        <f t="shared" si="99"/>
        <v/>
      </c>
      <c r="EW177" s="83" t="str">
        <f t="shared" si="103"/>
        <v/>
      </c>
      <c r="EX177" s="530" t="str">
        <f t="shared" si="104"/>
        <v/>
      </c>
      <c r="EY177" s="83" t="s">
        <v>12865</v>
      </c>
      <c r="FB177" s="83" t="s">
        <v>15006</v>
      </c>
      <c r="FC177" s="133" t="s">
        <v>7362</v>
      </c>
      <c r="FD177" s="85" t="s">
        <v>14968</v>
      </c>
      <c r="FE177" s="849">
        <v>54</v>
      </c>
      <c r="FF177">
        <v>58</v>
      </c>
      <c r="FG177">
        <v>0</v>
      </c>
      <c r="FH177">
        <v>61</v>
      </c>
      <c r="FI177">
        <v>48</v>
      </c>
      <c r="FJ177" s="10">
        <v>35</v>
      </c>
      <c r="FK177">
        <v>5</v>
      </c>
      <c r="FL177">
        <v>38</v>
      </c>
      <c r="FM177" s="165">
        <v>5</v>
      </c>
      <c r="FN177" s="88">
        <v>2</v>
      </c>
      <c r="FO177" s="88">
        <v>25</v>
      </c>
      <c r="FP177" s="164">
        <f t="shared" si="116"/>
        <v>6</v>
      </c>
      <c r="FQ177" s="164">
        <f t="shared" si="117"/>
        <v>4</v>
      </c>
      <c r="FR177" s="682">
        <v>5</v>
      </c>
      <c r="FS177" s="88">
        <v>0</v>
      </c>
      <c r="FT177" s="88">
        <v>0</v>
      </c>
      <c r="FU177" s="165">
        <v>0</v>
      </c>
      <c r="FV177" s="83" t="s">
        <v>12982</v>
      </c>
      <c r="FW177" s="83" t="s">
        <v>15088</v>
      </c>
      <c r="FX177" s="751" t="s">
        <v>7659</v>
      </c>
      <c r="GA177" s="83" t="s">
        <v>7615</v>
      </c>
      <c r="GF177" t="s">
        <v>8250</v>
      </c>
      <c r="GG177" s="341" t="s">
        <v>8983</v>
      </c>
      <c r="GH177" s="83" t="s">
        <v>8979</v>
      </c>
      <c r="GI177" s="83" t="s">
        <v>8937</v>
      </c>
      <c r="GJ177" s="83"/>
      <c r="GK177" s="530"/>
    </row>
    <row r="178" spans="8:193" ht="13.2" customHeight="1">
      <c r="H178" s="3"/>
      <c r="I178" s="3"/>
      <c r="J178" s="3"/>
      <c r="K178" s="3"/>
      <c r="L178" s="3"/>
      <c r="M178" s="651"/>
      <c r="N178" s="3"/>
      <c r="O178" s="3"/>
      <c r="P178" s="3"/>
      <c r="Q178" s="3"/>
      <c r="R178" s="651"/>
      <c r="S178" s="83" t="str">
        <f>IF(CareerType=Y178,"Grand maître",IF(AllCareers="X","Grand maître",IF(Selectsousrace="","",IF(OR(SelectRace="homme-bête",SelectRace="peau-verte",SelectRace="créature du chaos",SelectRace="Homme-lézard",SelectRace="skaven"),"",IF(FirstCareer="1ère carrière","","Grand maître")))))</f>
        <v/>
      </c>
      <c r="T178" s="85">
        <v>3</v>
      </c>
      <c r="U178" s="693" t="str">
        <f t="shared" si="105"/>
        <v/>
      </c>
      <c r="V178" s="693" t="str">
        <f t="shared" si="106"/>
        <v/>
      </c>
      <c r="W178" s="693" t="str">
        <f t="shared" si="107"/>
        <v/>
      </c>
      <c r="X178" s="47" t="s">
        <v>2153</v>
      </c>
      <c r="Y178" s="743" t="s">
        <v>7130</v>
      </c>
      <c r="Z178" s="55" t="s">
        <v>538</v>
      </c>
      <c r="AA178" s="47">
        <v>210</v>
      </c>
      <c r="AB178" s="47" t="s">
        <v>2319</v>
      </c>
      <c r="AC178" s="47">
        <v>91</v>
      </c>
      <c r="AD178" s="15" t="s">
        <v>97</v>
      </c>
      <c r="AE178" s="15" t="s">
        <v>101</v>
      </c>
      <c r="AF178" s="15" t="s">
        <v>99</v>
      </c>
      <c r="AG178" s="15" t="s">
        <v>99</v>
      </c>
      <c r="AH178" s="15" t="s">
        <v>99</v>
      </c>
      <c r="AI178" s="15" t="s">
        <v>101</v>
      </c>
      <c r="AJ178" s="15" t="s">
        <v>116</v>
      </c>
      <c r="AK178" s="18" t="s">
        <v>100</v>
      </c>
      <c r="AL178" s="15" t="s">
        <v>113</v>
      </c>
      <c r="AM178" s="15" t="s">
        <v>118</v>
      </c>
      <c r="AN178" s="15" t="s">
        <v>149</v>
      </c>
      <c r="AO178" s="15" t="s">
        <v>149</v>
      </c>
      <c r="AP178" s="22" t="s">
        <v>625</v>
      </c>
      <c r="AQ178" s="87" t="s">
        <v>734</v>
      </c>
      <c r="AR178" s="22" t="s">
        <v>2320</v>
      </c>
      <c r="AS178" s="22" t="s">
        <v>734</v>
      </c>
      <c r="AT178" s="22" t="s">
        <v>3553</v>
      </c>
      <c r="AU178" s="87" t="s">
        <v>16993</v>
      </c>
      <c r="AV178" s="87" t="s">
        <v>4732</v>
      </c>
      <c r="AW178" s="457">
        <v>0</v>
      </c>
      <c r="AX178" s="630" t="str">
        <f t="shared" si="109"/>
        <v/>
      </c>
      <c r="AY178" s="630" t="str">
        <f t="shared" si="110"/>
        <v/>
      </c>
      <c r="AZ178" s="630" t="str">
        <f t="shared" si="111"/>
        <v/>
      </c>
      <c r="BA178" s="3"/>
      <c r="BB178" s="3"/>
      <c r="BC178" s="3"/>
      <c r="BD178" s="3"/>
      <c r="BE178" s="3"/>
      <c r="BF178" s="3"/>
      <c r="BG178" s="3"/>
      <c r="BH178" s="3"/>
      <c r="BI178" s="3"/>
      <c r="BJ178" s="3"/>
      <c r="BK178" s="3"/>
      <c r="BL178" s="3"/>
      <c r="BM178" s="3"/>
      <c r="BN178" s="3"/>
      <c r="BP178" s="3"/>
      <c r="BQ178" s="3"/>
      <c r="BR178" s="3"/>
      <c r="BS178" s="3"/>
      <c r="BT178" s="3"/>
      <c r="BU178" s="3"/>
      <c r="BV178" s="3"/>
      <c r="BW178" s="3"/>
      <c r="BX178" t="str">
        <f>IF(Province="Ka-Sabar","Bas quartiers de Ka-Sabar","")</f>
        <v/>
      </c>
      <c r="BY178" t="str">
        <f t="shared" si="108"/>
        <v/>
      </c>
      <c r="BZ178" s="83" t="str">
        <f t="shared" si="100"/>
        <v/>
      </c>
      <c r="CA178" s="83" t="str">
        <f t="shared" si="101"/>
        <v/>
      </c>
      <c r="CB178" s="530" t="str">
        <f t="shared" si="102"/>
        <v/>
      </c>
      <c r="CC178" s="3" t="s">
        <v>10736</v>
      </c>
      <c r="CG178" s="3" t="s">
        <v>6266</v>
      </c>
      <c r="CH178" s="3" t="s">
        <v>6043</v>
      </c>
      <c r="CI178" s="3"/>
      <c r="CJ178" s="3"/>
      <c r="CK178" t="s">
        <v>15044</v>
      </c>
      <c r="CM178" s="3" t="s">
        <v>6648</v>
      </c>
      <c r="CN178" s="3"/>
      <c r="CO178" s="3" t="s">
        <v>10994</v>
      </c>
      <c r="CP178" s="3"/>
      <c r="CQ178" s="3"/>
      <c r="CR178" s="3" t="s">
        <v>13548</v>
      </c>
      <c r="CS178" s="3"/>
      <c r="CT178" s="3"/>
      <c r="CU178" s="3"/>
      <c r="CV178" s="3"/>
      <c r="CW178" s="3"/>
      <c r="CX178" s="3"/>
      <c r="CY178" s="3" t="s">
        <v>840</v>
      </c>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t="s">
        <v>3074</v>
      </c>
      <c r="EA178" s="83" t="s">
        <v>4549</v>
      </c>
      <c r="EB178" s="3"/>
      <c r="ED178" s="83" t="s">
        <v>11628</v>
      </c>
      <c r="EE178" s="83" t="s">
        <v>5906</v>
      </c>
      <c r="EF178" s="530" t="s">
        <v>16994</v>
      </c>
      <c r="EK178" s="874"/>
      <c r="EU178" s="25" t="str">
        <f>IF(OR(Pays="Norsca",Pays="Désolations du Chaos",Pays="",Pays="Steppes orientales"),"",IF(Pays="Empire","Gryphites Royaux d'Altdorf",""))</f>
        <v/>
      </c>
      <c r="EV178" s="83" t="str">
        <f t="shared" si="99"/>
        <v/>
      </c>
      <c r="EW178" s="83" t="str">
        <f t="shared" si="103"/>
        <v/>
      </c>
      <c r="EX178" s="530" t="str">
        <f t="shared" si="104"/>
        <v/>
      </c>
      <c r="EY178" s="83" t="s">
        <v>12869</v>
      </c>
      <c r="FB178" s="83" t="s">
        <v>15064</v>
      </c>
      <c r="FC178" s="133" t="s">
        <v>7362</v>
      </c>
      <c r="FD178" s="85" t="s">
        <v>14968</v>
      </c>
      <c r="FE178" s="849">
        <v>54</v>
      </c>
      <c r="FF178">
        <v>51</v>
      </c>
      <c r="FG178">
        <v>0</v>
      </c>
      <c r="FH178">
        <v>33</v>
      </c>
      <c r="FI178">
        <v>35</v>
      </c>
      <c r="FJ178" s="10">
        <v>66</v>
      </c>
      <c r="FK178">
        <v>5</v>
      </c>
      <c r="FL178">
        <v>22</v>
      </c>
      <c r="FM178" s="165">
        <v>5</v>
      </c>
      <c r="FN178" s="88">
        <v>2</v>
      </c>
      <c r="FO178" s="88">
        <v>10</v>
      </c>
      <c r="FP178" s="691">
        <f t="shared" si="116"/>
        <v>3</v>
      </c>
      <c r="FQ178" s="691">
        <f t="shared" si="117"/>
        <v>3</v>
      </c>
      <c r="FR178" s="10">
        <v>7</v>
      </c>
      <c r="FS178" s="88">
        <v>0</v>
      </c>
      <c r="FT178" s="88">
        <v>0</v>
      </c>
      <c r="FU178" s="165">
        <v>0</v>
      </c>
      <c r="FV178" s="83" t="s">
        <v>12982</v>
      </c>
      <c r="FW178" s="83" t="s">
        <v>16987</v>
      </c>
      <c r="FX178" s="530" t="s">
        <v>7659</v>
      </c>
      <c r="GA178" t="s">
        <v>7526</v>
      </c>
      <c r="GF178" t="s">
        <v>402</v>
      </c>
      <c r="GG178" s="341" t="s">
        <v>8982</v>
      </c>
      <c r="GH178" s="83" t="s">
        <v>8979</v>
      </c>
      <c r="GI178" s="83" t="s">
        <v>8937</v>
      </c>
      <c r="GJ178" s="83"/>
      <c r="GK178" s="530"/>
    </row>
    <row r="179" spans="8:193" ht="13.2" customHeight="1">
      <c r="H179" s="3"/>
      <c r="I179" s="3"/>
      <c r="J179" s="3"/>
      <c r="K179" s="3"/>
      <c r="L179" s="3"/>
      <c r="M179" s="651"/>
      <c r="N179" s="3"/>
      <c r="O179" s="3"/>
      <c r="P179" s="3"/>
      <c r="Q179" s="3"/>
      <c r="R179" s="651"/>
      <c r="S179" s="83" t="str">
        <f>IF(CareerType=Y179,"Grand prêtre",IF(AllCareers="X","Grand prêtre",IF(Selectsousrace="","",IF(OR(SelectRace="homme-bête",SelectRace="peau-verte",SelectRace="créature du chaos",SelectRace="Homme-lézard",SelectRace="skaven"),"",IF(FirstCareer="1ère carrière","","Grand prêtre")))))</f>
        <v/>
      </c>
      <c r="T179" s="85">
        <v>3</v>
      </c>
      <c r="U179" s="693" t="str">
        <f t="shared" si="105"/>
        <v/>
      </c>
      <c r="V179" s="693" t="str">
        <f t="shared" si="106"/>
        <v/>
      </c>
      <c r="W179" s="693" t="str">
        <f t="shared" si="107"/>
        <v/>
      </c>
      <c r="X179" s="47" t="s">
        <v>2153</v>
      </c>
      <c r="Y179" s="743" t="s">
        <v>15709</v>
      </c>
      <c r="Z179" s="55" t="s">
        <v>2200</v>
      </c>
      <c r="AA179" s="47">
        <v>73</v>
      </c>
      <c r="AB179" s="47" t="s">
        <v>2321</v>
      </c>
      <c r="AC179" s="47">
        <v>103</v>
      </c>
      <c r="AD179" s="15" t="s">
        <v>100</v>
      </c>
      <c r="AE179" s="15" t="s">
        <v>100</v>
      </c>
      <c r="AF179" s="15" t="s">
        <v>101</v>
      </c>
      <c r="AG179" s="15" t="s">
        <v>101</v>
      </c>
      <c r="AH179" s="15" t="s">
        <v>101</v>
      </c>
      <c r="AI179" s="15" t="s">
        <v>100</v>
      </c>
      <c r="AJ179" s="15" t="s">
        <v>116</v>
      </c>
      <c r="AK179" s="18" t="s">
        <v>99</v>
      </c>
      <c r="AL179" s="15" t="s">
        <v>102</v>
      </c>
      <c r="AM179" s="15" t="s">
        <v>112</v>
      </c>
      <c r="AN179" s="15" t="s">
        <v>149</v>
      </c>
      <c r="AO179" s="15" t="s">
        <v>115</v>
      </c>
      <c r="AP179" s="22" t="s">
        <v>626</v>
      </c>
      <c r="AQ179" s="87" t="s">
        <v>734</v>
      </c>
      <c r="AR179" s="22" t="s">
        <v>877</v>
      </c>
      <c r="AS179" s="22" t="s">
        <v>734</v>
      </c>
      <c r="AT179" s="87" t="s">
        <v>16995</v>
      </c>
      <c r="AU179" s="87" t="s">
        <v>16996</v>
      </c>
      <c r="AV179" s="87" t="s">
        <v>4609</v>
      </c>
      <c r="AW179" s="457">
        <v>0</v>
      </c>
      <c r="AX179" s="630" t="str">
        <f t="shared" si="109"/>
        <v/>
      </c>
      <c r="AY179" s="630" t="str">
        <f t="shared" si="110"/>
        <v/>
      </c>
      <c r="AZ179" s="630" t="str">
        <f t="shared" si="111"/>
        <v/>
      </c>
      <c r="BA179" s="3"/>
      <c r="BB179" s="3"/>
      <c r="BC179" s="3"/>
      <c r="BD179" s="3"/>
      <c r="BE179" s="3"/>
      <c r="BF179" s="3"/>
      <c r="BG179" s="3"/>
      <c r="BH179" s="3"/>
      <c r="BI179" s="3"/>
      <c r="BJ179" s="3"/>
      <c r="BK179" s="3"/>
      <c r="BL179" s="3"/>
      <c r="BM179" s="3"/>
      <c r="BN179" s="3"/>
      <c r="BP179" s="3"/>
      <c r="BQ179" s="3"/>
      <c r="BR179" s="3"/>
      <c r="BS179" s="3"/>
      <c r="BT179" s="3"/>
      <c r="BU179" s="3"/>
      <c r="BV179" s="3"/>
      <c r="BW179" s="3"/>
      <c r="BX179" s="83" t="str">
        <f>IF(Province="Khalibon","Bas quartiers de Khalibon","")</f>
        <v/>
      </c>
      <c r="BY179" t="str">
        <f t="shared" si="108"/>
        <v/>
      </c>
      <c r="BZ179" s="83" t="str">
        <f t="shared" si="100"/>
        <v/>
      </c>
      <c r="CA179" s="83" t="str">
        <f t="shared" si="101"/>
        <v/>
      </c>
      <c r="CB179" s="530" t="str">
        <f t="shared" si="102"/>
        <v/>
      </c>
      <c r="CC179" s="3" t="s">
        <v>3329</v>
      </c>
      <c r="CG179" s="3" t="s">
        <v>6267</v>
      </c>
      <c r="CH179" s="3" t="s">
        <v>6044</v>
      </c>
      <c r="CI179" s="3"/>
      <c r="CJ179" s="3"/>
      <c r="CK179" t="s">
        <v>15046</v>
      </c>
      <c r="CM179" t="s">
        <v>10351</v>
      </c>
      <c r="CN179" s="3"/>
      <c r="CO179" s="3" t="s">
        <v>10993</v>
      </c>
      <c r="CP179" s="3"/>
      <c r="CQ179" s="3"/>
      <c r="CR179" s="3" t="s">
        <v>13549</v>
      </c>
      <c r="CS179" s="3"/>
      <c r="CT179" s="3"/>
      <c r="CU179" s="3"/>
      <c r="CV179" s="3"/>
      <c r="CW179" s="3"/>
      <c r="CX179" s="3"/>
      <c r="CY179" s="39" t="s">
        <v>260</v>
      </c>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t="s">
        <v>3075</v>
      </c>
      <c r="EA179" s="83" t="s">
        <v>4549</v>
      </c>
      <c r="EB179" s="3"/>
      <c r="ED179" s="83" t="s">
        <v>11626</v>
      </c>
      <c r="EE179" s="83" t="s">
        <v>5906</v>
      </c>
      <c r="EF179" s="540" t="s">
        <v>16997</v>
      </c>
      <c r="EK179" s="874"/>
      <c r="EU179" s="177" t="str">
        <f>IF(OR(Pays="Norsca",Pays="Désolations du Chaos",Pays="",Pays="Steppes orientales"),"",IF(Pays="Empire","Heaumes Cornus",""))</f>
        <v/>
      </c>
      <c r="EV179" s="83" t="str">
        <f t="shared" si="99"/>
        <v/>
      </c>
      <c r="EW179" s="83" t="str">
        <f t="shared" si="103"/>
        <v/>
      </c>
      <c r="EX179" s="530" t="str">
        <f t="shared" si="104"/>
        <v/>
      </c>
      <c r="EY179" s="83" t="s">
        <v>12875</v>
      </c>
      <c r="FB179" t="s">
        <v>16378</v>
      </c>
      <c r="FC179" s="133" t="s">
        <v>7362</v>
      </c>
      <c r="FD179" s="562" t="s">
        <v>4551</v>
      </c>
      <c r="FE179" s="848" t="s">
        <v>149</v>
      </c>
      <c r="FF179">
        <v>30</v>
      </c>
      <c r="FG179">
        <v>0</v>
      </c>
      <c r="FH179">
        <v>40</v>
      </c>
      <c r="FI179">
        <v>40</v>
      </c>
      <c r="FJ179" s="10">
        <v>52</v>
      </c>
      <c r="FK179">
        <v>20</v>
      </c>
      <c r="FL179">
        <v>43</v>
      </c>
      <c r="FM179" s="165">
        <v>25</v>
      </c>
      <c r="FN179" s="88">
        <v>2</v>
      </c>
      <c r="FO179" s="88">
        <v>2</v>
      </c>
      <c r="FP179" s="164">
        <f t="shared" si="116"/>
        <v>4</v>
      </c>
      <c r="FQ179" s="164">
        <f t="shared" si="117"/>
        <v>4</v>
      </c>
      <c r="FR179" s="683" t="s">
        <v>7253</v>
      </c>
      <c r="FS179" s="88">
        <v>0</v>
      </c>
      <c r="FT179" s="88">
        <v>0</v>
      </c>
      <c r="FU179" s="165">
        <v>0</v>
      </c>
      <c r="FV179" t="s">
        <v>9364</v>
      </c>
      <c r="FW179" s="83" t="s">
        <v>9365</v>
      </c>
      <c r="FX179" s="751" t="s">
        <v>7659</v>
      </c>
      <c r="GA179" s="83" t="s">
        <v>7516</v>
      </c>
      <c r="GF179" t="s">
        <v>8225</v>
      </c>
      <c r="GG179" s="341" t="s">
        <v>8987</v>
      </c>
      <c r="GH179" s="83" t="s">
        <v>8979</v>
      </c>
      <c r="GI179" s="83" t="s">
        <v>8937</v>
      </c>
      <c r="GJ179" s="83"/>
      <c r="GK179" s="530"/>
    </row>
    <row r="180" spans="8:193" ht="13.2" customHeight="1">
      <c r="H180" s="3"/>
      <c r="I180" s="3"/>
      <c r="J180" s="3"/>
      <c r="K180" s="3"/>
      <c r="L180" s="3"/>
      <c r="M180" s="651"/>
      <c r="N180" s="3"/>
      <c r="O180" s="3"/>
      <c r="P180" s="3"/>
      <c r="Q180" s="3"/>
      <c r="R180" s="651"/>
      <c r="S180" s="83" t="str">
        <f>IF(CareerType=Y180,"Grand prêtre (cloîtré)",IF(AllCareers="X","Grand prêtre (cloîtré)",IF(Selectsousrace="","",IF(OR(SelectRace="homme-bête",SelectRace="peau-verte",SelectRace="créature du chaos",SelectRace="Homme-lézard",SelectRace="skaven"),"",IF(FirstCareer="1ère carrière","","Grand prêtre (cloîtré)")))))</f>
        <v/>
      </c>
      <c r="T180" s="85">
        <v>3</v>
      </c>
      <c r="U180" s="693" t="str">
        <f t="shared" si="105"/>
        <v/>
      </c>
      <c r="V180" s="693" t="str">
        <f t="shared" si="106"/>
        <v/>
      </c>
      <c r="W180" s="693" t="str">
        <f t="shared" si="107"/>
        <v/>
      </c>
      <c r="X180" s="47" t="s">
        <v>2153</v>
      </c>
      <c r="Y180" s="743" t="s">
        <v>15709</v>
      </c>
      <c r="Z180" s="55" t="s">
        <v>538</v>
      </c>
      <c r="AA180" s="47">
        <v>186</v>
      </c>
      <c r="AB180" s="89" t="s">
        <v>9298</v>
      </c>
      <c r="AC180" s="47"/>
      <c r="AD180" s="15" t="s">
        <v>98</v>
      </c>
      <c r="AE180" s="15" t="s">
        <v>98</v>
      </c>
      <c r="AF180" s="15" t="s">
        <v>101</v>
      </c>
      <c r="AG180" s="15" t="s">
        <v>101</v>
      </c>
      <c r="AH180" s="15" t="s">
        <v>99</v>
      </c>
      <c r="AI180" s="15" t="s">
        <v>116</v>
      </c>
      <c r="AJ180" s="15" t="s">
        <v>116</v>
      </c>
      <c r="AK180" s="18" t="s">
        <v>99</v>
      </c>
      <c r="AL180" s="15" t="s">
        <v>102</v>
      </c>
      <c r="AM180" s="15" t="s">
        <v>112</v>
      </c>
      <c r="AN180" s="15" t="s">
        <v>149</v>
      </c>
      <c r="AO180" s="15" t="s">
        <v>115</v>
      </c>
      <c r="AP180" s="22" t="s">
        <v>623</v>
      </c>
      <c r="AQ180" s="87" t="s">
        <v>734</v>
      </c>
      <c r="AR180" s="22" t="s">
        <v>877</v>
      </c>
      <c r="AS180" s="22" t="s">
        <v>734</v>
      </c>
      <c r="AT180" s="87" t="s">
        <v>16995</v>
      </c>
      <c r="AU180" s="87" t="s">
        <v>16996</v>
      </c>
      <c r="AV180" s="87" t="s">
        <v>4609</v>
      </c>
      <c r="AW180" s="457">
        <v>0</v>
      </c>
      <c r="AX180" s="630" t="str">
        <f t="shared" si="109"/>
        <v/>
      </c>
      <c r="AY180" s="630" t="str">
        <f t="shared" si="110"/>
        <v/>
      </c>
      <c r="AZ180" s="630" t="str">
        <f t="shared" si="111"/>
        <v/>
      </c>
      <c r="BA180" s="3"/>
      <c r="BB180" s="3"/>
      <c r="BC180" s="3"/>
      <c r="BD180" s="3"/>
      <c r="BE180" s="3"/>
      <c r="BF180" s="3"/>
      <c r="BG180" s="3"/>
      <c r="BH180" s="3"/>
      <c r="BI180" s="3"/>
      <c r="BJ180" s="3"/>
      <c r="BK180" s="3"/>
      <c r="BL180" s="3"/>
      <c r="BM180" s="3"/>
      <c r="BN180" s="3"/>
      <c r="BP180" s="3"/>
      <c r="BQ180" s="3"/>
      <c r="BR180" s="3"/>
      <c r="BS180" s="3"/>
      <c r="BT180" s="3"/>
      <c r="BU180" s="3"/>
      <c r="BV180" s="3"/>
      <c r="BW180" s="3"/>
      <c r="BX180" s="83" t="str">
        <f>IF(Province="Lashiek","Bas quartiers de Lashiek","")</f>
        <v/>
      </c>
      <c r="BY180" t="str">
        <f t="shared" si="108"/>
        <v/>
      </c>
      <c r="BZ180" s="83" t="str">
        <f t="shared" si="100"/>
        <v/>
      </c>
      <c r="CA180" s="83" t="str">
        <f t="shared" si="101"/>
        <v/>
      </c>
      <c r="CB180" s="530" t="str">
        <f t="shared" si="102"/>
        <v/>
      </c>
      <c r="CC180" s="3" t="s">
        <v>3330</v>
      </c>
      <c r="CG180" s="3" t="s">
        <v>891</v>
      </c>
      <c r="CH180" s="3" t="s">
        <v>6047</v>
      </c>
      <c r="CI180" s="3"/>
      <c r="CJ180" s="3"/>
      <c r="CK180" s="3" t="s">
        <v>6914</v>
      </c>
      <c r="CM180" t="s">
        <v>10359</v>
      </c>
      <c r="CN180" s="3"/>
      <c r="CO180" s="3" t="s">
        <v>10998</v>
      </c>
      <c r="CP180" s="3"/>
      <c r="CQ180" s="3"/>
      <c r="CR180" s="3" t="s">
        <v>13550</v>
      </c>
      <c r="CS180" s="3"/>
      <c r="CT180" s="3"/>
      <c r="CU180" s="3"/>
      <c r="CV180" s="3"/>
      <c r="CW180" s="3"/>
      <c r="CX180" s="3"/>
      <c r="CY180" s="3" t="s">
        <v>809</v>
      </c>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D180" s="83" t="s">
        <v>11627</v>
      </c>
      <c r="EE180" s="83" t="s">
        <v>5906</v>
      </c>
      <c r="EF180" s="540" t="s">
        <v>16999</v>
      </c>
      <c r="EK180" s="874"/>
      <c r="EU180" s="177" t="str">
        <f>IF(OR(Pays="Norsca",Pays="Désolations du Chaos",Pays="",Pays="Steppes orientales"),"",IF(Pays="Empire","Kaiserknecht",""))</f>
        <v/>
      </c>
      <c r="EV180" s="83" t="str">
        <f t="shared" si="99"/>
        <v/>
      </c>
      <c r="EW180" s="83" t="str">
        <f t="shared" si="103"/>
        <v/>
      </c>
      <c r="EX180" s="530" t="str">
        <f t="shared" si="104"/>
        <v/>
      </c>
      <c r="EY180" s="177" t="s">
        <v>17000</v>
      </c>
      <c r="EZ180" s="530" t="s">
        <v>10854</v>
      </c>
      <c r="FB180" s="83" t="s">
        <v>12451</v>
      </c>
      <c r="FC180" s="133" t="s">
        <v>7362</v>
      </c>
      <c r="FD180" s="641" t="s">
        <v>4551</v>
      </c>
      <c r="FE180" s="848" t="s">
        <v>149</v>
      </c>
      <c r="FF180">
        <v>20</v>
      </c>
      <c r="FG180">
        <v>0</v>
      </c>
      <c r="FH180">
        <v>80</v>
      </c>
      <c r="FI180">
        <v>10</v>
      </c>
      <c r="FJ180" s="10">
        <v>10</v>
      </c>
      <c r="FK180">
        <v>10</v>
      </c>
      <c r="FL180">
        <v>79</v>
      </c>
      <c r="FM180" s="165">
        <v>30</v>
      </c>
      <c r="FN180" s="88">
        <v>1</v>
      </c>
      <c r="FO180" s="88">
        <v>58</v>
      </c>
      <c r="FP180" s="164">
        <f t="shared" si="116"/>
        <v>8</v>
      </c>
      <c r="FQ180" s="164">
        <f t="shared" si="117"/>
        <v>1</v>
      </c>
      <c r="FR180" s="682">
        <v>2</v>
      </c>
      <c r="FS180" s="88">
        <v>0</v>
      </c>
      <c r="FT180" s="88">
        <v>0</v>
      </c>
      <c r="FU180" s="165">
        <v>0</v>
      </c>
      <c r="FV180" s="83" t="s">
        <v>13079</v>
      </c>
      <c r="FW180" s="83" t="s">
        <v>13062</v>
      </c>
      <c r="FX180" s="751" t="s">
        <v>7659</v>
      </c>
      <c r="GA180" t="s">
        <v>7604</v>
      </c>
      <c r="GF180" t="s">
        <v>7748</v>
      </c>
      <c r="GG180" s="341" t="s">
        <v>8981</v>
      </c>
      <c r="GH180" s="83" t="s">
        <v>8979</v>
      </c>
      <c r="GI180" s="83" t="s">
        <v>8937</v>
      </c>
      <c r="GJ180" s="83"/>
      <c r="GK180" s="530"/>
    </row>
    <row r="181" spans="8:193" ht="13.2" customHeight="1">
      <c r="H181" s="3"/>
      <c r="I181" s="3"/>
      <c r="J181" s="3"/>
      <c r="K181" s="3"/>
      <c r="L181" s="3"/>
      <c r="M181" s="651"/>
      <c r="N181" s="3"/>
      <c r="O181" s="3"/>
      <c r="P181" s="3"/>
      <c r="Q181" s="3"/>
      <c r="R181" s="651"/>
      <c r="S181" s="83" t="str">
        <f>IF(CareerType=Y181,"Grand prêtre (ordinaire)",IF(AllCareers="X","Grand prêtre (ordinaire)",IF(Selectsousrace="","",IF(OR(SelectRace="homme-bête",SelectRace="peau-verte",SelectRace="créature du chaos",SelectRace="Homme-lézard",SelectRace="skaven"),"",IF(FirstCareer="1ère carrière","","Grand prêtre (ordinaire)")))))</f>
        <v/>
      </c>
      <c r="T181" s="85">
        <v>3</v>
      </c>
      <c r="U181" s="693" t="str">
        <f t="shared" si="105"/>
        <v/>
      </c>
      <c r="V181" s="693" t="str">
        <f t="shared" si="106"/>
        <v/>
      </c>
      <c r="W181" s="693" t="str">
        <f t="shared" si="107"/>
        <v/>
      </c>
      <c r="X181" s="47" t="s">
        <v>2153</v>
      </c>
      <c r="Y181" s="743" t="s">
        <v>15709</v>
      </c>
      <c r="Z181" s="55" t="s">
        <v>538</v>
      </c>
      <c r="AA181" s="47">
        <v>186</v>
      </c>
      <c r="AB181" s="47" t="s">
        <v>2321</v>
      </c>
      <c r="AC181" s="47"/>
      <c r="AD181" s="15" t="s">
        <v>100</v>
      </c>
      <c r="AE181" s="15" t="s">
        <v>100</v>
      </c>
      <c r="AF181" s="15" t="s">
        <v>100</v>
      </c>
      <c r="AG181" s="15" t="s">
        <v>101</v>
      </c>
      <c r="AH181" s="15" t="s">
        <v>100</v>
      </c>
      <c r="AI181" s="15" t="s">
        <v>100</v>
      </c>
      <c r="AJ181" s="15" t="s">
        <v>116</v>
      </c>
      <c r="AK181" s="18" t="s">
        <v>99</v>
      </c>
      <c r="AL181" s="15" t="s">
        <v>102</v>
      </c>
      <c r="AM181" s="15" t="s">
        <v>117</v>
      </c>
      <c r="AN181" s="15" t="s">
        <v>149</v>
      </c>
      <c r="AO181" s="15" t="s">
        <v>149</v>
      </c>
      <c r="AP181" s="22" t="s">
        <v>126</v>
      </c>
      <c r="AQ181" s="87" t="s">
        <v>734</v>
      </c>
      <c r="AR181" s="22" t="s">
        <v>877</v>
      </c>
      <c r="AS181" s="22" t="s">
        <v>734</v>
      </c>
      <c r="AT181" s="87" t="s">
        <v>16995</v>
      </c>
      <c r="AU181" s="87" t="s">
        <v>17001</v>
      </c>
      <c r="AV181" s="87" t="s">
        <v>4609</v>
      </c>
      <c r="AW181" s="457">
        <v>0</v>
      </c>
      <c r="AX181" s="630" t="str">
        <f t="shared" si="109"/>
        <v/>
      </c>
      <c r="AY181" s="630" t="str">
        <f t="shared" si="110"/>
        <v/>
      </c>
      <c r="AZ181" s="630" t="str">
        <f t="shared" si="111"/>
        <v/>
      </c>
      <c r="BA181" s="3"/>
      <c r="BB181" s="3"/>
      <c r="BC181" s="3"/>
      <c r="BD181" s="3"/>
      <c r="BE181" s="3"/>
      <c r="BF181" s="3"/>
      <c r="BG181" s="3"/>
      <c r="BH181" s="3"/>
      <c r="BI181" s="3"/>
      <c r="BJ181" s="3"/>
      <c r="BK181" s="3"/>
      <c r="BL181" s="3"/>
      <c r="BM181" s="3"/>
      <c r="BN181" s="3"/>
      <c r="BP181" s="3"/>
      <c r="BQ181" s="3"/>
      <c r="BR181" s="3"/>
      <c r="BS181" s="3"/>
      <c r="BT181" s="3"/>
      <c r="BU181" s="3"/>
      <c r="BV181" s="3"/>
      <c r="BW181" s="3"/>
      <c r="BX181" s="83" t="str">
        <f>IF(Province="Lazzara","Bas quartiers de Lazzara","")</f>
        <v/>
      </c>
      <c r="BY181" t="str">
        <f t="shared" si="108"/>
        <v/>
      </c>
      <c r="BZ181" s="83" t="str">
        <f t="shared" si="100"/>
        <v/>
      </c>
      <c r="CA181" s="83" t="str">
        <f t="shared" si="101"/>
        <v/>
      </c>
      <c r="CB181" s="530" t="str">
        <f t="shared" si="102"/>
        <v/>
      </c>
      <c r="CC181" s="3" t="s">
        <v>3331</v>
      </c>
      <c r="CG181" s="3" t="s">
        <v>6268</v>
      </c>
      <c r="CH181" s="3" t="s">
        <v>6048</v>
      </c>
      <c r="CI181" s="3"/>
      <c r="CJ181" s="3"/>
      <c r="CK181" s="3" t="s">
        <v>6877</v>
      </c>
      <c r="CM181" t="s">
        <v>10352</v>
      </c>
      <c r="CN181" s="3"/>
      <c r="CO181" s="3" t="str">
        <f>CONCATENATE("Hammer",IF(AND('page 1'!M11="Féminin",Pays="Norsca"),"dottir",IF(AND('page 1'!M11="Masculin",Pays="Norsca"),"son",IF(AND('page 1'!M11="Féminin",Pays="Kislev"),"ovna",IF(AND('page 1'!M11="Masculin",Pays="Kislev"),"sky","")))))</f>
        <v>Hammer</v>
      </c>
      <c r="CP181" s="3"/>
      <c r="CQ181" s="3"/>
      <c r="CR181" s="3" t="s">
        <v>13551</v>
      </c>
      <c r="CS181" s="3"/>
      <c r="CT181" s="3"/>
      <c r="CU181" s="3"/>
      <c r="CV181" s="3"/>
      <c r="CW181" s="3"/>
      <c r="CX181" s="3"/>
      <c r="CY181" s="3" t="s">
        <v>2667</v>
      </c>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D181" t="str">
        <f>IF(SelectRace="Elfe","Iles du Nord","")</f>
        <v/>
      </c>
      <c r="EE181" s="83" t="s">
        <v>9065</v>
      </c>
      <c r="EF181" s="530" t="s">
        <v>17002</v>
      </c>
      <c r="EK181" s="874"/>
      <c r="EU181" s="25" t="str">
        <f>IF(OR(Pays="Norsca",Pays="Désolations du Chaos",Pays="",Pays="Steppes orientales"),"","Ordre de la Lame Étincelante")</f>
        <v/>
      </c>
      <c r="EV181" s="83" t="str">
        <f t="shared" si="99"/>
        <v/>
      </c>
      <c r="EW181" s="83" t="str">
        <f t="shared" si="103"/>
        <v/>
      </c>
      <c r="EX181" s="530" t="str">
        <f t="shared" si="104"/>
        <v/>
      </c>
      <c r="EZ181" s="530" t="s">
        <v>11256</v>
      </c>
      <c r="FB181" s="83" t="s">
        <v>16183</v>
      </c>
      <c r="FC181" s="133" t="s">
        <v>7362</v>
      </c>
      <c r="FD181" s="85" t="s">
        <v>12998</v>
      </c>
      <c r="FE181" s="850" t="s">
        <v>12999</v>
      </c>
      <c r="FF181">
        <v>54</v>
      </c>
      <c r="FG181">
        <v>0</v>
      </c>
      <c r="FH181">
        <v>48</v>
      </c>
      <c r="FI181">
        <v>51</v>
      </c>
      <c r="FJ181" s="10">
        <v>43</v>
      </c>
      <c r="FK181">
        <v>36</v>
      </c>
      <c r="FL181">
        <v>47</v>
      </c>
      <c r="FM181" s="165">
        <v>39</v>
      </c>
      <c r="FN181" s="88">
        <v>2</v>
      </c>
      <c r="FO181" s="88">
        <v>16</v>
      </c>
      <c r="FP181" s="164">
        <f t="shared" si="116"/>
        <v>4</v>
      </c>
      <c r="FQ181" s="164">
        <f t="shared" si="117"/>
        <v>5</v>
      </c>
      <c r="FR181" s="682">
        <v>4</v>
      </c>
      <c r="FS181" s="88">
        <v>0</v>
      </c>
      <c r="FT181" s="88">
        <v>0</v>
      </c>
      <c r="FU181" s="165">
        <v>0</v>
      </c>
      <c r="FV181" s="83" t="s">
        <v>7231</v>
      </c>
      <c r="FW181" s="83" t="s">
        <v>12997</v>
      </c>
      <c r="FX181" s="751" t="s">
        <v>7659</v>
      </c>
      <c r="GA181" t="s">
        <v>7527</v>
      </c>
      <c r="GF181" t="s">
        <v>7749</v>
      </c>
      <c r="GG181" s="341" t="s">
        <v>8995</v>
      </c>
      <c r="GH181" s="83" t="s">
        <v>8989</v>
      </c>
      <c r="GI181" s="83" t="s">
        <v>8938</v>
      </c>
      <c r="GJ181" s="83"/>
      <c r="GK181" s="530"/>
    </row>
    <row r="182" spans="8:193" ht="13.2" customHeight="1">
      <c r="H182" s="3"/>
      <c r="I182" s="3"/>
      <c r="J182" s="3"/>
      <c r="K182" s="3"/>
      <c r="L182" s="3"/>
      <c r="M182" s="651"/>
      <c r="N182" s="3"/>
      <c r="O182" s="3"/>
      <c r="P182" s="3"/>
      <c r="Q182" s="3"/>
      <c r="R182" s="651"/>
      <c r="S182" s="83" t="str">
        <f>IF(CareerType=Y182,"Grande Griffe",IF(AllCareers="X","Grande Griffe",IF('page 1'!E89="1ère carrière","",IF(SelectRace="skaven","Grande Griffe",""))))</f>
        <v/>
      </c>
      <c r="T182" s="85">
        <f>IF(X182="oui",0,1)</f>
        <v>1</v>
      </c>
      <c r="U182" s="693" t="str">
        <f t="shared" si="105"/>
        <v/>
      </c>
      <c r="V182" s="693" t="str">
        <f t="shared" si="106"/>
        <v/>
      </c>
      <c r="W182" s="693" t="str">
        <f t="shared" si="107"/>
        <v/>
      </c>
      <c r="X182" s="47" t="s">
        <v>2153</v>
      </c>
      <c r="Y182" s="743" t="s">
        <v>7130</v>
      </c>
      <c r="Z182" s="56" t="s">
        <v>1328</v>
      </c>
      <c r="AA182" s="47">
        <v>99</v>
      </c>
      <c r="AB182" s="48"/>
      <c r="AC182" s="48"/>
      <c r="AD182" s="15" t="s">
        <v>101</v>
      </c>
      <c r="AE182" s="15" t="s">
        <v>98</v>
      </c>
      <c r="AF182" s="15" t="s">
        <v>114</v>
      </c>
      <c r="AG182" s="15" t="s">
        <v>114</v>
      </c>
      <c r="AH182" s="15" t="s">
        <v>98</v>
      </c>
      <c r="AI182" s="15" t="s">
        <v>149</v>
      </c>
      <c r="AJ182" s="15" t="s">
        <v>99</v>
      </c>
      <c r="AK182" s="18" t="s">
        <v>149</v>
      </c>
      <c r="AL182" s="15" t="s">
        <v>102</v>
      </c>
      <c r="AM182" s="15" t="s">
        <v>103</v>
      </c>
      <c r="AN182" s="15" t="s">
        <v>149</v>
      </c>
      <c r="AO182" s="15" t="s">
        <v>149</v>
      </c>
      <c r="AP182" s="22" t="s">
        <v>15842</v>
      </c>
      <c r="AQ182" s="87" t="s">
        <v>15927</v>
      </c>
      <c r="AR182" s="22" t="s">
        <v>14827</v>
      </c>
      <c r="AS182" s="87" t="s">
        <v>14828</v>
      </c>
      <c r="AT182" s="22" t="s">
        <v>3466</v>
      </c>
      <c r="AU182" s="87" t="s">
        <v>5502</v>
      </c>
      <c r="AV182" s="87" t="s">
        <v>15752</v>
      </c>
      <c r="AW182" s="457">
        <v>0</v>
      </c>
      <c r="AX182" s="630" t="str">
        <f t="shared" si="109"/>
        <v/>
      </c>
      <c r="AY182" s="630" t="str">
        <f t="shared" si="110"/>
        <v/>
      </c>
      <c r="AZ182" s="630" t="str">
        <f t="shared" si="111"/>
        <v/>
      </c>
      <c r="BA182" s="3"/>
      <c r="BB182" s="3"/>
      <c r="BC182" s="3"/>
      <c r="BD182" s="3"/>
      <c r="BE182" s="3"/>
      <c r="BF182" s="3"/>
      <c r="BG182" s="3"/>
      <c r="BH182" s="3"/>
      <c r="BI182" s="3"/>
      <c r="BJ182" s="3"/>
      <c r="BK182" s="3"/>
      <c r="BL182" s="3"/>
      <c r="BM182" s="3"/>
      <c r="BN182" s="3"/>
      <c r="BP182" s="3"/>
      <c r="BQ182" s="3"/>
      <c r="BR182" s="3"/>
      <c r="BS182" s="3"/>
      <c r="BT182" s="3"/>
      <c r="BU182" s="3"/>
      <c r="BV182" s="3"/>
      <c r="BW182" s="3"/>
      <c r="BX182" s="83" t="str">
        <f>IF(Province="Mahabbah","Bas quartiers de Mahabbah","")</f>
        <v/>
      </c>
      <c r="BY182" t="str">
        <f t="shared" si="108"/>
        <v/>
      </c>
      <c r="BZ182" s="83" t="str">
        <f t="shared" si="100"/>
        <v/>
      </c>
      <c r="CA182" s="83" t="str">
        <f t="shared" si="101"/>
        <v/>
      </c>
      <c r="CB182" s="530" t="str">
        <f t="shared" si="102"/>
        <v/>
      </c>
      <c r="CC182" s="3" t="s">
        <v>3332</v>
      </c>
      <c r="CG182" s="83" t="s">
        <v>6268</v>
      </c>
      <c r="CH182" s="3" t="s">
        <v>6045</v>
      </c>
      <c r="CI182" s="3"/>
      <c r="CJ182" s="3"/>
      <c r="CK182" s="3" t="s">
        <v>6751</v>
      </c>
      <c r="CM182" t="s">
        <v>10353</v>
      </c>
      <c r="CN182" s="3"/>
      <c r="CO182" s="3" t="str">
        <f>CONCATENATE("Hardans",IF(AND('page 1'!M11="Féminin",Pays="Norsca"),"dottir",IF(AND('page 1'!M11="Masculin",Pays="Norsca"),"son",IF(AND('page 1'!M11="Féminin",Pays="Kislev"),"ovna",IF(AND('page 1'!M11="Masculin",Pays="Kislev"),"sky","")))))</f>
        <v>Hardans</v>
      </c>
      <c r="CP182" s="3"/>
      <c r="CQ182" s="3"/>
      <c r="CR182" s="3" t="s">
        <v>13552</v>
      </c>
      <c r="CS182" s="3"/>
      <c r="CT182" s="3"/>
      <c r="CU182" s="3"/>
      <c r="CV182" s="3"/>
      <c r="CW182" s="3"/>
      <c r="CX182" s="3"/>
      <c r="CY182" s="3" t="s">
        <v>810</v>
      </c>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D182" t="str">
        <f>IF(SelectRace="Elfe","Royaume d'Avelorn","")</f>
        <v/>
      </c>
      <c r="EE182" s="83" t="s">
        <v>9065</v>
      </c>
      <c r="EF182" s="530" t="s">
        <v>17003</v>
      </c>
      <c r="EK182" s="874"/>
      <c r="EU182" s="177" t="str">
        <f>IF(OR(Pays="Norsca",Pays="Désolations du Chaos",Pays="",Pays="Steppes orientales"),"",IF(Pays="Empire","Ordre de l'Ours Noir",""))</f>
        <v/>
      </c>
      <c r="EV182" s="83" t="str">
        <f t="shared" si="99"/>
        <v/>
      </c>
      <c r="EW182" s="83" t="str">
        <f t="shared" si="103"/>
        <v/>
      </c>
      <c r="EX182" s="530" t="str">
        <f t="shared" si="104"/>
        <v/>
      </c>
      <c r="EY182" s="83" t="s">
        <v>12850</v>
      </c>
      <c r="FB182" s="83" t="s">
        <v>16184</v>
      </c>
      <c r="FC182" s="133" t="s">
        <v>7362</v>
      </c>
      <c r="FD182" s="85" t="s">
        <v>15646</v>
      </c>
      <c r="FE182" s="849">
        <v>129</v>
      </c>
      <c r="FF182">
        <v>43</v>
      </c>
      <c r="FG182">
        <v>0</v>
      </c>
      <c r="FH182">
        <v>62</v>
      </c>
      <c r="FI182">
        <v>66</v>
      </c>
      <c r="FJ182" s="10">
        <v>31</v>
      </c>
      <c r="FK182">
        <v>21</v>
      </c>
      <c r="FL182">
        <v>38</v>
      </c>
      <c r="FM182" s="165">
        <v>11</v>
      </c>
      <c r="FN182" s="88">
        <v>3</v>
      </c>
      <c r="FO182" s="88">
        <v>21</v>
      </c>
      <c r="FP182" s="691">
        <f t="shared" si="116"/>
        <v>6</v>
      </c>
      <c r="FQ182" s="691">
        <f t="shared" si="117"/>
        <v>6</v>
      </c>
      <c r="FR182" s="10">
        <v>8</v>
      </c>
      <c r="FS182" s="88">
        <v>0</v>
      </c>
      <c r="FT182" s="88">
        <v>0</v>
      </c>
      <c r="FU182" s="165">
        <v>0</v>
      </c>
      <c r="FV182" s="83" t="s">
        <v>7231</v>
      </c>
      <c r="FW182" s="83" t="s">
        <v>16185</v>
      </c>
      <c r="FX182" s="751" t="s">
        <v>7659</v>
      </c>
      <c r="GA182" s="83" t="s">
        <v>7552</v>
      </c>
      <c r="GF182" t="s">
        <v>7750</v>
      </c>
      <c r="GG182" s="341" t="s">
        <v>8991</v>
      </c>
      <c r="GH182" s="83" t="s">
        <v>8989</v>
      </c>
      <c r="GI182" s="83" t="s">
        <v>8938</v>
      </c>
      <c r="GJ182" s="83"/>
      <c r="GK182" s="530"/>
    </row>
    <row r="183" spans="8:193" ht="13.2" customHeight="1">
      <c r="H183" s="3"/>
      <c r="I183" s="3"/>
      <c r="J183" s="3"/>
      <c r="K183" s="3"/>
      <c r="L183" s="3"/>
      <c r="M183" s="651"/>
      <c r="N183" s="3"/>
      <c r="O183" s="3"/>
      <c r="P183" s="3"/>
      <c r="Q183" s="3"/>
      <c r="R183" s="651"/>
      <c r="S183" s="83" t="str">
        <f>IF(CareerType=Y183,"Grenouillère",IF(AllCareers="X","Grenouillère",IF('page 1'!M11="","",IF('page 1'!M11="féminin","",IF(OR(SelectRace="homme-bête",SelectRace="peau-verte",SelectRace="créature du chaos",SelectRace="Homme-lézard",SelectRace="skaven",SelectRace="Vampire"),"",IF(Pays="Bretonnie","Grenouillère",""))))))</f>
        <v/>
      </c>
      <c r="T183" s="106">
        <f>IF(X183="oui",0,1)</f>
        <v>0</v>
      </c>
      <c r="U183" s="693" t="str">
        <f t="shared" si="105"/>
        <v/>
      </c>
      <c r="V183" s="693" t="str">
        <f t="shared" si="106"/>
        <v/>
      </c>
      <c r="W183" s="693" t="str">
        <f t="shared" si="107"/>
        <v/>
      </c>
      <c r="X183" s="47" t="s">
        <v>2160</v>
      </c>
      <c r="Y183" s="743" t="s">
        <v>7132</v>
      </c>
      <c r="Z183" s="55" t="s">
        <v>2322</v>
      </c>
      <c r="AA183" s="47">
        <v>28</v>
      </c>
      <c r="AB183" s="47" t="s">
        <v>2323</v>
      </c>
      <c r="AC183" s="47">
        <v>85</v>
      </c>
      <c r="AD183" s="15" t="s">
        <v>149</v>
      </c>
      <c r="AE183" s="15" t="s">
        <v>149</v>
      </c>
      <c r="AF183" s="15" t="s">
        <v>149</v>
      </c>
      <c r="AG183" s="15" t="s">
        <v>114</v>
      </c>
      <c r="AH183" s="15" t="s">
        <v>98</v>
      </c>
      <c r="AI183" s="15" t="s">
        <v>114</v>
      </c>
      <c r="AJ183" s="15" t="s">
        <v>98</v>
      </c>
      <c r="AK183" s="18" t="s">
        <v>114</v>
      </c>
      <c r="AL183" s="15" t="s">
        <v>149</v>
      </c>
      <c r="AM183" s="15" t="s">
        <v>113</v>
      </c>
      <c r="AN183" s="15" t="s">
        <v>149</v>
      </c>
      <c r="AO183" s="15" t="s">
        <v>149</v>
      </c>
      <c r="AP183" s="22" t="s">
        <v>15727</v>
      </c>
      <c r="AQ183" s="87" t="s">
        <v>734</v>
      </c>
      <c r="AR183" s="22" t="s">
        <v>15728</v>
      </c>
      <c r="AS183" s="87" t="s">
        <v>734</v>
      </c>
      <c r="AT183" s="87" t="s">
        <v>17004</v>
      </c>
      <c r="AU183" s="87" t="s">
        <v>17005</v>
      </c>
      <c r="AV183" s="87" t="s">
        <v>4768</v>
      </c>
      <c r="AW183" s="457">
        <v>0</v>
      </c>
      <c r="AX183" s="630" t="str">
        <f t="shared" si="109"/>
        <v/>
      </c>
      <c r="AY183" s="630" t="str">
        <f t="shared" si="110"/>
        <v/>
      </c>
      <c r="AZ183" s="630" t="str">
        <f t="shared" si="111"/>
        <v/>
      </c>
      <c r="BA183" s="3"/>
      <c r="BB183" s="3"/>
      <c r="BC183" s="3"/>
      <c r="BD183" s="3"/>
      <c r="BE183" s="3"/>
      <c r="BF183" s="3"/>
      <c r="BG183" s="3"/>
      <c r="BH183" s="3"/>
      <c r="BI183" s="3"/>
      <c r="BJ183" s="3"/>
      <c r="BK183" s="3"/>
      <c r="BL183" s="3"/>
      <c r="BM183" s="3"/>
      <c r="BN183" s="3"/>
      <c r="BP183" s="3"/>
      <c r="BQ183" s="3"/>
      <c r="BR183" s="3"/>
      <c r="BS183" s="3"/>
      <c r="BT183" s="3"/>
      <c r="BU183" s="3"/>
      <c r="BV183" s="3"/>
      <c r="BW183" s="3"/>
      <c r="BX183" t="str">
        <f>IF(Province="Martek","Bas quartiers de Martek","")</f>
        <v/>
      </c>
      <c r="BY183" t="str">
        <f t="shared" si="108"/>
        <v/>
      </c>
      <c r="BZ183" s="83" t="str">
        <f t="shared" si="100"/>
        <v/>
      </c>
      <c r="CA183" s="83" t="str">
        <f t="shared" si="101"/>
        <v/>
      </c>
      <c r="CB183" s="530" t="str">
        <f t="shared" si="102"/>
        <v/>
      </c>
      <c r="CC183" s="3" t="s">
        <v>3333</v>
      </c>
      <c r="CG183" s="3" t="s">
        <v>6269</v>
      </c>
      <c r="CH183" s="83" t="s">
        <v>15244</v>
      </c>
      <c r="CI183" s="3"/>
      <c r="CJ183" s="3"/>
      <c r="CK183" s="3" t="s">
        <v>6797</v>
      </c>
      <c r="CM183" s="83" t="s">
        <v>15168</v>
      </c>
      <c r="CN183" s="3"/>
      <c r="CO183" s="3" t="str">
        <f>CONCATENATE("Hargans",IF(AND('page 1'!M11="Féminin",Pays="Norsca"),"dottir",IF(AND('page 1'!M11="Masculin",Pays="Norsca"),"son",IF(AND('page 1'!M11="Féminin",Pays="Kislev"),"ovna",IF(AND('page 1'!M11="Masculin",Pays="Kislev"),"sky","")))))</f>
        <v>Hargans</v>
      </c>
      <c r="CP183" s="3"/>
      <c r="CQ183" s="3"/>
      <c r="CR183" s="3" t="s">
        <v>13553</v>
      </c>
      <c r="CS183" s="3"/>
      <c r="CT183" s="3"/>
      <c r="CU183" s="3"/>
      <c r="CV183" s="3"/>
      <c r="CW183" s="3"/>
      <c r="CX183" s="3"/>
      <c r="CY183" s="39" t="s">
        <v>261</v>
      </c>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D183" t="str">
        <f>IF(SelectRace="Elfe","Royaume de Caledor","")</f>
        <v/>
      </c>
      <c r="EE183" s="83" t="s">
        <v>9065</v>
      </c>
      <c r="EF183" s="530" t="s">
        <v>12478</v>
      </c>
      <c r="EK183" s="874"/>
      <c r="EU183" s="25" t="str">
        <f>IF(OR(Pays="Norsca",Pays="Désolations du Chaos",Pays="",Pays="Steppes orientales"),"","Ordre du Feu Glacé")</f>
        <v/>
      </c>
      <c r="EV183" s="83" t="str">
        <f t="shared" si="99"/>
        <v/>
      </c>
      <c r="EW183" s="83" t="str">
        <f t="shared" si="103"/>
        <v/>
      </c>
      <c r="EX183" s="530" t="str">
        <f t="shared" si="104"/>
        <v/>
      </c>
      <c r="EY183" s="177" t="s">
        <v>418</v>
      </c>
      <c r="EZ183" s="530" t="s">
        <v>10851</v>
      </c>
      <c r="FB183" s="83" t="s">
        <v>15007</v>
      </c>
      <c r="FC183" s="133" t="s">
        <v>7362</v>
      </c>
      <c r="FD183" s="85" t="s">
        <v>14968</v>
      </c>
      <c r="FE183" s="849">
        <v>42</v>
      </c>
      <c r="FF183">
        <v>45</v>
      </c>
      <c r="FG183">
        <v>0</v>
      </c>
      <c r="FH183">
        <v>52</v>
      </c>
      <c r="FI183">
        <v>58</v>
      </c>
      <c r="FJ183" s="10">
        <v>22</v>
      </c>
      <c r="FK183">
        <v>5</v>
      </c>
      <c r="FL183">
        <v>30</v>
      </c>
      <c r="FM183" s="165">
        <v>5</v>
      </c>
      <c r="FN183" s="88">
        <v>2</v>
      </c>
      <c r="FO183" s="88">
        <v>28</v>
      </c>
      <c r="FP183" s="691">
        <f t="shared" si="116"/>
        <v>5</v>
      </c>
      <c r="FQ183" s="691">
        <f t="shared" si="117"/>
        <v>5</v>
      </c>
      <c r="FR183" s="10">
        <v>6</v>
      </c>
      <c r="FS183" s="88">
        <v>0</v>
      </c>
      <c r="FT183" s="88">
        <v>0</v>
      </c>
      <c r="FU183" s="165">
        <v>0</v>
      </c>
      <c r="FV183" s="84" t="s">
        <v>149</v>
      </c>
      <c r="FW183" s="83" t="s">
        <v>16998</v>
      </c>
      <c r="FX183" s="530" t="s">
        <v>7659</v>
      </c>
      <c r="GA183" t="s">
        <v>7573</v>
      </c>
      <c r="GF183" t="s">
        <v>7751</v>
      </c>
      <c r="GG183" s="341" t="s">
        <v>8992</v>
      </c>
      <c r="GH183" s="83" t="s">
        <v>8989</v>
      </c>
      <c r="GI183" s="83" t="s">
        <v>8938</v>
      </c>
      <c r="GJ183" s="83"/>
      <c r="GK183" s="530"/>
    </row>
    <row r="184" spans="8:193" ht="13.2" customHeight="1">
      <c r="H184" s="3"/>
      <c r="I184" s="3"/>
      <c r="J184" s="3"/>
      <c r="K184" s="3"/>
      <c r="L184" s="3"/>
      <c r="M184" s="651"/>
      <c r="N184" s="3"/>
      <c r="O184" s="3"/>
      <c r="P184" s="3"/>
      <c r="Q184" s="3"/>
      <c r="R184" s="651"/>
      <c r="S184" s="83" t="str">
        <f>IF(CareerType=Y184,"Guerrier des clans",IF(AllCareers="X","Guerrier des clans",IF(OR(SelectRace="skaven",SelectRace="homme-bête",SelectRace="peau-verte",SelectRace="créature du chaos",SelectRace="Homme-lézard"),"Guerrier des clans","")))</f>
        <v/>
      </c>
      <c r="T184" s="85">
        <f>IF(X184="oui",0,1)</f>
        <v>0</v>
      </c>
      <c r="U184" s="693" t="str">
        <f t="shared" si="105"/>
        <v/>
      </c>
      <c r="V184" s="693" t="str">
        <f t="shared" si="106"/>
        <v/>
      </c>
      <c r="W184" s="693" t="str">
        <f t="shared" si="107"/>
        <v/>
      </c>
      <c r="X184" s="47" t="s">
        <v>2160</v>
      </c>
      <c r="Y184" s="743" t="s">
        <v>7130</v>
      </c>
      <c r="Z184" s="56" t="s">
        <v>1328</v>
      </c>
      <c r="AA184" s="47">
        <v>94</v>
      </c>
      <c r="AB184" s="89" t="s">
        <v>9299</v>
      </c>
      <c r="AC184" s="48"/>
      <c r="AD184" s="20" t="s">
        <v>114</v>
      </c>
      <c r="AE184" s="20" t="s">
        <v>114</v>
      </c>
      <c r="AF184" s="15" t="s">
        <v>149</v>
      </c>
      <c r="AG184" s="15" t="s">
        <v>149</v>
      </c>
      <c r="AH184" s="20" t="s">
        <v>114</v>
      </c>
      <c r="AI184" s="15" t="s">
        <v>149</v>
      </c>
      <c r="AJ184" s="20" t="s">
        <v>114</v>
      </c>
      <c r="AK184" s="18" t="s">
        <v>149</v>
      </c>
      <c r="AL184" s="15" t="s">
        <v>149</v>
      </c>
      <c r="AM184" s="15" t="s">
        <v>113</v>
      </c>
      <c r="AN184" s="15" t="s">
        <v>149</v>
      </c>
      <c r="AO184" s="15" t="s">
        <v>149</v>
      </c>
      <c r="AP184" s="87" t="s">
        <v>734</v>
      </c>
      <c r="AQ184" s="87" t="s">
        <v>15886</v>
      </c>
      <c r="AR184" s="22" t="s">
        <v>15843</v>
      </c>
      <c r="AS184" s="87" t="s">
        <v>15844</v>
      </c>
      <c r="AT184" s="22" t="s">
        <v>3467</v>
      </c>
      <c r="AU184" s="87" t="s">
        <v>12322</v>
      </c>
      <c r="AV184" s="87" t="s">
        <v>4793</v>
      </c>
      <c r="AW184" s="457">
        <v>0</v>
      </c>
      <c r="AX184" s="630" t="str">
        <f t="shared" si="109"/>
        <v/>
      </c>
      <c r="AY184" s="630" t="str">
        <f t="shared" si="110"/>
        <v/>
      </c>
      <c r="AZ184" s="630" t="str">
        <f t="shared" si="111"/>
        <v/>
      </c>
      <c r="BA184" s="3"/>
      <c r="BB184" s="3"/>
      <c r="BC184" s="3"/>
      <c r="BD184" s="3"/>
      <c r="BE184" s="3"/>
      <c r="BF184" s="3"/>
      <c r="BG184" s="3"/>
      <c r="BH184" s="3"/>
      <c r="BI184" s="3"/>
      <c r="BJ184" s="3"/>
      <c r="BK184" s="3"/>
      <c r="BL184" s="3"/>
      <c r="BM184" s="3"/>
      <c r="BN184" s="3"/>
      <c r="BP184" s="3"/>
      <c r="BQ184" s="3"/>
      <c r="BR184" s="3"/>
      <c r="BS184" s="3"/>
      <c r="BT184" s="3"/>
      <c r="BU184" s="3"/>
      <c r="BV184" s="3"/>
      <c r="BW184" s="3"/>
      <c r="BX184" s="83" t="str">
        <f>IF(Province="Ra'Ban","Bas quartiers de Ra'Ban","")</f>
        <v/>
      </c>
      <c r="BY184" t="str">
        <f t="shared" si="108"/>
        <v/>
      </c>
      <c r="BZ184" s="83" t="str">
        <f t="shared" si="100"/>
        <v/>
      </c>
      <c r="CA184" s="83" t="str">
        <f t="shared" si="101"/>
        <v/>
      </c>
      <c r="CB184" s="530" t="str">
        <f t="shared" si="102"/>
        <v/>
      </c>
      <c r="CC184" s="3" t="s">
        <v>3203</v>
      </c>
      <c r="CG184" s="3" t="s">
        <v>6270</v>
      </c>
      <c r="CH184" s="3" t="s">
        <v>6046</v>
      </c>
      <c r="CI184" s="3"/>
      <c r="CJ184" s="3"/>
      <c r="CK184" s="3" t="s">
        <v>6982</v>
      </c>
      <c r="CM184" t="s">
        <v>10354</v>
      </c>
      <c r="CN184" s="3"/>
      <c r="CO184" s="3" t="str">
        <f>CONCATENATE("Hasslefrir",IF(AND('page 1'!M11="Féminin",Pays="Norsca"),"dottir",IF(AND('page 1'!M11="Masculin",Pays="Norsca"),"son",IF(AND('page 1'!M11="Féminin",Pays="Kislev"),"ovna",IF(AND('page 1'!M11="Masculin",Pays="Kislev"),"sky","")))))</f>
        <v>Hasslefrir</v>
      </c>
      <c r="CP184" s="3"/>
      <c r="CQ184" s="3"/>
      <c r="CR184" s="3" t="s">
        <v>13554</v>
      </c>
      <c r="CS184" s="3"/>
      <c r="CT184" s="3"/>
      <c r="CU184" s="3"/>
      <c r="CV184" s="3"/>
      <c r="CW184" s="3"/>
      <c r="CX184" s="3"/>
      <c r="CY184" s="3" t="s">
        <v>811</v>
      </c>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D184" s="83" t="str">
        <f>IF(SelectRace="Elfe","Royaume de Chrace","")</f>
        <v/>
      </c>
      <c r="EE184" s="83" t="s">
        <v>9065</v>
      </c>
      <c r="EF184" s="530" t="s">
        <v>12474</v>
      </c>
      <c r="EK184" s="874"/>
      <c r="EU184" s="25" t="str">
        <f>IF(OR(Pays="Norsca",Pays="Désolations du Chaos",Pays="",Pays="Steppes orientales"),"",IF(Pays="Empire","Ordre du Glaive d'Ébène",""))</f>
        <v/>
      </c>
      <c r="EV184" s="83" t="str">
        <f t="shared" si="99"/>
        <v/>
      </c>
      <c r="EW184" s="83" t="str">
        <f t="shared" si="103"/>
        <v/>
      </c>
      <c r="EX184" s="530" t="str">
        <f t="shared" si="104"/>
        <v/>
      </c>
      <c r="EY184" t="s">
        <v>12869</v>
      </c>
      <c r="FB184" s="83" t="s">
        <v>16606</v>
      </c>
      <c r="FC184" s="133" t="s">
        <v>16253</v>
      </c>
      <c r="FD184" s="85" t="s">
        <v>2196</v>
      </c>
      <c r="FE184" s="849">
        <v>117</v>
      </c>
      <c r="FF184">
        <v>46</v>
      </c>
      <c r="FG184">
        <v>0</v>
      </c>
      <c r="FH184">
        <v>55</v>
      </c>
      <c r="FI184">
        <v>56</v>
      </c>
      <c r="FJ184" s="10">
        <v>21</v>
      </c>
      <c r="FK184">
        <v>0</v>
      </c>
      <c r="FL184">
        <v>0</v>
      </c>
      <c r="FM184" s="165">
        <v>0</v>
      </c>
      <c r="FN184" s="88">
        <v>6</v>
      </c>
      <c r="FO184" s="88">
        <v>26</v>
      </c>
      <c r="FP184" s="691">
        <f t="shared" si="116"/>
        <v>5</v>
      </c>
      <c r="FQ184" s="691">
        <f t="shared" si="117"/>
        <v>5</v>
      </c>
      <c r="FR184" s="10">
        <v>5</v>
      </c>
      <c r="FS184" s="88">
        <v>0</v>
      </c>
      <c r="FT184" s="88">
        <v>0</v>
      </c>
      <c r="FU184" s="165">
        <v>0</v>
      </c>
      <c r="FV184" s="735" t="s">
        <v>149</v>
      </c>
      <c r="FW184" s="83" t="s">
        <v>16607</v>
      </c>
      <c r="FX184" s="530" t="s">
        <v>7659</v>
      </c>
      <c r="GA184" t="s">
        <v>7500</v>
      </c>
      <c r="GF184" t="s">
        <v>7753</v>
      </c>
      <c r="GG184" s="341" t="s">
        <v>8998</v>
      </c>
      <c r="GH184" s="83" t="s">
        <v>8989</v>
      </c>
      <c r="GI184" s="83" t="s">
        <v>8938</v>
      </c>
      <c r="GJ184" s="83"/>
      <c r="GK184" s="530"/>
    </row>
    <row r="185" spans="8:193" ht="13.2" customHeight="1">
      <c r="H185" s="3"/>
      <c r="I185" s="3"/>
      <c r="J185" s="3"/>
      <c r="K185" s="3"/>
      <c r="L185" s="3"/>
      <c r="M185" s="651"/>
      <c r="N185" s="3"/>
      <c r="O185" s="3"/>
      <c r="P185" s="3"/>
      <c r="Q185" s="3"/>
      <c r="R185" s="651"/>
      <c r="S185" s="83" t="str">
        <f>IF(CareerType=Y185,"Guerrier du Chaos",IF(AllCareers="X","Guerrier du Chaos",IF(Selectsousrace="","",IF(OR(SelectRace="skaven",SelectRace="Homme-lézard"),"",IF(FirstCareer="1ère carrière","","Guerrier du Chaos")))))</f>
        <v/>
      </c>
      <c r="T185" s="85">
        <v>2</v>
      </c>
      <c r="U185" s="693" t="str">
        <f t="shared" si="105"/>
        <v/>
      </c>
      <c r="V185" s="693" t="str">
        <f t="shared" si="106"/>
        <v/>
      </c>
      <c r="W185" s="693" t="str">
        <f t="shared" si="107"/>
        <v/>
      </c>
      <c r="X185" s="47" t="s">
        <v>2153</v>
      </c>
      <c r="Y185" s="743" t="s">
        <v>7130</v>
      </c>
      <c r="Z185" s="55" t="s">
        <v>2196</v>
      </c>
      <c r="AA185" s="47">
        <v>174</v>
      </c>
      <c r="AB185" s="89" t="s">
        <v>9300</v>
      </c>
      <c r="AC185" s="47"/>
      <c r="AD185" s="15" t="s">
        <v>98</v>
      </c>
      <c r="AE185" s="15" t="s">
        <v>149</v>
      </c>
      <c r="AF185" s="15" t="s">
        <v>98</v>
      </c>
      <c r="AG185" s="15" t="s">
        <v>98</v>
      </c>
      <c r="AH185" s="15" t="s">
        <v>98</v>
      </c>
      <c r="AI185" s="15" t="s">
        <v>149</v>
      </c>
      <c r="AJ185" s="15" t="s">
        <v>98</v>
      </c>
      <c r="AK185" s="18" t="s">
        <v>149</v>
      </c>
      <c r="AL185" s="15" t="s">
        <v>102</v>
      </c>
      <c r="AM185" s="15" t="s">
        <v>103</v>
      </c>
      <c r="AN185" s="15" t="s">
        <v>149</v>
      </c>
      <c r="AO185" s="15" t="s">
        <v>149</v>
      </c>
      <c r="AP185" s="87" t="s">
        <v>15848</v>
      </c>
      <c r="AQ185" s="22" t="s">
        <v>15822</v>
      </c>
      <c r="AR185" s="22" t="s">
        <v>776</v>
      </c>
      <c r="AS185" s="22" t="s">
        <v>776</v>
      </c>
      <c r="AT185" s="22" t="s">
        <v>3468</v>
      </c>
      <c r="AU185" s="87" t="s">
        <v>12185</v>
      </c>
      <c r="AV185" s="87" t="s">
        <v>4680</v>
      </c>
      <c r="AW185" s="457">
        <v>0</v>
      </c>
      <c r="AX185" s="630" t="str">
        <f t="shared" si="109"/>
        <v/>
      </c>
      <c r="AY185" s="630" t="str">
        <f t="shared" si="110"/>
        <v/>
      </c>
      <c r="AZ185" s="630" t="str">
        <f t="shared" si="111"/>
        <v/>
      </c>
      <c r="BA185" s="3"/>
      <c r="BB185" s="3"/>
      <c r="BC185" s="3"/>
      <c r="BD185" s="3"/>
      <c r="BE185" s="3"/>
      <c r="BF185" s="3"/>
      <c r="BG185" s="3"/>
      <c r="BH185" s="3"/>
      <c r="BI185" s="3"/>
      <c r="BJ185" s="3"/>
      <c r="BK185" s="3"/>
      <c r="BL185" s="3"/>
      <c r="BM185" s="3"/>
      <c r="BN185" s="3"/>
      <c r="BP185" s="3"/>
      <c r="BQ185" s="3"/>
      <c r="BR185" s="3"/>
      <c r="BS185" s="3"/>
      <c r="BT185" s="3"/>
      <c r="BU185" s="3"/>
      <c r="BV185" s="3"/>
      <c r="BW185" s="3"/>
      <c r="BX185" s="83" t="str">
        <f>IF(Province="Ras Karim","Bas quartiers de Ras Karim","")</f>
        <v/>
      </c>
      <c r="BY185" t="str">
        <f t="shared" si="108"/>
        <v/>
      </c>
      <c r="BZ185" s="83" t="str">
        <f t="shared" si="100"/>
        <v/>
      </c>
      <c r="CA185" s="83" t="str">
        <f t="shared" si="101"/>
        <v/>
      </c>
      <c r="CB185" s="530" t="str">
        <f t="shared" si="102"/>
        <v/>
      </c>
      <c r="CC185" s="3" t="s">
        <v>3334</v>
      </c>
      <c r="CG185" s="3" t="s">
        <v>6271</v>
      </c>
      <c r="CH185" s="3" t="s">
        <v>6049</v>
      </c>
      <c r="CI185" s="3"/>
      <c r="CJ185" s="3"/>
      <c r="CK185" s="3" t="s">
        <v>6949</v>
      </c>
      <c r="CM185" t="s">
        <v>10355</v>
      </c>
      <c r="CN185" s="3"/>
      <c r="CO185" s="3" t="s">
        <v>10999</v>
      </c>
      <c r="CP185" s="3"/>
      <c r="CQ185" s="3"/>
      <c r="CR185" s="83" t="s">
        <v>13555</v>
      </c>
      <c r="CS185" s="3"/>
      <c r="CT185" s="3"/>
      <c r="CU185" s="3"/>
      <c r="CV185" s="3"/>
      <c r="CW185" s="3"/>
      <c r="CX185" s="3"/>
      <c r="CY185" s="83" t="s">
        <v>15631</v>
      </c>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D185" s="83" t="str">
        <f>IF(SelectRace="Elfe","Royaume de Cothique","")</f>
        <v/>
      </c>
      <c r="EE185" s="83" t="s">
        <v>9065</v>
      </c>
      <c r="EF185" s="530" t="s">
        <v>12475</v>
      </c>
      <c r="EK185" s="874"/>
      <c r="EU185" s="25" t="str">
        <f>IF(OR(Pays="Norsca",Pays="Désolations du Chaos",Pays="",Pays="Steppes orientales"),"",IF(Pays="Empire","Ordre du Lynx Noir",""))</f>
        <v/>
      </c>
      <c r="EV185" s="83" t="str">
        <f t="shared" si="99"/>
        <v/>
      </c>
      <c r="EW185" s="83" t="str">
        <f t="shared" si="103"/>
        <v/>
      </c>
      <c r="EX185" s="530" t="str">
        <f t="shared" si="104"/>
        <v/>
      </c>
      <c r="EY185" s="83" t="s">
        <v>12850</v>
      </c>
      <c r="FB185" s="83" t="s">
        <v>16196</v>
      </c>
      <c r="FC185" s="133" t="s">
        <v>16253</v>
      </c>
      <c r="FD185" s="641" t="s">
        <v>4551</v>
      </c>
      <c r="FE185" s="848" t="s">
        <v>149</v>
      </c>
      <c r="FF185">
        <v>76</v>
      </c>
      <c r="FG185">
        <v>56</v>
      </c>
      <c r="FH185">
        <v>60</v>
      </c>
      <c r="FI185">
        <v>70</v>
      </c>
      <c r="FJ185" s="10">
        <v>76</v>
      </c>
      <c r="FK185">
        <v>76</v>
      </c>
      <c r="FL185">
        <v>76</v>
      </c>
      <c r="FM185" s="165">
        <v>56</v>
      </c>
      <c r="FN185" s="88">
        <v>4</v>
      </c>
      <c r="FO185" s="88">
        <v>15</v>
      </c>
      <c r="FP185" s="691">
        <f t="shared" ref="FP185:FQ187" si="118">ROUNDDOWN(FH185/10,0)</f>
        <v>6</v>
      </c>
      <c r="FQ185" s="691">
        <f t="shared" si="118"/>
        <v>7</v>
      </c>
      <c r="FR185" s="10">
        <v>5</v>
      </c>
      <c r="FS185" s="88">
        <v>0</v>
      </c>
      <c r="FT185" s="88">
        <v>0</v>
      </c>
      <c r="FU185" s="165">
        <v>0</v>
      </c>
      <c r="FV185" s="83" t="s">
        <v>16195</v>
      </c>
      <c r="FW185" s="83" t="s">
        <v>16194</v>
      </c>
      <c r="FX185" s="530" t="s">
        <v>7659</v>
      </c>
      <c r="GA185" s="83" t="s">
        <v>7614</v>
      </c>
      <c r="GF185" t="s">
        <v>7754</v>
      </c>
      <c r="GG185" s="341" t="s">
        <v>9000</v>
      </c>
      <c r="GH185" s="83" t="s">
        <v>8989</v>
      </c>
      <c r="GI185" s="83" t="s">
        <v>8938</v>
      </c>
      <c r="GJ185" s="83"/>
      <c r="GK185" s="530"/>
    </row>
    <row r="186" spans="8:193" ht="13.2" customHeight="1">
      <c r="H186" s="3"/>
      <c r="I186" s="3"/>
      <c r="J186" s="3"/>
      <c r="K186" s="3"/>
      <c r="L186" s="3"/>
      <c r="M186" s="651"/>
      <c r="N186" s="3"/>
      <c r="O186" s="3"/>
      <c r="P186" s="3"/>
      <c r="Q186" s="3"/>
      <c r="R186" s="651"/>
      <c r="S186" s="83" t="str">
        <f>IF(CareerType=Y186,"Guide",IF(AllCareers="X","Guide",IF(OR(SelectRace="Humain",SelectRace="Halfling"),"Guide",IF(OR(Pays="Désolations du Chaos",Pays="Norsca"),"",""))))</f>
        <v/>
      </c>
      <c r="T186" s="85">
        <f t="shared" ref="T186:T191" si="119">IF(X186="oui",0,1)</f>
        <v>0</v>
      </c>
      <c r="U186" s="693" t="str">
        <f t="shared" si="105"/>
        <v/>
      </c>
      <c r="V186" s="693" t="str">
        <f t="shared" si="106"/>
        <v/>
      </c>
      <c r="W186" s="693" t="str">
        <f t="shared" si="107"/>
        <v/>
      </c>
      <c r="X186" s="89" t="s">
        <v>2160</v>
      </c>
      <c r="Y186" s="743" t="s">
        <v>7132</v>
      </c>
      <c r="Z186" s="56" t="s">
        <v>9975</v>
      </c>
      <c r="AA186" s="89">
        <v>237</v>
      </c>
      <c r="AB186" s="89" t="s">
        <v>7378</v>
      </c>
      <c r="AD186" s="15" t="s">
        <v>98</v>
      </c>
      <c r="AE186" s="15" t="s">
        <v>149</v>
      </c>
      <c r="AF186" s="20" t="s">
        <v>114</v>
      </c>
      <c r="AG186" s="20" t="s">
        <v>114</v>
      </c>
      <c r="AH186" s="20" t="s">
        <v>114</v>
      </c>
      <c r="AI186" s="15" t="s">
        <v>149</v>
      </c>
      <c r="AJ186" s="20" t="s">
        <v>114</v>
      </c>
      <c r="AK186" s="543" t="s">
        <v>98</v>
      </c>
      <c r="AL186" s="15" t="s">
        <v>149</v>
      </c>
      <c r="AM186" s="15" t="s">
        <v>115</v>
      </c>
      <c r="AN186" s="15" t="s">
        <v>149</v>
      </c>
      <c r="AO186" s="15" t="s">
        <v>149</v>
      </c>
      <c r="AP186" s="87" t="s">
        <v>17007</v>
      </c>
      <c r="AQ186" s="87" t="s">
        <v>734</v>
      </c>
      <c r="AR186" s="87" t="s">
        <v>10052</v>
      </c>
      <c r="AS186" s="87" t="s">
        <v>734</v>
      </c>
      <c r="AT186" s="87" t="s">
        <v>9981</v>
      </c>
      <c r="AU186" s="87" t="s">
        <v>17008</v>
      </c>
      <c r="AV186" s="87" t="s">
        <v>9982</v>
      </c>
      <c r="AW186" s="458">
        <v>0</v>
      </c>
      <c r="AX186" s="630" t="str">
        <f t="shared" si="109"/>
        <v/>
      </c>
      <c r="AY186" s="630" t="str">
        <f t="shared" si="110"/>
        <v/>
      </c>
      <c r="AZ186" s="630" t="str">
        <f t="shared" si="111"/>
        <v/>
      </c>
      <c r="BA186" s="3"/>
      <c r="BB186" s="3"/>
      <c r="BC186" s="3"/>
      <c r="BD186" s="3"/>
      <c r="BE186" s="3"/>
      <c r="BF186" s="3"/>
      <c r="BG186" s="3"/>
      <c r="BH186" s="3"/>
      <c r="BI186" s="3"/>
      <c r="BJ186" s="3"/>
      <c r="BK186" s="3"/>
      <c r="BL186" s="3"/>
      <c r="BM186" s="3"/>
      <c r="BN186" s="3"/>
      <c r="BP186" s="3"/>
      <c r="BQ186" s="3"/>
      <c r="BR186" s="3"/>
      <c r="BS186" s="3"/>
      <c r="BT186" s="3"/>
      <c r="BU186" s="3"/>
      <c r="BV186" s="3"/>
      <c r="BW186" s="3"/>
      <c r="BX186" s="83" t="str">
        <f>IF(Province="Sanaà","Bas quartiers de Sanaà","")</f>
        <v/>
      </c>
      <c r="BY186" t="str">
        <f t="shared" si="108"/>
        <v/>
      </c>
      <c r="BZ186" s="83" t="str">
        <f t="shared" si="100"/>
        <v/>
      </c>
      <c r="CA186" s="83" t="str">
        <f t="shared" si="101"/>
        <v/>
      </c>
      <c r="CB186" s="530" t="str">
        <f t="shared" si="102"/>
        <v/>
      </c>
      <c r="CC186" s="3" t="s">
        <v>10737</v>
      </c>
      <c r="CG186" s="3" t="s">
        <v>6272</v>
      </c>
      <c r="CH186" s="3" t="s">
        <v>6050</v>
      </c>
      <c r="CI186" s="3"/>
      <c r="CJ186" s="3"/>
      <c r="CK186" s="3" t="s">
        <v>6838</v>
      </c>
      <c r="CM186" s="83" t="s">
        <v>15161</v>
      </c>
      <c r="CN186" s="3"/>
      <c r="CO186" s="3" t="s">
        <v>10987</v>
      </c>
      <c r="CP186" s="3"/>
      <c r="CQ186" s="3"/>
      <c r="CR186" s="3" t="s">
        <v>13556</v>
      </c>
      <c r="CS186" s="3"/>
      <c r="CT186" s="3"/>
      <c r="CU186" s="3"/>
      <c r="CV186" s="3"/>
      <c r="CW186" s="3"/>
      <c r="CX186" s="3"/>
      <c r="CY186" s="3" t="s">
        <v>812</v>
      </c>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D186" s="83" t="str">
        <f>IF(SelectRace="Elfe","Royaumes d'Eataine et de Lothern","")</f>
        <v/>
      </c>
      <c r="EE186" s="83" t="s">
        <v>9065</v>
      </c>
      <c r="EF186" s="530" t="s">
        <v>17009</v>
      </c>
      <c r="EK186" s="874"/>
      <c r="EU186" s="25" t="str">
        <f>IF(OR(Pays="Norsca",Pays="Désolations du Chaos",Pays="",Pays="Steppes orientales"),"",IF(Pays="Empire","Ordre du Sceptre de Fer",""))</f>
        <v/>
      </c>
      <c r="EV186" s="83" t="str">
        <f t="shared" si="99"/>
        <v/>
      </c>
      <c r="EW186" s="83" t="str">
        <f t="shared" si="103"/>
        <v/>
      </c>
      <c r="EX186" s="530" t="str">
        <f t="shared" si="104"/>
        <v/>
      </c>
      <c r="EY186" s="83" t="s">
        <v>12852</v>
      </c>
      <c r="FB186" s="83" t="s">
        <v>3747</v>
      </c>
      <c r="FC186" s="133" t="s">
        <v>16253</v>
      </c>
      <c r="FD186" s="85" t="s">
        <v>14900</v>
      </c>
      <c r="FE186" s="849">
        <v>44</v>
      </c>
      <c r="FF186">
        <v>41</v>
      </c>
      <c r="FG186">
        <v>0</v>
      </c>
      <c r="FH186">
        <v>33</v>
      </c>
      <c r="FI186">
        <v>34</v>
      </c>
      <c r="FJ186" s="10">
        <v>36</v>
      </c>
      <c r="FK186">
        <v>0</v>
      </c>
      <c r="FL186">
        <v>0</v>
      </c>
      <c r="FM186" s="165">
        <v>0</v>
      </c>
      <c r="FN186" s="88">
        <v>1</v>
      </c>
      <c r="FO186" s="88">
        <v>16</v>
      </c>
      <c r="FP186" s="164">
        <f t="shared" si="118"/>
        <v>3</v>
      </c>
      <c r="FQ186" s="164">
        <f t="shared" si="118"/>
        <v>3</v>
      </c>
      <c r="FR186" s="683" t="s">
        <v>12592</v>
      </c>
      <c r="FS186" s="88">
        <v>0</v>
      </c>
      <c r="FT186" s="88">
        <v>0</v>
      </c>
      <c r="FU186" s="165">
        <v>0</v>
      </c>
      <c r="FV186" s="177" t="s">
        <v>12982</v>
      </c>
      <c r="FW186" s="83" t="s">
        <v>14901</v>
      </c>
      <c r="FX186" s="531" t="s">
        <v>7659</v>
      </c>
      <c r="GA186" t="s">
        <v>7298</v>
      </c>
      <c r="GF186" t="s">
        <v>7755</v>
      </c>
      <c r="GG186" s="341" t="s">
        <v>8994</v>
      </c>
      <c r="GH186" s="83" t="s">
        <v>8989</v>
      </c>
      <c r="GI186" s="83" t="s">
        <v>8938</v>
      </c>
      <c r="GJ186" s="83"/>
      <c r="GK186" s="530"/>
    </row>
    <row r="187" spans="8:193" ht="13.2" customHeight="1">
      <c r="H187" s="3"/>
      <c r="I187" s="3"/>
      <c r="J187" s="3"/>
      <c r="K187" s="3"/>
      <c r="L187" s="3"/>
      <c r="M187" s="651"/>
      <c r="N187" s="3"/>
      <c r="O187" s="3"/>
      <c r="P187" s="3"/>
      <c r="Q187" s="3"/>
      <c r="R187" s="651"/>
      <c r="S187" s="83" t="str">
        <f>IF(CareerType=Y187,"Héraut",IF(AllCareers="X","Héraut",IF(Selectsousrace="","",IF(OR(SelectRace="homme-bête",SelectRace="peau-verte",SelectRace="créature du chaos",SelectRace="Homme-lézard",SelectRace="skaven"),"",IF(FirstCareer="1ère carrière","","Héraut")))))</f>
        <v/>
      </c>
      <c r="T187" s="106">
        <f t="shared" si="119"/>
        <v>1</v>
      </c>
      <c r="U187" s="693" t="str">
        <f t="shared" si="105"/>
        <v/>
      </c>
      <c r="V187" s="693" t="str">
        <f t="shared" si="106"/>
        <v/>
      </c>
      <c r="W187" s="693" t="str">
        <f t="shared" si="107"/>
        <v/>
      </c>
      <c r="X187" s="47" t="s">
        <v>2153</v>
      </c>
      <c r="Y187" s="743" t="s">
        <v>7132</v>
      </c>
      <c r="Z187" s="55" t="s">
        <v>2200</v>
      </c>
      <c r="AA187" s="47">
        <v>74</v>
      </c>
      <c r="AB187" s="47" t="s">
        <v>2324</v>
      </c>
      <c r="AC187" s="47">
        <v>101</v>
      </c>
      <c r="AD187" s="15" t="s">
        <v>98</v>
      </c>
      <c r="AE187" s="15" t="s">
        <v>98</v>
      </c>
      <c r="AF187" s="20" t="s">
        <v>114</v>
      </c>
      <c r="AG187" s="20" t="s">
        <v>114</v>
      </c>
      <c r="AH187" s="15" t="s">
        <v>101</v>
      </c>
      <c r="AI187" s="15" t="s">
        <v>101</v>
      </c>
      <c r="AJ187" s="15" t="s">
        <v>98</v>
      </c>
      <c r="AK187" s="18" t="s">
        <v>100</v>
      </c>
      <c r="AL187" s="15" t="s">
        <v>149</v>
      </c>
      <c r="AM187" s="15" t="s">
        <v>103</v>
      </c>
      <c r="AN187" s="15" t="s">
        <v>149</v>
      </c>
      <c r="AO187" s="15" t="s">
        <v>149</v>
      </c>
      <c r="AP187" s="87" t="s">
        <v>10081</v>
      </c>
      <c r="AQ187" s="87" t="s">
        <v>734</v>
      </c>
      <c r="AR187" s="22" t="s">
        <v>2325</v>
      </c>
      <c r="AS187" s="87" t="s">
        <v>734</v>
      </c>
      <c r="AT187" s="87" t="s">
        <v>17010</v>
      </c>
      <c r="AU187" s="87" t="s">
        <v>17011</v>
      </c>
      <c r="AV187" s="87" t="s">
        <v>4610</v>
      </c>
      <c r="AW187" s="457">
        <v>0</v>
      </c>
      <c r="AX187" s="630" t="str">
        <f t="shared" si="109"/>
        <v/>
      </c>
      <c r="AY187" s="630" t="str">
        <f t="shared" si="110"/>
        <v/>
      </c>
      <c r="AZ187" s="630" t="str">
        <f t="shared" si="111"/>
        <v/>
      </c>
      <c r="BA187" s="3"/>
      <c r="BB187" s="3"/>
      <c r="BC187" s="3"/>
      <c r="BD187" s="3"/>
      <c r="BE187" s="3"/>
      <c r="BF187" s="3"/>
      <c r="BG187" s="3"/>
      <c r="BH187" s="3"/>
      <c r="BI187" s="3"/>
      <c r="BJ187" s="3"/>
      <c r="BK187" s="3"/>
      <c r="BL187" s="3"/>
      <c r="BM187" s="3"/>
      <c r="BN187" s="3"/>
      <c r="BP187" s="3"/>
      <c r="BQ187" s="3"/>
      <c r="BR187" s="3"/>
      <c r="BS187" s="3"/>
      <c r="BT187" s="3"/>
      <c r="BU187" s="3"/>
      <c r="BV187" s="3"/>
      <c r="BW187" s="3"/>
      <c r="BX187" s="83" t="str">
        <f>IF(Province="Shaharazar","Bas quartiers de Shaharazar","")</f>
        <v/>
      </c>
      <c r="BY187" t="str">
        <f t="shared" si="108"/>
        <v/>
      </c>
      <c r="BZ187" s="83" t="str">
        <f t="shared" si="100"/>
        <v/>
      </c>
      <c r="CA187" s="83" t="str">
        <f t="shared" si="101"/>
        <v/>
      </c>
      <c r="CB187" s="530" t="str">
        <f t="shared" si="102"/>
        <v/>
      </c>
      <c r="CC187" s="3" t="s">
        <v>3335</v>
      </c>
      <c r="CG187" s="3" t="s">
        <v>6273</v>
      </c>
      <c r="CH187" s="3" t="s">
        <v>3124</v>
      </c>
      <c r="CI187" s="3"/>
      <c r="CJ187" s="3"/>
      <c r="CK187" t="s">
        <v>7006</v>
      </c>
      <c r="CM187" s="83" t="s">
        <v>11801</v>
      </c>
      <c r="CN187" s="3"/>
      <c r="CO187" s="3" t="s">
        <v>10997</v>
      </c>
      <c r="CP187" s="3"/>
      <c r="CQ187" s="3"/>
      <c r="CR187" s="3" t="s">
        <v>13557</v>
      </c>
      <c r="CS187" s="3"/>
      <c r="CT187" s="3"/>
      <c r="CU187" s="3"/>
      <c r="CV187" s="3"/>
      <c r="CW187" s="3"/>
      <c r="CX187" s="3"/>
      <c r="CY187" s="3" t="s">
        <v>813</v>
      </c>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D187" s="83" t="str">
        <f>IF(SelectRace="Elfe","Royaume d'Ellyrion","")</f>
        <v/>
      </c>
      <c r="EE187" s="83" t="s">
        <v>9065</v>
      </c>
      <c r="EF187" s="530" t="s">
        <v>17012</v>
      </c>
      <c r="EK187" s="874"/>
      <c r="EU187" s="25" t="str">
        <f>IF(OR(Pays="Norsca",Pays="Désolations du Chaos",Pays="",Pays="Steppes orientales"),"",IF(Pays="Empire","Osterknacht",""))</f>
        <v/>
      </c>
      <c r="EV187" s="83" t="str">
        <f t="shared" si="99"/>
        <v/>
      </c>
      <c r="EW187" s="83" t="str">
        <f t="shared" si="103"/>
        <v/>
      </c>
      <c r="EX187" s="530" t="str">
        <f t="shared" si="104"/>
        <v/>
      </c>
      <c r="EY187" s="83" t="s">
        <v>12862</v>
      </c>
      <c r="FB187" s="83" t="s">
        <v>17610</v>
      </c>
      <c r="FC187" s="133" t="s">
        <v>16253</v>
      </c>
      <c r="FD187" s="85" t="s">
        <v>7230</v>
      </c>
      <c r="FE187" s="849">
        <v>131</v>
      </c>
      <c r="FF187">
        <v>36</v>
      </c>
      <c r="FG187">
        <v>28</v>
      </c>
      <c r="FH187">
        <v>38</v>
      </c>
      <c r="FI187">
        <v>44</v>
      </c>
      <c r="FJ187" s="10">
        <v>36</v>
      </c>
      <c r="FK187">
        <v>32</v>
      </c>
      <c r="FL187">
        <v>44</v>
      </c>
      <c r="FM187" s="165">
        <v>38</v>
      </c>
      <c r="FN187" s="88">
        <v>1</v>
      </c>
      <c r="FO187" s="88">
        <v>14</v>
      </c>
      <c r="FP187" s="691">
        <f t="shared" si="118"/>
        <v>3</v>
      </c>
      <c r="FQ187" s="691">
        <f t="shared" si="118"/>
        <v>4</v>
      </c>
      <c r="FR187" s="10">
        <v>4</v>
      </c>
      <c r="FS187" s="88">
        <v>0</v>
      </c>
      <c r="FT187" s="88">
        <v>0</v>
      </c>
      <c r="FU187" s="165">
        <v>0</v>
      </c>
      <c r="FV187" s="177" t="s">
        <v>17611</v>
      </c>
      <c r="FW187" s="83" t="s">
        <v>17612</v>
      </c>
      <c r="FX187" s="530" t="s">
        <v>7659</v>
      </c>
      <c r="GA187" t="s">
        <v>7501</v>
      </c>
      <c r="GF187" t="s">
        <v>7756</v>
      </c>
      <c r="GG187" s="341" t="s">
        <v>8993</v>
      </c>
      <c r="GH187" s="83" t="s">
        <v>8989</v>
      </c>
      <c r="GI187" s="83" t="s">
        <v>8938</v>
      </c>
      <c r="GJ187" s="83"/>
      <c r="GK187" s="530"/>
    </row>
    <row r="188" spans="8:193" ht="13.2" customHeight="1">
      <c r="H188" s="3"/>
      <c r="I188" s="3"/>
      <c r="J188" s="3"/>
      <c r="K188" s="3"/>
      <c r="L188" s="3"/>
      <c r="M188" s="651"/>
      <c r="N188" s="3"/>
      <c r="O188" s="3"/>
      <c r="P188" s="3"/>
      <c r="Q188" s="3"/>
      <c r="R188" s="651"/>
      <c r="S188" s="83" t="str">
        <f>IF(CareerType=Y188,"Herrimault",IF(AllCareers="X","Herrimault",IF(OR(SelectRace="homme-bête",SelectRace="peau-verte",SelectRace="créature du chaos",SelectRace="Homme-lézard",SelectRace="skaven",SelectRace="Vampire"),"",IF(Pays="Bretonnie","Herrimault",""))))</f>
        <v/>
      </c>
      <c r="T188" s="106">
        <f t="shared" si="119"/>
        <v>0</v>
      </c>
      <c r="U188" s="693" t="str">
        <f t="shared" si="105"/>
        <v/>
      </c>
      <c r="V188" s="693" t="str">
        <f t="shared" si="106"/>
        <v/>
      </c>
      <c r="W188" s="693" t="str">
        <f t="shared" si="107"/>
        <v/>
      </c>
      <c r="X188" s="47" t="s">
        <v>2160</v>
      </c>
      <c r="Y188" s="743" t="s">
        <v>7133</v>
      </c>
      <c r="Z188" s="55" t="s">
        <v>2206</v>
      </c>
      <c r="AA188" s="47">
        <v>97</v>
      </c>
      <c r="AB188" s="47" t="s">
        <v>2326</v>
      </c>
      <c r="AC188" s="47">
        <v>102</v>
      </c>
      <c r="AD188" s="15" t="s">
        <v>114</v>
      </c>
      <c r="AE188" s="15" t="s">
        <v>98</v>
      </c>
      <c r="AF188" s="15" t="s">
        <v>149</v>
      </c>
      <c r="AG188" s="15" t="s">
        <v>149</v>
      </c>
      <c r="AH188" s="15" t="s">
        <v>98</v>
      </c>
      <c r="AI188" s="15" t="s">
        <v>149</v>
      </c>
      <c r="AJ188" s="15" t="s">
        <v>149</v>
      </c>
      <c r="AK188" s="18" t="s">
        <v>98</v>
      </c>
      <c r="AL188" s="15" t="s">
        <v>102</v>
      </c>
      <c r="AM188" s="15" t="s">
        <v>113</v>
      </c>
      <c r="AN188" s="15" t="s">
        <v>149</v>
      </c>
      <c r="AO188" s="15" t="s">
        <v>149</v>
      </c>
      <c r="AP188" s="22" t="s">
        <v>15737</v>
      </c>
      <c r="AQ188" s="87" t="s">
        <v>734</v>
      </c>
      <c r="AR188" s="22" t="s">
        <v>12272</v>
      </c>
      <c r="AS188" s="87" t="s">
        <v>734</v>
      </c>
      <c r="AT188" s="22" t="s">
        <v>3469</v>
      </c>
      <c r="AU188" s="87" t="s">
        <v>5461</v>
      </c>
      <c r="AV188" s="87" t="s">
        <v>4704</v>
      </c>
      <c r="AW188" s="457">
        <v>0</v>
      </c>
      <c r="AX188" s="630" t="str">
        <f t="shared" si="109"/>
        <v/>
      </c>
      <c r="AY188" s="630" t="str">
        <f t="shared" si="110"/>
        <v/>
      </c>
      <c r="AZ188" s="630" t="str">
        <f t="shared" si="111"/>
        <v/>
      </c>
      <c r="BA188" s="3"/>
      <c r="BB188" s="3"/>
      <c r="BC188" s="3"/>
      <c r="BD188" s="3"/>
      <c r="BE188" s="3"/>
      <c r="BF188" s="3"/>
      <c r="BG188" s="3"/>
      <c r="BH188" s="3"/>
      <c r="BI188" s="3"/>
      <c r="BJ188" s="3"/>
      <c r="BK188" s="3"/>
      <c r="BL188" s="3"/>
      <c r="BM188" s="3"/>
      <c r="BN188" s="3"/>
      <c r="BP188" s="3"/>
      <c r="BQ188" s="3"/>
      <c r="BR188" s="3"/>
      <c r="BS188" s="3"/>
      <c r="BT188" s="3"/>
      <c r="BU188" s="3"/>
      <c r="BV188" s="3"/>
      <c r="BW188" s="3"/>
      <c r="BX188" s="83" t="str">
        <f>IF(Province="Teshert","Bas quartiers de Teshert","")</f>
        <v/>
      </c>
      <c r="BY188" t="str">
        <f t="shared" si="108"/>
        <v/>
      </c>
      <c r="BZ188" s="83" t="str">
        <f t="shared" si="100"/>
        <v/>
      </c>
      <c r="CA188" s="83" t="str">
        <f t="shared" si="101"/>
        <v/>
      </c>
      <c r="CB188" s="530" t="str">
        <f t="shared" si="102"/>
        <v/>
      </c>
      <c r="CC188" s="3" t="s">
        <v>10738</v>
      </c>
      <c r="CG188" s="3" t="s">
        <v>6274</v>
      </c>
      <c r="CH188" s="3" t="s">
        <v>6051</v>
      </c>
      <c r="CI188" s="3"/>
      <c r="CJ188" s="3"/>
      <c r="CK188" s="3" t="s">
        <v>6913</v>
      </c>
      <c r="CM188" t="s">
        <v>10356</v>
      </c>
      <c r="CN188" s="3"/>
      <c r="CO188" s="3" t="s">
        <v>10992</v>
      </c>
      <c r="CR188" s="3" t="s">
        <v>13558</v>
      </c>
      <c r="CS188" s="3"/>
      <c r="CT188" s="3"/>
      <c r="CU188" s="3"/>
      <c r="CV188" s="3"/>
      <c r="CW188" s="3"/>
      <c r="CX188" s="3"/>
      <c r="CY188" s="3" t="s">
        <v>104</v>
      </c>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D188" s="83" t="str">
        <f>IF(SelectRace="Elfe","Royaume perdu de Nagarythe","")</f>
        <v/>
      </c>
      <c r="EE188" s="83" t="s">
        <v>9065</v>
      </c>
      <c r="EF188" s="530" t="s">
        <v>12485</v>
      </c>
      <c r="EK188" s="874"/>
      <c r="EU188" s="25" t="str">
        <f>IF(OR(Pays="Norsca",Pays="Désolations du Chaos",Pays="",Pays="Steppes orientales"),"",IF(Pays="Empire","Reiksguard",""))</f>
        <v/>
      </c>
      <c r="EV188" s="83" t="str">
        <f t="shared" si="99"/>
        <v/>
      </c>
      <c r="EW188" s="83" t="str">
        <f t="shared" si="103"/>
        <v/>
      </c>
      <c r="EX188" s="530" t="str">
        <f t="shared" si="104"/>
        <v/>
      </c>
      <c r="EY188" s="177" t="s">
        <v>17000</v>
      </c>
      <c r="EZ188" s="567" t="s">
        <v>254</v>
      </c>
      <c r="FB188" s="177" t="s">
        <v>15355</v>
      </c>
      <c r="FC188" s="133" t="s">
        <v>16253</v>
      </c>
      <c r="FD188" s="83" t="s">
        <v>15446</v>
      </c>
      <c r="FE188" s="848" t="s">
        <v>15447</v>
      </c>
      <c r="FF188">
        <v>30</v>
      </c>
      <c r="FG188">
        <v>12</v>
      </c>
      <c r="FH188">
        <v>55</v>
      </c>
      <c r="FI188">
        <v>55</v>
      </c>
      <c r="FJ188" s="10">
        <v>15</v>
      </c>
      <c r="FK188">
        <v>10</v>
      </c>
      <c r="FL188">
        <v>10</v>
      </c>
      <c r="FM188" s="165">
        <v>0</v>
      </c>
      <c r="FN188" s="88">
        <v>2</v>
      </c>
      <c r="FO188" s="88">
        <v>24</v>
      </c>
      <c r="FP188" s="691">
        <f>ROUNDDOWN(FH188/10,0)</f>
        <v>5</v>
      </c>
      <c r="FQ188" s="691">
        <f>ROUNDDOWN(FI188/10,0)</f>
        <v>5</v>
      </c>
      <c r="FR188" s="10">
        <v>4</v>
      </c>
      <c r="FS188" s="88">
        <v>0</v>
      </c>
      <c r="FT188" s="88">
        <v>0</v>
      </c>
      <c r="FU188" s="165">
        <v>0</v>
      </c>
      <c r="FV188" s="83" t="s">
        <v>15356</v>
      </c>
      <c r="FW188" s="83" t="s">
        <v>15448</v>
      </c>
      <c r="FX188" s="530" t="s">
        <v>7659</v>
      </c>
      <c r="GA188" s="83" t="s">
        <v>7553</v>
      </c>
      <c r="GF188" t="s">
        <v>8237</v>
      </c>
      <c r="GG188" s="341" t="s">
        <v>8990</v>
      </c>
      <c r="GH188" s="83" t="s">
        <v>8989</v>
      </c>
      <c r="GI188" s="83" t="s">
        <v>8938</v>
      </c>
      <c r="GJ188" s="83"/>
      <c r="GK188" s="530"/>
    </row>
    <row r="189" spans="8:193" ht="13.2" customHeight="1">
      <c r="H189" s="3"/>
      <c r="I189" s="3"/>
      <c r="J189" s="3"/>
      <c r="K189" s="3"/>
      <c r="L189" s="3"/>
      <c r="M189" s="651"/>
      <c r="N189" s="3"/>
      <c r="O189" s="3"/>
      <c r="P189" s="3"/>
      <c r="Q189" s="3"/>
      <c r="R189" s="651"/>
      <c r="S189" s="83" t="str">
        <f>IF(CareerType=Y189,"Hiérogrammate",IF(AllCareers="X","Hiérogrammate",IF(OR(SelectRace="homme-bête",SelectRace="peau-verte",SelectRace="créature du chaos",SelectRace="Homme-lézard"),"",IF(SelectRace="skaven","",IF(SelectRace="Nain","Hiérogrammate","")))))</f>
        <v/>
      </c>
      <c r="T189" s="106">
        <f t="shared" si="119"/>
        <v>0</v>
      </c>
      <c r="U189" s="693" t="str">
        <f t="shared" si="105"/>
        <v/>
      </c>
      <c r="V189" s="693" t="str">
        <f t="shared" si="106"/>
        <v/>
      </c>
      <c r="W189" s="693" t="str">
        <f t="shared" si="107"/>
        <v/>
      </c>
      <c r="X189" s="47" t="s">
        <v>2160</v>
      </c>
      <c r="Y189" s="743" t="s">
        <v>15709</v>
      </c>
      <c r="Z189" s="55" t="s">
        <v>2196</v>
      </c>
      <c r="AA189" s="47">
        <v>169</v>
      </c>
      <c r="AB189" s="89" t="s">
        <v>10833</v>
      </c>
      <c r="AC189" s="47"/>
      <c r="AD189" s="15" t="s">
        <v>114</v>
      </c>
      <c r="AE189" s="15" t="s">
        <v>149</v>
      </c>
      <c r="AF189" s="15" t="s">
        <v>149</v>
      </c>
      <c r="AG189" s="15" t="s">
        <v>114</v>
      </c>
      <c r="AH189" s="15" t="s">
        <v>149</v>
      </c>
      <c r="AI189" s="15" t="s">
        <v>114</v>
      </c>
      <c r="AJ189" s="15" t="s">
        <v>101</v>
      </c>
      <c r="AK189" s="18" t="s">
        <v>114</v>
      </c>
      <c r="AL189" s="15" t="s">
        <v>149</v>
      </c>
      <c r="AM189" s="15" t="s">
        <v>113</v>
      </c>
      <c r="AN189" s="15" t="s">
        <v>149</v>
      </c>
      <c r="AO189" s="15" t="s">
        <v>102</v>
      </c>
      <c r="AP189" s="22" t="s">
        <v>734</v>
      </c>
      <c r="AQ189" s="87" t="s">
        <v>734</v>
      </c>
      <c r="AR189" s="22" t="s">
        <v>2327</v>
      </c>
      <c r="AS189" s="87" t="s">
        <v>734</v>
      </c>
      <c r="AT189" s="22" t="s">
        <v>3470</v>
      </c>
      <c r="AU189" s="87" t="s">
        <v>16448</v>
      </c>
      <c r="AV189" s="87" t="s">
        <v>4675</v>
      </c>
      <c r="AW189" s="457">
        <v>0</v>
      </c>
      <c r="AX189" s="630" t="str">
        <f t="shared" si="109"/>
        <v/>
      </c>
      <c r="AY189" s="630" t="str">
        <f t="shared" si="110"/>
        <v/>
      </c>
      <c r="AZ189" s="630" t="str">
        <f t="shared" si="111"/>
        <v/>
      </c>
      <c r="BA189" s="3"/>
      <c r="BB189" s="3"/>
      <c r="BC189" s="3"/>
      <c r="BD189" s="3"/>
      <c r="BE189" s="3"/>
      <c r="BF189" s="3"/>
      <c r="BG189" s="3"/>
      <c r="BH189" s="3"/>
      <c r="BI189" s="3"/>
      <c r="BJ189" s="3"/>
      <c r="BK189" s="3"/>
      <c r="BL189" s="3"/>
      <c r="BM189" s="3"/>
      <c r="BN189" s="3"/>
      <c r="BP189" s="3"/>
      <c r="BQ189" s="3"/>
      <c r="BR189" s="3"/>
      <c r="BS189" s="3"/>
      <c r="BT189" s="3"/>
      <c r="BU189" s="3"/>
      <c r="BV189" s="3"/>
      <c r="BW189" s="3"/>
      <c r="BX189" s="83" t="str">
        <f>IF(Province="Teshert","Bas quartiers de Teshert","")</f>
        <v/>
      </c>
      <c r="BY189" t="str">
        <f t="shared" si="108"/>
        <v/>
      </c>
      <c r="BZ189" s="83" t="str">
        <f t="shared" si="100"/>
        <v/>
      </c>
      <c r="CA189" s="83" t="str">
        <f t="shared" si="101"/>
        <v/>
      </c>
      <c r="CB189" s="530" t="str">
        <f t="shared" si="102"/>
        <v/>
      </c>
      <c r="CC189" s="3" t="s">
        <v>10739</v>
      </c>
      <c r="CG189" s="3" t="s">
        <v>6275</v>
      </c>
      <c r="CH189" s="3" t="s">
        <v>6052</v>
      </c>
      <c r="CI189" s="3"/>
      <c r="CJ189" s="3"/>
      <c r="CK189" s="3" t="s">
        <v>6876</v>
      </c>
      <c r="CM189" t="s">
        <v>10357</v>
      </c>
      <c r="CN189" s="3"/>
      <c r="CO189" s="3" t="str">
        <f>CONCATENATE("Hengham",IF(AND('page 1'!M11="Féminin",Pays="Norsca"),"dottir",IF(AND('page 1'!M11="Masculin",Pays="Norsca"),"son",IF(AND('page 1'!M11="Féminin",Pays="Kislev"),"ovna",IF(AND('page 1'!M11="Masculin",Pays="Kislev"),"sky","")))))</f>
        <v>Hengham</v>
      </c>
      <c r="CP189" s="3"/>
      <c r="CQ189" s="3"/>
      <c r="CR189" s="3" t="s">
        <v>13559</v>
      </c>
      <c r="CS189" s="3"/>
      <c r="CT189" s="3"/>
      <c r="CU189" s="3"/>
      <c r="CV189" s="3"/>
      <c r="CW189" s="3"/>
      <c r="CX189" s="3"/>
      <c r="CY189" s="3" t="s">
        <v>814</v>
      </c>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D189" s="83" t="str">
        <f>IF(SelectRace="Elfe","Royaume de Saphery","")</f>
        <v/>
      </c>
      <c r="EE189" s="83" t="s">
        <v>9065</v>
      </c>
      <c r="EF189" s="530" t="s">
        <v>12476</v>
      </c>
      <c r="EK189" s="874"/>
      <c r="EU189" s="25" t="str">
        <f>IF(OR(Pays="Norsca",Pays="Désolations du Chaos",Pays="",Pays="Steppes orientales"),"",IF(Pays="Empire","Reiksknecht",""))</f>
        <v/>
      </c>
      <c r="EV189" s="83" t="str">
        <f t="shared" si="99"/>
        <v/>
      </c>
      <c r="EW189" s="83" t="str">
        <f t="shared" si="103"/>
        <v/>
      </c>
      <c r="EX189" s="530" t="str">
        <f t="shared" si="104"/>
        <v/>
      </c>
      <c r="EY189" s="83" t="s">
        <v>12869</v>
      </c>
      <c r="FB189" s="83" t="s">
        <v>16608</v>
      </c>
      <c r="FC189" s="133" t="s">
        <v>16253</v>
      </c>
      <c r="FD189" s="83" t="s">
        <v>7245</v>
      </c>
      <c r="FE189" s="849">
        <v>100</v>
      </c>
      <c r="FF189">
        <v>35</v>
      </c>
      <c r="FG189">
        <v>0</v>
      </c>
      <c r="FH189">
        <v>41</v>
      </c>
      <c r="FI189">
        <v>35</v>
      </c>
      <c r="FJ189" s="10">
        <v>18</v>
      </c>
      <c r="FK189">
        <v>0</v>
      </c>
      <c r="FL189">
        <v>0</v>
      </c>
      <c r="FM189" s="165">
        <v>0</v>
      </c>
      <c r="FN189" s="88">
        <v>1</v>
      </c>
      <c r="FO189" s="88">
        <v>10</v>
      </c>
      <c r="FP189" s="691">
        <f>ROUNDDOWN(FH189/10,0)</f>
        <v>4</v>
      </c>
      <c r="FQ189" s="691">
        <f>ROUNDDOWN(FI189/10,0)</f>
        <v>3</v>
      </c>
      <c r="FR189" s="10">
        <v>9</v>
      </c>
      <c r="FS189" s="88">
        <v>0</v>
      </c>
      <c r="FT189" s="88">
        <v>0</v>
      </c>
      <c r="FU189" s="165">
        <v>0</v>
      </c>
      <c r="FV189" s="84" t="s">
        <v>149</v>
      </c>
      <c r="FW189" s="83" t="s">
        <v>14943</v>
      </c>
      <c r="FX189" s="567" t="s">
        <v>7659</v>
      </c>
      <c r="GA189" t="s">
        <v>7502</v>
      </c>
      <c r="GF189" t="s">
        <v>8238</v>
      </c>
      <c r="GG189" s="341" t="s">
        <v>8996</v>
      </c>
      <c r="GH189" s="83" t="s">
        <v>8989</v>
      </c>
      <c r="GI189" s="83" t="s">
        <v>8938</v>
      </c>
      <c r="GJ189" s="83"/>
      <c r="GK189" s="530"/>
    </row>
    <row r="190" spans="8:193" ht="13.2" customHeight="1">
      <c r="H190" s="3"/>
      <c r="I190" s="3"/>
      <c r="J190" s="3"/>
      <c r="K190" s="3"/>
      <c r="L190" s="3"/>
      <c r="M190" s="651"/>
      <c r="N190" s="3"/>
      <c r="O190" s="3"/>
      <c r="P190" s="3"/>
      <c r="Q190" s="3"/>
      <c r="R190" s="651"/>
      <c r="S190" s="83" t="str">
        <f>IF(CareerType=Y190,"Homme d'arme",IF(AllCareers="X","Homme d'arme",IF(OR(SelectRace="homme-bête",SelectRace="peau-verte",SelectRace="créature du chaos",SelectRace="Homme-lézard",SelectRace="skaven"),"",IF(Pays="Bretonnie","Homme d'arme",""))))</f>
        <v/>
      </c>
      <c r="T190" s="106">
        <f t="shared" si="119"/>
        <v>0</v>
      </c>
      <c r="U190" s="693" t="str">
        <f t="shared" si="105"/>
        <v/>
      </c>
      <c r="V190" s="693" t="str">
        <f t="shared" si="106"/>
        <v/>
      </c>
      <c r="W190" s="693" t="str">
        <f t="shared" si="107"/>
        <v/>
      </c>
      <c r="X190" s="47" t="s">
        <v>2160</v>
      </c>
      <c r="Y190" s="743" t="s">
        <v>7130</v>
      </c>
      <c r="Z190" s="55" t="s">
        <v>2206</v>
      </c>
      <c r="AA190" s="47">
        <v>98</v>
      </c>
      <c r="AB190" s="47" t="s">
        <v>2328</v>
      </c>
      <c r="AC190" s="47">
        <v>133</v>
      </c>
      <c r="AD190" s="15" t="s">
        <v>98</v>
      </c>
      <c r="AE190" s="15" t="s">
        <v>149</v>
      </c>
      <c r="AF190" s="15" t="s">
        <v>114</v>
      </c>
      <c r="AG190" s="15" t="s">
        <v>98</v>
      </c>
      <c r="AH190" s="15" t="s">
        <v>98</v>
      </c>
      <c r="AI190" s="15" t="s">
        <v>149</v>
      </c>
      <c r="AJ190" s="15" t="s">
        <v>149</v>
      </c>
      <c r="AK190" s="18" t="s">
        <v>149</v>
      </c>
      <c r="AL190" s="15" t="s">
        <v>149</v>
      </c>
      <c r="AM190" s="15" t="s">
        <v>113</v>
      </c>
      <c r="AN190" s="15" t="s">
        <v>149</v>
      </c>
      <c r="AO190" s="15" t="s">
        <v>149</v>
      </c>
      <c r="AP190" s="22" t="s">
        <v>15738</v>
      </c>
      <c r="AQ190" s="87" t="s">
        <v>734</v>
      </c>
      <c r="AR190" s="22" t="s">
        <v>15739</v>
      </c>
      <c r="AS190" s="87" t="s">
        <v>734</v>
      </c>
      <c r="AT190" s="22" t="s">
        <v>3471</v>
      </c>
      <c r="AU190" s="87" t="s">
        <v>5462</v>
      </c>
      <c r="AV190" s="87" t="s">
        <v>4705</v>
      </c>
      <c r="AW190" s="457">
        <v>0</v>
      </c>
      <c r="AX190" s="630" t="str">
        <f t="shared" si="109"/>
        <v/>
      </c>
      <c r="AY190" s="630" t="str">
        <f t="shared" si="110"/>
        <v/>
      </c>
      <c r="AZ190" s="630" t="str">
        <f t="shared" si="111"/>
        <v/>
      </c>
      <c r="BA190" s="3"/>
      <c r="BB190" s="3"/>
      <c r="BC190" s="3"/>
      <c r="BD190" s="3"/>
      <c r="BE190" s="3"/>
      <c r="BF190" s="3"/>
      <c r="BG190" s="3"/>
      <c r="BH190" s="3"/>
      <c r="BI190" s="3"/>
      <c r="BJ190" s="3"/>
      <c r="BK190" s="3"/>
      <c r="BL190" s="3"/>
      <c r="BM190" s="3"/>
      <c r="BN190" s="3"/>
      <c r="BP190" s="3"/>
      <c r="BQ190" s="3"/>
      <c r="BR190" s="3"/>
      <c r="BS190" s="3"/>
      <c r="BT190" s="3"/>
      <c r="BU190" s="3"/>
      <c r="BV190" s="3"/>
      <c r="BW190" s="3"/>
      <c r="BX190" s="83" t="str">
        <f>IF(Pays="Arabie","Tribus al’rahem","")</f>
        <v/>
      </c>
      <c r="BY190" t="str">
        <f t="shared" si="108"/>
        <v/>
      </c>
      <c r="BZ190" s="83" t="str">
        <f t="shared" si="100"/>
        <v/>
      </c>
      <c r="CA190" s="83" t="str">
        <f t="shared" si="101"/>
        <v/>
      </c>
      <c r="CB190" s="530" t="str">
        <f t="shared" si="102"/>
        <v/>
      </c>
      <c r="CC190" s="3" t="s">
        <v>3336</v>
      </c>
      <c r="CG190" s="3" t="s">
        <v>6276</v>
      </c>
      <c r="CH190" s="3" t="s">
        <v>6053</v>
      </c>
      <c r="CI190" s="3"/>
      <c r="CJ190" s="3"/>
      <c r="CK190" s="3" t="s">
        <v>6750</v>
      </c>
      <c r="CM190" t="s">
        <v>10358</v>
      </c>
      <c r="CN190" s="3"/>
      <c r="CO190" t="str">
        <f>CONCATENATE("Hermiod",IF(AND('page 1'!M13="Féminin",Pays="Norsca"),"dottir",IF(AND('page 1'!M13="Masculin",Pays="Norsca"),"son",IF(AND('page 1'!M13="Féminin",Pays="Kislev"),"ovna",IF(AND('page 1'!M13="Masculin",Pays="Kislev"),"sky","")))))</f>
        <v>Hermiod</v>
      </c>
      <c r="CP190" s="3"/>
      <c r="CQ190" s="3"/>
      <c r="CR190" s="3" t="s">
        <v>13560</v>
      </c>
      <c r="CS190" s="3"/>
      <c r="CT190" s="3"/>
      <c r="CU190" s="3"/>
      <c r="CV190" s="3"/>
      <c r="CW190" s="3"/>
      <c r="CX190" s="3"/>
      <c r="CY190" s="3" t="s">
        <v>841</v>
      </c>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D190" s="83" t="str">
        <f>IF(SelectRace="Elfe","Royaume de Tiranoc","")</f>
        <v/>
      </c>
      <c r="EE190" s="83" t="s">
        <v>9065</v>
      </c>
      <c r="EF190" s="530" t="s">
        <v>12484</v>
      </c>
      <c r="EK190" s="874"/>
      <c r="EU190" s="25" t="str">
        <f>IF(OR(Pays="Norsca",Pays="Désolations du Chaos",Pays="",Pays="Steppes orientales"),"",IF(Pays="Empire","Silberklinge",""))</f>
        <v/>
      </c>
      <c r="EV190" s="83" t="str">
        <f t="shared" si="99"/>
        <v/>
      </c>
      <c r="EW190" s="83" t="str">
        <f t="shared" si="103"/>
        <v/>
      </c>
      <c r="EX190" s="530" t="str">
        <f t="shared" si="104"/>
        <v/>
      </c>
      <c r="EY190" s="83" t="s">
        <v>12857</v>
      </c>
      <c r="FB190" s="83" t="s">
        <v>15367</v>
      </c>
      <c r="FC190" s="133" t="s">
        <v>16253</v>
      </c>
      <c r="FD190" s="83" t="s">
        <v>2198</v>
      </c>
      <c r="FE190" s="849">
        <v>128</v>
      </c>
      <c r="FF190" s="3">
        <v>56</v>
      </c>
      <c r="FG190">
        <v>0</v>
      </c>
      <c r="FH190">
        <v>64</v>
      </c>
      <c r="FI190">
        <v>52</v>
      </c>
      <c r="FJ190" s="10">
        <v>44</v>
      </c>
      <c r="FK190">
        <v>0</v>
      </c>
      <c r="FL190">
        <v>0</v>
      </c>
      <c r="FM190" s="165">
        <v>0</v>
      </c>
      <c r="FN190" s="88">
        <v>3</v>
      </c>
      <c r="FO190" s="88">
        <v>46</v>
      </c>
      <c r="FP190" s="691">
        <f>ROUNDDOWN(FI190/10,0)</f>
        <v>5</v>
      </c>
      <c r="FQ190" s="691">
        <f t="shared" ref="FQ190" si="120">ROUNDDOWN(FI190/10,0)</f>
        <v>5</v>
      </c>
      <c r="FR190" s="10">
        <v>9</v>
      </c>
      <c r="FS190" s="88">
        <v>0</v>
      </c>
      <c r="FT190" s="88">
        <v>0</v>
      </c>
      <c r="FU190" s="165">
        <v>0</v>
      </c>
      <c r="FV190" s="84" t="s">
        <v>149</v>
      </c>
      <c r="FW190" s="83" t="s">
        <v>15370</v>
      </c>
      <c r="FX190" s="753" t="s">
        <v>7664</v>
      </c>
      <c r="GA190" t="s">
        <v>7539</v>
      </c>
      <c r="GF190" t="s">
        <v>7758</v>
      </c>
      <c r="GG190" s="341" t="s">
        <v>8997</v>
      </c>
      <c r="GH190" s="83" t="s">
        <v>8989</v>
      </c>
      <c r="GI190" s="83" t="s">
        <v>8938</v>
      </c>
      <c r="GJ190" s="83"/>
      <c r="GK190" s="530"/>
    </row>
    <row r="191" spans="8:193" ht="13.2" customHeight="1">
      <c r="H191" s="3"/>
      <c r="I191" s="3"/>
      <c r="J191" s="3"/>
      <c r="K191" s="3"/>
      <c r="L191" s="3"/>
      <c r="M191" s="651"/>
      <c r="N191" s="3"/>
      <c r="O191" s="3"/>
      <c r="P191" s="3"/>
      <c r="Q191" s="3"/>
      <c r="R191" s="651"/>
      <c r="S191" s="83" t="str">
        <f>IF(CareerType=Y191,"Homme lige",IF(AllCareers="X","Homme lige",IF(OR(SelectRace="homme-bête",SelectRace="peau-verte",SelectRace="créature du chaos",SelectRace="Homme-lézard",SelectRace="skaven"),"",IF(Pays="Norsca","Homme lige",""))))</f>
        <v/>
      </c>
      <c r="T191" s="106">
        <f t="shared" si="119"/>
        <v>0</v>
      </c>
      <c r="U191" s="693" t="str">
        <f t="shared" si="105"/>
        <v/>
      </c>
      <c r="V191" s="693" t="str">
        <f t="shared" si="106"/>
        <v/>
      </c>
      <c r="W191" s="693" t="str">
        <f t="shared" si="107"/>
        <v/>
      </c>
      <c r="X191" s="47" t="s">
        <v>2160</v>
      </c>
      <c r="Y191" s="743" t="s">
        <v>7130</v>
      </c>
      <c r="Z191" s="55" t="s">
        <v>2196</v>
      </c>
      <c r="AA191" s="47">
        <v>157</v>
      </c>
      <c r="AB191" s="47" t="s">
        <v>2329</v>
      </c>
      <c r="AC191" s="47">
        <v>32</v>
      </c>
      <c r="AD191" s="15" t="s">
        <v>98</v>
      </c>
      <c r="AE191" s="15" t="s">
        <v>114</v>
      </c>
      <c r="AF191" s="15" t="s">
        <v>114</v>
      </c>
      <c r="AG191" s="15" t="s">
        <v>114</v>
      </c>
      <c r="AH191" s="15" t="s">
        <v>114</v>
      </c>
      <c r="AI191" s="15" t="s">
        <v>149</v>
      </c>
      <c r="AJ191" s="15" t="s">
        <v>114</v>
      </c>
      <c r="AK191" s="18" t="s">
        <v>149</v>
      </c>
      <c r="AL191" s="15" t="s">
        <v>102</v>
      </c>
      <c r="AM191" s="15" t="s">
        <v>113</v>
      </c>
      <c r="AN191" s="15" t="s">
        <v>149</v>
      </c>
      <c r="AO191" s="15" t="s">
        <v>149</v>
      </c>
      <c r="AP191" s="22" t="s">
        <v>1302</v>
      </c>
      <c r="AQ191" s="87" t="s">
        <v>734</v>
      </c>
      <c r="AR191" s="22" t="s">
        <v>12273</v>
      </c>
      <c r="AS191" s="87" t="s">
        <v>734</v>
      </c>
      <c r="AT191" s="22" t="s">
        <v>3472</v>
      </c>
      <c r="AU191" s="87" t="s">
        <v>5449</v>
      </c>
      <c r="AV191" s="87" t="s">
        <v>4668</v>
      </c>
      <c r="AW191" s="457">
        <v>0</v>
      </c>
      <c r="AX191" s="630" t="str">
        <f t="shared" si="109"/>
        <v/>
      </c>
      <c r="AY191" s="630" t="str">
        <f t="shared" si="110"/>
        <v/>
      </c>
      <c r="AZ191" s="630" t="str">
        <f t="shared" si="111"/>
        <v/>
      </c>
      <c r="BA191" s="3"/>
      <c r="BB191" s="3"/>
      <c r="BC191" s="3"/>
      <c r="BD191" s="3"/>
      <c r="BE191" s="3"/>
      <c r="BF191" s="3"/>
      <c r="BG191" s="3"/>
      <c r="BH191" s="3"/>
      <c r="BI191" s="3"/>
      <c r="BJ191" s="3"/>
      <c r="BK191" s="3"/>
      <c r="BL191" s="3"/>
      <c r="BM191" s="3"/>
      <c r="BN191" s="3"/>
      <c r="BP191" s="3"/>
      <c r="BQ191" s="3"/>
      <c r="BR191" s="3"/>
      <c r="BS191" s="3"/>
      <c r="BT191" s="3"/>
      <c r="BU191" s="3"/>
      <c r="BV191" s="3"/>
      <c r="BW191" s="3"/>
      <c r="BX191" s="83" t="str">
        <f>IF(Pays="Arabie","Tribus athiopos","")</f>
        <v/>
      </c>
      <c r="BY191" t="str">
        <f t="shared" si="108"/>
        <v/>
      </c>
      <c r="BZ191" s="83" t="str">
        <f t="shared" si="100"/>
        <v/>
      </c>
      <c r="CA191" s="83" t="str">
        <f t="shared" si="101"/>
        <v/>
      </c>
      <c r="CB191" s="530" t="str">
        <f t="shared" si="102"/>
        <v/>
      </c>
      <c r="CC191" s="3" t="s">
        <v>3337</v>
      </c>
      <c r="CG191" s="3" t="s">
        <v>6277</v>
      </c>
      <c r="CH191" s="3" t="s">
        <v>6056</v>
      </c>
      <c r="CI191" s="3"/>
      <c r="CJ191" s="3"/>
      <c r="CK191" s="3" t="s">
        <v>6796</v>
      </c>
      <c r="CM191" s="83" t="s">
        <v>15109</v>
      </c>
      <c r="CN191" s="3"/>
      <c r="CO191" s="3" t="s">
        <v>10996</v>
      </c>
      <c r="CP191" s="3"/>
      <c r="CQ191" s="3"/>
      <c r="CR191" s="83" t="s">
        <v>13561</v>
      </c>
      <c r="CS191" s="3"/>
      <c r="CT191" s="3"/>
      <c r="CU191" s="3"/>
      <c r="CV191" s="3"/>
      <c r="CW191" s="3"/>
      <c r="CX191" s="3"/>
      <c r="CY191" s="3" t="s">
        <v>2671</v>
      </c>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D191" s="83" t="str">
        <f>IF(SelectRace="Elfe","Royaume d'Yvresse","")</f>
        <v/>
      </c>
      <c r="EE191" s="83" t="s">
        <v>9065</v>
      </c>
      <c r="EF191" s="530" t="s">
        <v>12477</v>
      </c>
      <c r="EK191" s="874"/>
      <c r="EU191" s="25" t="str">
        <f>IF(OR(Pays="Norsca",Pays="Désolations du Chaos",Pays="",Pays="Steppes orientales"),"","Templiers de Drakenhof")</f>
        <v/>
      </c>
      <c r="EV191" s="83" t="str">
        <f t="shared" si="99"/>
        <v/>
      </c>
      <c r="EW191" s="83" t="str">
        <f t="shared" si="103"/>
        <v/>
      </c>
      <c r="EX191" s="530" t="str">
        <f t="shared" si="104"/>
        <v/>
      </c>
      <c r="EY191" s="83" t="s">
        <v>10855</v>
      </c>
      <c r="FB191" s="83" t="s">
        <v>15214</v>
      </c>
      <c r="FC191" s="133" t="s">
        <v>16253</v>
      </c>
      <c r="FD191" s="83" t="s">
        <v>7245</v>
      </c>
      <c r="FE191" s="849">
        <v>88</v>
      </c>
      <c r="FF191">
        <v>33</v>
      </c>
      <c r="FG191">
        <v>0</v>
      </c>
      <c r="FH191">
        <v>31</v>
      </c>
      <c r="FI191">
        <v>31</v>
      </c>
      <c r="FJ191" s="10">
        <v>34</v>
      </c>
      <c r="FK191">
        <v>18</v>
      </c>
      <c r="FL191">
        <v>25</v>
      </c>
      <c r="FM191" s="165">
        <v>10</v>
      </c>
      <c r="FN191" s="88">
        <v>2</v>
      </c>
      <c r="FO191" s="88">
        <v>16</v>
      </c>
      <c r="FP191" s="164">
        <f>ROUNDDOWN(FH191/10,0)</f>
        <v>3</v>
      </c>
      <c r="FQ191" s="164">
        <f>ROUNDDOWN(FI191/10,0)</f>
        <v>3</v>
      </c>
      <c r="FR191" s="683" t="s">
        <v>7253</v>
      </c>
      <c r="FS191">
        <v>0</v>
      </c>
      <c r="FT191">
        <v>0</v>
      </c>
      <c r="FU191" s="165">
        <v>0</v>
      </c>
      <c r="FV191" s="83" t="s">
        <v>15215</v>
      </c>
      <c r="FW191" s="83" t="s">
        <v>17006</v>
      </c>
      <c r="FX191" s="530" t="s">
        <v>15451</v>
      </c>
      <c r="GA191" t="s">
        <v>7503</v>
      </c>
      <c r="GF191" t="s">
        <v>7757</v>
      </c>
      <c r="GG191" s="341" t="s">
        <v>9008</v>
      </c>
      <c r="GH191" s="83" t="s">
        <v>9001</v>
      </c>
      <c r="GI191" s="83" t="s">
        <v>9004</v>
      </c>
      <c r="GJ191" s="83"/>
      <c r="GK191" s="530"/>
    </row>
    <row r="192" spans="8:193" ht="13.2" customHeight="1">
      <c r="H192" s="3"/>
      <c r="I192" s="3"/>
      <c r="J192" s="3"/>
      <c r="K192" s="3"/>
      <c r="L192" s="3"/>
      <c r="M192" s="651"/>
      <c r="N192" s="3"/>
      <c r="O192" s="3"/>
      <c r="P192" s="3"/>
      <c r="Q192" s="3"/>
      <c r="R192" s="651"/>
      <c r="S192" s="83" t="str">
        <f>IF(CareerType=Y192,"Homme oiseau de Catrazza",IF(AllCareers="X","Homme oiseau de Catrazza",IF(OR(SelectRace="homme-bête",SelectRace="peau-verte",SelectRace="créature du chaos",SelectRace="Homme-lézard",SelectRace="skaven"),"",IF(FirstCareer="1ère carrière","",IF(Pays="Tilée","Homme oiseau de Catrazza","")))))</f>
        <v/>
      </c>
      <c r="T192" s="106">
        <v>2</v>
      </c>
      <c r="U192" s="693" t="str">
        <f t="shared" si="105"/>
        <v/>
      </c>
      <c r="V192" s="693" t="str">
        <f t="shared" si="106"/>
        <v/>
      </c>
      <c r="W192" s="693" t="str">
        <f t="shared" si="107"/>
        <v/>
      </c>
      <c r="X192" s="89" t="s">
        <v>2153</v>
      </c>
      <c r="Y192" s="743" t="s">
        <v>7130</v>
      </c>
      <c r="Z192" s="56" t="s">
        <v>5513</v>
      </c>
      <c r="AA192" s="89">
        <v>59</v>
      </c>
      <c r="AB192" s="89" t="s">
        <v>5529</v>
      </c>
      <c r="AD192" s="16" t="s">
        <v>98</v>
      </c>
      <c r="AE192" s="16" t="s">
        <v>99</v>
      </c>
      <c r="AF192" s="16" t="s">
        <v>114</v>
      </c>
      <c r="AG192" s="16" t="s">
        <v>114</v>
      </c>
      <c r="AH192" s="16" t="s">
        <v>100</v>
      </c>
      <c r="AI192" s="16" t="s">
        <v>101</v>
      </c>
      <c r="AJ192" s="16" t="s">
        <v>98</v>
      </c>
      <c r="AK192" s="19" t="s">
        <v>101</v>
      </c>
      <c r="AL192" s="15" t="s">
        <v>149</v>
      </c>
      <c r="AM192" s="15" t="s">
        <v>103</v>
      </c>
      <c r="AN192" s="15" t="s">
        <v>149</v>
      </c>
      <c r="AO192" s="15" t="s">
        <v>149</v>
      </c>
      <c r="AP192" s="87" t="s">
        <v>15849</v>
      </c>
      <c r="AQ192" s="87" t="s">
        <v>734</v>
      </c>
      <c r="AR192" s="87" t="s">
        <v>17017</v>
      </c>
      <c r="AS192" s="87" t="s">
        <v>734</v>
      </c>
      <c r="AT192" s="23" t="s">
        <v>5531</v>
      </c>
      <c r="AU192" s="87" t="s">
        <v>17018</v>
      </c>
      <c r="AV192" s="23" t="s">
        <v>5532</v>
      </c>
      <c r="AW192" s="458">
        <v>0</v>
      </c>
      <c r="AX192" s="630" t="str">
        <f t="shared" si="109"/>
        <v/>
      </c>
      <c r="AY192" s="630" t="str">
        <f t="shared" si="110"/>
        <v/>
      </c>
      <c r="AZ192" s="630" t="str">
        <f t="shared" si="111"/>
        <v/>
      </c>
      <c r="BB192" s="3"/>
      <c r="BC192" s="3"/>
      <c r="BD192" s="3"/>
      <c r="BE192" s="3"/>
      <c r="BF192" s="3"/>
      <c r="BG192" s="3"/>
      <c r="BH192" s="3"/>
      <c r="BI192" s="3"/>
      <c r="BJ192" s="3"/>
      <c r="BK192" s="3"/>
      <c r="BL192" s="3"/>
      <c r="BM192" s="3"/>
      <c r="BN192" s="3"/>
      <c r="BP192" s="3"/>
      <c r="BQ192" s="3"/>
      <c r="BR192" s="3"/>
      <c r="BS192" s="3"/>
      <c r="BT192" s="3"/>
      <c r="BU192" s="3"/>
      <c r="BV192" s="3"/>
      <c r="BW192" s="3"/>
      <c r="BX192" s="83" t="str">
        <f>IF(Pays="Arabie","Tribus éboniennes","")</f>
        <v/>
      </c>
      <c r="BY192" t="str">
        <f t="shared" si="108"/>
        <v/>
      </c>
      <c r="BZ192" s="83" t="str">
        <f t="shared" si="100"/>
        <v/>
      </c>
      <c r="CA192" s="83" t="str">
        <f t="shared" si="101"/>
        <v/>
      </c>
      <c r="CB192" s="530" t="str">
        <f t="shared" si="102"/>
        <v/>
      </c>
      <c r="CC192" s="3" t="s">
        <v>3338</v>
      </c>
      <c r="CG192" s="3" t="s">
        <v>6278</v>
      </c>
      <c r="CH192" s="3" t="s">
        <v>6054</v>
      </c>
      <c r="CI192" s="3"/>
      <c r="CJ192" s="3"/>
      <c r="CK192" s="3" t="s">
        <v>6981</v>
      </c>
      <c r="CM192" t="s">
        <v>10360</v>
      </c>
      <c r="CN192" s="3"/>
      <c r="CO192" s="3" t="s">
        <v>10989</v>
      </c>
      <c r="CP192" s="3"/>
      <c r="CQ192" s="3"/>
      <c r="CR192" t="s">
        <v>13562</v>
      </c>
      <c r="CS192" s="3"/>
      <c r="CT192" s="3"/>
      <c r="CU192" s="3"/>
      <c r="CV192" s="3"/>
      <c r="CW192" s="3"/>
      <c r="CX192" s="3"/>
      <c r="CY192" s="3" t="s">
        <v>815</v>
      </c>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D192" s="83" t="s">
        <v>12772</v>
      </c>
      <c r="EE192" s="83" t="s">
        <v>12458</v>
      </c>
      <c r="EF192" s="530" t="s">
        <v>17019</v>
      </c>
      <c r="EK192" s="874"/>
      <c r="EU192" s="177" t="str">
        <f>IF(OR(Pays="Norsca",Pays="Désolations du Chaos",Pays="",Pays="Steppes orientales"),"","Chevaliers de Sang")</f>
        <v/>
      </c>
      <c r="EV192" s="83" t="str">
        <f t="shared" si="99"/>
        <v/>
      </c>
      <c r="EW192" s="83" t="str">
        <f t="shared" si="103"/>
        <v/>
      </c>
      <c r="EX192" s="530" t="str">
        <f t="shared" si="104"/>
        <v/>
      </c>
      <c r="EY192" s="83" t="s">
        <v>10855</v>
      </c>
      <c r="FB192" s="83" t="s">
        <v>14912</v>
      </c>
      <c r="FC192" s="133" t="s">
        <v>16253</v>
      </c>
      <c r="FD192" s="85" t="s">
        <v>14900</v>
      </c>
      <c r="FE192" s="849">
        <v>22</v>
      </c>
      <c r="FF192">
        <v>41</v>
      </c>
      <c r="FG192">
        <v>0</v>
      </c>
      <c r="FH192">
        <v>35</v>
      </c>
      <c r="FI192">
        <v>37</v>
      </c>
      <c r="FJ192" s="10">
        <v>34</v>
      </c>
      <c r="FK192">
        <v>0</v>
      </c>
      <c r="FL192">
        <v>0</v>
      </c>
      <c r="FM192" s="165">
        <v>0</v>
      </c>
      <c r="FN192" s="88">
        <v>1</v>
      </c>
      <c r="FO192" s="88">
        <v>11</v>
      </c>
      <c r="FP192" s="164">
        <f>ROUNDDOWN(FH192/10,0)</f>
        <v>3</v>
      </c>
      <c r="FQ192" s="164">
        <f>ROUNDDOWN(FI192/10,0)</f>
        <v>3</v>
      </c>
      <c r="FR192" s="683" t="s">
        <v>14913</v>
      </c>
      <c r="FS192" s="88">
        <v>0</v>
      </c>
      <c r="FT192" s="88">
        <v>0</v>
      </c>
      <c r="FU192" s="165">
        <v>0</v>
      </c>
      <c r="FV192" s="177" t="s">
        <v>14914</v>
      </c>
      <c r="FW192" s="83" t="s">
        <v>14915</v>
      </c>
      <c r="FX192" s="530" t="s">
        <v>7659</v>
      </c>
      <c r="GA192" s="83" t="s">
        <v>7555</v>
      </c>
      <c r="GF192" t="s">
        <v>8226</v>
      </c>
      <c r="GG192" s="356" t="s">
        <v>17020</v>
      </c>
      <c r="GH192" s="83" t="s">
        <v>9001</v>
      </c>
      <c r="GI192" s="83" t="s">
        <v>9004</v>
      </c>
      <c r="GJ192" s="83"/>
      <c r="GK192" s="530"/>
    </row>
    <row r="193" spans="8:193" ht="13.2" customHeight="1">
      <c r="H193" s="3"/>
      <c r="I193" s="3"/>
      <c r="J193" s="3"/>
      <c r="K193" s="3"/>
      <c r="L193" s="3"/>
      <c r="M193" s="651"/>
      <c r="N193" s="3"/>
      <c r="O193" s="3"/>
      <c r="P193" s="3"/>
      <c r="Q193" s="3"/>
      <c r="R193" s="651"/>
      <c r="S193" s="83" t="str">
        <f>IF(OR(CareerType=Y193,CareerType="Académicien",CareerType="Gens du Commun",CareerType="Criminel",CareerType="Rôdeur"),"",IF(AllCareers="X","Hors-la-loi",IF(Selectsousrace&lt;&gt;"","Hors-la-loi","")))</f>
        <v/>
      </c>
      <c r="T193" s="106">
        <f>IF(X193="oui",0,1)</f>
        <v>0</v>
      </c>
      <c r="U193" s="693" t="str">
        <f t="shared" si="105"/>
        <v/>
      </c>
      <c r="V193" s="693" t="str">
        <f t="shared" si="106"/>
        <v/>
      </c>
      <c r="W193" s="693" t="str">
        <f t="shared" si="107"/>
        <v/>
      </c>
      <c r="X193" s="47" t="s">
        <v>2160</v>
      </c>
      <c r="Y193" s="743" t="s">
        <v>7133</v>
      </c>
      <c r="Z193" s="55" t="s">
        <v>2200</v>
      </c>
      <c r="AA193" s="47">
        <v>46</v>
      </c>
      <c r="AB193" s="47" t="s">
        <v>2331</v>
      </c>
      <c r="AC193" s="47">
        <v>156</v>
      </c>
      <c r="AD193" s="15" t="s">
        <v>98</v>
      </c>
      <c r="AE193" s="15" t="s">
        <v>98</v>
      </c>
      <c r="AF193" s="15" t="s">
        <v>149</v>
      </c>
      <c r="AG193" s="15" t="s">
        <v>149</v>
      </c>
      <c r="AH193" s="15" t="s">
        <v>98</v>
      </c>
      <c r="AI193" s="20" t="s">
        <v>114</v>
      </c>
      <c r="AJ193" s="15" t="s">
        <v>149</v>
      </c>
      <c r="AK193" s="18" t="s">
        <v>149</v>
      </c>
      <c r="AL193" s="15" t="s">
        <v>102</v>
      </c>
      <c r="AM193" s="15" t="s">
        <v>113</v>
      </c>
      <c r="AN193" s="15" t="s">
        <v>149</v>
      </c>
      <c r="AO193" s="15" t="s">
        <v>149</v>
      </c>
      <c r="AP193" s="87" t="s">
        <v>16426</v>
      </c>
      <c r="AQ193" s="87" t="s">
        <v>8763</v>
      </c>
      <c r="AR193" s="87" t="s">
        <v>15740</v>
      </c>
      <c r="AS193" s="87" t="s">
        <v>14829</v>
      </c>
      <c r="AT193" s="22" t="s">
        <v>3473</v>
      </c>
      <c r="AU193" s="87" t="s">
        <v>17021</v>
      </c>
      <c r="AV193" s="87" t="s">
        <v>4574</v>
      </c>
      <c r="AW193" s="457">
        <v>0</v>
      </c>
      <c r="AX193" s="630" t="str">
        <f t="shared" si="109"/>
        <v/>
      </c>
      <c r="AY193" s="630" t="str">
        <f t="shared" si="110"/>
        <v/>
      </c>
      <c r="AZ193" s="630" t="str">
        <f t="shared" si="111"/>
        <v/>
      </c>
      <c r="BI193" s="3"/>
      <c r="BJ193" s="3"/>
      <c r="BK193" s="3"/>
      <c r="BL193" s="3"/>
      <c r="BM193" s="3"/>
      <c r="BN193" s="3"/>
      <c r="BP193" s="3"/>
      <c r="BQ193" s="3"/>
      <c r="BR193" s="3"/>
      <c r="BS193" s="3"/>
      <c r="BT193" s="3"/>
      <c r="BU193" s="3"/>
      <c r="BV193" s="3"/>
      <c r="BW193" s="3"/>
      <c r="BX193" s="83" t="str">
        <f>IF(Pays="Arabie","Tribus ghutanes","")</f>
        <v/>
      </c>
      <c r="BY193" t="str">
        <f t="shared" si="108"/>
        <v/>
      </c>
      <c r="BZ193" s="83" t="str">
        <f t="shared" si="100"/>
        <v/>
      </c>
      <c r="CA193" s="83" t="str">
        <f t="shared" si="101"/>
        <v/>
      </c>
      <c r="CB193" s="530" t="str">
        <f t="shared" si="102"/>
        <v/>
      </c>
      <c r="CC193" s="3" t="s">
        <v>3339</v>
      </c>
      <c r="CG193" s="83" t="s">
        <v>15106</v>
      </c>
      <c r="CH193" s="3" t="s">
        <v>6055</v>
      </c>
      <c r="CI193" s="3"/>
      <c r="CJ193" s="3"/>
      <c r="CK193" s="3" t="s">
        <v>6948</v>
      </c>
      <c r="CM193" t="s">
        <v>10364</v>
      </c>
      <c r="CN193" s="3"/>
      <c r="CO193" s="3" t="str">
        <f>CONCATENATE("Hung",IF(AND('page 1'!M11="Féminin",Pays="Norsca"),"dottir",IF(AND('page 1'!M11="Masculin",Pays="Norsca"),"son",IF(AND('page 1'!M11="Féminin",Pays="Kislev"),"ovna",IF(AND('page 1'!M11="Masculin",Pays="Kislev"),"sky","")))))</f>
        <v>Hung</v>
      </c>
      <c r="CP193" s="3"/>
      <c r="CQ193" s="3"/>
      <c r="CR193" t="s">
        <v>13563</v>
      </c>
      <c r="CS193" s="3"/>
      <c r="CT193" s="3"/>
      <c r="CU193" s="3"/>
      <c r="CV193" s="3"/>
      <c r="CW193" s="3"/>
      <c r="CX193" s="3"/>
      <c r="CY193" s="3" t="s">
        <v>816</v>
      </c>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D193" s="83" t="s">
        <v>12459</v>
      </c>
      <c r="EE193" s="83" t="s">
        <v>12458</v>
      </c>
      <c r="EF193" s="530" t="s">
        <v>17022</v>
      </c>
      <c r="EK193" s="874"/>
      <c r="EU193" s="25" t="str">
        <f>IF(OR(Pays="Norsca",Pays="Désolations du Chaos",Pays="",Pays="Steppes orientales"),"",IF(Pays="Empire","Ordre de la Lance de Cristal",""))</f>
        <v/>
      </c>
      <c r="EV193" s="83" t="str">
        <f t="shared" ref="EV193:EV256" si="121">IF(EU193="","",ROW())</f>
        <v/>
      </c>
      <c r="EW193" s="83" t="str">
        <f t="shared" si="103"/>
        <v/>
      </c>
      <c r="EX193" s="530" t="str">
        <f t="shared" si="104"/>
        <v/>
      </c>
      <c r="EY193" s="83" t="s">
        <v>10856</v>
      </c>
      <c r="FB193" s="83" t="s">
        <v>17616</v>
      </c>
      <c r="FC193" s="133" t="s">
        <v>16253</v>
      </c>
      <c r="FD193" s="85" t="s">
        <v>7249</v>
      </c>
      <c r="FE193" s="849">
        <v>58</v>
      </c>
      <c r="FF193">
        <v>35</v>
      </c>
      <c r="FG193">
        <v>0</v>
      </c>
      <c r="FH193">
        <v>60</v>
      </c>
      <c r="FI193">
        <v>38</v>
      </c>
      <c r="FJ193" s="10">
        <v>40</v>
      </c>
      <c r="FK193">
        <v>10</v>
      </c>
      <c r="FL193">
        <v>28</v>
      </c>
      <c r="FM193" s="165">
        <v>5</v>
      </c>
      <c r="FN193" s="88">
        <v>1</v>
      </c>
      <c r="FO193" s="88">
        <v>31</v>
      </c>
      <c r="FP193" s="691">
        <f>ROUNDDOWN(FH193/10,0)</f>
        <v>6</v>
      </c>
      <c r="FQ193" s="691">
        <f>ROUNDDOWN(FI193/10,0)</f>
        <v>3</v>
      </c>
      <c r="FR193" s="10">
        <v>1</v>
      </c>
      <c r="FS193" s="88">
        <v>0</v>
      </c>
      <c r="FT193" s="88">
        <v>0</v>
      </c>
      <c r="FU193" s="165">
        <v>0</v>
      </c>
      <c r="FV193" s="177" t="s">
        <v>14914</v>
      </c>
      <c r="FW193" t="s">
        <v>17617</v>
      </c>
      <c r="FX193" s="530" t="s">
        <v>7659</v>
      </c>
      <c r="GA193" t="s">
        <v>7504</v>
      </c>
      <c r="GF193" t="s">
        <v>7759</v>
      </c>
      <c r="GG193" s="341" t="s">
        <v>9005</v>
      </c>
      <c r="GH193" s="83" t="s">
        <v>9001</v>
      </c>
      <c r="GI193" s="83" t="s">
        <v>9004</v>
      </c>
      <c r="GJ193" s="83"/>
      <c r="GK193" s="530"/>
    </row>
    <row r="194" spans="8:193" ht="13.2" customHeight="1">
      <c r="H194" s="3"/>
      <c r="I194" s="3"/>
      <c r="J194" s="3"/>
      <c r="K194" s="3"/>
      <c r="L194" s="3"/>
      <c r="M194" s="651"/>
      <c r="N194" s="3"/>
      <c r="O194" s="3"/>
      <c r="P194" s="3"/>
      <c r="Q194" s="3"/>
      <c r="R194" s="651"/>
      <c r="S194" s="83" t="str">
        <f>IF(CareerType=Y194,"Ingénieur/Engingneurs",IF(AllCareers="X","Ingénieur/Engingneurs",IF(Selectsousrace="","",IF(OR(SelectRace="homme-bête",SelectRace="peau-verte",SelectRace="créature du chaos",SelectRace="Homme-lézard"),"",IF(AND(SelectRace="skaven",FirstCareer&lt;&gt;"1ère carrière"),"Ingénieur",IF(AND(SelectRace="Nain",FirstCareer&lt;&gt;"1ère carrière"),"Engingneurs",""))))))</f>
        <v/>
      </c>
      <c r="T194" s="106">
        <f>IF(X194="oui",0,1)</f>
        <v>1</v>
      </c>
      <c r="U194" s="693" t="str">
        <f t="shared" si="105"/>
        <v/>
      </c>
      <c r="V194" s="693" t="str">
        <f t="shared" si="106"/>
        <v/>
      </c>
      <c r="W194" s="693" t="str">
        <f t="shared" si="107"/>
        <v/>
      </c>
      <c r="X194" s="47" t="s">
        <v>2153</v>
      </c>
      <c r="Y194" s="743" t="s">
        <v>7131</v>
      </c>
      <c r="Z194" s="55" t="s">
        <v>2200</v>
      </c>
      <c r="AA194" s="47">
        <v>74</v>
      </c>
      <c r="AB194" s="47" t="s">
        <v>2332</v>
      </c>
      <c r="AC194" s="47">
        <v>66</v>
      </c>
      <c r="AD194" s="15" t="s">
        <v>98</v>
      </c>
      <c r="AE194" s="15" t="s">
        <v>101</v>
      </c>
      <c r="AF194" s="20" t="s">
        <v>114</v>
      </c>
      <c r="AG194" s="20" t="s">
        <v>114</v>
      </c>
      <c r="AH194" s="15" t="s">
        <v>98</v>
      </c>
      <c r="AI194" s="15" t="s">
        <v>100</v>
      </c>
      <c r="AJ194" s="15" t="s">
        <v>98</v>
      </c>
      <c r="AK194" s="18" t="s">
        <v>149</v>
      </c>
      <c r="AL194" s="15" t="s">
        <v>149</v>
      </c>
      <c r="AM194" s="15" t="s">
        <v>103</v>
      </c>
      <c r="AN194" s="15" t="s">
        <v>149</v>
      </c>
      <c r="AO194" s="15" t="s">
        <v>149</v>
      </c>
      <c r="AP194" s="87" t="s">
        <v>5549</v>
      </c>
      <c r="AQ194" s="87" t="s">
        <v>8764</v>
      </c>
      <c r="AR194" s="87" t="s">
        <v>12287</v>
      </c>
      <c r="AS194" s="87" t="s">
        <v>8780</v>
      </c>
      <c r="AT194" s="22" t="s">
        <v>3474</v>
      </c>
      <c r="AU194" s="87" t="s">
        <v>17023</v>
      </c>
      <c r="AV194" s="87" t="s">
        <v>4613</v>
      </c>
      <c r="AW194" s="457">
        <v>0</v>
      </c>
      <c r="AX194" s="630" t="str">
        <f t="shared" si="109"/>
        <v/>
      </c>
      <c r="AY194" s="630" t="str">
        <f t="shared" si="110"/>
        <v/>
      </c>
      <c r="AZ194" s="630" t="str">
        <f t="shared" si="111"/>
        <v/>
      </c>
      <c r="BA194" s="3"/>
      <c r="BB194" s="3"/>
      <c r="BC194" s="3"/>
      <c r="BD194" s="3"/>
      <c r="BE194" s="3"/>
      <c r="BF194" s="3"/>
      <c r="BG194" s="3"/>
      <c r="BH194" s="3"/>
      <c r="BI194" s="3"/>
      <c r="BJ194" s="3"/>
      <c r="BK194" s="3"/>
      <c r="BL194" s="3"/>
      <c r="BM194" s="3"/>
      <c r="BN194" s="3"/>
      <c r="BP194" s="3"/>
      <c r="BQ194" s="3"/>
      <c r="BR194" s="3"/>
      <c r="BS194" s="3"/>
      <c r="BT194" s="3"/>
      <c r="BU194" s="3"/>
      <c r="BV194" s="3"/>
      <c r="BW194" s="3"/>
      <c r="BX194" t="str">
        <f>IF(Pays="Arabie","Tribus kahides","")</f>
        <v/>
      </c>
      <c r="BY194" t="str">
        <f t="shared" si="108"/>
        <v/>
      </c>
      <c r="BZ194" s="83" t="str">
        <f t="shared" ref="BZ194:BZ257" si="122">IFERROR(SMALL(BY:BY,ROW()-1),"")</f>
        <v/>
      </c>
      <c r="CA194" s="83" t="str">
        <f t="shared" ref="CA194:CA257" si="123">IFERROR(INDEX(BX:BX,BZ194),"")</f>
        <v/>
      </c>
      <c r="CB194" s="530" t="str">
        <f t="shared" ref="CB194:CB257" si="124">INDEX(CA:CA,ROW())</f>
        <v/>
      </c>
      <c r="CC194" s="3" t="s">
        <v>10740</v>
      </c>
      <c r="CG194" s="3" t="s">
        <v>6279</v>
      </c>
      <c r="CH194" s="3" t="s">
        <v>914</v>
      </c>
      <c r="CI194" s="3"/>
      <c r="CJ194" s="3"/>
      <c r="CK194" s="3" t="s">
        <v>6837</v>
      </c>
      <c r="CM194" s="3" t="s">
        <v>6649</v>
      </c>
      <c r="CN194" s="3"/>
      <c r="CO194" s="3" t="str">
        <f>CONCATENATE("Hurgis",IF(AND('page 1'!M11="Féminin",Pays="Norsca"),"dottir",IF(AND('page 1'!M11="Masculin",Pays="Norsca"),"son",IF(AND('page 1'!M11="Féminin",Pays="Kislev"),"ovna",IF(AND('page 1'!M11="Masculin",Pays="Kislev"),"sky","")))))</f>
        <v>Hurgis</v>
      </c>
      <c r="CP194" s="3"/>
      <c r="CQ194" s="3"/>
      <c r="CR194" s="3" t="s">
        <v>13564</v>
      </c>
      <c r="CS194" s="3"/>
      <c r="CT194" s="3"/>
      <c r="CU194" s="3"/>
      <c r="CV194" s="3"/>
      <c r="CW194" s="3"/>
      <c r="CX194" s="3"/>
      <c r="CY194" s="3" t="s">
        <v>842</v>
      </c>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D194" s="83" t="s">
        <v>4762</v>
      </c>
      <c r="EE194" s="83" t="s">
        <v>12458</v>
      </c>
      <c r="EF194" s="530" t="s">
        <v>17024</v>
      </c>
      <c r="EK194" s="874"/>
      <c r="EU194" s="573" t="str">
        <f>IF(OR(Pays="Norsca",Pays="Désolations du Chaos",Pays="",Pays="Steppes orientales"),"","Garde Republicaine de Ricco")</f>
        <v/>
      </c>
      <c r="EV194" s="83" t="str">
        <f t="shared" si="121"/>
        <v/>
      </c>
      <c r="EW194" s="83" t="str">
        <f t="shared" ref="EW194:EW257" si="125">IFERROR(SMALL(EV:EV,ROW()-1),"")</f>
        <v/>
      </c>
      <c r="EX194" s="530" t="str">
        <f t="shared" ref="EX194:EX257" si="126">IFERROR(INDEX(EU:EU,EW194),"")</f>
        <v/>
      </c>
      <c r="EY194" s="83" t="s">
        <v>12392</v>
      </c>
      <c r="EZ194" s="530" t="s">
        <v>12380</v>
      </c>
      <c r="FB194" s="177" t="s">
        <v>14672</v>
      </c>
      <c r="FC194" s="732" t="s">
        <v>16253</v>
      </c>
      <c r="FD194" s="85" t="s">
        <v>14651</v>
      </c>
      <c r="FE194" s="851">
        <v>19</v>
      </c>
      <c r="FF194" s="25">
        <v>60</v>
      </c>
      <c r="FG194" s="25">
        <v>0</v>
      </c>
      <c r="FH194" s="25">
        <v>82</v>
      </c>
      <c r="FI194" s="25">
        <v>50</v>
      </c>
      <c r="FJ194" s="685">
        <v>20</v>
      </c>
      <c r="FK194" s="25">
        <v>20</v>
      </c>
      <c r="FL194" s="25">
        <v>0</v>
      </c>
      <c r="FM194" s="166">
        <v>0</v>
      </c>
      <c r="FN194" s="88">
        <v>6</v>
      </c>
      <c r="FO194" s="88">
        <v>71</v>
      </c>
      <c r="FP194" s="733">
        <f>ROUNDDOWN(FH194/10,0)</f>
        <v>8</v>
      </c>
      <c r="FQ194" s="733">
        <f>ROUNDDOWN(FI194/10,0)</f>
        <v>5</v>
      </c>
      <c r="FR194" s="734" t="s">
        <v>7251</v>
      </c>
      <c r="FS194" s="167">
        <v>0</v>
      </c>
      <c r="FT194" s="167">
        <v>0</v>
      </c>
      <c r="FU194" s="166">
        <v>0</v>
      </c>
      <c r="FV194" s="177" t="s">
        <v>17013</v>
      </c>
      <c r="FW194" s="177" t="s">
        <v>17014</v>
      </c>
      <c r="FX194" s="567" t="s">
        <v>9938</v>
      </c>
      <c r="GA194" t="s">
        <v>7505</v>
      </c>
      <c r="GF194" t="s">
        <v>7760</v>
      </c>
      <c r="GG194" s="341" t="s">
        <v>9009</v>
      </c>
      <c r="GH194" s="83" t="s">
        <v>9001</v>
      </c>
      <c r="GI194" s="83" t="s">
        <v>9011</v>
      </c>
    </row>
    <row r="195" spans="8:193" ht="13.2" customHeight="1">
      <c r="H195" s="3"/>
      <c r="I195" s="3"/>
      <c r="J195" s="3"/>
      <c r="K195" s="3"/>
      <c r="L195" s="3"/>
      <c r="M195" s="651"/>
      <c r="N195" s="3"/>
      <c r="O195" s="3"/>
      <c r="P195" s="3"/>
      <c r="Q195" s="3"/>
      <c r="R195" s="651"/>
      <c r="S195" s="83" t="str">
        <f>IF(CareerType=Y195,"Ingénieur/Engingneur de siège",IF(AllCareers="X","Ingénieur/Engingneur de siège",IF(Selectsousrace="","",IF(OR(SelectRace="homme-bête",SelectRace="peau-verte",SelectRace="créature du chaos",SelectRace="Homme-lézard",SelectRace&lt;&gt;"skaven"),"",IF(FirstCareer&lt;&gt;"1ère carrière","","Ingénieur/Engingneur de siège")))))</f>
        <v/>
      </c>
      <c r="T195" s="106">
        <f>IF(X195="oui",0,1)</f>
        <v>1</v>
      </c>
      <c r="U195" s="693" t="str">
        <f t="shared" ref="U195:U258" si="127">IF(S195="","",ROW()-1)</f>
        <v/>
      </c>
      <c r="V195" s="693" t="str">
        <f t="shared" ref="V195:V258" si="128">IFERROR(SMALL(U:U,ROW()-1),"")</f>
        <v/>
      </c>
      <c r="W195" s="693" t="str">
        <f t="shared" ref="W195:W258" si="129">IFERROR(INDEX(S:S,V195+1),"")</f>
        <v/>
      </c>
      <c r="X195" s="47" t="s">
        <v>2153</v>
      </c>
      <c r="Y195" s="743" t="s">
        <v>7131</v>
      </c>
      <c r="Z195" s="55" t="s">
        <v>2206</v>
      </c>
      <c r="AA195" s="47">
        <v>98</v>
      </c>
      <c r="AB195" s="47" t="s">
        <v>2333</v>
      </c>
      <c r="AC195" s="47">
        <v>221</v>
      </c>
      <c r="AD195" s="15" t="s">
        <v>149</v>
      </c>
      <c r="AE195" s="15" t="s">
        <v>98</v>
      </c>
      <c r="AF195" s="15" t="s">
        <v>98</v>
      </c>
      <c r="AG195" s="15" t="s">
        <v>98</v>
      </c>
      <c r="AH195" s="15" t="s">
        <v>99</v>
      </c>
      <c r="AI195" s="15" t="s">
        <v>100</v>
      </c>
      <c r="AJ195" s="15" t="s">
        <v>98</v>
      </c>
      <c r="AK195" s="18" t="s">
        <v>98</v>
      </c>
      <c r="AL195" s="15" t="s">
        <v>149</v>
      </c>
      <c r="AM195" s="15" t="s">
        <v>103</v>
      </c>
      <c r="AN195" s="15" t="s">
        <v>149</v>
      </c>
      <c r="AO195" s="15" t="s">
        <v>149</v>
      </c>
      <c r="AP195" s="87" t="s">
        <v>5550</v>
      </c>
      <c r="AQ195" s="87" t="s">
        <v>734</v>
      </c>
      <c r="AR195" s="22" t="s">
        <v>779</v>
      </c>
      <c r="AS195" s="87" t="s">
        <v>734</v>
      </c>
      <c r="AT195" s="22" t="s">
        <v>3475</v>
      </c>
      <c r="AU195" s="87" t="s">
        <v>5463</v>
      </c>
      <c r="AV195" s="87" t="s">
        <v>4706</v>
      </c>
      <c r="AW195" s="457">
        <v>0</v>
      </c>
      <c r="AX195" s="630" t="str">
        <f t="shared" si="109"/>
        <v/>
      </c>
      <c r="AY195" s="630" t="str">
        <f t="shared" si="110"/>
        <v/>
      </c>
      <c r="AZ195" s="630" t="str">
        <f t="shared" si="111"/>
        <v/>
      </c>
      <c r="BA195" s="3"/>
      <c r="BB195" s="3"/>
      <c r="BC195" s="3"/>
      <c r="BD195" s="3"/>
      <c r="BE195" s="3"/>
      <c r="BF195" s="3"/>
      <c r="BG195" s="3"/>
      <c r="BH195" s="3"/>
      <c r="BI195" s="3"/>
      <c r="BJ195" s="3"/>
      <c r="BK195" s="3"/>
      <c r="BL195" s="3"/>
      <c r="BM195" s="3"/>
      <c r="BN195" s="3"/>
      <c r="BP195" s="3"/>
      <c r="BQ195" s="3"/>
      <c r="BR195" s="3"/>
      <c r="BS195" s="3"/>
      <c r="BT195" s="3"/>
      <c r="BU195" s="3"/>
      <c r="BV195" s="3"/>
      <c r="BW195" s="3"/>
      <c r="BX195" t="str">
        <f>IF(Pays="Arabie","Tribus malalukes","")</f>
        <v/>
      </c>
      <c r="BY195" t="str">
        <f t="shared" ref="BY195:BY258" si="130">IF(BX195="","",ROW())</f>
        <v/>
      </c>
      <c r="BZ195" s="83" t="str">
        <f t="shared" si="122"/>
        <v/>
      </c>
      <c r="CA195" s="83" t="str">
        <f t="shared" si="123"/>
        <v/>
      </c>
      <c r="CB195" s="530" t="str">
        <f t="shared" si="124"/>
        <v/>
      </c>
      <c r="CC195" s="3" t="s">
        <v>3340</v>
      </c>
      <c r="CG195" s="83" t="s">
        <v>6279</v>
      </c>
      <c r="CH195" s="83" t="s">
        <v>15259</v>
      </c>
      <c r="CI195" s="3"/>
      <c r="CJ195" s="3"/>
      <c r="CK195" t="s">
        <v>7005</v>
      </c>
      <c r="CM195" t="s">
        <v>10361</v>
      </c>
      <c r="CN195" s="3"/>
      <c r="CO195" s="3" t="str">
        <f>CONCATENATE("Igans",IF(AND('page 1'!M11="Féminin",Pays="Norsca"),"dottir",IF(AND('page 1'!M11="Masculin",Pays="Norsca"),"son",IF(AND('page 1'!M11="Féminin",Pays="Kislev"),"ovna",IF(AND('page 1'!M11="Masculin",Pays="Kislev"),"sky","")))))</f>
        <v>Igans</v>
      </c>
      <c r="CP195" s="3"/>
      <c r="CQ195" s="3"/>
      <c r="CR195" s="83" t="s">
        <v>13565</v>
      </c>
      <c r="CS195" s="3"/>
      <c r="CT195" s="3"/>
      <c r="CU195" s="3"/>
      <c r="CV195" s="3"/>
      <c r="CW195" s="3"/>
      <c r="CX195" s="3"/>
      <c r="CY195" s="83" t="s">
        <v>16908</v>
      </c>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D195" s="83" t="s">
        <v>12460</v>
      </c>
      <c r="EE195" s="83" t="s">
        <v>12458</v>
      </c>
      <c r="EF195" s="530" t="s">
        <v>17025</v>
      </c>
      <c r="EK195" s="874"/>
      <c r="EU195" s="25" t="str">
        <f>IF(Dieu="Luccina et Lucan","Compagnie Leopard de Leopold","")</f>
        <v/>
      </c>
      <c r="EV195" s="83" t="str">
        <f t="shared" si="121"/>
        <v/>
      </c>
      <c r="EW195" s="83" t="str">
        <f t="shared" si="125"/>
        <v/>
      </c>
      <c r="EX195" s="530" t="str">
        <f t="shared" si="126"/>
        <v/>
      </c>
      <c r="EY195" s="83" t="s">
        <v>17026</v>
      </c>
      <c r="EZ195" s="530" t="s">
        <v>11246</v>
      </c>
      <c r="FB195" s="177" t="s">
        <v>14685</v>
      </c>
      <c r="FC195" s="732" t="s">
        <v>16253</v>
      </c>
      <c r="FD195" s="85" t="s">
        <v>15365</v>
      </c>
      <c r="FE195" s="853" t="s">
        <v>15366</v>
      </c>
      <c r="FF195" s="25">
        <v>52</v>
      </c>
      <c r="FG195" s="25">
        <v>0</v>
      </c>
      <c r="FH195" s="25">
        <v>67</v>
      </c>
      <c r="FI195" s="25">
        <v>62</v>
      </c>
      <c r="FJ195" s="685">
        <v>25</v>
      </c>
      <c r="FK195" s="25">
        <v>0</v>
      </c>
      <c r="FL195" s="25">
        <v>0</v>
      </c>
      <c r="FM195" s="166">
        <v>0</v>
      </c>
      <c r="FN195" s="88">
        <v>6</v>
      </c>
      <c r="FO195" s="88">
        <v>54</v>
      </c>
      <c r="FP195" s="733">
        <f>ROUNDDOWN(FH195/10,0)</f>
        <v>6</v>
      </c>
      <c r="FQ195" s="733">
        <f>ROUNDDOWN(FI195/10,0)</f>
        <v>6</v>
      </c>
      <c r="FR195" s="734" t="s">
        <v>7251</v>
      </c>
      <c r="FS195" s="167">
        <v>0</v>
      </c>
      <c r="FT195" s="167">
        <v>0</v>
      </c>
      <c r="FU195" s="166">
        <v>0</v>
      </c>
      <c r="FV195" s="735" t="s">
        <v>149</v>
      </c>
      <c r="FW195" s="177" t="s">
        <v>17015</v>
      </c>
      <c r="FX195" s="567" t="s">
        <v>9938</v>
      </c>
      <c r="GA195" t="s">
        <v>7528</v>
      </c>
      <c r="GF195" t="s">
        <v>7761</v>
      </c>
      <c r="GG195" s="341" t="s">
        <v>9010</v>
      </c>
      <c r="GH195" s="83" t="s">
        <v>9001</v>
      </c>
      <c r="GI195" s="83" t="s">
        <v>9011</v>
      </c>
    </row>
    <row r="196" spans="8:193" ht="13.2" customHeight="1">
      <c r="H196" s="3"/>
      <c r="I196" s="3"/>
      <c r="J196" s="3"/>
      <c r="K196" s="3"/>
      <c r="L196" s="3"/>
      <c r="M196" s="651"/>
      <c r="N196" s="3"/>
      <c r="O196" s="3"/>
      <c r="P196" s="3"/>
      <c r="Q196" s="3"/>
      <c r="R196" s="651"/>
      <c r="S196" s="83" t="str">
        <f>IF(CareerType=Y196,"Ingénieur/Engingneur du Chaos",IF(AllCareers="X","Ingénieur/Engingneur du Chaos",IF(OR(SelectRace="homme-bête",SelectRace="peau-verte",SelectRace="créature du chaos",SelectRace="Homme-lézard"),"",IF(SelectRace="Nain","Engingneur du Chaos",IF(SelectRace="Skaven","Ingénieur du Chaos","")))))</f>
        <v/>
      </c>
      <c r="T196" s="106">
        <f>IF(X196="oui",0,1)</f>
        <v>0</v>
      </c>
      <c r="U196" s="693" t="str">
        <f t="shared" si="127"/>
        <v/>
      </c>
      <c r="V196" s="693" t="str">
        <f t="shared" si="128"/>
        <v/>
      </c>
      <c r="W196" s="693" t="str">
        <f t="shared" si="129"/>
        <v/>
      </c>
      <c r="X196" s="47" t="s">
        <v>2160</v>
      </c>
      <c r="Y196" s="743" t="s">
        <v>7131</v>
      </c>
      <c r="Z196" s="55" t="s">
        <v>2196</v>
      </c>
      <c r="AA196" s="47">
        <v>170</v>
      </c>
      <c r="AB196" s="89" t="s">
        <v>4679</v>
      </c>
      <c r="AC196" s="47"/>
      <c r="AD196" s="15" t="s">
        <v>98</v>
      </c>
      <c r="AE196" s="15" t="s">
        <v>98</v>
      </c>
      <c r="AF196" s="15" t="s">
        <v>149</v>
      </c>
      <c r="AG196" s="15" t="s">
        <v>114</v>
      </c>
      <c r="AH196" s="15" t="s">
        <v>98</v>
      </c>
      <c r="AI196" s="15" t="s">
        <v>98</v>
      </c>
      <c r="AJ196" s="15" t="s">
        <v>149</v>
      </c>
      <c r="AK196" s="18" t="s">
        <v>149</v>
      </c>
      <c r="AL196" s="15" t="s">
        <v>149</v>
      </c>
      <c r="AM196" s="15" t="s">
        <v>115</v>
      </c>
      <c r="AN196" s="15" t="s">
        <v>149</v>
      </c>
      <c r="AO196" s="15" t="s">
        <v>149</v>
      </c>
      <c r="AP196" s="22" t="s">
        <v>780</v>
      </c>
      <c r="AQ196" s="87" t="s">
        <v>8764</v>
      </c>
      <c r="AR196" s="87" t="s">
        <v>15853</v>
      </c>
      <c r="AS196" s="87" t="s">
        <v>15895</v>
      </c>
      <c r="AT196" s="22" t="s">
        <v>3476</v>
      </c>
      <c r="AU196" s="87" t="s">
        <v>5474</v>
      </c>
      <c r="AV196" s="87" t="s">
        <v>17027</v>
      </c>
      <c r="AW196" s="457">
        <v>0</v>
      </c>
      <c r="AX196" s="630" t="str">
        <f t="shared" ref="AX196:AX204" si="131">IF(S196="","","Chasseur, Coupe-jarret, Esclave/Thrall, Fanatique, Garde, Garde du corps, Guerrier des clans, Hors-la-loi, Naufrageur, Pillard, Pilleur de tombes, Trafiquant de cadavres, Vagabond, Voleur")</f>
        <v/>
      </c>
      <c r="AY196" s="630" t="str">
        <f t="shared" ref="AY196:AY204" si="132">IF(AX196="","","Acolyte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196" s="630" t="str">
        <f t="shared" ref="AZ196:AZ204" si="133">IF(S196="","","Apprenti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196" s="3"/>
      <c r="BB196" s="3"/>
      <c r="BC196" s="3"/>
      <c r="BD196" s="3"/>
      <c r="BE196" s="3"/>
      <c r="BF196" s="3"/>
      <c r="BG196" s="3"/>
      <c r="BH196" s="3"/>
      <c r="BI196" s="3"/>
      <c r="BJ196" s="3"/>
      <c r="BK196" s="3"/>
      <c r="BL196" s="3"/>
      <c r="BM196" s="3"/>
      <c r="BN196" s="3"/>
      <c r="BP196" s="3"/>
      <c r="BQ196" s="3"/>
      <c r="BR196" s="3"/>
      <c r="BS196" s="3"/>
      <c r="BT196" s="3"/>
      <c r="BU196" s="3"/>
      <c r="BV196" s="3"/>
      <c r="BW196" s="3"/>
      <c r="BX196" t="str">
        <f>IF(Pays="Arabie","Tribus muktarhines","")</f>
        <v/>
      </c>
      <c r="BY196" t="str">
        <f t="shared" si="130"/>
        <v/>
      </c>
      <c r="BZ196" s="83" t="str">
        <f t="shared" si="122"/>
        <v/>
      </c>
      <c r="CA196" s="83" t="str">
        <f t="shared" si="123"/>
        <v/>
      </c>
      <c r="CB196" s="530" t="str">
        <f t="shared" si="124"/>
        <v/>
      </c>
      <c r="CC196" s="3" t="s">
        <v>3341</v>
      </c>
      <c r="CG196" s="3" t="s">
        <v>3139</v>
      </c>
      <c r="CH196" s="3" t="s">
        <v>6057</v>
      </c>
      <c r="CI196" s="3"/>
      <c r="CJ196" s="3"/>
      <c r="CK196" s="83" t="s">
        <v>15034</v>
      </c>
      <c r="CM196" t="s">
        <v>10362</v>
      </c>
      <c r="CN196" s="3"/>
      <c r="CO196" s="3" t="s">
        <v>11000</v>
      </c>
      <c r="CP196" s="3"/>
      <c r="CQ196" s="3"/>
      <c r="CR196" s="3" t="s">
        <v>13566</v>
      </c>
      <c r="CS196" s="3"/>
      <c r="CT196" s="3"/>
      <c r="CU196" s="3"/>
      <c r="CV196" s="3"/>
      <c r="CW196" s="3"/>
      <c r="CX196" s="3"/>
      <c r="CY196" s="3" t="s">
        <v>817</v>
      </c>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D196" s="83" t="s">
        <v>14803</v>
      </c>
      <c r="EE196" s="83" t="s">
        <v>12792</v>
      </c>
      <c r="EF196" s="530" t="s">
        <v>17028</v>
      </c>
      <c r="EK196" s="874"/>
      <c r="EU196" s="573" t="str">
        <f>IF(OR(Pays="Norsca",Pays="Désolations du Chaos",Pays="",Pays="Steppes orientales"),"","Canons Tractés de Bronzino")</f>
        <v/>
      </c>
      <c r="EV196" s="83" t="str">
        <f t="shared" si="121"/>
        <v/>
      </c>
      <c r="EW196" s="83" t="str">
        <f t="shared" si="125"/>
        <v/>
      </c>
      <c r="EX196" s="530" t="str">
        <f t="shared" si="126"/>
        <v/>
      </c>
      <c r="EY196" s="83" t="s">
        <v>12393</v>
      </c>
      <c r="EZ196" s="530" t="s">
        <v>17029</v>
      </c>
      <c r="FB196" s="83" t="s">
        <v>16605</v>
      </c>
      <c r="FC196" s="732" t="s">
        <v>16253</v>
      </c>
      <c r="FD196" s="85" t="s">
        <v>16792</v>
      </c>
      <c r="FF196" s="83">
        <v>25</v>
      </c>
      <c r="FG196">
        <v>10</v>
      </c>
      <c r="FH196">
        <v>35</v>
      </c>
      <c r="FI196">
        <v>35</v>
      </c>
      <c r="FJ196" s="10">
        <v>10</v>
      </c>
      <c r="FK196">
        <v>26</v>
      </c>
      <c r="FL196">
        <v>33</v>
      </c>
      <c r="FM196" s="165">
        <v>21</v>
      </c>
      <c r="FN196" s="88">
        <v>1</v>
      </c>
      <c r="FO196" s="88">
        <v>15</v>
      </c>
      <c r="FP196" s="164">
        <f>ROUNDDOWN(FH196/10,0)</f>
        <v>3</v>
      </c>
      <c r="FQ196" s="691">
        <f>ROUNDDOWN(FI196/10,0)</f>
        <v>3</v>
      </c>
      <c r="FR196" s="10">
        <v>4</v>
      </c>
      <c r="FS196" s="88">
        <v>0</v>
      </c>
      <c r="FT196" s="88">
        <v>0</v>
      </c>
      <c r="FU196" s="165">
        <v>0</v>
      </c>
      <c r="FV196" s="735" t="s">
        <v>12982</v>
      </c>
      <c r="FW196" s="83" t="s">
        <v>16138</v>
      </c>
      <c r="FX196" s="530" t="s">
        <v>7659</v>
      </c>
      <c r="GA196" s="83" t="s">
        <v>7582</v>
      </c>
      <c r="GF196" t="s">
        <v>7762</v>
      </c>
      <c r="GG196" s="341" t="s">
        <v>9006</v>
      </c>
      <c r="GH196" s="83" t="s">
        <v>9001</v>
      </c>
      <c r="GI196" s="83" t="s">
        <v>9011</v>
      </c>
    </row>
    <row r="197" spans="8:193" ht="13.2" customHeight="1">
      <c r="H197" s="3"/>
      <c r="I197" s="3"/>
      <c r="J197" s="3"/>
      <c r="K197" s="3"/>
      <c r="L197" s="3"/>
      <c r="M197" s="651"/>
      <c r="N197" s="3"/>
      <c r="O197" s="3"/>
      <c r="P197" s="3"/>
      <c r="Q197" s="3"/>
      <c r="R197" s="651"/>
      <c r="S197" s="83" t="str">
        <f>IF(CareerType=Y197,"Initié",IF(AllCareers="X","Initié",IF(OR(SelectRace="homme-bête",SelectRace="peau-verte",SelectRace="créature du chaos",SelectRace="Homme-lézard",SelectRace="skaven"),"",IF(OR(Pays="Désolations du Chaos",Pays="Norsca"),"",IF(OR(SelectRace="Humain",SelectRace="Vampire"),"Initié","")))))</f>
        <v/>
      </c>
      <c r="T197" s="106">
        <f>IF(X197="oui",0,1)</f>
        <v>0</v>
      </c>
      <c r="U197" s="693" t="str">
        <f t="shared" si="127"/>
        <v/>
      </c>
      <c r="V197" s="693" t="str">
        <f t="shared" si="128"/>
        <v/>
      </c>
      <c r="W197" s="693" t="str">
        <f t="shared" si="129"/>
        <v/>
      </c>
      <c r="X197" s="47" t="s">
        <v>2160</v>
      </c>
      <c r="Y197" s="743" t="s">
        <v>15709</v>
      </c>
      <c r="Z197" s="55" t="s">
        <v>2200</v>
      </c>
      <c r="AA197" s="47">
        <v>46</v>
      </c>
      <c r="AB197" s="47" t="s">
        <v>2334</v>
      </c>
      <c r="AC197" s="47">
        <v>112</v>
      </c>
      <c r="AD197" s="20" t="s">
        <v>114</v>
      </c>
      <c r="AE197" s="20" t="s">
        <v>114</v>
      </c>
      <c r="AF197" s="15" t="s">
        <v>149</v>
      </c>
      <c r="AG197" s="20" t="s">
        <v>114</v>
      </c>
      <c r="AH197" s="15" t="s">
        <v>149</v>
      </c>
      <c r="AI197" s="15" t="s">
        <v>98</v>
      </c>
      <c r="AJ197" s="15" t="s">
        <v>98</v>
      </c>
      <c r="AK197" s="18" t="s">
        <v>98</v>
      </c>
      <c r="AL197" s="15" t="s">
        <v>149</v>
      </c>
      <c r="AM197" s="15" t="s">
        <v>113</v>
      </c>
      <c r="AN197" s="15" t="s">
        <v>149</v>
      </c>
      <c r="AO197" s="15" t="s">
        <v>149</v>
      </c>
      <c r="AP197" s="87" t="s">
        <v>16293</v>
      </c>
      <c r="AQ197" s="87" t="s">
        <v>734</v>
      </c>
      <c r="AR197" s="87" t="s">
        <v>17030</v>
      </c>
      <c r="AS197" s="87" t="s">
        <v>734</v>
      </c>
      <c r="AT197" s="87" t="s">
        <v>17031</v>
      </c>
      <c r="AU197" s="87" t="s">
        <v>17032</v>
      </c>
      <c r="AV197" s="87" t="s">
        <v>4631</v>
      </c>
      <c r="AW197" s="457">
        <v>0</v>
      </c>
      <c r="AX197" s="630" t="str">
        <f t="shared" si="131"/>
        <v/>
      </c>
      <c r="AY197" s="630" t="str">
        <f t="shared" si="132"/>
        <v/>
      </c>
      <c r="AZ197" s="630" t="str">
        <f t="shared" si="133"/>
        <v/>
      </c>
      <c r="BA197" s="3"/>
      <c r="BB197" s="3"/>
      <c r="BC197" s="3"/>
      <c r="BD197" s="3"/>
      <c r="BE197" s="3"/>
      <c r="BF197" s="3"/>
      <c r="BG197" s="3"/>
      <c r="BH197" s="3"/>
      <c r="BI197" s="3"/>
      <c r="BJ197" s="3"/>
      <c r="BK197" s="3"/>
      <c r="BL197" s="3"/>
      <c r="BM197" s="3"/>
      <c r="BN197" s="3"/>
      <c r="BP197" s="3"/>
      <c r="BQ197" s="3"/>
      <c r="BR197" s="3"/>
      <c r="BS197" s="3"/>
      <c r="BT197" s="3"/>
      <c r="BU197" s="3"/>
      <c r="BV197" s="3"/>
      <c r="BW197" s="3"/>
      <c r="BX197" t="str">
        <f>IF(Pays="Arabie","Tribus muziles","")</f>
        <v/>
      </c>
      <c r="BY197" t="str">
        <f t="shared" si="130"/>
        <v/>
      </c>
      <c r="BZ197" s="83" t="str">
        <f t="shared" si="122"/>
        <v/>
      </c>
      <c r="CA197" s="83" t="str">
        <f t="shared" si="123"/>
        <v/>
      </c>
      <c r="CB197" s="530" t="str">
        <f t="shared" si="124"/>
        <v/>
      </c>
      <c r="CC197" s="3" t="s">
        <v>3342</v>
      </c>
      <c r="CG197" s="83" t="s">
        <v>11795</v>
      </c>
      <c r="CH197" s="3" t="s">
        <v>6058</v>
      </c>
      <c r="CI197" s="3"/>
      <c r="CJ197" s="3"/>
      <c r="CK197" t="s">
        <v>6715</v>
      </c>
      <c r="CM197" s="83" t="s">
        <v>15115</v>
      </c>
      <c r="CN197" s="3"/>
      <c r="CO197" s="3" t="str">
        <f>CONCATENATE("Jarod",IF(AND('page 1'!M11="Féminin",Pays="Norsca"),"dottir",IF(AND('page 1'!M11="Masculin",Pays="Norsca"),"son",IF(AND('page 1'!M11="Féminin",Pays="Kislev"),"ovna",IF(AND('page 1'!M11="Masculin",Pays="Kislev"),"sky","")))))</f>
        <v>Jarod</v>
      </c>
      <c r="CP197" s="3"/>
      <c r="CQ197" s="3"/>
      <c r="CR197" s="83" t="s">
        <v>13567</v>
      </c>
      <c r="CS197" s="3"/>
      <c r="CT197" s="3"/>
      <c r="CU197" s="3"/>
      <c r="CV197" s="3"/>
      <c r="CW197" s="3"/>
      <c r="CX197" s="3"/>
      <c r="CY197" t="s">
        <v>14698</v>
      </c>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D197" s="83" t="s">
        <v>14801</v>
      </c>
      <c r="EE197" s="83" t="s">
        <v>12792</v>
      </c>
      <c r="EF197" s="530" t="s">
        <v>17033</v>
      </c>
      <c r="EK197" s="874"/>
      <c r="EU197" s="573" t="str">
        <f>IF(OR(Pays="Norsca",Pays="Désolations du Chaos",Pays="",Pays="Steppes orientales"),"","Brigade de Braganza")</f>
        <v/>
      </c>
      <c r="EV197" s="83" t="str">
        <f t="shared" si="121"/>
        <v/>
      </c>
      <c r="EW197" s="83" t="str">
        <f t="shared" si="125"/>
        <v/>
      </c>
      <c r="EX197" s="530" t="str">
        <f t="shared" si="126"/>
        <v/>
      </c>
      <c r="EY197" s="83" t="s">
        <v>12394</v>
      </c>
      <c r="FB197" s="83" t="s">
        <v>17016</v>
      </c>
      <c r="FC197" s="133" t="s">
        <v>16253</v>
      </c>
      <c r="FD197" s="85" t="s">
        <v>2196</v>
      </c>
      <c r="FE197" s="849">
        <v>196</v>
      </c>
      <c r="FF197">
        <v>41</v>
      </c>
      <c r="FG197">
        <v>0</v>
      </c>
      <c r="FH197">
        <v>44</v>
      </c>
      <c r="FI197">
        <v>48</v>
      </c>
      <c r="FJ197" s="10">
        <v>60</v>
      </c>
      <c r="FK197">
        <v>30</v>
      </c>
      <c r="FL197">
        <v>0</v>
      </c>
      <c r="FM197" s="165">
        <v>5</v>
      </c>
      <c r="FN197" s="88">
        <v>3</v>
      </c>
      <c r="FO197" s="88">
        <v>17</v>
      </c>
      <c r="FP197" s="164">
        <f>ROUNDDOWN(FH197/10,0)</f>
        <v>4</v>
      </c>
      <c r="FQ197" s="164">
        <f>ROUNDDOWN(FI197/10,0)</f>
        <v>4</v>
      </c>
      <c r="FR197" s="683" t="s">
        <v>12592</v>
      </c>
      <c r="FS197" s="88">
        <v>0</v>
      </c>
      <c r="FT197" s="88">
        <v>0</v>
      </c>
      <c r="FU197" s="165">
        <v>0</v>
      </c>
      <c r="FV197" s="84" t="s">
        <v>149</v>
      </c>
      <c r="FW197" s="83" t="s">
        <v>16551</v>
      </c>
      <c r="FX197" s="751" t="s">
        <v>7659</v>
      </c>
      <c r="GA197" s="83" t="s">
        <v>7551</v>
      </c>
      <c r="GF197" t="s">
        <v>7763</v>
      </c>
      <c r="GG197" s="341" t="s">
        <v>9003</v>
      </c>
      <c r="GH197" s="83" t="s">
        <v>9001</v>
      </c>
      <c r="GI197" s="83" t="s">
        <v>9011</v>
      </c>
    </row>
    <row r="198" spans="8:193" ht="13.2" customHeight="1">
      <c r="H198" s="3"/>
      <c r="I198" s="3"/>
      <c r="J198" s="3"/>
      <c r="K198" s="3"/>
      <c r="L198" s="3"/>
      <c r="M198" s="651"/>
      <c r="N198" s="3"/>
      <c r="O198" s="3"/>
      <c r="P198" s="3"/>
      <c r="Q198" s="3"/>
      <c r="R198" s="651"/>
      <c r="S198" s="83" t="str">
        <f>IF(CareerType=Y198,"Intendant",IF(AllCareers="X","Intendant",IF(Selectsousrace="","",IF(OR(SelectRace="homme-bête",SelectRace="peau-verte",SelectRace="créature du chaos",SelectRace="Homme-lézard",SelectRace="skaven"),"",IF(FirstCareer="1ère carrière","","Intendant")))))</f>
        <v/>
      </c>
      <c r="T198" s="106">
        <v>2</v>
      </c>
      <c r="U198" s="693" t="str">
        <f t="shared" si="127"/>
        <v/>
      </c>
      <c r="V198" s="693" t="str">
        <f t="shared" si="128"/>
        <v/>
      </c>
      <c r="W198" s="693" t="str">
        <f t="shared" si="129"/>
        <v/>
      </c>
      <c r="X198" s="47" t="s">
        <v>2153</v>
      </c>
      <c r="Y198" s="743" t="s">
        <v>7132</v>
      </c>
      <c r="Z198" s="55" t="s">
        <v>2200</v>
      </c>
      <c r="AA198" s="47">
        <v>75</v>
      </c>
      <c r="AB198" s="47" t="s">
        <v>2335</v>
      </c>
      <c r="AC198" s="47">
        <v>201</v>
      </c>
      <c r="AD198" s="15" t="s">
        <v>98</v>
      </c>
      <c r="AE198" s="15" t="s">
        <v>98</v>
      </c>
      <c r="AF198" s="15" t="s">
        <v>98</v>
      </c>
      <c r="AG198" s="15" t="s">
        <v>98</v>
      </c>
      <c r="AH198" s="15" t="s">
        <v>149</v>
      </c>
      <c r="AI198" s="15" t="s">
        <v>116</v>
      </c>
      <c r="AJ198" s="15" t="s">
        <v>100</v>
      </c>
      <c r="AK198" s="18" t="s">
        <v>99</v>
      </c>
      <c r="AL198" s="15" t="s">
        <v>149</v>
      </c>
      <c r="AM198" s="15" t="s">
        <v>103</v>
      </c>
      <c r="AN198" s="15" t="s">
        <v>149</v>
      </c>
      <c r="AO198" s="15" t="s">
        <v>149</v>
      </c>
      <c r="AP198" s="87" t="s">
        <v>15852</v>
      </c>
      <c r="AQ198" s="87" t="s">
        <v>734</v>
      </c>
      <c r="AR198" s="22" t="s">
        <v>14861</v>
      </c>
      <c r="AS198" s="87" t="s">
        <v>734</v>
      </c>
      <c r="AT198" s="87" t="s">
        <v>17034</v>
      </c>
      <c r="AU198" s="87" t="s">
        <v>17035</v>
      </c>
      <c r="AV198" s="87" t="s">
        <v>17036</v>
      </c>
      <c r="AW198" s="457">
        <v>0</v>
      </c>
      <c r="AX198" s="630" t="str">
        <f t="shared" si="131"/>
        <v/>
      </c>
      <c r="AY198" s="630" t="str">
        <f t="shared" si="132"/>
        <v/>
      </c>
      <c r="AZ198" s="630" t="str">
        <f t="shared" si="133"/>
        <v/>
      </c>
      <c r="BA198" s="3"/>
      <c r="BB198" s="3"/>
      <c r="BC198" s="3"/>
      <c r="BD198" s="3"/>
      <c r="BE198" s="3"/>
      <c r="BF198" s="3"/>
      <c r="BG198" s="3"/>
      <c r="BH198" s="3"/>
      <c r="BI198" s="3"/>
      <c r="BJ198" s="3"/>
      <c r="BK198" s="3"/>
      <c r="BL198" s="3"/>
      <c r="BM198" s="3"/>
      <c r="BN198" s="3"/>
      <c r="BP198" s="3"/>
      <c r="BQ198" s="3"/>
      <c r="BR198" s="3"/>
      <c r="BS198" s="3"/>
      <c r="BT198" s="3"/>
      <c r="BU198" s="3"/>
      <c r="BV198" s="3"/>
      <c r="BW198" s="3"/>
      <c r="BX198" t="str">
        <f>IF(Pays="Arabie","Tribus qu’sharies","")</f>
        <v/>
      </c>
      <c r="BY198" t="str">
        <f t="shared" si="130"/>
        <v/>
      </c>
      <c r="BZ198" s="83" t="str">
        <f t="shared" si="122"/>
        <v/>
      </c>
      <c r="CA198" s="83" t="str">
        <f t="shared" si="123"/>
        <v/>
      </c>
      <c r="CB198" s="530" t="str">
        <f t="shared" si="124"/>
        <v/>
      </c>
      <c r="CC198" s="3" t="s">
        <v>3343</v>
      </c>
      <c r="CG198" s="3" t="s">
        <v>1080</v>
      </c>
      <c r="CH198" s="3" t="s">
        <v>6059</v>
      </c>
      <c r="CI198" s="3"/>
      <c r="CJ198" s="3"/>
      <c r="CK198" s="3" t="s">
        <v>6915</v>
      </c>
      <c r="CM198" t="s">
        <v>10363</v>
      </c>
      <c r="CN198" s="3"/>
      <c r="CO198" s="3" t="s">
        <v>11001</v>
      </c>
      <c r="CP198" s="3"/>
      <c r="CQ198" s="3"/>
      <c r="CR198" s="3" t="s">
        <v>13568</v>
      </c>
      <c r="CS198" s="3"/>
      <c r="CT198" s="3"/>
      <c r="CU198" s="3"/>
      <c r="CV198" s="3"/>
      <c r="CW198" s="3"/>
      <c r="CX198" s="3"/>
      <c r="CY198" s="3" t="s">
        <v>818</v>
      </c>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D198" s="83" t="s">
        <v>14802</v>
      </c>
      <c r="EE198" s="83" t="s">
        <v>12792</v>
      </c>
      <c r="EF198" s="530" t="s">
        <v>17037</v>
      </c>
      <c r="EK198" s="874"/>
      <c r="EU198" s="573" t="str">
        <f>IF(OR(Pays="Norsca",Pays="Désolations du Chaos",Pays="",Pays="Steppes orientales"),"","Nemrods de Miragliano")</f>
        <v/>
      </c>
      <c r="EV198" s="83" t="str">
        <f t="shared" si="121"/>
        <v/>
      </c>
      <c r="EW198" s="83" t="str">
        <f t="shared" si="125"/>
        <v/>
      </c>
      <c r="EX198" s="530" t="str">
        <f t="shared" si="126"/>
        <v/>
      </c>
      <c r="EY198" s="83" t="s">
        <v>11247</v>
      </c>
      <c r="FB198" s="83" t="s">
        <v>16550</v>
      </c>
      <c r="FC198" s="133" t="s">
        <v>16253</v>
      </c>
      <c r="FD198" s="85" t="s">
        <v>16404</v>
      </c>
      <c r="FE198" s="849">
        <v>38</v>
      </c>
      <c r="FF198">
        <v>57</v>
      </c>
      <c r="FG198">
        <v>25</v>
      </c>
      <c r="FH198">
        <v>40</v>
      </c>
      <c r="FI198">
        <v>10</v>
      </c>
      <c r="FJ198" s="10">
        <v>24</v>
      </c>
      <c r="FK198">
        <v>43</v>
      </c>
      <c r="FL198">
        <v>89</v>
      </c>
      <c r="FM198" s="165">
        <v>14</v>
      </c>
      <c r="FN198" s="88">
        <v>2</v>
      </c>
      <c r="FO198" s="88">
        <v>7</v>
      </c>
      <c r="FP198" s="691">
        <f>ROUNDDOWN(FH198/10,0)</f>
        <v>4</v>
      </c>
      <c r="FQ198" s="691">
        <f>ROUNDDOWN(FI198/10,0)</f>
        <v>1</v>
      </c>
      <c r="FR198" s="10">
        <v>5</v>
      </c>
      <c r="FS198" s="88">
        <v>0</v>
      </c>
      <c r="FT198" s="88">
        <v>0</v>
      </c>
      <c r="FU198" s="165">
        <v>0</v>
      </c>
      <c r="FV198" s="83" t="s">
        <v>15552</v>
      </c>
      <c r="FW198" s="83" t="s">
        <v>16551</v>
      </c>
      <c r="FX198" s="530" t="s">
        <v>7659</v>
      </c>
      <c r="GA198" t="s">
        <v>7529</v>
      </c>
      <c r="GF198" t="s">
        <v>8239</v>
      </c>
      <c r="GG198" s="341" t="s">
        <v>9002</v>
      </c>
      <c r="GH198" s="83" t="s">
        <v>9001</v>
      </c>
      <c r="GI198" s="83" t="s">
        <v>9011</v>
      </c>
    </row>
    <row r="199" spans="8:193" ht="13.2" customHeight="1">
      <c r="H199" s="3"/>
      <c r="I199" s="3"/>
      <c r="J199" s="3"/>
      <c r="K199" s="3"/>
      <c r="L199" s="3"/>
      <c r="M199" s="651"/>
      <c r="N199" s="3"/>
      <c r="O199" s="3"/>
      <c r="P199" s="3"/>
      <c r="Q199" s="3"/>
      <c r="R199" s="651"/>
      <c r="S199" s="83" t="str">
        <f>IF(CareerType=Y199,"Interprète",IF(AllCareers="X","Interprète",IF(OR(Selectsousrace="",SelectRace="homme-bête",SelectRace="peau-verte",SelectRace="créature du chaos",SelectRace="Homme-lézard",SelectRace="skaven"),"",IF(FirstCareer="1ère carrière","",IF(OR(Pays="Désolations du Chaos",Pays="Norsca"),"","Interprète")))))</f>
        <v/>
      </c>
      <c r="T199" s="106">
        <f t="shared" ref="T199:T204" si="134">IF(X199="oui",0,1)</f>
        <v>1</v>
      </c>
      <c r="U199" s="693" t="str">
        <f t="shared" si="127"/>
        <v/>
      </c>
      <c r="V199" s="693" t="str">
        <f t="shared" si="128"/>
        <v/>
      </c>
      <c r="W199" s="693" t="str">
        <f t="shared" si="129"/>
        <v/>
      </c>
      <c r="X199" s="89" t="s">
        <v>2153</v>
      </c>
      <c r="Y199" s="743" t="s">
        <v>7131</v>
      </c>
      <c r="Z199" s="56" t="s">
        <v>9975</v>
      </c>
      <c r="AA199" s="89">
        <v>238</v>
      </c>
      <c r="AB199" s="89" t="s">
        <v>5540</v>
      </c>
      <c r="AD199" s="20" t="s">
        <v>114</v>
      </c>
      <c r="AE199" s="20" t="s">
        <v>114</v>
      </c>
      <c r="AF199" s="20" t="s">
        <v>114</v>
      </c>
      <c r="AG199" s="20" t="s">
        <v>114</v>
      </c>
      <c r="AH199" s="15" t="s">
        <v>98</v>
      </c>
      <c r="AI199" s="15" t="s">
        <v>116</v>
      </c>
      <c r="AJ199" s="15" t="s">
        <v>101</v>
      </c>
      <c r="AK199" s="18" t="s">
        <v>101</v>
      </c>
      <c r="AL199" s="15" t="s">
        <v>149</v>
      </c>
      <c r="AM199" s="15" t="s">
        <v>103</v>
      </c>
      <c r="AN199" s="15" t="s">
        <v>149</v>
      </c>
      <c r="AO199" s="15" t="s">
        <v>149</v>
      </c>
      <c r="AP199" s="87" t="s">
        <v>17038</v>
      </c>
      <c r="AQ199" s="87" t="s">
        <v>734</v>
      </c>
      <c r="AR199" s="87" t="s">
        <v>17039</v>
      </c>
      <c r="AS199" s="87" t="s">
        <v>734</v>
      </c>
      <c r="AT199" s="87" t="s">
        <v>15666</v>
      </c>
      <c r="AU199" s="87" t="s">
        <v>17040</v>
      </c>
      <c r="AV199" s="87" t="s">
        <v>17041</v>
      </c>
      <c r="AW199" s="457">
        <v>10</v>
      </c>
      <c r="AX199" s="630" t="str">
        <f t="shared" si="131"/>
        <v/>
      </c>
      <c r="AY199" s="630" t="str">
        <f t="shared" si="132"/>
        <v/>
      </c>
      <c r="AZ199" s="630" t="str">
        <f t="shared" si="133"/>
        <v/>
      </c>
      <c r="BA199" s="3"/>
      <c r="BB199" s="3"/>
      <c r="BC199" s="3"/>
      <c r="BD199" s="3"/>
      <c r="BE199" s="3"/>
      <c r="BF199" s="3"/>
      <c r="BG199" s="3"/>
      <c r="BH199" s="3"/>
      <c r="BI199" s="3"/>
      <c r="BJ199" s="3"/>
      <c r="BK199" s="3"/>
      <c r="BL199" s="3"/>
      <c r="BM199" s="3"/>
      <c r="BN199" s="3"/>
      <c r="BP199" s="3"/>
      <c r="BQ199" s="3"/>
      <c r="BR199" s="3"/>
      <c r="BS199" s="3"/>
      <c r="BT199" s="3"/>
      <c r="BU199" s="3"/>
      <c r="BV199" s="3"/>
      <c r="BW199" s="3"/>
      <c r="BX199" t="str">
        <f>IF(Pays="Arabie","Tribus scythes","")</f>
        <v/>
      </c>
      <c r="BY199" t="str">
        <f t="shared" si="130"/>
        <v/>
      </c>
      <c r="BZ199" s="83" t="str">
        <f t="shared" si="122"/>
        <v/>
      </c>
      <c r="CA199" s="83" t="str">
        <f t="shared" si="123"/>
        <v/>
      </c>
      <c r="CB199" s="530" t="str">
        <f t="shared" si="124"/>
        <v/>
      </c>
      <c r="CC199" s="3" t="s">
        <v>3344</v>
      </c>
      <c r="CG199" s="83" t="s">
        <v>10167</v>
      </c>
      <c r="CH199" s="3" t="s">
        <v>6060</v>
      </c>
      <c r="CI199" s="3"/>
      <c r="CJ199" s="3"/>
      <c r="CK199" s="3" t="s">
        <v>6878</v>
      </c>
      <c r="CM199" t="s">
        <v>10365</v>
      </c>
      <c r="CN199" s="3"/>
      <c r="CO199" s="3" t="str">
        <f>CONCATENATE("Kadgar",IF(AND('page 1'!M11="Féminin",Pays="Norsca"),"dottir",IF(AND('page 1'!M11="Masculin",Pays="Norsca"),"son",IF(AND('page 1'!M11="Féminin",Pays="Kislev"),"ovna",IF(AND('page 1'!M11="Masculin",Pays="Kislev"),"sky","")))))</f>
        <v>Kadgar</v>
      </c>
      <c r="CP199" s="3"/>
      <c r="CQ199" s="3"/>
      <c r="CR199" s="3" t="s">
        <v>13569</v>
      </c>
      <c r="CS199" s="3"/>
      <c r="CT199" s="3"/>
      <c r="CU199" s="3"/>
      <c r="CV199" s="3"/>
      <c r="CW199" s="3"/>
      <c r="CX199" s="3"/>
      <c r="CY199" s="3" t="s">
        <v>2879</v>
      </c>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D199" s="83" t="s">
        <v>14804</v>
      </c>
      <c r="EE199" s="83" t="s">
        <v>12792</v>
      </c>
      <c r="EF199" s="530" t="s">
        <v>17042</v>
      </c>
      <c r="EK199" s="874"/>
      <c r="EU199" s="573" t="str">
        <f>IF(OR(Pays="Norsca",Pays="Désolations du Chaos",Pays="",Pays="Steppes orientales"),"","Vengeurs de Vespéro")</f>
        <v/>
      </c>
      <c r="EV199" s="83" t="str">
        <f t="shared" si="121"/>
        <v/>
      </c>
      <c r="EW199" s="83" t="str">
        <f t="shared" si="125"/>
        <v/>
      </c>
      <c r="EX199" s="530" t="str">
        <f t="shared" si="126"/>
        <v/>
      </c>
      <c r="EY199" s="83" t="s">
        <v>11249</v>
      </c>
      <c r="EZ199" s="530" t="s">
        <v>11248</v>
      </c>
      <c r="FB199" s="85" t="s">
        <v>14923</v>
      </c>
      <c r="FC199" s="133" t="s">
        <v>16253</v>
      </c>
      <c r="FD199" s="85" t="s">
        <v>14900</v>
      </c>
      <c r="FE199" s="849">
        <v>42</v>
      </c>
      <c r="FF199">
        <v>43</v>
      </c>
      <c r="FG199">
        <v>0</v>
      </c>
      <c r="FH199">
        <v>37</v>
      </c>
      <c r="FI199">
        <v>41</v>
      </c>
      <c r="FJ199" s="755">
        <v>33</v>
      </c>
      <c r="FK199">
        <v>0</v>
      </c>
      <c r="FL199">
        <v>0</v>
      </c>
      <c r="FM199" s="165">
        <v>0</v>
      </c>
      <c r="FN199" s="88">
        <v>1</v>
      </c>
      <c r="FO199" s="88">
        <v>7</v>
      </c>
      <c r="FP199" s="691">
        <f>ROUNDDOWN(FH199/10,0)</f>
        <v>3</v>
      </c>
      <c r="FQ199" s="691">
        <f>ROUNDDOWN(FI199/10,0)</f>
        <v>4</v>
      </c>
      <c r="FR199" s="683" t="s">
        <v>14920</v>
      </c>
      <c r="FS199" s="88">
        <v>0</v>
      </c>
      <c r="FT199" s="88">
        <v>0</v>
      </c>
      <c r="FU199" s="165">
        <v>0</v>
      </c>
      <c r="FV199" s="84" t="s">
        <v>149</v>
      </c>
      <c r="FW199" s="83" t="s">
        <v>14924</v>
      </c>
      <c r="FX199" s="751" t="s">
        <v>7659</v>
      </c>
      <c r="GA199" t="s">
        <v>7354</v>
      </c>
      <c r="GF199" t="s">
        <v>7764</v>
      </c>
      <c r="GG199" s="341" t="s">
        <v>7506</v>
      </c>
      <c r="GH199" s="83" t="s">
        <v>9001</v>
      </c>
      <c r="GI199" s="83" t="s">
        <v>9011</v>
      </c>
    </row>
    <row r="200" spans="8:193" ht="13.2" customHeight="1">
      <c r="H200" s="3"/>
      <c r="I200" s="3"/>
      <c r="J200" s="3"/>
      <c r="K200" s="3"/>
      <c r="L200" s="3"/>
      <c r="M200" s="651"/>
      <c r="N200" s="3"/>
      <c r="O200" s="3"/>
      <c r="P200" s="3"/>
      <c r="Q200" s="3"/>
      <c r="R200" s="651"/>
      <c r="S200" s="83" t="str">
        <f>IF(OR(CareerType=Y200,AllCareers="X"),"Investigateur verenéen/ Inquisiteur estalien",IF(Selectsousrace="","",IF(OR(SelectRace="homme-bête",SelectRace="peau-verte",SelectRace="créature du chaos",SelectRace="Homme-lézard",SelectRace="skaven"),"",IF(FirstCareer="1ère carrière","",IF(Pays="Estalie","Inquisiteur estalien","Investigateur verenéen")))))</f>
        <v/>
      </c>
      <c r="T200" s="106">
        <f t="shared" si="134"/>
        <v>1</v>
      </c>
      <c r="U200" s="693" t="str">
        <f t="shared" si="127"/>
        <v/>
      </c>
      <c r="V200" s="693" t="str">
        <f t="shared" si="128"/>
        <v/>
      </c>
      <c r="W200" s="693" t="str">
        <f t="shared" si="129"/>
        <v/>
      </c>
      <c r="X200" s="47" t="s">
        <v>2153</v>
      </c>
      <c r="Y200" s="743" t="s">
        <v>7134</v>
      </c>
      <c r="Z200" s="55" t="s">
        <v>15690</v>
      </c>
      <c r="AA200" s="89" t="s">
        <v>15691</v>
      </c>
      <c r="AB200" s="89" t="s">
        <v>13085</v>
      </c>
      <c r="AC200" s="47">
        <v>218</v>
      </c>
      <c r="AD200" s="15" t="s">
        <v>98</v>
      </c>
      <c r="AE200" s="15" t="s">
        <v>98</v>
      </c>
      <c r="AF200" s="15" t="s">
        <v>98</v>
      </c>
      <c r="AG200" s="15" t="s">
        <v>98</v>
      </c>
      <c r="AH200" s="15" t="s">
        <v>100</v>
      </c>
      <c r="AI200" s="15" t="s">
        <v>116</v>
      </c>
      <c r="AJ200" s="15" t="s">
        <v>100</v>
      </c>
      <c r="AK200" s="18" t="s">
        <v>100</v>
      </c>
      <c r="AL200" s="15" t="s">
        <v>102</v>
      </c>
      <c r="AM200" s="15" t="s">
        <v>114</v>
      </c>
      <c r="AN200" s="15" t="s">
        <v>149</v>
      </c>
      <c r="AO200" s="15" t="s">
        <v>149</v>
      </c>
      <c r="AP200" s="87" t="s">
        <v>15678</v>
      </c>
      <c r="AQ200" s="87" t="s">
        <v>734</v>
      </c>
      <c r="AR200" s="22" t="s">
        <v>3793</v>
      </c>
      <c r="AS200" s="87" t="s">
        <v>734</v>
      </c>
      <c r="AT200" s="87" t="s">
        <v>15692</v>
      </c>
      <c r="AU200" s="630" t="str">
        <f>CONCATENATE("Commandement OU Charisme, Commérage, Connaissances académiques (droit et théologie)"&amp;"Connaissances académiques (une au choix), Crochetage, Déguisement, Déplacement silencieux"&amp;"Dissimulation, Escamotage, Filature, Fouille, Langue (classique), Lire/Ecrire, Perception, Pistage",IF(Pays="Empire","Alphabet secret (un au choix), Connaissances générales (Empire)",IF(Pays="Estalie","Connaissances générales (Estalie), Torture OU Intimidation","")))</f>
        <v>Commandement OU Charisme, Commérage, Connaissances académiques (droit et théologie)Connaissances académiques (une au choix), Crochetage, Déguisement, Déplacement silencieuxDissimulation, Escamotage, Filature, Fouille, Langue (classique), Lire/Ecrire, Perception, Pistage</v>
      </c>
      <c r="AV200" s="87" t="s">
        <v>4719</v>
      </c>
      <c r="AW200" s="457">
        <v>0</v>
      </c>
      <c r="AX200" s="630" t="str">
        <f t="shared" si="131"/>
        <v/>
      </c>
      <c r="AY200" s="630" t="str">
        <f t="shared" si="132"/>
        <v/>
      </c>
      <c r="AZ200" s="630" t="str">
        <f t="shared" si="133"/>
        <v/>
      </c>
      <c r="BA200" s="3"/>
      <c r="BB200" s="17"/>
      <c r="BC200" s="3"/>
      <c r="BD200" s="3"/>
      <c r="BE200" s="3"/>
      <c r="BF200" s="3"/>
      <c r="BG200" s="3"/>
      <c r="BH200" s="3"/>
      <c r="BI200" s="3"/>
      <c r="BJ200" s="3"/>
      <c r="BK200" s="3"/>
      <c r="BL200" s="3"/>
      <c r="BM200" s="3"/>
      <c r="BN200" s="3"/>
      <c r="BP200" s="3"/>
      <c r="BQ200" s="3"/>
      <c r="BR200" s="3"/>
      <c r="BS200" s="3"/>
      <c r="BT200" s="3"/>
      <c r="BU200" s="3"/>
      <c r="BV200" s="3"/>
      <c r="BW200" s="3"/>
      <c r="BX200" t="str">
        <f>IF(Pays="Arabie","Tribus touaregues","")</f>
        <v/>
      </c>
      <c r="BY200" t="str">
        <f t="shared" si="130"/>
        <v/>
      </c>
      <c r="BZ200" s="83" t="str">
        <f t="shared" si="122"/>
        <v/>
      </c>
      <c r="CA200" s="83" t="str">
        <f t="shared" si="123"/>
        <v/>
      </c>
      <c r="CB200" s="530" t="str">
        <f t="shared" si="124"/>
        <v/>
      </c>
      <c r="CC200" s="3" t="s">
        <v>1051</v>
      </c>
      <c r="CG200" s="83" t="s">
        <v>11259</v>
      </c>
      <c r="CH200" s="3" t="s">
        <v>6061</v>
      </c>
      <c r="CI200" s="3"/>
      <c r="CJ200" s="3"/>
      <c r="CK200" s="3" t="s">
        <v>6752</v>
      </c>
      <c r="CM200" s="83" t="s">
        <v>11802</v>
      </c>
      <c r="CN200" s="3"/>
      <c r="CO200" s="3" t="s">
        <v>11003</v>
      </c>
      <c r="CP200" s="3"/>
      <c r="CQ200" s="3"/>
      <c r="CR200" s="3" t="s">
        <v>13570</v>
      </c>
      <c r="CS200" s="3"/>
      <c r="CT200" s="3"/>
      <c r="CU200" s="3"/>
      <c r="CV200" s="3"/>
      <c r="CW200" s="3"/>
      <c r="CX200" s="3"/>
      <c r="CY200" s="83" t="s">
        <v>12463</v>
      </c>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D200" s="83" t="s">
        <v>16285</v>
      </c>
      <c r="EE200" s="83" t="s">
        <v>144</v>
      </c>
      <c r="EF200" s="530" t="s">
        <v>16286</v>
      </c>
      <c r="EK200" s="874"/>
      <c r="EU200" s="573" t="str">
        <f>IF(OR(Pays="Norsca",Pays="Désolations du Chaos",Pays="",Pays="Steppes orientales"),"","Vauriens de Voland")</f>
        <v/>
      </c>
      <c r="EV200" s="83" t="str">
        <f t="shared" si="121"/>
        <v/>
      </c>
      <c r="EW200" s="83" t="str">
        <f t="shared" si="125"/>
        <v/>
      </c>
      <c r="EX200" s="530" t="str">
        <f t="shared" si="126"/>
        <v/>
      </c>
      <c r="EY200" s="83" t="s">
        <v>17043</v>
      </c>
      <c r="EZ200" s="530" t="s">
        <v>259</v>
      </c>
      <c r="FB200" s="85" t="s">
        <v>15551</v>
      </c>
      <c r="FC200" s="133" t="s">
        <v>16253</v>
      </c>
      <c r="FD200" s="85" t="s">
        <v>15548</v>
      </c>
      <c r="FE200" s="849">
        <v>99</v>
      </c>
      <c r="FF200">
        <v>38</v>
      </c>
      <c r="FG200">
        <v>33</v>
      </c>
      <c r="FH200">
        <v>42</v>
      </c>
      <c r="FI200">
        <v>45</v>
      </c>
      <c r="FJ200" s="10">
        <v>36</v>
      </c>
      <c r="FK200">
        <v>24</v>
      </c>
      <c r="FL200">
        <v>36</v>
      </c>
      <c r="FM200" s="165">
        <v>15</v>
      </c>
      <c r="FN200" s="88">
        <v>2</v>
      </c>
      <c r="FO200" s="88">
        <v>16</v>
      </c>
      <c r="FP200" s="691">
        <f>ROUNDDOWN(FH200/10,0)</f>
        <v>4</v>
      </c>
      <c r="FQ200" s="691">
        <f>ROUNDDOWN(FI200/10,0)</f>
        <v>4</v>
      </c>
      <c r="FR200" s="10">
        <v>4</v>
      </c>
      <c r="FS200" s="88">
        <v>0</v>
      </c>
      <c r="FT200" s="88">
        <v>0</v>
      </c>
      <c r="FU200" s="165">
        <v>0</v>
      </c>
      <c r="FV200" s="83" t="s">
        <v>15552</v>
      </c>
      <c r="FW200" s="83" t="s">
        <v>15553</v>
      </c>
      <c r="FX200" s="530" t="s">
        <v>7659</v>
      </c>
      <c r="GA200" t="s">
        <v>7506</v>
      </c>
      <c r="GF200" t="s">
        <v>7765</v>
      </c>
      <c r="GG200" s="341" t="s">
        <v>9007</v>
      </c>
      <c r="GH200" s="83" t="s">
        <v>9001</v>
      </c>
      <c r="GI200" s="83" t="s">
        <v>9011</v>
      </c>
    </row>
    <row r="201" spans="8:193" ht="13.2" customHeight="1">
      <c r="H201" s="3"/>
      <c r="I201" s="3"/>
      <c r="J201" s="3"/>
      <c r="K201" s="3"/>
      <c r="L201" s="3"/>
      <c r="M201" s="651"/>
      <c r="N201" s="3"/>
      <c r="O201" s="3"/>
      <c r="P201" s="3"/>
      <c r="Q201" s="3"/>
      <c r="R201" s="651"/>
      <c r="S201" s="83" t="str">
        <f>IF(CareerType=Y201,"Janissaire",IF(AllCareers="X","Janissaire",IF(OR(Selectsousrace="",SelectRace="Vampire"),"",IF(OR(SelectRace="homme-bête",SelectRace="peau-verte",SelectRace="créature du chaos",SelectRace="Homme-lézard"),"Janissaire",IF(OR(Pays="Désolations du Chaos",Pays="Norsca"),"","Janissaire")))))</f>
        <v/>
      </c>
      <c r="T201" s="106">
        <f t="shared" si="134"/>
        <v>0</v>
      </c>
      <c r="U201" s="693" t="str">
        <f t="shared" si="127"/>
        <v/>
      </c>
      <c r="V201" s="693" t="str">
        <f t="shared" si="128"/>
        <v/>
      </c>
      <c r="W201" s="693" t="str">
        <f t="shared" si="129"/>
        <v/>
      </c>
      <c r="X201" s="89" t="s">
        <v>2160</v>
      </c>
      <c r="Y201" s="743" t="s">
        <v>7130</v>
      </c>
      <c r="Z201" s="56" t="s">
        <v>9975</v>
      </c>
      <c r="AA201" s="89">
        <v>238</v>
      </c>
      <c r="AB201" s="89" t="s">
        <v>10038</v>
      </c>
      <c r="AD201" s="105" t="s">
        <v>98</v>
      </c>
      <c r="AE201" s="105" t="s">
        <v>149</v>
      </c>
      <c r="AF201" s="105" t="s">
        <v>114</v>
      </c>
      <c r="AG201" s="105" t="s">
        <v>114</v>
      </c>
      <c r="AH201" s="105" t="s">
        <v>114</v>
      </c>
      <c r="AI201" s="105" t="s">
        <v>149</v>
      </c>
      <c r="AJ201" s="105" t="s">
        <v>114</v>
      </c>
      <c r="AK201" s="443" t="s">
        <v>98</v>
      </c>
      <c r="AL201" s="105" t="s">
        <v>149</v>
      </c>
      <c r="AM201" s="105" t="s">
        <v>113</v>
      </c>
      <c r="AN201" s="105" t="s">
        <v>149</v>
      </c>
      <c r="AO201" s="105" t="s">
        <v>149</v>
      </c>
      <c r="AP201" s="87" t="s">
        <v>15137</v>
      </c>
      <c r="AQ201" s="87" t="s">
        <v>734</v>
      </c>
      <c r="AR201" s="87" t="s">
        <v>12274</v>
      </c>
      <c r="AS201" s="87" t="s">
        <v>734</v>
      </c>
      <c r="AT201" s="87" t="s">
        <v>10082</v>
      </c>
      <c r="AU201" s="87" t="s">
        <v>10083</v>
      </c>
      <c r="AV201" s="87" t="s">
        <v>10084</v>
      </c>
      <c r="AW201" s="458">
        <v>0</v>
      </c>
      <c r="AX201" s="630" t="str">
        <f t="shared" si="131"/>
        <v/>
      </c>
      <c r="AY201" s="630" t="str">
        <f t="shared" si="132"/>
        <v/>
      </c>
      <c r="AZ201" s="630" t="str">
        <f t="shared" si="133"/>
        <v/>
      </c>
      <c r="BA201" s="3"/>
      <c r="BB201" s="3"/>
      <c r="BC201" s="3"/>
      <c r="BD201" s="3"/>
      <c r="BE201" s="3"/>
      <c r="BF201" s="3"/>
      <c r="BG201" s="3"/>
      <c r="BH201" s="3"/>
      <c r="BI201" s="3"/>
      <c r="BJ201" s="3"/>
      <c r="BK201" s="3"/>
      <c r="BL201" s="3"/>
      <c r="BM201" s="3"/>
      <c r="BN201" s="3"/>
      <c r="BP201" s="3"/>
      <c r="BQ201" s="3"/>
      <c r="BR201" s="3"/>
      <c r="BS201" s="3"/>
      <c r="BT201" s="3"/>
      <c r="BU201" s="3"/>
      <c r="BV201" s="3"/>
      <c r="BW201" s="3"/>
      <c r="BX201" t="str">
        <f>IF(Pays="Arabie","Tribus turjukes","")</f>
        <v/>
      </c>
      <c r="BY201" t="str">
        <f t="shared" si="130"/>
        <v/>
      </c>
      <c r="BZ201" s="83" t="str">
        <f t="shared" si="122"/>
        <v/>
      </c>
      <c r="CA201" s="83" t="str">
        <f t="shared" si="123"/>
        <v/>
      </c>
      <c r="CB201" s="530" t="str">
        <f t="shared" si="124"/>
        <v/>
      </c>
      <c r="CC201" s="3" t="s">
        <v>3345</v>
      </c>
      <c r="CG201" s="3" t="s">
        <v>6280</v>
      </c>
      <c r="CH201" s="3" t="s">
        <v>6062</v>
      </c>
      <c r="CI201" s="3"/>
      <c r="CJ201" s="3"/>
      <c r="CK201" s="3" t="s">
        <v>6798</v>
      </c>
      <c r="CM201" t="s">
        <v>10366</v>
      </c>
      <c r="CN201" s="3"/>
      <c r="CO201" s="3" t="s">
        <v>11004</v>
      </c>
      <c r="CP201" s="3"/>
      <c r="CQ201" s="3"/>
      <c r="CR201" s="3" t="s">
        <v>13571</v>
      </c>
      <c r="CS201" s="3"/>
      <c r="CT201" s="3"/>
      <c r="CU201" s="3"/>
      <c r="CV201" s="3"/>
      <c r="CW201" s="3"/>
      <c r="CX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D201" s="83" t="s">
        <v>12793</v>
      </c>
      <c r="EE201" s="83" t="s">
        <v>144</v>
      </c>
      <c r="EF201" s="530" t="s">
        <v>12795</v>
      </c>
      <c r="EK201" s="874"/>
      <c r="EU201" s="573" t="str">
        <f>IF(Pays="Tilée","Hommes Oiseaux de Catrazza","")</f>
        <v/>
      </c>
      <c r="EV201" s="83" t="str">
        <f t="shared" si="121"/>
        <v/>
      </c>
      <c r="EW201" s="83" t="str">
        <f t="shared" si="125"/>
        <v/>
      </c>
      <c r="EX201" s="530" t="str">
        <f t="shared" si="126"/>
        <v/>
      </c>
      <c r="EY201" s="83" t="s">
        <v>11251</v>
      </c>
      <c r="FB201" s="85" t="s">
        <v>15625</v>
      </c>
      <c r="FC201" s="133" t="s">
        <v>16253</v>
      </c>
      <c r="FD201" s="85" t="s">
        <v>15548</v>
      </c>
      <c r="FE201" s="849">
        <v>112</v>
      </c>
      <c r="FF201">
        <v>33</v>
      </c>
      <c r="FG201">
        <v>0</v>
      </c>
      <c r="FH201">
        <v>64</v>
      </c>
      <c r="FI201">
        <v>64</v>
      </c>
      <c r="FJ201" s="10">
        <v>11</v>
      </c>
      <c r="FK201">
        <v>0</v>
      </c>
      <c r="FL201">
        <v>0</v>
      </c>
      <c r="FM201" s="165">
        <v>0</v>
      </c>
      <c r="FN201" s="88">
        <v>2</v>
      </c>
      <c r="FO201" s="88">
        <v>26</v>
      </c>
      <c r="FP201" s="691">
        <f>ROUNDDOWN(FH201/10,0)</f>
        <v>6</v>
      </c>
      <c r="FQ201" s="691">
        <f>ROUNDDOWN(FI201/10,0)</f>
        <v>6</v>
      </c>
      <c r="FR201" s="10">
        <v>2</v>
      </c>
      <c r="FS201" s="88">
        <v>0</v>
      </c>
      <c r="FT201" s="88">
        <v>0</v>
      </c>
      <c r="FU201" s="165">
        <v>0</v>
      </c>
      <c r="FV201" s="84" t="s">
        <v>149</v>
      </c>
      <c r="FW201" s="83" t="s">
        <v>15626</v>
      </c>
      <c r="FX201" s="530" t="s">
        <v>7659</v>
      </c>
      <c r="GA201" t="s">
        <v>7507</v>
      </c>
      <c r="GF201" t="s">
        <v>7766</v>
      </c>
      <c r="GG201" s="341" t="s">
        <v>9017</v>
      </c>
      <c r="GH201" s="83" t="s">
        <v>9012</v>
      </c>
      <c r="GI201" s="83" t="s">
        <v>9011</v>
      </c>
    </row>
    <row r="202" spans="8:193" ht="13.2" customHeight="1">
      <c r="H202" s="3"/>
      <c r="I202" s="3"/>
      <c r="J202" s="3"/>
      <c r="K202" s="3"/>
      <c r="L202" s="3"/>
      <c r="M202" s="651"/>
      <c r="N202" s="3"/>
      <c r="O202" s="3"/>
      <c r="P202" s="3"/>
      <c r="Q202" s="3"/>
      <c r="R202" s="651"/>
      <c r="S202" s="83" t="str">
        <f>IF(CareerType=Y202,"Joueur",IF(AllCareers="X","Joueur",IF(OR(SelectRace="homme-bête",SelectRace="peau-verte",SelectRace="créature du chaos",SelectRace="Homme-lézard",SelectRace="skaven"),"",IF(OR(Pays="Désolations du Chaos",Pays="Norsca"),"",IF(SelectRace="Nain","Joueur",IF(SelectRace="Humain","Joueur",IF(SelectRace="Halfling","Joueur","")))))))</f>
        <v/>
      </c>
      <c r="T202" s="106">
        <f t="shared" si="134"/>
        <v>0</v>
      </c>
      <c r="U202" s="693" t="str">
        <f t="shared" si="127"/>
        <v/>
      </c>
      <c r="V202" s="693" t="str">
        <f t="shared" si="128"/>
        <v/>
      </c>
      <c r="W202" s="693" t="str">
        <f t="shared" si="129"/>
        <v/>
      </c>
      <c r="X202" s="47" t="s">
        <v>2160</v>
      </c>
      <c r="Y202" s="743" t="s">
        <v>7133</v>
      </c>
      <c r="Z202" s="55" t="s">
        <v>2208</v>
      </c>
      <c r="AA202" s="47">
        <v>121</v>
      </c>
      <c r="AB202" s="47" t="s">
        <v>2336</v>
      </c>
      <c r="AC202" s="47">
        <v>86</v>
      </c>
      <c r="AD202" s="15" t="s">
        <v>114</v>
      </c>
      <c r="AE202" s="15" t="s">
        <v>114</v>
      </c>
      <c r="AF202" s="15" t="s">
        <v>149</v>
      </c>
      <c r="AG202" s="15" t="s">
        <v>149</v>
      </c>
      <c r="AH202" s="15" t="s">
        <v>98</v>
      </c>
      <c r="AI202" s="15" t="s">
        <v>98</v>
      </c>
      <c r="AJ202" s="15" t="s">
        <v>149</v>
      </c>
      <c r="AK202" s="18" t="s">
        <v>98</v>
      </c>
      <c r="AL202" s="15" t="s">
        <v>149</v>
      </c>
      <c r="AM202" s="15" t="s">
        <v>113</v>
      </c>
      <c r="AN202" s="15" t="s">
        <v>149</v>
      </c>
      <c r="AO202" s="15" t="s">
        <v>149</v>
      </c>
      <c r="AP202" s="87" t="s">
        <v>17044</v>
      </c>
      <c r="AQ202" s="87" t="s">
        <v>734</v>
      </c>
      <c r="AR202" s="22" t="s">
        <v>2337</v>
      </c>
      <c r="AS202" s="22" t="s">
        <v>734</v>
      </c>
      <c r="AT202" s="87" t="s">
        <v>17045</v>
      </c>
      <c r="AU202" s="87" t="s">
        <v>17046</v>
      </c>
      <c r="AV202" s="87" t="s">
        <v>4723</v>
      </c>
      <c r="AW202" s="457">
        <v>0</v>
      </c>
      <c r="AX202" s="630" t="str">
        <f t="shared" si="131"/>
        <v/>
      </c>
      <c r="AY202" s="630" t="str">
        <f t="shared" si="132"/>
        <v/>
      </c>
      <c r="AZ202" s="630" t="str">
        <f t="shared" si="133"/>
        <v/>
      </c>
      <c r="BA202" s="3"/>
      <c r="BB202" s="3"/>
      <c r="BC202" s="3"/>
      <c r="BD202" s="3"/>
      <c r="BE202" s="3"/>
      <c r="BF202" s="3"/>
      <c r="BG202" s="3"/>
      <c r="BH202" s="3"/>
      <c r="BI202" s="3"/>
      <c r="BJ202" s="3"/>
      <c r="BK202" s="3"/>
      <c r="BL202" s="3"/>
      <c r="BM202" s="3"/>
      <c r="BN202" s="3"/>
      <c r="BP202" s="3"/>
      <c r="BQ202" s="3"/>
      <c r="BR202" s="3"/>
      <c r="BS202" s="3"/>
      <c r="BT202" s="3"/>
      <c r="BU202" s="3"/>
      <c r="BV202" s="3"/>
      <c r="BW202" s="3"/>
      <c r="BX202" t="str">
        <f>IF(Pays="Arabie","Tribus zamezies","")</f>
        <v/>
      </c>
      <c r="BY202" t="str">
        <f t="shared" si="130"/>
        <v/>
      </c>
      <c r="BZ202" s="83" t="str">
        <f t="shared" si="122"/>
        <v/>
      </c>
      <c r="CA202" s="83" t="str">
        <f t="shared" si="123"/>
        <v/>
      </c>
      <c r="CB202" s="530" t="str">
        <f t="shared" si="124"/>
        <v/>
      </c>
      <c r="CC202" s="3" t="s">
        <v>3346</v>
      </c>
      <c r="CG202" s="3" t="s">
        <v>6281</v>
      </c>
      <c r="CH202" s="3" t="s">
        <v>6063</v>
      </c>
      <c r="CI202" s="3"/>
      <c r="CJ202" s="3"/>
      <c r="CK202" s="3" t="s">
        <v>6839</v>
      </c>
      <c r="CM202" t="s">
        <v>10367</v>
      </c>
      <c r="CN202" s="3"/>
      <c r="CO202" s="3" t="s">
        <v>11006</v>
      </c>
      <c r="CP202" s="83"/>
      <c r="CQ202" s="83"/>
      <c r="CR202" s="3" t="s">
        <v>13572</v>
      </c>
      <c r="CS202" s="3"/>
      <c r="CT202" s="3"/>
      <c r="CU202" s="3"/>
      <c r="CV202" s="3"/>
      <c r="CW202" s="3"/>
      <c r="CX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D202" s="83" t="s">
        <v>16284</v>
      </c>
      <c r="EE202" s="83" t="s">
        <v>144</v>
      </c>
      <c r="EF202" s="530" t="s">
        <v>12794</v>
      </c>
      <c r="EK202" s="874"/>
      <c r="EU202" s="573" t="str">
        <f>IF(Pays="Tilée","Confrérie d'Alcatani","")</f>
        <v/>
      </c>
      <c r="EV202" s="83" t="str">
        <f t="shared" si="121"/>
        <v/>
      </c>
      <c r="EW202" s="83" t="str">
        <f t="shared" si="125"/>
        <v/>
      </c>
      <c r="EX202" s="530" t="str">
        <f t="shared" si="126"/>
        <v/>
      </c>
      <c r="EZ202" s="530" t="s">
        <v>11252</v>
      </c>
      <c r="FB202" s="85" t="s">
        <v>15176</v>
      </c>
      <c r="FC202" s="133" t="s">
        <v>16253</v>
      </c>
      <c r="FD202" s="85" t="s">
        <v>15269</v>
      </c>
      <c r="FE202" s="849">
        <v>97</v>
      </c>
      <c r="FF202">
        <v>32</v>
      </c>
      <c r="FG202">
        <v>0</v>
      </c>
      <c r="FH202">
        <v>37</v>
      </c>
      <c r="FI202">
        <v>45</v>
      </c>
      <c r="FJ202" s="10">
        <v>34</v>
      </c>
      <c r="FK202">
        <v>18</v>
      </c>
      <c r="FL202">
        <v>31</v>
      </c>
      <c r="FM202" s="165">
        <v>5</v>
      </c>
      <c r="FN202" s="88">
        <v>2</v>
      </c>
      <c r="FO202" s="88">
        <v>11</v>
      </c>
      <c r="FP202" s="691">
        <f>ROUNDDOWN(FH202/10,0)</f>
        <v>3</v>
      </c>
      <c r="FQ202" s="691">
        <f>ROUNDDOWN(FI202/10,0)</f>
        <v>4</v>
      </c>
      <c r="FR202" s="10">
        <v>4</v>
      </c>
      <c r="FS202" s="88">
        <v>0</v>
      </c>
      <c r="FT202" s="88">
        <v>0</v>
      </c>
      <c r="FU202" s="165">
        <v>0</v>
      </c>
      <c r="FV202" s="83" t="s">
        <v>15177</v>
      </c>
      <c r="FW202" s="83" t="s">
        <v>15178</v>
      </c>
      <c r="FX202" s="530" t="s">
        <v>7659</v>
      </c>
      <c r="GA202" t="s">
        <v>7508</v>
      </c>
      <c r="GF202" t="s">
        <v>8227</v>
      </c>
      <c r="GG202" s="341" t="s">
        <v>9022</v>
      </c>
      <c r="GH202" s="83" t="s">
        <v>9012</v>
      </c>
      <c r="GI202" s="83" t="s">
        <v>9011</v>
      </c>
    </row>
    <row r="203" spans="8:193" ht="13.2" customHeight="1">
      <c r="H203" s="3"/>
      <c r="I203" s="3"/>
      <c r="J203" s="3"/>
      <c r="K203" s="3"/>
      <c r="L203" s="3"/>
      <c r="M203" s="651"/>
      <c r="N203" s="3"/>
      <c r="O203" s="3"/>
      <c r="P203" s="3"/>
      <c r="Q203" s="3"/>
      <c r="R203" s="651"/>
      <c r="S203" s="83" t="str">
        <f>IF(CareerType=Y203,"Kossar kislevite",IF(AllCareers="X","Kossar kislevite",IF(OR(SelectRace="homme-bête",SelectRace="peau-verte",SelectRace="créature du chaos",SelectRace="Homme-lézard",SelectRace="skaven",SelectRace="Vampire"),"",IF(Pays="Kislev","Kossar kislevite",""))))</f>
        <v/>
      </c>
      <c r="T203" s="106">
        <f t="shared" si="134"/>
        <v>0</v>
      </c>
      <c r="U203" s="693" t="str">
        <f t="shared" si="127"/>
        <v/>
      </c>
      <c r="V203" s="693" t="str">
        <f t="shared" si="128"/>
        <v/>
      </c>
      <c r="W203" s="693" t="str">
        <f t="shared" si="129"/>
        <v/>
      </c>
      <c r="X203" s="47" t="s">
        <v>2160</v>
      </c>
      <c r="Y203" s="743" t="s">
        <v>7130</v>
      </c>
      <c r="Z203" s="55" t="s">
        <v>2200</v>
      </c>
      <c r="AA203" s="47">
        <v>47</v>
      </c>
      <c r="AB203" s="47" t="s">
        <v>2338</v>
      </c>
      <c r="AC203" s="47">
        <v>120</v>
      </c>
      <c r="AD203" s="15" t="s">
        <v>98</v>
      </c>
      <c r="AE203" s="15" t="s">
        <v>98</v>
      </c>
      <c r="AF203" s="15" t="s">
        <v>149</v>
      </c>
      <c r="AG203" s="15" t="s">
        <v>98</v>
      </c>
      <c r="AH203" s="15" t="s">
        <v>149</v>
      </c>
      <c r="AI203" s="15" t="s">
        <v>149</v>
      </c>
      <c r="AJ203" s="15" t="s">
        <v>98</v>
      </c>
      <c r="AK203" s="18" t="s">
        <v>149</v>
      </c>
      <c r="AL203" s="15" t="s">
        <v>149</v>
      </c>
      <c r="AM203" s="15" t="s">
        <v>113</v>
      </c>
      <c r="AN203" s="15" t="s">
        <v>149</v>
      </c>
      <c r="AO203" s="15" t="s">
        <v>149</v>
      </c>
      <c r="AP203" s="22" t="s">
        <v>1030</v>
      </c>
      <c r="AQ203" s="87" t="s">
        <v>734</v>
      </c>
      <c r="AR203" s="22" t="s">
        <v>15670</v>
      </c>
      <c r="AS203" s="22" t="s">
        <v>734</v>
      </c>
      <c r="AT203" s="22" t="s">
        <v>3477</v>
      </c>
      <c r="AU203" s="87" t="s">
        <v>17047</v>
      </c>
      <c r="AV203" s="87" t="s">
        <v>4611</v>
      </c>
      <c r="AW203" s="457">
        <v>0</v>
      </c>
      <c r="AX203" s="630" t="str">
        <f t="shared" si="131"/>
        <v/>
      </c>
      <c r="AY203" s="630" t="str">
        <f t="shared" si="132"/>
        <v/>
      </c>
      <c r="AZ203" s="630" t="str">
        <f t="shared" si="133"/>
        <v/>
      </c>
      <c r="BA203" s="3"/>
      <c r="BB203" s="3"/>
      <c r="BC203" s="3"/>
      <c r="BD203" s="3"/>
      <c r="BE203" s="3"/>
      <c r="BF203" s="3"/>
      <c r="BG203" s="3"/>
      <c r="BH203" s="3"/>
      <c r="BI203" s="3"/>
      <c r="BJ203" s="3"/>
      <c r="BK203" s="3"/>
      <c r="BL203" s="3"/>
      <c r="BM203" s="3"/>
      <c r="BN203" s="3"/>
      <c r="BP203" s="3"/>
      <c r="BQ203" s="3"/>
      <c r="BR203" s="3"/>
      <c r="BS203" s="3"/>
      <c r="BT203" s="3"/>
      <c r="BU203" s="3"/>
      <c r="BV203" s="3"/>
      <c r="BW203" s="3"/>
      <c r="BX203" s="83" t="str">
        <f>IF(Pays="Terres du Sud","Medina de Songhai","")</f>
        <v/>
      </c>
      <c r="BY203" t="str">
        <f t="shared" si="130"/>
        <v/>
      </c>
      <c r="BZ203" s="83" t="str">
        <f t="shared" si="122"/>
        <v/>
      </c>
      <c r="CA203" s="83" t="str">
        <f t="shared" si="123"/>
        <v/>
      </c>
      <c r="CB203" s="530" t="str">
        <f t="shared" si="124"/>
        <v/>
      </c>
      <c r="CC203" s="3" t="s">
        <v>3347</v>
      </c>
      <c r="CG203" s="83" t="s">
        <v>11797</v>
      </c>
      <c r="CH203" s="3" t="s">
        <v>6065</v>
      </c>
      <c r="CI203" s="3"/>
      <c r="CJ203" s="3"/>
      <c r="CK203" s="3" t="s">
        <v>6983</v>
      </c>
      <c r="CM203" t="s">
        <v>10627</v>
      </c>
      <c r="CN203" s="3"/>
      <c r="CO203" s="3" t="s">
        <v>11002</v>
      </c>
      <c r="CP203" s="3"/>
      <c r="CQ203" s="3"/>
      <c r="CR203" s="3" t="s">
        <v>13573</v>
      </c>
      <c r="CS203" s="3"/>
      <c r="CT203" s="3"/>
      <c r="CU203" s="3"/>
      <c r="CV203" s="3"/>
      <c r="CW203" s="3"/>
      <c r="CX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D203" s="83" t="s">
        <v>15393</v>
      </c>
      <c r="EE203" s="83" t="s">
        <v>15387</v>
      </c>
      <c r="EF203" s="540" t="s">
        <v>15394</v>
      </c>
      <c r="EK203" s="874"/>
      <c r="EU203" s="573" t="str">
        <f>IF(Pays="Tilée","Légion Perdue de Pirazzo","")</f>
        <v/>
      </c>
      <c r="EV203" s="83" t="str">
        <f t="shared" si="121"/>
        <v/>
      </c>
      <c r="EW203" s="83" t="str">
        <f t="shared" si="125"/>
        <v/>
      </c>
      <c r="EX203" s="530" t="str">
        <f t="shared" si="126"/>
        <v/>
      </c>
      <c r="EY203" s="83" t="s">
        <v>11253</v>
      </c>
      <c r="EZ203" s="530" t="s">
        <v>12379</v>
      </c>
      <c r="FB203" s="83" t="s">
        <v>14919</v>
      </c>
      <c r="FC203" s="133" t="s">
        <v>16253</v>
      </c>
      <c r="FD203" s="85" t="s">
        <v>14900</v>
      </c>
      <c r="FE203" s="849">
        <v>40</v>
      </c>
      <c r="FF203">
        <v>33</v>
      </c>
      <c r="FG203">
        <v>0</v>
      </c>
      <c r="FH203">
        <v>34</v>
      </c>
      <c r="FI203">
        <v>46</v>
      </c>
      <c r="FJ203" s="10">
        <v>0</v>
      </c>
      <c r="FK203">
        <v>0</v>
      </c>
      <c r="FL203">
        <v>0</v>
      </c>
      <c r="FM203" s="165">
        <v>0</v>
      </c>
      <c r="FN203" s="88">
        <v>1</v>
      </c>
      <c r="FO203" s="88">
        <v>8</v>
      </c>
      <c r="FP203" s="164">
        <f>ROUNDDOWN(FH203/10,0)</f>
        <v>3</v>
      </c>
      <c r="FQ203" s="164">
        <f>ROUNDDOWN(FI203/10,0)</f>
        <v>4</v>
      </c>
      <c r="FR203" s="683" t="s">
        <v>14920</v>
      </c>
      <c r="FS203" s="88">
        <v>0</v>
      </c>
      <c r="FT203" s="88">
        <v>0</v>
      </c>
      <c r="FU203" s="165">
        <v>0</v>
      </c>
      <c r="FV203" s="84" t="s">
        <v>149</v>
      </c>
      <c r="FW203" s="83" t="s">
        <v>14924</v>
      </c>
      <c r="FX203" s="751" t="s">
        <v>7659</v>
      </c>
      <c r="GA203" t="s">
        <v>7541</v>
      </c>
      <c r="GF203" t="s">
        <v>7767</v>
      </c>
      <c r="GG203" s="341" t="s">
        <v>9013</v>
      </c>
      <c r="GH203" s="83" t="s">
        <v>9012</v>
      </c>
      <c r="GI203" s="83" t="s">
        <v>9011</v>
      </c>
    </row>
    <row r="204" spans="8:193" ht="13.2" customHeight="1">
      <c r="H204" s="3"/>
      <c r="I204" s="3"/>
      <c r="J204" s="3"/>
      <c r="K204" s="3"/>
      <c r="L204" s="3"/>
      <c r="M204" s="651"/>
      <c r="N204" s="3"/>
      <c r="O204" s="3"/>
      <c r="P204" s="3"/>
      <c r="Q204" s="3"/>
      <c r="R204" s="651"/>
      <c r="S204" s="83" t="str">
        <f>IF(CareerType=Y357,"Liche",IF(AllCareers="X","Liche",IF(Selectsousrace="","",IF(OR(SelectRace="homme-bête",SelectRace="peau-verte",SelectRace="créature du chaos",SelectRace="Homme-lézard",SelectRace="skaven"),"",IF(AND(FirstCareer="1ère carrière",OR(SelectRace="Vampire",'page 1'!K4="Vampire")),"Liche","")))))</f>
        <v/>
      </c>
      <c r="T204" s="106">
        <f t="shared" si="134"/>
        <v>1</v>
      </c>
      <c r="U204" s="693" t="str">
        <f t="shared" si="127"/>
        <v/>
      </c>
      <c r="V204" s="693" t="str">
        <f t="shared" si="128"/>
        <v/>
      </c>
      <c r="W204" s="693" t="str">
        <f t="shared" si="129"/>
        <v/>
      </c>
      <c r="X204" s="89" t="s">
        <v>2153</v>
      </c>
      <c r="Y204" s="744" t="s">
        <v>7133</v>
      </c>
      <c r="Z204" s="56" t="s">
        <v>12821</v>
      </c>
      <c r="AA204" s="89">
        <v>4</v>
      </c>
      <c r="AB204" s="89" t="s">
        <v>12822</v>
      </c>
      <c r="AD204" s="105" t="s">
        <v>98</v>
      </c>
      <c r="AE204" s="105" t="s">
        <v>149</v>
      </c>
      <c r="AF204" s="105" t="s">
        <v>98</v>
      </c>
      <c r="AG204" s="105" t="s">
        <v>98</v>
      </c>
      <c r="AH204" s="105" t="s">
        <v>149</v>
      </c>
      <c r="AI204" s="105" t="s">
        <v>149</v>
      </c>
      <c r="AJ204" s="105" t="s">
        <v>98</v>
      </c>
      <c r="AK204" s="443" t="s">
        <v>149</v>
      </c>
      <c r="AL204" s="105" t="s">
        <v>102</v>
      </c>
      <c r="AM204" s="105" t="s">
        <v>114</v>
      </c>
      <c r="AN204" s="105" t="s">
        <v>149</v>
      </c>
      <c r="AO204" s="105" t="s">
        <v>102</v>
      </c>
      <c r="AP204" s="87" t="s">
        <v>771</v>
      </c>
      <c r="AQ204" s="87" t="s">
        <v>734</v>
      </c>
      <c r="AR204" s="87" t="s">
        <v>12823</v>
      </c>
      <c r="AS204" s="22" t="s">
        <v>734</v>
      </c>
      <c r="AT204" s="87" t="s">
        <v>12824</v>
      </c>
      <c r="AU204" s="87" t="s">
        <v>12825</v>
      </c>
      <c r="AV204" s="87" t="s">
        <v>4698</v>
      </c>
      <c r="AW204" s="458">
        <v>0</v>
      </c>
      <c r="AX204" s="630" t="str">
        <f t="shared" si="131"/>
        <v/>
      </c>
      <c r="AY204" s="630" t="str">
        <f t="shared" si="132"/>
        <v/>
      </c>
      <c r="AZ204" s="630" t="str">
        <f t="shared" si="133"/>
        <v/>
      </c>
      <c r="BA204" s="3"/>
      <c r="BB204" s="3"/>
      <c r="BC204" s="3"/>
      <c r="BD204" s="3"/>
      <c r="BE204" s="3"/>
      <c r="BF204" s="3"/>
      <c r="BG204" s="3"/>
      <c r="BH204" s="3"/>
      <c r="BI204" s="3"/>
      <c r="BJ204" s="3"/>
      <c r="BK204" s="3"/>
      <c r="BL204" s="3"/>
      <c r="BM204" s="3"/>
      <c r="BN204" s="3"/>
      <c r="BP204" s="3"/>
      <c r="BQ204" s="3"/>
      <c r="BR204" s="3"/>
      <c r="BS204" s="3"/>
      <c r="BT204" s="3"/>
      <c r="BU204" s="3"/>
      <c r="BV204" s="3"/>
      <c r="BW204" s="3"/>
      <c r="BX204" s="83" t="str">
        <f>IF(Pays="Terres du Sud","Medina de Sudrat","")</f>
        <v/>
      </c>
      <c r="BY204" t="str">
        <f t="shared" si="130"/>
        <v/>
      </c>
      <c r="BZ204" s="83" t="str">
        <f t="shared" si="122"/>
        <v/>
      </c>
      <c r="CA204" s="83" t="str">
        <f t="shared" si="123"/>
        <v/>
      </c>
      <c r="CB204" s="530" t="str">
        <f t="shared" si="124"/>
        <v/>
      </c>
      <c r="CC204" s="3" t="s">
        <v>3348</v>
      </c>
      <c r="CG204" s="3" t="s">
        <v>3140</v>
      </c>
      <c r="CH204" s="3" t="s">
        <v>6064</v>
      </c>
      <c r="CI204" s="3"/>
      <c r="CJ204" s="3"/>
      <c r="CK204" s="3" t="s">
        <v>6950</v>
      </c>
      <c r="CM204" t="s">
        <v>10368</v>
      </c>
      <c r="CN204" s="3"/>
      <c r="CO204" s="83" t="str">
        <f>CONCATENATE("Karin",IF(AND('page 1'!M11="Féminin",Pays="Norsca"),"dottir",IF(AND('page 1'!M11="Masculin",Pays="Norsca"),"son",IF(AND('page 1'!M11="Féminin",Pays="Kislev"),"ovna",IF(AND('page 1'!M11="Masculin",Pays="Kislev"),"sky","")))))</f>
        <v>Karin</v>
      </c>
      <c r="CP204" s="3"/>
      <c r="CQ204" s="3"/>
      <c r="CR204" s="3" t="s">
        <v>13574</v>
      </c>
      <c r="CS204" s="3"/>
      <c r="CT204" s="3"/>
      <c r="CU204" s="3"/>
      <c r="CV204" s="3"/>
      <c r="CW204" s="3"/>
      <c r="CX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D204" s="83" t="s">
        <v>15398</v>
      </c>
      <c r="EE204" s="83" t="s">
        <v>15387</v>
      </c>
      <c r="EF204" s="540" t="s">
        <v>15399</v>
      </c>
      <c r="EK204" s="874"/>
      <c r="EU204" s="25" t="str">
        <f>IF(SelectRace="Nain","Compagnie Dragon","")</f>
        <v/>
      </c>
      <c r="EV204" s="83" t="str">
        <f t="shared" si="121"/>
        <v/>
      </c>
      <c r="EW204" s="83" t="str">
        <f t="shared" si="125"/>
        <v/>
      </c>
      <c r="EX204" s="530" t="str">
        <f t="shared" si="126"/>
        <v/>
      </c>
      <c r="EY204" s="83" t="s">
        <v>79</v>
      </c>
      <c r="EZ204" s="530" t="s">
        <v>12787</v>
      </c>
      <c r="FB204" s="83" t="s">
        <v>15371</v>
      </c>
      <c r="FC204" s="133" t="s">
        <v>16253</v>
      </c>
      <c r="FD204" s="83" t="s">
        <v>2198</v>
      </c>
      <c r="FE204" s="848">
        <v>130</v>
      </c>
      <c r="FF204" s="83">
        <v>45</v>
      </c>
      <c r="FG204">
        <v>15</v>
      </c>
      <c r="FH204">
        <v>44</v>
      </c>
      <c r="FI204">
        <v>52</v>
      </c>
      <c r="FJ204" s="10">
        <v>75</v>
      </c>
      <c r="FK204">
        <v>0</v>
      </c>
      <c r="FL204">
        <v>0</v>
      </c>
      <c r="FM204" s="165">
        <v>0</v>
      </c>
      <c r="FN204" s="88">
        <v>2</v>
      </c>
      <c r="FO204" s="88">
        <v>15</v>
      </c>
      <c r="FP204" s="164">
        <f>ROUNDDOWN(FH204/10,0)</f>
        <v>4</v>
      </c>
      <c r="FQ204" s="691">
        <f>ROUNDDOWN(FI204/10,0)</f>
        <v>5</v>
      </c>
      <c r="FR204" s="10">
        <v>5</v>
      </c>
      <c r="FS204" s="88">
        <v>0</v>
      </c>
      <c r="FT204" s="88">
        <v>0</v>
      </c>
      <c r="FU204" s="165">
        <v>0</v>
      </c>
      <c r="FV204" s="84" t="s">
        <v>149</v>
      </c>
      <c r="FW204" s="83" t="s">
        <v>15372</v>
      </c>
      <c r="FX204" s="530" t="s">
        <v>7659</v>
      </c>
      <c r="GA204" t="s">
        <v>7574</v>
      </c>
      <c r="GF204" t="s">
        <v>8232</v>
      </c>
      <c r="GG204" s="341" t="s">
        <v>9015</v>
      </c>
      <c r="GH204" s="83" t="s">
        <v>9012</v>
      </c>
      <c r="GI204" s="83" t="s">
        <v>9011</v>
      </c>
    </row>
    <row r="205" spans="8:193" ht="13.2" customHeight="1">
      <c r="H205" s="3"/>
      <c r="I205" s="3"/>
      <c r="J205" s="3"/>
      <c r="K205" s="3"/>
      <c r="L205" s="3"/>
      <c r="M205" s="651"/>
      <c r="N205" s="3"/>
      <c r="O205" s="3"/>
      <c r="P205" s="3"/>
      <c r="Q205" s="3"/>
      <c r="R205" s="651"/>
      <c r="S205" s="83" t="str">
        <f>IF(OR(CareerType=Y205,AllCareers="X"),"Maestro estalien",IF(OR(Selectsousrace="",SelectRace="homme-bête",SelectRace="peau-verte",SelectRace="créature du chaos",SelectRace="Homme-lézard",SelectRace="skaven"),"",IF(FirstCareer="1ère carrière","","Maestro estalien")))</f>
        <v/>
      </c>
      <c r="T205" s="106">
        <v>1</v>
      </c>
      <c r="U205" s="693" t="str">
        <f t="shared" si="127"/>
        <v/>
      </c>
      <c r="V205" s="693" t="str">
        <f t="shared" si="128"/>
        <v/>
      </c>
      <c r="W205" s="693" t="str">
        <f t="shared" si="129"/>
        <v/>
      </c>
      <c r="X205" s="89" t="s">
        <v>2153</v>
      </c>
      <c r="Y205" s="744" t="s">
        <v>7130</v>
      </c>
      <c r="Z205" s="56" t="s">
        <v>15646</v>
      </c>
      <c r="AA205" s="2">
        <v>120</v>
      </c>
      <c r="AB205" s="111" t="s">
        <v>16145</v>
      </c>
      <c r="AD205" s="105" t="s">
        <v>99</v>
      </c>
      <c r="AE205" s="105" t="s">
        <v>149</v>
      </c>
      <c r="AF205" s="105" t="s">
        <v>98</v>
      </c>
      <c r="AG205" s="105" t="s">
        <v>98</v>
      </c>
      <c r="AH205" s="105" t="s">
        <v>100</v>
      </c>
      <c r="AI205" s="105" t="s">
        <v>101</v>
      </c>
      <c r="AJ205" s="105" t="s">
        <v>114</v>
      </c>
      <c r="AK205" s="443" t="s">
        <v>101</v>
      </c>
      <c r="AL205" s="105" t="s">
        <v>102</v>
      </c>
      <c r="AM205" s="105" t="s">
        <v>103</v>
      </c>
      <c r="AN205" s="105" t="s">
        <v>149</v>
      </c>
      <c r="AO205" s="105" t="s">
        <v>149</v>
      </c>
      <c r="AP205" s="23" t="s">
        <v>7143</v>
      </c>
      <c r="AQ205" s="23" t="s">
        <v>734</v>
      </c>
      <c r="AR205" s="141" t="s">
        <v>17048</v>
      </c>
      <c r="AS205" s="22" t="s">
        <v>734</v>
      </c>
      <c r="AT205" s="87" t="s">
        <v>17049</v>
      </c>
      <c r="AU205" s="87" t="s">
        <v>17050</v>
      </c>
      <c r="AV205" s="87" t="s">
        <v>17051</v>
      </c>
      <c r="AW205" s="458">
        <v>0</v>
      </c>
      <c r="AX205" s="630" t="str">
        <f t="shared" ref="AX205:AX206" si="135">IF(S205="","","Chasseur, Coupe-jarret, Esclave/Thrall, Fanatique, Garde, Garde du corps, Guerrier des clans, Hors-la-loi, Naufrageur, Pillard, Pilleur de tombes, Trafiquant de cadavres, Vagabond, Voleur")</f>
        <v/>
      </c>
      <c r="AY205" s="630" t="str">
        <f t="shared" ref="AY205:AY206" si="136">IF(AX205="","","Acolyte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205" s="630" t="str">
        <f t="shared" ref="AZ205:AZ206" si="137">IF(S205="","","Apprenti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205" s="3"/>
      <c r="BB205" s="3"/>
      <c r="BC205" s="3"/>
      <c r="BD205" s="3"/>
      <c r="BE205" s="3"/>
      <c r="BF205" s="3"/>
      <c r="BG205" s="3"/>
      <c r="BH205" s="3"/>
      <c r="BI205" s="3"/>
      <c r="BJ205" s="3"/>
      <c r="BK205" s="3"/>
      <c r="BL205" s="3"/>
      <c r="BM205" s="3"/>
      <c r="BN205" s="3"/>
      <c r="BP205" s="3"/>
      <c r="BQ205" s="3"/>
      <c r="BR205" s="3"/>
      <c r="BS205" s="3"/>
      <c r="BT205" s="3"/>
      <c r="BU205" s="3"/>
      <c r="BV205" s="3"/>
      <c r="BW205" s="3"/>
      <c r="BX205" s="83" t="str">
        <f>IF(Pays="Terres du Sud","Bas quartiers de Songhai","")</f>
        <v/>
      </c>
      <c r="BY205" t="str">
        <f t="shared" si="130"/>
        <v/>
      </c>
      <c r="BZ205" s="83" t="str">
        <f t="shared" si="122"/>
        <v/>
      </c>
      <c r="CA205" s="83" t="str">
        <f t="shared" si="123"/>
        <v/>
      </c>
      <c r="CB205" s="530" t="str">
        <f t="shared" si="124"/>
        <v/>
      </c>
      <c r="CC205" s="3" t="s">
        <v>3349</v>
      </c>
      <c r="CG205" s="3" t="s">
        <v>6282</v>
      </c>
      <c r="CH205" s="3" t="s">
        <v>6066</v>
      </c>
      <c r="CI205" s="3"/>
      <c r="CJ205" s="3"/>
      <c r="CK205" t="s">
        <v>6716</v>
      </c>
      <c r="CM205" t="s">
        <v>10628</v>
      </c>
      <c r="CN205" s="3"/>
      <c r="CO205" s="3" t="str">
        <f>CONCATENATE("Karmin",IF(AND('page 1'!M11="Féminin",Pays="Norsca"),"dottir",IF(AND('page 1'!M11="Masculin",Pays="Norsca"),"son",IF(AND('page 1'!M11="Féminin",Pays="Kislev"),"ovna",IF(AND('page 1'!M11="Masculin",Pays="Kislev"),"sky","")))))</f>
        <v>Karmin</v>
      </c>
      <c r="CP205" s="3"/>
      <c r="CQ205" s="3"/>
      <c r="CR205" s="3" t="s">
        <v>13575</v>
      </c>
      <c r="CS205" s="3"/>
      <c r="CT205" s="3"/>
      <c r="CU205" s="3"/>
      <c r="CV205" s="3"/>
      <c r="CW205" s="3"/>
      <c r="CX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D205" s="83" t="s">
        <v>15390</v>
      </c>
      <c r="EE205" s="83" t="s">
        <v>15387</v>
      </c>
      <c r="EF205" s="530" t="s">
        <v>15391</v>
      </c>
      <c r="EK205" s="874"/>
      <c r="EU205" s="177" t="str">
        <f>IF(OR(Pays="Norsca",Pays="Désolations du Chaos",Pays="",Pays="Steppes orientales"),"",IF(Pays="Empire","Compagnie Grevenfeld (Ours de Ziege)",""))</f>
        <v/>
      </c>
      <c r="EV205" s="83" t="str">
        <f t="shared" si="121"/>
        <v/>
      </c>
      <c r="EW205" s="83" t="str">
        <f t="shared" si="125"/>
        <v/>
      </c>
      <c r="EX205" s="530" t="str">
        <f t="shared" si="126"/>
        <v/>
      </c>
      <c r="EZ205" s="530" t="s">
        <v>11256</v>
      </c>
      <c r="FB205" s="83" t="s">
        <v>15362</v>
      </c>
      <c r="FC205" s="133" t="s">
        <v>16253</v>
      </c>
      <c r="FD205" s="83" t="s">
        <v>2198</v>
      </c>
      <c r="FE205" s="849">
        <v>132</v>
      </c>
      <c r="FF205">
        <v>40</v>
      </c>
      <c r="FG205">
        <v>0</v>
      </c>
      <c r="FH205">
        <v>46</v>
      </c>
      <c r="FI205">
        <v>40</v>
      </c>
      <c r="FJ205" s="10">
        <v>36</v>
      </c>
      <c r="FK205">
        <v>12</v>
      </c>
      <c r="FL205">
        <v>40</v>
      </c>
      <c r="FM205" s="165">
        <v>0</v>
      </c>
      <c r="FN205" s="88">
        <v>2</v>
      </c>
      <c r="FO205" s="88">
        <v>12</v>
      </c>
      <c r="FP205" s="164">
        <f>ROUNDDOWN(FH205/10,0)</f>
        <v>4</v>
      </c>
      <c r="FQ205" s="691">
        <f>ROUNDDOWN(FI205/10,0)</f>
        <v>4</v>
      </c>
      <c r="FR205" s="10">
        <v>9</v>
      </c>
      <c r="FS205" s="88">
        <v>0</v>
      </c>
      <c r="FT205" s="88">
        <v>0</v>
      </c>
      <c r="FU205" s="165">
        <v>0</v>
      </c>
      <c r="FV205" s="83" t="s">
        <v>15363</v>
      </c>
      <c r="FW205" s="83" t="s">
        <v>15364</v>
      </c>
      <c r="FX205" s="753" t="s">
        <v>7664</v>
      </c>
      <c r="GA205" t="s">
        <v>7509</v>
      </c>
      <c r="GF205" t="s">
        <v>7768</v>
      </c>
      <c r="GG205" s="341" t="s">
        <v>9019</v>
      </c>
      <c r="GH205" s="83" t="s">
        <v>9012</v>
      </c>
      <c r="GI205" s="83" t="s">
        <v>9011</v>
      </c>
    </row>
    <row r="206" spans="8:193" ht="13.2" customHeight="1">
      <c r="H206" s="3"/>
      <c r="I206" s="3"/>
      <c r="J206" s="3"/>
      <c r="K206" s="3"/>
      <c r="L206" s="3"/>
      <c r="M206" s="651"/>
      <c r="N206" s="3"/>
      <c r="O206" s="3"/>
      <c r="P206" s="3"/>
      <c r="Q206" s="3"/>
      <c r="R206" s="651"/>
      <c r="S206" s="83" t="str">
        <f>IF(OR(CareerType=Y206,AllCareers="X"),"Maestro verderaro estalien",IF(OR(Selectsousrace="",SelectRace="homme-bête",SelectRace="peau-verte",SelectRace="créature du chaos",SelectRace="Homme-lézard",SelectRace="skaven"),"",IF(FirstCareer="1ère carrière","","Maestro verderaro estalien")))</f>
        <v/>
      </c>
      <c r="T206" s="106">
        <v>2</v>
      </c>
      <c r="U206" s="693" t="str">
        <f t="shared" si="127"/>
        <v/>
      </c>
      <c r="V206" s="693" t="str">
        <f t="shared" si="128"/>
        <v/>
      </c>
      <c r="W206" s="693" t="str">
        <f t="shared" si="129"/>
        <v/>
      </c>
      <c r="X206" s="89" t="s">
        <v>2153</v>
      </c>
      <c r="Y206" s="744" t="s">
        <v>7130</v>
      </c>
      <c r="Z206" s="56" t="s">
        <v>15646</v>
      </c>
      <c r="AA206" s="2">
        <v>121</v>
      </c>
      <c r="AB206" s="111" t="s">
        <v>16146</v>
      </c>
      <c r="AD206" s="16" t="s">
        <v>97</v>
      </c>
      <c r="AE206" s="16" t="s">
        <v>149</v>
      </c>
      <c r="AF206" s="16" t="s">
        <v>101</v>
      </c>
      <c r="AG206" s="16" t="s">
        <v>101</v>
      </c>
      <c r="AH206" s="16" t="s">
        <v>99</v>
      </c>
      <c r="AI206" s="16" t="s">
        <v>100</v>
      </c>
      <c r="AJ206" s="16" t="s">
        <v>101</v>
      </c>
      <c r="AK206" s="19" t="s">
        <v>100</v>
      </c>
      <c r="AL206" s="16" t="s">
        <v>113</v>
      </c>
      <c r="AM206" s="16" t="s">
        <v>112</v>
      </c>
      <c r="AN206" s="16" t="s">
        <v>149</v>
      </c>
      <c r="AP206" s="23" t="s">
        <v>16147</v>
      </c>
      <c r="AQ206" s="23" t="s">
        <v>734</v>
      </c>
      <c r="AR206" s="846" t="s">
        <v>16160</v>
      </c>
      <c r="AS206" s="22" t="s">
        <v>734</v>
      </c>
      <c r="AT206" s="87" t="s">
        <v>17052</v>
      </c>
      <c r="AU206" s="87" t="s">
        <v>17053</v>
      </c>
      <c r="AV206" s="87" t="s">
        <v>17054</v>
      </c>
      <c r="AW206" s="458">
        <v>0</v>
      </c>
      <c r="AX206" s="630" t="str">
        <f t="shared" si="135"/>
        <v/>
      </c>
      <c r="AY206" s="630" t="str">
        <f t="shared" si="136"/>
        <v/>
      </c>
      <c r="AZ206" s="630" t="str">
        <f t="shared" si="137"/>
        <v/>
      </c>
      <c r="BA206" s="3"/>
      <c r="BB206" s="3"/>
      <c r="BC206" s="3"/>
      <c r="BD206" s="3"/>
      <c r="BE206" s="3"/>
      <c r="BF206" s="3"/>
      <c r="BG206" s="3"/>
      <c r="BH206" s="3"/>
      <c r="BI206" s="3"/>
      <c r="BJ206" s="3"/>
      <c r="BK206" s="3"/>
      <c r="BL206" s="3"/>
      <c r="BM206" s="3"/>
      <c r="BN206" s="3"/>
      <c r="BP206" s="3"/>
      <c r="BQ206" s="3"/>
      <c r="BR206" s="3"/>
      <c r="BS206" s="3"/>
      <c r="BT206" s="3"/>
      <c r="BU206" s="3"/>
      <c r="BV206" s="3"/>
      <c r="BW206" s="3"/>
      <c r="BX206" s="83" t="str">
        <f>IF(Pays="Terres du Sud","Bas quartiers de Sudrat","")</f>
        <v/>
      </c>
      <c r="BY206" t="str">
        <f t="shared" si="130"/>
        <v/>
      </c>
      <c r="BZ206" s="83" t="str">
        <f t="shared" si="122"/>
        <v/>
      </c>
      <c r="CA206" s="83" t="str">
        <f t="shared" si="123"/>
        <v/>
      </c>
      <c r="CB206" s="530" t="str">
        <f t="shared" si="124"/>
        <v/>
      </c>
      <c r="CC206" s="3" t="s">
        <v>10741</v>
      </c>
      <c r="CG206" s="83" t="s">
        <v>15093</v>
      </c>
      <c r="CH206" s="3" t="s">
        <v>6069</v>
      </c>
      <c r="CI206" s="3"/>
      <c r="CJ206" s="3"/>
      <c r="CK206" s="3" t="s">
        <v>6916</v>
      </c>
      <c r="CM206" t="s">
        <v>10369</v>
      </c>
      <c r="CN206" s="3"/>
      <c r="CO206" s="3" t="str">
        <f>CONCATENATE("Karzor",IF(AND('page 1'!M11="Féminin",Pays="Norsca"),"dottir",IF(AND('page 1'!M11="Masculin",Pays="Norsca"),"son",IF(AND('page 1'!M11="Féminin",Pays="Kislev"),"ovna",IF(AND('page 1'!M11="Masculin",Pays="Kislev"),"sky","")))))</f>
        <v>Karzor</v>
      </c>
      <c r="CP206" s="3"/>
      <c r="CQ206" s="3"/>
      <c r="CR206" s="3" t="s">
        <v>13576</v>
      </c>
      <c r="CS206" s="3"/>
      <c r="CT206" s="3"/>
      <c r="CU206" s="3"/>
      <c r="CV206" s="3"/>
      <c r="CW206" s="3"/>
      <c r="CX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D206" s="83" t="s">
        <v>15389</v>
      </c>
      <c r="EE206" s="83" t="s">
        <v>15387</v>
      </c>
      <c r="EF206" s="540" t="s">
        <v>15392</v>
      </c>
      <c r="EK206" s="874"/>
      <c r="EU206" s="177" t="str">
        <f>IF(OR(Province="Kislev méridional (Gospodar)",Province="Kislev occidental (Gospodar)",Province="Kislev oriental (Gospodar)",Province="Kislev septentrional (Gospodar)"),"Légion du Griffon","")</f>
        <v/>
      </c>
      <c r="EV206" s="83" t="str">
        <f t="shared" si="121"/>
        <v/>
      </c>
      <c r="EW206" s="83" t="str">
        <f t="shared" si="125"/>
        <v/>
      </c>
      <c r="EX206" s="530" t="str">
        <f t="shared" si="126"/>
        <v/>
      </c>
      <c r="EY206" s="83" t="s">
        <v>418</v>
      </c>
      <c r="FB206" s="83" t="s">
        <v>15373</v>
      </c>
      <c r="FC206" s="133" t="s">
        <v>16253</v>
      </c>
      <c r="FD206" s="83" t="s">
        <v>2198</v>
      </c>
      <c r="FE206" s="848">
        <v>132</v>
      </c>
      <c r="FF206" s="83">
        <v>22</v>
      </c>
      <c r="FG206">
        <v>0</v>
      </c>
      <c r="FH206">
        <v>20</v>
      </c>
      <c r="FI206">
        <v>20</v>
      </c>
      <c r="FJ206" s="10">
        <v>22</v>
      </c>
      <c r="FK206">
        <v>16</v>
      </c>
      <c r="FL206">
        <v>29</v>
      </c>
      <c r="FM206" s="165">
        <v>0</v>
      </c>
      <c r="FN206" s="88">
        <v>1</v>
      </c>
      <c r="FO206" s="88">
        <v>5</v>
      </c>
      <c r="FP206" s="164">
        <f>ROUNDDOWN(FH206/10,0)</f>
        <v>2</v>
      </c>
      <c r="FQ206" s="691">
        <f>ROUNDDOWN(FI206/10,0)</f>
        <v>2</v>
      </c>
      <c r="FR206" s="10">
        <v>4</v>
      </c>
      <c r="FS206" s="88">
        <v>0</v>
      </c>
      <c r="FT206" s="88">
        <v>0</v>
      </c>
      <c r="FU206" s="165">
        <v>0</v>
      </c>
      <c r="FV206" s="84" t="s">
        <v>15374</v>
      </c>
      <c r="FW206" s="83" t="s">
        <v>15375</v>
      </c>
      <c r="FX206" s="530" t="s">
        <v>7659</v>
      </c>
      <c r="GA206" t="s">
        <v>7510</v>
      </c>
      <c r="GF206" t="s">
        <v>8233</v>
      </c>
      <c r="GG206" s="341" t="s">
        <v>9020</v>
      </c>
      <c r="GH206" s="83" t="s">
        <v>9012</v>
      </c>
      <c r="GI206" s="83" t="s">
        <v>9018</v>
      </c>
    </row>
    <row r="207" spans="8:193" ht="13.2" customHeight="1">
      <c r="H207" s="3"/>
      <c r="I207" s="3"/>
      <c r="J207" s="3"/>
      <c r="K207" s="3"/>
      <c r="L207" s="3"/>
      <c r="M207" s="651"/>
      <c r="N207" s="3"/>
      <c r="O207" s="3"/>
      <c r="P207" s="3"/>
      <c r="Q207" s="3"/>
      <c r="R207" s="651"/>
      <c r="S207" s="83" t="str">
        <f>IF(CareerType=Y207,"Magister vigilant",IF(AllCareers="X","Magister vigilant",IF(OR(Selectsousrace="",SelectRace="homme-bête",SelectRace="peau-verte",SelectRace="créature du chaos",SelectRace="Homme-lézard",SelectRace="skaven"),"",IF(FirstCareer="1ère carrière","","Magister vigilant"))))</f>
        <v/>
      </c>
      <c r="T207" s="106">
        <v>3</v>
      </c>
      <c r="U207" s="693" t="str">
        <f t="shared" si="127"/>
        <v/>
      </c>
      <c r="V207" s="693" t="str">
        <f t="shared" si="128"/>
        <v/>
      </c>
      <c r="W207" s="693" t="str">
        <f t="shared" si="129"/>
        <v/>
      </c>
      <c r="X207" s="47" t="s">
        <v>2153</v>
      </c>
      <c r="Y207" s="743" t="s">
        <v>15709</v>
      </c>
      <c r="Z207" s="55" t="s">
        <v>2198</v>
      </c>
      <c r="AA207" s="47">
        <v>93</v>
      </c>
      <c r="AB207" s="47" t="s">
        <v>2339</v>
      </c>
      <c r="AC207" s="47">
        <v>138</v>
      </c>
      <c r="AD207" s="15" t="s">
        <v>101</v>
      </c>
      <c r="AE207" s="15" t="s">
        <v>98</v>
      </c>
      <c r="AF207" s="15" t="s">
        <v>114</v>
      </c>
      <c r="AG207" s="15" t="s">
        <v>98</v>
      </c>
      <c r="AH207" s="15" t="s">
        <v>100</v>
      </c>
      <c r="AI207" s="15" t="s">
        <v>99</v>
      </c>
      <c r="AJ207" s="15" t="s">
        <v>116</v>
      </c>
      <c r="AK207" s="18" t="s">
        <v>101</v>
      </c>
      <c r="AL207" s="15" t="s">
        <v>149</v>
      </c>
      <c r="AM207" s="15" t="s">
        <v>114</v>
      </c>
      <c r="AN207" s="15" t="s">
        <v>149</v>
      </c>
      <c r="AO207" s="15" t="s">
        <v>115</v>
      </c>
      <c r="AP207" s="22" t="s">
        <v>459</v>
      </c>
      <c r="AQ207" s="87" t="s">
        <v>734</v>
      </c>
      <c r="AR207" s="87" t="s">
        <v>2340</v>
      </c>
      <c r="AS207" s="22" t="s">
        <v>734</v>
      </c>
      <c r="AT207" s="87" t="s">
        <v>15792</v>
      </c>
      <c r="AU207" s="87" t="s">
        <v>17055</v>
      </c>
      <c r="AV207" s="87" t="s">
        <v>4696</v>
      </c>
      <c r="AW207" s="457">
        <v>0</v>
      </c>
      <c r="AX207" s="630" t="str">
        <f t="shared" ref="AX207:AX238" si="138">IF(S207="","","Chasseur, Coupe-jarret, Esclave/Thrall, Fanatique, Garde, Garde du corps, Guerrier des clans, Hors-la-loi, Naufrageur, Pillard, Pilleur de tombes, Trafiquant de cadavres, Vagabond, Voleur")</f>
        <v/>
      </c>
      <c r="AY207" s="630" t="str">
        <f t="shared" ref="AY207:AY238" si="139">IF(AX207="","","Acolyte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207" s="630" t="str">
        <f t="shared" ref="AZ207:AZ238" si="140">IF(S207="","","Apprenti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207" s="3"/>
      <c r="BB207" s="3"/>
      <c r="BC207" s="3"/>
      <c r="BD207" s="3"/>
      <c r="BE207" s="3"/>
      <c r="BF207" s="3"/>
      <c r="BG207" s="3"/>
      <c r="BH207" s="3"/>
      <c r="BI207" s="3"/>
      <c r="BJ207" s="3"/>
      <c r="BK207" s="3"/>
      <c r="BL207" s="3"/>
      <c r="BM207" s="3"/>
      <c r="BN207" s="3"/>
      <c r="BP207" s="3"/>
      <c r="BQ207" s="3"/>
      <c r="BR207" s="3"/>
      <c r="BS207" s="3"/>
      <c r="BT207" s="3"/>
      <c r="BU207" s="3"/>
      <c r="BV207" s="3"/>
      <c r="BW207" s="3"/>
      <c r="BX207" s="83" t="str">
        <f>IF(Pays="Terres du Sud","Petite communauté de Songhai","")</f>
        <v/>
      </c>
      <c r="BY207" t="str">
        <f t="shared" si="130"/>
        <v/>
      </c>
      <c r="BZ207" s="83" t="str">
        <f t="shared" si="122"/>
        <v/>
      </c>
      <c r="CA207" s="83" t="str">
        <f t="shared" si="123"/>
        <v/>
      </c>
      <c r="CB207" s="530" t="str">
        <f t="shared" si="124"/>
        <v/>
      </c>
      <c r="CC207" s="3" t="s">
        <v>10742</v>
      </c>
      <c r="CG207" s="3" t="s">
        <v>6283</v>
      </c>
      <c r="CH207" s="3" t="s">
        <v>6070</v>
      </c>
      <c r="CI207" s="3"/>
      <c r="CJ207" s="3"/>
      <c r="CK207" s="3" t="s">
        <v>6879</v>
      </c>
      <c r="CM207" s="83" t="s">
        <v>14887</v>
      </c>
      <c r="CN207" s="3"/>
      <c r="CO207" s="3" t="s">
        <v>11007</v>
      </c>
      <c r="CP207" s="3"/>
      <c r="CQ207" s="3"/>
      <c r="CR207" s="3" t="s">
        <v>13577</v>
      </c>
      <c r="CS207" s="3"/>
      <c r="CT207" s="3"/>
      <c r="CU207" s="3"/>
      <c r="CV207" s="3"/>
      <c r="CW207" s="3"/>
      <c r="CX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D207" s="83" t="s">
        <v>12249</v>
      </c>
      <c r="EE207" s="83" t="s">
        <v>15387</v>
      </c>
      <c r="EF207" s="540" t="s">
        <v>17056</v>
      </c>
      <c r="EK207" s="874"/>
      <c r="EU207" s="177" t="str">
        <f>IF(OR(Pays="Norsca",Pays="Désolations du Chaos",Pays="",Pays="Steppes orientales"),"","Patrouilleurs")</f>
        <v/>
      </c>
      <c r="EV207" s="83" t="str">
        <f t="shared" si="121"/>
        <v/>
      </c>
      <c r="EW207" s="83" t="str">
        <f t="shared" si="125"/>
        <v/>
      </c>
      <c r="EX207" s="530" t="str">
        <f t="shared" si="126"/>
        <v/>
      </c>
      <c r="EY207" s="83" t="s">
        <v>11260</v>
      </c>
      <c r="EZ207" s="530" t="s">
        <v>11261</v>
      </c>
      <c r="FB207" s="83" t="s">
        <v>15556</v>
      </c>
      <c r="FC207" s="133" t="s">
        <v>16253</v>
      </c>
      <c r="FD207" s="85" t="s">
        <v>15548</v>
      </c>
      <c r="FE207" s="848">
        <v>102</v>
      </c>
      <c r="FF207" s="83">
        <v>44</v>
      </c>
      <c r="FG207">
        <v>0</v>
      </c>
      <c r="FH207">
        <v>45</v>
      </c>
      <c r="FI207">
        <v>52</v>
      </c>
      <c r="FJ207" s="10">
        <v>40</v>
      </c>
      <c r="FK207">
        <v>10</v>
      </c>
      <c r="FL207">
        <v>28</v>
      </c>
      <c r="FM207" s="165">
        <v>0</v>
      </c>
      <c r="FN207" s="88">
        <v>3</v>
      </c>
      <c r="FO207" s="88">
        <v>32</v>
      </c>
      <c r="FP207" s="164">
        <f>ROUNDDOWN(FH207/10,0)</f>
        <v>4</v>
      </c>
      <c r="FQ207" s="691">
        <f>ROUNDDOWN(FI207/10,0)</f>
        <v>5</v>
      </c>
      <c r="FR207" s="10">
        <v>4</v>
      </c>
      <c r="FS207" s="88">
        <v>0</v>
      </c>
      <c r="FT207" s="88">
        <v>0</v>
      </c>
      <c r="FU207" s="165">
        <v>0</v>
      </c>
      <c r="FV207" s="83" t="s">
        <v>15558</v>
      </c>
      <c r="FW207" s="83" t="s">
        <v>15557</v>
      </c>
      <c r="FX207" s="530" t="s">
        <v>7664</v>
      </c>
      <c r="GA207" t="s">
        <v>7530</v>
      </c>
      <c r="GF207" s="83" t="s">
        <v>17057</v>
      </c>
      <c r="GG207" s="341" t="s">
        <v>9023</v>
      </c>
      <c r="GH207" s="83" t="s">
        <v>9012</v>
      </c>
      <c r="GI207" s="83" t="s">
        <v>9018</v>
      </c>
    </row>
    <row r="208" spans="8:193" ht="13.2" customHeight="1">
      <c r="H208" s="3"/>
      <c r="I208" s="3"/>
      <c r="J208" s="3"/>
      <c r="K208" s="3"/>
      <c r="L208" s="3"/>
      <c r="M208" s="651"/>
      <c r="N208" s="3"/>
      <c r="O208" s="3"/>
      <c r="P208" s="3"/>
      <c r="Q208" s="3"/>
      <c r="R208" s="651"/>
      <c r="S208" s="83" t="str">
        <f>IF(CareerType=Y208,"Magus de Khorne",IF(AllCareers="X","Magus de Khorne",IF(FirstCareer="1ère carrière","",IF(OR(SelectRace="Halfling",SelectRace="Nain",SelectRace="Homme-lézard"),"",IF(Pays="Empire","Magus de Khorne","")))))</f>
        <v/>
      </c>
      <c r="T208" s="85">
        <v>2</v>
      </c>
      <c r="U208" s="693" t="str">
        <f t="shared" si="127"/>
        <v/>
      </c>
      <c r="V208" s="693" t="str">
        <f t="shared" si="128"/>
        <v/>
      </c>
      <c r="W208" s="693" t="str">
        <f t="shared" si="129"/>
        <v/>
      </c>
      <c r="X208" s="47" t="s">
        <v>2153</v>
      </c>
      <c r="Y208" s="743" t="s">
        <v>7130</v>
      </c>
      <c r="Z208" s="55" t="s">
        <v>2196</v>
      </c>
      <c r="AA208" s="47">
        <v>69</v>
      </c>
      <c r="AB208" s="89" t="s">
        <v>5437</v>
      </c>
      <c r="AC208" s="47"/>
      <c r="AD208" s="15" t="s">
        <v>97</v>
      </c>
      <c r="AE208" s="15" t="s">
        <v>114</v>
      </c>
      <c r="AF208" s="15" t="s">
        <v>100</v>
      </c>
      <c r="AG208" s="15" t="s">
        <v>116</v>
      </c>
      <c r="AH208" s="15" t="s">
        <v>98</v>
      </c>
      <c r="AI208" s="15" t="s">
        <v>149</v>
      </c>
      <c r="AJ208" s="15" t="s">
        <v>101</v>
      </c>
      <c r="AK208" s="18" t="s">
        <v>114</v>
      </c>
      <c r="AL208" s="15" t="s">
        <v>113</v>
      </c>
      <c r="AM208" s="15" t="s">
        <v>117</v>
      </c>
      <c r="AN208" s="15" t="s">
        <v>149</v>
      </c>
      <c r="AO208" s="15" t="s">
        <v>149</v>
      </c>
      <c r="AP208" s="22" t="s">
        <v>781</v>
      </c>
      <c r="AQ208" s="22" t="s">
        <v>781</v>
      </c>
      <c r="AR208" s="22" t="s">
        <v>613</v>
      </c>
      <c r="AS208" s="22" t="s">
        <v>613</v>
      </c>
      <c r="AT208" s="22" t="s">
        <v>3478</v>
      </c>
      <c r="AU208" s="87" t="s">
        <v>5436</v>
      </c>
      <c r="AV208" s="87" t="s">
        <v>4687</v>
      </c>
      <c r="AW208" s="457">
        <v>0</v>
      </c>
      <c r="AX208" s="630" t="str">
        <f t="shared" si="138"/>
        <v/>
      </c>
      <c r="AY208" s="630" t="str">
        <f t="shared" si="139"/>
        <v/>
      </c>
      <c r="AZ208" s="630" t="str">
        <f t="shared" si="140"/>
        <v/>
      </c>
      <c r="BA208" s="3"/>
      <c r="BB208" s="3"/>
      <c r="BC208" s="3"/>
      <c r="BD208" s="3"/>
      <c r="BE208" s="3"/>
      <c r="BF208" s="3"/>
      <c r="BG208" s="3"/>
      <c r="BH208" s="3"/>
      <c r="BI208" s="3"/>
      <c r="BJ208" s="3"/>
      <c r="BK208" s="3"/>
      <c r="BL208" s="3"/>
      <c r="BM208" s="3"/>
      <c r="BN208" s="3"/>
      <c r="BP208" s="3"/>
      <c r="BQ208" s="3"/>
      <c r="BR208" s="3"/>
      <c r="BS208" s="3"/>
      <c r="BT208" s="3"/>
      <c r="BU208" s="3"/>
      <c r="BV208" s="3"/>
      <c r="BW208" s="3"/>
      <c r="BX208" s="83" t="str">
        <f>IF(Pays="Terres du Sud","Petite communauté de Sudrat","")</f>
        <v/>
      </c>
      <c r="BY208" t="str">
        <f t="shared" si="130"/>
        <v/>
      </c>
      <c r="BZ208" s="83" t="str">
        <f t="shared" si="122"/>
        <v/>
      </c>
      <c r="CA208" s="83" t="str">
        <f t="shared" si="123"/>
        <v/>
      </c>
      <c r="CB208" s="530" t="str">
        <f t="shared" si="124"/>
        <v/>
      </c>
      <c r="CC208" s="3" t="s">
        <v>10743</v>
      </c>
      <c r="CG208" s="83" t="s">
        <v>15243</v>
      </c>
      <c r="CH208" s="3" t="s">
        <v>6071</v>
      </c>
      <c r="CI208" s="3"/>
      <c r="CJ208" s="3"/>
      <c r="CK208" s="3" t="s">
        <v>6753</v>
      </c>
      <c r="CM208" s="83" t="s">
        <v>14995</v>
      </c>
      <c r="CN208" s="3"/>
      <c r="CO208" s="3" t="s">
        <v>11005</v>
      </c>
      <c r="CP208" s="83"/>
      <c r="CQ208" s="83"/>
      <c r="CR208" s="3" t="s">
        <v>13578</v>
      </c>
      <c r="CS208" s="3"/>
      <c r="CT208" s="3"/>
      <c r="CU208" s="3"/>
      <c r="CV208" s="3"/>
      <c r="CW208" s="3"/>
      <c r="CX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D208" s="83" t="s">
        <v>15388</v>
      </c>
      <c r="EE208" s="83" t="s">
        <v>15387</v>
      </c>
      <c r="EF208" s="540" t="s">
        <v>15396</v>
      </c>
      <c r="EK208" s="874"/>
      <c r="EU208" s="25" t="str">
        <f>IF(OR(OR(Dieu="Slaanesh",Dieu="Qu’aph",Dieu="Loesh",Dieu="Takchaka",Dieu="Shornaal",Dieu="Banzaïgen"),OR(Dieu="Tzeentch",Dieu="Asaph",Dieu="Tchar",Dieu="Ghithutkichi",Dieu="Ikaninushi")),"Culte de l'Illumination","")</f>
        <v/>
      </c>
      <c r="EV208" s="83" t="str">
        <f t="shared" si="121"/>
        <v/>
      </c>
      <c r="EW208" s="83" t="str">
        <f t="shared" si="125"/>
        <v/>
      </c>
      <c r="EX208" s="530" t="str">
        <f t="shared" si="126"/>
        <v/>
      </c>
      <c r="EY208" s="83" t="s">
        <v>17058</v>
      </c>
      <c r="EZ208" s="530" t="s">
        <v>17059</v>
      </c>
      <c r="FB208" s="83" t="s">
        <v>17618</v>
      </c>
      <c r="FC208" s="133" t="s">
        <v>16253</v>
      </c>
      <c r="FD208" s="85" t="s">
        <v>2196</v>
      </c>
      <c r="FE208" s="849">
        <v>246</v>
      </c>
      <c r="FF208" s="83">
        <v>43</v>
      </c>
      <c r="FG208">
        <v>0</v>
      </c>
      <c r="FH208">
        <v>41</v>
      </c>
      <c r="FI208">
        <v>48</v>
      </c>
      <c r="FJ208" s="10">
        <v>51</v>
      </c>
      <c r="FK208">
        <v>12</v>
      </c>
      <c r="FL208">
        <v>51</v>
      </c>
      <c r="FM208" s="165">
        <v>3</v>
      </c>
      <c r="FN208" s="88">
        <v>2</v>
      </c>
      <c r="FO208" s="88">
        <v>19</v>
      </c>
      <c r="FP208" s="691">
        <f>ROUNDDOWN(FH208/10,0)</f>
        <v>4</v>
      </c>
      <c r="FQ208" s="691">
        <f>ROUNDDOWN(FI208/10,0)</f>
        <v>4</v>
      </c>
      <c r="FR208" s="10">
        <v>10</v>
      </c>
      <c r="FS208" s="88">
        <v>0</v>
      </c>
      <c r="FT208" s="88">
        <v>0</v>
      </c>
      <c r="FU208" s="165">
        <v>0</v>
      </c>
      <c r="FV208" s="83" t="s">
        <v>17619</v>
      </c>
      <c r="FW208" s="83" t="s">
        <v>17620</v>
      </c>
      <c r="FX208" s="530" t="s">
        <v>7659</v>
      </c>
      <c r="GA208" s="83" t="s">
        <v>7616</v>
      </c>
      <c r="GF208" t="s">
        <v>8240</v>
      </c>
      <c r="GG208" s="341" t="s">
        <v>9014</v>
      </c>
      <c r="GH208" s="83" t="s">
        <v>9012</v>
      </c>
      <c r="GI208" s="83" t="s">
        <v>9018</v>
      </c>
    </row>
    <row r="209" spans="8:208" ht="13.2" customHeight="1">
      <c r="H209" s="3"/>
      <c r="I209" s="3"/>
      <c r="J209" s="3"/>
      <c r="K209" s="3"/>
      <c r="L209" s="3"/>
      <c r="M209" s="651"/>
      <c r="N209" s="3"/>
      <c r="O209" s="3"/>
      <c r="P209" s="3"/>
      <c r="Q209" s="3"/>
      <c r="R209" s="651"/>
      <c r="S209" s="83" t="str">
        <f>IF(CareerType=Y209,"Magus de Nurgle",IF(AllCareers="X","Magus de Nurgle",IF(FirstCareer="1ère carrière","",IF(OR(SelectRace="Halfling",SelectRace="Nain",SelectRace="Homme-lézard"),"",IF(Pays="Empire","Magus de Nurgle","")))))</f>
        <v/>
      </c>
      <c r="T209" s="85">
        <v>2</v>
      </c>
      <c r="U209" s="693" t="str">
        <f t="shared" si="127"/>
        <v/>
      </c>
      <c r="V209" s="693" t="str">
        <f t="shared" si="128"/>
        <v/>
      </c>
      <c r="W209" s="693" t="str">
        <f t="shared" si="129"/>
        <v/>
      </c>
      <c r="X209" s="47" t="s">
        <v>2153</v>
      </c>
      <c r="Y209" s="743" t="s">
        <v>15709</v>
      </c>
      <c r="Z209" s="55" t="s">
        <v>2196</v>
      </c>
      <c r="AA209" s="47">
        <v>72</v>
      </c>
      <c r="AB209" s="89" t="s">
        <v>5438</v>
      </c>
      <c r="AC209" s="47"/>
      <c r="AD209" s="15" t="s">
        <v>101</v>
      </c>
      <c r="AE209" s="15" t="s">
        <v>114</v>
      </c>
      <c r="AF209" s="15" t="s">
        <v>114</v>
      </c>
      <c r="AG209" s="15" t="s">
        <v>116</v>
      </c>
      <c r="AH209" s="15" t="s">
        <v>98</v>
      </c>
      <c r="AI209" s="15" t="s">
        <v>114</v>
      </c>
      <c r="AJ209" s="15" t="s">
        <v>100</v>
      </c>
      <c r="AK209" s="18" t="s">
        <v>101</v>
      </c>
      <c r="AL209" s="15" t="s">
        <v>113</v>
      </c>
      <c r="AM209" s="15" t="s">
        <v>114</v>
      </c>
      <c r="AN209" s="15" t="s">
        <v>149</v>
      </c>
      <c r="AO209" s="15" t="s">
        <v>113</v>
      </c>
      <c r="AP209" s="22" t="s">
        <v>782</v>
      </c>
      <c r="AQ209" s="22" t="s">
        <v>782</v>
      </c>
      <c r="AR209" s="22" t="s">
        <v>2341</v>
      </c>
      <c r="AS209" s="22" t="s">
        <v>2341</v>
      </c>
      <c r="AT209" s="22" t="s">
        <v>3479</v>
      </c>
      <c r="AU209" s="87" t="s">
        <v>5441</v>
      </c>
      <c r="AV209" s="87" t="s">
        <v>4690</v>
      </c>
      <c r="AW209" s="457">
        <v>0</v>
      </c>
      <c r="AX209" s="630" t="str">
        <f t="shared" si="138"/>
        <v/>
      </c>
      <c r="AY209" s="630" t="str">
        <f t="shared" si="139"/>
        <v/>
      </c>
      <c r="AZ209" s="630" t="str">
        <f t="shared" si="140"/>
        <v/>
      </c>
      <c r="BA209" s="3"/>
      <c r="BB209" s="3"/>
      <c r="BC209" s="3"/>
      <c r="BD209" s="3"/>
      <c r="BE209" s="3"/>
      <c r="BF209" s="3"/>
      <c r="BG209" s="3"/>
      <c r="BH209" s="3"/>
      <c r="BI209" s="3"/>
      <c r="BJ209" s="3"/>
      <c r="BK209" s="3"/>
      <c r="BL209" s="3"/>
      <c r="BM209" s="3"/>
      <c r="BN209" s="3"/>
      <c r="BP209" s="3"/>
      <c r="BQ209" s="3"/>
      <c r="BR209" s="3"/>
      <c r="BS209" s="3"/>
      <c r="BT209" s="3"/>
      <c r="BU209" s="3"/>
      <c r="BV209" s="3"/>
      <c r="BW209" s="3"/>
      <c r="BX209" s="3" t="str">
        <f>IF(Pays="Terres du Sud","Tribus de la Plaine des Éléphants","")</f>
        <v/>
      </c>
      <c r="BY209" t="str">
        <f t="shared" si="130"/>
        <v/>
      </c>
      <c r="BZ209" s="83" t="str">
        <f t="shared" si="122"/>
        <v/>
      </c>
      <c r="CA209" s="83" t="str">
        <f t="shared" si="123"/>
        <v/>
      </c>
      <c r="CB209" s="530" t="str">
        <f t="shared" si="124"/>
        <v/>
      </c>
      <c r="CC209" s="3" t="s">
        <v>3350</v>
      </c>
      <c r="CG209" s="83" t="s">
        <v>15104</v>
      </c>
      <c r="CH209" s="83" t="s">
        <v>14949</v>
      </c>
      <c r="CI209" s="3"/>
      <c r="CJ209" s="3"/>
      <c r="CK209" s="3" t="s">
        <v>6951</v>
      </c>
      <c r="CM209" s="3" t="s">
        <v>6650</v>
      </c>
      <c r="CN209" s="3"/>
      <c r="CO209" s="3" t="str">
        <f>CONCATENATE("Kragellas",IF(AND('page 1'!M11="Féminin",Pays="Norsca"),"dottir",IF(AND('page 1'!M11="Masculin",Pays="Norsca"),"son",IF(AND('page 1'!M11="Féminin",Pays="Kislev"),"ovna",IF(AND('page 1'!M11="Masculin",Pays="Kislev"),"sky","")))))</f>
        <v>Kragellas</v>
      </c>
      <c r="CR209" s="3" t="s">
        <v>13579</v>
      </c>
      <c r="CS209" s="3"/>
      <c r="CT209" s="3"/>
      <c r="CU209" s="3"/>
      <c r="CV209" s="3"/>
      <c r="CW209" s="3"/>
      <c r="CX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D209" s="83" t="s">
        <v>15397</v>
      </c>
      <c r="EE209" s="83" t="s">
        <v>15387</v>
      </c>
      <c r="EF209" s="540" t="s">
        <v>17060</v>
      </c>
      <c r="EK209" s="874"/>
      <c r="EU209" s="25" t="str">
        <f>IF(AND(OR(Dieu="Khaine",Dieu="Kâli-ma",Dieu="Shahai",Dieu="Canne et Locci",Dieu="Sokth",Dieu="Xapati"),Selectsousrace="Elfe Noir",'page 1'!M11="féminin"),"Furies/Epouses de Khaine","")</f>
        <v/>
      </c>
      <c r="EV209" s="83" t="str">
        <f t="shared" si="121"/>
        <v/>
      </c>
      <c r="EW209" s="83" t="str">
        <f t="shared" si="125"/>
        <v/>
      </c>
      <c r="EX209" s="530" t="str">
        <f t="shared" si="126"/>
        <v/>
      </c>
      <c r="EY209" s="83" t="s">
        <v>11299</v>
      </c>
      <c r="EZ209" s="530" t="s">
        <v>17061</v>
      </c>
      <c r="FB209" s="83" t="s">
        <v>15559</v>
      </c>
      <c r="FC209" s="133" t="s">
        <v>16253</v>
      </c>
      <c r="FD209" s="85" t="s">
        <v>15548</v>
      </c>
      <c r="FE209" s="848">
        <v>102</v>
      </c>
      <c r="FF209" s="83">
        <v>25</v>
      </c>
      <c r="FG209">
        <v>0</v>
      </c>
      <c r="FH209">
        <v>35</v>
      </c>
      <c r="FI209">
        <v>35</v>
      </c>
      <c r="FJ209" s="10">
        <v>10</v>
      </c>
      <c r="FK209">
        <v>26</v>
      </c>
      <c r="FL209">
        <v>33</v>
      </c>
      <c r="FM209" s="165">
        <v>21</v>
      </c>
      <c r="FN209" s="88">
        <v>1</v>
      </c>
      <c r="FO209" s="88">
        <v>12</v>
      </c>
      <c r="FP209" s="164">
        <f>ROUNDDOWN(FH209/10,0)</f>
        <v>3</v>
      </c>
      <c r="FQ209" s="691">
        <f>ROUNDDOWN(FI209/10,0)</f>
        <v>3</v>
      </c>
      <c r="FR209" s="10">
        <v>4</v>
      </c>
      <c r="FS209" s="88">
        <v>0</v>
      </c>
      <c r="FT209" s="88">
        <v>0</v>
      </c>
      <c r="FU209" s="165">
        <v>0</v>
      </c>
      <c r="FV209" s="84" t="s">
        <v>149</v>
      </c>
      <c r="FW209" s="83" t="s">
        <v>15560</v>
      </c>
      <c r="FX209" s="530" t="s">
        <v>7659</v>
      </c>
      <c r="GA209" s="83" t="s">
        <v>17062</v>
      </c>
      <c r="GF209" t="s">
        <v>7769</v>
      </c>
      <c r="GG209" s="341" t="s">
        <v>9021</v>
      </c>
      <c r="GH209" s="83" t="s">
        <v>9012</v>
      </c>
      <c r="GI209" s="83" t="s">
        <v>9018</v>
      </c>
    </row>
    <row r="210" spans="8:208" ht="13.2" customHeight="1">
      <c r="H210" s="3"/>
      <c r="I210" s="3"/>
      <c r="J210" s="3"/>
      <c r="K210" s="3"/>
      <c r="L210" s="3"/>
      <c r="M210" s="651"/>
      <c r="N210" s="3"/>
      <c r="O210" s="3"/>
      <c r="P210" s="3"/>
      <c r="Q210" s="3"/>
      <c r="R210" s="651"/>
      <c r="S210" s="83" t="str">
        <f>IF(CareerType=Y210,"Magus de Slaanesh",IF(AllCareers="X","Magus de Slaanesh",IF(FirstCareer="1ère carrière","",IF(SelectRace="Halfling","",IF(OR(SelectRace="Halfling",SelectRace="Nain",SelectRace="Homme-lézard"),"",IF(Pays="Empire","Magus de Slaanesh",""))))))</f>
        <v/>
      </c>
      <c r="T210" s="85">
        <v>2</v>
      </c>
      <c r="U210" s="693" t="str">
        <f t="shared" si="127"/>
        <v/>
      </c>
      <c r="V210" s="693" t="str">
        <f t="shared" si="128"/>
        <v/>
      </c>
      <c r="W210" s="693" t="str">
        <f t="shared" si="129"/>
        <v/>
      </c>
      <c r="X210" s="47" t="s">
        <v>2153</v>
      </c>
      <c r="Y210" s="743" t="s">
        <v>15709</v>
      </c>
      <c r="Z210" s="55" t="s">
        <v>2196</v>
      </c>
      <c r="AA210" s="47">
        <v>75</v>
      </c>
      <c r="AB210" s="89" t="s">
        <v>5439</v>
      </c>
      <c r="AC210" s="47"/>
      <c r="AD210" s="15" t="s">
        <v>98</v>
      </c>
      <c r="AE210" s="15" t="s">
        <v>98</v>
      </c>
      <c r="AF210" s="15" t="s">
        <v>114</v>
      </c>
      <c r="AG210" s="15" t="s">
        <v>114</v>
      </c>
      <c r="AH210" s="15" t="s">
        <v>100</v>
      </c>
      <c r="AI210" s="15" t="s">
        <v>116</v>
      </c>
      <c r="AJ210" s="15" t="s">
        <v>149</v>
      </c>
      <c r="AK210" s="18" t="s">
        <v>97</v>
      </c>
      <c r="AL210" s="15" t="s">
        <v>102</v>
      </c>
      <c r="AM210" s="15" t="s">
        <v>114</v>
      </c>
      <c r="AN210" s="15" t="s">
        <v>149</v>
      </c>
      <c r="AO210" s="15" t="s">
        <v>113</v>
      </c>
      <c r="AP210" s="22" t="s">
        <v>783</v>
      </c>
      <c r="AQ210" s="22" t="s">
        <v>783</v>
      </c>
      <c r="AR210" s="22" t="s">
        <v>2341</v>
      </c>
      <c r="AS210" s="22" t="s">
        <v>2341</v>
      </c>
      <c r="AT210" s="22" t="s">
        <v>3554</v>
      </c>
      <c r="AU210" s="87" t="s">
        <v>5442</v>
      </c>
      <c r="AV210" s="87" t="s">
        <v>17063</v>
      </c>
      <c r="AW210" s="457">
        <v>0</v>
      </c>
      <c r="AX210" s="630" t="str">
        <f t="shared" si="138"/>
        <v/>
      </c>
      <c r="AY210" s="630" t="str">
        <f t="shared" si="139"/>
        <v/>
      </c>
      <c r="AZ210" s="630" t="str">
        <f t="shared" si="140"/>
        <v/>
      </c>
      <c r="BA210" s="3"/>
      <c r="BB210" s="3"/>
      <c r="BC210" s="3"/>
      <c r="BD210" s="3"/>
      <c r="BE210" s="3"/>
      <c r="BF210" s="3"/>
      <c r="BG210" s="3"/>
      <c r="BH210" s="3"/>
      <c r="BI210" s="3"/>
      <c r="BJ210" s="3"/>
      <c r="BK210" s="3"/>
      <c r="BL210" s="3"/>
      <c r="BM210" s="3"/>
      <c r="BN210" s="3"/>
      <c r="BP210" s="3"/>
      <c r="BQ210" s="3"/>
      <c r="BR210" s="3"/>
      <c r="BS210" s="3"/>
      <c r="BT210" s="3"/>
      <c r="BU210" s="3"/>
      <c r="BV210" s="3"/>
      <c r="BW210" s="3"/>
      <c r="BX210" s="3" t="str">
        <f>IF(OR(Province="Kislev méridional (Gospodar)",Province="Kislev méridional (Ungol)"),"Ville du Sud du Kislev","")</f>
        <v/>
      </c>
      <c r="BY210" t="str">
        <f t="shared" si="130"/>
        <v/>
      </c>
      <c r="BZ210" s="83" t="str">
        <f t="shared" si="122"/>
        <v/>
      </c>
      <c r="CA210" s="83" t="str">
        <f t="shared" si="123"/>
        <v/>
      </c>
      <c r="CB210" s="530" t="str">
        <f t="shared" si="124"/>
        <v/>
      </c>
      <c r="CC210" s="3" t="s">
        <v>3351</v>
      </c>
      <c r="CG210" s="3" t="s">
        <v>6284</v>
      </c>
      <c r="CH210" s="3" t="s">
        <v>1106</v>
      </c>
      <c r="CI210" s="3"/>
      <c r="CJ210" s="3"/>
      <c r="CK210" s="3" t="s">
        <v>6799</v>
      </c>
      <c r="CM210" t="s">
        <v>6245</v>
      </c>
      <c r="CN210" s="3"/>
      <c r="CO210" s="3" t="str">
        <f>CONCATENATE("Kragin",IF(AND('page 1'!M12="Féminin",Pays="Norsca"),"dottir",IF(AND('page 1'!M12="Masculin",Pays="Norsca"),"son",IF(AND('page 1'!M12="Féminin",Pays="Kislev"),"ovna",IF(AND('page 1'!M12="Masculin",Pays="Kislev"),"sky","")))))</f>
        <v>Kragin</v>
      </c>
      <c r="CR210" s="3" t="s">
        <v>13580</v>
      </c>
      <c r="CS210" s="3"/>
      <c r="CT210" s="3"/>
      <c r="CU210" s="3"/>
      <c r="CV210" s="3"/>
      <c r="CW210" s="3"/>
      <c r="CX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D210" s="83" t="s">
        <v>15400</v>
      </c>
      <c r="EE210" s="83" t="s">
        <v>15387</v>
      </c>
      <c r="EF210" s="540" t="s">
        <v>15401</v>
      </c>
      <c r="EK210" s="874"/>
      <c r="EU210" s="177" t="str">
        <f>IF(AND(Dieu="Ulric",'page 1'!M11="Masculin"),"Fils d'Ulric",IF(AND(Dieu="Ulric",'page 1'!M11="Féminin"),"Fille d'Ulric",""))</f>
        <v/>
      </c>
      <c r="EV210" s="83" t="str">
        <f t="shared" si="121"/>
        <v/>
      </c>
      <c r="EW210" s="83" t="str">
        <f t="shared" si="125"/>
        <v/>
      </c>
      <c r="EX210" s="530" t="str">
        <f t="shared" si="126"/>
        <v/>
      </c>
      <c r="EY210" s="83" t="s">
        <v>420</v>
      </c>
      <c r="EZ210" s="530" t="s">
        <v>11300</v>
      </c>
      <c r="FB210" s="177" t="s">
        <v>14925</v>
      </c>
      <c r="FC210" s="133" t="s">
        <v>16253</v>
      </c>
      <c r="FD210" s="85" t="s">
        <v>14900</v>
      </c>
      <c r="FE210" s="849">
        <v>44</v>
      </c>
      <c r="FF210">
        <v>41</v>
      </c>
      <c r="FG210">
        <v>0</v>
      </c>
      <c r="FH210">
        <v>33</v>
      </c>
      <c r="FI210">
        <v>34</v>
      </c>
      <c r="FJ210" s="756">
        <v>36</v>
      </c>
      <c r="FK210">
        <v>0</v>
      </c>
      <c r="FL210">
        <v>0</v>
      </c>
      <c r="FM210" s="165">
        <v>0</v>
      </c>
      <c r="FN210" s="88">
        <v>1</v>
      </c>
      <c r="FO210" s="88">
        <v>16</v>
      </c>
      <c r="FP210" s="164">
        <f>ROUNDDOWN(FH210/10,0)</f>
        <v>3</v>
      </c>
      <c r="FQ210" s="691">
        <f>ROUNDDOWN(FI210/10,0)</f>
        <v>3</v>
      </c>
      <c r="FR210" s="683" t="s">
        <v>12592</v>
      </c>
      <c r="FS210" s="88">
        <v>0</v>
      </c>
      <c r="FT210" s="88">
        <v>0</v>
      </c>
      <c r="FU210" s="165">
        <v>0</v>
      </c>
      <c r="FV210" s="83" t="s">
        <v>12982</v>
      </c>
      <c r="FW210" s="83" t="s">
        <v>14901</v>
      </c>
      <c r="FX210" s="530" t="s">
        <v>7659</v>
      </c>
      <c r="GA210" t="s">
        <v>7511</v>
      </c>
      <c r="GF210" t="s">
        <v>8241</v>
      </c>
      <c r="GG210" s="341" t="s">
        <v>9016</v>
      </c>
      <c r="GH210" s="83" t="s">
        <v>9012</v>
      </c>
      <c r="GI210" s="83" t="s">
        <v>9018</v>
      </c>
    </row>
    <row r="211" spans="8:208" ht="13.2" customHeight="1">
      <c r="H211" s="3"/>
      <c r="I211" s="3"/>
      <c r="J211" s="3"/>
      <c r="K211" s="3"/>
      <c r="L211" s="3"/>
      <c r="M211" s="651"/>
      <c r="N211" s="3"/>
      <c r="O211" s="3"/>
      <c r="P211" s="3"/>
      <c r="Q211" s="3"/>
      <c r="R211" s="651"/>
      <c r="S211" s="83" t="str">
        <f>IF(CareerType=Y211,"Magus de Tzeentch",IF(AllCareers="X","Magus de Tzeentch",IF(FirstCareer="1ère carrière","",IF(OR(SelectRace="Halfling",SelectRace="Nain",SelectRace="Homme-lézard"),"",IF(Pays="Empire","Magus de Tzeentch","")))))</f>
        <v/>
      </c>
      <c r="T211" s="85">
        <v>2</v>
      </c>
      <c r="U211" s="693" t="str">
        <f t="shared" si="127"/>
        <v/>
      </c>
      <c r="V211" s="693" t="str">
        <f t="shared" si="128"/>
        <v/>
      </c>
      <c r="W211" s="693" t="str">
        <f t="shared" si="129"/>
        <v/>
      </c>
      <c r="X211" s="47" t="s">
        <v>2153</v>
      </c>
      <c r="Y211" s="743" t="s">
        <v>15709</v>
      </c>
      <c r="Z211" s="55" t="s">
        <v>2196</v>
      </c>
      <c r="AA211" s="47">
        <v>79</v>
      </c>
      <c r="AB211" s="89" t="s">
        <v>5440</v>
      </c>
      <c r="AC211" s="47"/>
      <c r="AD211" s="15" t="s">
        <v>98</v>
      </c>
      <c r="AE211" s="15" t="s">
        <v>98</v>
      </c>
      <c r="AF211" s="15" t="s">
        <v>114</v>
      </c>
      <c r="AG211" s="15" t="s">
        <v>114</v>
      </c>
      <c r="AH211" s="15" t="s">
        <v>98</v>
      </c>
      <c r="AI211" s="15" t="s">
        <v>97</v>
      </c>
      <c r="AJ211" s="15" t="s">
        <v>100</v>
      </c>
      <c r="AK211" s="18" t="s">
        <v>116</v>
      </c>
      <c r="AL211" s="15" t="s">
        <v>102</v>
      </c>
      <c r="AM211" s="15" t="s">
        <v>114</v>
      </c>
      <c r="AN211" s="15" t="s">
        <v>149</v>
      </c>
      <c r="AO211" s="15" t="s">
        <v>113</v>
      </c>
      <c r="AP211" s="22" t="s">
        <v>975</v>
      </c>
      <c r="AQ211" s="22" t="s">
        <v>975</v>
      </c>
      <c r="AR211" s="22" t="s">
        <v>2341</v>
      </c>
      <c r="AS211" s="22" t="s">
        <v>2341</v>
      </c>
      <c r="AT211" s="22" t="s">
        <v>3555</v>
      </c>
      <c r="AU211" s="87" t="s">
        <v>5443</v>
      </c>
      <c r="AV211" s="87" t="s">
        <v>17064</v>
      </c>
      <c r="AW211" s="457">
        <v>30</v>
      </c>
      <c r="AX211" s="630" t="str">
        <f t="shared" si="138"/>
        <v/>
      </c>
      <c r="AY211" s="630" t="str">
        <f t="shared" si="139"/>
        <v/>
      </c>
      <c r="AZ211" s="630" t="str">
        <f t="shared" si="140"/>
        <v/>
      </c>
      <c r="BA211" s="3"/>
      <c r="BB211" s="3"/>
      <c r="BC211" s="3"/>
      <c r="BD211" s="3"/>
      <c r="BE211" s="3"/>
      <c r="BF211" s="3"/>
      <c r="BG211" s="3"/>
      <c r="BH211" s="3"/>
      <c r="BI211" s="3"/>
      <c r="BJ211" s="3"/>
      <c r="BK211" s="3"/>
      <c r="BL211" s="3"/>
      <c r="BM211" s="3"/>
      <c r="BN211" s="3"/>
      <c r="BP211" s="3"/>
      <c r="BQ211" s="3"/>
      <c r="BR211" s="3"/>
      <c r="BS211" s="3"/>
      <c r="BT211" s="3"/>
      <c r="BU211" s="3"/>
      <c r="BV211" s="3"/>
      <c r="BW211" s="3"/>
      <c r="BX211" s="3" t="str">
        <f>IF(OR(Province="Kislev septentrional (Gospodar)",Province="Kislev septentrional (Ungol)"),"Tirsa du Nord","")</f>
        <v/>
      </c>
      <c r="BY211" t="str">
        <f t="shared" si="130"/>
        <v/>
      </c>
      <c r="BZ211" s="83" t="str">
        <f t="shared" si="122"/>
        <v/>
      </c>
      <c r="CA211" s="83" t="str">
        <f t="shared" si="123"/>
        <v/>
      </c>
      <c r="CB211" s="530" t="str">
        <f t="shared" si="124"/>
        <v/>
      </c>
      <c r="CC211" s="3" t="s">
        <v>3352</v>
      </c>
      <c r="CG211" s="3" t="s">
        <v>892</v>
      </c>
      <c r="CH211" s="3" t="s">
        <v>6067</v>
      </c>
      <c r="CI211" s="3"/>
      <c r="CJ211" s="3"/>
      <c r="CK211" s="3" t="s">
        <v>6984</v>
      </c>
      <c r="CM211" s="83" t="s">
        <v>14906</v>
      </c>
      <c r="CN211" s="3"/>
      <c r="CO211" s="83" t="str">
        <f>CONCATENATE("Kragnon",IF(AND('page 1'!M11="Féminin",Pays="Norsca"),"dottir",IF(AND('page 1'!M11="Masculin",Pays="Norsca"),"son",IF(AND('page 1'!M11="Féminin",Pays="Kislev"),"ovna",IF(AND('page 1'!M11="Masculin",Pays="Kislev"),"sky","")))))</f>
        <v>Kragnon</v>
      </c>
      <c r="CP211" s="3"/>
      <c r="CQ211" s="3"/>
      <c r="CR211" s="83" t="s">
        <v>13581</v>
      </c>
      <c r="CS211" s="3"/>
      <c r="CT211" s="3"/>
      <c r="CU211" s="3"/>
      <c r="CV211" s="3"/>
      <c r="CW211" s="3"/>
      <c r="CX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D211" s="83" t="s">
        <v>4673</v>
      </c>
      <c r="EE211" s="83" t="s">
        <v>16297</v>
      </c>
      <c r="EF211" s="540" t="s">
        <v>17065</v>
      </c>
      <c r="EK211" s="874"/>
      <c r="EU211" s="177" t="str">
        <f>IF(Dieu="Ulric","Culte du Roi des Neiges","")</f>
        <v/>
      </c>
      <c r="EV211" s="83" t="str">
        <f t="shared" si="121"/>
        <v/>
      </c>
      <c r="EW211" s="83" t="str">
        <f t="shared" si="125"/>
        <v/>
      </c>
      <c r="EX211" s="530" t="str">
        <f t="shared" si="126"/>
        <v/>
      </c>
      <c r="EY211" s="83" t="s">
        <v>420</v>
      </c>
      <c r="EZ211" s="530" t="s">
        <v>5905</v>
      </c>
      <c r="FB211" s="177" t="s">
        <v>15629</v>
      </c>
      <c r="FC211" s="133" t="s">
        <v>16253</v>
      </c>
      <c r="FD211" s="85" t="s">
        <v>15548</v>
      </c>
      <c r="FE211" s="849">
        <v>113</v>
      </c>
      <c r="FF211">
        <v>23</v>
      </c>
      <c r="FG211">
        <v>0</v>
      </c>
      <c r="FH211">
        <v>30</v>
      </c>
      <c r="FI211">
        <v>20</v>
      </c>
      <c r="FJ211" s="10">
        <v>40</v>
      </c>
      <c r="FK211">
        <v>0</v>
      </c>
      <c r="FL211">
        <v>0</v>
      </c>
      <c r="FM211" s="165">
        <v>0</v>
      </c>
      <c r="FN211" s="88">
        <v>1</v>
      </c>
      <c r="FO211" s="88">
        <v>10</v>
      </c>
      <c r="FP211" s="691">
        <f>ROUNDDOWN(FH211/10,0)</f>
        <v>3</v>
      </c>
      <c r="FQ211" s="691">
        <f>ROUNDDOWN(FI211/10,0)</f>
        <v>2</v>
      </c>
      <c r="FR211" s="10">
        <v>6</v>
      </c>
      <c r="FS211" s="88">
        <v>0</v>
      </c>
      <c r="FT211" s="88">
        <v>0</v>
      </c>
      <c r="FU211" s="165">
        <v>0</v>
      </c>
      <c r="FV211" s="84" t="s">
        <v>149</v>
      </c>
      <c r="FW211" s="83" t="s">
        <v>15630</v>
      </c>
      <c r="FX211" s="530" t="s">
        <v>7659</v>
      </c>
      <c r="GA211" s="83" t="s">
        <v>7622</v>
      </c>
      <c r="GF211" t="s">
        <v>8229</v>
      </c>
      <c r="GG211" s="341" t="s">
        <v>9662</v>
      </c>
      <c r="GH211" s="83" t="s">
        <v>9665</v>
      </c>
      <c r="GI211" s="83" t="s">
        <v>9666</v>
      </c>
    </row>
    <row r="212" spans="8:208" ht="13.2" customHeight="1">
      <c r="H212" s="3"/>
      <c r="I212" s="3"/>
      <c r="J212" s="3"/>
      <c r="K212" s="3"/>
      <c r="L212" s="3"/>
      <c r="M212" s="651"/>
      <c r="N212" s="3"/>
      <c r="O212" s="3"/>
      <c r="P212" s="3"/>
      <c r="Q212" s="3"/>
      <c r="R212" s="651"/>
      <c r="S212" s="83" t="str">
        <f>IF(CareerType=Y212,"Maître Assassin",IF(AllCareers="X","Maître Assassin",IF(FirstCareer="1ère carrière","",IF(SelectRace="skaven","Maître Assassin",""))))</f>
        <v/>
      </c>
      <c r="T212" s="106">
        <f>IF(X212="oui",0,1)</f>
        <v>1</v>
      </c>
      <c r="U212" s="693" t="str">
        <f t="shared" si="127"/>
        <v/>
      </c>
      <c r="V212" s="693" t="str">
        <f t="shared" si="128"/>
        <v/>
      </c>
      <c r="W212" s="693" t="str">
        <f t="shared" si="129"/>
        <v/>
      </c>
      <c r="X212" s="47" t="s">
        <v>2153</v>
      </c>
      <c r="Y212" s="743" t="s">
        <v>7133</v>
      </c>
      <c r="Z212" s="56" t="s">
        <v>1328</v>
      </c>
      <c r="AA212" s="47">
        <v>100</v>
      </c>
      <c r="AB212" s="444" t="s">
        <v>9301</v>
      </c>
      <c r="AC212" s="48"/>
      <c r="AD212" s="15" t="s">
        <v>99</v>
      </c>
      <c r="AE212" s="15" t="s">
        <v>99</v>
      </c>
      <c r="AF212" s="15" t="s">
        <v>98</v>
      </c>
      <c r="AG212" s="15" t="s">
        <v>101</v>
      </c>
      <c r="AH212" s="15" t="s">
        <v>116</v>
      </c>
      <c r="AI212" s="15" t="s">
        <v>101</v>
      </c>
      <c r="AJ212" s="15" t="s">
        <v>100</v>
      </c>
      <c r="AK212" s="18" t="s">
        <v>98</v>
      </c>
      <c r="AL212" s="15" t="s">
        <v>113</v>
      </c>
      <c r="AM212" s="15" t="s">
        <v>112</v>
      </c>
      <c r="AN212" s="15" t="s">
        <v>149</v>
      </c>
      <c r="AO212" s="15" t="s">
        <v>149</v>
      </c>
      <c r="AP212" s="87" t="s">
        <v>734</v>
      </c>
      <c r="AQ212" s="22" t="s">
        <v>3099</v>
      </c>
      <c r="AR212" s="22" t="s">
        <v>14830</v>
      </c>
      <c r="AS212" s="22" t="s">
        <v>14830</v>
      </c>
      <c r="AT212" s="87" t="s">
        <v>15793</v>
      </c>
      <c r="AU212" s="87" t="s">
        <v>5503</v>
      </c>
      <c r="AV212" s="87" t="s">
        <v>4800</v>
      </c>
      <c r="AW212" s="457">
        <v>0</v>
      </c>
      <c r="AX212" s="630" t="str">
        <f t="shared" si="138"/>
        <v/>
      </c>
      <c r="AY212" s="630" t="str">
        <f t="shared" si="139"/>
        <v/>
      </c>
      <c r="AZ212" s="630" t="str">
        <f t="shared" si="140"/>
        <v/>
      </c>
      <c r="BA212" s="3"/>
      <c r="BB212" s="3"/>
      <c r="BC212" s="3"/>
      <c r="BD212" s="3"/>
      <c r="BE212" s="3"/>
      <c r="BF212" s="3"/>
      <c r="BG212" s="3"/>
      <c r="BH212" s="3"/>
      <c r="BI212" s="3"/>
      <c r="BJ212" s="3"/>
      <c r="BK212" s="3"/>
      <c r="BL212" s="3"/>
      <c r="BM212" s="3"/>
      <c r="BN212" s="3"/>
      <c r="BP212" s="3"/>
      <c r="BQ212" s="3"/>
      <c r="BR212" s="3"/>
      <c r="BS212" s="3"/>
      <c r="BT212" s="3"/>
      <c r="BU212" s="3"/>
      <c r="BV212" s="3"/>
      <c r="BW212" s="3"/>
      <c r="BX212" s="3" t="str">
        <f>IF(OR(Province="Kislev oriental (Gospodar)",Province="Kislev oriental (Ungol)"),"Ville de l'Est du Kislev","")</f>
        <v/>
      </c>
      <c r="BY212" t="str">
        <f t="shared" si="130"/>
        <v/>
      </c>
      <c r="BZ212" s="83" t="str">
        <f t="shared" si="122"/>
        <v/>
      </c>
      <c r="CA212" s="83" t="str">
        <f t="shared" si="123"/>
        <v/>
      </c>
      <c r="CB212" s="530" t="str">
        <f t="shared" si="124"/>
        <v/>
      </c>
      <c r="CC212" s="3" t="s">
        <v>3353</v>
      </c>
      <c r="CG212" s="83" t="s">
        <v>15240</v>
      </c>
      <c r="CH212" s="3" t="s">
        <v>6068</v>
      </c>
      <c r="CI212" s="3"/>
      <c r="CJ212" s="3"/>
      <c r="CK212" s="3" t="s">
        <v>6840</v>
      </c>
      <c r="CM212" t="s">
        <v>10370</v>
      </c>
      <c r="CN212" s="3"/>
      <c r="CO212" t="str">
        <f>CONCATENATE("Krim",IF(AND('page 1'!M11="Féminin",Pays="Norsca"),"dottir",IF(AND('page 1'!M11="Masculin",Pays="Norsca"),"son",IF(AND('page 1'!M11="Féminin",Pays="Kislev"),"ovna",IF(AND('page 1'!M11="Masculin",Pays="Kislev"),"sky","")))))</f>
        <v>Krim</v>
      </c>
      <c r="CP212" s="83"/>
      <c r="CQ212" s="83"/>
      <c r="CR212" s="83" t="s">
        <v>13582</v>
      </c>
      <c r="CS212" s="3"/>
      <c r="CT212" s="3"/>
      <c r="CU212" s="3"/>
      <c r="CV212" s="3"/>
      <c r="CW212" s="3"/>
      <c r="CX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D212" s="83" t="s">
        <v>16298</v>
      </c>
      <c r="EE212" s="83" t="s">
        <v>16297</v>
      </c>
      <c r="EF212" s="540" t="s">
        <v>17066</v>
      </c>
      <c r="EK212" s="874"/>
      <c r="EU212" s="177" t="str">
        <f>IF(Dieu="Véréna","Secte de Clio","")</f>
        <v/>
      </c>
      <c r="EV212" s="83" t="str">
        <f t="shared" si="121"/>
        <v/>
      </c>
      <c r="EW212" s="83" t="str">
        <f t="shared" si="125"/>
        <v/>
      </c>
      <c r="EX212" s="530" t="str">
        <f t="shared" si="126"/>
        <v/>
      </c>
      <c r="EY212" s="83" t="s">
        <v>9625</v>
      </c>
      <c r="EZ212" s="530" t="s">
        <v>11301</v>
      </c>
      <c r="FB212" s="177" t="s">
        <v>15617</v>
      </c>
      <c r="FC212" s="133" t="s">
        <v>16253</v>
      </c>
      <c r="FD212" s="85" t="s">
        <v>15548</v>
      </c>
      <c r="FE212" s="849">
        <v>117</v>
      </c>
      <c r="FF212">
        <v>50</v>
      </c>
      <c r="FG212">
        <v>55</v>
      </c>
      <c r="FH212">
        <v>35</v>
      </c>
      <c r="FI212">
        <v>35</v>
      </c>
      <c r="FJ212">
        <v>60</v>
      </c>
      <c r="FK212">
        <v>45</v>
      </c>
      <c r="FL212">
        <v>55</v>
      </c>
      <c r="FM212" s="165">
        <v>40</v>
      </c>
      <c r="FN212" s="88">
        <v>2</v>
      </c>
      <c r="FO212" s="88">
        <v>12</v>
      </c>
      <c r="FP212" s="164">
        <f>ROUNDDOWN(FH212/10,0)</f>
        <v>3</v>
      </c>
      <c r="FQ212" s="691">
        <f>ROUNDDOWN(FI212/10,0)</f>
        <v>3</v>
      </c>
      <c r="FR212" s="10">
        <v>5</v>
      </c>
      <c r="FS212" s="88">
        <v>0</v>
      </c>
      <c r="FT212" s="88">
        <v>0</v>
      </c>
      <c r="FU212" s="165">
        <v>0</v>
      </c>
      <c r="FV212" s="83" t="s">
        <v>15618</v>
      </c>
      <c r="FW212" t="s">
        <v>15619</v>
      </c>
      <c r="FX212" s="530" t="s">
        <v>7659</v>
      </c>
      <c r="GA212" t="s">
        <v>7512</v>
      </c>
      <c r="GE212" s="356"/>
      <c r="GF212" t="s">
        <v>8246</v>
      </c>
      <c r="GG212" s="356" t="s">
        <v>9657</v>
      </c>
      <c r="GH212" s="83" t="s">
        <v>9665</v>
      </c>
      <c r="GI212" s="83" t="s">
        <v>9666</v>
      </c>
    </row>
    <row r="213" spans="8:208" ht="13.2" customHeight="1">
      <c r="H213" s="3"/>
      <c r="I213" s="3"/>
      <c r="J213" s="3"/>
      <c r="K213" s="3"/>
      <c r="L213" s="3"/>
      <c r="M213" s="651"/>
      <c r="N213" s="3"/>
      <c r="O213" s="3"/>
      <c r="P213" s="3"/>
      <c r="Q213" s="3"/>
      <c r="R213" s="651"/>
      <c r="S213" s="83" t="str">
        <f>IF(CareerType=Y213,"Maître Corrupteur",IF(AllCareers="X","Maître Corrupteur",IF(FirstCareer="1ère carrière","",IF(SelectRace="skaven","Maître Corrupteur",""))))</f>
        <v/>
      </c>
      <c r="T213" s="106">
        <f>IF(X213="oui",0,1)</f>
        <v>1</v>
      </c>
      <c r="U213" s="693" t="str">
        <f t="shared" si="127"/>
        <v/>
      </c>
      <c r="V213" s="693" t="str">
        <f t="shared" si="128"/>
        <v/>
      </c>
      <c r="W213" s="693" t="str">
        <f t="shared" si="129"/>
        <v/>
      </c>
      <c r="X213" s="47" t="s">
        <v>2153</v>
      </c>
      <c r="Y213" s="743" t="s">
        <v>7131</v>
      </c>
      <c r="Z213" s="56" t="s">
        <v>1328</v>
      </c>
      <c r="AA213" s="47">
        <v>100</v>
      </c>
      <c r="AB213" s="89" t="s">
        <v>9302</v>
      </c>
      <c r="AC213" s="48"/>
      <c r="AD213" s="15" t="s">
        <v>101</v>
      </c>
      <c r="AE213" s="15" t="s">
        <v>98</v>
      </c>
      <c r="AF213" s="15" t="s">
        <v>149</v>
      </c>
      <c r="AG213" s="15" t="s">
        <v>101</v>
      </c>
      <c r="AH213" s="15" t="s">
        <v>98</v>
      </c>
      <c r="AI213" s="15" t="s">
        <v>101</v>
      </c>
      <c r="AJ213" s="15" t="s">
        <v>101</v>
      </c>
      <c r="AK213" s="18" t="s">
        <v>98</v>
      </c>
      <c r="AL213" s="15" t="s">
        <v>102</v>
      </c>
      <c r="AM213" s="15" t="s">
        <v>114</v>
      </c>
      <c r="AN213" s="15" t="s">
        <v>149</v>
      </c>
      <c r="AO213" s="15" t="s">
        <v>149</v>
      </c>
      <c r="AP213" s="87" t="s">
        <v>734</v>
      </c>
      <c r="AQ213" s="22" t="s">
        <v>15845</v>
      </c>
      <c r="AR213" s="22" t="s">
        <v>14831</v>
      </c>
      <c r="AS213" s="87" t="s">
        <v>14832</v>
      </c>
      <c r="AT213" s="87" t="s">
        <v>15794</v>
      </c>
      <c r="AU213" s="87" t="s">
        <v>5504</v>
      </c>
      <c r="AV213" s="87" t="s">
        <v>4801</v>
      </c>
      <c r="AW213" s="457">
        <v>0</v>
      </c>
      <c r="AX213" s="630" t="str">
        <f t="shared" si="138"/>
        <v/>
      </c>
      <c r="AY213" s="630" t="str">
        <f t="shared" si="139"/>
        <v/>
      </c>
      <c r="AZ213" s="630" t="str">
        <f t="shared" si="140"/>
        <v/>
      </c>
      <c r="BA213" s="3"/>
      <c r="BB213" s="3"/>
      <c r="BC213" s="3"/>
      <c r="BD213" s="3"/>
      <c r="BE213" s="3"/>
      <c r="BF213" s="3"/>
      <c r="BG213" s="3"/>
      <c r="BH213" s="3"/>
      <c r="BI213" s="3"/>
      <c r="BJ213" s="3"/>
      <c r="BK213" s="3"/>
      <c r="BL213" s="3"/>
      <c r="BM213" s="3"/>
      <c r="BN213" s="3"/>
      <c r="BP213" s="3"/>
      <c r="BQ213" s="3"/>
      <c r="BR213" s="3"/>
      <c r="BS213" s="3"/>
      <c r="BT213" s="3"/>
      <c r="BU213" s="3"/>
      <c r="BV213" s="3"/>
      <c r="BW213" s="3"/>
      <c r="BX213" s="3" t="str">
        <f>IF(OR(Province="Kislev oriental (Gospodar)",Province="Kislev oriental (Ungol)"),"Tirsa de l'Est","")</f>
        <v/>
      </c>
      <c r="BY213" t="str">
        <f t="shared" si="130"/>
        <v/>
      </c>
      <c r="BZ213" s="83" t="str">
        <f t="shared" si="122"/>
        <v/>
      </c>
      <c r="CA213" s="83" t="str">
        <f t="shared" si="123"/>
        <v/>
      </c>
      <c r="CB213" s="530" t="str">
        <f t="shared" si="124"/>
        <v/>
      </c>
      <c r="CC213" s="3" t="s">
        <v>3354</v>
      </c>
      <c r="CG213" s="83" t="s">
        <v>14936</v>
      </c>
      <c r="CH213" s="3" t="s">
        <v>6072</v>
      </c>
      <c r="CI213" s="3"/>
      <c r="CJ213" s="3"/>
      <c r="CK213" t="s">
        <v>6717</v>
      </c>
      <c r="CM213" s="3" t="s">
        <v>6651</v>
      </c>
      <c r="CN213" s="3"/>
      <c r="CO213" t="str">
        <f>CONCATENATE("Kristof",IF(AND('page 1'!M11="Féminin",Pays="Norsca"),"dottir",IF(AND('page 1'!M11="Masculin",Pays="Norsca"),"son",IF(AND('page 1'!M11="Féminin",Pays="Kislev"),"ovna",IF(AND('page 1'!M11="Masculin",Pays="Kislev"),"sky","")))))</f>
        <v>Kristof</v>
      </c>
      <c r="CP213" s="3"/>
      <c r="CQ213" s="3"/>
      <c r="CR213" s="3" t="s">
        <v>13583</v>
      </c>
      <c r="CS213" s="3"/>
      <c r="CT213" s="3"/>
      <c r="CU213" s="3"/>
      <c r="CV213" s="3"/>
      <c r="CW213" s="3"/>
      <c r="CX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D213" s="83" t="s">
        <v>16603</v>
      </c>
      <c r="EE213" s="83" t="s">
        <v>16297</v>
      </c>
      <c r="EF213" s="540" t="s">
        <v>17067</v>
      </c>
      <c r="EK213" s="874"/>
      <c r="EU213" s="177" t="str">
        <f>IF(Dieu="Véréna","Secte de Scipsisti","")</f>
        <v/>
      </c>
      <c r="EV213" s="83" t="str">
        <f t="shared" si="121"/>
        <v/>
      </c>
      <c r="EW213" s="83" t="str">
        <f t="shared" si="125"/>
        <v/>
      </c>
      <c r="EX213" s="530" t="str">
        <f t="shared" si="126"/>
        <v/>
      </c>
      <c r="EZ213" s="530" t="s">
        <v>11303</v>
      </c>
      <c r="FB213" s="177" t="s">
        <v>15623</v>
      </c>
      <c r="FC213" s="133" t="s">
        <v>16253</v>
      </c>
      <c r="FD213" s="85" t="s">
        <v>15548</v>
      </c>
      <c r="FE213" s="849">
        <v>114</v>
      </c>
      <c r="FF213">
        <v>44</v>
      </c>
      <c r="FG213">
        <v>0</v>
      </c>
      <c r="FH213">
        <v>33</v>
      </c>
      <c r="FI213">
        <v>33</v>
      </c>
      <c r="FJ213" s="10">
        <v>46</v>
      </c>
      <c r="FK213">
        <v>0</v>
      </c>
      <c r="FL213">
        <v>0</v>
      </c>
      <c r="FM213" s="165">
        <v>0</v>
      </c>
      <c r="FN213" s="88">
        <v>5</v>
      </c>
      <c r="FO213" s="88">
        <v>24</v>
      </c>
      <c r="FP213" s="691">
        <f>ROUNDDOWN(FH213/10,0)</f>
        <v>3</v>
      </c>
      <c r="FQ213" s="691">
        <f>ROUNDDOWN(FI213/10,0)</f>
        <v>3</v>
      </c>
      <c r="FR213" s="10">
        <v>6</v>
      </c>
      <c r="FS213" s="88">
        <v>0</v>
      </c>
      <c r="FT213" s="88">
        <v>0</v>
      </c>
      <c r="FU213" s="165">
        <v>0</v>
      </c>
      <c r="FV213" s="84" t="s">
        <v>149</v>
      </c>
      <c r="FW213" s="83" t="s">
        <v>15624</v>
      </c>
      <c r="FX213" s="530" t="s">
        <v>7659</v>
      </c>
      <c r="GA213" t="s">
        <v>7575</v>
      </c>
      <c r="GE213" s="356"/>
      <c r="GF213" t="s">
        <v>7770</v>
      </c>
      <c r="GG213" s="356" t="s">
        <v>9658</v>
      </c>
      <c r="GH213" s="83" t="s">
        <v>9665</v>
      </c>
      <c r="GI213" s="83" t="s">
        <v>9666</v>
      </c>
    </row>
    <row r="214" spans="8:208" ht="13.2" customHeight="1">
      <c r="H214" s="3"/>
      <c r="I214" s="3"/>
      <c r="J214" s="3"/>
      <c r="K214" s="3"/>
      <c r="L214" s="3"/>
      <c r="M214" s="651"/>
      <c r="N214" s="3"/>
      <c r="O214" s="3"/>
      <c r="P214" s="3"/>
      <c r="Q214" s="3"/>
      <c r="R214" s="651"/>
      <c r="S214" s="83" t="str">
        <f>IF(CareerType=Y214,"Maître de guilde",IF(AllCareers="X","Maître de guilde",IF(Selectsousrace="","",IF(OR(SelectRace="homme-bête",SelectRace="peau-verte",SelectRace="créature du chaos",SelectRace="Homme-lézard",SelectRace="skaven"),"",IF(FirstCareer="1ère carrière","","Maître de guilde")))))</f>
        <v/>
      </c>
      <c r="T214" s="106">
        <v>2</v>
      </c>
      <c r="U214" s="693" t="str">
        <f t="shared" si="127"/>
        <v/>
      </c>
      <c r="V214" s="693" t="str">
        <f t="shared" si="128"/>
        <v/>
      </c>
      <c r="W214" s="693" t="str">
        <f t="shared" si="129"/>
        <v/>
      </c>
      <c r="X214" s="47" t="s">
        <v>2153</v>
      </c>
      <c r="Y214" s="743" t="s">
        <v>7131</v>
      </c>
      <c r="Z214" s="55" t="s">
        <v>2200</v>
      </c>
      <c r="AA214" s="47">
        <v>76</v>
      </c>
      <c r="AB214" s="47" t="s">
        <v>2342</v>
      </c>
      <c r="AC214" s="47">
        <v>94</v>
      </c>
      <c r="AD214" s="15" t="s">
        <v>98</v>
      </c>
      <c r="AE214" s="15" t="s">
        <v>98</v>
      </c>
      <c r="AF214" s="15" t="s">
        <v>149</v>
      </c>
      <c r="AG214" s="15" t="s">
        <v>98</v>
      </c>
      <c r="AH214" s="15" t="s">
        <v>101</v>
      </c>
      <c r="AI214" s="15" t="s">
        <v>116</v>
      </c>
      <c r="AJ214" s="15" t="s">
        <v>100</v>
      </c>
      <c r="AK214" s="18" t="s">
        <v>119</v>
      </c>
      <c r="AL214" s="15" t="s">
        <v>102</v>
      </c>
      <c r="AM214" s="15" t="s">
        <v>114</v>
      </c>
      <c r="AN214" s="15" t="s">
        <v>149</v>
      </c>
      <c r="AO214" s="15" t="s">
        <v>149</v>
      </c>
      <c r="AP214" s="141" t="s">
        <v>15854</v>
      </c>
      <c r="AQ214" s="87" t="s">
        <v>15901</v>
      </c>
      <c r="AR214" s="87" t="s">
        <v>5527</v>
      </c>
      <c r="AS214" s="87" t="s">
        <v>734</v>
      </c>
      <c r="AT214" s="87" t="s">
        <v>17070</v>
      </c>
      <c r="AU214" s="87" t="s">
        <v>17071</v>
      </c>
      <c r="AV214" s="87" t="s">
        <v>17072</v>
      </c>
      <c r="AW214" s="457">
        <v>100</v>
      </c>
      <c r="AX214" s="630" t="str">
        <f t="shared" si="138"/>
        <v/>
      </c>
      <c r="AY214" s="630" t="str">
        <f t="shared" si="139"/>
        <v/>
      </c>
      <c r="AZ214" s="630" t="str">
        <f t="shared" si="140"/>
        <v/>
      </c>
      <c r="BA214" s="3"/>
      <c r="BB214" s="3"/>
      <c r="BC214" s="3"/>
      <c r="BD214" s="3"/>
      <c r="BE214" s="3"/>
      <c r="BF214" s="3"/>
      <c r="BG214" s="3"/>
      <c r="BH214" s="3"/>
      <c r="BI214" s="3"/>
      <c r="BJ214" s="3"/>
      <c r="BK214" s="3"/>
      <c r="BL214" s="3"/>
      <c r="BM214" s="3"/>
      <c r="BN214" s="3"/>
      <c r="BP214" s="3"/>
      <c r="BQ214" s="3"/>
      <c r="BR214" s="3"/>
      <c r="BS214" s="3"/>
      <c r="BT214" s="3"/>
      <c r="BU214" s="3"/>
      <c r="BV214" s="3"/>
      <c r="BW214" s="3"/>
      <c r="BX214" s="3" t="str">
        <f>IF(OR(Province="Kislev occdiental (Gospodar)",Province="Kislev occdiental (Ungol)"),"Ville de l'Ouest du Kislev","")</f>
        <v/>
      </c>
      <c r="BY214" t="str">
        <f t="shared" si="130"/>
        <v/>
      </c>
      <c r="BZ214" s="83" t="str">
        <f t="shared" si="122"/>
        <v/>
      </c>
      <c r="CA214" s="83" t="str">
        <f t="shared" si="123"/>
        <v/>
      </c>
      <c r="CB214" s="530" t="str">
        <f t="shared" si="124"/>
        <v/>
      </c>
      <c r="CC214" s="3" t="s">
        <v>3355</v>
      </c>
      <c r="CG214" s="3" t="s">
        <v>6285</v>
      </c>
      <c r="CH214" s="3" t="s">
        <v>6073</v>
      </c>
      <c r="CI214" s="3"/>
      <c r="CJ214" s="3"/>
      <c r="CK214" s="3" t="s">
        <v>6917</v>
      </c>
      <c r="CM214" t="s">
        <v>10371</v>
      </c>
      <c r="CN214" s="3"/>
      <c r="CO214" s="3" t="str">
        <f>CONCATENATE("Krudds",IF(AND('page 1'!M11="Féminin",Pays="Norsca"),"dottir",IF(AND('page 1'!M11="Masculin",Pays="Norsca"),"son",IF(AND('page 1'!M11="Féminin",Pays="Kislev"),"ovna",IF(AND('page 1'!M11="Masculin",Pays="Kislev"),"sky","")))))</f>
        <v>Krudds</v>
      </c>
      <c r="CP214" s="83"/>
      <c r="CQ214" s="83"/>
      <c r="CR214" s="3" t="s">
        <v>13584</v>
      </c>
      <c r="CS214" s="3"/>
      <c r="CT214" s="3"/>
      <c r="CU214" s="3"/>
      <c r="CV214" s="3"/>
      <c r="CW214" s="3"/>
      <c r="CX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D214" s="83" t="s">
        <v>16601</v>
      </c>
      <c r="EE214" s="83" t="s">
        <v>16297</v>
      </c>
      <c r="EF214" s="540" t="s">
        <v>17073</v>
      </c>
      <c r="EK214" s="874"/>
      <c r="EU214" s="177" t="str">
        <f>IF(Dieu="Véréna","Secte de Renbaeth","")</f>
        <v/>
      </c>
      <c r="EV214" s="83" t="str">
        <f t="shared" si="121"/>
        <v/>
      </c>
      <c r="EW214" s="83" t="str">
        <f t="shared" si="125"/>
        <v/>
      </c>
      <c r="EX214" s="530" t="str">
        <f t="shared" si="126"/>
        <v/>
      </c>
      <c r="EY214" s="83" t="s">
        <v>3784</v>
      </c>
      <c r="EZ214" s="530" t="s">
        <v>11305</v>
      </c>
      <c r="FB214" s="177" t="s">
        <v>17621</v>
      </c>
      <c r="FC214" s="133" t="s">
        <v>16253</v>
      </c>
      <c r="FD214" t="s">
        <v>2200</v>
      </c>
      <c r="FE214" s="849">
        <v>110</v>
      </c>
      <c r="FF214">
        <v>38</v>
      </c>
      <c r="FG214">
        <v>0</v>
      </c>
      <c r="FH214">
        <v>35</v>
      </c>
      <c r="FI214">
        <v>42</v>
      </c>
      <c r="FJ214" s="10">
        <v>31</v>
      </c>
      <c r="FK214">
        <v>44</v>
      </c>
      <c r="FL214">
        <v>64</v>
      </c>
      <c r="FM214" s="165">
        <v>25</v>
      </c>
      <c r="FN214" s="88">
        <v>2</v>
      </c>
      <c r="FO214" s="88">
        <v>20</v>
      </c>
      <c r="FP214" s="691">
        <f>ROUNDDOWN(FH214/10,0)</f>
        <v>3</v>
      </c>
      <c r="FQ214" s="691">
        <f>ROUNDDOWN(FI214/10,0)</f>
        <v>4</v>
      </c>
      <c r="FR214" s="10">
        <v>6</v>
      </c>
      <c r="FS214" s="88">
        <v>0</v>
      </c>
      <c r="FT214" s="88">
        <v>0</v>
      </c>
      <c r="FU214" s="165">
        <v>0</v>
      </c>
      <c r="FV214" s="83" t="s">
        <v>17624</v>
      </c>
      <c r="FW214" t="s">
        <v>17623</v>
      </c>
      <c r="FX214" s="530" t="s">
        <v>7659</v>
      </c>
      <c r="GA214" t="s">
        <v>7576</v>
      </c>
      <c r="GE214" s="356"/>
      <c r="GF214" t="s">
        <v>7771</v>
      </c>
      <c r="GG214" s="356" t="s">
        <v>9660</v>
      </c>
      <c r="GH214" s="83" t="s">
        <v>9665</v>
      </c>
      <c r="GI214" s="83" t="s">
        <v>9666</v>
      </c>
    </row>
    <row r="215" spans="8:208" ht="13.2" customHeight="1">
      <c r="H215" s="3"/>
      <c r="I215" s="3"/>
      <c r="J215" s="3"/>
      <c r="K215" s="3"/>
      <c r="L215" s="3"/>
      <c r="M215" s="651"/>
      <c r="N215" s="3"/>
      <c r="O215" s="3"/>
      <c r="P215" s="3"/>
      <c r="Q215" s="3"/>
      <c r="R215" s="651"/>
      <c r="S215" s="83" t="str">
        <f>IF(CareerType=Y215,"Maître des runes",IF(AllCareers="X","Maître des runes",IF(OR(SelectRace="homme-bête",SelectRace="peau-verte",SelectRace="créature du chaos",SelectRace="Homme-lézard",SelectRace="skaven"),"",IF(FirstCareer="1ère carrière","",IF(SelectRace="Nain","Maître des runes","")))))</f>
        <v/>
      </c>
      <c r="T215" s="85">
        <v>3</v>
      </c>
      <c r="U215" s="693" t="str">
        <f t="shared" si="127"/>
        <v/>
      </c>
      <c r="V215" s="693" t="str">
        <f t="shared" si="128"/>
        <v/>
      </c>
      <c r="W215" s="693" t="str">
        <f t="shared" si="129"/>
        <v/>
      </c>
      <c r="X215" s="47" t="s">
        <v>2153</v>
      </c>
      <c r="Y215" s="743" t="s">
        <v>7131</v>
      </c>
      <c r="Z215" s="55" t="s">
        <v>2211</v>
      </c>
      <c r="AA215" s="47">
        <v>217</v>
      </c>
      <c r="AB215" s="47" t="s">
        <v>2463</v>
      </c>
      <c r="AC215" s="47">
        <v>136</v>
      </c>
      <c r="AD215" s="15" t="s">
        <v>101</v>
      </c>
      <c r="AE215" s="15" t="s">
        <v>98</v>
      </c>
      <c r="AF215" s="15" t="s">
        <v>101</v>
      </c>
      <c r="AG215" s="15" t="s">
        <v>98</v>
      </c>
      <c r="AH215" s="15" t="s">
        <v>98</v>
      </c>
      <c r="AI215" s="15" t="s">
        <v>99</v>
      </c>
      <c r="AJ215" s="15" t="s">
        <v>119</v>
      </c>
      <c r="AK215" s="18" t="s">
        <v>98</v>
      </c>
      <c r="AL215" s="15" t="s">
        <v>102</v>
      </c>
      <c r="AM215" s="15" t="s">
        <v>114</v>
      </c>
      <c r="AN215" s="15" t="s">
        <v>149</v>
      </c>
      <c r="AO215" s="15" t="s">
        <v>115</v>
      </c>
      <c r="AP215" s="22" t="s">
        <v>976</v>
      </c>
      <c r="AQ215" s="87" t="s">
        <v>734</v>
      </c>
      <c r="AR215" s="22" t="s">
        <v>12275</v>
      </c>
      <c r="AS215" s="87" t="s">
        <v>734</v>
      </c>
      <c r="AT215" s="87" t="s">
        <v>15795</v>
      </c>
      <c r="AU215" s="87" t="s">
        <v>17076</v>
      </c>
      <c r="AV215" s="87" t="s">
        <v>4748</v>
      </c>
      <c r="AW215" s="457">
        <v>0</v>
      </c>
      <c r="AX215" s="630" t="str">
        <f t="shared" si="138"/>
        <v/>
      </c>
      <c r="AY215" s="630" t="str">
        <f t="shared" si="139"/>
        <v/>
      </c>
      <c r="AZ215" s="630" t="str">
        <f t="shared" si="140"/>
        <v/>
      </c>
      <c r="BA215" s="3"/>
      <c r="BB215" s="3"/>
      <c r="BC215" s="3"/>
      <c r="BD215" s="3"/>
      <c r="BE215" s="3"/>
      <c r="BF215" s="3"/>
      <c r="BG215" s="3"/>
      <c r="BH215" s="3"/>
      <c r="BI215" s="3"/>
      <c r="BJ215" s="3"/>
      <c r="BK215" s="3"/>
      <c r="BL215" s="3"/>
      <c r="BM215" s="3"/>
      <c r="BN215" s="3"/>
      <c r="BP215" s="3"/>
      <c r="BQ215" s="3"/>
      <c r="BR215" s="3"/>
      <c r="BS215" s="3"/>
      <c r="BT215" s="3"/>
      <c r="BU215" s="3"/>
      <c r="BV215" s="3"/>
      <c r="BW215" s="3"/>
      <c r="BX215" s="83" t="str">
        <f>IF(OR(Province="Kislev septentrional (Gospodar)",Province="Kislev septentrional (Ungol)"),"Grande stanista du Nord","")</f>
        <v/>
      </c>
      <c r="BY215" t="str">
        <f t="shared" si="130"/>
        <v/>
      </c>
      <c r="BZ215" s="83" t="str">
        <f t="shared" si="122"/>
        <v/>
      </c>
      <c r="CA215" s="83" t="str">
        <f t="shared" si="123"/>
        <v/>
      </c>
      <c r="CB215" s="530" t="str">
        <f t="shared" si="124"/>
        <v/>
      </c>
      <c r="CC215" s="3" t="s">
        <v>1052</v>
      </c>
      <c r="CG215" s="3" t="s">
        <v>6286</v>
      </c>
      <c r="CH215" s="3" t="s">
        <v>6074</v>
      </c>
      <c r="CI215" s="3"/>
      <c r="CJ215" s="3"/>
      <c r="CK215" s="3" t="s">
        <v>6880</v>
      </c>
      <c r="CM215" s="83" t="s">
        <v>15162</v>
      </c>
      <c r="CN215" s="3"/>
      <c r="CO215" s="83" t="str">
        <f>CONCATENATE("Kurgan",IF(AND('page 1'!M11="Féminin",Pays="Norsca"),"dottir",IF(AND('page 1'!M11="Masculin",Pays="Norsca"),"son",IF(AND('page 1'!M11="Féminin",Pays="Kislev"),"ovna",IF(AND('page 1'!M11="Masculin",Pays="Kislev"),"sky","")))))</f>
        <v>Kurgan</v>
      </c>
      <c r="CP215" s="3"/>
      <c r="CQ215" s="3"/>
      <c r="CR215" s="3" t="s">
        <v>13585</v>
      </c>
      <c r="CS215" s="3"/>
      <c r="CT215" s="3"/>
      <c r="CU215" s="3"/>
      <c r="CV215" s="3"/>
      <c r="CW215" s="3"/>
      <c r="CX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D215" s="83" t="s">
        <v>16600</v>
      </c>
      <c r="EE215" s="83" t="s">
        <v>16297</v>
      </c>
      <c r="EF215" s="540" t="s">
        <v>17077</v>
      </c>
      <c r="EK215" s="874"/>
      <c r="EU215" s="177" t="str">
        <f>IF(Dieu="Le Rat cornu","Le Croc Jaune","")</f>
        <v/>
      </c>
      <c r="EV215" s="83" t="str">
        <f t="shared" si="121"/>
        <v/>
      </c>
      <c r="EW215" s="83" t="str">
        <f t="shared" si="125"/>
        <v/>
      </c>
      <c r="EX215" s="530" t="str">
        <f t="shared" si="126"/>
        <v/>
      </c>
      <c r="EY215" s="83" t="s">
        <v>434</v>
      </c>
      <c r="EZ215" s="530" t="s">
        <v>11308</v>
      </c>
      <c r="FB215" s="177" t="s">
        <v>17622</v>
      </c>
      <c r="FC215" s="133" t="s">
        <v>16253</v>
      </c>
      <c r="FD215" s="83" t="s">
        <v>2198</v>
      </c>
      <c r="FE215" s="849">
        <v>132</v>
      </c>
      <c r="FF215">
        <v>33</v>
      </c>
      <c r="FG215">
        <v>25</v>
      </c>
      <c r="FH215">
        <v>15</v>
      </c>
      <c r="FI215">
        <v>12</v>
      </c>
      <c r="FJ215" s="10">
        <v>50</v>
      </c>
      <c r="FK215">
        <v>0</v>
      </c>
      <c r="FL215">
        <v>0</v>
      </c>
      <c r="FM215" s="165">
        <v>0</v>
      </c>
      <c r="FN215" s="88">
        <v>1</v>
      </c>
      <c r="FO215" s="88">
        <v>3</v>
      </c>
      <c r="FP215" s="691">
        <f>ROUNDDOWN(FH215/10,0)</f>
        <v>1</v>
      </c>
      <c r="FQ215" s="691">
        <f>ROUNDDOWN(FI215/10,0)</f>
        <v>1</v>
      </c>
      <c r="FR215" s="10">
        <v>3</v>
      </c>
      <c r="FS215" s="88">
        <v>0</v>
      </c>
      <c r="FT215" s="88">
        <v>0</v>
      </c>
      <c r="FU215" s="165">
        <v>0</v>
      </c>
      <c r="FV215" s="83" t="s">
        <v>17625</v>
      </c>
      <c r="FW215" s="83" t="s">
        <v>17626</v>
      </c>
      <c r="FX215" s="530" t="s">
        <v>7659</v>
      </c>
      <c r="GA215" t="s">
        <v>808</v>
      </c>
      <c r="GE215" s="528"/>
      <c r="GF215" t="s">
        <v>8253</v>
      </c>
      <c r="GG215" s="528" t="s">
        <v>9664</v>
      </c>
      <c r="GH215" s="83" t="s">
        <v>9665</v>
      </c>
      <c r="GI215" s="83" t="s">
        <v>9666</v>
      </c>
    </row>
    <row r="216" spans="8:208" ht="13.2" customHeight="1">
      <c r="H216" s="3"/>
      <c r="I216" s="3"/>
      <c r="J216" s="3"/>
      <c r="K216" s="3"/>
      <c r="L216" s="3"/>
      <c r="M216" s="651"/>
      <c r="N216" s="3"/>
      <c r="O216" s="3"/>
      <c r="P216" s="3"/>
      <c r="Q216" s="3"/>
      <c r="R216" s="651"/>
      <c r="S216" s="83" t="str">
        <f>IF(CareerType=Y216,"Maître hiérogrammate",IF(AllCareers="X","Maître hiérogrammate",IF(OR(SelectRace="homme-bête",SelectRace="peau-verte",SelectRace="créature du chaos",SelectRace="Homme-lézard",SelectRace="skaven"),"",IF(FirstCareer="1ère carrière","",IF(SelectRace="Nain","Maître hiérogrammate","")))))</f>
        <v/>
      </c>
      <c r="T216" s="106">
        <v>2</v>
      </c>
      <c r="U216" s="693" t="str">
        <f t="shared" si="127"/>
        <v/>
      </c>
      <c r="V216" s="693" t="str">
        <f t="shared" si="128"/>
        <v/>
      </c>
      <c r="W216" s="693" t="str">
        <f t="shared" si="129"/>
        <v/>
      </c>
      <c r="X216" s="47" t="s">
        <v>2153</v>
      </c>
      <c r="Y216" s="743" t="s">
        <v>15709</v>
      </c>
      <c r="Z216" s="55" t="s">
        <v>2196</v>
      </c>
      <c r="AA216" s="47">
        <v>170</v>
      </c>
      <c r="AB216" s="89" t="s">
        <v>10835</v>
      </c>
      <c r="AC216" s="47"/>
      <c r="AD216" s="15" t="s">
        <v>98</v>
      </c>
      <c r="AE216" s="15" t="s">
        <v>98</v>
      </c>
      <c r="AF216" s="15" t="s">
        <v>114</v>
      </c>
      <c r="AG216" s="15" t="s">
        <v>101</v>
      </c>
      <c r="AH216" s="15" t="s">
        <v>149</v>
      </c>
      <c r="AI216" s="15" t="s">
        <v>99</v>
      </c>
      <c r="AJ216" s="15" t="s">
        <v>116</v>
      </c>
      <c r="AK216" s="18" t="s">
        <v>101</v>
      </c>
      <c r="AL216" s="15" t="s">
        <v>102</v>
      </c>
      <c r="AM216" s="15" t="s">
        <v>103</v>
      </c>
      <c r="AN216" s="15" t="s">
        <v>149</v>
      </c>
      <c r="AO216" s="15" t="s">
        <v>115</v>
      </c>
      <c r="AP216" s="140" t="s">
        <v>627</v>
      </c>
      <c r="AQ216" s="87" t="s">
        <v>734</v>
      </c>
      <c r="AR216" s="22" t="s">
        <v>2343</v>
      </c>
      <c r="AS216" s="87" t="s">
        <v>734</v>
      </c>
      <c r="AT216" s="87" t="s">
        <v>3556</v>
      </c>
      <c r="AU216" s="87" t="s">
        <v>16450</v>
      </c>
      <c r="AV216" s="87" t="s">
        <v>4677</v>
      </c>
      <c r="AW216" s="457">
        <v>0</v>
      </c>
      <c r="AX216" s="630" t="str">
        <f t="shared" si="138"/>
        <v/>
      </c>
      <c r="AY216" s="630" t="str">
        <f t="shared" si="139"/>
        <v/>
      </c>
      <c r="AZ216" s="630" t="str">
        <f t="shared" si="140"/>
        <v/>
      </c>
      <c r="BA216" s="3"/>
      <c r="BB216" s="3"/>
      <c r="BC216" s="3"/>
      <c r="BD216" s="3"/>
      <c r="BE216" s="3"/>
      <c r="BF216" s="3"/>
      <c r="BG216" s="3"/>
      <c r="BH216" s="3"/>
      <c r="BI216" s="3"/>
      <c r="BJ216" s="3"/>
      <c r="BK216" s="3"/>
      <c r="BL216" s="3"/>
      <c r="BM216" s="3"/>
      <c r="BN216" s="3"/>
      <c r="BP216" s="3"/>
      <c r="BQ216" s="3"/>
      <c r="BR216" s="3"/>
      <c r="BS216" s="3"/>
      <c r="BT216" s="3"/>
      <c r="BU216" s="3"/>
      <c r="BV216" s="3"/>
      <c r="BW216" s="3"/>
      <c r="BX216" s="3" t="str">
        <f>IF(OR(Province="Kislev méridional (Gospodar)",Province="kislev méridional (Ungol)"),"Grande stanista du Sud","")</f>
        <v/>
      </c>
      <c r="BY216" t="str">
        <f t="shared" si="130"/>
        <v/>
      </c>
      <c r="BZ216" s="83" t="str">
        <f t="shared" si="122"/>
        <v/>
      </c>
      <c r="CA216" s="83" t="str">
        <f t="shared" si="123"/>
        <v/>
      </c>
      <c r="CB216" s="530" t="str">
        <f t="shared" si="124"/>
        <v/>
      </c>
      <c r="CC216" s="3" t="s">
        <v>3356</v>
      </c>
      <c r="CG216" s="3" t="s">
        <v>6287</v>
      </c>
      <c r="CH216" s="3" t="s">
        <v>915</v>
      </c>
      <c r="CI216" s="3"/>
      <c r="CJ216" s="3"/>
      <c r="CK216" s="3" t="s">
        <v>6754</v>
      </c>
      <c r="CM216" s="83" t="s">
        <v>15198</v>
      </c>
      <c r="CN216" s="3"/>
      <c r="CO216" s="3" t="s">
        <v>11015</v>
      </c>
      <c r="CP216" s="3"/>
      <c r="CQ216" s="3"/>
      <c r="CR216" t="s">
        <v>13586</v>
      </c>
      <c r="CS216" s="3"/>
      <c r="CT216" s="3"/>
      <c r="CU216" s="136"/>
      <c r="CV216" s="136"/>
      <c r="CW216" s="136"/>
      <c r="CX216" s="136"/>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D216" s="83" t="s">
        <v>16602</v>
      </c>
      <c r="EE216" s="83" t="s">
        <v>16297</v>
      </c>
      <c r="EF216" s="540" t="s">
        <v>17080</v>
      </c>
      <c r="EK216" s="874"/>
      <c r="EU216" s="177" t="str">
        <f>IF(Dieu="Ahalt","Adorateur","")</f>
        <v/>
      </c>
      <c r="EV216" s="83" t="str">
        <f t="shared" si="121"/>
        <v/>
      </c>
      <c r="EW216" s="83" t="str">
        <f t="shared" si="125"/>
        <v/>
      </c>
      <c r="EX216" s="530" t="str">
        <f t="shared" si="126"/>
        <v/>
      </c>
      <c r="EZ216" s="530" t="s">
        <v>11309</v>
      </c>
      <c r="FB216" s="83" t="s">
        <v>14917</v>
      </c>
      <c r="FC216" s="133" t="s">
        <v>16253</v>
      </c>
      <c r="FD216" s="85" t="s">
        <v>14900</v>
      </c>
      <c r="FE216" s="849">
        <v>39</v>
      </c>
      <c r="FF216">
        <v>25</v>
      </c>
      <c r="FG216">
        <v>20</v>
      </c>
      <c r="FH216">
        <v>30</v>
      </c>
      <c r="FI216">
        <v>30</v>
      </c>
      <c r="FJ216" s="10">
        <v>25</v>
      </c>
      <c r="FK216">
        <v>0</v>
      </c>
      <c r="FL216">
        <v>0</v>
      </c>
      <c r="FM216" s="165">
        <v>0</v>
      </c>
      <c r="FN216" s="88">
        <v>1</v>
      </c>
      <c r="FO216" s="88">
        <v>10</v>
      </c>
      <c r="FP216" s="164">
        <f>ROUNDDOWN(FH216/10,0)</f>
        <v>3</v>
      </c>
      <c r="FQ216" s="691">
        <f>ROUNDDOWN(FI216/10,0)</f>
        <v>3</v>
      </c>
      <c r="FR216" s="10">
        <v>4</v>
      </c>
      <c r="FS216" s="88">
        <v>0</v>
      </c>
      <c r="FT216" s="88">
        <v>0</v>
      </c>
      <c r="FU216" s="165">
        <v>0</v>
      </c>
      <c r="FV216" s="84" t="s">
        <v>149</v>
      </c>
      <c r="FW216" s="83" t="s">
        <v>14918</v>
      </c>
      <c r="FX216" s="530" t="s">
        <v>7659</v>
      </c>
      <c r="GA216" t="s">
        <v>7513</v>
      </c>
      <c r="GE216" s="356"/>
      <c r="GF216" t="s">
        <v>8252</v>
      </c>
      <c r="GG216" s="356" t="s">
        <v>9659</v>
      </c>
      <c r="GH216" s="83" t="s">
        <v>9665</v>
      </c>
      <c r="GI216" s="83" t="s">
        <v>9666</v>
      </c>
    </row>
    <row r="217" spans="8:208" ht="13.2" customHeight="1">
      <c r="H217" s="3"/>
      <c r="I217" s="3"/>
      <c r="J217" s="3"/>
      <c r="K217" s="3"/>
      <c r="L217" s="3"/>
      <c r="M217" s="651"/>
      <c r="N217" s="3"/>
      <c r="O217" s="3"/>
      <c r="P217" s="3"/>
      <c r="Q217" s="3"/>
      <c r="R217" s="651"/>
      <c r="S217" s="83" t="str">
        <f>IF(CareerType=Y217,"Maître Mutateur",IF(AllCareers="X","Maître Mutateur",IF(FirstCareer="1ère carrière","",IF(SelectRace="skaven","Maître Mutateur",""))))</f>
        <v/>
      </c>
      <c r="T217" s="106">
        <f>IF(X217="oui",0,1)</f>
        <v>1</v>
      </c>
      <c r="U217" s="693" t="str">
        <f t="shared" si="127"/>
        <v/>
      </c>
      <c r="V217" s="693" t="str">
        <f t="shared" si="128"/>
        <v/>
      </c>
      <c r="W217" s="693" t="str">
        <f t="shared" si="129"/>
        <v/>
      </c>
      <c r="X217" s="47" t="s">
        <v>2153</v>
      </c>
      <c r="Y217" s="743" t="s">
        <v>7131</v>
      </c>
      <c r="Z217" s="56" t="s">
        <v>1328</v>
      </c>
      <c r="AA217" s="47">
        <v>100</v>
      </c>
      <c r="AB217" s="89" t="s">
        <v>9303</v>
      </c>
      <c r="AC217" s="48"/>
      <c r="AD217" s="15" t="s">
        <v>116</v>
      </c>
      <c r="AE217" s="15" t="s">
        <v>98</v>
      </c>
      <c r="AF217" s="15" t="s">
        <v>100</v>
      </c>
      <c r="AG217" s="15" t="s">
        <v>116</v>
      </c>
      <c r="AH217" s="15" t="s">
        <v>100</v>
      </c>
      <c r="AI217" s="15" t="s">
        <v>116</v>
      </c>
      <c r="AJ217" s="15" t="s">
        <v>99</v>
      </c>
      <c r="AK217" s="18" t="s">
        <v>101</v>
      </c>
      <c r="AL217" s="15" t="s">
        <v>113</v>
      </c>
      <c r="AM217" s="15" t="s">
        <v>117</v>
      </c>
      <c r="AN217" s="15" t="s">
        <v>149</v>
      </c>
      <c r="AO217" s="15" t="s">
        <v>149</v>
      </c>
      <c r="AP217" s="87" t="s">
        <v>734</v>
      </c>
      <c r="AQ217" s="22" t="s">
        <v>3100</v>
      </c>
      <c r="AR217" s="22" t="s">
        <v>3101</v>
      </c>
      <c r="AS217" s="22" t="s">
        <v>3101</v>
      </c>
      <c r="AT217" s="87" t="s">
        <v>15796</v>
      </c>
      <c r="AU217" s="87" t="s">
        <v>5505</v>
      </c>
      <c r="AV217" s="87" t="s">
        <v>4802</v>
      </c>
      <c r="AW217" s="457">
        <v>0</v>
      </c>
      <c r="AX217" s="630" t="str">
        <f t="shared" si="138"/>
        <v/>
      </c>
      <c r="AY217" s="630" t="str">
        <f t="shared" si="139"/>
        <v/>
      </c>
      <c r="AZ217" s="630" t="str">
        <f t="shared" si="140"/>
        <v/>
      </c>
      <c r="BA217" s="3"/>
      <c r="BB217" s="3"/>
      <c r="BC217" s="3"/>
      <c r="BD217" s="3"/>
      <c r="BE217" s="3"/>
      <c r="BF217" s="3"/>
      <c r="BG217" s="3"/>
      <c r="BH217" s="3"/>
      <c r="BI217" s="3"/>
      <c r="BJ217" s="3"/>
      <c r="BK217" s="3"/>
      <c r="BL217" s="3"/>
      <c r="BM217" s="3"/>
      <c r="BN217" s="3"/>
      <c r="BP217" s="3"/>
      <c r="BQ217" s="3"/>
      <c r="BR217" s="3"/>
      <c r="BS217" s="3"/>
      <c r="BT217" s="3"/>
      <c r="BU217" s="3"/>
      <c r="BV217" s="3"/>
      <c r="BW217" s="3"/>
      <c r="BX217" s="3" t="str">
        <f>IF(OR(Province="Kislev oriental (Gospodar)",Province="Kislev oriental (Ungol)"),"Grande stanista de l'Est","")</f>
        <v/>
      </c>
      <c r="BY217" t="str">
        <f t="shared" si="130"/>
        <v/>
      </c>
      <c r="BZ217" s="83" t="str">
        <f t="shared" si="122"/>
        <v/>
      </c>
      <c r="CA217" s="83" t="str">
        <f t="shared" si="123"/>
        <v/>
      </c>
      <c r="CB217" s="530" t="str">
        <f t="shared" si="124"/>
        <v/>
      </c>
      <c r="CC217" s="3" t="s">
        <v>3357</v>
      </c>
      <c r="CG217" s="3" t="s">
        <v>6288</v>
      </c>
      <c r="CH217" s="3" t="s">
        <v>6075</v>
      </c>
      <c r="CI217" s="3"/>
      <c r="CJ217" s="3"/>
      <c r="CK217" s="3" t="s">
        <v>6985</v>
      </c>
      <c r="CM217" t="s">
        <v>10374</v>
      </c>
      <c r="CN217" s="3"/>
      <c r="CO217" s="83" t="s">
        <v>13289</v>
      </c>
      <c r="CP217" s="3"/>
      <c r="CQ217" s="3"/>
      <c r="CR217" s="136" t="s">
        <v>13587</v>
      </c>
      <c r="CS217" s="3"/>
      <c r="CT217" s="3"/>
      <c r="CU217" s="3"/>
      <c r="CV217" s="3"/>
      <c r="CW217" s="3"/>
      <c r="CX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D217" s="83" t="s">
        <v>16302</v>
      </c>
      <c r="EE217" s="83" t="s">
        <v>2607</v>
      </c>
      <c r="EF217" s="540" t="s">
        <v>17083</v>
      </c>
      <c r="EK217" s="874"/>
      <c r="EU217" s="177" t="str">
        <f>IF(Dieu="Ahalt","Robes Noires","")</f>
        <v/>
      </c>
      <c r="EV217" s="83" t="str">
        <f t="shared" si="121"/>
        <v/>
      </c>
      <c r="EW217" s="83" t="str">
        <f t="shared" si="125"/>
        <v/>
      </c>
      <c r="EX217" s="530" t="str">
        <f t="shared" si="126"/>
        <v/>
      </c>
      <c r="EY217" t="s">
        <v>2849</v>
      </c>
      <c r="EZ217" s="530"/>
      <c r="FB217" s="83" t="s">
        <v>15547</v>
      </c>
      <c r="FC217" s="133" t="s">
        <v>16253</v>
      </c>
      <c r="FD217" s="85" t="s">
        <v>15548</v>
      </c>
      <c r="FE217" s="849">
        <v>98</v>
      </c>
      <c r="FF217">
        <v>36</v>
      </c>
      <c r="FG217">
        <v>0</v>
      </c>
      <c r="FH217">
        <v>41</v>
      </c>
      <c r="FI217">
        <v>45</v>
      </c>
      <c r="FJ217" s="10">
        <v>28</v>
      </c>
      <c r="FK217">
        <v>8</v>
      </c>
      <c r="FL217">
        <v>79</v>
      </c>
      <c r="FM217" s="165">
        <v>10</v>
      </c>
      <c r="FN217" s="88">
        <v>1</v>
      </c>
      <c r="FO217" s="88">
        <v>14</v>
      </c>
      <c r="FP217" s="164">
        <f>ROUNDDOWN(FH217/10,0)</f>
        <v>4</v>
      </c>
      <c r="FQ217" s="691">
        <f>ROUNDDOWN(FI217/10,0)</f>
        <v>4</v>
      </c>
      <c r="FR217" s="10">
        <v>7</v>
      </c>
      <c r="FS217" s="88">
        <v>0</v>
      </c>
      <c r="FT217" s="88">
        <v>0</v>
      </c>
      <c r="FU217" s="165">
        <v>0</v>
      </c>
      <c r="FV217" s="83" t="s">
        <v>15549</v>
      </c>
      <c r="FW217" s="83" t="s">
        <v>15550</v>
      </c>
      <c r="FX217" s="530" t="s">
        <v>7659</v>
      </c>
      <c r="GA217" s="83" t="s">
        <v>7590</v>
      </c>
      <c r="GF217" t="s">
        <v>8254</v>
      </c>
      <c r="GG217" s="341" t="s">
        <v>9661</v>
      </c>
      <c r="GH217" s="83" t="s">
        <v>9665</v>
      </c>
      <c r="GI217" s="83" t="s">
        <v>9666</v>
      </c>
    </row>
    <row r="218" spans="8:208" ht="13.2" customHeight="1">
      <c r="H218" s="3"/>
      <c r="I218" s="3"/>
      <c r="J218" s="3"/>
      <c r="K218" s="3"/>
      <c r="L218" s="3"/>
      <c r="M218" s="651"/>
      <c r="N218" s="3"/>
      <c r="O218" s="3"/>
      <c r="P218" s="3"/>
      <c r="Q218" s="3"/>
      <c r="R218" s="651"/>
      <c r="S218" s="83" t="str">
        <f>IF(CareerType=Y218,"Maître sorcier",IF(AllCareers="X","Maître sorcier",IF(FirstCareer="1ère carrière","",IF(OR(SelectRace="homme-bête",SelectRace="peau-verte",SelectRace="créature du chaos",SelectRace="skaven"),"Maître sorcier",IF(SelectRace="Halfling","",IF(SelectRace="Nain","",IF(Pays="Empire","Maître sorcier","")))))))</f>
        <v/>
      </c>
      <c r="T218" s="106">
        <v>3</v>
      </c>
      <c r="U218" s="693" t="str">
        <f t="shared" si="127"/>
        <v/>
      </c>
      <c r="V218" s="693" t="str">
        <f t="shared" si="128"/>
        <v/>
      </c>
      <c r="W218" s="693" t="str">
        <f t="shared" si="129"/>
        <v/>
      </c>
      <c r="X218" s="47" t="s">
        <v>2153</v>
      </c>
      <c r="Y218" s="743" t="s">
        <v>15709</v>
      </c>
      <c r="Z218" s="55" t="s">
        <v>2200</v>
      </c>
      <c r="AA218" s="47">
        <v>76</v>
      </c>
      <c r="AB218" s="47" t="s">
        <v>2344</v>
      </c>
      <c r="AC218" s="47">
        <v>139</v>
      </c>
      <c r="AD218" s="15" t="s">
        <v>98</v>
      </c>
      <c r="AE218" s="15" t="s">
        <v>98</v>
      </c>
      <c r="AF218" s="15" t="s">
        <v>149</v>
      </c>
      <c r="AG218" s="15" t="s">
        <v>98</v>
      </c>
      <c r="AH218" s="15" t="s">
        <v>101</v>
      </c>
      <c r="AI218" s="15" t="s">
        <v>116</v>
      </c>
      <c r="AJ218" s="15" t="s">
        <v>119</v>
      </c>
      <c r="AK218" s="18" t="s">
        <v>101</v>
      </c>
      <c r="AL218" s="15" t="s">
        <v>149</v>
      </c>
      <c r="AM218" s="15" t="s">
        <v>103</v>
      </c>
      <c r="AN218" s="15" t="s">
        <v>149</v>
      </c>
      <c r="AO218" s="15" t="s">
        <v>115</v>
      </c>
      <c r="AP218" s="22" t="s">
        <v>1303</v>
      </c>
      <c r="AQ218" s="87" t="s">
        <v>8774</v>
      </c>
      <c r="AR218" s="22" t="s">
        <v>2345</v>
      </c>
      <c r="AS218" s="87" t="s">
        <v>15888</v>
      </c>
      <c r="AT218" s="22" t="s">
        <v>3557</v>
      </c>
      <c r="AU218" s="87" t="s">
        <v>17086</v>
      </c>
      <c r="AV218" s="87" t="s">
        <v>4617</v>
      </c>
      <c r="AW218" s="457">
        <v>0</v>
      </c>
      <c r="AX218" s="630" t="str">
        <f t="shared" si="138"/>
        <v/>
      </c>
      <c r="AY218" s="630" t="str">
        <f t="shared" si="139"/>
        <v/>
      </c>
      <c r="AZ218" s="630" t="str">
        <f t="shared" si="140"/>
        <v/>
      </c>
      <c r="BA218" s="3"/>
      <c r="BB218" s="3"/>
      <c r="BC218" s="3"/>
      <c r="BD218" s="3"/>
      <c r="BE218" s="3"/>
      <c r="BF218" s="3"/>
      <c r="BG218" s="3"/>
      <c r="BH218" s="3"/>
      <c r="BI218" s="3"/>
      <c r="BJ218" s="3"/>
      <c r="BK218" s="3"/>
      <c r="BL218" s="3"/>
      <c r="BM218" s="3"/>
      <c r="BN218" s="3"/>
      <c r="BP218" s="3"/>
      <c r="BQ218" s="3"/>
      <c r="BR218" s="3"/>
      <c r="BS218" s="3"/>
      <c r="BT218" s="3"/>
      <c r="BU218" s="3"/>
      <c r="BV218" s="3"/>
      <c r="BW218" s="3"/>
      <c r="BX218" s="3" t="str">
        <f>IF(OR(Province="Kislev méridional (Gospodar)",Province="kislev méridional (Ungol)"),"Tirsa su Sud","")</f>
        <v/>
      </c>
      <c r="BY218" t="str">
        <f t="shared" si="130"/>
        <v/>
      </c>
      <c r="BZ218" s="83" t="str">
        <f t="shared" si="122"/>
        <v/>
      </c>
      <c r="CA218" s="83" t="str">
        <f t="shared" si="123"/>
        <v/>
      </c>
      <c r="CB218" s="530" t="str">
        <f t="shared" si="124"/>
        <v/>
      </c>
      <c r="CC218" t="s">
        <v>10744</v>
      </c>
      <c r="CG218" s="3" t="s">
        <v>6289</v>
      </c>
      <c r="CH218" s="3" t="s">
        <v>6076</v>
      </c>
      <c r="CI218" s="3"/>
      <c r="CJ218" s="3"/>
      <c r="CK218" s="3" t="s">
        <v>6800</v>
      </c>
      <c r="CM218" s="3" t="s">
        <v>6652</v>
      </c>
      <c r="CN218" s="3"/>
      <c r="CO218" s="3" t="s">
        <v>11021</v>
      </c>
      <c r="CP218" s="3"/>
      <c r="CQ218" s="3"/>
      <c r="CR218" s="3" t="s">
        <v>13588</v>
      </c>
      <c r="CS218" s="3"/>
      <c r="CT218" s="3"/>
      <c r="CU218" s="3"/>
      <c r="CV218" s="3"/>
      <c r="CW218" s="3"/>
      <c r="CX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D218" s="83" t="s">
        <v>16303</v>
      </c>
      <c r="EE218" s="83" t="s">
        <v>2607</v>
      </c>
      <c r="EF218" s="540" t="s">
        <v>17087</v>
      </c>
      <c r="EK218" s="874"/>
      <c r="EU218" s="177" t="str">
        <f>IF(OR(Dieu="Nurgle",Dieu="Hôsô",Dieu="Râvana",Dieu="Nieglen",Dieu="Ualapt"),"Alliance de la Peste Pourpre","")</f>
        <v/>
      </c>
      <c r="EV218" s="83" t="str">
        <f t="shared" si="121"/>
        <v/>
      </c>
      <c r="EW218" s="83" t="str">
        <f t="shared" si="125"/>
        <v/>
      </c>
      <c r="EX218" s="530" t="str">
        <f t="shared" si="126"/>
        <v/>
      </c>
      <c r="EY218" s="83" t="s">
        <v>2850</v>
      </c>
      <c r="EZ218" s="530" t="s">
        <v>16274</v>
      </c>
      <c r="FB218" s="83" t="s">
        <v>15554</v>
      </c>
      <c r="FC218" s="133" t="s">
        <v>16253</v>
      </c>
      <c r="FD218" s="85" t="s">
        <v>15548</v>
      </c>
      <c r="FE218" s="849">
        <v>100</v>
      </c>
      <c r="FF218">
        <v>46</v>
      </c>
      <c r="FG218">
        <v>0</v>
      </c>
      <c r="FH218">
        <v>55</v>
      </c>
      <c r="FI218">
        <v>38</v>
      </c>
      <c r="FJ218" s="10">
        <v>25</v>
      </c>
      <c r="FK218">
        <v>0</v>
      </c>
      <c r="FL218">
        <v>0</v>
      </c>
      <c r="FM218" s="165">
        <v>0</v>
      </c>
      <c r="FN218" s="88">
        <v>3</v>
      </c>
      <c r="FO218" s="88">
        <v>24</v>
      </c>
      <c r="FP218" s="164">
        <f>ROUNDDOWN(FH218/10,0)</f>
        <v>5</v>
      </c>
      <c r="FQ218" s="691">
        <f>ROUNDDOWN(FI218/10,0)</f>
        <v>3</v>
      </c>
      <c r="FR218" s="10">
        <v>5</v>
      </c>
      <c r="FS218" s="88">
        <v>0</v>
      </c>
      <c r="FT218" s="88">
        <v>0</v>
      </c>
      <c r="FU218" s="165">
        <v>0</v>
      </c>
      <c r="FV218" s="84" t="s">
        <v>149</v>
      </c>
      <c r="FW218" s="83" t="s">
        <v>15555</v>
      </c>
      <c r="FX218" s="530" t="s">
        <v>7659</v>
      </c>
      <c r="GA218" s="83" t="s">
        <v>7596</v>
      </c>
      <c r="GE218" s="356"/>
      <c r="GF218" t="s">
        <v>7772</v>
      </c>
      <c r="GG218" s="356" t="s">
        <v>9656</v>
      </c>
      <c r="GH218" s="83" t="s">
        <v>9665</v>
      </c>
      <c r="GI218" s="83" t="s">
        <v>9666</v>
      </c>
    </row>
    <row r="219" spans="8:208" ht="13.2" customHeight="1">
      <c r="H219" s="3"/>
      <c r="I219" s="3"/>
      <c r="J219" s="3"/>
      <c r="K219" s="3"/>
      <c r="L219" s="3"/>
      <c r="M219" s="651"/>
      <c r="N219" s="3"/>
      <c r="O219" s="3"/>
      <c r="P219" s="3"/>
      <c r="Q219" s="3"/>
      <c r="R219" s="651"/>
      <c r="S219" s="83" t="str">
        <f>IF(CareerType=Y219,"Maître-artisan",IF(AllCareers="X","Maître-artisan",IF(Selectsousrace="","",IF(OR(SelectRace="homme-bête",SelectRace="peau-verte",SelectRace="créature du chaos",SelectRace="Homme-lézard",SelectRace="skaven"),"",IF(FirstCareer="1ère carrière","","Maître-artisan")))))</f>
        <v/>
      </c>
      <c r="T219" s="106">
        <f>IF(X219="oui",0,1)</f>
        <v>1</v>
      </c>
      <c r="U219" s="693" t="str">
        <f t="shared" si="127"/>
        <v/>
      </c>
      <c r="V219" s="693" t="str">
        <f t="shared" si="128"/>
        <v/>
      </c>
      <c r="W219" s="693" t="str">
        <f t="shared" si="129"/>
        <v/>
      </c>
      <c r="X219" s="89" t="s">
        <v>2153</v>
      </c>
      <c r="Y219" s="743" t="s">
        <v>7131</v>
      </c>
      <c r="Z219" s="55" t="s">
        <v>2200</v>
      </c>
      <c r="AA219" s="47">
        <v>75</v>
      </c>
      <c r="AB219" s="47" t="s">
        <v>780</v>
      </c>
      <c r="AC219" s="47">
        <v>19</v>
      </c>
      <c r="AD219" s="15" t="s">
        <v>149</v>
      </c>
      <c r="AE219" s="15" t="s">
        <v>149</v>
      </c>
      <c r="AF219" s="15" t="s">
        <v>98</v>
      </c>
      <c r="AG219" s="15" t="s">
        <v>98</v>
      </c>
      <c r="AH219" s="15" t="s">
        <v>100</v>
      </c>
      <c r="AI219" s="15" t="s">
        <v>98</v>
      </c>
      <c r="AJ219" s="15" t="s">
        <v>98</v>
      </c>
      <c r="AK219" s="18" t="s">
        <v>98</v>
      </c>
      <c r="AL219" s="15" t="s">
        <v>149</v>
      </c>
      <c r="AM219" s="15" t="s">
        <v>115</v>
      </c>
      <c r="AN219" s="15" t="s">
        <v>149</v>
      </c>
      <c r="AO219" s="15" t="s">
        <v>149</v>
      </c>
      <c r="AP219" s="22" t="s">
        <v>2346</v>
      </c>
      <c r="AQ219" s="87" t="s">
        <v>734</v>
      </c>
      <c r="AR219" s="22" t="s">
        <v>2347</v>
      </c>
      <c r="AS219" s="87" t="s">
        <v>734</v>
      </c>
      <c r="AT219" s="87" t="s">
        <v>17089</v>
      </c>
      <c r="AU219" s="87" t="s">
        <v>17090</v>
      </c>
      <c r="AV219" s="87" t="s">
        <v>4615</v>
      </c>
      <c r="AW219" s="457">
        <v>15</v>
      </c>
      <c r="AX219" s="630" t="str">
        <f t="shared" si="138"/>
        <v/>
      </c>
      <c r="AY219" s="630" t="str">
        <f t="shared" si="139"/>
        <v/>
      </c>
      <c r="AZ219" s="630" t="str">
        <f t="shared" si="140"/>
        <v/>
      </c>
      <c r="BA219" s="3"/>
      <c r="BB219" s="3"/>
      <c r="BC219" s="3"/>
      <c r="BD219" s="3"/>
      <c r="BE219" s="3"/>
      <c r="BF219" s="3"/>
      <c r="BG219" s="3"/>
      <c r="BH219" s="3"/>
      <c r="BI219" s="3"/>
      <c r="BJ219" s="3"/>
      <c r="BK219" s="3"/>
      <c r="BL219" s="3"/>
      <c r="BM219" s="3"/>
      <c r="BN219" s="3"/>
      <c r="BP219" s="3"/>
      <c r="BQ219" s="3"/>
      <c r="BR219" s="3"/>
      <c r="BS219" s="3"/>
      <c r="BT219" s="3"/>
      <c r="BU219" s="3"/>
      <c r="BV219" s="3"/>
      <c r="BW219" s="3"/>
      <c r="BX219" s="3" t="str">
        <f>IF(OR(Province="Kislev septentrional (Gospodar)",Province="Kislev septentrional (Ungol)"),"Stanista du Nord","")</f>
        <v/>
      </c>
      <c r="BY219" t="str">
        <f t="shared" si="130"/>
        <v/>
      </c>
      <c r="BZ219" s="83" t="str">
        <f t="shared" si="122"/>
        <v/>
      </c>
      <c r="CA219" s="83" t="str">
        <f t="shared" si="123"/>
        <v/>
      </c>
      <c r="CB219" s="530" t="str">
        <f t="shared" si="124"/>
        <v/>
      </c>
      <c r="CC219" s="3" t="s">
        <v>1053</v>
      </c>
      <c r="CG219" s="83" t="s">
        <v>10174</v>
      </c>
      <c r="CH219" s="3" t="s">
        <v>6077</v>
      </c>
      <c r="CI219" s="3"/>
      <c r="CJ219" s="3"/>
      <c r="CK219" s="3" t="s">
        <v>6952</v>
      </c>
      <c r="CM219" t="s">
        <v>10375</v>
      </c>
      <c r="CN219" s="3"/>
      <c r="CO219" s="3" t="s">
        <v>11009</v>
      </c>
      <c r="CP219" s="3"/>
      <c r="CQ219" s="3"/>
      <c r="CR219" s="3" t="s">
        <v>13589</v>
      </c>
      <c r="CS219" s="3"/>
      <c r="CT219" s="3"/>
      <c r="CU219" s="3"/>
      <c r="CV219" s="3"/>
      <c r="CW219" s="3"/>
      <c r="CX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D219" s="83" t="s">
        <v>16304</v>
      </c>
      <c r="EE219" s="83" t="s">
        <v>2607</v>
      </c>
      <c r="EF219" s="540" t="s">
        <v>17091</v>
      </c>
      <c r="EK219" s="874"/>
      <c r="EU219" s="177" t="str">
        <f>IF(OR(Dieu="Nurgle",Dieu="Hôsô",Dieu="Râvana",Dieu="Nieglen",Dieu="Ualapt"),"Ordre du Furoncle Purulent","")</f>
        <v/>
      </c>
      <c r="EV219" s="83" t="str">
        <f t="shared" si="121"/>
        <v/>
      </c>
      <c r="EW219" s="83" t="str">
        <f t="shared" si="125"/>
        <v/>
      </c>
      <c r="EX219" s="530" t="str">
        <f t="shared" si="126"/>
        <v/>
      </c>
      <c r="EY219" s="83" t="s">
        <v>12857</v>
      </c>
      <c r="EZ219" s="530"/>
      <c r="FB219" s="83" t="s">
        <v>13101</v>
      </c>
      <c r="FC219" s="133" t="s">
        <v>16253</v>
      </c>
      <c r="FD219" s="83" t="s">
        <v>7245</v>
      </c>
      <c r="FE219" s="849">
        <v>116</v>
      </c>
      <c r="FF219">
        <v>25</v>
      </c>
      <c r="FG219">
        <v>0</v>
      </c>
      <c r="FH219">
        <v>35</v>
      </c>
      <c r="FI219">
        <v>35</v>
      </c>
      <c r="FJ219" s="10">
        <v>10</v>
      </c>
      <c r="FK219">
        <v>0</v>
      </c>
      <c r="FL219">
        <v>0</v>
      </c>
      <c r="FM219" s="531">
        <v>0</v>
      </c>
      <c r="FN219" s="88">
        <v>1</v>
      </c>
      <c r="FO219" s="88">
        <v>12</v>
      </c>
      <c r="FP219" s="164">
        <f>ROUNDDOWN(FH219/10,0)</f>
        <v>3</v>
      </c>
      <c r="FQ219" s="164">
        <f>ROUNDDOWN(FI219/10,0)</f>
        <v>3</v>
      </c>
      <c r="FR219" s="10">
        <v>4</v>
      </c>
      <c r="FS219" s="88">
        <v>0</v>
      </c>
      <c r="FT219" s="88">
        <v>0</v>
      </c>
      <c r="FU219" s="531">
        <v>0</v>
      </c>
      <c r="FV219" s="84" t="s">
        <v>149</v>
      </c>
      <c r="FW219" s="83" t="s">
        <v>13102</v>
      </c>
      <c r="FX219" s="751" t="s">
        <v>7659</v>
      </c>
      <c r="GA219" t="s">
        <v>7514</v>
      </c>
      <c r="GE219" s="356"/>
      <c r="GF219" t="s">
        <v>7773</v>
      </c>
      <c r="GG219" s="356" t="s">
        <v>9655</v>
      </c>
      <c r="GH219" s="83" t="s">
        <v>9665</v>
      </c>
      <c r="GI219" s="83" t="s">
        <v>9666</v>
      </c>
    </row>
    <row r="220" spans="8:208" ht="13.2" customHeight="1">
      <c r="H220" s="3"/>
      <c r="I220" s="3"/>
      <c r="J220" s="3"/>
      <c r="K220" s="3"/>
      <c r="L220" s="3"/>
      <c r="M220" s="651"/>
      <c r="N220" s="3"/>
      <c r="O220" s="3"/>
      <c r="P220" s="3"/>
      <c r="Q220" s="3"/>
      <c r="R220" s="651"/>
      <c r="S220" s="83" t="str">
        <f>IF(CareerType=Y220,"Malandrin",IF(AllCareers="X","Malandrin",IF(OR(SelectRace="homme-bête",SelectRace="peau-verte",SelectRace="créature du chaos",SelectRace="Homme-lézard",SelectRace="skaven"),"",IF(Pays="Désolations du Chaos","",IF(Pays="Norsca","Malandrin",IF(OR(SelectRace="Halfling",SelectRace="Humain",SelectRace="Vampire"),"Malandrin",""))))))</f>
        <v/>
      </c>
      <c r="T220" s="106">
        <f>IF(X220="oui",0,1)</f>
        <v>0</v>
      </c>
      <c r="U220" s="693" t="str">
        <f t="shared" si="127"/>
        <v/>
      </c>
      <c r="V220" s="693" t="str">
        <f t="shared" si="128"/>
        <v/>
      </c>
      <c r="W220" s="693" t="str">
        <f t="shared" si="129"/>
        <v/>
      </c>
      <c r="X220" s="47" t="s">
        <v>2160</v>
      </c>
      <c r="Y220" s="743" t="s">
        <v>7134</v>
      </c>
      <c r="Z220" s="55" t="s">
        <v>2204</v>
      </c>
      <c r="AA220" s="47">
        <v>51</v>
      </c>
      <c r="AB220" s="47" t="s">
        <v>2348</v>
      </c>
      <c r="AC220" s="47">
        <v>23</v>
      </c>
      <c r="AD220" s="15" t="s">
        <v>114</v>
      </c>
      <c r="AE220" s="15" t="s">
        <v>114</v>
      </c>
      <c r="AF220" s="15" t="s">
        <v>98</v>
      </c>
      <c r="AG220" s="15" t="s">
        <v>149</v>
      </c>
      <c r="AH220" s="15" t="s">
        <v>98</v>
      </c>
      <c r="AI220" s="15" t="s">
        <v>114</v>
      </c>
      <c r="AJ220" s="15" t="s">
        <v>149</v>
      </c>
      <c r="AK220" s="18" t="s">
        <v>149</v>
      </c>
      <c r="AL220" s="15" t="s">
        <v>149</v>
      </c>
      <c r="AM220" s="15" t="s">
        <v>113</v>
      </c>
      <c r="AN220" s="15" t="s">
        <v>149</v>
      </c>
      <c r="AO220" s="15" t="s">
        <v>149</v>
      </c>
      <c r="AP220" s="22" t="s">
        <v>980</v>
      </c>
      <c r="AQ220" s="87" t="s">
        <v>734</v>
      </c>
      <c r="AR220" s="22" t="s">
        <v>983</v>
      </c>
      <c r="AS220" s="87" t="s">
        <v>734</v>
      </c>
      <c r="AT220" s="22" t="s">
        <v>3480</v>
      </c>
      <c r="AU220" s="87" t="s">
        <v>5383</v>
      </c>
      <c r="AV220" s="87" t="s">
        <v>4763</v>
      </c>
      <c r="AW220" s="457">
        <v>0</v>
      </c>
      <c r="AX220" s="630" t="str">
        <f t="shared" si="138"/>
        <v/>
      </c>
      <c r="AY220" s="630" t="str">
        <f t="shared" si="139"/>
        <v/>
      </c>
      <c r="AZ220" s="630" t="str">
        <f t="shared" si="140"/>
        <v/>
      </c>
      <c r="BA220" s="3"/>
      <c r="BB220" s="3"/>
      <c r="BC220" s="3"/>
      <c r="BD220" s="3"/>
      <c r="BE220" s="3"/>
      <c r="BF220" s="3"/>
      <c r="BG220" s="3"/>
      <c r="BH220" s="3"/>
      <c r="BI220" s="3"/>
      <c r="BJ220" s="3"/>
      <c r="BK220" s="3"/>
      <c r="BL220" s="3"/>
      <c r="BM220" s="136"/>
      <c r="BN220" s="3"/>
      <c r="BP220" s="3"/>
      <c r="BQ220" s="3"/>
      <c r="BR220" s="3"/>
      <c r="BS220" s="3"/>
      <c r="BT220" s="3"/>
      <c r="BU220" s="3"/>
      <c r="BV220" s="3"/>
      <c r="BW220" s="3"/>
      <c r="BX220" s="3" t="str">
        <f>IF(OR(Province="Kislev méridional (Gospodar)",Province="Kislev méridional (Ungol)"),"Stanista du Sud","")</f>
        <v/>
      </c>
      <c r="BY220" t="str">
        <f t="shared" si="130"/>
        <v/>
      </c>
      <c r="BZ220" s="83" t="str">
        <f t="shared" si="122"/>
        <v/>
      </c>
      <c r="CA220" s="83" t="str">
        <f t="shared" si="123"/>
        <v/>
      </c>
      <c r="CB220" s="530" t="str">
        <f t="shared" si="124"/>
        <v/>
      </c>
      <c r="CC220" s="3" t="s">
        <v>3358</v>
      </c>
      <c r="CG220" s="83" t="s">
        <v>10169</v>
      </c>
      <c r="CH220" s="3" t="s">
        <v>6078</v>
      </c>
      <c r="CI220" s="136"/>
      <c r="CJ220" s="3"/>
      <c r="CK220" s="3" t="s">
        <v>6841</v>
      </c>
      <c r="CM220" t="s">
        <v>10376</v>
      </c>
      <c r="CN220" s="136"/>
      <c r="CO220" s="3" t="s">
        <v>11020</v>
      </c>
      <c r="CP220" s="3"/>
      <c r="CQ220" s="3"/>
      <c r="CR220" s="3" t="s">
        <v>13590</v>
      </c>
      <c r="CS220" s="136"/>
      <c r="CT220" s="136"/>
      <c r="CU220" s="3"/>
      <c r="CV220" s="3"/>
      <c r="CW220" s="3"/>
      <c r="CX220" s="3"/>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D220" s="83" t="s">
        <v>16300</v>
      </c>
      <c r="EE220" s="83" t="s">
        <v>2607</v>
      </c>
      <c r="EF220" s="540" t="s">
        <v>17094</v>
      </c>
      <c r="EK220" s="874"/>
      <c r="EU220" s="177" t="str">
        <f>IF(OR(Dieu="Nurgle",Dieu="Hôsô",Dieu="Râvana",Dieu="Nieglen",Dieu="Ualapt"),"Fraternité de la Deuxième Chair","")</f>
        <v/>
      </c>
      <c r="EV220" s="83" t="str">
        <f t="shared" si="121"/>
        <v/>
      </c>
      <c r="EW220" s="83" t="str">
        <f t="shared" si="125"/>
        <v/>
      </c>
      <c r="EX220" s="530" t="str">
        <f t="shared" si="126"/>
        <v/>
      </c>
      <c r="EY220" s="83" t="s">
        <v>17095</v>
      </c>
      <c r="EZ220" s="530" t="s">
        <v>840</v>
      </c>
      <c r="FB220" s="83" t="s">
        <v>14942</v>
      </c>
      <c r="FC220" s="133" t="s">
        <v>16253</v>
      </c>
      <c r="FD220" s="85" t="s">
        <v>14900</v>
      </c>
      <c r="FE220" s="848">
        <v>75</v>
      </c>
      <c r="FF220">
        <v>25</v>
      </c>
      <c r="FG220">
        <v>0</v>
      </c>
      <c r="FH220">
        <v>32</v>
      </c>
      <c r="FI220">
        <v>31</v>
      </c>
      <c r="FJ220" s="10">
        <v>10</v>
      </c>
      <c r="FK220">
        <v>0</v>
      </c>
      <c r="FL220">
        <v>0</v>
      </c>
      <c r="FM220" s="165">
        <v>0</v>
      </c>
      <c r="FN220" s="88">
        <v>3</v>
      </c>
      <c r="FO220" s="88">
        <v>13</v>
      </c>
      <c r="FP220" s="164">
        <f>ROUNDDOWN(FH220/10,0)</f>
        <v>3</v>
      </c>
      <c r="FQ220" s="691">
        <f>ROUNDDOWN(FI220/10,0)</f>
        <v>3</v>
      </c>
      <c r="FR220" s="10">
        <v>5</v>
      </c>
      <c r="FS220" s="88">
        <v>0</v>
      </c>
      <c r="FT220" s="88">
        <v>0</v>
      </c>
      <c r="FU220" s="165">
        <v>0</v>
      </c>
      <c r="FV220" s="84" t="s">
        <v>149</v>
      </c>
      <c r="FW220" s="83" t="s">
        <v>14943</v>
      </c>
      <c r="FX220" s="751" t="s">
        <v>7659</v>
      </c>
      <c r="GA220" s="83" t="s">
        <v>7611</v>
      </c>
      <c r="GB220" s="25"/>
      <c r="GC220" s="25"/>
      <c r="GD220" s="25"/>
      <c r="GF220" t="s">
        <v>7774</v>
      </c>
      <c r="GG220" s="341" t="s">
        <v>9663</v>
      </c>
      <c r="GH220" s="83" t="s">
        <v>9665</v>
      </c>
      <c r="GI220" s="83" t="s">
        <v>9666</v>
      </c>
    </row>
    <row r="221" spans="8:208" s="25" customFormat="1" ht="13.2" customHeight="1">
      <c r="H221" s="136"/>
      <c r="I221" s="136"/>
      <c r="J221" s="136"/>
      <c r="K221" s="136"/>
      <c r="L221" s="136"/>
      <c r="M221" s="653"/>
      <c r="N221" s="136"/>
      <c r="O221" s="136"/>
      <c r="P221" s="136"/>
      <c r="Q221" s="136"/>
      <c r="R221" s="653"/>
      <c r="S221" s="83" t="str">
        <f>IF(CareerType=Y221,"Malédictor",IF(AllCareers="X","Malédictor",IF(OR(SelectRace="homme-bête",SelectRace="peau-verte",SelectRace="créature du chaos",SelectRace="Homme-lézard",SelectRace="skaven"),"",IF(FirstCareer="1ère carrière","",IF(Pays="Empire","Malédictor",IF(Pays="Norsca","Malédictor",""))))))</f>
        <v/>
      </c>
      <c r="T221" s="106">
        <v>3</v>
      </c>
      <c r="U221" s="693" t="str">
        <f t="shared" si="127"/>
        <v/>
      </c>
      <c r="V221" s="693" t="str">
        <f t="shared" si="128"/>
        <v/>
      </c>
      <c r="W221" s="693" t="str">
        <f t="shared" si="129"/>
        <v/>
      </c>
      <c r="X221" s="47" t="s">
        <v>2153</v>
      </c>
      <c r="Y221" s="743" t="s">
        <v>7131</v>
      </c>
      <c r="Z221" s="55" t="s">
        <v>2196</v>
      </c>
      <c r="AA221" s="47">
        <v>177</v>
      </c>
      <c r="AB221" s="47" t="s">
        <v>2349</v>
      </c>
      <c r="AC221" s="47"/>
      <c r="AD221" s="15" t="s">
        <v>149</v>
      </c>
      <c r="AE221" s="15" t="s">
        <v>149</v>
      </c>
      <c r="AF221" s="15" t="s">
        <v>149</v>
      </c>
      <c r="AG221" s="15" t="s">
        <v>149</v>
      </c>
      <c r="AH221" s="15" t="s">
        <v>114</v>
      </c>
      <c r="AI221" s="15" t="s">
        <v>98</v>
      </c>
      <c r="AJ221" s="15" t="s">
        <v>101</v>
      </c>
      <c r="AK221" s="18" t="s">
        <v>114</v>
      </c>
      <c r="AL221" s="15" t="s">
        <v>149</v>
      </c>
      <c r="AM221" s="15" t="s">
        <v>113</v>
      </c>
      <c r="AN221" s="15" t="s">
        <v>149</v>
      </c>
      <c r="AO221" s="15" t="s">
        <v>102</v>
      </c>
      <c r="AP221" s="87" t="s">
        <v>10104</v>
      </c>
      <c r="AQ221" s="87" t="s">
        <v>734</v>
      </c>
      <c r="AR221" s="22" t="s">
        <v>2350</v>
      </c>
      <c r="AS221" s="87" t="s">
        <v>734</v>
      </c>
      <c r="AT221" s="22" t="s">
        <v>3481</v>
      </c>
      <c r="AU221" s="87" t="s">
        <v>16451</v>
      </c>
      <c r="AV221" s="87" t="s">
        <v>4682</v>
      </c>
      <c r="AW221" s="457">
        <v>0</v>
      </c>
      <c r="AX221" s="630" t="str">
        <f t="shared" si="138"/>
        <v/>
      </c>
      <c r="AY221" s="630" t="str">
        <f t="shared" si="139"/>
        <v/>
      </c>
      <c r="AZ221" s="630" t="str">
        <f t="shared" si="140"/>
        <v/>
      </c>
      <c r="BH221" s="136"/>
      <c r="BI221" s="136"/>
      <c r="BJ221" s="136"/>
      <c r="BK221" s="136"/>
      <c r="BL221" s="136"/>
      <c r="BM221" s="3"/>
      <c r="BN221" s="136"/>
      <c r="BO221"/>
      <c r="BP221" s="136"/>
      <c r="BQ221" s="136"/>
      <c r="BR221" s="136"/>
      <c r="BS221" s="136"/>
      <c r="BT221" s="136"/>
      <c r="BU221" s="136"/>
      <c r="BV221" s="136"/>
      <c r="BW221" s="136"/>
      <c r="BX221" s="3" t="str">
        <f>IF(OR(Province="Kislev septentrional (Gospodar)",Province="Kislev septentrional (Ungol)"),"Ville du Nord du Kislev","")</f>
        <v/>
      </c>
      <c r="BY221" t="str">
        <f t="shared" si="130"/>
        <v/>
      </c>
      <c r="BZ221" s="83" t="str">
        <f t="shared" si="122"/>
        <v/>
      </c>
      <c r="CA221" s="83" t="str">
        <f t="shared" si="123"/>
        <v/>
      </c>
      <c r="CB221" s="530" t="str">
        <f t="shared" si="124"/>
        <v/>
      </c>
      <c r="CC221" s="3" t="s">
        <v>3359</v>
      </c>
      <c r="CD221"/>
      <c r="CE221"/>
      <c r="CF221"/>
      <c r="CG221" s="3" t="s">
        <v>6290</v>
      </c>
      <c r="CH221" s="3" t="s">
        <v>6079</v>
      </c>
      <c r="CI221" s="3"/>
      <c r="CJ221" s="136"/>
      <c r="CK221" s="83" t="s">
        <v>15032</v>
      </c>
      <c r="CL221"/>
      <c r="CM221" s="83" t="s">
        <v>14886</v>
      </c>
      <c r="CN221" s="3"/>
      <c r="CO221" s="3" t="str">
        <f>CONCATENATE("Lagered",IF(AND('page 1'!M11="Féminin",Pays="Norsca"),"dottir",IF(AND('page 1'!M11="Masculin",Pays="Norsca"),"son",IF(AND('page 1'!M11="Féminin",Pays="Kislev"),"ovna",IF(AND('page 1'!M11="Masculin",Pays="Kislev"),"sky","")))))</f>
        <v>Lagered</v>
      </c>
      <c r="CP221" s="3"/>
      <c r="CQ221" s="3"/>
      <c r="CR221" s="3" t="s">
        <v>13591</v>
      </c>
      <c r="CS221" s="3"/>
      <c r="CT221" s="3"/>
      <c r="CU221" s="3"/>
      <c r="CV221" s="3"/>
      <c r="CW221" s="3"/>
      <c r="CX221" s="3"/>
      <c r="CY221"/>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D221" s="83" t="s">
        <v>16301</v>
      </c>
      <c r="EE221" s="83" t="s">
        <v>2607</v>
      </c>
      <c r="EF221" s="540" t="s">
        <v>16305</v>
      </c>
      <c r="EG221" s="88"/>
      <c r="EH221" s="88"/>
      <c r="EI221" s="88"/>
      <c r="EJ221" s="88"/>
      <c r="EK221" s="874"/>
      <c r="EQ221" s="560"/>
      <c r="ET221" s="532"/>
      <c r="EU221" s="177" t="str">
        <f>IF(OR(Dieu="Slaanesh",Dieu="Qu’aph",Dieu="Loesh",Dieu="Takchaka",Dieu="Shornaal",Dieu="Banzaïgen"),"Baiser Exquis","")</f>
        <v/>
      </c>
      <c r="EV221" s="83" t="str">
        <f t="shared" si="121"/>
        <v/>
      </c>
      <c r="EW221" s="83" t="str">
        <f t="shared" si="125"/>
        <v/>
      </c>
      <c r="EX221" s="530" t="str">
        <f t="shared" si="126"/>
        <v/>
      </c>
      <c r="EY221" s="177" t="s">
        <v>3784</v>
      </c>
      <c r="EZ221" s="567" t="s">
        <v>11312</v>
      </c>
      <c r="FA221" s="560"/>
      <c r="FB221" s="83" t="s">
        <v>15469</v>
      </c>
      <c r="FC221" s="133" t="s">
        <v>16253</v>
      </c>
      <c r="FD221" s="85" t="s">
        <v>2217</v>
      </c>
      <c r="FE221" s="848">
        <v>126</v>
      </c>
      <c r="FF221">
        <v>25</v>
      </c>
      <c r="FG221">
        <v>0</v>
      </c>
      <c r="FH221">
        <v>35</v>
      </c>
      <c r="FI221">
        <v>35</v>
      </c>
      <c r="FJ221" s="10">
        <v>10</v>
      </c>
      <c r="FK221">
        <v>0</v>
      </c>
      <c r="FL221">
        <v>0</v>
      </c>
      <c r="FM221" s="165">
        <v>0</v>
      </c>
      <c r="FN221" s="88">
        <v>2</v>
      </c>
      <c r="FO221" s="88">
        <v>12</v>
      </c>
      <c r="FP221" s="164">
        <f>ROUNDDOWN(FH221/10,0)</f>
        <v>3</v>
      </c>
      <c r="FQ221" s="691">
        <f>ROUNDDOWN(FI221/10,0)</f>
        <v>3</v>
      </c>
      <c r="FR221" s="10">
        <v>4</v>
      </c>
      <c r="FS221" s="88">
        <v>0</v>
      </c>
      <c r="FT221" s="88">
        <v>0</v>
      </c>
      <c r="FU221" s="165">
        <v>0</v>
      </c>
      <c r="FV221" s="84" t="s">
        <v>149</v>
      </c>
      <c r="FW221" s="83" t="s">
        <v>14943</v>
      </c>
      <c r="FX221" s="751" t="s">
        <v>7659</v>
      </c>
      <c r="GA221" s="83" t="s">
        <v>7636</v>
      </c>
      <c r="GB221"/>
      <c r="GC221"/>
      <c r="GD221"/>
      <c r="GE221" s="341"/>
      <c r="GF221" t="s">
        <v>8255</v>
      </c>
      <c r="GG221" s="341" t="s">
        <v>9669</v>
      </c>
      <c r="GH221" s="83" t="s">
        <v>9667</v>
      </c>
      <c r="GI221" s="83" t="s">
        <v>9666</v>
      </c>
      <c r="GK221" s="532"/>
      <c r="GM221" s="459"/>
      <c r="GN221" s="459"/>
      <c r="GO221" s="459"/>
      <c r="GP221" s="459"/>
      <c r="GQ221" s="459"/>
      <c r="GR221" s="459"/>
      <c r="GS221" s="459"/>
      <c r="GT221" s="459"/>
      <c r="GU221" s="459"/>
      <c r="GV221" s="459"/>
      <c r="GW221" s="459"/>
      <c r="GX221" s="459"/>
      <c r="GY221" s="459"/>
      <c r="GZ221" s="459"/>
    </row>
    <row r="222" spans="8:208" ht="13.2" customHeight="1">
      <c r="H222" s="3"/>
      <c r="I222" s="3"/>
      <c r="J222" s="3"/>
      <c r="K222" s="3"/>
      <c r="L222" s="3"/>
      <c r="M222" s="651"/>
      <c r="N222" s="3"/>
      <c r="O222" s="3"/>
      <c r="P222" s="3"/>
      <c r="Q222" s="3"/>
      <c r="R222" s="651"/>
      <c r="S222" s="83" t="str">
        <f>IF(CareerType=Y222,"Manouvrier",IF(AllCareers="X","Manouvrier",IF(OR(SelectRace="homme-bête",SelectRace="Elfe",SelectRace="peau-verte",SelectRace="créature du chaos",SelectRace="Homme-lézard",SelectRace="skaven",SelectRace=""),"","Manouvrier")))</f>
        <v/>
      </c>
      <c r="T222" s="106">
        <f>IF(X222="oui",0,1)</f>
        <v>0</v>
      </c>
      <c r="U222" s="693" t="str">
        <f t="shared" si="127"/>
        <v/>
      </c>
      <c r="V222" s="693" t="str">
        <f t="shared" si="128"/>
        <v/>
      </c>
      <c r="W222" s="693" t="str">
        <f t="shared" si="129"/>
        <v/>
      </c>
      <c r="X222" s="89" t="s">
        <v>2160</v>
      </c>
      <c r="Y222" s="744" t="s">
        <v>7132</v>
      </c>
      <c r="Z222" s="101" t="s">
        <v>4551</v>
      </c>
      <c r="AA222" s="426" t="s">
        <v>5576</v>
      </c>
      <c r="AB222" s="89" t="s">
        <v>15760</v>
      </c>
      <c r="AD222" s="105" t="s">
        <v>98</v>
      </c>
      <c r="AE222" s="105" t="s">
        <v>149</v>
      </c>
      <c r="AF222" s="105" t="s">
        <v>98</v>
      </c>
      <c r="AG222" s="105" t="s">
        <v>98</v>
      </c>
      <c r="AH222" s="105" t="s">
        <v>98</v>
      </c>
      <c r="AI222" s="105" t="s">
        <v>149</v>
      </c>
      <c r="AJ222" s="105" t="s">
        <v>149</v>
      </c>
      <c r="AK222" s="443" t="s">
        <v>149</v>
      </c>
      <c r="AL222" s="105" t="s">
        <v>149</v>
      </c>
      <c r="AM222" s="105" t="s">
        <v>115</v>
      </c>
      <c r="AN222" s="105" t="s">
        <v>149</v>
      </c>
      <c r="AO222" s="105" t="s">
        <v>149</v>
      </c>
      <c r="AP222" s="87" t="s">
        <v>17098</v>
      </c>
      <c r="AQ222" s="87" t="s">
        <v>734</v>
      </c>
      <c r="AR222" s="87" t="s">
        <v>15761</v>
      </c>
      <c r="AS222" s="87" t="s">
        <v>734</v>
      </c>
      <c r="AT222" s="87" t="s">
        <v>17099</v>
      </c>
      <c r="AU222" s="87" t="s">
        <v>15762</v>
      </c>
      <c r="AV222" s="87" t="s">
        <v>4752</v>
      </c>
      <c r="AW222" s="458">
        <v>0</v>
      </c>
      <c r="AX222" s="630" t="str">
        <f t="shared" si="138"/>
        <v/>
      </c>
      <c r="AY222" s="630" t="str">
        <f t="shared" si="139"/>
        <v/>
      </c>
      <c r="AZ222" s="630" t="str">
        <f t="shared" si="140"/>
        <v/>
      </c>
      <c r="BB222" s="3"/>
      <c r="BC222" s="3"/>
      <c r="BD222" s="136"/>
      <c r="BE222" s="136"/>
      <c r="BF222" s="136"/>
      <c r="BG222" s="136"/>
      <c r="BH222" s="3"/>
      <c r="BI222" s="3"/>
      <c r="BJ222" s="3"/>
      <c r="BK222" s="3"/>
      <c r="BL222" s="3"/>
      <c r="BM222" s="3"/>
      <c r="BN222" s="3"/>
      <c r="BP222" s="3"/>
      <c r="BQ222" s="3"/>
      <c r="BR222" s="3"/>
      <c r="BS222" s="3"/>
      <c r="BT222" s="3"/>
      <c r="BU222" s="3"/>
      <c r="BV222" s="3"/>
      <c r="BW222" s="3"/>
      <c r="BX222" s="3" t="str">
        <f>IF(OR(Province="Kislev oriental (Gospodar)",Province="Kislev oriental (Ungol)"),"Stanista de l'Est","")</f>
        <v/>
      </c>
      <c r="BY222" t="str">
        <f t="shared" si="130"/>
        <v/>
      </c>
      <c r="BZ222" s="83" t="str">
        <f t="shared" si="122"/>
        <v/>
      </c>
      <c r="CA222" s="83" t="str">
        <f t="shared" si="123"/>
        <v/>
      </c>
      <c r="CB222" s="530" t="str">
        <f t="shared" si="124"/>
        <v/>
      </c>
      <c r="CC222" s="3" t="s">
        <v>3360</v>
      </c>
      <c r="CG222" s="3" t="s">
        <v>6291</v>
      </c>
      <c r="CH222" s="83" t="s">
        <v>15253</v>
      </c>
      <c r="CI222" s="3"/>
      <c r="CJ222" s="3"/>
      <c r="CK222" s="83" t="s">
        <v>14899</v>
      </c>
      <c r="CM222" t="s">
        <v>10377</v>
      </c>
      <c r="CN222" s="3"/>
      <c r="CO222" s="3" t="s">
        <v>11022</v>
      </c>
      <c r="CP222" s="3"/>
      <c r="CQ222" s="3"/>
      <c r="CR222" s="3" t="s">
        <v>13592</v>
      </c>
      <c r="CS222" s="3"/>
      <c r="CT222" s="3"/>
      <c r="CU222" s="3"/>
      <c r="CV222" s="3"/>
      <c r="CW222" s="3"/>
      <c r="CX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D222" s="83" t="s">
        <v>16299</v>
      </c>
      <c r="EE222" s="83" t="s">
        <v>2607</v>
      </c>
      <c r="EF222" s="540" t="s">
        <v>16307</v>
      </c>
      <c r="EK222" s="874"/>
      <c r="EU222" s="177" t="str">
        <f>IF(OR(Dieu="Tzeentch",Dieu="Asaph",Dieu="Tchar",Dieu="Ghithutkichi",Dieu="Ikaninushi"),"Roue d'Argent","")</f>
        <v/>
      </c>
      <c r="EV222" s="83" t="str">
        <f t="shared" si="121"/>
        <v/>
      </c>
      <c r="EW222" s="83" t="str">
        <f t="shared" si="125"/>
        <v/>
      </c>
      <c r="EX222" s="530" t="str">
        <f t="shared" si="126"/>
        <v/>
      </c>
      <c r="EY222" s="177" t="s">
        <v>17100</v>
      </c>
      <c r="EZ222" s="567"/>
      <c r="FB222" s="83" t="s">
        <v>15561</v>
      </c>
      <c r="FC222" s="133" t="s">
        <v>16253</v>
      </c>
      <c r="FD222" s="85" t="s">
        <v>15548</v>
      </c>
      <c r="FE222" s="848">
        <v>102</v>
      </c>
      <c r="FF222">
        <v>25</v>
      </c>
      <c r="FG222">
        <v>0</v>
      </c>
      <c r="FH222">
        <v>35</v>
      </c>
      <c r="FI222">
        <v>35</v>
      </c>
      <c r="FJ222" s="10">
        <v>10</v>
      </c>
      <c r="FK222">
        <v>0</v>
      </c>
      <c r="FL222">
        <v>0</v>
      </c>
      <c r="FM222" s="165">
        <v>0</v>
      </c>
      <c r="FN222" s="88">
        <v>1</v>
      </c>
      <c r="FO222" s="88">
        <v>12</v>
      </c>
      <c r="FP222" s="691">
        <f>ROUNDDOWN(FH222/10,0)</f>
        <v>3</v>
      </c>
      <c r="FQ222" s="691">
        <f>ROUNDDOWN(FI222/10,0)</f>
        <v>3</v>
      </c>
      <c r="FR222" s="10">
        <v>4</v>
      </c>
      <c r="FS222" s="88">
        <v>0</v>
      </c>
      <c r="FT222" s="88">
        <v>0</v>
      </c>
      <c r="FU222" s="165">
        <v>0</v>
      </c>
      <c r="FV222" s="84" t="s">
        <v>149</v>
      </c>
      <c r="FW222" s="83" t="s">
        <v>15560</v>
      </c>
      <c r="FX222" s="530" t="s">
        <v>7659</v>
      </c>
      <c r="GA222" t="s">
        <v>7286</v>
      </c>
      <c r="GF222" t="s">
        <v>7775</v>
      </c>
      <c r="GG222" s="341" t="s">
        <v>9674</v>
      </c>
      <c r="GH222" s="83" t="s">
        <v>9667</v>
      </c>
      <c r="GI222" s="83" t="s">
        <v>9666</v>
      </c>
    </row>
    <row r="223" spans="8:208" ht="13.2" customHeight="1">
      <c r="H223" s="3"/>
      <c r="I223" s="3"/>
      <c r="J223" s="3"/>
      <c r="K223" s="3"/>
      <c r="L223" s="3"/>
      <c r="M223" s="651"/>
      <c r="N223" s="3"/>
      <c r="O223" s="3"/>
      <c r="P223" s="3"/>
      <c r="Q223" s="3"/>
      <c r="R223" s="651"/>
      <c r="S223" s="83" t="str">
        <f>IF(CareerType=Y223,"Maquignon",IF(AllCareers="X","Maquignon",IF(OR(SelectRace="homme-bête",SelectRace="peau-verte",SelectRace="créature du chaos",SelectRace="Homme-lézard",SelectRace="skaven"),"",IF(SelectRace="Halfling","Maquignon",IF(Pays="Estalie","Maquignon",IF(Pays="Tilée","Maquignon",""))))))</f>
        <v/>
      </c>
      <c r="T223" s="106">
        <f>IF(X223="oui",0,1)</f>
        <v>0</v>
      </c>
      <c r="U223" s="693" t="str">
        <f t="shared" si="127"/>
        <v/>
      </c>
      <c r="V223" s="693" t="str">
        <f t="shared" si="128"/>
        <v/>
      </c>
      <c r="W223" s="693" t="str">
        <f t="shared" si="129"/>
        <v/>
      </c>
      <c r="X223" s="47" t="s">
        <v>2160</v>
      </c>
      <c r="Y223" s="743" t="s">
        <v>7132</v>
      </c>
      <c r="Z223" s="55" t="s">
        <v>1319</v>
      </c>
      <c r="AA223" s="47">
        <v>102</v>
      </c>
      <c r="AB223" s="47" t="s">
        <v>3482</v>
      </c>
      <c r="AC223" s="47">
        <v>107</v>
      </c>
      <c r="AD223" s="15" t="s">
        <v>149</v>
      </c>
      <c r="AE223" s="15" t="s">
        <v>114</v>
      </c>
      <c r="AF223" s="15" t="s">
        <v>114</v>
      </c>
      <c r="AG223" s="15" t="s">
        <v>149</v>
      </c>
      <c r="AH223" s="15" t="s">
        <v>114</v>
      </c>
      <c r="AI223" s="15" t="s">
        <v>114</v>
      </c>
      <c r="AJ223" s="15" t="s">
        <v>114</v>
      </c>
      <c r="AK223" s="18" t="s">
        <v>114</v>
      </c>
      <c r="AL223" s="15" t="s">
        <v>149</v>
      </c>
      <c r="AM223" s="15" t="s">
        <v>113</v>
      </c>
      <c r="AN223" s="15" t="s">
        <v>149</v>
      </c>
      <c r="AO223" s="15" t="s">
        <v>149</v>
      </c>
      <c r="AP223" s="87" t="s">
        <v>14771</v>
      </c>
      <c r="AQ223" s="87" t="s">
        <v>734</v>
      </c>
      <c r="AR223" s="22" t="s">
        <v>1028</v>
      </c>
      <c r="AS223" s="87" t="s">
        <v>734</v>
      </c>
      <c r="AT223" s="22" t="s">
        <v>3483</v>
      </c>
      <c r="AU223" s="87" t="s">
        <v>5429</v>
      </c>
      <c r="AV223" s="87" t="s">
        <v>17103</v>
      </c>
      <c r="AW223" s="457">
        <f ca="1">RANDBETWEEN(1,10)</f>
        <v>3</v>
      </c>
      <c r="AX223" s="630" t="str">
        <f t="shared" si="138"/>
        <v/>
      </c>
      <c r="AY223" s="630" t="str">
        <f t="shared" si="139"/>
        <v/>
      </c>
      <c r="AZ223" s="630" t="str">
        <f t="shared" si="140"/>
        <v/>
      </c>
      <c r="BA223" s="3"/>
      <c r="BB223" s="3"/>
      <c r="BC223" s="3"/>
      <c r="BD223" s="3"/>
      <c r="BE223" s="3"/>
      <c r="BF223" s="3"/>
      <c r="BG223" s="3"/>
      <c r="BH223" s="3"/>
      <c r="BI223" s="3"/>
      <c r="BJ223" s="3"/>
      <c r="BK223" s="3"/>
      <c r="BL223" s="3"/>
      <c r="BM223" s="3"/>
      <c r="BN223" s="3"/>
      <c r="BP223" s="3"/>
      <c r="BQ223" s="3"/>
      <c r="BR223" s="3"/>
      <c r="BS223" s="3"/>
      <c r="BT223" s="3"/>
      <c r="BU223" s="3"/>
      <c r="BV223" s="3"/>
      <c r="BW223" s="3"/>
      <c r="BX223" s="3" t="str">
        <f>IF(OR(Province="Kislev occdiental (Gospodar)",Province="Kislev occdiental (Ungol)"),"Stanista de l'Ouest","")</f>
        <v/>
      </c>
      <c r="BY223" t="str">
        <f t="shared" si="130"/>
        <v/>
      </c>
      <c r="BZ223" s="83" t="str">
        <f t="shared" si="122"/>
        <v/>
      </c>
      <c r="CA223" s="83" t="str">
        <f t="shared" si="123"/>
        <v/>
      </c>
      <c r="CB223" s="530" t="str">
        <f t="shared" si="124"/>
        <v/>
      </c>
      <c r="CC223" s="3" t="s">
        <v>3361</v>
      </c>
      <c r="CG223" s="3" t="s">
        <v>6292</v>
      </c>
      <c r="CH223" s="3" t="s">
        <v>6080</v>
      </c>
      <c r="CI223" s="3"/>
      <c r="CJ223" s="3"/>
      <c r="CK223" t="s">
        <v>6718</v>
      </c>
      <c r="CM223" t="s">
        <v>10372</v>
      </c>
      <c r="CN223" s="3"/>
      <c r="CO223" s="3" t="s">
        <v>11013</v>
      </c>
      <c r="CP223" s="3"/>
      <c r="CQ223" s="3"/>
      <c r="CR223" s="3" t="s">
        <v>13593</v>
      </c>
      <c r="CS223" s="3"/>
      <c r="CT223" s="3"/>
      <c r="CU223" s="3"/>
      <c r="CV223" s="3"/>
      <c r="CW223" s="3"/>
      <c r="CX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U223" s="177" t="str">
        <f>IF(OR(Dieu="Tzeentch",Dieu="Asaph",Dieu="Tchar",Dieu="Ghithutkichi",Dieu="Ikaninushi"),"Ordre de l'Œil Inconstant","")</f>
        <v/>
      </c>
      <c r="EV223" s="83" t="str">
        <f t="shared" si="121"/>
        <v/>
      </c>
      <c r="EW223" s="83" t="str">
        <f t="shared" si="125"/>
        <v/>
      </c>
      <c r="EX223" s="530" t="str">
        <f t="shared" si="126"/>
        <v/>
      </c>
      <c r="EY223" s="83" t="s">
        <v>17104</v>
      </c>
      <c r="EZ223" s="532"/>
      <c r="FB223" t="str">
        <f>IF('page 5'!C7="Humain","Initié de Taal et Rhya","")</f>
        <v/>
      </c>
      <c r="FC223" s="133" t="s">
        <v>5751</v>
      </c>
      <c r="FD223" s="83" t="s">
        <v>538</v>
      </c>
      <c r="FE223" s="849">
        <v>198</v>
      </c>
      <c r="FF223">
        <v>39</v>
      </c>
      <c r="FG223">
        <v>31</v>
      </c>
      <c r="FH223">
        <v>38</v>
      </c>
      <c r="FI223">
        <v>36</v>
      </c>
      <c r="FJ223" s="10">
        <v>28</v>
      </c>
      <c r="FK223">
        <v>37</v>
      </c>
      <c r="FL223">
        <v>38</v>
      </c>
      <c r="FM223" s="165">
        <v>34</v>
      </c>
      <c r="FN223" s="88">
        <v>1</v>
      </c>
      <c r="FO223" s="88">
        <v>13</v>
      </c>
      <c r="FP223" s="164">
        <f>ROUNDDOWN(FH223/10,0)</f>
        <v>3</v>
      </c>
      <c r="FQ223" s="164">
        <f>ROUNDDOWN(FI223/10,0)</f>
        <v>3</v>
      </c>
      <c r="FR223" s="682">
        <v>4</v>
      </c>
      <c r="FS223" s="88">
        <v>0</v>
      </c>
      <c r="FT223" s="88">
        <v>0</v>
      </c>
      <c r="FU223" s="165">
        <v>0</v>
      </c>
      <c r="FV223" s="83" t="s">
        <v>17068</v>
      </c>
      <c r="FW223" s="83" t="s">
        <v>17069</v>
      </c>
      <c r="FX223" s="530" t="s">
        <v>7667</v>
      </c>
      <c r="GA223" t="s">
        <v>7577</v>
      </c>
      <c r="GF223" t="s">
        <v>7776</v>
      </c>
      <c r="GG223" s="341" t="s">
        <v>9676</v>
      </c>
      <c r="GH223" s="83" t="s">
        <v>9667</v>
      </c>
      <c r="GI223" s="83" t="s">
        <v>9666</v>
      </c>
    </row>
    <row r="224" spans="8:208" ht="13.2" customHeight="1">
      <c r="H224" s="3"/>
      <c r="I224" s="3"/>
      <c r="J224" s="3"/>
      <c r="K224" s="3"/>
      <c r="L224" s="3"/>
      <c r="M224" s="651"/>
      <c r="N224" s="3"/>
      <c r="O224" s="3"/>
      <c r="P224" s="3"/>
      <c r="Q224" s="3"/>
      <c r="R224" s="651"/>
      <c r="S224" s="83" t="str">
        <f>IF(CareerType=Y224,"Maraudeur",IF(AllCareers="X","Maraudeur",IF(Pays="Empire","",IF(Pays="Bretonnie","",IF(OR(SelectRace="Elfe",SelectRace="Nain",SelectRace="Halfling",Selectsousrace=""),"","Maraudeur")))))</f>
        <v/>
      </c>
      <c r="T224" s="106">
        <f>IF(X224="oui",0,1)</f>
        <v>0</v>
      </c>
      <c r="U224" s="693" t="str">
        <f t="shared" si="127"/>
        <v/>
      </c>
      <c r="V224" s="693" t="str">
        <f t="shared" si="128"/>
        <v/>
      </c>
      <c r="W224" s="693" t="str">
        <f t="shared" si="129"/>
        <v/>
      </c>
      <c r="X224" s="47" t="s">
        <v>2160</v>
      </c>
      <c r="Y224" s="743" t="s">
        <v>7130</v>
      </c>
      <c r="Z224" s="55" t="s">
        <v>2196</v>
      </c>
      <c r="AA224" s="47">
        <v>157</v>
      </c>
      <c r="AB224" s="47" t="s">
        <v>2351</v>
      </c>
      <c r="AC224" s="47">
        <v>134</v>
      </c>
      <c r="AD224" s="15" t="s">
        <v>98</v>
      </c>
      <c r="AE224" s="15" t="s">
        <v>149</v>
      </c>
      <c r="AF224" s="15" t="s">
        <v>114</v>
      </c>
      <c r="AG224" s="15" t="s">
        <v>114</v>
      </c>
      <c r="AH224" s="15" t="s">
        <v>98</v>
      </c>
      <c r="AI224" s="15" t="s">
        <v>149</v>
      </c>
      <c r="AJ224" s="15" t="s">
        <v>98</v>
      </c>
      <c r="AK224" s="18" t="s">
        <v>149</v>
      </c>
      <c r="AL224" s="15" t="s">
        <v>102</v>
      </c>
      <c r="AM224" s="15" t="s">
        <v>113</v>
      </c>
      <c r="AN224" s="15" t="s">
        <v>149</v>
      </c>
      <c r="AO224" s="15" t="s">
        <v>149</v>
      </c>
      <c r="AP224" s="22" t="s">
        <v>1304</v>
      </c>
      <c r="AQ224" s="22" t="s">
        <v>1304</v>
      </c>
      <c r="AR224" s="22" t="s">
        <v>15823</v>
      </c>
      <c r="AS224" s="22" t="s">
        <v>15823</v>
      </c>
      <c r="AT224" s="22" t="s">
        <v>3484</v>
      </c>
      <c r="AU224" s="87" t="s">
        <v>5450</v>
      </c>
      <c r="AV224" s="87" t="s">
        <v>4669</v>
      </c>
      <c r="AW224" s="457">
        <v>0</v>
      </c>
      <c r="AX224" s="630" t="str">
        <f t="shared" si="138"/>
        <v/>
      </c>
      <c r="AY224" s="630" t="str">
        <f t="shared" si="139"/>
        <v/>
      </c>
      <c r="AZ224" s="630" t="str">
        <f t="shared" si="140"/>
        <v/>
      </c>
      <c r="BA224" s="3"/>
      <c r="BB224" s="3"/>
      <c r="BC224" s="136"/>
      <c r="BD224" s="3"/>
      <c r="BE224" s="3"/>
      <c r="BF224" s="3"/>
      <c r="BG224" s="3"/>
      <c r="BH224" s="3"/>
      <c r="BI224" s="3"/>
      <c r="BJ224" s="3"/>
      <c r="BK224" s="3"/>
      <c r="BL224" s="3"/>
      <c r="BM224" s="3"/>
      <c r="BN224" s="3"/>
      <c r="BP224" s="3"/>
      <c r="BQ224" s="3"/>
      <c r="BR224" s="3"/>
      <c r="BS224" s="3"/>
      <c r="BT224" s="3"/>
      <c r="BU224" s="3"/>
      <c r="BV224" s="3"/>
      <c r="BW224" s="3"/>
      <c r="BX224" s="3" t="str">
        <f>IF(OR(Province="Kislev septentrional (Gospodar)",Province="Kislev septentrional (Ungol)"),"Petite stanista du Nord","")</f>
        <v/>
      </c>
      <c r="BY224" t="str">
        <f t="shared" si="130"/>
        <v/>
      </c>
      <c r="BZ224" s="83" t="str">
        <f t="shared" si="122"/>
        <v/>
      </c>
      <c r="CA224" s="83" t="str">
        <f t="shared" si="123"/>
        <v/>
      </c>
      <c r="CB224" s="530" t="str">
        <f t="shared" si="124"/>
        <v/>
      </c>
      <c r="CC224" s="3" t="s">
        <v>3362</v>
      </c>
      <c r="CG224" s="3" t="s">
        <v>6293</v>
      </c>
      <c r="CH224" s="3" t="s">
        <v>6081</v>
      </c>
      <c r="CI224" s="3"/>
      <c r="CJ224" s="3"/>
      <c r="CK224" s="3" t="s">
        <v>6918</v>
      </c>
      <c r="CM224" s="83" t="s">
        <v>14922</v>
      </c>
      <c r="CN224" s="3"/>
      <c r="CO224" s="3" t="s">
        <v>11012</v>
      </c>
      <c r="CP224" s="3"/>
      <c r="CQ224" s="3"/>
      <c r="CR224" s="3" t="s">
        <v>13594</v>
      </c>
      <c r="CS224" s="3"/>
      <c r="CT224" s="3"/>
      <c r="CU224" s="3"/>
      <c r="CV224" s="3"/>
      <c r="CW224" s="3"/>
      <c r="CX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U224" s="177" t="str">
        <f>IF(OR(Dieu="Tzeentch",Dieu="Asaph",Dieu="Tchar",Dieu="Ghithutkichi",Dieu="Ikaninushi"),"Culte de la Roue Brisée","")</f>
        <v/>
      </c>
      <c r="EV224" s="83" t="str">
        <f t="shared" si="121"/>
        <v/>
      </c>
      <c r="EW224" s="83" t="str">
        <f t="shared" si="125"/>
        <v/>
      </c>
      <c r="EX224" s="530" t="str">
        <f t="shared" si="126"/>
        <v/>
      </c>
      <c r="EY224" s="83" t="s">
        <v>12870</v>
      </c>
      <c r="EZ224" s="567" t="s">
        <v>11313</v>
      </c>
      <c r="FB224" s="83" t="str">
        <f>IF('page 5'!C7="Humain","Initié de Manann","")</f>
        <v/>
      </c>
      <c r="FC224" s="133" t="s">
        <v>5751</v>
      </c>
      <c r="FD224" s="83" t="s">
        <v>538</v>
      </c>
      <c r="FE224" s="849">
        <v>197</v>
      </c>
      <c r="FF224">
        <v>34</v>
      </c>
      <c r="FG224">
        <v>31</v>
      </c>
      <c r="FH224">
        <v>38</v>
      </c>
      <c r="FI224">
        <v>36</v>
      </c>
      <c r="FJ224" s="10">
        <v>33</v>
      </c>
      <c r="FK224">
        <v>37</v>
      </c>
      <c r="FL224">
        <v>38</v>
      </c>
      <c r="FM224" s="165">
        <v>34</v>
      </c>
      <c r="FN224" s="88">
        <v>1</v>
      </c>
      <c r="FO224" s="88">
        <v>13</v>
      </c>
      <c r="FP224" s="164">
        <f>ROUNDDOWN(FH224/10,0)</f>
        <v>3</v>
      </c>
      <c r="FQ224" s="164">
        <f>ROUNDDOWN(FI224/10,0)</f>
        <v>3</v>
      </c>
      <c r="FR224" s="682">
        <v>4</v>
      </c>
      <c r="FS224" s="88">
        <v>0</v>
      </c>
      <c r="FT224" s="88">
        <v>0</v>
      </c>
      <c r="FU224" s="165">
        <v>0</v>
      </c>
      <c r="FV224" s="83" t="s">
        <v>17074</v>
      </c>
      <c r="FW224" s="83" t="s">
        <v>17075</v>
      </c>
      <c r="FX224" s="530" t="s">
        <v>7668</v>
      </c>
      <c r="GA224" s="83" t="s">
        <v>17109</v>
      </c>
      <c r="GE224" s="356"/>
      <c r="GF224" t="s">
        <v>7777</v>
      </c>
      <c r="GG224" s="356" t="s">
        <v>9671</v>
      </c>
      <c r="GH224" s="83" t="s">
        <v>9667</v>
      </c>
      <c r="GI224" s="83" t="s">
        <v>9666</v>
      </c>
    </row>
    <row r="225" spans="8:191" ht="13.2" customHeight="1">
      <c r="H225" s="3"/>
      <c r="I225" s="3"/>
      <c r="J225" s="3"/>
      <c r="K225" s="3"/>
      <c r="L225" s="3"/>
      <c r="M225" s="651"/>
      <c r="N225" s="3"/>
      <c r="O225" s="3"/>
      <c r="P225" s="3"/>
      <c r="Q225" s="3"/>
      <c r="R225" s="651"/>
      <c r="S225" s="83" t="str">
        <f>IF(CareerType=Y225,"Marchand",IF(AllCareers="X","Marchand",IF(Selectsousrace="","",IF(OR(SelectRace="homme-bête",SelectRace="peau-verte",SelectRace="créature du chaos",SelectRace="Homme-lézard",SelectRace="skaven"),"",IF(FirstCareer="1ère carrière","","Marchand")))))</f>
        <v/>
      </c>
      <c r="T225" s="106">
        <f>IF(X225="oui",0,1)</f>
        <v>1</v>
      </c>
      <c r="U225" s="693" t="str">
        <f t="shared" si="127"/>
        <v/>
      </c>
      <c r="V225" s="693" t="str">
        <f t="shared" si="128"/>
        <v/>
      </c>
      <c r="W225" s="693" t="str">
        <f t="shared" si="129"/>
        <v/>
      </c>
      <c r="X225" s="47" t="s">
        <v>2153</v>
      </c>
      <c r="Y225" s="743" t="s">
        <v>7131</v>
      </c>
      <c r="Z225" s="55" t="s">
        <v>2200</v>
      </c>
      <c r="AA225" s="47">
        <v>77</v>
      </c>
      <c r="AB225" s="47" t="s">
        <v>2352</v>
      </c>
      <c r="AC225" s="47">
        <v>143</v>
      </c>
      <c r="AD225" s="15" t="s">
        <v>98</v>
      </c>
      <c r="AE225" s="15" t="s">
        <v>98</v>
      </c>
      <c r="AF225" s="20" t="s">
        <v>114</v>
      </c>
      <c r="AG225" s="20" t="s">
        <v>114</v>
      </c>
      <c r="AH225" s="15" t="s">
        <v>98</v>
      </c>
      <c r="AI225" s="15" t="s">
        <v>99</v>
      </c>
      <c r="AJ225" s="15" t="s">
        <v>100</v>
      </c>
      <c r="AK225" s="18" t="s">
        <v>100</v>
      </c>
      <c r="AL225" s="15" t="s">
        <v>149</v>
      </c>
      <c r="AM225" s="15" t="s">
        <v>103</v>
      </c>
      <c r="AN225" s="15" t="s">
        <v>149</v>
      </c>
      <c r="AO225" s="15" t="s">
        <v>149</v>
      </c>
      <c r="AP225" s="87" t="s">
        <v>15758</v>
      </c>
      <c r="AQ225" s="87" t="s">
        <v>734</v>
      </c>
      <c r="AR225" s="87" t="s">
        <v>15824</v>
      </c>
      <c r="AS225" s="87" t="s">
        <v>734</v>
      </c>
      <c r="AT225" s="22" t="s">
        <v>3485</v>
      </c>
      <c r="AU225" s="87" t="s">
        <v>17110</v>
      </c>
      <c r="AV225" s="87" t="s">
        <v>4618</v>
      </c>
      <c r="AW225" s="457">
        <v>0</v>
      </c>
      <c r="AX225" s="630" t="str">
        <f t="shared" si="138"/>
        <v/>
      </c>
      <c r="AY225" s="630" t="str">
        <f t="shared" si="139"/>
        <v/>
      </c>
      <c r="AZ225" s="630" t="str">
        <f t="shared" si="140"/>
        <v/>
      </c>
      <c r="BA225" s="3"/>
      <c r="BB225" s="136"/>
      <c r="BC225" s="3"/>
      <c r="BD225" s="3"/>
      <c r="BE225" s="3"/>
      <c r="BF225" s="3"/>
      <c r="BG225" s="3"/>
      <c r="BH225" s="3"/>
      <c r="BI225" s="3"/>
      <c r="BJ225" s="3"/>
      <c r="BK225" s="3"/>
      <c r="BL225" s="3"/>
      <c r="BM225" s="3"/>
      <c r="BN225" s="3"/>
      <c r="BP225" s="3"/>
      <c r="BQ225" s="3"/>
      <c r="BR225" s="3"/>
      <c r="BS225" s="3"/>
      <c r="BT225" s="3"/>
      <c r="BU225" s="3"/>
      <c r="BV225" s="3"/>
      <c r="BW225" s="3"/>
      <c r="BX225" s="3" t="str">
        <f>IF(OR(Province="Kislev méridional (Gospodar)",Province="kislev méridional (Ungol)"),"Petite stanista du Sud","")</f>
        <v/>
      </c>
      <c r="BY225" t="str">
        <f t="shared" si="130"/>
        <v/>
      </c>
      <c r="BZ225" s="83" t="str">
        <f t="shared" si="122"/>
        <v/>
      </c>
      <c r="CA225" s="83" t="str">
        <f t="shared" si="123"/>
        <v/>
      </c>
      <c r="CB225" s="530" t="str">
        <f t="shared" si="124"/>
        <v/>
      </c>
      <c r="CC225" t="s">
        <v>10745</v>
      </c>
      <c r="CG225" s="3" t="s">
        <v>6294</v>
      </c>
      <c r="CH225" s="3" t="s">
        <v>6082</v>
      </c>
      <c r="CI225" s="3"/>
      <c r="CJ225" s="3"/>
      <c r="CK225" s="3" t="s">
        <v>6881</v>
      </c>
      <c r="CM225" t="s">
        <v>10378</v>
      </c>
      <c r="CN225" s="3"/>
      <c r="CO225" s="3" t="s">
        <v>11008</v>
      </c>
      <c r="CP225" s="3"/>
      <c r="CQ225" s="3"/>
      <c r="CR225" s="3" t="s">
        <v>13595</v>
      </c>
      <c r="CS225" s="3"/>
      <c r="CT225" s="3"/>
      <c r="CU225" s="3"/>
      <c r="CV225" s="3"/>
      <c r="CW225" s="3"/>
      <c r="CX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U225" s="177" t="str">
        <f>IF(OR(OR(Dieu="Tzeentch",Dieu="Asaph",Dieu="Tchar",Dieu="Ghithutkichi",Dieu="Ikaninushi"),OR(Dieu="Slaanesh",Dieu="Qu’aph",Dieu="Loesh",Dieu="Takchaka",Dieu="Shornaal",Dieu="Banzaïgen"),Dieu="Nurgle",Dieu="Gotd",OR(Dieu="Khorne",Dieu="Raktavija",Dieu="Hifokosho",Dieu="Gotd",Dieu="Chron"),Dieu="Malal",),"Culte d'Ishmail","")</f>
        <v/>
      </c>
      <c r="EV225" s="83" t="str">
        <f t="shared" si="121"/>
        <v/>
      </c>
      <c r="EW225" s="83" t="str">
        <f t="shared" si="125"/>
        <v/>
      </c>
      <c r="EX225" s="530" t="str">
        <f t="shared" si="126"/>
        <v/>
      </c>
      <c r="EY225" s="177" t="s">
        <v>11330</v>
      </c>
      <c r="EZ225" s="567" t="s">
        <v>11315</v>
      </c>
      <c r="FB225" s="83" t="str">
        <f>IF('page 5'!C7="Humain","Initié de Morr","")</f>
        <v/>
      </c>
      <c r="FC225" s="133" t="s">
        <v>5751</v>
      </c>
      <c r="FD225" s="83" t="s">
        <v>538</v>
      </c>
      <c r="FE225" s="849">
        <v>197</v>
      </c>
      <c r="FF225">
        <v>39</v>
      </c>
      <c r="FG225">
        <v>31</v>
      </c>
      <c r="FH225">
        <v>33</v>
      </c>
      <c r="FI225">
        <v>36</v>
      </c>
      <c r="FJ225" s="10">
        <v>33</v>
      </c>
      <c r="FK225">
        <v>37</v>
      </c>
      <c r="FL225">
        <v>38</v>
      </c>
      <c r="FM225" s="165">
        <v>34</v>
      </c>
      <c r="FN225" s="88">
        <v>1</v>
      </c>
      <c r="FO225" s="88">
        <v>13</v>
      </c>
      <c r="FP225" s="164">
        <f>ROUNDDOWN(FH225/10,0)</f>
        <v>3</v>
      </c>
      <c r="FQ225" s="164">
        <f>ROUNDDOWN(FI225/10,0)</f>
        <v>3</v>
      </c>
      <c r="FR225" s="682">
        <v>4</v>
      </c>
      <c r="FS225" s="88">
        <v>0</v>
      </c>
      <c r="FT225" s="88">
        <v>0</v>
      </c>
      <c r="FU225" s="165">
        <v>0</v>
      </c>
      <c r="FV225" s="83" t="s">
        <v>17078</v>
      </c>
      <c r="FW225" s="83" t="s">
        <v>17079</v>
      </c>
      <c r="FX225" s="530" t="s">
        <v>7668</v>
      </c>
      <c r="GA225" s="83" t="s">
        <v>7593</v>
      </c>
      <c r="GF225" t="s">
        <v>8256</v>
      </c>
      <c r="GG225" s="341" t="s">
        <v>9670</v>
      </c>
      <c r="GH225" s="83" t="s">
        <v>9667</v>
      </c>
      <c r="GI225" s="83" t="s">
        <v>9666</v>
      </c>
    </row>
    <row r="226" spans="8:191" ht="13.2" customHeight="1">
      <c r="H226" s="3"/>
      <c r="I226" s="3"/>
      <c r="J226" s="3"/>
      <c r="K226" s="3"/>
      <c r="L226" s="3"/>
      <c r="M226" s="651"/>
      <c r="N226" s="3"/>
      <c r="O226" s="3"/>
      <c r="P226" s="3"/>
      <c r="Q226" s="3"/>
      <c r="R226" s="651"/>
      <c r="S226" s="83" t="str">
        <f>IF(CareerType=Y226,"Marchand d'Esclave/Thrall",IF(AllCareers="X","Marchand d'Esclave/Thrall",IF(Selectsousrace="","",IF(FirstCareer="1ère carrière","","Marchand d'Esclave/Thrall"))))</f>
        <v/>
      </c>
      <c r="T226" s="106">
        <v>2</v>
      </c>
      <c r="U226" s="693" t="str">
        <f t="shared" si="127"/>
        <v/>
      </c>
      <c r="V226" s="693" t="str">
        <f t="shared" si="128"/>
        <v/>
      </c>
      <c r="W226" s="693" t="str">
        <f t="shared" si="129"/>
        <v/>
      </c>
      <c r="X226" s="89" t="s">
        <v>2153</v>
      </c>
      <c r="Y226" s="743" t="s">
        <v>7131</v>
      </c>
      <c r="Z226" s="56" t="s">
        <v>9975</v>
      </c>
      <c r="AA226" s="89">
        <v>239</v>
      </c>
      <c r="AB226" s="89" t="s">
        <v>10039</v>
      </c>
      <c r="AD226" s="105" t="s">
        <v>114</v>
      </c>
      <c r="AE226" s="105" t="s">
        <v>114</v>
      </c>
      <c r="AF226" s="105" t="s">
        <v>114</v>
      </c>
      <c r="AG226" s="105" t="s">
        <v>98</v>
      </c>
      <c r="AH226" s="105" t="s">
        <v>98</v>
      </c>
      <c r="AI226" s="105" t="s">
        <v>100</v>
      </c>
      <c r="AJ226" s="105" t="s">
        <v>99</v>
      </c>
      <c r="AK226" s="443" t="s">
        <v>101</v>
      </c>
      <c r="AL226" s="105" t="s">
        <v>149</v>
      </c>
      <c r="AM226" s="105" t="s">
        <v>114</v>
      </c>
      <c r="AN226" s="105" t="s">
        <v>149</v>
      </c>
      <c r="AO226" s="105" t="s">
        <v>149</v>
      </c>
      <c r="AP226" s="87" t="s">
        <v>15857</v>
      </c>
      <c r="AQ226" s="87" t="s">
        <v>771</v>
      </c>
      <c r="AR226" s="23" t="s">
        <v>10085</v>
      </c>
      <c r="AS226" s="87" t="s">
        <v>771</v>
      </c>
      <c r="AT226" s="87" t="s">
        <v>10086</v>
      </c>
      <c r="AU226" s="87" t="s">
        <v>10087</v>
      </c>
      <c r="AV226" s="87" t="s">
        <v>15753</v>
      </c>
      <c r="AW226" s="458">
        <v>0</v>
      </c>
      <c r="AX226" s="630" t="str">
        <f t="shared" si="138"/>
        <v/>
      </c>
      <c r="AY226" s="630" t="str">
        <f t="shared" si="139"/>
        <v/>
      </c>
      <c r="AZ226" s="630" t="str">
        <f t="shared" si="140"/>
        <v/>
      </c>
      <c r="BA226" s="3"/>
      <c r="BB226" s="3"/>
      <c r="BC226" s="3"/>
      <c r="BD226" s="3"/>
      <c r="BE226" s="3"/>
      <c r="BF226" s="3"/>
      <c r="BG226" s="3"/>
      <c r="BH226" s="3"/>
      <c r="BI226" s="3"/>
      <c r="BJ226" s="3"/>
      <c r="BK226" s="3"/>
      <c r="BL226" s="3"/>
      <c r="BM226" s="3"/>
      <c r="BN226" s="3"/>
      <c r="BP226" s="3"/>
      <c r="BQ226" s="3"/>
      <c r="BR226" s="3"/>
      <c r="BS226" s="3"/>
      <c r="BT226" s="3"/>
      <c r="BU226" s="3"/>
      <c r="BV226" s="3"/>
      <c r="BW226" s="3"/>
      <c r="BX226" s="3" t="str">
        <f>IF(OR(Province="Kislev oriental (Gospodar)",Province="Kislev oriental (Ungol)"),"Petite stanista de l'Est","")</f>
        <v/>
      </c>
      <c r="BY226" t="str">
        <f t="shared" si="130"/>
        <v/>
      </c>
      <c r="BZ226" s="83" t="str">
        <f t="shared" si="122"/>
        <v/>
      </c>
      <c r="CA226" s="83" t="str">
        <f t="shared" si="123"/>
        <v/>
      </c>
      <c r="CB226" s="530" t="str">
        <f t="shared" si="124"/>
        <v/>
      </c>
      <c r="CC226" s="3" t="s">
        <v>3363</v>
      </c>
      <c r="CG226" s="83" t="s">
        <v>14909</v>
      </c>
      <c r="CH226" s="3" t="s">
        <v>3125</v>
      </c>
      <c r="CI226" s="3"/>
      <c r="CJ226" s="3"/>
      <c r="CK226" s="3" t="s">
        <v>6755</v>
      </c>
      <c r="CM226" t="s">
        <v>10379</v>
      </c>
      <c r="CN226" s="3"/>
      <c r="CO226" s="3" t="s">
        <v>11014</v>
      </c>
      <c r="CP226" s="3"/>
      <c r="CQ226" s="3"/>
      <c r="CR226" s="83" t="s">
        <v>17113</v>
      </c>
      <c r="CS226" s="3"/>
      <c r="CT226" s="3"/>
      <c r="CU226" s="3"/>
      <c r="CV226" s="3"/>
      <c r="CW226" s="3"/>
      <c r="CX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U226" s="85" t="str">
        <f>IF(OR(Dieu="Slaanesh",Dieu="Qu’aph",Dieu="Loesh",Dieu="Takchaka",Dieu="Shornaal",Dieu="Banzaïgen"),"Association des Sages Sorciers","")</f>
        <v/>
      </c>
      <c r="EV226" s="83" t="str">
        <f t="shared" si="121"/>
        <v/>
      </c>
      <c r="EW226" s="83" t="str">
        <f t="shared" si="125"/>
        <v/>
      </c>
      <c r="EX226" s="530" t="str">
        <f t="shared" si="126"/>
        <v/>
      </c>
      <c r="EY226" s="177" t="s">
        <v>17114</v>
      </c>
      <c r="EZ226" s="532"/>
      <c r="FB226" s="83" t="str">
        <f>IF('page 5'!C7="Humain","Initié de Myrmidia","")</f>
        <v/>
      </c>
      <c r="FC226" s="133" t="s">
        <v>5751</v>
      </c>
      <c r="FD226" s="83" t="s">
        <v>538</v>
      </c>
      <c r="FE226" s="849">
        <v>197</v>
      </c>
      <c r="FF226">
        <v>39</v>
      </c>
      <c r="FG226">
        <v>31</v>
      </c>
      <c r="FH226">
        <v>38</v>
      </c>
      <c r="FI226">
        <v>36</v>
      </c>
      <c r="FJ226" s="10">
        <v>28</v>
      </c>
      <c r="FK226">
        <v>37</v>
      </c>
      <c r="FL226">
        <v>38</v>
      </c>
      <c r="FM226" s="165">
        <v>34</v>
      </c>
      <c r="FN226" s="88">
        <v>1</v>
      </c>
      <c r="FO226" s="88">
        <v>13</v>
      </c>
      <c r="FP226" s="164">
        <f>ROUNDDOWN(FH226/10,0)</f>
        <v>3</v>
      </c>
      <c r="FQ226" s="164">
        <f>ROUNDDOWN(FI226/10,0)</f>
        <v>3</v>
      </c>
      <c r="FR226" s="682">
        <v>4</v>
      </c>
      <c r="FS226" s="88">
        <v>0</v>
      </c>
      <c r="FT226" s="88">
        <v>0</v>
      </c>
      <c r="FU226" s="165">
        <v>0</v>
      </c>
      <c r="FV226" s="83" t="s">
        <v>17081</v>
      </c>
      <c r="FW226" s="83" t="s">
        <v>17082</v>
      </c>
      <c r="FX226" s="530" t="s">
        <v>7668</v>
      </c>
      <c r="GA226" s="83" t="s">
        <v>7556</v>
      </c>
      <c r="GF226" t="s">
        <v>7778</v>
      </c>
      <c r="GG226" s="341" t="s">
        <v>9675</v>
      </c>
      <c r="GH226" s="83" t="s">
        <v>9667</v>
      </c>
      <c r="GI226" s="83" t="s">
        <v>9666</v>
      </c>
    </row>
    <row r="227" spans="8:191" ht="13.2" customHeight="1">
      <c r="H227" s="3"/>
      <c r="I227" s="3"/>
      <c r="J227" s="3"/>
      <c r="K227" s="3"/>
      <c r="L227" s="3"/>
      <c r="M227" s="651"/>
      <c r="N227" s="3"/>
      <c r="O227" s="3"/>
      <c r="P227" s="3"/>
      <c r="Q227" s="3"/>
      <c r="R227" s="651"/>
      <c r="S227" s="83" t="str">
        <f>IF(CareerType=Y227,"Marcheur des Brumes",IF(AllCareers="X","Marcheur des Brumes",IF(Selectsousrace="","",IF(Selectsousrace&lt;&gt;"Elfe","",IF(FirstCareer="1ère carrière","","Marcheur des Brumes")))))</f>
        <v/>
      </c>
      <c r="T227" s="106">
        <f>IF(X227="oui",0,1)</f>
        <v>1</v>
      </c>
      <c r="U227" s="693" t="str">
        <f t="shared" si="127"/>
        <v/>
      </c>
      <c r="V227" s="693" t="str">
        <f t="shared" si="128"/>
        <v/>
      </c>
      <c r="W227" s="693" t="str">
        <f t="shared" si="129"/>
        <v/>
      </c>
      <c r="X227" s="89" t="s">
        <v>2153</v>
      </c>
      <c r="Y227" s="743" t="s">
        <v>7134</v>
      </c>
      <c r="Z227" s="101" t="s">
        <v>4551</v>
      </c>
      <c r="AA227" s="426" t="s">
        <v>5576</v>
      </c>
      <c r="AB227" s="89" t="s">
        <v>9304</v>
      </c>
      <c r="AD227" s="15" t="s">
        <v>98</v>
      </c>
      <c r="AE227" s="15" t="s">
        <v>98</v>
      </c>
      <c r="AF227" s="20" t="s">
        <v>114</v>
      </c>
      <c r="AG227" s="15" t="s">
        <v>98</v>
      </c>
      <c r="AH227" s="15" t="s">
        <v>116</v>
      </c>
      <c r="AI227" s="15" t="s">
        <v>100</v>
      </c>
      <c r="AJ227" s="15" t="s">
        <v>98</v>
      </c>
      <c r="AK227" s="18" t="s">
        <v>101</v>
      </c>
      <c r="AL227" s="15" t="s">
        <v>149</v>
      </c>
      <c r="AM227" s="15" t="s">
        <v>103</v>
      </c>
      <c r="AN227" s="15" t="s">
        <v>149</v>
      </c>
      <c r="AO227" s="15" t="s">
        <v>102</v>
      </c>
      <c r="AP227" s="87" t="s">
        <v>15858</v>
      </c>
      <c r="AQ227" s="87" t="s">
        <v>5163</v>
      </c>
      <c r="AR227" s="87" t="s">
        <v>9189</v>
      </c>
      <c r="AS227" s="87" t="s">
        <v>9188</v>
      </c>
      <c r="AT227" s="87" t="s">
        <v>17117</v>
      </c>
      <c r="AU227" s="87" t="s">
        <v>9190</v>
      </c>
      <c r="AV227" s="87" t="s">
        <v>4593</v>
      </c>
      <c r="AW227" s="457">
        <v>0</v>
      </c>
      <c r="AX227" s="630" t="str">
        <f t="shared" si="138"/>
        <v/>
      </c>
      <c r="AY227" s="630" t="str">
        <f t="shared" si="139"/>
        <v/>
      </c>
      <c r="AZ227" s="630" t="str">
        <f t="shared" si="140"/>
        <v/>
      </c>
      <c r="BA227" s="136"/>
      <c r="BB227" s="3"/>
      <c r="BC227" s="3"/>
      <c r="BD227" s="3"/>
      <c r="BE227" s="3"/>
      <c r="BF227" s="3"/>
      <c r="BG227" s="3"/>
      <c r="BH227" s="3"/>
      <c r="BI227" s="3"/>
      <c r="BJ227" s="3"/>
      <c r="BK227" s="3"/>
      <c r="BL227" s="3"/>
      <c r="BM227" s="3"/>
      <c r="BN227" s="3"/>
      <c r="BP227" s="3"/>
      <c r="BQ227" s="3"/>
      <c r="BR227" s="3"/>
      <c r="BS227" s="3"/>
      <c r="BT227" s="3"/>
      <c r="BU227" s="3"/>
      <c r="BV227" s="3"/>
      <c r="BW227" s="3"/>
      <c r="BX227" s="3" t="str">
        <f>IF(OR(Province="Kislev occdiental (Gospodar)",Province="Kislev occdiental (Ungol)"),"Tirsa de l'Ouest","")</f>
        <v/>
      </c>
      <c r="BY227" t="str">
        <f t="shared" si="130"/>
        <v/>
      </c>
      <c r="BZ227" s="83" t="str">
        <f t="shared" si="122"/>
        <v/>
      </c>
      <c r="CA227" s="83" t="str">
        <f t="shared" si="123"/>
        <v/>
      </c>
      <c r="CB227" s="530" t="str">
        <f t="shared" si="124"/>
        <v/>
      </c>
      <c r="CC227" s="3" t="s">
        <v>3364</v>
      </c>
      <c r="CG227" s="3" t="s">
        <v>893</v>
      </c>
      <c r="CH227" s="3" t="s">
        <v>6083</v>
      </c>
      <c r="CI227" s="3"/>
      <c r="CJ227" s="3"/>
      <c r="CK227" s="3" t="s">
        <v>6801</v>
      </c>
      <c r="CM227" s="83" t="s">
        <v>15096</v>
      </c>
      <c r="CN227" s="3"/>
      <c r="CO227" s="3" t="s">
        <v>11011</v>
      </c>
      <c r="CP227" s="3"/>
      <c r="CQ227" s="3"/>
      <c r="CR227" s="3" t="s">
        <v>13596</v>
      </c>
      <c r="CS227" s="3"/>
      <c r="CT227" s="3"/>
      <c r="CU227" s="3"/>
      <c r="CV227" s="3"/>
      <c r="CW227" s="3"/>
      <c r="CX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U227" s="177" t="str">
        <f>IF(Dieu="Ringil","Initié","")</f>
        <v/>
      </c>
      <c r="EV227" s="83" t="str">
        <f t="shared" si="121"/>
        <v/>
      </c>
      <c r="EW227" s="83" t="str">
        <f t="shared" si="125"/>
        <v/>
      </c>
      <c r="EX227" s="530" t="str">
        <f t="shared" si="126"/>
        <v/>
      </c>
      <c r="EY227" s="177" t="s">
        <v>12306</v>
      </c>
      <c r="EZ227" s="567" t="s">
        <v>17118</v>
      </c>
      <c r="FB227" s="83" t="str">
        <f>IF('page 5'!C7="Humain","Initié de Ranald","")</f>
        <v/>
      </c>
      <c r="FC227" s="133" t="s">
        <v>5751</v>
      </c>
      <c r="FD227" s="83" t="s">
        <v>538</v>
      </c>
      <c r="FE227" s="849">
        <v>197</v>
      </c>
      <c r="FF227">
        <v>34</v>
      </c>
      <c r="FG227">
        <v>31</v>
      </c>
      <c r="FH227">
        <v>33</v>
      </c>
      <c r="FI227">
        <v>36</v>
      </c>
      <c r="FJ227" s="10">
        <v>33</v>
      </c>
      <c r="FK227">
        <v>37</v>
      </c>
      <c r="FL227">
        <v>38</v>
      </c>
      <c r="FM227" s="165">
        <v>39</v>
      </c>
      <c r="FN227" s="88">
        <v>1</v>
      </c>
      <c r="FO227" s="88">
        <v>13</v>
      </c>
      <c r="FP227" s="164">
        <f>ROUNDDOWN(FH227/10,0)</f>
        <v>3</v>
      </c>
      <c r="FQ227" s="164">
        <f>ROUNDDOWN(FI227/10,0)</f>
        <v>3</v>
      </c>
      <c r="FR227" s="682">
        <v>4</v>
      </c>
      <c r="FS227" s="88">
        <v>0</v>
      </c>
      <c r="FT227" s="88">
        <v>0</v>
      </c>
      <c r="FU227" s="165">
        <v>0</v>
      </c>
      <c r="FV227" s="83" t="s">
        <v>17084</v>
      </c>
      <c r="FW227" s="83" t="s">
        <v>17085</v>
      </c>
      <c r="FX227" s="530" t="s">
        <v>7668</v>
      </c>
      <c r="GA227" s="83" t="s">
        <v>17121</v>
      </c>
      <c r="GF227" t="s">
        <v>8257</v>
      </c>
      <c r="GG227" s="341" t="s">
        <v>9677</v>
      </c>
      <c r="GH227" s="83" t="s">
        <v>9667</v>
      </c>
      <c r="GI227" s="83" t="s">
        <v>9666</v>
      </c>
    </row>
    <row r="228" spans="8:191" ht="13.2" customHeight="1">
      <c r="H228" s="3"/>
      <c r="I228" s="3"/>
      <c r="J228" s="3"/>
      <c r="K228" s="3"/>
      <c r="L228" s="3"/>
      <c r="M228" s="651"/>
      <c r="N228" s="3"/>
      <c r="O228" s="3"/>
      <c r="P228" s="3"/>
      <c r="Q228" s="3"/>
      <c r="R228" s="651"/>
      <c r="S228" s="83" t="str">
        <f>IF(CareerType=Y228,"Maresquier",IF(AllCareers="X","Maresquier",IF(OR(SelectRace="homme-bête",SelectRace="peau-verte",SelectRace="créature du chaos",SelectRace="Homme-lézard"),"",IF(Pays="Bretonnie","Maresquier",""))))</f>
        <v/>
      </c>
      <c r="T228" s="106">
        <f>IF(X228="oui",0,1)</f>
        <v>0</v>
      </c>
      <c r="U228" s="693" t="str">
        <f t="shared" si="127"/>
        <v/>
      </c>
      <c r="V228" s="693" t="str">
        <f t="shared" si="128"/>
        <v/>
      </c>
      <c r="W228" s="693" t="str">
        <f t="shared" si="129"/>
        <v/>
      </c>
      <c r="X228" s="47" t="s">
        <v>2160</v>
      </c>
      <c r="Y228" s="743" t="s">
        <v>7134</v>
      </c>
      <c r="Z228" s="55" t="s">
        <v>2322</v>
      </c>
      <c r="AA228" s="47">
        <v>28</v>
      </c>
      <c r="AB228" s="47" t="s">
        <v>2353</v>
      </c>
      <c r="AC228" s="47">
        <v>206</v>
      </c>
      <c r="AD228" s="15" t="s">
        <v>114</v>
      </c>
      <c r="AE228" s="15" t="s">
        <v>98</v>
      </c>
      <c r="AF228" s="15" t="s">
        <v>149</v>
      </c>
      <c r="AG228" s="15" t="s">
        <v>114</v>
      </c>
      <c r="AH228" s="15" t="s">
        <v>98</v>
      </c>
      <c r="AI228" s="15" t="s">
        <v>114</v>
      </c>
      <c r="AJ228" s="15" t="s">
        <v>149</v>
      </c>
      <c r="AK228" s="18" t="s">
        <v>149</v>
      </c>
      <c r="AL228" s="15" t="s">
        <v>149</v>
      </c>
      <c r="AM228" s="15" t="s">
        <v>115</v>
      </c>
      <c r="AN228" s="15" t="s">
        <v>149</v>
      </c>
      <c r="AO228" s="15" t="s">
        <v>149</v>
      </c>
      <c r="AP228" s="22" t="s">
        <v>1243</v>
      </c>
      <c r="AQ228" s="87" t="s">
        <v>15896</v>
      </c>
      <c r="AR228" s="22" t="s">
        <v>1244</v>
      </c>
      <c r="AS228" s="87" t="s">
        <v>5629</v>
      </c>
      <c r="AT228" s="87" t="s">
        <v>17122</v>
      </c>
      <c r="AU228" s="87" t="s">
        <v>5493</v>
      </c>
      <c r="AV228" s="87" t="s">
        <v>4769</v>
      </c>
      <c r="AW228" s="457">
        <v>0</v>
      </c>
      <c r="AX228" s="630" t="str">
        <f t="shared" si="138"/>
        <v/>
      </c>
      <c r="AY228" s="630" t="str">
        <f t="shared" si="139"/>
        <v/>
      </c>
      <c r="AZ228" s="630" t="str">
        <f t="shared" si="140"/>
        <v/>
      </c>
      <c r="BA228" s="3"/>
      <c r="BB228" s="3"/>
      <c r="BC228" s="3"/>
      <c r="BD228" s="3"/>
      <c r="BE228" s="3"/>
      <c r="BF228" s="3"/>
      <c r="BG228" s="3"/>
      <c r="BH228" s="3"/>
      <c r="BI228" s="3"/>
      <c r="BJ228" s="3"/>
      <c r="BK228" s="3"/>
      <c r="BL228" s="3"/>
      <c r="BM228" s="3"/>
      <c r="BN228" s="3"/>
      <c r="BP228" s="3"/>
      <c r="BQ228" s="3"/>
      <c r="BR228" s="3"/>
      <c r="BS228" s="3"/>
      <c r="BT228" s="3"/>
      <c r="BU228" s="3"/>
      <c r="BV228" s="3"/>
      <c r="BW228" s="3"/>
      <c r="BX228" s="83" t="str">
        <f>IF(OR(Province="Kislev occdiental (Gospodar)",Province="Kislev occdiental (Ungol)"),"Petite stanista de l'Ouest","")</f>
        <v/>
      </c>
      <c r="BY228" t="str">
        <f t="shared" si="130"/>
        <v/>
      </c>
      <c r="BZ228" s="83" t="str">
        <f t="shared" si="122"/>
        <v/>
      </c>
      <c r="CA228" s="83" t="str">
        <f t="shared" si="123"/>
        <v/>
      </c>
      <c r="CB228" s="530" t="str">
        <f t="shared" si="124"/>
        <v/>
      </c>
      <c r="CC228" s="3" t="s">
        <v>1054</v>
      </c>
      <c r="CG228" s="3" t="s">
        <v>6295</v>
      </c>
      <c r="CH228" s="3" t="s">
        <v>6084</v>
      </c>
      <c r="CI228" s="3"/>
      <c r="CJ228" s="3"/>
      <c r="CK228" s="3" t="s">
        <v>6986</v>
      </c>
      <c r="CM228" s="83" t="s">
        <v>12408</v>
      </c>
      <c r="CN228" s="3"/>
      <c r="CO228" s="3" t="s">
        <v>11017</v>
      </c>
      <c r="CP228" s="3"/>
      <c r="CQ228" s="3"/>
      <c r="CR228" s="3" t="s">
        <v>13597</v>
      </c>
      <c r="CS228" s="3"/>
      <c r="CT228" s="3"/>
      <c r="CU228" s="3"/>
      <c r="CV228" s="3"/>
      <c r="CW228" s="3"/>
      <c r="CX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U228" s="177" t="str">
        <f>IF(Dieu="Ringil","Prêtre","")</f>
        <v/>
      </c>
      <c r="EV228" s="83" t="str">
        <f t="shared" si="121"/>
        <v/>
      </c>
      <c r="EW228" s="83" t="str">
        <f t="shared" si="125"/>
        <v/>
      </c>
      <c r="EX228" s="530" t="str">
        <f t="shared" si="126"/>
        <v/>
      </c>
      <c r="EY228" s="177" t="s">
        <v>11316</v>
      </c>
      <c r="EZ228" s="532"/>
      <c r="FB228" s="83" t="str">
        <f>IF('page 5'!C7="Humain","Initié de Shallya","")</f>
        <v/>
      </c>
      <c r="FC228" s="133" t="s">
        <v>5751</v>
      </c>
      <c r="FD228" s="83" t="s">
        <v>538</v>
      </c>
      <c r="FE228" s="849">
        <v>197</v>
      </c>
      <c r="FF228">
        <v>39</v>
      </c>
      <c r="FG228">
        <v>31</v>
      </c>
      <c r="FH228">
        <v>33</v>
      </c>
      <c r="FI228">
        <v>36</v>
      </c>
      <c r="FJ228" s="10">
        <v>28</v>
      </c>
      <c r="FK228">
        <v>37</v>
      </c>
      <c r="FL228">
        <v>38</v>
      </c>
      <c r="FM228" s="165">
        <v>39</v>
      </c>
      <c r="FN228" s="88">
        <v>1</v>
      </c>
      <c r="FO228" s="88">
        <v>13</v>
      </c>
      <c r="FP228" s="164">
        <f>ROUNDDOWN(FH228/10,0)</f>
        <v>3</v>
      </c>
      <c r="FQ228" s="164">
        <f>ROUNDDOWN(FI228/10,0)</f>
        <v>3</v>
      </c>
      <c r="FR228" s="682">
        <v>4</v>
      </c>
      <c r="FS228" s="88">
        <v>0</v>
      </c>
      <c r="FT228" s="88">
        <v>0</v>
      </c>
      <c r="FU228" s="165">
        <v>0</v>
      </c>
      <c r="FV228" s="83" t="s">
        <v>17088</v>
      </c>
      <c r="FW228" s="83" t="s">
        <v>17085</v>
      </c>
      <c r="FX228" s="530" t="s">
        <v>7667</v>
      </c>
      <c r="GA228" s="83" t="s">
        <v>7634</v>
      </c>
      <c r="GF228" t="s">
        <v>7780</v>
      </c>
      <c r="GG228" s="341" t="s">
        <v>9668</v>
      </c>
      <c r="GH228" s="83" t="s">
        <v>9667</v>
      </c>
      <c r="GI228" s="83" t="s">
        <v>9666</v>
      </c>
    </row>
    <row r="229" spans="8:191" ht="13.2" customHeight="1">
      <c r="H229" s="3"/>
      <c r="I229" s="3"/>
      <c r="J229" s="3"/>
      <c r="K229" s="3"/>
      <c r="L229" s="3"/>
      <c r="M229" s="651"/>
      <c r="N229" s="3"/>
      <c r="O229" s="3"/>
      <c r="P229" s="3"/>
      <c r="Q229" s="3"/>
      <c r="R229" s="651"/>
      <c r="S229" s="83" t="str">
        <f>IF(CareerType=Y229,"Marin",IF(AllCareers="X","Marin",IF(Pays="Désolations du Chaos","",IF(OR(SelectRace="homme-bête",SelectRace="peau-verte",SelectRace="créature du chaos",SelectRace="Homme-lézard",SelectRace=""),"","Marin"))))</f>
        <v/>
      </c>
      <c r="T229" s="106">
        <f>IF(X229="oui",0,1)</f>
        <v>0</v>
      </c>
      <c r="U229" s="693" t="str">
        <f t="shared" si="127"/>
        <v/>
      </c>
      <c r="V229" s="693" t="str">
        <f t="shared" si="128"/>
        <v/>
      </c>
      <c r="W229" s="693" t="str">
        <f t="shared" si="129"/>
        <v/>
      </c>
      <c r="X229" s="47" t="s">
        <v>2160</v>
      </c>
      <c r="Y229" s="743" t="s">
        <v>7130</v>
      </c>
      <c r="Z229" s="55" t="s">
        <v>2200</v>
      </c>
      <c r="AA229" s="47">
        <v>47</v>
      </c>
      <c r="AB229" s="47" t="s">
        <v>2354</v>
      </c>
      <c r="AC229" s="47">
        <v>186</v>
      </c>
      <c r="AD229" s="15" t="s">
        <v>98</v>
      </c>
      <c r="AE229" s="15" t="s">
        <v>114</v>
      </c>
      <c r="AF229" s="15" t="s">
        <v>98</v>
      </c>
      <c r="AG229" s="15" t="s">
        <v>149</v>
      </c>
      <c r="AH229" s="15" t="s">
        <v>98</v>
      </c>
      <c r="AI229" s="15" t="s">
        <v>149</v>
      </c>
      <c r="AJ229" s="15" t="s">
        <v>149</v>
      </c>
      <c r="AK229" s="18" t="s">
        <v>149</v>
      </c>
      <c r="AL229" s="15" t="s">
        <v>102</v>
      </c>
      <c r="AM229" s="15" t="s">
        <v>113</v>
      </c>
      <c r="AN229" s="15" t="s">
        <v>149</v>
      </c>
      <c r="AO229" s="15" t="s">
        <v>149</v>
      </c>
      <c r="AP229" s="87" t="s">
        <v>17125</v>
      </c>
      <c r="AQ229" s="87" t="s">
        <v>15897</v>
      </c>
      <c r="AR229" s="87" t="s">
        <v>15766</v>
      </c>
      <c r="AS229" s="87" t="s">
        <v>15898</v>
      </c>
      <c r="AT229" s="87" t="s">
        <v>17126</v>
      </c>
      <c r="AU229" s="87" t="s">
        <v>5337</v>
      </c>
      <c r="AV229" s="87" t="s">
        <v>4659</v>
      </c>
      <c r="AW229" s="457">
        <v>0</v>
      </c>
      <c r="AX229" s="630" t="str">
        <f t="shared" si="138"/>
        <v/>
      </c>
      <c r="AY229" s="630" t="str">
        <f t="shared" si="139"/>
        <v/>
      </c>
      <c r="AZ229" s="630" t="str">
        <f t="shared" si="140"/>
        <v/>
      </c>
      <c r="BA229" s="3"/>
      <c r="BB229" s="3"/>
      <c r="BC229" s="3"/>
      <c r="BD229" s="3"/>
      <c r="BE229" s="3"/>
      <c r="BF229" s="3"/>
      <c r="BG229" s="3"/>
      <c r="BH229" s="3"/>
      <c r="BI229" s="3"/>
      <c r="BJ229" s="3"/>
      <c r="BK229" s="3"/>
      <c r="BL229" s="3"/>
      <c r="BM229" s="3"/>
      <c r="BN229" s="3"/>
      <c r="BP229" s="3"/>
      <c r="BQ229" s="3"/>
      <c r="BR229" s="3"/>
      <c r="BS229" s="3"/>
      <c r="BT229" s="3"/>
      <c r="BU229" s="3"/>
      <c r="BV229" s="3"/>
      <c r="BW229" s="3"/>
      <c r="BX229" s="3" t="str">
        <f>IF(OR(Province="Kislev occdiental (Gospodar)",Province="Kislev occdiental (Ungol)"),"Grande stanista de l'Ouest","")</f>
        <v/>
      </c>
      <c r="BY229" t="str">
        <f t="shared" si="130"/>
        <v/>
      </c>
      <c r="BZ229" s="83" t="str">
        <f t="shared" si="122"/>
        <v/>
      </c>
      <c r="CA229" s="83" t="str">
        <f t="shared" si="123"/>
        <v/>
      </c>
      <c r="CB229" s="530" t="str">
        <f t="shared" si="124"/>
        <v/>
      </c>
      <c r="CG229" s="3" t="s">
        <v>6296</v>
      </c>
      <c r="CH229" s="3" t="s">
        <v>6085</v>
      </c>
      <c r="CI229" s="3"/>
      <c r="CJ229" s="3"/>
      <c r="CK229" s="3" t="s">
        <v>6953</v>
      </c>
      <c r="CM229" t="s">
        <v>10380</v>
      </c>
      <c r="CN229" s="3"/>
      <c r="CO229" s="3" t="s">
        <v>11010</v>
      </c>
      <c r="CP229" s="83"/>
      <c r="CQ229" s="83"/>
      <c r="CR229" s="3" t="s">
        <v>13598</v>
      </c>
      <c r="CS229" s="3"/>
      <c r="CT229" s="3"/>
      <c r="CU229" s="3"/>
      <c r="CV229" s="3"/>
      <c r="CW229" s="3"/>
      <c r="CX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U229" s="177" t="str">
        <f>IF(Dieu="Morai-Heg","Initié","")</f>
        <v/>
      </c>
      <c r="EV229" s="83" t="str">
        <f t="shared" si="121"/>
        <v/>
      </c>
      <c r="EW229" s="83" t="str">
        <f t="shared" si="125"/>
        <v/>
      </c>
      <c r="EX229" s="530" t="str">
        <f t="shared" si="126"/>
        <v/>
      </c>
      <c r="EY229" s="85" t="s">
        <v>11648</v>
      </c>
      <c r="EZ229" s="567" t="s">
        <v>16042</v>
      </c>
      <c r="FB229" s="83" t="str">
        <f>IF('page 5'!C7="Humain","Initié de Sigmar","")</f>
        <v/>
      </c>
      <c r="FC229" s="133" t="s">
        <v>5751</v>
      </c>
      <c r="FD229" s="83" t="s">
        <v>538</v>
      </c>
      <c r="FE229" s="849">
        <v>197</v>
      </c>
      <c r="FF229">
        <v>39</v>
      </c>
      <c r="FG229">
        <v>31</v>
      </c>
      <c r="FH229">
        <v>38</v>
      </c>
      <c r="FI229">
        <v>36</v>
      </c>
      <c r="FJ229" s="10">
        <v>28</v>
      </c>
      <c r="FK229">
        <v>37</v>
      </c>
      <c r="FL229">
        <v>38</v>
      </c>
      <c r="FM229" s="165">
        <v>34</v>
      </c>
      <c r="FN229" s="88">
        <v>1</v>
      </c>
      <c r="FO229" s="88">
        <v>13</v>
      </c>
      <c r="FP229" s="164">
        <f>ROUNDDOWN(FH229/10,0)</f>
        <v>3</v>
      </c>
      <c r="FQ229" s="164">
        <f>ROUNDDOWN(FI229/10,0)</f>
        <v>3</v>
      </c>
      <c r="FR229" s="682">
        <v>4</v>
      </c>
      <c r="FS229" s="88">
        <v>0</v>
      </c>
      <c r="FT229" s="88">
        <v>0</v>
      </c>
      <c r="FU229" s="165">
        <v>0</v>
      </c>
      <c r="FV229" s="83" t="s">
        <v>17092</v>
      </c>
      <c r="FW229" s="83" t="s">
        <v>17093</v>
      </c>
      <c r="FX229" s="530" t="s">
        <v>7667</v>
      </c>
      <c r="GA229" t="s">
        <v>7543</v>
      </c>
      <c r="GF229" t="s">
        <v>7779</v>
      </c>
      <c r="GG229" s="341" t="s">
        <v>9672</v>
      </c>
      <c r="GH229" s="83" t="s">
        <v>9667</v>
      </c>
      <c r="GI229" s="83" t="s">
        <v>9666</v>
      </c>
    </row>
    <row r="230" spans="8:191" ht="13.2" customHeight="1">
      <c r="H230" s="3"/>
      <c r="I230" s="3"/>
      <c r="J230" s="3"/>
      <c r="K230" s="3"/>
      <c r="L230" s="3"/>
      <c r="M230" s="651"/>
      <c r="N230" s="3"/>
      <c r="O230" s="3"/>
      <c r="P230" s="3"/>
      <c r="Q230" s="3"/>
      <c r="R230" s="651"/>
      <c r="S230" s="83" t="str">
        <f>IF(CareerType=Y230,"Matelot",IF(AllCareers="X","Matelot",IF(SelectRace="homme-bête","",IF(OR(SelectRace="homme-bête",SelectRace="peau-verte",SelectRace="créature du chaos",SelectRace="Homme-lézard",SelectRace="skaven"),"",IF(OR(Pays="Désolations du Chaos",Pays="Norsca"),"",IF(SelectRace="Nain","Matelot",IF(SelectRace="Humain","Matelot","")))))))</f>
        <v/>
      </c>
      <c r="T230" s="106">
        <f>IF(X230="oui",0,1)</f>
        <v>0</v>
      </c>
      <c r="U230" s="693" t="str">
        <f t="shared" si="127"/>
        <v/>
      </c>
      <c r="V230" s="693" t="str">
        <f t="shared" si="128"/>
        <v/>
      </c>
      <c r="W230" s="693" t="str">
        <f t="shared" si="129"/>
        <v/>
      </c>
      <c r="X230" s="47" t="s">
        <v>2160</v>
      </c>
      <c r="Y230" s="743" t="s">
        <v>7130</v>
      </c>
      <c r="Z230" s="55" t="s">
        <v>2200</v>
      </c>
      <c r="AA230" s="47">
        <v>48</v>
      </c>
      <c r="AB230" s="47" t="s">
        <v>2355</v>
      </c>
      <c r="AC230" s="47">
        <v>135</v>
      </c>
      <c r="AD230" s="15" t="s">
        <v>98</v>
      </c>
      <c r="AE230" s="15" t="s">
        <v>98</v>
      </c>
      <c r="AF230" s="15" t="s">
        <v>98</v>
      </c>
      <c r="AG230" s="15" t="s">
        <v>149</v>
      </c>
      <c r="AH230" s="20" t="s">
        <v>114</v>
      </c>
      <c r="AI230" s="15" t="s">
        <v>149</v>
      </c>
      <c r="AJ230" s="20" t="s">
        <v>114</v>
      </c>
      <c r="AK230" s="18" t="s">
        <v>149</v>
      </c>
      <c r="AL230" s="15" t="s">
        <v>102</v>
      </c>
      <c r="AM230" s="15" t="s">
        <v>115</v>
      </c>
      <c r="AN230" s="15" t="s">
        <v>149</v>
      </c>
      <c r="AO230" s="15" t="s">
        <v>149</v>
      </c>
      <c r="AP230" s="87" t="s">
        <v>15767</v>
      </c>
      <c r="AQ230" s="87" t="s">
        <v>15899</v>
      </c>
      <c r="AR230" s="87" t="s">
        <v>15768</v>
      </c>
      <c r="AS230" s="22" t="s">
        <v>978</v>
      </c>
      <c r="AT230" s="22" t="s">
        <v>3486</v>
      </c>
      <c r="AU230" s="87" t="s">
        <v>17129</v>
      </c>
      <c r="AV230" s="87" t="s">
        <v>4575</v>
      </c>
      <c r="AW230" s="457">
        <v>0</v>
      </c>
      <c r="AX230" s="630" t="str">
        <f t="shared" si="138"/>
        <v/>
      </c>
      <c r="AY230" s="630" t="str">
        <f t="shared" si="139"/>
        <v/>
      </c>
      <c r="AZ230" s="630" t="str">
        <f t="shared" si="140"/>
        <v/>
      </c>
      <c r="BA230" s="3"/>
      <c r="BB230" s="3"/>
      <c r="BC230" s="3"/>
      <c r="BD230" s="3"/>
      <c r="BE230" s="3"/>
      <c r="BF230" s="3"/>
      <c r="BG230" s="3"/>
      <c r="BH230" s="3"/>
      <c r="BI230" s="3"/>
      <c r="BJ230" s="3"/>
      <c r="BK230" s="3"/>
      <c r="BL230" s="3"/>
      <c r="BM230" s="3"/>
      <c r="BN230" s="3"/>
      <c r="BP230" s="3"/>
      <c r="BQ230" s="3"/>
      <c r="BR230" s="3"/>
      <c r="BS230" s="3"/>
      <c r="BT230" s="3"/>
      <c r="BU230" s="3"/>
      <c r="BV230" s="3"/>
      <c r="BW230" s="3"/>
      <c r="BX230" s="3" t="str">
        <f>IF(OR(Province="Kislev septentrional (Gospodar)",Province="Kislev septentrional (Ungol)"),"Grande tirsa du Nord","")</f>
        <v/>
      </c>
      <c r="BY230" t="str">
        <f t="shared" si="130"/>
        <v/>
      </c>
      <c r="BZ230" s="83" t="str">
        <f t="shared" si="122"/>
        <v/>
      </c>
      <c r="CA230" s="83" t="str">
        <f t="shared" si="123"/>
        <v/>
      </c>
      <c r="CB230" s="530" t="str">
        <f t="shared" si="124"/>
        <v/>
      </c>
      <c r="CG230" s="3" t="s">
        <v>6297</v>
      </c>
      <c r="CH230" s="3" t="s">
        <v>6087</v>
      </c>
      <c r="CI230" s="3"/>
      <c r="CJ230" s="3"/>
      <c r="CK230" s="3" t="s">
        <v>6842</v>
      </c>
      <c r="CM230" t="s">
        <v>10381</v>
      </c>
      <c r="CN230" s="3"/>
      <c r="CO230" s="3" t="s">
        <v>11018</v>
      </c>
      <c r="CP230" s="83"/>
      <c r="CQ230" s="83"/>
      <c r="CR230" s="3" t="s">
        <v>13599</v>
      </c>
      <c r="CS230" s="3"/>
      <c r="CT230" s="3"/>
      <c r="CU230" s="3"/>
      <c r="CV230" s="3"/>
      <c r="CW230" s="3"/>
      <c r="CX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U230" s="177" t="str">
        <f>IF(Dieu="Morai-Heg","Prêtre","")</f>
        <v/>
      </c>
      <c r="EV230" s="83" t="str">
        <f t="shared" si="121"/>
        <v/>
      </c>
      <c r="EW230" s="83" t="str">
        <f t="shared" si="125"/>
        <v/>
      </c>
      <c r="EX230" s="530" t="str">
        <f t="shared" si="126"/>
        <v/>
      </c>
      <c r="EY230" s="85" t="s">
        <v>11649</v>
      </c>
      <c r="EZ230" s="532"/>
      <c r="FB230" s="83" t="str">
        <f>IF('page 5'!C7="Humain","Initié de Véréna","")</f>
        <v/>
      </c>
      <c r="FC230" s="133" t="s">
        <v>5751</v>
      </c>
      <c r="FD230" s="83" t="s">
        <v>538</v>
      </c>
      <c r="FE230" s="849">
        <v>197</v>
      </c>
      <c r="FF230">
        <v>39</v>
      </c>
      <c r="FG230">
        <v>31</v>
      </c>
      <c r="FH230">
        <v>38</v>
      </c>
      <c r="FI230">
        <v>36</v>
      </c>
      <c r="FJ230" s="10">
        <v>28</v>
      </c>
      <c r="FK230">
        <v>37</v>
      </c>
      <c r="FL230">
        <v>38</v>
      </c>
      <c r="FM230" s="165">
        <v>34</v>
      </c>
      <c r="FN230" s="88">
        <v>1</v>
      </c>
      <c r="FO230" s="88">
        <v>13</v>
      </c>
      <c r="FP230" s="164">
        <f>ROUNDDOWN(FH230/10,0)</f>
        <v>3</v>
      </c>
      <c r="FQ230" s="164">
        <f>ROUNDDOWN(FI230/10,0)</f>
        <v>3</v>
      </c>
      <c r="FR230" s="682">
        <v>4</v>
      </c>
      <c r="FS230" s="88">
        <v>0</v>
      </c>
      <c r="FT230" s="88">
        <v>0</v>
      </c>
      <c r="FU230" s="165">
        <v>0</v>
      </c>
      <c r="FV230" s="83" t="s">
        <v>17096</v>
      </c>
      <c r="FW230" s="83" t="s">
        <v>17079</v>
      </c>
      <c r="FX230" s="530" t="s">
        <v>7667</v>
      </c>
      <c r="GA230" s="83" t="s">
        <v>7630</v>
      </c>
      <c r="GF230" t="s">
        <v>7781</v>
      </c>
      <c r="GG230" s="341" t="s">
        <v>9673</v>
      </c>
      <c r="GH230" s="83" t="s">
        <v>9667</v>
      </c>
      <c r="GI230" s="83" t="s">
        <v>9666</v>
      </c>
    </row>
    <row r="231" spans="8:191" ht="13.2" customHeight="1">
      <c r="H231" s="3"/>
      <c r="I231" s="3"/>
      <c r="J231" s="3"/>
      <c r="K231" s="3"/>
      <c r="L231" s="3"/>
      <c r="M231" s="651"/>
      <c r="N231" s="3"/>
      <c r="O231" s="3"/>
      <c r="P231" s="3"/>
      <c r="Q231" s="3"/>
      <c r="R231" s="651"/>
      <c r="S231" s="83" t="str">
        <f>IF(CareerType=Y231,"Matriarche vedma",IF(AllCareers="X","Matriarche vedma",IF(OR(SelectRace="homme-bête",SelectRace="peau-verte",SelectRace="créature du chaos",SelectRace="Homme-lézard",SelectRace="skaven"),"",IF(FirstCareer="1ère carrière","",IF('page 1'!M11="féminin","Matriarche vedma","")))))</f>
        <v/>
      </c>
      <c r="T231" s="106">
        <v>2</v>
      </c>
      <c r="U231" s="693" t="str">
        <f t="shared" si="127"/>
        <v/>
      </c>
      <c r="V231" s="693" t="str">
        <f t="shared" si="128"/>
        <v/>
      </c>
      <c r="W231" s="693" t="str">
        <f t="shared" si="129"/>
        <v/>
      </c>
      <c r="X231" s="47" t="s">
        <v>2153</v>
      </c>
      <c r="Y231" s="743" t="s">
        <v>15709</v>
      </c>
      <c r="Z231" s="55" t="s">
        <v>1319</v>
      </c>
      <c r="AA231" s="47">
        <v>102</v>
      </c>
      <c r="AB231" s="47" t="s">
        <v>2356</v>
      </c>
      <c r="AC231" s="47">
        <v>95</v>
      </c>
      <c r="AD231" s="15" t="s">
        <v>149</v>
      </c>
      <c r="AE231" s="15" t="s">
        <v>149</v>
      </c>
      <c r="AF231" s="15" t="s">
        <v>114</v>
      </c>
      <c r="AG231" s="15" t="s">
        <v>100</v>
      </c>
      <c r="AH231" s="15" t="s">
        <v>98</v>
      </c>
      <c r="AI231" s="15" t="s">
        <v>97</v>
      </c>
      <c r="AJ231" s="15" t="s">
        <v>116</v>
      </c>
      <c r="AK231" s="18" t="s">
        <v>101</v>
      </c>
      <c r="AL231" s="15" t="s">
        <v>149</v>
      </c>
      <c r="AM231" s="15" t="s">
        <v>112</v>
      </c>
      <c r="AN231" s="15" t="s">
        <v>149</v>
      </c>
      <c r="AO231" s="15" t="s">
        <v>115</v>
      </c>
      <c r="AP231" s="22" t="s">
        <v>1029</v>
      </c>
      <c r="AQ231" s="87" t="s">
        <v>734</v>
      </c>
      <c r="AR231" s="22" t="s">
        <v>734</v>
      </c>
      <c r="AS231" s="22" t="s">
        <v>734</v>
      </c>
      <c r="AT231" s="87" t="s">
        <v>11495</v>
      </c>
      <c r="AU231" s="87" t="s">
        <v>16432</v>
      </c>
      <c r="AV231" s="87" t="s">
        <v>17132</v>
      </c>
      <c r="AW231" s="457">
        <v>0</v>
      </c>
      <c r="AX231" s="630" t="str">
        <f t="shared" si="138"/>
        <v/>
      </c>
      <c r="AY231" s="630" t="str">
        <f t="shared" si="139"/>
        <v/>
      </c>
      <c r="AZ231" s="630" t="str">
        <f t="shared" si="140"/>
        <v/>
      </c>
      <c r="BA231" s="3"/>
      <c r="BB231" s="3"/>
      <c r="BC231" s="3"/>
      <c r="BD231" s="3"/>
      <c r="BE231" s="3"/>
      <c r="BF231" s="3"/>
      <c r="BG231" s="3"/>
      <c r="BH231" s="3"/>
      <c r="BI231" s="3"/>
      <c r="BJ231" s="3"/>
      <c r="BK231" s="3"/>
      <c r="BL231" s="3"/>
      <c r="BM231" s="3"/>
      <c r="BN231" s="3"/>
      <c r="BP231" s="3"/>
      <c r="BQ231" s="3"/>
      <c r="BR231" s="3"/>
      <c r="BS231" s="3"/>
      <c r="BT231" s="3"/>
      <c r="BU231" s="3"/>
      <c r="BV231" s="3"/>
      <c r="BW231" s="3"/>
      <c r="BX231" s="3" t="str">
        <f>IF(OR(Province="Kislev méridional (Gospodar)",Province="kislev méridional (Ungol)"),"Grande tirsa du Sud","")</f>
        <v/>
      </c>
      <c r="BY231" t="str">
        <f t="shared" si="130"/>
        <v/>
      </c>
      <c r="BZ231" s="83" t="str">
        <f t="shared" si="122"/>
        <v/>
      </c>
      <c r="CA231" s="83" t="str">
        <f t="shared" si="123"/>
        <v/>
      </c>
      <c r="CB231" s="530" t="str">
        <f t="shared" si="124"/>
        <v/>
      </c>
      <c r="CG231" s="3" t="s">
        <v>6298</v>
      </c>
      <c r="CH231" s="136" t="s">
        <v>6086</v>
      </c>
      <c r="CI231" s="3"/>
      <c r="CJ231" s="3"/>
      <c r="CK231" s="3" t="s">
        <v>6919</v>
      </c>
      <c r="CM231" t="s">
        <v>10382</v>
      </c>
      <c r="CN231" s="3"/>
      <c r="CO231" s="3" t="s">
        <v>11016</v>
      </c>
      <c r="CP231" s="3"/>
      <c r="CQ231" s="3"/>
      <c r="CR231" s="3" t="s">
        <v>13600</v>
      </c>
      <c r="CS231" s="3"/>
      <c r="CT231" s="3"/>
      <c r="CU231" s="3"/>
      <c r="CV231" s="3"/>
      <c r="CW231" s="3"/>
      <c r="CX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U231" s="177" t="str">
        <f>IF(OR(Pays="Norsca",Pays="Désolations du Chaos",Pays="",Pays="Steppes orientales"),"",IF(Pays="Empire","Ordre de la Lance de Cristal",""))</f>
        <v/>
      </c>
      <c r="EV231" s="83" t="str">
        <f t="shared" si="121"/>
        <v/>
      </c>
      <c r="EW231" s="83" t="str">
        <f t="shared" si="125"/>
        <v/>
      </c>
      <c r="EX231" s="530" t="str">
        <f t="shared" si="126"/>
        <v/>
      </c>
      <c r="EY231" s="85" t="s">
        <v>9625</v>
      </c>
      <c r="EZ231" s="532" t="s">
        <v>9623</v>
      </c>
      <c r="FB231" s="83" t="str">
        <f>IF('page 5'!C7="Humain","Initié d'Ulric","")</f>
        <v/>
      </c>
      <c r="FC231" s="133" t="s">
        <v>5751</v>
      </c>
      <c r="FD231" s="83" t="s">
        <v>538</v>
      </c>
      <c r="FE231" s="849">
        <v>198</v>
      </c>
      <c r="FF231">
        <v>34</v>
      </c>
      <c r="FG231">
        <v>31</v>
      </c>
      <c r="FH231">
        <v>33</v>
      </c>
      <c r="FI231">
        <v>36</v>
      </c>
      <c r="FJ231" s="10">
        <v>33</v>
      </c>
      <c r="FK231">
        <v>37</v>
      </c>
      <c r="FL231">
        <v>38</v>
      </c>
      <c r="FM231" s="165">
        <v>39</v>
      </c>
      <c r="FN231" s="88">
        <v>1</v>
      </c>
      <c r="FO231" s="88">
        <v>13</v>
      </c>
      <c r="FP231" s="164">
        <f>ROUNDDOWN(FH231/10,0)</f>
        <v>3</v>
      </c>
      <c r="FQ231" s="164">
        <f>ROUNDDOWN(FI231/10,0)</f>
        <v>3</v>
      </c>
      <c r="FR231" s="682">
        <v>4</v>
      </c>
      <c r="FS231" s="88">
        <v>0</v>
      </c>
      <c r="FT231" s="88">
        <v>0</v>
      </c>
      <c r="FU231" s="165">
        <v>0</v>
      </c>
      <c r="FV231" s="83" t="s">
        <v>17097</v>
      </c>
      <c r="FW231" s="83" t="s">
        <v>17085</v>
      </c>
      <c r="FX231" s="530" t="s">
        <v>7667</v>
      </c>
      <c r="GA231" t="s">
        <v>816</v>
      </c>
      <c r="GF231" t="s">
        <v>8247</v>
      </c>
    </row>
    <row r="232" spans="8:191" ht="13.2" customHeight="1">
      <c r="H232" s="3"/>
      <c r="I232" s="3"/>
      <c r="J232" s="3"/>
      <c r="K232" s="3"/>
      <c r="L232" s="3"/>
      <c r="M232" s="651"/>
      <c r="N232" s="3"/>
      <c r="O232" s="3"/>
      <c r="P232" s="3"/>
      <c r="Q232" s="3"/>
      <c r="R232" s="651"/>
      <c r="S232" s="83" t="str">
        <f>IF(CareerType=Y232,"Médecin",IF(AllCareers="X","Médecin",IF(Selectsousrace="","",IF(FirstCareer="1ère carrière","",IF(OR(SelectRace="skaven",SelectRace="homme-bête",SelectRace="peau-verte",SelectRace="créature du chaos",SelectRace="Homme-lézard"),"","Médecin")))))</f>
        <v/>
      </c>
      <c r="T232" s="106">
        <f>IF(X232="oui",0,1)</f>
        <v>1</v>
      </c>
      <c r="U232" s="693" t="str">
        <f t="shared" si="127"/>
        <v/>
      </c>
      <c r="V232" s="693" t="str">
        <f t="shared" si="128"/>
        <v/>
      </c>
      <c r="W232" s="693" t="str">
        <f t="shared" si="129"/>
        <v/>
      </c>
      <c r="X232" s="47" t="s">
        <v>2153</v>
      </c>
      <c r="Y232" s="743" t="s">
        <v>7131</v>
      </c>
      <c r="Z232" s="55" t="s">
        <v>2200</v>
      </c>
      <c r="AA232" s="47">
        <v>77</v>
      </c>
      <c r="AB232" s="47" t="s">
        <v>2357</v>
      </c>
      <c r="AC232" s="47">
        <v>162</v>
      </c>
      <c r="AD232" s="15" t="s">
        <v>149</v>
      </c>
      <c r="AE232" s="15" t="s">
        <v>149</v>
      </c>
      <c r="AF232" s="15" t="s">
        <v>98</v>
      </c>
      <c r="AG232" s="15" t="s">
        <v>98</v>
      </c>
      <c r="AH232" s="15" t="s">
        <v>101</v>
      </c>
      <c r="AI232" s="15" t="s">
        <v>116</v>
      </c>
      <c r="AJ232" s="15" t="s">
        <v>100</v>
      </c>
      <c r="AK232" s="18" t="s">
        <v>101</v>
      </c>
      <c r="AL232" s="15" t="s">
        <v>149</v>
      </c>
      <c r="AM232" s="15" t="s">
        <v>103</v>
      </c>
      <c r="AN232" s="15" t="s">
        <v>149</v>
      </c>
      <c r="AO232" s="15" t="s">
        <v>149</v>
      </c>
      <c r="AP232" s="87" t="s">
        <v>15868</v>
      </c>
      <c r="AQ232" s="87" t="s">
        <v>8775</v>
      </c>
      <c r="AR232" s="22" t="s">
        <v>2358</v>
      </c>
      <c r="AS232" s="87" t="s">
        <v>734</v>
      </c>
      <c r="AT232" s="87" t="s">
        <v>16267</v>
      </c>
      <c r="AU232" s="87" t="s">
        <v>17134</v>
      </c>
      <c r="AV232" s="87" t="s">
        <v>4619</v>
      </c>
      <c r="AW232" s="457">
        <v>0</v>
      </c>
      <c r="AX232" s="630" t="str">
        <f t="shared" si="138"/>
        <v/>
      </c>
      <c r="AY232" s="630" t="str">
        <f t="shared" si="139"/>
        <v/>
      </c>
      <c r="AZ232" s="630" t="str">
        <f t="shared" si="140"/>
        <v/>
      </c>
      <c r="BA232" s="3"/>
      <c r="BB232" s="3"/>
      <c r="BC232" s="3"/>
      <c r="BD232" s="3"/>
      <c r="BE232" s="3"/>
      <c r="BF232" s="3"/>
      <c r="BG232" s="3"/>
      <c r="BH232" s="3"/>
      <c r="BI232" s="3"/>
      <c r="BJ232" s="3"/>
      <c r="BK232" s="3"/>
      <c r="BL232" s="3"/>
      <c r="BM232" s="3"/>
      <c r="BN232" s="3"/>
      <c r="BP232" s="3"/>
      <c r="BQ232" s="3"/>
      <c r="BR232" s="3"/>
      <c r="BS232" s="3"/>
      <c r="BT232" s="3"/>
      <c r="BU232" s="3"/>
      <c r="BV232" s="3"/>
      <c r="BW232" s="3"/>
      <c r="BX232" s="3" t="str">
        <f>IF(OR(Province="Kislev oriental (Gospodar)",Province="Kislev oriental (Ungol)"),"Grande tirsa de l'Est","")</f>
        <v/>
      </c>
      <c r="BY232" t="str">
        <f t="shared" si="130"/>
        <v/>
      </c>
      <c r="BZ232" s="83" t="str">
        <f t="shared" si="122"/>
        <v/>
      </c>
      <c r="CA232" s="83" t="str">
        <f t="shared" si="123"/>
        <v/>
      </c>
      <c r="CB232" s="530" t="str">
        <f t="shared" si="124"/>
        <v/>
      </c>
      <c r="CG232" s="3" t="s">
        <v>6299</v>
      </c>
      <c r="CH232" s="3" t="s">
        <v>6088</v>
      </c>
      <c r="CI232" s="3"/>
      <c r="CJ232" s="3"/>
      <c r="CK232" s="3" t="s">
        <v>6882</v>
      </c>
      <c r="CM232" t="s">
        <v>10383</v>
      </c>
      <c r="CN232" s="3"/>
      <c r="CO232" s="83" t="s">
        <v>13290</v>
      </c>
      <c r="CP232" s="3"/>
      <c r="CQ232" s="3"/>
      <c r="CR232" s="3" t="s">
        <v>13601</v>
      </c>
      <c r="CS232" s="3"/>
      <c r="CT232" s="3"/>
      <c r="CU232" s="3"/>
      <c r="CV232" s="3"/>
      <c r="CW232" s="3"/>
      <c r="CX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U232" s="177" t="str">
        <f>IF(OR(Pays="Norsca",Pays="Désolations du Chaos",Pays="",Pays="Steppes orientales"),"",IF(Pays="Empire","Ordre de l’Épée Dorée",""))</f>
        <v/>
      </c>
      <c r="EV232" s="83" t="str">
        <f t="shared" si="121"/>
        <v/>
      </c>
      <c r="EW232" s="83" t="str">
        <f t="shared" si="125"/>
        <v/>
      </c>
      <c r="EX232" s="530" t="str">
        <f t="shared" si="126"/>
        <v/>
      </c>
      <c r="EY232" s="85" t="s">
        <v>12149</v>
      </c>
      <c r="EZ232" s="532" t="s">
        <v>9623</v>
      </c>
      <c r="FB232" s="83" t="str">
        <f>IF('page 5'!C7="Humain","Prêtre consacré de Manann","")</f>
        <v/>
      </c>
      <c r="FC232" s="133" t="s">
        <v>5751</v>
      </c>
      <c r="FD232" s="83" t="s">
        <v>538</v>
      </c>
      <c r="FE232" s="849">
        <v>198</v>
      </c>
      <c r="FF232">
        <v>49</v>
      </c>
      <c r="FG232">
        <v>46</v>
      </c>
      <c r="FH232">
        <v>48</v>
      </c>
      <c r="FI232">
        <v>46</v>
      </c>
      <c r="FJ232" s="10">
        <v>43</v>
      </c>
      <c r="FK232">
        <v>52</v>
      </c>
      <c r="FL232">
        <v>63</v>
      </c>
      <c r="FM232" s="165">
        <v>54</v>
      </c>
      <c r="FN232" s="88">
        <v>2</v>
      </c>
      <c r="FO232" s="88">
        <v>18</v>
      </c>
      <c r="FP232" s="164">
        <f>ROUNDDOWN(FH232/10,0)</f>
        <v>4</v>
      </c>
      <c r="FQ232" s="164">
        <f>ROUNDDOWN(FI232/10,0)</f>
        <v>4</v>
      </c>
      <c r="FR232" s="682">
        <v>4</v>
      </c>
      <c r="FS232" s="88">
        <v>2</v>
      </c>
      <c r="FT232" s="88">
        <v>0</v>
      </c>
      <c r="FU232" s="165">
        <v>0</v>
      </c>
      <c r="FV232" s="83" t="s">
        <v>17101</v>
      </c>
      <c r="FW232" s="83" t="s">
        <v>17102</v>
      </c>
      <c r="FX232" s="530" t="s">
        <v>7666</v>
      </c>
      <c r="GA232" s="83" t="s">
        <v>7639</v>
      </c>
      <c r="GF232" t="s">
        <v>8258</v>
      </c>
    </row>
    <row r="233" spans="8:191" ht="13.2" customHeight="1">
      <c r="H233" s="3"/>
      <c r="I233" s="3"/>
      <c r="J233" s="3"/>
      <c r="K233" s="3"/>
      <c r="L233" s="3"/>
      <c r="M233" s="651"/>
      <c r="N233" s="3"/>
      <c r="O233" s="3"/>
      <c r="P233" s="3"/>
      <c r="Q233" s="3"/>
      <c r="R233" s="651"/>
      <c r="S233" s="83" t="str">
        <f>IF(CareerType=Y233,"Médiateur",IF(AllCareers="X","Médiateur",IF(OR(SelectRace="homme-bête",SelectRace="peau-verte",SelectRace="créature du chaos",SelectRace="Homme-lézard",SelectRace="skaven"),"",IF(Pays="Bretonnie","Médiateur",""))))</f>
        <v/>
      </c>
      <c r="T233" s="106">
        <f>IF(X233="oui",0,1)</f>
        <v>0</v>
      </c>
      <c r="U233" s="693" t="str">
        <f t="shared" si="127"/>
        <v/>
      </c>
      <c r="V233" s="693" t="str">
        <f t="shared" si="128"/>
        <v/>
      </c>
      <c r="W233" s="693" t="str">
        <f t="shared" si="129"/>
        <v/>
      </c>
      <c r="X233" s="47" t="s">
        <v>2160</v>
      </c>
      <c r="Y233" s="743" t="s">
        <v>7131</v>
      </c>
      <c r="Z233" s="55" t="s">
        <v>2206</v>
      </c>
      <c r="AA233" s="47">
        <v>99</v>
      </c>
      <c r="AB233" s="47" t="s">
        <v>2359</v>
      </c>
      <c r="AC233" s="47">
        <v>141</v>
      </c>
      <c r="AD233" s="15" t="s">
        <v>149</v>
      </c>
      <c r="AE233" s="15" t="s">
        <v>149</v>
      </c>
      <c r="AF233" s="15" t="s">
        <v>149</v>
      </c>
      <c r="AG233" s="15" t="s">
        <v>149</v>
      </c>
      <c r="AH233" s="15" t="s">
        <v>149</v>
      </c>
      <c r="AI233" s="15" t="s">
        <v>98</v>
      </c>
      <c r="AJ233" s="15" t="s">
        <v>98</v>
      </c>
      <c r="AK233" s="18" t="s">
        <v>98</v>
      </c>
      <c r="AL233" s="15" t="s">
        <v>149</v>
      </c>
      <c r="AM233" s="15" t="s">
        <v>113</v>
      </c>
      <c r="AN233" s="15" t="s">
        <v>149</v>
      </c>
      <c r="AO233" s="15" t="s">
        <v>149</v>
      </c>
      <c r="AP233" s="22" t="s">
        <v>1245</v>
      </c>
      <c r="AQ233" s="87" t="s">
        <v>2247</v>
      </c>
      <c r="AR233" s="87" t="s">
        <v>9995</v>
      </c>
      <c r="AS233" s="87" t="s">
        <v>734</v>
      </c>
      <c r="AT233" s="87" t="s">
        <v>17137</v>
      </c>
      <c r="AU233" s="87" t="s">
        <v>5464</v>
      </c>
      <c r="AV233" s="87" t="s">
        <v>4707</v>
      </c>
      <c r="AW233" s="457">
        <v>0</v>
      </c>
      <c r="AX233" s="630" t="str">
        <f t="shared" si="138"/>
        <v/>
      </c>
      <c r="AY233" s="630" t="str">
        <f t="shared" si="139"/>
        <v/>
      </c>
      <c r="AZ233" s="630" t="str">
        <f t="shared" si="140"/>
        <v/>
      </c>
      <c r="BA233" s="3"/>
      <c r="BB233" s="3"/>
      <c r="BC233" s="3"/>
      <c r="BD233" s="3"/>
      <c r="BE233" s="3"/>
      <c r="BF233" s="3"/>
      <c r="BG233" s="3"/>
      <c r="BH233" s="3"/>
      <c r="BI233" s="3"/>
      <c r="BJ233" s="3"/>
      <c r="BK233" s="3"/>
      <c r="BL233" s="3"/>
      <c r="BM233" s="3"/>
      <c r="BN233" s="3"/>
      <c r="BP233" s="3"/>
      <c r="BQ233" s="3"/>
      <c r="BR233" s="3"/>
      <c r="BS233" s="3"/>
      <c r="BT233" s="3"/>
      <c r="BU233" s="3"/>
      <c r="BV233" s="3"/>
      <c r="BW233" s="3"/>
      <c r="BX233" s="3" t="str">
        <f>IF(OR(Province="Kislev occdiental (Gospodar)",Province="Kislev occdiental (Ungol)"),"Grande tirsa de l'Ouest","")</f>
        <v/>
      </c>
      <c r="BY233" t="str">
        <f t="shared" si="130"/>
        <v/>
      </c>
      <c r="BZ233" s="83" t="str">
        <f t="shared" si="122"/>
        <v/>
      </c>
      <c r="CA233" s="83" t="str">
        <f t="shared" si="123"/>
        <v/>
      </c>
      <c r="CB233" s="530" t="str">
        <f t="shared" si="124"/>
        <v/>
      </c>
      <c r="CG233" s="3" t="s">
        <v>6300</v>
      </c>
      <c r="CH233" s="3" t="s">
        <v>6089</v>
      </c>
      <c r="CI233" s="3"/>
      <c r="CJ233" s="3"/>
      <c r="CK233" s="3" t="s">
        <v>6802</v>
      </c>
      <c r="CM233" t="s">
        <v>10373</v>
      </c>
      <c r="CN233" s="3"/>
      <c r="CO233" s="83" t="s">
        <v>13291</v>
      </c>
      <c r="CP233" s="3"/>
      <c r="CQ233" s="3"/>
      <c r="CR233" s="3" t="s">
        <v>13602</v>
      </c>
      <c r="CS233" s="3"/>
      <c r="CT233" s="3"/>
      <c r="CU233" s="3"/>
      <c r="CV233" s="3"/>
      <c r="CW233" s="3"/>
      <c r="CX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U233" s="177" t="str">
        <f>IF(OR(Pays="Norsca",Pays="Désolations du Chaos",Pays="",Pays="Steppes orientales"),"",IF(Pays="Estalie","Ordre de Magritta",""))</f>
        <v/>
      </c>
      <c r="EV233" s="83" t="str">
        <f t="shared" si="121"/>
        <v/>
      </c>
      <c r="EW233" s="83" t="str">
        <f t="shared" si="125"/>
        <v/>
      </c>
      <c r="EX233" s="530" t="str">
        <f t="shared" si="126"/>
        <v/>
      </c>
      <c r="EY233" s="85" t="s">
        <v>12152</v>
      </c>
      <c r="EZ233" s="530" t="s">
        <v>12151</v>
      </c>
      <c r="FB233" s="83" t="str">
        <f>IF('page 5'!C7="Humain","Prêtre consacré de Morr","")</f>
        <v/>
      </c>
      <c r="FC233" s="133" t="s">
        <v>5751</v>
      </c>
      <c r="FD233" s="83" t="s">
        <v>538</v>
      </c>
      <c r="FE233" s="849">
        <v>199</v>
      </c>
      <c r="FF233">
        <v>54</v>
      </c>
      <c r="FG233">
        <v>46</v>
      </c>
      <c r="FH233">
        <v>43</v>
      </c>
      <c r="FI233">
        <v>46</v>
      </c>
      <c r="FJ233" s="10">
        <v>43</v>
      </c>
      <c r="FK233">
        <v>52</v>
      </c>
      <c r="FL233">
        <v>63</v>
      </c>
      <c r="FM233" s="165">
        <v>54</v>
      </c>
      <c r="FN233" s="88">
        <v>2</v>
      </c>
      <c r="FO233" s="88">
        <v>18</v>
      </c>
      <c r="FP233" s="164">
        <f>ROUNDDOWN(FH233/10,0)</f>
        <v>4</v>
      </c>
      <c r="FQ233" s="164">
        <f>ROUNDDOWN(FI233/10,0)</f>
        <v>4</v>
      </c>
      <c r="FR233" s="682">
        <v>4</v>
      </c>
      <c r="FS233" s="88">
        <v>2</v>
      </c>
      <c r="FT233" s="88">
        <v>0</v>
      </c>
      <c r="FU233" s="165">
        <v>0</v>
      </c>
      <c r="FV233" s="83" t="s">
        <v>17105</v>
      </c>
      <c r="FW233" s="83" t="s">
        <v>17106</v>
      </c>
      <c r="FX233" s="530" t="s">
        <v>7666</v>
      </c>
      <c r="GA233" t="s">
        <v>7540</v>
      </c>
      <c r="GF233" t="s">
        <v>8234</v>
      </c>
    </row>
    <row r="234" spans="8:191" ht="13.2" customHeight="1">
      <c r="H234" s="3"/>
      <c r="I234" s="3"/>
      <c r="J234" s="3"/>
      <c r="K234" s="3"/>
      <c r="L234" s="3"/>
      <c r="M234" s="651"/>
      <c r="N234" s="3"/>
      <c r="O234" s="3"/>
      <c r="P234" s="3"/>
      <c r="Q234" s="3"/>
      <c r="R234" s="651"/>
      <c r="S234" s="25" t="str">
        <f>IF(CareerType=Y234,"Méhariste",IF(AllCareers="X","Méhariste",IF(OR(FirstCareer="1ère carrière",SelectRace="homme-bête",SelectRace="peau-verte",SelectRace="créature du chaos",SelectRace="Homme-lézard",SelectRace="skaven"),"",IF(Pays="Arabie","Méhariste",""))))</f>
        <v/>
      </c>
      <c r="T234" s="106">
        <f>IF(X234="oui",0,1)</f>
        <v>1</v>
      </c>
      <c r="U234" s="693" t="str">
        <f t="shared" si="127"/>
        <v/>
      </c>
      <c r="V234" s="693" t="str">
        <f t="shared" si="128"/>
        <v/>
      </c>
      <c r="W234" s="693" t="str">
        <f t="shared" si="129"/>
        <v/>
      </c>
      <c r="X234" s="545" t="s">
        <v>2153</v>
      </c>
      <c r="Y234" s="743" t="s">
        <v>7130</v>
      </c>
      <c r="Z234" s="546" t="s">
        <v>9975</v>
      </c>
      <c r="AA234" s="545">
        <v>239</v>
      </c>
      <c r="AB234" s="545" t="s">
        <v>10040</v>
      </c>
      <c r="AC234" s="459"/>
      <c r="AD234" s="15" t="s">
        <v>101</v>
      </c>
      <c r="AE234" s="15" t="s">
        <v>98</v>
      </c>
      <c r="AF234" s="15" t="s">
        <v>114</v>
      </c>
      <c r="AG234" s="15" t="s">
        <v>98</v>
      </c>
      <c r="AH234" s="550" t="s">
        <v>149</v>
      </c>
      <c r="AI234" s="550" t="s">
        <v>149</v>
      </c>
      <c r="AJ234" s="15" t="s">
        <v>98</v>
      </c>
      <c r="AK234" s="18" t="s">
        <v>98</v>
      </c>
      <c r="AL234" s="105" t="s">
        <v>102</v>
      </c>
      <c r="AM234" s="105" t="s">
        <v>114</v>
      </c>
      <c r="AN234" s="550" t="s">
        <v>149</v>
      </c>
      <c r="AO234" s="550" t="s">
        <v>149</v>
      </c>
      <c r="AP234" s="177" t="s">
        <v>15859</v>
      </c>
      <c r="AQ234" s="141" t="s">
        <v>734</v>
      </c>
      <c r="AR234" s="177" t="s">
        <v>12276</v>
      </c>
      <c r="AS234" s="141" t="s">
        <v>734</v>
      </c>
      <c r="AT234" s="141" t="s">
        <v>17140</v>
      </c>
      <c r="AU234" s="141" t="s">
        <v>10088</v>
      </c>
      <c r="AV234" s="177" t="s">
        <v>10089</v>
      </c>
      <c r="AW234" s="551">
        <v>0</v>
      </c>
      <c r="AX234" s="630" t="str">
        <f t="shared" si="138"/>
        <v/>
      </c>
      <c r="AY234" s="630" t="str">
        <f t="shared" si="139"/>
        <v/>
      </c>
      <c r="AZ234" s="630" t="str">
        <f t="shared" si="140"/>
        <v/>
      </c>
      <c r="BA234" s="3"/>
      <c r="BM234" s="3"/>
      <c r="BN234" s="3"/>
      <c r="BP234" s="3"/>
      <c r="BQ234" s="3"/>
      <c r="BR234" s="3"/>
      <c r="BS234" s="3"/>
      <c r="BT234" s="3"/>
      <c r="BU234" s="3"/>
      <c r="BV234" s="3"/>
      <c r="BW234" s="3"/>
      <c r="BX234" s="3" t="str">
        <f>IF(OR(Province="Kislev septentrional (Gospodar)",Province="Kislev septentrional (Ungol)"),"Tirsa de l'oblast du Nord","")</f>
        <v/>
      </c>
      <c r="BY234" t="str">
        <f t="shared" si="130"/>
        <v/>
      </c>
      <c r="BZ234" s="83" t="str">
        <f t="shared" si="122"/>
        <v/>
      </c>
      <c r="CA234" s="83" t="str">
        <f t="shared" si="123"/>
        <v/>
      </c>
      <c r="CB234" s="530" t="str">
        <f t="shared" si="124"/>
        <v/>
      </c>
      <c r="CG234" s="83" t="s">
        <v>10164</v>
      </c>
      <c r="CH234" s="3" t="s">
        <v>6090</v>
      </c>
      <c r="CI234" s="3"/>
      <c r="CJ234" s="3"/>
      <c r="CK234" s="3" t="s">
        <v>6756</v>
      </c>
      <c r="CM234" t="s">
        <v>10384</v>
      </c>
      <c r="CN234" s="3"/>
      <c r="CO234" s="3" t="s">
        <v>11019</v>
      </c>
      <c r="CR234" s="3" t="s">
        <v>13603</v>
      </c>
      <c r="CS234" s="3"/>
      <c r="CT234" s="3"/>
      <c r="CU234" s="3"/>
      <c r="CV234" s="3"/>
      <c r="CW234" s="3"/>
      <c r="CX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U234" s="177" t="str">
        <f>IF(OR(Pays="Norsca",Pays="Désolations du Chaos",Pays="",Pays="Steppes orientales"),"","Ordre d’Origo")</f>
        <v/>
      </c>
      <c r="EV234" s="83" t="str">
        <f t="shared" si="121"/>
        <v/>
      </c>
      <c r="EW234" s="83" t="str">
        <f t="shared" si="125"/>
        <v/>
      </c>
      <c r="EX234" s="530" t="str">
        <f t="shared" si="126"/>
        <v/>
      </c>
      <c r="EY234" s="85" t="s">
        <v>438</v>
      </c>
      <c r="EZ234" s="530" t="s">
        <v>12150</v>
      </c>
      <c r="FB234" s="83" t="str">
        <f>IF('page 5'!C7="Humain","Prêtre consacré de Myrmidia","")</f>
        <v/>
      </c>
      <c r="FC234" s="133" t="s">
        <v>5751</v>
      </c>
      <c r="FD234" s="83" t="s">
        <v>538</v>
      </c>
      <c r="FE234" s="849">
        <v>199</v>
      </c>
      <c r="FF234">
        <v>54</v>
      </c>
      <c r="FG234">
        <v>46</v>
      </c>
      <c r="FH234">
        <v>48</v>
      </c>
      <c r="FI234">
        <v>46</v>
      </c>
      <c r="FJ234" s="10">
        <v>38</v>
      </c>
      <c r="FK234">
        <v>52</v>
      </c>
      <c r="FL234">
        <v>63</v>
      </c>
      <c r="FM234" s="165">
        <v>54</v>
      </c>
      <c r="FN234" s="88">
        <v>2</v>
      </c>
      <c r="FO234" s="88">
        <v>18</v>
      </c>
      <c r="FP234" s="164">
        <f>ROUNDDOWN(FH234/10,0)</f>
        <v>4</v>
      </c>
      <c r="FQ234" s="164">
        <f>ROUNDDOWN(FI234/10,0)</f>
        <v>4</v>
      </c>
      <c r="FR234" s="682">
        <v>4</v>
      </c>
      <c r="FS234" s="88">
        <v>2</v>
      </c>
      <c r="FT234" s="88">
        <v>0</v>
      </c>
      <c r="FU234" s="165">
        <v>0</v>
      </c>
      <c r="FV234" s="83" t="s">
        <v>17107</v>
      </c>
      <c r="FW234" s="83" t="s">
        <v>17108</v>
      </c>
      <c r="FX234" s="530" t="s">
        <v>7666</v>
      </c>
      <c r="GA234" t="s">
        <v>7294</v>
      </c>
      <c r="GF234" t="s">
        <v>7782</v>
      </c>
    </row>
    <row r="235" spans="8:191" ht="13.2" customHeight="1">
      <c r="H235" s="3"/>
      <c r="I235" s="3"/>
      <c r="J235" s="3"/>
      <c r="K235" s="3"/>
      <c r="L235" s="3"/>
      <c r="M235" s="651"/>
      <c r="N235" s="3"/>
      <c r="O235" s="3"/>
      <c r="P235" s="3"/>
      <c r="Q235" s="3"/>
      <c r="R235" s="651"/>
      <c r="S235" s="83" t="str">
        <f>IF(CareerType=Y235,"Ménestrel",IF(AllCareers="X","Ménestrel",IF(Selectsousrace="","",IF(OR(SelectRace="homme-bête",SelectRace="peau-verte",SelectRace="créature du chaos",SelectRace="Homme-lézard",SelectRace="skaven"),"",IF(FirstCareer="1ère carrière","","Ménestrel")))))</f>
        <v/>
      </c>
      <c r="T235" s="106">
        <v>2</v>
      </c>
      <c r="U235" s="693" t="str">
        <f t="shared" si="127"/>
        <v/>
      </c>
      <c r="V235" s="693" t="str">
        <f t="shared" si="128"/>
        <v/>
      </c>
      <c r="W235" s="693" t="str">
        <f t="shared" si="129"/>
        <v/>
      </c>
      <c r="X235" s="47" t="s">
        <v>2153</v>
      </c>
      <c r="Y235" s="743" t="s">
        <v>7132</v>
      </c>
      <c r="Z235" s="55" t="s">
        <v>2200</v>
      </c>
      <c r="AA235" s="47">
        <v>78</v>
      </c>
      <c r="AB235" s="47" t="s">
        <v>2360</v>
      </c>
      <c r="AC235" s="47">
        <v>147</v>
      </c>
      <c r="AD235" s="15" t="s">
        <v>98</v>
      </c>
      <c r="AE235" s="15" t="s">
        <v>98</v>
      </c>
      <c r="AF235" s="15" t="s">
        <v>149</v>
      </c>
      <c r="AG235" s="15" t="s">
        <v>149</v>
      </c>
      <c r="AH235" s="15" t="s">
        <v>101</v>
      </c>
      <c r="AI235" s="15" t="s">
        <v>98</v>
      </c>
      <c r="AJ235" s="20" t="s">
        <v>114</v>
      </c>
      <c r="AK235" s="18" t="s">
        <v>99</v>
      </c>
      <c r="AL235" s="15" t="s">
        <v>149</v>
      </c>
      <c r="AM235" s="15" t="s">
        <v>103</v>
      </c>
      <c r="AN235" s="15" t="s">
        <v>149</v>
      </c>
      <c r="AO235" s="15" t="s">
        <v>149</v>
      </c>
      <c r="AP235" s="87" t="s">
        <v>15860</v>
      </c>
      <c r="AQ235" s="141" t="s">
        <v>734</v>
      </c>
      <c r="AR235" s="87" t="s">
        <v>10021</v>
      </c>
      <c r="AS235" s="141" t="s">
        <v>734</v>
      </c>
      <c r="AT235" s="87" t="s">
        <v>17142</v>
      </c>
      <c r="AU235" s="87" t="s">
        <v>17143</v>
      </c>
      <c r="AV235" s="87" t="s">
        <v>4620</v>
      </c>
      <c r="AW235" s="457">
        <v>0</v>
      </c>
      <c r="AX235" s="630" t="str">
        <f t="shared" si="138"/>
        <v/>
      </c>
      <c r="AY235" s="630" t="str">
        <f t="shared" si="139"/>
        <v/>
      </c>
      <c r="AZ235" s="630" t="str">
        <f t="shared" si="140"/>
        <v/>
      </c>
      <c r="BC235" s="3"/>
      <c r="BD235" s="3"/>
      <c r="BE235" s="3"/>
      <c r="BF235" s="3"/>
      <c r="BG235" s="3"/>
      <c r="BH235" s="3"/>
      <c r="BI235" s="3"/>
      <c r="BJ235" s="3"/>
      <c r="BK235" s="3"/>
      <c r="BL235" s="3"/>
      <c r="BM235" s="3"/>
      <c r="BN235" s="3"/>
      <c r="BP235" s="3"/>
      <c r="BQ235" s="3"/>
      <c r="BR235" s="3"/>
      <c r="BS235" s="3"/>
      <c r="BT235" s="3"/>
      <c r="BU235" s="3"/>
      <c r="BV235" s="3"/>
      <c r="BW235" s="3"/>
      <c r="BX235" s="3" t="str">
        <f>IF(OR(Province="Kislev méridional (Gospodar)",Province="kislev méridional (Ungol)"),"Tirsa de l'oblast du Sud","")</f>
        <v/>
      </c>
      <c r="BY235" t="str">
        <f t="shared" si="130"/>
        <v/>
      </c>
      <c r="BZ235" s="83" t="str">
        <f t="shared" si="122"/>
        <v/>
      </c>
      <c r="CA235" s="83" t="str">
        <f t="shared" si="123"/>
        <v/>
      </c>
      <c r="CB235" s="530" t="str">
        <f t="shared" si="124"/>
        <v/>
      </c>
      <c r="CG235" s="83" t="s">
        <v>11803</v>
      </c>
      <c r="CH235" s="3" t="s">
        <v>6091</v>
      </c>
      <c r="CI235" s="3"/>
      <c r="CJ235" s="3"/>
      <c r="CK235" s="3" t="s">
        <v>6987</v>
      </c>
      <c r="CM235" t="s">
        <v>10390</v>
      </c>
      <c r="CN235" s="3"/>
      <c r="CO235" s="3" t="str">
        <f>CONCATENATE("Lester",IF(AND('page 1'!M11="Féminin",Pays="Norsca"),"dottir",IF(AND('page 1'!M11="Masculin",Pays="Norsca"),"son",IF(AND('page 1'!M11="Féminin",Pays="Kislev"),"ovna",IF(AND('page 1'!M11="Masculin",Pays="Kislev"),"sky","")))))</f>
        <v>Lester</v>
      </c>
      <c r="CP235" s="136"/>
      <c r="CQ235" s="136"/>
      <c r="CR235" s="3" t="s">
        <v>13604</v>
      </c>
      <c r="CS235" s="3"/>
      <c r="CT235" s="3"/>
      <c r="CU235" s="3"/>
      <c r="CV235" s="3"/>
      <c r="CW235" s="3"/>
      <c r="CX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U235" s="25" t="str">
        <f>IF(Dieu="Véréna","Ordre des templiers de la Lumière Éternelle","")</f>
        <v/>
      </c>
      <c r="EV235" s="83" t="str">
        <f t="shared" si="121"/>
        <v/>
      </c>
      <c r="EW235" s="83" t="str">
        <f t="shared" si="125"/>
        <v/>
      </c>
      <c r="EX235" s="530" t="str">
        <f t="shared" si="126"/>
        <v/>
      </c>
      <c r="EY235" s="85" t="s">
        <v>12871</v>
      </c>
      <c r="EZ235" s="530" t="s">
        <v>12153</v>
      </c>
      <c r="FB235" s="83" t="str">
        <f>IF('page 5'!C7="Humain","Prêtre consacré de Ranald","")</f>
        <v/>
      </c>
      <c r="FC235" s="133" t="s">
        <v>5751</v>
      </c>
      <c r="FD235" s="83" t="s">
        <v>538</v>
      </c>
      <c r="FE235" s="849">
        <v>199</v>
      </c>
      <c r="FF235">
        <v>49</v>
      </c>
      <c r="FG235">
        <v>46</v>
      </c>
      <c r="FH235">
        <v>43</v>
      </c>
      <c r="FI235">
        <v>46</v>
      </c>
      <c r="FJ235" s="10">
        <v>43</v>
      </c>
      <c r="FK235">
        <v>52</v>
      </c>
      <c r="FL235">
        <v>63</v>
      </c>
      <c r="FM235" s="165">
        <v>59</v>
      </c>
      <c r="FN235" s="88">
        <v>2</v>
      </c>
      <c r="FO235" s="88">
        <v>18</v>
      </c>
      <c r="FP235" s="164">
        <f>ROUNDDOWN(FH235/10,0)</f>
        <v>4</v>
      </c>
      <c r="FQ235" s="164">
        <f>ROUNDDOWN(FI235/10,0)</f>
        <v>4</v>
      </c>
      <c r="FR235" s="682">
        <v>4</v>
      </c>
      <c r="FS235" s="88">
        <v>2</v>
      </c>
      <c r="FT235" s="88">
        <v>0</v>
      </c>
      <c r="FU235" s="165">
        <v>0</v>
      </c>
      <c r="FV235" s="83" t="s">
        <v>17111</v>
      </c>
      <c r="FW235" s="83" t="s">
        <v>17112</v>
      </c>
      <c r="FX235" s="530" t="s">
        <v>7666</v>
      </c>
      <c r="GA235" s="83" t="s">
        <v>7595</v>
      </c>
      <c r="GF235" t="s">
        <v>8242</v>
      </c>
    </row>
    <row r="236" spans="8:191" ht="13.2" customHeight="1">
      <c r="H236" s="3"/>
      <c r="I236" s="3"/>
      <c r="J236" s="3"/>
      <c r="K236" s="3"/>
      <c r="L236" s="3"/>
      <c r="M236" s="651"/>
      <c r="N236" s="3"/>
      <c r="O236" s="3"/>
      <c r="P236" s="3"/>
      <c r="Q236" s="3"/>
      <c r="R236" s="651"/>
      <c r="S236" s="83" t="str">
        <f>IF(CareerType="Gens du Commun","Mercanti/Colporteur",IF(AllCareers="X","Mercanti/Colporteur",IF(Selectsousrace&lt;&gt;"Humain","",IF(Pays="Norsca","",IF(Pays="Désolations du Chaos","","Mercanti/Colporteur")))))</f>
        <v/>
      </c>
      <c r="T236" s="106">
        <f t="shared" ref="T236:T243" si="141">IF(X236="oui",0,1)</f>
        <v>0</v>
      </c>
      <c r="U236" s="693" t="str">
        <f t="shared" si="127"/>
        <v/>
      </c>
      <c r="V236" s="693" t="str">
        <f t="shared" si="128"/>
        <v/>
      </c>
      <c r="W236" s="693" t="str">
        <f t="shared" si="129"/>
        <v/>
      </c>
      <c r="X236" s="47" t="s">
        <v>2160</v>
      </c>
      <c r="Y236" s="743" t="s">
        <v>7132</v>
      </c>
      <c r="Z236" s="55" t="s">
        <v>2200</v>
      </c>
      <c r="AA236" s="47">
        <v>48</v>
      </c>
      <c r="AB236" s="89" t="s">
        <v>15733</v>
      </c>
      <c r="AC236" s="47">
        <v>38</v>
      </c>
      <c r="AD236" s="15" t="s">
        <v>149</v>
      </c>
      <c r="AE236" s="15" t="s">
        <v>149</v>
      </c>
      <c r="AF236" s="15" t="s">
        <v>149</v>
      </c>
      <c r="AG236" s="20" t="s">
        <v>114</v>
      </c>
      <c r="AH236" s="15" t="s">
        <v>98</v>
      </c>
      <c r="AI236" s="20" t="s">
        <v>114</v>
      </c>
      <c r="AJ236" s="20" t="s">
        <v>114</v>
      </c>
      <c r="AK236" s="18" t="s">
        <v>98</v>
      </c>
      <c r="AL236" s="15" t="s">
        <v>149</v>
      </c>
      <c r="AM236" s="15" t="s">
        <v>113</v>
      </c>
      <c r="AN236" s="15" t="s">
        <v>149</v>
      </c>
      <c r="AO236" s="15" t="s">
        <v>149</v>
      </c>
      <c r="AP236" s="87" t="s">
        <v>4951</v>
      </c>
      <c r="AQ236" s="141" t="s">
        <v>734</v>
      </c>
      <c r="AR236" s="87" t="s">
        <v>10053</v>
      </c>
      <c r="AS236" s="141" t="s">
        <v>734</v>
      </c>
      <c r="AT236" s="87" t="s">
        <v>17146</v>
      </c>
      <c r="AU236" s="87" t="s">
        <v>17147</v>
      </c>
      <c r="AV236" s="87" t="s">
        <v>4660</v>
      </c>
      <c r="AW236" s="457">
        <v>0</v>
      </c>
      <c r="AX236" s="630" t="str">
        <f t="shared" si="138"/>
        <v/>
      </c>
      <c r="AY236" s="630" t="str">
        <f t="shared" si="139"/>
        <v/>
      </c>
      <c r="AZ236" s="630" t="str">
        <f t="shared" si="140"/>
        <v/>
      </c>
      <c r="BC236" s="3"/>
      <c r="BD236" s="3"/>
      <c r="BE236" s="3"/>
      <c r="BF236" s="3"/>
      <c r="BG236" s="3"/>
      <c r="BH236" s="3"/>
      <c r="BI236" s="3"/>
      <c r="BJ236" s="3"/>
      <c r="BK236" s="3"/>
      <c r="BL236" s="3"/>
      <c r="BM236" s="3"/>
      <c r="BN236" s="3"/>
      <c r="BP236" s="3"/>
      <c r="BQ236" s="3"/>
      <c r="BR236" s="3"/>
      <c r="BS236" s="3"/>
      <c r="BT236" s="3"/>
      <c r="BU236" s="3"/>
      <c r="BV236" s="3"/>
      <c r="BW236" s="3"/>
      <c r="BX236" s="3" t="str">
        <f>IF(OR(Province="Kislev oriental (Gospodar)",Province="Kislev oriental (Ungol)"),"Tirsa de l'oblast de l'Est","")</f>
        <v/>
      </c>
      <c r="BY236" t="str">
        <f t="shared" si="130"/>
        <v/>
      </c>
      <c r="BZ236" s="83" t="str">
        <f t="shared" si="122"/>
        <v/>
      </c>
      <c r="CA236" s="83" t="str">
        <f t="shared" si="123"/>
        <v/>
      </c>
      <c r="CB236" s="530" t="str">
        <f t="shared" si="124"/>
        <v/>
      </c>
      <c r="CG236" s="83" t="s">
        <v>10176</v>
      </c>
      <c r="CH236" s="3" t="s">
        <v>6092</v>
      </c>
      <c r="CI236" s="3"/>
      <c r="CJ236" s="3"/>
      <c r="CK236" s="3" t="s">
        <v>6954</v>
      </c>
      <c r="CM236" t="s">
        <v>10385</v>
      </c>
      <c r="CN236" s="3"/>
      <c r="CO236" s="3" t="s">
        <v>11023</v>
      </c>
      <c r="CP236" s="3"/>
      <c r="CQ236" s="3"/>
      <c r="CR236" s="3" t="s">
        <v>13605</v>
      </c>
      <c r="CS236" s="3"/>
      <c r="CT236" s="3"/>
      <c r="CU236" s="3"/>
      <c r="CV236" s="3"/>
      <c r="CW236" s="3"/>
      <c r="CX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U236" s="573" t="str">
        <f>IF(Selectsousrace="Néhékaréen","Légion Crocogar","")</f>
        <v/>
      </c>
      <c r="EV236" s="83" t="str">
        <f t="shared" si="121"/>
        <v/>
      </c>
      <c r="EW236" s="83" t="str">
        <f t="shared" si="125"/>
        <v/>
      </c>
      <c r="EX236" s="530" t="str">
        <f t="shared" si="126"/>
        <v/>
      </c>
      <c r="EY236" s="85" t="s">
        <v>12305</v>
      </c>
      <c r="EZ236" s="530" t="s">
        <v>12296</v>
      </c>
      <c r="FB236" s="83" t="str">
        <f>IF('page 5'!C7="Humain","Prêtre consacré de Shallya","")</f>
        <v/>
      </c>
      <c r="FC236" s="133" t="s">
        <v>5751</v>
      </c>
      <c r="FD236" s="83" t="s">
        <v>538</v>
      </c>
      <c r="FE236" s="849">
        <v>199</v>
      </c>
      <c r="FF236">
        <v>49</v>
      </c>
      <c r="FG236">
        <v>46</v>
      </c>
      <c r="FH236">
        <v>43</v>
      </c>
      <c r="FI236">
        <v>46</v>
      </c>
      <c r="FJ236" s="10">
        <v>43</v>
      </c>
      <c r="FK236">
        <v>52</v>
      </c>
      <c r="FL236">
        <v>63</v>
      </c>
      <c r="FM236" s="165">
        <v>59</v>
      </c>
      <c r="FN236" s="88">
        <v>2</v>
      </c>
      <c r="FO236" s="88">
        <v>18</v>
      </c>
      <c r="FP236" s="164">
        <f>ROUNDDOWN(FH236/10,0)</f>
        <v>4</v>
      </c>
      <c r="FQ236" s="164">
        <f>ROUNDDOWN(FI236/10,0)</f>
        <v>4</v>
      </c>
      <c r="FR236" s="682">
        <v>4</v>
      </c>
      <c r="FS236" s="88">
        <v>2</v>
      </c>
      <c r="FT236" s="88">
        <v>0</v>
      </c>
      <c r="FU236" s="165">
        <v>0</v>
      </c>
      <c r="FV236" s="83" t="s">
        <v>17115</v>
      </c>
      <c r="FW236" s="83" t="s">
        <v>17116</v>
      </c>
      <c r="FX236" s="530" t="s">
        <v>7666</v>
      </c>
      <c r="GA236" t="s">
        <v>7515</v>
      </c>
      <c r="GF236" t="s">
        <v>8235</v>
      </c>
    </row>
    <row r="237" spans="8:191" ht="13.2" customHeight="1">
      <c r="H237" s="3"/>
      <c r="I237" s="3"/>
      <c r="J237" s="3"/>
      <c r="K237" s="3"/>
      <c r="L237" s="3"/>
      <c r="M237" s="651"/>
      <c r="N237" s="3"/>
      <c r="O237" s="3"/>
      <c r="P237" s="3"/>
      <c r="Q237" s="3"/>
      <c r="R237" s="651"/>
      <c r="S237" s="83" t="str">
        <f>IF(CareerType=Y237,"Mercenaire",IF(AllCareers="X","Mercenaire",IF(Selectsousrace="","",IF(OR(SelectRace="homme-bête",SelectRace="Homme-lézard"),"","Mercenaire"))))</f>
        <v/>
      </c>
      <c r="T237" s="106">
        <f t="shared" si="141"/>
        <v>0</v>
      </c>
      <c r="U237" s="693" t="str">
        <f t="shared" si="127"/>
        <v/>
      </c>
      <c r="V237" s="693" t="str">
        <f t="shared" si="128"/>
        <v/>
      </c>
      <c r="W237" s="693" t="str">
        <f t="shared" si="129"/>
        <v/>
      </c>
      <c r="X237" s="47" t="s">
        <v>2160</v>
      </c>
      <c r="Y237" s="743" t="s">
        <v>7130</v>
      </c>
      <c r="Z237" s="55" t="s">
        <v>2200</v>
      </c>
      <c r="AA237" s="47">
        <v>49</v>
      </c>
      <c r="AB237" s="47" t="s">
        <v>2362</v>
      </c>
      <c r="AC237" s="47">
        <v>142</v>
      </c>
      <c r="AD237" s="15" t="s">
        <v>98</v>
      </c>
      <c r="AE237" s="15" t="s">
        <v>98</v>
      </c>
      <c r="AF237" s="20" t="s">
        <v>114</v>
      </c>
      <c r="AG237" s="20" t="s">
        <v>114</v>
      </c>
      <c r="AH237" s="20" t="s">
        <v>114</v>
      </c>
      <c r="AI237" s="15" t="s">
        <v>149</v>
      </c>
      <c r="AJ237" s="20" t="s">
        <v>114</v>
      </c>
      <c r="AK237" s="18" t="s">
        <v>149</v>
      </c>
      <c r="AL237" s="15" t="s">
        <v>102</v>
      </c>
      <c r="AM237" s="15" t="s">
        <v>113</v>
      </c>
      <c r="AN237" s="15" t="s">
        <v>149</v>
      </c>
      <c r="AO237" s="15" t="s">
        <v>149</v>
      </c>
      <c r="AP237" s="87" t="s">
        <v>15140</v>
      </c>
      <c r="AQ237" s="87" t="s">
        <v>15846</v>
      </c>
      <c r="AR237" s="87" t="s">
        <v>17150</v>
      </c>
      <c r="AS237" s="87" t="s">
        <v>14833</v>
      </c>
      <c r="AT237" s="22" t="s">
        <v>3487</v>
      </c>
      <c r="AU237" s="87" t="s">
        <v>17151</v>
      </c>
      <c r="AV237" s="87" t="s">
        <v>17152</v>
      </c>
      <c r="AW237" s="457">
        <v>0</v>
      </c>
      <c r="AX237" s="630" t="str">
        <f t="shared" si="138"/>
        <v/>
      </c>
      <c r="AY237" s="630" t="str">
        <f t="shared" si="139"/>
        <v/>
      </c>
      <c r="AZ237" s="630" t="str">
        <f t="shared" si="140"/>
        <v/>
      </c>
      <c r="BA237" s="3"/>
      <c r="BB237" s="3"/>
      <c r="BC237" s="3"/>
      <c r="BD237" s="3"/>
      <c r="BE237" s="3"/>
      <c r="BF237" s="3"/>
      <c r="BG237" s="3"/>
      <c r="BH237" s="3"/>
      <c r="BI237" s="3"/>
      <c r="BJ237" s="3"/>
      <c r="BK237" s="3"/>
      <c r="BL237" s="3"/>
      <c r="BM237" s="3"/>
      <c r="BN237" s="3"/>
      <c r="BP237" s="3"/>
      <c r="BQ237" s="3"/>
      <c r="BR237" s="3"/>
      <c r="BS237" s="3"/>
      <c r="BT237" s="3"/>
      <c r="BU237" s="3"/>
      <c r="BV237" s="3"/>
      <c r="BW237" s="3"/>
      <c r="BX237" s="3" t="str">
        <f>IF(OR(Province="Kislev occdiental (Gospodar)",Province="Kislev occdiental (Ungol)"),"Tirsa de l'oblast de l'Ouest","")</f>
        <v/>
      </c>
      <c r="BY237" t="str">
        <f t="shared" si="130"/>
        <v/>
      </c>
      <c r="BZ237" s="83" t="str">
        <f t="shared" si="122"/>
        <v/>
      </c>
      <c r="CA237" s="83" t="str">
        <f t="shared" si="123"/>
        <v/>
      </c>
      <c r="CB237" s="530" t="str">
        <f t="shared" si="124"/>
        <v/>
      </c>
      <c r="CG237" s="3" t="s">
        <v>6301</v>
      </c>
      <c r="CH237" s="3" t="s">
        <v>6093</v>
      </c>
      <c r="CI237" s="3"/>
      <c r="CJ237" s="3"/>
      <c r="CK237" s="3" t="s">
        <v>6843</v>
      </c>
      <c r="CM237" t="s">
        <v>10386</v>
      </c>
      <c r="CN237" s="3"/>
      <c r="CO237" t="str">
        <f>CONCATENATE("Loki",IF(AND('page 1'!M14="Féminin",Pays="Norsca"),"dottir",IF(AND('page 1'!M14="Masculin",Pays="Norsca"),"son",IF(AND('page 1'!M14="Féminin",Pays="Kislev"),"ovna",IF(AND('page 1'!M14="Masculin",Pays="Kislev"),"sky","")))))</f>
        <v>Loki</v>
      </c>
      <c r="CP237" s="3"/>
      <c r="CQ237" s="3"/>
      <c r="CR237" s="3" t="s">
        <v>13606</v>
      </c>
      <c r="CS237" s="3"/>
      <c r="CT237" s="3"/>
      <c r="CU237" s="3"/>
      <c r="CV237" s="3"/>
      <c r="CW237" s="3"/>
      <c r="CX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U237" s="25" t="str">
        <f>IF(Pays="Nippon","Diables Rouges","")</f>
        <v/>
      </c>
      <c r="EV237" s="83" t="str">
        <f t="shared" si="121"/>
        <v/>
      </c>
      <c r="EW237" s="83" t="str">
        <f t="shared" si="125"/>
        <v/>
      </c>
      <c r="EX237" s="530" t="str">
        <f t="shared" si="126"/>
        <v/>
      </c>
      <c r="EY237" s="83" t="s">
        <v>12181</v>
      </c>
      <c r="EZ237" s="530" t="s">
        <v>12180</v>
      </c>
      <c r="FB237" s="83" t="str">
        <f>IF('page 5'!C7="Humain","Prêtre consacré de Sigmar","")</f>
        <v/>
      </c>
      <c r="FC237" s="133" t="s">
        <v>5751</v>
      </c>
      <c r="FD237" s="83" t="s">
        <v>538</v>
      </c>
      <c r="FE237" s="849">
        <v>199</v>
      </c>
      <c r="FF237">
        <v>54</v>
      </c>
      <c r="FG237">
        <v>46</v>
      </c>
      <c r="FH237">
        <v>43</v>
      </c>
      <c r="FI237">
        <v>46</v>
      </c>
      <c r="FJ237" s="10">
        <v>43</v>
      </c>
      <c r="FK237">
        <v>52</v>
      </c>
      <c r="FL237">
        <v>63</v>
      </c>
      <c r="FM237" s="165">
        <v>54</v>
      </c>
      <c r="FN237" s="88">
        <v>2</v>
      </c>
      <c r="FO237" s="88">
        <v>18</v>
      </c>
      <c r="FP237" s="164">
        <f>ROUNDDOWN(FH237/10,0)</f>
        <v>4</v>
      </c>
      <c r="FQ237" s="164">
        <f>ROUNDDOWN(FI237/10,0)</f>
        <v>4</v>
      </c>
      <c r="FR237" s="682">
        <v>4</v>
      </c>
      <c r="FS237" s="88">
        <v>2</v>
      </c>
      <c r="FT237" s="88">
        <v>0</v>
      </c>
      <c r="FU237" s="165">
        <v>0</v>
      </c>
      <c r="FV237" s="83" t="s">
        <v>17119</v>
      </c>
      <c r="FW237" s="83" t="s">
        <v>17120</v>
      </c>
      <c r="FX237" s="530" t="s">
        <v>7666</v>
      </c>
      <c r="GA237" s="83" t="s">
        <v>7635</v>
      </c>
      <c r="GF237" t="s">
        <v>7783</v>
      </c>
    </row>
    <row r="238" spans="8:191" ht="13.2" customHeight="1">
      <c r="H238" s="3"/>
      <c r="I238" s="3"/>
      <c r="J238" s="3"/>
      <c r="K238" s="3"/>
      <c r="L238" s="3"/>
      <c r="M238" s="651"/>
      <c r="N238" s="3"/>
      <c r="O238" s="3"/>
      <c r="P238" s="3"/>
      <c r="Q238" s="3"/>
      <c r="R238" s="651"/>
      <c r="S238" s="83" t="str">
        <f>IF(CareerType=Y238,"Messager",IF(AllCareers="X","Messager",IF(OR(Pays="Désolations du Chaos",Pays="Norsca"),"",IF(OR(SelectRace="homme-bête",SelectRace="peau-verte",SelectRace="créature du chaos"),"",IF(OR(SelectRace="skaven",SelectRace="Elfe",SelectRace="Humain",SelectRace="Halfling",SelectRace="Homme-lézard"),"Messager","")))))</f>
        <v/>
      </c>
      <c r="T238" s="106">
        <f t="shared" si="141"/>
        <v>0</v>
      </c>
      <c r="U238" s="693" t="str">
        <f t="shared" si="127"/>
        <v/>
      </c>
      <c r="V238" s="693" t="str">
        <f t="shared" si="128"/>
        <v/>
      </c>
      <c r="W238" s="693" t="str">
        <f t="shared" si="129"/>
        <v/>
      </c>
      <c r="X238" s="47" t="s">
        <v>2160</v>
      </c>
      <c r="Y238" s="743" t="s">
        <v>7134</v>
      </c>
      <c r="Z238" s="55" t="s">
        <v>2200</v>
      </c>
      <c r="AA238" s="47">
        <v>49</v>
      </c>
      <c r="AB238" s="47" t="s">
        <v>2363</v>
      </c>
      <c r="AC238" s="47">
        <v>144</v>
      </c>
      <c r="AD238" s="20" t="s">
        <v>114</v>
      </c>
      <c r="AE238" s="20" t="s">
        <v>114</v>
      </c>
      <c r="AF238" s="15" t="s">
        <v>149</v>
      </c>
      <c r="AG238" s="20" t="s">
        <v>114</v>
      </c>
      <c r="AH238" s="15" t="s">
        <v>98</v>
      </c>
      <c r="AI238" s="20" t="s">
        <v>114</v>
      </c>
      <c r="AJ238" s="20" t="s">
        <v>114</v>
      </c>
      <c r="AK238" s="18" t="s">
        <v>149</v>
      </c>
      <c r="AL238" s="15" t="s">
        <v>149</v>
      </c>
      <c r="AM238" s="15" t="s">
        <v>113</v>
      </c>
      <c r="AN238" s="15" t="s">
        <v>149</v>
      </c>
      <c r="AO238" s="15" t="s">
        <v>149</v>
      </c>
      <c r="AP238" s="87" t="s">
        <v>10055</v>
      </c>
      <c r="AQ238" s="87" t="s">
        <v>5751</v>
      </c>
      <c r="AR238" s="87" t="s">
        <v>16568</v>
      </c>
      <c r="AS238" s="87" t="s">
        <v>14834</v>
      </c>
      <c r="AT238" s="87" t="s">
        <v>4774</v>
      </c>
      <c r="AU238" s="87" t="s">
        <v>17155</v>
      </c>
      <c r="AV238" s="87" t="s">
        <v>17156</v>
      </c>
      <c r="AW238" s="457">
        <v>0</v>
      </c>
      <c r="AX238" s="630" t="str">
        <f t="shared" si="138"/>
        <v/>
      </c>
      <c r="AY238" s="630" t="str">
        <f t="shared" si="139"/>
        <v/>
      </c>
      <c r="AZ238" s="630" t="str">
        <f t="shared" si="140"/>
        <v/>
      </c>
      <c r="BA238" s="3"/>
      <c r="BB238" s="3"/>
      <c r="BC238" s="3"/>
      <c r="BD238" s="3"/>
      <c r="BE238" s="3"/>
      <c r="BF238" s="3"/>
      <c r="BG238" s="3"/>
      <c r="BH238" s="3"/>
      <c r="BI238" s="3"/>
      <c r="BJ238" s="3"/>
      <c r="BK238" s="3"/>
      <c r="BL238" s="3"/>
      <c r="BM238" s="3"/>
      <c r="BN238" s="3"/>
      <c r="BP238" s="3"/>
      <c r="BQ238" s="3"/>
      <c r="BR238" s="3"/>
      <c r="BS238" s="3"/>
      <c r="BT238" s="3"/>
      <c r="BU238" s="3"/>
      <c r="BV238" s="3"/>
      <c r="BW238" s="3"/>
      <c r="BX238" s="3" t="str">
        <f>IF(OR(Province="Kislev septentrional (Gospodar)",Province="Kislev septentrional (Ungol)"),"Avant-poste militaire nord","")</f>
        <v/>
      </c>
      <c r="BY238" t="str">
        <f t="shared" si="130"/>
        <v/>
      </c>
      <c r="BZ238" s="83" t="str">
        <f t="shared" si="122"/>
        <v/>
      </c>
      <c r="CA238" s="83" t="str">
        <f t="shared" si="123"/>
        <v/>
      </c>
      <c r="CB238" s="530" t="str">
        <f t="shared" si="124"/>
        <v/>
      </c>
      <c r="CG238" s="3" t="s">
        <v>894</v>
      </c>
      <c r="CH238" s="3" t="s">
        <v>6094</v>
      </c>
      <c r="CI238" s="3"/>
      <c r="CJ238" s="3"/>
      <c r="CK238" s="3" t="s">
        <v>6921</v>
      </c>
      <c r="CM238" t="s">
        <v>10387</v>
      </c>
      <c r="CN238" s="3"/>
      <c r="CO238" s="136" t="str">
        <f>CONCATENATE("Lorkin",IF(AND('page 1'!M11="Féminin",Pays="Norsca"),"dottir",IF(AND('page 1'!M11="Masculin",Pays="Norsca"),"son",IF(AND('page 1'!M11="Féminin",Pays="Kislev"),"ovna",IF(AND('page 1'!M11="Masculin",Pays="Kislev"),"sky","")))))</f>
        <v>Lorkin</v>
      </c>
      <c r="CP238" s="3"/>
      <c r="CQ238" s="3"/>
      <c r="CR238" t="s">
        <v>13607</v>
      </c>
      <c r="CS238" s="3"/>
      <c r="CT238" s="3"/>
      <c r="CU238" s="3"/>
      <c r="CV238" s="3"/>
      <c r="CW238" s="3"/>
      <c r="CX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U238" s="177" t="str">
        <f>IF(Pays="Kislev","Chasseurs Sibyriens","")</f>
        <v/>
      </c>
      <c r="EV238" s="83" t="str">
        <f t="shared" si="121"/>
        <v/>
      </c>
      <c r="EW238" s="83" t="str">
        <f t="shared" si="125"/>
        <v/>
      </c>
      <c r="EX238" s="530" t="str">
        <f t="shared" si="126"/>
        <v/>
      </c>
      <c r="EY238" s="83" t="s">
        <v>17157</v>
      </c>
      <c r="EZ238" s="530" t="s">
        <v>12182</v>
      </c>
      <c r="FA238" s="341"/>
      <c r="FB238" s="83" t="str">
        <f>IF('page 5'!C7="Humain","Prêtre consacré de Taal et Rhya","")</f>
        <v/>
      </c>
      <c r="FC238" s="133" t="s">
        <v>5751</v>
      </c>
      <c r="FD238" s="83" t="s">
        <v>538</v>
      </c>
      <c r="FE238" s="849">
        <v>199</v>
      </c>
      <c r="FF238">
        <v>54</v>
      </c>
      <c r="FG238">
        <v>46</v>
      </c>
      <c r="FH238">
        <v>43</v>
      </c>
      <c r="FI238">
        <v>46</v>
      </c>
      <c r="FJ238" s="10">
        <v>43</v>
      </c>
      <c r="FK238">
        <v>52</v>
      </c>
      <c r="FL238">
        <v>63</v>
      </c>
      <c r="FM238" s="165">
        <v>54</v>
      </c>
      <c r="FN238" s="88">
        <v>2</v>
      </c>
      <c r="FO238" s="88">
        <v>18</v>
      </c>
      <c r="FP238" s="164">
        <f>ROUNDDOWN(FH238/10,0)</f>
        <v>4</v>
      </c>
      <c r="FQ238" s="164">
        <f>ROUNDDOWN(FI238/10,0)</f>
        <v>4</v>
      </c>
      <c r="FR238" s="682">
        <v>4</v>
      </c>
      <c r="FS238" s="88">
        <v>2</v>
      </c>
      <c r="FT238" s="88">
        <v>0</v>
      </c>
      <c r="FU238" s="165">
        <v>0</v>
      </c>
      <c r="FV238" s="83" t="s">
        <v>17123</v>
      </c>
      <c r="FW238" s="83" t="s">
        <v>17124</v>
      </c>
      <c r="FX238" s="530" t="s">
        <v>7666</v>
      </c>
      <c r="GF238" t="s">
        <v>7784</v>
      </c>
    </row>
    <row r="239" spans="8:191" ht="13.2" customHeight="1">
      <c r="H239" s="3"/>
      <c r="I239" s="3"/>
      <c r="J239" s="3"/>
      <c r="K239" s="3"/>
      <c r="L239" s="3"/>
      <c r="M239" s="651"/>
      <c r="N239" s="3"/>
      <c r="O239" s="3"/>
      <c r="P239" s="3"/>
      <c r="Q239" s="3"/>
      <c r="R239" s="651"/>
      <c r="S239" s="83" t="str">
        <f>IF(CareerType=Y239,"Métayer",IF(AllCareers="X","Métayer",IF(AND(SelectRace="Humain",Pays="Norsca"),"Métayer","")))</f>
        <v/>
      </c>
      <c r="T239" s="106">
        <f t="shared" si="141"/>
        <v>0</v>
      </c>
      <c r="U239" s="693" t="str">
        <f t="shared" si="127"/>
        <v/>
      </c>
      <c r="V239" s="693" t="str">
        <f t="shared" si="128"/>
        <v/>
      </c>
      <c r="W239" s="693" t="str">
        <f t="shared" si="129"/>
        <v/>
      </c>
      <c r="X239" s="89" t="s">
        <v>2160</v>
      </c>
      <c r="Y239" s="743" t="s">
        <v>7132</v>
      </c>
      <c r="Z239" s="55" t="s">
        <v>2196</v>
      </c>
      <c r="AA239" s="47">
        <v>158</v>
      </c>
      <c r="AB239" s="47" t="s">
        <v>2364</v>
      </c>
      <c r="AC239" s="47">
        <v>83</v>
      </c>
      <c r="AD239" s="15" t="s">
        <v>114</v>
      </c>
      <c r="AE239" s="15" t="s">
        <v>98</v>
      </c>
      <c r="AF239" s="15" t="s">
        <v>149</v>
      </c>
      <c r="AG239" s="15" t="s">
        <v>149</v>
      </c>
      <c r="AH239" s="15" t="s">
        <v>98</v>
      </c>
      <c r="AI239" s="15" t="s">
        <v>114</v>
      </c>
      <c r="AJ239" s="15" t="s">
        <v>98</v>
      </c>
      <c r="AK239" s="18" t="s">
        <v>98</v>
      </c>
      <c r="AL239" s="15" t="s">
        <v>149</v>
      </c>
      <c r="AM239" s="15" t="s">
        <v>115</v>
      </c>
      <c r="AN239" s="15" t="s">
        <v>149</v>
      </c>
      <c r="AO239" s="15" t="s">
        <v>149</v>
      </c>
      <c r="AP239" s="22" t="s">
        <v>225</v>
      </c>
      <c r="AQ239" s="87" t="s">
        <v>780</v>
      </c>
      <c r="AR239" s="87" t="s">
        <v>15825</v>
      </c>
      <c r="AS239" s="87" t="s">
        <v>15903</v>
      </c>
      <c r="AT239" s="87" t="s">
        <v>17159</v>
      </c>
      <c r="AU239" s="87" t="s">
        <v>5451</v>
      </c>
      <c r="AV239" s="87" t="s">
        <v>15754</v>
      </c>
      <c r="AW239" s="457">
        <v>0</v>
      </c>
      <c r="AX239" s="630" t="str">
        <f t="shared" ref="AX239:AX263" si="142">IF(S239="","","Chasseur, Coupe-jarret, Esclave/Thrall, Fanatique, Garde, Garde du corps, Guerrier des clans, Hors-la-loi, Naufrageur, Pillard, Pilleur de tombes, Trafiquant de cadavres, Vagabond, Voleur")</f>
        <v/>
      </c>
      <c r="AY239" s="630" t="str">
        <f t="shared" ref="AY239:AY263" si="143">IF(AX239="","","Acolyte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239" s="630" t="str">
        <f t="shared" ref="AZ239:AZ263" si="144">IF(S239="","","Apprenti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239" s="3"/>
      <c r="BB239" s="3"/>
      <c r="BC239" s="3"/>
      <c r="BD239" s="3"/>
      <c r="BE239" s="3"/>
      <c r="BF239" s="3"/>
      <c r="BG239" s="3"/>
      <c r="BH239" s="3"/>
      <c r="BI239" s="3"/>
      <c r="BJ239" s="3"/>
      <c r="BK239" s="3"/>
      <c r="BL239" s="3"/>
      <c r="BM239" s="3"/>
      <c r="BN239" s="3"/>
      <c r="BP239" s="3"/>
      <c r="BQ239" s="3"/>
      <c r="BR239" s="3"/>
      <c r="BS239" s="3"/>
      <c r="BT239" s="3"/>
      <c r="BU239" s="3"/>
      <c r="BV239" s="3"/>
      <c r="BW239" s="3"/>
      <c r="BX239" s="3" t="str">
        <f>IF(OR(Province="Kislev méridional (Gospodar)",Province="kislev méridional (Ungol)"),"Avant-poste militaire sud","")</f>
        <v/>
      </c>
      <c r="BY239" t="str">
        <f t="shared" si="130"/>
        <v/>
      </c>
      <c r="BZ239" s="83" t="str">
        <f t="shared" si="122"/>
        <v/>
      </c>
      <c r="CA239" s="83" t="str">
        <f t="shared" si="123"/>
        <v/>
      </c>
      <c r="CB239" s="530" t="str">
        <f t="shared" si="124"/>
        <v/>
      </c>
      <c r="CG239" s="3" t="s">
        <v>6302</v>
      </c>
      <c r="CH239" s="3" t="s">
        <v>6095</v>
      </c>
      <c r="CI239" s="3"/>
      <c r="CJ239" s="3"/>
      <c r="CK239" s="3" t="s">
        <v>6884</v>
      </c>
      <c r="CM239" s="83" t="s">
        <v>14996</v>
      </c>
      <c r="CN239" s="3"/>
      <c r="CO239" s="3" t="s">
        <v>11030</v>
      </c>
      <c r="CP239" s="3"/>
      <c r="CQ239" s="3"/>
      <c r="CR239" s="3" t="s">
        <v>13608</v>
      </c>
      <c r="CS239" s="3"/>
      <c r="CT239" s="3"/>
      <c r="CU239" s="3"/>
      <c r="CV239" s="3"/>
      <c r="CW239" s="3"/>
      <c r="CX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U239" s="177" t="str">
        <f>IF(Pays="Kislev","Droyaska","")</f>
        <v/>
      </c>
      <c r="EV239" s="83" t="str">
        <f t="shared" si="121"/>
        <v/>
      </c>
      <c r="EW239" s="83" t="str">
        <f t="shared" si="125"/>
        <v/>
      </c>
      <c r="EX239" s="530" t="str">
        <f t="shared" si="126"/>
        <v/>
      </c>
      <c r="EY239" s="85" t="s">
        <v>12183</v>
      </c>
      <c r="EZ239" s="530" t="s">
        <v>12184</v>
      </c>
      <c r="FB239" s="83" t="str">
        <f>IF('page 5'!C7="Humain","Prêtre consacré de Véréna","")</f>
        <v/>
      </c>
      <c r="FC239" s="133" t="s">
        <v>5751</v>
      </c>
      <c r="FD239" s="83" t="s">
        <v>538</v>
      </c>
      <c r="FE239" s="849">
        <v>199</v>
      </c>
      <c r="FF239">
        <v>49</v>
      </c>
      <c r="FG239">
        <v>46</v>
      </c>
      <c r="FH239">
        <v>43</v>
      </c>
      <c r="FI239">
        <v>46</v>
      </c>
      <c r="FJ239" s="10">
        <v>43</v>
      </c>
      <c r="FK239">
        <v>52</v>
      </c>
      <c r="FL239">
        <v>63</v>
      </c>
      <c r="FM239" s="165">
        <v>59</v>
      </c>
      <c r="FN239" s="88">
        <v>2</v>
      </c>
      <c r="FO239" s="88">
        <v>18</v>
      </c>
      <c r="FP239" s="164">
        <f>ROUNDDOWN(FH239/10,0)</f>
        <v>4</v>
      </c>
      <c r="FQ239" s="164">
        <f>ROUNDDOWN(FI239/10,0)</f>
        <v>4</v>
      </c>
      <c r="FR239" s="682">
        <v>4</v>
      </c>
      <c r="FS239" s="88">
        <v>2</v>
      </c>
      <c r="FT239" s="88">
        <v>0</v>
      </c>
      <c r="FU239" s="165">
        <v>0</v>
      </c>
      <c r="FV239" s="83" t="s">
        <v>17127</v>
      </c>
      <c r="FW239" s="83" t="s">
        <v>17128</v>
      </c>
      <c r="FX239" s="530" t="s">
        <v>7666</v>
      </c>
      <c r="GA239" s="83"/>
      <c r="GF239" t="s">
        <v>7785</v>
      </c>
    </row>
    <row r="240" spans="8:191" ht="13.2" customHeight="1">
      <c r="H240" s="3"/>
      <c r="I240" s="3"/>
      <c r="J240" s="3"/>
      <c r="K240" s="3"/>
      <c r="L240" s="3"/>
      <c r="M240" s="651"/>
      <c r="N240" s="3"/>
      <c r="O240" s="3"/>
      <c r="P240" s="3"/>
      <c r="Q240" s="3"/>
      <c r="R240" s="651"/>
      <c r="S240" s="83" t="str">
        <f>IF(CareerType=Y240,"Milicien",IF(AllCareers="X","Milicien",IF(OR(SelectRace="homme-bête",SelectRace="peau-verte",SelectRace="créature du chaos",SelectRace="Homme-lézard",SelectRace="skaven"),"",IF(OR(Pays="Désolations du Chaos",Pays="Norsca"),"",IF(OR(SelectRace="Nain",SelectRace="Nain",SelectRace="Halfling",SelectRace="Humain"),"Milicien","")))))</f>
        <v/>
      </c>
      <c r="T240" s="106">
        <f t="shared" si="141"/>
        <v>0</v>
      </c>
      <c r="U240" s="693" t="str">
        <f t="shared" si="127"/>
        <v/>
      </c>
      <c r="V240" s="693" t="str">
        <f t="shared" si="128"/>
        <v/>
      </c>
      <c r="W240" s="693" t="str">
        <f t="shared" si="129"/>
        <v/>
      </c>
      <c r="X240" s="47" t="s">
        <v>2160</v>
      </c>
      <c r="Y240" s="743" t="s">
        <v>7130</v>
      </c>
      <c r="Z240" s="55" t="s">
        <v>2200</v>
      </c>
      <c r="AA240" s="47">
        <v>50</v>
      </c>
      <c r="AB240" s="47" t="s">
        <v>2365</v>
      </c>
      <c r="AC240" s="47">
        <v>145</v>
      </c>
      <c r="AD240" s="15" t="s">
        <v>98</v>
      </c>
      <c r="AE240" s="20" t="s">
        <v>114</v>
      </c>
      <c r="AF240" s="20" t="s">
        <v>114</v>
      </c>
      <c r="AG240" s="20" t="s">
        <v>114</v>
      </c>
      <c r="AH240" s="15" t="s">
        <v>98</v>
      </c>
      <c r="AI240" s="15" t="s">
        <v>149</v>
      </c>
      <c r="AJ240" s="15" t="s">
        <v>149</v>
      </c>
      <c r="AK240" s="18" t="s">
        <v>149</v>
      </c>
      <c r="AL240" s="15" t="s">
        <v>149</v>
      </c>
      <c r="AM240" s="15" t="s">
        <v>113</v>
      </c>
      <c r="AN240" s="15" t="s">
        <v>149</v>
      </c>
      <c r="AO240" s="15" t="s">
        <v>149</v>
      </c>
      <c r="AP240" s="87" t="s">
        <v>15773</v>
      </c>
      <c r="AQ240" s="87" t="s">
        <v>780</v>
      </c>
      <c r="AR240" s="87" t="s">
        <v>17162</v>
      </c>
      <c r="AS240" s="87" t="s">
        <v>15904</v>
      </c>
      <c r="AT240" s="22" t="s">
        <v>3488</v>
      </c>
      <c r="AU240" s="87" t="s">
        <v>5338</v>
      </c>
      <c r="AV240" s="87" t="s">
        <v>4586</v>
      </c>
      <c r="AW240" s="457">
        <v>0</v>
      </c>
      <c r="AX240" s="630" t="str">
        <f t="shared" si="142"/>
        <v/>
      </c>
      <c r="AY240" s="630" t="str">
        <f t="shared" si="143"/>
        <v/>
      </c>
      <c r="AZ240" s="630" t="str">
        <f t="shared" si="144"/>
        <v/>
      </c>
      <c r="BA240" s="3"/>
      <c r="BB240" s="3"/>
      <c r="BC240" s="3"/>
      <c r="BD240" s="3"/>
      <c r="BE240" s="3"/>
      <c r="BF240" s="3"/>
      <c r="BG240" s="3"/>
      <c r="BH240" s="3"/>
      <c r="BI240" s="3"/>
      <c r="BJ240" s="3"/>
      <c r="BK240" s="3"/>
      <c r="BL240" s="3"/>
      <c r="BM240" s="3"/>
      <c r="BN240" s="3"/>
      <c r="BP240" s="3"/>
      <c r="BQ240" s="3"/>
      <c r="BR240" s="3"/>
      <c r="BS240" s="3"/>
      <c r="BT240" s="3"/>
      <c r="BU240" s="3"/>
      <c r="BV240" s="3"/>
      <c r="BW240" s="3"/>
      <c r="BX240" s="3" t="str">
        <f>IF(OR(Province="Kislev oriental (Gospodar)",Province="Kislev oriental (Ungol)"),"Avant-poste militaire est","")</f>
        <v/>
      </c>
      <c r="BY240" t="str">
        <f t="shared" si="130"/>
        <v/>
      </c>
      <c r="BZ240" s="83" t="str">
        <f t="shared" si="122"/>
        <v/>
      </c>
      <c r="CA240" s="83" t="str">
        <f t="shared" si="123"/>
        <v/>
      </c>
      <c r="CB240" s="530" t="str">
        <f t="shared" si="124"/>
        <v/>
      </c>
      <c r="CG240" s="3" t="s">
        <v>6303</v>
      </c>
      <c r="CH240" s="3" t="s">
        <v>3126</v>
      </c>
      <c r="CI240" s="3"/>
      <c r="CJ240" s="3"/>
      <c r="CK240" s="3" t="s">
        <v>6758</v>
      </c>
      <c r="CM240" t="s">
        <v>10388</v>
      </c>
      <c r="CN240" s="3"/>
      <c r="CO240" s="3" t="s">
        <v>11037</v>
      </c>
      <c r="CP240" s="3"/>
      <c r="CQ240" s="3"/>
      <c r="CR240" s="3" t="s">
        <v>13609</v>
      </c>
      <c r="CS240" s="3"/>
      <c r="CT240" s="3"/>
      <c r="CU240" s="3"/>
      <c r="CV240" s="3"/>
      <c r="CW240" s="3"/>
      <c r="CX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U240" s="177" t="str">
        <f>IF(Pays="Arabie","Chiens du Désert d'Al Muktar","")</f>
        <v/>
      </c>
      <c r="EV240" s="83" t="str">
        <f t="shared" si="121"/>
        <v/>
      </c>
      <c r="EW240" s="83" t="str">
        <f t="shared" si="125"/>
        <v/>
      </c>
      <c r="EX240" s="530" t="str">
        <f t="shared" si="126"/>
        <v/>
      </c>
      <c r="EY240" s="177" t="s">
        <v>12398</v>
      </c>
      <c r="EZ240" s="567" t="s">
        <v>17163</v>
      </c>
      <c r="FB240" s="83" t="str">
        <f>IF('page 5'!C7="Humain","Prêtre consacré d'Ulric","")</f>
        <v/>
      </c>
      <c r="FC240" s="133" t="s">
        <v>5751</v>
      </c>
      <c r="FD240" s="83" t="s">
        <v>538</v>
      </c>
      <c r="FE240" s="849">
        <v>199</v>
      </c>
      <c r="FF240">
        <v>54</v>
      </c>
      <c r="FG240">
        <v>46</v>
      </c>
      <c r="FH240">
        <v>48</v>
      </c>
      <c r="FI240">
        <v>46</v>
      </c>
      <c r="FJ240" s="10">
        <v>38</v>
      </c>
      <c r="FK240">
        <v>52</v>
      </c>
      <c r="FL240">
        <v>63</v>
      </c>
      <c r="FM240" s="165">
        <v>54</v>
      </c>
      <c r="FN240" s="88">
        <v>2</v>
      </c>
      <c r="FO240" s="88">
        <v>18</v>
      </c>
      <c r="FP240" s="164">
        <f>ROUNDDOWN(FH240/10,0)</f>
        <v>4</v>
      </c>
      <c r="FQ240" s="164">
        <f>ROUNDDOWN(FI240/10,0)</f>
        <v>4</v>
      </c>
      <c r="FR240" s="682">
        <v>4</v>
      </c>
      <c r="FS240" s="88">
        <v>2</v>
      </c>
      <c r="FT240" s="88">
        <v>0</v>
      </c>
      <c r="FU240" s="165">
        <v>0</v>
      </c>
      <c r="FV240" s="83" t="s">
        <v>17130</v>
      </c>
      <c r="FW240" s="83" t="s">
        <v>17131</v>
      </c>
      <c r="FX240" s="530" t="s">
        <v>7666</v>
      </c>
      <c r="GF240" t="s">
        <v>7786</v>
      </c>
    </row>
    <row r="241" spans="8:188" ht="13.2" customHeight="1">
      <c r="H241" s="3"/>
      <c r="I241" s="3"/>
      <c r="J241" s="3"/>
      <c r="K241" s="3"/>
      <c r="L241" s="3"/>
      <c r="M241" s="651"/>
      <c r="N241" s="3"/>
      <c r="O241" s="3"/>
      <c r="P241" s="3"/>
      <c r="Q241" s="3"/>
      <c r="R241" s="651"/>
      <c r="S241" s="83" t="str">
        <f>IF(CareerType=Y241,"Mineur",IF(AllCareers="X","Mineur",IF(OR(SelectRace="homme-bête",SelectRace="peau-verte",SelectRace="créature du chaos"),"",IF(OR(Pays="Désolations du Chaos",Pays="Norsca"),"",IF(OR(SelectRace="Nain",SelectRace="Humain",SelectRace="skaven"),"Mineur","")))))</f>
        <v/>
      </c>
      <c r="T241" s="106">
        <f t="shared" si="141"/>
        <v>0</v>
      </c>
      <c r="U241" s="693" t="str">
        <f t="shared" si="127"/>
        <v/>
      </c>
      <c r="V241" s="693" t="str">
        <f t="shared" si="128"/>
        <v/>
      </c>
      <c r="W241" s="693" t="str">
        <f t="shared" si="129"/>
        <v/>
      </c>
      <c r="X241" s="47" t="s">
        <v>2160</v>
      </c>
      <c r="Y241" s="743" t="s">
        <v>7132</v>
      </c>
      <c r="Z241" s="55" t="s">
        <v>2200</v>
      </c>
      <c r="AA241" s="47">
        <v>50</v>
      </c>
      <c r="AB241" s="47" t="s">
        <v>2367</v>
      </c>
      <c r="AC241" s="47">
        <v>146</v>
      </c>
      <c r="AD241" s="20" t="s">
        <v>114</v>
      </c>
      <c r="AE241" s="20" t="s">
        <v>114</v>
      </c>
      <c r="AF241" s="15" t="s">
        <v>98</v>
      </c>
      <c r="AG241" s="20" t="s">
        <v>114</v>
      </c>
      <c r="AH241" s="15" t="s">
        <v>149</v>
      </c>
      <c r="AI241" s="20" t="s">
        <v>114</v>
      </c>
      <c r="AJ241" s="20" t="s">
        <v>114</v>
      </c>
      <c r="AK241" s="18" t="s">
        <v>149</v>
      </c>
      <c r="AL241" s="15" t="s">
        <v>149</v>
      </c>
      <c r="AM241" s="15" t="s">
        <v>113</v>
      </c>
      <c r="AN241" s="15" t="s">
        <v>149</v>
      </c>
      <c r="AO241" s="15" t="s">
        <v>149</v>
      </c>
      <c r="AP241" s="22" t="s">
        <v>226</v>
      </c>
      <c r="AQ241" s="87" t="s">
        <v>734</v>
      </c>
      <c r="AR241" s="22" t="s">
        <v>121</v>
      </c>
      <c r="AS241" s="87" t="s">
        <v>14835</v>
      </c>
      <c r="AT241" s="22" t="s">
        <v>3489</v>
      </c>
      <c r="AU241" s="87" t="s">
        <v>17164</v>
      </c>
      <c r="AV241" s="87" t="s">
        <v>4629</v>
      </c>
      <c r="AW241" s="457">
        <v>0</v>
      </c>
      <c r="AX241" s="630" t="str">
        <f t="shared" si="142"/>
        <v/>
      </c>
      <c r="AY241" s="630" t="str">
        <f t="shared" si="143"/>
        <v/>
      </c>
      <c r="AZ241" s="630" t="str">
        <f t="shared" si="144"/>
        <v/>
      </c>
      <c r="BA241" s="3"/>
      <c r="BB241" s="3"/>
      <c r="BC241" s="3"/>
      <c r="BD241" s="3"/>
      <c r="BE241" s="3"/>
      <c r="BF241" s="3"/>
      <c r="BG241" s="3"/>
      <c r="BH241" s="3"/>
      <c r="BI241" s="3"/>
      <c r="BJ241" s="3"/>
      <c r="BK241" s="3"/>
      <c r="BL241" s="3"/>
      <c r="BM241" s="3"/>
      <c r="BN241" s="3"/>
      <c r="BP241" s="3"/>
      <c r="BQ241" s="3"/>
      <c r="BR241" s="3"/>
      <c r="BS241" s="3"/>
      <c r="BT241" s="3"/>
      <c r="BU241" s="3"/>
      <c r="BV241" s="3"/>
      <c r="BW241" s="3"/>
      <c r="BX241" s="3" t="str">
        <f>IF(OR(Province="Kislev occdiental (Gospodar)",Province="Kislev occdiental (Ungol)"),"Avant-poste militaire ouest","")</f>
        <v/>
      </c>
      <c r="BY241" t="str">
        <f t="shared" si="130"/>
        <v/>
      </c>
      <c r="BZ241" s="83" t="str">
        <f t="shared" si="122"/>
        <v/>
      </c>
      <c r="CA241" s="83" t="str">
        <f t="shared" si="123"/>
        <v/>
      </c>
      <c r="CB241" s="530" t="str">
        <f t="shared" si="124"/>
        <v/>
      </c>
      <c r="CG241" s="3" t="s">
        <v>6304</v>
      </c>
      <c r="CH241" s="3" t="s">
        <v>6096</v>
      </c>
      <c r="CI241" s="3"/>
      <c r="CJ241" s="3"/>
      <c r="CK241" s="3" t="s">
        <v>6804</v>
      </c>
      <c r="CM241" t="s">
        <v>10389</v>
      </c>
      <c r="CN241" s="3"/>
      <c r="CO241" s="3" t="s">
        <v>11031</v>
      </c>
      <c r="CP241" s="3"/>
      <c r="CQ241" s="3"/>
      <c r="CR241" s="3" t="s">
        <v>13610</v>
      </c>
      <c r="CS241" s="3"/>
      <c r="CT241" s="3"/>
      <c r="CU241" s="3"/>
      <c r="CV241" s="3"/>
      <c r="CW241" s="3"/>
      <c r="CX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U241" s="177" t="str">
        <f>IF(Pays="Lustrie","Amazones d'Anakonda","")</f>
        <v/>
      </c>
      <c r="EV241" s="83" t="str">
        <f t="shared" si="121"/>
        <v/>
      </c>
      <c r="EW241" s="83" t="str">
        <f t="shared" si="125"/>
        <v/>
      </c>
      <c r="EX241" s="530" t="str">
        <f t="shared" si="126"/>
        <v/>
      </c>
      <c r="EY241" s="85" t="s">
        <v>12149</v>
      </c>
      <c r="EZ241" s="567" t="s">
        <v>12293</v>
      </c>
      <c r="FB241" s="83" t="str">
        <f>IF('page 5'!C7="Humain","Prêtre de Manann","")</f>
        <v/>
      </c>
      <c r="FC241" s="133" t="s">
        <v>5751</v>
      </c>
      <c r="FD241" s="83" t="s">
        <v>538</v>
      </c>
      <c r="FE241" s="849">
        <v>198</v>
      </c>
      <c r="FF241">
        <v>49</v>
      </c>
      <c r="FG241">
        <v>46</v>
      </c>
      <c r="FH241">
        <v>48</v>
      </c>
      <c r="FI241">
        <v>46</v>
      </c>
      <c r="FJ241" s="10">
        <v>43</v>
      </c>
      <c r="FK241">
        <v>52</v>
      </c>
      <c r="FL241">
        <v>63</v>
      </c>
      <c r="FM241" s="165">
        <v>54</v>
      </c>
      <c r="FN241" s="88">
        <v>2</v>
      </c>
      <c r="FO241" s="88">
        <v>18</v>
      </c>
      <c r="FP241" s="164">
        <f>ROUNDDOWN(FH241/10,0)</f>
        <v>4</v>
      </c>
      <c r="FQ241" s="164">
        <f>ROUNDDOWN(FI241/10,0)</f>
        <v>4</v>
      </c>
      <c r="FR241" s="682">
        <v>4</v>
      </c>
      <c r="FS241" s="88">
        <v>2</v>
      </c>
      <c r="FT241" s="88">
        <v>0</v>
      </c>
      <c r="FU241" s="165">
        <v>0</v>
      </c>
      <c r="FV241" s="83" t="s">
        <v>17133</v>
      </c>
      <c r="FW241" s="83" t="s">
        <v>17075</v>
      </c>
      <c r="FX241" s="530" t="s">
        <v>7667</v>
      </c>
      <c r="GF241" t="s">
        <v>8267</v>
      </c>
    </row>
    <row r="242" spans="8:188" ht="13.2" customHeight="1">
      <c r="H242" s="3"/>
      <c r="I242" s="3"/>
      <c r="J242" s="3"/>
      <c r="K242" s="3"/>
      <c r="L242" s="3"/>
      <c r="M242" s="651"/>
      <c r="N242" s="3"/>
      <c r="O242" s="3"/>
      <c r="P242" s="3"/>
      <c r="Q242" s="3"/>
      <c r="R242" s="651"/>
      <c r="S242" s="83" t="str">
        <f>IF(CareerType=Y242,"Moine",IF(AllCareers="X","Moine",IF(Selectsousrace="","",IF(OR(SelectRace="homme-bête",SelectRace="peau-verte",SelectRace="créature du chaos",SelectRace="Homme-lézard",SelectRace="skaven"),"",IF(FirstCareer="1ère carrière","","Moine")))))</f>
        <v/>
      </c>
      <c r="T242" s="106">
        <f t="shared" si="141"/>
        <v>1</v>
      </c>
      <c r="U242" s="693" t="str">
        <f t="shared" si="127"/>
        <v/>
      </c>
      <c r="V242" s="693" t="str">
        <f t="shared" si="128"/>
        <v/>
      </c>
      <c r="W242" s="693" t="str">
        <f t="shared" si="129"/>
        <v/>
      </c>
      <c r="X242" s="47" t="s">
        <v>2153</v>
      </c>
      <c r="Y242" s="743" t="s">
        <v>7131</v>
      </c>
      <c r="Z242" s="55" t="s">
        <v>2200</v>
      </c>
      <c r="AA242" s="47">
        <v>78</v>
      </c>
      <c r="AB242" s="47" t="s">
        <v>2368</v>
      </c>
      <c r="AC242" s="47">
        <v>84</v>
      </c>
      <c r="AD242" s="15" t="s">
        <v>98</v>
      </c>
      <c r="AE242" s="15" t="s">
        <v>149</v>
      </c>
      <c r="AF242" s="20" t="s">
        <v>114</v>
      </c>
      <c r="AG242" s="15" t="s">
        <v>98</v>
      </c>
      <c r="AH242" s="15" t="s">
        <v>149</v>
      </c>
      <c r="AI242" s="15" t="s">
        <v>101</v>
      </c>
      <c r="AJ242" s="15" t="s">
        <v>101</v>
      </c>
      <c r="AK242" s="18" t="s">
        <v>101</v>
      </c>
      <c r="AL242" s="15" t="s">
        <v>149</v>
      </c>
      <c r="AM242" s="15" t="s">
        <v>103</v>
      </c>
      <c r="AN242" s="15" t="s">
        <v>149</v>
      </c>
      <c r="AO242" s="15" t="s">
        <v>149</v>
      </c>
      <c r="AP242" s="22" t="s">
        <v>2369</v>
      </c>
      <c r="AQ242" s="87" t="s">
        <v>734</v>
      </c>
      <c r="AR242" s="87" t="s">
        <v>10069</v>
      </c>
      <c r="AS242" s="87" t="s">
        <v>734</v>
      </c>
      <c r="AT242" s="22" t="s">
        <v>422</v>
      </c>
      <c r="AU242" s="87" t="s">
        <v>5430</v>
      </c>
      <c r="AV242" s="87" t="s">
        <v>17165</v>
      </c>
      <c r="AW242" s="457">
        <v>0</v>
      </c>
      <c r="AX242" s="630" t="str">
        <f t="shared" si="142"/>
        <v/>
      </c>
      <c r="AY242" s="630" t="str">
        <f t="shared" si="143"/>
        <v/>
      </c>
      <c r="AZ242" s="630" t="str">
        <f t="shared" si="144"/>
        <v/>
      </c>
      <c r="BA242" s="3"/>
      <c r="BB242" s="3"/>
      <c r="BC242" s="3"/>
      <c r="BD242" s="3"/>
      <c r="BE242" s="3"/>
      <c r="BF242" s="3"/>
      <c r="BG242" s="3"/>
      <c r="BH242" s="3"/>
      <c r="BI242" s="3"/>
      <c r="BJ242" s="3"/>
      <c r="BK242" s="3"/>
      <c r="BL242" s="3"/>
      <c r="BM242" s="3"/>
      <c r="BN242" s="3"/>
      <c r="BP242" s="3"/>
      <c r="BQ242" s="3"/>
      <c r="BR242" s="3"/>
      <c r="BS242" s="3"/>
      <c r="BT242" s="3"/>
      <c r="BU242" s="3"/>
      <c r="BV242" s="3"/>
      <c r="BW242" s="3"/>
      <c r="BX242" s="3" t="str">
        <f>IF(Pays="Kislev","Grand krug nomade","")</f>
        <v/>
      </c>
      <c r="BY242" t="str">
        <f t="shared" si="130"/>
        <v/>
      </c>
      <c r="BZ242" s="83" t="str">
        <f t="shared" si="122"/>
        <v/>
      </c>
      <c r="CA242" s="83" t="str">
        <f t="shared" si="123"/>
        <v/>
      </c>
      <c r="CB242" s="530" t="str">
        <f t="shared" si="124"/>
        <v/>
      </c>
      <c r="CG242" s="3" t="s">
        <v>6305</v>
      </c>
      <c r="CH242" s="3" t="s">
        <v>6097</v>
      </c>
      <c r="CI242" s="3"/>
      <c r="CJ242" s="3"/>
      <c r="CK242" s="3" t="s">
        <v>6989</v>
      </c>
      <c r="CM242" s="3" t="s">
        <v>6653</v>
      </c>
      <c r="CN242" s="3"/>
      <c r="CO242" s="3" t="s">
        <v>11024</v>
      </c>
      <c r="CP242" s="3"/>
      <c r="CQ242" s="3"/>
      <c r="CR242" s="3" t="s">
        <v>13611</v>
      </c>
      <c r="CS242" s="3"/>
      <c r="CT242" s="3"/>
      <c r="CU242" s="3"/>
      <c r="CV242" s="3"/>
      <c r="CW242" s="3"/>
      <c r="CX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U242" s="177" t="str">
        <f>IF(AND(SelectRace="Elfe",Pays="Ulthuan"),"Prince Dragon de Caledor",IF(SelectRace="Elfe","Maître des Dragons d'Asarnil",""))</f>
        <v/>
      </c>
      <c r="EV242" s="83" t="str">
        <f t="shared" si="121"/>
        <v/>
      </c>
      <c r="EW242" s="83" t="str">
        <f t="shared" si="125"/>
        <v/>
      </c>
      <c r="EX242" s="530" t="str">
        <f t="shared" si="126"/>
        <v/>
      </c>
      <c r="EY242" s="85" t="s">
        <v>14559</v>
      </c>
      <c r="EZ242" s="567" t="s">
        <v>17166</v>
      </c>
      <c r="FB242" s="83" t="str">
        <f>IF('page 5'!C7="Humain","Prêtre de Morr","")</f>
        <v/>
      </c>
      <c r="FC242" s="133" t="s">
        <v>5751</v>
      </c>
      <c r="FD242" s="83" t="s">
        <v>538</v>
      </c>
      <c r="FE242" s="849">
        <v>198</v>
      </c>
      <c r="FF242">
        <v>54</v>
      </c>
      <c r="FG242">
        <v>46</v>
      </c>
      <c r="FH242">
        <v>43</v>
      </c>
      <c r="FI242">
        <v>46</v>
      </c>
      <c r="FJ242" s="10">
        <v>43</v>
      </c>
      <c r="FK242">
        <v>52</v>
      </c>
      <c r="FL242">
        <v>63</v>
      </c>
      <c r="FM242" s="165">
        <v>54</v>
      </c>
      <c r="FN242" s="88">
        <v>2</v>
      </c>
      <c r="FO242" s="88">
        <v>18</v>
      </c>
      <c r="FP242" s="164">
        <f>ROUNDDOWN(FH242/10,0)</f>
        <v>4</v>
      </c>
      <c r="FQ242" s="164">
        <f>ROUNDDOWN(FI242/10,0)</f>
        <v>4</v>
      </c>
      <c r="FR242" s="682">
        <v>4</v>
      </c>
      <c r="FS242" s="88">
        <v>2</v>
      </c>
      <c r="FT242" s="88">
        <v>0</v>
      </c>
      <c r="FU242" s="165">
        <v>0</v>
      </c>
      <c r="FV242" s="83" t="s">
        <v>17135</v>
      </c>
      <c r="FW242" s="83" t="s">
        <v>17136</v>
      </c>
      <c r="FX242" s="530" t="s">
        <v>7667</v>
      </c>
      <c r="GF242" t="s">
        <v>8268</v>
      </c>
    </row>
    <row r="243" spans="8:188" ht="13.2" customHeight="1">
      <c r="H243" s="3"/>
      <c r="I243" s="3"/>
      <c r="J243" s="3"/>
      <c r="K243" s="3"/>
      <c r="L243" s="3"/>
      <c r="M243" s="651"/>
      <c r="N243" s="3"/>
      <c r="O243" s="3"/>
      <c r="P243" s="3"/>
      <c r="Q243" s="3"/>
      <c r="R243" s="651"/>
      <c r="S243" s="83" t="str">
        <f>IF(CareerType=Y243,"Moine de la peste Pestilens",IF(AllCareers="X","Moine de la peste Pestilens",IF(SelectRace="skaven","Moine de la peste Pestilens","")))</f>
        <v/>
      </c>
      <c r="T243" s="106">
        <f t="shared" si="141"/>
        <v>0</v>
      </c>
      <c r="U243" s="693" t="str">
        <f t="shared" si="127"/>
        <v/>
      </c>
      <c r="V243" s="693" t="str">
        <f t="shared" si="128"/>
        <v/>
      </c>
      <c r="W243" s="693" t="str">
        <f t="shared" si="129"/>
        <v/>
      </c>
      <c r="X243" s="47" t="s">
        <v>2160</v>
      </c>
      <c r="Y243" s="743" t="s">
        <v>7131</v>
      </c>
      <c r="Z243" s="56" t="s">
        <v>1328</v>
      </c>
      <c r="AA243" s="47">
        <v>95</v>
      </c>
      <c r="AB243" s="89" t="s">
        <v>10837</v>
      </c>
      <c r="AC243" s="48"/>
      <c r="AD243" s="49" t="s">
        <v>98</v>
      </c>
      <c r="AE243" s="49" t="s">
        <v>149</v>
      </c>
      <c r="AF243" s="57" t="s">
        <v>114</v>
      </c>
      <c r="AG243" s="49" t="s">
        <v>98</v>
      </c>
      <c r="AH243" s="57" t="s">
        <v>114</v>
      </c>
      <c r="AI243" s="49" t="s">
        <v>149</v>
      </c>
      <c r="AJ243" s="49" t="s">
        <v>98</v>
      </c>
      <c r="AK243" s="18" t="s">
        <v>114</v>
      </c>
      <c r="AL243" s="15" t="s">
        <v>149</v>
      </c>
      <c r="AM243" s="15" t="s">
        <v>113</v>
      </c>
      <c r="AN243" s="15" t="s">
        <v>149</v>
      </c>
      <c r="AO243" s="15" t="s">
        <v>149</v>
      </c>
      <c r="AP243" s="87" t="s">
        <v>734</v>
      </c>
      <c r="AQ243" s="22" t="s">
        <v>3090</v>
      </c>
      <c r="AR243" s="22" t="s">
        <v>14836</v>
      </c>
      <c r="AS243" s="87" t="s">
        <v>14837</v>
      </c>
      <c r="AT243" s="22" t="s">
        <v>3490</v>
      </c>
      <c r="AU243" s="87" t="s">
        <v>5497</v>
      </c>
      <c r="AV243" s="87" t="s">
        <v>4794</v>
      </c>
      <c r="AW243" s="457">
        <v>0</v>
      </c>
      <c r="AX243" s="630" t="str">
        <f t="shared" si="142"/>
        <v/>
      </c>
      <c r="AY243" s="630" t="str">
        <f t="shared" si="143"/>
        <v/>
      </c>
      <c r="AZ243" s="630" t="str">
        <f t="shared" si="144"/>
        <v/>
      </c>
      <c r="BA243" s="3"/>
      <c r="BB243" s="3"/>
      <c r="BC243" s="3"/>
      <c r="BD243" s="3"/>
      <c r="BE243" s="3"/>
      <c r="BF243" s="3"/>
      <c r="BG243" s="3"/>
      <c r="BH243" s="3"/>
      <c r="BI243" s="3"/>
      <c r="BJ243" s="3"/>
      <c r="BK243" s="3"/>
      <c r="BL243" s="3"/>
      <c r="BM243" s="3"/>
      <c r="BN243" s="3"/>
      <c r="BP243" s="3"/>
      <c r="BQ243" s="3"/>
      <c r="BR243" s="3"/>
      <c r="BS243" s="3"/>
      <c r="BT243" s="3"/>
      <c r="BU243" s="3"/>
      <c r="BV243" s="3"/>
      <c r="BW243" s="3"/>
      <c r="BX243" s="3" t="str">
        <f>IF(Pays="Kislev","Krug nomade","")</f>
        <v/>
      </c>
      <c r="BY243" t="str">
        <f t="shared" si="130"/>
        <v/>
      </c>
      <c r="BZ243" s="83" t="str">
        <f t="shared" si="122"/>
        <v/>
      </c>
      <c r="CA243" s="83" t="str">
        <f t="shared" si="123"/>
        <v/>
      </c>
      <c r="CB243" s="530" t="str">
        <f t="shared" si="124"/>
        <v/>
      </c>
      <c r="CG243" s="3" t="s">
        <v>6306</v>
      </c>
      <c r="CH243" s="83" t="s">
        <v>15257</v>
      </c>
      <c r="CI243" s="3"/>
      <c r="CJ243" s="3"/>
      <c r="CK243" s="3" t="s">
        <v>6956</v>
      </c>
      <c r="CM243" s="3" t="s">
        <v>6654</v>
      </c>
      <c r="CN243" s="3"/>
      <c r="CO243" s="3" t="s">
        <v>11027</v>
      </c>
      <c r="CP243" s="3"/>
      <c r="CQ243" s="3"/>
      <c r="CR243" t="s">
        <v>13612</v>
      </c>
      <c r="CS243" s="3"/>
      <c r="CT243" s="3"/>
      <c r="CU243" s="3"/>
      <c r="CV243" s="3"/>
      <c r="CW243" s="3"/>
      <c r="CX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U243" s="177" t="str">
        <f>IF(OR(Pays="Norsca",Pays="Désolations du Chaos",Pays="",Pays="Steppes orientales"),"","Companie Maudite")</f>
        <v/>
      </c>
      <c r="EV243" s="83" t="str">
        <f t="shared" si="121"/>
        <v/>
      </c>
      <c r="EW243" s="83" t="str">
        <f t="shared" si="125"/>
        <v/>
      </c>
      <c r="EX243" s="530" t="str">
        <f t="shared" si="126"/>
        <v/>
      </c>
      <c r="EY243" s="85" t="s">
        <v>12304</v>
      </c>
      <c r="EZ243" s="567" t="s">
        <v>243</v>
      </c>
      <c r="FB243" s="83" t="str">
        <f>IF('page 5'!C7="Humain","Prêtre de Myrmidia","")</f>
        <v/>
      </c>
      <c r="FC243" s="133" t="s">
        <v>5751</v>
      </c>
      <c r="FD243" s="83" t="s">
        <v>538</v>
      </c>
      <c r="FE243" s="849">
        <v>198</v>
      </c>
      <c r="FF243">
        <v>54</v>
      </c>
      <c r="FG243">
        <v>46</v>
      </c>
      <c r="FH243">
        <v>43</v>
      </c>
      <c r="FI243">
        <v>46</v>
      </c>
      <c r="FJ243" s="10">
        <v>38</v>
      </c>
      <c r="FK243">
        <v>52</v>
      </c>
      <c r="FL243">
        <v>63</v>
      </c>
      <c r="FM243" s="165">
        <v>54</v>
      </c>
      <c r="FN243" s="88">
        <v>2</v>
      </c>
      <c r="FO243" s="88">
        <v>18</v>
      </c>
      <c r="FP243" s="164">
        <f>ROUNDDOWN(FH243/10,0)</f>
        <v>4</v>
      </c>
      <c r="FQ243" s="164">
        <f>ROUNDDOWN(FI243/10,0)</f>
        <v>4</v>
      </c>
      <c r="FR243" s="682">
        <v>4</v>
      </c>
      <c r="FS243" s="88">
        <v>2</v>
      </c>
      <c r="FT243" s="88">
        <v>0</v>
      </c>
      <c r="FU243" s="165">
        <v>0</v>
      </c>
      <c r="FV243" s="83" t="s">
        <v>17138</v>
      </c>
      <c r="FW243" s="83" t="s">
        <v>17139</v>
      </c>
      <c r="FX243" s="530" t="s">
        <v>7667</v>
      </c>
      <c r="GF243" t="s">
        <v>8276</v>
      </c>
    </row>
    <row r="244" spans="8:188" ht="13.2" customHeight="1">
      <c r="H244" s="3"/>
      <c r="I244" s="3"/>
      <c r="J244" s="3"/>
      <c r="K244" s="3"/>
      <c r="L244" s="3"/>
      <c r="M244" s="651"/>
      <c r="N244" s="3"/>
      <c r="O244" s="3"/>
      <c r="P244" s="3"/>
      <c r="Q244" s="3"/>
      <c r="R244" s="651"/>
      <c r="S244" s="83" t="str">
        <f>IF(CareerType=Y244,"Moine mendiant",IF(AllCareers="X","Moine mendiant",IF(Selectsousrace="","",IF(OR(SelectRace="homme-bête",SelectRace="peau-verte",SelectRace="créature du chaos",SelectRace="Homme-lézard",SelectRace="skaven"),"",IF(FirstCareer="1ère carrière","","Moine mendiant")))))</f>
        <v/>
      </c>
      <c r="T244" s="106">
        <v>2</v>
      </c>
      <c r="U244" s="693" t="str">
        <f t="shared" si="127"/>
        <v/>
      </c>
      <c r="V244" s="693" t="str">
        <f t="shared" si="128"/>
        <v/>
      </c>
      <c r="W244" s="693" t="str">
        <f t="shared" si="129"/>
        <v/>
      </c>
      <c r="X244" s="47" t="s">
        <v>2153</v>
      </c>
      <c r="Y244" s="743" t="s">
        <v>7132</v>
      </c>
      <c r="Z244" s="55" t="s">
        <v>538</v>
      </c>
      <c r="AA244" s="47">
        <v>185</v>
      </c>
      <c r="AB244" s="47" t="s">
        <v>2370</v>
      </c>
      <c r="AC244" s="47">
        <v>148</v>
      </c>
      <c r="AD244" s="15" t="s">
        <v>114</v>
      </c>
      <c r="AE244" s="15" t="s">
        <v>149</v>
      </c>
      <c r="AF244" s="15" t="s">
        <v>114</v>
      </c>
      <c r="AG244" s="15" t="s">
        <v>114</v>
      </c>
      <c r="AH244" s="15" t="s">
        <v>98</v>
      </c>
      <c r="AI244" s="15" t="s">
        <v>99</v>
      </c>
      <c r="AJ244" s="15" t="s">
        <v>101</v>
      </c>
      <c r="AK244" s="18" t="s">
        <v>101</v>
      </c>
      <c r="AL244" s="15" t="s">
        <v>149</v>
      </c>
      <c r="AM244" s="15" t="s">
        <v>103</v>
      </c>
      <c r="AN244" s="15" t="s">
        <v>149</v>
      </c>
      <c r="AO244" s="15" t="s">
        <v>149</v>
      </c>
      <c r="AP244" s="87" t="s">
        <v>15862</v>
      </c>
      <c r="AQ244" s="87" t="s">
        <v>734</v>
      </c>
      <c r="AR244" s="87" t="s">
        <v>10012</v>
      </c>
      <c r="AS244" s="87" t="s">
        <v>734</v>
      </c>
      <c r="AT244" s="22" t="s">
        <v>430</v>
      </c>
      <c r="AU244" s="87" t="s">
        <v>17169</v>
      </c>
      <c r="AV244" s="23" t="s">
        <v>4729</v>
      </c>
      <c r="AW244" s="457">
        <v>0</v>
      </c>
      <c r="AX244" s="630" t="str">
        <f t="shared" si="142"/>
        <v/>
      </c>
      <c r="AY244" s="630" t="str">
        <f t="shared" si="143"/>
        <v/>
      </c>
      <c r="AZ244" s="630" t="str">
        <f t="shared" si="144"/>
        <v/>
      </c>
      <c r="BA244" s="3"/>
      <c r="BB244" s="3"/>
      <c r="BC244" s="3"/>
      <c r="BD244" s="3"/>
      <c r="BE244" s="3"/>
      <c r="BF244" s="3"/>
      <c r="BG244" s="3"/>
      <c r="BH244" s="3"/>
      <c r="BI244" s="3"/>
      <c r="BJ244" s="3"/>
      <c r="BK244" s="3"/>
      <c r="BL244" s="3"/>
      <c r="BM244" s="3"/>
      <c r="BN244" s="3"/>
      <c r="BP244" s="3"/>
      <c r="BQ244" s="3"/>
      <c r="BR244" s="3"/>
      <c r="BS244" s="3"/>
      <c r="BT244" s="3"/>
      <c r="BU244" s="3"/>
      <c r="BV244" s="3"/>
      <c r="BW244" s="3"/>
      <c r="BX244" s="83" t="str">
        <f>IF(Pays="Kislev","Tribu nomade du kislev","")</f>
        <v/>
      </c>
      <c r="BY244" t="str">
        <f t="shared" si="130"/>
        <v/>
      </c>
      <c r="BZ244" s="83" t="str">
        <f t="shared" si="122"/>
        <v/>
      </c>
      <c r="CA244" s="83" t="str">
        <f t="shared" si="123"/>
        <v/>
      </c>
      <c r="CB244" s="530" t="str">
        <f t="shared" si="124"/>
        <v/>
      </c>
      <c r="CG244" s="3" t="s">
        <v>6307</v>
      </c>
      <c r="CH244" s="3" t="s">
        <v>916</v>
      </c>
      <c r="CI244" s="3"/>
      <c r="CJ244" s="3"/>
      <c r="CK244" s="3" t="s">
        <v>6845</v>
      </c>
      <c r="CM244" t="s">
        <v>10391</v>
      </c>
      <c r="CN244" s="3"/>
      <c r="CO244" s="3" t="s">
        <v>11042</v>
      </c>
      <c r="CP244" s="3"/>
      <c r="CQ244" s="3"/>
      <c r="CR244" s="3" t="s">
        <v>13613</v>
      </c>
      <c r="CS244" s="3"/>
      <c r="CT244" s="3"/>
      <c r="CU244" s="3"/>
      <c r="CV244" s="3"/>
      <c r="CW244" s="3"/>
      <c r="CX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U244" s="25" t="str">
        <f>IF(Selectsousrace="Géant","Géants d'Albion","")</f>
        <v/>
      </c>
      <c r="EV244" s="83" t="str">
        <f t="shared" si="121"/>
        <v/>
      </c>
      <c r="EW244" s="83" t="str">
        <f t="shared" si="125"/>
        <v/>
      </c>
      <c r="EX244" s="530" t="str">
        <f t="shared" si="126"/>
        <v/>
      </c>
      <c r="EY244" s="85" t="s">
        <v>12399</v>
      </c>
      <c r="EZ244" s="530" t="s">
        <v>254</v>
      </c>
      <c r="FB244" s="83" t="str">
        <f>IF('page 5'!C7="Humain","Prêtre de Ranald","")</f>
        <v/>
      </c>
      <c r="FC244" s="133" t="s">
        <v>5751</v>
      </c>
      <c r="FD244" s="83" t="s">
        <v>538</v>
      </c>
      <c r="FE244" s="849">
        <v>198</v>
      </c>
      <c r="FF244">
        <v>49</v>
      </c>
      <c r="FG244">
        <v>46</v>
      </c>
      <c r="FH244">
        <v>43</v>
      </c>
      <c r="FI244">
        <v>46</v>
      </c>
      <c r="FJ244" s="10">
        <v>43</v>
      </c>
      <c r="FK244">
        <v>52</v>
      </c>
      <c r="FL244">
        <v>63</v>
      </c>
      <c r="FM244" s="165">
        <v>59</v>
      </c>
      <c r="FN244" s="88">
        <v>2</v>
      </c>
      <c r="FO244" s="88">
        <v>18</v>
      </c>
      <c r="FP244" s="164">
        <f>ROUNDDOWN(FH244/10,0)</f>
        <v>4</v>
      </c>
      <c r="FQ244" s="164">
        <f>ROUNDDOWN(FI244/10,0)</f>
        <v>4</v>
      </c>
      <c r="FR244" s="682">
        <v>4</v>
      </c>
      <c r="FS244" s="88">
        <v>2</v>
      </c>
      <c r="FT244" s="88">
        <v>0</v>
      </c>
      <c r="FU244" s="165">
        <v>0</v>
      </c>
      <c r="FV244" s="83" t="s">
        <v>17141</v>
      </c>
      <c r="FW244" t="s">
        <v>7415</v>
      </c>
      <c r="FX244" s="530" t="s">
        <v>7667</v>
      </c>
      <c r="GF244" t="s">
        <v>8259</v>
      </c>
    </row>
    <row r="245" spans="8:188" ht="13.2" customHeight="1">
      <c r="H245" s="3"/>
      <c r="I245" s="3"/>
      <c r="J245" s="3"/>
      <c r="K245" s="3"/>
      <c r="L245" s="3"/>
      <c r="M245" s="651"/>
      <c r="N245" s="3"/>
      <c r="O245" s="3"/>
      <c r="P245" s="3"/>
      <c r="Q245" s="3"/>
      <c r="R245" s="651"/>
      <c r="S245" s="83" t="str">
        <f>IF(CareerType=Y245,"Moine mendiant lanceur de sorts",IF(AllCareers="X","Moine mendiant lanceur de sorts",IF(FirstCareer="1ère carrière","",IF(SelectRace="Halfling","",IF(SelectRace="Nain","",IF(OR(SelectRace="homme-bête",SelectRace="peau-verte",SelectRace="créature du chaos",SelectRace="Homme-lézard",SelectRace="skaven"),"",IF(Pays="Empire","Moine mendiant lanceur de sorts","")))))))</f>
        <v/>
      </c>
      <c r="T245" s="106">
        <v>2</v>
      </c>
      <c r="U245" s="693" t="str">
        <f t="shared" si="127"/>
        <v/>
      </c>
      <c r="V245" s="693" t="str">
        <f t="shared" si="128"/>
        <v/>
      </c>
      <c r="W245" s="693" t="str">
        <f t="shared" si="129"/>
        <v/>
      </c>
      <c r="X245" s="47" t="s">
        <v>2153</v>
      </c>
      <c r="Y245" s="743" t="s">
        <v>15709</v>
      </c>
      <c r="Z245" s="55" t="s">
        <v>538</v>
      </c>
      <c r="AA245" s="47">
        <v>186</v>
      </c>
      <c r="AB245" s="47" t="s">
        <v>2370</v>
      </c>
      <c r="AC245" s="47">
        <v>148</v>
      </c>
      <c r="AD245" s="15" t="s">
        <v>114</v>
      </c>
      <c r="AE245" s="15" t="s">
        <v>149</v>
      </c>
      <c r="AF245" s="15" t="s">
        <v>114</v>
      </c>
      <c r="AG245" s="15" t="s">
        <v>114</v>
      </c>
      <c r="AH245" s="15" t="s">
        <v>98</v>
      </c>
      <c r="AI245" s="15" t="s">
        <v>99</v>
      </c>
      <c r="AJ245" s="15" t="s">
        <v>101</v>
      </c>
      <c r="AK245" s="18" t="s">
        <v>101</v>
      </c>
      <c r="AL245" s="15" t="s">
        <v>149</v>
      </c>
      <c r="AM245" s="15" t="s">
        <v>103</v>
      </c>
      <c r="AN245" s="15" t="s">
        <v>149</v>
      </c>
      <c r="AO245" s="15" t="s">
        <v>149</v>
      </c>
      <c r="AP245" s="87" t="s">
        <v>15862</v>
      </c>
      <c r="AQ245" s="87" t="s">
        <v>734</v>
      </c>
      <c r="AR245" s="87" t="s">
        <v>10013</v>
      </c>
      <c r="AS245" s="87" t="s">
        <v>734</v>
      </c>
      <c r="AT245" s="22" t="s">
        <v>430</v>
      </c>
      <c r="AU245" s="87" t="s">
        <v>17172</v>
      </c>
      <c r="AV245" s="23" t="s">
        <v>4729</v>
      </c>
      <c r="AW245" s="457">
        <v>0</v>
      </c>
      <c r="AX245" s="630" t="str">
        <f t="shared" si="142"/>
        <v/>
      </c>
      <c r="AY245" s="630" t="str">
        <f t="shared" si="143"/>
        <v/>
      </c>
      <c r="AZ245" s="630" t="str">
        <f t="shared" si="144"/>
        <v/>
      </c>
      <c r="BA245" s="3"/>
      <c r="BB245" s="3"/>
      <c r="BC245" s="3"/>
      <c r="BD245" s="3"/>
      <c r="BE245" s="3"/>
      <c r="BF245" s="3"/>
      <c r="BG245" s="3"/>
      <c r="BH245" s="3"/>
      <c r="BI245" s="3"/>
      <c r="BJ245" s="3"/>
      <c r="BK245" s="3"/>
      <c r="BL245" s="3"/>
      <c r="BM245" s="3"/>
      <c r="BN245" s="3"/>
      <c r="BP245" s="3"/>
      <c r="BQ245" s="3"/>
      <c r="BR245" s="3"/>
      <c r="BS245" s="3"/>
      <c r="BT245" s="3"/>
      <c r="BU245" s="3"/>
      <c r="BV245" s="3"/>
      <c r="BW245" s="3"/>
      <c r="BX245" s="3" t="str">
        <f>IF(Province="République de Remas","Bourg de Remas","")</f>
        <v/>
      </c>
      <c r="BY245" t="str">
        <f t="shared" si="130"/>
        <v/>
      </c>
      <c r="BZ245" s="83" t="str">
        <f t="shared" si="122"/>
        <v/>
      </c>
      <c r="CA245" s="83" t="str">
        <f t="shared" si="123"/>
        <v/>
      </c>
      <c r="CB245" s="530" t="str">
        <f t="shared" si="124"/>
        <v/>
      </c>
      <c r="CG245" s="3" t="s">
        <v>6308</v>
      </c>
      <c r="CH245" s="3" t="s">
        <v>6098</v>
      </c>
      <c r="CI245" s="3"/>
      <c r="CJ245" s="3"/>
      <c r="CK245" s="3" t="s">
        <v>6920</v>
      </c>
      <c r="CM245" t="s">
        <v>10392</v>
      </c>
      <c r="CN245" s="3"/>
      <c r="CO245" s="3" t="s">
        <v>11032</v>
      </c>
      <c r="CP245" s="3"/>
      <c r="CQ245" s="3"/>
      <c r="CR245" s="3" t="s">
        <v>13614</v>
      </c>
      <c r="CS245" s="3"/>
      <c r="CT245" s="3"/>
      <c r="CU245" s="3"/>
      <c r="CV245" s="3"/>
      <c r="CW245" s="3"/>
      <c r="CX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U245" s="25" t="str">
        <f>IF(OR(Selectsousrace="Ogre",Selectsousrace="demi-ogre"),"Mercenaires de Golgfag","")</f>
        <v/>
      </c>
      <c r="EV245" s="83" t="str">
        <f t="shared" si="121"/>
        <v/>
      </c>
      <c r="EW245" s="83" t="str">
        <f t="shared" si="125"/>
        <v/>
      </c>
      <c r="EX245" s="530" t="str">
        <f t="shared" si="126"/>
        <v/>
      </c>
      <c r="EY245" s="85" t="s">
        <v>12399</v>
      </c>
      <c r="EZ245" s="530" t="s">
        <v>254</v>
      </c>
      <c r="FB245" s="83" t="str">
        <f>IF('page 5'!C7="Humain","Prêtre de Shallya","")</f>
        <v/>
      </c>
      <c r="FC245" s="133" t="s">
        <v>5751</v>
      </c>
      <c r="FD245" s="83" t="s">
        <v>538</v>
      </c>
      <c r="FE245" s="849">
        <v>198</v>
      </c>
      <c r="FF245">
        <v>49</v>
      </c>
      <c r="FG245">
        <v>46</v>
      </c>
      <c r="FH245">
        <v>43</v>
      </c>
      <c r="FI245">
        <v>46</v>
      </c>
      <c r="FJ245" s="10">
        <v>43</v>
      </c>
      <c r="FK245">
        <v>52</v>
      </c>
      <c r="FL245">
        <v>63</v>
      </c>
      <c r="FM245" s="165">
        <v>59</v>
      </c>
      <c r="FN245" s="88">
        <v>2</v>
      </c>
      <c r="FO245" s="88">
        <v>18</v>
      </c>
      <c r="FP245" s="164">
        <f>ROUNDDOWN(FH245/10,0)</f>
        <v>4</v>
      </c>
      <c r="FQ245" s="164">
        <f>ROUNDDOWN(FI245/10,0)</f>
        <v>4</v>
      </c>
      <c r="FR245" s="682">
        <v>4</v>
      </c>
      <c r="FS245" s="88">
        <v>2</v>
      </c>
      <c r="FT245" s="88">
        <v>0</v>
      </c>
      <c r="FU245" s="165">
        <v>0</v>
      </c>
      <c r="FV245" s="83" t="s">
        <v>17144</v>
      </c>
      <c r="FW245" s="83" t="s">
        <v>17145</v>
      </c>
      <c r="FX245" s="530" t="s">
        <v>7667</v>
      </c>
      <c r="GF245" t="s">
        <v>8260</v>
      </c>
    </row>
    <row r="246" spans="8:188" ht="13.2" customHeight="1">
      <c r="H246" s="3"/>
      <c r="I246" s="3"/>
      <c r="J246" s="3"/>
      <c r="K246" s="3"/>
      <c r="L246" s="3"/>
      <c r="M246" s="651"/>
      <c r="N246" s="3"/>
      <c r="O246" s="3"/>
      <c r="P246" s="3"/>
      <c r="Q246" s="3"/>
      <c r="R246" s="651"/>
      <c r="S246" s="83" t="str">
        <f>IF(CareerType=Y246,"Monte-en-l'air",IF(AllCareers="X","Monte-en-l'air",IF(Selectsousrace="","",IF(OR(SelectRace="homme-bête",SelectRace="peau-verte",SelectRace="créature du chaos",SelectRace="Homme-lézard",SelectRace="skaven"),"",IF(FirstCareer="1ère carrière","","Monte-en-l'air")))))</f>
        <v/>
      </c>
      <c r="T246" s="106">
        <f>IF(X246="oui",0,1)</f>
        <v>1</v>
      </c>
      <c r="U246" s="693" t="str">
        <f t="shared" si="127"/>
        <v/>
      </c>
      <c r="V246" s="693" t="str">
        <f t="shared" si="128"/>
        <v/>
      </c>
      <c r="W246" s="693" t="str">
        <f t="shared" si="129"/>
        <v/>
      </c>
      <c r="X246" s="47" t="s">
        <v>2153</v>
      </c>
      <c r="Y246" s="743" t="s">
        <v>7133</v>
      </c>
      <c r="Z246" s="55" t="s">
        <v>2200</v>
      </c>
      <c r="AA246" s="47">
        <v>79</v>
      </c>
      <c r="AB246" s="47" t="s">
        <v>2371</v>
      </c>
      <c r="AC246" s="47">
        <v>43</v>
      </c>
      <c r="AD246" s="15" t="s">
        <v>98</v>
      </c>
      <c r="AE246" s="15" t="s">
        <v>98</v>
      </c>
      <c r="AF246" s="20" t="s">
        <v>114</v>
      </c>
      <c r="AG246" s="20" t="s">
        <v>114</v>
      </c>
      <c r="AH246" s="15" t="s">
        <v>99</v>
      </c>
      <c r="AI246" s="15" t="s">
        <v>98</v>
      </c>
      <c r="AJ246" s="15" t="s">
        <v>98</v>
      </c>
      <c r="AK246" s="18" t="s">
        <v>149</v>
      </c>
      <c r="AL246" s="15" t="s">
        <v>149</v>
      </c>
      <c r="AM246" s="15" t="s">
        <v>103</v>
      </c>
      <c r="AN246" s="15" t="s">
        <v>149</v>
      </c>
      <c r="AO246" s="15" t="s">
        <v>149</v>
      </c>
      <c r="AP246" s="87" t="s">
        <v>10022</v>
      </c>
      <c r="AQ246" s="87" t="s">
        <v>734</v>
      </c>
      <c r="AR246" s="22" t="s">
        <v>15682</v>
      </c>
      <c r="AS246" s="87" t="s">
        <v>734</v>
      </c>
      <c r="AT246" s="22" t="s">
        <v>3491</v>
      </c>
      <c r="AU246" s="87" t="s">
        <v>17174</v>
      </c>
      <c r="AV246" s="87" t="s">
        <v>4621</v>
      </c>
      <c r="AW246" s="457">
        <v>0</v>
      </c>
      <c r="AX246" s="630" t="str">
        <f t="shared" si="142"/>
        <v/>
      </c>
      <c r="AY246" s="630" t="str">
        <f t="shared" si="143"/>
        <v/>
      </c>
      <c r="AZ246" s="630" t="str">
        <f t="shared" si="144"/>
        <v/>
      </c>
      <c r="BA246" s="3"/>
      <c r="BB246" s="3"/>
      <c r="BC246" s="3"/>
      <c r="BD246" s="3"/>
      <c r="BE246" s="3"/>
      <c r="BF246" s="3"/>
      <c r="BG246" s="3"/>
      <c r="BH246" s="3"/>
      <c r="BI246" s="3"/>
      <c r="BJ246" s="3"/>
      <c r="BK246" s="3"/>
      <c r="BL246" s="3"/>
      <c r="BM246" s="3"/>
      <c r="BN246" s="3"/>
      <c r="BP246" s="3"/>
      <c r="BQ246" s="3"/>
      <c r="BR246" s="3"/>
      <c r="BS246" s="3"/>
      <c r="BT246" s="3"/>
      <c r="BU246" s="3"/>
      <c r="BV246" s="3"/>
      <c r="BW246" s="3"/>
      <c r="BX246" s="3" t="str">
        <f>IF(Province="Principauté de Sartosa","Bourg de Sartosa","")</f>
        <v/>
      </c>
      <c r="BY246" t="str">
        <f t="shared" si="130"/>
        <v/>
      </c>
      <c r="BZ246" s="83" t="str">
        <f t="shared" si="122"/>
        <v/>
      </c>
      <c r="CA246" s="83" t="str">
        <f t="shared" si="123"/>
        <v/>
      </c>
      <c r="CB246" s="530" t="str">
        <f t="shared" si="124"/>
        <v/>
      </c>
      <c r="CG246" s="83" t="s">
        <v>15252</v>
      </c>
      <c r="CH246" s="3" t="s">
        <v>6099</v>
      </c>
      <c r="CI246" s="3"/>
      <c r="CJ246" s="3"/>
      <c r="CK246" s="3" t="s">
        <v>6883</v>
      </c>
      <c r="CM246" t="s">
        <v>10403</v>
      </c>
      <c r="CN246" s="3"/>
      <c r="CO246" s="3" t="s">
        <v>11035</v>
      </c>
      <c r="CP246" s="3"/>
      <c r="CQ246" s="3"/>
      <c r="CR246" s="83" t="s">
        <v>13615</v>
      </c>
      <c r="CS246" s="3"/>
      <c r="CT246" s="3"/>
      <c r="CU246" s="3"/>
      <c r="CV246" s="3"/>
      <c r="CW246" s="3"/>
      <c r="CX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U246" s="25" t="str">
        <f>IF(OR(Pays="Norsca",Pays="Désolations du Chaos",Pays="",Pays="Steppes orientales"),"","PiratesTueursdeLongDrongSilver")</f>
        <v/>
      </c>
      <c r="EV246" s="83" t="str">
        <f t="shared" si="121"/>
        <v/>
      </c>
      <c r="EW246" s="83" t="str">
        <f t="shared" si="125"/>
        <v/>
      </c>
      <c r="EX246" s="530" t="str">
        <f t="shared" si="126"/>
        <v/>
      </c>
      <c r="EY246" s="85" t="s">
        <v>12481</v>
      </c>
      <c r="EZ246" s="530" t="s">
        <v>12479</v>
      </c>
      <c r="FB246" s="83" t="str">
        <f>IF('page 5'!C7="Humain","Prêtre de Sigmar","")</f>
        <v/>
      </c>
      <c r="FC246" s="133" t="s">
        <v>5751</v>
      </c>
      <c r="FD246" s="83" t="s">
        <v>538</v>
      </c>
      <c r="FE246" s="849">
        <v>198</v>
      </c>
      <c r="FF246">
        <v>54</v>
      </c>
      <c r="FG246">
        <v>46</v>
      </c>
      <c r="FH246">
        <v>48</v>
      </c>
      <c r="FI246">
        <v>46</v>
      </c>
      <c r="FJ246" s="10">
        <v>38</v>
      </c>
      <c r="FK246">
        <v>52</v>
      </c>
      <c r="FL246">
        <v>63</v>
      </c>
      <c r="FM246" s="165">
        <v>54</v>
      </c>
      <c r="FN246" s="88">
        <v>2</v>
      </c>
      <c r="FO246" s="88">
        <v>18</v>
      </c>
      <c r="FP246" s="164">
        <f>ROUNDDOWN(FH246/10,0)</f>
        <v>4</v>
      </c>
      <c r="FQ246" s="164">
        <f>ROUNDDOWN(FI246/10,0)</f>
        <v>4</v>
      </c>
      <c r="FR246" s="682">
        <v>4</v>
      </c>
      <c r="FS246" s="88">
        <v>2</v>
      </c>
      <c r="FT246" s="88">
        <v>0</v>
      </c>
      <c r="FU246" s="165">
        <v>0</v>
      </c>
      <c r="FV246" s="83" t="s">
        <v>17148</v>
      </c>
      <c r="FW246" s="83" t="s">
        <v>17149</v>
      </c>
      <c r="FX246" s="530" t="s">
        <v>7667</v>
      </c>
      <c r="GF246" t="s">
        <v>7787</v>
      </c>
    </row>
    <row r="247" spans="8:188" ht="13.2" customHeight="1">
      <c r="H247" s="3"/>
      <c r="I247" s="3"/>
      <c r="J247" s="3"/>
      <c r="K247" s="3"/>
      <c r="L247" s="3"/>
      <c r="M247" s="651"/>
      <c r="N247" s="3"/>
      <c r="O247" s="3"/>
      <c r="P247" s="3"/>
      <c r="Q247" s="3"/>
      <c r="R247" s="651"/>
      <c r="S247" s="83" t="str">
        <f>IF(CareerType=Y247,"Muletier",IF(AllCareers="X","Muletier",IF(Selectsousrace="","",IF(OR(SelectRace="homme-bête",SelectRace="peau-verte",SelectRace="créature du chaos",SelectRace="Homme-lézard",SelectRace="skaven"),"",IF(SelectRace="skaven","",IF(FirstCareer="1ère carrière","","Muletier"))))))</f>
        <v/>
      </c>
      <c r="T247" s="106">
        <f>IF(X247="oui",0,1)</f>
        <v>1</v>
      </c>
      <c r="U247" s="693" t="str">
        <f t="shared" si="127"/>
        <v/>
      </c>
      <c r="V247" s="693" t="str">
        <f t="shared" si="128"/>
        <v/>
      </c>
      <c r="W247" s="693" t="str">
        <f t="shared" si="129"/>
        <v/>
      </c>
      <c r="X247" s="47" t="s">
        <v>2153</v>
      </c>
      <c r="Y247" s="743" t="s">
        <v>7132</v>
      </c>
      <c r="Z247" s="55" t="s">
        <v>2204</v>
      </c>
      <c r="AA247" s="47">
        <v>54</v>
      </c>
      <c r="AB247" s="47" t="s">
        <v>2372</v>
      </c>
      <c r="AC247" s="47">
        <v>149</v>
      </c>
      <c r="AD247" s="15" t="s">
        <v>114</v>
      </c>
      <c r="AE247" s="15" t="s">
        <v>98</v>
      </c>
      <c r="AF247" s="15" t="s">
        <v>149</v>
      </c>
      <c r="AG247" s="15" t="s">
        <v>114</v>
      </c>
      <c r="AH247" s="15" t="s">
        <v>98</v>
      </c>
      <c r="AI247" s="15" t="s">
        <v>98</v>
      </c>
      <c r="AJ247" s="15" t="s">
        <v>114</v>
      </c>
      <c r="AK247" s="18" t="s">
        <v>149</v>
      </c>
      <c r="AL247" s="15" t="s">
        <v>149</v>
      </c>
      <c r="AM247" s="15" t="s">
        <v>113</v>
      </c>
      <c r="AN247" s="15" t="s">
        <v>149</v>
      </c>
      <c r="AO247" s="15" t="s">
        <v>149</v>
      </c>
      <c r="AP247" s="22" t="s">
        <v>1111</v>
      </c>
      <c r="AQ247" s="87" t="s">
        <v>734</v>
      </c>
      <c r="AR247" s="22" t="s">
        <v>2373</v>
      </c>
      <c r="AS247" s="87" t="s">
        <v>734</v>
      </c>
      <c r="AT247" s="87" t="s">
        <v>16050</v>
      </c>
      <c r="AU247" s="87" t="s">
        <v>17177</v>
      </c>
      <c r="AV247" s="87" t="s">
        <v>4764</v>
      </c>
      <c r="AW247" s="457">
        <v>0</v>
      </c>
      <c r="AX247" s="630" t="str">
        <f t="shared" si="142"/>
        <v/>
      </c>
      <c r="AY247" s="630" t="str">
        <f t="shared" si="143"/>
        <v/>
      </c>
      <c r="AZ247" s="630" t="str">
        <f t="shared" si="144"/>
        <v/>
      </c>
      <c r="BA247" s="3"/>
      <c r="BB247" s="3"/>
      <c r="BC247" s="3"/>
      <c r="BD247" s="3"/>
      <c r="BE247" s="3"/>
      <c r="BF247" s="3"/>
      <c r="BG247" s="3"/>
      <c r="BH247" s="3"/>
      <c r="BI247" s="3"/>
      <c r="BJ247" s="3"/>
      <c r="BK247" s="3"/>
      <c r="BL247" s="3"/>
      <c r="BM247" s="3"/>
      <c r="BN247" s="3"/>
      <c r="BP247" s="3"/>
      <c r="BQ247" s="3"/>
      <c r="BR247" s="3"/>
      <c r="BS247" s="3"/>
      <c r="BT247" s="3"/>
      <c r="BU247" s="3"/>
      <c r="BV247" s="3"/>
      <c r="BW247" s="3"/>
      <c r="BX247" s="3" t="str">
        <f>IF(Province="Principauté de Tobaro","Bourg de Tobaro","")</f>
        <v/>
      </c>
      <c r="BY247" t="str">
        <f t="shared" si="130"/>
        <v/>
      </c>
      <c r="BZ247" s="83" t="str">
        <f t="shared" si="122"/>
        <v/>
      </c>
      <c r="CA247" s="83" t="str">
        <f t="shared" si="123"/>
        <v/>
      </c>
      <c r="CB247" s="530" t="str">
        <f t="shared" si="124"/>
        <v/>
      </c>
      <c r="CG247" s="3" t="s">
        <v>6309</v>
      </c>
      <c r="CH247" s="3" t="s">
        <v>3127</v>
      </c>
      <c r="CI247" s="3"/>
      <c r="CJ247" s="3"/>
      <c r="CK247" s="3" t="s">
        <v>6757</v>
      </c>
      <c r="CM247" t="s">
        <v>10393</v>
      </c>
      <c r="CN247" s="3"/>
      <c r="CO247" s="3" t="str">
        <f>CONCATENATE("Makais",IF(AND('page 1'!M11="Féminin",Pays="Norsca"),"dottir",IF(AND('page 1'!M11="Masculin",Pays="Norsca"),"son",IF(AND('page 1'!M11="Féminin",Pays="Kislev"),"ovna",IF(AND('page 1'!M11="Masculin",Pays="Kislev"),"sky","")))))</f>
        <v>Makais</v>
      </c>
      <c r="CP247" s="3"/>
      <c r="CQ247" s="3"/>
      <c r="CR247" s="3" t="s">
        <v>13616</v>
      </c>
      <c r="CS247" s="3"/>
      <c r="CT247" s="3"/>
      <c r="CU247" s="3"/>
      <c r="CV247" s="3"/>
      <c r="CW247" s="3"/>
      <c r="CX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U247" s="177" t="str">
        <f>IF(SelectRace="homme-bête","Mange-les-Rats de Ghorroz ","")</f>
        <v/>
      </c>
      <c r="EV247" s="83" t="str">
        <f t="shared" si="121"/>
        <v/>
      </c>
      <c r="EW247" s="83" t="str">
        <f t="shared" si="125"/>
        <v/>
      </c>
      <c r="EX247" s="530" t="str">
        <f t="shared" si="126"/>
        <v/>
      </c>
      <c r="EY247" s="85" t="s">
        <v>5621</v>
      </c>
      <c r="EZ247" s="530" t="s">
        <v>12315</v>
      </c>
      <c r="FB247" s="83" t="str">
        <f>IF('page 5'!C7="Humain","Prêtre de Taal et Rhya","")</f>
        <v/>
      </c>
      <c r="FC247" s="133" t="s">
        <v>5751</v>
      </c>
      <c r="FD247" s="83" t="s">
        <v>538</v>
      </c>
      <c r="FE247" s="849">
        <v>198</v>
      </c>
      <c r="FF247">
        <v>54</v>
      </c>
      <c r="FG247">
        <v>46</v>
      </c>
      <c r="FH247">
        <v>48</v>
      </c>
      <c r="FI247">
        <v>46</v>
      </c>
      <c r="FJ247" s="10">
        <v>38</v>
      </c>
      <c r="FK247">
        <v>52</v>
      </c>
      <c r="FL247">
        <v>63</v>
      </c>
      <c r="FM247" s="165">
        <v>54</v>
      </c>
      <c r="FN247" s="88">
        <v>2</v>
      </c>
      <c r="FO247" s="88">
        <v>18</v>
      </c>
      <c r="FP247" s="164">
        <f>ROUNDDOWN(FH247/10,0)</f>
        <v>4</v>
      </c>
      <c r="FQ247" s="164">
        <f>ROUNDDOWN(FI247/10,0)</f>
        <v>4</v>
      </c>
      <c r="FR247" s="682">
        <v>4</v>
      </c>
      <c r="FS247" s="88">
        <v>2</v>
      </c>
      <c r="FT247" s="88">
        <v>0</v>
      </c>
      <c r="FU247" s="165">
        <v>0</v>
      </c>
      <c r="FV247" s="83" t="s">
        <v>17153</v>
      </c>
      <c r="FW247" s="83" t="s">
        <v>17154</v>
      </c>
      <c r="FX247" s="530" t="s">
        <v>7667</v>
      </c>
      <c r="GF247" t="s">
        <v>8277</v>
      </c>
    </row>
    <row r="248" spans="8:188" ht="13.2" customHeight="1">
      <c r="H248" s="3"/>
      <c r="I248" s="3"/>
      <c r="J248" s="3"/>
      <c r="K248" s="3"/>
      <c r="L248" s="3"/>
      <c r="M248" s="651"/>
      <c r="N248" s="3"/>
      <c r="O248" s="3"/>
      <c r="P248" s="3"/>
      <c r="Q248" s="3"/>
      <c r="R248" s="651"/>
      <c r="S248" s="83" t="str">
        <f>IF(CareerType=Y248,"Murid",IF(AllCareers="X","Murid",IF(OR(FirstCareer="1ère carrière",SelectRace="homme-bête",SelectRace="peau-verte",SelectRace="créature du chaos",SelectRace="Homme-lézard",SelectRace="skaven"),"",IF(Pays="Arabie","Murid",""))))</f>
        <v/>
      </c>
      <c r="T248" s="106">
        <v>2</v>
      </c>
      <c r="U248" s="693" t="str">
        <f t="shared" si="127"/>
        <v/>
      </c>
      <c r="V248" s="693" t="str">
        <f t="shared" si="128"/>
        <v/>
      </c>
      <c r="W248" s="693" t="str">
        <f t="shared" si="129"/>
        <v/>
      </c>
      <c r="X248" s="89" t="s">
        <v>2153</v>
      </c>
      <c r="Y248" s="743" t="s">
        <v>15709</v>
      </c>
      <c r="Z248" s="56" t="s">
        <v>9975</v>
      </c>
      <c r="AA248" s="89">
        <v>240</v>
      </c>
      <c r="AB248" s="89" t="s">
        <v>10041</v>
      </c>
      <c r="AD248" s="105" t="s">
        <v>101</v>
      </c>
      <c r="AE248" s="105" t="s">
        <v>98</v>
      </c>
      <c r="AF248" s="105" t="s">
        <v>98</v>
      </c>
      <c r="AG248" s="105" t="s">
        <v>101</v>
      </c>
      <c r="AH248" s="105" t="s">
        <v>98</v>
      </c>
      <c r="AI248" s="105" t="s">
        <v>101</v>
      </c>
      <c r="AJ248" s="105" t="s">
        <v>99</v>
      </c>
      <c r="AK248" s="443" t="s">
        <v>116</v>
      </c>
      <c r="AL248" s="105" t="s">
        <v>113</v>
      </c>
      <c r="AM248" s="105" t="s">
        <v>112</v>
      </c>
      <c r="AN248" s="105" t="s">
        <v>149</v>
      </c>
      <c r="AO248" s="105" t="s">
        <v>113</v>
      </c>
      <c r="AP248" s="87" t="s">
        <v>10792</v>
      </c>
      <c r="AQ248" s="87" t="s">
        <v>734</v>
      </c>
      <c r="AR248" s="87" t="s">
        <v>10090</v>
      </c>
      <c r="AS248" s="87" t="s">
        <v>734</v>
      </c>
      <c r="AT248" s="87" t="s">
        <v>10091</v>
      </c>
      <c r="AU248" s="87" t="s">
        <v>10129</v>
      </c>
      <c r="AV248" s="87" t="s">
        <v>14862</v>
      </c>
      <c r="AW248" s="458">
        <v>0</v>
      </c>
      <c r="AX248" s="630" t="str">
        <f t="shared" si="142"/>
        <v/>
      </c>
      <c r="AY248" s="630" t="str">
        <f t="shared" si="143"/>
        <v/>
      </c>
      <c r="AZ248" s="630" t="str">
        <f t="shared" si="144"/>
        <v/>
      </c>
      <c r="BA248" s="3"/>
      <c r="BB248" s="3"/>
      <c r="BC248" s="3"/>
      <c r="BD248" s="3"/>
      <c r="BE248" s="3"/>
      <c r="BF248" s="3"/>
      <c r="BG248" s="3"/>
      <c r="BH248" s="3"/>
      <c r="BI248" s="3"/>
      <c r="BJ248" s="3"/>
      <c r="BK248" s="3"/>
      <c r="BL248" s="3"/>
      <c r="BM248" s="3"/>
      <c r="BN248" s="3"/>
      <c r="BP248" s="3"/>
      <c r="BQ248" s="3"/>
      <c r="BR248" s="3"/>
      <c r="BS248" s="3"/>
      <c r="BT248" s="3"/>
      <c r="BU248" s="3"/>
      <c r="BV248" s="3"/>
      <c r="BW248" s="3"/>
      <c r="BX248" s="3" t="str">
        <f>IF(Province="République de Verezzo","Bourg de Verezzo","")</f>
        <v/>
      </c>
      <c r="BY248" t="str">
        <f t="shared" si="130"/>
        <v/>
      </c>
      <c r="BZ248" s="83" t="str">
        <f t="shared" si="122"/>
        <v/>
      </c>
      <c r="CA248" s="83" t="str">
        <f t="shared" si="123"/>
        <v/>
      </c>
      <c r="CB248" s="530" t="str">
        <f t="shared" si="124"/>
        <v/>
      </c>
      <c r="CG248" s="3" t="s">
        <v>3141</v>
      </c>
      <c r="CH248" s="3" t="s">
        <v>6100</v>
      </c>
      <c r="CI248" s="3"/>
      <c r="CJ248" s="3"/>
      <c r="CK248" s="3" t="s">
        <v>6803</v>
      </c>
      <c r="CM248" t="s">
        <v>10394</v>
      </c>
      <c r="CN248" s="3"/>
      <c r="CO248" s="3" t="s">
        <v>11033</v>
      </c>
      <c r="CP248" s="3"/>
      <c r="CQ248" s="3"/>
      <c r="CR248" s="3" t="s">
        <v>13617</v>
      </c>
      <c r="CS248" s="3"/>
      <c r="CT248" s="3"/>
      <c r="CU248" s="3"/>
      <c r="CV248" s="3"/>
      <c r="CW248" s="3"/>
      <c r="CX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U248" s="177" t="str">
        <f>IF(SelectRace="homme-bête","Harde de Khazrak le Borgne","")</f>
        <v/>
      </c>
      <c r="EV248" s="83" t="str">
        <f t="shared" si="121"/>
        <v/>
      </c>
      <c r="EW248" s="83" t="str">
        <f t="shared" si="125"/>
        <v/>
      </c>
      <c r="EX248" s="530" t="str">
        <f t="shared" si="126"/>
        <v/>
      </c>
      <c r="EY248" s="85" t="s">
        <v>12400</v>
      </c>
      <c r="FB248" s="83" t="str">
        <f>IF('page 5'!C7="Humain","Prêtre de Véréna","")</f>
        <v/>
      </c>
      <c r="FC248" s="133" t="s">
        <v>5751</v>
      </c>
      <c r="FD248" s="83" t="s">
        <v>538</v>
      </c>
      <c r="FE248" s="849">
        <v>198</v>
      </c>
      <c r="FF248">
        <v>49</v>
      </c>
      <c r="FG248">
        <v>46</v>
      </c>
      <c r="FH248">
        <v>43</v>
      </c>
      <c r="FI248">
        <v>46</v>
      </c>
      <c r="FJ248" s="10">
        <v>54</v>
      </c>
      <c r="FK248">
        <v>52</v>
      </c>
      <c r="FL248">
        <v>63</v>
      </c>
      <c r="FM248" s="165">
        <v>59</v>
      </c>
      <c r="FN248" s="88">
        <v>2</v>
      </c>
      <c r="FO248" s="88">
        <v>18</v>
      </c>
      <c r="FP248" s="164">
        <f>ROUNDDOWN(FH248/10,0)</f>
        <v>4</v>
      </c>
      <c r="FQ248" s="164">
        <f>ROUNDDOWN(FI248/10,0)</f>
        <v>4</v>
      </c>
      <c r="FR248" s="682">
        <v>4</v>
      </c>
      <c r="FS248" s="88">
        <v>2</v>
      </c>
      <c r="FT248" s="88">
        <v>0</v>
      </c>
      <c r="FU248" s="165">
        <v>0</v>
      </c>
      <c r="FV248" s="83" t="s">
        <v>17158</v>
      </c>
      <c r="FW248" t="s">
        <v>7416</v>
      </c>
      <c r="FX248" s="530" t="s">
        <v>7667</v>
      </c>
      <c r="GF248" t="s">
        <v>8261</v>
      </c>
    </row>
    <row r="249" spans="8:188" ht="13.2" customHeight="1">
      <c r="H249" s="3"/>
      <c r="I249" s="3"/>
      <c r="J249" s="3"/>
      <c r="K249" s="3"/>
      <c r="L249" s="3"/>
      <c r="M249" s="651"/>
      <c r="N249" s="3"/>
      <c r="O249" s="3"/>
      <c r="P249" s="3"/>
      <c r="Q249" s="3"/>
      <c r="R249" s="651"/>
      <c r="S249" s="83" t="str">
        <f>IF(CareerType=Y249,"Murshid",IF(AllCareers="X","Murshid",IF(OR(FirstCareer="1ère carrière",SelectRace="homme-bête",SelectRace="peau-verte",SelectRace="créature du chaos",SelectRace="Homme-lézard",SelectRace="skaven"),"",IF(Pays="Arabie","Murshid",""))))</f>
        <v/>
      </c>
      <c r="T249" s="106">
        <v>3</v>
      </c>
      <c r="U249" s="693" t="str">
        <f t="shared" si="127"/>
        <v/>
      </c>
      <c r="V249" s="693" t="str">
        <f t="shared" si="128"/>
        <v/>
      </c>
      <c r="W249" s="693" t="str">
        <f t="shared" si="129"/>
        <v/>
      </c>
      <c r="X249" s="89" t="s">
        <v>2153</v>
      </c>
      <c r="Y249" s="743" t="s">
        <v>15709</v>
      </c>
      <c r="Z249" s="56" t="s">
        <v>9975</v>
      </c>
      <c r="AA249" s="89">
        <v>240</v>
      </c>
      <c r="AB249" s="89" t="s">
        <v>10042</v>
      </c>
      <c r="AD249" s="105" t="s">
        <v>100</v>
      </c>
      <c r="AE249" s="105" t="s">
        <v>101</v>
      </c>
      <c r="AF249" s="105" t="s">
        <v>98</v>
      </c>
      <c r="AG249" s="105" t="s">
        <v>100</v>
      </c>
      <c r="AH249" s="105" t="s">
        <v>100</v>
      </c>
      <c r="AI249" s="105" t="s">
        <v>99</v>
      </c>
      <c r="AJ249" s="105" t="s">
        <v>116</v>
      </c>
      <c r="AK249" s="443" t="s">
        <v>97</v>
      </c>
      <c r="AL249" s="105" t="s">
        <v>113</v>
      </c>
      <c r="AM249" s="105" t="s">
        <v>98</v>
      </c>
      <c r="AN249" s="105" t="s">
        <v>149</v>
      </c>
      <c r="AO249" s="105" t="s">
        <v>115</v>
      </c>
      <c r="AP249" s="87" t="s">
        <v>10041</v>
      </c>
      <c r="AQ249" s="87" t="s">
        <v>734</v>
      </c>
      <c r="AR249" s="87" t="s">
        <v>10095</v>
      </c>
      <c r="AS249" s="87" t="s">
        <v>734</v>
      </c>
      <c r="AT249" s="87" t="s">
        <v>10096</v>
      </c>
      <c r="AU249" s="87" t="s">
        <v>10097</v>
      </c>
      <c r="AV249" s="87" t="s">
        <v>14863</v>
      </c>
      <c r="AW249" s="458">
        <v>0</v>
      </c>
      <c r="AX249" s="630" t="str">
        <f t="shared" si="142"/>
        <v/>
      </c>
      <c r="AY249" s="630" t="str">
        <f t="shared" si="143"/>
        <v/>
      </c>
      <c r="AZ249" s="630" t="str">
        <f t="shared" si="144"/>
        <v/>
      </c>
      <c r="BA249" s="3"/>
      <c r="BB249" s="3"/>
      <c r="BC249" s="3"/>
      <c r="BD249" s="3"/>
      <c r="BE249" s="3"/>
      <c r="BF249" s="3"/>
      <c r="BG249" s="3"/>
      <c r="BH249" s="3"/>
      <c r="BI249" s="3"/>
      <c r="BJ249" s="3"/>
      <c r="BK249" s="3"/>
      <c r="BL249" s="3"/>
      <c r="BM249" s="3"/>
      <c r="BN249" s="3"/>
      <c r="BP249" s="3"/>
      <c r="BQ249" s="3"/>
      <c r="BR249" s="3"/>
      <c r="BS249" s="3"/>
      <c r="BT249" s="3"/>
      <c r="BU249" s="3"/>
      <c r="BV249" s="3"/>
      <c r="BW249" s="3"/>
      <c r="BX249" s="3" t="str">
        <f>IF(Province="Principauté de Luccini","Ville prospère de Luccini","")</f>
        <v/>
      </c>
      <c r="BY249" t="str">
        <f t="shared" si="130"/>
        <v/>
      </c>
      <c r="BZ249" s="83" t="str">
        <f t="shared" si="122"/>
        <v/>
      </c>
      <c r="CA249" s="83" t="str">
        <f t="shared" si="123"/>
        <v/>
      </c>
      <c r="CB249" s="530" t="str">
        <f t="shared" si="124"/>
        <v/>
      </c>
      <c r="CG249" s="3" t="s">
        <v>6310</v>
      </c>
      <c r="CH249" s="3" t="s">
        <v>6101</v>
      </c>
      <c r="CI249" s="3"/>
      <c r="CJ249" s="3"/>
      <c r="CK249" s="3" t="s">
        <v>6988</v>
      </c>
      <c r="CM249" s="3" t="s">
        <v>6655</v>
      </c>
      <c r="CN249" s="3"/>
      <c r="CO249" s="3" t="s">
        <v>11029</v>
      </c>
      <c r="CP249" s="3"/>
      <c r="CQ249" s="3"/>
      <c r="CR249" t="s">
        <v>14251</v>
      </c>
      <c r="CS249" s="3"/>
      <c r="CT249" s="3"/>
      <c r="CU249" s="3"/>
      <c r="CV249" s="3"/>
      <c r="CW249" s="3"/>
      <c r="CX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U249" s="177" t="str">
        <f>IF(SelectRace="homme-bête","Harde de Khorok Tue-les-Hommes","")</f>
        <v/>
      </c>
      <c r="EV249" s="83" t="str">
        <f t="shared" si="121"/>
        <v/>
      </c>
      <c r="EW249" s="83" t="str">
        <f t="shared" si="125"/>
        <v/>
      </c>
      <c r="EX249" s="530" t="str">
        <f t="shared" si="126"/>
        <v/>
      </c>
      <c r="EY249" s="85" t="s">
        <v>12317</v>
      </c>
      <c r="EZ249" s="530" t="s">
        <v>12316</v>
      </c>
      <c r="FB249" s="83" t="str">
        <f>IF('page 5'!C7="Humain","Prêtre d'Ulric","")</f>
        <v/>
      </c>
      <c r="FC249" s="133" t="s">
        <v>5751</v>
      </c>
      <c r="FD249" s="83" t="s">
        <v>538</v>
      </c>
      <c r="FE249" s="849">
        <v>198</v>
      </c>
      <c r="FF249">
        <v>54</v>
      </c>
      <c r="FG249">
        <v>46</v>
      </c>
      <c r="FH249">
        <v>48</v>
      </c>
      <c r="FI249">
        <v>46</v>
      </c>
      <c r="FJ249" s="10">
        <v>38</v>
      </c>
      <c r="FK249">
        <v>52</v>
      </c>
      <c r="FL249">
        <v>63</v>
      </c>
      <c r="FM249" s="165">
        <v>54</v>
      </c>
      <c r="FN249" s="88">
        <v>2</v>
      </c>
      <c r="FO249" s="88">
        <v>18</v>
      </c>
      <c r="FP249" s="164">
        <f>ROUNDDOWN(FH249/10,0)</f>
        <v>4</v>
      </c>
      <c r="FQ249" s="164">
        <f>ROUNDDOWN(FI249/10,0)</f>
        <v>4</v>
      </c>
      <c r="FR249" s="682">
        <v>4</v>
      </c>
      <c r="FS249" s="88">
        <v>2</v>
      </c>
      <c r="FT249" s="88">
        <v>0</v>
      </c>
      <c r="FU249" s="165">
        <v>0</v>
      </c>
      <c r="FV249" s="83" t="s">
        <v>17160</v>
      </c>
      <c r="FW249" s="83" t="s">
        <v>17161</v>
      </c>
      <c r="FX249" s="530" t="s">
        <v>7667</v>
      </c>
      <c r="GF249" t="s">
        <v>8262</v>
      </c>
    </row>
    <row r="250" spans="8:188" ht="13.2" customHeight="1">
      <c r="H250" s="3"/>
      <c r="I250" s="3"/>
      <c r="J250" s="3"/>
      <c r="K250" s="3"/>
      <c r="L250" s="3"/>
      <c r="M250" s="651"/>
      <c r="N250" s="3"/>
      <c r="O250" s="3"/>
      <c r="P250" s="3"/>
      <c r="Q250" s="3"/>
      <c r="R250" s="651"/>
      <c r="S250" s="83" t="str">
        <f>IF(CareerType=Y250,"Myrmidon",IF(AllCareers="X","Myrmidon",IF(OR(FirstCareer="1ère carrière",SelectRace="homme-bête",SelectRace="peau-verte",SelectRace="créature du chaos",SelectRace="Homme-lézard",SelectRace="Myrmidon"),"","Myrmidon")))</f>
        <v/>
      </c>
      <c r="T250" s="85">
        <v>1</v>
      </c>
      <c r="U250" s="693" t="str">
        <f t="shared" si="127"/>
        <v/>
      </c>
      <c r="V250" s="693" t="str">
        <f t="shared" si="128"/>
        <v/>
      </c>
      <c r="W250" s="693" t="str">
        <f t="shared" si="129"/>
        <v/>
      </c>
      <c r="X250" s="89" t="s">
        <v>2153</v>
      </c>
      <c r="Y250" s="744" t="s">
        <v>7130</v>
      </c>
      <c r="Z250" s="56" t="s">
        <v>15646</v>
      </c>
      <c r="AA250" s="2">
        <v>124</v>
      </c>
      <c r="AB250" s="2" t="s">
        <v>16161</v>
      </c>
      <c r="AD250" s="16" t="s">
        <v>100</v>
      </c>
      <c r="AE250" s="16" t="s">
        <v>149</v>
      </c>
      <c r="AF250" s="16" t="s">
        <v>100</v>
      </c>
      <c r="AG250" s="16" t="s">
        <v>98</v>
      </c>
      <c r="AH250" s="16" t="s">
        <v>100</v>
      </c>
      <c r="AI250" s="16" t="s">
        <v>149</v>
      </c>
      <c r="AJ250" s="16" t="s">
        <v>100</v>
      </c>
      <c r="AK250" s="19" t="s">
        <v>149</v>
      </c>
      <c r="AL250" s="16" t="s">
        <v>102</v>
      </c>
      <c r="AM250" s="16" t="s">
        <v>112</v>
      </c>
      <c r="AN250" s="16" t="s">
        <v>149</v>
      </c>
      <c r="AO250" s="16" t="s">
        <v>149</v>
      </c>
      <c r="AP250" s="846" t="s">
        <v>16162</v>
      </c>
      <c r="AQ250" s="23" t="s">
        <v>734</v>
      </c>
      <c r="AR250" s="141" t="s">
        <v>17181</v>
      </c>
      <c r="AS250" s="23" t="s">
        <v>734</v>
      </c>
      <c r="AT250" s="23" t="s">
        <v>16163</v>
      </c>
      <c r="AU250" s="23" t="s">
        <v>16164</v>
      </c>
      <c r="AV250" s="87" t="s">
        <v>17182</v>
      </c>
      <c r="AW250" s="458">
        <v>0</v>
      </c>
      <c r="AX250" s="630" t="str">
        <f t="shared" si="142"/>
        <v/>
      </c>
      <c r="AY250" s="630" t="str">
        <f t="shared" si="143"/>
        <v/>
      </c>
      <c r="AZ250" s="630" t="str">
        <f t="shared" si="144"/>
        <v/>
      </c>
      <c r="BA250" s="3"/>
      <c r="BB250" s="3"/>
      <c r="BC250" s="3"/>
      <c r="BD250" s="3"/>
      <c r="BE250" s="3"/>
      <c r="BF250" s="3"/>
      <c r="BG250" s="3"/>
      <c r="BH250" s="3"/>
      <c r="BI250" s="3"/>
      <c r="BJ250" s="3"/>
      <c r="BK250" s="3"/>
      <c r="BL250" s="3"/>
      <c r="BM250" s="3"/>
      <c r="BN250" s="3"/>
      <c r="BP250" s="3"/>
      <c r="BQ250" s="3"/>
      <c r="BR250" s="3"/>
      <c r="BS250" s="3"/>
      <c r="BT250" s="3"/>
      <c r="BU250" s="3"/>
      <c r="BV250" s="3"/>
      <c r="BW250" s="3"/>
      <c r="BX250" s="3" t="str">
        <f>IF(Province="Principauté de Remas","Ville prospère de Remas","")</f>
        <v/>
      </c>
      <c r="BY250" t="str">
        <f t="shared" si="130"/>
        <v/>
      </c>
      <c r="BZ250" s="83" t="str">
        <f t="shared" si="122"/>
        <v/>
      </c>
      <c r="CA250" s="83" t="str">
        <f t="shared" si="123"/>
        <v/>
      </c>
      <c r="CB250" s="530" t="str">
        <f t="shared" si="124"/>
        <v/>
      </c>
      <c r="CG250" s="83" t="s">
        <v>14921</v>
      </c>
      <c r="CH250" s="3" t="s">
        <v>6102</v>
      </c>
      <c r="CI250" s="3"/>
      <c r="CJ250" s="3"/>
      <c r="CK250" s="3" t="s">
        <v>6955</v>
      </c>
      <c r="CM250" s="3" t="s">
        <v>6656</v>
      </c>
      <c r="CN250" s="3"/>
      <c r="CO250" s="3" t="s">
        <v>11026</v>
      </c>
      <c r="CP250" s="3"/>
      <c r="CQ250" s="3"/>
      <c r="CR250" s="3" t="s">
        <v>13618</v>
      </c>
      <c r="CS250" s="3"/>
      <c r="CT250" s="3"/>
      <c r="CU250" s="3"/>
      <c r="CV250" s="3"/>
      <c r="CW250" s="3"/>
      <c r="CX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U250" s="177" t="str">
        <f>IF(SelectRace="homme-bête","Harde de la Corne Barbelée","")</f>
        <v/>
      </c>
      <c r="EV250" s="83" t="str">
        <f t="shared" si="121"/>
        <v/>
      </c>
      <c r="EW250" s="83" t="str">
        <f t="shared" si="125"/>
        <v/>
      </c>
      <c r="EX250" s="530" t="str">
        <f t="shared" si="126"/>
        <v/>
      </c>
      <c r="EZ250" s="567" t="s">
        <v>12318</v>
      </c>
      <c r="FB250" s="83" t="str">
        <f>IF(OR('page 5'!C7="Humain",'page 5'!C7="Elfe"),"Sorcier apprenti","")</f>
        <v/>
      </c>
      <c r="FC250" s="133" t="s">
        <v>5751</v>
      </c>
      <c r="FD250" s="83" t="s">
        <v>7365</v>
      </c>
      <c r="FE250" s="849">
        <v>110</v>
      </c>
      <c r="FF250">
        <v>25</v>
      </c>
      <c r="FG250">
        <v>30</v>
      </c>
      <c r="FH250">
        <v>25</v>
      </c>
      <c r="FI250">
        <v>30</v>
      </c>
      <c r="FJ250" s="10">
        <v>40</v>
      </c>
      <c r="FK250">
        <v>50</v>
      </c>
      <c r="FL250">
        <v>35</v>
      </c>
      <c r="FM250" s="165">
        <v>40</v>
      </c>
      <c r="FN250" s="88">
        <v>1</v>
      </c>
      <c r="FO250" s="88">
        <v>11</v>
      </c>
      <c r="FP250" s="164">
        <f>ROUNDDOWN(FH250/10,0)</f>
        <v>2</v>
      </c>
      <c r="FQ250" s="164">
        <f>ROUNDDOWN(FI250/10,0)</f>
        <v>3</v>
      </c>
      <c r="FR250" s="682">
        <v>4</v>
      </c>
      <c r="FS250" s="88">
        <v>1</v>
      </c>
      <c r="FT250" s="88">
        <v>0</v>
      </c>
      <c r="FU250" s="165">
        <v>0</v>
      </c>
      <c r="FV250" s="83" t="s">
        <v>7442</v>
      </c>
      <c r="FW250" s="83" t="s">
        <v>7395</v>
      </c>
      <c r="FX250" s="530" t="s">
        <v>7668</v>
      </c>
      <c r="GF250" t="s">
        <v>7788</v>
      </c>
    </row>
    <row r="251" spans="8:188" ht="13.2" customHeight="1">
      <c r="H251" s="3"/>
      <c r="I251" s="3"/>
      <c r="J251" s="3"/>
      <c r="K251" s="3"/>
      <c r="L251" s="3"/>
      <c r="M251" s="651"/>
      <c r="N251" s="3"/>
      <c r="O251" s="3"/>
      <c r="P251" s="3"/>
      <c r="Q251" s="3"/>
      <c r="R251" s="651"/>
      <c r="S251" s="83" t="str">
        <f>IF(CareerType=Y251,"Mystique",IF(AllCareers="X","Mystique",IF(Selectsousrace="","",IF(OR(SelectRace="homme-bête",SelectRace="peau-verte",SelectRace="créature du chaos",SelectRace="Homme-lézard",SelectRace="skaven"),"",IF(FirstCareer="1ère carrière","","Mystique")))))</f>
        <v/>
      </c>
      <c r="T251" s="106">
        <f t="shared" ref="T251:T283" si="145">IF(X251="oui",0,1)</f>
        <v>1</v>
      </c>
      <c r="U251" s="693" t="str">
        <f t="shared" si="127"/>
        <v/>
      </c>
      <c r="V251" s="693" t="str">
        <f t="shared" si="128"/>
        <v/>
      </c>
      <c r="W251" s="693" t="str">
        <f t="shared" si="129"/>
        <v/>
      </c>
      <c r="X251" s="47" t="s">
        <v>2153</v>
      </c>
      <c r="Y251" s="743" t="s">
        <v>7131</v>
      </c>
      <c r="Z251" s="55" t="s">
        <v>2204</v>
      </c>
      <c r="AA251" s="47">
        <v>53</v>
      </c>
      <c r="AB251" s="47" t="s">
        <v>2374</v>
      </c>
      <c r="AC251" s="47">
        <v>150</v>
      </c>
      <c r="AD251" s="15" t="s">
        <v>149</v>
      </c>
      <c r="AE251" s="15" t="s">
        <v>149</v>
      </c>
      <c r="AF251" s="15" t="s">
        <v>149</v>
      </c>
      <c r="AG251" s="15" t="s">
        <v>98</v>
      </c>
      <c r="AH251" s="15" t="s">
        <v>98</v>
      </c>
      <c r="AI251" s="15" t="s">
        <v>98</v>
      </c>
      <c r="AJ251" s="15" t="s">
        <v>101</v>
      </c>
      <c r="AK251" s="18" t="s">
        <v>101</v>
      </c>
      <c r="AL251" s="15" t="s">
        <v>149</v>
      </c>
      <c r="AM251" s="15" t="s">
        <v>103</v>
      </c>
      <c r="AN251" s="15" t="s">
        <v>149</v>
      </c>
      <c r="AO251" s="15" t="s">
        <v>149</v>
      </c>
      <c r="AP251" s="87" t="s">
        <v>10094</v>
      </c>
      <c r="AQ251" s="87" t="s">
        <v>734</v>
      </c>
      <c r="AR251" s="87" t="s">
        <v>10014</v>
      </c>
      <c r="AS251" s="87" t="s">
        <v>734</v>
      </c>
      <c r="AT251" s="87" t="s">
        <v>10159</v>
      </c>
      <c r="AU251" s="87" t="s">
        <v>5386</v>
      </c>
      <c r="AV251" s="87" t="s">
        <v>4698</v>
      </c>
      <c r="AW251" s="457">
        <v>0</v>
      </c>
      <c r="AX251" s="630" t="str">
        <f t="shared" si="142"/>
        <v/>
      </c>
      <c r="AY251" s="630" t="str">
        <f t="shared" si="143"/>
        <v/>
      </c>
      <c r="AZ251" s="630" t="str">
        <f t="shared" si="144"/>
        <v/>
      </c>
      <c r="BA251" s="3"/>
      <c r="BB251" s="3"/>
      <c r="BC251" s="3"/>
      <c r="BD251" s="3"/>
      <c r="BE251" s="3"/>
      <c r="BF251" s="3"/>
      <c r="BG251" s="3"/>
      <c r="BH251" s="3"/>
      <c r="BI251" s="3"/>
      <c r="BJ251" s="3"/>
      <c r="BK251" s="3"/>
      <c r="BL251" s="3"/>
      <c r="BM251" s="3"/>
      <c r="BN251" s="3"/>
      <c r="BP251" s="3"/>
      <c r="BQ251" s="3"/>
      <c r="BR251" s="3"/>
      <c r="BS251" s="3"/>
      <c r="BT251" s="3"/>
      <c r="BU251" s="3"/>
      <c r="BV251" s="3"/>
      <c r="BW251" s="3"/>
      <c r="BX251" s="3" t="str">
        <f>IF(Province="Principauté de Sartosa","Ville prospère de Sartosa","")</f>
        <v/>
      </c>
      <c r="BY251" t="str">
        <f t="shared" si="130"/>
        <v/>
      </c>
      <c r="BZ251" s="83" t="str">
        <f t="shared" si="122"/>
        <v/>
      </c>
      <c r="CA251" s="83" t="str">
        <f t="shared" si="123"/>
        <v/>
      </c>
      <c r="CB251" s="530" t="str">
        <f t="shared" si="124"/>
        <v/>
      </c>
      <c r="CG251" s="3" t="s">
        <v>6311</v>
      </c>
      <c r="CH251" s="3" t="s">
        <v>6103</v>
      </c>
      <c r="CI251" s="3"/>
      <c r="CJ251" s="3"/>
      <c r="CK251" s="3" t="s">
        <v>6844</v>
      </c>
      <c r="CM251" t="s">
        <v>10400</v>
      </c>
      <c r="CN251" s="3"/>
      <c r="CO251" s="3" t="s">
        <v>11025</v>
      </c>
      <c r="CP251" s="3"/>
      <c r="CQ251" s="3"/>
      <c r="CR251" s="83" t="s">
        <v>13619</v>
      </c>
      <c r="CS251" s="3"/>
      <c r="CT251" s="3"/>
      <c r="CU251" s="3"/>
      <c r="CV251" s="3"/>
      <c r="CW251" s="3"/>
      <c r="CX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U251" s="177" t="str">
        <f>IF(SelectRace="homme-bête","Harde de Gorthor le Seigneur des Bêtes","")</f>
        <v/>
      </c>
      <c r="EV251" s="83" t="str">
        <f t="shared" si="121"/>
        <v/>
      </c>
      <c r="EW251" s="83" t="str">
        <f t="shared" si="125"/>
        <v/>
      </c>
      <c r="EX251" s="530" t="str">
        <f t="shared" si="126"/>
        <v/>
      </c>
      <c r="EY251" s="83" t="s">
        <v>9625</v>
      </c>
      <c r="EZ251" s="530" t="s">
        <v>12319</v>
      </c>
      <c r="FB251" s="83" t="str">
        <f>IF(OR('page 5'!C7="Humain",'page 5'!C7="Elfe"),"Sorcier compagnon","")</f>
        <v/>
      </c>
      <c r="FC251" s="133" t="s">
        <v>5751</v>
      </c>
      <c r="FD251" s="83" t="s">
        <v>7365</v>
      </c>
      <c r="FE251" s="849">
        <v>110</v>
      </c>
      <c r="FF251">
        <v>25</v>
      </c>
      <c r="FG251">
        <v>30</v>
      </c>
      <c r="FH251">
        <v>25</v>
      </c>
      <c r="FI251">
        <v>30</v>
      </c>
      <c r="FJ251" s="10">
        <v>40</v>
      </c>
      <c r="FK251">
        <v>50</v>
      </c>
      <c r="FL251">
        <v>45</v>
      </c>
      <c r="FM251" s="165">
        <v>40</v>
      </c>
      <c r="FN251" s="88">
        <v>1</v>
      </c>
      <c r="FO251" s="88">
        <v>13</v>
      </c>
      <c r="FP251" s="164">
        <f>ROUNDDOWN(FH251/10,0)</f>
        <v>2</v>
      </c>
      <c r="FQ251" s="164">
        <f>ROUNDDOWN(FI251/10,0)</f>
        <v>3</v>
      </c>
      <c r="FR251" s="682">
        <v>4</v>
      </c>
      <c r="FS251" s="88">
        <v>1</v>
      </c>
      <c r="FT251" s="88">
        <v>0</v>
      </c>
      <c r="FU251" s="165">
        <v>0</v>
      </c>
      <c r="FV251" s="83" t="s">
        <v>7442</v>
      </c>
      <c r="FW251" s="90" t="s">
        <v>7396</v>
      </c>
      <c r="FX251" s="540" t="s">
        <v>7667</v>
      </c>
      <c r="GF251" t="s">
        <v>7789</v>
      </c>
    </row>
    <row r="252" spans="8:188" ht="13.2" customHeight="1">
      <c r="H252" s="3"/>
      <c r="I252" s="3"/>
      <c r="J252" s="3"/>
      <c r="K252" s="3"/>
      <c r="L252" s="3"/>
      <c r="M252" s="651"/>
      <c r="N252" s="3"/>
      <c r="O252" s="3"/>
      <c r="P252" s="3"/>
      <c r="Q252" s="3"/>
      <c r="R252" s="651"/>
      <c r="S252" s="83" t="str">
        <f>IF(CareerType=Y252,"Mystique strigany",IF(AllCareers="X","Mystique strigany",IF(Selectsousrace&lt;&gt;"Humain","",IF('page 1'!M11="","",IF('page 1'!M11="masculin","",IF('page 1'!M11="féminin",IF(Pays="","",IF(OR(Pays="Empire",Pays="Estalie",Pays="Tilée"),"Mystique strigany",""))))))))</f>
        <v/>
      </c>
      <c r="T252" s="106">
        <f t="shared" si="145"/>
        <v>0</v>
      </c>
      <c r="U252" s="693" t="str">
        <f t="shared" si="127"/>
        <v/>
      </c>
      <c r="V252" s="693" t="str">
        <f t="shared" si="128"/>
        <v/>
      </c>
      <c r="W252" s="693" t="str">
        <f t="shared" si="129"/>
        <v/>
      </c>
      <c r="X252" s="47" t="s">
        <v>2160</v>
      </c>
      <c r="Y252" s="743" t="s">
        <v>7132</v>
      </c>
      <c r="Z252" s="55" t="s">
        <v>2198</v>
      </c>
      <c r="AA252" s="47">
        <v>94</v>
      </c>
      <c r="AB252" s="47" t="s">
        <v>2375</v>
      </c>
      <c r="AC252" s="47">
        <v>203</v>
      </c>
      <c r="AD252" s="15" t="s">
        <v>114</v>
      </c>
      <c r="AE252" s="15" t="s">
        <v>114</v>
      </c>
      <c r="AF252" s="15" t="s">
        <v>149</v>
      </c>
      <c r="AG252" s="15" t="s">
        <v>149</v>
      </c>
      <c r="AH252" s="15" t="s">
        <v>114</v>
      </c>
      <c r="AI252" s="15" t="s">
        <v>114</v>
      </c>
      <c r="AJ252" s="15" t="s">
        <v>98</v>
      </c>
      <c r="AK252" s="18" t="s">
        <v>98</v>
      </c>
      <c r="AL252" s="15" t="s">
        <v>149</v>
      </c>
      <c r="AM252" s="15" t="s">
        <v>113</v>
      </c>
      <c r="AN252" s="15" t="s">
        <v>149</v>
      </c>
      <c r="AO252" s="15" t="s">
        <v>149</v>
      </c>
      <c r="AP252" s="22" t="s">
        <v>734</v>
      </c>
      <c r="AQ252" s="87" t="s">
        <v>734</v>
      </c>
      <c r="AR252" s="22" t="s">
        <v>461</v>
      </c>
      <c r="AS252" s="87" t="s">
        <v>734</v>
      </c>
      <c r="AT252" s="22" t="s">
        <v>3492</v>
      </c>
      <c r="AU252" s="87" t="s">
        <v>17184</v>
      </c>
      <c r="AV252" s="87" t="s">
        <v>15711</v>
      </c>
      <c r="AW252" s="457">
        <v>0</v>
      </c>
      <c r="AX252" s="630" t="str">
        <f t="shared" si="142"/>
        <v/>
      </c>
      <c r="AY252" s="630" t="str">
        <f t="shared" si="143"/>
        <v/>
      </c>
      <c r="AZ252" s="630" t="str">
        <f t="shared" si="144"/>
        <v/>
      </c>
      <c r="BA252" s="3"/>
      <c r="BB252" s="3"/>
      <c r="BC252" s="3"/>
      <c r="BD252" s="3"/>
      <c r="BE252" s="3"/>
      <c r="BF252" s="3"/>
      <c r="BG252" s="3"/>
      <c r="BH252" s="3"/>
      <c r="BI252" s="3"/>
      <c r="BJ252" s="3"/>
      <c r="BK252" s="3"/>
      <c r="BL252" s="3"/>
      <c r="BM252" s="3"/>
      <c r="BN252" s="3"/>
      <c r="BP252" s="3"/>
      <c r="BQ252" s="3"/>
      <c r="BR252" s="3"/>
      <c r="BS252" s="3"/>
      <c r="BT252" s="3"/>
      <c r="BU252" s="3"/>
      <c r="BV252" s="3"/>
      <c r="BW252" s="3"/>
      <c r="BX252" s="3" t="str">
        <f>IF(Province="Principauté de Tobaro","Ville prospère de Tobaro","")</f>
        <v/>
      </c>
      <c r="BY252" t="str">
        <f t="shared" si="130"/>
        <v/>
      </c>
      <c r="BZ252" s="83" t="str">
        <f t="shared" si="122"/>
        <v/>
      </c>
      <c r="CA252" s="83" t="str">
        <f t="shared" si="123"/>
        <v/>
      </c>
      <c r="CB252" s="530" t="str">
        <f t="shared" si="124"/>
        <v/>
      </c>
      <c r="CG252" s="3" t="s">
        <v>6312</v>
      </c>
      <c r="CH252" s="3" t="s">
        <v>6104</v>
      </c>
      <c r="CI252" s="3"/>
      <c r="CJ252" s="3"/>
      <c r="CK252" s="83" t="s">
        <v>15039</v>
      </c>
      <c r="CM252" s="3" t="s">
        <v>6657</v>
      </c>
      <c r="CN252" s="3"/>
      <c r="CO252" s="3" t="s">
        <v>11028</v>
      </c>
      <c r="CP252" s="3"/>
      <c r="CQ252" s="3"/>
      <c r="CR252" s="3" t="s">
        <v>13620</v>
      </c>
      <c r="CS252" s="3"/>
      <c r="CT252" s="3"/>
      <c r="CU252" s="3"/>
      <c r="CV252" s="3"/>
      <c r="CW252" s="3"/>
      <c r="CX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U252" s="177" t="str">
        <f>IF(SelectRace="homme-bête","Harde de Ragush la Corne Sanglante","")</f>
        <v/>
      </c>
      <c r="EV252" s="83" t="str">
        <f t="shared" si="121"/>
        <v/>
      </c>
      <c r="EW252" s="83" t="str">
        <f t="shared" si="125"/>
        <v/>
      </c>
      <c r="EX252" s="530" t="str">
        <f t="shared" si="126"/>
        <v/>
      </c>
      <c r="EY252" s="83" t="s">
        <v>12866</v>
      </c>
      <c r="FB252" s="83" t="str">
        <f>IF(OR('page 5'!C7="Humain",'page 5'!C7="Elfe"),"Sorcier compagnon expérimenté","")</f>
        <v/>
      </c>
      <c r="FC252" s="133" t="s">
        <v>5751</v>
      </c>
      <c r="FD252" s="83" t="s">
        <v>7365</v>
      </c>
      <c r="FE252" s="849">
        <v>110</v>
      </c>
      <c r="FF252">
        <v>25</v>
      </c>
      <c r="FG252">
        <v>30</v>
      </c>
      <c r="FH252">
        <v>25</v>
      </c>
      <c r="FI252">
        <v>30</v>
      </c>
      <c r="FJ252" s="10">
        <v>40</v>
      </c>
      <c r="FK252">
        <v>50</v>
      </c>
      <c r="FL252">
        <v>50</v>
      </c>
      <c r="FM252" s="165">
        <v>40</v>
      </c>
      <c r="FN252" s="88">
        <v>1</v>
      </c>
      <c r="FO252" s="88">
        <v>13</v>
      </c>
      <c r="FP252" s="164">
        <f>ROUNDDOWN(FH252/10,0)</f>
        <v>2</v>
      </c>
      <c r="FQ252" s="164">
        <f>ROUNDDOWN(FI252/10,0)</f>
        <v>3</v>
      </c>
      <c r="FR252" s="682">
        <v>4</v>
      </c>
      <c r="FS252" s="88">
        <v>2</v>
      </c>
      <c r="FT252" s="88">
        <v>0</v>
      </c>
      <c r="FU252" s="165">
        <v>0</v>
      </c>
      <c r="FV252" s="83" t="s">
        <v>13070</v>
      </c>
      <c r="FW252" s="90" t="s">
        <v>7397</v>
      </c>
      <c r="FX252" s="540" t="s">
        <v>7666</v>
      </c>
      <c r="GF252" t="s">
        <v>7790</v>
      </c>
    </row>
    <row r="253" spans="8:188" ht="13.2" customHeight="1">
      <c r="H253" s="3"/>
      <c r="I253" s="3"/>
      <c r="J253" s="3"/>
      <c r="K253" s="3"/>
      <c r="L253" s="3"/>
      <c r="M253" s="651"/>
      <c r="N253" s="3"/>
      <c r="O253" s="3"/>
      <c r="P253" s="3"/>
      <c r="Q253" s="3"/>
      <c r="R253" s="651"/>
      <c r="S253" s="177" t="str">
        <f>IF(CareerType=Y253,"Naufrageur",IF(AllCareers="X","Naufrageur",IF(SelectRace="skaven","",IF(Pays="Norsca","",IF(SelectRace="Humain","Naufrageur",IF(SelectRace="Halfling","Naufrageur",IF(SelectRace="Nain","Naufrageur",IF(OR(SelectRace="homme-bête",SelectRace="peau-verte",SelectRace="créature du chaos",SelectRace="Homme-lézard"),"Naufrageur",""))))))))</f>
        <v/>
      </c>
      <c r="T253" s="106">
        <f t="shared" si="145"/>
        <v>0</v>
      </c>
      <c r="U253" s="693" t="str">
        <f t="shared" si="127"/>
        <v/>
      </c>
      <c r="V253" s="693" t="str">
        <f t="shared" si="128"/>
        <v/>
      </c>
      <c r="W253" s="693" t="str">
        <f t="shared" si="129"/>
        <v/>
      </c>
      <c r="X253" s="137" t="s">
        <v>2160</v>
      </c>
      <c r="Y253" s="745" t="s">
        <v>7133</v>
      </c>
      <c r="Z253" s="138" t="s">
        <v>2217</v>
      </c>
      <c r="AA253" s="137">
        <v>24</v>
      </c>
      <c r="AB253" s="137" t="s">
        <v>2376</v>
      </c>
      <c r="AC253" s="137">
        <v>233</v>
      </c>
      <c r="AD253" s="24" t="s">
        <v>114</v>
      </c>
      <c r="AE253" s="24" t="s">
        <v>98</v>
      </c>
      <c r="AF253" s="24" t="s">
        <v>149</v>
      </c>
      <c r="AG253" s="24" t="s">
        <v>114</v>
      </c>
      <c r="AH253" s="24" t="s">
        <v>114</v>
      </c>
      <c r="AI253" s="24" t="s">
        <v>149</v>
      </c>
      <c r="AJ253" s="24" t="s">
        <v>114</v>
      </c>
      <c r="AK253" s="139" t="s">
        <v>114</v>
      </c>
      <c r="AL253" s="24" t="s">
        <v>149</v>
      </c>
      <c r="AM253" s="24" t="s">
        <v>113</v>
      </c>
      <c r="AN253" s="24" t="s">
        <v>149</v>
      </c>
      <c r="AO253" s="24" t="s">
        <v>149</v>
      </c>
      <c r="AP253" s="140" t="s">
        <v>1033</v>
      </c>
      <c r="AQ253" s="87" t="s">
        <v>734</v>
      </c>
      <c r="AR253" s="140" t="s">
        <v>12277</v>
      </c>
      <c r="AS253" s="87" t="s">
        <v>734</v>
      </c>
      <c r="AT253" s="140" t="s">
        <v>3493</v>
      </c>
      <c r="AU253" s="141" t="s">
        <v>5431</v>
      </c>
      <c r="AV253" s="141" t="s">
        <v>4754</v>
      </c>
      <c r="AW253" s="457">
        <v>0</v>
      </c>
      <c r="AX253" s="630" t="str">
        <f t="shared" si="142"/>
        <v/>
      </c>
      <c r="AY253" s="630" t="str">
        <f t="shared" si="143"/>
        <v/>
      </c>
      <c r="AZ253" s="630" t="str">
        <f t="shared" si="144"/>
        <v/>
      </c>
      <c r="BA253" s="3"/>
      <c r="BB253" s="3"/>
      <c r="BC253" s="3"/>
      <c r="BD253" s="3"/>
      <c r="BE253" s="3"/>
      <c r="BF253" s="3"/>
      <c r="BG253" s="3"/>
      <c r="BH253" s="3"/>
      <c r="BI253" s="3"/>
      <c r="BJ253" s="3"/>
      <c r="BK253" s="3"/>
      <c r="BL253" s="3"/>
      <c r="BM253" s="3"/>
      <c r="BN253" s="3"/>
      <c r="BP253" s="3"/>
      <c r="BQ253" s="3"/>
      <c r="BR253" s="3"/>
      <c r="BS253" s="3"/>
      <c r="BT253" s="3"/>
      <c r="BU253" s="3"/>
      <c r="BV253" s="3"/>
      <c r="BW253" s="3"/>
      <c r="BX253" s="3" t="str">
        <f>IF(Province="République de Verezzo","Ville prospère de Verezzo","")</f>
        <v/>
      </c>
      <c r="BY253" t="str">
        <f t="shared" si="130"/>
        <v/>
      </c>
      <c r="BZ253" s="83" t="str">
        <f t="shared" si="122"/>
        <v/>
      </c>
      <c r="CA253" s="83" t="str">
        <f t="shared" si="123"/>
        <v/>
      </c>
      <c r="CB253" s="530" t="str">
        <f t="shared" si="124"/>
        <v/>
      </c>
      <c r="CG253" s="3" t="s">
        <v>6313</v>
      </c>
      <c r="CH253" s="3" t="s">
        <v>6105</v>
      </c>
      <c r="CI253" s="3"/>
      <c r="CJ253" s="3"/>
      <c r="CK253" s="3" t="s">
        <v>6922</v>
      </c>
      <c r="CM253" t="s">
        <v>10395</v>
      </c>
      <c r="CN253" s="3"/>
      <c r="CO253" s="3" t="s">
        <v>11034</v>
      </c>
      <c r="CP253" s="3"/>
      <c r="CQ253" s="3"/>
      <c r="CR253" s="83" t="s">
        <v>13621</v>
      </c>
      <c r="CS253" s="3"/>
      <c r="CT253" s="3"/>
      <c r="CU253" s="3"/>
      <c r="CV253" s="3"/>
      <c r="CW253" s="3"/>
      <c r="CX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U253" s="177" t="str">
        <f>IF(SelectRace="Halfling","Coqs de Combat de Lupin Croupe","")</f>
        <v/>
      </c>
      <c r="EV253" s="83" t="str">
        <f t="shared" si="121"/>
        <v/>
      </c>
      <c r="EW253" s="83" t="str">
        <f t="shared" si="125"/>
        <v/>
      </c>
      <c r="EX253" s="530" t="str">
        <f t="shared" si="126"/>
        <v/>
      </c>
      <c r="EY253" s="83" t="s">
        <v>12374</v>
      </c>
      <c r="EZ253" s="530" t="s">
        <v>12375</v>
      </c>
      <c r="FB253" t="str">
        <f>IF('page 5'!C7="Humain","Initié de Dazh","")</f>
        <v/>
      </c>
      <c r="FC253" s="133" t="s">
        <v>5751</v>
      </c>
      <c r="FD253" s="83" t="s">
        <v>16792</v>
      </c>
      <c r="FF253">
        <v>30</v>
      </c>
      <c r="FG253">
        <v>28</v>
      </c>
      <c r="FH253">
        <v>31</v>
      </c>
      <c r="FI253">
        <v>27</v>
      </c>
      <c r="FJ253" s="10">
        <v>31</v>
      </c>
      <c r="FK253">
        <v>32</v>
      </c>
      <c r="FL253">
        <v>30</v>
      </c>
      <c r="FM253" s="165">
        <v>36</v>
      </c>
      <c r="FN253">
        <v>1</v>
      </c>
      <c r="FO253">
        <v>11</v>
      </c>
      <c r="FP253" s="164">
        <f>ROUNDDOWN(FH253/10,0)</f>
        <v>3</v>
      </c>
      <c r="FQ253" s="691">
        <v>2</v>
      </c>
      <c r="FR253" s="10">
        <v>4</v>
      </c>
      <c r="FS253">
        <v>1</v>
      </c>
      <c r="FT253">
        <v>0</v>
      </c>
      <c r="FU253" s="165">
        <v>3</v>
      </c>
      <c r="FV253" s="83" t="s">
        <v>17167</v>
      </c>
      <c r="FW253" s="85" t="s">
        <v>17168</v>
      </c>
      <c r="FX253" s="751" t="s">
        <v>7668</v>
      </c>
      <c r="GF253" t="s">
        <v>8269</v>
      </c>
    </row>
    <row r="254" spans="8:188" ht="13.2" customHeight="1">
      <c r="H254" s="3"/>
      <c r="I254" s="3"/>
      <c r="J254" s="3"/>
      <c r="K254" s="3"/>
      <c r="L254" s="3"/>
      <c r="M254" s="651"/>
      <c r="N254" s="3"/>
      <c r="O254" s="3"/>
      <c r="P254" s="3"/>
      <c r="Q254" s="3"/>
      <c r="R254" s="651"/>
      <c r="S254" s="83" t="str">
        <f>IF(CareerType=Y254,"Navigateur",IF(AllCareers="X","Navigateur",IF(Selectsousrace="","",IF(FirstCareer="1ère carrière","",IF(OR(SelectRace="homme-bête",SelectRace="peau-verte",SelectRace="créature du chaos",SelectRace="Homme-lézard",SelectRace="skaven"),"","Navigateur")))))</f>
        <v/>
      </c>
      <c r="T254" s="106">
        <f t="shared" si="145"/>
        <v>1</v>
      </c>
      <c r="U254" s="693" t="str">
        <f t="shared" si="127"/>
        <v/>
      </c>
      <c r="V254" s="693" t="str">
        <f t="shared" si="128"/>
        <v/>
      </c>
      <c r="W254" s="693" t="str">
        <f t="shared" si="129"/>
        <v/>
      </c>
      <c r="X254" s="47" t="s">
        <v>2153</v>
      </c>
      <c r="Y254" s="743" t="s">
        <v>7134</v>
      </c>
      <c r="Z254" s="55" t="s">
        <v>2200</v>
      </c>
      <c r="AA254" s="47">
        <v>79</v>
      </c>
      <c r="AB254" s="47" t="s">
        <v>452</v>
      </c>
      <c r="AC254" s="47">
        <v>151</v>
      </c>
      <c r="AD254" s="15" t="s">
        <v>98</v>
      </c>
      <c r="AE254" s="15" t="s">
        <v>98</v>
      </c>
      <c r="AF254" s="20" t="s">
        <v>114</v>
      </c>
      <c r="AG254" s="20" t="s">
        <v>114</v>
      </c>
      <c r="AH254" s="15" t="s">
        <v>98</v>
      </c>
      <c r="AI254" s="15" t="s">
        <v>99</v>
      </c>
      <c r="AJ254" s="15" t="s">
        <v>98</v>
      </c>
      <c r="AK254" s="21" t="s">
        <v>114</v>
      </c>
      <c r="AL254" s="15" t="s">
        <v>149</v>
      </c>
      <c r="AM254" s="15" t="s">
        <v>103</v>
      </c>
      <c r="AN254" s="15" t="s">
        <v>149</v>
      </c>
      <c r="AO254" s="15" t="s">
        <v>149</v>
      </c>
      <c r="AP254" s="87" t="s">
        <v>15807</v>
      </c>
      <c r="AQ254" s="87" t="s">
        <v>734</v>
      </c>
      <c r="AR254" s="22" t="s">
        <v>2377</v>
      </c>
      <c r="AS254" s="87" t="s">
        <v>734</v>
      </c>
      <c r="AT254" s="22" t="s">
        <v>3494</v>
      </c>
      <c r="AU254" s="87" t="s">
        <v>17185</v>
      </c>
      <c r="AV254" s="87" t="s">
        <v>4622</v>
      </c>
      <c r="AW254" s="457">
        <v>0</v>
      </c>
      <c r="AX254" s="630" t="str">
        <f t="shared" si="142"/>
        <v/>
      </c>
      <c r="AY254" s="630" t="str">
        <f t="shared" si="143"/>
        <v/>
      </c>
      <c r="AZ254" s="630" t="str">
        <f t="shared" si="144"/>
        <v/>
      </c>
      <c r="BA254" s="3"/>
      <c r="BB254" s="3"/>
      <c r="BC254" s="3"/>
      <c r="BD254" s="3"/>
      <c r="BE254" s="3"/>
      <c r="BF254" s="3"/>
      <c r="BG254" s="3"/>
      <c r="BH254" s="3"/>
      <c r="BI254" s="3"/>
      <c r="BJ254" s="3"/>
      <c r="BK254" s="3"/>
      <c r="BL254" s="3"/>
      <c r="BM254" s="3"/>
      <c r="BN254" s="3"/>
      <c r="BP254" s="3"/>
      <c r="BQ254" s="3"/>
      <c r="BR254" s="3"/>
      <c r="BS254" s="3"/>
      <c r="BT254" s="3"/>
      <c r="BU254" s="3"/>
      <c r="BV254" s="3"/>
      <c r="BW254" s="3"/>
      <c r="BX254" s="3" t="str">
        <f>IF(Province="Principauté de Luccini","Cité-Etat de Luccini","")</f>
        <v/>
      </c>
      <c r="BY254" t="str">
        <f t="shared" si="130"/>
        <v/>
      </c>
      <c r="BZ254" s="83" t="str">
        <f t="shared" si="122"/>
        <v/>
      </c>
      <c r="CA254" s="83" t="str">
        <f t="shared" si="123"/>
        <v/>
      </c>
      <c r="CB254" s="530" t="str">
        <f t="shared" si="124"/>
        <v/>
      </c>
      <c r="CG254" s="3" t="s">
        <v>6314</v>
      </c>
      <c r="CH254" s="3" t="s">
        <v>6106</v>
      </c>
      <c r="CI254" s="3"/>
      <c r="CJ254" s="3"/>
      <c r="CK254" s="3" t="s">
        <v>6885</v>
      </c>
      <c r="CM254" t="s">
        <v>10397</v>
      </c>
      <c r="CN254" s="3"/>
      <c r="CO254" s="3" t="s">
        <v>11039</v>
      </c>
      <c r="CP254" s="3"/>
      <c r="CQ254" s="3"/>
      <c r="CR254" s="3" t="s">
        <v>13622</v>
      </c>
      <c r="CS254" s="3"/>
      <c r="CT254" s="3"/>
      <c r="CU254" s="3"/>
      <c r="CV254" s="3"/>
      <c r="CW254" s="3"/>
      <c r="CX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U254" s="177" t="str">
        <f>IF(OR(Selectsousrace="Elfe noir",Selectsousrace="Demi-elfe noir"),"Dépeceurs de Mengil Manhide","")</f>
        <v/>
      </c>
      <c r="EV254" s="83" t="str">
        <f t="shared" si="121"/>
        <v/>
      </c>
      <c r="EW254" s="83" t="str">
        <f t="shared" si="125"/>
        <v/>
      </c>
      <c r="EX254" s="530" t="str">
        <f t="shared" si="126"/>
        <v/>
      </c>
      <c r="EY254" s="83" t="s">
        <v>12396</v>
      </c>
      <c r="EZ254" s="530" t="s">
        <v>12376</v>
      </c>
      <c r="FB254" t="str">
        <f>IF('page 5'!C9="Humain","Initié de Tor","")</f>
        <v/>
      </c>
      <c r="FC254" s="133" t="s">
        <v>5751</v>
      </c>
      <c r="FD254" s="83" t="s">
        <v>16792</v>
      </c>
      <c r="FF254">
        <v>35</v>
      </c>
      <c r="FG254">
        <v>53</v>
      </c>
      <c r="FH254">
        <v>30</v>
      </c>
      <c r="FI254">
        <v>28</v>
      </c>
      <c r="FJ254" s="10">
        <v>25</v>
      </c>
      <c r="FK254">
        <v>35</v>
      </c>
      <c r="FL254">
        <v>28</v>
      </c>
      <c r="FM254" s="165">
        <v>38</v>
      </c>
      <c r="FN254">
        <v>1</v>
      </c>
      <c r="FO254">
        <v>12</v>
      </c>
      <c r="FP254" s="164">
        <f>ROUNDDOWN(FH254/10,0)</f>
        <v>3</v>
      </c>
      <c r="FQ254" s="691">
        <v>2</v>
      </c>
      <c r="FR254" s="10">
        <v>4</v>
      </c>
      <c r="FS254">
        <v>0</v>
      </c>
      <c r="FT254">
        <v>0</v>
      </c>
      <c r="FU254" s="165">
        <v>2</v>
      </c>
      <c r="FV254" s="83" t="s">
        <v>17170</v>
      </c>
      <c r="FW254" s="85" t="s">
        <v>17171</v>
      </c>
      <c r="FX254" s="751" t="s">
        <v>7668</v>
      </c>
      <c r="GF254" t="s">
        <v>8270</v>
      </c>
    </row>
    <row r="255" spans="8:188" ht="13.2" customHeight="1">
      <c r="H255" s="3"/>
      <c r="I255" s="3"/>
      <c r="J255" s="3"/>
      <c r="K255" s="3"/>
      <c r="L255" s="3"/>
      <c r="M255" s="651"/>
      <c r="N255" s="3"/>
      <c r="O255" s="3"/>
      <c r="P255" s="3"/>
      <c r="Q255" s="3"/>
      <c r="R255" s="651"/>
      <c r="S255" s="83" t="str">
        <f>IF(CareerType=Y255,"Noble/Jarl",IF(AllCareers="X","Noble/Jarl",IF(OR(SelectRace="homme-bête",SelectRace="peau-verte",SelectRace="créature du chaos",SelectRace="Homme-lézard",SelectRace="skaven",Pays="Désolations du Chaos"),"",IF(AND(Pays="Norsca",OR(SelectRace="Nain",SelectRace="Humain",SelectRace="Vampire")),"Jarl",IF(AND(Pays="Norsca",OR(SelectRace="Nain",SelectRace="Humain",SelectRace="Vampire")),"Noble","")))))</f>
        <v/>
      </c>
      <c r="T255" s="106">
        <f t="shared" si="145"/>
        <v>0</v>
      </c>
      <c r="U255" s="693" t="str">
        <f t="shared" si="127"/>
        <v/>
      </c>
      <c r="V255" s="693" t="str">
        <f t="shared" si="128"/>
        <v/>
      </c>
      <c r="W255" s="693" t="str">
        <f t="shared" si="129"/>
        <v/>
      </c>
      <c r="X255" s="47" t="s">
        <v>2160</v>
      </c>
      <c r="Y255" s="743" t="s">
        <v>7131</v>
      </c>
      <c r="Z255" s="55" t="s">
        <v>2200</v>
      </c>
      <c r="AA255" s="47">
        <v>51</v>
      </c>
      <c r="AB255" s="47" t="s">
        <v>2378</v>
      </c>
      <c r="AC255" s="47">
        <v>153</v>
      </c>
      <c r="AD255" s="15" t="s">
        <v>98</v>
      </c>
      <c r="AE255" s="20" t="s">
        <v>114</v>
      </c>
      <c r="AF255" s="15" t="s">
        <v>149</v>
      </c>
      <c r="AG255" s="15" t="s">
        <v>149</v>
      </c>
      <c r="AH255" s="20" t="s">
        <v>114</v>
      </c>
      <c r="AI255" s="20" t="s">
        <v>114</v>
      </c>
      <c r="AJ255" s="20" t="s">
        <v>114</v>
      </c>
      <c r="AK255" s="18" t="s">
        <v>98</v>
      </c>
      <c r="AL255" s="15" t="s">
        <v>149</v>
      </c>
      <c r="AM255" s="15" t="s">
        <v>113</v>
      </c>
      <c r="AN255" s="15" t="s">
        <v>149</v>
      </c>
      <c r="AO255" s="15" t="s">
        <v>149</v>
      </c>
      <c r="AP255" s="87" t="s">
        <v>15705</v>
      </c>
      <c r="AQ255" s="87" t="s">
        <v>15905</v>
      </c>
      <c r="AR255" s="87" t="s">
        <v>15871</v>
      </c>
      <c r="AS255" s="87" t="s">
        <v>5838</v>
      </c>
      <c r="AT255" s="87" t="s">
        <v>17186</v>
      </c>
      <c r="AU255" s="87" t="s">
        <v>17187</v>
      </c>
      <c r="AV255" s="87" t="s">
        <v>17188</v>
      </c>
      <c r="AW255" s="457">
        <f ca="1">RANDBETWEEN(1,10)</f>
        <v>1</v>
      </c>
      <c r="AX255" s="630" t="str">
        <f t="shared" si="142"/>
        <v/>
      </c>
      <c r="AY255" s="630" t="str">
        <f t="shared" si="143"/>
        <v/>
      </c>
      <c r="AZ255" s="630" t="str">
        <f t="shared" si="144"/>
        <v/>
      </c>
      <c r="BA255" s="3"/>
      <c r="BB255" s="3"/>
      <c r="BC255" s="3"/>
      <c r="BD255" s="3"/>
      <c r="BE255" s="3"/>
      <c r="BF255" s="3"/>
      <c r="BG255" s="3"/>
      <c r="BH255" s="3"/>
      <c r="BI255" s="3"/>
      <c r="BJ255" s="3"/>
      <c r="BK255" s="3"/>
      <c r="BL255" s="3"/>
      <c r="BM255" s="3"/>
      <c r="BN255" s="3"/>
      <c r="BP255" s="3"/>
      <c r="BQ255" s="3"/>
      <c r="BR255" s="3"/>
      <c r="BS255" s="3"/>
      <c r="BT255" s="3"/>
      <c r="BU255" s="3"/>
      <c r="BV255" s="3"/>
      <c r="BW255" s="3"/>
      <c r="BX255" s="3" t="str">
        <f>IF(Province="Principauté de Remas","Ville prospère de Remas","")</f>
        <v/>
      </c>
      <c r="BY255" t="str">
        <f t="shared" si="130"/>
        <v/>
      </c>
      <c r="BZ255" s="83" t="str">
        <f t="shared" si="122"/>
        <v/>
      </c>
      <c r="CA255" s="83" t="str">
        <f t="shared" si="123"/>
        <v/>
      </c>
      <c r="CB255" s="530" t="str">
        <f t="shared" si="124"/>
        <v/>
      </c>
      <c r="CG255" s="3" t="s">
        <v>6315</v>
      </c>
      <c r="CH255" s="3" t="s">
        <v>6107</v>
      </c>
      <c r="CI255" s="3"/>
      <c r="CJ255" s="3"/>
      <c r="CK255" s="3" t="s">
        <v>6759</v>
      </c>
      <c r="CM255" t="s">
        <v>10396</v>
      </c>
      <c r="CN255" s="3"/>
      <c r="CO255" s="3" t="s">
        <v>11040</v>
      </c>
      <c r="CP255" s="3"/>
      <c r="CQ255" s="3"/>
      <c r="CR255" s="3" t="s">
        <v>13623</v>
      </c>
      <c r="CS255" s="3"/>
      <c r="CT255" s="3"/>
      <c r="CU255" s="3"/>
      <c r="CV255" s="3"/>
      <c r="CW255" s="3"/>
      <c r="CX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U255" s="177" t="str">
        <f>IF(OR(Selectsousrace="Elfe noir",Selectsousrace="Demi-elfe noir"),"Corsaires de Clar Karond","")</f>
        <v/>
      </c>
      <c r="EV255" s="83" t="str">
        <f t="shared" si="121"/>
        <v/>
      </c>
      <c r="EW255" s="83" t="str">
        <f t="shared" si="125"/>
        <v/>
      </c>
      <c r="EX255" s="530" t="str">
        <f t="shared" si="126"/>
        <v/>
      </c>
      <c r="EY255" s="83" t="s">
        <v>12480</v>
      </c>
      <c r="EZ255" s="530" t="s">
        <v>12479</v>
      </c>
      <c r="FB255" t="str">
        <f>IF('page 5'!C10="Humain","Initié d'Unsun","")</f>
        <v/>
      </c>
      <c r="FC255" s="133" t="s">
        <v>5751</v>
      </c>
      <c r="FD255" s="83" t="s">
        <v>16792</v>
      </c>
      <c r="FF255">
        <v>35</v>
      </c>
      <c r="FG255">
        <v>32</v>
      </c>
      <c r="FH255">
        <v>32</v>
      </c>
      <c r="FI255">
        <v>29</v>
      </c>
      <c r="FJ255" s="10">
        <v>30</v>
      </c>
      <c r="FK255">
        <v>28</v>
      </c>
      <c r="FL255">
        <v>26</v>
      </c>
      <c r="FM255" s="165">
        <v>37</v>
      </c>
      <c r="FN255">
        <v>1</v>
      </c>
      <c r="FO255">
        <v>11</v>
      </c>
      <c r="FP255" s="164">
        <f>ROUNDDOWN(FH255/10,0)</f>
        <v>3</v>
      </c>
      <c r="FQ255" s="691">
        <v>2</v>
      </c>
      <c r="FR255" s="10">
        <v>4</v>
      </c>
      <c r="FS255">
        <v>0</v>
      </c>
      <c r="FT255">
        <v>0</v>
      </c>
      <c r="FU255" s="165">
        <v>2</v>
      </c>
      <c r="FV255" s="83" t="s">
        <v>17173</v>
      </c>
      <c r="FW255" s="85" t="s">
        <v>13204</v>
      </c>
      <c r="FX255" s="751" t="s">
        <v>7668</v>
      </c>
      <c r="GA255" s="83"/>
      <c r="GF255" t="s">
        <v>7791</v>
      </c>
    </row>
    <row r="256" spans="8:188" ht="13.2" customHeight="1">
      <c r="H256" s="3"/>
      <c r="I256" s="3"/>
      <c r="J256" s="3"/>
      <c r="K256" s="3"/>
      <c r="L256" s="3"/>
      <c r="M256" s="651"/>
      <c r="N256" s="3"/>
      <c r="O256" s="3"/>
      <c r="P256" s="3"/>
      <c r="Q256" s="3"/>
      <c r="R256" s="651"/>
      <c r="S256" s="83" t="str">
        <f>IF(CareerType=Y256,"Nomade de la steppe",IF(AllCareers="X","Nomade de la steppe",IF(OR(Pays="Norsca",Pays="Kislev",Pays="Désolations du Chaos"),"Nomade de la steppe","")))</f>
        <v/>
      </c>
      <c r="T256" s="106">
        <f t="shared" si="145"/>
        <v>0</v>
      </c>
      <c r="U256" s="693" t="str">
        <f t="shared" si="127"/>
        <v/>
      </c>
      <c r="V256" s="693" t="str">
        <f t="shared" si="128"/>
        <v/>
      </c>
      <c r="W256" s="693" t="str">
        <f t="shared" si="129"/>
        <v/>
      </c>
      <c r="X256" s="47" t="s">
        <v>2160</v>
      </c>
      <c r="Y256" s="743" t="s">
        <v>7134</v>
      </c>
      <c r="Z256" s="55" t="s">
        <v>1319</v>
      </c>
      <c r="AA256" s="47">
        <v>103</v>
      </c>
      <c r="AB256" s="47" t="s">
        <v>2379</v>
      </c>
      <c r="AC256" s="47">
        <v>199</v>
      </c>
      <c r="AD256" s="15" t="s">
        <v>98</v>
      </c>
      <c r="AE256" s="15" t="s">
        <v>98</v>
      </c>
      <c r="AF256" s="15" t="s">
        <v>149</v>
      </c>
      <c r="AG256" s="15" t="s">
        <v>114</v>
      </c>
      <c r="AH256" s="15" t="s">
        <v>114</v>
      </c>
      <c r="AI256" s="15" t="s">
        <v>149</v>
      </c>
      <c r="AJ256" s="15" t="s">
        <v>98</v>
      </c>
      <c r="AK256" s="18" t="s">
        <v>149</v>
      </c>
      <c r="AL256" s="15" t="s">
        <v>149</v>
      </c>
      <c r="AM256" s="15" t="s">
        <v>113</v>
      </c>
      <c r="AN256" s="15" t="s">
        <v>149</v>
      </c>
      <c r="AO256" s="15" t="s">
        <v>149</v>
      </c>
      <c r="AP256" s="22" t="s">
        <v>771</v>
      </c>
      <c r="AQ256" s="87" t="s">
        <v>734</v>
      </c>
      <c r="AR256" s="87" t="s">
        <v>17189</v>
      </c>
      <c r="AS256" s="87" t="s">
        <v>453</v>
      </c>
      <c r="AT256" s="87" t="s">
        <v>17190</v>
      </c>
      <c r="AU256" s="87" t="s">
        <v>5419</v>
      </c>
      <c r="AV256" s="87" t="s">
        <v>17191</v>
      </c>
      <c r="AW256" s="457">
        <v>0</v>
      </c>
      <c r="AX256" s="630" t="str">
        <f t="shared" si="142"/>
        <v/>
      </c>
      <c r="AY256" s="630" t="str">
        <f t="shared" si="143"/>
        <v/>
      </c>
      <c r="AZ256" s="630" t="str">
        <f t="shared" si="144"/>
        <v/>
      </c>
      <c r="BA256" s="3"/>
      <c r="BB256" s="3"/>
      <c r="BC256" s="3"/>
      <c r="BD256" s="3"/>
      <c r="BE256" s="3"/>
      <c r="BF256" s="3"/>
      <c r="BG256" s="3"/>
      <c r="BH256" s="3"/>
      <c r="BI256" s="3"/>
      <c r="BJ256" s="3"/>
      <c r="BK256" s="3"/>
      <c r="BL256" s="3"/>
      <c r="BM256" s="3"/>
      <c r="BN256" s="3"/>
      <c r="BP256" s="3"/>
      <c r="BQ256" s="3"/>
      <c r="BR256" s="3"/>
      <c r="BS256" s="3"/>
      <c r="BT256" s="3"/>
      <c r="BU256" s="3"/>
      <c r="BV256" s="3"/>
      <c r="BW256" s="3"/>
      <c r="BX256" s="3" t="str">
        <f>IF(Province="Principauté de Luccini","Bourg de Luccini","")</f>
        <v/>
      </c>
      <c r="BY256" t="str">
        <f t="shared" si="130"/>
        <v/>
      </c>
      <c r="BZ256" s="83" t="str">
        <f t="shared" si="122"/>
        <v/>
      </c>
      <c r="CA256" s="83" t="str">
        <f t="shared" si="123"/>
        <v/>
      </c>
      <c r="CB256" s="530" t="str">
        <f t="shared" si="124"/>
        <v/>
      </c>
      <c r="CG256" s="3" t="s">
        <v>6316</v>
      </c>
      <c r="CH256" s="3" t="s">
        <v>6108</v>
      </c>
      <c r="CI256" s="3"/>
      <c r="CJ256" s="3"/>
      <c r="CK256" s="3" t="s">
        <v>6805</v>
      </c>
      <c r="CM256" t="s">
        <v>10401</v>
      </c>
      <c r="CN256" s="3"/>
      <c r="CO256" s="3" t="s">
        <v>11041</v>
      </c>
      <c r="CR256" s="3" t="s">
        <v>13624</v>
      </c>
      <c r="CS256" s="3"/>
      <c r="CT256" s="3"/>
      <c r="CU256" s="3"/>
      <c r="CV256" s="3"/>
      <c r="CW256" s="3"/>
      <c r="CX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U256" s="177" t="str">
        <f>IF(SelectRace="peau-verte","Chevaucheurs de Loups d'Oglah Khan","")</f>
        <v/>
      </c>
      <c r="EV256" s="83" t="str">
        <f t="shared" si="121"/>
        <v/>
      </c>
      <c r="EW256" s="83" t="str">
        <f t="shared" si="125"/>
        <v/>
      </c>
      <c r="EX256" s="530" t="str">
        <f t="shared" si="126"/>
        <v/>
      </c>
      <c r="EY256" s="85" t="s">
        <v>12385</v>
      </c>
      <c r="EZ256" s="567" t="s">
        <v>17192</v>
      </c>
      <c r="FB256" t="str">
        <f>IF('page 5'!C11="Humain","Prêtre de Dazh","")</f>
        <v/>
      </c>
      <c r="FC256" s="133" t="s">
        <v>5751</v>
      </c>
      <c r="FD256" s="83" t="s">
        <v>16792</v>
      </c>
      <c r="FF256">
        <v>33</v>
      </c>
      <c r="FG256">
        <v>35</v>
      </c>
      <c r="FH256">
        <v>31</v>
      </c>
      <c r="FI256">
        <v>33</v>
      </c>
      <c r="FJ256" s="10">
        <v>30</v>
      </c>
      <c r="FK256">
        <v>39</v>
      </c>
      <c r="FL256">
        <v>44</v>
      </c>
      <c r="FM256" s="165">
        <v>44</v>
      </c>
      <c r="FN256">
        <v>1</v>
      </c>
      <c r="FO256">
        <v>13</v>
      </c>
      <c r="FP256" s="164">
        <f>ROUNDDOWN(FH256/10,0)</f>
        <v>3</v>
      </c>
      <c r="FQ256" s="691">
        <v>3</v>
      </c>
      <c r="FR256" s="10">
        <v>4</v>
      </c>
      <c r="FS256">
        <v>1</v>
      </c>
      <c r="FT256">
        <v>0</v>
      </c>
      <c r="FU256" s="165">
        <v>2</v>
      </c>
      <c r="FV256" s="177" t="s">
        <v>17175</v>
      </c>
      <c r="FW256" s="85" t="s">
        <v>17176</v>
      </c>
      <c r="FX256" s="751" t="s">
        <v>7667</v>
      </c>
      <c r="GF256" t="s">
        <v>8278</v>
      </c>
    </row>
    <row r="257" spans="8:188" ht="13.2" customHeight="1">
      <c r="H257" s="3"/>
      <c r="I257" s="3"/>
      <c r="J257" s="3"/>
      <c r="K257" s="3"/>
      <c r="L257" s="3"/>
      <c r="M257" s="651"/>
      <c r="N257" s="3"/>
      <c r="O257" s="3"/>
      <c r="P257" s="3"/>
      <c r="Q257" s="3"/>
      <c r="R257" s="651"/>
      <c r="S257" s="83" t="str">
        <f>IF(CareerType=Y257,"Officier en second",IF(AllCareers="X","Officier en second",IF(Selectsousrace="","",IF(OR(SelectRace="homme-bête",SelectRace="peau-verte",SelectRace="créature du chaos",SelectRace="Homme-lézard"),"",IF(FirstCareer="1ère carrière","","Officier en second")))))</f>
        <v/>
      </c>
      <c r="T257" s="106">
        <f t="shared" si="145"/>
        <v>1</v>
      </c>
      <c r="U257" s="693" t="str">
        <f t="shared" si="127"/>
        <v/>
      </c>
      <c r="V257" s="693" t="str">
        <f t="shared" si="128"/>
        <v/>
      </c>
      <c r="W257" s="693" t="str">
        <f t="shared" si="129"/>
        <v/>
      </c>
      <c r="X257" s="47" t="s">
        <v>2153</v>
      </c>
      <c r="Y257" s="743" t="s">
        <v>7130</v>
      </c>
      <c r="Z257" s="55" t="s">
        <v>2200</v>
      </c>
      <c r="AA257" s="47">
        <v>80</v>
      </c>
      <c r="AB257" s="47" t="s">
        <v>2380</v>
      </c>
      <c r="AC257" s="47">
        <v>140</v>
      </c>
      <c r="AD257" s="15" t="s">
        <v>101</v>
      </c>
      <c r="AE257" s="15" t="s">
        <v>101</v>
      </c>
      <c r="AF257" s="15" t="s">
        <v>98</v>
      </c>
      <c r="AG257" s="15" t="s">
        <v>101</v>
      </c>
      <c r="AH257" s="15" t="s">
        <v>98</v>
      </c>
      <c r="AI257" s="15" t="s">
        <v>98</v>
      </c>
      <c r="AJ257" s="15" t="s">
        <v>98</v>
      </c>
      <c r="AK257" s="18" t="s">
        <v>98</v>
      </c>
      <c r="AL257" s="15" t="s">
        <v>102</v>
      </c>
      <c r="AM257" s="15" t="s">
        <v>103</v>
      </c>
      <c r="AN257" s="15" t="s">
        <v>149</v>
      </c>
      <c r="AO257" s="15" t="s">
        <v>149</v>
      </c>
      <c r="AP257" s="87" t="s">
        <v>9192</v>
      </c>
      <c r="AQ257" s="87" t="s">
        <v>15906</v>
      </c>
      <c r="AR257" s="22" t="s">
        <v>227</v>
      </c>
      <c r="AS257" s="87" t="s">
        <v>15907</v>
      </c>
      <c r="AT257" s="22" t="s">
        <v>3495</v>
      </c>
      <c r="AU257" s="87" t="s">
        <v>5432</v>
      </c>
      <c r="AV257" s="87" t="s">
        <v>4624</v>
      </c>
      <c r="AW257" s="457">
        <v>0</v>
      </c>
      <c r="AX257" s="630" t="str">
        <f t="shared" si="142"/>
        <v/>
      </c>
      <c r="AY257" s="630" t="str">
        <f t="shared" si="143"/>
        <v/>
      </c>
      <c r="AZ257" s="630" t="str">
        <f t="shared" si="144"/>
        <v/>
      </c>
      <c r="BA257" s="3"/>
      <c r="BB257" s="3"/>
      <c r="BC257" s="3"/>
      <c r="BD257" s="3"/>
      <c r="BE257" s="3"/>
      <c r="BF257" s="3"/>
      <c r="BG257" s="3"/>
      <c r="BH257" s="3"/>
      <c r="BI257" s="3"/>
      <c r="BJ257" s="3"/>
      <c r="BK257" s="3"/>
      <c r="BL257" s="3"/>
      <c r="BM257" s="3"/>
      <c r="BN257" s="3"/>
      <c r="BP257" s="3"/>
      <c r="BQ257" s="3"/>
      <c r="BR257" s="3"/>
      <c r="BS257" s="3"/>
      <c r="BT257" s="3"/>
      <c r="BU257" s="3"/>
      <c r="BV257" s="3"/>
      <c r="BW257" s="3"/>
      <c r="BX257" s="3" t="str">
        <f>IF(Province="Principauté de Sartosa","Ville prospère de Sartosa","")</f>
        <v/>
      </c>
      <c r="BY257" t="str">
        <f t="shared" si="130"/>
        <v/>
      </c>
      <c r="BZ257" s="83" t="str">
        <f t="shared" si="122"/>
        <v/>
      </c>
      <c r="CA257" s="83" t="str">
        <f t="shared" si="123"/>
        <v/>
      </c>
      <c r="CB257" s="530" t="str">
        <f t="shared" si="124"/>
        <v/>
      </c>
      <c r="CG257" s="3" t="s">
        <v>6317</v>
      </c>
      <c r="CH257" s="3" t="s">
        <v>6109</v>
      </c>
      <c r="CI257" s="3"/>
      <c r="CJ257" s="3"/>
      <c r="CK257" s="3" t="s">
        <v>6990</v>
      </c>
      <c r="CM257" s="3" t="s">
        <v>6658</v>
      </c>
      <c r="CN257" s="3"/>
      <c r="CO257" s="3" t="s">
        <v>11036</v>
      </c>
      <c r="CP257" s="3"/>
      <c r="CQ257" s="3"/>
      <c r="CR257" s="3" t="s">
        <v>13625</v>
      </c>
      <c r="CS257" s="3"/>
      <c r="CT257" s="3"/>
      <c r="CU257" s="3"/>
      <c r="CV257" s="3"/>
      <c r="CW257" s="3"/>
      <c r="CX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U257" s="177" t="str">
        <f>IF(SelectRace="peau-verte","Arbaletriers de Ruglud Mâch'-Krân","")</f>
        <v/>
      </c>
      <c r="EV257" s="83" t="str">
        <f t="shared" ref="EV257:EV289" si="146">IF(EU257="","",ROW())</f>
        <v/>
      </c>
      <c r="EW257" s="83" t="str">
        <f t="shared" si="125"/>
        <v/>
      </c>
      <c r="EX257" s="530" t="str">
        <f t="shared" si="126"/>
        <v/>
      </c>
      <c r="EY257" s="83" t="s">
        <v>12397</v>
      </c>
      <c r="EZ257" s="530" t="s">
        <v>254</v>
      </c>
      <c r="FB257" t="str">
        <f>IF('page 5'!C12="Humain","Prêtre de Tor","")</f>
        <v/>
      </c>
      <c r="FC257" s="133" t="s">
        <v>5751</v>
      </c>
      <c r="FD257" s="83" t="s">
        <v>16792</v>
      </c>
      <c r="FF257">
        <v>44</v>
      </c>
      <c r="FG257">
        <v>40</v>
      </c>
      <c r="FH257">
        <v>33</v>
      </c>
      <c r="FI257">
        <v>35</v>
      </c>
      <c r="FJ257" s="10">
        <v>31</v>
      </c>
      <c r="FK257">
        <v>42</v>
      </c>
      <c r="FL257">
        <v>34</v>
      </c>
      <c r="FM257" s="165">
        <v>41</v>
      </c>
      <c r="FN257">
        <v>1</v>
      </c>
      <c r="FO257">
        <v>12</v>
      </c>
      <c r="FP257" s="164">
        <f>ROUNDDOWN(FH257/10,0)</f>
        <v>3</v>
      </c>
      <c r="FQ257" s="691">
        <v>3</v>
      </c>
      <c r="FR257" s="10">
        <v>4</v>
      </c>
      <c r="FS257">
        <v>1</v>
      </c>
      <c r="FT257">
        <v>0</v>
      </c>
      <c r="FU257" s="165">
        <v>2</v>
      </c>
      <c r="FV257" s="177" t="s">
        <v>17178</v>
      </c>
      <c r="FW257" s="85" t="s">
        <v>17179</v>
      </c>
      <c r="FX257" s="751" t="s">
        <v>7667</v>
      </c>
      <c r="GF257" t="s">
        <v>8271</v>
      </c>
    </row>
    <row r="258" spans="8:188" ht="13.2" customHeight="1">
      <c r="H258" s="3"/>
      <c r="I258" s="3"/>
      <c r="J258" s="3"/>
      <c r="K258" s="3"/>
      <c r="L258" s="3"/>
      <c r="M258" s="651"/>
      <c r="N258" s="3"/>
      <c r="O258" s="3"/>
      <c r="P258" s="3"/>
      <c r="Q258" s="3"/>
      <c r="R258" s="651"/>
      <c r="S258" s="83" t="str">
        <f>IF(CareerType=Y258,"Oracle",IF(AllCareers="X","Oracle",IF(OR(SelectRace="homme-bête",SelectRace="peau-verte",SelectRace="créature du chaos",SelectRace="skaven"),"",IF(Pays="Désolations du Chaos","",IF(OR(SelectRace="Elfe",SelectRace="Humain",SelectRace="Vampire"),"",IF(Pays="Albion","Oracle",""))))))</f>
        <v/>
      </c>
      <c r="T258" s="106">
        <f t="shared" si="145"/>
        <v>0</v>
      </c>
      <c r="U258" s="693" t="str">
        <f t="shared" si="127"/>
        <v/>
      </c>
      <c r="V258" s="693" t="str">
        <f t="shared" si="128"/>
        <v/>
      </c>
      <c r="W258" s="693" t="str">
        <f t="shared" si="129"/>
        <v/>
      </c>
      <c r="X258" s="48" t="s">
        <v>2160</v>
      </c>
      <c r="Y258" s="744" t="s">
        <v>7131</v>
      </c>
      <c r="Z258" s="55" t="s">
        <v>2176</v>
      </c>
      <c r="AA258" s="48"/>
      <c r="AB258" s="48" t="s">
        <v>2177</v>
      </c>
      <c r="AC258" s="48">
        <v>187</v>
      </c>
      <c r="AD258" s="15" t="s">
        <v>114</v>
      </c>
      <c r="AE258" s="15" t="s">
        <v>149</v>
      </c>
      <c r="AF258" s="15" t="s">
        <v>114</v>
      </c>
      <c r="AG258" s="15" t="s">
        <v>149</v>
      </c>
      <c r="AH258" s="15" t="s">
        <v>114</v>
      </c>
      <c r="AI258" s="15" t="s">
        <v>98</v>
      </c>
      <c r="AJ258" s="15" t="s">
        <v>114</v>
      </c>
      <c r="AK258" s="18" t="s">
        <v>98</v>
      </c>
      <c r="AL258" s="15" t="s">
        <v>149</v>
      </c>
      <c r="AM258" s="15" t="s">
        <v>113</v>
      </c>
      <c r="AN258" s="15" t="s">
        <v>149</v>
      </c>
      <c r="AO258" s="15" t="s">
        <v>149</v>
      </c>
      <c r="AP258" s="22" t="s">
        <v>460</v>
      </c>
      <c r="AQ258" s="87" t="s">
        <v>734</v>
      </c>
      <c r="AR258" s="22" t="s">
        <v>228</v>
      </c>
      <c r="AS258" s="87" t="s">
        <v>734</v>
      </c>
      <c r="AT258" s="87" t="s">
        <v>17195</v>
      </c>
      <c r="AU258" s="87" t="s">
        <v>16452</v>
      </c>
      <c r="AV258" s="87" t="s">
        <v>4670</v>
      </c>
      <c r="AW258" s="457">
        <v>0</v>
      </c>
      <c r="AX258" s="630" t="str">
        <f t="shared" si="142"/>
        <v/>
      </c>
      <c r="AY258" s="630" t="str">
        <f t="shared" si="143"/>
        <v/>
      </c>
      <c r="AZ258" s="630" t="str">
        <f t="shared" si="144"/>
        <v/>
      </c>
      <c r="BH258" s="3"/>
      <c r="BI258" s="3"/>
      <c r="BJ258" s="3"/>
      <c r="BK258" s="3"/>
      <c r="BL258" s="3"/>
      <c r="BM258" s="3"/>
      <c r="BN258" s="3"/>
      <c r="BP258" s="3"/>
      <c r="BQ258" s="3"/>
      <c r="BR258" s="3"/>
      <c r="BS258" s="3"/>
      <c r="BT258" s="3"/>
      <c r="BU258" s="3"/>
      <c r="BV258" s="3"/>
      <c r="BW258" s="3"/>
      <c r="BX258" s="3" t="str">
        <f>IF(Province="Principauté de Tobaro","Ville prospère de Tobaro","")</f>
        <v/>
      </c>
      <c r="BY258" t="str">
        <f t="shared" si="130"/>
        <v/>
      </c>
      <c r="BZ258" s="83" t="str">
        <f t="shared" ref="BZ258:BZ321" si="147">IFERROR(SMALL(BY:BY,ROW()-1),"")</f>
        <v/>
      </c>
      <c r="CA258" s="83" t="str">
        <f t="shared" ref="CA258:CA321" si="148">IFERROR(INDEX(BX:BX,BZ258),"")</f>
        <v/>
      </c>
      <c r="CB258" s="530" t="str">
        <f t="shared" ref="CB258:CB321" si="149">INDEX(CA:CA,ROW())</f>
        <v/>
      </c>
      <c r="CG258" s="83" t="s">
        <v>11796</v>
      </c>
      <c r="CH258" s="3" t="s">
        <v>6110</v>
      </c>
      <c r="CI258" s="3"/>
      <c r="CJ258" s="3"/>
      <c r="CK258" s="3" t="s">
        <v>6957</v>
      </c>
      <c r="CM258" s="83" t="s">
        <v>15090</v>
      </c>
      <c r="CN258" s="3"/>
      <c r="CO258" s="3" t="s">
        <v>11038</v>
      </c>
      <c r="CP258" s="3"/>
      <c r="CQ258" s="3"/>
      <c r="CR258" s="3" t="s">
        <v>13626</v>
      </c>
      <c r="CS258" s="3"/>
      <c r="CT258" s="3"/>
      <c r="CU258" s="3"/>
      <c r="CV258" s="3"/>
      <c r="CW258" s="3"/>
      <c r="CX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U258" s="177" t="str">
        <f>IF(SelectRace="Homme-lézard","Chevaucheurs de Cornus de Tichi-Huichi","")</f>
        <v/>
      </c>
      <c r="EV258" s="83" t="str">
        <f t="shared" si="146"/>
        <v/>
      </c>
      <c r="EW258" s="83" t="str">
        <f t="shared" ref="EW258:EW301" si="150">IFERROR(SMALL(EV:EV,ROW()-1),"")</f>
        <v/>
      </c>
      <c r="EX258" s="530" t="str">
        <f t="shared" ref="EX258:EX301" si="151">IFERROR(INDEX(EU:EU,EW258),"")</f>
        <v/>
      </c>
      <c r="EY258" s="83" t="s">
        <v>9625</v>
      </c>
      <c r="EZ258" s="530" t="s">
        <v>17196</v>
      </c>
      <c r="FB258" t="str">
        <f>IF('page 5'!C13="Humain","Prètre des ours","")</f>
        <v/>
      </c>
      <c r="FC258" s="133" t="s">
        <v>5751</v>
      </c>
      <c r="FD258" s="83" t="s">
        <v>16792</v>
      </c>
      <c r="FF258">
        <v>37</v>
      </c>
      <c r="FG258">
        <v>40</v>
      </c>
      <c r="FH258">
        <v>34</v>
      </c>
      <c r="FI258">
        <v>37</v>
      </c>
      <c r="FJ258" s="10">
        <v>27</v>
      </c>
      <c r="FK258">
        <v>43</v>
      </c>
      <c r="FL258">
        <v>35</v>
      </c>
      <c r="FM258" s="165">
        <v>37</v>
      </c>
      <c r="FN258">
        <v>1</v>
      </c>
      <c r="FO258">
        <v>13</v>
      </c>
      <c r="FP258" s="164">
        <f>ROUNDDOWN(FH258/10,0)</f>
        <v>3</v>
      </c>
      <c r="FQ258" s="691">
        <v>3</v>
      </c>
      <c r="FR258" s="10">
        <v>4</v>
      </c>
      <c r="FS258">
        <v>1</v>
      </c>
      <c r="FT258">
        <v>0</v>
      </c>
      <c r="FU258" s="165">
        <v>3</v>
      </c>
      <c r="FV258" s="177" t="s">
        <v>17180</v>
      </c>
      <c r="FW258" s="177" t="s">
        <v>13208</v>
      </c>
      <c r="FX258" s="751" t="s">
        <v>7667</v>
      </c>
      <c r="GF258" t="s">
        <v>7792</v>
      </c>
    </row>
    <row r="259" spans="8:188" ht="13.2" customHeight="1">
      <c r="H259" s="3"/>
      <c r="I259" s="3"/>
      <c r="J259" s="3"/>
      <c r="K259" s="3"/>
      <c r="L259" s="3"/>
      <c r="M259" s="651"/>
      <c r="N259" s="3"/>
      <c r="O259" s="3"/>
      <c r="P259" s="3"/>
      <c r="Q259" s="3"/>
      <c r="R259" s="651"/>
      <c r="S259" s="83" t="str">
        <f>IF(CareerType=Y262,"Oracle (lanceur de sorts)",IF(AllCareers="X","Oracle (lanceur de sorts)",IF(OR(SelectRace="homme-bête",SelectRace="peau-verte",SelectRace="créature du chaos",SelectRace="skaven"),"",IF(Pays="Désolations du Chaos","",IF(OR(SelectRace="Elfe",SelectRace="Humain",SelectRace="Vampire"),"",IF(Pays="Albion","Oracle (lanceur de sorts)",""))))))</f>
        <v/>
      </c>
      <c r="T259" s="106">
        <f t="shared" si="145"/>
        <v>0</v>
      </c>
      <c r="U259" s="693" t="str">
        <f t="shared" ref="U259:U322" si="152">IF(S259="","",ROW()-1)</f>
        <v/>
      </c>
      <c r="V259" s="693" t="str">
        <f t="shared" ref="V259:V322" si="153">IFERROR(SMALL(U:U,ROW()-1),"")</f>
        <v/>
      </c>
      <c r="W259" s="693" t="str">
        <f t="shared" ref="W259:W322" si="154">IFERROR(INDEX(S:S,V259+1),"")</f>
        <v/>
      </c>
      <c r="X259" s="47" t="s">
        <v>2160</v>
      </c>
      <c r="Y259" s="743" t="s">
        <v>15709</v>
      </c>
      <c r="Z259" s="55" t="s">
        <v>2196</v>
      </c>
      <c r="AA259" s="47">
        <v>158</v>
      </c>
      <c r="AB259" s="47" t="s">
        <v>2177</v>
      </c>
      <c r="AC259" s="47"/>
      <c r="AD259" s="15" t="s">
        <v>149</v>
      </c>
      <c r="AE259" s="15" t="s">
        <v>149</v>
      </c>
      <c r="AF259" s="15" t="s">
        <v>149</v>
      </c>
      <c r="AG259" s="15" t="s">
        <v>149</v>
      </c>
      <c r="AH259" s="15" t="s">
        <v>114</v>
      </c>
      <c r="AI259" s="15" t="s">
        <v>114</v>
      </c>
      <c r="AJ259" s="15" t="s">
        <v>98</v>
      </c>
      <c r="AK259" s="18" t="s">
        <v>101</v>
      </c>
      <c r="AL259" s="15" t="s">
        <v>149</v>
      </c>
      <c r="AM259" s="15" t="s">
        <v>113</v>
      </c>
      <c r="AN259" s="15" t="s">
        <v>149</v>
      </c>
      <c r="AO259" s="15" t="s">
        <v>102</v>
      </c>
      <c r="AP259" s="22" t="s">
        <v>460</v>
      </c>
      <c r="AQ259" s="87" t="s">
        <v>734</v>
      </c>
      <c r="AR259" s="22" t="s">
        <v>228</v>
      </c>
      <c r="AS259" s="87" t="s">
        <v>734</v>
      </c>
      <c r="AT259" s="87" t="s">
        <v>17195</v>
      </c>
      <c r="AU259" s="87" t="s">
        <v>16452</v>
      </c>
      <c r="AV259" s="87" t="s">
        <v>4670</v>
      </c>
      <c r="AW259" s="457">
        <v>0</v>
      </c>
      <c r="AX259" s="630" t="str">
        <f t="shared" si="142"/>
        <v/>
      </c>
      <c r="AY259" s="630" t="str">
        <f t="shared" si="143"/>
        <v/>
      </c>
      <c r="AZ259" s="630" t="str">
        <f t="shared" si="144"/>
        <v/>
      </c>
      <c r="BA259" s="3"/>
      <c r="BB259" s="3"/>
      <c r="BC259" s="3"/>
      <c r="BD259" s="3"/>
      <c r="BE259" s="3"/>
      <c r="BF259" s="3"/>
      <c r="BG259" s="3"/>
      <c r="BH259" s="3"/>
      <c r="BI259" s="3"/>
      <c r="BJ259" s="3"/>
      <c r="BK259" s="3"/>
      <c r="BL259" s="3"/>
      <c r="BM259" s="3"/>
      <c r="BN259" s="3"/>
      <c r="BP259" s="3"/>
      <c r="BQ259" s="3"/>
      <c r="BR259" s="3"/>
      <c r="BS259" s="3"/>
      <c r="BT259" s="3"/>
      <c r="BU259" s="3"/>
      <c r="BV259" s="3"/>
      <c r="BW259" s="3"/>
      <c r="BX259" s="3" t="str">
        <f>IF(Province="République de Verezzo","Ville prospère de Verezzo","")</f>
        <v/>
      </c>
      <c r="BY259" t="str">
        <f t="shared" ref="BY259:BY322" si="155">IF(BX259="","",ROW())</f>
        <v/>
      </c>
      <c r="BZ259" s="83" t="str">
        <f t="shared" si="147"/>
        <v/>
      </c>
      <c r="CA259" s="83" t="str">
        <f t="shared" si="148"/>
        <v/>
      </c>
      <c r="CB259" s="530" t="str">
        <f t="shared" si="149"/>
        <v/>
      </c>
      <c r="CG259" s="3" t="s">
        <v>6318</v>
      </c>
      <c r="CH259" s="3" t="s">
        <v>3128</v>
      </c>
      <c r="CI259" s="3"/>
      <c r="CJ259" s="3"/>
      <c r="CK259" s="3" t="s">
        <v>6846</v>
      </c>
      <c r="CM259" t="s">
        <v>10402</v>
      </c>
      <c r="CN259" s="3"/>
      <c r="CO259" t="str">
        <f>CONCATENATE("Mater",IF(AND('page 1'!M11="Féminin",Pays="Norsca"),"dottir",IF(AND('page 1'!M11="Masculin",Pays="Norsca"),"son",IF(AND('page 1'!M11="Féminin",Pays="Kislev"),"ovna",IF(AND('page 1'!M11="Masculin",Pays="Kislev"),"sky","")))))</f>
        <v>Mater</v>
      </c>
      <c r="CP259" s="3"/>
      <c r="CQ259" s="3"/>
      <c r="CR259" s="3" t="s">
        <v>13627</v>
      </c>
      <c r="CS259" s="3"/>
      <c r="CT259" s="3"/>
      <c r="CU259" s="3"/>
      <c r="CV259" s="3"/>
      <c r="CW259" s="3"/>
      <c r="CX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U259" s="177" t="str">
        <f>IF(Pays="Tilée","Vengeurs de Vespero","")</f>
        <v/>
      </c>
      <c r="EV259" s="83" t="str">
        <f t="shared" si="146"/>
        <v/>
      </c>
      <c r="EW259" s="83" t="str">
        <f t="shared" si="150"/>
        <v/>
      </c>
      <c r="EX259" s="530" t="str">
        <f t="shared" si="151"/>
        <v/>
      </c>
      <c r="EY259" s="83" t="s">
        <v>12401</v>
      </c>
      <c r="EZ259" s="530" t="s">
        <v>12402</v>
      </c>
      <c r="FB259" s="83" t="s">
        <v>780</v>
      </c>
      <c r="FC259" s="133" t="s">
        <v>5751</v>
      </c>
      <c r="FD259" s="83" t="s">
        <v>7365</v>
      </c>
      <c r="FE259" s="849">
        <v>96</v>
      </c>
      <c r="FF259">
        <v>30</v>
      </c>
      <c r="FG259">
        <v>27</v>
      </c>
      <c r="FH259">
        <v>30</v>
      </c>
      <c r="FI259">
        <v>32</v>
      </c>
      <c r="FJ259" s="10">
        <v>32</v>
      </c>
      <c r="FK259">
        <v>36</v>
      </c>
      <c r="FL259">
        <v>27</v>
      </c>
      <c r="FM259" s="531">
        <v>30</v>
      </c>
      <c r="FN259" s="88">
        <v>1</v>
      </c>
      <c r="FO259" s="88">
        <v>11</v>
      </c>
      <c r="FP259" s="164">
        <f>ROUNDDOWN(FH259/10,0)</f>
        <v>3</v>
      </c>
      <c r="FQ259" s="164">
        <f>ROUNDDOWN(FI259/10,0)</f>
        <v>3</v>
      </c>
      <c r="FR259" s="682">
        <v>4</v>
      </c>
      <c r="FS259" s="88">
        <v>0</v>
      </c>
      <c r="FT259" s="88">
        <v>0</v>
      </c>
      <c r="FU259" s="531">
        <v>0</v>
      </c>
      <c r="FV259" s="83" t="s">
        <v>7418</v>
      </c>
      <c r="FW259" s="83" t="s">
        <v>7366</v>
      </c>
      <c r="FX259" s="751" t="s">
        <v>7662</v>
      </c>
      <c r="GF259" t="s">
        <v>8263</v>
      </c>
    </row>
    <row r="260" spans="8:188" ht="13.2" customHeight="1">
      <c r="H260" s="3"/>
      <c r="I260" s="3"/>
      <c r="J260" s="3"/>
      <c r="K260" s="3"/>
      <c r="L260" s="3"/>
      <c r="M260" s="651"/>
      <c r="N260" s="3"/>
      <c r="O260" s="3"/>
      <c r="P260" s="3"/>
      <c r="Q260" s="3"/>
      <c r="R260" s="651"/>
      <c r="S260" s="83" t="str">
        <f>IF(OR(CareerType=Y260,AllCareers="X",SelectRace="Humain"),"Ovate","")</f>
        <v/>
      </c>
      <c r="T260" s="106">
        <f>IF(X260="oui",0,1)</f>
        <v>1</v>
      </c>
      <c r="U260" s="693" t="str">
        <f t="shared" si="152"/>
        <v/>
      </c>
      <c r="V260" s="693" t="str">
        <f t="shared" si="153"/>
        <v/>
      </c>
      <c r="W260" s="693" t="str">
        <f t="shared" si="154"/>
        <v/>
      </c>
      <c r="X260" s="48" t="s">
        <v>2153</v>
      </c>
      <c r="Y260" s="744" t="s">
        <v>15709</v>
      </c>
      <c r="Z260" s="56" t="s">
        <v>17199</v>
      </c>
      <c r="AB260" s="89" t="s">
        <v>15418</v>
      </c>
      <c r="AD260" s="105" t="s">
        <v>98</v>
      </c>
      <c r="AE260" s="105" t="s">
        <v>98</v>
      </c>
      <c r="AF260" s="105" t="s">
        <v>149</v>
      </c>
      <c r="AG260" s="105" t="s">
        <v>98</v>
      </c>
      <c r="AH260" s="105" t="s">
        <v>98</v>
      </c>
      <c r="AI260" s="105" t="s">
        <v>98</v>
      </c>
      <c r="AJ260" s="105" t="s">
        <v>98</v>
      </c>
      <c r="AK260" s="443" t="s">
        <v>149</v>
      </c>
      <c r="AL260" s="105" t="s">
        <v>149</v>
      </c>
      <c r="AM260" s="105" t="s">
        <v>102</v>
      </c>
      <c r="AN260" s="105" t="s">
        <v>149</v>
      </c>
      <c r="AO260" s="105" t="s">
        <v>149</v>
      </c>
      <c r="AP260" s="87" t="s">
        <v>17200</v>
      </c>
      <c r="AQ260" s="87" t="s">
        <v>734</v>
      </c>
      <c r="AR260" s="87" t="s">
        <v>16427</v>
      </c>
      <c r="AS260" s="87" t="s">
        <v>734</v>
      </c>
      <c r="AT260" s="87" t="s">
        <v>16428</v>
      </c>
      <c r="AU260" s="87" t="s">
        <v>16429</v>
      </c>
      <c r="AV260" s="87" t="s">
        <v>15427</v>
      </c>
      <c r="AW260" s="458">
        <v>0</v>
      </c>
      <c r="AX260" s="630" t="str">
        <f>IF(S260="","","Chasseur, Coupe-jarret, Esclave/Thrall, Fanatique, Garde, Garde du corps, Guerrier des clans, Hors-la-loi, Naufrageur, Pillard, Pilleur de tombes, Trafiquant de cadavres, Vagabond, Voleur")</f>
        <v/>
      </c>
      <c r="AY260" s="630" t="str">
        <f>IF(AX260="","","Acolyte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260" s="630" t="str">
        <f>IF(S260="","","Apprenti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260" s="3"/>
      <c r="BB260" s="3"/>
      <c r="BC260" s="3"/>
      <c r="BD260" s="3"/>
      <c r="BE260" s="3"/>
      <c r="BF260" s="3"/>
      <c r="BG260" s="3"/>
      <c r="BH260" s="3"/>
      <c r="BI260" s="3"/>
      <c r="BJ260" s="3"/>
      <c r="BK260" s="3"/>
      <c r="BL260" s="3"/>
      <c r="BM260" s="3"/>
      <c r="BN260" s="3"/>
      <c r="BP260" s="3"/>
      <c r="BQ260" s="3"/>
      <c r="BR260" s="3"/>
      <c r="BS260" s="3"/>
      <c r="BT260" s="3"/>
      <c r="BU260" s="3"/>
      <c r="BV260" s="3"/>
      <c r="BW260" s="3"/>
      <c r="BX260" s="3" t="str">
        <f>IF(Province="Principauté de Luccini","Ville fortifiée de Luccini","")</f>
        <v/>
      </c>
      <c r="BY260" t="str">
        <f t="shared" si="155"/>
        <v/>
      </c>
      <c r="BZ260" s="83" t="str">
        <f t="shared" si="147"/>
        <v/>
      </c>
      <c r="CA260" s="83" t="str">
        <f t="shared" si="148"/>
        <v/>
      </c>
      <c r="CB260" s="530" t="str">
        <f t="shared" si="149"/>
        <v/>
      </c>
      <c r="CG260" s="3" t="s">
        <v>895</v>
      </c>
      <c r="CH260" s="3" t="s">
        <v>6111</v>
      </c>
      <c r="CI260" s="3"/>
      <c r="CJ260" s="3"/>
      <c r="CK260" s="3" t="s">
        <v>6847</v>
      </c>
      <c r="CM260" s="83" t="s">
        <v>14947</v>
      </c>
      <c r="CN260" s="3"/>
      <c r="CO260" s="3" t="str">
        <f>CONCATENATE("Morgrin",IF(AND('page 1'!M11="Féminin",Pays="Norsca"),"dottir",IF(AND('page 1'!M11="Masculin",Pays="Norsca"),"son",IF(AND('page 1'!M11="Féminin",Pays="Kislev"),"ovna",IF(AND('page 1'!M11="Masculin",Pays="Kislev"),"sky","")))))</f>
        <v>Morgrin</v>
      </c>
      <c r="CP260" s="3"/>
      <c r="CQ260" s="3"/>
      <c r="CR260" s="3" t="s">
        <v>13628</v>
      </c>
      <c r="CS260" s="3"/>
      <c r="CT260" s="3"/>
      <c r="CU260" s="3"/>
      <c r="CV260" s="3"/>
      <c r="CW260" s="3"/>
      <c r="CX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U260" s="177" t="str">
        <f>IF(OR(Pays="Norsca",Pays="Désolations du Chaos",Pays="",Pays="Steppes orientales"),"","Secte des Jenova")</f>
        <v/>
      </c>
      <c r="EV260" s="83" t="str">
        <f t="shared" si="146"/>
        <v/>
      </c>
      <c r="EW260" s="83" t="str">
        <f t="shared" si="150"/>
        <v/>
      </c>
      <c r="EX260" s="530" t="str">
        <f t="shared" si="151"/>
        <v/>
      </c>
      <c r="EY260" s="83" t="s">
        <v>12461</v>
      </c>
      <c r="EZ260" s="530" t="s">
        <v>12462</v>
      </c>
      <c r="FB260" s="83" t="s">
        <v>7401</v>
      </c>
      <c r="FC260" s="133" t="s">
        <v>5751</v>
      </c>
      <c r="FD260" s="83" t="s">
        <v>2200</v>
      </c>
      <c r="FE260" s="849">
        <v>231</v>
      </c>
      <c r="FF260">
        <v>29</v>
      </c>
      <c r="FG260">
        <v>42</v>
      </c>
      <c r="FH260">
        <v>30</v>
      </c>
      <c r="FI260">
        <v>31</v>
      </c>
      <c r="FJ260" s="10">
        <v>35</v>
      </c>
      <c r="FK260">
        <v>30</v>
      </c>
      <c r="FL260">
        <v>28</v>
      </c>
      <c r="FM260" s="165">
        <v>25</v>
      </c>
      <c r="FN260" s="88">
        <v>1</v>
      </c>
      <c r="FO260" s="88">
        <v>12</v>
      </c>
      <c r="FP260" s="164">
        <f>ROUNDDOWN(FH260/10,0)</f>
        <v>3</v>
      </c>
      <c r="FQ260" s="164">
        <f>ROUNDDOWN(FI260/10,0)</f>
        <v>3</v>
      </c>
      <c r="FR260" s="682">
        <v>4</v>
      </c>
      <c r="FS260" s="88">
        <v>0</v>
      </c>
      <c r="FT260" s="88">
        <v>0</v>
      </c>
      <c r="FU260" s="165">
        <v>0</v>
      </c>
      <c r="FV260" s="83" t="s">
        <v>7419</v>
      </c>
      <c r="FW260" s="90" t="s">
        <v>17183</v>
      </c>
      <c r="FX260" s="751" t="s">
        <v>7667</v>
      </c>
      <c r="GF260" t="s">
        <v>8272</v>
      </c>
    </row>
    <row r="261" spans="8:188" ht="13.2" customHeight="1">
      <c r="H261" s="3"/>
      <c r="I261" s="3"/>
      <c r="J261" s="3"/>
      <c r="K261" s="3"/>
      <c r="L261" s="3"/>
      <c r="M261" s="651"/>
      <c r="N261" s="3"/>
      <c r="O261" s="3"/>
      <c r="P261" s="3"/>
      <c r="Q261" s="3"/>
      <c r="R261" s="651"/>
      <c r="S261" s="83" t="str">
        <f>IF(OR(CareerType=Y261,AllCareers="X",SelectRace="Humain"),"Ovate Ainé","")</f>
        <v/>
      </c>
      <c r="T261" s="106">
        <v>2</v>
      </c>
      <c r="U261" s="693" t="str">
        <f t="shared" si="152"/>
        <v/>
      </c>
      <c r="V261" s="693" t="str">
        <f t="shared" si="153"/>
        <v/>
      </c>
      <c r="W261" s="693" t="str">
        <f t="shared" si="154"/>
        <v/>
      </c>
      <c r="X261" s="48" t="s">
        <v>2153</v>
      </c>
      <c r="Y261" s="744" t="s">
        <v>15709</v>
      </c>
      <c r="Z261" s="56" t="s">
        <v>16792</v>
      </c>
      <c r="AB261" s="89" t="s">
        <v>16423</v>
      </c>
      <c r="AD261" s="105" t="s">
        <v>149</v>
      </c>
      <c r="AE261" s="15" t="s">
        <v>149</v>
      </c>
      <c r="AF261" s="105" t="s">
        <v>98</v>
      </c>
      <c r="AG261" s="105" t="s">
        <v>100</v>
      </c>
      <c r="AH261" s="105" t="s">
        <v>101</v>
      </c>
      <c r="AI261" s="15" t="s">
        <v>99</v>
      </c>
      <c r="AJ261" s="15" t="s">
        <v>101</v>
      </c>
      <c r="AK261" s="443" t="s">
        <v>149</v>
      </c>
      <c r="AL261" s="105" t="s">
        <v>149</v>
      </c>
      <c r="AM261" s="105" t="s">
        <v>102</v>
      </c>
      <c r="AN261" s="105" t="s">
        <v>149</v>
      </c>
      <c r="AO261" s="105" t="s">
        <v>149</v>
      </c>
      <c r="AP261" s="87" t="s">
        <v>15418</v>
      </c>
      <c r="AQ261" s="87" t="s">
        <v>734</v>
      </c>
      <c r="AR261" s="87" t="s">
        <v>16424</v>
      </c>
      <c r="AS261" s="87" t="s">
        <v>734</v>
      </c>
      <c r="AT261" s="87" t="s">
        <v>17201</v>
      </c>
      <c r="AU261" s="87" t="s">
        <v>16433</v>
      </c>
      <c r="AV261" s="87" t="s">
        <v>17202</v>
      </c>
      <c r="AW261" s="458">
        <v>0</v>
      </c>
      <c r="AX261" s="630" t="str">
        <f>IF(S261="","","Chasseur, Coupe-jarret, Esclave/Thrall, Fanatique, Garde, Garde du corps, Guerrier des clans, Hors-la-loi, Naufrageur, Pillard, Pilleur de tombes, Trafiquant de cadavres, Vagabond, Voleur")</f>
        <v/>
      </c>
      <c r="AY261" s="630" t="str">
        <f>IF(AX261="","","Acolyte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261" s="630" t="str">
        <f>IF(S261="","","Apprenti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261" s="3"/>
      <c r="BB261" s="3"/>
      <c r="BC261" s="3"/>
      <c r="BD261" s="3"/>
      <c r="BE261" s="3"/>
      <c r="BF261" s="3"/>
      <c r="BG261" s="3"/>
      <c r="BH261" s="3"/>
      <c r="BI261" s="3"/>
      <c r="BJ261" s="3"/>
      <c r="BK261" s="3"/>
      <c r="BL261" s="3"/>
      <c r="BM261" s="3"/>
      <c r="BN261" s="3"/>
      <c r="BP261" s="3"/>
      <c r="BQ261" s="3"/>
      <c r="BR261" s="3"/>
      <c r="BS261" s="3"/>
      <c r="BT261" s="3"/>
      <c r="BU261" s="3"/>
      <c r="BV261" s="3"/>
      <c r="BW261" s="3"/>
      <c r="BX261" s="3" t="str">
        <f>IF(Province="Principauté de Remas","Ville fortifiée de Remas","")</f>
        <v/>
      </c>
      <c r="BY261" t="str">
        <f t="shared" si="155"/>
        <v/>
      </c>
      <c r="BZ261" s="83" t="str">
        <f t="shared" si="147"/>
        <v/>
      </c>
      <c r="CA261" s="83" t="str">
        <f t="shared" si="148"/>
        <v/>
      </c>
      <c r="CB261" s="530" t="str">
        <f t="shared" si="149"/>
        <v/>
      </c>
      <c r="CG261" s="83" t="s">
        <v>15250</v>
      </c>
      <c r="CH261" s="3" t="s">
        <v>6112</v>
      </c>
      <c r="CI261" s="3"/>
      <c r="CJ261" s="3"/>
      <c r="CK261" s="3" t="s">
        <v>6923</v>
      </c>
      <c r="CM261" t="s">
        <v>10399</v>
      </c>
      <c r="CN261" s="3"/>
      <c r="CO261" s="3" t="str">
        <f>CONCATENATE("Morgund",IF(AND('page 1'!M12="Féminin",Pays="Norsca"),"dottir",IF(AND('page 1'!M12="Masculin",Pays="Norsca"),"son",IF(AND('page 1'!M12="Féminin",Pays="Kislev"),"ovna",IF(AND('page 1'!M12="Masculin",Pays="Kislev"),"sky","")))))</f>
        <v>Morgund</v>
      </c>
      <c r="CR261" s="3" t="s">
        <v>13629</v>
      </c>
      <c r="CS261" s="3"/>
      <c r="CT261" s="3"/>
      <c r="CU261" s="3"/>
      <c r="CV261" s="3"/>
      <c r="CW261" s="3"/>
      <c r="CX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U261" s="177" t="str">
        <f>IF(OR(Pays="Norsca",Pays="Désolations du Chaos",Pays="",Pays="Steppes orientales"),"","Secte des Scientologiens")</f>
        <v/>
      </c>
      <c r="EV261" s="83" t="str">
        <f t="shared" si="146"/>
        <v/>
      </c>
      <c r="EW261" s="83" t="str">
        <f t="shared" si="150"/>
        <v/>
      </c>
      <c r="EX261" s="530" t="str">
        <f t="shared" si="151"/>
        <v/>
      </c>
      <c r="EY261" s="83" t="s">
        <v>418</v>
      </c>
      <c r="EZ261" s="530" t="s">
        <v>12487</v>
      </c>
      <c r="FB261" s="83" t="s">
        <v>5585</v>
      </c>
      <c r="FC261" s="133" t="s">
        <v>5751</v>
      </c>
      <c r="FD261" s="83" t="s">
        <v>7365</v>
      </c>
      <c r="FE261" s="849">
        <v>97</v>
      </c>
      <c r="FF261">
        <v>29</v>
      </c>
      <c r="FG261">
        <v>25</v>
      </c>
      <c r="FH261">
        <v>28</v>
      </c>
      <c r="FI261">
        <v>30</v>
      </c>
      <c r="FJ261" s="10">
        <v>32</v>
      </c>
      <c r="FK261">
        <v>33</v>
      </c>
      <c r="FL261">
        <v>28</v>
      </c>
      <c r="FM261" s="165">
        <v>33</v>
      </c>
      <c r="FN261" s="88">
        <v>1</v>
      </c>
      <c r="FO261" s="88">
        <v>11</v>
      </c>
      <c r="FP261" s="164">
        <f>ROUNDDOWN(FH261/10,0)</f>
        <v>2</v>
      </c>
      <c r="FQ261" s="164">
        <f>ROUNDDOWN(FI261/10,0)</f>
        <v>3</v>
      </c>
      <c r="FR261" s="682">
        <v>4</v>
      </c>
      <c r="FS261" s="88">
        <v>0</v>
      </c>
      <c r="FT261" s="88">
        <v>0</v>
      </c>
      <c r="FU261" s="165">
        <v>0</v>
      </c>
      <c r="FV261" s="83" t="s">
        <v>7420</v>
      </c>
      <c r="FW261" s="83" t="s">
        <v>7367</v>
      </c>
      <c r="FX261" s="751" t="s">
        <v>7661</v>
      </c>
      <c r="GA261" s="83"/>
      <c r="GF261" t="s">
        <v>8264</v>
      </c>
    </row>
    <row r="262" spans="8:188" ht="13.2" customHeight="1">
      <c r="H262" s="3"/>
      <c r="I262" s="3"/>
      <c r="J262" s="3"/>
      <c r="K262" s="3"/>
      <c r="L262" s="3"/>
      <c r="M262" s="651"/>
      <c r="N262" s="3"/>
      <c r="O262" s="3"/>
      <c r="P262" s="3"/>
      <c r="Q262" s="3"/>
      <c r="R262" s="651"/>
      <c r="S262" s="83" t="str">
        <f>IF(CareerType=Y262,"Pamphlétaire",IF(AllCareers="X","Pamphlétaire",IF(Selectsousrace="","",IF(OR(SelectRace="homme-bête",SelectRace="peau-verte",SelectRace="créature du chaos",SelectRace="Homme-lézard",SelectRace="skaven"),"",IF(FirstCareer="1ère carrière","","Pamphlétaire")))))</f>
        <v/>
      </c>
      <c r="T262" s="106">
        <f t="shared" si="145"/>
        <v>1</v>
      </c>
      <c r="U262" s="693" t="str">
        <f t="shared" si="152"/>
        <v/>
      </c>
      <c r="V262" s="693" t="str">
        <f t="shared" si="153"/>
        <v/>
      </c>
      <c r="W262" s="693" t="str">
        <f t="shared" si="154"/>
        <v/>
      </c>
      <c r="X262" s="48" t="s">
        <v>2153</v>
      </c>
      <c r="Y262" s="744" t="s">
        <v>7133</v>
      </c>
      <c r="Z262" s="55" t="s">
        <v>2156</v>
      </c>
      <c r="AA262" s="48">
        <v>52</v>
      </c>
      <c r="AB262" s="48" t="s">
        <v>2178</v>
      </c>
      <c r="AC262" s="47">
        <v>159</v>
      </c>
      <c r="AD262" s="15" t="s">
        <v>114</v>
      </c>
      <c r="AE262" s="15" t="s">
        <v>114</v>
      </c>
      <c r="AF262" s="15" t="s">
        <v>114</v>
      </c>
      <c r="AG262" s="15" t="s">
        <v>98</v>
      </c>
      <c r="AH262" s="15" t="s">
        <v>101</v>
      </c>
      <c r="AI262" s="15" t="s">
        <v>99</v>
      </c>
      <c r="AJ262" s="15" t="s">
        <v>100</v>
      </c>
      <c r="AK262" s="18" t="s">
        <v>100</v>
      </c>
      <c r="AL262" s="15" t="s">
        <v>149</v>
      </c>
      <c r="AM262" s="15" t="s">
        <v>103</v>
      </c>
      <c r="AN262" s="15" t="s">
        <v>149</v>
      </c>
      <c r="AO262" s="15" t="s">
        <v>149</v>
      </c>
      <c r="AP262" s="87" t="s">
        <v>5542</v>
      </c>
      <c r="AQ262" s="87" t="s">
        <v>734</v>
      </c>
      <c r="AR262" s="87" t="s">
        <v>9996</v>
      </c>
      <c r="AS262" s="87" t="s">
        <v>734</v>
      </c>
      <c r="AT262" s="87" t="s">
        <v>17203</v>
      </c>
      <c r="AU262" s="87" t="s">
        <v>17204</v>
      </c>
      <c r="AV262" s="87" t="s">
        <v>4777</v>
      </c>
      <c r="AW262" s="457">
        <v>0</v>
      </c>
      <c r="AX262" s="630" t="str">
        <f t="shared" si="142"/>
        <v/>
      </c>
      <c r="AY262" s="630" t="str">
        <f t="shared" si="143"/>
        <v/>
      </c>
      <c r="AZ262" s="630" t="str">
        <f t="shared" si="144"/>
        <v/>
      </c>
      <c r="BA262" s="3"/>
      <c r="BB262" s="3"/>
      <c r="BC262" s="3"/>
      <c r="BD262" s="3"/>
      <c r="BE262" s="3"/>
      <c r="BF262" s="3"/>
      <c r="BG262" s="3"/>
      <c r="BH262" s="3"/>
      <c r="BI262" s="3"/>
      <c r="BJ262" s="3"/>
      <c r="BK262" s="3"/>
      <c r="BL262" s="3"/>
      <c r="BM262" s="3"/>
      <c r="BN262" s="3"/>
      <c r="BP262" s="3"/>
      <c r="BQ262" s="3"/>
      <c r="BR262" s="3"/>
      <c r="BS262" s="3"/>
      <c r="BT262" s="3"/>
      <c r="BU262" s="3"/>
      <c r="BV262" s="3"/>
      <c r="BW262" s="3"/>
      <c r="BX262" s="3" t="str">
        <f>IF(Province="Principauté de Sartosa","Ville fortifiée de Sartosa","")</f>
        <v/>
      </c>
      <c r="BY262" t="str">
        <f t="shared" si="155"/>
        <v/>
      </c>
      <c r="BZ262" s="83" t="str">
        <f t="shared" si="147"/>
        <v/>
      </c>
      <c r="CA262" s="83" t="str">
        <f t="shared" si="148"/>
        <v/>
      </c>
      <c r="CB262" s="530" t="str">
        <f t="shared" si="149"/>
        <v/>
      </c>
      <c r="CG262" s="3" t="s">
        <v>6319</v>
      </c>
      <c r="CH262" s="83" t="s">
        <v>14940</v>
      </c>
      <c r="CI262" s="3"/>
      <c r="CJ262" s="3"/>
      <c r="CK262" s="3" t="s">
        <v>6886</v>
      </c>
      <c r="CM262" t="s">
        <v>10398</v>
      </c>
      <c r="CN262" s="3"/>
      <c r="CO262" s="3" t="str">
        <f>CONCATENATE("Morins",IF(AND('page 1'!M11="Féminin",Pays="Norsca"),"dottir",IF(AND('page 1'!M11="Masculin",Pays="Norsca"),"son",IF(AND('page 1'!M11="Féminin",Pays="Kislev"),"ovna",IF(AND('page 1'!M11="Masculin",Pays="Kislev"),"sky","")))))</f>
        <v>Morins</v>
      </c>
      <c r="CP262" s="3"/>
      <c r="CQ262" s="3"/>
      <c r="CR262" s="3" t="s">
        <v>13630</v>
      </c>
      <c r="CS262" s="3"/>
      <c r="CT262" s="3"/>
      <c r="CU262" s="3"/>
      <c r="CV262" s="3"/>
      <c r="CW262" s="3"/>
      <c r="CX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U262" s="25" t="str">
        <f>IF(OR(Dieu="Khorne",Dieu="Raktavija",Dieu="Hifokosho",Dieu="Gotd",Dieu="Chron"),"Faucheurs de Crânes","")</f>
        <v/>
      </c>
      <c r="EV262" s="83" t="str">
        <f t="shared" si="146"/>
        <v/>
      </c>
      <c r="EW262" s="83" t="str">
        <f t="shared" si="150"/>
        <v/>
      </c>
      <c r="EX262" s="530" t="str">
        <f t="shared" si="151"/>
        <v/>
      </c>
      <c r="EY262" s="83" t="s">
        <v>9511</v>
      </c>
      <c r="EZ262" s="530" t="s">
        <v>12473</v>
      </c>
      <c r="FB262" s="83" t="s">
        <v>5163</v>
      </c>
      <c r="FC262" s="133" t="s">
        <v>5751</v>
      </c>
      <c r="FD262" s="83" t="s">
        <v>7365</v>
      </c>
      <c r="FE262" s="849">
        <v>107</v>
      </c>
      <c r="FF262">
        <v>47</v>
      </c>
      <c r="FG262">
        <v>32</v>
      </c>
      <c r="FH262">
        <v>48</v>
      </c>
      <c r="FI262">
        <v>37</v>
      </c>
      <c r="FJ262" s="10">
        <v>42</v>
      </c>
      <c r="FK262">
        <v>37</v>
      </c>
      <c r="FL262">
        <v>27</v>
      </c>
      <c r="FM262" s="165">
        <v>27</v>
      </c>
      <c r="FN262" s="88">
        <v>1</v>
      </c>
      <c r="FO262" s="88">
        <v>13</v>
      </c>
      <c r="FP262" s="164">
        <f>ROUNDDOWN(FH262/10,0)</f>
        <v>4</v>
      </c>
      <c r="FQ262" s="164">
        <f>ROUNDDOWN(FI262/10,0)</f>
        <v>3</v>
      </c>
      <c r="FR262" s="682">
        <v>4</v>
      </c>
      <c r="FS262" s="88">
        <v>0</v>
      </c>
      <c r="FT262" s="88">
        <v>0</v>
      </c>
      <c r="FU262" s="165">
        <v>0</v>
      </c>
      <c r="FV262" s="83" t="s">
        <v>12465</v>
      </c>
      <c r="FW262" s="83" t="s">
        <v>7384</v>
      </c>
      <c r="FX262" s="751" t="s">
        <v>7667</v>
      </c>
      <c r="GF262" t="s">
        <v>8265</v>
      </c>
    </row>
    <row r="263" spans="8:188" ht="13.2" customHeight="1">
      <c r="H263" s="3"/>
      <c r="I263" s="3"/>
      <c r="J263" s="3"/>
      <c r="K263" s="3"/>
      <c r="L263" s="3"/>
      <c r="M263" s="651"/>
      <c r="N263" s="3"/>
      <c r="O263" s="3"/>
      <c r="P263" s="3"/>
      <c r="Q263" s="3"/>
      <c r="R263" s="651"/>
      <c r="S263" s="83" t="str">
        <f>IF(CareerType=Y263,"Passeur",IF(AllCareers="X","Passeur",IF(OR(Pays="Désolations du Chaos",Pays="Norsca"),"",IF(OR(SelectRace="Halfling",SelectRace="Humain"),"Passeur",""))))</f>
        <v/>
      </c>
      <c r="T263" s="106">
        <f t="shared" si="145"/>
        <v>0</v>
      </c>
      <c r="U263" s="693" t="str">
        <f t="shared" si="152"/>
        <v/>
      </c>
      <c r="V263" s="693" t="str">
        <f t="shared" si="153"/>
        <v/>
      </c>
      <c r="W263" s="693" t="str">
        <f t="shared" si="154"/>
        <v/>
      </c>
      <c r="X263" s="47" t="s">
        <v>2160</v>
      </c>
      <c r="Y263" s="743" t="s">
        <v>7132</v>
      </c>
      <c r="Z263" s="55" t="s">
        <v>2200</v>
      </c>
      <c r="AA263" s="47">
        <v>51</v>
      </c>
      <c r="AB263" s="47" t="s">
        <v>2382</v>
      </c>
      <c r="AC263" s="47">
        <v>77</v>
      </c>
      <c r="AD263" s="20" t="s">
        <v>114</v>
      </c>
      <c r="AE263" s="20" t="s">
        <v>114</v>
      </c>
      <c r="AF263" s="15" t="s">
        <v>98</v>
      </c>
      <c r="AG263" s="20" t="s">
        <v>114</v>
      </c>
      <c r="AH263" s="20" t="s">
        <v>114</v>
      </c>
      <c r="AI263" s="20" t="s">
        <v>114</v>
      </c>
      <c r="AJ263" s="15" t="s">
        <v>149</v>
      </c>
      <c r="AK263" s="18" t="s">
        <v>149</v>
      </c>
      <c r="AL263" s="15" t="s">
        <v>149</v>
      </c>
      <c r="AM263" s="15" t="s">
        <v>113</v>
      </c>
      <c r="AN263" s="15" t="s">
        <v>149</v>
      </c>
      <c r="AO263" s="15" t="s">
        <v>149</v>
      </c>
      <c r="AP263" s="87" t="s">
        <v>5525</v>
      </c>
      <c r="AQ263" s="87" t="s">
        <v>5626</v>
      </c>
      <c r="AR263" s="22" t="s">
        <v>979</v>
      </c>
      <c r="AS263" s="87" t="s">
        <v>15908</v>
      </c>
      <c r="AT263" s="22" t="s">
        <v>3496</v>
      </c>
      <c r="AU263" s="87" t="s">
        <v>17206</v>
      </c>
      <c r="AV263" s="87" t="s">
        <v>4577</v>
      </c>
      <c r="AW263" s="457">
        <v>0</v>
      </c>
      <c r="AX263" s="630" t="str">
        <f t="shared" si="142"/>
        <v/>
      </c>
      <c r="AY263" s="630" t="str">
        <f t="shared" si="143"/>
        <v/>
      </c>
      <c r="AZ263" s="630" t="str">
        <f t="shared" si="144"/>
        <v/>
      </c>
      <c r="BA263" s="3"/>
      <c r="BB263" s="3"/>
      <c r="BC263" s="3"/>
      <c r="BD263" s="3"/>
      <c r="BE263" s="3"/>
      <c r="BF263" s="3"/>
      <c r="BG263" s="3"/>
      <c r="BH263" s="3"/>
      <c r="BI263" s="3"/>
      <c r="BJ263" s="3"/>
      <c r="BK263" s="3"/>
      <c r="BL263" s="3"/>
      <c r="BM263" s="3"/>
      <c r="BN263" s="3"/>
      <c r="BP263" s="3"/>
      <c r="BQ263" s="3"/>
      <c r="BR263" s="3"/>
      <c r="BS263" s="3"/>
      <c r="BT263" s="3"/>
      <c r="BU263" s="3"/>
      <c r="BV263" s="3"/>
      <c r="BW263" s="3"/>
      <c r="BX263" s="3" t="str">
        <f>IF(Province="Principauté de Tobaro","Ville fortifiée de Tobaro","")</f>
        <v/>
      </c>
      <c r="BY263" t="str">
        <f t="shared" si="155"/>
        <v/>
      </c>
      <c r="BZ263" s="83" t="str">
        <f t="shared" si="147"/>
        <v/>
      </c>
      <c r="CA263" s="83" t="str">
        <f t="shared" si="148"/>
        <v/>
      </c>
      <c r="CB263" s="530" t="str">
        <f t="shared" si="149"/>
        <v/>
      </c>
      <c r="CG263" s="3" t="s">
        <v>6320</v>
      </c>
      <c r="CH263" s="83" t="s">
        <v>15152</v>
      </c>
      <c r="CI263" s="3"/>
      <c r="CJ263" s="3"/>
      <c r="CK263" s="3" t="s">
        <v>6760</v>
      </c>
      <c r="CM263" t="s">
        <v>6279</v>
      </c>
      <c r="CN263" s="3"/>
      <c r="CO263" s="3" t="s">
        <v>11044</v>
      </c>
      <c r="CP263" s="3"/>
      <c r="CQ263" s="3"/>
      <c r="CR263" s="3" t="s">
        <v>13631</v>
      </c>
      <c r="CS263" s="3"/>
      <c r="CT263" s="3"/>
      <c r="CU263" s="3"/>
      <c r="CV263" s="3"/>
      <c r="CW263" s="3"/>
      <c r="CX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U263" s="25" t="str">
        <f>IF(Pays="Ulthuan","Garde maritime de Lothern","")</f>
        <v/>
      </c>
      <c r="EV263" s="83" t="str">
        <f t="shared" si="146"/>
        <v/>
      </c>
      <c r="EW263" s="83" t="str">
        <f t="shared" si="150"/>
        <v/>
      </c>
      <c r="EX263" s="530" t="str">
        <f t="shared" si="151"/>
        <v/>
      </c>
      <c r="EY263" s="85" t="s">
        <v>12482</v>
      </c>
      <c r="EZ263" s="530" t="s">
        <v>12483</v>
      </c>
      <c r="FB263" s="83" t="s">
        <v>2685</v>
      </c>
      <c r="FC263" s="133" t="s">
        <v>5751</v>
      </c>
      <c r="FD263" s="83" t="s">
        <v>7365</v>
      </c>
      <c r="FE263" s="849">
        <v>108</v>
      </c>
      <c r="FF263">
        <v>27</v>
      </c>
      <c r="FG263">
        <v>27</v>
      </c>
      <c r="FH263">
        <v>28</v>
      </c>
      <c r="FI263">
        <v>40</v>
      </c>
      <c r="FJ263" s="10">
        <v>45</v>
      </c>
      <c r="FK263">
        <v>52</v>
      </c>
      <c r="FL263">
        <v>42</v>
      </c>
      <c r="FM263" s="165">
        <v>47</v>
      </c>
      <c r="FN263" s="88">
        <v>1</v>
      </c>
      <c r="FO263" s="88">
        <v>13</v>
      </c>
      <c r="FP263" s="164">
        <f>ROUNDDOWN(FH263/10,0)</f>
        <v>2</v>
      </c>
      <c r="FQ263" s="164">
        <f>ROUNDDOWN(FI263/10,0)</f>
        <v>4</v>
      </c>
      <c r="FR263" s="682">
        <v>4</v>
      </c>
      <c r="FS263" s="88">
        <v>0</v>
      </c>
      <c r="FT263" s="88">
        <v>0</v>
      </c>
      <c r="FU263" s="165">
        <v>0</v>
      </c>
      <c r="FV263" s="83" t="s">
        <v>15423</v>
      </c>
      <c r="FW263" s="83" t="s">
        <v>7387</v>
      </c>
      <c r="FX263" s="530" t="s">
        <v>7666</v>
      </c>
      <c r="GF263" t="s">
        <v>7793</v>
      </c>
    </row>
    <row r="264" spans="8:188" ht="13.2" customHeight="1">
      <c r="H264" s="3"/>
      <c r="I264" s="3"/>
      <c r="J264" s="3"/>
      <c r="K264" s="3"/>
      <c r="L264" s="3"/>
      <c r="M264" s="651"/>
      <c r="N264" s="3"/>
      <c r="O264" s="3"/>
      <c r="P264" s="3"/>
      <c r="Q264" s="3"/>
      <c r="R264" s="651"/>
      <c r="S264" s="83" t="str">
        <f>IF(CareerType=Y264,"Patrouilleur",IF(AllCareers="X","Patrouilleur",IF(OR(Pays="Désolations du Chaos",Pays="Norsca"),"",IF(SelectRace="Humain","Patrouilleur",""))))</f>
        <v/>
      </c>
      <c r="T264" s="106">
        <f t="shared" si="145"/>
        <v>0</v>
      </c>
      <c r="U264" s="693" t="str">
        <f t="shared" si="152"/>
        <v/>
      </c>
      <c r="V264" s="693" t="str">
        <f t="shared" si="153"/>
        <v/>
      </c>
      <c r="W264" s="693" t="str">
        <f t="shared" si="154"/>
        <v/>
      </c>
      <c r="X264" s="47" t="s">
        <v>2160</v>
      </c>
      <c r="Y264" s="743" t="s">
        <v>7130</v>
      </c>
      <c r="Z264" s="55" t="s">
        <v>2200</v>
      </c>
      <c r="AA264" s="47">
        <v>52</v>
      </c>
      <c r="AB264" s="47" t="s">
        <v>2383</v>
      </c>
      <c r="AC264" s="47">
        <v>177</v>
      </c>
      <c r="AD264" s="15" t="s">
        <v>98</v>
      </c>
      <c r="AE264" s="15" t="s">
        <v>98</v>
      </c>
      <c r="AF264" s="20" t="s">
        <v>114</v>
      </c>
      <c r="AG264" s="15" t="s">
        <v>149</v>
      </c>
      <c r="AH264" s="15" t="s">
        <v>98</v>
      </c>
      <c r="AI264" s="20" t="s">
        <v>114</v>
      </c>
      <c r="AJ264" s="20" t="s">
        <v>114</v>
      </c>
      <c r="AK264" s="18" t="s">
        <v>149</v>
      </c>
      <c r="AL264" s="15" t="s">
        <v>149</v>
      </c>
      <c r="AM264" s="15" t="s">
        <v>113</v>
      </c>
      <c r="AN264" s="15" t="s">
        <v>149</v>
      </c>
      <c r="AO264" s="15" t="s">
        <v>149</v>
      </c>
      <c r="AP264" s="87" t="s">
        <v>16155</v>
      </c>
      <c r="AQ264" s="87" t="s">
        <v>5659</v>
      </c>
      <c r="AR264" s="87" t="s">
        <v>15683</v>
      </c>
      <c r="AS264" s="87" t="s">
        <v>15909</v>
      </c>
      <c r="AT264" s="22" t="s">
        <v>3497</v>
      </c>
      <c r="AU264" s="87" t="s">
        <v>17207</v>
      </c>
      <c r="AV264" s="87" t="s">
        <v>17208</v>
      </c>
      <c r="AW264" s="457">
        <v>0</v>
      </c>
      <c r="AX264" s="630" t="str">
        <f t="shared" ref="AX264:AX327" si="156">IF(S264="","","Chasseur, Coupe-jarret, Esclave/Thrall, Fanatique, Garde, Garde du corps, Guerrier des clans, Hors-la-loi, Naufrageur, Pillard, Pilleur de tombes, Trafiquant de cadavres, Vagabond, Voleur")</f>
        <v/>
      </c>
      <c r="AY264" s="630" t="str">
        <f t="shared" ref="AY264:AY327" si="157">IF(AX264="","","Acolyte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264" s="630" t="str">
        <f t="shared" ref="AZ264:AZ327" si="158">IF(S264="","","Apprenti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A264" s="3"/>
      <c r="BB264" s="3"/>
      <c r="BC264" s="3"/>
      <c r="BD264" s="3"/>
      <c r="BE264" s="3"/>
      <c r="BF264" s="3"/>
      <c r="BG264" s="3"/>
      <c r="BH264" s="3"/>
      <c r="BI264" s="3"/>
      <c r="BJ264" s="3"/>
      <c r="BK264" s="3"/>
      <c r="BL264" s="3"/>
      <c r="BM264" s="3"/>
      <c r="BN264" s="3"/>
      <c r="BP264" s="3"/>
      <c r="BQ264" s="3"/>
      <c r="BR264" s="3"/>
      <c r="BS264" s="3"/>
      <c r="BT264" s="3"/>
      <c r="BU264" s="3"/>
      <c r="BV264" s="3"/>
      <c r="BW264" s="3"/>
      <c r="BX264" s="3" t="str">
        <f>IF(Province="République de Verezzo","Ville fortifiée de Verezzo","")</f>
        <v/>
      </c>
      <c r="BY264" t="str">
        <f t="shared" si="155"/>
        <v/>
      </c>
      <c r="BZ264" s="83" t="str">
        <f t="shared" si="147"/>
        <v/>
      </c>
      <c r="CA264" s="83" t="str">
        <f t="shared" si="148"/>
        <v/>
      </c>
      <c r="CB264" s="530" t="str">
        <f t="shared" si="149"/>
        <v/>
      </c>
      <c r="CG264" s="83" t="s">
        <v>11257</v>
      </c>
      <c r="CH264" s="83" t="s">
        <v>15249</v>
      </c>
      <c r="CI264" s="3"/>
      <c r="CJ264" s="3"/>
      <c r="CK264" s="3" t="s">
        <v>6806</v>
      </c>
      <c r="CM264" s="83" t="s">
        <v>15238</v>
      </c>
      <c r="CN264" s="3"/>
      <c r="CO264" s="3" t="str">
        <f>CONCATENATE("Nokin",IF(AND('page 1'!M11="Féminin",Pays="Norsca"),"dottir",IF(AND('page 1'!M11="Masculin",Pays="Norsca"),"son",IF(AND('page 1'!M11="Féminin",Pays="Kislev"),"ovna",IF(AND('page 1'!M11="Masculin",Pays="Kislev"),"sky","")))))</f>
        <v>Nokin</v>
      </c>
      <c r="CP264" s="83"/>
      <c r="CQ264" s="83"/>
      <c r="CR264" s="3" t="s">
        <v>13632</v>
      </c>
      <c r="CS264" s="3"/>
      <c r="CT264" s="3"/>
      <c r="CU264" s="3"/>
      <c r="CV264" s="3"/>
      <c r="CW264" s="3"/>
      <c r="CX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U264" s="177" t="str">
        <f>IF(SelectRace="Elfe","Guerriers Fantômes","")</f>
        <v/>
      </c>
      <c r="EV264" s="83" t="str">
        <f t="shared" si="146"/>
        <v/>
      </c>
      <c r="EW264" s="83" t="str">
        <f t="shared" si="150"/>
        <v/>
      </c>
      <c r="EX264" s="530" t="str">
        <f t="shared" si="151"/>
        <v/>
      </c>
      <c r="EY264" s="85" t="s">
        <v>17209</v>
      </c>
      <c r="EZ264" s="530" t="s">
        <v>254</v>
      </c>
      <c r="FB264" s="83" t="s">
        <v>7372</v>
      </c>
      <c r="FC264" s="133" t="s">
        <v>5751</v>
      </c>
      <c r="FD264" s="83" t="s">
        <v>7365</v>
      </c>
      <c r="FE264" s="849">
        <v>103</v>
      </c>
      <c r="FF264">
        <v>26</v>
      </c>
      <c r="FG264">
        <v>26</v>
      </c>
      <c r="FH264">
        <v>32</v>
      </c>
      <c r="FI264">
        <v>37</v>
      </c>
      <c r="FJ264" s="10">
        <v>30</v>
      </c>
      <c r="FK264">
        <v>43</v>
      </c>
      <c r="FL264">
        <v>44</v>
      </c>
      <c r="FM264" s="165">
        <v>46</v>
      </c>
      <c r="FN264" s="88">
        <v>1</v>
      </c>
      <c r="FO264" s="88">
        <v>11</v>
      </c>
      <c r="FP264" s="164">
        <f>ROUNDDOWN(FH264/10,0)</f>
        <v>3</v>
      </c>
      <c r="FQ264" s="164">
        <f>ROUNDDOWN(FI264/10,0)</f>
        <v>3</v>
      </c>
      <c r="FR264" s="682">
        <v>4</v>
      </c>
      <c r="FS264" s="88">
        <v>0</v>
      </c>
      <c r="FT264" s="88">
        <v>0</v>
      </c>
      <c r="FU264" s="165">
        <v>0</v>
      </c>
      <c r="FV264" s="83" t="s">
        <v>7422</v>
      </c>
      <c r="FW264" s="83" t="s">
        <v>7374</v>
      </c>
      <c r="FX264" s="567" t="s">
        <v>7668</v>
      </c>
      <c r="GF264" t="s">
        <v>8281</v>
      </c>
    </row>
    <row r="265" spans="8:188" ht="13.2" customHeight="1">
      <c r="H265" s="3"/>
      <c r="I265" s="3"/>
      <c r="J265" s="3"/>
      <c r="K265" s="3"/>
      <c r="L265" s="3"/>
      <c r="M265" s="651"/>
      <c r="N265" s="3"/>
      <c r="O265" s="3"/>
      <c r="P265" s="3"/>
      <c r="Q265" s="3"/>
      <c r="R265" s="651"/>
      <c r="S265" s="83" t="str">
        <f>IF(CareerType=Y265,"Patrouilleur fluvial",IF(AllCareers="X","Patrouilleur fluvial",IF(OR(Pays="Désolations du Chaos",Pays="Norsca"),"",IF(OR(SelectRace="Humain",SelectRace="Nain",SelectRace="Elfe",SelectRace="Halfling"),"Patrouilleur fluvial",""))))</f>
        <v/>
      </c>
      <c r="T265" s="106">
        <f t="shared" si="145"/>
        <v>0</v>
      </c>
      <c r="U265" s="693" t="str">
        <f t="shared" si="152"/>
        <v/>
      </c>
      <c r="V265" s="693" t="str">
        <f t="shared" si="153"/>
        <v/>
      </c>
      <c r="W265" s="693" t="str">
        <f t="shared" si="154"/>
        <v/>
      </c>
      <c r="X265" s="47" t="s">
        <v>2160</v>
      </c>
      <c r="Y265" s="743" t="s">
        <v>7130</v>
      </c>
      <c r="Z265" s="56" t="s">
        <v>2217</v>
      </c>
      <c r="AA265" s="48">
        <v>24</v>
      </c>
      <c r="AB265" s="48" t="s">
        <v>2384</v>
      </c>
      <c r="AC265" s="48">
        <v>176</v>
      </c>
      <c r="AD265" s="15" t="s">
        <v>149</v>
      </c>
      <c r="AE265" s="15" t="s">
        <v>98</v>
      </c>
      <c r="AF265" s="15" t="s">
        <v>98</v>
      </c>
      <c r="AG265" s="15" t="s">
        <v>114</v>
      </c>
      <c r="AH265" s="15" t="s">
        <v>98</v>
      </c>
      <c r="AI265" s="15" t="s">
        <v>114</v>
      </c>
      <c r="AJ265" s="15" t="s">
        <v>114</v>
      </c>
      <c r="AK265" s="18" t="s">
        <v>149</v>
      </c>
      <c r="AL265" s="15" t="s">
        <v>149</v>
      </c>
      <c r="AM265" s="15" t="s">
        <v>113</v>
      </c>
      <c r="AN265" s="15" t="s">
        <v>149</v>
      </c>
      <c r="AO265" s="15" t="s">
        <v>149</v>
      </c>
      <c r="AP265" s="22" t="s">
        <v>977</v>
      </c>
      <c r="AQ265" s="87" t="s">
        <v>5163</v>
      </c>
      <c r="AR265" s="87" t="s">
        <v>17210</v>
      </c>
      <c r="AS265" s="87" t="s">
        <v>15910</v>
      </c>
      <c r="AT265" s="22" t="s">
        <v>3498</v>
      </c>
      <c r="AU265" s="87" t="s">
        <v>5433</v>
      </c>
      <c r="AV265" s="87" t="s">
        <v>4755</v>
      </c>
      <c r="AW265" s="457">
        <v>0</v>
      </c>
      <c r="AX265" s="630" t="str">
        <f t="shared" si="156"/>
        <v/>
      </c>
      <c r="AY265" s="630" t="str">
        <f t="shared" si="157"/>
        <v/>
      </c>
      <c r="AZ265" s="630" t="str">
        <f t="shared" si="158"/>
        <v/>
      </c>
      <c r="BA265" s="3"/>
      <c r="BB265" s="3"/>
      <c r="BC265" s="3"/>
      <c r="BD265" s="3"/>
      <c r="BE265" s="3"/>
      <c r="BF265" s="3"/>
      <c r="BG265" s="3"/>
      <c r="BH265" s="3"/>
      <c r="BI265" s="3"/>
      <c r="BJ265" s="3"/>
      <c r="BK265" s="3"/>
      <c r="BL265" s="3"/>
      <c r="BM265" s="3"/>
      <c r="BN265" s="3"/>
      <c r="BP265" s="3"/>
      <c r="BQ265" s="3"/>
      <c r="BR265" s="3"/>
      <c r="BS265" s="3"/>
      <c r="BT265" s="3"/>
      <c r="BU265" s="3"/>
      <c r="BV265" s="3"/>
      <c r="BW265" s="3"/>
      <c r="BX265" s="3" t="str">
        <f>IF(Province="Principauté de Luccini","Taudis de Luccini","")</f>
        <v/>
      </c>
      <c r="BY265" t="str">
        <f t="shared" si="155"/>
        <v/>
      </c>
      <c r="BZ265" s="83" t="str">
        <f t="shared" si="147"/>
        <v/>
      </c>
      <c r="CA265" s="83" t="str">
        <f t="shared" si="148"/>
        <v/>
      </c>
      <c r="CB265" s="530" t="str">
        <f t="shared" si="149"/>
        <v/>
      </c>
      <c r="CG265" s="136" t="s">
        <v>6321</v>
      </c>
      <c r="CH265" s="3" t="s">
        <v>6113</v>
      </c>
      <c r="CI265" s="3"/>
      <c r="CJ265" s="3"/>
      <c r="CK265" s="3" t="s">
        <v>6991</v>
      </c>
      <c r="CM265" t="s">
        <v>10404</v>
      </c>
      <c r="CN265" s="3"/>
      <c r="CO265" t="str">
        <f>CONCATENATE("Nolan",IF(AND('page 1'!M11="Féminin",Pays="Norsca"),"dottir",IF(AND('page 1'!M11="Masculin",Pays="Norsca"),"son",IF(AND('page 1'!M11="Féminin",Pays="Kislev"),"ovna",IF(AND('page 1'!M11="Masculin",Pays="Kislev"),"sky","")))))</f>
        <v>Nolan</v>
      </c>
      <c r="CP265" s="3"/>
      <c r="CQ265" s="3"/>
      <c r="CR265" s="3" t="s">
        <v>13633</v>
      </c>
      <c r="CS265" s="3"/>
      <c r="CT265" s="3"/>
      <c r="CU265" s="3"/>
      <c r="CV265" s="3"/>
      <c r="CW265" s="3"/>
      <c r="CX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U265" s="25" t="str">
        <f>IF(OR(Dieu="Sigmar",Dieu="Ormazd/L'Unique"),"Moines du Serpent","")</f>
        <v/>
      </c>
      <c r="EV265" s="83" t="str">
        <f t="shared" si="146"/>
        <v/>
      </c>
      <c r="EW265" s="83" t="str">
        <f t="shared" si="150"/>
        <v/>
      </c>
      <c r="EX265" s="530" t="str">
        <f t="shared" si="151"/>
        <v/>
      </c>
      <c r="EY265" s="85" t="s">
        <v>14563</v>
      </c>
      <c r="EZ265" s="567" t="s">
        <v>14561</v>
      </c>
      <c r="FB265" s="83" t="s">
        <v>7373</v>
      </c>
      <c r="FC265" s="133" t="s">
        <v>5751</v>
      </c>
      <c r="FD265" s="83" t="s">
        <v>7365</v>
      </c>
      <c r="FE265" s="849">
        <v>103</v>
      </c>
      <c r="FF265">
        <v>31</v>
      </c>
      <c r="FG265">
        <v>26</v>
      </c>
      <c r="FH265">
        <v>37</v>
      </c>
      <c r="FI265">
        <v>37</v>
      </c>
      <c r="FJ265" s="10">
        <v>40</v>
      </c>
      <c r="FK265">
        <v>43</v>
      </c>
      <c r="FL265">
        <v>44</v>
      </c>
      <c r="FM265" s="165">
        <v>46</v>
      </c>
      <c r="FN265" s="88">
        <v>1</v>
      </c>
      <c r="FO265" s="88">
        <v>13</v>
      </c>
      <c r="FP265" s="164">
        <f>ROUNDDOWN(FH265/10,0)</f>
        <v>3</v>
      </c>
      <c r="FQ265" s="164">
        <f>ROUNDDOWN(FI265/10,0)</f>
        <v>3</v>
      </c>
      <c r="FR265" s="682">
        <v>4</v>
      </c>
      <c r="FS265" s="88">
        <v>0</v>
      </c>
      <c r="FT265" s="88">
        <v>0</v>
      </c>
      <c r="FU265" s="165">
        <v>0</v>
      </c>
      <c r="FV265" s="83" t="s">
        <v>7422</v>
      </c>
      <c r="FW265" s="83" t="s">
        <v>14626</v>
      </c>
      <c r="FX265" s="567" t="s">
        <v>7667</v>
      </c>
      <c r="GF265" t="s">
        <v>8266</v>
      </c>
    </row>
    <row r="266" spans="8:188" ht="13.2" customHeight="1">
      <c r="H266" s="3"/>
      <c r="I266" s="3"/>
      <c r="J266" s="3"/>
      <c r="K266" s="3"/>
      <c r="L266" s="3"/>
      <c r="M266" s="651"/>
      <c r="N266" s="3"/>
      <c r="O266" s="3"/>
      <c r="P266" s="3"/>
      <c r="Q266" s="3"/>
      <c r="R266" s="651"/>
      <c r="S266" s="83" t="str">
        <f>IF(CareerType=Y266,"Paysan",IF(AllCareers="X","Paysan",IF(Pays="Désolations du Chaos","",IF(OR(SelectRace="Halfling",SelectRace="Humain"),"Paysan",""))))</f>
        <v/>
      </c>
      <c r="T266" s="106">
        <f t="shared" si="145"/>
        <v>0</v>
      </c>
      <c r="U266" s="693" t="str">
        <f t="shared" si="152"/>
        <v/>
      </c>
      <c r="V266" s="693" t="str">
        <f t="shared" si="153"/>
        <v/>
      </c>
      <c r="W266" s="693" t="str">
        <f t="shared" si="154"/>
        <v/>
      </c>
      <c r="X266" s="47" t="s">
        <v>2160</v>
      </c>
      <c r="Y266" s="743" t="s">
        <v>7132</v>
      </c>
      <c r="Z266" s="55" t="s">
        <v>2200</v>
      </c>
      <c r="AA266" s="47">
        <v>52</v>
      </c>
      <c r="AB266" s="47" t="s">
        <v>2385</v>
      </c>
      <c r="AC266" s="47">
        <v>160</v>
      </c>
      <c r="AD266" s="20" t="s">
        <v>114</v>
      </c>
      <c r="AE266" s="20" t="s">
        <v>114</v>
      </c>
      <c r="AF266" s="20" t="s">
        <v>114</v>
      </c>
      <c r="AG266" s="15" t="s">
        <v>98</v>
      </c>
      <c r="AH266" s="20" t="s">
        <v>114</v>
      </c>
      <c r="AI266" s="15" t="s">
        <v>149</v>
      </c>
      <c r="AJ266" s="20" t="s">
        <v>114</v>
      </c>
      <c r="AK266" s="18" t="s">
        <v>149</v>
      </c>
      <c r="AL266" s="15" t="s">
        <v>149</v>
      </c>
      <c r="AM266" s="15" t="s">
        <v>113</v>
      </c>
      <c r="AN266" s="15" t="s">
        <v>149</v>
      </c>
      <c r="AO266" s="15" t="s">
        <v>149</v>
      </c>
      <c r="AP266" s="22" t="s">
        <v>982</v>
      </c>
      <c r="AQ266" s="22" t="s">
        <v>982</v>
      </c>
      <c r="AR266" s="87" t="s">
        <v>15759</v>
      </c>
      <c r="AS266" s="87" t="s">
        <v>17211</v>
      </c>
      <c r="AT266" s="87" t="s">
        <v>17212</v>
      </c>
      <c r="AU266" s="87" t="s">
        <v>5339</v>
      </c>
      <c r="AV266" s="87" t="s">
        <v>4578</v>
      </c>
      <c r="AW266" s="457">
        <v>0</v>
      </c>
      <c r="AX266" s="630" t="str">
        <f t="shared" si="156"/>
        <v/>
      </c>
      <c r="AY266" s="630" t="str">
        <f t="shared" si="157"/>
        <v/>
      </c>
      <c r="AZ266" s="630" t="str">
        <f t="shared" si="158"/>
        <v/>
      </c>
      <c r="BA266" s="3"/>
      <c r="BB266" s="3"/>
      <c r="BC266" s="3"/>
      <c r="BD266" s="3"/>
      <c r="BE266" s="3"/>
      <c r="BF266" s="3"/>
      <c r="BG266" s="3"/>
      <c r="BH266" s="3"/>
      <c r="BI266" s="3"/>
      <c r="BJ266" s="3"/>
      <c r="BK266" s="3"/>
      <c r="BL266" s="3"/>
      <c r="BM266" s="3"/>
      <c r="BN266" s="3"/>
      <c r="BP266" s="3"/>
      <c r="BQ266" s="3"/>
      <c r="BR266" s="3"/>
      <c r="BS266" s="3"/>
      <c r="BT266" s="3"/>
      <c r="BU266" s="3"/>
      <c r="BV266" s="3"/>
      <c r="BW266" s="3"/>
      <c r="BX266" s="3" t="str">
        <f>IF(Province="Principauté de Remas","Taudis de Remas","")</f>
        <v/>
      </c>
      <c r="BY266" t="str">
        <f t="shared" si="155"/>
        <v/>
      </c>
      <c r="BZ266" s="83" t="str">
        <f t="shared" si="147"/>
        <v/>
      </c>
      <c r="CA266" s="83" t="str">
        <f t="shared" si="148"/>
        <v/>
      </c>
      <c r="CB266" s="530" t="str">
        <f t="shared" si="149"/>
        <v/>
      </c>
      <c r="CG266" s="3" t="s">
        <v>1083</v>
      </c>
      <c r="CH266" s="3" t="s">
        <v>950</v>
      </c>
      <c r="CI266" s="3"/>
      <c r="CJ266" s="3"/>
      <c r="CK266" s="3" t="s">
        <v>6958</v>
      </c>
      <c r="CM266" t="s">
        <v>10405</v>
      </c>
      <c r="CN266" s="3"/>
      <c r="CO266" s="3" t="str">
        <f>CONCATENATE("Norgunst",IF(AND('page 1'!M11="Féminin",Pays="Norsca"),"dottir",IF(AND('page 1'!M11="Masculin",Pays="Norsca"),"son",IF(AND('page 1'!M11="Féminin",Pays="Kislev"),"ovna",IF(AND('page 1'!M11="Masculin",Pays="Kislev"),"sky","")))))</f>
        <v>Norgunst</v>
      </c>
      <c r="CP266" s="3"/>
      <c r="CQ266" s="3"/>
      <c r="CR266" s="3" t="s">
        <v>13634</v>
      </c>
      <c r="CS266" s="3"/>
      <c r="CT266" s="3"/>
      <c r="CU266" s="3"/>
      <c r="CV266" s="3"/>
      <c r="CW266" s="3"/>
      <c r="CX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U266" s="25" t="str">
        <f>IF(Dieu="Sigmar","Ordo Fidelis/Répurgateurs de Sigmar","")</f>
        <v/>
      </c>
      <c r="EV266" s="83" t="str">
        <f t="shared" si="146"/>
        <v/>
      </c>
      <c r="EW266" s="83" t="str">
        <f t="shared" si="150"/>
        <v/>
      </c>
      <c r="EX266" s="530" t="str">
        <f t="shared" si="151"/>
        <v/>
      </c>
      <c r="EY266" s="85" t="s">
        <v>13286</v>
      </c>
      <c r="EZ266" s="567" t="s">
        <v>14562</v>
      </c>
      <c r="FB266" s="83" t="s">
        <v>5637</v>
      </c>
      <c r="FC266" s="133" t="s">
        <v>5751</v>
      </c>
      <c r="FD266" s="83" t="s">
        <v>7365</v>
      </c>
      <c r="FE266" s="849">
        <v>104</v>
      </c>
      <c r="FF266">
        <v>53</v>
      </c>
      <c r="FG266">
        <v>30</v>
      </c>
      <c r="FH266">
        <v>37</v>
      </c>
      <c r="FI266">
        <v>33</v>
      </c>
      <c r="FJ266" s="10">
        <v>32</v>
      </c>
      <c r="FK266">
        <v>28</v>
      </c>
      <c r="FL266">
        <v>28</v>
      </c>
      <c r="FM266" s="165">
        <v>31</v>
      </c>
      <c r="FN266" s="88">
        <v>2</v>
      </c>
      <c r="FO266" s="88">
        <v>14</v>
      </c>
      <c r="FP266" s="164">
        <f>ROUNDDOWN(FH266/10,0)</f>
        <v>3</v>
      </c>
      <c r="FQ266" s="164">
        <f>ROUNDDOWN(FI266/10,0)</f>
        <v>3</v>
      </c>
      <c r="FR266" s="682">
        <v>4</v>
      </c>
      <c r="FS266" s="88">
        <v>0</v>
      </c>
      <c r="FT266" s="88">
        <v>0</v>
      </c>
      <c r="FU266" s="165">
        <v>0</v>
      </c>
      <c r="FV266" s="83" t="s">
        <v>7423</v>
      </c>
      <c r="FW266" s="83" t="s">
        <v>17193</v>
      </c>
      <c r="FX266" s="530" t="s">
        <v>7668</v>
      </c>
      <c r="GF266" t="s">
        <v>7794</v>
      </c>
    </row>
    <row r="267" spans="8:188" ht="13.2" customHeight="1">
      <c r="H267" s="3"/>
      <c r="I267" s="3"/>
      <c r="J267" s="3"/>
      <c r="K267" s="3"/>
      <c r="L267" s="3"/>
      <c r="M267" s="651"/>
      <c r="N267" s="3"/>
      <c r="O267" s="3"/>
      <c r="P267" s="3"/>
      <c r="Q267" s="3"/>
      <c r="R267" s="651"/>
      <c r="S267" s="83" t="str">
        <f>IF(CareerType=Y267,"Pêcheur",IF(AllCareers="X","Pêcheur",IF(Pays="Désolations du Chaos","",IF(OR(SelectRace="Halfling",SelectRace="Humain"),"Pêcheur",""))))</f>
        <v/>
      </c>
      <c r="T267" s="106">
        <f t="shared" si="145"/>
        <v>0</v>
      </c>
      <c r="U267" s="693" t="str">
        <f t="shared" si="152"/>
        <v/>
      </c>
      <c r="V267" s="693" t="str">
        <f t="shared" si="153"/>
        <v/>
      </c>
      <c r="W267" s="693" t="str">
        <f t="shared" si="154"/>
        <v/>
      </c>
      <c r="X267" s="47" t="s">
        <v>2160</v>
      </c>
      <c r="Y267" s="743" t="s">
        <v>7132</v>
      </c>
      <c r="Z267" s="55" t="s">
        <v>2200</v>
      </c>
      <c r="AA267" s="47">
        <v>53</v>
      </c>
      <c r="AB267" s="47" t="s">
        <v>2386</v>
      </c>
      <c r="AC267" s="47">
        <v>79</v>
      </c>
      <c r="AD267" s="15" t="s">
        <v>149</v>
      </c>
      <c r="AE267" s="20" t="s">
        <v>114</v>
      </c>
      <c r="AF267" s="15" t="s">
        <v>98</v>
      </c>
      <c r="AG267" s="20" t="s">
        <v>114</v>
      </c>
      <c r="AH267" s="15" t="s">
        <v>98</v>
      </c>
      <c r="AI267" s="20" t="s">
        <v>114</v>
      </c>
      <c r="AJ267" s="15" t="s">
        <v>149</v>
      </c>
      <c r="AK267" s="18" t="s">
        <v>149</v>
      </c>
      <c r="AL267" s="15" t="s">
        <v>149</v>
      </c>
      <c r="AM267" s="15" t="s">
        <v>113</v>
      </c>
      <c r="AN267" s="15" t="s">
        <v>149</v>
      </c>
      <c r="AO267" s="15" t="s">
        <v>149</v>
      </c>
      <c r="AP267" s="87" t="s">
        <v>15743</v>
      </c>
      <c r="AQ267" s="22" t="s">
        <v>229</v>
      </c>
      <c r="AR267" s="87" t="s">
        <v>17213</v>
      </c>
      <c r="AS267" s="87" t="s">
        <v>15911</v>
      </c>
      <c r="AT267" s="87" t="s">
        <v>17214</v>
      </c>
      <c r="AU267" s="87" t="s">
        <v>17215</v>
      </c>
      <c r="AV267" s="87" t="s">
        <v>15719</v>
      </c>
      <c r="AW267" s="457">
        <v>0</v>
      </c>
      <c r="AX267" s="630" t="str">
        <f t="shared" si="156"/>
        <v/>
      </c>
      <c r="AY267" s="630" t="str">
        <f t="shared" si="157"/>
        <v/>
      </c>
      <c r="AZ267" s="630" t="str">
        <f t="shared" si="158"/>
        <v/>
      </c>
      <c r="BA267" s="3"/>
      <c r="BB267" s="3"/>
      <c r="BC267" s="3"/>
      <c r="BD267" s="3"/>
      <c r="BE267" s="3"/>
      <c r="BF267" s="3"/>
      <c r="BG267" s="3"/>
      <c r="BH267" s="3"/>
      <c r="BI267" s="3"/>
      <c r="BJ267" s="3"/>
      <c r="BK267" s="3"/>
      <c r="BL267" s="3"/>
      <c r="BM267" s="3"/>
      <c r="BN267" s="3"/>
      <c r="BP267" s="3"/>
      <c r="BQ267" s="3"/>
      <c r="BR267" s="3"/>
      <c r="BS267" s="3"/>
      <c r="BT267" s="3"/>
      <c r="BU267" s="3"/>
      <c r="BV267" s="3"/>
      <c r="BW267" s="3"/>
      <c r="BX267" s="3" t="str">
        <f>IF(Province="Principauté de Sartosa","Taudis de Sartosa","")</f>
        <v/>
      </c>
      <c r="BY267" t="str">
        <f t="shared" si="155"/>
        <v/>
      </c>
      <c r="BZ267" s="83" t="str">
        <f t="shared" si="147"/>
        <v/>
      </c>
      <c r="CA267" s="83" t="str">
        <f t="shared" si="148"/>
        <v/>
      </c>
      <c r="CB267" s="530" t="str">
        <f t="shared" si="149"/>
        <v/>
      </c>
      <c r="CG267" s="3" t="s">
        <v>6322</v>
      </c>
      <c r="CH267" s="3" t="s">
        <v>6114</v>
      </c>
      <c r="CI267" s="3"/>
      <c r="CJ267" s="3"/>
      <c r="CK267" s="3" t="s">
        <v>6719</v>
      </c>
      <c r="CM267" t="s">
        <v>10406</v>
      </c>
      <c r="CN267" s="3"/>
      <c r="CO267" s="3" t="s">
        <v>11043</v>
      </c>
      <c r="CP267" s="83"/>
      <c r="CQ267" s="83"/>
      <c r="CR267" s="3" t="s">
        <v>13635</v>
      </c>
      <c r="CS267" s="3"/>
      <c r="CT267" s="3"/>
      <c r="CU267" s="3"/>
      <c r="CV267" s="3"/>
      <c r="CW267" s="3"/>
      <c r="CX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U267" s="25" t="str">
        <f>IF(Pays="Cathay","Garde Impériale","")</f>
        <v/>
      </c>
      <c r="EV267" s="83" t="str">
        <f t="shared" si="146"/>
        <v/>
      </c>
      <c r="EW267" s="83" t="str">
        <f t="shared" si="150"/>
        <v/>
      </c>
      <c r="EX267" s="530" t="str">
        <f t="shared" si="151"/>
        <v/>
      </c>
      <c r="EY267" s="177" t="s">
        <v>17216</v>
      </c>
      <c r="EZ267" s="530" t="s">
        <v>14553</v>
      </c>
      <c r="FB267" s="83" t="s">
        <v>17194</v>
      </c>
      <c r="FC267" s="133" t="s">
        <v>5751</v>
      </c>
      <c r="FD267" s="83" t="s">
        <v>7365</v>
      </c>
      <c r="FE267" s="849">
        <v>104</v>
      </c>
      <c r="FF267">
        <v>53</v>
      </c>
      <c r="FG267">
        <v>35</v>
      </c>
      <c r="FH267">
        <v>37</v>
      </c>
      <c r="FI267">
        <v>38</v>
      </c>
      <c r="FJ267" s="10">
        <v>37</v>
      </c>
      <c r="FK267">
        <v>28</v>
      </c>
      <c r="FL267">
        <v>28</v>
      </c>
      <c r="FM267" s="165">
        <v>36</v>
      </c>
      <c r="FN267" s="88">
        <v>2</v>
      </c>
      <c r="FO267" s="88">
        <v>14</v>
      </c>
      <c r="FP267" s="164">
        <f>ROUNDDOWN(FH267/10,0)</f>
        <v>3</v>
      </c>
      <c r="FQ267" s="164">
        <f>ROUNDDOWN(FI267/10,0)</f>
        <v>3</v>
      </c>
      <c r="FR267" s="682">
        <v>4</v>
      </c>
      <c r="FS267" s="88">
        <v>0</v>
      </c>
      <c r="FT267" s="88">
        <v>0</v>
      </c>
      <c r="FU267" s="165">
        <v>0</v>
      </c>
      <c r="FV267" s="83" t="s">
        <v>7424</v>
      </c>
      <c r="FW267" s="83" t="s">
        <v>17193</v>
      </c>
      <c r="FX267" s="530" t="s">
        <v>7667</v>
      </c>
      <c r="GF267" t="s">
        <v>7795</v>
      </c>
    </row>
    <row r="268" spans="8:188" ht="13.2" customHeight="1">
      <c r="H268" s="3"/>
      <c r="I268" s="3"/>
      <c r="J268" s="3"/>
      <c r="K268" s="3"/>
      <c r="L268" s="3"/>
      <c r="M268" s="651"/>
      <c r="N268" s="3"/>
      <c r="O268" s="3"/>
      <c r="P268" s="3"/>
      <c r="Q268" s="3"/>
      <c r="R268" s="651"/>
      <c r="S268" s="83" t="str">
        <f>IF(CareerType=Y268,"Pèlerin",IF(AllCareers="X","Pèlerin",IF(SelectRace="Elfe","",IF(OR(Pays="Désolations du Chaos",Pays="Norsca",Pays="Bretonnie"),"",IF(OR(SelectRace="Humain",SelectRace="Nain",SelectRace="Halfling"),"Pèlerin","")))))</f>
        <v/>
      </c>
      <c r="T268" s="106">
        <f t="shared" si="145"/>
        <v>0</v>
      </c>
      <c r="U268" s="693" t="str">
        <f t="shared" si="152"/>
        <v/>
      </c>
      <c r="V268" s="693" t="str">
        <f t="shared" si="153"/>
        <v/>
      </c>
      <c r="W268" s="693" t="str">
        <f t="shared" si="154"/>
        <v/>
      </c>
      <c r="X268" s="47" t="s">
        <v>2160</v>
      </c>
      <c r="Y268" s="743" t="s">
        <v>7132</v>
      </c>
      <c r="Z268" s="55" t="s">
        <v>538</v>
      </c>
      <c r="AA268" s="47">
        <v>176</v>
      </c>
      <c r="AB268" s="47" t="s">
        <v>2387</v>
      </c>
      <c r="AC268" s="47">
        <v>163</v>
      </c>
      <c r="AD268" s="15" t="s">
        <v>114</v>
      </c>
      <c r="AE268" s="15" t="s">
        <v>114</v>
      </c>
      <c r="AF268" s="15" t="s">
        <v>114</v>
      </c>
      <c r="AG268" s="15" t="s">
        <v>114</v>
      </c>
      <c r="AH268" s="15" t="s">
        <v>114</v>
      </c>
      <c r="AI268" s="15" t="s">
        <v>98</v>
      </c>
      <c r="AJ268" s="15" t="s">
        <v>98</v>
      </c>
      <c r="AK268" s="18" t="s">
        <v>98</v>
      </c>
      <c r="AL268" s="15" t="s">
        <v>149</v>
      </c>
      <c r="AM268" s="15" t="s">
        <v>103</v>
      </c>
      <c r="AN268" s="15" t="s">
        <v>149</v>
      </c>
      <c r="AO268" s="15" t="s">
        <v>149</v>
      </c>
      <c r="AP268" s="22" t="s">
        <v>771</v>
      </c>
      <c r="AQ268" s="87" t="s">
        <v>734</v>
      </c>
      <c r="AR268" s="87" t="s">
        <v>10070</v>
      </c>
      <c r="AS268" s="87" t="s">
        <v>734</v>
      </c>
      <c r="AT268" s="22" t="s">
        <v>3499</v>
      </c>
      <c r="AU268" s="87" t="s">
        <v>5380</v>
      </c>
      <c r="AV268" s="87" t="s">
        <v>4331</v>
      </c>
      <c r="AW268" s="457">
        <v>0</v>
      </c>
      <c r="AX268" s="630" t="str">
        <f t="shared" si="156"/>
        <v/>
      </c>
      <c r="AY268" s="630" t="str">
        <f t="shared" si="157"/>
        <v/>
      </c>
      <c r="AZ268" s="630" t="str">
        <f t="shared" si="158"/>
        <v/>
      </c>
      <c r="BA268" s="3"/>
      <c r="BB268" s="3"/>
      <c r="BC268" s="3"/>
      <c r="BD268" s="3"/>
      <c r="BE268" s="3"/>
      <c r="BF268" s="3"/>
      <c r="BG268" s="3"/>
      <c r="BH268" s="3"/>
      <c r="BI268" s="3"/>
      <c r="BJ268" s="3"/>
      <c r="BK268" s="3"/>
      <c r="BL268" s="3"/>
      <c r="BM268" s="3"/>
      <c r="BN268" s="3"/>
      <c r="BP268" s="3"/>
      <c r="BQ268" s="3"/>
      <c r="BR268" s="3"/>
      <c r="BS268" s="3"/>
      <c r="BT268" s="3"/>
      <c r="BU268" s="3"/>
      <c r="BV268" s="3"/>
      <c r="BW268" s="3"/>
      <c r="BX268" s="3" t="str">
        <f>IF(Province="Principauté de Tobaro","Taudis de Tobaro","")</f>
        <v/>
      </c>
      <c r="BY268" t="str">
        <f t="shared" si="155"/>
        <v/>
      </c>
      <c r="BZ268" s="83" t="str">
        <f t="shared" si="147"/>
        <v/>
      </c>
      <c r="CA268" s="83" t="str">
        <f t="shared" si="148"/>
        <v/>
      </c>
      <c r="CB268" s="530" t="str">
        <f t="shared" si="149"/>
        <v/>
      </c>
      <c r="CG268" s="3" t="s">
        <v>6323</v>
      </c>
      <c r="CH268" s="3" t="s">
        <v>3129</v>
      </c>
      <c r="CI268" s="3"/>
      <c r="CJ268" s="3"/>
      <c r="CK268" s="3" t="s">
        <v>6959</v>
      </c>
      <c r="CM268" t="s">
        <v>10407</v>
      </c>
      <c r="CN268" s="3"/>
      <c r="CO268" s="83" t="str">
        <f>CONCATENATE("Odina",IF(AND('page 1'!M11="Féminin",Pays="Norsca"),"dottir",IF(AND('page 1'!M11="Masculin",Pays="Norsca"),"son",IF(AND('page 1'!M11="Féminin",Pays="Kislev"),"ovna",IF(AND('page 1'!M11="Masculin",Pays="Kislev"),"sky","")))))</f>
        <v>Odina</v>
      </c>
      <c r="CP268" s="3"/>
      <c r="CQ268" s="3"/>
      <c r="CR268" s="83" t="s">
        <v>13636</v>
      </c>
      <c r="CS268" s="3"/>
      <c r="CT268" s="3"/>
      <c r="CU268" s="3"/>
      <c r="CV268" s="3"/>
      <c r="CW268" s="3"/>
      <c r="CX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U268" s="25" t="str">
        <f>IF(Pays="Cathay","Lamedragon","")</f>
        <v/>
      </c>
      <c r="EV268" s="83" t="str">
        <f t="shared" si="146"/>
        <v/>
      </c>
      <c r="EW268" s="83" t="str">
        <f t="shared" si="150"/>
        <v/>
      </c>
      <c r="EX268" s="530" t="str">
        <f t="shared" si="151"/>
        <v/>
      </c>
      <c r="EY268" s="177" t="s">
        <v>14552</v>
      </c>
      <c r="EZ268" s="567" t="s">
        <v>254</v>
      </c>
      <c r="FB268" s="83" t="s">
        <v>17197</v>
      </c>
      <c r="FC268" s="133" t="s">
        <v>5751</v>
      </c>
      <c r="FD268" s="83" t="s">
        <v>7365</v>
      </c>
      <c r="FE268" s="849">
        <v>104</v>
      </c>
      <c r="FF268">
        <v>58</v>
      </c>
      <c r="FG268">
        <v>35</v>
      </c>
      <c r="FH268">
        <v>42</v>
      </c>
      <c r="FI268">
        <v>43</v>
      </c>
      <c r="FJ268" s="10">
        <v>42</v>
      </c>
      <c r="FK268">
        <v>28</v>
      </c>
      <c r="FL268">
        <v>33</v>
      </c>
      <c r="FM268" s="165">
        <v>36</v>
      </c>
      <c r="FN268" s="88">
        <v>2</v>
      </c>
      <c r="FO268" s="88">
        <v>14</v>
      </c>
      <c r="FP268" s="164">
        <f>ROUNDDOWN(FH268/10,0)</f>
        <v>4</v>
      </c>
      <c r="FQ268" s="164">
        <f>ROUNDDOWN(FI268/10,0)</f>
        <v>4</v>
      </c>
      <c r="FR268" s="682">
        <v>4</v>
      </c>
      <c r="FS268" s="88">
        <v>0</v>
      </c>
      <c r="FT268" s="88">
        <v>0</v>
      </c>
      <c r="FU268" s="165">
        <v>0</v>
      </c>
      <c r="FV268" s="83" t="s">
        <v>7424</v>
      </c>
      <c r="FW268" s="83" t="s">
        <v>17193</v>
      </c>
      <c r="FX268" s="530" t="s">
        <v>7666</v>
      </c>
      <c r="GF268" t="s">
        <v>8273</v>
      </c>
    </row>
    <row r="269" spans="8:188" ht="13.2" customHeight="1">
      <c r="H269" s="3"/>
      <c r="I269" s="3"/>
      <c r="J269" s="3"/>
      <c r="K269" s="3"/>
      <c r="L269" s="3"/>
      <c r="M269" s="651"/>
      <c r="N269" s="3"/>
      <c r="O269" s="3"/>
      <c r="P269" s="3"/>
      <c r="Q269" s="3"/>
      <c r="R269" s="651"/>
      <c r="S269" s="83" t="str">
        <f>IF(CareerType=Y269,"Pèlerin du Graal",IF(AllCareers="X","Pèlerin du Graal",IF(OR(SelectRace="homme-bête",SelectRace="peau-verte",SelectRace="créature du chaos",SelectRace="Homme-lézard",SelectRace="skaven"),"",IF(Pays="Bretonnie","Pèlerin du Graal",""))))</f>
        <v/>
      </c>
      <c r="T269" s="106">
        <f t="shared" si="145"/>
        <v>0</v>
      </c>
      <c r="U269" s="693" t="str">
        <f t="shared" si="152"/>
        <v/>
      </c>
      <c r="V269" s="693" t="str">
        <f t="shared" si="153"/>
        <v/>
      </c>
      <c r="W269" s="693" t="str">
        <f t="shared" si="154"/>
        <v/>
      </c>
      <c r="X269" s="47" t="s">
        <v>2160</v>
      </c>
      <c r="Y269" s="743" t="s">
        <v>7132</v>
      </c>
      <c r="Z269" s="55" t="s">
        <v>2206</v>
      </c>
      <c r="AA269" s="47">
        <v>100</v>
      </c>
      <c r="AB269" s="47" t="s">
        <v>2388</v>
      </c>
      <c r="AC269" s="47">
        <v>90</v>
      </c>
      <c r="AD269" s="15" t="s">
        <v>98</v>
      </c>
      <c r="AE269" s="15" t="s">
        <v>114</v>
      </c>
      <c r="AF269" s="15" t="s">
        <v>114</v>
      </c>
      <c r="AG269" s="15" t="s">
        <v>114</v>
      </c>
      <c r="AH269" s="15" t="s">
        <v>114</v>
      </c>
      <c r="AI269" s="15" t="s">
        <v>149</v>
      </c>
      <c r="AJ269" s="15" t="s">
        <v>149</v>
      </c>
      <c r="AK269" s="18" t="s">
        <v>114</v>
      </c>
      <c r="AL269" s="15" t="s">
        <v>149</v>
      </c>
      <c r="AM269" s="15" t="s">
        <v>113</v>
      </c>
      <c r="AN269" s="15" t="s">
        <v>149</v>
      </c>
      <c r="AO269" s="15" t="s">
        <v>149</v>
      </c>
      <c r="AP269" s="22" t="s">
        <v>15734</v>
      </c>
      <c r="AQ269" s="87" t="s">
        <v>15912</v>
      </c>
      <c r="AR269" s="22" t="s">
        <v>15735</v>
      </c>
      <c r="AS269" s="87" t="s">
        <v>734</v>
      </c>
      <c r="AT269" s="87" t="s">
        <v>17219</v>
      </c>
      <c r="AU269" s="87" t="s">
        <v>5466</v>
      </c>
      <c r="AV269" s="87" t="s">
        <v>4709</v>
      </c>
      <c r="AW269" s="457">
        <v>0</v>
      </c>
      <c r="AX269" s="630" t="str">
        <f t="shared" si="156"/>
        <v/>
      </c>
      <c r="AY269" s="630" t="str">
        <f t="shared" si="157"/>
        <v/>
      </c>
      <c r="AZ269" s="630" t="str">
        <f t="shared" si="158"/>
        <v/>
      </c>
      <c r="BA269" s="3"/>
      <c r="BB269" s="3"/>
      <c r="BD269" s="3"/>
      <c r="BE269" s="3"/>
      <c r="BF269" s="3"/>
      <c r="BG269" s="3"/>
      <c r="BH269" s="3"/>
      <c r="BI269" s="3"/>
      <c r="BJ269" s="3"/>
      <c r="BK269" s="3"/>
      <c r="BL269" s="3"/>
      <c r="BM269" s="3"/>
      <c r="BN269" s="3"/>
      <c r="BP269" s="3"/>
      <c r="BQ269" s="3"/>
      <c r="BR269" s="3"/>
      <c r="BS269" s="3"/>
      <c r="BT269" s="3"/>
      <c r="BU269" s="3"/>
      <c r="BV269" s="3"/>
      <c r="BW269" s="3"/>
      <c r="BX269" s="3" t="str">
        <f>IF(Province="République de Verezzo","Taudis de Verezzo","")</f>
        <v/>
      </c>
      <c r="BY269" t="str">
        <f t="shared" si="155"/>
        <v/>
      </c>
      <c r="BZ269" s="83" t="str">
        <f t="shared" si="147"/>
        <v/>
      </c>
      <c r="CA269" s="83" t="str">
        <f t="shared" si="148"/>
        <v/>
      </c>
      <c r="CB269" s="530" t="str">
        <f t="shared" si="149"/>
        <v/>
      </c>
      <c r="CG269" s="3" t="s">
        <v>6324</v>
      </c>
      <c r="CH269" s="3" t="s">
        <v>6115</v>
      </c>
      <c r="CI269" s="3"/>
      <c r="CJ269" s="3"/>
      <c r="CK269" s="3" t="s">
        <v>6848</v>
      </c>
      <c r="CM269" s="3" t="s">
        <v>6659</v>
      </c>
      <c r="CN269" s="3"/>
      <c r="CO269" s="3" t="str">
        <f>CONCATENATE("Ogrunds",IF(AND('page 1'!M11="Féminin",Pays="Norsca"),"dottir",IF(AND('page 1'!M11="Masculin",Pays="Norsca"),"son",IF(AND('page 1'!M11="Féminin",Pays="Kislev"),"ovna",IF(AND('page 1'!M11="Masculin",Pays="Kislev"),"sky","")))))</f>
        <v>Ogrunds</v>
      </c>
      <c r="CP269" s="3"/>
      <c r="CQ269" s="3"/>
      <c r="CR269" t="s">
        <v>14167</v>
      </c>
      <c r="CS269" s="3"/>
      <c r="CT269" s="3"/>
      <c r="CU269" s="3"/>
      <c r="CV269" s="3"/>
      <c r="CW269" s="3"/>
      <c r="CX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U269" s="25" t="str">
        <f>IF(Pays="Cathay","Ombrelame","")</f>
        <v/>
      </c>
      <c r="EV269" s="83" t="str">
        <f t="shared" si="146"/>
        <v/>
      </c>
      <c r="EW269" s="83" t="str">
        <f t="shared" si="150"/>
        <v/>
      </c>
      <c r="EX269" s="530" t="str">
        <f t="shared" si="151"/>
        <v/>
      </c>
      <c r="EY269" s="177" t="s">
        <v>14554</v>
      </c>
      <c r="EZ269" s="567" t="s">
        <v>14558</v>
      </c>
      <c r="FB269" s="83" t="s">
        <v>17198</v>
      </c>
      <c r="FC269" s="133" t="s">
        <v>5751</v>
      </c>
      <c r="FD269" s="83" t="s">
        <v>7365</v>
      </c>
      <c r="FE269" s="849">
        <v>111</v>
      </c>
      <c r="FF269">
        <v>27</v>
      </c>
      <c r="FG269">
        <v>30</v>
      </c>
      <c r="FH269">
        <v>22</v>
      </c>
      <c r="FI269">
        <v>31</v>
      </c>
      <c r="FJ269" s="10">
        <v>43</v>
      </c>
      <c r="FK269">
        <v>59</v>
      </c>
      <c r="FL269">
        <v>44</v>
      </c>
      <c r="FM269" s="531">
        <v>45</v>
      </c>
      <c r="FN269" s="88">
        <v>1</v>
      </c>
      <c r="FO269" s="88">
        <v>13</v>
      </c>
      <c r="FP269" s="164">
        <f>ROUNDDOWN(FH269/10,0)</f>
        <v>2</v>
      </c>
      <c r="FQ269" s="164">
        <f>ROUNDDOWN(FI269/10,0)</f>
        <v>3</v>
      </c>
      <c r="FR269" s="682">
        <v>4</v>
      </c>
      <c r="FS269" s="88">
        <v>0</v>
      </c>
      <c r="FT269" s="88">
        <v>0</v>
      </c>
      <c r="FU269" s="165">
        <v>0</v>
      </c>
      <c r="FV269" s="83" t="s">
        <v>12786</v>
      </c>
      <c r="FW269" s="90" t="s">
        <v>7400</v>
      </c>
      <c r="FX269" s="540" t="s">
        <v>7666</v>
      </c>
      <c r="GF269" t="s">
        <v>8280</v>
      </c>
    </row>
    <row r="270" spans="8:188" ht="13.2" customHeight="1">
      <c r="H270" s="3"/>
      <c r="I270" s="3"/>
      <c r="J270" s="3"/>
      <c r="K270" s="3"/>
      <c r="L270" s="3"/>
      <c r="M270" s="651"/>
      <c r="N270" s="3"/>
      <c r="O270" s="3"/>
      <c r="P270" s="3"/>
      <c r="Q270" s="3"/>
      <c r="R270" s="651"/>
      <c r="S270" s="83" t="str">
        <f>IF(CareerType=Y270,"Pèlerin exalté",IF(AllCareers="X","Pèlerin exalté",IF(OR(SelectRace="homme-bête",SelectRace="peau-verte",SelectRace="créature du chaos",SelectRace="Homme-lézard",Selectsousrace="",SelectRace="skaven"),"",IF(FirstCareer="1ère carrière","","Pèlerin exalté"))))</f>
        <v/>
      </c>
      <c r="T270" s="106">
        <f t="shared" si="145"/>
        <v>1</v>
      </c>
      <c r="U270" s="693" t="str">
        <f t="shared" si="152"/>
        <v/>
      </c>
      <c r="V270" s="693" t="str">
        <f t="shared" si="153"/>
        <v/>
      </c>
      <c r="W270" s="693" t="str">
        <f t="shared" si="154"/>
        <v/>
      </c>
      <c r="X270" s="47" t="s">
        <v>2153</v>
      </c>
      <c r="Y270" s="743" t="s">
        <v>7132</v>
      </c>
      <c r="Z270" s="55" t="s">
        <v>2206</v>
      </c>
      <c r="AA270" s="47">
        <v>100</v>
      </c>
      <c r="AB270" s="47" t="s">
        <v>2389</v>
      </c>
      <c r="AC270" s="47">
        <v>27</v>
      </c>
      <c r="AD270" s="15" t="s">
        <v>100</v>
      </c>
      <c r="AE270" s="15" t="s">
        <v>98</v>
      </c>
      <c r="AF270" s="15" t="s">
        <v>98</v>
      </c>
      <c r="AG270" s="15" t="s">
        <v>98</v>
      </c>
      <c r="AH270" s="15" t="s">
        <v>101</v>
      </c>
      <c r="AI270" s="15" t="s">
        <v>98</v>
      </c>
      <c r="AJ270" s="15" t="s">
        <v>98</v>
      </c>
      <c r="AK270" s="18" t="s">
        <v>98</v>
      </c>
      <c r="AL270" s="15" t="s">
        <v>102</v>
      </c>
      <c r="AM270" s="15" t="s">
        <v>112</v>
      </c>
      <c r="AN270" s="15" t="s">
        <v>149</v>
      </c>
      <c r="AO270" s="15" t="s">
        <v>149</v>
      </c>
      <c r="AP270" s="22" t="s">
        <v>230</v>
      </c>
      <c r="AQ270" s="87" t="s">
        <v>734</v>
      </c>
      <c r="AR270" s="87" t="s">
        <v>12278</v>
      </c>
      <c r="AS270" s="87" t="s">
        <v>734</v>
      </c>
      <c r="AT270" s="87" t="s">
        <v>17220</v>
      </c>
      <c r="AU270" s="87" t="s">
        <v>5465</v>
      </c>
      <c r="AV270" s="87" t="s">
        <v>4708</v>
      </c>
      <c r="AW270" s="457">
        <v>0</v>
      </c>
      <c r="AX270" s="630" t="str">
        <f t="shared" si="156"/>
        <v/>
      </c>
      <c r="AY270" s="630" t="str">
        <f t="shared" si="157"/>
        <v/>
      </c>
      <c r="AZ270" s="630" t="str">
        <f t="shared" si="158"/>
        <v/>
      </c>
      <c r="BA270" s="3"/>
      <c r="BB270" s="3"/>
      <c r="BC270" s="3"/>
      <c r="BD270" s="3"/>
      <c r="BE270" s="3"/>
      <c r="BF270" s="3"/>
      <c r="BG270" s="3"/>
      <c r="BH270" s="3"/>
      <c r="BI270" s="3"/>
      <c r="BJ270" s="3"/>
      <c r="BK270" s="3"/>
      <c r="BL270" s="3"/>
      <c r="BM270" s="3"/>
      <c r="BN270" s="3"/>
      <c r="BP270" s="3"/>
      <c r="BQ270" s="3"/>
      <c r="BR270" s="3"/>
      <c r="BS270" s="3"/>
      <c r="BT270" s="3"/>
      <c r="BU270" s="3"/>
      <c r="BV270" s="3"/>
      <c r="BW270" s="3"/>
      <c r="BX270" s="3" t="str">
        <f>IF(Province="Principauté de Luccini","Petite communauté de Luccini","")</f>
        <v/>
      </c>
      <c r="BY270" t="str">
        <f t="shared" si="155"/>
        <v/>
      </c>
      <c r="BZ270" s="83" t="str">
        <f t="shared" si="147"/>
        <v/>
      </c>
      <c r="CA270" s="83" t="str">
        <f t="shared" si="148"/>
        <v/>
      </c>
      <c r="CB270" s="530" t="str">
        <f t="shared" si="149"/>
        <v/>
      </c>
      <c r="CG270" s="3" t="s">
        <v>6325</v>
      </c>
      <c r="CH270" s="3" t="s">
        <v>917</v>
      </c>
      <c r="CI270" s="3"/>
      <c r="CJ270" s="3"/>
      <c r="CK270" s="3" t="s">
        <v>6924</v>
      </c>
      <c r="CM270" s="83" t="s">
        <v>15091</v>
      </c>
      <c r="CN270" s="3"/>
      <c r="CO270" s="3" t="str">
        <f>CONCATENATE("Okamir",IF(AND('page 1'!M11="Féminin",Pays="Norsca"),"dottir",IF(AND('page 1'!M11="Masculin",Pays="Norsca"),"son",IF(AND('page 1'!M11="Féminin",Pays="Kislev"),"ovna",IF(AND('page 1'!M11="Masculin",Pays="Kislev"),"sky","")))))</f>
        <v>Okamir</v>
      </c>
      <c r="CP270" s="3"/>
      <c r="CQ270" s="3"/>
      <c r="CR270" s="3" t="s">
        <v>13637</v>
      </c>
      <c r="CS270" s="3"/>
      <c r="CT270" s="3"/>
      <c r="CU270" s="3"/>
      <c r="CV270" s="3"/>
      <c r="CW270" s="3"/>
      <c r="CX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U270" s="25" t="str">
        <f>IF(Dieu="Dragon Céleste","Moine du Dragon Céleste","")</f>
        <v/>
      </c>
      <c r="EV270" s="83" t="str">
        <f t="shared" si="146"/>
        <v/>
      </c>
      <c r="EW270" s="83" t="str">
        <f t="shared" si="150"/>
        <v/>
      </c>
      <c r="EX270" s="530" t="str">
        <f t="shared" si="151"/>
        <v/>
      </c>
      <c r="EY270" s="177" t="s">
        <v>14565</v>
      </c>
      <c r="EZ270" s="530" t="s">
        <v>14564</v>
      </c>
      <c r="FB270" s="83" t="s">
        <v>2298</v>
      </c>
      <c r="FC270" s="133" t="s">
        <v>5751</v>
      </c>
      <c r="FD270" s="85" t="s">
        <v>9703</v>
      </c>
      <c r="FF270">
        <v>35</v>
      </c>
      <c r="FG270">
        <v>30</v>
      </c>
      <c r="FH270">
        <v>35</v>
      </c>
      <c r="FI270">
        <v>35</v>
      </c>
      <c r="FJ270" s="10">
        <v>40</v>
      </c>
      <c r="FK270">
        <v>30</v>
      </c>
      <c r="FL270">
        <v>35</v>
      </c>
      <c r="FM270" s="531">
        <v>30</v>
      </c>
      <c r="FN270" s="88">
        <v>1</v>
      </c>
      <c r="FO270" s="88">
        <v>12</v>
      </c>
      <c r="FP270" s="164">
        <f>ROUNDDOWN(FH270/10,0)</f>
        <v>3</v>
      </c>
      <c r="FQ270" s="164">
        <f>ROUNDDOWN(FI270/10,0)</f>
        <v>3</v>
      </c>
      <c r="FR270" s="682">
        <v>4</v>
      </c>
      <c r="FS270" s="88">
        <v>0</v>
      </c>
      <c r="FT270" s="88">
        <v>0</v>
      </c>
      <c r="FU270" s="165">
        <v>0</v>
      </c>
      <c r="FV270" s="87" t="s">
        <v>7444</v>
      </c>
      <c r="FW270" s="87" t="s">
        <v>16928</v>
      </c>
      <c r="FX270" s="754" t="s">
        <v>7659</v>
      </c>
      <c r="GF270" t="s">
        <v>8274</v>
      </c>
    </row>
    <row r="271" spans="8:188" ht="13.2" customHeight="1">
      <c r="H271" s="3"/>
      <c r="I271" s="3"/>
      <c r="J271" s="3"/>
      <c r="K271" s="3"/>
      <c r="L271" s="3"/>
      <c r="M271" s="651"/>
      <c r="N271" s="3"/>
      <c r="O271" s="3"/>
      <c r="P271" s="3"/>
      <c r="Q271" s="3"/>
      <c r="R271" s="651"/>
      <c r="S271" s="83" t="str">
        <f>IF(CareerType=Y271,"Pénitent",IF(AllCareers="X","Pénitent",IF(OR(SelectRace="homme-bête",SelectRace="peau-verte",SelectRace="créature du chaos",SelectRace="Homme-lézard",SelectRace="skaven"),"",IF(OR(Pays="Désolations du Chaos",Pays="Norsca"),"",IF(SelectRace="Nain","Pénitent",IF(SelectRace="Humain","Pénitent",IF(SelectRace="Halfling","Pénitent","")))))))</f>
        <v/>
      </c>
      <c r="T271" s="106">
        <f t="shared" si="145"/>
        <v>0</v>
      </c>
      <c r="U271" s="693" t="str">
        <f t="shared" si="152"/>
        <v/>
      </c>
      <c r="V271" s="693" t="str">
        <f t="shared" si="153"/>
        <v/>
      </c>
      <c r="W271" s="693" t="str">
        <f t="shared" si="154"/>
        <v/>
      </c>
      <c r="X271" s="47" t="s">
        <v>2160</v>
      </c>
      <c r="Y271" s="743" t="s">
        <v>7132</v>
      </c>
      <c r="Z271" s="55" t="s">
        <v>538</v>
      </c>
      <c r="AA271" s="47">
        <v>117</v>
      </c>
      <c r="AB271" s="47" t="s">
        <v>2390</v>
      </c>
      <c r="AC271" s="47">
        <v>161</v>
      </c>
      <c r="AD271" s="15" t="s">
        <v>98</v>
      </c>
      <c r="AE271" s="15" t="s">
        <v>149</v>
      </c>
      <c r="AF271" s="15" t="s">
        <v>98</v>
      </c>
      <c r="AG271" s="15" t="s">
        <v>98</v>
      </c>
      <c r="AH271" s="15" t="s">
        <v>149</v>
      </c>
      <c r="AI271" s="15" t="s">
        <v>149</v>
      </c>
      <c r="AJ271" s="15" t="s">
        <v>114</v>
      </c>
      <c r="AK271" s="18" t="s">
        <v>149</v>
      </c>
      <c r="AL271" s="15" t="s">
        <v>149</v>
      </c>
      <c r="AM271" s="15" t="s">
        <v>115</v>
      </c>
      <c r="AN271" s="15" t="s">
        <v>149</v>
      </c>
      <c r="AO271" s="15" t="s">
        <v>149</v>
      </c>
      <c r="AP271" s="22" t="s">
        <v>1246</v>
      </c>
      <c r="AQ271" s="87" t="s">
        <v>5653</v>
      </c>
      <c r="AR271" s="22" t="s">
        <v>1247</v>
      </c>
      <c r="AS271" s="87" t="s">
        <v>450</v>
      </c>
      <c r="AT271" s="87" t="s">
        <v>17221</v>
      </c>
      <c r="AU271" s="87" t="s">
        <v>5379</v>
      </c>
      <c r="AV271" s="87" t="s">
        <v>4789</v>
      </c>
      <c r="AW271" s="457">
        <v>0</v>
      </c>
      <c r="AX271" s="630" t="str">
        <f t="shared" si="156"/>
        <v/>
      </c>
      <c r="AY271" s="630" t="str">
        <f t="shared" si="157"/>
        <v/>
      </c>
      <c r="AZ271" s="630" t="str">
        <f t="shared" si="158"/>
        <v/>
      </c>
      <c r="BA271" s="3"/>
      <c r="BB271" s="3"/>
      <c r="BC271" s="3"/>
      <c r="BD271" s="3"/>
      <c r="BE271" s="3"/>
      <c r="BF271" s="3"/>
      <c r="BG271" s="3"/>
      <c r="BH271" s="3"/>
      <c r="BI271" s="3"/>
      <c r="BJ271" s="3"/>
      <c r="BK271" s="3"/>
      <c r="BL271" s="3"/>
      <c r="BM271" s="3"/>
      <c r="BN271" s="3"/>
      <c r="BP271" s="3"/>
      <c r="BQ271" s="3"/>
      <c r="BR271" s="3"/>
      <c r="BS271" s="3"/>
      <c r="BT271" s="3"/>
      <c r="BU271" s="3"/>
      <c r="BV271" s="3"/>
      <c r="BW271" s="3"/>
      <c r="BX271" s="3" t="str">
        <f>IF(Province="Principauté de Remas","Petite communauté de Remas","")</f>
        <v/>
      </c>
      <c r="BY271" t="str">
        <f t="shared" si="155"/>
        <v/>
      </c>
      <c r="BZ271" s="83" t="str">
        <f t="shared" si="147"/>
        <v/>
      </c>
      <c r="CA271" s="83" t="str">
        <f t="shared" si="148"/>
        <v/>
      </c>
      <c r="CB271" s="530" t="str">
        <f t="shared" si="149"/>
        <v/>
      </c>
      <c r="CG271" s="3" t="s">
        <v>6326</v>
      </c>
      <c r="CH271" s="3" t="s">
        <v>3130</v>
      </c>
      <c r="CI271" s="3"/>
      <c r="CJ271" s="3"/>
      <c r="CK271" s="3" t="s">
        <v>6887</v>
      </c>
      <c r="CM271" s="3" t="s">
        <v>6660</v>
      </c>
      <c r="CN271" s="3"/>
      <c r="CO271" s="83" t="str">
        <f>CONCATENATE("Ollaf",IF(AND('page 1'!M11="Féminin",Pays="Norsca"),"dottir",IF(AND('page 1'!M11="Masculin",Pays="Norsca"),"son",IF(AND('page 1'!M11="Féminin",Pays="Kislev"),"ovna",IF(AND('page 1'!M11="Masculin",Pays="Kislev"),"sky","")))))</f>
        <v>Ollaf</v>
      </c>
      <c r="CP271" s="83"/>
      <c r="CQ271" s="83"/>
      <c r="CR271" s="3" t="s">
        <v>13638</v>
      </c>
      <c r="CS271" s="3"/>
      <c r="CT271" s="3"/>
      <c r="CU271" s="3"/>
      <c r="CV271" s="3"/>
      <c r="CW271" s="3"/>
      <c r="CX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U271" s="25" t="str">
        <f>IF(Pays="Ulthuan","Gardien de Saphery","")</f>
        <v/>
      </c>
      <c r="EV271" s="83" t="str">
        <f t="shared" si="146"/>
        <v/>
      </c>
      <c r="EW271" s="83" t="str">
        <f t="shared" si="150"/>
        <v/>
      </c>
      <c r="EX271" s="530" t="str">
        <f t="shared" si="151"/>
        <v/>
      </c>
      <c r="EY271" s="177" t="s">
        <v>14556</v>
      </c>
      <c r="EZ271" s="530" t="s">
        <v>14557</v>
      </c>
      <c r="FB271" s="83" t="s">
        <v>13220</v>
      </c>
      <c r="FC271" s="133" t="s">
        <v>5751</v>
      </c>
      <c r="FD271" t="s">
        <v>2217</v>
      </c>
      <c r="FE271" s="849">
        <v>123</v>
      </c>
      <c r="FF271">
        <v>48</v>
      </c>
      <c r="FG271">
        <v>72</v>
      </c>
      <c r="FH271">
        <v>19</v>
      </c>
      <c r="FI271">
        <v>10</v>
      </c>
      <c r="FJ271" s="10">
        <v>66</v>
      </c>
      <c r="FK271">
        <v>23</v>
      </c>
      <c r="FL271">
        <v>35</v>
      </c>
      <c r="FM271" s="531">
        <v>41</v>
      </c>
      <c r="FN271" s="88">
        <v>2</v>
      </c>
      <c r="FO271" s="88">
        <v>6</v>
      </c>
      <c r="FP271" s="164">
        <f>ROUNDDOWN(FH271/10,0)</f>
        <v>1</v>
      </c>
      <c r="FQ271" s="691">
        <f>ROUNDDOWN(FI271/10,0)</f>
        <v>1</v>
      </c>
      <c r="FR271" s="683" t="s">
        <v>7253</v>
      </c>
      <c r="FS271" s="167">
        <v>0</v>
      </c>
      <c r="FT271" s="167">
        <v>0</v>
      </c>
      <c r="FU271" s="165">
        <v>0</v>
      </c>
      <c r="FV271" s="655" t="s">
        <v>15453</v>
      </c>
      <c r="FW271" s="83" t="s">
        <v>15454</v>
      </c>
      <c r="FX271" s="567" t="s">
        <v>7657</v>
      </c>
      <c r="GF271" t="s">
        <v>8279</v>
      </c>
    </row>
    <row r="272" spans="8:188" ht="13.2" customHeight="1">
      <c r="H272" s="3"/>
      <c r="I272" s="3"/>
      <c r="J272" s="3"/>
      <c r="K272" s="3"/>
      <c r="L272" s="3"/>
      <c r="M272" s="651"/>
      <c r="N272" s="3"/>
      <c r="O272" s="3"/>
      <c r="P272" s="3"/>
      <c r="Q272" s="3"/>
      <c r="R272" s="651"/>
      <c r="S272" s="83" t="str">
        <f>IF(CareerType=Y272,"Percepteur",IF(AllCareers="X","Percepteur",IF(OR(SelectRace="homme-bête",SelectRace="peau-verte",SelectRace="créature du chaos",SelectRace="Homme-lézard",SelectRace="skaven"),"",IF(OR(Pays="Désolations du Chaos",Pays="Norsca"),"",IF(SelectRace="Humain","Percepteur",IF(SelectRace="Nain","Percepteur",IF(SelectRace="Halfling","Percepteur","")))))))</f>
        <v/>
      </c>
      <c r="T272" s="106">
        <f t="shared" si="145"/>
        <v>0</v>
      </c>
      <c r="U272" s="693" t="str">
        <f t="shared" si="152"/>
        <v/>
      </c>
      <c r="V272" s="693" t="str">
        <f t="shared" si="153"/>
        <v/>
      </c>
      <c r="W272" s="693" t="str">
        <f t="shared" si="154"/>
        <v/>
      </c>
      <c r="X272" s="47" t="s">
        <v>2160</v>
      </c>
      <c r="Y272" s="743" t="s">
        <v>7132</v>
      </c>
      <c r="Z272" s="55" t="s">
        <v>2249</v>
      </c>
      <c r="AA272" s="47">
        <v>11</v>
      </c>
      <c r="AB272" s="47" t="s">
        <v>2391</v>
      </c>
      <c r="AC272" s="47">
        <v>71</v>
      </c>
      <c r="AD272" s="15" t="s">
        <v>98</v>
      </c>
      <c r="AE272" s="15" t="s">
        <v>149</v>
      </c>
      <c r="AF272" s="15" t="s">
        <v>149</v>
      </c>
      <c r="AG272" s="15" t="s">
        <v>149</v>
      </c>
      <c r="AH272" s="15" t="s">
        <v>98</v>
      </c>
      <c r="AI272" s="15" t="s">
        <v>98</v>
      </c>
      <c r="AJ272" s="15" t="s">
        <v>114</v>
      </c>
      <c r="AK272" s="18" t="s">
        <v>114</v>
      </c>
      <c r="AL272" s="15" t="s">
        <v>149</v>
      </c>
      <c r="AM272" s="15" t="s">
        <v>113</v>
      </c>
      <c r="AN272" s="15" t="s">
        <v>149</v>
      </c>
      <c r="AO272" s="15" t="s">
        <v>149</v>
      </c>
      <c r="AP272" s="22" t="s">
        <v>723</v>
      </c>
      <c r="AQ272" s="87" t="s">
        <v>734</v>
      </c>
      <c r="AR272" s="22" t="s">
        <v>2392</v>
      </c>
      <c r="AS272" s="87" t="s">
        <v>15913</v>
      </c>
      <c r="AT272" s="22" t="s">
        <v>3500</v>
      </c>
      <c r="AU272" s="87" t="s">
        <v>5486</v>
      </c>
      <c r="AV272" s="87" t="s">
        <v>4778</v>
      </c>
      <c r="AW272" s="457">
        <f ca="1">RANDBETWEEN(1,10)/2</f>
        <v>2</v>
      </c>
      <c r="AX272" s="630" t="str">
        <f t="shared" si="156"/>
        <v/>
      </c>
      <c r="AY272" s="630" t="str">
        <f t="shared" si="157"/>
        <v/>
      </c>
      <c r="AZ272" s="630" t="str">
        <f t="shared" si="158"/>
        <v/>
      </c>
      <c r="BA272" s="3"/>
      <c r="BC272" s="3"/>
      <c r="BD272" s="3"/>
      <c r="BE272" s="3"/>
      <c r="BF272" s="3"/>
      <c r="BG272" s="3"/>
      <c r="BH272" s="3"/>
      <c r="BI272" s="3"/>
      <c r="BJ272" s="3"/>
      <c r="BK272" s="3"/>
      <c r="BL272" s="3"/>
      <c r="BM272" s="3"/>
      <c r="BN272" s="3"/>
      <c r="BP272" s="3"/>
      <c r="BQ272" s="3"/>
      <c r="BR272" s="3"/>
      <c r="BS272" s="3"/>
      <c r="BT272" s="3"/>
      <c r="BU272" s="3"/>
      <c r="BV272" s="3"/>
      <c r="BW272" s="3"/>
      <c r="BX272" s="3" t="str">
        <f>IF(Province="Principauté de Sartosa","Petite communauté de Sartosa","")</f>
        <v/>
      </c>
      <c r="BY272" t="str">
        <f t="shared" si="155"/>
        <v/>
      </c>
      <c r="BZ272" s="83" t="str">
        <f t="shared" si="147"/>
        <v/>
      </c>
      <c r="CA272" s="83" t="str">
        <f t="shared" si="148"/>
        <v/>
      </c>
      <c r="CB272" s="530" t="str">
        <f t="shared" si="149"/>
        <v/>
      </c>
      <c r="CG272" s="3" t="s">
        <v>6327</v>
      </c>
      <c r="CH272" s="3" t="s">
        <v>6116</v>
      </c>
      <c r="CI272" s="3"/>
      <c r="CJ272" s="3"/>
      <c r="CK272" s="3" t="s">
        <v>6761</v>
      </c>
      <c r="CM272" s="3" t="s">
        <v>6661</v>
      </c>
      <c r="CN272" s="3"/>
      <c r="CO272" s="3" t="str">
        <f>CONCATENATE("Onulf",IF(AND('page 1'!M11="Féminin",Pays="Norsca"),"dottir",IF(AND('page 1'!M11="Masculin",Pays="Norsca"),"son",IF(AND('page 1'!M11="Féminin",Pays="Kislev"),"ovna",IF(AND('page 1'!M11="Masculin",Pays="Kislev"),"sky","")))))</f>
        <v>Onulf</v>
      </c>
      <c r="CP272" s="3"/>
      <c r="CQ272" s="3"/>
      <c r="CR272" s="3" t="s">
        <v>13639</v>
      </c>
      <c r="CS272" s="3"/>
      <c r="CT272" s="3"/>
      <c r="CU272" s="3"/>
      <c r="CV272" s="3"/>
      <c r="CW272" s="3"/>
      <c r="CX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U272" s="25" t="str">
        <f>IF(Pays="Ulthuan","Chevalier du Heaume d'argent","")</f>
        <v/>
      </c>
      <c r="EV272" s="83" t="str">
        <f t="shared" si="146"/>
        <v/>
      </c>
      <c r="EW272" s="83" t="str">
        <f t="shared" si="150"/>
        <v/>
      </c>
      <c r="EX272" s="530" t="str">
        <f t="shared" si="151"/>
        <v/>
      </c>
      <c r="EY272" s="177" t="s">
        <v>17224</v>
      </c>
      <c r="EZ272" s="530" t="s">
        <v>250</v>
      </c>
      <c r="FB272" s="83" t="s">
        <v>7402</v>
      </c>
      <c r="FC272" s="133" t="s">
        <v>5751</v>
      </c>
      <c r="FD272" s="83" t="s">
        <v>2200</v>
      </c>
      <c r="FE272" s="849">
        <v>231</v>
      </c>
      <c r="FF272">
        <v>38</v>
      </c>
      <c r="FG272">
        <v>29</v>
      </c>
      <c r="FH272">
        <v>42</v>
      </c>
      <c r="FI272">
        <v>41</v>
      </c>
      <c r="FJ272" s="10">
        <v>30</v>
      </c>
      <c r="FK272">
        <v>34</v>
      </c>
      <c r="FL272">
        <v>30</v>
      </c>
      <c r="FM272" s="165">
        <v>20</v>
      </c>
      <c r="FN272" s="88">
        <v>1</v>
      </c>
      <c r="FO272" s="88">
        <v>11</v>
      </c>
      <c r="FP272" s="164">
        <f>ROUNDDOWN(FH272/10,0)</f>
        <v>4</v>
      </c>
      <c r="FQ272" s="164">
        <f>ROUNDDOWN(FI272/10,0)</f>
        <v>4</v>
      </c>
      <c r="FR272" s="682">
        <v>3</v>
      </c>
      <c r="FS272" s="88">
        <v>0</v>
      </c>
      <c r="FT272" s="88">
        <v>0</v>
      </c>
      <c r="FU272" s="165">
        <v>0</v>
      </c>
      <c r="FV272" s="83" t="s">
        <v>17205</v>
      </c>
      <c r="FW272" s="90" t="s">
        <v>7403</v>
      </c>
      <c r="FX272" s="540" t="s">
        <v>7668</v>
      </c>
      <c r="GF272" t="s">
        <v>7796</v>
      </c>
    </row>
    <row r="273" spans="8:188" ht="13.2" customHeight="1">
      <c r="H273" s="3"/>
      <c r="I273" s="3"/>
      <c r="J273" s="3"/>
      <c r="K273" s="3"/>
      <c r="L273" s="3"/>
      <c r="M273" s="651"/>
      <c r="N273" s="3"/>
      <c r="O273" s="3"/>
      <c r="P273" s="3"/>
      <c r="Q273" s="3"/>
      <c r="R273" s="651"/>
      <c r="S273" s="83" t="str">
        <f>IF(CareerType=Y273,"Pillard",IF(AllCareers="X","Pillard",IF(OR(SelectRace="Nain",SelectRace="Humain",Selectsousrace="Halfing",SelectRace="homme-bête",SelectRace="peau-verte",SelectRace="créature du chaos",SelectRace="Homme-lézard",SelectRace="Skaven"),"Pillard","")))</f>
        <v/>
      </c>
      <c r="T273" s="106">
        <f t="shared" si="145"/>
        <v>0</v>
      </c>
      <c r="U273" s="693" t="str">
        <f t="shared" si="152"/>
        <v/>
      </c>
      <c r="V273" s="693" t="str">
        <f t="shared" si="153"/>
        <v/>
      </c>
      <c r="W273" s="693" t="str">
        <f t="shared" si="154"/>
        <v/>
      </c>
      <c r="X273" s="47" t="s">
        <v>2160</v>
      </c>
      <c r="Y273" s="743" t="s">
        <v>7130</v>
      </c>
      <c r="Z273" s="55" t="s">
        <v>2196</v>
      </c>
      <c r="AA273" s="47">
        <v>158</v>
      </c>
      <c r="AB273" s="47" t="s">
        <v>2393</v>
      </c>
      <c r="AC273" s="47">
        <v>175</v>
      </c>
      <c r="AD273" s="15" t="s">
        <v>98</v>
      </c>
      <c r="AE273" s="15" t="s">
        <v>149</v>
      </c>
      <c r="AF273" s="15" t="s">
        <v>98</v>
      </c>
      <c r="AG273" s="15" t="s">
        <v>114</v>
      </c>
      <c r="AH273" s="15" t="s">
        <v>98</v>
      </c>
      <c r="AI273" s="15" t="s">
        <v>149</v>
      </c>
      <c r="AJ273" s="15" t="s">
        <v>149</v>
      </c>
      <c r="AK273" s="18" t="s">
        <v>149</v>
      </c>
      <c r="AL273" s="15" t="s">
        <v>102</v>
      </c>
      <c r="AM273" s="15" t="s">
        <v>113</v>
      </c>
      <c r="AN273" s="15" t="s">
        <v>149</v>
      </c>
      <c r="AO273" s="15" t="s">
        <v>149</v>
      </c>
      <c r="AP273" s="22" t="s">
        <v>1248</v>
      </c>
      <c r="AQ273" s="87" t="s">
        <v>15914</v>
      </c>
      <c r="AR273" s="22" t="s">
        <v>15826</v>
      </c>
      <c r="AS273" s="87" t="s">
        <v>15915</v>
      </c>
      <c r="AT273" s="22" t="s">
        <v>16651</v>
      </c>
      <c r="AU273" s="87" t="s">
        <v>5452</v>
      </c>
      <c r="AV273" s="87" t="s">
        <v>4803</v>
      </c>
      <c r="AW273" s="457">
        <v>0</v>
      </c>
      <c r="AX273" s="630" t="str">
        <f t="shared" si="156"/>
        <v/>
      </c>
      <c r="AY273" s="630" t="str">
        <f t="shared" si="157"/>
        <v/>
      </c>
      <c r="AZ273" s="630" t="str">
        <f t="shared" si="158"/>
        <v/>
      </c>
      <c r="BB273" s="3"/>
      <c r="BC273" s="3"/>
      <c r="BD273" s="3"/>
      <c r="BE273" s="3"/>
      <c r="BF273" s="3"/>
      <c r="BG273" s="3"/>
      <c r="BH273" s="3"/>
      <c r="BI273" s="3"/>
      <c r="BJ273" s="3"/>
      <c r="BK273" s="3"/>
      <c r="BL273" s="3"/>
      <c r="BM273" s="3"/>
      <c r="BN273" s="3"/>
      <c r="BP273" s="3"/>
      <c r="BQ273" s="3"/>
      <c r="BR273" s="3"/>
      <c r="BS273" s="3"/>
      <c r="BT273" s="3"/>
      <c r="BU273" s="3"/>
      <c r="BV273" s="3"/>
      <c r="BW273" s="3"/>
      <c r="BX273" s="3" t="str">
        <f>IF(Province="Principauté de Tobaro","Petite communauté de Tobaro","")</f>
        <v/>
      </c>
      <c r="BY273" t="str">
        <f t="shared" si="155"/>
        <v/>
      </c>
      <c r="BZ273" s="83" t="str">
        <f t="shared" si="147"/>
        <v/>
      </c>
      <c r="CA273" s="83" t="str">
        <f t="shared" si="148"/>
        <v/>
      </c>
      <c r="CB273" s="530" t="str">
        <f t="shared" si="149"/>
        <v/>
      </c>
      <c r="CG273" s="3" t="s">
        <v>3142</v>
      </c>
      <c r="CH273" s="3" t="s">
        <v>6117</v>
      </c>
      <c r="CI273" s="3"/>
      <c r="CJ273" s="3"/>
      <c r="CK273" s="3" t="s">
        <v>6807</v>
      </c>
      <c r="CM273" t="s">
        <v>10409</v>
      </c>
      <c r="CN273" s="3"/>
      <c r="CO273" s="3" t="s">
        <v>11047</v>
      </c>
      <c r="CP273" s="83"/>
      <c r="CQ273" s="83"/>
      <c r="CR273" s="3" t="s">
        <v>13640</v>
      </c>
      <c r="CS273" s="3"/>
      <c r="CT273" s="3"/>
      <c r="CU273" s="3"/>
      <c r="CV273" s="3"/>
      <c r="CW273" s="3"/>
      <c r="CX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U273" s="25" t="str">
        <f>IF(AND(Pays="Ulthuan",'page 1'!M11="Féminin"),"Sœur d'Avelorn","")</f>
        <v/>
      </c>
      <c r="EV273" s="83" t="str">
        <f t="shared" si="146"/>
        <v/>
      </c>
      <c r="EW273" s="83" t="str">
        <f t="shared" si="150"/>
        <v/>
      </c>
      <c r="EX273" s="530" t="str">
        <f t="shared" si="151"/>
        <v/>
      </c>
      <c r="EY273" s="177" t="s">
        <v>14560</v>
      </c>
      <c r="EZ273" s="530" t="s">
        <v>14557</v>
      </c>
      <c r="FB273" s="83" t="s">
        <v>5663</v>
      </c>
      <c r="FC273" s="133" t="s">
        <v>5751</v>
      </c>
      <c r="FD273" s="83" t="s">
        <v>7365</v>
      </c>
      <c r="FE273" s="849">
        <v>105</v>
      </c>
      <c r="FF273">
        <v>48</v>
      </c>
      <c r="FG273">
        <v>32</v>
      </c>
      <c r="FH273">
        <v>42</v>
      </c>
      <c r="FI273">
        <v>47</v>
      </c>
      <c r="FJ273" s="10">
        <v>37</v>
      </c>
      <c r="FK273">
        <v>27</v>
      </c>
      <c r="FL273">
        <v>27</v>
      </c>
      <c r="FM273" s="165">
        <v>27</v>
      </c>
      <c r="FN273" s="88">
        <v>2</v>
      </c>
      <c r="FO273" s="88">
        <v>11</v>
      </c>
      <c r="FP273" s="164">
        <f>ROUNDDOWN(FH273/10,0)</f>
        <v>4</v>
      </c>
      <c r="FQ273" s="164">
        <f>ROUNDDOWN(FI273/10,0)</f>
        <v>4</v>
      </c>
      <c r="FR273" s="682">
        <v>4</v>
      </c>
      <c r="FS273" s="88">
        <v>0</v>
      </c>
      <c r="FT273" s="88">
        <v>0</v>
      </c>
      <c r="FU273" s="165">
        <v>0</v>
      </c>
      <c r="FV273" s="83" t="s">
        <v>7425</v>
      </c>
      <c r="FW273" s="83" t="s">
        <v>7376</v>
      </c>
      <c r="FX273" s="530" t="s">
        <v>7668</v>
      </c>
      <c r="GF273" t="s">
        <v>7797</v>
      </c>
    </row>
    <row r="274" spans="8:188" ht="13.2" customHeight="1">
      <c r="H274" s="3"/>
      <c r="I274" s="3"/>
      <c r="J274" s="3"/>
      <c r="K274" s="3"/>
      <c r="L274" s="3"/>
      <c r="M274" s="651"/>
      <c r="N274" s="3"/>
      <c r="O274" s="3"/>
      <c r="P274" s="3"/>
      <c r="Q274" s="3"/>
      <c r="R274" s="651"/>
      <c r="S274" s="83" t="str">
        <f>IF(OR(CareerType=Y274,AllCareers="X"),"Pillard du désert",IF(OR(Pays="Désolations du Chaos",Pays="Norsca",SelectRace="Nain",SelectRace="Humain",Selectsousrace="Halfing",SelectRace="homme-bête",SelectRace="peau-verte",SelectRace="créature du chaos",SelectRace="Homme-lézard",SelectRace="Nain",SelectRace="Skaven"),"Pillard du désert",""))</f>
        <v/>
      </c>
      <c r="T274" s="106">
        <f t="shared" si="145"/>
        <v>0</v>
      </c>
      <c r="U274" s="693" t="str">
        <f t="shared" si="152"/>
        <v/>
      </c>
      <c r="V274" s="693" t="str">
        <f t="shared" si="153"/>
        <v/>
      </c>
      <c r="W274" s="693" t="str">
        <f t="shared" si="154"/>
        <v/>
      </c>
      <c r="X274" s="89" t="s">
        <v>2160</v>
      </c>
      <c r="Y274" s="743" t="s">
        <v>7133</v>
      </c>
      <c r="Z274" s="56" t="s">
        <v>9975</v>
      </c>
      <c r="AA274" s="89">
        <v>241</v>
      </c>
      <c r="AB274" s="89" t="s">
        <v>10043</v>
      </c>
      <c r="AD274" s="105" t="s">
        <v>98</v>
      </c>
      <c r="AE274" s="105" t="s">
        <v>98</v>
      </c>
      <c r="AF274" s="105" t="s">
        <v>149</v>
      </c>
      <c r="AG274" s="105" t="s">
        <v>114</v>
      </c>
      <c r="AH274" s="105" t="s">
        <v>114</v>
      </c>
      <c r="AI274" s="105" t="s">
        <v>149</v>
      </c>
      <c r="AJ274" s="105" t="s">
        <v>114</v>
      </c>
      <c r="AK274" s="443" t="s">
        <v>114</v>
      </c>
      <c r="AL274" s="105" t="s">
        <v>149</v>
      </c>
      <c r="AM274" s="105" t="s">
        <v>113</v>
      </c>
      <c r="AN274" s="105" t="s">
        <v>149</v>
      </c>
      <c r="AO274" s="105" t="s">
        <v>149</v>
      </c>
      <c r="AP274" s="87" t="s">
        <v>10099</v>
      </c>
      <c r="AQ274" s="87" t="s">
        <v>15916</v>
      </c>
      <c r="AR274" s="87" t="s">
        <v>10100</v>
      </c>
      <c r="AS274" s="87" t="s">
        <v>15917</v>
      </c>
      <c r="AT274" s="87" t="s">
        <v>10101</v>
      </c>
      <c r="AU274" s="87" t="s">
        <v>10130</v>
      </c>
      <c r="AV274" s="87" t="s">
        <v>10102</v>
      </c>
      <c r="AW274" s="458">
        <v>0</v>
      </c>
      <c r="AX274" s="630" t="str">
        <f t="shared" si="156"/>
        <v/>
      </c>
      <c r="AY274" s="630" t="str">
        <f t="shared" si="157"/>
        <v/>
      </c>
      <c r="AZ274" s="630" t="str">
        <f t="shared" si="158"/>
        <v/>
      </c>
      <c r="BA274" s="3"/>
      <c r="BB274" s="3"/>
      <c r="BC274" s="3"/>
      <c r="BD274" s="3"/>
      <c r="BE274" s="3"/>
      <c r="BF274" s="3"/>
      <c r="BG274" s="3"/>
      <c r="BH274" s="3"/>
      <c r="BI274" s="3"/>
      <c r="BJ274" s="3"/>
      <c r="BK274" s="3"/>
      <c r="BL274" s="3"/>
      <c r="BM274" s="3"/>
      <c r="BN274" s="3"/>
      <c r="BP274" s="3"/>
      <c r="BQ274" s="3"/>
      <c r="BR274" s="3"/>
      <c r="BS274" s="3"/>
      <c r="BT274" s="3"/>
      <c r="BU274" s="3"/>
      <c r="BV274" s="3"/>
      <c r="BW274" s="3"/>
      <c r="BX274" s="3" t="str">
        <f>IF(Province="République de Verezzo","Petite communauté de Verezzo","")</f>
        <v/>
      </c>
      <c r="BY274" t="str">
        <f t="shared" si="155"/>
        <v/>
      </c>
      <c r="BZ274" s="83" t="str">
        <f t="shared" si="147"/>
        <v/>
      </c>
      <c r="CA274" s="83" t="str">
        <f t="shared" si="148"/>
        <v/>
      </c>
      <c r="CB274" s="530" t="str">
        <f t="shared" si="149"/>
        <v/>
      </c>
      <c r="CG274" s="83" t="s">
        <v>10172</v>
      </c>
      <c r="CH274" s="3" t="s">
        <v>6118</v>
      </c>
      <c r="CI274" s="3"/>
      <c r="CJ274" s="3"/>
      <c r="CK274" s="3" t="s">
        <v>6992</v>
      </c>
      <c r="CM274" t="s">
        <v>10410</v>
      </c>
      <c r="CN274" s="3"/>
      <c r="CO274" s="3" t="s">
        <v>11046</v>
      </c>
      <c r="CP274" s="3"/>
      <c r="CQ274" s="3"/>
      <c r="CR274" s="3" t="s">
        <v>13641</v>
      </c>
      <c r="CS274" s="3"/>
      <c r="CT274" s="3"/>
      <c r="CU274" s="3"/>
      <c r="CV274" s="3"/>
      <c r="CW274" s="3"/>
      <c r="CX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U274" s="25" t="str">
        <f>IF(AND(Pays="Ulthuan",Dieu="Asuryan"),"Garde Phénix","")</f>
        <v/>
      </c>
      <c r="EV274" s="83" t="str">
        <f t="shared" si="146"/>
        <v/>
      </c>
      <c r="EW274" s="83" t="str">
        <f t="shared" si="150"/>
        <v/>
      </c>
      <c r="EX274" s="530" t="str">
        <f t="shared" si="151"/>
        <v/>
      </c>
      <c r="EY274" s="177" t="s">
        <v>14578</v>
      </c>
      <c r="EZ274" s="531" t="s">
        <v>12150</v>
      </c>
      <c r="FB274" s="83" t="s">
        <v>7375</v>
      </c>
      <c r="FC274" s="133" t="s">
        <v>5751</v>
      </c>
      <c r="FD274" s="83" t="s">
        <v>7365</v>
      </c>
      <c r="FE274" s="849">
        <v>105</v>
      </c>
      <c r="FF274">
        <v>48</v>
      </c>
      <c r="FG274">
        <v>32</v>
      </c>
      <c r="FH274">
        <v>42</v>
      </c>
      <c r="FI274">
        <v>47</v>
      </c>
      <c r="FJ274" s="10">
        <v>37</v>
      </c>
      <c r="FK274">
        <v>27</v>
      </c>
      <c r="FL274">
        <v>32</v>
      </c>
      <c r="FM274" s="165">
        <v>27</v>
      </c>
      <c r="FN274" s="88">
        <v>2</v>
      </c>
      <c r="FO274" s="88">
        <v>14</v>
      </c>
      <c r="FP274" s="164">
        <f>ROUNDDOWN(FH274/10,0)</f>
        <v>4</v>
      </c>
      <c r="FQ274" s="164">
        <f>ROUNDDOWN(FI274/10,0)</f>
        <v>4</v>
      </c>
      <c r="FR274" s="682">
        <v>4</v>
      </c>
      <c r="FS274" s="88">
        <v>0</v>
      </c>
      <c r="FT274" s="88">
        <v>0</v>
      </c>
      <c r="FU274" s="165">
        <v>0</v>
      </c>
      <c r="FV274" s="83" t="s">
        <v>7426</v>
      </c>
      <c r="FW274" s="83" t="s">
        <v>7377</v>
      </c>
      <c r="FX274" s="530" t="s">
        <v>7667</v>
      </c>
      <c r="GF274" t="s">
        <v>8275</v>
      </c>
    </row>
    <row r="275" spans="8:188" ht="13.2" customHeight="1">
      <c r="H275" s="3"/>
      <c r="I275" s="3"/>
      <c r="J275" s="3"/>
      <c r="K275" s="3"/>
      <c r="L275" s="3"/>
      <c r="M275" s="651"/>
      <c r="N275" s="3"/>
      <c r="O275" s="3"/>
      <c r="P275" s="3"/>
      <c r="Q275" s="3"/>
      <c r="R275" s="651"/>
      <c r="S275" s="83" t="str">
        <f>IF(CareerType=Y275,"Pilleur de tombes",IF(AllCareers="X","Pilleur de tombes",IF(Selectsousrace="","",IF(Pays="Norsca","",IF(Selectsousrace&lt;&gt;"Elfe","Pilleur de tombes","")))))</f>
        <v/>
      </c>
      <c r="T275" s="106">
        <f t="shared" si="145"/>
        <v>0</v>
      </c>
      <c r="U275" s="693" t="str">
        <f t="shared" si="152"/>
        <v/>
      </c>
      <c r="V275" s="693" t="str">
        <f t="shared" si="153"/>
        <v/>
      </c>
      <c r="W275" s="693" t="str">
        <f t="shared" si="154"/>
        <v/>
      </c>
      <c r="X275" s="47" t="s">
        <v>2160</v>
      </c>
      <c r="Y275" s="743" t="s">
        <v>7133</v>
      </c>
      <c r="Z275" s="55" t="s">
        <v>2200</v>
      </c>
      <c r="AA275" s="47">
        <v>53</v>
      </c>
      <c r="AB275" s="47" t="s">
        <v>2394</v>
      </c>
      <c r="AC275" s="47">
        <v>212</v>
      </c>
      <c r="AD275" s="15" t="s">
        <v>98</v>
      </c>
      <c r="AE275" s="15" t="s">
        <v>149</v>
      </c>
      <c r="AF275" s="15" t="s">
        <v>149</v>
      </c>
      <c r="AG275" s="15" t="s">
        <v>149</v>
      </c>
      <c r="AH275" s="15" t="s">
        <v>98</v>
      </c>
      <c r="AI275" s="15" t="s">
        <v>98</v>
      </c>
      <c r="AJ275" s="15" t="s">
        <v>98</v>
      </c>
      <c r="AK275" s="21" t="s">
        <v>114</v>
      </c>
      <c r="AL275" s="15" t="s">
        <v>149</v>
      </c>
      <c r="AM275" s="15" t="s">
        <v>113</v>
      </c>
      <c r="AN275" s="15" t="s">
        <v>149</v>
      </c>
      <c r="AO275" s="15" t="s">
        <v>149</v>
      </c>
      <c r="AP275" s="22" t="s">
        <v>2395</v>
      </c>
      <c r="AQ275" s="87" t="s">
        <v>5857</v>
      </c>
      <c r="AR275" s="22" t="s">
        <v>2396</v>
      </c>
      <c r="AS275" s="87" t="s">
        <v>14838</v>
      </c>
      <c r="AT275" s="22" t="s">
        <v>3501</v>
      </c>
      <c r="AU275" s="87" t="s">
        <v>5340</v>
      </c>
      <c r="AV275" s="87" t="s">
        <v>4579</v>
      </c>
      <c r="AW275" s="457">
        <v>0</v>
      </c>
      <c r="AX275" s="630" t="str">
        <f t="shared" si="156"/>
        <v/>
      </c>
      <c r="AY275" s="630" t="str">
        <f t="shared" si="157"/>
        <v/>
      </c>
      <c r="AZ275" s="630" t="str">
        <f t="shared" si="158"/>
        <v/>
      </c>
      <c r="BA275" s="3"/>
      <c r="BB275" s="3"/>
      <c r="BC275" s="3"/>
      <c r="BD275" s="3"/>
      <c r="BE275" s="3"/>
      <c r="BF275" s="3"/>
      <c r="BG275" s="3"/>
      <c r="BH275" s="3"/>
      <c r="BI275" s="3"/>
      <c r="BJ275" s="3"/>
      <c r="BK275" s="3"/>
      <c r="BL275" s="3"/>
      <c r="BM275" s="3"/>
      <c r="BN275" s="3"/>
      <c r="BP275" s="3"/>
      <c r="BQ275" s="3"/>
      <c r="BR275" s="3"/>
      <c r="BS275" s="3"/>
      <c r="BT275" s="3"/>
      <c r="BU275" s="3"/>
      <c r="BV275" s="3"/>
      <c r="BW275" s="3"/>
      <c r="BX275" s="3" t="str">
        <f>IF(Province="Principauté de Luccini","Ferme (culture) de Luccini","")</f>
        <v/>
      </c>
      <c r="BY275" t="str">
        <f t="shared" si="155"/>
        <v/>
      </c>
      <c r="BZ275" s="83" t="str">
        <f t="shared" si="147"/>
        <v/>
      </c>
      <c r="CA275" s="83" t="str">
        <f t="shared" si="148"/>
        <v/>
      </c>
      <c r="CB275" s="530" t="str">
        <f t="shared" si="149"/>
        <v/>
      </c>
      <c r="CG275" s="3" t="s">
        <v>6328</v>
      </c>
      <c r="CH275" s="3" t="s">
        <v>6119</v>
      </c>
      <c r="CI275" s="3"/>
      <c r="CJ275" s="3"/>
      <c r="CK275" s="3" t="s">
        <v>6720</v>
      </c>
      <c r="CM275" t="s">
        <v>10411</v>
      </c>
      <c r="CN275" s="3"/>
      <c r="CO275" s="83" t="str">
        <f>CONCATENATE("Ottar",IF(AND('page 1'!M11="Féminin",Pays="Norsca"),"dottir",IF(AND('page 1'!M11="Masculin",Pays="Norsca"),"son",IF(AND('page 1'!M11="Féminin",Pays="Kislev"),"ovna",IF(AND('page 1'!M11="Masculin",Pays="Kislev"),"sky","")))))</f>
        <v>Ottar</v>
      </c>
      <c r="CP275" s="3"/>
      <c r="CQ275" s="3"/>
      <c r="CR275" s="3" t="s">
        <v>13642</v>
      </c>
      <c r="CS275" s="3"/>
      <c r="CT275" s="3"/>
      <c r="CU275" s="3"/>
      <c r="CV275" s="3"/>
      <c r="CW275" s="3"/>
      <c r="CX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U275" s="25" t="str">
        <f>IF(Pays="Ulthuan","Chevaliers du Lion Blanc","")</f>
        <v/>
      </c>
      <c r="EV275" s="83" t="str">
        <f t="shared" si="146"/>
        <v/>
      </c>
      <c r="EW275" s="83" t="str">
        <f t="shared" si="150"/>
        <v/>
      </c>
      <c r="EX275" s="530" t="str">
        <f t="shared" si="151"/>
        <v/>
      </c>
      <c r="EY275" s="177" t="s">
        <v>14579</v>
      </c>
      <c r="EZ275" s="530" t="s">
        <v>254</v>
      </c>
      <c r="FB275" s="83" t="s">
        <v>13105</v>
      </c>
      <c r="FC275" s="133" t="s">
        <v>5751</v>
      </c>
      <c r="FD275" s="83" t="s">
        <v>7365</v>
      </c>
      <c r="FE275" s="849">
        <v>105</v>
      </c>
      <c r="FF275">
        <v>48</v>
      </c>
      <c r="FG275">
        <v>42</v>
      </c>
      <c r="FH275">
        <v>42</v>
      </c>
      <c r="FI275">
        <v>47</v>
      </c>
      <c r="FJ275" s="10">
        <v>37</v>
      </c>
      <c r="FK275">
        <v>27</v>
      </c>
      <c r="FL275">
        <v>32</v>
      </c>
      <c r="FM275" s="165">
        <v>27</v>
      </c>
      <c r="FN275" s="88">
        <v>2</v>
      </c>
      <c r="FO275" s="88">
        <v>14</v>
      </c>
      <c r="FP275" s="164">
        <f>ROUNDDOWN(FH275/10,0)</f>
        <v>4</v>
      </c>
      <c r="FQ275" s="164">
        <f>ROUNDDOWN(FI275/10,0)</f>
        <v>4</v>
      </c>
      <c r="FR275" s="682">
        <v>4</v>
      </c>
      <c r="FS275" s="88">
        <v>0</v>
      </c>
      <c r="FT275" s="88">
        <v>0</v>
      </c>
      <c r="FU275" s="165">
        <v>0</v>
      </c>
      <c r="FV275" s="83" t="s">
        <v>7427</v>
      </c>
      <c r="FW275" s="83" t="s">
        <v>7379</v>
      </c>
      <c r="FX275" s="530" t="s">
        <v>7666</v>
      </c>
      <c r="GF275" t="s">
        <v>7807</v>
      </c>
    </row>
    <row r="276" spans="8:188" ht="13.2" customHeight="1">
      <c r="H276" s="3"/>
      <c r="I276" s="3"/>
      <c r="J276" s="3"/>
      <c r="K276" s="3"/>
      <c r="L276" s="3"/>
      <c r="M276" s="651"/>
      <c r="N276" s="3"/>
      <c r="O276" s="3"/>
      <c r="P276" s="3"/>
      <c r="Q276" s="3"/>
      <c r="R276" s="651"/>
      <c r="S276" s="83" t="str">
        <f>IF(CareerType=Y276,"Piquier",IF(AllCareers="X","Piquier",IF(OR(SelectRace="homme-bête",SelectRace="peau-verte",SelectRace="créature du chaos",SelectRace="Homme-lézard",SelectRace="skaven",SelectRace="Vampire"),"",IF(Pays="Tilée","Piquier",""))))</f>
        <v/>
      </c>
      <c r="T276" s="106">
        <f t="shared" si="145"/>
        <v>0</v>
      </c>
      <c r="U276" s="693" t="str">
        <f t="shared" si="152"/>
        <v/>
      </c>
      <c r="V276" s="693" t="str">
        <f t="shared" si="153"/>
        <v/>
      </c>
      <c r="W276" s="693" t="str">
        <f t="shared" si="154"/>
        <v/>
      </c>
      <c r="X276" s="89" t="s">
        <v>2160</v>
      </c>
      <c r="Y276" s="743" t="s">
        <v>7130</v>
      </c>
      <c r="Z276" s="56" t="s">
        <v>15658</v>
      </c>
      <c r="AA276" s="89" t="s">
        <v>15659</v>
      </c>
      <c r="AB276" s="89" t="s">
        <v>5517</v>
      </c>
      <c r="AD276" s="16" t="s">
        <v>98</v>
      </c>
      <c r="AE276" s="16" t="s">
        <v>149</v>
      </c>
      <c r="AF276" s="16" t="s">
        <v>98</v>
      </c>
      <c r="AG276" s="16" t="s">
        <v>114</v>
      </c>
      <c r="AH276" s="16" t="s">
        <v>114</v>
      </c>
      <c r="AI276" s="16" t="s">
        <v>149</v>
      </c>
      <c r="AJ276" s="16" t="s">
        <v>114</v>
      </c>
      <c r="AK276" s="19" t="s">
        <v>98</v>
      </c>
      <c r="AL276" s="15" t="s">
        <v>102</v>
      </c>
      <c r="AM276" s="15" t="s">
        <v>113</v>
      </c>
      <c r="AN276" s="15" t="s">
        <v>149</v>
      </c>
      <c r="AO276" s="15" t="s">
        <v>149</v>
      </c>
      <c r="AP276" s="87" t="s">
        <v>15660</v>
      </c>
      <c r="AQ276" s="87" t="s">
        <v>15918</v>
      </c>
      <c r="AR276" s="23" t="s">
        <v>16175</v>
      </c>
      <c r="AS276" s="87" t="s">
        <v>15919</v>
      </c>
      <c r="AT276" s="23" t="s">
        <v>5518</v>
      </c>
      <c r="AU276" s="23" t="s">
        <v>5519</v>
      </c>
      <c r="AV276" s="23" t="s">
        <v>5520</v>
      </c>
      <c r="AW276" s="458">
        <v>0</v>
      </c>
      <c r="AX276" s="630" t="str">
        <f t="shared" si="156"/>
        <v/>
      </c>
      <c r="AY276" s="630" t="str">
        <f t="shared" si="157"/>
        <v/>
      </c>
      <c r="AZ276" s="630" t="str">
        <f t="shared" si="158"/>
        <v/>
      </c>
      <c r="BA276" s="3"/>
      <c r="BB276" s="3"/>
      <c r="BC276" s="3"/>
      <c r="BD276" s="3"/>
      <c r="BE276" s="3"/>
      <c r="BF276" s="3"/>
      <c r="BG276" s="3"/>
      <c r="BH276" s="3"/>
      <c r="BI276" s="3"/>
      <c r="BJ276" s="3"/>
      <c r="BK276" s="3"/>
      <c r="BL276" s="3"/>
      <c r="BM276" s="3"/>
      <c r="BN276" s="3"/>
      <c r="BP276" s="3"/>
      <c r="BQ276" s="3"/>
      <c r="BR276" s="3"/>
      <c r="BS276" s="3"/>
      <c r="BT276" s="3"/>
      <c r="BU276" s="3"/>
      <c r="BV276" s="3"/>
      <c r="BW276" s="3"/>
      <c r="BX276" s="3" t="str">
        <f>IF(Province="Principauté de Remas","Ferme (culture) de Remas","")</f>
        <v/>
      </c>
      <c r="BY276" t="str">
        <f t="shared" si="155"/>
        <v/>
      </c>
      <c r="BZ276" s="83" t="str">
        <f t="shared" si="147"/>
        <v/>
      </c>
      <c r="CA276" s="83" t="str">
        <f t="shared" si="148"/>
        <v/>
      </c>
      <c r="CB276" s="530" t="str">
        <f t="shared" si="149"/>
        <v/>
      </c>
      <c r="CG276" s="3" t="s">
        <v>6329</v>
      </c>
      <c r="CH276" s="3" t="s">
        <v>6120</v>
      </c>
      <c r="CI276" s="3"/>
      <c r="CJ276" s="3"/>
      <c r="CK276" s="3" t="s">
        <v>6960</v>
      </c>
      <c r="CM276" s="3" t="s">
        <v>6662</v>
      </c>
      <c r="CN276" s="3"/>
      <c r="CO276" s="3" t="s">
        <v>11045</v>
      </c>
      <c r="CP276" s="3"/>
      <c r="CQ276" s="3"/>
      <c r="CR276" s="3" t="s">
        <v>13643</v>
      </c>
      <c r="CS276" s="3"/>
      <c r="CT276" s="3"/>
      <c r="CU276" s="3"/>
      <c r="CV276" s="3"/>
      <c r="CW276" s="3"/>
      <c r="CX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U276" s="25" t="str">
        <f>IF(OR(Dieu="Slaanesh",Dieu="Qu’aph",Dieu="Loesh",Dieu="Takchaka",Dieu="Shornaal",Dieu="Banzaïgen"),"Ordo Ultima","")</f>
        <v/>
      </c>
      <c r="EV276" s="83" t="str">
        <f t="shared" si="146"/>
        <v/>
      </c>
      <c r="EW276" s="83" t="str">
        <f t="shared" si="150"/>
        <v/>
      </c>
      <c r="EX276" s="530" t="str">
        <f t="shared" si="151"/>
        <v/>
      </c>
      <c r="EY276" s="177" t="s">
        <v>427</v>
      </c>
      <c r="EZ276" s="530" t="s">
        <v>11300</v>
      </c>
      <c r="FB276" s="83" t="s">
        <v>7378</v>
      </c>
      <c r="FC276" s="133" t="s">
        <v>5751</v>
      </c>
      <c r="FD276" s="83" t="s">
        <v>7365</v>
      </c>
      <c r="FE276" s="849">
        <v>105</v>
      </c>
      <c r="FF276">
        <v>37</v>
      </c>
      <c r="FG276">
        <v>42</v>
      </c>
      <c r="FH276">
        <v>32</v>
      </c>
      <c r="FI276">
        <v>32</v>
      </c>
      <c r="FJ276" s="10">
        <v>32</v>
      </c>
      <c r="FK276">
        <v>43</v>
      </c>
      <c r="FL276">
        <v>27</v>
      </c>
      <c r="FM276" s="165">
        <v>27</v>
      </c>
      <c r="FN276" s="88">
        <v>1</v>
      </c>
      <c r="FO276" s="88">
        <v>13</v>
      </c>
      <c r="FP276" s="164">
        <f>ROUNDDOWN(FH276/10,0)</f>
        <v>3</v>
      </c>
      <c r="FQ276" s="164">
        <f>ROUNDDOWN(FI276/10,0)</f>
        <v>3</v>
      </c>
      <c r="FR276" s="682">
        <v>5</v>
      </c>
      <c r="FS276" s="88">
        <v>0</v>
      </c>
      <c r="FT276" s="88">
        <v>0</v>
      </c>
      <c r="FU276" s="165">
        <v>0</v>
      </c>
      <c r="FV276" s="83" t="s">
        <v>7428</v>
      </c>
      <c r="FW276" s="83" t="s">
        <v>7380</v>
      </c>
      <c r="FX276" s="530" t="s">
        <v>7668</v>
      </c>
      <c r="GF276" t="s">
        <v>8282</v>
      </c>
    </row>
    <row r="277" spans="8:188" ht="13.2" customHeight="1">
      <c r="H277" s="3"/>
      <c r="I277" s="3"/>
      <c r="J277" s="3"/>
      <c r="K277" s="3"/>
      <c r="L277" s="3"/>
      <c r="M277" s="651"/>
      <c r="N277" s="3"/>
      <c r="O277" s="3"/>
      <c r="P277" s="3"/>
      <c r="Q277" s="3"/>
      <c r="R277" s="651"/>
      <c r="S277" s="83" t="str">
        <f>IF(CareerType=Y277,"Pirate/Corsaire",IF(AllCareers="X","Pirate/Corsaire",IF(OR(SelectRace="homme-bête",SelectRace="créature du chaos",SelectRace="Homme-lézard",SelectRace="Vampire"),"",IF(Pays="Tilée","Pirate/Corsaire",""))))</f>
        <v/>
      </c>
      <c r="T277" s="106">
        <f t="shared" si="145"/>
        <v>0</v>
      </c>
      <c r="U277" s="693" t="str">
        <f t="shared" si="152"/>
        <v/>
      </c>
      <c r="V277" s="693" t="str">
        <f t="shared" si="153"/>
        <v/>
      </c>
      <c r="W277" s="693" t="str">
        <f t="shared" si="154"/>
        <v/>
      </c>
      <c r="X277" s="89" t="s">
        <v>2160</v>
      </c>
      <c r="Y277" s="743" t="s">
        <v>7133</v>
      </c>
      <c r="Z277" s="101" t="s">
        <v>15715</v>
      </c>
      <c r="AA277" s="426" t="s">
        <v>15716</v>
      </c>
      <c r="AB277" s="89" t="s">
        <v>15714</v>
      </c>
      <c r="AD277" s="105" t="s">
        <v>98</v>
      </c>
      <c r="AE277" s="105" t="s">
        <v>114</v>
      </c>
      <c r="AF277" s="105" t="s">
        <v>98</v>
      </c>
      <c r="AG277" s="105" t="s">
        <v>114</v>
      </c>
      <c r="AH277" s="105" t="s">
        <v>114</v>
      </c>
      <c r="AI277" s="105" t="s">
        <v>149</v>
      </c>
      <c r="AJ277" s="105" t="s">
        <v>114</v>
      </c>
      <c r="AK277" s="443" t="s">
        <v>149</v>
      </c>
      <c r="AL277" s="105" t="s">
        <v>102</v>
      </c>
      <c r="AM277" s="105" t="s">
        <v>115</v>
      </c>
      <c r="AN277" s="105" t="s">
        <v>149</v>
      </c>
      <c r="AO277" s="105" t="s">
        <v>149</v>
      </c>
      <c r="AP277" s="87" t="s">
        <v>16294</v>
      </c>
      <c r="AQ277" s="87" t="s">
        <v>15920</v>
      </c>
      <c r="AR277" s="87" t="s">
        <v>16295</v>
      </c>
      <c r="AS277" s="87" t="s">
        <v>15921</v>
      </c>
      <c r="AT277" s="87" t="s">
        <v>15718</v>
      </c>
      <c r="AU277" s="87" t="s">
        <v>15717</v>
      </c>
      <c r="AV277" s="87" t="s">
        <v>15720</v>
      </c>
      <c r="AW277" s="458">
        <v>2</v>
      </c>
      <c r="AX277" s="630" t="str">
        <f t="shared" si="156"/>
        <v/>
      </c>
      <c r="AY277" s="630" t="str">
        <f t="shared" si="157"/>
        <v/>
      </c>
      <c r="AZ277" s="630" t="str">
        <f t="shared" si="158"/>
        <v/>
      </c>
      <c r="BA277" s="3"/>
      <c r="BB277" s="3"/>
      <c r="BC277" s="3"/>
      <c r="BD277" s="3"/>
      <c r="BE277" s="3"/>
      <c r="BF277" s="3"/>
      <c r="BG277" s="3"/>
      <c r="BH277" s="3"/>
      <c r="BI277" s="3"/>
      <c r="BJ277" s="3"/>
      <c r="BK277" s="3"/>
      <c r="BL277" s="3"/>
      <c r="BM277" s="3"/>
      <c r="BN277" s="3"/>
      <c r="BP277" s="3"/>
      <c r="BQ277" s="3"/>
      <c r="BR277" s="3"/>
      <c r="BS277" s="3"/>
      <c r="BT277" s="3"/>
      <c r="BU277" s="3"/>
      <c r="BV277" s="3"/>
      <c r="BW277" s="3"/>
      <c r="BX277" s="3" t="str">
        <f>IF(Province="Principauté de Sartosa","Ferme (culture) de Sartosa","")</f>
        <v/>
      </c>
      <c r="BY277" t="str">
        <f t="shared" si="155"/>
        <v/>
      </c>
      <c r="BZ277" s="83" t="str">
        <f t="shared" si="147"/>
        <v/>
      </c>
      <c r="CA277" s="83" t="str">
        <f t="shared" si="148"/>
        <v/>
      </c>
      <c r="CB277" s="530" t="str">
        <f t="shared" si="149"/>
        <v/>
      </c>
      <c r="CG277" s="3" t="s">
        <v>6330</v>
      </c>
      <c r="CH277" s="3" t="s">
        <v>6122</v>
      </c>
      <c r="CI277" s="3"/>
      <c r="CJ277" s="3"/>
      <c r="CK277" s="3" t="s">
        <v>6849</v>
      </c>
      <c r="CM277" t="s">
        <v>10412</v>
      </c>
      <c r="CN277" s="3"/>
      <c r="CO277" s="83" t="str">
        <f>CONCATENATE("Parkin",IF(AND('page 1'!M13="Féminin",Pays="Norsca"),"dottir",IF(AND('page 1'!M13="Masculin",Pays="Norsca"),"son",IF(AND('page 1'!M13="Féminin",Pays="Kislev"),"ovna",IF(AND('page 1'!M13="Masculin",Pays="Kislev"),"sky","")))))</f>
        <v>Parkin</v>
      </c>
      <c r="CP277" s="3"/>
      <c r="CQ277" s="3"/>
      <c r="CR277" s="3" t="s">
        <v>13644</v>
      </c>
      <c r="CS277" s="3"/>
      <c r="CT277" s="3"/>
      <c r="CU277" s="3"/>
      <c r="CV277" s="3"/>
      <c r="CW277" s="3"/>
      <c r="CX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U277" s="25" t="str">
        <f>IF(AND(OR(Dieu="Slaanesh",Dieu="Qu’aph",Dieu="Loesh",Dieu="Takchaka",Dieu="Shornaal",Dieu="Banzaïgen"),SelectRace="Nain"),"Culte de Gorlaz le Doré","")</f>
        <v/>
      </c>
      <c r="EV277" s="83" t="str">
        <f t="shared" si="146"/>
        <v/>
      </c>
      <c r="EW277" s="83" t="str">
        <f t="shared" si="150"/>
        <v/>
      </c>
      <c r="EX277" s="530" t="str">
        <f t="shared" si="151"/>
        <v/>
      </c>
      <c r="EY277" s="177" t="s">
        <v>14959</v>
      </c>
      <c r="EZ277" s="530" t="s">
        <v>14960</v>
      </c>
      <c r="FB277" s="83" t="s">
        <v>7391</v>
      </c>
      <c r="FC277" s="133" t="s">
        <v>5751</v>
      </c>
      <c r="FD277" s="83" t="s">
        <v>7365</v>
      </c>
      <c r="FE277" s="849">
        <v>109</v>
      </c>
      <c r="FF277">
        <v>37</v>
      </c>
      <c r="FG277">
        <v>35</v>
      </c>
      <c r="FH277">
        <v>32</v>
      </c>
      <c r="FI277">
        <v>37</v>
      </c>
      <c r="FJ277" s="10">
        <v>46</v>
      </c>
      <c r="FK277">
        <v>35</v>
      </c>
      <c r="FL277">
        <v>35</v>
      </c>
      <c r="FM277" s="62">
        <v>30</v>
      </c>
      <c r="FN277" s="88">
        <v>1</v>
      </c>
      <c r="FO277" s="88">
        <v>13</v>
      </c>
      <c r="FP277" s="164">
        <f>ROUNDDOWN(FH277/10,0)</f>
        <v>3</v>
      </c>
      <c r="FQ277" s="164">
        <f>ROUNDDOWN(FI277/10,0)</f>
        <v>3</v>
      </c>
      <c r="FR277" s="682">
        <v>5</v>
      </c>
      <c r="FS277" s="88">
        <v>0</v>
      </c>
      <c r="FT277" s="88">
        <v>0</v>
      </c>
      <c r="FU277" s="165">
        <v>0</v>
      </c>
      <c r="FV277" s="83" t="s">
        <v>17217</v>
      </c>
      <c r="FW277" s="83" t="s">
        <v>7393</v>
      </c>
      <c r="FX277" s="530" t="s">
        <v>7667</v>
      </c>
      <c r="GF277" t="s">
        <v>8283</v>
      </c>
    </row>
    <row r="278" spans="8:188" ht="13.2" customHeight="1">
      <c r="H278" s="3"/>
      <c r="I278" s="3"/>
      <c r="J278" s="3"/>
      <c r="K278" s="3"/>
      <c r="L278" s="3"/>
      <c r="M278" s="651"/>
      <c r="N278" s="3"/>
      <c r="O278" s="3"/>
      <c r="P278" s="3"/>
      <c r="Q278" s="3"/>
      <c r="R278" s="651"/>
      <c r="S278" s="83" t="str">
        <f>IF(CareerType=Y278,"Pisteur",IF(AllCareers="X","Pisteur",IF(Selectsousrace="","",IF(FirstCareer="1ère carrière","",IF(SelectRace="skaven","Pisteur",IF(OR(SelectRace="homme-bête",SelectRace="peau-verte",SelectRace="créature du chaos",SelectRace="Homme-lézard"),"","Pisteur"))))))</f>
        <v/>
      </c>
      <c r="T278" s="106">
        <f t="shared" si="145"/>
        <v>1</v>
      </c>
      <c r="U278" s="693" t="str">
        <f t="shared" si="152"/>
        <v/>
      </c>
      <c r="V278" s="693" t="str">
        <f t="shared" si="153"/>
        <v/>
      </c>
      <c r="W278" s="693" t="str">
        <f t="shared" si="154"/>
        <v/>
      </c>
      <c r="X278" s="47" t="s">
        <v>2153</v>
      </c>
      <c r="Y278" s="743" t="s">
        <v>7134</v>
      </c>
      <c r="Z278" s="55" t="s">
        <v>2200</v>
      </c>
      <c r="AA278" s="47">
        <v>80</v>
      </c>
      <c r="AB278" s="47" t="s">
        <v>2397</v>
      </c>
      <c r="AC278" s="47">
        <v>183</v>
      </c>
      <c r="AD278" s="15" t="s">
        <v>100</v>
      </c>
      <c r="AE278" s="15" t="s">
        <v>100</v>
      </c>
      <c r="AF278" s="15" t="s">
        <v>98</v>
      </c>
      <c r="AG278" s="15" t="s">
        <v>98</v>
      </c>
      <c r="AH278" s="15" t="s">
        <v>101</v>
      </c>
      <c r="AI278" s="15" t="s">
        <v>100</v>
      </c>
      <c r="AJ278" s="15" t="s">
        <v>101</v>
      </c>
      <c r="AK278" s="18" t="s">
        <v>149</v>
      </c>
      <c r="AL278" s="15" t="s">
        <v>102</v>
      </c>
      <c r="AM278" s="15" t="s">
        <v>112</v>
      </c>
      <c r="AN278" s="15" t="s">
        <v>149</v>
      </c>
      <c r="AO278" s="15" t="s">
        <v>149</v>
      </c>
      <c r="AP278" s="87" t="s">
        <v>16569</v>
      </c>
      <c r="AQ278" s="87" t="s">
        <v>15887</v>
      </c>
      <c r="AR278" s="87" t="s">
        <v>9997</v>
      </c>
      <c r="AS278" s="87" t="s">
        <v>734</v>
      </c>
      <c r="AT278" s="87" t="s">
        <v>4775</v>
      </c>
      <c r="AU278" s="87" t="s">
        <v>5362</v>
      </c>
      <c r="AV278" s="87" t="s">
        <v>4650</v>
      </c>
      <c r="AW278" s="457">
        <v>0</v>
      </c>
      <c r="AX278" s="630" t="str">
        <f t="shared" si="156"/>
        <v/>
      </c>
      <c r="AY278" s="630" t="str">
        <f t="shared" si="157"/>
        <v/>
      </c>
      <c r="AZ278" s="630" t="str">
        <f t="shared" si="158"/>
        <v/>
      </c>
      <c r="BA278" s="3"/>
      <c r="BB278" s="3"/>
      <c r="BC278" s="3"/>
      <c r="BD278" s="3"/>
      <c r="BE278" s="3"/>
      <c r="BF278" s="3"/>
      <c r="BG278" s="3"/>
      <c r="BH278" s="3"/>
      <c r="BI278" s="3"/>
      <c r="BJ278" s="3"/>
      <c r="BK278" s="3"/>
      <c r="BL278" s="3"/>
      <c r="BM278" s="3"/>
      <c r="BN278" s="3"/>
      <c r="BP278" s="3"/>
      <c r="BQ278" s="3"/>
      <c r="BR278" s="3"/>
      <c r="BS278" s="3"/>
      <c r="BT278" s="3"/>
      <c r="BU278" s="3"/>
      <c r="BV278" s="3"/>
      <c r="BW278" s="3"/>
      <c r="BX278" s="3" t="str">
        <f>IF(Province="Principauté de Tobaro","Ferme (culture) de Tobaro","")</f>
        <v/>
      </c>
      <c r="BY278" t="str">
        <f t="shared" si="155"/>
        <v/>
      </c>
      <c r="BZ278" s="83" t="str">
        <f t="shared" si="147"/>
        <v/>
      </c>
      <c r="CA278" s="83" t="str">
        <f t="shared" si="148"/>
        <v/>
      </c>
      <c r="CB278" s="530" t="str">
        <f t="shared" si="149"/>
        <v/>
      </c>
      <c r="CG278" s="3" t="s">
        <v>6331</v>
      </c>
      <c r="CH278" s="3" t="s">
        <v>918</v>
      </c>
      <c r="CI278" s="3"/>
      <c r="CJ278" s="3"/>
      <c r="CK278" s="3" t="s">
        <v>6925</v>
      </c>
      <c r="CM278" s="3" t="s">
        <v>6663</v>
      </c>
      <c r="CN278" s="3"/>
      <c r="CO278" s="3" t="s">
        <v>11053</v>
      </c>
      <c r="CP278" s="3"/>
      <c r="CQ278" s="3"/>
      <c r="CR278" s="3" t="s">
        <v>13645</v>
      </c>
      <c r="CS278" s="3"/>
      <c r="CT278" s="3"/>
      <c r="CU278" s="3"/>
      <c r="CV278" s="3"/>
      <c r="CW278" s="3"/>
      <c r="CX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U278" s="25" t="str">
        <f>IF(SelectRace="Nain","Confrérie de la Barbe Fourche","")</f>
        <v/>
      </c>
      <c r="EV278" s="83" t="str">
        <f t="shared" si="146"/>
        <v/>
      </c>
      <c r="EW278" s="83" t="str">
        <f t="shared" si="150"/>
        <v/>
      </c>
      <c r="EX278" s="530" t="str">
        <f t="shared" si="151"/>
        <v/>
      </c>
      <c r="EY278" s="177" t="s">
        <v>5621</v>
      </c>
      <c r="EZ278" s="530" t="s">
        <v>15013</v>
      </c>
      <c r="FB278" s="83" t="s">
        <v>7392</v>
      </c>
      <c r="FC278" s="133" t="s">
        <v>5751</v>
      </c>
      <c r="FD278" s="83" t="s">
        <v>7365</v>
      </c>
      <c r="FE278" s="849">
        <v>109</v>
      </c>
      <c r="FF278">
        <v>37</v>
      </c>
      <c r="FG278">
        <v>35</v>
      </c>
      <c r="FH278">
        <v>32</v>
      </c>
      <c r="FI278">
        <v>37</v>
      </c>
      <c r="FJ278" s="10">
        <v>46</v>
      </c>
      <c r="FK278">
        <v>35</v>
      </c>
      <c r="FL278">
        <v>35</v>
      </c>
      <c r="FM278" s="165">
        <v>45</v>
      </c>
      <c r="FN278" s="88">
        <v>1</v>
      </c>
      <c r="FO278" s="88">
        <v>13</v>
      </c>
      <c r="FP278" s="164">
        <f>ROUNDDOWN(FH278/10,0)</f>
        <v>3</v>
      </c>
      <c r="FQ278" s="164">
        <f>ROUNDDOWN(FI278/10,0)</f>
        <v>3</v>
      </c>
      <c r="FR278" s="682">
        <v>5</v>
      </c>
      <c r="FS278" s="88">
        <v>0</v>
      </c>
      <c r="FT278" s="88">
        <v>0</v>
      </c>
      <c r="FU278" s="165">
        <v>0</v>
      </c>
      <c r="FV278" s="83" t="s">
        <v>17218</v>
      </c>
      <c r="FW278" s="83" t="s">
        <v>7394</v>
      </c>
      <c r="FX278" s="530" t="s">
        <v>7666</v>
      </c>
      <c r="GF278" t="s">
        <v>8291</v>
      </c>
    </row>
    <row r="279" spans="8:188" ht="13.2" customHeight="1">
      <c r="H279" s="3"/>
      <c r="I279" s="3"/>
      <c r="J279" s="3"/>
      <c r="K279" s="3"/>
      <c r="L279" s="3"/>
      <c r="M279" s="651"/>
      <c r="N279" s="3"/>
      <c r="O279" s="3"/>
      <c r="P279" s="3"/>
      <c r="Q279" s="3"/>
      <c r="R279" s="651"/>
      <c r="S279" s="83" t="str">
        <f>IF(CareerType=Y279,"Pistolier/Foudroyeur",IF(AllCareers="X","Pistolier/Foudroyeur",IF(FirstCareer="1ère carrière","",IF(SelectRace="skaven","Pistolier",IF(SelectRace="Nain","Foudroyeur",IF(Selectsousrace="","",IF(OR(SelectRace="homme-bête",SelectRace="peau-verte",SelectRace="créature du chaos",SelectRace="Homme-lézard"),"","Pistolier")))))))</f>
        <v/>
      </c>
      <c r="T279" s="106">
        <f t="shared" si="145"/>
        <v>1</v>
      </c>
      <c r="U279" s="693" t="str">
        <f t="shared" si="152"/>
        <v/>
      </c>
      <c r="V279" s="693" t="str">
        <f t="shared" si="153"/>
        <v/>
      </c>
      <c r="W279" s="693" t="str">
        <f t="shared" si="154"/>
        <v/>
      </c>
      <c r="X279" s="47" t="s">
        <v>2153</v>
      </c>
      <c r="Y279" s="743" t="s">
        <v>7130</v>
      </c>
      <c r="Z279" s="55" t="s">
        <v>2200</v>
      </c>
      <c r="AA279" s="47">
        <v>81</v>
      </c>
      <c r="AB279" s="47" t="s">
        <v>12288</v>
      </c>
      <c r="AC279" s="47">
        <v>164</v>
      </c>
      <c r="AD279" s="15" t="s">
        <v>100</v>
      </c>
      <c r="AE279" s="15" t="s">
        <v>100</v>
      </c>
      <c r="AF279" s="15" t="s">
        <v>98</v>
      </c>
      <c r="AG279" s="15" t="s">
        <v>98</v>
      </c>
      <c r="AH279" s="15" t="s">
        <v>101</v>
      </c>
      <c r="AI279" s="15" t="s">
        <v>149</v>
      </c>
      <c r="AJ279" s="15" t="s">
        <v>101</v>
      </c>
      <c r="AK279" s="18" t="s">
        <v>101</v>
      </c>
      <c r="AL279" s="15" t="s">
        <v>102</v>
      </c>
      <c r="AM279" s="15" t="s">
        <v>103</v>
      </c>
      <c r="AN279" s="15" t="s">
        <v>149</v>
      </c>
      <c r="AO279" s="15" t="s">
        <v>149</v>
      </c>
      <c r="AP279" s="22" t="s">
        <v>14864</v>
      </c>
      <c r="AQ279" s="87" t="s">
        <v>5838</v>
      </c>
      <c r="AR279" s="22" t="s">
        <v>12279</v>
      </c>
      <c r="AS279" s="87" t="s">
        <v>8780</v>
      </c>
      <c r="AT279" s="22" t="s">
        <v>3502</v>
      </c>
      <c r="AU279" s="87" t="s">
        <v>5369</v>
      </c>
      <c r="AV279" s="87" t="s">
        <v>4625</v>
      </c>
      <c r="AW279" s="457">
        <v>0</v>
      </c>
      <c r="AX279" s="630" t="str">
        <f t="shared" si="156"/>
        <v/>
      </c>
      <c r="AY279" s="630" t="str">
        <f t="shared" si="157"/>
        <v/>
      </c>
      <c r="AZ279" s="630" t="str">
        <f t="shared" si="158"/>
        <v/>
      </c>
      <c r="BA279" s="3"/>
      <c r="BB279" s="3"/>
      <c r="BC279" s="3"/>
      <c r="BD279" s="3"/>
      <c r="BE279" s="3"/>
      <c r="BF279" s="3"/>
      <c r="BG279" s="3"/>
      <c r="BH279" s="3"/>
      <c r="BI279" s="3"/>
      <c r="BJ279" s="3"/>
      <c r="BK279" s="3"/>
      <c r="BL279" s="3"/>
      <c r="BM279" s="3"/>
      <c r="BN279" s="3"/>
      <c r="BP279" s="3"/>
      <c r="BQ279" s="3"/>
      <c r="BR279" s="3"/>
      <c r="BS279" s="3"/>
      <c r="BT279" s="3"/>
      <c r="BU279" s="3"/>
      <c r="BV279" s="3"/>
      <c r="BW279" s="3"/>
      <c r="BX279" s="3" t="str">
        <f>IF(Province="République de Verezzo","Ferme (culture) de Verezzo","")</f>
        <v/>
      </c>
      <c r="BY279" t="str">
        <f t="shared" si="155"/>
        <v/>
      </c>
      <c r="BZ279" s="83" t="str">
        <f t="shared" si="147"/>
        <v/>
      </c>
      <c r="CA279" s="83" t="str">
        <f t="shared" si="148"/>
        <v/>
      </c>
      <c r="CB279" s="530" t="str">
        <f t="shared" si="149"/>
        <v/>
      </c>
      <c r="CG279" s="3" t="s">
        <v>3143</v>
      </c>
      <c r="CH279" s="3" t="s">
        <v>6121</v>
      </c>
      <c r="CI279" s="3"/>
      <c r="CJ279" s="3"/>
      <c r="CK279" s="3" t="s">
        <v>6888</v>
      </c>
      <c r="CM279" t="s">
        <v>10413</v>
      </c>
      <c r="CN279" s="3"/>
      <c r="CO279" s="3" t="s">
        <v>11054</v>
      </c>
      <c r="CP279" s="3"/>
      <c r="CQ279" s="3"/>
      <c r="CR279" t="s">
        <v>13646</v>
      </c>
      <c r="CS279" s="3"/>
      <c r="CT279" s="3"/>
      <c r="CU279" s="3"/>
      <c r="CV279" s="3"/>
      <c r="CW279" s="3"/>
      <c r="CX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U279" s="25" t="str">
        <f>IF(OR(Dieu="Slaanesh",Dieu="Qu’aph",Dieu="Loesh",Dieu="Takchaka",Dieu="Shornaal",Dieu="Banzaïgen"),"Culte du Serpent Pourpre","")</f>
        <v/>
      </c>
      <c r="EV279" s="83" t="str">
        <f t="shared" si="146"/>
        <v/>
      </c>
      <c r="EW279" s="83" t="str">
        <f t="shared" si="150"/>
        <v/>
      </c>
      <c r="EX279" s="530" t="str">
        <f t="shared" si="151"/>
        <v/>
      </c>
      <c r="EY279" s="177" t="s">
        <v>15060</v>
      </c>
      <c r="EZ279" s="530" t="s">
        <v>15061</v>
      </c>
      <c r="FB279" s="83" t="s">
        <v>5674</v>
      </c>
      <c r="FC279" s="133" t="s">
        <v>5751</v>
      </c>
      <c r="FD279" s="83" t="s">
        <v>7365</v>
      </c>
      <c r="FE279" s="849">
        <v>106</v>
      </c>
      <c r="FF279">
        <v>48</v>
      </c>
      <c r="FG279">
        <v>44</v>
      </c>
      <c r="FH279">
        <v>35</v>
      </c>
      <c r="FI279">
        <v>36</v>
      </c>
      <c r="FJ279" s="10">
        <v>27</v>
      </c>
      <c r="FK279">
        <v>27</v>
      </c>
      <c r="FL279">
        <v>32</v>
      </c>
      <c r="FM279" s="165">
        <v>28</v>
      </c>
      <c r="FN279" s="88">
        <v>2</v>
      </c>
      <c r="FO279" s="88">
        <v>12</v>
      </c>
      <c r="FP279" s="164">
        <f>ROUNDDOWN(FH279/10,0)</f>
        <v>3</v>
      </c>
      <c r="FQ279" s="164">
        <f>ROUNDDOWN(FI279/10,0)</f>
        <v>3</v>
      </c>
      <c r="FR279" s="682">
        <v>4</v>
      </c>
      <c r="FS279" s="88">
        <v>0</v>
      </c>
      <c r="FT279" s="88">
        <v>0</v>
      </c>
      <c r="FU279" s="165">
        <v>0</v>
      </c>
      <c r="FV279" s="83" t="s">
        <v>7429</v>
      </c>
      <c r="FW279" s="83" t="s">
        <v>7382</v>
      </c>
      <c r="FX279" s="530" t="s">
        <v>7668</v>
      </c>
      <c r="GF279" t="s">
        <v>8284</v>
      </c>
    </row>
    <row r="280" spans="8:188" ht="13.2" customHeight="1">
      <c r="H280" s="3"/>
      <c r="I280" s="3"/>
      <c r="J280" s="3"/>
      <c r="K280" s="3"/>
      <c r="L280" s="3"/>
      <c r="M280" s="651"/>
      <c r="N280" s="3"/>
      <c r="O280" s="3"/>
      <c r="P280" s="3"/>
      <c r="Q280" s="3"/>
      <c r="R280" s="651"/>
      <c r="S280" s="83" t="str">
        <f>IF(CareerType=Y280,"Plaideur",IF(AllCareers="X","Plaideur",IF(OR(SelectRace="homme-bête",SelectRace="peau-verte",SelectRace="créature du chaos",SelectRace="Homme-lézard",SelectRace="skaven"),"",IF(Pays="Désolations du Chaos","",IF(Pays="Bretonnie","",IF(Pays="Norsca","",IF(SelectRace="Halfling","Plaideur",IF(SelectRace="Humain","Plaideur",""))))))))</f>
        <v/>
      </c>
      <c r="T280" s="106">
        <f t="shared" si="145"/>
        <v>0</v>
      </c>
      <c r="U280" s="693" t="str">
        <f t="shared" si="152"/>
        <v/>
      </c>
      <c r="V280" s="693" t="str">
        <f t="shared" si="153"/>
        <v/>
      </c>
      <c r="W280" s="693" t="str">
        <f t="shared" si="154"/>
        <v/>
      </c>
      <c r="X280" s="47" t="s">
        <v>2160</v>
      </c>
      <c r="Y280" s="743" t="s">
        <v>7131</v>
      </c>
      <c r="Z280" s="55" t="s">
        <v>2249</v>
      </c>
      <c r="AA280" s="47">
        <v>16</v>
      </c>
      <c r="AB280" s="47" t="s">
        <v>2398</v>
      </c>
      <c r="AC280" s="47">
        <v>132</v>
      </c>
      <c r="AD280" s="15" t="s">
        <v>149</v>
      </c>
      <c r="AE280" s="15" t="s">
        <v>149</v>
      </c>
      <c r="AF280" s="15" t="s">
        <v>149</v>
      </c>
      <c r="AG280" s="15" t="s">
        <v>149</v>
      </c>
      <c r="AH280" s="15" t="s">
        <v>114</v>
      </c>
      <c r="AI280" s="15" t="s">
        <v>98</v>
      </c>
      <c r="AJ280" s="15" t="s">
        <v>98</v>
      </c>
      <c r="AK280" s="18" t="s">
        <v>98</v>
      </c>
      <c r="AL280" s="15" t="s">
        <v>149</v>
      </c>
      <c r="AM280" s="15" t="s">
        <v>113</v>
      </c>
      <c r="AN280" s="15" t="s">
        <v>149</v>
      </c>
      <c r="AO280" s="15" t="s">
        <v>149</v>
      </c>
      <c r="AP280" s="22" t="s">
        <v>15138</v>
      </c>
      <c r="AQ280" s="87" t="s">
        <v>5659</v>
      </c>
      <c r="AR280" s="87" t="s">
        <v>15856</v>
      </c>
      <c r="AS280" s="87" t="s">
        <v>5575</v>
      </c>
      <c r="AT280" s="22" t="s">
        <v>3503</v>
      </c>
      <c r="AU280" s="87" t="s">
        <v>7223</v>
      </c>
      <c r="AV280" s="87" t="s">
        <v>4779</v>
      </c>
      <c r="AW280" s="457">
        <v>0</v>
      </c>
      <c r="AX280" s="630" t="str">
        <f t="shared" si="156"/>
        <v/>
      </c>
      <c r="AY280" s="630" t="str">
        <f t="shared" si="157"/>
        <v/>
      </c>
      <c r="AZ280" s="630" t="str">
        <f t="shared" si="158"/>
        <v/>
      </c>
      <c r="BA280" s="3"/>
      <c r="BB280" s="3"/>
      <c r="BC280" s="3"/>
      <c r="BD280" s="3"/>
      <c r="BE280" s="3"/>
      <c r="BF280" s="3"/>
      <c r="BG280" s="3"/>
      <c r="BH280" s="3"/>
      <c r="BI280" s="3"/>
      <c r="BJ280" s="3"/>
      <c r="BK280" s="3"/>
      <c r="BL280" s="3"/>
      <c r="BM280" s="3"/>
      <c r="BN280" s="3"/>
      <c r="BP280" s="3"/>
      <c r="BQ280" s="3"/>
      <c r="BR280" s="3"/>
      <c r="BS280" s="3"/>
      <c r="BT280" s="3"/>
      <c r="BU280" s="3"/>
      <c r="BV280" s="3"/>
      <c r="BW280" s="3"/>
      <c r="BX280" s="3" t="str">
        <f>IF(Province="Principauté de Luccini","Ferme (élevage) de Luccini","")</f>
        <v/>
      </c>
      <c r="BY280" t="str">
        <f t="shared" si="155"/>
        <v/>
      </c>
      <c r="BZ280" s="83" t="str">
        <f t="shared" si="147"/>
        <v/>
      </c>
      <c r="CA280" s="83" t="str">
        <f t="shared" si="148"/>
        <v/>
      </c>
      <c r="CB280" s="530" t="str">
        <f t="shared" si="149"/>
        <v/>
      </c>
      <c r="CG280" s="3" t="s">
        <v>6332</v>
      </c>
      <c r="CH280" s="3" t="s">
        <v>6123</v>
      </c>
      <c r="CI280" s="3"/>
      <c r="CJ280" s="3"/>
      <c r="CK280" s="3" t="s">
        <v>6762</v>
      </c>
      <c r="CM280" t="s">
        <v>10414</v>
      </c>
      <c r="CN280" s="3"/>
      <c r="CO280" s="3" t="s">
        <v>11052</v>
      </c>
      <c r="CP280" s="3"/>
      <c r="CQ280" s="3"/>
      <c r="CR280" s="3" t="s">
        <v>13647</v>
      </c>
      <c r="CS280" s="3"/>
      <c r="CT280" s="3"/>
      <c r="CU280" s="3"/>
      <c r="CV280" s="3"/>
      <c r="CW280" s="3"/>
      <c r="CX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U280" s="25" t="str">
        <f>IF(OR(Dieu="Nurgle",Dieu="Hôsô",Dieu="Râvana",Dieu="Nieglen",Dieu="Ualapt"),"Culte des Trois Lunes","")</f>
        <v/>
      </c>
      <c r="EV280" s="83" t="str">
        <f t="shared" si="146"/>
        <v/>
      </c>
      <c r="EW280" s="83" t="str">
        <f t="shared" si="150"/>
        <v/>
      </c>
      <c r="EX280" s="530" t="str">
        <f t="shared" si="151"/>
        <v/>
      </c>
      <c r="EY280" s="177" t="s">
        <v>15149</v>
      </c>
      <c r="EZ280" s="530" t="s">
        <v>15150</v>
      </c>
      <c r="FB280" s="83" t="s">
        <v>15627</v>
      </c>
      <c r="FC280" s="133" t="s">
        <v>5751</v>
      </c>
      <c r="FD280" s="85" t="s">
        <v>15548</v>
      </c>
      <c r="FE280" s="849">
        <v>112</v>
      </c>
      <c r="FF280" s="83">
        <v>41</v>
      </c>
      <c r="FG280">
        <v>0</v>
      </c>
      <c r="FH280">
        <v>31</v>
      </c>
      <c r="FI280">
        <v>32</v>
      </c>
      <c r="FJ280" s="10">
        <v>33</v>
      </c>
      <c r="FK280">
        <v>12</v>
      </c>
      <c r="FL280">
        <v>69</v>
      </c>
      <c r="FM280" s="165">
        <v>10</v>
      </c>
      <c r="FN280" s="88">
        <v>1</v>
      </c>
      <c r="FO280" s="88">
        <v>16</v>
      </c>
      <c r="FP280" s="691">
        <f>ROUNDDOWN(FH280/10,0)</f>
        <v>3</v>
      </c>
      <c r="FQ280" s="691">
        <f>ROUNDDOWN(FI280/10,0)</f>
        <v>3</v>
      </c>
      <c r="FR280" s="10">
        <v>3</v>
      </c>
      <c r="FS280" s="88">
        <v>4</v>
      </c>
      <c r="FT280" s="88">
        <v>5</v>
      </c>
      <c r="FU280" s="165">
        <v>0</v>
      </c>
      <c r="FV280" s="83" t="s">
        <v>16453</v>
      </c>
      <c r="FW280" s="83" t="s">
        <v>15628</v>
      </c>
      <c r="FX280" s="530" t="s">
        <v>7659</v>
      </c>
      <c r="GF280" t="s">
        <v>8292</v>
      </c>
    </row>
    <row r="281" spans="8:188" ht="13.2" customHeight="1">
      <c r="H281" s="3"/>
      <c r="I281" s="3"/>
      <c r="J281" s="3"/>
      <c r="K281" s="3"/>
      <c r="L281" s="3"/>
      <c r="M281" s="651"/>
      <c r="N281" s="3"/>
      <c r="O281" s="3"/>
      <c r="P281" s="3"/>
      <c r="Q281" s="3"/>
      <c r="R281" s="651"/>
      <c r="S281" s="83" t="str">
        <f>IF(CareerType=Y281,"Politicien",IF(AllCareers="X","Politicien",IF(Selectsousrace="","",IF(OR(SelectRace="homme-bête",SelectRace="peau-verte",SelectRace="créature du chaos",SelectRace="Homme-lézard",SelectRace="skaven"),"",IF(FirstCareer="1ère carrière","","Politicien")))))</f>
        <v/>
      </c>
      <c r="T281" s="106">
        <f t="shared" si="145"/>
        <v>1</v>
      </c>
      <c r="U281" s="693" t="str">
        <f t="shared" si="152"/>
        <v/>
      </c>
      <c r="V281" s="693" t="str">
        <f t="shared" si="153"/>
        <v/>
      </c>
      <c r="W281" s="693" t="str">
        <f t="shared" si="154"/>
        <v/>
      </c>
      <c r="X281" s="47" t="s">
        <v>2153</v>
      </c>
      <c r="Y281" s="743" t="s">
        <v>7132</v>
      </c>
      <c r="Z281" s="55" t="s">
        <v>2200</v>
      </c>
      <c r="AA281" s="47">
        <v>81</v>
      </c>
      <c r="AB281" s="47" t="s">
        <v>2399</v>
      </c>
      <c r="AC281" s="47">
        <v>166</v>
      </c>
      <c r="AD281" s="20" t="s">
        <v>114</v>
      </c>
      <c r="AE281" s="20" t="s">
        <v>114</v>
      </c>
      <c r="AF281" s="20" t="s">
        <v>114</v>
      </c>
      <c r="AG281" s="15" t="s">
        <v>98</v>
      </c>
      <c r="AH281" s="15" t="s">
        <v>149</v>
      </c>
      <c r="AI281" s="15" t="s">
        <v>100</v>
      </c>
      <c r="AJ281" s="15" t="s">
        <v>98</v>
      </c>
      <c r="AK281" s="18" t="s">
        <v>100</v>
      </c>
      <c r="AL281" s="15" t="s">
        <v>149</v>
      </c>
      <c r="AM281" s="15" t="s">
        <v>103</v>
      </c>
      <c r="AN281" s="15" t="s">
        <v>149</v>
      </c>
      <c r="AO281" s="15" t="s">
        <v>149</v>
      </c>
      <c r="AP281" s="87" t="s">
        <v>15855</v>
      </c>
      <c r="AQ281" s="87" t="s">
        <v>5575</v>
      </c>
      <c r="AR281" s="87" t="s">
        <v>10109</v>
      </c>
      <c r="AS281" s="87" t="s">
        <v>734</v>
      </c>
      <c r="AT281" s="22" t="s">
        <v>3569</v>
      </c>
      <c r="AU281" s="87" t="s">
        <v>5370</v>
      </c>
      <c r="AV281" s="87" t="s">
        <v>4626</v>
      </c>
      <c r="AW281" s="457">
        <v>0</v>
      </c>
      <c r="AX281" s="630" t="str">
        <f t="shared" si="156"/>
        <v/>
      </c>
      <c r="AY281" s="630" t="str">
        <f t="shared" si="157"/>
        <v/>
      </c>
      <c r="AZ281" s="630" t="str">
        <f t="shared" si="158"/>
        <v/>
      </c>
      <c r="BA281" s="3"/>
      <c r="BC281" s="3"/>
      <c r="BD281" s="3"/>
      <c r="BE281" s="3"/>
      <c r="BF281" s="3"/>
      <c r="BG281" s="3"/>
      <c r="BH281" s="3"/>
      <c r="BI281" s="3"/>
      <c r="BJ281" s="3"/>
      <c r="BK281" s="3"/>
      <c r="BL281" s="3"/>
      <c r="BM281" s="3"/>
      <c r="BN281" s="3"/>
      <c r="BP281" s="3"/>
      <c r="BQ281" s="3"/>
      <c r="BR281" s="3"/>
      <c r="BS281" s="3"/>
      <c r="BT281" s="3"/>
      <c r="BU281" s="3"/>
      <c r="BV281" s="3"/>
      <c r="BW281" s="3"/>
      <c r="BX281" s="3" t="str">
        <f>IF(Province="Principauté de Remas","Ferme (élevage) de Remas","")</f>
        <v/>
      </c>
      <c r="BY281" t="str">
        <f t="shared" si="155"/>
        <v/>
      </c>
      <c r="BZ281" s="83" t="str">
        <f t="shared" si="147"/>
        <v/>
      </c>
      <c r="CA281" s="83" t="str">
        <f t="shared" si="148"/>
        <v/>
      </c>
      <c r="CB281" s="530" t="str">
        <f t="shared" si="149"/>
        <v/>
      </c>
      <c r="CG281" s="3" t="s">
        <v>6333</v>
      </c>
      <c r="CH281" s="3" t="s">
        <v>6124</v>
      </c>
      <c r="CI281" s="3"/>
      <c r="CJ281" s="3"/>
      <c r="CK281" s="3" t="s">
        <v>6808</v>
      </c>
      <c r="CM281" t="s">
        <v>10415</v>
      </c>
      <c r="CN281" s="3"/>
      <c r="CO281" s="3" t="s">
        <v>11062</v>
      </c>
      <c r="CP281" s="3"/>
      <c r="CQ281" s="3"/>
      <c r="CR281" s="3" t="s">
        <v>13648</v>
      </c>
      <c r="CS281" s="3"/>
      <c r="CT281" s="3"/>
      <c r="CU281" s="3"/>
      <c r="CV281" s="3"/>
      <c r="CW281" s="3"/>
      <c r="CX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U281" s="25" t="str">
        <f>IF(OR(Dieu="Nurgle",Dieu="Hôsô",Dieu="Râvana",Dieu="Nieglen",Dieu="Ualapt"),"La Maladie Eternelle","")</f>
        <v/>
      </c>
      <c r="EV281" s="83" t="str">
        <f t="shared" si="146"/>
        <v/>
      </c>
      <c r="EW281" s="83" t="str">
        <f t="shared" si="150"/>
        <v/>
      </c>
      <c r="EX281" s="530" t="str">
        <f t="shared" si="151"/>
        <v/>
      </c>
      <c r="EY281" s="177" t="s">
        <v>17230</v>
      </c>
      <c r="EZ281" s="530" t="s">
        <v>15199</v>
      </c>
      <c r="FB281" s="83" t="s">
        <v>17222</v>
      </c>
      <c r="FC281" s="133" t="s">
        <v>5751</v>
      </c>
      <c r="FD281" s="85" t="s">
        <v>16792</v>
      </c>
      <c r="FF281">
        <v>27</v>
      </c>
      <c r="FG281">
        <v>37</v>
      </c>
      <c r="FH281">
        <v>38</v>
      </c>
      <c r="FI281">
        <v>37</v>
      </c>
      <c r="FJ281" s="10">
        <v>34</v>
      </c>
      <c r="FK281">
        <v>76</v>
      </c>
      <c r="FL281">
        <v>46</v>
      </c>
      <c r="FM281" s="165">
        <v>44</v>
      </c>
      <c r="FN281">
        <v>1</v>
      </c>
      <c r="FO281">
        <v>16</v>
      </c>
      <c r="FP281" s="164">
        <f>ROUNDDOWN(FH281/10,0)</f>
        <v>3</v>
      </c>
      <c r="FQ281" s="691">
        <v>3</v>
      </c>
      <c r="FR281" s="10">
        <v>4</v>
      </c>
      <c r="FS281">
        <v>0</v>
      </c>
      <c r="FT281">
        <v>0</v>
      </c>
      <c r="FU281" s="165">
        <v>3</v>
      </c>
      <c r="FV281" s="83" t="s">
        <v>17223</v>
      </c>
      <c r="FW281" s="83" t="s">
        <v>14728</v>
      </c>
      <c r="FX281" s="530" t="s">
        <v>7666</v>
      </c>
      <c r="GF281" t="s">
        <v>8293</v>
      </c>
    </row>
    <row r="282" spans="8:188" ht="13.2" customHeight="1">
      <c r="H282" s="3"/>
      <c r="I282" s="3"/>
      <c r="J282" s="3"/>
      <c r="K282" s="3"/>
      <c r="L282" s="3"/>
      <c r="M282" s="651"/>
      <c r="N282" s="3"/>
      <c r="O282" s="3"/>
      <c r="P282" s="3"/>
      <c r="Q282" s="3"/>
      <c r="R282" s="651"/>
      <c r="S282" s="83" t="str">
        <f>IF(CareerType=Y281,"Porterune",IF(AllCareers="X","Porterune",IF(SelectRace="Nain","Porterune","")))</f>
        <v/>
      </c>
      <c r="T282" s="106">
        <f t="shared" si="145"/>
        <v>0</v>
      </c>
      <c r="U282" s="693" t="str">
        <f t="shared" si="152"/>
        <v/>
      </c>
      <c r="V282" s="693" t="str">
        <f t="shared" si="153"/>
        <v/>
      </c>
      <c r="W282" s="693" t="str">
        <f t="shared" si="154"/>
        <v/>
      </c>
      <c r="X282" s="47" t="s">
        <v>2160</v>
      </c>
      <c r="Y282" s="743" t="s">
        <v>7131</v>
      </c>
      <c r="Z282" s="55" t="s">
        <v>2200</v>
      </c>
      <c r="AA282" s="47">
        <v>54</v>
      </c>
      <c r="AB282" s="47" t="s">
        <v>2400</v>
      </c>
      <c r="AC282" s="47">
        <v>179</v>
      </c>
      <c r="AD282" s="15" t="s">
        <v>98</v>
      </c>
      <c r="AE282" s="15" t="s">
        <v>149</v>
      </c>
      <c r="AF282" s="20" t="s">
        <v>114</v>
      </c>
      <c r="AG282" s="20" t="s">
        <v>114</v>
      </c>
      <c r="AH282" s="15" t="s">
        <v>98</v>
      </c>
      <c r="AI282" s="20" t="s">
        <v>114</v>
      </c>
      <c r="AJ282" s="20" t="s">
        <v>114</v>
      </c>
      <c r="AK282" s="18" t="s">
        <v>149</v>
      </c>
      <c r="AL282" s="15" t="s">
        <v>149</v>
      </c>
      <c r="AM282" s="15" t="s">
        <v>113</v>
      </c>
      <c r="AN282" s="15" t="s">
        <v>102</v>
      </c>
      <c r="AO282" s="15" t="s">
        <v>149</v>
      </c>
      <c r="AP282" s="22" t="s">
        <v>1249</v>
      </c>
      <c r="AQ282" s="87" t="s">
        <v>5575</v>
      </c>
      <c r="AR282" s="87" t="s">
        <v>12280</v>
      </c>
      <c r="AS282" s="87" t="s">
        <v>734</v>
      </c>
      <c r="AT282" s="22" t="s">
        <v>3504</v>
      </c>
      <c r="AU282" s="87" t="s">
        <v>5341</v>
      </c>
      <c r="AV282" s="87" t="s">
        <v>4580</v>
      </c>
      <c r="AW282" s="457">
        <v>0</v>
      </c>
      <c r="AX282" s="630" t="str">
        <f t="shared" si="156"/>
        <v/>
      </c>
      <c r="AY282" s="630" t="str">
        <f t="shared" si="157"/>
        <v/>
      </c>
      <c r="AZ282" s="630" t="str">
        <f t="shared" si="158"/>
        <v/>
      </c>
      <c r="BB282" s="3"/>
      <c r="BC282" s="3"/>
      <c r="BD282" s="3"/>
      <c r="BE282" s="3"/>
      <c r="BF282" s="3"/>
      <c r="BG282" s="3"/>
      <c r="BH282" s="3"/>
      <c r="BI282" s="3"/>
      <c r="BJ282" s="3"/>
      <c r="BK282" s="3"/>
      <c r="BL282" s="3"/>
      <c r="BM282" s="3"/>
      <c r="BN282" s="3"/>
      <c r="BP282" s="3"/>
      <c r="BQ282" s="3"/>
      <c r="BR282" s="3"/>
      <c r="BS282" s="3"/>
      <c r="BT282" s="3"/>
      <c r="BU282" s="3"/>
      <c r="BV282" s="3"/>
      <c r="BW282" s="3"/>
      <c r="BX282" s="3" t="str">
        <f>IF(Province="Principauté de Sartosa","Ferme (élevage) de Sartosa","")</f>
        <v/>
      </c>
      <c r="BY282" t="str">
        <f t="shared" si="155"/>
        <v/>
      </c>
      <c r="BZ282" s="83" t="str">
        <f t="shared" si="147"/>
        <v/>
      </c>
      <c r="CA282" s="83" t="str">
        <f t="shared" si="148"/>
        <v/>
      </c>
      <c r="CB282" s="530" t="str">
        <f t="shared" si="149"/>
        <v/>
      </c>
      <c r="CG282" s="3" t="s">
        <v>6334</v>
      </c>
      <c r="CH282" s="3" t="s">
        <v>3131</v>
      </c>
      <c r="CI282" s="3"/>
      <c r="CJ282" s="3"/>
      <c r="CK282" s="3" t="s">
        <v>6962</v>
      </c>
      <c r="CM282" t="s">
        <v>10416</v>
      </c>
      <c r="CN282" s="3"/>
      <c r="CO282" s="3" t="s">
        <v>11049</v>
      </c>
      <c r="CP282" s="3"/>
      <c r="CQ282" s="3"/>
      <c r="CR282" s="3" t="s">
        <v>13649</v>
      </c>
      <c r="CS282" s="3"/>
      <c r="CT282" s="3"/>
      <c r="CU282" s="3"/>
      <c r="CV282" s="3"/>
      <c r="CW282" s="3"/>
      <c r="CX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U282" s="177" t="str">
        <f>IF(OR(Pays="Norsca",Pays="Désolations du Chaos",Pays="",Pays="Steppes orientales"),"","Ordre du Voile (de l'Enfant Karl)")</f>
        <v/>
      </c>
      <c r="EV282" s="83" t="str">
        <f t="shared" si="146"/>
        <v/>
      </c>
      <c r="EW282" s="83" t="str">
        <f t="shared" si="150"/>
        <v/>
      </c>
      <c r="EX282" s="530" t="str">
        <f t="shared" si="151"/>
        <v/>
      </c>
      <c r="EY282" s="177" t="s">
        <v>17232</v>
      </c>
      <c r="EZ282" s="530" t="s">
        <v>12150</v>
      </c>
      <c r="FB282" s="83" t="s">
        <v>7404</v>
      </c>
      <c r="FC282" s="133" t="s">
        <v>5751</v>
      </c>
      <c r="FD282" s="83" t="s">
        <v>2200</v>
      </c>
      <c r="FE282" s="849">
        <v>232</v>
      </c>
      <c r="FF282">
        <v>25</v>
      </c>
      <c r="FG282">
        <v>31</v>
      </c>
      <c r="FH282">
        <v>28</v>
      </c>
      <c r="FI282">
        <v>32</v>
      </c>
      <c r="FJ282" s="10">
        <v>38</v>
      </c>
      <c r="FK282">
        <v>42</v>
      </c>
      <c r="FL282">
        <v>30</v>
      </c>
      <c r="FM282" s="165">
        <v>38</v>
      </c>
      <c r="FN282" s="88">
        <v>1</v>
      </c>
      <c r="FO282" s="88">
        <v>12</v>
      </c>
      <c r="FP282" s="164">
        <f>ROUNDDOWN(FH282/10,0)</f>
        <v>2</v>
      </c>
      <c r="FQ282" s="164">
        <f>ROUNDDOWN(FI282/10,0)</f>
        <v>3</v>
      </c>
      <c r="FR282" s="682">
        <v>5</v>
      </c>
      <c r="FS282" s="88">
        <v>0</v>
      </c>
      <c r="FT282" s="88">
        <v>0</v>
      </c>
      <c r="FU282" s="165">
        <v>0</v>
      </c>
      <c r="FV282" s="83" t="s">
        <v>17225</v>
      </c>
      <c r="FW282" s="90" t="s">
        <v>17226</v>
      </c>
      <c r="FX282" s="530" t="s">
        <v>7666</v>
      </c>
      <c r="GF282" t="s">
        <v>7798</v>
      </c>
    </row>
    <row r="283" spans="8:188" ht="13.2" customHeight="1">
      <c r="H283" s="3"/>
      <c r="I283" s="3"/>
      <c r="J283" s="3"/>
      <c r="K283" s="3"/>
      <c r="L283" s="3"/>
      <c r="M283" s="651"/>
      <c r="N283" s="3"/>
      <c r="O283" s="3"/>
      <c r="P283" s="3"/>
      <c r="Q283" s="3"/>
      <c r="R283" s="651"/>
      <c r="S283" s="83" t="str">
        <f>IF(CareerType=Y283,"Prêcheur de rue",IF(AllCareers="X","Prêcheur de rue",IF(OR(Pays="Désolations du Chaos",Pays="Norsca"),"",IF(OR(SelectRace="Halfling",SelectRace="Humain",SelectRace="Vampire"),"Prêcheur de rue",""))))</f>
        <v/>
      </c>
      <c r="T283" s="85">
        <f t="shared" si="145"/>
        <v>0</v>
      </c>
      <c r="U283" s="693" t="str">
        <f t="shared" si="152"/>
        <v/>
      </c>
      <c r="V283" s="693" t="str">
        <f t="shared" si="153"/>
        <v/>
      </c>
      <c r="W283" s="693" t="str">
        <f t="shared" si="154"/>
        <v/>
      </c>
      <c r="X283" s="47" t="s">
        <v>2160</v>
      </c>
      <c r="Y283" s="743" t="s">
        <v>7133</v>
      </c>
      <c r="Z283" s="56" t="s">
        <v>2458</v>
      </c>
      <c r="AA283" s="48"/>
      <c r="AB283" s="89" t="s">
        <v>9305</v>
      </c>
      <c r="AC283" s="48"/>
      <c r="AD283" s="20" t="s">
        <v>114</v>
      </c>
      <c r="AE283" s="15" t="s">
        <v>149</v>
      </c>
      <c r="AF283" s="15" t="s">
        <v>149</v>
      </c>
      <c r="AG283" s="20" t="s">
        <v>114</v>
      </c>
      <c r="AH283" s="20" t="s">
        <v>114</v>
      </c>
      <c r="AI283" s="20" t="s">
        <v>114</v>
      </c>
      <c r="AJ283" s="15" t="s">
        <v>98</v>
      </c>
      <c r="AK283" s="18" t="s">
        <v>98</v>
      </c>
      <c r="AL283" s="15" t="s">
        <v>149</v>
      </c>
      <c r="AM283" s="15" t="s">
        <v>103</v>
      </c>
      <c r="AN283" s="15" t="s">
        <v>149</v>
      </c>
      <c r="AO283" s="15" t="s">
        <v>149</v>
      </c>
      <c r="AP283" s="87" t="s">
        <v>10003</v>
      </c>
      <c r="AQ283" s="87" t="s">
        <v>15922</v>
      </c>
      <c r="AR283" s="87" t="s">
        <v>9976</v>
      </c>
      <c r="AS283" s="87" t="s">
        <v>15923</v>
      </c>
      <c r="AT283" s="22" t="s">
        <v>3545</v>
      </c>
      <c r="AU283" s="87" t="s">
        <v>5366</v>
      </c>
      <c r="AV283" s="87" t="s">
        <v>4727</v>
      </c>
      <c r="AW283" s="457">
        <v>0</v>
      </c>
      <c r="AX283" s="630" t="str">
        <f t="shared" si="156"/>
        <v/>
      </c>
      <c r="AY283" s="630" t="str">
        <f t="shared" si="157"/>
        <v/>
      </c>
      <c r="AZ283" s="630" t="str">
        <f t="shared" si="158"/>
        <v/>
      </c>
      <c r="BA283" s="3"/>
      <c r="BB283" s="3"/>
      <c r="BC283" s="3"/>
      <c r="BD283" s="3"/>
      <c r="BE283" s="3"/>
      <c r="BF283" s="3"/>
      <c r="BG283" s="3"/>
      <c r="BH283" s="3"/>
      <c r="BI283" s="3"/>
      <c r="BJ283" s="3"/>
      <c r="BK283" s="3"/>
      <c r="BL283" s="3"/>
      <c r="BM283" s="3"/>
      <c r="BN283" s="3"/>
      <c r="BP283" s="3"/>
      <c r="BQ283" s="3"/>
      <c r="BR283" s="3"/>
      <c r="BS283" s="3"/>
      <c r="BT283" s="3"/>
      <c r="BU283" s="3"/>
      <c r="BV283" s="3"/>
      <c r="BW283" s="3"/>
      <c r="BX283" s="3" t="str">
        <f>IF(Province="Principauté de Tobaro","Ferme (élevage) de Tobaro","")</f>
        <v/>
      </c>
      <c r="BY283" t="str">
        <f t="shared" si="155"/>
        <v/>
      </c>
      <c r="BZ283" s="83" t="str">
        <f t="shared" si="147"/>
        <v/>
      </c>
      <c r="CA283" s="83" t="str">
        <f t="shared" si="148"/>
        <v/>
      </c>
      <c r="CB283" s="530" t="str">
        <f t="shared" si="149"/>
        <v/>
      </c>
      <c r="CG283" s="3" t="s">
        <v>6335</v>
      </c>
      <c r="CH283" s="3" t="s">
        <v>3132</v>
      </c>
      <c r="CI283" s="3"/>
      <c r="CJ283" s="3"/>
      <c r="CK283" s="3" t="s">
        <v>6851</v>
      </c>
      <c r="CM283" t="s">
        <v>10408</v>
      </c>
      <c r="CN283" s="3"/>
      <c r="CO283" s="3" t="s">
        <v>11060</v>
      </c>
      <c r="CP283" s="3"/>
      <c r="CQ283" s="3"/>
      <c r="CR283" s="3" t="s">
        <v>13650</v>
      </c>
      <c r="CS283" s="3"/>
      <c r="CT283" s="3"/>
      <c r="CU283" s="3"/>
      <c r="CV283" s="3"/>
      <c r="CW283" s="3"/>
      <c r="CX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U283" s="177" t="str">
        <f>IF(OR(Pays="Norsca",Pays="Désolations du Chaos",Pays="",Pays="Steppes orientales"),"","Les Ceintures Bleues")</f>
        <v/>
      </c>
      <c r="EV283" s="83" t="str">
        <f t="shared" si="146"/>
        <v/>
      </c>
      <c r="EW283" s="83" t="str">
        <f t="shared" si="150"/>
        <v/>
      </c>
      <c r="EX283" s="530" t="str">
        <f t="shared" si="151"/>
        <v/>
      </c>
      <c r="EY283" s="530" t="s">
        <v>17233</v>
      </c>
      <c r="EZ283" s="530" t="s">
        <v>15276</v>
      </c>
      <c r="FB283" s="83" t="s">
        <v>14967</v>
      </c>
      <c r="FC283" s="133" t="s">
        <v>5751</v>
      </c>
      <c r="FD283" s="85" t="s">
        <v>14968</v>
      </c>
      <c r="FE283" s="849">
        <v>18</v>
      </c>
      <c r="FF283">
        <v>63</v>
      </c>
      <c r="FG283">
        <v>51</v>
      </c>
      <c r="FH283">
        <v>45</v>
      </c>
      <c r="FI283">
        <v>53</v>
      </c>
      <c r="FJ283" s="10">
        <v>43</v>
      </c>
      <c r="FK283">
        <v>22</v>
      </c>
      <c r="FL283">
        <v>52</v>
      </c>
      <c r="FM283" s="165">
        <v>25</v>
      </c>
      <c r="FN283" s="88">
        <v>2</v>
      </c>
      <c r="FO283" s="88">
        <v>19</v>
      </c>
      <c r="FP283" s="164">
        <f>ROUNDDOWN(FH283/10,0)</f>
        <v>4</v>
      </c>
      <c r="FQ283" s="691">
        <f>ROUNDDOWN(FI283/10,0)</f>
        <v>5</v>
      </c>
      <c r="FR283" s="10">
        <v>3</v>
      </c>
      <c r="FS283" s="88">
        <v>0</v>
      </c>
      <c r="FT283" s="88">
        <v>0</v>
      </c>
      <c r="FU283" s="165">
        <v>0</v>
      </c>
      <c r="FV283" s="83" t="s">
        <v>17227</v>
      </c>
      <c r="FW283" s="90" t="s">
        <v>17228</v>
      </c>
      <c r="FX283" s="530" t="s">
        <v>7666</v>
      </c>
      <c r="GF283" t="s">
        <v>7799</v>
      </c>
    </row>
    <row r="284" spans="8:188" ht="13.2" customHeight="1">
      <c r="H284" s="3"/>
      <c r="I284" s="3"/>
      <c r="J284" s="3"/>
      <c r="K284" s="3"/>
      <c r="L284" s="3"/>
      <c r="M284" s="651"/>
      <c r="N284" s="3"/>
      <c r="O284" s="3"/>
      <c r="P284" s="3"/>
      <c r="Q284" s="3"/>
      <c r="R284" s="651"/>
      <c r="S284" s="83" t="str">
        <f>IF(CareerType=Y284,"Prélat",IF(AllCareers="X","Prélat",IF(Selectsousrace="","",IF(OR(SelectRace="homme-bête",SelectRace="peau-verte",SelectRace="créature du chaos",SelectRace="Homme-lézard",SelectRace="skaven"),"",IF(FirstCareer="1ère carrière","","Prélat")))))</f>
        <v/>
      </c>
      <c r="T284" s="85">
        <v>2</v>
      </c>
      <c r="U284" s="693" t="str">
        <f t="shared" si="152"/>
        <v/>
      </c>
      <c r="V284" s="693" t="str">
        <f t="shared" si="153"/>
        <v/>
      </c>
      <c r="W284" s="693" t="str">
        <f t="shared" si="154"/>
        <v/>
      </c>
      <c r="X284" s="48" t="s">
        <v>2153</v>
      </c>
      <c r="Y284" s="744" t="s">
        <v>7131</v>
      </c>
      <c r="Z284" s="55" t="s">
        <v>2176</v>
      </c>
      <c r="AA284" s="48">
        <v>167</v>
      </c>
      <c r="AB284" s="48" t="s">
        <v>2179</v>
      </c>
      <c r="AC284" s="48">
        <v>167</v>
      </c>
      <c r="AD284" s="15" t="s">
        <v>98</v>
      </c>
      <c r="AE284" s="15" t="s">
        <v>98</v>
      </c>
      <c r="AF284" s="15" t="s">
        <v>98</v>
      </c>
      <c r="AG284" s="15" t="s">
        <v>101</v>
      </c>
      <c r="AH284" s="15" t="s">
        <v>101</v>
      </c>
      <c r="AI284" s="15" t="s">
        <v>100</v>
      </c>
      <c r="AJ284" s="15" t="s">
        <v>116</v>
      </c>
      <c r="AK284" s="18" t="s">
        <v>116</v>
      </c>
      <c r="AL284" s="15" t="s">
        <v>149</v>
      </c>
      <c r="AM284" s="15" t="s">
        <v>112</v>
      </c>
      <c r="AN284" s="15" t="s">
        <v>149</v>
      </c>
      <c r="AO284" s="15" t="s">
        <v>149</v>
      </c>
      <c r="AP284" s="22" t="s">
        <v>2180</v>
      </c>
      <c r="AQ284" s="87" t="s">
        <v>734</v>
      </c>
      <c r="AR284" s="22" t="s">
        <v>2181</v>
      </c>
      <c r="AS284" s="87" t="s">
        <v>734</v>
      </c>
      <c r="AT284" s="22" t="s">
        <v>3543</v>
      </c>
      <c r="AU284" s="87" t="s">
        <v>5487</v>
      </c>
      <c r="AV284" s="87" t="s">
        <v>4782</v>
      </c>
      <c r="AW284" s="457">
        <v>0</v>
      </c>
      <c r="AX284" s="630" t="str">
        <f t="shared" si="156"/>
        <v/>
      </c>
      <c r="AY284" s="630" t="str">
        <f t="shared" si="157"/>
        <v/>
      </c>
      <c r="AZ284" s="630" t="str">
        <f t="shared" si="158"/>
        <v/>
      </c>
      <c r="BA284" s="3"/>
      <c r="BB284" s="3"/>
      <c r="BC284" s="3"/>
      <c r="BD284" s="3"/>
      <c r="BE284" s="3"/>
      <c r="BF284" s="3"/>
      <c r="BG284" s="3"/>
      <c r="BH284" s="3"/>
      <c r="BI284" s="3"/>
      <c r="BJ284" s="3"/>
      <c r="BK284" s="3"/>
      <c r="BL284" s="3"/>
      <c r="BM284" s="3"/>
      <c r="BN284" s="3"/>
      <c r="BP284" s="3"/>
      <c r="BQ284" s="3"/>
      <c r="BR284" s="3"/>
      <c r="BS284" s="3"/>
      <c r="BT284" s="3"/>
      <c r="BU284" s="3"/>
      <c r="BV284" s="3"/>
      <c r="BW284" s="3"/>
      <c r="BX284" s="3" t="str">
        <f>IF(Province="République de Verezzo","Ferme (élevage) de Verezzo","")</f>
        <v/>
      </c>
      <c r="BY284" t="str">
        <f t="shared" si="155"/>
        <v/>
      </c>
      <c r="BZ284" s="83" t="str">
        <f t="shared" si="147"/>
        <v/>
      </c>
      <c r="CA284" s="83" t="str">
        <f t="shared" si="148"/>
        <v/>
      </c>
      <c r="CB284" s="530" t="str">
        <f t="shared" si="149"/>
        <v/>
      </c>
      <c r="CG284" s="3" t="s">
        <v>6336</v>
      </c>
      <c r="CH284" s="3" t="s">
        <v>919</v>
      </c>
      <c r="CI284" s="3"/>
      <c r="CJ284" s="3"/>
      <c r="CK284" s="3" t="s">
        <v>6966</v>
      </c>
      <c r="CM284" t="s">
        <v>10417</v>
      </c>
      <c r="CN284" s="3"/>
      <c r="CO284" s="3" t="s">
        <v>11063</v>
      </c>
      <c r="CP284" s="3"/>
      <c r="CQ284" s="3"/>
      <c r="CR284" s="3" t="s">
        <v>13651</v>
      </c>
      <c r="CS284" s="3"/>
      <c r="CT284" s="3"/>
      <c r="CU284" s="3"/>
      <c r="CV284" s="3"/>
      <c r="CW284" s="3"/>
      <c r="CX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U284" s="177" t="str">
        <f>IF(OR(Pays="Norsca",Pays="Désolations du Chaos",Pays="",Pays="Steppes orientales"),"","Hérauts d'une Aube Nouvelle")</f>
        <v/>
      </c>
      <c r="EV284" s="83" t="str">
        <f t="shared" si="146"/>
        <v/>
      </c>
      <c r="EW284" s="83" t="str">
        <f t="shared" si="150"/>
        <v/>
      </c>
      <c r="EX284" s="530" t="str">
        <f t="shared" si="151"/>
        <v/>
      </c>
      <c r="EY284" s="85" t="s">
        <v>17234</v>
      </c>
      <c r="EZ284" s="530" t="s">
        <v>15277</v>
      </c>
      <c r="FB284" s="83" t="s">
        <v>7383</v>
      </c>
      <c r="FC284" s="133" t="s">
        <v>5751</v>
      </c>
      <c r="FD284" s="83" t="s">
        <v>7365</v>
      </c>
      <c r="FE284" s="849">
        <v>107</v>
      </c>
      <c r="FF284">
        <v>47</v>
      </c>
      <c r="FG284">
        <v>27</v>
      </c>
      <c r="FH284">
        <v>48</v>
      </c>
      <c r="FI284">
        <v>37</v>
      </c>
      <c r="FJ284" s="10">
        <v>32</v>
      </c>
      <c r="FK284">
        <v>32</v>
      </c>
      <c r="FL284">
        <v>27</v>
      </c>
      <c r="FM284" s="165">
        <v>27</v>
      </c>
      <c r="FN284" s="88">
        <v>1</v>
      </c>
      <c r="FO284" s="88">
        <v>13</v>
      </c>
      <c r="FP284" s="164">
        <f>ROUNDDOWN(FH284/10,0)</f>
        <v>4</v>
      </c>
      <c r="FQ284" s="164">
        <f>ROUNDDOWN(FI284/10,0)</f>
        <v>3</v>
      </c>
      <c r="FR284" s="682">
        <v>4</v>
      </c>
      <c r="FS284" s="88">
        <v>0</v>
      </c>
      <c r="FT284" s="88">
        <v>0</v>
      </c>
      <c r="FU284" s="165">
        <v>0</v>
      </c>
      <c r="FV284" s="83" t="s">
        <v>12466</v>
      </c>
      <c r="FW284" s="83" t="s">
        <v>7384</v>
      </c>
      <c r="FX284" s="530" t="s">
        <v>7668</v>
      </c>
      <c r="GF284" t="s">
        <v>8290</v>
      </c>
    </row>
    <row r="285" spans="8:188" ht="13.2" customHeight="1">
      <c r="H285" s="3"/>
      <c r="I285" s="3"/>
      <c r="J285" s="3"/>
      <c r="K285" s="3"/>
      <c r="L285" s="3"/>
      <c r="M285" s="651"/>
      <c r="N285" s="3"/>
      <c r="O285" s="3"/>
      <c r="P285" s="3"/>
      <c r="Q285" s="3"/>
      <c r="R285" s="651"/>
      <c r="S285" s="83" t="str">
        <f>IF(CareerType=Y285,"Prêtre",IF(AllCareers="X","Prêtre",IF(Selectsousrace="","",IF(OR(SelectRace="homme-bête",SelectRace="peau-verte",SelectRace="créature du chaos",SelectRace="Homme-lézard",SelectRace="skaven"),"",IF(FirstCareer="1ère carrière","","Prêtre")))))</f>
        <v/>
      </c>
      <c r="T285" s="85">
        <f>IF(X285="oui",0,1)</f>
        <v>1</v>
      </c>
      <c r="U285" s="693" t="str">
        <f t="shared" si="152"/>
        <v/>
      </c>
      <c r="V285" s="693" t="str">
        <f t="shared" si="153"/>
        <v/>
      </c>
      <c r="W285" s="693" t="str">
        <f t="shared" si="154"/>
        <v/>
      </c>
      <c r="X285" s="47" t="s">
        <v>2153</v>
      </c>
      <c r="Y285" s="744" t="s">
        <v>15709</v>
      </c>
      <c r="Z285" s="55" t="s">
        <v>2200</v>
      </c>
      <c r="AA285" s="47">
        <v>82</v>
      </c>
      <c r="AB285" s="47" t="s">
        <v>2401</v>
      </c>
      <c r="AC285" s="47">
        <v>168</v>
      </c>
      <c r="AD285" s="15" t="s">
        <v>98</v>
      </c>
      <c r="AE285" s="15" t="s">
        <v>98</v>
      </c>
      <c r="AF285" s="20" t="s">
        <v>114</v>
      </c>
      <c r="AG285" s="15" t="s">
        <v>98</v>
      </c>
      <c r="AH285" s="20" t="s">
        <v>114</v>
      </c>
      <c r="AI285" s="15" t="s">
        <v>98</v>
      </c>
      <c r="AJ285" s="15" t="s">
        <v>100</v>
      </c>
      <c r="AK285" s="18" t="s">
        <v>101</v>
      </c>
      <c r="AL285" s="15" t="s">
        <v>149</v>
      </c>
      <c r="AM285" s="15" t="s">
        <v>103</v>
      </c>
      <c r="AN285" s="15" t="s">
        <v>149</v>
      </c>
      <c r="AO285" s="15" t="s">
        <v>102</v>
      </c>
      <c r="AP285" s="87" t="s">
        <v>10072</v>
      </c>
      <c r="AQ285" s="87" t="s">
        <v>734</v>
      </c>
      <c r="AR285" s="87" t="s">
        <v>15684</v>
      </c>
      <c r="AS285" s="87" t="s">
        <v>734</v>
      </c>
      <c r="AT285" s="22" t="s">
        <v>3505</v>
      </c>
      <c r="AU285" s="87" t="s">
        <v>5371</v>
      </c>
      <c r="AV285" s="87" t="s">
        <v>4630</v>
      </c>
      <c r="AW285" s="457">
        <v>0</v>
      </c>
      <c r="AX285" s="630" t="str">
        <f t="shared" si="156"/>
        <v/>
      </c>
      <c r="AY285" s="630" t="str">
        <f t="shared" si="157"/>
        <v/>
      </c>
      <c r="AZ285" s="630" t="str">
        <f t="shared" si="158"/>
        <v/>
      </c>
      <c r="BA285" s="3"/>
      <c r="BB285" s="3"/>
      <c r="BC285" s="3"/>
      <c r="BD285" s="3"/>
      <c r="BE285" s="3"/>
      <c r="BF285" s="3"/>
      <c r="BG285" s="3"/>
      <c r="BH285" s="3"/>
      <c r="BI285" s="3"/>
      <c r="BJ285" s="3"/>
      <c r="BK285" s="3"/>
      <c r="BL285" s="3"/>
      <c r="BM285" s="3"/>
      <c r="BN285" s="3"/>
      <c r="BP285" s="3"/>
      <c r="BQ285" s="3"/>
      <c r="BR285" s="3"/>
      <c r="BS285" s="3"/>
      <c r="BT285" s="3"/>
      <c r="BU285" s="3"/>
      <c r="BV285" s="3"/>
      <c r="BW285" s="3"/>
      <c r="BX285" s="3" t="str">
        <f>IF(Province="République de Verezzo","Ferme (élevage) de Verezzo","")</f>
        <v/>
      </c>
      <c r="BY285" t="str">
        <f t="shared" si="155"/>
        <v/>
      </c>
      <c r="BZ285" s="83" t="str">
        <f t="shared" si="147"/>
        <v/>
      </c>
      <c r="CA285" s="83" t="str">
        <f t="shared" si="148"/>
        <v/>
      </c>
      <c r="CB285" s="530" t="str">
        <f t="shared" si="149"/>
        <v/>
      </c>
      <c r="CG285" s="83" t="s">
        <v>14941</v>
      </c>
      <c r="CH285" s="3" t="s">
        <v>6125</v>
      </c>
      <c r="CI285" s="3"/>
      <c r="CJ285" s="3"/>
      <c r="CK285" s="3" t="s">
        <v>6927</v>
      </c>
      <c r="CM285" t="s">
        <v>10418</v>
      </c>
      <c r="CN285" s="3"/>
      <c r="CO285" s="3" t="s">
        <v>11055</v>
      </c>
      <c r="CP285" s="3"/>
      <c r="CQ285" s="3"/>
      <c r="CR285" t="s">
        <v>13652</v>
      </c>
      <c r="CS285" s="3"/>
      <c r="CT285" s="3"/>
      <c r="CU285" s="3"/>
      <c r="CV285" s="3"/>
      <c r="CW285" s="3"/>
      <c r="CX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U285" s="25" t="str">
        <f>IF(Dieu="Sigmar","Flagellants du Crâne","")</f>
        <v/>
      </c>
      <c r="EV285" s="83" t="str">
        <f t="shared" si="146"/>
        <v/>
      </c>
      <c r="EW285" s="83" t="str">
        <f t="shared" si="150"/>
        <v/>
      </c>
      <c r="EX285" s="530" t="str">
        <f t="shared" si="151"/>
        <v/>
      </c>
      <c r="EY285" s="85" t="s">
        <v>15284</v>
      </c>
      <c r="EZ285" s="530" t="s">
        <v>12150</v>
      </c>
      <c r="FB285" s="83" t="s">
        <v>451</v>
      </c>
      <c r="FC285" s="133" t="s">
        <v>5751</v>
      </c>
      <c r="FD285" s="83" t="s">
        <v>7365</v>
      </c>
      <c r="FE285" s="849">
        <v>108</v>
      </c>
      <c r="FF285">
        <v>27</v>
      </c>
      <c r="FG285">
        <v>27</v>
      </c>
      <c r="FH285">
        <v>28</v>
      </c>
      <c r="FI285">
        <v>30</v>
      </c>
      <c r="FJ285" s="10">
        <v>45</v>
      </c>
      <c r="FK285">
        <v>52</v>
      </c>
      <c r="FL285">
        <v>42</v>
      </c>
      <c r="FM285" s="165">
        <v>47</v>
      </c>
      <c r="FN285" s="88">
        <v>1</v>
      </c>
      <c r="FO285" s="88">
        <v>13</v>
      </c>
      <c r="FP285" s="164">
        <f>ROUNDDOWN(FH285/10,0)</f>
        <v>2</v>
      </c>
      <c r="FQ285" s="164">
        <f>ROUNDDOWN(FI285/10,0)</f>
        <v>3</v>
      </c>
      <c r="FR285" s="682">
        <v>4</v>
      </c>
      <c r="FS285" s="88">
        <v>0</v>
      </c>
      <c r="FT285" s="88">
        <v>0</v>
      </c>
      <c r="FU285" s="165">
        <v>0</v>
      </c>
      <c r="FV285" s="83" t="s">
        <v>7430</v>
      </c>
      <c r="FW285" s="83" t="s">
        <v>7386</v>
      </c>
      <c r="FX285" s="530" t="s">
        <v>7667</v>
      </c>
      <c r="GF285" t="s">
        <v>8294</v>
      </c>
    </row>
    <row r="286" spans="8:188" ht="13.2" customHeight="1">
      <c r="H286" s="3"/>
      <c r="I286" s="3"/>
      <c r="J286" s="3"/>
      <c r="K286" s="3"/>
      <c r="L286" s="3"/>
      <c r="M286" s="651"/>
      <c r="N286" s="3"/>
      <c r="O286" s="3"/>
      <c r="P286" s="3"/>
      <c r="Q286" s="3"/>
      <c r="R286" s="651"/>
      <c r="S286" s="83" t="str">
        <f>IF(CareerType=Y286,"Prêtre (cloîtré)",IF(AllCareers="X","Prêtre (cloîtré)",IF(Selectsousrace="","",IF(OR(SelectRace="homme-bête",SelectRace="peau-verte",SelectRace="créature du chaos",SelectRace="Homme-lézard",SelectRace="skaven"),"",IF(FirstCareer="1ère carrière","","Prêtre (cloîtré)")))))</f>
        <v/>
      </c>
      <c r="T286" s="85">
        <f>IF(X286="oui",0,1)</f>
        <v>1</v>
      </c>
      <c r="U286" s="693" t="str">
        <f t="shared" si="152"/>
        <v/>
      </c>
      <c r="V286" s="693" t="str">
        <f t="shared" si="153"/>
        <v/>
      </c>
      <c r="W286" s="693" t="str">
        <f t="shared" si="154"/>
        <v/>
      </c>
      <c r="X286" s="47" t="s">
        <v>2153</v>
      </c>
      <c r="Y286" s="744" t="s">
        <v>15709</v>
      </c>
      <c r="Z286" s="55" t="s">
        <v>538</v>
      </c>
      <c r="AA286" s="47">
        <v>185</v>
      </c>
      <c r="AB286" s="47" t="s">
        <v>2401</v>
      </c>
      <c r="AC286" s="47">
        <v>168</v>
      </c>
      <c r="AD286" s="15" t="s">
        <v>114</v>
      </c>
      <c r="AE286" s="15" t="s">
        <v>114</v>
      </c>
      <c r="AF286" s="20" t="s">
        <v>114</v>
      </c>
      <c r="AG286" s="15" t="s">
        <v>98</v>
      </c>
      <c r="AH286" s="15" t="s">
        <v>98</v>
      </c>
      <c r="AI286" s="15" t="s">
        <v>101</v>
      </c>
      <c r="AJ286" s="15" t="s">
        <v>100</v>
      </c>
      <c r="AK286" s="18" t="s">
        <v>101</v>
      </c>
      <c r="AL286" s="15" t="s">
        <v>149</v>
      </c>
      <c r="AM286" s="15" t="s">
        <v>103</v>
      </c>
      <c r="AN286" s="15" t="s">
        <v>149</v>
      </c>
      <c r="AO286" s="15" t="s">
        <v>102</v>
      </c>
      <c r="AP286" s="87" t="s">
        <v>10072</v>
      </c>
      <c r="AQ286" s="87" t="s">
        <v>734</v>
      </c>
      <c r="AR286" s="87" t="s">
        <v>15685</v>
      </c>
      <c r="AS286" s="87" t="s">
        <v>734</v>
      </c>
      <c r="AT286" s="22" t="s">
        <v>3505</v>
      </c>
      <c r="AU286" s="87" t="s">
        <v>5371</v>
      </c>
      <c r="AV286" s="87" t="s">
        <v>4630</v>
      </c>
      <c r="AW286" s="457">
        <v>0</v>
      </c>
      <c r="AX286" s="630" t="str">
        <f t="shared" si="156"/>
        <v/>
      </c>
      <c r="AY286" s="630" t="str">
        <f t="shared" si="157"/>
        <v/>
      </c>
      <c r="AZ286" s="630" t="str">
        <f t="shared" si="158"/>
        <v/>
      </c>
      <c r="BA286" s="3"/>
      <c r="BB286" s="3"/>
      <c r="BC286" s="3"/>
      <c r="BD286" s="3"/>
      <c r="BE286" s="3"/>
      <c r="BF286" s="3"/>
      <c r="BG286" s="3"/>
      <c r="BH286" s="3"/>
      <c r="BI286" s="3"/>
      <c r="BJ286" s="3"/>
      <c r="BK286" s="3"/>
      <c r="BL286" s="3"/>
      <c r="BM286" s="3"/>
      <c r="BN286" s="3"/>
      <c r="BP286" s="3"/>
      <c r="BQ286" s="3"/>
      <c r="BR286" s="3"/>
      <c r="BS286" s="3"/>
      <c r="BT286" s="3"/>
      <c r="BU286" s="3"/>
      <c r="BV286" s="3"/>
      <c r="BW286" s="3"/>
      <c r="BX286" s="136" t="str">
        <f>IF(Province="Désert Hurlant","Bourg de Rhinox","")</f>
        <v/>
      </c>
      <c r="BY286" t="str">
        <f t="shared" si="155"/>
        <v/>
      </c>
      <c r="BZ286" s="83" t="str">
        <f t="shared" si="147"/>
        <v/>
      </c>
      <c r="CA286" s="83" t="str">
        <f t="shared" si="148"/>
        <v/>
      </c>
      <c r="CB286" s="530" t="str">
        <f t="shared" si="149"/>
        <v/>
      </c>
      <c r="CG286" s="3" t="s">
        <v>3144</v>
      </c>
      <c r="CH286" s="3" t="s">
        <v>6126</v>
      </c>
      <c r="CI286" s="3"/>
      <c r="CJ286" s="3"/>
      <c r="CK286" s="3" t="s">
        <v>6890</v>
      </c>
      <c r="CM286" t="s">
        <v>10419</v>
      </c>
      <c r="CN286" s="3"/>
      <c r="CO286" s="3" t="s">
        <v>11050</v>
      </c>
      <c r="CP286" s="3"/>
      <c r="CQ286" s="3"/>
      <c r="CR286" s="3" t="s">
        <v>13653</v>
      </c>
      <c r="CS286" s="3"/>
      <c r="CT286" s="3"/>
      <c r="CU286" s="3"/>
      <c r="CV286" s="3"/>
      <c r="CW286" s="3"/>
      <c r="CX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U286" s="25" t="str">
        <f>IF(Dieu="Sigmar","Ordre des Marteaux Vertueux","")</f>
        <v/>
      </c>
      <c r="EV286" s="83" t="str">
        <f t="shared" si="146"/>
        <v/>
      </c>
      <c r="EW286" s="83" t="str">
        <f t="shared" si="150"/>
        <v/>
      </c>
      <c r="EX286" s="530" t="str">
        <f t="shared" si="151"/>
        <v/>
      </c>
      <c r="EY286" s="85" t="s">
        <v>15283</v>
      </c>
      <c r="EZ286" s="530" t="s">
        <v>15286</v>
      </c>
      <c r="FB286" s="83" t="s">
        <v>7385</v>
      </c>
      <c r="FC286" s="133" t="s">
        <v>5751</v>
      </c>
      <c r="FD286" s="83" t="s">
        <v>7365</v>
      </c>
      <c r="FE286" s="849">
        <v>108</v>
      </c>
      <c r="FF286">
        <v>27</v>
      </c>
      <c r="FG286">
        <v>27</v>
      </c>
      <c r="FH286">
        <v>28</v>
      </c>
      <c r="FI286">
        <v>30</v>
      </c>
      <c r="FJ286" s="10">
        <v>45</v>
      </c>
      <c r="FK286">
        <v>47</v>
      </c>
      <c r="FL286">
        <v>37</v>
      </c>
      <c r="FM286" s="165">
        <v>47</v>
      </c>
      <c r="FN286" s="88">
        <v>1</v>
      </c>
      <c r="FO286" s="88">
        <v>11</v>
      </c>
      <c r="FP286" s="164">
        <f>ROUNDDOWN(FH286/10,0)</f>
        <v>2</v>
      </c>
      <c r="FQ286" s="164">
        <f>ROUNDDOWN(FI286/10,0)</f>
        <v>3</v>
      </c>
      <c r="FR286" s="682">
        <v>4</v>
      </c>
      <c r="FS286" s="88">
        <v>0</v>
      </c>
      <c r="FT286" s="88">
        <v>0</v>
      </c>
      <c r="FU286" s="165">
        <v>0</v>
      </c>
      <c r="FV286" s="83" t="s">
        <v>7431</v>
      </c>
      <c r="FW286" s="83" t="s">
        <v>7386</v>
      </c>
      <c r="FX286" s="530" t="s">
        <v>7668</v>
      </c>
      <c r="GF286" t="s">
        <v>7800</v>
      </c>
    </row>
    <row r="287" spans="8:188" ht="13.2" customHeight="1">
      <c r="H287" s="3"/>
      <c r="I287" s="3"/>
      <c r="J287" s="3"/>
      <c r="K287" s="3"/>
      <c r="L287" s="3"/>
      <c r="M287" s="651"/>
      <c r="N287" s="3"/>
      <c r="O287" s="3"/>
      <c r="P287" s="3"/>
      <c r="Q287" s="3"/>
      <c r="R287" s="651"/>
      <c r="S287" s="83" t="str">
        <f>IF(CareerType=Y287,"Prêtre (ordinaire)",IF(AllCareers="X","Prêtre (ordinaire)",IF(Selectsousrace="","",IF(OR(SelectRace="homme-bête",SelectRace="peau-verte",SelectRace="créature du chaos",SelectRace="Homme-lézard",SelectRace="skaven"),"",IF(FirstCareer="1ère carrière","","Prêtre (ordinaire)")))))</f>
        <v/>
      </c>
      <c r="T287" s="85">
        <f>IF(X287="oui",0,1)</f>
        <v>1</v>
      </c>
      <c r="U287" s="693" t="str">
        <f t="shared" si="152"/>
        <v/>
      </c>
      <c r="V287" s="693" t="str">
        <f t="shared" si="153"/>
        <v/>
      </c>
      <c r="W287" s="693" t="str">
        <f t="shared" si="154"/>
        <v/>
      </c>
      <c r="X287" s="47" t="s">
        <v>2153</v>
      </c>
      <c r="Y287" s="744" t="s">
        <v>15709</v>
      </c>
      <c r="Z287" s="55" t="s">
        <v>538</v>
      </c>
      <c r="AA287" s="47">
        <v>186</v>
      </c>
      <c r="AB287" s="47" t="s">
        <v>2401</v>
      </c>
      <c r="AC287" s="47">
        <v>168</v>
      </c>
      <c r="AD287" s="15" t="s">
        <v>98</v>
      </c>
      <c r="AE287" s="15" t="s">
        <v>98</v>
      </c>
      <c r="AF287" s="15" t="s">
        <v>98</v>
      </c>
      <c r="AG287" s="15" t="s">
        <v>98</v>
      </c>
      <c r="AH287" s="15" t="s">
        <v>98</v>
      </c>
      <c r="AI287" s="15" t="s">
        <v>98</v>
      </c>
      <c r="AJ287" s="15" t="s">
        <v>100</v>
      </c>
      <c r="AK287" s="18" t="s">
        <v>101</v>
      </c>
      <c r="AL287" s="15" t="s">
        <v>149</v>
      </c>
      <c r="AM287" s="15" t="s">
        <v>114</v>
      </c>
      <c r="AN287" s="15" t="s">
        <v>149</v>
      </c>
      <c r="AO287" s="15" t="s">
        <v>149</v>
      </c>
      <c r="AP287" s="87" t="s">
        <v>10072</v>
      </c>
      <c r="AQ287" s="87" t="s">
        <v>734</v>
      </c>
      <c r="AR287" s="87" t="s">
        <v>15686</v>
      </c>
      <c r="AS287" s="87" t="s">
        <v>734</v>
      </c>
      <c r="AT287" s="22" t="s">
        <v>3505</v>
      </c>
      <c r="AU287" s="87" t="s">
        <v>5372</v>
      </c>
      <c r="AV287" s="87" t="s">
        <v>4630</v>
      </c>
      <c r="AW287" s="457">
        <v>0</v>
      </c>
      <c r="AX287" s="630" t="str">
        <f t="shared" si="156"/>
        <v/>
      </c>
      <c r="AY287" s="630" t="str">
        <f t="shared" si="157"/>
        <v/>
      </c>
      <c r="AZ287" s="630" t="str">
        <f t="shared" si="158"/>
        <v/>
      </c>
      <c r="BA287" s="3"/>
      <c r="BB287" s="3"/>
      <c r="BC287" s="3"/>
      <c r="BD287" s="3"/>
      <c r="BE287" s="3"/>
      <c r="BF287" s="3"/>
      <c r="BG287" s="3"/>
      <c r="BH287" s="3"/>
      <c r="BI287" s="3"/>
      <c r="BJ287" s="3"/>
      <c r="BK287" s="3"/>
      <c r="BL287" s="3"/>
      <c r="BM287" s="3"/>
      <c r="BN287" s="3"/>
      <c r="BP287" s="3"/>
      <c r="BQ287" s="3"/>
      <c r="BR287" s="3"/>
      <c r="BS287" s="3"/>
      <c r="BT287" s="3"/>
      <c r="BU287" s="3"/>
      <c r="BV287" s="3"/>
      <c r="BW287" s="3"/>
      <c r="BX287" s="136" t="str">
        <f>IF(Province="Principauté de Sartosa","Cité de Sartosa","")</f>
        <v/>
      </c>
      <c r="BY287" t="str">
        <f t="shared" si="155"/>
        <v/>
      </c>
      <c r="BZ287" s="83" t="str">
        <f t="shared" si="147"/>
        <v/>
      </c>
      <c r="CA287" s="83" t="str">
        <f t="shared" si="148"/>
        <v/>
      </c>
      <c r="CB287" s="530" t="str">
        <f t="shared" si="149"/>
        <v/>
      </c>
      <c r="CG287" s="3" t="s">
        <v>6337</v>
      </c>
      <c r="CH287" s="3" t="s">
        <v>6127</v>
      </c>
      <c r="CI287" s="3"/>
      <c r="CJ287" s="3"/>
      <c r="CK287" s="3" t="s">
        <v>6764</v>
      </c>
      <c r="CM287" t="s">
        <v>10420</v>
      </c>
      <c r="CN287" s="3"/>
      <c r="CO287" s="3" t="s">
        <v>11057</v>
      </c>
      <c r="CP287" s="3"/>
      <c r="CQ287" s="3"/>
      <c r="CR287" s="3" t="s">
        <v>13654</v>
      </c>
      <c r="CS287" s="3"/>
      <c r="CT287" s="3"/>
      <c r="CU287" s="3"/>
      <c r="CV287" s="3"/>
      <c r="CW287" s="3"/>
      <c r="CX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U287" s="177" t="str">
        <f>IF(OR(Pays="Norsca",Pays="Désolations du Chaos",Pays="",Pays="Steppes orientales"),"","Corpus Aeternum")</f>
        <v/>
      </c>
      <c r="EV287" s="83" t="str">
        <f t="shared" si="146"/>
        <v/>
      </c>
      <c r="EW287" s="83" t="str">
        <f t="shared" si="150"/>
        <v/>
      </c>
      <c r="EX287" s="530" t="str">
        <f t="shared" si="151"/>
        <v/>
      </c>
      <c r="EY287" s="85" t="s">
        <v>17236</v>
      </c>
      <c r="EZ287" s="530" t="s">
        <v>15285</v>
      </c>
      <c r="FB287" s="83" t="s">
        <v>7405</v>
      </c>
      <c r="FC287" s="133" t="s">
        <v>5751</v>
      </c>
      <c r="FD287" s="83" t="s">
        <v>2200</v>
      </c>
      <c r="FE287" s="849">
        <v>232</v>
      </c>
      <c r="FF287">
        <v>25</v>
      </c>
      <c r="FG287">
        <v>25</v>
      </c>
      <c r="FH287">
        <v>28</v>
      </c>
      <c r="FI287">
        <v>37</v>
      </c>
      <c r="FJ287" s="10">
        <v>31</v>
      </c>
      <c r="FK287">
        <v>29</v>
      </c>
      <c r="FL287">
        <v>37</v>
      </c>
      <c r="FM287" s="165">
        <v>33</v>
      </c>
      <c r="FN287" s="88">
        <v>1</v>
      </c>
      <c r="FO287" s="88">
        <v>11</v>
      </c>
      <c r="FP287" s="164">
        <f>ROUNDDOWN(FH287/10,0)</f>
        <v>2</v>
      </c>
      <c r="FQ287" s="164">
        <f>ROUNDDOWN(FI287/10,0)</f>
        <v>3</v>
      </c>
      <c r="FR287" s="682">
        <v>4</v>
      </c>
      <c r="FS287" s="88">
        <v>0</v>
      </c>
      <c r="FT287" s="88">
        <v>0</v>
      </c>
      <c r="FU287" s="165">
        <v>0</v>
      </c>
      <c r="FV287" s="83" t="s">
        <v>7432</v>
      </c>
      <c r="FW287" s="83" t="s">
        <v>17229</v>
      </c>
      <c r="FX287" s="530" t="s">
        <v>7659</v>
      </c>
      <c r="GF287" t="s">
        <v>7801</v>
      </c>
    </row>
    <row r="288" spans="8:188" ht="13.2" customHeight="1">
      <c r="H288" s="3"/>
      <c r="I288" s="3"/>
      <c r="J288" s="3"/>
      <c r="K288" s="3"/>
      <c r="L288" s="3"/>
      <c r="M288" s="651"/>
      <c r="N288" s="3"/>
      <c r="O288" s="3"/>
      <c r="P288" s="3"/>
      <c r="Q288" s="3"/>
      <c r="R288" s="651"/>
      <c r="S288" s="83" t="str">
        <f>IF(CareerType=Y288,"Prêtre consacré",IF(AllCareers="X","Prêtre consacré",IF(Selectsousrace="","",IF(OR(SelectRace="homme-bête",SelectRace="peau-verte",SelectRace="créature du chaos",SelectRace="Homme-lézard",SelectRace="skaven"),"",IF(FirstCareer="1ère carrière","","Prêtre consacré")))))</f>
        <v/>
      </c>
      <c r="T288" s="85">
        <v>2</v>
      </c>
      <c r="U288" s="693" t="str">
        <f t="shared" si="152"/>
        <v/>
      </c>
      <c r="V288" s="693" t="str">
        <f t="shared" si="153"/>
        <v/>
      </c>
      <c r="W288" s="693" t="str">
        <f t="shared" si="154"/>
        <v/>
      </c>
      <c r="X288" s="47" t="s">
        <v>2153</v>
      </c>
      <c r="Y288" s="744" t="s">
        <v>15709</v>
      </c>
      <c r="Z288" s="55" t="s">
        <v>2200</v>
      </c>
      <c r="AA288" s="47">
        <v>82</v>
      </c>
      <c r="AB288" s="47" t="s">
        <v>2402</v>
      </c>
      <c r="AC288" s="47">
        <v>13</v>
      </c>
      <c r="AD288" s="15" t="s">
        <v>101</v>
      </c>
      <c r="AE288" s="15" t="s">
        <v>101</v>
      </c>
      <c r="AF288" s="15" t="s">
        <v>98</v>
      </c>
      <c r="AG288" s="15" t="s">
        <v>98</v>
      </c>
      <c r="AH288" s="15" t="s">
        <v>98</v>
      </c>
      <c r="AI288" s="15" t="s">
        <v>101</v>
      </c>
      <c r="AJ288" s="15" t="s">
        <v>99</v>
      </c>
      <c r="AK288" s="18" t="s">
        <v>100</v>
      </c>
      <c r="AL288" s="15" t="s">
        <v>102</v>
      </c>
      <c r="AM288" s="15" t="s">
        <v>114</v>
      </c>
      <c r="AN288" s="15" t="s">
        <v>149</v>
      </c>
      <c r="AO288" s="15" t="s">
        <v>113</v>
      </c>
      <c r="AP288" s="87" t="s">
        <v>445</v>
      </c>
      <c r="AQ288" s="87" t="s">
        <v>734</v>
      </c>
      <c r="AR288" s="87" t="s">
        <v>10015</v>
      </c>
      <c r="AS288" s="87" t="s">
        <v>734</v>
      </c>
      <c r="AT288" s="22" t="s">
        <v>3558</v>
      </c>
      <c r="AU288" s="87" t="s">
        <v>5373</v>
      </c>
      <c r="AV288" s="87" t="s">
        <v>4319</v>
      </c>
      <c r="AW288" s="457">
        <v>0</v>
      </c>
      <c r="AX288" s="630" t="str">
        <f t="shared" si="156"/>
        <v/>
      </c>
      <c r="AY288" s="630" t="str">
        <f t="shared" si="157"/>
        <v/>
      </c>
      <c r="AZ288" s="630" t="str">
        <f t="shared" si="158"/>
        <v/>
      </c>
      <c r="BA288" s="3"/>
      <c r="BB288" s="3"/>
      <c r="BC288" s="3"/>
      <c r="BD288" s="3"/>
      <c r="BE288" s="3"/>
      <c r="BF288" s="3"/>
      <c r="BG288" s="3"/>
      <c r="BH288" s="3"/>
      <c r="BI288" s="3"/>
      <c r="BJ288" s="3"/>
      <c r="BK288" s="3"/>
      <c r="BL288" s="3"/>
      <c r="BM288" s="3"/>
      <c r="BN288" s="3"/>
      <c r="BP288" s="3"/>
      <c r="BQ288" s="3"/>
      <c r="BR288" s="3"/>
      <c r="BS288" s="3"/>
      <c r="BT288" s="3"/>
      <c r="BU288" s="3"/>
      <c r="BV288" s="3"/>
      <c r="BW288" s="3"/>
      <c r="BX288" s="3" t="str">
        <f>IF(Province="Principauté de Tobaro","Cité de Tobaro","")</f>
        <v/>
      </c>
      <c r="BY288" t="str">
        <f t="shared" si="155"/>
        <v/>
      </c>
      <c r="BZ288" s="83" t="str">
        <f t="shared" si="147"/>
        <v/>
      </c>
      <c r="CA288" s="83" t="str">
        <f t="shared" si="148"/>
        <v/>
      </c>
      <c r="CB288" s="530" t="str">
        <f t="shared" si="149"/>
        <v/>
      </c>
      <c r="CG288" s="3" t="s">
        <v>6338</v>
      </c>
      <c r="CH288" s="3" t="s">
        <v>6128</v>
      </c>
      <c r="CI288" s="3"/>
      <c r="CJ288" s="3"/>
      <c r="CK288" s="3" t="s">
        <v>6766</v>
      </c>
      <c r="CM288" s="83" t="s">
        <v>15219</v>
      </c>
      <c r="CN288" s="3"/>
      <c r="CO288" s="3" t="s">
        <v>11061</v>
      </c>
      <c r="CP288" s="83"/>
      <c r="CQ288" s="83"/>
      <c r="CR288" s="83" t="s">
        <v>13655</v>
      </c>
      <c r="CS288" s="3"/>
      <c r="CT288" s="3"/>
      <c r="CU288" s="3"/>
      <c r="CV288" s="3"/>
      <c r="CW288" s="3"/>
      <c r="CX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U288" s="177" t="str">
        <f>IF(Dieu="Morr","Moines du Bienheureux Aethelbert","")</f>
        <v/>
      </c>
      <c r="EV288" s="83" t="str">
        <f t="shared" si="146"/>
        <v/>
      </c>
      <c r="EW288" s="83" t="str">
        <f t="shared" si="150"/>
        <v/>
      </c>
      <c r="EX288" s="530" t="str">
        <f t="shared" si="151"/>
        <v/>
      </c>
      <c r="EY288" s="85" t="s">
        <v>17237</v>
      </c>
      <c r="EZ288" s="530" t="s">
        <v>17238</v>
      </c>
      <c r="FB288" s="83" t="s">
        <v>2361</v>
      </c>
      <c r="FC288" s="133" t="s">
        <v>5751</v>
      </c>
      <c r="FD288" s="83" t="s">
        <v>7365</v>
      </c>
      <c r="FE288" s="849">
        <v>108</v>
      </c>
      <c r="FF288">
        <v>47</v>
      </c>
      <c r="FG288">
        <v>34</v>
      </c>
      <c r="FH288">
        <v>44</v>
      </c>
      <c r="FI288">
        <v>43</v>
      </c>
      <c r="FJ288" s="10">
        <v>30</v>
      </c>
      <c r="FK288">
        <v>32</v>
      </c>
      <c r="FL288">
        <v>29</v>
      </c>
      <c r="FM288" s="165">
        <v>30</v>
      </c>
      <c r="FN288" s="88">
        <v>2</v>
      </c>
      <c r="FO288" s="88">
        <v>12</v>
      </c>
      <c r="FP288" s="164">
        <f>ROUNDDOWN(FH288/10,0)</f>
        <v>4</v>
      </c>
      <c r="FQ288" s="164">
        <f>ROUNDDOWN(FI288/10,0)</f>
        <v>4</v>
      </c>
      <c r="FR288" s="682">
        <v>4</v>
      </c>
      <c r="FS288" s="88">
        <v>0</v>
      </c>
      <c r="FT288" s="88">
        <v>0</v>
      </c>
      <c r="FU288" s="165">
        <v>0</v>
      </c>
      <c r="FV288" s="83" t="s">
        <v>7433</v>
      </c>
      <c r="FW288" s="83" t="s">
        <v>7388</v>
      </c>
      <c r="FX288" s="530" t="s">
        <v>7668</v>
      </c>
      <c r="GF288" t="s">
        <v>8299</v>
      </c>
    </row>
    <row r="289" spans="8:188" ht="13.2" customHeight="1">
      <c r="H289" s="3"/>
      <c r="I289" s="3"/>
      <c r="J289" s="3"/>
      <c r="K289" s="3"/>
      <c r="L289" s="3"/>
      <c r="M289" s="651"/>
      <c r="N289" s="3"/>
      <c r="O289" s="3"/>
      <c r="P289" s="3"/>
      <c r="Q289" s="3"/>
      <c r="R289" s="651"/>
      <c r="S289" s="83" t="str">
        <f>IF(CareerType=Y289,"Prêtre consacré (cloîtré)",IF(AllCareers="X","Prêtre consacré (cloîtré)",IF(Selectsousrace="","",IF(OR(SelectRace="homme-bête",SelectRace="peau-verte",SelectRace="créature du chaos",SelectRace="Homme-lézard",SelectRace="skaven"),"",IF(FirstCareer="1ère carrière","","Prêtre consacré (cloîtré)")))))</f>
        <v/>
      </c>
      <c r="T289" s="85">
        <v>2</v>
      </c>
      <c r="U289" s="693" t="str">
        <f t="shared" si="152"/>
        <v/>
      </c>
      <c r="V289" s="693" t="str">
        <f t="shared" si="153"/>
        <v/>
      </c>
      <c r="W289" s="693" t="str">
        <f t="shared" si="154"/>
        <v/>
      </c>
      <c r="X289" s="47" t="s">
        <v>2153</v>
      </c>
      <c r="Y289" s="744" t="s">
        <v>15709</v>
      </c>
      <c r="Z289" s="55" t="s">
        <v>538</v>
      </c>
      <c r="AA289" s="47">
        <v>185</v>
      </c>
      <c r="AB289" s="47" t="s">
        <v>2402</v>
      </c>
      <c r="AC289" s="47">
        <v>13</v>
      </c>
      <c r="AD289" s="15" t="s">
        <v>98</v>
      </c>
      <c r="AE289" s="15" t="s">
        <v>98</v>
      </c>
      <c r="AF289" s="15" t="s">
        <v>98</v>
      </c>
      <c r="AG289" s="15" t="s">
        <v>98</v>
      </c>
      <c r="AH289" s="15" t="s">
        <v>101</v>
      </c>
      <c r="AI289" s="15" t="s">
        <v>100</v>
      </c>
      <c r="AJ289" s="15" t="s">
        <v>99</v>
      </c>
      <c r="AK289" s="18" t="s">
        <v>100</v>
      </c>
      <c r="AL289" s="15" t="s">
        <v>102</v>
      </c>
      <c r="AM289" s="15" t="s">
        <v>114</v>
      </c>
      <c r="AN289" s="15" t="s">
        <v>149</v>
      </c>
      <c r="AO289" s="15" t="s">
        <v>113</v>
      </c>
      <c r="AP289" s="22" t="s">
        <v>622</v>
      </c>
      <c r="AQ289" s="87" t="s">
        <v>734</v>
      </c>
      <c r="AR289" s="87" t="s">
        <v>10016</v>
      </c>
      <c r="AS289" s="87" t="s">
        <v>734</v>
      </c>
      <c r="AT289" s="22" t="s">
        <v>3558</v>
      </c>
      <c r="AU289" s="87" t="s">
        <v>5373</v>
      </c>
      <c r="AV289" s="87" t="s">
        <v>4319</v>
      </c>
      <c r="AW289" s="457">
        <v>0</v>
      </c>
      <c r="AX289" s="630" t="str">
        <f t="shared" si="156"/>
        <v/>
      </c>
      <c r="AY289" s="630" t="str">
        <f t="shared" si="157"/>
        <v/>
      </c>
      <c r="AZ289" s="630" t="str">
        <f t="shared" si="158"/>
        <v/>
      </c>
      <c r="BA289" s="3"/>
      <c r="BB289" s="3"/>
      <c r="BC289" s="3"/>
      <c r="BD289" s="3"/>
      <c r="BE289" s="3"/>
      <c r="BF289" s="3"/>
      <c r="BG289" s="3"/>
      <c r="BH289" s="3"/>
      <c r="BI289" s="3"/>
      <c r="BJ289" s="3"/>
      <c r="BK289" s="3"/>
      <c r="BL289" s="3"/>
      <c r="BM289" s="3"/>
      <c r="BN289" s="3"/>
      <c r="BP289" s="3"/>
      <c r="BQ289" s="3"/>
      <c r="BR289" s="3"/>
      <c r="BS289" s="3"/>
      <c r="BT289" s="3"/>
      <c r="BU289" s="3"/>
      <c r="BV289" s="3"/>
      <c r="BW289" s="3"/>
      <c r="BX289" s="3" t="str">
        <f>IF(Province="République de Verezzo","Cité de Verezzo","")</f>
        <v/>
      </c>
      <c r="BY289" t="str">
        <f t="shared" si="155"/>
        <v/>
      </c>
      <c r="BZ289" s="83" t="str">
        <f t="shared" si="147"/>
        <v/>
      </c>
      <c r="CA289" s="83" t="str">
        <f t="shared" si="148"/>
        <v/>
      </c>
      <c r="CB289" s="530" t="str">
        <f t="shared" si="149"/>
        <v/>
      </c>
      <c r="CG289" s="3" t="s">
        <v>6339</v>
      </c>
      <c r="CH289" s="83" t="s">
        <v>8740</v>
      </c>
      <c r="CI289" s="3"/>
      <c r="CJ289" s="3"/>
      <c r="CK289" s="3" t="s">
        <v>6964</v>
      </c>
      <c r="CM289" t="s">
        <v>10421</v>
      </c>
      <c r="CN289" s="3"/>
      <c r="CO289" s="3" t="s">
        <v>11064</v>
      </c>
      <c r="CP289" s="3"/>
      <c r="CQ289" s="3"/>
      <c r="CR289" s="3" t="s">
        <v>13656</v>
      </c>
      <c r="CS289" s="3"/>
      <c r="CT289" s="3"/>
      <c r="CU289" s="3"/>
      <c r="CV289" s="3"/>
      <c r="CW289" s="3"/>
      <c r="CX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U289" s="25" t="str">
        <f>IF(OR(Dieu="Nurgle",Dieu="Hôsô",Dieu="Râvana",Dieu="Nieglen",Dieu="Ualapt"),"Bandits au Sang Bleu","")</f>
        <v/>
      </c>
      <c r="EV289" s="83" t="str">
        <f t="shared" si="146"/>
        <v/>
      </c>
      <c r="EW289" s="83" t="str">
        <f t="shared" si="150"/>
        <v/>
      </c>
      <c r="EX289" s="530" t="str">
        <f t="shared" si="151"/>
        <v/>
      </c>
      <c r="EY289" s="85" t="s">
        <v>15402</v>
      </c>
      <c r="EZ289" s="530" t="s">
        <v>17239</v>
      </c>
      <c r="FB289" s="83" t="s">
        <v>7389</v>
      </c>
      <c r="FC289" s="133" t="s">
        <v>5751</v>
      </c>
      <c r="FD289" s="83" t="s">
        <v>7365</v>
      </c>
      <c r="FE289" s="849">
        <v>109</v>
      </c>
      <c r="FF289">
        <v>47</v>
      </c>
      <c r="FG289">
        <v>44</v>
      </c>
      <c r="FH289">
        <v>44</v>
      </c>
      <c r="FI289">
        <v>43</v>
      </c>
      <c r="FJ289" s="10">
        <v>35</v>
      </c>
      <c r="FK289">
        <v>32</v>
      </c>
      <c r="FL289">
        <v>34</v>
      </c>
      <c r="FM289" s="165">
        <v>30</v>
      </c>
      <c r="FN289" s="88">
        <v>2</v>
      </c>
      <c r="FO289" s="88">
        <v>13</v>
      </c>
      <c r="FP289" s="164">
        <f>ROUNDDOWN(FH289/10,0)</f>
        <v>4</v>
      </c>
      <c r="FQ289" s="164">
        <f>ROUNDDOWN(FI289/10,0)</f>
        <v>4</v>
      </c>
      <c r="FR289" s="682">
        <v>4</v>
      </c>
      <c r="FS289" s="88">
        <v>0</v>
      </c>
      <c r="FT289" s="88">
        <v>0</v>
      </c>
      <c r="FU289" s="165">
        <v>0</v>
      </c>
      <c r="FV289" s="83" t="s">
        <v>7434</v>
      </c>
      <c r="FW289" s="83" t="s">
        <v>7388</v>
      </c>
      <c r="FX289" s="530" t="s">
        <v>7667</v>
      </c>
      <c r="GF289" t="s">
        <v>8295</v>
      </c>
    </row>
    <row r="290" spans="8:188" ht="13.2" customHeight="1">
      <c r="H290" s="3"/>
      <c r="I290" s="3"/>
      <c r="J290" s="3"/>
      <c r="K290" s="3"/>
      <c r="L290" s="3"/>
      <c r="M290" s="651"/>
      <c r="N290" s="3"/>
      <c r="O290" s="3"/>
      <c r="P290" s="3"/>
      <c r="Q290" s="3"/>
      <c r="R290" s="651"/>
      <c r="S290" s="83" t="str">
        <f>IF(CareerType=Y290,"Prêtre consacré (ordinaire)",IF(AllCareers="X","Prêtre consacré (ordinaire)",IF(Selectsousrace="","",IF(OR(SelectRace="homme-bête",SelectRace="peau-verte",SelectRace="créature du chaos",SelectRace="Homme-lézard",SelectRace="skaven"),"",IF(FirstCareer="1ère carrière","","Prêtre consacré (ordinaire)")))))</f>
        <v/>
      </c>
      <c r="T290" s="85">
        <v>2</v>
      </c>
      <c r="U290" s="693" t="str">
        <f t="shared" si="152"/>
        <v/>
      </c>
      <c r="V290" s="693" t="str">
        <f t="shared" si="153"/>
        <v/>
      </c>
      <c r="W290" s="693" t="str">
        <f t="shared" si="154"/>
        <v/>
      </c>
      <c r="X290" s="47" t="s">
        <v>2153</v>
      </c>
      <c r="Y290" s="744" t="s">
        <v>15709</v>
      </c>
      <c r="Z290" s="55" t="s">
        <v>538</v>
      </c>
      <c r="AA290" s="47">
        <v>186</v>
      </c>
      <c r="AB290" s="47" t="s">
        <v>2402</v>
      </c>
      <c r="AC290" s="47">
        <v>13</v>
      </c>
      <c r="AD290" s="15" t="s">
        <v>101</v>
      </c>
      <c r="AE290" s="15" t="s">
        <v>101</v>
      </c>
      <c r="AF290" s="15" t="s">
        <v>101</v>
      </c>
      <c r="AG290" s="15" t="s">
        <v>98</v>
      </c>
      <c r="AH290" s="15" t="s">
        <v>101</v>
      </c>
      <c r="AI290" s="15" t="s">
        <v>101</v>
      </c>
      <c r="AJ290" s="15" t="s">
        <v>99</v>
      </c>
      <c r="AK290" s="18" t="s">
        <v>100</v>
      </c>
      <c r="AL290" s="15" t="s">
        <v>102</v>
      </c>
      <c r="AM290" s="15" t="s">
        <v>112</v>
      </c>
      <c r="AN290" s="15" t="s">
        <v>149</v>
      </c>
      <c r="AO290" s="15" t="s">
        <v>149</v>
      </c>
      <c r="AP290" s="22" t="s">
        <v>1504</v>
      </c>
      <c r="AQ290" s="87" t="s">
        <v>734</v>
      </c>
      <c r="AR290" s="87" t="s">
        <v>15836</v>
      </c>
      <c r="AS290" s="87" t="s">
        <v>734</v>
      </c>
      <c r="AT290" s="22" t="s">
        <v>3558</v>
      </c>
      <c r="AU290" s="87" t="s">
        <v>5374</v>
      </c>
      <c r="AV290" s="87" t="s">
        <v>4319</v>
      </c>
      <c r="AW290" s="457">
        <v>0</v>
      </c>
      <c r="AX290" s="630" t="str">
        <f t="shared" si="156"/>
        <v/>
      </c>
      <c r="AY290" s="630" t="str">
        <f t="shared" si="157"/>
        <v/>
      </c>
      <c r="AZ290" s="630" t="str">
        <f t="shared" si="158"/>
        <v/>
      </c>
      <c r="BA290" s="3"/>
      <c r="BB290" s="3"/>
      <c r="BC290" s="3"/>
      <c r="BD290" s="3"/>
      <c r="BE290" s="3"/>
      <c r="BF290" s="3"/>
      <c r="BG290" s="3"/>
      <c r="BH290" s="3"/>
      <c r="BI290" s="3"/>
      <c r="BJ290" s="3"/>
      <c r="BK290" s="3"/>
      <c r="BL290" s="3"/>
      <c r="BM290" s="3"/>
      <c r="BN290" s="3"/>
      <c r="BP290" s="3"/>
      <c r="BQ290" s="3"/>
      <c r="BR290" s="3"/>
      <c r="BS290" s="3"/>
      <c r="BT290" s="3"/>
      <c r="BU290" s="3"/>
      <c r="BV290" s="3"/>
      <c r="BW290" s="3"/>
      <c r="BX290" s="3" t="str">
        <f>IF(Province="Principauté de Luccini","Village agricole de Luccini","")</f>
        <v/>
      </c>
      <c r="BY290" t="str">
        <f t="shared" si="155"/>
        <v/>
      </c>
      <c r="BZ290" s="83" t="str">
        <f t="shared" si="147"/>
        <v/>
      </c>
      <c r="CA290" s="83" t="str">
        <f t="shared" si="148"/>
        <v/>
      </c>
      <c r="CB290" s="530" t="str">
        <f t="shared" si="149"/>
        <v/>
      </c>
      <c r="CG290" s="3" t="s">
        <v>6341</v>
      </c>
      <c r="CH290" s="3" t="s">
        <v>6129</v>
      </c>
      <c r="CI290" s="3"/>
      <c r="CJ290" s="3"/>
      <c r="CK290" s="3" t="s">
        <v>6853</v>
      </c>
      <c r="CM290" t="s">
        <v>10422</v>
      </c>
      <c r="CN290" s="3"/>
      <c r="CO290" s="3" t="s">
        <v>11048</v>
      </c>
      <c r="CP290" s="3"/>
      <c r="CQ290" s="3"/>
      <c r="CR290" s="3" t="s">
        <v>13657</v>
      </c>
      <c r="CS290" s="3"/>
      <c r="CT290" s="3"/>
      <c r="CU290" s="3"/>
      <c r="CV290" s="3"/>
      <c r="CW290" s="3"/>
      <c r="CX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U290" s="25" t="str">
        <f>IF(Dieu="Morr","Compagnons du Silence","")</f>
        <v/>
      </c>
      <c r="EV290" s="83" t="str">
        <f t="shared" ref="EV290:EV296" si="159">IF(EU290="","",ROW())</f>
        <v/>
      </c>
      <c r="EW290" s="83" t="str">
        <f t="shared" si="150"/>
        <v/>
      </c>
      <c r="EX290" s="530" t="str">
        <f t="shared" si="151"/>
        <v/>
      </c>
      <c r="EY290" s="85" t="s">
        <v>15706</v>
      </c>
      <c r="EZ290" s="530" t="s">
        <v>17241</v>
      </c>
      <c r="FB290" s="83" t="s">
        <v>14627</v>
      </c>
      <c r="FC290" s="133" t="s">
        <v>5751</v>
      </c>
      <c r="FD290" s="83" t="s">
        <v>7365</v>
      </c>
      <c r="FE290" s="849">
        <v>109</v>
      </c>
      <c r="FF290">
        <v>52</v>
      </c>
      <c r="FG290">
        <v>44</v>
      </c>
      <c r="FH290">
        <v>44</v>
      </c>
      <c r="FI290">
        <v>43</v>
      </c>
      <c r="FJ290" s="10">
        <v>40</v>
      </c>
      <c r="FK290">
        <v>32</v>
      </c>
      <c r="FL290">
        <v>39</v>
      </c>
      <c r="FM290" s="165">
        <v>30</v>
      </c>
      <c r="FN290" s="88">
        <v>2</v>
      </c>
      <c r="FO290" s="88">
        <v>13</v>
      </c>
      <c r="FP290" s="164">
        <f>ROUNDDOWN(FH290/10,0)</f>
        <v>4</v>
      </c>
      <c r="FQ290" s="164">
        <f>ROUNDDOWN(FI290/10,0)</f>
        <v>4</v>
      </c>
      <c r="FR290" s="682">
        <v>4</v>
      </c>
      <c r="FS290" s="88">
        <v>0</v>
      </c>
      <c r="FT290" s="88">
        <v>0</v>
      </c>
      <c r="FU290" s="165">
        <v>0</v>
      </c>
      <c r="FV290" s="83" t="s">
        <v>7435</v>
      </c>
      <c r="FW290" s="83" t="s">
        <v>7390</v>
      </c>
      <c r="FX290" s="530" t="s">
        <v>7666</v>
      </c>
      <c r="GF290" t="s">
        <v>8285</v>
      </c>
    </row>
    <row r="291" spans="8:188" ht="13.2" customHeight="1">
      <c r="H291" s="3"/>
      <c r="I291" s="3"/>
      <c r="J291" s="3"/>
      <c r="K291" s="3"/>
      <c r="L291" s="3"/>
      <c r="M291" s="651"/>
      <c r="N291" s="3"/>
      <c r="O291" s="3"/>
      <c r="P291" s="3"/>
      <c r="Q291" s="3"/>
      <c r="R291" s="651"/>
      <c r="S291" s="83" t="str">
        <f>IF(CareerType=Y291,"Prêtre de la peste",IF(AllCareers="X","Prêtre de la peste",IF(FirstCareer="1ère carrière","",IF(SelectRace="skaven","Prêtre de la peste",""))))</f>
        <v/>
      </c>
      <c r="T291" s="106">
        <f>IF(X291="oui",0,1)</f>
        <v>1</v>
      </c>
      <c r="U291" s="693" t="str">
        <f t="shared" si="152"/>
        <v/>
      </c>
      <c r="V291" s="693" t="str">
        <f t="shared" si="153"/>
        <v/>
      </c>
      <c r="W291" s="693" t="str">
        <f t="shared" si="154"/>
        <v/>
      </c>
      <c r="X291" s="47" t="s">
        <v>2153</v>
      </c>
      <c r="Y291" s="744" t="s">
        <v>15709</v>
      </c>
      <c r="Z291" s="56" t="s">
        <v>1328</v>
      </c>
      <c r="AA291" s="47">
        <v>101</v>
      </c>
      <c r="AB291" s="89" t="s">
        <v>10838</v>
      </c>
      <c r="AC291" s="48"/>
      <c r="AD291" s="105" t="s">
        <v>100</v>
      </c>
      <c r="AE291" s="105" t="s">
        <v>98</v>
      </c>
      <c r="AF291" s="105" t="s">
        <v>101</v>
      </c>
      <c r="AG291" s="105" t="s">
        <v>99</v>
      </c>
      <c r="AH291" s="105" t="s">
        <v>100</v>
      </c>
      <c r="AI291" s="105" t="s">
        <v>98</v>
      </c>
      <c r="AJ291" s="105" t="s">
        <v>99</v>
      </c>
      <c r="AK291" s="803" t="s">
        <v>101</v>
      </c>
      <c r="AL291" s="105" t="s">
        <v>102</v>
      </c>
      <c r="AM291" s="105" t="s">
        <v>112</v>
      </c>
      <c r="AN291" s="105" t="s">
        <v>149</v>
      </c>
      <c r="AO291" s="105" t="s">
        <v>113</v>
      </c>
      <c r="AP291" s="804" t="s">
        <v>734</v>
      </c>
      <c r="AQ291" s="804" t="s">
        <v>3102</v>
      </c>
      <c r="AR291" s="804" t="s">
        <v>15837</v>
      </c>
      <c r="AS291" s="804" t="s">
        <v>15928</v>
      </c>
      <c r="AT291" s="804" t="s">
        <v>3506</v>
      </c>
      <c r="AU291" s="804" t="s">
        <v>5506</v>
      </c>
      <c r="AV291" s="804" t="s">
        <v>4804</v>
      </c>
      <c r="AW291" s="805">
        <v>0</v>
      </c>
      <c r="AX291" s="630" t="str">
        <f t="shared" si="156"/>
        <v/>
      </c>
      <c r="AY291" s="630" t="str">
        <f t="shared" si="157"/>
        <v/>
      </c>
      <c r="AZ291" s="630" t="str">
        <f t="shared" si="158"/>
        <v/>
      </c>
      <c r="BA291" s="3"/>
      <c r="BB291" s="3"/>
      <c r="BC291" s="3"/>
      <c r="BD291" s="3"/>
      <c r="BE291" s="3"/>
      <c r="BF291" s="3"/>
      <c r="BG291" s="3"/>
      <c r="BH291" s="3"/>
      <c r="BI291" s="3"/>
      <c r="BJ291" s="3"/>
      <c r="BK291" s="3"/>
      <c r="BL291" s="3"/>
      <c r="BM291" s="3"/>
      <c r="BN291" s="3"/>
      <c r="BP291" s="3"/>
      <c r="BQ291" s="3"/>
      <c r="BR291" s="3"/>
      <c r="BS291" s="3"/>
      <c r="BT291" s="3"/>
      <c r="BU291" s="3"/>
      <c r="BV291" s="3"/>
      <c r="BW291" s="3"/>
      <c r="BX291" s="3" t="str">
        <f>IF(Province="Principauté de Remas","Village agricole de Remas","")</f>
        <v/>
      </c>
      <c r="BY291" t="str">
        <f t="shared" si="155"/>
        <v/>
      </c>
      <c r="BZ291" s="83" t="str">
        <f t="shared" si="147"/>
        <v/>
      </c>
      <c r="CA291" s="83" t="str">
        <f t="shared" si="148"/>
        <v/>
      </c>
      <c r="CB291" s="530" t="str">
        <f t="shared" si="149"/>
        <v/>
      </c>
      <c r="CG291" s="3" t="s">
        <v>6340</v>
      </c>
      <c r="CH291" s="3"/>
      <c r="CI291" s="3"/>
      <c r="CJ291" s="3"/>
      <c r="CK291" s="3" t="s">
        <v>6968</v>
      </c>
      <c r="CM291" t="s">
        <v>10423</v>
      </c>
      <c r="CN291" s="3"/>
      <c r="CO291" s="3" t="s">
        <v>11058</v>
      </c>
      <c r="CP291" s="3"/>
      <c r="CQ291" s="3"/>
      <c r="CR291" t="s">
        <v>13658</v>
      </c>
      <c r="CS291" s="3"/>
      <c r="CT291" s="3"/>
      <c r="CU291" s="3"/>
      <c r="CV291" s="3"/>
      <c r="CW291" s="3"/>
      <c r="CX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U291" s="177" t="str">
        <f>IF(Dieu="Myrmidia","Ordre des Chevaliers du Titan Impitoyable","")</f>
        <v/>
      </c>
      <c r="EV291" s="83" t="str">
        <f t="shared" si="159"/>
        <v/>
      </c>
      <c r="EW291" s="83" t="str">
        <f t="shared" si="150"/>
        <v/>
      </c>
      <c r="EX291" s="530" t="str">
        <f t="shared" si="151"/>
        <v/>
      </c>
      <c r="EY291" s="83" t="s">
        <v>5880</v>
      </c>
      <c r="EZ291" s="530" t="s">
        <v>5877</v>
      </c>
      <c r="FB291" s="83" t="s">
        <v>5702</v>
      </c>
      <c r="FC291" s="133" t="s">
        <v>5751</v>
      </c>
      <c r="FD291" s="83" t="s">
        <v>7365</v>
      </c>
      <c r="FE291" s="849">
        <v>109</v>
      </c>
      <c r="FF291">
        <v>37</v>
      </c>
      <c r="FG291">
        <v>30</v>
      </c>
      <c r="FH291">
        <v>32</v>
      </c>
      <c r="FI291">
        <v>37</v>
      </c>
      <c r="FJ291" s="10">
        <v>46</v>
      </c>
      <c r="FK291">
        <v>30</v>
      </c>
      <c r="FL291">
        <v>30</v>
      </c>
      <c r="FM291" s="165">
        <v>30</v>
      </c>
      <c r="FN291" s="88">
        <v>1</v>
      </c>
      <c r="FO291" s="88">
        <v>13</v>
      </c>
      <c r="FP291" s="164">
        <f>ROUNDDOWN(FH291/10,0)</f>
        <v>3</v>
      </c>
      <c r="FQ291" s="164">
        <f>ROUNDDOWN(FI291/10,0)</f>
        <v>3</v>
      </c>
      <c r="FR291" s="682">
        <v>5</v>
      </c>
      <c r="FS291" s="88">
        <v>0</v>
      </c>
      <c r="FT291" s="88">
        <v>0</v>
      </c>
      <c r="FU291" s="165">
        <v>0</v>
      </c>
      <c r="FV291" s="83" t="s">
        <v>17231</v>
      </c>
      <c r="FW291" s="83" t="s">
        <v>7393</v>
      </c>
      <c r="FX291" s="530" t="s">
        <v>7668</v>
      </c>
      <c r="GF291" t="s">
        <v>8286</v>
      </c>
    </row>
    <row r="292" spans="8:188" ht="13.2" customHeight="1">
      <c r="H292" s="3"/>
      <c r="I292" s="3"/>
      <c r="J292" s="3"/>
      <c r="K292" s="3"/>
      <c r="L292" s="3"/>
      <c r="M292" s="651"/>
      <c r="N292" s="3"/>
      <c r="O292" s="3"/>
      <c r="P292" s="3"/>
      <c r="Q292" s="3"/>
      <c r="R292" s="651"/>
      <c r="S292" s="83" t="str">
        <f>IF(CareerType=Y292,"Prêtre laïque",IF(AllCareers="X","Prêtre laïque",IF(Selectsousrace="","",IF(OR(SelectRace="homme-bête",SelectRace="peau-verte",SelectRace="créature du chaos",SelectRace="Homme-lézard",SelectRace="skaven"),"",IF(FirstCareer="1ère carrière","","Prêtre laïque")))))</f>
        <v/>
      </c>
      <c r="T292" s="85">
        <v>2</v>
      </c>
      <c r="U292" s="693" t="str">
        <f t="shared" si="152"/>
        <v/>
      </c>
      <c r="V292" s="693" t="str">
        <f t="shared" si="153"/>
        <v/>
      </c>
      <c r="W292" s="693" t="str">
        <f t="shared" si="154"/>
        <v/>
      </c>
      <c r="X292" s="48" t="s">
        <v>2153</v>
      </c>
      <c r="Y292" s="744" t="s">
        <v>7131</v>
      </c>
      <c r="Z292" s="55" t="s">
        <v>2176</v>
      </c>
      <c r="AA292" s="48">
        <v>131</v>
      </c>
      <c r="AB292" s="48" t="s">
        <v>2182</v>
      </c>
      <c r="AC292" s="48">
        <v>131</v>
      </c>
      <c r="AD292" s="15" t="s">
        <v>101</v>
      </c>
      <c r="AE292" s="15" t="s">
        <v>98</v>
      </c>
      <c r="AF292" s="15" t="s">
        <v>114</v>
      </c>
      <c r="AG292" s="15" t="s">
        <v>98</v>
      </c>
      <c r="AH292" s="15" t="s">
        <v>98</v>
      </c>
      <c r="AI292" s="15" t="s">
        <v>101</v>
      </c>
      <c r="AJ292" s="15" t="s">
        <v>100</v>
      </c>
      <c r="AK292" s="18" t="s">
        <v>100</v>
      </c>
      <c r="AL292" s="15" t="s">
        <v>149</v>
      </c>
      <c r="AM292" s="15" t="s">
        <v>112</v>
      </c>
      <c r="AN292" s="15" t="s">
        <v>149</v>
      </c>
      <c r="AO292" s="15" t="s">
        <v>149</v>
      </c>
      <c r="AP292" s="22" t="s">
        <v>2183</v>
      </c>
      <c r="AQ292" s="87" t="s">
        <v>734</v>
      </c>
      <c r="AR292" s="22" t="s">
        <v>2184</v>
      </c>
      <c r="AS292" s="87" t="s">
        <v>734</v>
      </c>
      <c r="AT292" s="22" t="s">
        <v>3544</v>
      </c>
      <c r="AU292" s="87" t="s">
        <v>5488</v>
      </c>
      <c r="AV292" s="87" t="s">
        <v>4783</v>
      </c>
      <c r="AW292" s="457">
        <v>0</v>
      </c>
      <c r="AX292" s="630" t="str">
        <f t="shared" si="156"/>
        <v/>
      </c>
      <c r="AY292" s="630" t="str">
        <f t="shared" si="157"/>
        <v/>
      </c>
      <c r="AZ292" s="630" t="str">
        <f t="shared" si="158"/>
        <v/>
      </c>
      <c r="BA292" s="3"/>
      <c r="BB292" s="3"/>
      <c r="BC292" s="3"/>
      <c r="BD292" s="3"/>
      <c r="BE292" s="3"/>
      <c r="BF292" s="3"/>
      <c r="BG292" s="3"/>
      <c r="BH292" s="3"/>
      <c r="BI292" s="3"/>
      <c r="BJ292" s="3"/>
      <c r="BK292" s="3"/>
      <c r="BL292" s="3"/>
      <c r="BM292" s="3"/>
      <c r="BN292" s="3"/>
      <c r="BP292" s="3"/>
      <c r="BQ292" s="3"/>
      <c r="BR292" s="3"/>
      <c r="BS292" s="3"/>
      <c r="BT292" s="3"/>
      <c r="BU292" s="3"/>
      <c r="BV292" s="3"/>
      <c r="BW292" s="3"/>
      <c r="BX292" s="3" t="str">
        <f>IF(Province="Principauté de Sartosa","Village agricole de Sartosa","")</f>
        <v/>
      </c>
      <c r="BY292" t="str">
        <f t="shared" si="155"/>
        <v/>
      </c>
      <c r="BZ292" s="83" t="str">
        <f t="shared" si="147"/>
        <v/>
      </c>
      <c r="CA292" s="83" t="str">
        <f t="shared" si="148"/>
        <v/>
      </c>
      <c r="CB292" s="530" t="str">
        <f t="shared" si="149"/>
        <v/>
      </c>
      <c r="CG292" s="83" t="s">
        <v>15241</v>
      </c>
      <c r="CH292" s="3"/>
      <c r="CI292" s="3"/>
      <c r="CJ292" s="3"/>
      <c r="CK292" s="3" t="s">
        <v>6929</v>
      </c>
      <c r="CM292" t="s">
        <v>10424</v>
      </c>
      <c r="CN292" s="3"/>
      <c r="CO292" s="83" t="s">
        <v>13288</v>
      </c>
      <c r="CP292" s="3"/>
      <c r="CQ292" s="3"/>
      <c r="CR292" s="3" t="s">
        <v>13659</v>
      </c>
      <c r="CS292" s="3"/>
      <c r="CT292" s="3"/>
      <c r="CU292" s="3"/>
      <c r="CV292" s="3"/>
      <c r="CW292" s="3"/>
      <c r="CX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U292" s="177" t="str">
        <f>IF(Dieu="Myrmidia","Ordre  des Chevaliers du Bouclier Étoilé","")</f>
        <v/>
      </c>
      <c r="EV292" s="83" t="str">
        <f t="shared" si="159"/>
        <v/>
      </c>
      <c r="EW292" s="83" t="str">
        <f t="shared" si="150"/>
        <v/>
      </c>
      <c r="EX292" s="530" t="str">
        <f t="shared" si="151"/>
        <v/>
      </c>
      <c r="EY292" s="83" t="s">
        <v>5880</v>
      </c>
      <c r="EZ292" s="530" t="s">
        <v>5877</v>
      </c>
      <c r="FB292" s="83" t="s">
        <v>15455</v>
      </c>
      <c r="FC292" s="133" t="s">
        <v>5751</v>
      </c>
      <c r="FD292" s="85" t="s">
        <v>2217</v>
      </c>
      <c r="FE292" s="849">
        <v>124</v>
      </c>
      <c r="FF292">
        <v>45</v>
      </c>
      <c r="FG292">
        <v>29</v>
      </c>
      <c r="FH292">
        <v>39</v>
      </c>
      <c r="FI292">
        <v>36</v>
      </c>
      <c r="FJ292" s="10">
        <v>67</v>
      </c>
      <c r="FK292">
        <v>58</v>
      </c>
      <c r="FL292">
        <v>42</v>
      </c>
      <c r="FM292" s="165">
        <v>61</v>
      </c>
      <c r="FN292" s="88">
        <v>2</v>
      </c>
      <c r="FO292" s="88">
        <v>15</v>
      </c>
      <c r="FP292" s="164">
        <f>ROUNDDOWN(FH292/10,0)</f>
        <v>3</v>
      </c>
      <c r="FQ292" s="691">
        <f>ROUNDDOWN(FI292/10,0)</f>
        <v>3</v>
      </c>
      <c r="FR292" s="10">
        <v>5</v>
      </c>
      <c r="FS292" s="88">
        <v>0</v>
      </c>
      <c r="FT292" s="88">
        <v>0</v>
      </c>
      <c r="FU292" s="165">
        <v>0</v>
      </c>
      <c r="FV292" s="83" t="s">
        <v>15456</v>
      </c>
      <c r="FW292" s="83" t="s">
        <v>15457</v>
      </c>
      <c r="FX292" s="530" t="s">
        <v>7667</v>
      </c>
      <c r="GF292" t="s">
        <v>7802</v>
      </c>
    </row>
    <row r="293" spans="8:188" ht="13.2" customHeight="1">
      <c r="H293" s="3"/>
      <c r="I293" s="3"/>
      <c r="J293" s="3"/>
      <c r="K293" s="3"/>
      <c r="L293" s="3"/>
      <c r="M293" s="651"/>
      <c r="N293" s="3"/>
      <c r="O293" s="3"/>
      <c r="P293" s="3"/>
      <c r="Q293" s="3"/>
      <c r="R293" s="651"/>
      <c r="S293" s="83" t="str">
        <f>IF(CareerType=Y293,"Prêtre-guerrier",IF(AllCareers="X","Prêtre-guerrier",IF(Selectsousrace="","",IF(OR(SelectRace="homme-bête",SelectRace="peau-verte",SelectRace="créature du chaos",SelectRace="Homme-lézard",SelectRace="skaven"),"",IF(FirstCareer="1ère carrière","","Prêtre-guerrier")))))</f>
        <v/>
      </c>
      <c r="T293" s="85">
        <v>2</v>
      </c>
      <c r="U293" s="693" t="str">
        <f t="shared" si="152"/>
        <v/>
      </c>
      <c r="V293" s="693" t="str">
        <f t="shared" si="153"/>
        <v/>
      </c>
      <c r="W293" s="693" t="str">
        <f t="shared" si="154"/>
        <v/>
      </c>
      <c r="X293" s="47" t="s">
        <v>2153</v>
      </c>
      <c r="Y293" s="743" t="s">
        <v>7130</v>
      </c>
      <c r="Z293" s="55" t="s">
        <v>538</v>
      </c>
      <c r="AA293" s="47">
        <v>210</v>
      </c>
      <c r="AB293" s="47" t="s">
        <v>2403</v>
      </c>
      <c r="AC293" s="47">
        <v>224</v>
      </c>
      <c r="AD293" s="15" t="s">
        <v>100</v>
      </c>
      <c r="AE293" s="15" t="s">
        <v>101</v>
      </c>
      <c r="AF293" s="15" t="s">
        <v>98</v>
      </c>
      <c r="AG293" s="15" t="s">
        <v>98</v>
      </c>
      <c r="AH293" s="15" t="s">
        <v>101</v>
      </c>
      <c r="AI293" s="15" t="s">
        <v>101</v>
      </c>
      <c r="AJ293" s="15" t="s">
        <v>99</v>
      </c>
      <c r="AK293" s="18" t="s">
        <v>101</v>
      </c>
      <c r="AL293" s="15" t="s">
        <v>102</v>
      </c>
      <c r="AM293" s="15" t="s">
        <v>114</v>
      </c>
      <c r="AN293" s="15" t="s">
        <v>149</v>
      </c>
      <c r="AO293" s="15" t="s">
        <v>113</v>
      </c>
      <c r="AP293" s="87" t="s">
        <v>12158</v>
      </c>
      <c r="AQ293" s="87" t="s">
        <v>734</v>
      </c>
      <c r="AR293" s="22" t="s">
        <v>1251</v>
      </c>
      <c r="AS293" s="87" t="s">
        <v>734</v>
      </c>
      <c r="AT293" s="22" t="s">
        <v>3559</v>
      </c>
      <c r="AU293" s="87" t="s">
        <v>5376</v>
      </c>
      <c r="AV293" s="87" t="s">
        <v>4731</v>
      </c>
      <c r="AW293" s="457">
        <v>0</v>
      </c>
      <c r="AX293" s="630" t="str">
        <f t="shared" si="156"/>
        <v/>
      </c>
      <c r="AY293" s="630" t="str">
        <f t="shared" si="157"/>
        <v/>
      </c>
      <c r="AZ293" s="630" t="str">
        <f t="shared" si="158"/>
        <v/>
      </c>
      <c r="BA293" s="3"/>
      <c r="BB293" s="3"/>
      <c r="BC293" s="3"/>
      <c r="BD293" s="3"/>
      <c r="BE293" s="3"/>
      <c r="BF293" s="3"/>
      <c r="BG293" s="3"/>
      <c r="BH293" s="3"/>
      <c r="BI293" s="3"/>
      <c r="BJ293" s="3"/>
      <c r="BK293" s="3"/>
      <c r="BL293" s="3"/>
      <c r="BM293" s="3"/>
      <c r="BN293" s="3"/>
      <c r="BP293" s="3"/>
      <c r="BQ293" s="3"/>
      <c r="BR293" s="3"/>
      <c r="BS293" s="3"/>
      <c r="BT293" s="3"/>
      <c r="BU293" s="3"/>
      <c r="BV293" s="3"/>
      <c r="BW293" s="3"/>
      <c r="BX293" s="3" t="str">
        <f>IF(Province="Principauté de Tobaro","Village agricole de Tobaro","")</f>
        <v/>
      </c>
      <c r="BY293" t="str">
        <f t="shared" si="155"/>
        <v/>
      </c>
      <c r="BZ293" s="83" t="str">
        <f t="shared" si="147"/>
        <v/>
      </c>
      <c r="CA293" s="83" t="str">
        <f t="shared" si="148"/>
        <v/>
      </c>
      <c r="CB293" s="530" t="str">
        <f t="shared" si="149"/>
        <v/>
      </c>
      <c r="CG293" s="3" t="s">
        <v>6342</v>
      </c>
      <c r="CH293" s="3"/>
      <c r="CI293" s="3"/>
      <c r="CJ293" s="3"/>
      <c r="CK293" s="3" t="s">
        <v>6892</v>
      </c>
      <c r="CM293" s="83" t="s">
        <v>15237</v>
      </c>
      <c r="CN293" s="3"/>
      <c r="CO293" t="s">
        <v>14892</v>
      </c>
      <c r="CP293" s="3"/>
      <c r="CQ293" s="3"/>
      <c r="CR293" t="s">
        <v>13660</v>
      </c>
      <c r="CS293" s="3"/>
      <c r="CT293" s="3"/>
      <c r="CU293" s="3"/>
      <c r="CV293" s="3"/>
      <c r="CW293" s="3"/>
      <c r="CX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U293" s="177" t="str">
        <f>IF(Dieu="Sigmar","Ordre  des Chevaliers du Griffon","")</f>
        <v/>
      </c>
      <c r="EV293" s="83" t="str">
        <f t="shared" si="159"/>
        <v/>
      </c>
      <c r="EW293" s="83" t="str">
        <f t="shared" si="150"/>
        <v/>
      </c>
      <c r="EX293" s="530" t="str">
        <f t="shared" si="151"/>
        <v/>
      </c>
      <c r="EY293" s="83" t="s">
        <v>5880</v>
      </c>
      <c r="EZ293" s="530" t="s">
        <v>11256</v>
      </c>
      <c r="FB293" s="83" t="s">
        <v>5712</v>
      </c>
      <c r="FC293" s="133" t="s">
        <v>5751</v>
      </c>
      <c r="FD293" s="83" t="s">
        <v>2200</v>
      </c>
      <c r="FE293" s="849">
        <v>233</v>
      </c>
      <c r="FF293">
        <v>33</v>
      </c>
      <c r="FG293">
        <v>32</v>
      </c>
      <c r="FH293">
        <v>40</v>
      </c>
      <c r="FI293">
        <v>35</v>
      </c>
      <c r="FJ293" s="10">
        <v>29</v>
      </c>
      <c r="FK293">
        <v>25</v>
      </c>
      <c r="FL293">
        <v>30</v>
      </c>
      <c r="FM293" s="165">
        <v>28</v>
      </c>
      <c r="FN293" s="88">
        <v>1</v>
      </c>
      <c r="FO293" s="88">
        <v>11</v>
      </c>
      <c r="FP293" s="164">
        <f>ROUNDDOWN(FH293/10,0)</f>
        <v>4</v>
      </c>
      <c r="FQ293" s="164">
        <f>ROUNDDOWN(FI293/10,0)</f>
        <v>3</v>
      </c>
      <c r="FR293" s="682">
        <v>4</v>
      </c>
      <c r="FS293" s="88">
        <v>0</v>
      </c>
      <c r="FT293" s="88">
        <v>0</v>
      </c>
      <c r="FU293" s="165">
        <v>0</v>
      </c>
      <c r="FV293" s="83" t="s">
        <v>7436</v>
      </c>
      <c r="FW293" s="83" t="s">
        <v>7409</v>
      </c>
      <c r="FX293" s="751" t="s">
        <v>7667</v>
      </c>
      <c r="GF293" t="s">
        <v>7806</v>
      </c>
    </row>
    <row r="294" spans="8:188" ht="13.2" customHeight="1">
      <c r="H294" s="3"/>
      <c r="I294" s="3"/>
      <c r="J294" s="3"/>
      <c r="K294" s="3"/>
      <c r="L294" s="3"/>
      <c r="M294" s="651"/>
      <c r="N294" s="3"/>
      <c r="O294" s="3"/>
      <c r="P294" s="3"/>
      <c r="Q294" s="3"/>
      <c r="R294" s="651"/>
      <c r="S294" s="83" t="str">
        <f>IF(CareerType=Y294,"Prince démon",IF(AllCareers="X","Prince démon",IF(Selectsousrace="","",IF(OR(SelectRace="homme-bête",SelectRace="peau-verte",SelectRace="créature du chaos",SelectRace="Homme-lézard",SelectRace="skaven"),"",IF(FirstCareer="1ère carrière","","Prince démon")))))</f>
        <v/>
      </c>
      <c r="T294" s="106">
        <f>IF(X294="oui",0,1)</f>
        <v>1</v>
      </c>
      <c r="U294" s="693" t="str">
        <f t="shared" si="152"/>
        <v/>
      </c>
      <c r="V294" s="693" t="str">
        <f t="shared" si="153"/>
        <v/>
      </c>
      <c r="W294" s="693" t="str">
        <f t="shared" si="154"/>
        <v/>
      </c>
      <c r="X294" s="47" t="s">
        <v>2153</v>
      </c>
      <c r="Y294" s="743" t="s">
        <v>7131</v>
      </c>
      <c r="Z294" s="55" t="s">
        <v>2196</v>
      </c>
      <c r="AA294" s="47">
        <v>183</v>
      </c>
      <c r="AB294" s="89" t="s">
        <v>9306</v>
      </c>
      <c r="AC294" s="47"/>
      <c r="AD294" s="15" t="s">
        <v>149</v>
      </c>
      <c r="AE294" s="15" t="s">
        <v>149</v>
      </c>
      <c r="AF294" s="15" t="s">
        <v>100</v>
      </c>
      <c r="AG294" s="15" t="s">
        <v>100</v>
      </c>
      <c r="AH294" s="15" t="s">
        <v>100</v>
      </c>
      <c r="AI294" s="15" t="s">
        <v>149</v>
      </c>
      <c r="AJ294" s="15" t="s">
        <v>149</v>
      </c>
      <c r="AK294" s="18" t="s">
        <v>149</v>
      </c>
      <c r="AL294" s="15" t="s">
        <v>149</v>
      </c>
      <c r="AM294" s="164" t="str">
        <f>CONCATENATE("+",'page 1'!G28)</f>
        <v>+</v>
      </c>
      <c r="AN294" s="15" t="s">
        <v>149</v>
      </c>
      <c r="AO294" s="15" t="s">
        <v>149</v>
      </c>
      <c r="AP294" s="22" t="s">
        <v>771</v>
      </c>
      <c r="AQ294" s="87" t="s">
        <v>8776</v>
      </c>
      <c r="AR294" s="22" t="s">
        <v>734</v>
      </c>
      <c r="AS294" s="22" t="s">
        <v>734</v>
      </c>
      <c r="AT294" s="22" t="s">
        <v>734</v>
      </c>
      <c r="AU294" s="87" t="s">
        <v>4698</v>
      </c>
      <c r="AV294" s="87" t="s">
        <v>4698</v>
      </c>
      <c r="AW294" s="457">
        <v>0</v>
      </c>
      <c r="AX294" s="630" t="str">
        <f t="shared" si="156"/>
        <v/>
      </c>
      <c r="AY294" s="630" t="str">
        <f t="shared" si="157"/>
        <v/>
      </c>
      <c r="AZ294" s="630" t="str">
        <f t="shared" si="158"/>
        <v/>
      </c>
      <c r="BA294" s="3"/>
      <c r="BB294" s="3"/>
      <c r="BC294" s="3"/>
      <c r="BD294" s="3"/>
      <c r="BE294" s="3"/>
      <c r="BF294" s="3"/>
      <c r="BG294" s="3"/>
      <c r="BH294" s="3"/>
      <c r="BI294" s="3"/>
      <c r="BJ294" s="3"/>
      <c r="BK294" s="3"/>
      <c r="BL294" s="3"/>
      <c r="BM294" s="3"/>
      <c r="BN294" s="3"/>
      <c r="BP294" s="3"/>
      <c r="BQ294" s="3"/>
      <c r="BR294" s="3"/>
      <c r="BS294" s="3"/>
      <c r="BT294" s="3"/>
      <c r="BU294" s="3"/>
      <c r="BV294" s="3"/>
      <c r="BW294" s="3"/>
      <c r="BX294" s="3" t="str">
        <f>IF(Province="République de Verezzo","Village agricole de Verezzo","")</f>
        <v/>
      </c>
      <c r="BY294" t="str">
        <f t="shared" si="155"/>
        <v/>
      </c>
      <c r="BZ294" s="83" t="str">
        <f t="shared" si="147"/>
        <v/>
      </c>
      <c r="CA294" s="83" t="str">
        <f t="shared" si="148"/>
        <v/>
      </c>
      <c r="CB294" s="530" t="str">
        <f t="shared" si="149"/>
        <v/>
      </c>
      <c r="CG294" s="3" t="s">
        <v>6343</v>
      </c>
      <c r="CH294" s="3"/>
      <c r="CI294" s="3"/>
      <c r="CJ294" s="3"/>
      <c r="CK294" s="3" t="s">
        <v>6963</v>
      </c>
      <c r="CM294" s="83" t="s">
        <v>15111</v>
      </c>
      <c r="CN294" s="3"/>
      <c r="CO294" s="3" t="s">
        <v>11059</v>
      </c>
      <c r="CP294" s="3"/>
      <c r="CQ294" s="3"/>
      <c r="CR294" s="3" t="s">
        <v>13661</v>
      </c>
      <c r="CS294" s="3"/>
      <c r="CT294" s="3"/>
      <c r="CU294" s="3"/>
      <c r="CV294" s="3"/>
      <c r="CW294" s="3"/>
      <c r="CX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U294" s="177" t="str">
        <f>IF(Dieu="Sigmar","Ordre des Chevaliers du Griffon de Jade","")</f>
        <v/>
      </c>
      <c r="EV294" s="83" t="str">
        <f t="shared" si="159"/>
        <v/>
      </c>
      <c r="EW294" s="83" t="str">
        <f t="shared" si="150"/>
        <v/>
      </c>
      <c r="EX294" s="530" t="str">
        <f t="shared" si="151"/>
        <v/>
      </c>
      <c r="EY294" s="83" t="s">
        <v>5880</v>
      </c>
      <c r="EZ294" s="530" t="s">
        <v>11256</v>
      </c>
      <c r="FB294" s="83" t="s">
        <v>452</v>
      </c>
      <c r="FC294" s="133" t="s">
        <v>5751</v>
      </c>
      <c r="FD294" s="83" t="s">
        <v>7365</v>
      </c>
      <c r="FE294" s="849">
        <v>107</v>
      </c>
      <c r="FF294">
        <v>47</v>
      </c>
      <c r="FG294">
        <v>32</v>
      </c>
      <c r="FH294">
        <v>48</v>
      </c>
      <c r="FI294">
        <v>42</v>
      </c>
      <c r="FJ294" s="10">
        <v>42</v>
      </c>
      <c r="FK294">
        <v>37</v>
      </c>
      <c r="FL294">
        <v>32</v>
      </c>
      <c r="FM294" s="165">
        <v>27</v>
      </c>
      <c r="FN294" s="88">
        <v>1</v>
      </c>
      <c r="FO294" s="88">
        <v>13</v>
      </c>
      <c r="FP294" s="164">
        <f>ROUNDDOWN(FH294/10,0)</f>
        <v>4</v>
      </c>
      <c r="FQ294" s="164">
        <f>ROUNDDOWN(FI294/10,0)</f>
        <v>4</v>
      </c>
      <c r="FR294" s="682">
        <v>4</v>
      </c>
      <c r="FS294" s="88">
        <v>0</v>
      </c>
      <c r="FT294" s="88">
        <v>0</v>
      </c>
      <c r="FU294" s="165">
        <v>0</v>
      </c>
      <c r="FV294" s="83" t="s">
        <v>12467</v>
      </c>
      <c r="FW294" s="83" t="s">
        <v>7384</v>
      </c>
      <c r="FX294" s="530" t="s">
        <v>7666</v>
      </c>
      <c r="GF294" t="s">
        <v>8300</v>
      </c>
    </row>
    <row r="295" spans="8:188" ht="13.2" customHeight="1">
      <c r="H295" s="3"/>
      <c r="I295" s="3"/>
      <c r="J295" s="3"/>
      <c r="K295" s="3"/>
      <c r="L295" s="3"/>
      <c r="M295" s="651"/>
      <c r="N295" s="3"/>
      <c r="O295" s="3"/>
      <c r="P295" s="3"/>
      <c r="Q295" s="3"/>
      <c r="R295" s="651"/>
      <c r="S295" s="83" t="str">
        <f>IF(CareerType=Y295,"Prince des voleurs",IF(AllCareers="X","Prince des voleurs",IF(Selectsousrace="","",IF(FirstCareer="1ère carrière","",IF(SelectRace="skaven","Prince des voleurs",IF(OR(SelectRace="homme-bête",SelectRace="peau-verte",SelectRace="créature du chaos",SelectRace="Homme-lézard"),"","Prince des voleurs"))))))</f>
        <v/>
      </c>
      <c r="T295" s="106">
        <v>2</v>
      </c>
      <c r="U295" s="693" t="str">
        <f t="shared" si="152"/>
        <v/>
      </c>
      <c r="V295" s="693" t="str">
        <f t="shared" si="153"/>
        <v/>
      </c>
      <c r="W295" s="693" t="str">
        <f t="shared" si="154"/>
        <v/>
      </c>
      <c r="X295" s="47" t="s">
        <v>2153</v>
      </c>
      <c r="Y295" s="743" t="s">
        <v>7133</v>
      </c>
      <c r="Z295" s="55" t="s">
        <v>2200</v>
      </c>
      <c r="AA295" s="47">
        <v>83</v>
      </c>
      <c r="AB295" s="47" t="s">
        <v>2404</v>
      </c>
      <c r="AC295" s="47">
        <v>137</v>
      </c>
      <c r="AD295" s="15" t="s">
        <v>100</v>
      </c>
      <c r="AE295" s="15" t="s">
        <v>100</v>
      </c>
      <c r="AF295" s="15" t="s">
        <v>98</v>
      </c>
      <c r="AG295" s="15" t="s">
        <v>98</v>
      </c>
      <c r="AH295" s="15" t="s">
        <v>97</v>
      </c>
      <c r="AI295" s="15" t="s">
        <v>99</v>
      </c>
      <c r="AJ295" s="15" t="s">
        <v>100</v>
      </c>
      <c r="AK295" s="18" t="s">
        <v>99</v>
      </c>
      <c r="AL295" s="15" t="s">
        <v>102</v>
      </c>
      <c r="AM295" s="15" t="s">
        <v>112</v>
      </c>
      <c r="AN295" s="15" t="s">
        <v>149</v>
      </c>
      <c r="AO295" s="15" t="s">
        <v>149</v>
      </c>
      <c r="AP295" s="22" t="s">
        <v>3794</v>
      </c>
      <c r="AQ295" s="87" t="s">
        <v>734</v>
      </c>
      <c r="AR295" s="22" t="s">
        <v>2405</v>
      </c>
      <c r="AS295" s="87" t="s">
        <v>734</v>
      </c>
      <c r="AT295" s="22" t="s">
        <v>3507</v>
      </c>
      <c r="AU295" s="87" t="s">
        <v>5403</v>
      </c>
      <c r="AV295" s="87" t="s">
        <v>4632</v>
      </c>
      <c r="AW295" s="458">
        <v>0</v>
      </c>
      <c r="AX295" s="630" t="str">
        <f t="shared" si="156"/>
        <v/>
      </c>
      <c r="AY295" s="630" t="str">
        <f t="shared" si="157"/>
        <v/>
      </c>
      <c r="AZ295" s="630" t="str">
        <f t="shared" si="158"/>
        <v/>
      </c>
      <c r="BA295" s="3"/>
      <c r="BB295" s="3"/>
      <c r="BC295" s="3"/>
      <c r="BD295" s="3"/>
      <c r="BE295" s="3"/>
      <c r="BF295" s="3"/>
      <c r="BG295" s="3"/>
      <c r="BH295" s="3"/>
      <c r="BI295" s="3"/>
      <c r="BJ295" s="3"/>
      <c r="BK295" s="3"/>
      <c r="BL295" s="3"/>
      <c r="BM295" s="3"/>
      <c r="BN295" s="3"/>
      <c r="BP295" s="3"/>
      <c r="BQ295" s="3"/>
      <c r="BR295" s="3"/>
      <c r="BS295" s="3"/>
      <c r="BT295" s="3"/>
      <c r="BU295" s="3"/>
      <c r="BV295" s="3"/>
      <c r="BW295" s="3"/>
      <c r="BX295" s="3" t="str">
        <f>IF(Province="Principauté de Luccini","Village pauvre de Luccini","")</f>
        <v/>
      </c>
      <c r="BY295" t="str">
        <f t="shared" si="155"/>
        <v/>
      </c>
      <c r="BZ295" s="83" t="str">
        <f t="shared" si="147"/>
        <v/>
      </c>
      <c r="CA295" s="83" t="str">
        <f t="shared" si="148"/>
        <v/>
      </c>
      <c r="CB295" s="530" t="str">
        <f t="shared" si="149"/>
        <v/>
      </c>
      <c r="CG295" s="3" t="s">
        <v>896</v>
      </c>
      <c r="CH295" s="3"/>
      <c r="CI295" s="3"/>
      <c r="CJ295" s="3"/>
      <c r="CK295" s="3" t="s">
        <v>6852</v>
      </c>
      <c r="CM295" t="s">
        <v>10425</v>
      </c>
      <c r="CN295" s="3"/>
      <c r="CO295" s="3" t="s">
        <v>11051</v>
      </c>
      <c r="CP295" s="3"/>
      <c r="CQ295" s="3"/>
      <c r="CR295" s="3" t="s">
        <v>13662</v>
      </c>
      <c r="CS295" s="3"/>
      <c r="CT295" s="3"/>
      <c r="CU295" s="3"/>
      <c r="CV295" s="3"/>
      <c r="CW295" s="3"/>
      <c r="CX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U295" s="177" t="str">
        <f>IF(Dieu="Sigmar","Ordre  des Chevaliers du Coeur Flamboyant","")</f>
        <v/>
      </c>
      <c r="EV295" s="83" t="str">
        <f t="shared" si="159"/>
        <v/>
      </c>
      <c r="EW295" s="83" t="str">
        <f t="shared" si="150"/>
        <v/>
      </c>
      <c r="EX295" s="530" t="str">
        <f t="shared" si="151"/>
        <v/>
      </c>
      <c r="EY295" s="83" t="s">
        <v>5880</v>
      </c>
      <c r="EZ295" s="530" t="s">
        <v>11256</v>
      </c>
      <c r="FB295" s="83" t="s">
        <v>7368</v>
      </c>
      <c r="FC295" s="133" t="s">
        <v>5751</v>
      </c>
      <c r="FD295" s="83" t="s">
        <v>7365</v>
      </c>
      <c r="FE295" s="849">
        <v>98</v>
      </c>
      <c r="FF295">
        <v>32</v>
      </c>
      <c r="FG295">
        <v>27</v>
      </c>
      <c r="FH295">
        <v>41</v>
      </c>
      <c r="FI295">
        <v>31</v>
      </c>
      <c r="FJ295" s="10">
        <v>30</v>
      </c>
      <c r="FK295">
        <v>28</v>
      </c>
      <c r="FL295">
        <v>30</v>
      </c>
      <c r="FM295" s="165">
        <v>30</v>
      </c>
      <c r="FN295" s="88">
        <v>1</v>
      </c>
      <c r="FO295" s="88">
        <v>12</v>
      </c>
      <c r="FP295" s="164">
        <f>ROUNDDOWN(FH295/10,0)</f>
        <v>4</v>
      </c>
      <c r="FQ295" s="164">
        <f>ROUNDDOWN(FI295/10,0)</f>
        <v>3</v>
      </c>
      <c r="FR295" s="682">
        <v>3</v>
      </c>
      <c r="FS295" s="88">
        <v>0</v>
      </c>
      <c r="FT295" s="88">
        <v>0</v>
      </c>
      <c r="FU295" s="165">
        <v>0</v>
      </c>
      <c r="FV295" s="83" t="s">
        <v>7437</v>
      </c>
      <c r="FW295" s="83" t="s">
        <v>7369</v>
      </c>
      <c r="FX295" s="567" t="s">
        <v>7665</v>
      </c>
      <c r="GF295" t="s">
        <v>7803</v>
      </c>
    </row>
    <row r="296" spans="8:188" ht="13.2" customHeight="1">
      <c r="H296" s="3"/>
      <c r="I296" s="3"/>
      <c r="J296" s="3"/>
      <c r="K296" s="3"/>
      <c r="L296" s="3"/>
      <c r="M296" s="651"/>
      <c r="N296" s="3"/>
      <c r="O296" s="3"/>
      <c r="P296" s="3"/>
      <c r="Q296" s="3"/>
      <c r="R296" s="651"/>
      <c r="S296" s="83" t="str">
        <f>IF(CareerType=Y322,"Prince sorcier",IF(AllCareers="X","Prince sorcier",IF(FirstCareer="","",IF(OR(SelectRace="Halfling",SelectRace="Nain"),"",IF(Selectsousrace="Elfe noir","Prince sorcier","")))))</f>
        <v/>
      </c>
      <c r="T296" s="106">
        <v>5</v>
      </c>
      <c r="U296" s="693" t="str">
        <f t="shared" si="152"/>
        <v/>
      </c>
      <c r="V296" s="693" t="str">
        <f t="shared" si="153"/>
        <v/>
      </c>
      <c r="W296" s="693" t="str">
        <f t="shared" si="154"/>
        <v/>
      </c>
      <c r="X296" s="47" t="s">
        <v>2153</v>
      </c>
      <c r="Y296" s="743" t="s">
        <v>7131</v>
      </c>
      <c r="Z296" s="56" t="s">
        <v>9344</v>
      </c>
      <c r="AA296" s="89">
        <v>2</v>
      </c>
      <c r="AB296" s="89" t="s">
        <v>11508</v>
      </c>
      <c r="AD296" s="105" t="s">
        <v>100</v>
      </c>
      <c r="AE296" s="105" t="s">
        <v>101</v>
      </c>
      <c r="AF296" s="105" t="s">
        <v>98</v>
      </c>
      <c r="AG296" s="105" t="s">
        <v>101</v>
      </c>
      <c r="AH296" s="105" t="s">
        <v>99</v>
      </c>
      <c r="AI296" s="105" t="s">
        <v>97</v>
      </c>
      <c r="AJ296" s="105" t="s">
        <v>9274</v>
      </c>
      <c r="AK296" s="443" t="s">
        <v>116</v>
      </c>
      <c r="AL296" s="105" t="s">
        <v>102</v>
      </c>
      <c r="AM296" s="105" t="s">
        <v>117</v>
      </c>
      <c r="AN296" s="105" t="s">
        <v>149</v>
      </c>
      <c r="AO296" s="105" t="s">
        <v>114</v>
      </c>
      <c r="AP296" s="87" t="s">
        <v>11509</v>
      </c>
      <c r="AQ296" s="87" t="s">
        <v>734</v>
      </c>
      <c r="AR296" s="87" t="s">
        <v>11510</v>
      </c>
      <c r="AS296" s="87" t="s">
        <v>734</v>
      </c>
      <c r="AT296" s="87" t="s">
        <v>16652</v>
      </c>
      <c r="AU296" s="87" t="s">
        <v>11511</v>
      </c>
      <c r="AV296" s="87" t="s">
        <v>9276</v>
      </c>
      <c r="AW296" s="458">
        <v>0</v>
      </c>
      <c r="AX296" s="630" t="str">
        <f t="shared" si="156"/>
        <v/>
      </c>
      <c r="AY296" s="630" t="str">
        <f t="shared" si="157"/>
        <v/>
      </c>
      <c r="AZ296" s="630" t="str">
        <f t="shared" si="158"/>
        <v/>
      </c>
      <c r="BA296" s="3"/>
      <c r="BB296" s="3"/>
      <c r="BC296" s="3"/>
      <c r="BD296" s="3"/>
      <c r="BE296" s="3"/>
      <c r="BF296" s="3"/>
      <c r="BG296" s="3"/>
      <c r="BH296" s="3"/>
      <c r="BI296" s="3"/>
      <c r="BJ296" s="3"/>
      <c r="BK296" s="3"/>
      <c r="BL296" s="3"/>
      <c r="BM296" s="3"/>
      <c r="BN296" s="3"/>
      <c r="BP296" s="3"/>
      <c r="BQ296" s="3"/>
      <c r="BR296" s="3"/>
      <c r="BS296" s="3"/>
      <c r="BT296" s="3"/>
      <c r="BU296" s="3"/>
      <c r="BV296" s="3"/>
      <c r="BW296" s="3"/>
      <c r="BX296" s="3" t="str">
        <f>IF(Province="Principauté de Remas","Village pauvre de Remas","")</f>
        <v/>
      </c>
      <c r="BY296" t="str">
        <f t="shared" si="155"/>
        <v/>
      </c>
      <c r="BZ296" s="83" t="str">
        <f t="shared" si="147"/>
        <v/>
      </c>
      <c r="CA296" s="83" t="str">
        <f t="shared" si="148"/>
        <v/>
      </c>
      <c r="CB296" s="530" t="str">
        <f t="shared" si="149"/>
        <v/>
      </c>
      <c r="CG296" s="3" t="s">
        <v>6344</v>
      </c>
      <c r="CH296" s="3"/>
      <c r="CI296" s="3"/>
      <c r="CJ296" s="3"/>
      <c r="CK296" s="3" t="s">
        <v>6967</v>
      </c>
      <c r="CM296" t="s">
        <v>10426</v>
      </c>
      <c r="CN296" s="3"/>
      <c r="CO296" s="3" t="s">
        <v>11056</v>
      </c>
      <c r="CP296" s="3"/>
      <c r="CQ296" s="3"/>
      <c r="CR296" t="s">
        <v>13663</v>
      </c>
      <c r="CS296" s="3"/>
      <c r="CT296" s="3"/>
      <c r="CU296" s="3"/>
      <c r="CV296" s="3"/>
      <c r="CW296" s="3"/>
      <c r="CX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U296" s="177" t="str">
        <f>IF(Dieu="Sigmar","Ordre  des Chevaliers du Sang de Sigmar","")</f>
        <v/>
      </c>
      <c r="EV296" s="83" t="str">
        <f t="shared" si="159"/>
        <v/>
      </c>
      <c r="EW296" s="83" t="str">
        <f t="shared" si="150"/>
        <v/>
      </c>
      <c r="EX296" s="530" t="str">
        <f t="shared" si="151"/>
        <v/>
      </c>
      <c r="EY296" s="83" t="s">
        <v>5880</v>
      </c>
      <c r="EZ296" s="530" t="s">
        <v>11256</v>
      </c>
      <c r="FB296" s="83" t="s">
        <v>17244</v>
      </c>
      <c r="FC296" s="133" t="s">
        <v>5751</v>
      </c>
      <c r="FD296" s="83" t="s">
        <v>2200</v>
      </c>
      <c r="FE296" s="849">
        <v>233</v>
      </c>
      <c r="FF296">
        <v>26</v>
      </c>
      <c r="FG296">
        <v>32</v>
      </c>
      <c r="FH296">
        <v>28</v>
      </c>
      <c r="FI296">
        <v>31</v>
      </c>
      <c r="FJ296" s="10">
        <v>43</v>
      </c>
      <c r="FK296">
        <v>31</v>
      </c>
      <c r="FL296">
        <v>29</v>
      </c>
      <c r="FM296" s="165">
        <v>40</v>
      </c>
      <c r="FN296" s="88">
        <v>1</v>
      </c>
      <c r="FO296" s="88">
        <v>11</v>
      </c>
      <c r="FP296" s="164">
        <f>ROUNDDOWN(FH296/10,0)</f>
        <v>2</v>
      </c>
      <c r="FQ296" s="164">
        <f>ROUNDDOWN(FI296/10,0)</f>
        <v>3</v>
      </c>
      <c r="FR296" s="682">
        <v>4</v>
      </c>
      <c r="FS296" s="88">
        <v>0</v>
      </c>
      <c r="FT296" s="88">
        <v>0</v>
      </c>
      <c r="FU296" s="165">
        <v>0</v>
      </c>
      <c r="FV296" s="83" t="s">
        <v>17235</v>
      </c>
      <c r="FW296" s="83" t="s">
        <v>7410</v>
      </c>
      <c r="FX296" s="751" t="s">
        <v>7667</v>
      </c>
      <c r="GF296" t="s">
        <v>7805</v>
      </c>
    </row>
    <row r="297" spans="8:188" ht="13.2" customHeight="1">
      <c r="H297" s="3"/>
      <c r="I297" s="3"/>
      <c r="J297" s="3"/>
      <c r="K297" s="3"/>
      <c r="L297" s="3"/>
      <c r="M297" s="651"/>
      <c r="N297" s="3"/>
      <c r="O297" s="3"/>
      <c r="P297" s="3"/>
      <c r="Q297" s="3"/>
      <c r="R297" s="651"/>
      <c r="S297" s="83" t="str">
        <f>IF(CareerType=X297,"Prophète",IF(AllCareers="X","Prophète",IF(OR(Pays="Désolations du Chaos",Pays="Norsca",FirstCareer="1ère carrière",Selectsousrace="",SelectRace="Humain",SelectRace="Halfling",SelectRace="Homme-lézard"),"","Prophète")))</f>
        <v/>
      </c>
      <c r="T297" s="106">
        <f t="shared" ref="T297:T305" si="160">IF(X297="oui",0,1)</f>
        <v>0</v>
      </c>
      <c r="U297" s="693" t="str">
        <f t="shared" si="152"/>
        <v/>
      </c>
      <c r="V297" s="693" t="str">
        <f t="shared" si="153"/>
        <v/>
      </c>
      <c r="W297" s="693" t="str">
        <f t="shared" si="154"/>
        <v/>
      </c>
      <c r="X297" s="89" t="s">
        <v>2160</v>
      </c>
      <c r="Y297" s="743" t="s">
        <v>7131</v>
      </c>
      <c r="Z297" s="56" t="s">
        <v>9975</v>
      </c>
      <c r="AA297" s="89">
        <v>241</v>
      </c>
      <c r="AB297" s="89" t="s">
        <v>10006</v>
      </c>
      <c r="AD297" s="544" t="s">
        <v>149</v>
      </c>
      <c r="AE297" s="544" t="s">
        <v>149</v>
      </c>
      <c r="AF297" s="544" t="s">
        <v>149</v>
      </c>
      <c r="AG297" s="105" t="s">
        <v>101</v>
      </c>
      <c r="AH297" s="105" t="s">
        <v>98</v>
      </c>
      <c r="AI297" s="105" t="s">
        <v>101</v>
      </c>
      <c r="AJ297" s="105" t="s">
        <v>101</v>
      </c>
      <c r="AK297" s="443" t="s">
        <v>100</v>
      </c>
      <c r="AL297" s="544" t="s">
        <v>149</v>
      </c>
      <c r="AM297" s="105" t="s">
        <v>114</v>
      </c>
      <c r="AN297" s="15" t="s">
        <v>149</v>
      </c>
      <c r="AO297" s="15" t="s">
        <v>149</v>
      </c>
      <c r="AP297" s="87" t="s">
        <v>10831</v>
      </c>
      <c r="AQ297" s="87" t="s">
        <v>734</v>
      </c>
      <c r="AR297" s="87" t="s">
        <v>10017</v>
      </c>
      <c r="AS297" s="87" t="s">
        <v>734</v>
      </c>
      <c r="AT297" s="87" t="s">
        <v>10007</v>
      </c>
      <c r="AU297" s="87" t="s">
        <v>10008</v>
      </c>
      <c r="AV297" s="87" t="s">
        <v>10009</v>
      </c>
      <c r="AW297" s="457">
        <v>0</v>
      </c>
      <c r="AX297" s="630" t="str">
        <f t="shared" si="156"/>
        <v/>
      </c>
      <c r="AY297" s="630" t="str">
        <f t="shared" si="157"/>
        <v/>
      </c>
      <c r="AZ297" s="630" t="str">
        <f t="shared" si="158"/>
        <v/>
      </c>
      <c r="BA297" s="3"/>
      <c r="BB297" s="3"/>
      <c r="BC297" s="3"/>
      <c r="BD297" s="3"/>
      <c r="BE297" s="3"/>
      <c r="BF297" s="3"/>
      <c r="BG297" s="3"/>
      <c r="BH297" s="3"/>
      <c r="BI297" s="3"/>
      <c r="BJ297" s="3"/>
      <c r="BK297" s="3"/>
      <c r="BL297" s="3"/>
      <c r="BM297" s="3"/>
      <c r="BN297" s="3"/>
      <c r="BP297" s="3"/>
      <c r="BQ297" s="3"/>
      <c r="BR297" s="3"/>
      <c r="BS297" s="3"/>
      <c r="BT297" s="3"/>
      <c r="BU297" s="3"/>
      <c r="BV297" s="3"/>
      <c r="BW297" s="3"/>
      <c r="BX297" s="3" t="str">
        <f>IF(Province="Principauté de Sartosa","Village pauvre de Sartosa","")</f>
        <v/>
      </c>
      <c r="BY297" t="str">
        <f t="shared" si="155"/>
        <v/>
      </c>
      <c r="BZ297" s="83" t="str">
        <f t="shared" si="147"/>
        <v/>
      </c>
      <c r="CA297" s="83" t="str">
        <f t="shared" si="148"/>
        <v/>
      </c>
      <c r="CB297" s="530" t="str">
        <f t="shared" si="149"/>
        <v/>
      </c>
      <c r="CG297" s="3" t="s">
        <v>3145</v>
      </c>
      <c r="CH297" s="3"/>
      <c r="CI297" s="3"/>
      <c r="CJ297" s="3"/>
      <c r="CK297" s="3" t="s">
        <v>6928</v>
      </c>
      <c r="CM297" s="83" t="s">
        <v>14991</v>
      </c>
      <c r="CN297" s="3"/>
      <c r="CO297" s="3" t="str">
        <f>CONCATENATE("Ragnar",IF(AND('page 1'!M11="Féminin",Pays="Norsca"),"dottir",IF(AND('page 1'!M11="Masculin",Pays="Norsca"),"son",IF(AND('page 1'!M11="Féminin",Pays="Kislev"),"ovna",IF(AND('page 1'!M11="Masculin",Pays="Kislev"),"sky","")))))</f>
        <v>Ragnar</v>
      </c>
      <c r="CP297" s="3"/>
      <c r="CQ297" s="3"/>
      <c r="CR297" s="3" t="s">
        <v>13664</v>
      </c>
      <c r="CS297" s="3"/>
      <c r="CT297" s="3"/>
      <c r="CU297" s="3"/>
      <c r="CV297" s="3"/>
      <c r="CW297" s="3"/>
      <c r="CX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U297" s="25" t="str">
        <f>IF(OR(Dieu="Handrich",Dieu="O Prospèro",Dieu="Mercopio",Dieu="Kalita",Dieu="Haendryk",Dieu="Hitoï",Dieu="Mahakali"),"L'opulent","")</f>
        <v/>
      </c>
      <c r="EV297" s="83" t="str">
        <f t="shared" ref="EV297:EV300" si="161">IF(EU297="","",ROW())</f>
        <v/>
      </c>
      <c r="EW297" s="83" t="str">
        <f t="shared" si="150"/>
        <v/>
      </c>
      <c r="EX297" s="530" t="str">
        <f t="shared" si="151"/>
        <v/>
      </c>
      <c r="EY297" t="s">
        <v>418</v>
      </c>
      <c r="EZ297" s="530" t="s">
        <v>243</v>
      </c>
      <c r="FB297" s="356" t="s">
        <v>453</v>
      </c>
      <c r="FC297" s="133" t="s">
        <v>5751</v>
      </c>
      <c r="FD297" s="83" t="s">
        <v>7365</v>
      </c>
      <c r="FE297" s="849">
        <v>106</v>
      </c>
      <c r="FF297">
        <v>42</v>
      </c>
      <c r="FG297">
        <v>42</v>
      </c>
      <c r="FH297">
        <v>32</v>
      </c>
      <c r="FI297">
        <v>32</v>
      </c>
      <c r="FJ297" s="10">
        <v>42</v>
      </c>
      <c r="FK297">
        <v>43</v>
      </c>
      <c r="FL297">
        <v>27</v>
      </c>
      <c r="FM297" s="165">
        <v>32</v>
      </c>
      <c r="FN297" s="88">
        <v>1</v>
      </c>
      <c r="FO297" s="88">
        <v>13</v>
      </c>
      <c r="FP297" s="164">
        <f>ROUNDDOWN(FH297/10,0)</f>
        <v>3</v>
      </c>
      <c r="FQ297" s="164">
        <f>ROUNDDOWN(FI297/10,0)</f>
        <v>3</v>
      </c>
      <c r="FR297" s="682">
        <v>5</v>
      </c>
      <c r="FS297" s="88">
        <v>0</v>
      </c>
      <c r="FT297" s="88">
        <v>0</v>
      </c>
      <c r="FU297" s="165">
        <v>0</v>
      </c>
      <c r="FV297" s="83" t="s">
        <v>7438</v>
      </c>
      <c r="FW297" s="83" t="s">
        <v>7380</v>
      </c>
      <c r="FX297" s="530" t="s">
        <v>7667</v>
      </c>
      <c r="GF297" t="s">
        <v>8296</v>
      </c>
    </row>
    <row r="298" spans="8:188" ht="13.2" customHeight="1">
      <c r="H298" s="3"/>
      <c r="I298" s="3"/>
      <c r="J298" s="3"/>
      <c r="K298" s="3"/>
      <c r="L298" s="3"/>
      <c r="M298" s="651"/>
      <c r="N298" s="3"/>
      <c r="O298" s="3"/>
      <c r="P298" s="3"/>
      <c r="Q298" s="3"/>
      <c r="R298" s="651"/>
      <c r="S298" s="83" t="str">
        <f>IF(CareerType=Y298,"Prophète gris",IF(AllCareers="X","Prophète gris",IF(AND(FirstCareer="1ère carrière",SelectRace="skaven",OR('page 1'!E13="Gris",'page 1'!E13="Blanc")),"Prophète gris","")))</f>
        <v/>
      </c>
      <c r="T298" s="106">
        <f t="shared" si="160"/>
        <v>1</v>
      </c>
      <c r="U298" s="693" t="str">
        <f t="shared" si="152"/>
        <v/>
      </c>
      <c r="V298" s="693" t="str">
        <f t="shared" si="153"/>
        <v/>
      </c>
      <c r="W298" s="693" t="str">
        <f t="shared" si="154"/>
        <v/>
      </c>
      <c r="X298" s="47" t="s">
        <v>2153</v>
      </c>
      <c r="Y298" s="743" t="s">
        <v>15709</v>
      </c>
      <c r="Z298" s="56" t="s">
        <v>1328</v>
      </c>
      <c r="AA298" s="47">
        <v>101</v>
      </c>
      <c r="AB298" s="89" t="s">
        <v>9307</v>
      </c>
      <c r="AC298" s="48"/>
      <c r="AD298" s="15" t="s">
        <v>98</v>
      </c>
      <c r="AE298" s="15" t="s">
        <v>98</v>
      </c>
      <c r="AF298" s="15" t="s">
        <v>114</v>
      </c>
      <c r="AG298" s="15" t="s">
        <v>98</v>
      </c>
      <c r="AH298" s="15" t="s">
        <v>100</v>
      </c>
      <c r="AI298" s="15" t="s">
        <v>100</v>
      </c>
      <c r="AJ298" s="15" t="s">
        <v>99</v>
      </c>
      <c r="AK298" s="18" t="s">
        <v>101</v>
      </c>
      <c r="AL298" s="15" t="s">
        <v>149</v>
      </c>
      <c r="AM298" s="15" t="s">
        <v>114</v>
      </c>
      <c r="AN298" s="15" t="s">
        <v>149</v>
      </c>
      <c r="AO298" s="15" t="s">
        <v>113</v>
      </c>
      <c r="AP298" s="87" t="s">
        <v>734</v>
      </c>
      <c r="AQ298" s="22" t="s">
        <v>3103</v>
      </c>
      <c r="AR298" s="22" t="s">
        <v>3104</v>
      </c>
      <c r="AS298" s="87" t="s">
        <v>3104</v>
      </c>
      <c r="AT298" s="141" t="s">
        <v>3560</v>
      </c>
      <c r="AU298" s="87" t="s">
        <v>16454</v>
      </c>
      <c r="AV298" s="87" t="s">
        <v>4805</v>
      </c>
      <c r="AW298" s="457">
        <v>0</v>
      </c>
      <c r="AX298" s="630" t="str">
        <f t="shared" si="156"/>
        <v/>
      </c>
      <c r="AY298" s="630" t="str">
        <f t="shared" si="157"/>
        <v/>
      </c>
      <c r="AZ298" s="630" t="str">
        <f t="shared" si="158"/>
        <v/>
      </c>
      <c r="BA298" s="3"/>
      <c r="BB298" s="3"/>
      <c r="BC298" s="3"/>
      <c r="BD298" s="3"/>
      <c r="BE298" s="3"/>
      <c r="BF298" s="3"/>
      <c r="BG298" s="3"/>
      <c r="BH298" s="3"/>
      <c r="BI298" s="3"/>
      <c r="BJ298" s="3"/>
      <c r="BK298" s="3"/>
      <c r="BL298" s="3"/>
      <c r="BM298" s="3"/>
      <c r="BN298" s="3"/>
      <c r="BP298" s="3"/>
      <c r="BQ298" s="3"/>
      <c r="BR298" s="3"/>
      <c r="BS298" s="3"/>
      <c r="BT298" s="3"/>
      <c r="BU298" s="3"/>
      <c r="BV298" s="3"/>
      <c r="BW298" s="3"/>
      <c r="BX298" s="3" t="str">
        <f>IF(Province="Principauté de Tobaro","Village pauvre de Tobaro","")</f>
        <v/>
      </c>
      <c r="BY298" t="str">
        <f t="shared" si="155"/>
        <v/>
      </c>
      <c r="BZ298" s="83" t="str">
        <f t="shared" si="147"/>
        <v/>
      </c>
      <c r="CA298" s="83" t="str">
        <f t="shared" si="148"/>
        <v/>
      </c>
      <c r="CB298" s="530" t="str">
        <f t="shared" si="149"/>
        <v/>
      </c>
      <c r="CG298" s="83" t="s">
        <v>10175</v>
      </c>
      <c r="CH298" s="3"/>
      <c r="CI298" s="3"/>
      <c r="CJ298" s="3"/>
      <c r="CK298" s="3" t="s">
        <v>6891</v>
      </c>
      <c r="CM298" s="83" t="s">
        <v>15191</v>
      </c>
      <c r="CN298" s="3"/>
      <c r="CO298" s="3" t="str">
        <f>CONCATENATE("Ranulf",IF(AND('page 1'!M11="Féminin",Pays="Norsca"),"dottir",IF(AND('page 1'!M11="Masculin",Pays="Norsca"),"son",IF(AND('page 1'!M11="Féminin",Pays="Kislev"),"ovna",IF(AND('page 1'!M11="Masculin",Pays="Kislev"),"sky","")))))</f>
        <v>Ranulf</v>
      </c>
      <c r="CR298" s="3" t="s">
        <v>13665</v>
      </c>
      <c r="CS298" s="3"/>
      <c r="CT298" s="3"/>
      <c r="CU298" s="3"/>
      <c r="CV298" s="3"/>
      <c r="CW298" s="3"/>
      <c r="CX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U298" s="25" t="str">
        <f>IF(OR(Dieu="Handrich",Dieu="O Prospèro",Dieu="Mercopio",Dieu="Kalita",Dieu="Haendryk",Dieu="Hitoï",Dieu="Mahakali"),"Le Calculateur","")</f>
        <v/>
      </c>
      <c r="EV298" s="83" t="str">
        <f t="shared" si="161"/>
        <v/>
      </c>
      <c r="EW298" s="83" t="str">
        <f t="shared" si="150"/>
        <v/>
      </c>
      <c r="EX298" s="530" t="str">
        <f t="shared" si="151"/>
        <v/>
      </c>
      <c r="EZ298" s="530" t="s">
        <v>16127</v>
      </c>
      <c r="FB298" s="83" t="s">
        <v>7381</v>
      </c>
      <c r="FC298" s="133" t="s">
        <v>5751</v>
      </c>
      <c r="FD298" s="83" t="s">
        <v>7365</v>
      </c>
      <c r="FE298" s="849">
        <v>106</v>
      </c>
      <c r="FF298">
        <v>42</v>
      </c>
      <c r="FG298">
        <v>42</v>
      </c>
      <c r="FH298">
        <v>32</v>
      </c>
      <c r="FI298">
        <v>42</v>
      </c>
      <c r="FJ298" s="10">
        <v>42</v>
      </c>
      <c r="FK298">
        <v>48</v>
      </c>
      <c r="FL298">
        <v>32</v>
      </c>
      <c r="FM298" s="165">
        <v>32</v>
      </c>
      <c r="FN298" s="88">
        <v>2</v>
      </c>
      <c r="FO298" s="88">
        <v>13</v>
      </c>
      <c r="FP298" s="164">
        <f>ROUNDDOWN(FH298/10,0)</f>
        <v>3</v>
      </c>
      <c r="FQ298" s="164">
        <f>ROUNDDOWN(FI298/10,0)</f>
        <v>4</v>
      </c>
      <c r="FR298" s="682">
        <v>5</v>
      </c>
      <c r="FS298" s="88">
        <v>0</v>
      </c>
      <c r="FT298" s="88">
        <v>0</v>
      </c>
      <c r="FU298" s="165">
        <v>0</v>
      </c>
      <c r="FV298" s="83" t="s">
        <v>7439</v>
      </c>
      <c r="FW298" s="83" t="s">
        <v>7380</v>
      </c>
      <c r="FX298" s="530" t="s">
        <v>7666</v>
      </c>
      <c r="GF298" t="s">
        <v>7804</v>
      </c>
    </row>
    <row r="299" spans="8:188" ht="13.2" customHeight="1">
      <c r="H299" s="3"/>
      <c r="I299" s="3"/>
      <c r="J299" s="3"/>
      <c r="K299" s="3"/>
      <c r="L299" s="3"/>
      <c r="M299" s="651"/>
      <c r="N299" s="3"/>
      <c r="O299" s="3"/>
      <c r="P299" s="3"/>
      <c r="Q299" s="3"/>
      <c r="R299" s="651"/>
      <c r="S299" s="83" t="str">
        <f>IF(CareerType=Y299,"Racketteur",IF(AllCareers="X","Racketteur",IF(OR(SelectRace="homme-bête",SelectRace="peau-verte",SelectRace="créature du chaos",SelectRace="Homme-lézard",Selectsousrace="",SelectRace="skaven"),"",IF(FirstCareer="1ère carrière","","Racketteur"))))</f>
        <v/>
      </c>
      <c r="T299" s="106">
        <f t="shared" si="160"/>
        <v>1</v>
      </c>
      <c r="U299" s="693" t="str">
        <f t="shared" si="152"/>
        <v/>
      </c>
      <c r="V299" s="693" t="str">
        <f t="shared" si="153"/>
        <v/>
      </c>
      <c r="W299" s="693" t="str">
        <f t="shared" si="154"/>
        <v/>
      </c>
      <c r="X299" s="47" t="s">
        <v>2153</v>
      </c>
      <c r="Y299" s="743" t="s">
        <v>7133</v>
      </c>
      <c r="Z299" s="55" t="s">
        <v>2200</v>
      </c>
      <c r="AA299" s="47">
        <v>83</v>
      </c>
      <c r="AB299" s="47" t="s">
        <v>2406</v>
      </c>
      <c r="AC299" s="47">
        <v>171</v>
      </c>
      <c r="AD299" s="15" t="s">
        <v>100</v>
      </c>
      <c r="AE299" s="15" t="s">
        <v>101</v>
      </c>
      <c r="AF299" s="15" t="s">
        <v>101</v>
      </c>
      <c r="AG299" s="15" t="s">
        <v>98</v>
      </c>
      <c r="AH299" s="15" t="s">
        <v>98</v>
      </c>
      <c r="AI299" s="15" t="s">
        <v>149</v>
      </c>
      <c r="AJ299" s="15" t="s">
        <v>101</v>
      </c>
      <c r="AK299" s="18" t="s">
        <v>98</v>
      </c>
      <c r="AL299" s="15" t="s">
        <v>102</v>
      </c>
      <c r="AM299" s="15" t="s">
        <v>114</v>
      </c>
      <c r="AN299" s="15" t="s">
        <v>149</v>
      </c>
      <c r="AO299" s="15" t="s">
        <v>149</v>
      </c>
      <c r="AP299" s="87" t="s">
        <v>10004</v>
      </c>
      <c r="AQ299" s="87" t="s">
        <v>5629</v>
      </c>
      <c r="AR299" s="87" t="s">
        <v>9998</v>
      </c>
      <c r="AS299" s="87" t="s">
        <v>15929</v>
      </c>
      <c r="AT299" s="22" t="s">
        <v>3508</v>
      </c>
      <c r="AU299" s="87" t="s">
        <v>5404</v>
      </c>
      <c r="AV299" s="87" t="s">
        <v>4718</v>
      </c>
      <c r="AW299" s="457">
        <v>0</v>
      </c>
      <c r="AX299" s="630" t="str">
        <f t="shared" si="156"/>
        <v/>
      </c>
      <c r="AY299" s="630" t="str">
        <f t="shared" si="157"/>
        <v/>
      </c>
      <c r="AZ299" s="630" t="str">
        <f t="shared" si="158"/>
        <v/>
      </c>
      <c r="BA299" s="3"/>
      <c r="BB299" s="3"/>
      <c r="BC299" s="3"/>
      <c r="BD299" s="3"/>
      <c r="BE299" s="3"/>
      <c r="BF299" s="3"/>
      <c r="BG299" s="3"/>
      <c r="BH299" s="3"/>
      <c r="BI299" s="3"/>
      <c r="BJ299" s="3"/>
      <c r="BK299" s="3"/>
      <c r="BL299" s="3"/>
      <c r="BM299" s="3"/>
      <c r="BN299" s="3"/>
      <c r="BP299" s="3"/>
      <c r="BQ299" s="3"/>
      <c r="BR299" s="3"/>
      <c r="BS299" s="3"/>
      <c r="BT299" s="3"/>
      <c r="BU299" s="3"/>
      <c r="BV299" s="3"/>
      <c r="BW299" s="3"/>
      <c r="BX299" s="3" t="str">
        <f>IF(Province="République de Verezzo","Village pauvre de Verezzo","")</f>
        <v/>
      </c>
      <c r="BY299" t="str">
        <f t="shared" si="155"/>
        <v/>
      </c>
      <c r="BZ299" s="83" t="str">
        <f t="shared" si="147"/>
        <v/>
      </c>
      <c r="CA299" s="83" t="str">
        <f t="shared" si="148"/>
        <v/>
      </c>
      <c r="CB299" s="530" t="str">
        <f t="shared" si="149"/>
        <v/>
      </c>
      <c r="CG299" s="3" t="s">
        <v>6345</v>
      </c>
      <c r="CH299" s="3"/>
      <c r="CI299" s="3"/>
      <c r="CJ299" s="3"/>
      <c r="CK299" s="3" t="s">
        <v>6765</v>
      </c>
      <c r="CM299" t="s">
        <v>10427</v>
      </c>
      <c r="CN299" s="3"/>
      <c r="CO299" s="3" t="s">
        <v>11066</v>
      </c>
      <c r="CP299" s="3"/>
      <c r="CQ299" s="3"/>
      <c r="CR299" s="3" t="s">
        <v>13666</v>
      </c>
      <c r="CS299" s="3"/>
      <c r="CT299" s="3"/>
      <c r="CU299" s="3"/>
      <c r="CV299" s="3"/>
      <c r="CW299" s="3"/>
      <c r="CX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U299" s="25" t="str">
        <f>IF(OR(Dieu="Handrich",Dieu="O Prospèro",Dieu="Mercopio",Dieu="Kalita",Dieu="Haendryk",Dieu="Hitoï",Dieu="Mahakali"),"Le Faiseur de fortune","")</f>
        <v/>
      </c>
      <c r="EV299" s="83" t="str">
        <f t="shared" si="161"/>
        <v/>
      </c>
      <c r="EW299" s="83" t="str">
        <f t="shared" si="150"/>
        <v/>
      </c>
      <c r="EX299" s="530" t="str">
        <f t="shared" si="151"/>
        <v/>
      </c>
      <c r="EY299" s="83" t="s">
        <v>9629</v>
      </c>
      <c r="EZ299" s="530" t="s">
        <v>836</v>
      </c>
      <c r="FB299" s="83" t="s">
        <v>7407</v>
      </c>
      <c r="FC299" s="133" t="s">
        <v>5751</v>
      </c>
      <c r="FD299" s="83" t="s">
        <v>2200</v>
      </c>
      <c r="FE299" s="849">
        <v>233</v>
      </c>
      <c r="FF299">
        <v>28</v>
      </c>
      <c r="FG299">
        <v>25</v>
      </c>
      <c r="FH299">
        <v>28</v>
      </c>
      <c r="FI299">
        <v>31</v>
      </c>
      <c r="FJ299" s="10">
        <v>32</v>
      </c>
      <c r="FK299">
        <v>43</v>
      </c>
      <c r="FL299">
        <v>30</v>
      </c>
      <c r="FM299" s="165">
        <v>39</v>
      </c>
      <c r="FN299" s="88">
        <v>1</v>
      </c>
      <c r="FO299" s="88">
        <v>11</v>
      </c>
      <c r="FP299" s="164">
        <f>ROUNDDOWN(FH299/10,0)</f>
        <v>2</v>
      </c>
      <c r="FQ299" s="164">
        <f>ROUNDDOWN(FI299/10,0)</f>
        <v>3</v>
      </c>
      <c r="FR299" s="682">
        <v>4</v>
      </c>
      <c r="FS299" s="88">
        <v>0</v>
      </c>
      <c r="FT299" s="88">
        <v>0</v>
      </c>
      <c r="FU299" s="165">
        <v>0</v>
      </c>
      <c r="FV299" s="83" t="s">
        <v>17240</v>
      </c>
      <c r="FW299" s="83" t="s">
        <v>7411</v>
      </c>
      <c r="FX299" s="751" t="s">
        <v>7667</v>
      </c>
      <c r="GF299" t="s">
        <v>8287</v>
      </c>
    </row>
    <row r="300" spans="8:188" ht="13.2" customHeight="1">
      <c r="H300" s="3"/>
      <c r="I300" s="3"/>
      <c r="J300" s="3"/>
      <c r="K300" s="3"/>
      <c r="L300" s="3"/>
      <c r="M300" s="651"/>
      <c r="N300" s="3"/>
      <c r="O300" s="3"/>
      <c r="P300" s="3"/>
      <c r="Q300" s="3"/>
      <c r="R300" s="651"/>
      <c r="S300" s="83" t="str">
        <f>IF(CareerType=Y300,"Raconteur",IF(AllCareers="X","Raconteur",IF(OR(Pays="Désolations du Chaos",Pays="Norsca"),"",IF(OR(SelectRace="Halfling",SelectRace="Humain"),"Raconteur",""))))</f>
        <v/>
      </c>
      <c r="T300" s="106">
        <f t="shared" si="160"/>
        <v>0</v>
      </c>
      <c r="U300" s="693" t="str">
        <f t="shared" si="152"/>
        <v/>
      </c>
      <c r="V300" s="693" t="str">
        <f t="shared" si="153"/>
        <v/>
      </c>
      <c r="W300" s="693" t="str">
        <f t="shared" si="154"/>
        <v/>
      </c>
      <c r="X300" s="47" t="s">
        <v>2160</v>
      </c>
      <c r="Y300" s="743" t="s">
        <v>7132</v>
      </c>
      <c r="Z300" s="55" t="s">
        <v>2208</v>
      </c>
      <c r="AA300" s="47">
        <v>122</v>
      </c>
      <c r="AB300" s="47" t="s">
        <v>2407</v>
      </c>
      <c r="AC300" s="47">
        <v>172</v>
      </c>
      <c r="AD300" s="15" t="s">
        <v>114</v>
      </c>
      <c r="AE300" s="15" t="s">
        <v>149</v>
      </c>
      <c r="AF300" s="15" t="s">
        <v>149</v>
      </c>
      <c r="AG300" s="15" t="s">
        <v>149</v>
      </c>
      <c r="AH300" s="15" t="s">
        <v>114</v>
      </c>
      <c r="AI300" s="15" t="s">
        <v>98</v>
      </c>
      <c r="AJ300" s="15" t="s">
        <v>98</v>
      </c>
      <c r="AK300" s="18" t="s">
        <v>98</v>
      </c>
      <c r="AL300" s="15" t="s">
        <v>149</v>
      </c>
      <c r="AM300" s="15" t="s">
        <v>113</v>
      </c>
      <c r="AN300" s="15" t="s">
        <v>149</v>
      </c>
      <c r="AO300" s="15" t="s">
        <v>149</v>
      </c>
      <c r="AP300" s="87" t="s">
        <v>15729</v>
      </c>
      <c r="AQ300" s="87" t="s">
        <v>15930</v>
      </c>
      <c r="AR300" s="87" t="s">
        <v>5541</v>
      </c>
      <c r="AS300" s="87" t="s">
        <v>5585</v>
      </c>
      <c r="AT300" s="22" t="s">
        <v>16653</v>
      </c>
      <c r="AU300" s="87" t="s">
        <v>5363</v>
      </c>
      <c r="AV300" s="87" t="s">
        <v>4722</v>
      </c>
      <c r="AW300" s="457">
        <v>0</v>
      </c>
      <c r="AX300" s="630" t="str">
        <f t="shared" si="156"/>
        <v/>
      </c>
      <c r="AY300" s="630" t="str">
        <f t="shared" si="157"/>
        <v/>
      </c>
      <c r="AZ300" s="630" t="str">
        <f t="shared" si="158"/>
        <v/>
      </c>
      <c r="BA300" s="3"/>
      <c r="BB300" s="3"/>
      <c r="BC300" s="3"/>
      <c r="BD300" s="3"/>
      <c r="BE300" s="3"/>
      <c r="BF300" s="3"/>
      <c r="BG300" s="3"/>
      <c r="BH300" s="3"/>
      <c r="BI300" s="3"/>
      <c r="BJ300" s="3"/>
      <c r="BK300" s="3"/>
      <c r="BL300" s="3"/>
      <c r="BM300" s="3"/>
      <c r="BN300" s="3"/>
      <c r="BP300" s="3"/>
      <c r="BQ300" s="3"/>
      <c r="BR300" s="3"/>
      <c r="BS300" s="3"/>
      <c r="BT300" s="3"/>
      <c r="BU300" s="3"/>
      <c r="BV300" s="3"/>
      <c r="BW300" s="3"/>
      <c r="BX300" s="3" t="str">
        <f>IF(SelectRace="Elfe","Quartier d'Elfeville de Marienburg","")</f>
        <v/>
      </c>
      <c r="BY300" t="str">
        <f t="shared" si="155"/>
        <v/>
      </c>
      <c r="BZ300" s="83" t="str">
        <f t="shared" si="147"/>
        <v/>
      </c>
      <c r="CA300" s="83" t="str">
        <f t="shared" si="148"/>
        <v/>
      </c>
      <c r="CB300" s="530" t="str">
        <f t="shared" si="149"/>
        <v/>
      </c>
      <c r="CG300" s="83" t="s">
        <v>14902</v>
      </c>
      <c r="CH300" s="3"/>
      <c r="CI300" s="3"/>
      <c r="CJ300" s="3"/>
      <c r="CK300" s="3" t="s">
        <v>6767</v>
      </c>
      <c r="CM300" s="3" t="s">
        <v>6668</v>
      </c>
      <c r="CN300" s="3"/>
      <c r="CO300" s="3" t="str">
        <f>CONCATENATE("Raud",IF(AND('page 1'!M11="Féminin",Pays="Norsca"),"dottir",IF(AND('page 1'!M11="Masculin",Pays="Norsca"),"son",IF(AND('page 1'!M11="Féminin",Pays="Kislev"),"ovna",IF(AND('page 1'!M11="Masculin",Pays="Kislev"),"sky","")))))</f>
        <v>Raud</v>
      </c>
      <c r="CP300" s="3"/>
      <c r="CQ300" s="3"/>
      <c r="CR300" s="3" t="s">
        <v>13667</v>
      </c>
      <c r="CS300" s="3"/>
      <c r="CT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U300" s="25" t="str">
        <f>IF(OR(Dieu="Handrich",Dieu="O Prospèro",Dieu="Mercopio",Dieu="Kalita",Dieu="Haendryk",Dieu="Hitoï",Dieu="Mahakali"),"L'artisan","")</f>
        <v/>
      </c>
      <c r="EV300" s="83" t="str">
        <f t="shared" si="161"/>
        <v/>
      </c>
      <c r="EW300" s="83" t="str">
        <f t="shared" si="150"/>
        <v/>
      </c>
      <c r="EX300" s="530" t="str">
        <f t="shared" si="151"/>
        <v/>
      </c>
      <c r="EZ300" s="530" t="s">
        <v>16128</v>
      </c>
      <c r="FB300" t="s">
        <v>7406</v>
      </c>
      <c r="FC300" s="133" t="s">
        <v>5751</v>
      </c>
      <c r="FD300" s="83" t="s">
        <v>2200</v>
      </c>
      <c r="FE300" s="849">
        <v>233</v>
      </c>
      <c r="FF300">
        <v>36</v>
      </c>
      <c r="FG300">
        <v>27</v>
      </c>
      <c r="FH300">
        <v>31</v>
      </c>
      <c r="FI300">
        <v>30</v>
      </c>
      <c r="FJ300" s="10">
        <v>43</v>
      </c>
      <c r="FK300">
        <v>29</v>
      </c>
      <c r="FL300">
        <v>30</v>
      </c>
      <c r="FM300" s="165">
        <v>35</v>
      </c>
      <c r="FN300" s="88">
        <v>1</v>
      </c>
      <c r="FO300" s="88">
        <v>11</v>
      </c>
      <c r="FP300" s="164">
        <f>ROUNDDOWN(FH300/10,0)</f>
        <v>3</v>
      </c>
      <c r="FQ300" s="164">
        <f>ROUNDDOWN(FI300/10,0)</f>
        <v>3</v>
      </c>
      <c r="FR300" s="682">
        <v>4</v>
      </c>
      <c r="FS300" s="88">
        <v>0</v>
      </c>
      <c r="FT300" s="88">
        <v>0</v>
      </c>
      <c r="FU300" s="165">
        <v>0</v>
      </c>
      <c r="FV300" s="83" t="s">
        <v>17242</v>
      </c>
      <c r="FW300" s="84" t="s">
        <v>149</v>
      </c>
      <c r="FX300" s="751" t="s">
        <v>7667</v>
      </c>
      <c r="GF300" t="s">
        <v>8288</v>
      </c>
    </row>
    <row r="301" spans="8:188" ht="13.2" customHeight="1">
      <c r="H301" s="3"/>
      <c r="I301" s="3"/>
      <c r="J301" s="3"/>
      <c r="K301" s="3"/>
      <c r="L301" s="3"/>
      <c r="M301" s="651"/>
      <c r="N301" s="3"/>
      <c r="O301" s="3"/>
      <c r="P301" s="3"/>
      <c r="Q301" s="3"/>
      <c r="R301" s="651"/>
      <c r="S301" s="83" t="str">
        <f>IF(CareerType=Y301,"Ramasseur de fumier",IF(AllCareers="X","Ramasseur de fumier",IF(OR(Pays="Désolations du Chaos",Pays="Norsca"),"",IF(OR(SelectRace="Nain",SelectRace="Humain",SelectRace="Halfling"),"Ramasseur de fumier",""))))</f>
        <v/>
      </c>
      <c r="T301" s="106">
        <f t="shared" si="160"/>
        <v>0</v>
      </c>
      <c r="U301" s="693" t="str">
        <f t="shared" si="152"/>
        <v/>
      </c>
      <c r="V301" s="693" t="str">
        <f t="shared" si="153"/>
        <v/>
      </c>
      <c r="W301" s="693" t="str">
        <f t="shared" si="154"/>
        <v/>
      </c>
      <c r="X301" s="47" t="s">
        <v>2160</v>
      </c>
      <c r="Y301" s="743" t="s">
        <v>7132</v>
      </c>
      <c r="Z301" s="55" t="s">
        <v>2408</v>
      </c>
      <c r="AA301" s="47">
        <v>12</v>
      </c>
      <c r="AB301" s="47" t="s">
        <v>2409</v>
      </c>
      <c r="AC301" s="47">
        <v>63</v>
      </c>
      <c r="AD301" s="15" t="s">
        <v>114</v>
      </c>
      <c r="AE301" s="15" t="s">
        <v>149</v>
      </c>
      <c r="AF301" s="15" t="s">
        <v>114</v>
      </c>
      <c r="AG301" s="15" t="s">
        <v>98</v>
      </c>
      <c r="AH301" s="15" t="s">
        <v>114</v>
      </c>
      <c r="AI301" s="15" t="s">
        <v>149</v>
      </c>
      <c r="AJ301" s="15" t="s">
        <v>114</v>
      </c>
      <c r="AK301" s="18" t="s">
        <v>149</v>
      </c>
      <c r="AL301" s="15" t="s">
        <v>149</v>
      </c>
      <c r="AM301" s="15" t="s">
        <v>113</v>
      </c>
      <c r="AN301" s="15" t="s">
        <v>149</v>
      </c>
      <c r="AO301" s="15" t="s">
        <v>149</v>
      </c>
      <c r="AP301" s="22" t="s">
        <v>15730</v>
      </c>
      <c r="AQ301" s="87" t="s">
        <v>734</v>
      </c>
      <c r="AR301" s="22" t="s">
        <v>1252</v>
      </c>
      <c r="AS301" s="87" t="s">
        <v>734</v>
      </c>
      <c r="AT301" s="22" t="s">
        <v>3509</v>
      </c>
      <c r="AU301" s="87" t="s">
        <v>5397</v>
      </c>
      <c r="AV301" s="87" t="s">
        <v>4717</v>
      </c>
      <c r="AW301" s="457">
        <v>0</v>
      </c>
      <c r="AX301" s="630" t="str">
        <f t="shared" si="156"/>
        <v/>
      </c>
      <c r="AY301" s="630" t="str">
        <f t="shared" si="157"/>
        <v/>
      </c>
      <c r="AZ301" s="630" t="str">
        <f t="shared" si="158"/>
        <v/>
      </c>
      <c r="BA301" s="3"/>
      <c r="BB301" s="3"/>
      <c r="BC301" s="3"/>
      <c r="BD301" s="3"/>
      <c r="BE301" s="3"/>
      <c r="BF301" s="3"/>
      <c r="BG301" s="3"/>
      <c r="BH301" s="3"/>
      <c r="BI301" s="3"/>
      <c r="BJ301" s="3"/>
      <c r="BK301" s="3"/>
      <c r="BL301" s="3"/>
      <c r="BM301" s="3"/>
      <c r="BN301" s="3"/>
      <c r="BP301" s="3"/>
      <c r="BQ301" s="3"/>
      <c r="BR301" s="3"/>
      <c r="BS301" s="3"/>
      <c r="BT301" s="3"/>
      <c r="BU301" s="3"/>
      <c r="BV301" s="3"/>
      <c r="BW301" s="3"/>
      <c r="BX301" s="3" t="str">
        <f>IF(OR(Selectsousrace="Elfe Sylvain",AND(SelectRace="Humain",Selectsousrace="Demi-elfe"),AND(SelectRace="Halfling",Selectsousrace="Demi-elfe")),"Forêt de Laurelorn","")</f>
        <v/>
      </c>
      <c r="BY301" t="str">
        <f t="shared" si="155"/>
        <v/>
      </c>
      <c r="BZ301" s="83" t="str">
        <f t="shared" si="147"/>
        <v/>
      </c>
      <c r="CA301" s="83" t="str">
        <f t="shared" si="148"/>
        <v/>
      </c>
      <c r="CB301" s="530" t="str">
        <f t="shared" si="149"/>
        <v/>
      </c>
      <c r="CG301" s="3" t="s">
        <v>3146</v>
      </c>
      <c r="CH301" s="3"/>
      <c r="CI301" s="3"/>
      <c r="CJ301" s="3"/>
      <c r="CK301" s="3" t="s">
        <v>6965</v>
      </c>
      <c r="CM301" s="3" t="s">
        <v>6669</v>
      </c>
      <c r="CN301" s="3"/>
      <c r="CO301" s="3" t="s">
        <v>11065</v>
      </c>
      <c r="CP301" s="3"/>
      <c r="CQ301" s="3"/>
      <c r="CR301" s="3" t="s">
        <v>13668</v>
      </c>
      <c r="CS301" s="3"/>
      <c r="CT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U301" s="25" t="str">
        <f>IF(Pays="Tilée","Légion Cauchemar d'Ennio Mordini","")</f>
        <v/>
      </c>
      <c r="EV301" s="83" t="str">
        <f t="shared" ref="EV301" si="162">IF(EU301="","",ROW())</f>
        <v/>
      </c>
      <c r="EW301" s="83" t="str">
        <f t="shared" si="150"/>
        <v/>
      </c>
      <c r="EX301" s="530" t="str">
        <f t="shared" si="151"/>
        <v/>
      </c>
      <c r="EY301" s="83" t="s">
        <v>16137</v>
      </c>
      <c r="EZ301" s="530" t="s">
        <v>5877</v>
      </c>
      <c r="FB301" s="83" t="s">
        <v>2422</v>
      </c>
      <c r="FC301" s="133" t="s">
        <v>5751</v>
      </c>
      <c r="FD301" s="83" t="s">
        <v>7365</v>
      </c>
      <c r="FE301" s="849">
        <v>111</v>
      </c>
      <c r="FF301">
        <v>27</v>
      </c>
      <c r="FG301">
        <v>30</v>
      </c>
      <c r="FH301">
        <v>22</v>
      </c>
      <c r="FI301">
        <v>31</v>
      </c>
      <c r="FJ301" s="10">
        <v>43</v>
      </c>
      <c r="FK301">
        <v>54</v>
      </c>
      <c r="FL301">
        <v>44</v>
      </c>
      <c r="FM301" s="165">
        <v>40</v>
      </c>
      <c r="FN301" s="88">
        <v>1</v>
      </c>
      <c r="FO301" s="88">
        <v>13</v>
      </c>
      <c r="FP301" s="164">
        <f>ROUNDDOWN(FH301/10,0)</f>
        <v>2</v>
      </c>
      <c r="FQ301" s="164">
        <f>ROUNDDOWN(FI301/10,0)</f>
        <v>3</v>
      </c>
      <c r="FR301" s="682">
        <v>4</v>
      </c>
      <c r="FS301" s="88">
        <v>0</v>
      </c>
      <c r="FT301" s="88">
        <v>0</v>
      </c>
      <c r="FU301" s="165">
        <v>0</v>
      </c>
      <c r="FV301" s="83" t="s">
        <v>13071</v>
      </c>
      <c r="FW301" s="90" t="s">
        <v>7400</v>
      </c>
      <c r="FX301" s="540" t="s">
        <v>7668</v>
      </c>
      <c r="GF301" t="s">
        <v>8289</v>
      </c>
    </row>
    <row r="302" spans="8:188" ht="13.2" customHeight="1">
      <c r="H302" s="3"/>
      <c r="I302" s="3"/>
      <c r="J302" s="3"/>
      <c r="K302" s="3"/>
      <c r="L302" s="3"/>
      <c r="M302" s="651"/>
      <c r="N302" s="3"/>
      <c r="O302" s="3"/>
      <c r="P302" s="3"/>
      <c r="Q302" s="3"/>
      <c r="R302" s="651"/>
      <c r="S302" s="83" t="str">
        <f>IF(CareerType=X302,"Ramoneur",IF(AllCareers="X","Ramoneur",IF(OR(Pays="Désolations du Chaos",Pays="Norsca"),"",IF(OR(SelectRace="Nain",SelectRace="Humain",SelectRace="Halfling"),"Ramoneur",""))))</f>
        <v/>
      </c>
      <c r="T302" s="106">
        <f t="shared" si="160"/>
        <v>0</v>
      </c>
      <c r="U302" s="693" t="str">
        <f t="shared" si="152"/>
        <v/>
      </c>
      <c r="V302" s="693" t="str">
        <f t="shared" si="153"/>
        <v/>
      </c>
      <c r="W302" s="693" t="str">
        <f t="shared" si="154"/>
        <v/>
      </c>
      <c r="X302" s="47" t="s">
        <v>2160</v>
      </c>
      <c r="Y302" s="743" t="s">
        <v>7132</v>
      </c>
      <c r="Z302" s="55" t="s">
        <v>2408</v>
      </c>
      <c r="AA302" s="47">
        <v>12</v>
      </c>
      <c r="AB302" s="47" t="s">
        <v>2411</v>
      </c>
      <c r="AC302" s="47">
        <v>50</v>
      </c>
      <c r="AD302" s="15" t="s">
        <v>114</v>
      </c>
      <c r="AE302" s="15" t="s">
        <v>149</v>
      </c>
      <c r="AF302" s="15" t="s">
        <v>114</v>
      </c>
      <c r="AG302" s="15" t="s">
        <v>114</v>
      </c>
      <c r="AH302" s="15" t="s">
        <v>114</v>
      </c>
      <c r="AI302" s="15" t="s">
        <v>149</v>
      </c>
      <c r="AJ302" s="15" t="s">
        <v>114</v>
      </c>
      <c r="AK302" s="18" t="s">
        <v>114</v>
      </c>
      <c r="AL302" s="15" t="s">
        <v>149</v>
      </c>
      <c r="AM302" s="15" t="s">
        <v>113</v>
      </c>
      <c r="AN302" s="15" t="s">
        <v>149</v>
      </c>
      <c r="AO302" s="15" t="s">
        <v>149</v>
      </c>
      <c r="AP302" s="22" t="s">
        <v>1253</v>
      </c>
      <c r="AQ302" s="87" t="s">
        <v>734</v>
      </c>
      <c r="AR302" s="87" t="s">
        <v>5548</v>
      </c>
      <c r="AS302" s="87" t="s">
        <v>734</v>
      </c>
      <c r="AT302" s="22" t="s">
        <v>3510</v>
      </c>
      <c r="AU302" s="87" t="s">
        <v>5396</v>
      </c>
      <c r="AV302" s="87" t="s">
        <v>4716</v>
      </c>
      <c r="AW302" s="457">
        <v>0</v>
      </c>
      <c r="AX302" s="630" t="str">
        <f t="shared" si="156"/>
        <v/>
      </c>
      <c r="AY302" s="630" t="str">
        <f t="shared" si="157"/>
        <v/>
      </c>
      <c r="AZ302" s="630" t="str">
        <f t="shared" si="158"/>
        <v/>
      </c>
      <c r="BA302" s="3"/>
      <c r="BB302" s="3"/>
      <c r="BC302" s="3"/>
      <c r="BD302" s="3"/>
      <c r="BE302" s="3"/>
      <c r="BF302" s="3"/>
      <c r="BG302" s="3"/>
      <c r="BH302" s="3"/>
      <c r="BI302" s="3"/>
      <c r="BJ302" s="3"/>
      <c r="BK302" s="3"/>
      <c r="BL302" s="3"/>
      <c r="BM302" s="3"/>
      <c r="BN302" s="3"/>
      <c r="BP302" s="3"/>
      <c r="BQ302" s="3"/>
      <c r="BR302" s="3"/>
      <c r="BS302" s="3"/>
      <c r="BT302" s="3"/>
      <c r="BU302" s="3"/>
      <c r="BV302" s="3"/>
      <c r="BW302" s="3"/>
      <c r="BX302" s="3" t="str">
        <f>IF(OR(Selectsousrace="Elfe Sylvain",AND(SelectRace="Humain",Selectsousrace="Demi-elfe"),AND(SelectRace="Halfling",Selectsousrace="Demi-elfe")),"Grande Forêt","")</f>
        <v/>
      </c>
      <c r="BY302" t="str">
        <f t="shared" si="155"/>
        <v/>
      </c>
      <c r="BZ302" s="83" t="str">
        <f t="shared" si="147"/>
        <v/>
      </c>
      <c r="CA302" s="83" t="str">
        <f t="shared" si="148"/>
        <v/>
      </c>
      <c r="CB302" s="530" t="str">
        <f t="shared" si="149"/>
        <v/>
      </c>
      <c r="CG302" s="3" t="s">
        <v>897</v>
      </c>
      <c r="CH302" s="3"/>
      <c r="CI302" s="3"/>
      <c r="CJ302" s="3"/>
      <c r="CK302" s="3" t="s">
        <v>6854</v>
      </c>
      <c r="CM302" t="s">
        <v>893</v>
      </c>
      <c r="CN302" s="3"/>
      <c r="CO302" s="3" t="str">
        <f>CONCATENATE("Ring",IF(AND('page 1'!M11="Féminin",Pays="Norsca"),"dottir",IF(AND('page 1'!M11="Masculin",Pays="Norsca"),"son",IF(AND('page 1'!M11="Féminin",Pays="Kislev"),"ovna",IF(AND('page 1'!M11="Masculin",Pays="Kislev"),"sky","")))))</f>
        <v>Ring</v>
      </c>
      <c r="CP302" s="3"/>
      <c r="CQ302" s="3"/>
      <c r="CR302" t="s">
        <v>13669</v>
      </c>
      <c r="CS302" s="3"/>
      <c r="CT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U302" s="25" t="str">
        <f>IF(AND(Dieu="Ursun",'page 1'!M11="Masculin"),"Cercle de l'Ours","")</f>
        <v/>
      </c>
      <c r="EV302" s="83" t="str">
        <f t="shared" ref="EV302:EV304" si="163">IF(EU302="","",ROW())</f>
        <v/>
      </c>
      <c r="EW302" s="83" t="str">
        <f t="shared" ref="EW302:EW304" si="164">IFERROR(SMALL(EV:EV,ROW()-1),"")</f>
        <v/>
      </c>
      <c r="EX302" s="530" t="str">
        <f t="shared" ref="EX302:EX304" si="165">IFERROR(INDEX(EU:EU,EW302),"")</f>
        <v/>
      </c>
      <c r="EY302" s="83" t="s">
        <v>3542</v>
      </c>
      <c r="FB302" s="83" t="s">
        <v>5751</v>
      </c>
      <c r="FC302" s="133" t="s">
        <v>5751</v>
      </c>
      <c r="FD302" s="83" t="s">
        <v>7365</v>
      </c>
      <c r="FE302" s="849">
        <v>98</v>
      </c>
      <c r="FF302">
        <v>28</v>
      </c>
      <c r="FG302">
        <v>28</v>
      </c>
      <c r="FH302">
        <v>29</v>
      </c>
      <c r="FI302">
        <v>32</v>
      </c>
      <c r="FJ302" s="10">
        <v>27</v>
      </c>
      <c r="FK302">
        <v>30</v>
      </c>
      <c r="FL302">
        <v>36</v>
      </c>
      <c r="FM302" s="165">
        <v>34</v>
      </c>
      <c r="FN302" s="88">
        <v>1</v>
      </c>
      <c r="FO302" s="88">
        <v>11</v>
      </c>
      <c r="FP302" s="164">
        <f>ROUNDDOWN(FH302/10,0)</f>
        <v>2</v>
      </c>
      <c r="FQ302" s="164">
        <f>ROUNDDOWN(FI302/10,0)</f>
        <v>3</v>
      </c>
      <c r="FR302" s="682">
        <v>4</v>
      </c>
      <c r="FS302" s="88">
        <v>0</v>
      </c>
      <c r="FT302" s="88">
        <v>0</v>
      </c>
      <c r="FU302" s="165">
        <v>0</v>
      </c>
      <c r="FV302" s="83" t="s">
        <v>7440</v>
      </c>
      <c r="FW302" s="83" t="s">
        <v>7370</v>
      </c>
      <c r="FX302" s="567" t="s">
        <v>7668</v>
      </c>
      <c r="GF302" t="s">
        <v>8297</v>
      </c>
    </row>
    <row r="303" spans="8:188" ht="13.2" customHeight="1">
      <c r="H303" s="3"/>
      <c r="I303" s="3"/>
      <c r="J303" s="3"/>
      <c r="K303" s="3"/>
      <c r="L303" s="3"/>
      <c r="M303" s="651"/>
      <c r="N303" s="3"/>
      <c r="O303" s="3"/>
      <c r="P303" s="3"/>
      <c r="Q303" s="3"/>
      <c r="R303" s="651"/>
      <c r="S303" s="83" t="str">
        <f>IF(CareerType=Y303,"Ratier",IF(AllCareers="X","Ratier",IF(OR(Pays="Désolations du Chaos",Pays="Norsca"),"",IF(OR(SelectRace="Nain",SelectRace="Humain",SelectRace="Halfling"),"Ratier",""))))</f>
        <v/>
      </c>
      <c r="T303" s="106">
        <f t="shared" si="160"/>
        <v>0</v>
      </c>
      <c r="U303" s="693" t="str">
        <f t="shared" si="152"/>
        <v/>
      </c>
      <c r="V303" s="693" t="str">
        <f t="shared" si="153"/>
        <v/>
      </c>
      <c r="W303" s="693" t="str">
        <f t="shared" si="154"/>
        <v/>
      </c>
      <c r="X303" s="47" t="s">
        <v>2160</v>
      </c>
      <c r="Y303" s="743" t="s">
        <v>7132</v>
      </c>
      <c r="Z303" s="55" t="s">
        <v>2200</v>
      </c>
      <c r="AA303" s="47">
        <v>54</v>
      </c>
      <c r="AB303" s="47" t="s">
        <v>2413</v>
      </c>
      <c r="AC303" s="47">
        <v>174</v>
      </c>
      <c r="AD303" s="20" t="s">
        <v>114</v>
      </c>
      <c r="AE303" s="15" t="s">
        <v>98</v>
      </c>
      <c r="AF303" s="15" t="s">
        <v>149</v>
      </c>
      <c r="AG303" s="20" t="s">
        <v>114</v>
      </c>
      <c r="AH303" s="15" t="s">
        <v>98</v>
      </c>
      <c r="AI303" s="15" t="s">
        <v>149</v>
      </c>
      <c r="AJ303" s="15" t="s">
        <v>98</v>
      </c>
      <c r="AK303" s="18" t="s">
        <v>149</v>
      </c>
      <c r="AL303" s="15" t="s">
        <v>149</v>
      </c>
      <c r="AM303" s="15" t="s">
        <v>113</v>
      </c>
      <c r="AN303" s="15" t="s">
        <v>149</v>
      </c>
      <c r="AO303" s="15" t="s">
        <v>149</v>
      </c>
      <c r="AP303" s="22" t="s">
        <v>125</v>
      </c>
      <c r="AQ303" s="87" t="s">
        <v>15931</v>
      </c>
      <c r="AR303" s="87" t="s">
        <v>5536</v>
      </c>
      <c r="AS303" s="87" t="s">
        <v>734</v>
      </c>
      <c r="AT303" s="87" t="s">
        <v>9489</v>
      </c>
      <c r="AU303" s="87" t="s">
        <v>9490</v>
      </c>
      <c r="AV303" s="87" t="s">
        <v>4581</v>
      </c>
      <c r="AW303" s="457">
        <v>0</v>
      </c>
      <c r="AX303" s="630" t="str">
        <f t="shared" si="156"/>
        <v/>
      </c>
      <c r="AY303" s="630" t="str">
        <f t="shared" si="157"/>
        <v/>
      </c>
      <c r="AZ303" s="630" t="str">
        <f t="shared" si="158"/>
        <v/>
      </c>
      <c r="BA303" s="3"/>
      <c r="BB303" s="3"/>
      <c r="BC303" s="3"/>
      <c r="BD303" s="3"/>
      <c r="BE303" s="3"/>
      <c r="BF303" s="3"/>
      <c r="BG303" s="3"/>
      <c r="BH303" s="3"/>
      <c r="BI303" s="3"/>
      <c r="BJ303" s="3"/>
      <c r="BK303" s="3"/>
      <c r="BL303" s="3"/>
      <c r="BM303" s="3"/>
      <c r="BN303" s="3"/>
      <c r="BP303" s="3"/>
      <c r="BQ303" s="3"/>
      <c r="BR303" s="3"/>
      <c r="BS303" s="3"/>
      <c r="BT303" s="3"/>
      <c r="BU303" s="3"/>
      <c r="BV303" s="3"/>
      <c r="BW303" s="3"/>
      <c r="BX303" s="3" t="str">
        <f>IF(OR(Selectsousrace="Elfe Sylvain",AND(SelectRace="Humain",Selectsousrace="Demi-elfe"),AND(SelectRace="Halfling",Selectsousrace="Demi-elfe")),"Forêt de Reikwald","")</f>
        <v/>
      </c>
      <c r="BY303" t="str">
        <f t="shared" si="155"/>
        <v/>
      </c>
      <c r="BZ303" s="83" t="str">
        <f t="shared" si="147"/>
        <v/>
      </c>
      <c r="CA303" s="83" t="str">
        <f t="shared" si="148"/>
        <v/>
      </c>
      <c r="CB303" s="530" t="str">
        <f t="shared" si="149"/>
        <v/>
      </c>
      <c r="CG303" s="3" t="s">
        <v>6346</v>
      </c>
      <c r="CH303" s="3"/>
      <c r="CI303" s="3"/>
      <c r="CJ303" s="3"/>
      <c r="CK303" s="3" t="s">
        <v>6969</v>
      </c>
      <c r="CM303" s="83" t="s">
        <v>14927</v>
      </c>
      <c r="CN303" s="3"/>
      <c r="CO303" t="str">
        <f>CONCATENATE("Robins",IF(AND('page 1'!M11="Féminin",Pays="Norsca"),"dottir",IF(AND('page 1'!M11="Masculin",Pays="Norsca"),"son",IF(AND('page 1'!M11="Féminin",Pays="Kislev"),"ovna",IF(AND('page 1'!M11="Masculin",Pays="Kislev"),"sky","")))))</f>
        <v>Robins</v>
      </c>
      <c r="CP303" s="3"/>
      <c r="CQ303" s="3"/>
      <c r="CR303" s="3" t="s">
        <v>13670</v>
      </c>
      <c r="CS303" s="3"/>
      <c r="CT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U303" s="25" t="str">
        <f>IF(AND(Dieu="Ursun",'page 1'!M11="Masculin"),"Gardiens de la Chasse","")</f>
        <v/>
      </c>
      <c r="EV303" s="83" t="str">
        <f t="shared" si="163"/>
        <v/>
      </c>
      <c r="EW303" s="83" t="str">
        <f t="shared" si="164"/>
        <v/>
      </c>
      <c r="EX303" s="530" t="str">
        <f t="shared" si="165"/>
        <v/>
      </c>
      <c r="EY303" t="s">
        <v>407</v>
      </c>
      <c r="EZ303" s="530" t="s">
        <v>16281</v>
      </c>
      <c r="FB303" s="83" t="s">
        <v>15466</v>
      </c>
      <c r="FC303" s="133" t="s">
        <v>5751</v>
      </c>
      <c r="FD303" s="85" t="s">
        <v>15542</v>
      </c>
      <c r="FE303" s="848" t="s">
        <v>15543</v>
      </c>
      <c r="FF303">
        <v>33</v>
      </c>
      <c r="FG303">
        <v>25</v>
      </c>
      <c r="FH303">
        <v>49</v>
      </c>
      <c r="FI303">
        <v>33</v>
      </c>
      <c r="FJ303">
        <v>49</v>
      </c>
      <c r="FK303" s="10">
        <v>19</v>
      </c>
      <c r="FL303">
        <v>52</v>
      </c>
      <c r="FM303" s="165">
        <v>31</v>
      </c>
      <c r="FN303" s="88">
        <v>1</v>
      </c>
      <c r="FO303" s="88">
        <v>12</v>
      </c>
      <c r="FP303" s="164">
        <f>ROUNDDOWN(FH303/10,0)</f>
        <v>4</v>
      </c>
      <c r="FQ303" s="691">
        <f>ROUNDDOWN(FJ303/10,0)</f>
        <v>4</v>
      </c>
      <c r="FR303" s="10">
        <v>2</v>
      </c>
      <c r="FS303" s="88">
        <v>0</v>
      </c>
      <c r="FT303" s="88">
        <v>0</v>
      </c>
      <c r="FU303" s="165">
        <v>0</v>
      </c>
      <c r="FV303" s="83" t="s">
        <v>15468</v>
      </c>
      <c r="FW303" s="83" t="s">
        <v>15467</v>
      </c>
      <c r="FX303" s="530" t="s">
        <v>15451</v>
      </c>
      <c r="GF303" t="s">
        <v>8298</v>
      </c>
    </row>
    <row r="304" spans="8:188" ht="13.2" customHeight="1">
      <c r="H304" s="3"/>
      <c r="I304" s="3"/>
      <c r="J304" s="3"/>
      <c r="K304" s="3"/>
      <c r="L304" s="3"/>
      <c r="M304" s="651"/>
      <c r="N304" s="3"/>
      <c r="O304" s="3"/>
      <c r="P304" s="3"/>
      <c r="Q304" s="3"/>
      <c r="R304" s="651"/>
      <c r="S304" s="83" t="str">
        <f>IF(CareerType=Y304,"Receleur",IF(AllCareers="X","Receleur",IF(Selectsousrace="","",IF(FirstCareer="1ère carrière","",IF(SelectRace="skaven","Receleur",IF(OR(SelectRace="homme-bête",SelectRace="peau-verte",SelectRace="créature du chaos",SelectRace="Homme-lézard"),"","Receleur"))))))</f>
        <v/>
      </c>
      <c r="T304" s="106">
        <f t="shared" si="160"/>
        <v>1</v>
      </c>
      <c r="U304" s="693" t="str">
        <f t="shared" si="152"/>
        <v/>
      </c>
      <c r="V304" s="693" t="str">
        <f t="shared" si="153"/>
        <v/>
      </c>
      <c r="W304" s="693" t="str">
        <f t="shared" si="154"/>
        <v/>
      </c>
      <c r="X304" s="47" t="s">
        <v>2153</v>
      </c>
      <c r="Y304" s="743" t="s">
        <v>7133</v>
      </c>
      <c r="Z304" s="55" t="s">
        <v>2200</v>
      </c>
      <c r="AA304" s="47">
        <v>84</v>
      </c>
      <c r="AB304" s="47" t="s">
        <v>2414</v>
      </c>
      <c r="AC304" s="47">
        <v>76</v>
      </c>
      <c r="AD304" s="15" t="s">
        <v>101</v>
      </c>
      <c r="AE304" s="15" t="s">
        <v>98</v>
      </c>
      <c r="AF304" s="15" t="s">
        <v>98</v>
      </c>
      <c r="AG304" s="20" t="s">
        <v>114</v>
      </c>
      <c r="AH304" s="15" t="s">
        <v>98</v>
      </c>
      <c r="AI304" s="20" t="s">
        <v>114</v>
      </c>
      <c r="AJ304" s="15" t="s">
        <v>98</v>
      </c>
      <c r="AK304" s="18" t="s">
        <v>98</v>
      </c>
      <c r="AL304" s="15" t="s">
        <v>102</v>
      </c>
      <c r="AM304" s="15" t="s">
        <v>103</v>
      </c>
      <c r="AN304" s="15" t="s">
        <v>149</v>
      </c>
      <c r="AO304" s="15" t="s">
        <v>149</v>
      </c>
      <c r="AP304" s="87" t="s">
        <v>5526</v>
      </c>
      <c r="AQ304" s="87" t="s">
        <v>5613</v>
      </c>
      <c r="AR304" s="87" t="s">
        <v>5528</v>
      </c>
      <c r="AS304" s="87" t="s">
        <v>734</v>
      </c>
      <c r="AT304" s="22" t="s">
        <v>3511</v>
      </c>
      <c r="AU304" s="87" t="s">
        <v>5405</v>
      </c>
      <c r="AV304" s="87" t="s">
        <v>4634</v>
      </c>
      <c r="AW304" s="457">
        <v>0</v>
      </c>
      <c r="AX304" s="630" t="str">
        <f t="shared" si="156"/>
        <v/>
      </c>
      <c r="AY304" s="630" t="str">
        <f t="shared" si="157"/>
        <v/>
      </c>
      <c r="AZ304" s="630" t="str">
        <f t="shared" si="158"/>
        <v/>
      </c>
      <c r="BA304" s="3"/>
      <c r="BB304" s="3"/>
      <c r="BC304" s="3"/>
      <c r="BD304" s="3"/>
      <c r="BE304" s="3"/>
      <c r="BF304" s="3"/>
      <c r="BG304" s="3"/>
      <c r="BH304" s="3"/>
      <c r="BI304" s="3"/>
      <c r="BJ304" s="3"/>
      <c r="BK304" s="3"/>
      <c r="BL304" s="3"/>
      <c r="BN304" s="3"/>
      <c r="BP304" s="3"/>
      <c r="BQ304" s="3"/>
      <c r="BR304" s="3"/>
      <c r="BS304" s="3"/>
      <c r="BT304" s="3"/>
      <c r="BU304" s="3"/>
      <c r="BV304" s="3"/>
      <c r="BW304" s="3"/>
      <c r="BX304" s="3" t="str">
        <f>IF(SelectRace="Elfe","Cité l'Altdorf","")</f>
        <v/>
      </c>
      <c r="BY304" t="str">
        <f t="shared" si="155"/>
        <v/>
      </c>
      <c r="BZ304" s="83" t="str">
        <f t="shared" si="147"/>
        <v/>
      </c>
      <c r="CA304" s="83" t="str">
        <f t="shared" si="148"/>
        <v/>
      </c>
      <c r="CB304" s="530" t="str">
        <f t="shared" si="149"/>
        <v/>
      </c>
      <c r="CG304" s="3" t="s">
        <v>6347</v>
      </c>
      <c r="CH304" s="3"/>
      <c r="CJ304" s="3"/>
      <c r="CK304" s="3" t="s">
        <v>6930</v>
      </c>
      <c r="CM304" t="s">
        <v>10428</v>
      </c>
      <c r="CO304" s="3" t="str">
        <f>CONCATENATE("Rokri",IF(AND('page 1'!M11="Féminin",Pays="Norsca"),"dottir",IF(AND('page 1'!M11="Masculin",Pays="Norsca"),"son",IF(AND('page 1'!M11="Féminin",Pays="Kislev"),"ovna",IF(AND('page 1'!M11="Masculin",Pays="Kislev"),"sky","")))))</f>
        <v>Rokri</v>
      </c>
      <c r="CR304" s="3" t="s">
        <v>13671</v>
      </c>
      <c r="EU304" s="25" t="str">
        <f>IF(OR(Dieu="Taal",Dieu="Torothal",,Dieu="Rhya"),"Secte de la Corne d’Abondance,","")</f>
        <v/>
      </c>
      <c r="EV304" s="83" t="str">
        <f t="shared" si="163"/>
        <v/>
      </c>
      <c r="EW304" s="83" t="str">
        <f t="shared" si="164"/>
        <v/>
      </c>
      <c r="EX304" s="530" t="str">
        <f t="shared" si="165"/>
        <v/>
      </c>
      <c r="EZ304" s="530" t="s">
        <v>16282</v>
      </c>
      <c r="FB304" s="83" t="s">
        <v>5754</v>
      </c>
      <c r="FC304" s="133" t="s">
        <v>5751</v>
      </c>
      <c r="FD304" s="83" t="s">
        <v>7365</v>
      </c>
      <c r="FE304" s="849">
        <v>107</v>
      </c>
      <c r="FF304">
        <v>48</v>
      </c>
      <c r="FG304">
        <v>44</v>
      </c>
      <c r="FH304">
        <v>35</v>
      </c>
      <c r="FI304">
        <v>41</v>
      </c>
      <c r="FJ304" s="10">
        <v>37</v>
      </c>
      <c r="FK304">
        <v>27</v>
      </c>
      <c r="FL304">
        <v>37</v>
      </c>
      <c r="FM304" s="165">
        <v>28</v>
      </c>
      <c r="FN304" s="88">
        <v>2</v>
      </c>
      <c r="FO304" s="88">
        <v>13</v>
      </c>
      <c r="FP304" s="164">
        <f>ROUNDDOWN(FH304/10,0)</f>
        <v>3</v>
      </c>
      <c r="FQ304" s="164">
        <f>ROUNDDOWN(FI304/10,0)</f>
        <v>4</v>
      </c>
      <c r="FR304" s="682">
        <v>4</v>
      </c>
      <c r="FS304" s="88">
        <v>0</v>
      </c>
      <c r="FT304" s="88">
        <v>0</v>
      </c>
      <c r="FU304" s="165">
        <v>0</v>
      </c>
      <c r="FV304" s="83" t="s">
        <v>7441</v>
      </c>
      <c r="FW304" s="83" t="s">
        <v>7382</v>
      </c>
      <c r="FX304" s="530" t="s">
        <v>7667</v>
      </c>
      <c r="GF304" t="s">
        <v>7808</v>
      </c>
    </row>
    <row r="305" spans="19:188" ht="13.2" customHeight="1">
      <c r="S305" s="83" t="str">
        <f>IF(CareerType=Y305,"Régisseur",IF(AllCareers="X","Régisseur",IF(AllCareers="X","Régisseur",IF(Selectsousrace&lt;&gt;"Humain","",IF(Pays="Norsca","",IF(Pays="Désolations du Chaos","","Régisseur"))))))</f>
        <v/>
      </c>
      <c r="T305" s="106">
        <f t="shared" si="160"/>
        <v>0</v>
      </c>
      <c r="U305" s="693" t="str">
        <f t="shared" si="152"/>
        <v/>
      </c>
      <c r="V305" s="693" t="str">
        <f t="shared" si="153"/>
        <v/>
      </c>
      <c r="W305" s="693" t="str">
        <f t="shared" si="154"/>
        <v/>
      </c>
      <c r="X305" s="47" t="s">
        <v>2160</v>
      </c>
      <c r="Y305" s="743" t="s">
        <v>7132</v>
      </c>
      <c r="Z305" s="55" t="s">
        <v>2200</v>
      </c>
      <c r="AA305" s="47">
        <v>55</v>
      </c>
      <c r="AB305" s="47" t="s">
        <v>2415</v>
      </c>
      <c r="AC305" s="47">
        <v>25</v>
      </c>
      <c r="AD305" s="20" t="s">
        <v>114</v>
      </c>
      <c r="AE305" s="20" t="s">
        <v>114</v>
      </c>
      <c r="AF305" s="20" t="s">
        <v>114</v>
      </c>
      <c r="AG305" s="15" t="s">
        <v>149</v>
      </c>
      <c r="AH305" s="15" t="s">
        <v>149</v>
      </c>
      <c r="AI305" s="15" t="s">
        <v>98</v>
      </c>
      <c r="AJ305" s="20" t="s">
        <v>114</v>
      </c>
      <c r="AK305" s="18" t="s">
        <v>98</v>
      </c>
      <c r="AL305" s="15" t="s">
        <v>149</v>
      </c>
      <c r="AM305" s="15" t="s">
        <v>113</v>
      </c>
      <c r="AN305" s="15" t="s">
        <v>149</v>
      </c>
      <c r="AO305" s="15" t="s">
        <v>149</v>
      </c>
      <c r="AP305" s="87" t="s">
        <v>15655</v>
      </c>
      <c r="AQ305" s="87" t="s">
        <v>734</v>
      </c>
      <c r="AR305" s="22" t="s">
        <v>2416</v>
      </c>
      <c r="AS305" s="22" t="s">
        <v>2416</v>
      </c>
      <c r="AT305" s="22" t="s">
        <v>3512</v>
      </c>
      <c r="AU305" s="87" t="s">
        <v>5342</v>
      </c>
      <c r="AV305" s="87" t="s">
        <v>4582</v>
      </c>
      <c r="AW305" s="457">
        <v>0</v>
      </c>
      <c r="AX305" s="630" t="str">
        <f t="shared" si="156"/>
        <v/>
      </c>
      <c r="AY305" s="630" t="str">
        <f t="shared" si="157"/>
        <v/>
      </c>
      <c r="AZ305" s="630" t="str">
        <f t="shared" si="158"/>
        <v/>
      </c>
      <c r="BA305" s="3"/>
      <c r="BB305" s="3"/>
      <c r="BC305" s="3"/>
      <c r="BD305" s="3"/>
      <c r="BE305" s="3"/>
      <c r="BF305" s="3"/>
      <c r="BG305" s="3"/>
      <c r="BX305" s="3" t="str">
        <f>IF(Province="Duché d'Artenois","Bourg du Duché d'Artenois","")</f>
        <v/>
      </c>
      <c r="BY305" t="str">
        <f t="shared" si="155"/>
        <v/>
      </c>
      <c r="BZ305" s="83" t="str">
        <f t="shared" si="147"/>
        <v/>
      </c>
      <c r="CA305" s="83" t="str">
        <f t="shared" si="148"/>
        <v/>
      </c>
      <c r="CB305" s="530" t="str">
        <f t="shared" si="149"/>
        <v/>
      </c>
      <c r="CG305" s="3" t="s">
        <v>1087</v>
      </c>
      <c r="CK305" s="3" t="s">
        <v>6893</v>
      </c>
      <c r="CM305" s="3" t="s">
        <v>6664</v>
      </c>
      <c r="CO305" t="str">
        <f>CONCATENATE("Rokri",IF(AND('page 1'!M12="Féminin",Pays="Norsca"),"dottir",IF(AND('page 1'!M12="Masculin",Pays="Norsca"),"son",IF(AND('page 1'!M12="Féminin",Pays="Kislev"),"ovna",IF(AND('page 1'!M12="Masculin",Pays="Kislev"),"sky","")))))</f>
        <v>Rokri</v>
      </c>
      <c r="CP305" s="3"/>
      <c r="CQ305" s="3"/>
      <c r="CR305" t="s">
        <v>13672</v>
      </c>
      <c r="EU305" s="177" t="str">
        <f>IF(OR(Pays="Norsca",Pays="Désolations du Chaos",Pays="",Pays="Steppes orientales"),"","Chevaliers du Cerf")</f>
        <v/>
      </c>
      <c r="EV305" s="83" t="str">
        <f t="shared" ref="EV305" si="166">IF(EU305="","",ROW())</f>
        <v/>
      </c>
      <c r="EW305" s="83" t="str">
        <f t="shared" ref="EW305" si="167">IFERROR(SMALL(EV:EV,ROW()-1),"")</f>
        <v/>
      </c>
      <c r="EX305" s="530" t="str">
        <f t="shared" ref="EX305" si="168">IFERROR(INDEX(EU:EU,EW305),"")</f>
        <v/>
      </c>
      <c r="EY305" s="83" t="s">
        <v>16283</v>
      </c>
      <c r="FB305" s="106" t="s">
        <v>2680</v>
      </c>
      <c r="FC305" s="133" t="s">
        <v>5751</v>
      </c>
      <c r="FD305" s="83" t="s">
        <v>7365</v>
      </c>
      <c r="FE305" s="849">
        <v>99</v>
      </c>
      <c r="FF305">
        <v>36</v>
      </c>
      <c r="FG305">
        <v>31</v>
      </c>
      <c r="FH305">
        <v>31</v>
      </c>
      <c r="FI305">
        <v>30</v>
      </c>
      <c r="FJ305" s="10">
        <v>51</v>
      </c>
      <c r="FK305">
        <v>56</v>
      </c>
      <c r="FL305">
        <v>46</v>
      </c>
      <c r="FM305" s="165">
        <v>46</v>
      </c>
      <c r="FN305" s="88">
        <v>1</v>
      </c>
      <c r="FO305" s="88">
        <v>15</v>
      </c>
      <c r="FP305" s="164">
        <f>ROUNDDOWN(FH305/10,0)</f>
        <v>3</v>
      </c>
      <c r="FQ305" s="164">
        <f>ROUNDDOWN(FI305/10,0)</f>
        <v>3</v>
      </c>
      <c r="FR305" s="682">
        <v>4</v>
      </c>
      <c r="FS305" s="88">
        <v>0</v>
      </c>
      <c r="FT305" s="88">
        <v>0</v>
      </c>
      <c r="FU305" s="165">
        <v>0</v>
      </c>
      <c r="FV305" s="83" t="s">
        <v>15424</v>
      </c>
      <c r="FW305" s="83" t="s">
        <v>7371</v>
      </c>
      <c r="FX305" s="567" t="s">
        <v>7669</v>
      </c>
      <c r="GF305" t="s">
        <v>8301</v>
      </c>
    </row>
    <row r="306" spans="19:188" ht="13.2" customHeight="1">
      <c r="S306" s="83" t="str">
        <f>IF(CareerType=Y306,"Répurgateur",IF(AllCareers="X","Répurgateur",IF(Selectsousrace="","",IF(OR(SelectRace="homme-bête",SelectRace="peau-verte",SelectRace="créature du chaos",SelectRace="Homme-lézard",SelectRace="skaven"),"",IF(FirstCareer="1ère carrière","","Répurgateur")))))</f>
        <v/>
      </c>
      <c r="T306" s="106">
        <v>2</v>
      </c>
      <c r="U306" s="693" t="str">
        <f t="shared" si="152"/>
        <v/>
      </c>
      <c r="V306" s="693" t="str">
        <f t="shared" si="153"/>
        <v/>
      </c>
      <c r="W306" s="693" t="str">
        <f t="shared" si="154"/>
        <v/>
      </c>
      <c r="X306" s="47" t="s">
        <v>2153</v>
      </c>
      <c r="Y306" s="743" t="s">
        <v>7134</v>
      </c>
      <c r="Z306" s="55" t="s">
        <v>2200</v>
      </c>
      <c r="AA306" s="47">
        <v>84</v>
      </c>
      <c r="AB306" s="47" t="s">
        <v>2417</v>
      </c>
      <c r="AC306" s="47">
        <v>230</v>
      </c>
      <c r="AD306" s="15" t="s">
        <v>116</v>
      </c>
      <c r="AE306" s="15" t="s">
        <v>116</v>
      </c>
      <c r="AF306" s="15" t="s">
        <v>101</v>
      </c>
      <c r="AG306" s="15" t="s">
        <v>101</v>
      </c>
      <c r="AH306" s="15" t="s">
        <v>101</v>
      </c>
      <c r="AI306" s="15" t="s">
        <v>101</v>
      </c>
      <c r="AJ306" s="15" t="s">
        <v>119</v>
      </c>
      <c r="AK306" s="18" t="s">
        <v>100</v>
      </c>
      <c r="AL306" s="15" t="s">
        <v>113</v>
      </c>
      <c r="AM306" s="15" t="s">
        <v>112</v>
      </c>
      <c r="AN306" s="15" t="s">
        <v>149</v>
      </c>
      <c r="AO306" s="15" t="s">
        <v>149</v>
      </c>
      <c r="AP306" s="87" t="s">
        <v>15687</v>
      </c>
      <c r="AQ306" s="87" t="s">
        <v>15932</v>
      </c>
      <c r="AR306" s="22" t="s">
        <v>15688</v>
      </c>
      <c r="AS306" s="87" t="s">
        <v>15933</v>
      </c>
      <c r="AT306" s="22" t="s">
        <v>3513</v>
      </c>
      <c r="AU306" s="87" t="s">
        <v>5406</v>
      </c>
      <c r="AV306" s="87" t="s">
        <v>4635</v>
      </c>
      <c r="AW306" s="457">
        <v>0</v>
      </c>
      <c r="AX306" s="630" t="str">
        <f t="shared" si="156"/>
        <v/>
      </c>
      <c r="AY306" s="630" t="str">
        <f t="shared" si="157"/>
        <v/>
      </c>
      <c r="AZ306" s="630" t="str">
        <f t="shared" si="158"/>
        <v/>
      </c>
      <c r="BA306" s="3"/>
      <c r="BB306" s="3"/>
      <c r="BC306" s="3"/>
      <c r="BD306" s="3"/>
      <c r="BE306" s="3"/>
      <c r="BF306" s="3"/>
      <c r="BG306" s="3"/>
      <c r="BX306" s="3" t="str">
        <f>IF(Province="Duché de Bastogne","Bourg du Duché de Bastogne","")</f>
        <v/>
      </c>
      <c r="BY306" t="str">
        <f t="shared" si="155"/>
        <v/>
      </c>
      <c r="BZ306" s="83" t="str">
        <f t="shared" si="147"/>
        <v/>
      </c>
      <c r="CA306" s="83" t="str">
        <f t="shared" si="148"/>
        <v/>
      </c>
      <c r="CB306" s="530" t="str">
        <f t="shared" si="149"/>
        <v/>
      </c>
      <c r="CG306" s="3" t="s">
        <v>6348</v>
      </c>
      <c r="CK306" s="83" t="s">
        <v>15035</v>
      </c>
      <c r="CM306" t="s">
        <v>10430</v>
      </c>
      <c r="CO306" s="3" t="str">
        <f>CONCATENATE("Rolfs",IF(AND('page 1'!M11="Féminin",Pays="Norsca"),"dottir",IF(AND('page 1'!M11="Masculin",Pays="Norsca"),"son",IF(AND('page 1'!M11="Féminin",Pays="Kislev"),"ovna",IF(AND('page 1'!M11="Masculin",Pays="Kislev"),"sky","")))))</f>
        <v>Rolfs</v>
      </c>
      <c r="CP306" s="3"/>
      <c r="CQ306" s="3"/>
      <c r="CR306" t="s">
        <v>13673</v>
      </c>
      <c r="EU306" s="25" t="str">
        <f>IF(OR(Dieu="Nurgle",Dieu="Hôsô",Dieu="Râvana",Dieu="Nieglen",Dieu="Ualapt"),"Confrérie du Lys Rouge","")</f>
        <v/>
      </c>
      <c r="EV306" s="83" t="str">
        <f t="shared" ref="EV306" si="169">IF(EU306="","",ROW())</f>
        <v/>
      </c>
      <c r="EW306" s="83" t="str">
        <f t="shared" ref="EW306" si="170">IFERROR(SMALL(EV:EV,ROW()-1),"")</f>
        <v/>
      </c>
      <c r="EX306" s="530" t="str">
        <f t="shared" ref="EX306" si="171">IFERROR(INDEX(EU:EU,EW306),"")</f>
        <v/>
      </c>
      <c r="EY306" s="83" t="s">
        <v>16516</v>
      </c>
      <c r="EZ306" s="530" t="s">
        <v>16517</v>
      </c>
      <c r="FB306" s="83" t="s">
        <v>7398</v>
      </c>
      <c r="FC306" s="133" t="s">
        <v>5751</v>
      </c>
      <c r="FD306" s="83" t="s">
        <v>7365</v>
      </c>
      <c r="FE306" s="849">
        <v>111</v>
      </c>
      <c r="FF306">
        <v>27</v>
      </c>
      <c r="FG306">
        <v>30</v>
      </c>
      <c r="FH306">
        <v>22</v>
      </c>
      <c r="FI306">
        <v>26</v>
      </c>
      <c r="FJ306" s="10">
        <v>43</v>
      </c>
      <c r="FK306">
        <v>49</v>
      </c>
      <c r="FL306">
        <v>44</v>
      </c>
      <c r="FM306" s="165">
        <v>35</v>
      </c>
      <c r="FN306" s="88">
        <v>1</v>
      </c>
      <c r="FO306" s="88">
        <v>11</v>
      </c>
      <c r="FP306" s="164">
        <f>ROUNDDOWN(FH306/10,0)</f>
        <v>2</v>
      </c>
      <c r="FQ306" s="164">
        <f>ROUNDDOWN(FI306/10,0)</f>
        <v>2</v>
      </c>
      <c r="FR306" s="682">
        <v>4</v>
      </c>
      <c r="FS306" s="88">
        <v>0</v>
      </c>
      <c r="FT306" s="88">
        <v>0</v>
      </c>
      <c r="FU306" s="165">
        <v>0</v>
      </c>
      <c r="FV306" s="83" t="s">
        <v>13072</v>
      </c>
      <c r="FW306" s="90" t="s">
        <v>7400</v>
      </c>
      <c r="FX306" s="751" t="s">
        <v>7667</v>
      </c>
      <c r="GF306" t="s">
        <v>7809</v>
      </c>
    </row>
    <row r="307" spans="19:188" ht="13.2" customHeight="1">
      <c r="S307" s="83" t="str">
        <f>IF(CareerType=Y307,"Rôdeur des Principautés",IF(AllCareers="X","Rôdeur des Principautés",IF(Pays="Principautés Frontalières","Rôdeur des Principautés","")))</f>
        <v/>
      </c>
      <c r="T307" s="106">
        <v>2</v>
      </c>
      <c r="U307" s="693" t="str">
        <f t="shared" si="152"/>
        <v/>
      </c>
      <c r="V307" s="693" t="str">
        <f t="shared" si="153"/>
        <v/>
      </c>
      <c r="W307" s="693" t="str">
        <f t="shared" si="154"/>
        <v/>
      </c>
      <c r="X307" s="47" t="s">
        <v>2153</v>
      </c>
      <c r="Y307" s="743" t="s">
        <v>7134</v>
      </c>
      <c r="Z307" s="55" t="s">
        <v>2204</v>
      </c>
      <c r="AA307" s="47">
        <v>54</v>
      </c>
      <c r="AB307" s="47" t="s">
        <v>2418</v>
      </c>
      <c r="AC307" s="47">
        <v>24</v>
      </c>
      <c r="AD307" s="15" t="s">
        <v>100</v>
      </c>
      <c r="AE307" s="15" t="s">
        <v>100</v>
      </c>
      <c r="AF307" s="15" t="s">
        <v>98</v>
      </c>
      <c r="AG307" s="15" t="s">
        <v>100</v>
      </c>
      <c r="AH307" s="15" t="s">
        <v>99</v>
      </c>
      <c r="AI307" s="15" t="s">
        <v>100</v>
      </c>
      <c r="AJ307" s="15" t="s">
        <v>100</v>
      </c>
      <c r="AK307" s="18" t="s">
        <v>114</v>
      </c>
      <c r="AL307" s="15" t="s">
        <v>149</v>
      </c>
      <c r="AM307" s="15" t="s">
        <v>117</v>
      </c>
      <c r="AN307" s="15" t="s">
        <v>149</v>
      </c>
      <c r="AO307" s="15" t="s">
        <v>149</v>
      </c>
      <c r="AP307" s="22" t="s">
        <v>1112</v>
      </c>
      <c r="AQ307" s="87" t="s">
        <v>15934</v>
      </c>
      <c r="AR307" s="22" t="s">
        <v>1113</v>
      </c>
      <c r="AS307" s="87" t="s">
        <v>15929</v>
      </c>
      <c r="AT307" s="22" t="s">
        <v>3514</v>
      </c>
      <c r="AU307" s="87" t="s">
        <v>5387</v>
      </c>
      <c r="AV307" s="87" t="s">
        <v>4765</v>
      </c>
      <c r="AW307" s="457">
        <v>0</v>
      </c>
      <c r="AX307" s="630" t="str">
        <f t="shared" si="156"/>
        <v/>
      </c>
      <c r="AY307" s="630" t="str">
        <f t="shared" si="157"/>
        <v/>
      </c>
      <c r="AZ307" s="630" t="str">
        <f t="shared" si="158"/>
        <v/>
      </c>
      <c r="BA307" s="3"/>
      <c r="BB307" s="3"/>
      <c r="BC307" s="3"/>
      <c r="BX307" s="3" t="str">
        <f>IF(Province="Duché de Bordeleaux","Bourg du Duché de Bordeleaux","")</f>
        <v/>
      </c>
      <c r="BY307" t="str">
        <f t="shared" si="155"/>
        <v/>
      </c>
      <c r="BZ307" s="83" t="str">
        <f t="shared" si="147"/>
        <v/>
      </c>
      <c r="CA307" s="83" t="str">
        <f t="shared" si="148"/>
        <v/>
      </c>
      <c r="CB307" s="530" t="str">
        <f t="shared" si="149"/>
        <v/>
      </c>
      <c r="CG307" s="3" t="s">
        <v>6351</v>
      </c>
      <c r="CK307" s="3" t="s">
        <v>6721</v>
      </c>
      <c r="CM307" t="s">
        <v>10429</v>
      </c>
      <c r="CO307" s="3" t="str">
        <f>CONCATENATE("Rorgan",IF(AND('page 1'!M11="Féminin",Pays="Norsca"),"dottir",IF(AND('page 1'!M11="Masculin",Pays="Norsca"),"son",IF(AND('page 1'!M11="Féminin",Pays="Kislev"),"ovna",IF(AND('page 1'!M11="Masculin",Pays="Kislev"),"sky","")))))</f>
        <v>Rorgan</v>
      </c>
      <c r="CP307" s="83"/>
      <c r="CQ307" s="83"/>
      <c r="CR307" t="s">
        <v>13674</v>
      </c>
      <c r="EU307" s="177" t="str">
        <f>IF(OR(OR(Dieu="Khorne",Dieu="Raktavija",Dieu="Hifokosho",Dieu="Gotd",Dieu="Chron"),Dieu="Nurgle",OR(Dieu="Tzeentch",Dieu="Asaph",Dieu="Tchar",Dieu="Ghithutkichi",Dieu="Ikaninushi"),OR(Dieu="Slaanesh",Dieu="Qu’aph",Dieu="Loesh",Dieu="Takchaka",Dieu="Shornaal",Dieu="Banzaïgen")),"Culte des Possédés de Mordheim","")</f>
        <v/>
      </c>
      <c r="EV307" s="574"/>
      <c r="EW307" s="574"/>
      <c r="EX307" s="574"/>
      <c r="EY307" s="83" t="s">
        <v>16574</v>
      </c>
      <c r="EZ307" s="530" t="s">
        <v>16582</v>
      </c>
      <c r="FB307" s="83" t="s">
        <v>2446</v>
      </c>
      <c r="FC307" s="133" t="s">
        <v>5751</v>
      </c>
      <c r="FD307" s="83" t="s">
        <v>7365</v>
      </c>
      <c r="FE307" s="849">
        <v>103</v>
      </c>
      <c r="FF307">
        <v>31</v>
      </c>
      <c r="FG307">
        <v>26</v>
      </c>
      <c r="FH307">
        <v>37</v>
      </c>
      <c r="FI307">
        <v>37</v>
      </c>
      <c r="FJ307" s="10">
        <v>40</v>
      </c>
      <c r="FK307">
        <v>48</v>
      </c>
      <c r="FL307">
        <v>44</v>
      </c>
      <c r="FM307" s="165">
        <v>46</v>
      </c>
      <c r="FN307" s="88">
        <v>1</v>
      </c>
      <c r="FO307" s="88">
        <v>13</v>
      </c>
      <c r="FP307" s="164">
        <f>ROUNDDOWN(FH307/10,0)</f>
        <v>3</v>
      </c>
      <c r="FQ307" s="164">
        <f>ROUNDDOWN(FI307/10,0)</f>
        <v>3</v>
      </c>
      <c r="FR307" s="682">
        <v>4</v>
      </c>
      <c r="FS307" s="88">
        <v>0</v>
      </c>
      <c r="FT307" s="88">
        <v>0</v>
      </c>
      <c r="FU307" s="165">
        <v>0</v>
      </c>
      <c r="FV307" s="83" t="s">
        <v>13073</v>
      </c>
      <c r="FW307" s="83" t="s">
        <v>7374</v>
      </c>
      <c r="FX307" s="530" t="s">
        <v>7666</v>
      </c>
      <c r="GF307" t="s">
        <v>8302</v>
      </c>
    </row>
    <row r="308" spans="19:188" ht="13.2" customHeight="1">
      <c r="S308" s="83" t="str">
        <f>IF(CareerType=Y308,"Rôdeur fantôme",IF(AllCareers="X","Rôdeur fantôme",IF(Selectsousrace="","",IF(OR(SelectRace="homme-bête",SelectRace="peau-verte",SelectRace="créature du chaos",SelectRace="Homme-lézard",SelectRace="skaven"),"",IF(FirstCareer="1ère carrière","","Rôdeur fantôme")))))</f>
        <v/>
      </c>
      <c r="T308" s="106">
        <v>2</v>
      </c>
      <c r="U308" s="693" t="str">
        <f t="shared" si="152"/>
        <v/>
      </c>
      <c r="V308" s="693" t="str">
        <f t="shared" si="153"/>
        <v/>
      </c>
      <c r="W308" s="693" t="str">
        <f t="shared" si="154"/>
        <v/>
      </c>
      <c r="X308" s="47" t="s">
        <v>2153</v>
      </c>
      <c r="Y308" s="743" t="s">
        <v>7134</v>
      </c>
      <c r="Z308" s="55" t="s">
        <v>2200</v>
      </c>
      <c r="AA308" s="47">
        <v>85</v>
      </c>
      <c r="AB308" s="47" t="s">
        <v>2419</v>
      </c>
      <c r="AC308" s="47">
        <v>87</v>
      </c>
      <c r="AD308" s="15" t="s">
        <v>100</v>
      </c>
      <c r="AE308" s="15" t="s">
        <v>116</v>
      </c>
      <c r="AF308" s="15" t="s">
        <v>101</v>
      </c>
      <c r="AG308" s="15" t="s">
        <v>101</v>
      </c>
      <c r="AH308" s="15" t="s">
        <v>99</v>
      </c>
      <c r="AI308" s="15" t="s">
        <v>100</v>
      </c>
      <c r="AJ308" s="15" t="s">
        <v>100</v>
      </c>
      <c r="AK308" s="18" t="s">
        <v>149</v>
      </c>
      <c r="AL308" s="15" t="s">
        <v>113</v>
      </c>
      <c r="AM308" s="15" t="s">
        <v>112</v>
      </c>
      <c r="AN308" s="15" t="s">
        <v>149</v>
      </c>
      <c r="AO308" s="15" t="s">
        <v>149</v>
      </c>
      <c r="AP308" s="22" t="s">
        <v>453</v>
      </c>
      <c r="AQ308" s="87" t="s">
        <v>15934</v>
      </c>
      <c r="AR308" s="22" t="s">
        <v>1164</v>
      </c>
      <c r="AS308" s="87" t="s">
        <v>15929</v>
      </c>
      <c r="AT308" s="22" t="s">
        <v>16654</v>
      </c>
      <c r="AU308" s="87" t="s">
        <v>5407</v>
      </c>
      <c r="AV308" s="87" t="s">
        <v>4636</v>
      </c>
      <c r="AW308" s="457">
        <v>0</v>
      </c>
      <c r="AX308" s="630" t="str">
        <f t="shared" si="156"/>
        <v/>
      </c>
      <c r="AY308" s="630" t="str">
        <f t="shared" si="157"/>
        <v/>
      </c>
      <c r="AZ308" s="630" t="str">
        <f t="shared" si="158"/>
        <v/>
      </c>
      <c r="BX308" s="3" t="str">
        <f>IF(Province="Duché de Brionne","Bourg du Duché de Brionne","")</f>
        <v/>
      </c>
      <c r="BY308" t="str">
        <f t="shared" si="155"/>
        <v/>
      </c>
      <c r="BZ308" s="83" t="str">
        <f t="shared" si="147"/>
        <v/>
      </c>
      <c r="CA308" s="83" t="str">
        <f t="shared" si="148"/>
        <v/>
      </c>
      <c r="CB308" s="530" t="str">
        <f t="shared" si="149"/>
        <v/>
      </c>
      <c r="CG308" s="3" t="s">
        <v>6349</v>
      </c>
      <c r="CK308" s="3" t="s">
        <v>6961</v>
      </c>
      <c r="CM308" s="3" t="s">
        <v>6665</v>
      </c>
      <c r="CO308" s="3" t="str">
        <f>CONCATENATE("Rorkis",IF(AND('page 1'!M11="Féminin",Pays="Norsca"),"dottir",IF(AND('page 1'!M11="Masculin",Pays="Norsca"),"son",IF(AND('page 1'!M11="Féminin",Pays="Kislev"),"ovna",IF(AND('page 1'!M11="Masculin",Pays="Kislev"),"sky","")))))</f>
        <v>Rorkis</v>
      </c>
      <c r="CP308" s="3"/>
      <c r="CQ308" s="3"/>
      <c r="CR308" t="s">
        <v>13675</v>
      </c>
      <c r="EU308" s="25" t="str">
        <f>IF(Dieu="Sigmar","Sœurs de Sigmar","")</f>
        <v/>
      </c>
      <c r="EY308" s="85" t="s">
        <v>16583</v>
      </c>
      <c r="EZ308" s="530" t="s">
        <v>16584</v>
      </c>
      <c r="FB308" s="83" t="s">
        <v>12265</v>
      </c>
      <c r="FC308" s="133" t="s">
        <v>5751</v>
      </c>
      <c r="FD308" s="83" t="s">
        <v>7365</v>
      </c>
      <c r="FE308" s="849">
        <v>107</v>
      </c>
      <c r="FF308">
        <v>58</v>
      </c>
      <c r="FG308">
        <v>44</v>
      </c>
      <c r="FH308">
        <v>40</v>
      </c>
      <c r="FI308">
        <v>41</v>
      </c>
      <c r="FJ308" s="10">
        <v>37</v>
      </c>
      <c r="FK308">
        <v>27</v>
      </c>
      <c r="FL308">
        <v>42</v>
      </c>
      <c r="FM308" s="165">
        <v>28</v>
      </c>
      <c r="FN308" s="88">
        <v>2</v>
      </c>
      <c r="FO308" s="88">
        <v>14</v>
      </c>
      <c r="FP308" s="164">
        <f>ROUNDDOWN(FH308/10,0)</f>
        <v>4</v>
      </c>
      <c r="FQ308" s="164">
        <f>ROUNDDOWN(FI308/10,0)</f>
        <v>4</v>
      </c>
      <c r="FR308" s="682">
        <v>4</v>
      </c>
      <c r="FS308" s="88">
        <v>0</v>
      </c>
      <c r="FT308" s="88">
        <v>0</v>
      </c>
      <c r="FU308" s="165">
        <v>0</v>
      </c>
      <c r="FV308" s="83" t="s">
        <v>7443</v>
      </c>
      <c r="FW308" s="83" t="s">
        <v>7382</v>
      </c>
      <c r="FX308" s="530" t="s">
        <v>7666</v>
      </c>
      <c r="GF308" t="s">
        <v>7810</v>
      </c>
    </row>
    <row r="309" spans="19:188" ht="13.2" customHeight="1">
      <c r="S309" s="83" t="str">
        <f>IF(CareerType=Y309,"Sagemarche",IF(AllCareers="X","Sagemarche",IF(Selectsousrace="","",IF(OR(SelectRace="homme-bête",SelectRace="peau-verte",SelectRace="créature du chaos",SelectRace="Homme-lézard",SelectRace="skaven"),"",IF(FirstCareer="1ère carrière","","Sagemarche")))))</f>
        <v/>
      </c>
      <c r="T309" s="106">
        <v>3</v>
      </c>
      <c r="U309" s="693" t="str">
        <f t="shared" si="152"/>
        <v/>
      </c>
      <c r="V309" s="693" t="str">
        <f t="shared" si="153"/>
        <v/>
      </c>
      <c r="W309" s="693" t="str">
        <f t="shared" si="154"/>
        <v/>
      </c>
      <c r="X309" s="48" t="s">
        <v>2153</v>
      </c>
      <c r="Y309" s="744" t="s">
        <v>15709</v>
      </c>
      <c r="Z309" s="55" t="s">
        <v>2156</v>
      </c>
      <c r="AA309" s="48">
        <v>60</v>
      </c>
      <c r="AB309" s="48" t="s">
        <v>2185</v>
      </c>
      <c r="AC309" s="47">
        <v>100</v>
      </c>
      <c r="AD309" s="15" t="s">
        <v>149</v>
      </c>
      <c r="AE309" s="15" t="s">
        <v>149</v>
      </c>
      <c r="AF309" s="15" t="s">
        <v>114</v>
      </c>
      <c r="AG309" s="15" t="s">
        <v>98</v>
      </c>
      <c r="AH309" s="15" t="s">
        <v>101</v>
      </c>
      <c r="AI309" s="15" t="s">
        <v>119</v>
      </c>
      <c r="AJ309" s="15" t="s">
        <v>119</v>
      </c>
      <c r="AK309" s="18" t="s">
        <v>119</v>
      </c>
      <c r="AL309" s="15" t="s">
        <v>149</v>
      </c>
      <c r="AM309" s="15" t="s">
        <v>114</v>
      </c>
      <c r="AN309" s="15" t="s">
        <v>149</v>
      </c>
      <c r="AO309" s="15" t="s">
        <v>115</v>
      </c>
      <c r="AP309" s="87" t="s">
        <v>2186</v>
      </c>
      <c r="AQ309" s="87" t="s">
        <v>734</v>
      </c>
      <c r="AR309" s="22" t="s">
        <v>2187</v>
      </c>
      <c r="AS309" s="87" t="s">
        <v>12648</v>
      </c>
      <c r="AT309" s="22" t="s">
        <v>16655</v>
      </c>
      <c r="AU309" s="87" t="s">
        <v>5483</v>
      </c>
      <c r="AV309" s="87" t="s">
        <v>4741</v>
      </c>
      <c r="AW309" s="458">
        <v>0</v>
      </c>
      <c r="AX309" s="630" t="str">
        <f t="shared" si="156"/>
        <v/>
      </c>
      <c r="AY309" s="630" t="str">
        <f t="shared" si="157"/>
        <v/>
      </c>
      <c r="AZ309" s="630" t="str">
        <f t="shared" si="158"/>
        <v/>
      </c>
      <c r="BX309" s="3" t="str">
        <f>IF(Province="Duché de Couronne","Bourg du Duché de Couronne","")</f>
        <v/>
      </c>
      <c r="BY309" t="str">
        <f t="shared" si="155"/>
        <v/>
      </c>
      <c r="BZ309" s="83" t="str">
        <f t="shared" si="147"/>
        <v/>
      </c>
      <c r="CA309" s="83" t="str">
        <f t="shared" si="148"/>
        <v/>
      </c>
      <c r="CB309" s="530" t="str">
        <f t="shared" si="149"/>
        <v/>
      </c>
      <c r="CG309" s="3" t="s">
        <v>6350</v>
      </c>
      <c r="CK309" s="3" t="s">
        <v>6850</v>
      </c>
      <c r="CM309" t="s">
        <v>10431</v>
      </c>
      <c r="CO309" s="3" t="str">
        <f>CONCATENATE("Rugnis",IF(AND('page 1'!M11="Féminin",Pays="Norsca"),"dottir",IF(AND('page 1'!M11="Masculin",Pays="Norsca"),"son",IF(AND('page 1'!M11="Féminin",Pays="Kislev"),"ovna",IF(AND('page 1'!M11="Masculin",Pays="Kislev"),"sky","")))))</f>
        <v>Rugnis</v>
      </c>
      <c r="CP309" s="3"/>
      <c r="CQ309" s="3"/>
      <c r="CR309" t="s">
        <v>13676</v>
      </c>
      <c r="EU309" s="632"/>
      <c r="FB309" s="83" t="s">
        <v>7408</v>
      </c>
      <c r="FC309" s="133" t="s">
        <v>5751</v>
      </c>
      <c r="FD309" s="83" t="s">
        <v>2200</v>
      </c>
      <c r="FE309" s="849">
        <v>233</v>
      </c>
      <c r="FF309">
        <v>33</v>
      </c>
      <c r="FG309">
        <v>26</v>
      </c>
      <c r="FH309">
        <v>43</v>
      </c>
      <c r="FI309">
        <v>31</v>
      </c>
      <c r="FJ309" s="10">
        <v>32</v>
      </c>
      <c r="FK309">
        <v>25</v>
      </c>
      <c r="FL309">
        <v>36</v>
      </c>
      <c r="FM309" s="165">
        <v>30</v>
      </c>
      <c r="FN309" s="88">
        <v>1</v>
      </c>
      <c r="FO309" s="88">
        <v>12</v>
      </c>
      <c r="FP309" s="164">
        <f>ROUNDDOWN(FH309/10,0)</f>
        <v>4</v>
      </c>
      <c r="FQ309" s="164">
        <f>ROUNDDOWN(FI309/10,0)</f>
        <v>3</v>
      </c>
      <c r="FR309" s="682">
        <v>4</v>
      </c>
      <c r="FS309" s="88">
        <v>0</v>
      </c>
      <c r="FT309" s="88">
        <v>0</v>
      </c>
      <c r="FU309" s="165">
        <v>0</v>
      </c>
      <c r="FV309" s="83" t="s">
        <v>9528</v>
      </c>
      <c r="FW309" s="83" t="s">
        <v>17243</v>
      </c>
      <c r="FX309" s="751" t="s">
        <v>7667</v>
      </c>
      <c r="GF309" t="s">
        <v>7811</v>
      </c>
    </row>
    <row r="310" spans="19:188" ht="13.2" customHeight="1">
      <c r="S310" s="83" t="str">
        <f>IF(CareerType=Y310,"Sahir",IF(AllCareers="X","Sahir",IF(OR(FirstCareer="1ère carrière",SelectRace="homme-bête",SelectRace="peau-verte",SelectRace="créature du chaos",SelectRace="Homme-lézard",SelectRace="skaven"),"",IF(Pays="Arabie","Sahir",""))))</f>
        <v/>
      </c>
      <c r="T310" s="106">
        <f t="shared" ref="T310:T320" si="172">IF(X310="oui",0,1)</f>
        <v>1</v>
      </c>
      <c r="U310" s="693" t="str">
        <f t="shared" si="152"/>
        <v/>
      </c>
      <c r="V310" s="693" t="str">
        <f t="shared" si="153"/>
        <v/>
      </c>
      <c r="W310" s="693" t="str">
        <f t="shared" si="154"/>
        <v/>
      </c>
      <c r="X310" s="111" t="s">
        <v>2153</v>
      </c>
      <c r="Y310" s="744" t="s">
        <v>15709</v>
      </c>
      <c r="Z310" s="56" t="s">
        <v>9975</v>
      </c>
      <c r="AA310" s="111">
        <v>242</v>
      </c>
      <c r="AB310" s="2" t="s">
        <v>9667</v>
      </c>
      <c r="AD310" s="105" t="s">
        <v>98</v>
      </c>
      <c r="AE310" s="105" t="s">
        <v>114</v>
      </c>
      <c r="AF310" s="105" t="s">
        <v>98</v>
      </c>
      <c r="AG310" s="105" t="s">
        <v>98</v>
      </c>
      <c r="AH310" s="105" t="s">
        <v>101</v>
      </c>
      <c r="AI310" s="105" t="s">
        <v>99</v>
      </c>
      <c r="AJ310" s="105" t="s">
        <v>99</v>
      </c>
      <c r="AK310" s="443" t="s">
        <v>100</v>
      </c>
      <c r="AL310" s="105" t="s">
        <v>149</v>
      </c>
      <c r="AM310" s="105" t="s">
        <v>103</v>
      </c>
      <c r="AN310" s="105" t="s">
        <v>149</v>
      </c>
      <c r="AO310" s="105" t="s">
        <v>115</v>
      </c>
      <c r="AP310" s="87" t="s">
        <v>10045</v>
      </c>
      <c r="AQ310" s="87" t="s">
        <v>734</v>
      </c>
      <c r="AR310" s="87" t="s">
        <v>10110</v>
      </c>
      <c r="AS310" s="87" t="s">
        <v>734</v>
      </c>
      <c r="AT310" s="87" t="s">
        <v>10105</v>
      </c>
      <c r="AU310" s="87" t="s">
        <v>10106</v>
      </c>
      <c r="AV310" s="87" t="s">
        <v>10118</v>
      </c>
      <c r="AW310" s="458">
        <v>0</v>
      </c>
      <c r="AX310" s="630" t="str">
        <f t="shared" si="156"/>
        <v/>
      </c>
      <c r="AY310" s="630" t="str">
        <f t="shared" si="157"/>
        <v/>
      </c>
      <c r="AZ310" s="630" t="str">
        <f t="shared" si="158"/>
        <v/>
      </c>
      <c r="BA310" s="3"/>
      <c r="BB310" s="3"/>
      <c r="BC310" s="3"/>
      <c r="BX310" s="3" t="str">
        <f>IF(Province="Duché de Gasconnie","Bourg du Duché de Gasconnie","")</f>
        <v/>
      </c>
      <c r="BY310" t="str">
        <f t="shared" si="155"/>
        <v/>
      </c>
      <c r="BZ310" s="83" t="str">
        <f t="shared" si="147"/>
        <v/>
      </c>
      <c r="CA310" s="83" t="str">
        <f t="shared" si="148"/>
        <v/>
      </c>
      <c r="CB310" s="530" t="str">
        <f t="shared" si="149"/>
        <v/>
      </c>
      <c r="CG310" s="3" t="s">
        <v>3147</v>
      </c>
      <c r="CK310" s="3" t="s">
        <v>6926</v>
      </c>
      <c r="CM310" t="s">
        <v>10432</v>
      </c>
      <c r="CO310" t="str">
        <f>CONCATENATE("Sam",IF(AND('page 1'!M11="Féminin",Pays="Norsca"),"dottir",IF(AND('page 1'!M11="Masculin",Pays="Norsca"),"son",IF(AND('page 1'!M11="Féminin",Pays="Kislev"),"ovna",IF(AND('page 1'!M11="Masculin",Pays="Kislev"),"sky","")))))</f>
        <v>Sam</v>
      </c>
      <c r="CR310" t="s">
        <v>13677</v>
      </c>
      <c r="EU310" s="177"/>
      <c r="GF310" t="s">
        <v>7812</v>
      </c>
    </row>
    <row r="311" spans="19:188" ht="13.2" customHeight="1">
      <c r="S311" s="83" t="str">
        <f>IF(CareerType=Y311,"Sahir Mubtadi",IF(AllCareers="X","Sahir Mubtadi",IF(OR(SelectRace="homme-bête",SelectRace="peau-verte",SelectRace="créature du chaos",SelectRace="Homme-lézard",SelectRace="skaven"),"",IF(Pays="Arabie","Sahir Mubtadi",""))))</f>
        <v/>
      </c>
      <c r="T311" s="106">
        <f t="shared" si="172"/>
        <v>0</v>
      </c>
      <c r="U311" s="693" t="str">
        <f t="shared" si="152"/>
        <v/>
      </c>
      <c r="V311" s="693" t="str">
        <f t="shared" si="153"/>
        <v/>
      </c>
      <c r="W311" s="693" t="str">
        <f t="shared" si="154"/>
        <v/>
      </c>
      <c r="X311" s="111" t="s">
        <v>2160</v>
      </c>
      <c r="Y311" s="744" t="s">
        <v>15709</v>
      </c>
      <c r="Z311" s="56" t="s">
        <v>9975</v>
      </c>
      <c r="AA311" s="111">
        <v>242</v>
      </c>
      <c r="AB311" s="2" t="s">
        <v>9598</v>
      </c>
      <c r="AD311" s="105" t="s">
        <v>149</v>
      </c>
      <c r="AE311" s="105" t="s">
        <v>149</v>
      </c>
      <c r="AF311" s="105" t="s">
        <v>149</v>
      </c>
      <c r="AG311" s="105" t="s">
        <v>114</v>
      </c>
      <c r="AH311" s="105" t="s">
        <v>114</v>
      </c>
      <c r="AI311" s="105" t="s">
        <v>98</v>
      </c>
      <c r="AJ311" s="105" t="s">
        <v>98</v>
      </c>
      <c r="AK311" s="443" t="s">
        <v>114</v>
      </c>
      <c r="AL311" s="105" t="s">
        <v>149</v>
      </c>
      <c r="AM311" s="105" t="s">
        <v>113</v>
      </c>
      <c r="AN311" s="105" t="s">
        <v>149</v>
      </c>
      <c r="AO311" s="105" t="s">
        <v>102</v>
      </c>
      <c r="AP311" s="87" t="s">
        <v>14865</v>
      </c>
      <c r="AQ311" s="87" t="s">
        <v>734</v>
      </c>
      <c r="AR311" s="87" t="s">
        <v>10108</v>
      </c>
      <c r="AS311" s="87" t="s">
        <v>734</v>
      </c>
      <c r="AT311" s="87" t="s">
        <v>10113</v>
      </c>
      <c r="AU311" s="87" t="s">
        <v>10112</v>
      </c>
      <c r="AV311" s="87" t="s">
        <v>10119</v>
      </c>
      <c r="AW311" s="458">
        <v>0</v>
      </c>
      <c r="AX311" s="630" t="str">
        <f t="shared" si="156"/>
        <v/>
      </c>
      <c r="AY311" s="630" t="str">
        <f t="shared" si="157"/>
        <v/>
      </c>
      <c r="AZ311" s="630" t="str">
        <f t="shared" si="158"/>
        <v/>
      </c>
      <c r="BA311" s="3"/>
      <c r="BB311" s="3"/>
      <c r="BC311" s="3"/>
      <c r="BX311" s="3" t="str">
        <f>IF(Province="Duché de Gisoreux","Bourg du Duché de Gisoreux","")</f>
        <v/>
      </c>
      <c r="BY311" t="str">
        <f t="shared" si="155"/>
        <v/>
      </c>
      <c r="BZ311" s="83" t="str">
        <f t="shared" si="147"/>
        <v/>
      </c>
      <c r="CA311" s="83" t="str">
        <f t="shared" si="148"/>
        <v/>
      </c>
      <c r="CB311" s="530" t="str">
        <f t="shared" si="149"/>
        <v/>
      </c>
      <c r="CG311" s="83" t="s">
        <v>15092</v>
      </c>
      <c r="CK311" s="3" t="s">
        <v>6889</v>
      </c>
      <c r="CM311" s="3" t="s">
        <v>6666</v>
      </c>
      <c r="CO311" s="3" t="s">
        <v>11069</v>
      </c>
      <c r="CP311" s="3"/>
      <c r="CQ311" s="3"/>
      <c r="CR311" s="3" t="s">
        <v>13678</v>
      </c>
      <c r="GF311" t="s">
        <v>7813</v>
      </c>
    </row>
    <row r="312" spans="19:188" ht="13.2" customHeight="1">
      <c r="S312" s="83" t="str">
        <f>IF(CareerType=Y310,"Sahir Râb",IF(AllCareers="X","Sahir Râb",IF(OR(FirstCareer="1ère carrière",SelectRace="homme-bête",SelectRace="peau-verte",SelectRace="créature du chaos",SelectRace="Homme-lézard",SelectRace="skaven"),"",IF(Pays="Arabie","Sahir Râb",""))))</f>
        <v/>
      </c>
      <c r="T312" s="106">
        <f t="shared" si="172"/>
        <v>1</v>
      </c>
      <c r="U312" s="693" t="str">
        <f t="shared" si="152"/>
        <v/>
      </c>
      <c r="V312" s="693" t="str">
        <f t="shared" si="153"/>
        <v/>
      </c>
      <c r="W312" s="693" t="str">
        <f t="shared" si="154"/>
        <v/>
      </c>
      <c r="X312" s="111" t="s">
        <v>2153</v>
      </c>
      <c r="Y312" s="744" t="s">
        <v>15709</v>
      </c>
      <c r="Z312" s="56" t="s">
        <v>9975</v>
      </c>
      <c r="AA312" s="111">
        <v>243</v>
      </c>
      <c r="AB312" s="111" t="s">
        <v>10044</v>
      </c>
      <c r="AD312" s="105" t="s">
        <v>101</v>
      </c>
      <c r="AE312" s="105" t="s">
        <v>98</v>
      </c>
      <c r="AF312" s="105" t="s">
        <v>98</v>
      </c>
      <c r="AG312" s="105" t="s">
        <v>101</v>
      </c>
      <c r="AH312" s="105" t="s">
        <v>100</v>
      </c>
      <c r="AI312" s="105" t="s">
        <v>116</v>
      </c>
      <c r="AJ312" s="105" t="s">
        <v>97</v>
      </c>
      <c r="AK312" s="443" t="s">
        <v>99</v>
      </c>
      <c r="AL312" s="105" t="s">
        <v>113</v>
      </c>
      <c r="AM312" s="105" t="s">
        <v>112</v>
      </c>
      <c r="AN312" s="105" t="s">
        <v>149</v>
      </c>
      <c r="AO312" s="105" t="s">
        <v>103</v>
      </c>
      <c r="AP312" s="87" t="s">
        <v>9667</v>
      </c>
      <c r="AQ312" s="87" t="s">
        <v>734</v>
      </c>
      <c r="AR312" s="87" t="s">
        <v>10111</v>
      </c>
      <c r="AS312" s="87" t="s">
        <v>734</v>
      </c>
      <c r="AT312" s="87" t="s">
        <v>15797</v>
      </c>
      <c r="AU312" s="87" t="s">
        <v>10131</v>
      </c>
      <c r="AV312" s="87" t="s">
        <v>10120</v>
      </c>
      <c r="AW312" s="458">
        <v>0</v>
      </c>
      <c r="AX312" s="630" t="str">
        <f t="shared" si="156"/>
        <v/>
      </c>
      <c r="AY312" s="630" t="str">
        <f t="shared" si="157"/>
        <v/>
      </c>
      <c r="AZ312" s="630" t="str">
        <f t="shared" si="158"/>
        <v/>
      </c>
      <c r="BA312" s="3"/>
      <c r="BB312" s="3"/>
      <c r="BX312" s="3" t="str">
        <f>IF(Province="Duché de L'Anguille","Bourg du Duché de L'Anguille","")</f>
        <v/>
      </c>
      <c r="BY312" t="str">
        <f t="shared" si="155"/>
        <v/>
      </c>
      <c r="BZ312" s="83" t="str">
        <f t="shared" si="147"/>
        <v/>
      </c>
      <c r="CA312" s="83" t="str">
        <f t="shared" si="148"/>
        <v/>
      </c>
      <c r="CB312" s="530" t="str">
        <f t="shared" si="149"/>
        <v/>
      </c>
      <c r="CG312" s="3" t="s">
        <v>6352</v>
      </c>
      <c r="CK312" s="3" t="s">
        <v>6763</v>
      </c>
      <c r="CM312" t="s">
        <v>10433</v>
      </c>
      <c r="CO312" s="3" t="s">
        <v>11072</v>
      </c>
      <c r="CR312" t="s">
        <v>13679</v>
      </c>
      <c r="GF312" t="s">
        <v>7814</v>
      </c>
    </row>
    <row r="313" spans="19:188" ht="13.2" customHeight="1">
      <c r="S313" s="83" t="str">
        <f>IF(CareerType=Y310,"Sahir Tilmid",IF(AllCareers="X","Sahir Tilmid",IF(OR(FirstCareer="1ère carrière",SelectRace="homme-bête",SelectRace="peau-verte",SelectRace="créature du chaos",SelectRace="Homme-lézard",SelectRace="skaven"),"",IF(Pays="Arabie","Sahir Tilmid",""))))</f>
        <v/>
      </c>
      <c r="T313" s="106">
        <f t="shared" si="172"/>
        <v>1</v>
      </c>
      <c r="U313" s="693" t="str">
        <f t="shared" si="152"/>
        <v/>
      </c>
      <c r="V313" s="693" t="str">
        <f t="shared" si="153"/>
        <v/>
      </c>
      <c r="W313" s="693" t="str">
        <f t="shared" si="154"/>
        <v/>
      </c>
      <c r="X313" s="111" t="s">
        <v>2153</v>
      </c>
      <c r="Y313" s="744" t="s">
        <v>15709</v>
      </c>
      <c r="Z313" s="56" t="s">
        <v>9975</v>
      </c>
      <c r="AA313" s="111">
        <v>243</v>
      </c>
      <c r="AB313" s="2" t="s">
        <v>10045</v>
      </c>
      <c r="AD313" s="105" t="s">
        <v>114</v>
      </c>
      <c r="AE313" s="105" t="s">
        <v>149</v>
      </c>
      <c r="AF313" s="105" t="s">
        <v>114</v>
      </c>
      <c r="AG313" s="105" t="s">
        <v>114</v>
      </c>
      <c r="AH313" s="105" t="s">
        <v>98</v>
      </c>
      <c r="AI313" s="105" t="s">
        <v>101</v>
      </c>
      <c r="AJ313" s="105" t="s">
        <v>101</v>
      </c>
      <c r="AK313" s="443" t="s">
        <v>98</v>
      </c>
      <c r="AL313" s="105" t="s">
        <v>149</v>
      </c>
      <c r="AM313" s="105" t="s">
        <v>115</v>
      </c>
      <c r="AN313" s="105" t="s">
        <v>149</v>
      </c>
      <c r="AO313" s="105" t="s">
        <v>113</v>
      </c>
      <c r="AP313" s="87" t="s">
        <v>9598</v>
      </c>
      <c r="AQ313" s="87" t="s">
        <v>734</v>
      </c>
      <c r="AR313" s="87" t="s">
        <v>10114</v>
      </c>
      <c r="AS313" s="87" t="s">
        <v>734</v>
      </c>
      <c r="AT313" s="87" t="s">
        <v>11475</v>
      </c>
      <c r="AU313" s="87" t="s">
        <v>10132</v>
      </c>
      <c r="AV313" s="87" t="s">
        <v>10121</v>
      </c>
      <c r="AW313" s="457">
        <v>0</v>
      </c>
      <c r="AX313" s="630" t="str">
        <f t="shared" si="156"/>
        <v/>
      </c>
      <c r="AY313" s="630" t="str">
        <f t="shared" si="157"/>
        <v/>
      </c>
      <c r="AZ313" s="630" t="str">
        <f t="shared" si="158"/>
        <v/>
      </c>
      <c r="BA313" s="3"/>
      <c r="BB313" s="3"/>
      <c r="BX313" s="3" t="str">
        <f>IF(Province="Duché de Lyonesse","Bourg du Duché de Lyonesse","")</f>
        <v/>
      </c>
      <c r="BY313" t="str">
        <f t="shared" si="155"/>
        <v/>
      </c>
      <c r="BZ313" s="83" t="str">
        <f t="shared" si="147"/>
        <v/>
      </c>
      <c r="CA313" s="83" t="str">
        <f t="shared" si="148"/>
        <v/>
      </c>
      <c r="CB313" s="530" t="str">
        <f t="shared" si="149"/>
        <v/>
      </c>
      <c r="CG313" s="3" t="s">
        <v>6353</v>
      </c>
      <c r="CK313" s="3" t="s">
        <v>6809</v>
      </c>
      <c r="CM313" s="3" t="s">
        <v>6667</v>
      </c>
      <c r="CO313" s="83" t="str">
        <f>CONCATENATE("Sifna",IF(AND('page 1'!M11="Féminin",Pays="Norsca"),"dottir",IF(AND('page 1'!M11="Masculin",Pays="Norsca"),"son",IF(AND('page 1'!M11="Féminin",Pays="Kislev"),"ovna",IF(AND('page 1'!M11="Masculin",Pays="Kislev"),"sky","")))))</f>
        <v>Sifna</v>
      </c>
      <c r="CR313" t="s">
        <v>13680</v>
      </c>
      <c r="GF313" t="s">
        <v>8303</v>
      </c>
    </row>
    <row r="314" spans="19:188" ht="13.2" customHeight="1">
      <c r="S314" s="83" t="str">
        <f>IF(CareerType=Y314,"Sans-visage",IF(AllCareers="X","Sans-visage",IF(Selectsousrace="","",IF(OR(SelectRace="homme-bête",SelectRace="peau-verte",SelectRace="créature du chaos",SelectRace="Homme-lézard",SelectRace="skaven"),"",IF(FirstCareer="1ère carrière","","Sans-visage")))))</f>
        <v/>
      </c>
      <c r="T314" s="106">
        <f t="shared" si="172"/>
        <v>1</v>
      </c>
      <c r="U314" s="693" t="str">
        <f t="shared" si="152"/>
        <v/>
      </c>
      <c r="V314" s="693" t="str">
        <f t="shared" si="153"/>
        <v/>
      </c>
      <c r="W314" s="693" t="str">
        <f t="shared" si="154"/>
        <v/>
      </c>
      <c r="X314" s="47" t="s">
        <v>2153</v>
      </c>
      <c r="Y314" s="743" t="s">
        <v>7133</v>
      </c>
      <c r="Z314" s="55" t="s">
        <v>2206</v>
      </c>
      <c r="AA314" s="47">
        <v>101</v>
      </c>
      <c r="AB314" s="47" t="s">
        <v>2420</v>
      </c>
      <c r="AC314" s="47">
        <v>74</v>
      </c>
      <c r="AD314" s="15" t="s">
        <v>98</v>
      </c>
      <c r="AE314" s="15" t="s">
        <v>116</v>
      </c>
      <c r="AF314" s="15" t="s">
        <v>98</v>
      </c>
      <c r="AG314" s="15" t="s">
        <v>100</v>
      </c>
      <c r="AH314" s="15" t="s">
        <v>98</v>
      </c>
      <c r="AI314" s="15" t="s">
        <v>98</v>
      </c>
      <c r="AJ314" s="15" t="s">
        <v>98</v>
      </c>
      <c r="AK314" s="18" t="s">
        <v>119</v>
      </c>
      <c r="AL314" s="15" t="s">
        <v>113</v>
      </c>
      <c r="AM314" s="15" t="s">
        <v>112</v>
      </c>
      <c r="AN314" s="15" t="s">
        <v>149</v>
      </c>
      <c r="AO314" s="15" t="s">
        <v>149</v>
      </c>
      <c r="AP314" s="22" t="s">
        <v>12281</v>
      </c>
      <c r="AQ314" s="87" t="s">
        <v>734</v>
      </c>
      <c r="AR314" s="22" t="s">
        <v>1165</v>
      </c>
      <c r="AS314" s="87" t="s">
        <v>734</v>
      </c>
      <c r="AT314" s="22" t="s">
        <v>3515</v>
      </c>
      <c r="AU314" s="87" t="s">
        <v>5467</v>
      </c>
      <c r="AV314" s="87" t="s">
        <v>4710</v>
      </c>
      <c r="AW314" s="457">
        <v>0</v>
      </c>
      <c r="AX314" s="630" t="str">
        <f t="shared" si="156"/>
        <v/>
      </c>
      <c r="AY314" s="630" t="str">
        <f t="shared" si="157"/>
        <v/>
      </c>
      <c r="AZ314" s="630" t="str">
        <f t="shared" si="158"/>
        <v/>
      </c>
      <c r="BA314" s="3"/>
      <c r="BB314" s="3"/>
      <c r="BX314" s="3" t="str">
        <f>IF(Province="Duché de Monfort","Bourg du Duché de Monfort","")</f>
        <v/>
      </c>
      <c r="BY314" t="str">
        <f t="shared" si="155"/>
        <v/>
      </c>
      <c r="BZ314" s="83" t="str">
        <f t="shared" si="147"/>
        <v/>
      </c>
      <c r="CA314" s="83" t="str">
        <f t="shared" si="148"/>
        <v/>
      </c>
      <c r="CB314" s="530" t="str">
        <f t="shared" si="149"/>
        <v/>
      </c>
      <c r="CG314" s="3" t="s">
        <v>6354</v>
      </c>
      <c r="CK314" s="83" t="s">
        <v>15040</v>
      </c>
      <c r="CM314" t="s">
        <v>10434</v>
      </c>
      <c r="CO314" s="3" t="s">
        <v>10948</v>
      </c>
      <c r="CP314" s="3"/>
      <c r="CQ314" s="3"/>
      <c r="CR314" t="s">
        <v>13681</v>
      </c>
      <c r="GF314" t="s">
        <v>8309</v>
      </c>
    </row>
    <row r="315" spans="19:188" ht="13.2" customHeight="1">
      <c r="S315" s="83" t="str">
        <f>IF(CareerType=Y315,"Sapeur Pompier",IF(AllCareers="X","Sapeur Pompier",IF(Selectsousrace="","",IF(OR(SelectRace="homme-bête",SelectRace="peau-verte",SelectRace="créature du chaos",SelectRace="Homme-lézard",SelectRace="skaven"),"",IF(FirstCareer="1ère carrière","",IF(OR(Pays="Désolations du Chaos",Pays="Norsca"),"","Sapeur Pompier"))))))</f>
        <v/>
      </c>
      <c r="T315" s="106">
        <f t="shared" si="172"/>
        <v>1</v>
      </c>
      <c r="U315" s="693" t="str">
        <f t="shared" si="152"/>
        <v/>
      </c>
      <c r="V315" s="693" t="str">
        <f t="shared" si="153"/>
        <v/>
      </c>
      <c r="W315" s="693" t="str">
        <f t="shared" si="154"/>
        <v/>
      </c>
      <c r="X315" s="111" t="s">
        <v>2153</v>
      </c>
      <c r="Y315" s="744" t="s">
        <v>7132</v>
      </c>
      <c r="Z315" s="56" t="s">
        <v>9975</v>
      </c>
      <c r="AA315" s="89">
        <v>245</v>
      </c>
      <c r="AB315" s="111" t="s">
        <v>5544</v>
      </c>
      <c r="AD315" s="16" t="s">
        <v>114</v>
      </c>
      <c r="AE315" s="16" t="s">
        <v>114</v>
      </c>
      <c r="AF315" s="16" t="s">
        <v>101</v>
      </c>
      <c r="AG315" s="16" t="s">
        <v>98</v>
      </c>
      <c r="AH315" s="16" t="s">
        <v>101</v>
      </c>
      <c r="AI315" s="16" t="s">
        <v>114</v>
      </c>
      <c r="AJ315" s="16" t="s">
        <v>101</v>
      </c>
      <c r="AK315" s="19" t="s">
        <v>101</v>
      </c>
      <c r="AL315" s="105" t="s">
        <v>149</v>
      </c>
      <c r="AM315" s="105" t="s">
        <v>103</v>
      </c>
      <c r="AN315" s="105" t="s">
        <v>102</v>
      </c>
      <c r="AO315" s="105" t="s">
        <v>149</v>
      </c>
      <c r="AP315" s="87" t="s">
        <v>15139</v>
      </c>
      <c r="AQ315" s="87" t="s">
        <v>5659</v>
      </c>
      <c r="AR315" s="87" t="s">
        <v>12282</v>
      </c>
      <c r="AS315" s="87" t="s">
        <v>15935</v>
      </c>
      <c r="AT315" s="87" t="s">
        <v>16656</v>
      </c>
      <c r="AU315" s="87" t="s">
        <v>5545</v>
      </c>
      <c r="AV315" s="87" t="s">
        <v>5546</v>
      </c>
      <c r="AW315" s="457">
        <v>0</v>
      </c>
      <c r="AX315" s="630" t="str">
        <f t="shared" si="156"/>
        <v/>
      </c>
      <c r="AY315" s="630" t="str">
        <f t="shared" si="157"/>
        <v/>
      </c>
      <c r="AZ315" s="630" t="str">
        <f t="shared" si="158"/>
        <v/>
      </c>
      <c r="BA315" s="3"/>
      <c r="BB315" s="3"/>
      <c r="BX315" s="3" t="str">
        <f>IF(Province="Duché de Moussillon","Bourg du Duché de Moussillon","")</f>
        <v/>
      </c>
      <c r="BY315" t="str">
        <f t="shared" si="155"/>
        <v/>
      </c>
      <c r="BZ315" s="83" t="str">
        <f t="shared" si="147"/>
        <v/>
      </c>
      <c r="CA315" s="83" t="str">
        <f t="shared" si="148"/>
        <v/>
      </c>
      <c r="CB315" s="530" t="str">
        <f t="shared" si="149"/>
        <v/>
      </c>
      <c r="CG315" s="3" t="s">
        <v>6355</v>
      </c>
      <c r="CM315" t="s">
        <v>10435</v>
      </c>
      <c r="CO315" s="3" t="str">
        <f>CONCATENATE("Skalf",IF(AND('page 1'!M11="Féminin",Pays="Norsca"),"dottir",IF(AND('page 1'!M11="Masculin",Pays="Norsca"),"son",IF(AND('page 1'!M11="Féminin",Pays="Kislev"),"ovna",IF(AND('page 1'!M11="Masculin",Pays="Kislev"),"sky","")))))</f>
        <v>Skalf</v>
      </c>
      <c r="CP315" s="3"/>
      <c r="CQ315" s="3"/>
      <c r="CR315" t="s">
        <v>13682</v>
      </c>
      <c r="GF315" t="s">
        <v>8311</v>
      </c>
    </row>
    <row r="316" spans="19:188" ht="13.2" customHeight="1">
      <c r="S316" s="83" t="str">
        <f>IF(CareerType=Y316,"Savant/Professeur",IF(AllCareers="X","Savant/Professeur",IF(Selectsousrace="","",IF(OR(SelectRace="homme-bête",SelectRace="peau-verte",SelectRace="créature du chaos",SelectRace="Homme-lézard",SelectRace="skaven"),"",IF(FirstCareer="1ère carrière","",IF(OR(Pays="Désolations du Chaos",Pays="Norsca"),"","Savant/Professeur"))))))</f>
        <v/>
      </c>
      <c r="T316" s="106">
        <f t="shared" si="172"/>
        <v>0</v>
      </c>
      <c r="U316" s="693" t="str">
        <f t="shared" si="152"/>
        <v/>
      </c>
      <c r="V316" s="693" t="str">
        <f t="shared" si="153"/>
        <v/>
      </c>
      <c r="W316" s="693" t="str">
        <f t="shared" si="154"/>
        <v/>
      </c>
      <c r="X316" s="47" t="s">
        <v>2160</v>
      </c>
      <c r="Y316" s="744" t="s">
        <v>7131</v>
      </c>
      <c r="Z316" s="101" t="s">
        <v>4551</v>
      </c>
      <c r="AB316" s="111" t="s">
        <v>15805</v>
      </c>
      <c r="AD316" s="105" t="s">
        <v>149</v>
      </c>
      <c r="AE316" s="105" t="s">
        <v>149</v>
      </c>
      <c r="AF316" s="105" t="s">
        <v>149</v>
      </c>
      <c r="AG316" s="105" t="s">
        <v>149</v>
      </c>
      <c r="AH316" s="105" t="s">
        <v>98</v>
      </c>
      <c r="AI316" s="105" t="s">
        <v>9274</v>
      </c>
      <c r="AJ316" s="105" t="s">
        <v>116</v>
      </c>
      <c r="AK316" s="443" t="s">
        <v>99</v>
      </c>
      <c r="AL316" s="105" t="s">
        <v>149</v>
      </c>
      <c r="AM316" s="105" t="s">
        <v>115</v>
      </c>
      <c r="AN316" s="105" t="s">
        <v>149</v>
      </c>
      <c r="AO316" s="105" t="s">
        <v>149</v>
      </c>
      <c r="AP316" s="87" t="s">
        <v>7399</v>
      </c>
      <c r="AQ316" s="87" t="s">
        <v>734</v>
      </c>
      <c r="AR316" s="87" t="s">
        <v>15806</v>
      </c>
      <c r="AS316" s="87" t="s">
        <v>734</v>
      </c>
      <c r="AT316" s="87" t="s">
        <v>15802</v>
      </c>
      <c r="AU316" s="87" t="s">
        <v>15808</v>
      </c>
      <c r="AV316" s="87" t="s">
        <v>15809</v>
      </c>
      <c r="AW316" s="457">
        <v>0</v>
      </c>
      <c r="AX316" s="630" t="str">
        <f t="shared" si="156"/>
        <v/>
      </c>
      <c r="AY316" s="630" t="str">
        <f t="shared" si="157"/>
        <v/>
      </c>
      <c r="AZ316" s="630" t="str">
        <f t="shared" si="158"/>
        <v/>
      </c>
      <c r="BA316" s="3"/>
      <c r="BX316" s="3" t="str">
        <f>IF(Province="Duché d'Aquitanie","Bourg du Duché d'Aquitanie","")</f>
        <v/>
      </c>
      <c r="BY316" t="str">
        <f t="shared" si="155"/>
        <v/>
      </c>
      <c r="BZ316" s="83" t="str">
        <f t="shared" si="147"/>
        <v/>
      </c>
      <c r="CA316" s="83" t="str">
        <f t="shared" si="148"/>
        <v/>
      </c>
      <c r="CB316" s="530" t="str">
        <f t="shared" si="149"/>
        <v/>
      </c>
      <c r="CG316" s="3" t="s">
        <v>6356</v>
      </c>
      <c r="CM316" t="s">
        <v>10436</v>
      </c>
      <c r="CO316" t="str">
        <f>CONCATENATE("Skandns",IF(AND('page 1'!M11="Féminin",Pays="Norsca"),"dottir",IF(AND('page 1'!M11="Masculin",Pays="Norsca"),"son",IF(AND('page 1'!M11="Féminin",Pays="Kislev"),"ovna",IF(AND('page 1'!M11="Masculin",Pays="Kislev"),"sky","")))))</f>
        <v>Skandns</v>
      </c>
      <c r="CR316" t="s">
        <v>13683</v>
      </c>
      <c r="GA316" s="83"/>
      <c r="GF316" t="s">
        <v>8310</v>
      </c>
    </row>
    <row r="317" spans="19:188" ht="13.2" customHeight="1">
      <c r="S317" s="83" t="str">
        <f>IF(CareerType=Y317,"Scalde",IF(AllCareers="X","Scalde",IF(OR(SelectRace="homme-bête",SelectRace="peau-verte",SelectRace="créature du chaos",SelectRace="Homme-lézard",SelectRace="skaven"),"",IF(Pays="Norsca","Scalde",""))))</f>
        <v/>
      </c>
      <c r="T317" s="106">
        <f t="shared" si="172"/>
        <v>0</v>
      </c>
      <c r="U317" s="693" t="str">
        <f t="shared" si="152"/>
        <v/>
      </c>
      <c r="V317" s="693" t="str">
        <f t="shared" si="153"/>
        <v/>
      </c>
      <c r="W317" s="693" t="str">
        <f t="shared" si="154"/>
        <v/>
      </c>
      <c r="X317" s="47" t="s">
        <v>2160</v>
      </c>
      <c r="Y317" s="743" t="s">
        <v>7132</v>
      </c>
      <c r="Z317" s="55" t="s">
        <v>2196</v>
      </c>
      <c r="AA317" s="47">
        <v>159</v>
      </c>
      <c r="AB317" s="47" t="s">
        <v>2421</v>
      </c>
      <c r="AC317" s="47">
        <v>192</v>
      </c>
      <c r="AD317" s="15" t="s">
        <v>114</v>
      </c>
      <c r="AE317" s="15" t="s">
        <v>149</v>
      </c>
      <c r="AF317" s="15" t="s">
        <v>114</v>
      </c>
      <c r="AG317" s="15" t="s">
        <v>149</v>
      </c>
      <c r="AH317" s="15" t="s">
        <v>114</v>
      </c>
      <c r="AI317" s="15" t="s">
        <v>98</v>
      </c>
      <c r="AJ317" s="15" t="s">
        <v>114</v>
      </c>
      <c r="AK317" s="18" t="s">
        <v>98</v>
      </c>
      <c r="AL317" s="15" t="s">
        <v>149</v>
      </c>
      <c r="AM317" s="15" t="s">
        <v>113</v>
      </c>
      <c r="AN317" s="15" t="s">
        <v>149</v>
      </c>
      <c r="AO317" s="15" t="s">
        <v>149</v>
      </c>
      <c r="AP317" s="22" t="s">
        <v>1166</v>
      </c>
      <c r="AQ317" s="87" t="s">
        <v>734</v>
      </c>
      <c r="AR317" s="22" t="s">
        <v>1167</v>
      </c>
      <c r="AS317" s="87" t="s">
        <v>15936</v>
      </c>
      <c r="AT317" s="87" t="s">
        <v>15667</v>
      </c>
      <c r="AU317" s="87" t="s">
        <v>5454</v>
      </c>
      <c r="AV317" s="87" t="s">
        <v>4671</v>
      </c>
      <c r="AW317" s="457">
        <v>0</v>
      </c>
      <c r="AX317" s="630" t="str">
        <f t="shared" si="156"/>
        <v/>
      </c>
      <c r="AY317" s="630" t="str">
        <f t="shared" si="157"/>
        <v/>
      </c>
      <c r="AZ317" s="630" t="str">
        <f t="shared" si="158"/>
        <v/>
      </c>
      <c r="BX317" s="3" t="str">
        <f>IF(Province="Duché de Parravon","Bourg du Duché de Parravon","")</f>
        <v/>
      </c>
      <c r="BY317" t="str">
        <f t="shared" si="155"/>
        <v/>
      </c>
      <c r="BZ317" s="83" t="str">
        <f t="shared" si="147"/>
        <v/>
      </c>
      <c r="CA317" s="83" t="str">
        <f t="shared" si="148"/>
        <v/>
      </c>
      <c r="CB317" s="530" t="str">
        <f t="shared" si="149"/>
        <v/>
      </c>
      <c r="CG317" s="3" t="s">
        <v>6357</v>
      </c>
      <c r="CM317" s="3" t="s">
        <v>6670</v>
      </c>
      <c r="CO317" s="3" t="str">
        <f>CONCATENATE("Skargin",IF(AND('page 1'!M11="Féminin",Pays="Norsca"),"dottir",IF(AND('page 1'!M11="Masculin",Pays="Norsca"),"son",IF(AND('page 1'!M11="Féminin",Pays="Kislev"),"ovna",IF(AND('page 1'!M11="Masculin",Pays="Kislev"),"sky","")))))</f>
        <v>Skargin</v>
      </c>
      <c r="CP317" s="3"/>
      <c r="CQ317" s="3"/>
      <c r="CR317" t="s">
        <v>13684</v>
      </c>
      <c r="GF317" t="s">
        <v>8321</v>
      </c>
    </row>
    <row r="318" spans="19:188" ht="13.2" customHeight="1">
      <c r="S318" s="83" t="str">
        <f>IF(CareerType=Y318,"Scribe",IF(AllCareers="X","Scribe",IF(OR(SelectRace="homme-bête",SelectRace="peau-verte",SelectRace="créature du chaos",SelectRace="Homme-lézard",SelectRace="Skaven"),"",IF(SelectRace="skaven","Scribe",IF(OR(Pays="Désolations du Chaos",Pays="Norsca"),"",IF(OR(SelectRace="Humain",SelectRace="Elfe",SelectRace="Nain",SelectRace="Vampire"),"Scribe",""))))))</f>
        <v/>
      </c>
      <c r="T318" s="85">
        <f t="shared" si="172"/>
        <v>0</v>
      </c>
      <c r="U318" s="693" t="str">
        <f t="shared" si="152"/>
        <v/>
      </c>
      <c r="V318" s="693" t="str">
        <f t="shared" si="153"/>
        <v/>
      </c>
      <c r="W318" s="693" t="str">
        <f t="shared" si="154"/>
        <v/>
      </c>
      <c r="X318" s="47" t="s">
        <v>2160</v>
      </c>
      <c r="Y318" s="743" t="s">
        <v>7131</v>
      </c>
      <c r="Z318" s="55" t="s">
        <v>2200</v>
      </c>
      <c r="AA318" s="47">
        <v>55</v>
      </c>
      <c r="AB318" s="47" t="s">
        <v>2422</v>
      </c>
      <c r="AC318" s="47">
        <v>184</v>
      </c>
      <c r="AD318" s="15" t="s">
        <v>149</v>
      </c>
      <c r="AE318" s="15" t="s">
        <v>149</v>
      </c>
      <c r="AF318" s="15" t="s">
        <v>149</v>
      </c>
      <c r="AG318" s="15" t="s">
        <v>149</v>
      </c>
      <c r="AH318" s="15" t="s">
        <v>98</v>
      </c>
      <c r="AI318" s="15" t="s">
        <v>98</v>
      </c>
      <c r="AJ318" s="15" t="s">
        <v>98</v>
      </c>
      <c r="AK318" s="21" t="s">
        <v>114</v>
      </c>
      <c r="AL318" s="15" t="s">
        <v>149</v>
      </c>
      <c r="AM318" s="15" t="s">
        <v>113</v>
      </c>
      <c r="AN318" s="15" t="s">
        <v>149</v>
      </c>
      <c r="AO318" s="15" t="s">
        <v>149</v>
      </c>
      <c r="AP318" s="87" t="s">
        <v>15434</v>
      </c>
      <c r="AQ318" s="87" t="s">
        <v>734</v>
      </c>
      <c r="AR318" s="87" t="s">
        <v>15865</v>
      </c>
      <c r="AS318" s="87" t="s">
        <v>734</v>
      </c>
      <c r="AT318" s="22" t="s">
        <v>430</v>
      </c>
      <c r="AU318" s="87" t="s">
        <v>5343</v>
      </c>
      <c r="AV318" s="87" t="s">
        <v>4583</v>
      </c>
      <c r="AW318" s="457">
        <v>0</v>
      </c>
      <c r="AX318" s="630" t="str">
        <f t="shared" si="156"/>
        <v/>
      </c>
      <c r="AY318" s="630" t="str">
        <f t="shared" si="157"/>
        <v/>
      </c>
      <c r="AZ318" s="630" t="str">
        <f t="shared" si="158"/>
        <v/>
      </c>
      <c r="BX318" s="3" t="str">
        <f>IF(Province="Duché de Quenelles","Bourg du Duché de Quenelles","")</f>
        <v/>
      </c>
      <c r="BY318" t="str">
        <f t="shared" si="155"/>
        <v/>
      </c>
      <c r="BZ318" s="83" t="str">
        <f t="shared" si="147"/>
        <v/>
      </c>
      <c r="CA318" s="83" t="str">
        <f t="shared" si="148"/>
        <v/>
      </c>
      <c r="CB318" s="530" t="str">
        <f t="shared" si="149"/>
        <v/>
      </c>
      <c r="CG318" s="3" t="s">
        <v>6358</v>
      </c>
      <c r="CM318" s="83" t="s">
        <v>6670</v>
      </c>
      <c r="CO318" t="str">
        <f>CONCATENATE("Skarmm",IF(AND('page 1'!M11="Féminin",Pays="Norsca"),"dottir",IF(AND('page 1'!M11="Masculin",Pays="Norsca"),"son",IF(AND('page 1'!M11="Féminin",Pays="Kislev"),"ovna",IF(AND('page 1'!M11="Masculin",Pays="Kislev"),"sky","")))))</f>
        <v>Skarmm</v>
      </c>
      <c r="CP318" s="3"/>
      <c r="CQ318" s="3"/>
      <c r="CR318" s="83" t="s">
        <v>13685</v>
      </c>
      <c r="GF318" t="s">
        <v>8312</v>
      </c>
    </row>
    <row r="319" spans="19:188" ht="13.2" customHeight="1">
      <c r="S319" s="83" t="str">
        <f>IF(CareerType=Y319,"Seigneur des runes",IF(AllCareers="X","Seigneur des runes",IF(FirstCareer="1ère carrière","",IF(SelectRace="Nain","Seigneur des runes",""))))</f>
        <v/>
      </c>
      <c r="T319" s="85">
        <f t="shared" si="172"/>
        <v>1</v>
      </c>
      <c r="U319" s="693" t="str">
        <f t="shared" si="152"/>
        <v/>
      </c>
      <c r="V319" s="693" t="str">
        <f t="shared" si="153"/>
        <v/>
      </c>
      <c r="W319" s="693" t="str">
        <f t="shared" si="154"/>
        <v/>
      </c>
      <c r="X319" s="47" t="s">
        <v>2153</v>
      </c>
      <c r="Y319" s="743" t="s">
        <v>15709</v>
      </c>
      <c r="Z319" s="55" t="s">
        <v>2211</v>
      </c>
      <c r="AA319" s="47">
        <v>217</v>
      </c>
      <c r="AB319" s="47" t="s">
        <v>2423</v>
      </c>
      <c r="AC319" s="47">
        <v>180</v>
      </c>
      <c r="AD319" s="15" t="s">
        <v>100</v>
      </c>
      <c r="AE319" s="15" t="s">
        <v>101</v>
      </c>
      <c r="AF319" s="15" t="s">
        <v>100</v>
      </c>
      <c r="AG319" s="15" t="s">
        <v>101</v>
      </c>
      <c r="AH319" s="15" t="s">
        <v>101</v>
      </c>
      <c r="AI319" s="15" t="s">
        <v>116</v>
      </c>
      <c r="AJ319" s="15" t="s">
        <v>97</v>
      </c>
      <c r="AK319" s="18" t="s">
        <v>101</v>
      </c>
      <c r="AL319" s="15" t="s">
        <v>102</v>
      </c>
      <c r="AM319" s="15" t="s">
        <v>112</v>
      </c>
      <c r="AN319" s="15" t="s">
        <v>149</v>
      </c>
      <c r="AO319" s="15" t="s">
        <v>103</v>
      </c>
      <c r="AP319" s="22" t="s">
        <v>1168</v>
      </c>
      <c r="AQ319" s="87" t="s">
        <v>734</v>
      </c>
      <c r="AR319" s="22" t="s">
        <v>2424</v>
      </c>
      <c r="AS319" s="87" t="s">
        <v>734</v>
      </c>
      <c r="AT319" s="87" t="s">
        <v>16116</v>
      </c>
      <c r="AU319" s="87" t="s">
        <v>5491</v>
      </c>
      <c r="AV319" s="87" t="s">
        <v>4749</v>
      </c>
      <c r="AW319" s="457">
        <v>0</v>
      </c>
      <c r="AX319" s="630" t="str">
        <f t="shared" si="156"/>
        <v/>
      </c>
      <c r="AY319" s="630" t="str">
        <f t="shared" si="157"/>
        <v/>
      </c>
      <c r="AZ319" s="630" t="str">
        <f t="shared" si="158"/>
        <v/>
      </c>
      <c r="BX319" s="3" t="str">
        <f>IF(Province="Duché d'Aquitanie","Cité duDuché d'Aquitanie","")</f>
        <v/>
      </c>
      <c r="BY319" t="str">
        <f t="shared" si="155"/>
        <v/>
      </c>
      <c r="BZ319" s="83" t="str">
        <f t="shared" si="147"/>
        <v/>
      </c>
      <c r="CA319" s="83" t="str">
        <f t="shared" si="148"/>
        <v/>
      </c>
      <c r="CB319" s="530" t="str">
        <f t="shared" si="149"/>
        <v/>
      </c>
      <c r="CG319" s="83" t="s">
        <v>14911</v>
      </c>
      <c r="CM319" s="83" t="s">
        <v>14972</v>
      </c>
      <c r="CO319" t="str">
        <f>CONCATENATE("Skarps",IF(AND('page 1'!M11="Féminin",Pays="Norsca"),"dottir",IF(AND('page 1'!M11="Masculin",Pays="Norsca"),"son",IF(AND('page 1'!M11="Féminin",Pays="Kislev"),"ovna",IF(AND('page 1'!M11="Masculin",Pays="Kislev"),"sky","")))))</f>
        <v>Skarps</v>
      </c>
      <c r="CP319" s="3"/>
      <c r="CQ319" s="3"/>
      <c r="CR319" t="s">
        <v>13686</v>
      </c>
      <c r="GF319" t="s">
        <v>8304</v>
      </c>
    </row>
    <row r="320" spans="19:188" ht="13.2" customHeight="1">
      <c r="S320" s="83" t="str">
        <f>IF(CareerType=Y320,"Seigneur gris",IF(AllCareers="X","Seigneur gris",IF(AND(FirstCareer="1ère carrière",SelectRace="skaven",OR('page 1'!E13="Gris",'page 1'!E13="Blanc")),"Seigneur gris","")))</f>
        <v/>
      </c>
      <c r="T320" s="85">
        <f t="shared" si="172"/>
        <v>1</v>
      </c>
      <c r="U320" s="693" t="str">
        <f t="shared" si="152"/>
        <v/>
      </c>
      <c r="V320" s="693" t="str">
        <f t="shared" si="153"/>
        <v/>
      </c>
      <c r="W320" s="693" t="str">
        <f t="shared" si="154"/>
        <v/>
      </c>
      <c r="X320" s="47" t="s">
        <v>2153</v>
      </c>
      <c r="Y320" s="743" t="s">
        <v>15709</v>
      </c>
      <c r="Z320" s="56" t="s">
        <v>1328</v>
      </c>
      <c r="AA320" s="47">
        <v>102</v>
      </c>
      <c r="AB320" s="89" t="s">
        <v>9308</v>
      </c>
      <c r="AC320" s="48"/>
      <c r="AD320" s="15" t="s">
        <v>100</v>
      </c>
      <c r="AE320" s="15" t="s">
        <v>100</v>
      </c>
      <c r="AF320" s="15" t="s">
        <v>101</v>
      </c>
      <c r="AG320" s="15" t="s">
        <v>101</v>
      </c>
      <c r="AH320" s="15" t="s">
        <v>97</v>
      </c>
      <c r="AI320" s="15" t="s">
        <v>97</v>
      </c>
      <c r="AJ320" s="15" t="s">
        <v>119</v>
      </c>
      <c r="AK320" s="18" t="s">
        <v>119</v>
      </c>
      <c r="AL320" s="15" t="s">
        <v>102</v>
      </c>
      <c r="AM320" s="15" t="s">
        <v>1505</v>
      </c>
      <c r="AN320" s="15" t="s">
        <v>149</v>
      </c>
      <c r="AO320" s="15" t="s">
        <v>115</v>
      </c>
      <c r="AP320" s="87" t="s">
        <v>734</v>
      </c>
      <c r="AQ320" s="22" t="s">
        <v>3105</v>
      </c>
      <c r="AR320" s="22" t="s">
        <v>734</v>
      </c>
      <c r="AS320" s="22" t="s">
        <v>734</v>
      </c>
      <c r="AT320" s="87" t="s">
        <v>15798</v>
      </c>
      <c r="AU320" s="87" t="s">
        <v>5507</v>
      </c>
      <c r="AV320" s="87" t="s">
        <v>4806</v>
      </c>
      <c r="AW320" s="457">
        <v>0</v>
      </c>
      <c r="AX320" s="630" t="str">
        <f t="shared" si="156"/>
        <v/>
      </c>
      <c r="AY320" s="630" t="str">
        <f t="shared" si="157"/>
        <v/>
      </c>
      <c r="AZ320" s="630" t="str">
        <f t="shared" si="158"/>
        <v/>
      </c>
      <c r="BX320" s="3" t="str">
        <f>IF(Province="Duché d'Artenois","Cité du Duché d'Artenois","")</f>
        <v/>
      </c>
      <c r="BY320" t="str">
        <f t="shared" si="155"/>
        <v/>
      </c>
      <c r="BZ320" s="83" t="str">
        <f t="shared" si="147"/>
        <v/>
      </c>
      <c r="CA320" s="83" t="str">
        <f t="shared" si="148"/>
        <v/>
      </c>
      <c r="CB320" s="530" t="str">
        <f t="shared" si="149"/>
        <v/>
      </c>
      <c r="CG320" s="3" t="s">
        <v>6359</v>
      </c>
      <c r="CM320" s="3" t="s">
        <v>6671</v>
      </c>
      <c r="CO320" t="s">
        <v>14891</v>
      </c>
      <c r="CP320" s="3"/>
      <c r="CQ320" s="3"/>
      <c r="CR320" t="s">
        <v>13687</v>
      </c>
      <c r="GF320" t="s">
        <v>7815</v>
      </c>
    </row>
    <row r="321" spans="19:188" ht="13.2" customHeight="1">
      <c r="S321" s="83" t="str">
        <f>IF(CareerType=Y321,"Seigneur hiérogrammate",IF(AllCareers="X","Seigneur hiérogrammate",IF(FirstCareer="1ère carrière","",IF(SelectRace="Nain","Seigneur hiérogrammate",""))))</f>
        <v/>
      </c>
      <c r="T321" s="85">
        <v>4</v>
      </c>
      <c r="U321" s="693" t="str">
        <f t="shared" si="152"/>
        <v/>
      </c>
      <c r="V321" s="693" t="str">
        <f t="shared" si="153"/>
        <v/>
      </c>
      <c r="W321" s="693" t="str">
        <f t="shared" si="154"/>
        <v/>
      </c>
      <c r="X321" s="47" t="s">
        <v>2153</v>
      </c>
      <c r="Y321" s="743" t="s">
        <v>15709</v>
      </c>
      <c r="Z321" s="55" t="s">
        <v>2196</v>
      </c>
      <c r="AA321" s="47">
        <v>170</v>
      </c>
      <c r="AB321" s="89" t="s">
        <v>10832</v>
      </c>
      <c r="AC321" s="47"/>
      <c r="AD321" s="15" t="s">
        <v>101</v>
      </c>
      <c r="AE321" s="15" t="s">
        <v>98</v>
      </c>
      <c r="AF321" s="15" t="s">
        <v>98</v>
      </c>
      <c r="AG321" s="15" t="s">
        <v>100</v>
      </c>
      <c r="AH321" s="15" t="s">
        <v>149</v>
      </c>
      <c r="AI321" s="15" t="s">
        <v>119</v>
      </c>
      <c r="AJ321" s="15" t="s">
        <v>97</v>
      </c>
      <c r="AK321" s="18" t="s">
        <v>100</v>
      </c>
      <c r="AL321" s="15" t="s">
        <v>102</v>
      </c>
      <c r="AM321" s="15" t="s">
        <v>114</v>
      </c>
      <c r="AN321" s="15" t="s">
        <v>149</v>
      </c>
      <c r="AO321" s="15" t="s">
        <v>103</v>
      </c>
      <c r="AP321" s="22" t="s">
        <v>610</v>
      </c>
      <c r="AQ321" s="87" t="s">
        <v>734</v>
      </c>
      <c r="AR321" s="22" t="s">
        <v>2168</v>
      </c>
      <c r="AS321" s="87" t="s">
        <v>734</v>
      </c>
      <c r="AT321" s="87" t="s">
        <v>16657</v>
      </c>
      <c r="AU321" s="87" t="s">
        <v>16455</v>
      </c>
      <c r="AV321" s="87" t="s">
        <v>4678</v>
      </c>
      <c r="AW321" s="457">
        <v>0</v>
      </c>
      <c r="AX321" s="630" t="str">
        <f t="shared" si="156"/>
        <v/>
      </c>
      <c r="AY321" s="630" t="str">
        <f t="shared" si="157"/>
        <v/>
      </c>
      <c r="AZ321" s="630" t="str">
        <f t="shared" si="158"/>
        <v/>
      </c>
      <c r="BX321" s="3" t="str">
        <f>IF(Province="Duché de Bastogne","Cité du Duché de Bastogne","")</f>
        <v/>
      </c>
      <c r="BY321" t="str">
        <f t="shared" si="155"/>
        <v/>
      </c>
      <c r="BZ321" s="83" t="str">
        <f t="shared" si="147"/>
        <v/>
      </c>
      <c r="CA321" s="83" t="str">
        <f t="shared" si="148"/>
        <v/>
      </c>
      <c r="CB321" s="530" t="str">
        <f t="shared" si="149"/>
        <v/>
      </c>
      <c r="CG321" s="3" t="s">
        <v>3148</v>
      </c>
      <c r="CM321" s="83" t="s">
        <v>14931</v>
      </c>
      <c r="CO321" s="3" t="str">
        <f>CONCATENATE("Snarri",IF(AND('page 1'!M11="Féminin",Pays="Norsca"),"dottir",IF(AND('page 1'!M11="Masculin",Pays="Norsca"),"son",IF(AND('page 1'!M11="Féminin",Pays="Kislev"),"ovna",IF(AND('page 1'!M11="Masculin",Pays="Kislev"),"sky","")))))</f>
        <v>Snarri</v>
      </c>
      <c r="CP321" s="3"/>
      <c r="CQ321" s="3"/>
      <c r="CR321" t="s">
        <v>13688</v>
      </c>
      <c r="GF321" t="s">
        <v>8313</v>
      </c>
    </row>
    <row r="322" spans="19:188" ht="13.2" customHeight="1">
      <c r="S322" s="83" t="str">
        <f>IF(CareerType=Y322,"Seigneur sorcier",IF(AllCareers="X","Seigneur sorcier",IF(FirstCareer="1ère carrière","",IF(FirstCareer="","",IF(OR(SelectRace="Halfling",SelectRace="Nain"),"",IF(OR(SelectRace="Humain",SelectRace="Elfe"),"Seigneur sorcier",""))))))</f>
        <v/>
      </c>
      <c r="T322" s="85">
        <v>4</v>
      </c>
      <c r="U322" s="693" t="str">
        <f t="shared" si="152"/>
        <v/>
      </c>
      <c r="V322" s="693" t="str">
        <f t="shared" si="153"/>
        <v/>
      </c>
      <c r="W322" s="693" t="str">
        <f t="shared" si="154"/>
        <v/>
      </c>
      <c r="X322" s="47" t="s">
        <v>2153</v>
      </c>
      <c r="Y322" s="743" t="s">
        <v>15709</v>
      </c>
      <c r="Z322" s="55" t="s">
        <v>2200</v>
      </c>
      <c r="AA322" s="47">
        <v>85</v>
      </c>
      <c r="AB322" s="47" t="s">
        <v>2425</v>
      </c>
      <c r="AC322" s="47">
        <v>231</v>
      </c>
      <c r="AD322" s="15" t="s">
        <v>101</v>
      </c>
      <c r="AE322" s="15" t="s">
        <v>101</v>
      </c>
      <c r="AF322" s="20" t="s">
        <v>114</v>
      </c>
      <c r="AG322" s="15" t="s">
        <v>101</v>
      </c>
      <c r="AH322" s="15" t="s">
        <v>100</v>
      </c>
      <c r="AI322" s="15" t="s">
        <v>119</v>
      </c>
      <c r="AJ322" s="15" t="s">
        <v>97</v>
      </c>
      <c r="AK322" s="18" t="s">
        <v>100</v>
      </c>
      <c r="AL322" s="15" t="s">
        <v>149</v>
      </c>
      <c r="AM322" s="15" t="s">
        <v>114</v>
      </c>
      <c r="AN322" s="15" t="s">
        <v>149</v>
      </c>
      <c r="AO322" s="15" t="s">
        <v>103</v>
      </c>
      <c r="AP322" s="87" t="s">
        <v>15866</v>
      </c>
      <c r="AQ322" s="87" t="s">
        <v>734</v>
      </c>
      <c r="AR322" s="23" t="s">
        <v>9312</v>
      </c>
      <c r="AS322" s="87" t="s">
        <v>734</v>
      </c>
      <c r="AT322" s="23" t="s">
        <v>15834</v>
      </c>
      <c r="AU322" s="23" t="s">
        <v>16449</v>
      </c>
      <c r="AV322" s="23" t="s">
        <v>4696</v>
      </c>
      <c r="AW322" s="458">
        <v>0</v>
      </c>
      <c r="AX322" s="630" t="str">
        <f t="shared" si="156"/>
        <v/>
      </c>
      <c r="AY322" s="630" t="str">
        <f t="shared" si="157"/>
        <v/>
      </c>
      <c r="AZ322" s="630" t="str">
        <f t="shared" si="158"/>
        <v/>
      </c>
      <c r="BX322" s="3" t="str">
        <f>IF(Province="Duché de Bordeleaux","Cité du Duché de Bordeleaux","")</f>
        <v/>
      </c>
      <c r="BY322" t="str">
        <f t="shared" si="155"/>
        <v/>
      </c>
      <c r="BZ322" s="83" t="str">
        <f t="shared" ref="BZ322:BZ385" si="173">IFERROR(SMALL(BY:BY,ROW()-1),"")</f>
        <v/>
      </c>
      <c r="CA322" s="83" t="str">
        <f t="shared" ref="CA322:CA385" si="174">IFERROR(INDEX(BX:BX,BZ322),"")</f>
        <v/>
      </c>
      <c r="CB322" s="530" t="str">
        <f t="shared" ref="CB322:CB385" si="175">INDEX(CA:CA,ROW())</f>
        <v/>
      </c>
      <c r="CG322" s="3" t="s">
        <v>6360</v>
      </c>
      <c r="CM322" s="83" t="s">
        <v>15160</v>
      </c>
      <c r="CO322" s="3" t="str">
        <f>CONCATENATE("Snornis",IF(AND('page 1'!M11="Féminin",Pays="Norsca"),"dottir",IF(AND('page 1'!M11="Masculin",Pays="Norsca"),"son",IF(AND('page 1'!M11="Féminin",Pays="Kislev"),"ovna",IF(AND('page 1'!M11="Masculin",Pays="Kislev"),"sky","")))))</f>
        <v>Snornis</v>
      </c>
      <c r="CR322" t="s">
        <v>13689</v>
      </c>
      <c r="GF322" t="s">
        <v>7816</v>
      </c>
    </row>
    <row r="323" spans="19:188" ht="13.2" customHeight="1">
      <c r="S323" s="83" t="str">
        <f>IF(CareerType=Y323,"Seigneur vampire",IF(AllCareers="X","Seigneur vampire",IF(Selectsousrace="","",IF(OR(SelectRace="homme-bête",SelectRace="peau-verte",SelectRace="créature du chaos",SelectRace="Homme-lézard",SelectRace="skaven"),"",IF(AND(FirstCareer="1ère carrière",OR(SelectRace="Vampire",'page 1'!K4="Vampire")),"Seigneur vampire","")))))</f>
        <v/>
      </c>
      <c r="T323" s="85">
        <v>3</v>
      </c>
      <c r="U323" s="693" t="str">
        <f t="shared" ref="U323:U365" si="176">IF(S323="","",ROW()-1)</f>
        <v/>
      </c>
      <c r="V323" s="693" t="str">
        <f t="shared" ref="V323:V365" si="177">IFERROR(SMALL(U:U,ROW()-1),"")</f>
        <v/>
      </c>
      <c r="W323" s="693" t="str">
        <f t="shared" ref="W323:W365" si="178">IFERROR(INDEX(S:S,V323+1),"")</f>
        <v/>
      </c>
      <c r="X323" s="47" t="s">
        <v>2153</v>
      </c>
      <c r="Y323" s="743" t="s">
        <v>7133</v>
      </c>
      <c r="Z323" s="55" t="s">
        <v>2198</v>
      </c>
      <c r="AA323" s="47">
        <v>105</v>
      </c>
      <c r="AB323" s="89" t="s">
        <v>9309</v>
      </c>
      <c r="AC323" s="47"/>
      <c r="AD323" s="15" t="s">
        <v>119</v>
      </c>
      <c r="AE323" s="15" t="s">
        <v>100</v>
      </c>
      <c r="AF323" s="15" t="s">
        <v>116</v>
      </c>
      <c r="AG323" s="15" t="s">
        <v>116</v>
      </c>
      <c r="AH323" s="15" t="s">
        <v>116</v>
      </c>
      <c r="AI323" s="15" t="s">
        <v>116</v>
      </c>
      <c r="AJ323" s="15" t="s">
        <v>119</v>
      </c>
      <c r="AK323" s="18" t="s">
        <v>116</v>
      </c>
      <c r="AL323" s="15" t="s">
        <v>115</v>
      </c>
      <c r="AM323" s="15" t="s">
        <v>1507</v>
      </c>
      <c r="AN323" s="15" t="s">
        <v>149</v>
      </c>
      <c r="AO323" s="15" t="s">
        <v>115</v>
      </c>
      <c r="AP323" s="22" t="s">
        <v>463</v>
      </c>
      <c r="AQ323" s="22" t="s">
        <v>463</v>
      </c>
      <c r="AR323" s="22" t="s">
        <v>465</v>
      </c>
      <c r="AS323" s="22" t="s">
        <v>465</v>
      </c>
      <c r="AT323" s="22" t="s">
        <v>3516</v>
      </c>
      <c r="AU323" s="87" t="s">
        <v>5476</v>
      </c>
      <c r="AV323" s="87" t="s">
        <v>15755</v>
      </c>
      <c r="AW323" s="457">
        <v>2000</v>
      </c>
      <c r="AX323" s="630" t="str">
        <f t="shared" si="156"/>
        <v/>
      </c>
      <c r="AY323" s="630" t="str">
        <f t="shared" si="157"/>
        <v/>
      </c>
      <c r="AZ323" s="630" t="str">
        <f t="shared" si="158"/>
        <v/>
      </c>
      <c r="BX323" s="3" t="str">
        <f>IF(Province="Duché de Brionne","Cité du Duché de Brionne","")</f>
        <v/>
      </c>
      <c r="BY323" t="str">
        <f t="shared" ref="BY323:BY386" si="179">IF(BX323="","",ROW())</f>
        <v/>
      </c>
      <c r="BZ323" s="83" t="str">
        <f t="shared" si="173"/>
        <v/>
      </c>
      <c r="CA323" s="83" t="str">
        <f t="shared" si="174"/>
        <v/>
      </c>
      <c r="CB323" s="530" t="str">
        <f t="shared" si="175"/>
        <v/>
      </c>
      <c r="CG323" s="3" t="s">
        <v>6361</v>
      </c>
      <c r="CM323" t="s">
        <v>10437</v>
      </c>
      <c r="CO323" t="s">
        <v>11073</v>
      </c>
      <c r="CP323" s="3"/>
      <c r="CQ323" s="3"/>
      <c r="CR323" t="s">
        <v>13690</v>
      </c>
      <c r="GF323" t="s">
        <v>7817</v>
      </c>
    </row>
    <row r="324" spans="19:188" ht="13.2" customHeight="1">
      <c r="S324" s="83" t="str">
        <f>IF(CareerType=Y324,"Sentinelle halfling",IF(AllCareers="X","Sentinelle halfling",IF(SelectRace="Halfling","Sentinelle halfling","")))</f>
        <v/>
      </c>
      <c r="T324" s="85">
        <f t="shared" ref="T324:T331" si="180">IF(X324="oui",0,1)</f>
        <v>0</v>
      </c>
      <c r="U324" s="693" t="str">
        <f t="shared" si="176"/>
        <v/>
      </c>
      <c r="V324" s="693" t="str">
        <f t="shared" si="177"/>
        <v/>
      </c>
      <c r="W324" s="693" t="str">
        <f t="shared" si="178"/>
        <v/>
      </c>
      <c r="X324" s="47" t="s">
        <v>2160</v>
      </c>
      <c r="Y324" s="743" t="s">
        <v>7134</v>
      </c>
      <c r="Z324" s="55" t="s">
        <v>2200</v>
      </c>
      <c r="AA324" s="47">
        <v>56</v>
      </c>
      <c r="AB324" s="47" t="s">
        <v>2426</v>
      </c>
      <c r="AC324" s="47">
        <v>78</v>
      </c>
      <c r="AD324" s="20" t="s">
        <v>114</v>
      </c>
      <c r="AE324" s="15" t="s">
        <v>98</v>
      </c>
      <c r="AF324" s="15" t="s">
        <v>149</v>
      </c>
      <c r="AG324" s="20" t="s">
        <v>114</v>
      </c>
      <c r="AH324" s="15" t="s">
        <v>98</v>
      </c>
      <c r="AI324" s="15" t="s">
        <v>149</v>
      </c>
      <c r="AJ324" s="15" t="s">
        <v>98</v>
      </c>
      <c r="AK324" s="18" t="s">
        <v>149</v>
      </c>
      <c r="AL324" s="15" t="s">
        <v>149</v>
      </c>
      <c r="AM324" s="15" t="s">
        <v>113</v>
      </c>
      <c r="AN324" s="15" t="s">
        <v>149</v>
      </c>
      <c r="AO324" s="15" t="s">
        <v>149</v>
      </c>
      <c r="AP324" s="22" t="s">
        <v>1169</v>
      </c>
      <c r="AQ324" s="87" t="s">
        <v>734</v>
      </c>
      <c r="AR324" s="22" t="s">
        <v>211</v>
      </c>
      <c r="AS324" s="87" t="s">
        <v>734</v>
      </c>
      <c r="AT324" s="22" t="s">
        <v>3517</v>
      </c>
      <c r="AU324" s="87" t="s">
        <v>5344</v>
      </c>
      <c r="AV324" s="87" t="s">
        <v>4584</v>
      </c>
      <c r="AW324" s="457">
        <v>0</v>
      </c>
      <c r="AX324" s="630" t="str">
        <f t="shared" si="156"/>
        <v/>
      </c>
      <c r="AY324" s="630" t="str">
        <f t="shared" si="157"/>
        <v/>
      </c>
      <c r="AZ324" s="630" t="str">
        <f t="shared" si="158"/>
        <v/>
      </c>
      <c r="BX324" s="3" t="str">
        <f>IF(Province="Duché de Couronne","Cité du Duché de Couronne","")</f>
        <v/>
      </c>
      <c r="BY324" t="str">
        <f t="shared" si="179"/>
        <v/>
      </c>
      <c r="BZ324" s="83" t="str">
        <f t="shared" si="173"/>
        <v/>
      </c>
      <c r="CA324" s="83" t="str">
        <f t="shared" si="174"/>
        <v/>
      </c>
      <c r="CB324" s="530" t="str">
        <f t="shared" si="175"/>
        <v/>
      </c>
      <c r="CG324" s="83" t="s">
        <v>15254</v>
      </c>
      <c r="CM324" s="3" t="s">
        <v>6673</v>
      </c>
      <c r="CO324" s="3" t="s">
        <v>11071</v>
      </c>
      <c r="CP324" s="3"/>
      <c r="CQ324" s="3"/>
      <c r="CR324" t="s">
        <v>13691</v>
      </c>
      <c r="GF324" t="s">
        <v>8314</v>
      </c>
    </row>
    <row r="325" spans="19:188" ht="13.2" customHeight="1">
      <c r="S325" s="83" t="str">
        <f>IF(CareerType=Y325,"Sergent",IF(AllCareers="X","Sergent",IF(Selectsousrace="","",IF(OR(SelectRace="homme-bête",SelectRace="peau-verte",SelectRace="créature du chaos",SelectRace="Homme-lézard",SelectRace="skaven"),"",IF(FirstCareer="1ère carrière","","Sergent")))))</f>
        <v/>
      </c>
      <c r="T325" s="85">
        <f t="shared" si="180"/>
        <v>1</v>
      </c>
      <c r="U325" s="693" t="str">
        <f t="shared" si="176"/>
        <v/>
      </c>
      <c r="V325" s="693" t="str">
        <f t="shared" si="177"/>
        <v/>
      </c>
      <c r="W325" s="693" t="str">
        <f t="shared" si="178"/>
        <v/>
      </c>
      <c r="X325" s="47" t="s">
        <v>2153</v>
      </c>
      <c r="Y325" s="743" t="s">
        <v>7130</v>
      </c>
      <c r="Z325" s="55" t="s">
        <v>2200</v>
      </c>
      <c r="AA325" s="47">
        <v>86</v>
      </c>
      <c r="AB325" s="47" t="s">
        <v>5537</v>
      </c>
      <c r="AC325" s="47">
        <v>188</v>
      </c>
      <c r="AD325" s="15" t="s">
        <v>100</v>
      </c>
      <c r="AE325" s="15" t="s">
        <v>101</v>
      </c>
      <c r="AF325" s="15" t="s">
        <v>98</v>
      </c>
      <c r="AG325" s="15" t="s">
        <v>98</v>
      </c>
      <c r="AH325" s="15" t="s">
        <v>98</v>
      </c>
      <c r="AI325" s="15" t="s">
        <v>98</v>
      </c>
      <c r="AJ325" s="15" t="s">
        <v>98</v>
      </c>
      <c r="AK325" s="18" t="s">
        <v>100</v>
      </c>
      <c r="AL325" s="15" t="s">
        <v>102</v>
      </c>
      <c r="AM325" s="15" t="s">
        <v>103</v>
      </c>
      <c r="AN325" s="15" t="s">
        <v>149</v>
      </c>
      <c r="AO325" s="15" t="s">
        <v>149</v>
      </c>
      <c r="AP325" s="87" t="s">
        <v>16171</v>
      </c>
      <c r="AQ325" s="87" t="s">
        <v>15937</v>
      </c>
      <c r="AR325" s="87" t="s">
        <v>10026</v>
      </c>
      <c r="AS325" s="87" t="s">
        <v>5538</v>
      </c>
      <c r="AT325" s="22" t="s">
        <v>3518</v>
      </c>
      <c r="AU325" s="87" t="s">
        <v>5408</v>
      </c>
      <c r="AV325" s="87" t="s">
        <v>4637</v>
      </c>
      <c r="AW325" s="457">
        <v>0</v>
      </c>
      <c r="AX325" s="630" t="str">
        <f t="shared" si="156"/>
        <v/>
      </c>
      <c r="AY325" s="630" t="str">
        <f t="shared" si="157"/>
        <v/>
      </c>
      <c r="AZ325" s="630" t="str">
        <f t="shared" si="158"/>
        <v/>
      </c>
      <c r="BX325" s="3" t="str">
        <f>IF(Province="Duché de Gasconnie","Cité du Duché de Gasconnie","")</f>
        <v/>
      </c>
      <c r="BY325" t="str">
        <f t="shared" si="179"/>
        <v/>
      </c>
      <c r="BZ325" s="83" t="str">
        <f t="shared" si="173"/>
        <v/>
      </c>
      <c r="CA325" s="83" t="str">
        <f t="shared" si="174"/>
        <v/>
      </c>
      <c r="CB325" s="530" t="str">
        <f t="shared" si="175"/>
        <v/>
      </c>
      <c r="CG325" s="3" t="s">
        <v>6362</v>
      </c>
      <c r="CM325" t="s">
        <v>10438</v>
      </c>
      <c r="CO325" s="3" t="s">
        <v>11068</v>
      </c>
      <c r="CR325" t="s">
        <v>13692</v>
      </c>
      <c r="GA325" s="83"/>
      <c r="GF325" t="s">
        <v>8315</v>
      </c>
    </row>
    <row r="326" spans="19:188" ht="13.2" customHeight="1">
      <c r="S326" s="83" t="str">
        <f>IF(CareerType=Y326,"Serviteur",IF(AllCareers="X","Serviteur",IF(Pays="Désolations du Chaos","",IF(OR(SelectRace="Nain",SelectRace="Humain",SelectRace="Halfling",SelectRace="skaven"),"Serviteur",""))))</f>
        <v/>
      </c>
      <c r="T326" s="85">
        <f t="shared" si="180"/>
        <v>0</v>
      </c>
      <c r="U326" s="693" t="str">
        <f t="shared" si="176"/>
        <v/>
      </c>
      <c r="V326" s="693" t="str">
        <f t="shared" si="177"/>
        <v/>
      </c>
      <c r="W326" s="693" t="str">
        <f t="shared" si="178"/>
        <v/>
      </c>
      <c r="X326" s="47" t="s">
        <v>2160</v>
      </c>
      <c r="Y326" s="743" t="s">
        <v>7132</v>
      </c>
      <c r="Z326" s="55" t="s">
        <v>2200</v>
      </c>
      <c r="AA326" s="47">
        <v>56</v>
      </c>
      <c r="AB326" s="47" t="s">
        <v>2427</v>
      </c>
      <c r="AC326" s="47">
        <v>189</v>
      </c>
      <c r="AD326" s="20" t="s">
        <v>114</v>
      </c>
      <c r="AE326" s="15" t="s">
        <v>149</v>
      </c>
      <c r="AF326" s="20" t="s">
        <v>114</v>
      </c>
      <c r="AG326" s="15" t="s">
        <v>149</v>
      </c>
      <c r="AH326" s="15" t="s">
        <v>98</v>
      </c>
      <c r="AI326" s="20" t="s">
        <v>114</v>
      </c>
      <c r="AJ326" s="15" t="s">
        <v>98</v>
      </c>
      <c r="AK326" s="21" t="s">
        <v>114</v>
      </c>
      <c r="AL326" s="15" t="s">
        <v>149</v>
      </c>
      <c r="AM326" s="15" t="s">
        <v>113</v>
      </c>
      <c r="AN326" s="15" t="s">
        <v>149</v>
      </c>
      <c r="AO326" s="15" t="s">
        <v>149</v>
      </c>
      <c r="AP326" s="87" t="s">
        <v>15731</v>
      </c>
      <c r="AQ326" s="87" t="s">
        <v>734</v>
      </c>
      <c r="AR326" s="87" t="s">
        <v>15732</v>
      </c>
      <c r="AS326" s="87" t="s">
        <v>14839</v>
      </c>
      <c r="AT326" s="22" t="s">
        <v>16658</v>
      </c>
      <c r="AU326" s="87" t="s">
        <v>5345</v>
      </c>
      <c r="AV326" s="87" t="s">
        <v>4585</v>
      </c>
      <c r="AW326" s="457">
        <v>0</v>
      </c>
      <c r="AX326" s="630" t="str">
        <f t="shared" si="156"/>
        <v/>
      </c>
      <c r="AY326" s="630" t="str">
        <f t="shared" si="157"/>
        <v/>
      </c>
      <c r="AZ326" s="630" t="str">
        <f t="shared" si="158"/>
        <v/>
      </c>
      <c r="BX326" s="3" t="str">
        <f>IF(Province="Duché de Gisoreux","Cité du Duché de Gisoreux","")</f>
        <v/>
      </c>
      <c r="BY326" t="str">
        <f t="shared" si="179"/>
        <v/>
      </c>
      <c r="BZ326" s="83" t="str">
        <f t="shared" si="173"/>
        <v/>
      </c>
      <c r="CA326" s="83" t="str">
        <f t="shared" si="174"/>
        <v/>
      </c>
      <c r="CB326" s="530" t="str">
        <f t="shared" si="175"/>
        <v/>
      </c>
      <c r="CG326" s="3" t="s">
        <v>6363</v>
      </c>
      <c r="CM326" s="83" t="s">
        <v>14907</v>
      </c>
      <c r="CO326" s="3" t="s">
        <v>11067</v>
      </c>
      <c r="CR326" t="s">
        <v>13693</v>
      </c>
      <c r="GF326" t="s">
        <v>8316</v>
      </c>
    </row>
    <row r="327" spans="19:188" ht="13.2" customHeight="1">
      <c r="S327" s="83" t="str">
        <f>IF(CareerType=Y327,"Sheikh",IF(AllCareers="X","Sheikh",IF(OR(FirstCareer="1ère carrière",SelectRace="homme-bête",SelectRace="peau-verte",SelectRace="créature du chaos",SelectRace="Homme-lézard",SelectRace="skaven"),"",IF(Pays="Arabie","Sheikh",""))))</f>
        <v/>
      </c>
      <c r="T327" s="85">
        <f t="shared" si="180"/>
        <v>1</v>
      </c>
      <c r="U327" s="693" t="str">
        <f t="shared" si="176"/>
        <v/>
      </c>
      <c r="V327" s="693" t="str">
        <f t="shared" si="177"/>
        <v/>
      </c>
      <c r="W327" s="693" t="str">
        <f t="shared" si="178"/>
        <v/>
      </c>
      <c r="X327" s="89" t="s">
        <v>2153</v>
      </c>
      <c r="Y327" s="743" t="s">
        <v>7130</v>
      </c>
      <c r="Z327" s="56" t="s">
        <v>9975</v>
      </c>
      <c r="AA327" s="89">
        <v>244</v>
      </c>
      <c r="AB327" s="89" t="s">
        <v>10122</v>
      </c>
      <c r="AD327" s="105" t="s">
        <v>100</v>
      </c>
      <c r="AE327" s="105" t="s">
        <v>98</v>
      </c>
      <c r="AF327" s="105" t="s">
        <v>101</v>
      </c>
      <c r="AG327" s="105" t="s">
        <v>100</v>
      </c>
      <c r="AH327" s="105" t="s">
        <v>101</v>
      </c>
      <c r="AI327" s="105" t="s">
        <v>98</v>
      </c>
      <c r="AJ327" s="105" t="s">
        <v>100</v>
      </c>
      <c r="AK327" s="443" t="s">
        <v>116</v>
      </c>
      <c r="AL327" s="105" t="s">
        <v>113</v>
      </c>
      <c r="AM327" s="105" t="s">
        <v>1505</v>
      </c>
      <c r="AN327" s="105" t="s">
        <v>149</v>
      </c>
      <c r="AO327" s="105" t="s">
        <v>149</v>
      </c>
      <c r="AP327" s="87" t="s">
        <v>10123</v>
      </c>
      <c r="AQ327" s="87" t="s">
        <v>734</v>
      </c>
      <c r="AR327" s="87" t="s">
        <v>10124</v>
      </c>
      <c r="AS327" s="87" t="s">
        <v>734</v>
      </c>
      <c r="AT327" s="87" t="s">
        <v>10126</v>
      </c>
      <c r="AU327" s="87" t="s">
        <v>16430</v>
      </c>
      <c r="AV327" s="87" t="s">
        <v>10133</v>
      </c>
      <c r="AW327" s="458">
        <v>0</v>
      </c>
      <c r="AX327" s="630" t="str">
        <f t="shared" si="156"/>
        <v/>
      </c>
      <c r="AY327" s="630" t="str">
        <f t="shared" si="157"/>
        <v/>
      </c>
      <c r="AZ327" s="630" t="str">
        <f t="shared" si="158"/>
        <v/>
      </c>
      <c r="BX327" s="3" t="str">
        <f>IF(Province="Duché de L'Anguille","Cité du Duché de L'Anguille","")</f>
        <v/>
      </c>
      <c r="BY327" t="str">
        <f t="shared" si="179"/>
        <v/>
      </c>
      <c r="BZ327" s="83" t="str">
        <f t="shared" si="173"/>
        <v/>
      </c>
      <c r="CA327" s="83" t="str">
        <f t="shared" si="174"/>
        <v/>
      </c>
      <c r="CB327" s="530" t="str">
        <f t="shared" si="175"/>
        <v/>
      </c>
      <c r="CG327" s="83" t="s">
        <v>1088</v>
      </c>
      <c r="CM327" t="s">
        <v>10439</v>
      </c>
      <c r="CO327" s="3" t="s">
        <v>11070</v>
      </c>
      <c r="CR327" t="s">
        <v>13694</v>
      </c>
      <c r="GF327" t="s">
        <v>8305</v>
      </c>
    </row>
    <row r="328" spans="19:188" ht="13.2" customHeight="1">
      <c r="S328" s="83" t="str">
        <f>IF(CareerType=Y328,"Skaven Noir",IF(AllCareers="X","Skaven Noir",IF(Selectsousrace&lt;&gt;"Skaven","",IF(SelectRace="skaven",IF('page 1'!E13="Noir","Skaven Noir","")))))</f>
        <v/>
      </c>
      <c r="T328" s="85">
        <f t="shared" si="180"/>
        <v>0</v>
      </c>
      <c r="U328" s="693" t="str">
        <f t="shared" si="176"/>
        <v/>
      </c>
      <c r="V328" s="693" t="str">
        <f t="shared" si="177"/>
        <v/>
      </c>
      <c r="W328" s="693" t="str">
        <f t="shared" si="178"/>
        <v/>
      </c>
      <c r="X328" s="47" t="s">
        <v>2160</v>
      </c>
      <c r="Y328" s="743" t="s">
        <v>7130</v>
      </c>
      <c r="Z328" s="56" t="s">
        <v>1328</v>
      </c>
      <c r="AA328" s="47">
        <v>95</v>
      </c>
      <c r="AB328" s="47" t="s">
        <v>3091</v>
      </c>
      <c r="AC328" s="48"/>
      <c r="AD328" s="15" t="s">
        <v>98</v>
      </c>
      <c r="AE328" s="15" t="s">
        <v>149</v>
      </c>
      <c r="AF328" s="20" t="s">
        <v>114</v>
      </c>
      <c r="AG328" s="20" t="s">
        <v>114</v>
      </c>
      <c r="AH328" s="15" t="s">
        <v>98</v>
      </c>
      <c r="AI328" s="15" t="s">
        <v>149</v>
      </c>
      <c r="AJ328" s="20" t="s">
        <v>114</v>
      </c>
      <c r="AK328" s="18" t="s">
        <v>149</v>
      </c>
      <c r="AL328" s="15" t="s">
        <v>149</v>
      </c>
      <c r="AM328" s="15" t="s">
        <v>113</v>
      </c>
      <c r="AN328" s="15" t="s">
        <v>149</v>
      </c>
      <c r="AO328" s="15" t="s">
        <v>149</v>
      </c>
      <c r="AP328" s="22" t="s">
        <v>734</v>
      </c>
      <c r="AQ328" s="22" t="s">
        <v>734</v>
      </c>
      <c r="AR328" s="22" t="s">
        <v>3092</v>
      </c>
      <c r="AS328" s="22" t="s">
        <v>3092</v>
      </c>
      <c r="AT328" s="22" t="s">
        <v>16659</v>
      </c>
      <c r="AU328" s="87" t="s">
        <v>5336</v>
      </c>
      <c r="AV328" s="87" t="s">
        <v>4795</v>
      </c>
      <c r="AW328" s="457">
        <v>0</v>
      </c>
      <c r="AX328" s="630" t="str">
        <f t="shared" ref="AX328:AX342" si="181">IF(S328="","","Chasseur, Coupe-jarret, Esclave/Thrall, Fanatique, Garde, Garde du corps, Guerrier des clans, Hors-la-loi, Naufrageur, Pillard, Pilleur de tombes, Trafiquant de cadavres, Vagabond, Voleur")</f>
        <v/>
      </c>
      <c r="AY328" s="630" t="str">
        <f t="shared" ref="AY328:AY342" si="182">IF(AX328="","","Acolyte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328" s="630" t="str">
        <f t="shared" ref="AZ328:AZ342" si="183">IF(S328="","","Apprenti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X328" s="3" t="str">
        <f>IF(Province="Duché de Lyonesse","Cité du Duché de Lyonesse","")</f>
        <v/>
      </c>
      <c r="BY328" t="str">
        <f t="shared" si="179"/>
        <v/>
      </c>
      <c r="BZ328" s="83" t="str">
        <f t="shared" si="173"/>
        <v/>
      </c>
      <c r="CA328" s="83" t="str">
        <f t="shared" si="174"/>
        <v/>
      </c>
      <c r="CB328" s="530" t="str">
        <f t="shared" si="175"/>
        <v/>
      </c>
      <c r="CG328" s="3" t="s">
        <v>898</v>
      </c>
      <c r="CM328" t="s">
        <v>10441</v>
      </c>
      <c r="CO328" s="3" t="str">
        <f>CONCATENATE("Spanners",IF(AND('page 1'!M11="Féminin",Pays="Norsca"),"dottir",IF(AND('page 1'!M11="Masculin",Pays="Norsca"),"son",IF(AND('page 1'!M11="Féminin",Pays="Kislev"),"ovna",IF(AND('page 1'!M11="Masculin",Pays="Kislev"),"sky","")))))</f>
        <v>Spanners</v>
      </c>
      <c r="CR328" t="s">
        <v>13695</v>
      </c>
      <c r="GF328" t="s">
        <v>8322</v>
      </c>
    </row>
    <row r="329" spans="19:188" ht="13.2" customHeight="1">
      <c r="S329" s="83" t="str">
        <f>IF(CareerType=Y329,"Shugenja/Sädhu",IF(AllCareers="X","Shugenja/Sädhu",IF(FirstCareer="1ère carrière","",IF(OR(Pays="Nippon",Pays="Cathay"),"Shugenja",IF(Pays="Inja","Sädhu","")))))</f>
        <v/>
      </c>
      <c r="T329" s="85">
        <f t="shared" si="180"/>
        <v>1</v>
      </c>
      <c r="U329" s="693" t="str">
        <f t="shared" si="176"/>
        <v/>
      </c>
      <c r="V329" s="693" t="str">
        <f t="shared" si="177"/>
        <v/>
      </c>
      <c r="W329" s="693" t="str">
        <f t="shared" si="178"/>
        <v/>
      </c>
      <c r="X329" s="89" t="s">
        <v>2153</v>
      </c>
      <c r="Y329" s="743" t="s">
        <v>15709</v>
      </c>
      <c r="Z329" s="56" t="s">
        <v>9987</v>
      </c>
      <c r="AB329" s="89" t="s">
        <v>12159</v>
      </c>
      <c r="AD329" s="105" t="s">
        <v>116</v>
      </c>
      <c r="AE329" s="105" t="s">
        <v>100</v>
      </c>
      <c r="AF329" s="105" t="s">
        <v>98</v>
      </c>
      <c r="AG329" s="105" t="s">
        <v>100</v>
      </c>
      <c r="AH329" s="105" t="s">
        <v>116</v>
      </c>
      <c r="AI329" s="105" t="s">
        <v>97</v>
      </c>
      <c r="AJ329" s="105" t="s">
        <v>1506</v>
      </c>
      <c r="AK329" s="443" t="s">
        <v>116</v>
      </c>
      <c r="AL329" s="105" t="s">
        <v>113</v>
      </c>
      <c r="AM329" s="105" t="s">
        <v>118</v>
      </c>
      <c r="AN329" s="105" t="s">
        <v>149</v>
      </c>
      <c r="AO329" s="105" t="s">
        <v>112</v>
      </c>
      <c r="AP329" s="87" t="s">
        <v>11770</v>
      </c>
      <c r="AQ329" s="87" t="s">
        <v>734</v>
      </c>
      <c r="AR329" s="87" t="s">
        <v>12283</v>
      </c>
      <c r="AS329" s="87" t="s">
        <v>734</v>
      </c>
      <c r="AT329" s="87" t="s">
        <v>12202</v>
      </c>
      <c r="AU329" s="630" t="str">
        <f>CONCATENATE("Connaissances académiques (Magie et Théologie), Expression artistique (une au choix)",IF(Pays="Cathay","Langage secret (Vieux kanjis cathayens",IF(Pays="Nippon","Langage secret (Vieux kanjis nipponais",IF(Pays="Inja","Langage secret (Vieux sanscrit indhya)",""))),"Méditation")</f>
        <v>Connaissances académiques (Magie et Théologie), Expression artistique (une au choix)Méditation</v>
      </c>
      <c r="AV329" s="630" t="str">
        <f>CONCATENATE("Accessoires de calligraphie, un étui à parchemins rempli de prières",IF(Pays="Inja",", Tulwar",IF(OR(Pays="Nippon",Pays="Cathay"),", Wakizashi","")))</f>
        <v>Accessoires de calligraphie, un étui à parchemins rempli de prières</v>
      </c>
      <c r="AW329" s="458">
        <v>0</v>
      </c>
      <c r="AX329" s="630" t="str">
        <f t="shared" si="181"/>
        <v/>
      </c>
      <c r="AY329" s="630" t="str">
        <f t="shared" si="182"/>
        <v/>
      </c>
      <c r="AZ329" s="630" t="str">
        <f t="shared" si="183"/>
        <v/>
      </c>
      <c r="BX329" s="3" t="str">
        <f>IF(Province="Duché de Monfort","Cité du Duché de Monfort","")</f>
        <v/>
      </c>
      <c r="BY329" t="str">
        <f t="shared" si="179"/>
        <v/>
      </c>
      <c r="BZ329" s="83" t="str">
        <f t="shared" si="173"/>
        <v/>
      </c>
      <c r="CA329" s="83" t="str">
        <f t="shared" si="174"/>
        <v/>
      </c>
      <c r="CB329" s="530" t="str">
        <f t="shared" si="175"/>
        <v/>
      </c>
      <c r="CG329" s="3" t="s">
        <v>6364</v>
      </c>
      <c r="CM329" t="s">
        <v>10440</v>
      </c>
      <c r="CO329" t="str">
        <f>CONCATENATE("Stefen",IF(AND('page 1'!M11="Féminin",Pays="Norsca"),"dottir",IF(AND('page 1'!M11="Masculin",Pays="Norsca"),"son",IF(AND('page 1'!M11="Féminin",Pays="Kislev"),"ovna",IF(AND('page 1'!M11="Masculin",Pays="Kislev"),"sky","")))))</f>
        <v>Stefen</v>
      </c>
      <c r="CR329" s="83" t="s">
        <v>13696</v>
      </c>
      <c r="GF329" t="s">
        <v>7818</v>
      </c>
    </row>
    <row r="330" spans="19:188" ht="13.2" customHeight="1">
      <c r="S330" s="83" t="str">
        <f>IF(CareerType=Y330,"Soldat",IF(AllCareers="X","Soldat",IF(Pays="Désolations du Chaos","",IF(Pays="Bretonnie","",IF(Pays="Norsca","",IF(OR(SelectRace="Nain",SelectRace="Humain",SelectRace="Halfling"),"Soldat",""))))))</f>
        <v/>
      </c>
      <c r="T330" s="85">
        <f t="shared" si="180"/>
        <v>0</v>
      </c>
      <c r="U330" s="693" t="str">
        <f t="shared" si="176"/>
        <v/>
      </c>
      <c r="V330" s="693" t="str">
        <f t="shared" si="177"/>
        <v/>
      </c>
      <c r="W330" s="693" t="str">
        <f t="shared" si="178"/>
        <v/>
      </c>
      <c r="X330" s="47" t="s">
        <v>2160</v>
      </c>
      <c r="Y330" s="743" t="s">
        <v>7130</v>
      </c>
      <c r="Z330" s="55" t="s">
        <v>2200</v>
      </c>
      <c r="AA330" s="47">
        <v>57</v>
      </c>
      <c r="AB330" s="47" t="s">
        <v>2428</v>
      </c>
      <c r="AC330" s="47">
        <v>196</v>
      </c>
      <c r="AD330" s="15" t="s">
        <v>98</v>
      </c>
      <c r="AE330" s="15" t="s">
        <v>98</v>
      </c>
      <c r="AF330" s="15" t="s">
        <v>149</v>
      </c>
      <c r="AG330" s="15" t="s">
        <v>149</v>
      </c>
      <c r="AH330" s="15" t="s">
        <v>98</v>
      </c>
      <c r="AI330" s="15" t="s">
        <v>149</v>
      </c>
      <c r="AJ330" s="20" t="s">
        <v>114</v>
      </c>
      <c r="AK330" s="18" t="s">
        <v>149</v>
      </c>
      <c r="AL330" s="15" t="s">
        <v>102</v>
      </c>
      <c r="AM330" s="15" t="s">
        <v>113</v>
      </c>
      <c r="AN330" s="15" t="s">
        <v>149</v>
      </c>
      <c r="AO330" s="15" t="s">
        <v>149</v>
      </c>
      <c r="AP330" s="87" t="s">
        <v>15127</v>
      </c>
      <c r="AQ330" s="87" t="s">
        <v>15938</v>
      </c>
      <c r="AR330" s="87" t="s">
        <v>16176</v>
      </c>
      <c r="AS330" s="87" t="s">
        <v>5659</v>
      </c>
      <c r="AT330" s="22" t="s">
        <v>3519</v>
      </c>
      <c r="AU330" s="87" t="s">
        <v>5346</v>
      </c>
      <c r="AV330" s="87" t="s">
        <v>15835</v>
      </c>
      <c r="AW330" s="457">
        <v>0</v>
      </c>
      <c r="AX330" s="630" t="str">
        <f t="shared" si="181"/>
        <v/>
      </c>
      <c r="AY330" s="630" t="str">
        <f t="shared" si="182"/>
        <v/>
      </c>
      <c r="AZ330" s="630" t="str">
        <f t="shared" si="183"/>
        <v/>
      </c>
      <c r="BX330" s="3" t="str">
        <f>IF(Province="Duché de Moussillon","Cité du Duché de Moussillon","")</f>
        <v/>
      </c>
      <c r="BY330" t="str">
        <f t="shared" si="179"/>
        <v/>
      </c>
      <c r="BZ330" s="83" t="str">
        <f t="shared" si="173"/>
        <v/>
      </c>
      <c r="CA330" s="83" t="str">
        <f t="shared" si="174"/>
        <v/>
      </c>
      <c r="CB330" s="530" t="str">
        <f t="shared" si="175"/>
        <v/>
      </c>
      <c r="CG330" s="3" t="s">
        <v>6365</v>
      </c>
      <c r="CM330" t="s">
        <v>10442</v>
      </c>
      <c r="CO330" s="3" t="str">
        <f>CONCATENATE("Sven",IF(AND('page 1'!M11="Féminin",Pays="Norsca"),"dottir",IF(AND('page 1'!M11="Masculin",Pays="Norsca"),"son",IF(AND('page 1'!M11="Féminin",Pays="Kislev"),"ovna",IF(AND('page 1'!M11="Masculin",Pays="Kislev"),"sky","")))))</f>
        <v>Sven</v>
      </c>
      <c r="CR330" t="s">
        <v>13697</v>
      </c>
      <c r="GF330" t="s">
        <v>8320</v>
      </c>
    </row>
    <row r="331" spans="19:188" ht="13.2" customHeight="1">
      <c r="S331" s="83" t="str">
        <f>IF(CareerType=Y331,"Sorcier de village",IF(AllCareers="X","Sorcier de village",IF(Pays="Bretonnie","",IF(Pays="Norsca","",IF(OR(SelectRace="Humain",SelectRace="Vampire"),"Sorcier de village","")))))</f>
        <v/>
      </c>
      <c r="T331" s="85">
        <f t="shared" si="180"/>
        <v>0</v>
      </c>
      <c r="U331" s="693" t="str">
        <f t="shared" si="176"/>
        <v/>
      </c>
      <c r="V331" s="693" t="str">
        <f t="shared" si="177"/>
        <v/>
      </c>
      <c r="W331" s="693" t="str">
        <f t="shared" si="178"/>
        <v/>
      </c>
      <c r="X331" s="47" t="s">
        <v>2160</v>
      </c>
      <c r="Y331" s="743" t="s">
        <v>15709</v>
      </c>
      <c r="Z331" s="55" t="s">
        <v>2200</v>
      </c>
      <c r="AA331" s="47">
        <v>57</v>
      </c>
      <c r="AB331" s="47" t="s">
        <v>2429</v>
      </c>
      <c r="AC331" s="47">
        <v>97</v>
      </c>
      <c r="AD331" s="15" t="s">
        <v>149</v>
      </c>
      <c r="AE331" s="15" t="s">
        <v>149</v>
      </c>
      <c r="AF331" s="15" t="s">
        <v>149</v>
      </c>
      <c r="AG331" s="20" t="s">
        <v>114</v>
      </c>
      <c r="AH331" s="20" t="s">
        <v>114</v>
      </c>
      <c r="AI331" s="20" t="s">
        <v>114</v>
      </c>
      <c r="AJ331" s="15" t="s">
        <v>98</v>
      </c>
      <c r="AK331" s="18" t="s">
        <v>98</v>
      </c>
      <c r="AL331" s="15" t="s">
        <v>149</v>
      </c>
      <c r="AM331" s="15" t="s">
        <v>113</v>
      </c>
      <c r="AN331" s="15" t="s">
        <v>149</v>
      </c>
      <c r="AO331" s="15" t="s">
        <v>102</v>
      </c>
      <c r="AP331" s="87" t="s">
        <v>15435</v>
      </c>
      <c r="AQ331" s="87" t="s">
        <v>734</v>
      </c>
      <c r="AR331" s="87" t="s">
        <v>11426</v>
      </c>
      <c r="AS331" s="87" t="s">
        <v>734</v>
      </c>
      <c r="AT331" s="22" t="s">
        <v>3520</v>
      </c>
      <c r="AU331" s="87" t="s">
        <v>5347</v>
      </c>
      <c r="AV331" s="87" t="s">
        <v>4587</v>
      </c>
      <c r="AW331" s="457">
        <v>0</v>
      </c>
      <c r="AX331" s="630" t="str">
        <f t="shared" si="181"/>
        <v/>
      </c>
      <c r="AY331" s="630" t="str">
        <f t="shared" si="182"/>
        <v/>
      </c>
      <c r="AZ331" s="630" t="str">
        <f t="shared" si="183"/>
        <v/>
      </c>
      <c r="BX331" s="3" t="str">
        <f>IF(Province="Duché de Parravon","Cité du Duché de Parravon","")</f>
        <v/>
      </c>
      <c r="BY331" t="str">
        <f t="shared" si="179"/>
        <v/>
      </c>
      <c r="BZ331" s="83" t="str">
        <f t="shared" si="173"/>
        <v/>
      </c>
      <c r="CA331" s="83" t="str">
        <f t="shared" si="174"/>
        <v/>
      </c>
      <c r="CB331" s="530" t="str">
        <f t="shared" si="175"/>
        <v/>
      </c>
      <c r="CG331" s="83" t="s">
        <v>8583</v>
      </c>
      <c r="CM331" t="s">
        <v>10443</v>
      </c>
      <c r="CO331" s="3" t="str">
        <f>CONCATENATE("Svengin",IF(AND('page 1'!M11="Féminin",Pays="Norsca"),"dottir",IF(AND('page 1'!M11="Masculin",Pays="Norsca"),"son",IF(AND('page 1'!M11="Féminin",Pays="Kislev"),"ovna",IF(AND('page 1'!M11="Masculin",Pays="Kislev"),"sky","")))))</f>
        <v>Svengin</v>
      </c>
      <c r="CP331" s="3"/>
      <c r="CQ331" s="3"/>
      <c r="CR331" t="s">
        <v>13698</v>
      </c>
      <c r="GF331" t="s">
        <v>8306</v>
      </c>
    </row>
    <row r="332" spans="19:188" ht="13.2" customHeight="1">
      <c r="S332" s="83" t="str">
        <f>IF(CareerType=Y332,"Sorcier des marches",IF(AllCareers="X","Sorcier des marches",IF(Selectsousrace="","",IF(OR(SelectRace="homme-bête",SelectRace="peau-verte",SelectRace="créature du chaos",SelectRace="Homme-lézard",SelectRace="skaven"),"",IF(SelectRace="Nain","",IF(FirstCareer="1ère carrière","","Sorcier des marches"))))))</f>
        <v/>
      </c>
      <c r="T332" s="85">
        <v>2</v>
      </c>
      <c r="U332" s="693" t="str">
        <f t="shared" si="176"/>
        <v/>
      </c>
      <c r="V332" s="693" t="str">
        <f t="shared" si="177"/>
        <v/>
      </c>
      <c r="W332" s="693" t="str">
        <f t="shared" si="178"/>
        <v/>
      </c>
      <c r="X332" s="48" t="s">
        <v>2153</v>
      </c>
      <c r="Y332" s="743" t="s">
        <v>15709</v>
      </c>
      <c r="Z332" s="55" t="s">
        <v>2156</v>
      </c>
      <c r="AA332" s="48">
        <v>59</v>
      </c>
      <c r="AB332" s="48" t="s">
        <v>2188</v>
      </c>
      <c r="AC332" s="47">
        <v>99</v>
      </c>
      <c r="AD332" s="15" t="s">
        <v>149</v>
      </c>
      <c r="AE332" s="15" t="s">
        <v>149</v>
      </c>
      <c r="AF332" s="15" t="s">
        <v>114</v>
      </c>
      <c r="AG332" s="15" t="s">
        <v>114</v>
      </c>
      <c r="AH332" s="15" t="s">
        <v>114</v>
      </c>
      <c r="AI332" s="15" t="s">
        <v>100</v>
      </c>
      <c r="AJ332" s="15" t="s">
        <v>100</v>
      </c>
      <c r="AK332" s="18" t="s">
        <v>100</v>
      </c>
      <c r="AL332" s="15" t="s">
        <v>149</v>
      </c>
      <c r="AM332" s="15" t="s">
        <v>115</v>
      </c>
      <c r="AN332" s="15" t="s">
        <v>149</v>
      </c>
      <c r="AO332" s="15" t="s">
        <v>113</v>
      </c>
      <c r="AP332" s="87" t="s">
        <v>16425</v>
      </c>
      <c r="AQ332" s="87" t="s">
        <v>734</v>
      </c>
      <c r="AR332" s="22" t="s">
        <v>2189</v>
      </c>
      <c r="AS332" s="87" t="s">
        <v>15882</v>
      </c>
      <c r="AT332" s="87" t="s">
        <v>10092</v>
      </c>
      <c r="AU332" s="87" t="s">
        <v>5482</v>
      </c>
      <c r="AV332" s="87" t="s">
        <v>4740</v>
      </c>
      <c r="AW332" s="457">
        <v>0</v>
      </c>
      <c r="AX332" s="630" t="str">
        <f t="shared" si="181"/>
        <v/>
      </c>
      <c r="AY332" s="630" t="str">
        <f t="shared" si="182"/>
        <v/>
      </c>
      <c r="AZ332" s="630" t="str">
        <f t="shared" si="183"/>
        <v/>
      </c>
      <c r="BX332" s="3" t="str">
        <f>IF(Province="Duché de Quenelles","Cité du Duché de Quenelles","")</f>
        <v/>
      </c>
      <c r="BY332" t="str">
        <f t="shared" si="179"/>
        <v/>
      </c>
      <c r="BZ332" s="83" t="str">
        <f t="shared" si="173"/>
        <v/>
      </c>
      <c r="CA332" s="83" t="str">
        <f t="shared" si="174"/>
        <v/>
      </c>
      <c r="CB332" s="530" t="str">
        <f t="shared" si="175"/>
        <v/>
      </c>
      <c r="CG332" s="3" t="s">
        <v>6366</v>
      </c>
      <c r="CM332" t="s">
        <v>10444</v>
      </c>
      <c r="CO332" t="str">
        <f>CONCATENATE("Syvrs",IF(AND('page 1'!M11="Féminin",Pays="Norsca"),"dottir",IF(AND('page 1'!M11="Masculin",Pays="Norsca"),"son",IF(AND('page 1'!M11="Féminin",Pays="Kislev"),"ovna",IF(AND('page 1'!M11="Masculin",Pays="Kislev"),"sky","")))))</f>
        <v>Syvrs</v>
      </c>
      <c r="CR332" t="s">
        <v>13699</v>
      </c>
      <c r="GF332" t="s">
        <v>7819</v>
      </c>
    </row>
    <row r="333" spans="19:188" ht="13.2" customHeight="1">
      <c r="S333" s="83" t="str">
        <f>IF(CareerType=Y333,"Sorcier des taillis",IF(AllCareers="X","Sorcier des taillis",IF(OR(SelectRace="homme-bête",SelectRace="peau-verte",SelectRace="créature du chaos",SelectRace="Homme-lézard",SelectRace="skaven",SelectRace="Halfling",SelectRace="Nain",FirstCareer="1ère carrière",SelectRace=""),"",IF(Pays="Empire","","Sorcier des taillis"))))</f>
        <v/>
      </c>
      <c r="T333" s="85">
        <f>IF(X333="oui",0,1)</f>
        <v>1</v>
      </c>
      <c r="U333" s="693" t="str">
        <f t="shared" si="176"/>
        <v/>
      </c>
      <c r="V333" s="693" t="str">
        <f t="shared" si="177"/>
        <v/>
      </c>
      <c r="W333" s="693" t="str">
        <f t="shared" si="178"/>
        <v/>
      </c>
      <c r="X333" s="48" t="s">
        <v>2153</v>
      </c>
      <c r="Y333" s="743" t="s">
        <v>15709</v>
      </c>
      <c r="Z333" s="55" t="s">
        <v>2156</v>
      </c>
      <c r="AA333" s="48">
        <v>59</v>
      </c>
      <c r="AB333" s="48" t="s">
        <v>2161</v>
      </c>
      <c r="AC333" s="47">
        <v>98</v>
      </c>
      <c r="AD333" s="105" t="s">
        <v>149</v>
      </c>
      <c r="AE333" s="15" t="s">
        <v>149</v>
      </c>
      <c r="AF333" s="15" t="s">
        <v>114</v>
      </c>
      <c r="AG333" s="15" t="s">
        <v>149</v>
      </c>
      <c r="AH333" s="15" t="s">
        <v>149</v>
      </c>
      <c r="AI333" s="15" t="s">
        <v>98</v>
      </c>
      <c r="AJ333" s="15" t="s">
        <v>114</v>
      </c>
      <c r="AK333" s="18" t="s">
        <v>98</v>
      </c>
      <c r="AL333" s="15" t="s">
        <v>149</v>
      </c>
      <c r="AM333" s="15" t="s">
        <v>113</v>
      </c>
      <c r="AN333" s="15" t="s">
        <v>149</v>
      </c>
      <c r="AO333" s="15" t="s">
        <v>102</v>
      </c>
      <c r="AP333" s="87" t="s">
        <v>15867</v>
      </c>
      <c r="AQ333" s="87" t="s">
        <v>734</v>
      </c>
      <c r="AR333" s="22" t="s">
        <v>2162</v>
      </c>
      <c r="AS333" s="87" t="s">
        <v>734</v>
      </c>
      <c r="AT333" s="87" t="s">
        <v>11424</v>
      </c>
      <c r="AU333" s="87" t="s">
        <v>5481</v>
      </c>
      <c r="AV333" s="87" t="s">
        <v>4739</v>
      </c>
      <c r="AW333" s="457">
        <v>0</v>
      </c>
      <c r="AX333" s="630" t="str">
        <f t="shared" si="181"/>
        <v/>
      </c>
      <c r="AY333" s="630" t="str">
        <f t="shared" si="182"/>
        <v/>
      </c>
      <c r="AZ333" s="630" t="str">
        <f t="shared" si="183"/>
        <v/>
      </c>
      <c r="BX333" s="3" t="str">
        <f>IF(Province="Duché d'Aquitanie","Ville prospère du Duché d'Aquitanie","")</f>
        <v/>
      </c>
      <c r="BY333" t="str">
        <f t="shared" si="179"/>
        <v/>
      </c>
      <c r="BZ333" s="83" t="str">
        <f t="shared" si="173"/>
        <v/>
      </c>
      <c r="CA333" s="83" t="str">
        <f t="shared" si="174"/>
        <v/>
      </c>
      <c r="CB333" s="530" t="str">
        <f t="shared" si="175"/>
        <v/>
      </c>
      <c r="CG333" s="3" t="s">
        <v>6367</v>
      </c>
      <c r="CM333" t="s">
        <v>10445</v>
      </c>
      <c r="CO333" t="s">
        <v>11083</v>
      </c>
      <c r="CR333" t="s">
        <v>13700</v>
      </c>
      <c r="GF333" t="s">
        <v>7820</v>
      </c>
    </row>
    <row r="334" spans="19:188" ht="13.2" customHeight="1">
      <c r="S334" s="83" t="str">
        <f>IF(CareerType=Y334,"Sorcier du clan Eshin",IF(AllCareers="X","Sorcier du clan Eshin",IF(FirstCareer="1ère carrière","",IF(SelectRace="skaven","Sorcier du clan Eshin",""))))</f>
        <v/>
      </c>
      <c r="T334" s="106">
        <f>IF(X334="oui",0,1)</f>
        <v>1</v>
      </c>
      <c r="U334" s="693" t="str">
        <f t="shared" si="176"/>
        <v/>
      </c>
      <c r="V334" s="693" t="str">
        <f t="shared" si="177"/>
        <v/>
      </c>
      <c r="W334" s="693" t="str">
        <f t="shared" si="178"/>
        <v/>
      </c>
      <c r="X334" s="47" t="s">
        <v>2153</v>
      </c>
      <c r="Y334" s="743" t="s">
        <v>15709</v>
      </c>
      <c r="Z334" s="56" t="s">
        <v>1328</v>
      </c>
      <c r="AA334" s="47">
        <v>103</v>
      </c>
      <c r="AB334" s="48"/>
      <c r="AC334" s="48"/>
      <c r="AD334" s="15" t="s">
        <v>101</v>
      </c>
      <c r="AE334" s="15" t="s">
        <v>101</v>
      </c>
      <c r="AF334" s="15" t="s">
        <v>149</v>
      </c>
      <c r="AG334" s="15" t="s">
        <v>100</v>
      </c>
      <c r="AH334" s="15" t="s">
        <v>99</v>
      </c>
      <c r="AI334" s="15" t="s">
        <v>100</v>
      </c>
      <c r="AJ334" s="15" t="s">
        <v>99</v>
      </c>
      <c r="AK334" s="18" t="s">
        <v>98</v>
      </c>
      <c r="AL334" s="15" t="s">
        <v>149</v>
      </c>
      <c r="AM334" s="15" t="s">
        <v>114</v>
      </c>
      <c r="AN334" s="15" t="s">
        <v>149</v>
      </c>
      <c r="AO334" s="15" t="s">
        <v>113</v>
      </c>
      <c r="AP334" s="87" t="s">
        <v>734</v>
      </c>
      <c r="AQ334" s="22" t="s">
        <v>3106</v>
      </c>
      <c r="AR334" s="22" t="s">
        <v>14840</v>
      </c>
      <c r="AS334" s="87" t="s">
        <v>14841</v>
      </c>
      <c r="AT334" s="22" t="s">
        <v>3561</v>
      </c>
      <c r="AU334" s="87" t="s">
        <v>5508</v>
      </c>
      <c r="AV334" s="87" t="s">
        <v>4807</v>
      </c>
      <c r="AW334" s="457">
        <v>0</v>
      </c>
      <c r="AX334" s="630" t="str">
        <f t="shared" si="181"/>
        <v/>
      </c>
      <c r="AY334" s="630" t="str">
        <f t="shared" si="182"/>
        <v/>
      </c>
      <c r="AZ334" s="630" t="str">
        <f t="shared" si="183"/>
        <v/>
      </c>
      <c r="BX334" s="3" t="str">
        <f>IF(Province="Duché d'Artenois","Ville prospère du Duché d'Artenois","")</f>
        <v/>
      </c>
      <c r="BY334" t="str">
        <f t="shared" si="179"/>
        <v/>
      </c>
      <c r="BZ334" s="83" t="str">
        <f t="shared" si="173"/>
        <v/>
      </c>
      <c r="CA334" s="83" t="str">
        <f t="shared" si="174"/>
        <v/>
      </c>
      <c r="CB334" s="530" t="str">
        <f t="shared" si="175"/>
        <v/>
      </c>
      <c r="CG334" s="3" t="s">
        <v>6368</v>
      </c>
      <c r="CM334" t="s">
        <v>10625</v>
      </c>
      <c r="CO334" t="s">
        <v>11078</v>
      </c>
      <c r="CR334" t="s">
        <v>13701</v>
      </c>
      <c r="GA334" s="83"/>
      <c r="GF334" t="s">
        <v>7821</v>
      </c>
    </row>
    <row r="335" spans="19:188" ht="13.2" customHeight="1">
      <c r="S335" s="83" t="str">
        <f>IF(CareerType=Y335,"Sorcière de glace",IF(AllCareers="X","Sorcière de glace",IF(Selectsousrace&lt;&gt;"Humain","",IF(Selectsousrace="","",IF(AND('page 1'!M11="féminin",Pays="Kislev"),"Sorcière de glace","")))))</f>
        <v/>
      </c>
      <c r="T335" s="106">
        <v>2</v>
      </c>
      <c r="U335" s="693" t="str">
        <f t="shared" si="176"/>
        <v/>
      </c>
      <c r="V335" s="693" t="str">
        <f t="shared" si="177"/>
        <v/>
      </c>
      <c r="W335" s="693" t="str">
        <f t="shared" si="178"/>
        <v/>
      </c>
      <c r="X335" s="47" t="s">
        <v>2153</v>
      </c>
      <c r="Y335" s="743" t="s">
        <v>15709</v>
      </c>
      <c r="Z335" s="55" t="s">
        <v>1319</v>
      </c>
      <c r="AA335" s="47">
        <v>104</v>
      </c>
      <c r="AB335" s="47" t="s">
        <v>2430</v>
      </c>
      <c r="AC335" s="47">
        <v>111</v>
      </c>
      <c r="AD335" s="15" t="s">
        <v>101</v>
      </c>
      <c r="AE335" s="15" t="s">
        <v>149</v>
      </c>
      <c r="AF335" s="15" t="s">
        <v>114</v>
      </c>
      <c r="AG335" s="15" t="s">
        <v>100</v>
      </c>
      <c r="AH335" s="15" t="s">
        <v>101</v>
      </c>
      <c r="AI335" s="15" t="s">
        <v>116</v>
      </c>
      <c r="AJ335" s="15" t="s">
        <v>97</v>
      </c>
      <c r="AK335" s="18" t="s">
        <v>101</v>
      </c>
      <c r="AL335" s="15" t="s">
        <v>149</v>
      </c>
      <c r="AM335" s="15" t="s">
        <v>112</v>
      </c>
      <c r="AN335" s="15" t="s">
        <v>149</v>
      </c>
      <c r="AO335" s="15" t="s">
        <v>103</v>
      </c>
      <c r="AP335" s="22" t="s">
        <v>1031</v>
      </c>
      <c r="AQ335" s="87" t="s">
        <v>734</v>
      </c>
      <c r="AR335" s="22" t="s">
        <v>2431</v>
      </c>
      <c r="AS335" s="87" t="s">
        <v>734</v>
      </c>
      <c r="AT335" s="22" t="s">
        <v>3521</v>
      </c>
      <c r="AU335" s="87" t="s">
        <v>5420</v>
      </c>
      <c r="AV335" s="87" t="s">
        <v>4654</v>
      </c>
      <c r="AW335" s="457">
        <v>0</v>
      </c>
      <c r="AX335" s="630" t="str">
        <f t="shared" si="181"/>
        <v/>
      </c>
      <c r="AY335" s="630" t="str">
        <f t="shared" si="182"/>
        <v/>
      </c>
      <c r="AZ335" s="630" t="str">
        <f t="shared" si="183"/>
        <v/>
      </c>
      <c r="BX335" s="3" t="str">
        <f>IF(Province="Duché de Bastogne","Ville prospère du Duché de Bastogne","")</f>
        <v/>
      </c>
      <c r="BY335" t="str">
        <f t="shared" si="179"/>
        <v/>
      </c>
      <c r="BZ335" s="83" t="str">
        <f t="shared" si="173"/>
        <v/>
      </c>
      <c r="CA335" s="83" t="str">
        <f t="shared" si="174"/>
        <v/>
      </c>
      <c r="CB335" s="530" t="str">
        <f t="shared" si="175"/>
        <v/>
      </c>
      <c r="CG335" s="3" t="s">
        <v>6369</v>
      </c>
      <c r="CM335" t="s">
        <v>10446</v>
      </c>
      <c r="CO335" t="s">
        <v>11076</v>
      </c>
      <c r="CR335" t="s">
        <v>13702</v>
      </c>
      <c r="GF335" t="s">
        <v>7822</v>
      </c>
    </row>
    <row r="336" spans="19:188" ht="13.2" customHeight="1">
      <c r="S336" s="83" t="str">
        <f>IF(CareerType=Y336,"Spadassin",IF(AllCareers="X","Spadassin",IF(OR(Pays="Désolations du Chaos",Pays="Norsca"),"",IF(OR(SelectRace="Nain",SelectRace="Humain",SelectRace="Vampire"),"Spadassin",""))))</f>
        <v/>
      </c>
      <c r="T336" s="106">
        <f>IF(X336="oui",0,1)</f>
        <v>0</v>
      </c>
      <c r="U336" s="693" t="str">
        <f t="shared" si="176"/>
        <v/>
      </c>
      <c r="V336" s="693" t="str">
        <f t="shared" si="177"/>
        <v/>
      </c>
      <c r="W336" s="693" t="str">
        <f t="shared" si="178"/>
        <v/>
      </c>
      <c r="X336" s="47" t="s">
        <v>2160</v>
      </c>
      <c r="Y336" s="743" t="s">
        <v>7133</v>
      </c>
      <c r="Z336" s="55" t="s">
        <v>2200</v>
      </c>
      <c r="AA336" s="47">
        <v>58</v>
      </c>
      <c r="AB336" s="47" t="s">
        <v>2432</v>
      </c>
      <c r="AC336" s="47">
        <v>169</v>
      </c>
      <c r="AD336" s="15" t="s">
        <v>98</v>
      </c>
      <c r="AE336" s="15" t="s">
        <v>149</v>
      </c>
      <c r="AF336" s="15" t="s">
        <v>98</v>
      </c>
      <c r="AG336" s="15" t="s">
        <v>149</v>
      </c>
      <c r="AH336" s="15" t="s">
        <v>98</v>
      </c>
      <c r="AI336" s="15" t="s">
        <v>149</v>
      </c>
      <c r="AJ336" s="15" t="s">
        <v>98</v>
      </c>
      <c r="AK336" s="18" t="s">
        <v>149</v>
      </c>
      <c r="AL336" s="15" t="s">
        <v>102</v>
      </c>
      <c r="AM336" s="15" t="s">
        <v>113</v>
      </c>
      <c r="AN336" s="15" t="s">
        <v>149</v>
      </c>
      <c r="AO336" s="15" t="s">
        <v>149</v>
      </c>
      <c r="AP336" s="22" t="s">
        <v>2433</v>
      </c>
      <c r="AQ336" s="87" t="s">
        <v>15939</v>
      </c>
      <c r="AR336" s="87" t="s">
        <v>16172</v>
      </c>
      <c r="AS336" s="87" t="s">
        <v>2452</v>
      </c>
      <c r="AT336" s="22" t="s">
        <v>3522</v>
      </c>
      <c r="AU336" s="87" t="s">
        <v>5348</v>
      </c>
      <c r="AV336" s="87" t="s">
        <v>4651</v>
      </c>
      <c r="AW336" s="457">
        <v>0</v>
      </c>
      <c r="AX336" s="630" t="str">
        <f t="shared" si="181"/>
        <v/>
      </c>
      <c r="AY336" s="630" t="str">
        <f t="shared" si="182"/>
        <v/>
      </c>
      <c r="AZ336" s="630" t="str">
        <f t="shared" si="183"/>
        <v/>
      </c>
      <c r="BX336" s="3" t="str">
        <f>IF(Province="Duché de Bordeleaux","Ville prospère du Duché de Bordeleaux","")</f>
        <v/>
      </c>
      <c r="BY336" t="str">
        <f t="shared" si="179"/>
        <v/>
      </c>
      <c r="BZ336" s="83" t="str">
        <f t="shared" si="173"/>
        <v/>
      </c>
      <c r="CA336" s="83" t="str">
        <f t="shared" si="174"/>
        <v/>
      </c>
      <c r="CB336" s="530" t="str">
        <f t="shared" si="175"/>
        <v/>
      </c>
      <c r="CG336" s="83" t="s">
        <v>15260</v>
      </c>
      <c r="CM336" t="s">
        <v>10447</v>
      </c>
      <c r="CO336" t="s">
        <v>11075</v>
      </c>
      <c r="CR336" t="s">
        <v>13703</v>
      </c>
      <c r="GA336" s="83"/>
      <c r="GF336" t="s">
        <v>7823</v>
      </c>
    </row>
    <row r="337" spans="19:188" ht="13.2" customHeight="1">
      <c r="S337" s="83" t="str">
        <f>IF(CareerType=Y337,"Staraja vedma",IF(AllCareers="X","Staraja vedma",IF(OR(SelectRace="homme-bête",SelectRace="peau-verte",SelectRace="créature du chaos",SelectRace="Homme-lézard",SelectRace="skaven"),"",IF(FirstCareer="1ère carrière","",IF('page 1'!M11="féminin","Staraja vedma","")))))</f>
        <v/>
      </c>
      <c r="T337" s="106">
        <f>IF(X337="oui",0,1)</f>
        <v>1</v>
      </c>
      <c r="U337" s="693" t="str">
        <f t="shared" si="176"/>
        <v/>
      </c>
      <c r="V337" s="693" t="str">
        <f t="shared" si="177"/>
        <v/>
      </c>
      <c r="W337" s="693" t="str">
        <f t="shared" si="178"/>
        <v/>
      </c>
      <c r="X337" s="47" t="s">
        <v>2153</v>
      </c>
      <c r="Y337" s="743" t="s">
        <v>15709</v>
      </c>
      <c r="Z337" s="55" t="s">
        <v>1319</v>
      </c>
      <c r="AA337" s="47">
        <v>104</v>
      </c>
      <c r="AB337" s="47" t="s">
        <v>2434</v>
      </c>
      <c r="AC337" s="47">
        <v>96</v>
      </c>
      <c r="AD337" s="15" t="s">
        <v>149</v>
      </c>
      <c r="AE337" s="15" t="s">
        <v>149</v>
      </c>
      <c r="AF337" s="15" t="s">
        <v>114</v>
      </c>
      <c r="AG337" s="15" t="s">
        <v>98</v>
      </c>
      <c r="AH337" s="15" t="s">
        <v>114</v>
      </c>
      <c r="AI337" s="15" t="s">
        <v>99</v>
      </c>
      <c r="AJ337" s="15" t="s">
        <v>100</v>
      </c>
      <c r="AK337" s="18" t="s">
        <v>98</v>
      </c>
      <c r="AL337" s="15" t="s">
        <v>149</v>
      </c>
      <c r="AM337" s="15" t="s">
        <v>103</v>
      </c>
      <c r="AN337" s="15" t="s">
        <v>149</v>
      </c>
      <c r="AO337" s="15" t="s">
        <v>102</v>
      </c>
      <c r="AP337" s="22" t="s">
        <v>337</v>
      </c>
      <c r="AQ337" s="87" t="s">
        <v>734</v>
      </c>
      <c r="AR337" s="22" t="s">
        <v>1032</v>
      </c>
      <c r="AS337" s="87" t="s">
        <v>15882</v>
      </c>
      <c r="AT337" s="22" t="s">
        <v>16660</v>
      </c>
      <c r="AU337" s="87" t="s">
        <v>5421</v>
      </c>
      <c r="AV337" s="87" t="s">
        <v>4653</v>
      </c>
      <c r="AW337" s="457">
        <v>0</v>
      </c>
      <c r="AX337" s="630" t="str">
        <f t="shared" si="181"/>
        <v/>
      </c>
      <c r="AY337" s="630" t="str">
        <f t="shared" si="182"/>
        <v/>
      </c>
      <c r="AZ337" s="630" t="str">
        <f t="shared" si="183"/>
        <v/>
      </c>
      <c r="BX337" s="3" t="str">
        <f>IF(Province="Duché de Brionne","Ville prospère du Duché de Brionne","")</f>
        <v/>
      </c>
      <c r="BY337" t="str">
        <f t="shared" si="179"/>
        <v/>
      </c>
      <c r="BZ337" s="83" t="str">
        <f t="shared" si="173"/>
        <v/>
      </c>
      <c r="CA337" s="83" t="str">
        <f t="shared" si="174"/>
        <v/>
      </c>
      <c r="CB337" s="530" t="str">
        <f t="shared" si="175"/>
        <v/>
      </c>
      <c r="CG337" s="3" t="s">
        <v>6370</v>
      </c>
      <c r="CM337" s="3" t="s">
        <v>6672</v>
      </c>
      <c r="CO337" t="str">
        <f>CONCATENATE("Tharkkin",IF(AND('page 1'!M11="Féminin",Pays="Norsca"),"dottir",IF(AND('page 1'!M11="Masculin",Pays="Norsca"),"son",IF(AND('page 1'!M11="Féminin",Pays="Kislev"),"ovna",IF(AND('page 1'!M11="Masculin",Pays="Kislev"),"sky","")))))</f>
        <v>Tharkkin</v>
      </c>
      <c r="CR337" t="s">
        <v>13704</v>
      </c>
      <c r="GF337" t="s">
        <v>7824</v>
      </c>
    </row>
    <row r="338" spans="19:188" ht="13.2" customHeight="1">
      <c r="S338" s="83" t="str">
        <f>IF(CareerType=Y338,"Strelsi",IF(AllCareers="X","Streltsi",IF(OR(SelectRace="homme-bête",SelectRace="peau-verte",SelectRace="créature du chaos",SelectRace="Homme-lézard",SelectRace="skaven"),"",IF(Pays="Kislev","Streltsi",""))))</f>
        <v/>
      </c>
      <c r="T338" s="106">
        <f>IF(X338="oui",0,1)</f>
        <v>0</v>
      </c>
      <c r="U338" s="693" t="str">
        <f t="shared" si="176"/>
        <v/>
      </c>
      <c r="V338" s="693" t="str">
        <f t="shared" si="177"/>
        <v/>
      </c>
      <c r="W338" s="693" t="str">
        <f t="shared" si="178"/>
        <v/>
      </c>
      <c r="X338" s="47" t="s">
        <v>2160</v>
      </c>
      <c r="Y338" s="743" t="s">
        <v>7130</v>
      </c>
      <c r="Z338" s="55" t="s">
        <v>1319</v>
      </c>
      <c r="AA338" s="47">
        <v>105</v>
      </c>
      <c r="AB338" s="47" t="s">
        <v>2435</v>
      </c>
      <c r="AC338" s="47">
        <v>202</v>
      </c>
      <c r="AD338" s="15" t="s">
        <v>98</v>
      </c>
      <c r="AE338" s="15" t="s">
        <v>98</v>
      </c>
      <c r="AF338" s="15" t="s">
        <v>114</v>
      </c>
      <c r="AG338" s="15" t="s">
        <v>114</v>
      </c>
      <c r="AH338" s="15" t="s">
        <v>114</v>
      </c>
      <c r="AI338" s="15" t="s">
        <v>149</v>
      </c>
      <c r="AJ338" s="15" t="s">
        <v>114</v>
      </c>
      <c r="AK338" s="18" t="s">
        <v>149</v>
      </c>
      <c r="AL338" s="15" t="s">
        <v>149</v>
      </c>
      <c r="AM338" s="15" t="s">
        <v>113</v>
      </c>
      <c r="AN338" s="15" t="s">
        <v>149</v>
      </c>
      <c r="AO338" s="15" t="s">
        <v>149</v>
      </c>
      <c r="AP338" s="87" t="s">
        <v>15128</v>
      </c>
      <c r="AQ338" s="87" t="s">
        <v>5659</v>
      </c>
      <c r="AR338" s="22" t="s">
        <v>15671</v>
      </c>
      <c r="AS338" s="87" t="s">
        <v>15940</v>
      </c>
      <c r="AT338" s="22" t="s">
        <v>3523</v>
      </c>
      <c r="AU338" s="87" t="s">
        <v>5434</v>
      </c>
      <c r="AV338" s="87" t="s">
        <v>4655</v>
      </c>
      <c r="AW338" s="457">
        <v>0</v>
      </c>
      <c r="AX338" s="630" t="str">
        <f t="shared" si="181"/>
        <v/>
      </c>
      <c r="AY338" s="630" t="str">
        <f t="shared" si="182"/>
        <v/>
      </c>
      <c r="AZ338" s="630" t="str">
        <f t="shared" si="183"/>
        <v/>
      </c>
      <c r="BX338" s="3" t="str">
        <f>IF(Province="Duché de Couronne","Ville prospère du Duché de Couronne","")</f>
        <v/>
      </c>
      <c r="BY338" t="str">
        <f t="shared" si="179"/>
        <v/>
      </c>
      <c r="BZ338" s="83" t="str">
        <f t="shared" si="173"/>
        <v/>
      </c>
      <c r="CA338" s="83" t="str">
        <f t="shared" si="174"/>
        <v/>
      </c>
      <c r="CB338" s="530" t="str">
        <f t="shared" si="175"/>
        <v/>
      </c>
      <c r="CG338" s="3" t="s">
        <v>899</v>
      </c>
      <c r="CM338" t="s">
        <v>10448</v>
      </c>
      <c r="CO338" s="3" t="str">
        <f>CONCATENATE("Thom",IF(AND('page 1'!M11="Féminin",Pays="Norsca"),"dottir",IF(AND('page 1'!M11="Masculin",Pays="Norsca"),"son",IF(AND('page 1'!M11="Féminin",Pays="Kislev"),"ovna",IF(AND('page 1'!M11="Masculin",Pays="Kislev"),"sky","")))))</f>
        <v>Thom</v>
      </c>
      <c r="CP338" s="83"/>
      <c r="CQ338" s="83"/>
      <c r="CR338" t="s">
        <v>13705</v>
      </c>
      <c r="GF338" t="s">
        <v>7825</v>
      </c>
    </row>
    <row r="339" spans="19:188" ht="13.2" customHeight="1">
      <c r="S339" s="83" t="str">
        <f>IF(AllCareers="X","Sycophante",IF(OR(FirstCareer="1ère carrière",Pays="Désolations du Chaos",Pays="Norsca"),"",IF(CareerType=Y339,"Sycophante",IF(OR(SelectRace="Halfling",SelectRace="Humain"),"Sycophante",""))))</f>
        <v/>
      </c>
      <c r="T339" s="106">
        <f>IF(X339="oui",0,1)</f>
        <v>1</v>
      </c>
      <c r="U339" s="693" t="str">
        <f t="shared" si="176"/>
        <v/>
      </c>
      <c r="V339" s="693" t="str">
        <f t="shared" si="177"/>
        <v/>
      </c>
      <c r="W339" s="693" t="str">
        <f t="shared" si="178"/>
        <v/>
      </c>
      <c r="X339" s="89" t="s">
        <v>2153</v>
      </c>
      <c r="Y339" s="743" t="s">
        <v>7132</v>
      </c>
      <c r="Z339" s="56" t="s">
        <v>9975</v>
      </c>
      <c r="AA339" s="89">
        <v>245</v>
      </c>
      <c r="AB339" s="89" t="s">
        <v>9988</v>
      </c>
      <c r="AD339" s="105" t="s">
        <v>114</v>
      </c>
      <c r="AE339" s="544" t="s">
        <v>149</v>
      </c>
      <c r="AF339" s="105" t="s">
        <v>101</v>
      </c>
      <c r="AG339" s="105" t="s">
        <v>98</v>
      </c>
      <c r="AH339" s="105" t="s">
        <v>101</v>
      </c>
      <c r="AI339" s="105" t="s">
        <v>100</v>
      </c>
      <c r="AJ339" s="105" t="s">
        <v>101</v>
      </c>
      <c r="AK339" s="443" t="s">
        <v>114</v>
      </c>
      <c r="AL339" s="105" t="s">
        <v>113</v>
      </c>
      <c r="AM339" s="105" t="s">
        <v>113</v>
      </c>
      <c r="AN339" s="105" t="s">
        <v>149</v>
      </c>
      <c r="AO339" s="105" t="s">
        <v>149</v>
      </c>
      <c r="AP339" s="87" t="s">
        <v>10000</v>
      </c>
      <c r="AQ339" s="87" t="s">
        <v>734</v>
      </c>
      <c r="AR339" s="87" t="s">
        <v>9989</v>
      </c>
      <c r="AS339" s="87" t="s">
        <v>734</v>
      </c>
      <c r="AT339" s="87" t="s">
        <v>9990</v>
      </c>
      <c r="AU339" s="87" t="s">
        <v>9991</v>
      </c>
      <c r="AV339" s="87" t="s">
        <v>9992</v>
      </c>
      <c r="AW339" s="458">
        <v>0</v>
      </c>
      <c r="AX339" s="630" t="str">
        <f t="shared" si="181"/>
        <v/>
      </c>
      <c r="AY339" s="630" t="str">
        <f t="shared" si="182"/>
        <v/>
      </c>
      <c r="AZ339" s="630" t="str">
        <f t="shared" si="183"/>
        <v/>
      </c>
      <c r="BX339" s="3" t="str">
        <f>IF(Province="Duché de Gasconnie","Ville prospère du Duché de Gasconnie","")</f>
        <v/>
      </c>
      <c r="BY339" t="str">
        <f t="shared" si="179"/>
        <v/>
      </c>
      <c r="BZ339" s="83" t="str">
        <f t="shared" si="173"/>
        <v/>
      </c>
      <c r="CA339" s="83" t="str">
        <f t="shared" si="174"/>
        <v/>
      </c>
      <c r="CB339" s="530" t="str">
        <f t="shared" si="175"/>
        <v/>
      </c>
      <c r="CG339" s="83" t="s">
        <v>15097</v>
      </c>
      <c r="CM339" t="s">
        <v>10626</v>
      </c>
      <c r="CO339" t="str">
        <f>CONCATENATE("Thorik",IF(AND('page 1'!M11="Féminin",Pays="Norsca"),"dottir",IF(AND('page 1'!M11="Masculin",Pays="Norsca"),"son",IF(AND('page 1'!M11="Féminin",Pays="Kislev"),"ovna",IF(AND('page 1'!M11="Masculin",Pays="Kislev"),"sky","")))))</f>
        <v>Thorik</v>
      </c>
      <c r="CR339" t="s">
        <v>13706</v>
      </c>
      <c r="GA339" s="83"/>
      <c r="GF339" t="s">
        <v>7826</v>
      </c>
    </row>
    <row r="340" spans="19:188" ht="13.2" customHeight="1">
      <c r="S340" s="83" t="str">
        <f>IF(CareerType=Y327,"Talib (Dresseur de djinn)",IF(AllCareers="X","Talib (Dresseur de djinn)",IF(OR(FirstCareer="1ère carrière",SelectRace="homme-bête",SelectRace="peau-verte",SelectRace="créature du chaos",SelectRace="Homme-lézard",SelectRace="skaven"),"",IF(Pays="Arabie","Talib (Dresseur de djinn)",""))))</f>
        <v/>
      </c>
      <c r="T340" s="106">
        <v>2</v>
      </c>
      <c r="U340" s="693" t="str">
        <f t="shared" si="176"/>
        <v/>
      </c>
      <c r="V340" s="693" t="str">
        <f t="shared" si="177"/>
        <v/>
      </c>
      <c r="W340" s="693" t="str">
        <f t="shared" si="178"/>
        <v/>
      </c>
      <c r="X340" s="89" t="s">
        <v>2153</v>
      </c>
      <c r="Y340" s="743" t="s">
        <v>15709</v>
      </c>
      <c r="Z340" s="56" t="s">
        <v>9975</v>
      </c>
      <c r="AA340" s="89">
        <v>245</v>
      </c>
      <c r="AB340" s="89" t="s">
        <v>10792</v>
      </c>
      <c r="AD340" s="105" t="s">
        <v>98</v>
      </c>
      <c r="AE340" s="105" t="s">
        <v>114</v>
      </c>
      <c r="AF340" s="105" t="s">
        <v>114</v>
      </c>
      <c r="AG340" s="105" t="s">
        <v>98</v>
      </c>
      <c r="AH340" s="105" t="s">
        <v>114</v>
      </c>
      <c r="AI340" s="105" t="s">
        <v>98</v>
      </c>
      <c r="AJ340" s="105" t="s">
        <v>101</v>
      </c>
      <c r="AK340" s="443" t="s">
        <v>100</v>
      </c>
      <c r="AL340" s="105" t="s">
        <v>102</v>
      </c>
      <c r="AM340" s="105" t="s">
        <v>103</v>
      </c>
      <c r="AN340" s="105" t="s">
        <v>149</v>
      </c>
      <c r="AO340" s="105" t="s">
        <v>102</v>
      </c>
      <c r="AP340" s="87" t="s">
        <v>5679</v>
      </c>
      <c r="AQ340" s="87" t="s">
        <v>734</v>
      </c>
      <c r="AR340" s="87" t="s">
        <v>10134</v>
      </c>
      <c r="AS340" s="87" t="s">
        <v>734</v>
      </c>
      <c r="AT340" s="87" t="s">
        <v>10135</v>
      </c>
      <c r="AU340" s="87" t="s">
        <v>10136</v>
      </c>
      <c r="AV340" s="87" t="s">
        <v>10137</v>
      </c>
      <c r="AW340" s="458">
        <v>0</v>
      </c>
      <c r="AX340" s="630" t="str">
        <f t="shared" si="181"/>
        <v/>
      </c>
      <c r="AY340" s="630" t="str">
        <f t="shared" si="182"/>
        <v/>
      </c>
      <c r="AZ340" s="630" t="str">
        <f t="shared" si="183"/>
        <v/>
      </c>
      <c r="BX340" s="3" t="str">
        <f>IF(Province="Duché de Gisoreux","Ville prospère du Duché de Gisoreux","")</f>
        <v/>
      </c>
      <c r="BY340" t="str">
        <f t="shared" si="179"/>
        <v/>
      </c>
      <c r="BZ340" s="83" t="str">
        <f t="shared" si="173"/>
        <v/>
      </c>
      <c r="CA340" s="83" t="str">
        <f t="shared" si="174"/>
        <v/>
      </c>
      <c r="CB340" s="530" t="str">
        <f t="shared" si="175"/>
        <v/>
      </c>
      <c r="CG340" s="3" t="s">
        <v>6371</v>
      </c>
      <c r="CM340" s="83" t="s">
        <v>14950</v>
      </c>
      <c r="CO340" t="str">
        <f>CONCATENATE("Thrahin",IF(AND('page 1'!M11="Féminin",Pays="Norsca"),"dottir",IF(AND('page 1'!M11="Masculin",Pays="Norsca"),"son",IF(AND('page 1'!M11="Féminin",Pays="Kislev"),"ovna",IF(AND('page 1'!M11="Masculin",Pays="Kislev"),"sky","")))))</f>
        <v>Thrahin</v>
      </c>
      <c r="CR340" t="s">
        <v>13707</v>
      </c>
      <c r="GF340" t="s">
        <v>7827</v>
      </c>
    </row>
    <row r="341" spans="19:188" ht="13.2" customHeight="1">
      <c r="S341" s="83" t="str">
        <f>IF(CareerType=Y341,"Tchékiste",IF(AllCareers="X","Tchékiste",IF(OR(SelectRace="homme-bête",SelectRace="peau-verte",SelectRace="créature du chaos",SelectRace="Homme-lézard",SelectRace="skaven"),"",IF(Pays="Kislev","Tchékiste",""))))</f>
        <v/>
      </c>
      <c r="T341" s="106">
        <f>IF(X341="oui",0,1)</f>
        <v>0</v>
      </c>
      <c r="U341" s="693" t="str">
        <f t="shared" si="176"/>
        <v/>
      </c>
      <c r="V341" s="693" t="str">
        <f t="shared" si="177"/>
        <v/>
      </c>
      <c r="W341" s="693" t="str">
        <f t="shared" si="178"/>
        <v/>
      </c>
      <c r="X341" s="47" t="s">
        <v>2160</v>
      </c>
      <c r="Y341" s="743" t="s">
        <v>7130</v>
      </c>
      <c r="Z341" s="55" t="s">
        <v>1319</v>
      </c>
      <c r="AA341" s="47">
        <v>105</v>
      </c>
      <c r="AB341" s="47" t="s">
        <v>2436</v>
      </c>
      <c r="AC341" s="47">
        <v>49</v>
      </c>
      <c r="AD341" s="15" t="s">
        <v>98</v>
      </c>
      <c r="AE341" s="15" t="s">
        <v>114</v>
      </c>
      <c r="AF341" s="15" t="s">
        <v>114</v>
      </c>
      <c r="AG341" s="15" t="s">
        <v>114</v>
      </c>
      <c r="AH341" s="15" t="s">
        <v>114</v>
      </c>
      <c r="AI341" s="15" t="s">
        <v>114</v>
      </c>
      <c r="AJ341" s="15" t="s">
        <v>114</v>
      </c>
      <c r="AK341" s="18" t="s">
        <v>149</v>
      </c>
      <c r="AL341" s="15" t="s">
        <v>149</v>
      </c>
      <c r="AM341" s="15" t="s">
        <v>113</v>
      </c>
      <c r="AN341" s="15" t="s">
        <v>149</v>
      </c>
      <c r="AO341" s="15" t="s">
        <v>149</v>
      </c>
      <c r="AP341" s="87" t="s">
        <v>15129</v>
      </c>
      <c r="AQ341" s="87" t="s">
        <v>15941</v>
      </c>
      <c r="AR341" s="22" t="s">
        <v>12284</v>
      </c>
      <c r="AS341" s="87" t="s">
        <v>15942</v>
      </c>
      <c r="AT341" s="22" t="s">
        <v>3524</v>
      </c>
      <c r="AU341" s="87" t="s">
        <v>5422</v>
      </c>
      <c r="AV341" s="87" t="s">
        <v>4656</v>
      </c>
      <c r="AW341" s="457">
        <v>0</v>
      </c>
      <c r="AX341" s="630" t="str">
        <f t="shared" si="181"/>
        <v/>
      </c>
      <c r="AY341" s="630" t="str">
        <f t="shared" si="182"/>
        <v/>
      </c>
      <c r="AZ341" s="630" t="str">
        <f t="shared" si="183"/>
        <v/>
      </c>
      <c r="BX341" s="3" t="str">
        <f>IF(Province="Duché de L'Anguille","Ville prospère du Duché de L'Anguille","")</f>
        <v/>
      </c>
      <c r="BY341" t="str">
        <f t="shared" si="179"/>
        <v/>
      </c>
      <c r="BZ341" s="83" t="str">
        <f t="shared" si="173"/>
        <v/>
      </c>
      <c r="CA341" s="83" t="str">
        <f t="shared" si="174"/>
        <v/>
      </c>
      <c r="CB341" s="530" t="str">
        <f t="shared" si="175"/>
        <v/>
      </c>
      <c r="CG341" s="3" t="s">
        <v>6372</v>
      </c>
      <c r="CM341" t="s">
        <v>10450</v>
      </c>
      <c r="CO341" t="str">
        <f>CONCATENATE("Threkk",IF(AND('page 1'!M11="Féminin",Pays="Norsca"),"dottir",IF(AND('page 1'!M11="Masculin",Pays="Norsca"),"son",IF(AND('page 1'!M11="Féminin",Pays="Kislev"),"ovna",IF(AND('page 1'!M11="Masculin",Pays="Kislev"),"sky","")))))</f>
        <v>Threkk</v>
      </c>
      <c r="CR341" t="s">
        <v>13708</v>
      </c>
      <c r="GF341" t="s">
        <v>7828</v>
      </c>
    </row>
    <row r="342" spans="19:188" ht="13.2" customHeight="1">
      <c r="S342" s="83" t="str">
        <f>IF(CareerType=Y342,"Technomage",IF(AllCareers="X","Technomage",IF(FirstCareer="1ère carrière","",IF(SelectRace="skaven","Technomage",""))))</f>
        <v/>
      </c>
      <c r="T342" s="106">
        <v>2</v>
      </c>
      <c r="U342" s="693" t="str">
        <f t="shared" si="176"/>
        <v/>
      </c>
      <c r="V342" s="693" t="str">
        <f t="shared" si="177"/>
        <v/>
      </c>
      <c r="W342" s="693" t="str">
        <f t="shared" si="178"/>
        <v/>
      </c>
      <c r="X342" s="47" t="s">
        <v>2153</v>
      </c>
      <c r="Y342" s="743" t="s">
        <v>7131</v>
      </c>
      <c r="Z342" s="56" t="s">
        <v>1328</v>
      </c>
      <c r="AA342" s="47">
        <v>103</v>
      </c>
      <c r="AB342" s="89" t="s">
        <v>10839</v>
      </c>
      <c r="AC342" s="48"/>
      <c r="AD342" s="15" t="s">
        <v>101</v>
      </c>
      <c r="AE342" s="15" t="s">
        <v>100</v>
      </c>
      <c r="AF342" s="15" t="s">
        <v>98</v>
      </c>
      <c r="AG342" s="15" t="s">
        <v>98</v>
      </c>
      <c r="AH342" s="15" t="s">
        <v>116</v>
      </c>
      <c r="AI342" s="15" t="s">
        <v>116</v>
      </c>
      <c r="AJ342" s="15" t="s">
        <v>101</v>
      </c>
      <c r="AK342" s="18" t="s">
        <v>114</v>
      </c>
      <c r="AL342" s="15" t="s">
        <v>102</v>
      </c>
      <c r="AM342" s="15" t="s">
        <v>117</v>
      </c>
      <c r="AN342" s="15" t="s">
        <v>149</v>
      </c>
      <c r="AO342" s="15" t="s">
        <v>149</v>
      </c>
      <c r="AP342" s="22" t="s">
        <v>12289</v>
      </c>
      <c r="AQ342" s="22" t="s">
        <v>12289</v>
      </c>
      <c r="AR342" s="22" t="s">
        <v>14842</v>
      </c>
      <c r="AS342" s="22" t="s">
        <v>14842</v>
      </c>
      <c r="AT342" s="22" t="s">
        <v>3525</v>
      </c>
      <c r="AU342" s="87" t="s">
        <v>5509</v>
      </c>
      <c r="AV342" s="87" t="s">
        <v>4808</v>
      </c>
      <c r="AW342" s="457">
        <v>0</v>
      </c>
      <c r="AX342" s="630" t="str">
        <f t="shared" si="181"/>
        <v/>
      </c>
      <c r="AY342" s="630" t="str">
        <f t="shared" si="182"/>
        <v/>
      </c>
      <c r="AZ342" s="630" t="str">
        <f t="shared" si="183"/>
        <v/>
      </c>
      <c r="BX342" s="3" t="str">
        <f>IF(Province="Duché de Lyonesse","Ville prospère du Duché de Lyonesse","")</f>
        <v/>
      </c>
      <c r="BY342" t="str">
        <f t="shared" si="179"/>
        <v/>
      </c>
      <c r="BZ342" s="83" t="str">
        <f t="shared" si="173"/>
        <v/>
      </c>
      <c r="CA342" s="83" t="str">
        <f t="shared" si="174"/>
        <v/>
      </c>
      <c r="CB342" s="530" t="str">
        <f t="shared" si="175"/>
        <v/>
      </c>
      <c r="CG342" s="3" t="s">
        <v>6373</v>
      </c>
      <c r="CM342" t="s">
        <v>10449</v>
      </c>
      <c r="CO342" t="str">
        <f>CONCATENATE("Thronrin",IF(AND('page 1'!M11="Féminin",Pays="Norsca"),"dottir",IF(AND('page 1'!M11="Masculin",Pays="Norsca"),"son",IF(AND('page 1'!M11="Féminin",Pays="Kislev"),"ovna",IF(AND('page 1'!M11="Masculin",Pays="Kislev"),"sky","")))))</f>
        <v>Thronrin</v>
      </c>
      <c r="CR342" t="s">
        <v>13709</v>
      </c>
      <c r="GF342" t="s">
        <v>8317</v>
      </c>
    </row>
    <row r="343" spans="19:188" ht="13.2" customHeight="1">
      <c r="S343" s="83" t="str">
        <f>IF(CareerType=Y343,"Tercio estalien",IF(AllCareers="X","Tercio estalien",IF(OR(Selectsousrace="",SelectRace="homme-bête",SelectRace="peau-verte",SelectRace="créature du chaos",SelectRace="Homme-lézard",SelectRace="skaven"),"",IF(FirstCareer="1ère carrière","","Tercio estalien"))))</f>
        <v/>
      </c>
      <c r="T343" s="106">
        <v>1</v>
      </c>
      <c r="U343" s="693" t="str">
        <f t="shared" si="176"/>
        <v/>
      </c>
      <c r="V343" s="693" t="str">
        <f t="shared" si="177"/>
        <v/>
      </c>
      <c r="W343" s="693" t="str">
        <f t="shared" si="178"/>
        <v/>
      </c>
      <c r="X343" s="47" t="s">
        <v>2153</v>
      </c>
      <c r="Y343" s="744" t="s">
        <v>7130</v>
      </c>
      <c r="Z343" s="56" t="s">
        <v>15646</v>
      </c>
      <c r="AB343" s="2" t="s">
        <v>16174</v>
      </c>
      <c r="AD343" s="16" t="s">
        <v>100</v>
      </c>
      <c r="AE343" s="16" t="s">
        <v>100</v>
      </c>
      <c r="AF343" s="16" t="s">
        <v>98</v>
      </c>
      <c r="AG343" s="16" t="s">
        <v>100</v>
      </c>
      <c r="AH343" s="16" t="s">
        <v>98</v>
      </c>
      <c r="AI343" s="16" t="s">
        <v>98</v>
      </c>
      <c r="AJ343" s="16" t="s">
        <v>99</v>
      </c>
      <c r="AK343" s="19" t="s">
        <v>149</v>
      </c>
      <c r="AL343" s="16" t="s">
        <v>102</v>
      </c>
      <c r="AM343" s="16" t="s">
        <v>112</v>
      </c>
      <c r="AN343" s="16" t="s">
        <v>149</v>
      </c>
      <c r="AO343" s="16" t="s">
        <v>149</v>
      </c>
      <c r="AP343" s="23" t="s">
        <v>16173</v>
      </c>
      <c r="AQ343" s="23" t="s">
        <v>734</v>
      </c>
      <c r="AR343" s="846" t="s">
        <v>16177</v>
      </c>
      <c r="AS343" s="23" t="s">
        <v>734</v>
      </c>
      <c r="AT343" s="23" t="s">
        <v>16181</v>
      </c>
      <c r="AU343" s="23" t="s">
        <v>16431</v>
      </c>
      <c r="AV343" s="23" t="s">
        <v>16182</v>
      </c>
      <c r="AW343" s="458">
        <v>0</v>
      </c>
      <c r="AX343" s="630" t="str">
        <f t="shared" ref="AX343" si="184">IF(S343="","","Chasseur, Coupe-jarret, Esclave/Thrall, Fanatique, Garde, Garde du corps, Guerrier des clans, Hors-la-loi, Naufrageur, Pillard, Pilleur de tombes, Trafiquant de cadavres, Vagabond, Voleur")</f>
        <v/>
      </c>
      <c r="AY343" s="630" t="str">
        <f t="shared" ref="AY343" si="185">IF(AX343="","","Acolyte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343" s="630" t="str">
        <f t="shared" ref="AZ343" si="186">IF(S343="","","Apprenti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X343" s="3" t="str">
        <f>IF(Province="Duché de Monfort","Ville prospère du Duché de Monfort","")</f>
        <v/>
      </c>
      <c r="BY343" t="str">
        <f t="shared" si="179"/>
        <v/>
      </c>
      <c r="BZ343" s="83" t="str">
        <f t="shared" si="173"/>
        <v/>
      </c>
      <c r="CA343" s="83" t="str">
        <f t="shared" si="174"/>
        <v/>
      </c>
      <c r="CB343" s="530" t="str">
        <f t="shared" si="175"/>
        <v/>
      </c>
      <c r="CG343" s="83" t="s">
        <v>15105</v>
      </c>
      <c r="CM343" t="s">
        <v>10452</v>
      </c>
      <c r="CO343" t="str">
        <f>CONCATENATE("Thror",IF(AND('page 1'!M11="Féminin",Pays="Norsca"),"dottir",IF(AND('page 1'!M11="Masculin",Pays="Norsca"),"son",IF(AND('page 1'!M11="Féminin",Pays="Kislev"),"ovna",IF(AND('page 1'!M11="Masculin",Pays="Kislev"),"sky","")))))</f>
        <v>Thror</v>
      </c>
      <c r="CR343" s="83" t="s">
        <v>13710</v>
      </c>
      <c r="GF343" t="s">
        <v>7829</v>
      </c>
    </row>
    <row r="344" spans="19:188" ht="13.2" customHeight="1">
      <c r="S344" s="83" t="str">
        <f>IF(CareerType=Y344,"Thaumaturge",IF(AllCareers="X","Thaumaturge",IF(Selectsousrace="","",IF(OR(SelectRace="homme-bête",SelectRace="peau-verte",SelectRace="créature du chaos",SelectRace="Homme-lézard",SelectRace="skaven"),"",IF(FirstCareer="1ère carrière","","Thaumaturge")))))</f>
        <v/>
      </c>
      <c r="T344" s="85">
        <v>2</v>
      </c>
      <c r="U344" s="693" t="str">
        <f t="shared" si="176"/>
        <v/>
      </c>
      <c r="V344" s="693" t="str">
        <f t="shared" si="177"/>
        <v/>
      </c>
      <c r="W344" s="693" t="str">
        <f t="shared" si="178"/>
        <v/>
      </c>
      <c r="X344" s="47" t="s">
        <v>2153</v>
      </c>
      <c r="Y344" s="743" t="s">
        <v>15709</v>
      </c>
      <c r="Z344" s="55" t="s">
        <v>2211</v>
      </c>
      <c r="AA344" s="47">
        <v>131</v>
      </c>
      <c r="AB344" s="47" t="s">
        <v>2437</v>
      </c>
      <c r="AC344" s="47">
        <v>223</v>
      </c>
      <c r="AD344" s="15" t="s">
        <v>98</v>
      </c>
      <c r="AE344" s="15" t="s">
        <v>98</v>
      </c>
      <c r="AF344" s="15" t="s">
        <v>98</v>
      </c>
      <c r="AG344" s="15" t="s">
        <v>98</v>
      </c>
      <c r="AH344" s="15" t="s">
        <v>101</v>
      </c>
      <c r="AI344" s="15" t="s">
        <v>101</v>
      </c>
      <c r="AJ344" s="15" t="s">
        <v>100</v>
      </c>
      <c r="AK344" s="18" t="s">
        <v>100</v>
      </c>
      <c r="AL344" s="15" t="s">
        <v>149</v>
      </c>
      <c r="AM344" s="15" t="s">
        <v>103</v>
      </c>
      <c r="AN344" s="15" t="s">
        <v>149</v>
      </c>
      <c r="AO344" s="15" t="s">
        <v>113</v>
      </c>
      <c r="AP344" s="22" t="s">
        <v>15869</v>
      </c>
      <c r="AQ344" s="87" t="s">
        <v>734</v>
      </c>
      <c r="AR344" s="22" t="s">
        <v>2438</v>
      </c>
      <c r="AS344" s="22" t="s">
        <v>2438</v>
      </c>
      <c r="AT344" s="22" t="s">
        <v>16661</v>
      </c>
      <c r="AU344" s="87" t="s">
        <v>5492</v>
      </c>
      <c r="AV344" s="87" t="s">
        <v>4088</v>
      </c>
      <c r="AW344" s="457">
        <v>0</v>
      </c>
      <c r="AX344" s="630" t="str">
        <f t="shared" ref="AX344:AX365" si="187">IF(S344="","","Chasseur, Coupe-jarret, Esclave/Thrall, Fanatique, Garde, Garde du corps, Guerrier des clans, Hors-la-loi, Naufrageur, Pillard, Pilleur de tombes, Trafiquant de cadavres, Vagabond, Voleur")</f>
        <v/>
      </c>
      <c r="AY344" s="630" t="str">
        <f t="shared" ref="AY344:AY365" si="188">IF(AX344="","","Acolyte de Khorne, Acolyte de Nurgle, Acolyte de Slaanesh, Acolyte de Tzeentch, Apprenti chaman, Aspirant champion"&amp;("Bestigor, Bourreau, Chaman, Chaman bray, Champion du Chaos, Champion homme-bête, Chasseur, Chef de bande")&amp;(", Chef de guerre, Chevalier du Chaos, Coupe-jarret, Démon exalté, Démon exalté de Khorne, Éclaireur (créatures), Envoûteur")&amp;(", Esclavagiste skaven, Esclave/Thrall, Fanatique, Garde, Garde du corps, Guerrier des clans, Gran-chaman bray, ")&amp;("Grand Chaman, Guerrier du Chaos, Hors-la-loi, Magus de Khorne, Magus de Nurgle, Magus de Slaanesh, Magus de Tzeentch, Naufrageur, ")&amp;("Pillard, Pilleur de tombes, Thaumaturge, Tisseruine, Trafiquant de cadavres, Vagabond, Voleur"))</f>
        <v/>
      </c>
      <c r="AZ344" s="630" t="str">
        <f t="shared" ref="AZ344:AZ365" si="189">IF(S344="","","Apprenti sorcier, Assassin, Astrologue, Bourreau, Chaman, Chasseur, Chasseur de primes, Chef de bande, Chef de guerre, Contrebandier"&amp;", Coupe-jarret, Éclaireur (créatures), Érudit, Esclave, Fanatique, Garde, Garde du corps, Gardien du temple, Guerrier des clans"&amp;", Hors-la-loi, Janissaire, Marchand d'Esclave/Thrall, Messager, Naufrageur, Pillard, Pillard du désert, Pilleur de tombes, Vagabond, Voleur")</f>
        <v/>
      </c>
      <c r="BX344" s="3" t="str">
        <f>IF(Province="Duché de Moussillon","Ville prospère du Duché de Moussillon","")</f>
        <v/>
      </c>
      <c r="BY344" t="str">
        <f t="shared" si="179"/>
        <v/>
      </c>
      <c r="BZ344" s="83" t="str">
        <f t="shared" si="173"/>
        <v/>
      </c>
      <c r="CA344" s="83" t="str">
        <f t="shared" si="174"/>
        <v/>
      </c>
      <c r="CB344" s="530" t="str">
        <f t="shared" si="175"/>
        <v/>
      </c>
      <c r="CG344" s="83" t="s">
        <v>11798</v>
      </c>
      <c r="CM344" t="s">
        <v>10451</v>
      </c>
      <c r="CO344" t="str">
        <f>CONCATENATE("Throsts",IF(AND('page 1'!M11="Féminin",Pays="Norsca"),"dottir",IF(AND('page 1'!M11="Masculin",Pays="Norsca"),"son",IF(AND('page 1'!M11="Féminin",Pays="Kislev"),"ovna",IF(AND('page 1'!M11="Masculin",Pays="Kislev"),"sky","")))))</f>
        <v>Throsts</v>
      </c>
      <c r="CR344" s="3" t="s">
        <v>13711</v>
      </c>
      <c r="GF344" t="s">
        <v>8318</v>
      </c>
    </row>
    <row r="345" spans="19:188" ht="13.2" customHeight="1">
      <c r="S345" s="83" t="str">
        <f>IF(CareerType=Y345,"Timariote",IF(AllCareers="X","Timariote",IF(OR(FirstCareer="1ère carrière",SelectRace="homme-bête",SelectRace="peau-verte",SelectRace="créature du chaos",SelectRace="Homme-lézard",SelectRace="skaven"),"",IF(Pays="Arabie","Timariote",""))))</f>
        <v/>
      </c>
      <c r="T345" s="106">
        <v>2</v>
      </c>
      <c r="U345" s="693" t="str">
        <f t="shared" si="176"/>
        <v/>
      </c>
      <c r="V345" s="693" t="str">
        <f t="shared" si="177"/>
        <v/>
      </c>
      <c r="W345" s="693" t="str">
        <f t="shared" si="178"/>
        <v/>
      </c>
      <c r="X345" s="89" t="s">
        <v>2153</v>
      </c>
      <c r="Y345" s="743" t="s">
        <v>7132</v>
      </c>
      <c r="Z345" s="56" t="s">
        <v>9975</v>
      </c>
      <c r="AA345" s="89">
        <v>246</v>
      </c>
      <c r="AB345" s="89" t="s">
        <v>10046</v>
      </c>
      <c r="AD345" s="105" t="s">
        <v>100</v>
      </c>
      <c r="AE345" s="105" t="s">
        <v>119</v>
      </c>
      <c r="AF345" s="105" t="s">
        <v>101</v>
      </c>
      <c r="AG345" s="105" t="s">
        <v>100</v>
      </c>
      <c r="AH345" s="105" t="s">
        <v>100</v>
      </c>
      <c r="AI345" s="105" t="s">
        <v>100</v>
      </c>
      <c r="AJ345" s="105" t="s">
        <v>100</v>
      </c>
      <c r="AK345" s="443" t="s">
        <v>99</v>
      </c>
      <c r="AL345" s="105" t="s">
        <v>113</v>
      </c>
      <c r="AM345" s="105" t="s">
        <v>117</v>
      </c>
      <c r="AN345" s="105" t="s">
        <v>149</v>
      </c>
      <c r="AO345" s="105" t="s">
        <v>149</v>
      </c>
      <c r="AP345" s="87" t="s">
        <v>15870</v>
      </c>
      <c r="AQ345" s="87" t="s">
        <v>734</v>
      </c>
      <c r="AR345" s="87" t="s">
        <v>10138</v>
      </c>
      <c r="AS345" s="87" t="s">
        <v>734</v>
      </c>
      <c r="AT345" s="87" t="s">
        <v>10141</v>
      </c>
      <c r="AU345" s="87" t="s">
        <v>10142</v>
      </c>
      <c r="AV345" s="87" t="s">
        <v>10143</v>
      </c>
      <c r="AW345" s="458">
        <v>0</v>
      </c>
      <c r="AX345" s="630" t="str">
        <f t="shared" si="187"/>
        <v/>
      </c>
      <c r="AY345" s="630" t="str">
        <f t="shared" si="188"/>
        <v/>
      </c>
      <c r="AZ345" s="630" t="str">
        <f t="shared" si="189"/>
        <v/>
      </c>
      <c r="BX345" s="3" t="str">
        <f>IF(Province="Duché de Parravon","Ville prospère du Duché de Parravon","")</f>
        <v/>
      </c>
      <c r="BY345" t="str">
        <f t="shared" si="179"/>
        <v/>
      </c>
      <c r="BZ345" s="83" t="str">
        <f t="shared" si="173"/>
        <v/>
      </c>
      <c r="CA345" s="83" t="str">
        <f t="shared" si="174"/>
        <v/>
      </c>
      <c r="CB345" s="530" t="str">
        <f t="shared" si="175"/>
        <v/>
      </c>
      <c r="CG345" s="83" t="s">
        <v>15089</v>
      </c>
      <c r="CM345" t="s">
        <v>10453</v>
      </c>
      <c r="CO345" s="83" t="str">
        <f>CONCATENATE("Thrund",IF(AND('page 1'!M11="Féminin",Pays="Norsca"),"dottir",IF(AND('page 1'!M11="Masculin",Pays="Norsca"),"son",IF(AND('page 1'!M11="Féminin",Pays="Kislev"),"ovna",IF(AND('page 1'!M11="Masculin",Pays="Kislev"),"sky","")))))</f>
        <v>Thrund</v>
      </c>
      <c r="CR345" t="s">
        <v>13712</v>
      </c>
      <c r="GF345" t="s">
        <v>7830</v>
      </c>
    </row>
    <row r="346" spans="19:188" ht="13.2" customHeight="1">
      <c r="S346" s="83" t="str">
        <f>IF(CareerType=Y346,"Tirailleur",IF(AllCareers="X","Tirailleur",IF(SelectRace="skaven","Tirailleur","")))</f>
        <v/>
      </c>
      <c r="T346" s="106">
        <f>IF(X346="oui",0,1)</f>
        <v>0</v>
      </c>
      <c r="U346" s="693" t="str">
        <f t="shared" si="176"/>
        <v/>
      </c>
      <c r="V346" s="693" t="str">
        <f t="shared" si="177"/>
        <v/>
      </c>
      <c r="W346" s="693" t="str">
        <f t="shared" si="178"/>
        <v/>
      </c>
      <c r="X346" s="47" t="s">
        <v>2160</v>
      </c>
      <c r="Y346" s="743" t="s">
        <v>7130</v>
      </c>
      <c r="Z346" s="56" t="s">
        <v>1328</v>
      </c>
      <c r="AA346" s="47">
        <v>96</v>
      </c>
      <c r="AB346" s="444" t="s">
        <v>9310</v>
      </c>
      <c r="AC346" s="48"/>
      <c r="AD346" s="15" t="s">
        <v>98</v>
      </c>
      <c r="AE346" s="15" t="s">
        <v>149</v>
      </c>
      <c r="AF346" s="15" t="s">
        <v>114</v>
      </c>
      <c r="AG346" s="15" t="s">
        <v>114</v>
      </c>
      <c r="AH346" s="15" t="s">
        <v>98</v>
      </c>
      <c r="AI346" s="15" t="s">
        <v>149</v>
      </c>
      <c r="AJ346" s="15" t="s">
        <v>114</v>
      </c>
      <c r="AK346" s="18" t="s">
        <v>149</v>
      </c>
      <c r="AL346" s="15" t="s">
        <v>149</v>
      </c>
      <c r="AM346" s="15" t="s">
        <v>113</v>
      </c>
      <c r="AN346" s="15" t="s">
        <v>149</v>
      </c>
      <c r="AO346" s="15" t="s">
        <v>149</v>
      </c>
      <c r="AP346" s="87" t="s">
        <v>734</v>
      </c>
      <c r="AQ346" s="22" t="s">
        <v>3093</v>
      </c>
      <c r="AR346" s="22" t="s">
        <v>12290</v>
      </c>
      <c r="AS346" s="87" t="s">
        <v>12290</v>
      </c>
      <c r="AT346" s="22" t="s">
        <v>3526</v>
      </c>
      <c r="AU346" s="87" t="s">
        <v>5498</v>
      </c>
      <c r="AV346" s="87" t="s">
        <v>4796</v>
      </c>
      <c r="AW346" s="457">
        <v>0</v>
      </c>
      <c r="AX346" s="630" t="str">
        <f t="shared" si="187"/>
        <v/>
      </c>
      <c r="AY346" s="630" t="str">
        <f t="shared" si="188"/>
        <v/>
      </c>
      <c r="AZ346" s="630" t="str">
        <f t="shared" si="189"/>
        <v/>
      </c>
      <c r="BX346" s="3" t="str">
        <f>IF(Province="Duché de Quenelles","Ville prospère du Duché de Quenelles","")</f>
        <v/>
      </c>
      <c r="BY346" t="str">
        <f t="shared" si="179"/>
        <v/>
      </c>
      <c r="BZ346" s="83" t="str">
        <f t="shared" si="173"/>
        <v/>
      </c>
      <c r="CA346" s="83" t="str">
        <f t="shared" si="174"/>
        <v/>
      </c>
      <c r="CB346" s="530" t="str">
        <f t="shared" si="175"/>
        <v/>
      </c>
      <c r="CG346" s="83" t="s">
        <v>14935</v>
      </c>
      <c r="CM346" t="s">
        <v>10455</v>
      </c>
      <c r="CO346" t="str">
        <f>CONCATENATE("Thrungrotha",IF(AND('page 1'!M11="Féminin",Pays="Norsca"),"dottir",IF(AND('page 1'!M11="Masculin",Pays="Norsca"),"son",IF(AND('page 1'!M11="Féminin",Pays="Kislev"),"ovna",IF(AND('page 1'!M11="Masculin",Pays="Kislev"),"sky","")))))</f>
        <v>Thrungrotha</v>
      </c>
      <c r="CR346" t="s">
        <v>13713</v>
      </c>
      <c r="GF346" t="s">
        <v>8319</v>
      </c>
    </row>
    <row r="347" spans="19:188" ht="13.2" customHeight="1">
      <c r="S347" s="83" t="str">
        <f>IF(CareerType=Y347,"Tisseruine",IF(AllCareers="X","Tisseruine",IF(Selectsousrace="","",IF(OR(SelectRace="homme-bête",SelectRace="peau-verte",SelectRace="créature du chaos",SelectRace="Homme-lézard",SelectRace="skaven"),"",IF(FirstCareer="1ère carrière","","Tisseruine")))))</f>
        <v/>
      </c>
      <c r="T347" s="106">
        <v>4</v>
      </c>
      <c r="U347" s="693" t="str">
        <f t="shared" si="176"/>
        <v/>
      </c>
      <c r="V347" s="693" t="str">
        <f t="shared" si="177"/>
        <v/>
      </c>
      <c r="W347" s="693" t="str">
        <f t="shared" si="178"/>
        <v/>
      </c>
      <c r="X347" s="47" t="s">
        <v>2153</v>
      </c>
      <c r="Y347" s="743" t="s">
        <v>15709</v>
      </c>
      <c r="Z347" s="55" t="s">
        <v>2196</v>
      </c>
      <c r="AA347" s="47">
        <v>178</v>
      </c>
      <c r="AB347" s="47"/>
      <c r="AC347" s="47"/>
      <c r="AD347" s="15" t="s">
        <v>114</v>
      </c>
      <c r="AE347" s="15" t="s">
        <v>114</v>
      </c>
      <c r="AF347" s="15" t="s">
        <v>149</v>
      </c>
      <c r="AG347" s="15" t="s">
        <v>114</v>
      </c>
      <c r="AH347" s="15" t="s">
        <v>98</v>
      </c>
      <c r="AI347" s="15" t="s">
        <v>100</v>
      </c>
      <c r="AJ347" s="15" t="s">
        <v>99</v>
      </c>
      <c r="AK347" s="18" t="s">
        <v>98</v>
      </c>
      <c r="AL347" s="15" t="s">
        <v>149</v>
      </c>
      <c r="AM347" s="15" t="s">
        <v>115</v>
      </c>
      <c r="AN347" s="15" t="s">
        <v>149</v>
      </c>
      <c r="AO347" s="15" t="s">
        <v>113</v>
      </c>
      <c r="AP347" s="22" t="s">
        <v>1267</v>
      </c>
      <c r="AQ347" s="22" t="s">
        <v>1267</v>
      </c>
      <c r="AR347" s="22" t="s">
        <v>733</v>
      </c>
      <c r="AS347" s="22" t="s">
        <v>733</v>
      </c>
      <c r="AT347" s="22" t="s">
        <v>3562</v>
      </c>
      <c r="AU347" s="87" t="s">
        <v>16456</v>
      </c>
      <c r="AV347" s="87" t="s">
        <v>4082</v>
      </c>
      <c r="AW347" s="457">
        <v>0</v>
      </c>
      <c r="AX347" s="630" t="str">
        <f t="shared" si="187"/>
        <v/>
      </c>
      <c r="AY347" s="630" t="str">
        <f t="shared" si="188"/>
        <v/>
      </c>
      <c r="AZ347" s="630" t="str">
        <f t="shared" si="189"/>
        <v/>
      </c>
      <c r="BX347" s="3" t="str">
        <f>IF(Province="Duché d'Aquitanie","Village pauvre du Duché d'Aquitanie","")</f>
        <v/>
      </c>
      <c r="BY347" t="str">
        <f t="shared" si="179"/>
        <v/>
      </c>
      <c r="BZ347" s="83" t="str">
        <f t="shared" si="173"/>
        <v/>
      </c>
      <c r="CA347" s="83" t="str">
        <f t="shared" si="174"/>
        <v/>
      </c>
      <c r="CB347" s="530" t="str">
        <f t="shared" si="175"/>
        <v/>
      </c>
      <c r="CG347" s="3" t="s">
        <v>6374</v>
      </c>
      <c r="CM347" s="3" t="s">
        <v>6674</v>
      </c>
      <c r="CO347" t="str">
        <f>CONCATENATE("Thungrim",IF(AND('page 1'!M11="Féminin",Pays="Norsca"),"dottir",IF(AND('page 1'!M11="Masculin",Pays="Norsca"),"son",IF(AND('page 1'!M11="Féminin",Pays="Kislev"),"ovna",IF(AND('page 1'!M11="Masculin",Pays="Kislev"),"sky","")))))</f>
        <v>Thungrim</v>
      </c>
      <c r="CR347" t="s">
        <v>13714</v>
      </c>
      <c r="GF347" t="s">
        <v>7831</v>
      </c>
    </row>
    <row r="348" spans="19:188" ht="13.2" customHeight="1">
      <c r="S348" s="83" t="str">
        <f>IF(CareerType=Y348,"Toréro estalien",IF(AllCareers="X","Toréro estalien",IF(OR(SelectRace="Halfling",SelectRace="skaven",SelectRace="homme-bête",SelectRace="Vampire",SelectRace="peau-verte",SelectRace="créature du chaos"),"",IF(Pays="Estalie","Toréro estalien",""))))</f>
        <v/>
      </c>
      <c r="T348" s="106">
        <f>IF(X348="oui",0,1)</f>
        <v>0</v>
      </c>
      <c r="U348" s="693" t="str">
        <f t="shared" si="176"/>
        <v/>
      </c>
      <c r="V348" s="693" t="str">
        <f t="shared" si="177"/>
        <v/>
      </c>
      <c r="W348" s="693" t="str">
        <f t="shared" si="178"/>
        <v/>
      </c>
      <c r="X348" s="47" t="s">
        <v>2160</v>
      </c>
      <c r="Y348" s="744" t="s">
        <v>7130</v>
      </c>
      <c r="Z348" s="56" t="s">
        <v>15646</v>
      </c>
      <c r="AA348" s="89">
        <v>119</v>
      </c>
      <c r="AB348" s="89" t="s">
        <v>15697</v>
      </c>
      <c r="AD348" s="105" t="s">
        <v>114</v>
      </c>
      <c r="AE348" s="105" t="s">
        <v>114</v>
      </c>
      <c r="AF348" s="105" t="s">
        <v>114</v>
      </c>
      <c r="AG348" s="105" t="s">
        <v>149</v>
      </c>
      <c r="AH348" s="105" t="s">
        <v>98</v>
      </c>
      <c r="AI348" s="105" t="s">
        <v>149</v>
      </c>
      <c r="AJ348" s="105" t="s">
        <v>98</v>
      </c>
      <c r="AK348" s="443" t="s">
        <v>98</v>
      </c>
      <c r="AL348" s="105" t="s">
        <v>149</v>
      </c>
      <c r="AM348" s="105" t="s">
        <v>113</v>
      </c>
      <c r="AN348" s="105" t="s">
        <v>149</v>
      </c>
      <c r="AO348" s="105" t="s">
        <v>149</v>
      </c>
      <c r="AP348" s="141" t="s">
        <v>15700</v>
      </c>
      <c r="AQ348" s="141" t="s">
        <v>734</v>
      </c>
      <c r="AR348" s="141" t="s">
        <v>15701</v>
      </c>
      <c r="AS348" s="141" t="s">
        <v>734</v>
      </c>
      <c r="AT348" s="87" t="s">
        <v>16051</v>
      </c>
      <c r="AU348" s="87" t="s">
        <v>15698</v>
      </c>
      <c r="AV348" s="87" t="s">
        <v>15699</v>
      </c>
      <c r="AW348" s="458">
        <v>5</v>
      </c>
      <c r="AX348" s="630" t="str">
        <f t="shared" si="187"/>
        <v/>
      </c>
      <c r="AY348" s="630" t="str">
        <f t="shared" si="188"/>
        <v/>
      </c>
      <c r="AZ348" s="630" t="str">
        <f t="shared" si="189"/>
        <v/>
      </c>
      <c r="BX348" s="3" t="str">
        <f>IF(Province="Duché d'Artenois","Village pauvre du Duché d'Artenois","")</f>
        <v/>
      </c>
      <c r="BY348" t="str">
        <f t="shared" si="179"/>
        <v/>
      </c>
      <c r="BZ348" s="83" t="str">
        <f t="shared" si="173"/>
        <v/>
      </c>
      <c r="CA348" s="83" t="str">
        <f t="shared" si="174"/>
        <v/>
      </c>
      <c r="CB348" s="530" t="str">
        <f t="shared" si="175"/>
        <v/>
      </c>
      <c r="CG348" s="3" t="s">
        <v>3149</v>
      </c>
      <c r="CM348" s="83" t="s">
        <v>6674</v>
      </c>
      <c r="CO348" t="str">
        <f>CONCATENATE("Thurarina",IF(AND('page 1'!M11="Féminin",Pays="Norsca"),"dottir",IF(AND('page 1'!M11="Masculin",Pays="Norsca"),"son",IF(AND('page 1'!M11="Féminin",Pays="Kislev"),"ovna",IF(AND('page 1'!M11="Masculin",Pays="Kislev"),"sky","")))))</f>
        <v>Thurarina</v>
      </c>
      <c r="CR348" t="s">
        <v>13715</v>
      </c>
      <c r="GF348" t="s">
        <v>8307</v>
      </c>
    </row>
    <row r="349" spans="19:188" ht="13.2" customHeight="1">
      <c r="S349" s="83" t="str">
        <f>IF(CareerType=Y349,"Trafiquant de cadavres",IF(AllCareers="X","Trafiquant de cadavres",IF(OR(SelectRace="Halfling",SelectRace="Humain",SelectRace="skaven",SelectRace="homme-bête",SelectRace="Vampire",SelectRace="peau-verte",SelectRace="créature du chaos"),"Trafiquant de cadavres",IF(OR(Pays="Désolations du Chaos",Pays="Norsca"),"",""))))</f>
        <v/>
      </c>
      <c r="T349" s="106">
        <f>IF(X349="oui",0,1)</f>
        <v>0</v>
      </c>
      <c r="U349" s="693" t="str">
        <f t="shared" si="176"/>
        <v/>
      </c>
      <c r="V349" s="693" t="str">
        <f t="shared" si="177"/>
        <v/>
      </c>
      <c r="W349" s="693" t="str">
        <f t="shared" si="178"/>
        <v/>
      </c>
      <c r="X349" s="47" t="s">
        <v>2160</v>
      </c>
      <c r="Y349" s="743" t="s">
        <v>7133</v>
      </c>
      <c r="Z349" s="55" t="s">
        <v>2200</v>
      </c>
      <c r="AA349" s="47">
        <v>58</v>
      </c>
      <c r="AB349" s="47" t="s">
        <v>2439</v>
      </c>
      <c r="AC349" s="47">
        <v>92</v>
      </c>
      <c r="AD349" s="20" t="s">
        <v>114</v>
      </c>
      <c r="AE349" s="20" t="s">
        <v>114</v>
      </c>
      <c r="AF349" s="20" t="s">
        <v>114</v>
      </c>
      <c r="AG349" s="15" t="s">
        <v>149</v>
      </c>
      <c r="AH349" s="15" t="s">
        <v>98</v>
      </c>
      <c r="AI349" s="15" t="s">
        <v>149</v>
      </c>
      <c r="AJ349" s="15" t="s">
        <v>98</v>
      </c>
      <c r="AK349" s="18" t="s">
        <v>149</v>
      </c>
      <c r="AL349" s="15" t="s">
        <v>149</v>
      </c>
      <c r="AM349" s="15" t="s">
        <v>113</v>
      </c>
      <c r="AN349" s="15" t="s">
        <v>149</v>
      </c>
      <c r="AO349" s="15" t="s">
        <v>149</v>
      </c>
      <c r="AP349" s="87" t="s">
        <v>9980</v>
      </c>
      <c r="AQ349" s="87" t="s">
        <v>8777</v>
      </c>
      <c r="AR349" s="22" t="s">
        <v>2440</v>
      </c>
      <c r="AS349" s="87" t="s">
        <v>14838</v>
      </c>
      <c r="AT349" s="22" t="s">
        <v>3527</v>
      </c>
      <c r="AU349" s="87" t="s">
        <v>5399</v>
      </c>
      <c r="AV349" s="87" t="s">
        <v>4588</v>
      </c>
      <c r="AW349" s="457">
        <v>0</v>
      </c>
      <c r="AX349" s="630" t="str">
        <f t="shared" si="187"/>
        <v/>
      </c>
      <c r="AY349" s="630" t="str">
        <f t="shared" si="188"/>
        <v/>
      </c>
      <c r="AZ349" s="630" t="str">
        <f t="shared" si="189"/>
        <v/>
      </c>
      <c r="BX349" s="3" t="str">
        <f>IF(Province="Duché de Bastogne","Village pauvre du Duché de Bastogne","")</f>
        <v/>
      </c>
      <c r="BY349" t="str">
        <f t="shared" si="179"/>
        <v/>
      </c>
      <c r="BZ349" s="83" t="str">
        <f t="shared" si="173"/>
        <v/>
      </c>
      <c r="CA349" s="83" t="str">
        <f t="shared" si="174"/>
        <v/>
      </c>
      <c r="CB349" s="530" t="str">
        <f t="shared" si="175"/>
        <v/>
      </c>
      <c r="CG349" s="3" t="s">
        <v>6375</v>
      </c>
      <c r="CM349" t="s">
        <v>10454</v>
      </c>
      <c r="CO349" t="str">
        <f>CONCATENATE("Thurlur",IF(AND('page 1'!M11="Féminin",Pays="Norsca"),"dottir",IF(AND('page 1'!M11="Masculin",Pays="Norsca"),"son",IF(AND('page 1'!M11="Féminin",Pays="Kislev"),"ovna",IF(AND('page 1'!M11="Masculin",Pays="Kislev"),"sky","")))))</f>
        <v>Thurlur</v>
      </c>
      <c r="CP349" s="83"/>
      <c r="CQ349" s="83"/>
      <c r="CR349" t="s">
        <v>13716</v>
      </c>
      <c r="GF349" t="s">
        <v>7832</v>
      </c>
    </row>
    <row r="350" spans="19:188" ht="13.2" customHeight="1">
      <c r="S350" s="83" t="str">
        <f>IF(CareerType=Y350,"Tueur de démons",IF(AllCareers="X","Tueur de démons",IF(FirstCareer="1ère carrière","",IF(SelectRace="Nain","Tueur de démons",""))))</f>
        <v/>
      </c>
      <c r="T350" s="106">
        <v>4</v>
      </c>
      <c r="U350" s="693" t="str">
        <f t="shared" si="176"/>
        <v/>
      </c>
      <c r="V350" s="693" t="str">
        <f t="shared" si="177"/>
        <v/>
      </c>
      <c r="W350" s="693" t="str">
        <f t="shared" si="178"/>
        <v/>
      </c>
      <c r="X350" s="47" t="s">
        <v>2153</v>
      </c>
      <c r="Y350" s="743" t="s">
        <v>7130</v>
      </c>
      <c r="Z350" s="55" t="s">
        <v>2200</v>
      </c>
      <c r="AA350" s="47">
        <v>86</v>
      </c>
      <c r="AB350" s="47" t="s">
        <v>2441</v>
      </c>
      <c r="AC350" s="47">
        <v>57</v>
      </c>
      <c r="AD350" s="15" t="s">
        <v>97</v>
      </c>
      <c r="AE350" s="15" t="s">
        <v>149</v>
      </c>
      <c r="AF350" s="15" t="s">
        <v>116</v>
      </c>
      <c r="AG350" s="15" t="s">
        <v>116</v>
      </c>
      <c r="AH350" s="15" t="s">
        <v>100</v>
      </c>
      <c r="AI350" s="15" t="s">
        <v>149</v>
      </c>
      <c r="AJ350" s="15" t="s">
        <v>116</v>
      </c>
      <c r="AK350" s="18" t="s">
        <v>149</v>
      </c>
      <c r="AL350" s="15" t="s">
        <v>113</v>
      </c>
      <c r="AM350" s="15" t="s">
        <v>118</v>
      </c>
      <c r="AN350" s="15" t="s">
        <v>149</v>
      </c>
      <c r="AO350" s="15" t="s">
        <v>149</v>
      </c>
      <c r="AP350" s="87" t="s">
        <v>9348</v>
      </c>
      <c r="AQ350" s="87" t="s">
        <v>9348</v>
      </c>
      <c r="AR350" s="87" t="s">
        <v>9349</v>
      </c>
      <c r="AS350" s="22" t="s">
        <v>1268</v>
      </c>
      <c r="AT350" s="22" t="s">
        <v>3528</v>
      </c>
      <c r="AU350" s="87" t="s">
        <v>5409</v>
      </c>
      <c r="AV350" s="87" t="s">
        <v>4638</v>
      </c>
      <c r="AW350" s="457">
        <v>0</v>
      </c>
      <c r="AX350" s="630" t="str">
        <f t="shared" si="187"/>
        <v/>
      </c>
      <c r="AY350" s="630" t="str">
        <f t="shared" si="188"/>
        <v/>
      </c>
      <c r="AZ350" s="630" t="str">
        <f t="shared" si="189"/>
        <v/>
      </c>
      <c r="BX350" s="3" t="str">
        <f>IF(Province="Duché de Bordeleaux","Village pauvre du Duché de Bordeleaux","")</f>
        <v/>
      </c>
      <c r="BY350" t="str">
        <f t="shared" si="179"/>
        <v/>
      </c>
      <c r="BZ350" s="83" t="str">
        <f t="shared" si="173"/>
        <v/>
      </c>
      <c r="CA350" s="83" t="str">
        <f t="shared" si="174"/>
        <v/>
      </c>
      <c r="CB350" s="530" t="str">
        <f t="shared" si="175"/>
        <v/>
      </c>
      <c r="CG350" s="3" t="s">
        <v>6376</v>
      </c>
      <c r="CM350" t="s">
        <v>10456</v>
      </c>
      <c r="CO350" t="s">
        <v>11081</v>
      </c>
      <c r="CR350" t="s">
        <v>14036</v>
      </c>
      <c r="GF350" t="s">
        <v>7833</v>
      </c>
    </row>
    <row r="351" spans="19:188" ht="13.2" customHeight="1">
      <c r="S351" s="83" t="str">
        <f>IF(CareerType=Y351,"Tueur de dragons",IF(AllCareers="X","Tueur de dragons",IF(FirstCareer="1ère carrière","",IF(SelectRace="Nain","Tueur de dragons",""))))</f>
        <v/>
      </c>
      <c r="T351" s="106">
        <v>3</v>
      </c>
      <c r="U351" s="693" t="str">
        <f t="shared" si="176"/>
        <v/>
      </c>
      <c r="V351" s="693" t="str">
        <f t="shared" si="177"/>
        <v/>
      </c>
      <c r="W351" s="693" t="str">
        <f t="shared" si="178"/>
        <v/>
      </c>
      <c r="X351" s="47" t="s">
        <v>2153</v>
      </c>
      <c r="Y351" s="743" t="s">
        <v>7130</v>
      </c>
      <c r="Z351" s="56" t="s">
        <v>9346</v>
      </c>
      <c r="AA351" s="89">
        <v>31</v>
      </c>
      <c r="AB351" s="89" t="s">
        <v>9347</v>
      </c>
      <c r="AD351" s="105" t="s">
        <v>116</v>
      </c>
      <c r="AE351" s="15" t="s">
        <v>149</v>
      </c>
      <c r="AF351" s="15" t="s">
        <v>99</v>
      </c>
      <c r="AG351" s="15" t="s">
        <v>99</v>
      </c>
      <c r="AH351" s="15" t="s">
        <v>101</v>
      </c>
      <c r="AI351" s="15" t="s">
        <v>149</v>
      </c>
      <c r="AJ351" s="15" t="s">
        <v>99</v>
      </c>
      <c r="AK351" s="18" t="s">
        <v>149</v>
      </c>
      <c r="AL351" s="16" t="s">
        <v>113</v>
      </c>
      <c r="AM351" s="16" t="s">
        <v>117</v>
      </c>
      <c r="AN351" s="15" t="s">
        <v>149</v>
      </c>
      <c r="AO351" s="15" t="s">
        <v>149</v>
      </c>
      <c r="AP351" s="87" t="s">
        <v>15875</v>
      </c>
      <c r="AQ351" s="87" t="s">
        <v>455</v>
      </c>
      <c r="AR351" s="23" t="s">
        <v>454</v>
      </c>
      <c r="AS351" s="23" t="s">
        <v>454</v>
      </c>
      <c r="AT351" s="23" t="s">
        <v>9350</v>
      </c>
      <c r="AU351" s="87" t="s">
        <v>12250</v>
      </c>
      <c r="AV351" s="87" t="s">
        <v>4638</v>
      </c>
      <c r="AW351" s="457">
        <v>0</v>
      </c>
      <c r="AX351" s="630" t="str">
        <f t="shared" si="187"/>
        <v/>
      </c>
      <c r="AY351" s="630" t="str">
        <f t="shared" si="188"/>
        <v/>
      </c>
      <c r="AZ351" s="630" t="str">
        <f t="shared" si="189"/>
        <v/>
      </c>
      <c r="BX351" s="3" t="str">
        <f>IF(Province="Duché de Brionne","Village pauvre du Duché de Brionne","")</f>
        <v/>
      </c>
      <c r="BY351" t="str">
        <f t="shared" si="179"/>
        <v/>
      </c>
      <c r="BZ351" s="83" t="str">
        <f t="shared" si="173"/>
        <v/>
      </c>
      <c r="CA351" s="83" t="str">
        <f t="shared" si="174"/>
        <v/>
      </c>
      <c r="CB351" s="530" t="str">
        <f t="shared" si="175"/>
        <v/>
      </c>
      <c r="CG351" s="3" t="s">
        <v>3150</v>
      </c>
      <c r="CM351" s="3" t="s">
        <v>6675</v>
      </c>
      <c r="CO351" t="s">
        <v>11085</v>
      </c>
      <c r="CR351" t="s">
        <v>13717</v>
      </c>
      <c r="GF351" t="s">
        <v>7834</v>
      </c>
    </row>
    <row r="352" spans="19:188" ht="13.2" customHeight="1">
      <c r="S352" s="83" t="str">
        <f>IF(CareerType=Y352,"Tueur de géants",IF(AllCareers="X","Tueur de géants",IF(FirstCareer="1ère carrière","",IF(SelectRace="Nain","Tueur de géants",""))))</f>
        <v/>
      </c>
      <c r="T352" s="106">
        <v>2</v>
      </c>
      <c r="U352" s="693" t="str">
        <f t="shared" si="176"/>
        <v/>
      </c>
      <c r="V352" s="693" t="str">
        <f t="shared" si="177"/>
        <v/>
      </c>
      <c r="W352" s="693" t="str">
        <f t="shared" si="178"/>
        <v/>
      </c>
      <c r="X352" s="47" t="s">
        <v>2153</v>
      </c>
      <c r="Y352" s="743" t="s">
        <v>7130</v>
      </c>
      <c r="Z352" s="55" t="s">
        <v>2200</v>
      </c>
      <c r="AA352" s="47">
        <v>87</v>
      </c>
      <c r="AB352" s="47" t="s">
        <v>2442</v>
      </c>
      <c r="AC352" s="47">
        <v>88</v>
      </c>
      <c r="AD352" s="15" t="s">
        <v>99</v>
      </c>
      <c r="AE352" s="15" t="s">
        <v>149</v>
      </c>
      <c r="AF352" s="15" t="s">
        <v>101</v>
      </c>
      <c r="AG352" s="15" t="s">
        <v>101</v>
      </c>
      <c r="AH352" s="15" t="s">
        <v>98</v>
      </c>
      <c r="AI352" s="15" t="s">
        <v>149</v>
      </c>
      <c r="AJ352" s="15" t="s">
        <v>100</v>
      </c>
      <c r="AK352" s="18" t="s">
        <v>149</v>
      </c>
      <c r="AL352" s="15" t="s">
        <v>102</v>
      </c>
      <c r="AM352" s="15" t="s">
        <v>112</v>
      </c>
      <c r="AN352" s="15" t="s">
        <v>149</v>
      </c>
      <c r="AO352" s="15" t="s">
        <v>149</v>
      </c>
      <c r="AP352" s="87" t="s">
        <v>1269</v>
      </c>
      <c r="AQ352" s="22" t="s">
        <v>1269</v>
      </c>
      <c r="AR352" s="87" t="s">
        <v>9348</v>
      </c>
      <c r="AS352" s="87" t="s">
        <v>9348</v>
      </c>
      <c r="AT352" s="22" t="s">
        <v>3529</v>
      </c>
      <c r="AU352" s="87" t="s">
        <v>5410</v>
      </c>
      <c r="AV352" s="87" t="s">
        <v>4638</v>
      </c>
      <c r="AW352" s="457">
        <v>0</v>
      </c>
      <c r="AX352" s="630" t="str">
        <f t="shared" si="187"/>
        <v/>
      </c>
      <c r="AY352" s="630" t="str">
        <f t="shared" si="188"/>
        <v/>
      </c>
      <c r="AZ352" s="630" t="str">
        <f t="shared" si="189"/>
        <v/>
      </c>
      <c r="BX352" s="3" t="str">
        <f>IF(Province="Duché de Couronne","Village pauvre du Duché de Couronne","")</f>
        <v/>
      </c>
      <c r="BY352" t="str">
        <f t="shared" si="179"/>
        <v/>
      </c>
      <c r="BZ352" s="83" t="str">
        <f t="shared" si="173"/>
        <v/>
      </c>
      <c r="CA352" s="83" t="str">
        <f t="shared" si="174"/>
        <v/>
      </c>
      <c r="CB352" s="530" t="str">
        <f t="shared" si="175"/>
        <v/>
      </c>
      <c r="CG352" t="s">
        <v>6377</v>
      </c>
      <c r="CM352" t="s">
        <v>10457</v>
      </c>
      <c r="CO352" t="s">
        <v>11077</v>
      </c>
      <c r="CR352" t="s">
        <v>13718</v>
      </c>
      <c r="GF352" t="s">
        <v>7835</v>
      </c>
    </row>
    <row r="353" spans="19:188" ht="13.2" customHeight="1">
      <c r="S353" s="83" t="str">
        <f>IF(CareerType=Y353,"Tueur de morts",IF(AllCareers="X","Tueur de morts",IF(OR(SelectRace="homme-bête",SelectRace="peau-verte",SelectRace="créature du chaos",SelectRace="Homme-lézard"),"",IF(FirstCareer="1ère carrière","",IF(OR(PF&gt;5,'page 2'!T51&lt;&gt;""),"Tueur de morts","")))))</f>
        <v/>
      </c>
      <c r="T353" s="106">
        <v>2</v>
      </c>
      <c r="U353" s="693" t="str">
        <f t="shared" si="176"/>
        <v/>
      </c>
      <c r="V353" s="693" t="str">
        <f t="shared" si="177"/>
        <v/>
      </c>
      <c r="W353" s="693" t="str">
        <f t="shared" si="178"/>
        <v/>
      </c>
      <c r="X353" s="47" t="s">
        <v>2153</v>
      </c>
      <c r="Y353" s="743" t="s">
        <v>7130</v>
      </c>
      <c r="Z353" s="55" t="s">
        <v>2198</v>
      </c>
      <c r="AA353" s="47">
        <v>94</v>
      </c>
      <c r="AB353" s="47" t="s">
        <v>2443</v>
      </c>
      <c r="AC353" s="47">
        <v>119</v>
      </c>
      <c r="AD353" s="15" t="s">
        <v>119</v>
      </c>
      <c r="AE353" s="15" t="s">
        <v>119</v>
      </c>
      <c r="AF353" s="15" t="s">
        <v>101</v>
      </c>
      <c r="AG353" s="15" t="s">
        <v>100</v>
      </c>
      <c r="AH353" s="15" t="s">
        <v>100</v>
      </c>
      <c r="AI353" s="15" t="s">
        <v>101</v>
      </c>
      <c r="AJ353" s="15" t="s">
        <v>116</v>
      </c>
      <c r="AK353" s="18" t="s">
        <v>114</v>
      </c>
      <c r="AL353" s="15" t="s">
        <v>113</v>
      </c>
      <c r="AM353" s="15" t="s">
        <v>112</v>
      </c>
      <c r="AN353" s="15" t="s">
        <v>149</v>
      </c>
      <c r="AO353" s="15" t="s">
        <v>149</v>
      </c>
      <c r="AP353" s="87" t="s">
        <v>15873</v>
      </c>
      <c r="AQ353" s="87" t="s">
        <v>15943</v>
      </c>
      <c r="AR353" s="87" t="s">
        <v>15874</v>
      </c>
      <c r="AS353" s="22" t="s">
        <v>462</v>
      </c>
      <c r="AT353" s="22" t="s">
        <v>3530</v>
      </c>
      <c r="AU353" s="87" t="s">
        <v>5470</v>
      </c>
      <c r="AV353" s="87" t="s">
        <v>4697</v>
      </c>
      <c r="AW353" s="457">
        <v>0</v>
      </c>
      <c r="AX353" s="630" t="str">
        <f t="shared" si="187"/>
        <v/>
      </c>
      <c r="AY353" s="630" t="str">
        <f t="shared" si="188"/>
        <v/>
      </c>
      <c r="AZ353" s="630" t="str">
        <f t="shared" si="189"/>
        <v/>
      </c>
      <c r="BX353" s="3" t="str">
        <f>IF(Province="Duché de Gasconnie","Village pauvre du Duché de Gasconnie","")</f>
        <v/>
      </c>
      <c r="BY353" t="str">
        <f t="shared" si="179"/>
        <v/>
      </c>
      <c r="BZ353" s="83" t="str">
        <f t="shared" si="173"/>
        <v/>
      </c>
      <c r="CA353" s="83" t="str">
        <f t="shared" si="174"/>
        <v/>
      </c>
      <c r="CB353" s="530" t="str">
        <f t="shared" si="175"/>
        <v/>
      </c>
      <c r="CG353" s="83" t="s">
        <v>15114</v>
      </c>
      <c r="CM353" t="s">
        <v>10458</v>
      </c>
      <c r="CO353" t="s">
        <v>11086</v>
      </c>
      <c r="CR353" t="s">
        <v>13719</v>
      </c>
      <c r="GF353" t="s">
        <v>7836</v>
      </c>
    </row>
    <row r="354" spans="19:188" ht="13.2" customHeight="1">
      <c r="S354" s="83" t="str">
        <f>IF(CareerType=Y354,"Tueur de trolls",IF(AllCareers="X","Tueur de trolls",IF(OR(SelectRace="Nain",SelectRace="Skaven"),"Tueur de trolls","")))</f>
        <v/>
      </c>
      <c r="T354" s="106">
        <v>0</v>
      </c>
      <c r="U354" s="693" t="str">
        <f t="shared" si="176"/>
        <v/>
      </c>
      <c r="V354" s="693" t="str">
        <f t="shared" si="177"/>
        <v/>
      </c>
      <c r="W354" s="693" t="str">
        <f t="shared" si="178"/>
        <v/>
      </c>
      <c r="X354" s="47" t="s">
        <v>2160</v>
      </c>
      <c r="Y354" s="743" t="s">
        <v>7130</v>
      </c>
      <c r="Z354" s="55" t="s">
        <v>2200</v>
      </c>
      <c r="AA354" s="47">
        <v>59</v>
      </c>
      <c r="AB354" s="47" t="s">
        <v>2444</v>
      </c>
      <c r="AC354" s="47">
        <v>214</v>
      </c>
      <c r="AD354" s="15" t="s">
        <v>98</v>
      </c>
      <c r="AE354" s="15" t="s">
        <v>149</v>
      </c>
      <c r="AF354" s="20" t="s">
        <v>114</v>
      </c>
      <c r="AG354" s="20" t="s">
        <v>114</v>
      </c>
      <c r="AH354" s="20" t="s">
        <v>114</v>
      </c>
      <c r="AI354" s="15" t="s">
        <v>149</v>
      </c>
      <c r="AJ354" s="15" t="s">
        <v>98</v>
      </c>
      <c r="AK354" s="18" t="s">
        <v>149</v>
      </c>
      <c r="AL354" s="15" t="s">
        <v>102</v>
      </c>
      <c r="AM354" s="15" t="s">
        <v>115</v>
      </c>
      <c r="AN354" s="15" t="s">
        <v>149</v>
      </c>
      <c r="AO354" s="15" t="s">
        <v>149</v>
      </c>
      <c r="AP354" s="22" t="s">
        <v>1270</v>
      </c>
      <c r="AQ354" s="22" t="s">
        <v>1270</v>
      </c>
      <c r="AR354" s="22" t="s">
        <v>455</v>
      </c>
      <c r="AS354" s="22" t="s">
        <v>462</v>
      </c>
      <c r="AT354" s="22" t="s">
        <v>16662</v>
      </c>
      <c r="AU354" s="87" t="s">
        <v>5349</v>
      </c>
      <c r="AV354" s="87" t="s">
        <v>4589</v>
      </c>
      <c r="AW354" s="457">
        <v>0</v>
      </c>
      <c r="AX354" s="630" t="str">
        <f t="shared" si="187"/>
        <v/>
      </c>
      <c r="AY354" s="630" t="str">
        <f t="shared" si="188"/>
        <v/>
      </c>
      <c r="AZ354" s="630" t="str">
        <f t="shared" si="189"/>
        <v/>
      </c>
      <c r="BX354" s="3" t="str">
        <f>IF(Province="Duché de Gisoreux","Village pauvre du Duché de Gisoreux","")</f>
        <v/>
      </c>
      <c r="BY354" t="str">
        <f t="shared" si="179"/>
        <v/>
      </c>
      <c r="BZ354" s="83" t="str">
        <f t="shared" si="173"/>
        <v/>
      </c>
      <c r="CA354" s="83" t="str">
        <f t="shared" si="174"/>
        <v/>
      </c>
      <c r="CB354" s="530" t="str">
        <f t="shared" si="175"/>
        <v/>
      </c>
      <c r="CG354" s="83" t="s">
        <v>14962</v>
      </c>
      <c r="CM354" t="s">
        <v>10459</v>
      </c>
      <c r="CO354" t="s">
        <v>11084</v>
      </c>
      <c r="CR354" t="s">
        <v>13720</v>
      </c>
      <c r="GF354" t="s">
        <v>7837</v>
      </c>
    </row>
    <row r="355" spans="19:188" ht="13.2" customHeight="1">
      <c r="S355" s="83" t="str">
        <f>IF(CareerType=Y355,"Vagabond",IF(AllCareers="X","Vagabond",IF(OR(SelectRace="Humain",SelectRace="Elfe",SelectRace="Halfling",SelectRace="skaven",SelectRace="homme-bête",SelectRace="peau-verte",SelectRace="créature du chaos",SelectRace="Homme-lézard"),"Vagabond",IF(OR(Pays="Désolations du Chaos",Pays="Norsca"),"",""))))</f>
        <v/>
      </c>
      <c r="T355" s="106">
        <f t="shared" ref="T355:T365" si="190">IF(X355="oui",0,1)</f>
        <v>0</v>
      </c>
      <c r="U355" s="693" t="str">
        <f t="shared" si="176"/>
        <v/>
      </c>
      <c r="V355" s="693" t="str">
        <f t="shared" si="177"/>
        <v/>
      </c>
      <c r="W355" s="693" t="str">
        <f t="shared" si="178"/>
        <v/>
      </c>
      <c r="X355" s="47" t="s">
        <v>2160</v>
      </c>
      <c r="Y355" s="743" t="s">
        <v>7133</v>
      </c>
      <c r="Z355" s="55" t="s">
        <v>2200</v>
      </c>
      <c r="AA355" s="47">
        <v>59</v>
      </c>
      <c r="AB355" s="47" t="s">
        <v>2445</v>
      </c>
      <c r="AC355" s="47">
        <v>215</v>
      </c>
      <c r="AD355" s="20" t="s">
        <v>114</v>
      </c>
      <c r="AE355" s="15" t="s">
        <v>98</v>
      </c>
      <c r="AF355" s="15" t="s">
        <v>149</v>
      </c>
      <c r="AG355" s="15" t="s">
        <v>149</v>
      </c>
      <c r="AH355" s="15" t="s">
        <v>98</v>
      </c>
      <c r="AI355" s="20" t="s">
        <v>114</v>
      </c>
      <c r="AJ355" s="15" t="s">
        <v>149</v>
      </c>
      <c r="AK355" s="21" t="s">
        <v>114</v>
      </c>
      <c r="AL355" s="15" t="s">
        <v>149</v>
      </c>
      <c r="AM355" s="15" t="s">
        <v>113</v>
      </c>
      <c r="AN355" s="15" t="s">
        <v>149</v>
      </c>
      <c r="AO355" s="15" t="s">
        <v>149</v>
      </c>
      <c r="AP355" s="87" t="s">
        <v>16570</v>
      </c>
      <c r="AQ355" s="87" t="s">
        <v>15847</v>
      </c>
      <c r="AR355" s="87" t="s">
        <v>15769</v>
      </c>
      <c r="AS355" s="87" t="s">
        <v>14843</v>
      </c>
      <c r="AT355" s="22" t="s">
        <v>3531</v>
      </c>
      <c r="AU355" s="87" t="s">
        <v>5350</v>
      </c>
      <c r="AV355" s="87" t="s">
        <v>4590</v>
      </c>
      <c r="AW355" s="457">
        <v>0</v>
      </c>
      <c r="AX355" s="630" t="str">
        <f t="shared" si="187"/>
        <v/>
      </c>
      <c r="AY355" s="630" t="str">
        <f t="shared" si="188"/>
        <v/>
      </c>
      <c r="AZ355" s="630" t="str">
        <f t="shared" si="189"/>
        <v/>
      </c>
      <c r="BX355" s="3" t="str">
        <f>IF(Province="Duché de L'Anguille","Village pauvre du Duché de L'Anguille","")</f>
        <v/>
      </c>
      <c r="BY355" t="str">
        <f t="shared" si="179"/>
        <v/>
      </c>
      <c r="BZ355" s="83" t="str">
        <f t="shared" si="173"/>
        <v/>
      </c>
      <c r="CA355" s="83" t="str">
        <f t="shared" si="174"/>
        <v/>
      </c>
      <c r="CB355" s="530" t="str">
        <f t="shared" si="175"/>
        <v/>
      </c>
      <c r="CG355" t="s">
        <v>6378</v>
      </c>
      <c r="CM355" t="s">
        <v>10460</v>
      </c>
      <c r="CO355" t="s">
        <v>11082</v>
      </c>
      <c r="CR355" t="s">
        <v>13721</v>
      </c>
      <c r="GF355" t="s">
        <v>7838</v>
      </c>
    </row>
    <row r="356" spans="19:188" ht="13.2" customHeight="1">
      <c r="S356" s="83" t="str">
        <f>IF(CareerType=Y356,"Valet",IF(AllCareers="X","Valet",IF(OR(SelectRace="homme-bête",SelectRace="peau-verte",SelectRace="créature du chaos",SelectRace="Homme-lézard",SelectRace="skaven"),"",IF(OR(Pays="Désolations du Chaos",Pays="Norsca"),"",IF(OR(SelectRace="Halfling",SelectRace="Humain"),"Valet","")))))</f>
        <v/>
      </c>
      <c r="T356" s="106">
        <f t="shared" si="190"/>
        <v>0</v>
      </c>
      <c r="U356" s="693" t="str">
        <f t="shared" si="176"/>
        <v/>
      </c>
      <c r="V356" s="693" t="str">
        <f t="shared" si="177"/>
        <v/>
      </c>
      <c r="W356" s="693" t="str">
        <f t="shared" si="178"/>
        <v/>
      </c>
      <c r="X356" s="47" t="s">
        <v>2160</v>
      </c>
      <c r="Y356" s="743" t="s">
        <v>7132</v>
      </c>
      <c r="Z356" s="55" t="s">
        <v>2200</v>
      </c>
      <c r="AA356" s="47">
        <v>60</v>
      </c>
      <c r="AB356" s="47" t="s">
        <v>2446</v>
      </c>
      <c r="AC356" s="47">
        <v>216</v>
      </c>
      <c r="AD356" s="15" t="s">
        <v>149</v>
      </c>
      <c r="AE356" s="15" t="s">
        <v>149</v>
      </c>
      <c r="AF356" s="15" t="s">
        <v>149</v>
      </c>
      <c r="AG356" s="15" t="s">
        <v>149</v>
      </c>
      <c r="AH356" s="15" t="s">
        <v>98</v>
      </c>
      <c r="AI356" s="15" t="s">
        <v>98</v>
      </c>
      <c r="AJ356" s="20" t="s">
        <v>114</v>
      </c>
      <c r="AK356" s="18" t="s">
        <v>98</v>
      </c>
      <c r="AL356" s="15" t="s">
        <v>149</v>
      </c>
      <c r="AM356" s="15" t="s">
        <v>113</v>
      </c>
      <c r="AN356" s="15" t="s">
        <v>149</v>
      </c>
      <c r="AO356" s="15" t="s">
        <v>149</v>
      </c>
      <c r="AP356" s="87" t="s">
        <v>5543</v>
      </c>
      <c r="AQ356" s="87" t="s">
        <v>5751</v>
      </c>
      <c r="AR356" s="87" t="s">
        <v>15851</v>
      </c>
      <c r="AS356" s="87" t="s">
        <v>734</v>
      </c>
      <c r="AT356" s="22" t="s">
        <v>3532</v>
      </c>
      <c r="AU356" s="87" t="s">
        <v>5351</v>
      </c>
      <c r="AV356" s="87" t="s">
        <v>4639</v>
      </c>
      <c r="AW356" s="457">
        <v>0</v>
      </c>
      <c r="AX356" s="630" t="str">
        <f t="shared" si="187"/>
        <v/>
      </c>
      <c r="AY356" s="630" t="str">
        <f t="shared" si="188"/>
        <v/>
      </c>
      <c r="AZ356" s="630" t="str">
        <f t="shared" si="189"/>
        <v/>
      </c>
      <c r="BX356" s="3" t="str">
        <f>IF(Province="Duché de Lyonesse","Village pauvre du Duché de Lyonesse","")</f>
        <v/>
      </c>
      <c r="BY356" t="str">
        <f t="shared" si="179"/>
        <v/>
      </c>
      <c r="BZ356" s="83" t="str">
        <f t="shared" si="173"/>
        <v/>
      </c>
      <c r="CA356" s="83" t="str">
        <f t="shared" si="174"/>
        <v/>
      </c>
      <c r="CB356" s="530" t="str">
        <f t="shared" si="175"/>
        <v/>
      </c>
      <c r="CG356" s="83" t="s">
        <v>15242</v>
      </c>
      <c r="CM356" t="s">
        <v>10461</v>
      </c>
      <c r="CO356" s="83" t="s">
        <v>13292</v>
      </c>
      <c r="CR356" t="s">
        <v>13722</v>
      </c>
      <c r="GF356" t="s">
        <v>7839</v>
      </c>
    </row>
    <row r="357" spans="19:188" ht="13.2" customHeight="1">
      <c r="S357" s="83" t="str">
        <f>IF(CareerType=Y357,"Vampire nouveau-né",IF(AllCareers="X","Vampire nouveau-né",IF(Selectsousrace="","",IF(OR(SelectRace="homme-bête",SelectRace="peau-verte",SelectRace="créature du chaos",SelectRace="Homme-lézard",SelectRace="skaven"),"",IF(AND(FirstCareer="1ère carrière",OR(SelectRace="Vampire",'page 1'!K4="Vampire")),"Vampire nouveau-né","")))))</f>
        <v/>
      </c>
      <c r="T357" s="106">
        <f t="shared" si="190"/>
        <v>1</v>
      </c>
      <c r="U357" s="693" t="str">
        <f t="shared" si="176"/>
        <v/>
      </c>
      <c r="V357" s="693" t="str">
        <f t="shared" si="177"/>
        <v/>
      </c>
      <c r="W357" s="693" t="str">
        <f t="shared" si="178"/>
        <v/>
      </c>
      <c r="X357" s="47" t="s">
        <v>2153</v>
      </c>
      <c r="Y357" s="743" t="s">
        <v>7133</v>
      </c>
      <c r="Z357" s="55" t="s">
        <v>2198</v>
      </c>
      <c r="AA357" s="47">
        <v>103</v>
      </c>
      <c r="AB357" s="89" t="s">
        <v>9311</v>
      </c>
      <c r="AC357" s="47"/>
      <c r="AD357" s="15" t="s">
        <v>98</v>
      </c>
      <c r="AE357" s="15" t="s">
        <v>149</v>
      </c>
      <c r="AF357" s="15" t="s">
        <v>100</v>
      </c>
      <c r="AG357" s="15" t="s">
        <v>101</v>
      </c>
      <c r="AH357" s="15" t="s">
        <v>100</v>
      </c>
      <c r="AI357" s="15" t="s">
        <v>98</v>
      </c>
      <c r="AJ357" s="15" t="s">
        <v>98</v>
      </c>
      <c r="AK357" s="18" t="s">
        <v>98</v>
      </c>
      <c r="AL357" s="15" t="s">
        <v>149</v>
      </c>
      <c r="AM357" s="15" t="s">
        <v>114</v>
      </c>
      <c r="AN357" s="15" t="s">
        <v>149</v>
      </c>
      <c r="AO357" s="15" t="s">
        <v>149</v>
      </c>
      <c r="AP357" s="22" t="s">
        <v>771</v>
      </c>
      <c r="AQ357" s="87" t="s">
        <v>734</v>
      </c>
      <c r="AR357" s="87" t="s">
        <v>2447</v>
      </c>
      <c r="AS357" s="87" t="s">
        <v>463</v>
      </c>
      <c r="AT357" s="87" t="s">
        <v>8765</v>
      </c>
      <c r="AU357" s="87" t="s">
        <v>8765</v>
      </c>
      <c r="AV357" s="87" t="s">
        <v>4698</v>
      </c>
      <c r="AW357" s="457">
        <v>0</v>
      </c>
      <c r="AX357" s="630" t="str">
        <f t="shared" si="187"/>
        <v/>
      </c>
      <c r="AY357" s="630" t="str">
        <f t="shared" si="188"/>
        <v/>
      </c>
      <c r="AZ357" s="630" t="str">
        <f t="shared" si="189"/>
        <v/>
      </c>
      <c r="BA357" s="3"/>
      <c r="BB357" s="3"/>
      <c r="BC357" s="3"/>
      <c r="BD357" s="3"/>
      <c r="BE357" s="3"/>
      <c r="BF357" s="3"/>
      <c r="BG357" s="3"/>
      <c r="BH357" s="3"/>
      <c r="BI357" s="3"/>
      <c r="BJ357" s="3"/>
      <c r="BK357" s="3"/>
      <c r="BL357" s="3"/>
      <c r="BM357" s="3"/>
      <c r="BN357" s="3"/>
      <c r="BP357" s="3"/>
      <c r="BR357" s="3"/>
      <c r="BS357" s="3"/>
      <c r="BT357" s="3"/>
      <c r="BX357" s="3" t="str">
        <f>IF(Province="Duché de Monfort","Village pauvre du Duché de Monfort","")</f>
        <v/>
      </c>
      <c r="BY357" t="str">
        <f t="shared" si="179"/>
        <v/>
      </c>
      <c r="BZ357" s="83" t="str">
        <f t="shared" si="173"/>
        <v/>
      </c>
      <c r="CA357" s="83" t="str">
        <f t="shared" si="174"/>
        <v/>
      </c>
      <c r="CB357" s="530" t="str">
        <f t="shared" si="175"/>
        <v/>
      </c>
      <c r="CG357" s="83" t="s">
        <v>15195</v>
      </c>
      <c r="CM357" s="83" t="s">
        <v>15145</v>
      </c>
      <c r="CO357" t="s">
        <v>11080</v>
      </c>
      <c r="CR357" t="s">
        <v>13723</v>
      </c>
      <c r="GF357" t="s">
        <v>8308</v>
      </c>
    </row>
    <row r="358" spans="19:188" ht="13.2" customHeight="1">
      <c r="S358" s="83" t="str">
        <f>IF(CareerType=Y358,"Vaurien",IF(AllCareers="X","Vaurien",IF(Selectsousrace="","",IF(OR(SelectRace="homme-bête",SelectRace="peau-verte",SelectRace="créature du chaos",SelectRace="Homme-lézard",SelectRace="skaven"),"",IF(FirstCareer="1ère carrière","","Vaurien")))))</f>
        <v/>
      </c>
      <c r="T358" s="106">
        <f t="shared" si="190"/>
        <v>1</v>
      </c>
      <c r="U358" s="693" t="str">
        <f t="shared" si="176"/>
        <v/>
      </c>
      <c r="V358" s="693" t="str">
        <f t="shared" si="177"/>
        <v/>
      </c>
      <c r="W358" s="693" t="str">
        <f t="shared" si="178"/>
        <v/>
      </c>
      <c r="X358" s="48" t="s">
        <v>2153</v>
      </c>
      <c r="Y358" s="744" t="s">
        <v>7133</v>
      </c>
      <c r="Z358" s="55" t="s">
        <v>2176</v>
      </c>
      <c r="AA358" s="48">
        <v>173</v>
      </c>
      <c r="AB358" s="48" t="s">
        <v>2190</v>
      </c>
      <c r="AC358" s="48">
        <v>173</v>
      </c>
      <c r="AD358" s="15" t="s">
        <v>98</v>
      </c>
      <c r="AE358" s="15" t="s">
        <v>114</v>
      </c>
      <c r="AF358" s="15" t="s">
        <v>114</v>
      </c>
      <c r="AG358" s="15" t="s">
        <v>101</v>
      </c>
      <c r="AH358" s="15" t="s">
        <v>99</v>
      </c>
      <c r="AI358" s="15" t="s">
        <v>98</v>
      </c>
      <c r="AJ358" s="15" t="s">
        <v>98</v>
      </c>
      <c r="AK358" s="18" t="s">
        <v>116</v>
      </c>
      <c r="AL358" s="15" t="s">
        <v>102</v>
      </c>
      <c r="AM358" s="15" t="s">
        <v>103</v>
      </c>
      <c r="AN358" s="15" t="s">
        <v>149</v>
      </c>
      <c r="AO358" s="15" t="s">
        <v>149</v>
      </c>
      <c r="AP358" s="87" t="s">
        <v>10005</v>
      </c>
      <c r="AQ358" s="87" t="s">
        <v>734</v>
      </c>
      <c r="AR358" s="22" t="s">
        <v>2191</v>
      </c>
      <c r="AS358" s="87" t="s">
        <v>734</v>
      </c>
      <c r="AT358" s="22" t="s">
        <v>3563</v>
      </c>
      <c r="AU358" s="87" t="s">
        <v>5489</v>
      </c>
      <c r="AV358" s="87" t="s">
        <v>4784</v>
      </c>
      <c r="AW358" s="457">
        <v>0</v>
      </c>
      <c r="AX358" s="630" t="str">
        <f t="shared" si="187"/>
        <v/>
      </c>
      <c r="AY358" s="630" t="str">
        <f t="shared" si="188"/>
        <v/>
      </c>
      <c r="AZ358" s="630" t="str">
        <f t="shared" si="189"/>
        <v/>
      </c>
      <c r="BX358" s="3" t="str">
        <f>IF(Province="Duché de Moussillon","Village pauvre du Duché de Moussillon","")</f>
        <v/>
      </c>
      <c r="BY358" t="str">
        <f t="shared" si="179"/>
        <v/>
      </c>
      <c r="BZ358" s="83" t="str">
        <f t="shared" si="173"/>
        <v/>
      </c>
      <c r="CA358" s="83" t="str">
        <f t="shared" si="174"/>
        <v/>
      </c>
      <c r="CB358" s="530" t="str">
        <f t="shared" si="175"/>
        <v/>
      </c>
      <c r="CG358" s="83" t="s">
        <v>14903</v>
      </c>
      <c r="CM358" s="83" t="s">
        <v>14890</v>
      </c>
      <c r="CO358" t="s">
        <v>11074</v>
      </c>
      <c r="CR358" t="s">
        <v>13724</v>
      </c>
      <c r="GF358" t="s">
        <v>7840</v>
      </c>
    </row>
    <row r="359" spans="19:188" ht="13.2" customHeight="1">
      <c r="S359" s="83" t="str">
        <f>IF(CareerType=Y359,"Vendeur de journaux",IF(AllCareers="X","Vendeur de journaux",IF(OR(SelectRace="Humain",SelectRace="Halfling"),"Vendeur de journaux",IF(Pays="Bretonnie","Vendeur de journaux",IF(Pays="Estalie","Vendeur de journaux",IF(Pays="Tilée","Vendeur de journaux",IF(OR(SelectRace="homme-bête",SelectRace="peau-verte",SelectRace="créature du chaos",SelectRace="Homme-lézard"),"","")))))))</f>
        <v/>
      </c>
      <c r="T359" s="106">
        <f t="shared" si="190"/>
        <v>0</v>
      </c>
      <c r="U359" s="693" t="str">
        <f t="shared" si="176"/>
        <v/>
      </c>
      <c r="V359" s="693" t="str">
        <f t="shared" si="177"/>
        <v/>
      </c>
      <c r="W359" s="693" t="str">
        <f t="shared" si="178"/>
        <v/>
      </c>
      <c r="X359" s="47" t="s">
        <v>2160</v>
      </c>
      <c r="Y359" s="743" t="s">
        <v>7132</v>
      </c>
      <c r="Z359" s="55" t="s">
        <v>2202</v>
      </c>
      <c r="AA359" s="47">
        <v>18</v>
      </c>
      <c r="AB359" s="47" t="s">
        <v>2448</v>
      </c>
      <c r="AC359" s="47">
        <v>152</v>
      </c>
      <c r="AD359" s="15" t="s">
        <v>114</v>
      </c>
      <c r="AE359" s="15" t="s">
        <v>114</v>
      </c>
      <c r="AF359" s="15" t="s">
        <v>149</v>
      </c>
      <c r="AG359" s="15" t="s">
        <v>149</v>
      </c>
      <c r="AH359" s="15" t="s">
        <v>98</v>
      </c>
      <c r="AI359" s="15" t="s">
        <v>114</v>
      </c>
      <c r="AJ359" s="15" t="s">
        <v>149</v>
      </c>
      <c r="AK359" s="18" t="s">
        <v>98</v>
      </c>
      <c r="AL359" s="15" t="s">
        <v>149</v>
      </c>
      <c r="AM359" s="15" t="s">
        <v>113</v>
      </c>
      <c r="AN359" s="15" t="s">
        <v>149</v>
      </c>
      <c r="AO359" s="15" t="s">
        <v>149</v>
      </c>
      <c r="AP359" s="22" t="s">
        <v>1271</v>
      </c>
      <c r="AQ359" s="87" t="s">
        <v>734</v>
      </c>
      <c r="AR359" s="87" t="s">
        <v>9999</v>
      </c>
      <c r="AS359" s="87" t="s">
        <v>734</v>
      </c>
      <c r="AT359" s="22" t="s">
        <v>3533</v>
      </c>
      <c r="AU359" s="87" t="s">
        <v>5395</v>
      </c>
      <c r="AV359" s="87" t="s">
        <v>4745</v>
      </c>
      <c r="AW359" s="457">
        <v>0</v>
      </c>
      <c r="AX359" s="630" t="str">
        <f t="shared" si="187"/>
        <v/>
      </c>
      <c r="AY359" s="630" t="str">
        <f t="shared" si="188"/>
        <v/>
      </c>
      <c r="AZ359" s="630" t="str">
        <f t="shared" si="189"/>
        <v/>
      </c>
      <c r="BX359" s="3" t="str">
        <f>IF(Province="Duché de Parravon","Village pauvre du Duché de Parravon","")</f>
        <v/>
      </c>
      <c r="BY359" t="str">
        <f t="shared" si="179"/>
        <v/>
      </c>
      <c r="BZ359" s="83" t="str">
        <f t="shared" si="173"/>
        <v/>
      </c>
      <c r="CA359" s="83" t="str">
        <f t="shared" si="174"/>
        <v/>
      </c>
      <c r="CB359" s="530" t="str">
        <f t="shared" si="175"/>
        <v/>
      </c>
      <c r="CG359" t="s">
        <v>6379</v>
      </c>
      <c r="CM359" t="s">
        <v>10462</v>
      </c>
      <c r="CO359" t="s">
        <v>11079</v>
      </c>
      <c r="CR359" t="s">
        <v>13725</v>
      </c>
      <c r="GF359" t="s">
        <v>8335</v>
      </c>
    </row>
    <row r="360" spans="19:188" ht="13.2" customHeight="1">
      <c r="S360" s="83" t="str">
        <f>IF(CareerType=Y360,"Vermine de choc",IF(AllCareers="X","Vermine de choc",IF(FirstCareer="1ère carrière","",IF(SelectRace="skaven","Vermine de choc",""))))</f>
        <v/>
      </c>
      <c r="T360" s="106">
        <f t="shared" si="190"/>
        <v>1</v>
      </c>
      <c r="U360" s="693" t="str">
        <f t="shared" si="176"/>
        <v/>
      </c>
      <c r="V360" s="693" t="str">
        <f t="shared" si="177"/>
        <v/>
      </c>
      <c r="W360" s="693" t="str">
        <f t="shared" si="178"/>
        <v/>
      </c>
      <c r="X360" s="47" t="s">
        <v>2153</v>
      </c>
      <c r="Y360" s="743" t="s">
        <v>7130</v>
      </c>
      <c r="Z360" s="56" t="s">
        <v>1328</v>
      </c>
      <c r="AA360" s="47">
        <v>104</v>
      </c>
      <c r="AB360" s="48"/>
      <c r="AC360" s="48"/>
      <c r="AD360" s="15" t="s">
        <v>101</v>
      </c>
      <c r="AE360" s="15" t="s">
        <v>114</v>
      </c>
      <c r="AF360" s="15" t="s">
        <v>98</v>
      </c>
      <c r="AG360" s="15" t="s">
        <v>98</v>
      </c>
      <c r="AH360" s="15" t="s">
        <v>101</v>
      </c>
      <c r="AI360" s="15" t="s">
        <v>149</v>
      </c>
      <c r="AJ360" s="15" t="s">
        <v>98</v>
      </c>
      <c r="AK360" s="18" t="s">
        <v>114</v>
      </c>
      <c r="AL360" s="15" t="s">
        <v>102</v>
      </c>
      <c r="AM360" s="15" t="s">
        <v>103</v>
      </c>
      <c r="AN360" s="15" t="s">
        <v>149</v>
      </c>
      <c r="AO360" s="15" t="s">
        <v>149</v>
      </c>
      <c r="AP360" s="87" t="s">
        <v>734</v>
      </c>
      <c r="AQ360" s="22" t="s">
        <v>3107</v>
      </c>
      <c r="AR360" s="22" t="s">
        <v>12285</v>
      </c>
      <c r="AS360" s="22" t="s">
        <v>12285</v>
      </c>
      <c r="AT360" s="22" t="s">
        <v>3534</v>
      </c>
      <c r="AU360" s="87" t="s">
        <v>5510</v>
      </c>
      <c r="AV360" s="87" t="s">
        <v>4819</v>
      </c>
      <c r="AW360" s="457">
        <v>0</v>
      </c>
      <c r="AX360" s="630" t="str">
        <f t="shared" si="187"/>
        <v/>
      </c>
      <c r="AY360" s="630" t="str">
        <f t="shared" si="188"/>
        <v/>
      </c>
      <c r="AZ360" s="630" t="str">
        <f t="shared" si="189"/>
        <v/>
      </c>
      <c r="BX360" s="3" t="str">
        <f>IF(Province="Duché de Quenelles","Village pauvre du Duché de Quenelles","")</f>
        <v/>
      </c>
      <c r="BY360" t="str">
        <f t="shared" si="179"/>
        <v/>
      </c>
      <c r="BZ360" s="83" t="str">
        <f t="shared" si="173"/>
        <v/>
      </c>
      <c r="CA360" s="83" t="str">
        <f t="shared" si="174"/>
        <v/>
      </c>
      <c r="CB360" s="530" t="str">
        <f t="shared" si="175"/>
        <v/>
      </c>
      <c r="CG360" t="s">
        <v>6380</v>
      </c>
      <c r="CM360" t="s">
        <v>10463</v>
      </c>
      <c r="CO360" t="str">
        <f>CONCATENATE("Ulfar",IF(AND('page 1'!M11="Féminin",Pays="Norsca"),"dottir",IF(AND('page 1'!M11="Masculin",Pays="Norsca"),"son",IF(AND('page 1'!M11="Féminin",Pays="Kislev"),"ovna",IF(AND('page 1'!M11="Masculin",Pays="Kislev"),"sky","")))))</f>
        <v>Ulfar</v>
      </c>
      <c r="CR360" t="s">
        <v>13726</v>
      </c>
      <c r="GF360" t="s">
        <v>8323</v>
      </c>
    </row>
    <row r="361" spans="19:188" ht="13.2" customHeight="1">
      <c r="S361" s="83" t="str">
        <f>IF(CareerType=Y361,"Vétéran/Longue Barbe",IF(AllCareers="X","Vétéran/Longue Barbe",IF(Selectsousrace="","",IF(FirstCareer="1ère carrière","",IF(SelectRace="skaven","Vétéran",IF(OR(SelectRace="homme-bête",SelectRace="peau-verte",SelectRace="créature du chaos",SelectRace="Homme-lézard"),"",IF(SelectRace="Nain","Longue Barbe","Vétéran")))))))</f>
        <v/>
      </c>
      <c r="T361" s="106">
        <f t="shared" si="190"/>
        <v>1</v>
      </c>
      <c r="U361" s="693" t="str">
        <f t="shared" si="176"/>
        <v/>
      </c>
      <c r="V361" s="693" t="str">
        <f t="shared" si="177"/>
        <v/>
      </c>
      <c r="W361" s="693" t="str">
        <f t="shared" si="178"/>
        <v/>
      </c>
      <c r="X361" s="47" t="s">
        <v>2153</v>
      </c>
      <c r="Y361" s="743" t="s">
        <v>7130</v>
      </c>
      <c r="Z361" s="55" t="s">
        <v>2200</v>
      </c>
      <c r="AA361" s="47">
        <v>87</v>
      </c>
      <c r="AB361" s="47" t="s">
        <v>2449</v>
      </c>
      <c r="AC361" s="47">
        <v>219</v>
      </c>
      <c r="AD361" s="15" t="s">
        <v>100</v>
      </c>
      <c r="AE361" s="15" t="s">
        <v>100</v>
      </c>
      <c r="AF361" s="15" t="s">
        <v>98</v>
      </c>
      <c r="AG361" s="15" t="s">
        <v>98</v>
      </c>
      <c r="AH361" s="15" t="s">
        <v>101</v>
      </c>
      <c r="AI361" s="15" t="s">
        <v>149</v>
      </c>
      <c r="AJ361" s="15" t="s">
        <v>101</v>
      </c>
      <c r="AK361" s="18" t="s">
        <v>149</v>
      </c>
      <c r="AL361" s="15" t="s">
        <v>102</v>
      </c>
      <c r="AM361" s="15" t="s">
        <v>112</v>
      </c>
      <c r="AN361" s="15" t="s">
        <v>149</v>
      </c>
      <c r="AO361" s="15" t="s">
        <v>149</v>
      </c>
      <c r="AP361" s="87" t="s">
        <v>16571</v>
      </c>
      <c r="AQ361" s="87" t="s">
        <v>8778</v>
      </c>
      <c r="AR361" s="87" t="s">
        <v>16167</v>
      </c>
      <c r="AS361" s="87" t="s">
        <v>734</v>
      </c>
      <c r="AT361" s="87" t="s">
        <v>15800</v>
      </c>
      <c r="AU361" s="87" t="s">
        <v>5411</v>
      </c>
      <c r="AV361" s="87" t="s">
        <v>4640</v>
      </c>
      <c r="AW361" s="457">
        <v>0</v>
      </c>
      <c r="AX361" s="630" t="str">
        <f t="shared" si="187"/>
        <v/>
      </c>
      <c r="AY361" s="630" t="str">
        <f t="shared" si="188"/>
        <v/>
      </c>
      <c r="AZ361" s="630" t="str">
        <f t="shared" si="189"/>
        <v/>
      </c>
      <c r="BX361" s="3" t="str">
        <f>IF(Province="Duché d'Aquitanie","Petite communauté du Duché d'Aquitanie","")</f>
        <v/>
      </c>
      <c r="BY361" t="str">
        <f t="shared" si="179"/>
        <v/>
      </c>
      <c r="BZ361" s="83" t="str">
        <f t="shared" si="173"/>
        <v/>
      </c>
      <c r="CA361" s="83" t="str">
        <f t="shared" si="174"/>
        <v/>
      </c>
      <c r="CB361" s="530" t="str">
        <f t="shared" si="175"/>
        <v/>
      </c>
      <c r="CG361" t="s">
        <v>1091</v>
      </c>
      <c r="CM361" t="s">
        <v>10464</v>
      </c>
      <c r="CO361" t="s">
        <v>11087</v>
      </c>
      <c r="CR361" t="s">
        <v>13727</v>
      </c>
      <c r="GF361" t="s">
        <v>7841</v>
      </c>
    </row>
    <row r="362" spans="19:188" ht="13.2" customHeight="1">
      <c r="S362" s="83" t="str">
        <f>IF(CareerType=Y362,"Vierge de glace",IF(AllCareers="X","Vierge de glace",IF(OR(SelectRace="homme-bête",SelectRace="peau-verte",SelectRace="créature du chaos",SelectRace="Homme-lézard",SelectRace="skaven"),"",IF(FirstCareer="1ère carrière","",IF('page 1'!M11="féminin","Vierge de glace","")))))</f>
        <v/>
      </c>
      <c r="T362" s="106">
        <f t="shared" si="190"/>
        <v>1</v>
      </c>
      <c r="U362" s="693" t="str">
        <f t="shared" si="176"/>
        <v/>
      </c>
      <c r="V362" s="693" t="str">
        <f t="shared" si="177"/>
        <v/>
      </c>
      <c r="W362" s="693" t="str">
        <f t="shared" si="178"/>
        <v/>
      </c>
      <c r="X362" s="47" t="s">
        <v>2153</v>
      </c>
      <c r="Y362" s="743" t="s">
        <v>15709</v>
      </c>
      <c r="Z362" s="55" t="s">
        <v>1319</v>
      </c>
      <c r="AA362" s="47">
        <v>106</v>
      </c>
      <c r="AB362" s="47" t="s">
        <v>2450</v>
      </c>
      <c r="AC362" s="47">
        <v>110</v>
      </c>
      <c r="AD362" s="15" t="s">
        <v>114</v>
      </c>
      <c r="AE362" s="15" t="s">
        <v>149</v>
      </c>
      <c r="AF362" s="15" t="s">
        <v>149</v>
      </c>
      <c r="AG362" s="15" t="s">
        <v>98</v>
      </c>
      <c r="AH362" s="15" t="s">
        <v>114</v>
      </c>
      <c r="AI362" s="15" t="s">
        <v>100</v>
      </c>
      <c r="AJ362" s="15" t="s">
        <v>99</v>
      </c>
      <c r="AK362" s="18" t="s">
        <v>98</v>
      </c>
      <c r="AL362" s="15" t="s">
        <v>149</v>
      </c>
      <c r="AM362" s="15" t="s">
        <v>103</v>
      </c>
      <c r="AN362" s="15" t="s">
        <v>149</v>
      </c>
      <c r="AO362" s="15" t="s">
        <v>113</v>
      </c>
      <c r="AP362" s="22" t="s">
        <v>1026</v>
      </c>
      <c r="AQ362" s="87" t="s">
        <v>734</v>
      </c>
      <c r="AR362" s="22" t="s">
        <v>12286</v>
      </c>
      <c r="AS362" s="87" t="s">
        <v>734</v>
      </c>
      <c r="AT362" s="22" t="s">
        <v>3564</v>
      </c>
      <c r="AU362" s="87" t="s">
        <v>15712</v>
      </c>
      <c r="AV362" s="87" t="s">
        <v>4657</v>
      </c>
      <c r="AW362" s="457">
        <v>0</v>
      </c>
      <c r="AX362" s="630" t="str">
        <f t="shared" si="187"/>
        <v/>
      </c>
      <c r="AY362" s="630" t="str">
        <f t="shared" si="188"/>
        <v/>
      </c>
      <c r="AZ362" s="630" t="str">
        <f t="shared" si="189"/>
        <v/>
      </c>
      <c r="BX362" s="3" t="str">
        <f>IF(Province="Duché d'Artenois","Petite communauté du Duché d'Artenois","")</f>
        <v/>
      </c>
      <c r="BY362" t="str">
        <f t="shared" si="179"/>
        <v/>
      </c>
      <c r="BZ362" s="83" t="str">
        <f t="shared" si="173"/>
        <v/>
      </c>
      <c r="CA362" s="83" t="str">
        <f t="shared" si="174"/>
        <v/>
      </c>
      <c r="CB362" s="530" t="str">
        <f t="shared" si="175"/>
        <v/>
      </c>
      <c r="CG362" t="s">
        <v>6383</v>
      </c>
      <c r="CM362" t="s">
        <v>10465</v>
      </c>
      <c r="CO362" t="s">
        <v>11089</v>
      </c>
      <c r="CR362" t="s">
        <v>13728</v>
      </c>
      <c r="GF362" t="s">
        <v>7842</v>
      </c>
    </row>
    <row r="363" spans="19:188" ht="13.2" customHeight="1">
      <c r="S363" s="83" t="str">
        <f>IF(CareerType=Y363,"Vitki",IF(AllCareers="X","Vitki",IF(Selectsousrace="","",IF(OR(SelectRace="homme-bête",SelectRace="peau-verte",SelectRace="créature du chaos",SelectRace="Homme-lézard",SelectRace="skaven"),"",IF(FirstCareer="1ère carrière","","Vitki")))))</f>
        <v/>
      </c>
      <c r="T363" s="106">
        <f t="shared" si="190"/>
        <v>1</v>
      </c>
      <c r="U363" s="693" t="str">
        <f t="shared" si="176"/>
        <v/>
      </c>
      <c r="V363" s="693" t="str">
        <f t="shared" si="177"/>
        <v/>
      </c>
      <c r="W363" s="693" t="str">
        <f t="shared" si="178"/>
        <v/>
      </c>
      <c r="X363" s="47" t="s">
        <v>2153</v>
      </c>
      <c r="Y363" s="743" t="s">
        <v>15709</v>
      </c>
      <c r="Z363" s="55" t="s">
        <v>2196</v>
      </c>
      <c r="AA363" s="47">
        <v>159</v>
      </c>
      <c r="AB363" s="47" t="s">
        <v>2451</v>
      </c>
      <c r="AC363" s="47"/>
      <c r="AD363" s="15" t="s">
        <v>101</v>
      </c>
      <c r="AE363" s="15" t="s">
        <v>98</v>
      </c>
      <c r="AF363" s="15" t="s">
        <v>98</v>
      </c>
      <c r="AG363" s="15" t="s">
        <v>98</v>
      </c>
      <c r="AH363" s="15" t="s">
        <v>98</v>
      </c>
      <c r="AI363" s="15" t="s">
        <v>101</v>
      </c>
      <c r="AJ363" s="15" t="s">
        <v>99</v>
      </c>
      <c r="AK363" s="18" t="s">
        <v>100</v>
      </c>
      <c r="AL363" s="15" t="s">
        <v>102</v>
      </c>
      <c r="AM363" s="15" t="s">
        <v>114</v>
      </c>
      <c r="AN363" s="15" t="s">
        <v>149</v>
      </c>
      <c r="AO363" s="15" t="s">
        <v>113</v>
      </c>
      <c r="AP363" s="22" t="s">
        <v>442</v>
      </c>
      <c r="AQ363" s="87" t="s">
        <v>15882</v>
      </c>
      <c r="AR363" s="22" t="s">
        <v>443</v>
      </c>
      <c r="AS363" s="22" t="s">
        <v>443</v>
      </c>
      <c r="AT363" s="22" t="s">
        <v>3535</v>
      </c>
      <c r="AU363" s="87" t="s">
        <v>16457</v>
      </c>
      <c r="AV363" s="87" t="s">
        <v>4672</v>
      </c>
      <c r="AW363" s="457">
        <v>0</v>
      </c>
      <c r="AX363" s="630" t="str">
        <f t="shared" si="187"/>
        <v/>
      </c>
      <c r="AY363" s="630" t="str">
        <f t="shared" si="188"/>
        <v/>
      </c>
      <c r="AZ363" s="630" t="str">
        <f t="shared" si="189"/>
        <v/>
      </c>
      <c r="BX363" s="3" t="str">
        <f>IF(Province="Duché de Bastogne","Petite communauté du Duché de Bastogne","")</f>
        <v/>
      </c>
      <c r="BY363" t="str">
        <f t="shared" si="179"/>
        <v/>
      </c>
      <c r="BZ363" s="83" t="str">
        <f t="shared" si="173"/>
        <v/>
      </c>
      <c r="CA363" s="83" t="str">
        <f t="shared" si="174"/>
        <v/>
      </c>
      <c r="CB363" s="530" t="str">
        <f t="shared" si="175"/>
        <v/>
      </c>
      <c r="CG363" t="s">
        <v>6382</v>
      </c>
      <c r="CM363" t="s">
        <v>10466</v>
      </c>
      <c r="CO363" t="s">
        <v>11088</v>
      </c>
      <c r="CP363" s="83"/>
      <c r="CQ363" s="83"/>
      <c r="CR363" t="s">
        <v>13729</v>
      </c>
      <c r="GF363" t="s">
        <v>8336</v>
      </c>
    </row>
    <row r="364" spans="19:188" ht="13.2" customHeight="1">
      <c r="S364" s="83" t="str">
        <f>IF(CareerType=Y364,"Voleur",IF(AllCareers="X","Voleur",IF(OR(Pays="Désolations du Chaos",Pays="Norsca"),"",IF(OR(SelectRace="homme-bête",SelectRace="peau-verte",SelectRace="créature du chaos",SelectRace="Homme-lézard"),"Voleur",IF(Selectsousrace="","","Voleur")))))</f>
        <v/>
      </c>
      <c r="T364" s="106">
        <f t="shared" si="190"/>
        <v>0</v>
      </c>
      <c r="U364" s="693" t="str">
        <f t="shared" si="176"/>
        <v/>
      </c>
      <c r="V364" s="693" t="str">
        <f t="shared" si="177"/>
        <v/>
      </c>
      <c r="W364" s="693" t="str">
        <f t="shared" si="178"/>
        <v/>
      </c>
      <c r="X364" s="47" t="s">
        <v>2160</v>
      </c>
      <c r="Y364" s="743" t="s">
        <v>7133</v>
      </c>
      <c r="Z364" s="55" t="s">
        <v>2200</v>
      </c>
      <c r="AA364" s="47">
        <v>60</v>
      </c>
      <c r="AB364" s="47" t="s">
        <v>2453</v>
      </c>
      <c r="AC364" s="47">
        <v>209</v>
      </c>
      <c r="AD364" s="20" t="s">
        <v>114</v>
      </c>
      <c r="AE364" s="20" t="s">
        <v>114</v>
      </c>
      <c r="AF364" s="15" t="s">
        <v>149</v>
      </c>
      <c r="AG364" s="15" t="s">
        <v>149</v>
      </c>
      <c r="AH364" s="15" t="s">
        <v>101</v>
      </c>
      <c r="AI364" s="20" t="s">
        <v>114</v>
      </c>
      <c r="AJ364" s="15" t="s">
        <v>149</v>
      </c>
      <c r="AK364" s="18" t="s">
        <v>98</v>
      </c>
      <c r="AL364" s="15" t="s">
        <v>149</v>
      </c>
      <c r="AM364" s="15" t="s">
        <v>113</v>
      </c>
      <c r="AN364" s="15" t="s">
        <v>149</v>
      </c>
      <c r="AO364" s="15" t="s">
        <v>149</v>
      </c>
      <c r="AP364" s="87" t="s">
        <v>15774</v>
      </c>
      <c r="AQ364" s="87" t="s">
        <v>8779</v>
      </c>
      <c r="AR364" s="22" t="s">
        <v>15689</v>
      </c>
      <c r="AS364" s="87" t="s">
        <v>14844</v>
      </c>
      <c r="AT364" s="22" t="s">
        <v>3536</v>
      </c>
      <c r="AU364" s="87" t="s">
        <v>5352</v>
      </c>
      <c r="AV364" s="87" t="s">
        <v>4593</v>
      </c>
      <c r="AW364" s="457">
        <v>0</v>
      </c>
      <c r="AX364" s="630" t="str">
        <f t="shared" si="187"/>
        <v/>
      </c>
      <c r="AY364" s="630" t="str">
        <f t="shared" si="188"/>
        <v/>
      </c>
      <c r="AZ364" s="630" t="str">
        <f t="shared" si="189"/>
        <v/>
      </c>
      <c r="BX364" s="3" t="str">
        <f>IF(Province="Duché de Bordeleaux","Petite communauté du Duché de Bordeleaux","")</f>
        <v/>
      </c>
      <c r="BY364" t="str">
        <f t="shared" si="179"/>
        <v/>
      </c>
      <c r="BZ364" s="83" t="str">
        <f t="shared" si="173"/>
        <v/>
      </c>
      <c r="CA364" s="83" t="str">
        <f t="shared" si="174"/>
        <v/>
      </c>
      <c r="CB364" s="530" t="str">
        <f t="shared" si="175"/>
        <v/>
      </c>
      <c r="CG364" t="s">
        <v>6381</v>
      </c>
      <c r="CM364" t="s">
        <v>10467</v>
      </c>
      <c r="CO364" t="s">
        <v>11091</v>
      </c>
      <c r="CR364" t="s">
        <v>13730</v>
      </c>
      <c r="GF364" t="s">
        <v>7843</v>
      </c>
    </row>
    <row r="365" spans="19:188" ht="13.2" customHeight="1">
      <c r="S365" s="83" t="str">
        <f>IF(CareerType=Y365,"Yeoman",IF(AllCareers="X","Yeoman",IF(Selectsousrace="","",IF(OR(SelectRace="homme-bête",SelectRace="peau-verte",SelectRace="créature du chaos",SelectRace="Homme-lézard",SelectRace="skaven"),"",IF(FirstCareer="1ère carrière","","Yeoman")))))</f>
        <v/>
      </c>
      <c r="T365" s="106">
        <f t="shared" si="190"/>
        <v>1</v>
      </c>
      <c r="U365" s="693" t="str">
        <f t="shared" si="176"/>
        <v/>
      </c>
      <c r="V365" s="693" t="str">
        <f t="shared" si="177"/>
        <v/>
      </c>
      <c r="W365" s="693" t="str">
        <f t="shared" si="178"/>
        <v/>
      </c>
      <c r="X365" s="47" t="s">
        <v>2153</v>
      </c>
      <c r="Y365" s="743" t="s">
        <v>7130</v>
      </c>
      <c r="Z365" s="55" t="s">
        <v>2206</v>
      </c>
      <c r="AA365" s="47">
        <v>101</v>
      </c>
      <c r="AB365" s="47" t="s">
        <v>2454</v>
      </c>
      <c r="AC365" s="47">
        <v>234</v>
      </c>
      <c r="AD365" s="15" t="s">
        <v>99</v>
      </c>
      <c r="AE365" s="15" t="s">
        <v>98</v>
      </c>
      <c r="AF365" s="15" t="s">
        <v>98</v>
      </c>
      <c r="AG365" s="15" t="s">
        <v>98</v>
      </c>
      <c r="AH365" s="15" t="s">
        <v>98</v>
      </c>
      <c r="AI365" s="15" t="s">
        <v>98</v>
      </c>
      <c r="AJ365" s="15" t="s">
        <v>98</v>
      </c>
      <c r="AK365" s="18" t="s">
        <v>149</v>
      </c>
      <c r="AL365" s="15" t="s">
        <v>102</v>
      </c>
      <c r="AM365" s="15" t="s">
        <v>112</v>
      </c>
      <c r="AN365" s="15" t="s">
        <v>149</v>
      </c>
      <c r="AO365" s="15" t="s">
        <v>149</v>
      </c>
      <c r="AP365" s="87" t="s">
        <v>15736</v>
      </c>
      <c r="AQ365" s="87" t="s">
        <v>15944</v>
      </c>
      <c r="AR365" s="87" t="s">
        <v>10047</v>
      </c>
      <c r="AS365" s="87" t="s">
        <v>15929</v>
      </c>
      <c r="AT365" s="87" t="s">
        <v>10048</v>
      </c>
      <c r="AU365" s="87" t="s">
        <v>5468</v>
      </c>
      <c r="AV365" s="87" t="s">
        <v>10049</v>
      </c>
      <c r="AW365" s="458">
        <v>0</v>
      </c>
      <c r="AX365" s="630" t="str">
        <f t="shared" si="187"/>
        <v/>
      </c>
      <c r="AY365" s="630" t="str">
        <f t="shared" si="188"/>
        <v/>
      </c>
      <c r="AZ365" s="630" t="str">
        <f t="shared" si="189"/>
        <v/>
      </c>
      <c r="BX365" s="3" t="str">
        <f>IF(Province="Duché de Brionne","Petite communauté du Duché de Brionne","")</f>
        <v/>
      </c>
      <c r="BY365" t="str">
        <f t="shared" si="179"/>
        <v/>
      </c>
      <c r="BZ365" s="83" t="str">
        <f t="shared" si="173"/>
        <v/>
      </c>
      <c r="CA365" s="83" t="str">
        <f t="shared" si="174"/>
        <v/>
      </c>
      <c r="CB365" s="530" t="str">
        <f t="shared" si="175"/>
        <v/>
      </c>
      <c r="CG365" t="s">
        <v>6384</v>
      </c>
      <c r="CM365" t="s">
        <v>10468</v>
      </c>
      <c r="CO365" t="s">
        <v>11090</v>
      </c>
      <c r="CP365" s="3"/>
      <c r="CQ365" s="3"/>
      <c r="CR365" t="s">
        <v>13731</v>
      </c>
      <c r="GF365" t="s">
        <v>7844</v>
      </c>
    </row>
    <row r="366" spans="19:188" ht="13.2" customHeight="1">
      <c r="S366" s="632"/>
      <c r="V366" s="83" t="str">
        <f t="shared" ref="V366:V373" si="191">IF(S366&lt;&gt;"",SMALL(U:U,U366),"")</f>
        <v/>
      </c>
      <c r="W366" s="83" t="str">
        <f t="shared" ref="W366:W367" si="192">IFERROR(INDEX(S:S,V366+1),"")</f>
        <v/>
      </c>
      <c r="AZ366" s="630"/>
      <c r="BX366" s="3" t="str">
        <f>IF(Province="Duché de Couronne","Petite communauté du Duché de Couronne","")</f>
        <v/>
      </c>
      <c r="BY366" t="str">
        <f t="shared" si="179"/>
        <v/>
      </c>
      <c r="BZ366" s="83" t="str">
        <f t="shared" si="173"/>
        <v/>
      </c>
      <c r="CA366" s="83" t="str">
        <f t="shared" si="174"/>
        <v/>
      </c>
      <c r="CB366" s="530" t="str">
        <f t="shared" si="175"/>
        <v/>
      </c>
      <c r="CG366" s="3" t="s">
        <v>900</v>
      </c>
      <c r="CM366" t="s">
        <v>10469</v>
      </c>
      <c r="CO366" t="s">
        <v>11092</v>
      </c>
      <c r="CR366" t="s">
        <v>13732</v>
      </c>
      <c r="GF366" t="s">
        <v>8344</v>
      </c>
    </row>
    <row r="367" spans="19:188" ht="13.2" customHeight="1">
      <c r="V367" s="83" t="str">
        <f t="shared" si="191"/>
        <v/>
      </c>
      <c r="W367" s="83" t="str">
        <f t="shared" si="192"/>
        <v/>
      </c>
      <c r="AZ367" s="630"/>
      <c r="BX367" s="3" t="str">
        <f>IF(Province="Duché de Gasconnie","Petite communauté du Duché de Gasconnie","")</f>
        <v/>
      </c>
      <c r="BY367" t="str">
        <f t="shared" si="179"/>
        <v/>
      </c>
      <c r="BZ367" s="83" t="str">
        <f t="shared" si="173"/>
        <v/>
      </c>
      <c r="CA367" s="83" t="str">
        <f t="shared" si="174"/>
        <v/>
      </c>
      <c r="CB367" s="530" t="str">
        <f t="shared" si="175"/>
        <v/>
      </c>
      <c r="CG367" s="83" t="s">
        <v>15100</v>
      </c>
      <c r="CM367" t="s">
        <v>10470</v>
      </c>
      <c r="CO367" t="str">
        <f>CONCATENATE("Vigrid",IF(AND('page 1'!M11="Féminin",Pays="Norsca"),"dottir",IF(AND('page 1'!M11="Masculin",Pays="Norsca"),"son",IF(AND('page 1'!M11="Féminin",Pays="Kislev"),"ovna",IF(AND('page 1'!M11="Masculin",Pays="Kislev"),"sky","")))))</f>
        <v>Vigrid</v>
      </c>
      <c r="CR367" t="s">
        <v>13733</v>
      </c>
      <c r="GF367" t="s">
        <v>8324</v>
      </c>
    </row>
    <row r="368" spans="19:188" ht="13.2" customHeight="1">
      <c r="V368" s="83" t="str">
        <f t="shared" si="191"/>
        <v/>
      </c>
      <c r="AZ368" s="630"/>
      <c r="BX368" s="3" t="str">
        <f>IF(Province="Duché de Gisoreux","Petite communauté du Duché de Gisoreux","")</f>
        <v/>
      </c>
      <c r="BY368" t="str">
        <f t="shared" si="179"/>
        <v/>
      </c>
      <c r="BZ368" s="83" t="str">
        <f t="shared" si="173"/>
        <v/>
      </c>
      <c r="CA368" s="83" t="str">
        <f t="shared" si="174"/>
        <v/>
      </c>
      <c r="CB368" s="530" t="str">
        <f t="shared" si="175"/>
        <v/>
      </c>
      <c r="CG368" s="83" t="s">
        <v>10173</v>
      </c>
      <c r="CM368" t="s">
        <v>10471</v>
      </c>
      <c r="CO368" t="str">
        <f>CONCATENATE("Vikram",IF(AND('page 1'!M11="Féminin",Pays="Norsca"),"dottir",IF(AND('page 1'!M11="Masculin",Pays="Norsca"),"son",IF(AND('page 1'!M11="Féminin",Pays="Kislev"),"ovna",IF(AND('page 1'!M11="Masculin",Pays="Kislev"),"sky","")))))</f>
        <v>Vikram</v>
      </c>
      <c r="CR368" t="s">
        <v>13734</v>
      </c>
      <c r="GF368" t="s">
        <v>7845</v>
      </c>
    </row>
    <row r="369" spans="22:188" ht="13.2" customHeight="1">
      <c r="V369" s="83" t="str">
        <f t="shared" si="191"/>
        <v/>
      </c>
      <c r="AZ369" s="630"/>
      <c r="BX369" s="3" t="str">
        <f>IF(Province="Duché de L'Anguille","Petite communauté du Duché de L'Anguille","")</f>
        <v/>
      </c>
      <c r="BY369" t="str">
        <f t="shared" si="179"/>
        <v/>
      </c>
      <c r="BZ369" s="83" t="str">
        <f t="shared" si="173"/>
        <v/>
      </c>
      <c r="CA369" s="83" t="str">
        <f t="shared" si="174"/>
        <v/>
      </c>
      <c r="CB369" s="530" t="str">
        <f t="shared" si="175"/>
        <v/>
      </c>
      <c r="CG369" t="s">
        <v>6385</v>
      </c>
      <c r="CM369" t="s">
        <v>10472</v>
      </c>
      <c r="CO369" t="str">
        <f>CONCATENATE("Voragor",IF(AND('page 1'!M11="Féminin",Pays="Norsca"),"dottir",IF(AND('page 1'!M11="Masculin",Pays="Norsca"),"son",IF(AND('page 1'!M11="Féminin",Pays="Kislev"),"ovna",IF(AND('page 1'!M11="Masculin",Pays="Kislev"),"sky","")))))</f>
        <v>Voragor</v>
      </c>
      <c r="CR369" t="s">
        <v>13735</v>
      </c>
      <c r="GF369" t="s">
        <v>8331</v>
      </c>
    </row>
    <row r="370" spans="22:188" ht="13.2" customHeight="1">
      <c r="V370" s="83" t="str">
        <f t="shared" si="191"/>
        <v/>
      </c>
      <c r="BX370" s="3" t="str">
        <f>IF(Province="Duché de Lyonesse","Petite communauté du Duché de Lyonesse","")</f>
        <v/>
      </c>
      <c r="BY370" t="str">
        <f t="shared" si="179"/>
        <v/>
      </c>
      <c r="BZ370" s="83" t="str">
        <f t="shared" si="173"/>
        <v/>
      </c>
      <c r="CA370" s="83" t="str">
        <f t="shared" si="174"/>
        <v/>
      </c>
      <c r="CB370" s="530" t="str">
        <f t="shared" si="175"/>
        <v/>
      </c>
      <c r="CG370" t="s">
        <v>6386</v>
      </c>
      <c r="CM370" t="s">
        <v>10473</v>
      </c>
      <c r="CO370" s="83" t="str">
        <f>CONCATENATE("Wilkin",IF(AND('page 1'!M11="Féminin",Pays="Norsca"),"dottir",IF(AND('page 1'!M11="Masculin",Pays="Norsca"),"son",IF(AND('page 1'!M11="Féminin",Pays="Kislev"),"ovna",IF(AND('page 1'!M11="Masculin",Pays="Kislev"),"sky","")))))</f>
        <v>Wilkin</v>
      </c>
      <c r="CR370" t="s">
        <v>13736</v>
      </c>
      <c r="GF370" t="s">
        <v>8337</v>
      </c>
    </row>
    <row r="371" spans="22:188" ht="13.2" customHeight="1">
      <c r="V371" s="83" t="str">
        <f t="shared" si="191"/>
        <v/>
      </c>
      <c r="BX371" s="3" t="str">
        <f>IF(Province="Duché de Monfort","Petite communauté du Duché de Monfort","")</f>
        <v/>
      </c>
      <c r="BY371" t="str">
        <f t="shared" si="179"/>
        <v/>
      </c>
      <c r="BZ371" s="83" t="str">
        <f t="shared" si="173"/>
        <v/>
      </c>
      <c r="CA371" s="83" t="str">
        <f t="shared" si="174"/>
        <v/>
      </c>
      <c r="CB371" s="530" t="str">
        <f t="shared" si="175"/>
        <v/>
      </c>
      <c r="CG371" t="s">
        <v>6387</v>
      </c>
      <c r="CM371" t="s">
        <v>6327</v>
      </c>
      <c r="CO371" t="s">
        <v>11093</v>
      </c>
      <c r="CR371" t="s">
        <v>13737</v>
      </c>
      <c r="GF371" t="s">
        <v>8334</v>
      </c>
    </row>
    <row r="372" spans="22:188" ht="13.2" customHeight="1">
      <c r="V372" s="83" t="str">
        <f t="shared" si="191"/>
        <v/>
      </c>
      <c r="BX372" s="3" t="str">
        <f>IF(Province="Duché de Moussillon","Petite communauté du Duché de Moussillon","")</f>
        <v/>
      </c>
      <c r="BY372" t="str">
        <f t="shared" si="179"/>
        <v/>
      </c>
      <c r="BZ372" s="83" t="str">
        <f t="shared" si="173"/>
        <v/>
      </c>
      <c r="CA372" s="83" t="str">
        <f t="shared" si="174"/>
        <v/>
      </c>
      <c r="CB372" s="530" t="str">
        <f t="shared" si="175"/>
        <v/>
      </c>
      <c r="CG372" t="s">
        <v>6388</v>
      </c>
      <c r="CM372" s="3" t="s">
        <v>6676</v>
      </c>
      <c r="CO372" s="3" t="str">
        <f>CONCATENATE("Yager",IF(AND('page 1'!M11="Féminin",Pays="Norsca"),"dottir",IF(AND('page 1'!M11="Masculin",Pays="Norsca"),"son",IF(AND('page 1'!M11="Féminin",Pays="Kislev"),"ovna",IF(AND('page 1'!M11="Masculin",Pays="Kislev"),"sky","")))))</f>
        <v>Yager</v>
      </c>
      <c r="CR372" t="s">
        <v>13738</v>
      </c>
      <c r="GF372" t="s">
        <v>7846</v>
      </c>
    </row>
    <row r="373" spans="22:188" ht="13.2" customHeight="1">
      <c r="V373" s="83" t="str">
        <f t="shared" si="191"/>
        <v/>
      </c>
      <c r="BX373" s="3" t="str">
        <f>IF(Province="Duché de Parravon","Petite communauté du Duché de Parravon","")</f>
        <v/>
      </c>
      <c r="BY373" t="str">
        <f t="shared" si="179"/>
        <v/>
      </c>
      <c r="BZ373" s="83" t="str">
        <f t="shared" si="173"/>
        <v/>
      </c>
      <c r="CA373" s="83" t="str">
        <f t="shared" si="174"/>
        <v/>
      </c>
      <c r="CB373" s="530" t="str">
        <f t="shared" si="175"/>
        <v/>
      </c>
      <c r="CG373" s="83" t="s">
        <v>10166</v>
      </c>
      <c r="CM373" s="3" t="s">
        <v>6677</v>
      </c>
      <c r="CO373" t="str">
        <f>CONCATENATE("Zakanlik",IF(AND('page 1'!M11="Féminin",Pays="Norsca"),"dottir",IF(AND('page 1'!M11="Masculin",Pays="Norsca"),"son",IF(AND('page 1'!M11="Féminin",Pays="Kislev"),"ovna",IF(AND('page 1'!M11="Masculin",Pays="Kislev"),"sky","")))))</f>
        <v>Zakanlik</v>
      </c>
      <c r="CR373" t="s">
        <v>13739</v>
      </c>
      <c r="GF373" t="s">
        <v>8325</v>
      </c>
    </row>
    <row r="374" spans="22:188" ht="13.2" customHeight="1">
      <c r="BX374" s="3" t="str">
        <f>IF(Province="Duché de Quenelles","Petite communauté du Duché de Quenelles","")</f>
        <v/>
      </c>
      <c r="BY374" t="str">
        <f t="shared" si="179"/>
        <v/>
      </c>
      <c r="BZ374" s="83" t="str">
        <f t="shared" si="173"/>
        <v/>
      </c>
      <c r="CA374" s="83" t="str">
        <f t="shared" si="174"/>
        <v/>
      </c>
      <c r="CB374" s="530" t="str">
        <f t="shared" si="175"/>
        <v/>
      </c>
      <c r="CG374" s="83" t="s">
        <v>10165</v>
      </c>
      <c r="CM374" t="s">
        <v>10474</v>
      </c>
      <c r="CO374" t="str">
        <f>CONCATENATE("Zakko",IF(AND('page 1'!M11="Féminin",Pays="Norsca"),"dottir",IF(AND('page 1'!M11="Masculin",Pays="Norsca"),"son",IF(AND('page 1'!M11="Féminin",Pays="Kislev"),"ovna",IF(AND('page 1'!M11="Masculin",Pays="Kislev"),"sky","")))))</f>
        <v>Zakko</v>
      </c>
      <c r="CR374" t="s">
        <v>13740</v>
      </c>
      <c r="GF374" t="s">
        <v>8338</v>
      </c>
    </row>
    <row r="375" spans="22:188" ht="13.2" customHeight="1">
      <c r="BX375" s="3" t="str">
        <f>IF(Province="Duché d'Aquitanie","Village agricole du Duché d'Aquitanie","")</f>
        <v/>
      </c>
      <c r="BY375" t="str">
        <f t="shared" si="179"/>
        <v/>
      </c>
      <c r="BZ375" s="83" t="str">
        <f t="shared" si="173"/>
        <v/>
      </c>
      <c r="CA375" s="83" t="str">
        <f t="shared" si="174"/>
        <v/>
      </c>
      <c r="CB375" s="530" t="str">
        <f t="shared" si="175"/>
        <v/>
      </c>
      <c r="CG375" t="s">
        <v>6389</v>
      </c>
      <c r="CM375" t="s">
        <v>10475</v>
      </c>
      <c r="CO375" t="str">
        <f>CONCATENATE("Zarkris",IF(AND('page 1'!M11="Féminin",Pays="Norsca"),"dottir",IF(AND('page 1'!M11="Masculin",Pays="Norsca"),"son",IF(AND('page 1'!M11="Féminin",Pays="Kislev"),"ovna",IF(AND('page 1'!M11="Masculin",Pays="Kislev"),"sky","")))))</f>
        <v>Zarkris</v>
      </c>
      <c r="CR375" t="s">
        <v>13741</v>
      </c>
      <c r="GF375" t="s">
        <v>8326</v>
      </c>
    </row>
    <row r="376" spans="22:188" ht="13.2" customHeight="1">
      <c r="BX376" s="3" t="str">
        <f>IF(Province="Duché d'Artenois","Village agricole du Duché d'Artenois","")</f>
        <v/>
      </c>
      <c r="BY376" t="str">
        <f t="shared" si="179"/>
        <v/>
      </c>
      <c r="BZ376" s="83" t="str">
        <f t="shared" si="173"/>
        <v/>
      </c>
      <c r="CA376" s="83" t="str">
        <f t="shared" si="174"/>
        <v/>
      </c>
      <c r="CB376" s="530" t="str">
        <f t="shared" si="175"/>
        <v/>
      </c>
      <c r="CG376" t="s">
        <v>1092</v>
      </c>
      <c r="CM376" t="s">
        <v>10476</v>
      </c>
      <c r="CO376" t="str">
        <f>CONCATENATE("Zarkris",IF(AND('page 1'!M11="Féminin",Pays="Norsca"),"dottir",IF(AND('page 1'!M11="Masculin",Pays="Norsca"),"son",IF(AND('page 1'!M11="Féminin",Pays="Kislev"),"ovna",IF(AND('page 1'!M11="Masculin",Pays="Kislev"),"sky","")))))</f>
        <v>Zarkris</v>
      </c>
      <c r="CR376" t="s">
        <v>13742</v>
      </c>
      <c r="GF376" t="s">
        <v>8345</v>
      </c>
    </row>
    <row r="377" spans="22:188" ht="13.2" customHeight="1">
      <c r="BX377" s="3" t="str">
        <f>IF(Province="Duché de Bastogne","Village agricole du Duché de Bastogne","")</f>
        <v/>
      </c>
      <c r="BY377" t="str">
        <f t="shared" si="179"/>
        <v/>
      </c>
      <c r="BZ377" s="83" t="str">
        <f t="shared" si="173"/>
        <v/>
      </c>
      <c r="CA377" s="83" t="str">
        <f t="shared" si="174"/>
        <v/>
      </c>
      <c r="CB377" s="530" t="str">
        <f t="shared" si="175"/>
        <v/>
      </c>
      <c r="CG377" t="s">
        <v>6390</v>
      </c>
      <c r="CM377" t="s">
        <v>10477</v>
      </c>
      <c r="CO377" t="s">
        <v>11094</v>
      </c>
      <c r="CR377" t="s">
        <v>13743</v>
      </c>
      <c r="GF377" t="s">
        <v>8332</v>
      </c>
    </row>
    <row r="378" spans="22:188" ht="13.2" customHeight="1">
      <c r="BX378" s="3" t="str">
        <f>IF(Province="Duché de Bordeleaux","Village agricole du Duché de Bordeleaux","")</f>
        <v/>
      </c>
      <c r="BY378" t="str">
        <f t="shared" si="179"/>
        <v/>
      </c>
      <c r="BZ378" s="83" t="str">
        <f t="shared" si="173"/>
        <v/>
      </c>
      <c r="CA378" s="83" t="str">
        <f t="shared" si="174"/>
        <v/>
      </c>
      <c r="CB378" s="530" t="str">
        <f t="shared" si="175"/>
        <v/>
      </c>
      <c r="CG378" t="s">
        <v>6391</v>
      </c>
      <c r="CM378" s="3" t="s">
        <v>6678</v>
      </c>
      <c r="CO378" t="s">
        <v>11096</v>
      </c>
      <c r="CR378" t="s">
        <v>13744</v>
      </c>
      <c r="GF378" t="s">
        <v>8327</v>
      </c>
    </row>
    <row r="379" spans="22:188" ht="13.2" customHeight="1">
      <c r="BX379" s="3" t="str">
        <f>IF(Province="Duché de Brionne","Village agricole du Duché de Brionne","")</f>
        <v/>
      </c>
      <c r="BY379" t="str">
        <f t="shared" si="179"/>
        <v/>
      </c>
      <c r="BZ379" s="83" t="str">
        <f t="shared" si="173"/>
        <v/>
      </c>
      <c r="CA379" s="83" t="str">
        <f t="shared" si="174"/>
        <v/>
      </c>
      <c r="CB379" s="530" t="str">
        <f t="shared" si="175"/>
        <v/>
      </c>
      <c r="CG379" t="s">
        <v>6392</v>
      </c>
      <c r="CM379" t="s">
        <v>10479</v>
      </c>
      <c r="CO379" t="s">
        <v>11095</v>
      </c>
      <c r="CR379" t="s">
        <v>13745</v>
      </c>
      <c r="GF379" t="s">
        <v>7847</v>
      </c>
    </row>
    <row r="380" spans="22:188" ht="13.2" customHeight="1">
      <c r="BX380" s="3" t="str">
        <f>IF(Province="Duché de Couronne","Village agricole du Duché de Couronne","")</f>
        <v/>
      </c>
      <c r="BY380" t="str">
        <f t="shared" si="179"/>
        <v/>
      </c>
      <c r="BZ380" s="83" t="str">
        <f t="shared" si="173"/>
        <v/>
      </c>
      <c r="CA380" s="83" t="str">
        <f t="shared" si="174"/>
        <v/>
      </c>
      <c r="CB380" s="530" t="str">
        <f t="shared" si="175"/>
        <v/>
      </c>
      <c r="CG380" t="s">
        <v>6394</v>
      </c>
      <c r="CM380" t="s">
        <v>10478</v>
      </c>
      <c r="CO380" t="str">
        <f>CONCATENATE("Zons",IF(AND('page 1'!M12="Féminin",Pays="Norsca"),"dottir",IF(AND('page 1'!M12="Masculin",Pays="Norsca"),"son",IF(AND('page 1'!M12="Féminin",Pays="Kislev"),"ovna",IF(AND('page 1'!M12="Masculin",Pays="Kislev"),"sky","")))))</f>
        <v>Zons</v>
      </c>
      <c r="CR380" t="s">
        <v>13746</v>
      </c>
      <c r="GF380" t="s">
        <v>7849</v>
      </c>
    </row>
    <row r="381" spans="22:188" ht="13.2" customHeight="1">
      <c r="BX381" s="3" t="str">
        <f>IF(Province="Duché de Gasconnie","Village agricole du Duché de Gasconnie","")</f>
        <v/>
      </c>
      <c r="BY381" t="str">
        <f t="shared" si="179"/>
        <v/>
      </c>
      <c r="BZ381" s="83" t="str">
        <f t="shared" si="173"/>
        <v/>
      </c>
      <c r="CA381" s="83" t="str">
        <f t="shared" si="174"/>
        <v/>
      </c>
      <c r="CB381" s="530" t="str">
        <f t="shared" si="175"/>
        <v/>
      </c>
      <c r="CG381" t="s">
        <v>6393</v>
      </c>
      <c r="CM381" t="s">
        <v>10480</v>
      </c>
      <c r="CR381" t="s">
        <v>13747</v>
      </c>
      <c r="GF381" t="s">
        <v>7848</v>
      </c>
    </row>
    <row r="382" spans="22:188" ht="13.2" customHeight="1">
      <c r="BX382" s="3" t="str">
        <f>IF(Province="Duché de Gisoreux","Village agricole du Duché de Gisoreux","")</f>
        <v/>
      </c>
      <c r="BY382" t="str">
        <f t="shared" si="179"/>
        <v/>
      </c>
      <c r="BZ382" s="83" t="str">
        <f t="shared" si="173"/>
        <v/>
      </c>
      <c r="CA382" s="83" t="str">
        <f t="shared" si="174"/>
        <v/>
      </c>
      <c r="CB382" s="530" t="str">
        <f t="shared" si="175"/>
        <v/>
      </c>
      <c r="CG382" t="s">
        <v>6395</v>
      </c>
      <c r="CM382" t="s">
        <v>10481</v>
      </c>
      <c r="CR382" t="s">
        <v>13748</v>
      </c>
      <c r="GF382" t="s">
        <v>8339</v>
      </c>
    </row>
    <row r="383" spans="22:188" ht="13.2" customHeight="1">
      <c r="BX383" s="3" t="str">
        <f>IF(Province="Duché de L'Anguille","Village agricole du Duché de L'Anguille","")</f>
        <v/>
      </c>
      <c r="BY383" t="str">
        <f t="shared" si="179"/>
        <v/>
      </c>
      <c r="BZ383" s="83" t="str">
        <f t="shared" si="173"/>
        <v/>
      </c>
      <c r="CA383" s="83" t="str">
        <f t="shared" si="174"/>
        <v/>
      </c>
      <c r="CB383" s="530" t="str">
        <f t="shared" si="175"/>
        <v/>
      </c>
      <c r="CG383" t="s">
        <v>6396</v>
      </c>
      <c r="CM383" t="s">
        <v>10482</v>
      </c>
      <c r="CR383" t="s">
        <v>13749</v>
      </c>
      <c r="GF383" t="s">
        <v>8346</v>
      </c>
    </row>
    <row r="384" spans="22:188" ht="13.2" customHeight="1">
      <c r="BX384" s="3" t="str">
        <f>IF(Province="Duché de Lyonesse","Village agricole du Duché de Lyonesse","")</f>
        <v/>
      </c>
      <c r="BY384" t="str">
        <f t="shared" si="179"/>
        <v/>
      </c>
      <c r="BZ384" s="83" t="str">
        <f t="shared" si="173"/>
        <v/>
      </c>
      <c r="CA384" s="83" t="str">
        <f t="shared" si="174"/>
        <v/>
      </c>
      <c r="CB384" s="530" t="str">
        <f t="shared" si="175"/>
        <v/>
      </c>
      <c r="CG384" t="s">
        <v>6397</v>
      </c>
      <c r="CM384" t="s">
        <v>10483</v>
      </c>
      <c r="CR384" t="s">
        <v>13750</v>
      </c>
      <c r="GF384" t="s">
        <v>8328</v>
      </c>
    </row>
    <row r="385" spans="76:188" ht="13.2" customHeight="1">
      <c r="BX385" s="3" t="str">
        <f>IF(Province="Duché de Monfort","Village agricole du Duché de Monfort","")</f>
        <v/>
      </c>
      <c r="BY385" t="str">
        <f t="shared" si="179"/>
        <v/>
      </c>
      <c r="BZ385" s="83" t="str">
        <f t="shared" si="173"/>
        <v/>
      </c>
      <c r="CA385" s="83" t="str">
        <f t="shared" si="174"/>
        <v/>
      </c>
      <c r="CB385" s="530" t="str">
        <f t="shared" si="175"/>
        <v/>
      </c>
      <c r="CG385" s="3" t="s">
        <v>901</v>
      </c>
      <c r="CM385" s="3" t="s">
        <v>6679</v>
      </c>
      <c r="CR385" t="s">
        <v>13751</v>
      </c>
      <c r="GF385" t="s">
        <v>8340</v>
      </c>
    </row>
    <row r="386" spans="76:188" ht="13.2" customHeight="1">
      <c r="BX386" s="3" t="str">
        <f>IF(Province="Duché de Moussillon","Village agricole du Duché de Moussillon","")</f>
        <v/>
      </c>
      <c r="BY386" t="str">
        <f t="shared" si="179"/>
        <v/>
      </c>
      <c r="BZ386" s="83" t="str">
        <f t="shared" ref="BZ386:BZ449" si="193">IFERROR(SMALL(BY:BY,ROW()-1),"")</f>
        <v/>
      </c>
      <c r="CA386" s="83" t="str">
        <f t="shared" ref="CA386:CA449" si="194">IFERROR(INDEX(BX:BX,BZ386),"")</f>
        <v/>
      </c>
      <c r="CB386" s="530" t="str">
        <f t="shared" ref="CB386:CB449" si="195">INDEX(CA:CA,ROW())</f>
        <v/>
      </c>
      <c r="CG386" s="3" t="s">
        <v>3151</v>
      </c>
      <c r="CM386" t="s">
        <v>10484</v>
      </c>
      <c r="CR386" t="s">
        <v>13752</v>
      </c>
      <c r="GF386" t="s">
        <v>7850</v>
      </c>
    </row>
    <row r="387" spans="76:188" ht="13.2" customHeight="1">
      <c r="BX387" s="3" t="str">
        <f>IF(Province="Duché de Parravon","Village agricole du Duché de Parravon","")</f>
        <v/>
      </c>
      <c r="BY387" t="str">
        <f t="shared" ref="BY387:BY450" si="196">IF(BX387="","",ROW())</f>
        <v/>
      </c>
      <c r="BZ387" s="83" t="str">
        <f t="shared" si="193"/>
        <v/>
      </c>
      <c r="CA387" s="83" t="str">
        <f t="shared" si="194"/>
        <v/>
      </c>
      <c r="CB387" s="530" t="str">
        <f t="shared" si="195"/>
        <v/>
      </c>
      <c r="CG387" t="s">
        <v>6398</v>
      </c>
      <c r="CM387" t="s">
        <v>10486</v>
      </c>
      <c r="CR387" t="s">
        <v>13753</v>
      </c>
      <c r="GF387" t="s">
        <v>7851</v>
      </c>
    </row>
    <row r="388" spans="76:188" ht="13.2" customHeight="1">
      <c r="BX388" s="3" t="str">
        <f>IF(Province="Duché de Quenelles","Village agricole du Duché de Quenelles","")</f>
        <v/>
      </c>
      <c r="BY388" t="str">
        <f t="shared" si="196"/>
        <v/>
      </c>
      <c r="BZ388" s="83" t="str">
        <f t="shared" si="193"/>
        <v/>
      </c>
      <c r="CA388" s="83" t="str">
        <f t="shared" si="194"/>
        <v/>
      </c>
      <c r="CB388" s="530" t="str">
        <f t="shared" si="195"/>
        <v/>
      </c>
      <c r="CG388" t="s">
        <v>6399</v>
      </c>
      <c r="CM388" s="3" t="s">
        <v>6680</v>
      </c>
      <c r="CR388" t="s">
        <v>13754</v>
      </c>
      <c r="GF388" t="s">
        <v>7852</v>
      </c>
    </row>
    <row r="389" spans="76:188" ht="13.2" customHeight="1">
      <c r="BX389" s="3" t="str">
        <f>IF(Province="Duché d'Aquitanie","Ville fortifiée du Duché d'Aquitanie","")</f>
        <v/>
      </c>
      <c r="BY389" t="str">
        <f t="shared" si="196"/>
        <v/>
      </c>
      <c r="BZ389" s="83" t="str">
        <f t="shared" si="193"/>
        <v/>
      </c>
      <c r="CA389" s="83" t="str">
        <f t="shared" si="194"/>
        <v/>
      </c>
      <c r="CB389" s="530" t="str">
        <f t="shared" si="195"/>
        <v/>
      </c>
      <c r="CG389" t="s">
        <v>6400</v>
      </c>
      <c r="CM389" t="s">
        <v>10485</v>
      </c>
      <c r="CR389" t="s">
        <v>13755</v>
      </c>
      <c r="GF389" t="s">
        <v>7853</v>
      </c>
    </row>
    <row r="390" spans="76:188" ht="13.2" customHeight="1">
      <c r="BX390" s="3" t="str">
        <f>IF(Province="Duché d'Artenois","Ville fortifiée du Duché d'Artenois","")</f>
        <v/>
      </c>
      <c r="BY390" t="str">
        <f t="shared" si="196"/>
        <v/>
      </c>
      <c r="BZ390" s="83" t="str">
        <f t="shared" si="193"/>
        <v/>
      </c>
      <c r="CA390" s="83" t="str">
        <f t="shared" si="194"/>
        <v/>
      </c>
      <c r="CB390" s="530" t="str">
        <f t="shared" si="195"/>
        <v/>
      </c>
      <c r="CG390" t="s">
        <v>6401</v>
      </c>
      <c r="CM390" t="s">
        <v>10487</v>
      </c>
      <c r="CR390" t="s">
        <v>13756</v>
      </c>
      <c r="GF390" t="s">
        <v>8341</v>
      </c>
    </row>
    <row r="391" spans="76:188" ht="13.2" customHeight="1">
      <c r="BX391" s="3" t="str">
        <f>IF(Province="Duché de Bastogne","Ville fortifiée du Duché de Bastogne","")</f>
        <v/>
      </c>
      <c r="BY391" t="str">
        <f t="shared" si="196"/>
        <v/>
      </c>
      <c r="BZ391" s="83" t="str">
        <f t="shared" si="193"/>
        <v/>
      </c>
      <c r="CA391" s="83" t="str">
        <f t="shared" si="194"/>
        <v/>
      </c>
      <c r="CB391" s="530" t="str">
        <f t="shared" si="195"/>
        <v/>
      </c>
      <c r="CG391" s="83" t="s">
        <v>15154</v>
      </c>
      <c r="CM391" t="s">
        <v>10488</v>
      </c>
      <c r="CR391" t="s">
        <v>13757</v>
      </c>
      <c r="GF391" t="s">
        <v>7854</v>
      </c>
    </row>
    <row r="392" spans="76:188" ht="13.2" customHeight="1">
      <c r="BX392" s="3" t="str">
        <f>IF(Province="Duché de Bordeleaux","Ville fortifiée  du Duché de Bordeleaux","")</f>
        <v/>
      </c>
      <c r="BY392" t="str">
        <f t="shared" si="196"/>
        <v/>
      </c>
      <c r="BZ392" s="83" t="str">
        <f t="shared" si="193"/>
        <v/>
      </c>
      <c r="CA392" s="83" t="str">
        <f t="shared" si="194"/>
        <v/>
      </c>
      <c r="CB392" s="530" t="str">
        <f t="shared" si="195"/>
        <v/>
      </c>
      <c r="CG392" t="s">
        <v>6402</v>
      </c>
      <c r="CM392" t="s">
        <v>10489</v>
      </c>
      <c r="CR392" t="s">
        <v>13758</v>
      </c>
      <c r="GF392" t="s">
        <v>7855</v>
      </c>
    </row>
    <row r="393" spans="76:188" ht="13.2" customHeight="1">
      <c r="BX393" s="3" t="str">
        <f>IF(Province="Duché de Brionne","Ville fortifiée du Duché de Brionne","")</f>
        <v/>
      </c>
      <c r="BY393" t="str">
        <f t="shared" si="196"/>
        <v/>
      </c>
      <c r="BZ393" s="83" t="str">
        <f t="shared" si="193"/>
        <v/>
      </c>
      <c r="CA393" s="83" t="str">
        <f t="shared" si="194"/>
        <v/>
      </c>
      <c r="CB393" s="530" t="str">
        <f t="shared" si="195"/>
        <v/>
      </c>
      <c r="CG393" t="s">
        <v>6403</v>
      </c>
      <c r="CM393" s="3" t="s">
        <v>6681</v>
      </c>
      <c r="CR393" t="s">
        <v>13759</v>
      </c>
      <c r="GF393" t="s">
        <v>7856</v>
      </c>
    </row>
    <row r="394" spans="76:188" ht="13.2" customHeight="1">
      <c r="BX394" s="3" t="str">
        <f>IF(Province="Duché de Couronne","Ville fortifiée du Duché de Couronne","")</f>
        <v/>
      </c>
      <c r="BY394" t="str">
        <f t="shared" si="196"/>
        <v/>
      </c>
      <c r="BZ394" s="83" t="str">
        <f t="shared" si="193"/>
        <v/>
      </c>
      <c r="CA394" s="83" t="str">
        <f t="shared" si="194"/>
        <v/>
      </c>
      <c r="CB394" s="530" t="str">
        <f t="shared" si="195"/>
        <v/>
      </c>
      <c r="CG394" t="s">
        <v>6404</v>
      </c>
      <c r="CM394" s="3" t="s">
        <v>6682</v>
      </c>
      <c r="CR394" t="s">
        <v>13760</v>
      </c>
      <c r="GF394" t="s">
        <v>8329</v>
      </c>
    </row>
    <row r="395" spans="76:188" ht="13.2" customHeight="1">
      <c r="BX395" s="3" t="str">
        <f>IF(Province="Duché de Gasconnie","Ville fortifiée du Duché de Gasconnie","")</f>
        <v/>
      </c>
      <c r="BY395" t="str">
        <f t="shared" si="196"/>
        <v/>
      </c>
      <c r="BZ395" s="83" t="str">
        <f t="shared" si="193"/>
        <v/>
      </c>
      <c r="CA395" s="83" t="str">
        <f t="shared" si="194"/>
        <v/>
      </c>
      <c r="CB395" s="530" t="str">
        <f t="shared" si="195"/>
        <v/>
      </c>
      <c r="CG395" t="s">
        <v>6405</v>
      </c>
      <c r="CM395" s="83" t="s">
        <v>15157</v>
      </c>
      <c r="CR395" t="s">
        <v>13761</v>
      </c>
      <c r="GF395" t="s">
        <v>8342</v>
      </c>
    </row>
    <row r="396" spans="76:188" ht="13.2" customHeight="1">
      <c r="BX396" s="3" t="str">
        <f>IF(Province="Duché de Gisoreux","Ville fortifiée du Duché de Gisoreux","")</f>
        <v/>
      </c>
      <c r="BY396" t="str">
        <f t="shared" si="196"/>
        <v/>
      </c>
      <c r="BZ396" s="83" t="str">
        <f t="shared" si="193"/>
        <v/>
      </c>
      <c r="CA396" s="83" t="str">
        <f t="shared" si="194"/>
        <v/>
      </c>
      <c r="CB396" s="530" t="str">
        <f t="shared" si="195"/>
        <v/>
      </c>
      <c r="CG396" s="83" t="s">
        <v>11258</v>
      </c>
      <c r="CM396" s="3" t="s">
        <v>6683</v>
      </c>
      <c r="CR396" t="s">
        <v>13762</v>
      </c>
      <c r="GF396" t="s">
        <v>8347</v>
      </c>
    </row>
    <row r="397" spans="76:188" ht="13.2" customHeight="1">
      <c r="BX397" s="3" t="str">
        <f>IF(Province="Duché de L'Anguille","Ville fortifiée du Duché de L'Anguille","")</f>
        <v/>
      </c>
      <c r="BY397" t="str">
        <f t="shared" si="196"/>
        <v/>
      </c>
      <c r="BZ397" s="83" t="str">
        <f t="shared" si="193"/>
        <v/>
      </c>
      <c r="CA397" s="83" t="str">
        <f t="shared" si="194"/>
        <v/>
      </c>
      <c r="CB397" s="530" t="str">
        <f t="shared" si="195"/>
        <v/>
      </c>
      <c r="CG397" t="s">
        <v>6406</v>
      </c>
      <c r="CM397" s="83" t="s">
        <v>15094</v>
      </c>
      <c r="CR397" t="s">
        <v>13763</v>
      </c>
      <c r="GF397" t="s">
        <v>8330</v>
      </c>
    </row>
    <row r="398" spans="76:188" ht="13.2" customHeight="1">
      <c r="BX398" s="3" t="str">
        <f>IF(Province="Duché de Lyonesse","Ville fortifiée du Duché de Lyonesse","")</f>
        <v/>
      </c>
      <c r="BY398" t="str">
        <f t="shared" si="196"/>
        <v/>
      </c>
      <c r="BZ398" s="83" t="str">
        <f t="shared" si="193"/>
        <v/>
      </c>
      <c r="CA398" s="83" t="str">
        <f t="shared" si="194"/>
        <v/>
      </c>
      <c r="CB398" s="530" t="str">
        <f t="shared" si="195"/>
        <v/>
      </c>
      <c r="CG398" t="s">
        <v>902</v>
      </c>
      <c r="CM398" s="3" t="s">
        <v>6684</v>
      </c>
      <c r="CR398" t="s">
        <v>13764</v>
      </c>
      <c r="GF398" t="s">
        <v>8333</v>
      </c>
    </row>
    <row r="399" spans="76:188" ht="13.2" customHeight="1">
      <c r="BX399" s="3" t="str">
        <f>IF(Province="Duché de Monfort","Ville fortifiée du Duché de Monfort","")</f>
        <v/>
      </c>
      <c r="BY399" t="str">
        <f t="shared" si="196"/>
        <v/>
      </c>
      <c r="BZ399" s="83" t="str">
        <f t="shared" si="193"/>
        <v/>
      </c>
      <c r="CA399" s="83" t="str">
        <f t="shared" si="194"/>
        <v/>
      </c>
      <c r="CB399" s="530" t="str">
        <f t="shared" si="195"/>
        <v/>
      </c>
      <c r="CG399" t="s">
        <v>6408</v>
      </c>
      <c r="CM399" t="s">
        <v>10490</v>
      </c>
      <c r="CR399" t="s">
        <v>13765</v>
      </c>
      <c r="GF399" t="s">
        <v>8343</v>
      </c>
    </row>
    <row r="400" spans="76:188" ht="13.2" customHeight="1">
      <c r="BX400" s="3" t="str">
        <f>IF(Province="Duché de Moussillon","Ville fortifiée du Duché de Moussillon","")</f>
        <v/>
      </c>
      <c r="BY400" t="str">
        <f t="shared" si="196"/>
        <v/>
      </c>
      <c r="BZ400" s="83" t="str">
        <f t="shared" si="193"/>
        <v/>
      </c>
      <c r="CA400" s="83" t="str">
        <f t="shared" si="194"/>
        <v/>
      </c>
      <c r="CB400" s="530" t="str">
        <f t="shared" si="195"/>
        <v/>
      </c>
      <c r="CG400" t="s">
        <v>6407</v>
      </c>
      <c r="CM400" s="3" t="s">
        <v>6685</v>
      </c>
      <c r="CR400" t="s">
        <v>13766</v>
      </c>
      <c r="GF400" t="s">
        <v>8357</v>
      </c>
    </row>
    <row r="401" spans="76:188" ht="13.2" customHeight="1">
      <c r="BX401" s="3" t="str">
        <f>IF(Province="Duché de Parravon","Ville fortifiée du Duché de Parravon","")</f>
        <v/>
      </c>
      <c r="BY401" t="str">
        <f t="shared" si="196"/>
        <v/>
      </c>
      <c r="BZ401" s="83" t="str">
        <f t="shared" si="193"/>
        <v/>
      </c>
      <c r="CA401" s="83" t="str">
        <f t="shared" si="194"/>
        <v/>
      </c>
      <c r="CB401" s="530" t="str">
        <f t="shared" si="195"/>
        <v/>
      </c>
      <c r="CG401" s="83" t="s">
        <v>14908</v>
      </c>
      <c r="CM401" t="s">
        <v>10491</v>
      </c>
      <c r="CR401" t="s">
        <v>13767</v>
      </c>
      <c r="GF401" t="s">
        <v>8360</v>
      </c>
    </row>
    <row r="402" spans="76:188" ht="13.2" customHeight="1">
      <c r="BX402" s="3" t="str">
        <f>IF(Province="Duché de Quenelles","Ville fortifiée du Duché de Quenelles","")</f>
        <v/>
      </c>
      <c r="BY402" t="str">
        <f t="shared" si="196"/>
        <v/>
      </c>
      <c r="BZ402" s="83" t="str">
        <f t="shared" si="193"/>
        <v/>
      </c>
      <c r="CA402" s="83" t="str">
        <f t="shared" si="194"/>
        <v/>
      </c>
      <c r="CB402" s="530" t="str">
        <f t="shared" si="195"/>
        <v/>
      </c>
      <c r="CG402" t="s">
        <v>6409</v>
      </c>
      <c r="CM402" t="s">
        <v>10492</v>
      </c>
      <c r="CR402" t="s">
        <v>13768</v>
      </c>
      <c r="GF402" t="s">
        <v>8361</v>
      </c>
    </row>
    <row r="403" spans="76:188" ht="13.2" customHeight="1">
      <c r="BX403" s="3" t="str">
        <f>IF(Province="Duché d'Aquitanie","Ferme (culture) du Duché d'Aquitanie","")</f>
        <v/>
      </c>
      <c r="BY403" t="str">
        <f t="shared" si="196"/>
        <v/>
      </c>
      <c r="BZ403" s="83" t="str">
        <f t="shared" si="193"/>
        <v/>
      </c>
      <c r="CA403" s="83" t="str">
        <f t="shared" si="194"/>
        <v/>
      </c>
      <c r="CB403" s="530" t="str">
        <f t="shared" si="195"/>
        <v/>
      </c>
      <c r="CG403" t="s">
        <v>6410</v>
      </c>
      <c r="CM403" t="s">
        <v>10495</v>
      </c>
      <c r="CR403" t="s">
        <v>13769</v>
      </c>
      <c r="GF403" t="s">
        <v>8362</v>
      </c>
    </row>
    <row r="404" spans="76:188" ht="13.2" customHeight="1">
      <c r="BX404" s="3" t="str">
        <f>IF(Province="Duché d'Artenois","Ferme (culture) du Duché d'Artenois","")</f>
        <v/>
      </c>
      <c r="BY404" t="str">
        <f t="shared" si="196"/>
        <v/>
      </c>
      <c r="BZ404" s="83" t="str">
        <f t="shared" si="193"/>
        <v/>
      </c>
      <c r="CA404" s="83" t="str">
        <f t="shared" si="194"/>
        <v/>
      </c>
      <c r="CB404" s="530" t="str">
        <f t="shared" si="195"/>
        <v/>
      </c>
      <c r="CG404" s="3" t="s">
        <v>3152</v>
      </c>
      <c r="CM404" s="3" t="s">
        <v>6686</v>
      </c>
      <c r="CR404" t="s">
        <v>13770</v>
      </c>
      <c r="GF404" t="s">
        <v>8369</v>
      </c>
    </row>
    <row r="405" spans="76:188" ht="13.2" customHeight="1">
      <c r="BX405" s="3" t="str">
        <f>IF(Province="Duché de Bastogne","Ferme (culture) du Duché de Bastogne","")</f>
        <v/>
      </c>
      <c r="BY405" t="str">
        <f t="shared" si="196"/>
        <v/>
      </c>
      <c r="BZ405" s="83" t="str">
        <f t="shared" si="193"/>
        <v/>
      </c>
      <c r="CA405" s="83" t="str">
        <f t="shared" si="194"/>
        <v/>
      </c>
      <c r="CB405" s="530" t="str">
        <f t="shared" si="195"/>
        <v/>
      </c>
      <c r="CM405" t="s">
        <v>10496</v>
      </c>
      <c r="CR405" t="s">
        <v>13771</v>
      </c>
      <c r="GF405" t="s">
        <v>8348</v>
      </c>
    </row>
    <row r="406" spans="76:188" ht="13.2" customHeight="1">
      <c r="BX406" s="3" t="str">
        <f>IF(Province="Duché de Bordeleaux","Ferme (culture) du Duché de Bordeleaux","")</f>
        <v/>
      </c>
      <c r="BY406" t="str">
        <f t="shared" si="196"/>
        <v/>
      </c>
      <c r="BZ406" s="83" t="str">
        <f t="shared" si="193"/>
        <v/>
      </c>
      <c r="CA406" s="83" t="str">
        <f t="shared" si="194"/>
        <v/>
      </c>
      <c r="CB406" s="530" t="str">
        <f t="shared" si="195"/>
        <v/>
      </c>
      <c r="CM406" t="s">
        <v>10497</v>
      </c>
      <c r="CR406" t="s">
        <v>13772</v>
      </c>
      <c r="GF406" t="s">
        <v>8363</v>
      </c>
    </row>
    <row r="407" spans="76:188" ht="13.2" customHeight="1">
      <c r="BX407" s="3" t="str">
        <f>IF(Province="Duché de Brionne","Ferme (culture) du Duché de Brionne","")</f>
        <v/>
      </c>
      <c r="BY407" t="str">
        <f t="shared" si="196"/>
        <v/>
      </c>
      <c r="BZ407" s="83" t="str">
        <f t="shared" si="193"/>
        <v/>
      </c>
      <c r="CA407" s="83" t="str">
        <f t="shared" si="194"/>
        <v/>
      </c>
      <c r="CB407" s="530" t="str">
        <f t="shared" si="195"/>
        <v/>
      </c>
      <c r="CM407" t="s">
        <v>10498</v>
      </c>
      <c r="CR407" t="s">
        <v>13773</v>
      </c>
      <c r="GF407" t="s">
        <v>8370</v>
      </c>
    </row>
    <row r="408" spans="76:188" ht="13.2" customHeight="1">
      <c r="BX408" s="3" t="str">
        <f>IF(Province="Duché de Couronne","Ferme (culture) du Duché de Couronne","")</f>
        <v/>
      </c>
      <c r="BY408" t="str">
        <f t="shared" si="196"/>
        <v/>
      </c>
      <c r="BZ408" s="83" t="str">
        <f t="shared" si="193"/>
        <v/>
      </c>
      <c r="CA408" s="83" t="str">
        <f t="shared" si="194"/>
        <v/>
      </c>
      <c r="CB408" s="530" t="str">
        <f t="shared" si="195"/>
        <v/>
      </c>
      <c r="CM408" s="83" t="s">
        <v>14951</v>
      </c>
      <c r="CR408" t="s">
        <v>13774</v>
      </c>
      <c r="GF408" t="s">
        <v>8349</v>
      </c>
    </row>
    <row r="409" spans="76:188" ht="13.2" customHeight="1">
      <c r="BX409" s="3" t="str">
        <f>IF(Province="Duché de Gasconnie","Ferme (culture) du Duché de Gasconnie","")</f>
        <v/>
      </c>
      <c r="BY409" t="str">
        <f t="shared" si="196"/>
        <v/>
      </c>
      <c r="BZ409" s="83" t="str">
        <f t="shared" si="193"/>
        <v/>
      </c>
      <c r="CA409" s="83" t="str">
        <f t="shared" si="194"/>
        <v/>
      </c>
      <c r="CB409" s="530" t="str">
        <f t="shared" si="195"/>
        <v/>
      </c>
      <c r="CM409" t="s">
        <v>10499</v>
      </c>
      <c r="CR409" t="s">
        <v>13775</v>
      </c>
      <c r="GF409" t="s">
        <v>8350</v>
      </c>
    </row>
    <row r="410" spans="76:188" ht="13.2" customHeight="1">
      <c r="BX410" s="3" t="str">
        <f>IF(Province="Duché de Gisoreux","Ferme (culture) du Duché de Gisoreux","")</f>
        <v/>
      </c>
      <c r="BY410" t="str">
        <f t="shared" si="196"/>
        <v/>
      </c>
      <c r="BZ410" s="83" t="str">
        <f t="shared" si="193"/>
        <v/>
      </c>
      <c r="CA410" s="83" t="str">
        <f t="shared" si="194"/>
        <v/>
      </c>
      <c r="CB410" s="530" t="str">
        <f t="shared" si="195"/>
        <v/>
      </c>
      <c r="CM410" t="s">
        <v>10500</v>
      </c>
      <c r="CR410" t="s">
        <v>13776</v>
      </c>
      <c r="GF410" t="s">
        <v>8351</v>
      </c>
    </row>
    <row r="411" spans="76:188" ht="13.2" customHeight="1">
      <c r="BX411" s="3" t="str">
        <f>IF(Province="Duché de L'Anguille","Ferme (culture) du Duché de L'Anguille","")</f>
        <v/>
      </c>
      <c r="BY411" t="str">
        <f t="shared" si="196"/>
        <v/>
      </c>
      <c r="BZ411" s="83" t="str">
        <f t="shared" si="193"/>
        <v/>
      </c>
      <c r="CA411" s="83" t="str">
        <f t="shared" si="194"/>
        <v/>
      </c>
      <c r="CB411" s="530" t="str">
        <f t="shared" si="195"/>
        <v/>
      </c>
      <c r="CM411" s="83" t="s">
        <v>14944</v>
      </c>
      <c r="CR411" t="s">
        <v>13777</v>
      </c>
      <c r="GF411" t="s">
        <v>7858</v>
      </c>
    </row>
    <row r="412" spans="76:188" ht="13.2" customHeight="1">
      <c r="BX412" s="3" t="str">
        <f>IF(Province="Duché de Lyonesse","Ferme (culture) du Duché de Lyonesse","")</f>
        <v/>
      </c>
      <c r="BY412" t="str">
        <f t="shared" si="196"/>
        <v/>
      </c>
      <c r="BZ412" s="83" t="str">
        <f t="shared" si="193"/>
        <v/>
      </c>
      <c r="CA412" s="83" t="str">
        <f t="shared" si="194"/>
        <v/>
      </c>
      <c r="CB412" s="530" t="str">
        <f t="shared" si="195"/>
        <v/>
      </c>
      <c r="CM412" s="83" t="s">
        <v>15169</v>
      </c>
      <c r="CR412" t="s">
        <v>13778</v>
      </c>
      <c r="GF412" t="s">
        <v>8358</v>
      </c>
    </row>
    <row r="413" spans="76:188" ht="13.2" customHeight="1">
      <c r="BX413" s="3" t="str">
        <f>IF(Province="Duché de Monfort","Ferme (culture) du Duché de Monfort","")</f>
        <v/>
      </c>
      <c r="BY413" t="str">
        <f t="shared" si="196"/>
        <v/>
      </c>
      <c r="BZ413" s="83" t="str">
        <f t="shared" si="193"/>
        <v/>
      </c>
      <c r="CA413" s="83" t="str">
        <f t="shared" si="194"/>
        <v/>
      </c>
      <c r="CB413" s="530" t="str">
        <f t="shared" si="195"/>
        <v/>
      </c>
      <c r="CM413" t="s">
        <v>10501</v>
      </c>
      <c r="CR413" t="s">
        <v>13779</v>
      </c>
      <c r="GF413" t="s">
        <v>7860</v>
      </c>
    </row>
    <row r="414" spans="76:188" ht="13.2" customHeight="1">
      <c r="BX414" s="3" t="str">
        <f>IF(Province="Duché de Moussillon","Ferme (culture) du Duché de Moussillon","")</f>
        <v/>
      </c>
      <c r="BY414" t="str">
        <f t="shared" si="196"/>
        <v/>
      </c>
      <c r="BZ414" s="83" t="str">
        <f t="shared" si="193"/>
        <v/>
      </c>
      <c r="CA414" s="83" t="str">
        <f t="shared" si="194"/>
        <v/>
      </c>
      <c r="CB414" s="530" t="str">
        <f t="shared" si="195"/>
        <v/>
      </c>
      <c r="CM414" t="s">
        <v>10493</v>
      </c>
      <c r="CR414" t="s">
        <v>13780</v>
      </c>
      <c r="GF414" t="s">
        <v>7857</v>
      </c>
    </row>
    <row r="415" spans="76:188" ht="13.2" customHeight="1">
      <c r="BX415" s="3" t="str">
        <f>IF(Province="Duché de Parravon","Ferme (culture) du Duché de Parravon","")</f>
        <v/>
      </c>
      <c r="BY415" t="str">
        <f t="shared" si="196"/>
        <v/>
      </c>
      <c r="BZ415" s="83" t="str">
        <f t="shared" si="193"/>
        <v/>
      </c>
      <c r="CA415" s="83" t="str">
        <f t="shared" si="194"/>
        <v/>
      </c>
      <c r="CB415" s="530" t="str">
        <f t="shared" si="195"/>
        <v/>
      </c>
      <c r="CM415" t="s">
        <v>10502</v>
      </c>
      <c r="CR415" t="s">
        <v>13781</v>
      </c>
      <c r="GF415" t="s">
        <v>7859</v>
      </c>
    </row>
    <row r="416" spans="76:188" ht="13.2" customHeight="1">
      <c r="BX416" s="3" t="str">
        <f>IF(Province="Duché de Quenelles","Ferme (culture) du Duché de Quenelles","")</f>
        <v/>
      </c>
      <c r="BY416" t="str">
        <f t="shared" si="196"/>
        <v/>
      </c>
      <c r="BZ416" s="83" t="str">
        <f t="shared" si="193"/>
        <v/>
      </c>
      <c r="CA416" s="83" t="str">
        <f t="shared" si="194"/>
        <v/>
      </c>
      <c r="CB416" s="530" t="str">
        <f t="shared" si="195"/>
        <v/>
      </c>
      <c r="CM416" t="s">
        <v>6340</v>
      </c>
      <c r="CR416" t="s">
        <v>13782</v>
      </c>
      <c r="GF416" t="s">
        <v>7861</v>
      </c>
    </row>
    <row r="417" spans="76:188" ht="13.2" customHeight="1">
      <c r="BX417" s="3" t="str">
        <f>IF(Province="Duché d'Aquitanie","Ferme (élevage) du Duché d'Aquitanie","")</f>
        <v/>
      </c>
      <c r="BY417" t="str">
        <f t="shared" si="196"/>
        <v/>
      </c>
      <c r="BZ417" s="83" t="str">
        <f t="shared" si="193"/>
        <v/>
      </c>
      <c r="CA417" s="83" t="str">
        <f t="shared" si="194"/>
        <v/>
      </c>
      <c r="CB417" s="530" t="str">
        <f t="shared" si="195"/>
        <v/>
      </c>
      <c r="CM417" s="83" t="s">
        <v>15155</v>
      </c>
      <c r="CR417" t="s">
        <v>13783</v>
      </c>
      <c r="GF417" t="s">
        <v>8364</v>
      </c>
    </row>
    <row r="418" spans="76:188" ht="13.2" customHeight="1">
      <c r="BX418" s="3" t="str">
        <f>IF(Province="Duché d'Artenois","Ferme (élevage) du Duché d'Artenois","")</f>
        <v/>
      </c>
      <c r="BY418" t="str">
        <f t="shared" si="196"/>
        <v/>
      </c>
      <c r="BZ418" s="83" t="str">
        <f t="shared" si="193"/>
        <v/>
      </c>
      <c r="CA418" s="83" t="str">
        <f t="shared" si="194"/>
        <v/>
      </c>
      <c r="CB418" s="530" t="str">
        <f t="shared" si="195"/>
        <v/>
      </c>
      <c r="CM418" t="s">
        <v>10494</v>
      </c>
      <c r="CR418" t="s">
        <v>13784</v>
      </c>
      <c r="GF418" t="s">
        <v>8352</v>
      </c>
    </row>
    <row r="419" spans="76:188" ht="13.2" customHeight="1">
      <c r="BX419" s="3" t="str">
        <f>IF(Province="Duché de Bastogne","Ferme (élevage) du Duché de Bastogne","")</f>
        <v/>
      </c>
      <c r="BY419" t="str">
        <f t="shared" si="196"/>
        <v/>
      </c>
      <c r="BZ419" s="83" t="str">
        <f t="shared" si="193"/>
        <v/>
      </c>
      <c r="CA419" s="83" t="str">
        <f t="shared" si="194"/>
        <v/>
      </c>
      <c r="CB419" s="530" t="str">
        <f t="shared" si="195"/>
        <v/>
      </c>
      <c r="CM419" s="3" t="s">
        <v>6687</v>
      </c>
      <c r="CR419" t="s">
        <v>13785</v>
      </c>
      <c r="GF419" t="s">
        <v>8353</v>
      </c>
    </row>
    <row r="420" spans="76:188" ht="13.2" customHeight="1">
      <c r="BX420" s="3" t="str">
        <f>IF(Province="Duché de Bordeleaux","Ferme (élevage) du Duché de Bordeleaux","")</f>
        <v/>
      </c>
      <c r="BY420" t="str">
        <f t="shared" si="196"/>
        <v/>
      </c>
      <c r="BZ420" s="83" t="str">
        <f t="shared" si="193"/>
        <v/>
      </c>
      <c r="CA420" s="83" t="str">
        <f t="shared" si="194"/>
        <v/>
      </c>
      <c r="CB420" s="530" t="str">
        <f t="shared" si="195"/>
        <v/>
      </c>
      <c r="CM420" s="83" t="s">
        <v>15141</v>
      </c>
      <c r="CR420" t="s">
        <v>13786</v>
      </c>
      <c r="GF420" t="s">
        <v>8359</v>
      </c>
    </row>
    <row r="421" spans="76:188" ht="13.2" customHeight="1">
      <c r="BX421" s="3" t="str">
        <f>IF(Province="Duché de Brionne","Ferme (élevage) du Duché de Brionne","")</f>
        <v/>
      </c>
      <c r="BY421" t="str">
        <f t="shared" si="196"/>
        <v/>
      </c>
      <c r="BZ421" s="83" t="str">
        <f t="shared" si="193"/>
        <v/>
      </c>
      <c r="CA421" s="83" t="str">
        <f t="shared" si="194"/>
        <v/>
      </c>
      <c r="CB421" s="530" t="str">
        <f t="shared" si="195"/>
        <v/>
      </c>
      <c r="CM421" t="s">
        <v>10503</v>
      </c>
      <c r="CR421" t="s">
        <v>13787</v>
      </c>
      <c r="GF421" t="s">
        <v>8354</v>
      </c>
    </row>
    <row r="422" spans="76:188" ht="13.2" customHeight="1">
      <c r="BX422" s="3" t="str">
        <f>IF(Province="Duché de Couronne","Ferme (élevage) du Duché de Couronne","")</f>
        <v/>
      </c>
      <c r="BY422" t="str">
        <f t="shared" si="196"/>
        <v/>
      </c>
      <c r="BZ422" s="83" t="str">
        <f t="shared" si="193"/>
        <v/>
      </c>
      <c r="CA422" s="83" t="str">
        <f t="shared" si="194"/>
        <v/>
      </c>
      <c r="CB422" s="530" t="str">
        <f t="shared" si="195"/>
        <v/>
      </c>
      <c r="CM422" s="83" t="s">
        <v>15227</v>
      </c>
      <c r="CR422" t="s">
        <v>13788</v>
      </c>
      <c r="GF422" t="s">
        <v>8365</v>
      </c>
    </row>
    <row r="423" spans="76:188" ht="13.2" customHeight="1">
      <c r="BX423" s="3" t="str">
        <f>IF(Province="Duché de Gasconnie","Ferme (élevage) du Duché de Gasconnie","")</f>
        <v/>
      </c>
      <c r="BY423" t="str">
        <f t="shared" si="196"/>
        <v/>
      </c>
      <c r="BZ423" s="83" t="str">
        <f t="shared" si="193"/>
        <v/>
      </c>
      <c r="CA423" s="83" t="str">
        <f t="shared" si="194"/>
        <v/>
      </c>
      <c r="CB423" s="530" t="str">
        <f t="shared" si="195"/>
        <v/>
      </c>
      <c r="CM423" t="s">
        <v>10504</v>
      </c>
      <c r="CR423" t="s">
        <v>13789</v>
      </c>
      <c r="GF423" t="s">
        <v>7862</v>
      </c>
    </row>
    <row r="424" spans="76:188" ht="13.2" customHeight="1">
      <c r="BX424" s="3" t="str">
        <f>IF(Province="Duché de Gisoreux","Ferme (élevage) du Duché de Gisoreux","")</f>
        <v/>
      </c>
      <c r="BY424" t="str">
        <f t="shared" si="196"/>
        <v/>
      </c>
      <c r="BZ424" s="83" t="str">
        <f t="shared" si="193"/>
        <v/>
      </c>
      <c r="CA424" s="83" t="str">
        <f t="shared" si="194"/>
        <v/>
      </c>
      <c r="CB424" s="530" t="str">
        <f t="shared" si="195"/>
        <v/>
      </c>
      <c r="CM424" t="s">
        <v>10506</v>
      </c>
      <c r="CR424" t="s">
        <v>13790</v>
      </c>
      <c r="GF424" t="s">
        <v>8355</v>
      </c>
    </row>
    <row r="425" spans="76:188" ht="13.2" customHeight="1">
      <c r="BX425" s="3" t="str">
        <f>IF(Province="Duché de L'Anguille","Ferme (élevage) du Duché de L'Anguille","")</f>
        <v/>
      </c>
      <c r="BY425" t="str">
        <f t="shared" si="196"/>
        <v/>
      </c>
      <c r="BZ425" s="83" t="str">
        <f t="shared" si="193"/>
        <v/>
      </c>
      <c r="CA425" s="83" t="str">
        <f t="shared" si="194"/>
        <v/>
      </c>
      <c r="CB425" s="530" t="str">
        <f t="shared" si="195"/>
        <v/>
      </c>
      <c r="CM425" t="s">
        <v>10505</v>
      </c>
      <c r="CR425" t="s">
        <v>13791</v>
      </c>
      <c r="GF425" t="s">
        <v>8366</v>
      </c>
    </row>
    <row r="426" spans="76:188" ht="13.2" customHeight="1">
      <c r="BX426" s="3" t="str">
        <f>IF(Province="Duché de Lyonesse","Ferme (élevage) du Duché de Lyonesse","")</f>
        <v/>
      </c>
      <c r="BY426" t="str">
        <f t="shared" si="196"/>
        <v/>
      </c>
      <c r="BZ426" s="83" t="str">
        <f t="shared" si="193"/>
        <v/>
      </c>
      <c r="CA426" s="83" t="str">
        <f t="shared" si="194"/>
        <v/>
      </c>
      <c r="CB426" s="530" t="str">
        <f t="shared" si="195"/>
        <v/>
      </c>
      <c r="CM426" s="83" t="s">
        <v>14929</v>
      </c>
      <c r="CR426" t="s">
        <v>13792</v>
      </c>
      <c r="GF426" t="s">
        <v>8356</v>
      </c>
    </row>
    <row r="427" spans="76:188" ht="13.2" customHeight="1">
      <c r="BX427" s="3" t="str">
        <f>IF(Province="Duché de Monfort","Ferme (élevage) du Duché de Monfort","")</f>
        <v/>
      </c>
      <c r="BY427" t="str">
        <f t="shared" si="196"/>
        <v/>
      </c>
      <c r="BZ427" s="83" t="str">
        <f t="shared" si="193"/>
        <v/>
      </c>
      <c r="CA427" s="83" t="str">
        <f t="shared" si="194"/>
        <v/>
      </c>
      <c r="CB427" s="530" t="str">
        <f t="shared" si="195"/>
        <v/>
      </c>
      <c r="CM427" t="s">
        <v>10507</v>
      </c>
      <c r="CR427" t="s">
        <v>13793</v>
      </c>
      <c r="GF427" t="s">
        <v>8367</v>
      </c>
    </row>
    <row r="428" spans="76:188" ht="13.2" customHeight="1">
      <c r="BX428" s="3" t="str">
        <f>IF(Province="Duché de Moussillon","Ferme (élevage) du Duché de Moussillon","")</f>
        <v/>
      </c>
      <c r="BY428" t="str">
        <f t="shared" si="196"/>
        <v/>
      </c>
      <c r="BZ428" s="83" t="str">
        <f t="shared" si="193"/>
        <v/>
      </c>
      <c r="CA428" s="83" t="str">
        <f t="shared" si="194"/>
        <v/>
      </c>
      <c r="CB428" s="530" t="str">
        <f t="shared" si="195"/>
        <v/>
      </c>
      <c r="CM428" t="s">
        <v>10508</v>
      </c>
      <c r="CR428" t="s">
        <v>13794</v>
      </c>
      <c r="GF428" t="s">
        <v>8372</v>
      </c>
    </row>
    <row r="429" spans="76:188" ht="13.2" customHeight="1">
      <c r="BX429" s="3" t="str">
        <f>IF(Province="Duché de Parravon","Ferme (élevage) du Duché de Parravon","")</f>
        <v/>
      </c>
      <c r="BY429" t="str">
        <f t="shared" si="196"/>
        <v/>
      </c>
      <c r="BZ429" s="83" t="str">
        <f t="shared" si="193"/>
        <v/>
      </c>
      <c r="CA429" s="83" t="str">
        <f t="shared" si="194"/>
        <v/>
      </c>
      <c r="CB429" s="530" t="str">
        <f t="shared" si="195"/>
        <v/>
      </c>
      <c r="CM429" t="s">
        <v>10509</v>
      </c>
      <c r="CR429" t="s">
        <v>13795</v>
      </c>
      <c r="GF429" t="s">
        <v>8368</v>
      </c>
    </row>
    <row r="430" spans="76:188" ht="13.2" customHeight="1">
      <c r="BX430" s="3" t="str">
        <f>IF(Province="Duché de Quenelles","Ferme (élevage) du Duché de Quenelles","")</f>
        <v/>
      </c>
      <c r="BY430" t="str">
        <f t="shared" si="196"/>
        <v/>
      </c>
      <c r="BZ430" s="83" t="str">
        <f t="shared" si="193"/>
        <v/>
      </c>
      <c r="CA430" s="83" t="str">
        <f t="shared" si="194"/>
        <v/>
      </c>
      <c r="CB430" s="530" t="str">
        <f t="shared" si="195"/>
        <v/>
      </c>
      <c r="CM430" t="s">
        <v>10510</v>
      </c>
      <c r="CR430" t="s">
        <v>13796</v>
      </c>
      <c r="GF430" t="s">
        <v>8371</v>
      </c>
    </row>
    <row r="431" spans="76:188" ht="13.2" customHeight="1">
      <c r="BX431" s="3" t="str">
        <f>IF(Province="Duché d'Aquitanie","Taudis du Duché d'Aquitanie","")</f>
        <v/>
      </c>
      <c r="BY431" t="str">
        <f t="shared" si="196"/>
        <v/>
      </c>
      <c r="BZ431" s="83" t="str">
        <f t="shared" si="193"/>
        <v/>
      </c>
      <c r="CA431" s="83" t="str">
        <f t="shared" si="194"/>
        <v/>
      </c>
      <c r="CB431" s="530" t="str">
        <f t="shared" si="195"/>
        <v/>
      </c>
      <c r="CM431" t="s">
        <v>10511</v>
      </c>
      <c r="CR431" t="s">
        <v>13797</v>
      </c>
      <c r="GF431" t="s">
        <v>8380</v>
      </c>
    </row>
    <row r="432" spans="76:188" ht="13.2" customHeight="1">
      <c r="BX432" s="3" t="str">
        <f>IF(Province="Duché d'Artenois","Taudis du Duché d'Artenois","")</f>
        <v/>
      </c>
      <c r="BY432" t="str">
        <f t="shared" si="196"/>
        <v/>
      </c>
      <c r="BZ432" s="83" t="str">
        <f t="shared" si="193"/>
        <v/>
      </c>
      <c r="CA432" s="83" t="str">
        <f t="shared" si="194"/>
        <v/>
      </c>
      <c r="CB432" s="530" t="str">
        <f t="shared" si="195"/>
        <v/>
      </c>
      <c r="CM432" s="83" t="s">
        <v>15192</v>
      </c>
      <c r="CR432" t="s">
        <v>13798</v>
      </c>
      <c r="GF432" t="s">
        <v>8373</v>
      </c>
    </row>
    <row r="433" spans="76:188" ht="13.2" customHeight="1">
      <c r="BX433" s="3" t="str">
        <f>IF(Province="Duché de Bastogne","Taudis du Duché de Bastogne","")</f>
        <v/>
      </c>
      <c r="BY433" t="str">
        <f t="shared" si="196"/>
        <v/>
      </c>
      <c r="BZ433" s="83" t="str">
        <f t="shared" si="193"/>
        <v/>
      </c>
      <c r="CA433" s="83" t="str">
        <f t="shared" si="194"/>
        <v/>
      </c>
      <c r="CB433" s="530" t="str">
        <f t="shared" si="195"/>
        <v/>
      </c>
      <c r="CM433" t="s">
        <v>10512</v>
      </c>
      <c r="CR433" t="s">
        <v>13799</v>
      </c>
      <c r="GF433" t="s">
        <v>8381</v>
      </c>
    </row>
    <row r="434" spans="76:188" ht="13.2" customHeight="1">
      <c r="BX434" s="3" t="str">
        <f>IF(Province="Duché de Bordeleaux","Taudis du Duché de Bordeleaux","")</f>
        <v/>
      </c>
      <c r="BY434" t="str">
        <f t="shared" si="196"/>
        <v/>
      </c>
      <c r="BZ434" s="83" t="str">
        <f t="shared" si="193"/>
        <v/>
      </c>
      <c r="CA434" s="83" t="str">
        <f t="shared" si="194"/>
        <v/>
      </c>
      <c r="CB434" s="530" t="str">
        <f t="shared" si="195"/>
        <v/>
      </c>
      <c r="CM434" t="s">
        <v>10513</v>
      </c>
      <c r="CR434" t="s">
        <v>13800</v>
      </c>
      <c r="GF434" t="s">
        <v>6019</v>
      </c>
    </row>
    <row r="435" spans="76:188" ht="13.2" customHeight="1">
      <c r="BX435" s="3" t="str">
        <f>IF(Province="Duché de Brionne","Taudis du Duché de Brionne","")</f>
        <v/>
      </c>
      <c r="BY435" t="str">
        <f t="shared" si="196"/>
        <v/>
      </c>
      <c r="BZ435" s="83" t="str">
        <f t="shared" si="193"/>
        <v/>
      </c>
      <c r="CA435" s="83" t="str">
        <f t="shared" si="194"/>
        <v/>
      </c>
      <c r="CB435" s="530" t="str">
        <f t="shared" si="195"/>
        <v/>
      </c>
      <c r="CM435" t="s">
        <v>10514</v>
      </c>
      <c r="CR435" t="s">
        <v>13801</v>
      </c>
      <c r="GF435" t="s">
        <v>8382</v>
      </c>
    </row>
    <row r="436" spans="76:188" ht="13.2" customHeight="1">
      <c r="BX436" s="3" t="str">
        <f>IF(Province="Duché de Couronne","Taudis du Duché de Couronne","")</f>
        <v/>
      </c>
      <c r="BY436" t="str">
        <f t="shared" si="196"/>
        <v/>
      </c>
      <c r="BZ436" s="83" t="str">
        <f t="shared" si="193"/>
        <v/>
      </c>
      <c r="CA436" s="83" t="str">
        <f t="shared" si="194"/>
        <v/>
      </c>
      <c r="CB436" s="530" t="str">
        <f t="shared" si="195"/>
        <v/>
      </c>
      <c r="CM436" s="3" t="s">
        <v>6688</v>
      </c>
      <c r="CR436" t="s">
        <v>13802</v>
      </c>
      <c r="GF436" t="s">
        <v>6280</v>
      </c>
    </row>
    <row r="437" spans="76:188" ht="13.2" customHeight="1">
      <c r="BX437" s="3" t="str">
        <f>IF(Province="Duché de Gasconnie","Taudis du Duché de Gasconnie","")</f>
        <v/>
      </c>
      <c r="BY437" t="str">
        <f t="shared" si="196"/>
        <v/>
      </c>
      <c r="BZ437" s="83" t="str">
        <f t="shared" si="193"/>
        <v/>
      </c>
      <c r="CA437" s="83" t="str">
        <f t="shared" si="194"/>
        <v/>
      </c>
      <c r="CB437" s="530" t="str">
        <f t="shared" si="195"/>
        <v/>
      </c>
      <c r="CM437" s="3" t="s">
        <v>6689</v>
      </c>
      <c r="CR437" t="s">
        <v>13803</v>
      </c>
      <c r="GF437" t="s">
        <v>8385</v>
      </c>
    </row>
    <row r="438" spans="76:188" ht="13.2" customHeight="1">
      <c r="BX438" s="3" t="str">
        <f>IF(Province="Duché de Gisoreux","Taudis du Duché de Gisoreux","")</f>
        <v/>
      </c>
      <c r="BY438" t="str">
        <f t="shared" si="196"/>
        <v/>
      </c>
      <c r="BZ438" s="83" t="str">
        <f t="shared" si="193"/>
        <v/>
      </c>
      <c r="CA438" s="83" t="str">
        <f t="shared" si="194"/>
        <v/>
      </c>
      <c r="CB438" s="530" t="str">
        <f t="shared" si="195"/>
        <v/>
      </c>
      <c r="CM438" t="s">
        <v>10515</v>
      </c>
      <c r="CR438" t="s">
        <v>13804</v>
      </c>
      <c r="GF438" t="s">
        <v>911</v>
      </c>
    </row>
    <row r="439" spans="76:188" ht="13.2" customHeight="1">
      <c r="BX439" s="3" t="str">
        <f>IF(Province="Duché de L'Anguille","Taudis du Duché de L'Anguille","")</f>
        <v/>
      </c>
      <c r="BY439" t="str">
        <f t="shared" si="196"/>
        <v/>
      </c>
      <c r="BZ439" s="83" t="str">
        <f t="shared" si="193"/>
        <v/>
      </c>
      <c r="CA439" s="83" t="str">
        <f t="shared" si="194"/>
        <v/>
      </c>
      <c r="CB439" s="530" t="str">
        <f t="shared" si="195"/>
        <v/>
      </c>
      <c r="CM439" s="3" t="s">
        <v>6692</v>
      </c>
      <c r="CR439" t="s">
        <v>13805</v>
      </c>
      <c r="GF439" t="s">
        <v>8374</v>
      </c>
    </row>
    <row r="440" spans="76:188" ht="13.2" customHeight="1">
      <c r="BX440" s="3" t="str">
        <f>IF(Province="Duché de Lyonesse","Taudis du Duché de Lyonesse","")</f>
        <v/>
      </c>
      <c r="BY440" t="str">
        <f t="shared" si="196"/>
        <v/>
      </c>
      <c r="BZ440" s="83" t="str">
        <f t="shared" si="193"/>
        <v/>
      </c>
      <c r="CA440" s="83" t="str">
        <f t="shared" si="194"/>
        <v/>
      </c>
      <c r="CB440" s="530" t="str">
        <f t="shared" si="195"/>
        <v/>
      </c>
      <c r="CM440" s="83" t="s">
        <v>15144</v>
      </c>
      <c r="CR440" t="s">
        <v>13806</v>
      </c>
      <c r="GF440" t="s">
        <v>8375</v>
      </c>
    </row>
    <row r="441" spans="76:188" ht="13.2" customHeight="1">
      <c r="BX441" s="3" t="str">
        <f>IF(Province="Duché de Monfort","Taudis du Duché de Monfort","")</f>
        <v/>
      </c>
      <c r="BY441" t="str">
        <f t="shared" si="196"/>
        <v/>
      </c>
      <c r="BZ441" s="83" t="str">
        <f t="shared" si="193"/>
        <v/>
      </c>
      <c r="CA441" s="83" t="str">
        <f t="shared" si="194"/>
        <v/>
      </c>
      <c r="CB441" s="530" t="str">
        <f t="shared" si="195"/>
        <v/>
      </c>
      <c r="CM441" t="s">
        <v>10516</v>
      </c>
      <c r="CR441" t="s">
        <v>13807</v>
      </c>
      <c r="GF441" t="s">
        <v>8383</v>
      </c>
    </row>
    <row r="442" spans="76:188" ht="13.2" customHeight="1">
      <c r="BX442" s="3" t="str">
        <f>IF(Province="Duché de Moussillon","Taudis du Duché de Moussillon","")</f>
        <v/>
      </c>
      <c r="BY442" t="str">
        <f t="shared" si="196"/>
        <v/>
      </c>
      <c r="BZ442" s="83" t="str">
        <f t="shared" si="193"/>
        <v/>
      </c>
      <c r="CA442" s="83" t="str">
        <f t="shared" si="194"/>
        <v/>
      </c>
      <c r="CB442" s="530" t="str">
        <f t="shared" si="195"/>
        <v/>
      </c>
      <c r="CM442" s="83" t="s">
        <v>14889</v>
      </c>
      <c r="CR442" t="s">
        <v>13808</v>
      </c>
      <c r="GF442" t="s">
        <v>8376</v>
      </c>
    </row>
    <row r="443" spans="76:188" ht="13.2" customHeight="1">
      <c r="BX443" s="3" t="str">
        <f>IF(Province="Duché de Parravon","Taudis du Duché de Parravon","")</f>
        <v/>
      </c>
      <c r="BY443" t="str">
        <f t="shared" si="196"/>
        <v/>
      </c>
      <c r="BZ443" s="83" t="str">
        <f t="shared" si="193"/>
        <v/>
      </c>
      <c r="CA443" s="83" t="str">
        <f t="shared" si="194"/>
        <v/>
      </c>
      <c r="CB443" s="530" t="str">
        <f t="shared" si="195"/>
        <v/>
      </c>
      <c r="CM443" t="s">
        <v>10517</v>
      </c>
      <c r="CR443" t="s">
        <v>13809</v>
      </c>
      <c r="GF443" t="s">
        <v>8377</v>
      </c>
    </row>
    <row r="444" spans="76:188" ht="13.2" customHeight="1">
      <c r="BX444" s="3" t="str">
        <f>IF(Province="Duché de Quenelles","Taudis du Duché de Quenelles","")</f>
        <v/>
      </c>
      <c r="BY444" t="str">
        <f t="shared" si="196"/>
        <v/>
      </c>
      <c r="BZ444" s="83" t="str">
        <f t="shared" si="193"/>
        <v/>
      </c>
      <c r="CA444" s="83" t="str">
        <f t="shared" si="194"/>
        <v/>
      </c>
      <c r="CB444" s="530" t="str">
        <f t="shared" si="195"/>
        <v/>
      </c>
      <c r="CM444" s="3" t="s">
        <v>6690</v>
      </c>
      <c r="CR444" t="s">
        <v>13810</v>
      </c>
      <c r="GF444" t="s">
        <v>7864</v>
      </c>
    </row>
    <row r="445" spans="76:188" ht="13.2" customHeight="1">
      <c r="BX445" s="83" t="str">
        <f>IF(Province="Royaume d'Avelorn","Plaines du royaume d'Avelorn","")</f>
        <v/>
      </c>
      <c r="BY445" t="str">
        <f t="shared" si="196"/>
        <v/>
      </c>
      <c r="BZ445" s="83" t="str">
        <f t="shared" si="193"/>
        <v/>
      </c>
      <c r="CA445" s="83" t="str">
        <f t="shared" si="194"/>
        <v/>
      </c>
      <c r="CB445" s="530" t="str">
        <f t="shared" si="195"/>
        <v/>
      </c>
      <c r="CM445" t="s">
        <v>10518</v>
      </c>
      <c r="CR445" t="s">
        <v>13811</v>
      </c>
      <c r="GF445" t="s">
        <v>7865</v>
      </c>
    </row>
    <row r="446" spans="76:188" ht="13.2" customHeight="1">
      <c r="BX446" s="83" t="str">
        <f>IF(Province="Caledor","Plaines du Royaume de Caledor","")</f>
        <v/>
      </c>
      <c r="BY446" t="str">
        <f t="shared" si="196"/>
        <v/>
      </c>
      <c r="BZ446" s="83" t="str">
        <f t="shared" si="193"/>
        <v/>
      </c>
      <c r="CA446" s="83" t="str">
        <f t="shared" si="194"/>
        <v/>
      </c>
      <c r="CB446" s="530" t="str">
        <f t="shared" si="195"/>
        <v/>
      </c>
      <c r="CM446" t="s">
        <v>10519</v>
      </c>
      <c r="CR446" t="s">
        <v>13812</v>
      </c>
      <c r="GF446" t="s">
        <v>8384</v>
      </c>
    </row>
    <row r="447" spans="76:188" ht="13.2" customHeight="1">
      <c r="BX447" s="83" t="str">
        <f>IF(Province="Royaume de Chrace","Montagnes de Chrace","")</f>
        <v/>
      </c>
      <c r="BY447" t="str">
        <f t="shared" si="196"/>
        <v/>
      </c>
      <c r="BZ447" s="83" t="str">
        <f t="shared" si="193"/>
        <v/>
      </c>
      <c r="CA447" s="83" t="str">
        <f t="shared" si="194"/>
        <v/>
      </c>
      <c r="CB447" s="530" t="str">
        <f t="shared" si="195"/>
        <v/>
      </c>
      <c r="CM447" t="s">
        <v>10520</v>
      </c>
      <c r="CR447" t="s">
        <v>13813</v>
      </c>
      <c r="GF447" t="s">
        <v>8386</v>
      </c>
    </row>
    <row r="448" spans="76:188" ht="13.2" customHeight="1">
      <c r="BX448" s="83" t="str">
        <f>IF(Province="Royaume de Cothique","Village de pêcheurs de Cothique","")</f>
        <v/>
      </c>
      <c r="BY448" t="str">
        <f t="shared" si="196"/>
        <v/>
      </c>
      <c r="BZ448" s="83" t="str">
        <f t="shared" si="193"/>
        <v/>
      </c>
      <c r="CA448" s="83" t="str">
        <f t="shared" si="194"/>
        <v/>
      </c>
      <c r="CB448" s="530" t="str">
        <f t="shared" si="195"/>
        <v/>
      </c>
      <c r="CM448" t="s">
        <v>10521</v>
      </c>
      <c r="CR448" t="s">
        <v>13814</v>
      </c>
      <c r="GF448" t="s">
        <v>7863</v>
      </c>
    </row>
    <row r="449" spans="76:188" ht="13.2" customHeight="1">
      <c r="BX449" s="83" t="str">
        <f>IF(Province="Royaumes d'Eataine et de Lothern","Ville de Lothern","")</f>
        <v/>
      </c>
      <c r="BY449" t="str">
        <f t="shared" si="196"/>
        <v/>
      </c>
      <c r="BZ449" s="83" t="str">
        <f t="shared" si="193"/>
        <v/>
      </c>
      <c r="CA449" s="83" t="str">
        <f t="shared" si="194"/>
        <v/>
      </c>
      <c r="CB449" s="530" t="str">
        <f t="shared" si="195"/>
        <v/>
      </c>
      <c r="CM449" s="3" t="s">
        <v>6691</v>
      </c>
      <c r="CR449" t="s">
        <v>13815</v>
      </c>
      <c r="GF449" t="s">
        <v>8379</v>
      </c>
    </row>
    <row r="450" spans="76:188" ht="13.2" customHeight="1">
      <c r="BX450" s="83" t="str">
        <f>IF(Province="Royaume d'Ellyrion","Ville de Tor Elyr","")</f>
        <v/>
      </c>
      <c r="BY450" t="str">
        <f t="shared" si="196"/>
        <v/>
      </c>
      <c r="BZ450" s="83" t="str">
        <f t="shared" ref="BZ450:BZ513" si="197">IFERROR(SMALL(BY:BY,ROW()-1),"")</f>
        <v/>
      </c>
      <c r="CA450" s="83" t="str">
        <f t="shared" ref="CA450:CA513" si="198">IFERROR(INDEX(BX:BX,BZ450),"")</f>
        <v/>
      </c>
      <c r="CB450" s="530" t="str">
        <f t="shared" ref="CB450:CB513" si="199">INDEX(CA:CA,ROW())</f>
        <v/>
      </c>
      <c r="CM450" t="s">
        <v>10522</v>
      </c>
      <c r="CR450" t="s">
        <v>13816</v>
      </c>
      <c r="GF450" t="s">
        <v>8378</v>
      </c>
    </row>
    <row r="451" spans="76:188" ht="13.2" customHeight="1">
      <c r="BX451" s="83" t="str">
        <f>IF('page 1'!C5="Royaume perdu de Nagarythe","Ruines d'Antec","")</f>
        <v/>
      </c>
      <c r="BY451" t="str">
        <f t="shared" ref="BY451:BY514" si="200">IF(BX451="","",ROW())</f>
        <v/>
      </c>
      <c r="BZ451" s="83" t="str">
        <f t="shared" si="197"/>
        <v/>
      </c>
      <c r="CA451" s="83" t="str">
        <f t="shared" si="198"/>
        <v/>
      </c>
      <c r="CB451" s="530" t="str">
        <f t="shared" si="199"/>
        <v/>
      </c>
      <c r="CM451" t="s">
        <v>10523</v>
      </c>
      <c r="CR451" t="s">
        <v>13817</v>
      </c>
      <c r="GF451" t="s">
        <v>7866</v>
      </c>
    </row>
    <row r="452" spans="76:188" ht="13.2" customHeight="1">
      <c r="BX452" s="83" t="str">
        <f>IF(Province="Royaume de Saphery","Tour Blanche de Hoeth","")</f>
        <v/>
      </c>
      <c r="BY452" t="str">
        <f t="shared" si="200"/>
        <v/>
      </c>
      <c r="BZ452" s="83" t="str">
        <f t="shared" si="197"/>
        <v/>
      </c>
      <c r="CA452" s="83" t="str">
        <f t="shared" si="198"/>
        <v/>
      </c>
      <c r="CB452" s="530" t="str">
        <f t="shared" si="199"/>
        <v/>
      </c>
      <c r="CM452" t="s">
        <v>10525</v>
      </c>
      <c r="CR452" t="s">
        <v>13818</v>
      </c>
      <c r="GF452" t="s">
        <v>8399</v>
      </c>
    </row>
    <row r="453" spans="76:188" ht="13.2" customHeight="1">
      <c r="BX453" s="83" t="str">
        <f>IF(Province="Royaume de Tiranoc","Village côtier du Royaume de Tiranoc","")</f>
        <v/>
      </c>
      <c r="BY453" t="str">
        <f t="shared" si="200"/>
        <v/>
      </c>
      <c r="BZ453" s="83" t="str">
        <f t="shared" si="197"/>
        <v/>
      </c>
      <c r="CA453" s="83" t="str">
        <f t="shared" si="198"/>
        <v/>
      </c>
      <c r="CB453" s="530" t="str">
        <f t="shared" si="199"/>
        <v/>
      </c>
      <c r="CM453" t="s">
        <v>10524</v>
      </c>
      <c r="CR453" t="s">
        <v>13819</v>
      </c>
      <c r="GF453" t="s">
        <v>8408</v>
      </c>
    </row>
    <row r="454" spans="76:188" ht="13.2" customHeight="1">
      <c r="BX454" s="83" t="str">
        <f>IF(Province="Royaume d'Yvresse","Plaines du Royaume d'Yvresse","")</f>
        <v/>
      </c>
      <c r="BY454" t="str">
        <f t="shared" si="200"/>
        <v/>
      </c>
      <c r="BZ454" s="83" t="str">
        <f t="shared" si="197"/>
        <v/>
      </c>
      <c r="CA454" s="83" t="str">
        <f t="shared" si="198"/>
        <v/>
      </c>
      <c r="CB454" s="530" t="str">
        <f t="shared" si="199"/>
        <v/>
      </c>
      <c r="CM454" t="s">
        <v>10526</v>
      </c>
      <c r="CR454" t="s">
        <v>13820</v>
      </c>
      <c r="GF454" t="s">
        <v>8387</v>
      </c>
    </row>
    <row r="455" spans="76:188" ht="13.2" customHeight="1">
      <c r="BX455" t="str">
        <f>IF('page 1'!C5="Norsca","Tribus du nord (Aesling)","")</f>
        <v/>
      </c>
      <c r="BY455" t="str">
        <f t="shared" si="200"/>
        <v/>
      </c>
      <c r="BZ455" s="83" t="str">
        <f t="shared" si="197"/>
        <v/>
      </c>
      <c r="CA455" s="83" t="str">
        <f t="shared" si="198"/>
        <v/>
      </c>
      <c r="CB455" s="530" t="str">
        <f t="shared" si="199"/>
        <v/>
      </c>
      <c r="CM455" t="s">
        <v>10528</v>
      </c>
      <c r="CR455" t="s">
        <v>13821</v>
      </c>
      <c r="GF455" t="s">
        <v>8396</v>
      </c>
    </row>
    <row r="456" spans="76:188" ht="13.2" customHeight="1">
      <c r="BX456" t="str">
        <f>IF('page 1'!C5="Norsca","Tribus du sud (Baersonling)","")</f>
        <v/>
      </c>
      <c r="BY456" t="str">
        <f t="shared" si="200"/>
        <v/>
      </c>
      <c r="BZ456" s="83" t="str">
        <f t="shared" si="197"/>
        <v/>
      </c>
      <c r="CA456" s="83" t="str">
        <f t="shared" si="198"/>
        <v/>
      </c>
      <c r="CB456" s="530" t="str">
        <f t="shared" si="199"/>
        <v/>
      </c>
      <c r="CM456" t="s">
        <v>10527</v>
      </c>
      <c r="CR456" t="s">
        <v>13822</v>
      </c>
      <c r="GF456" t="s">
        <v>8388</v>
      </c>
    </row>
    <row r="457" spans="76:188" ht="13.2" customHeight="1">
      <c r="BX457" s="83" t="str">
        <f>IF('page 1'!C5="Norsca","Tribus du sud (Bjornling)","")</f>
        <v/>
      </c>
      <c r="BY457" t="str">
        <f t="shared" si="200"/>
        <v/>
      </c>
      <c r="BZ457" s="83" t="str">
        <f t="shared" si="197"/>
        <v/>
      </c>
      <c r="CA457" s="83" t="str">
        <f t="shared" si="198"/>
        <v/>
      </c>
      <c r="CB457" s="530" t="str">
        <f t="shared" si="199"/>
        <v/>
      </c>
      <c r="CM457" t="s">
        <v>10529</v>
      </c>
      <c r="CR457" t="s">
        <v>13823</v>
      </c>
      <c r="GF457" t="s">
        <v>8400</v>
      </c>
    </row>
    <row r="458" spans="76:188" ht="13.2" customHeight="1">
      <c r="BX458" t="str">
        <f>IF('page 1'!C5="Norsca","Tribus de Byttigen","")</f>
        <v/>
      </c>
      <c r="BY458" t="str">
        <f t="shared" si="200"/>
        <v/>
      </c>
      <c r="BZ458" s="83" t="str">
        <f t="shared" si="197"/>
        <v/>
      </c>
      <c r="CA458" s="83" t="str">
        <f t="shared" si="198"/>
        <v/>
      </c>
      <c r="CB458" s="530" t="str">
        <f t="shared" si="199"/>
        <v/>
      </c>
      <c r="CM458" t="s">
        <v>10530</v>
      </c>
      <c r="CR458" t="s">
        <v>13824</v>
      </c>
      <c r="GF458" t="s">
        <v>8398</v>
      </c>
    </row>
    <row r="459" spans="76:188" ht="13.2" customHeight="1">
      <c r="BX459" t="str">
        <f>IF('page 1'!C5="Norsca","Tribus du nord (Graeling)","")</f>
        <v/>
      </c>
      <c r="BY459" t="str">
        <f t="shared" si="200"/>
        <v/>
      </c>
      <c r="BZ459" s="83" t="str">
        <f t="shared" si="197"/>
        <v/>
      </c>
      <c r="CA459" s="83" t="str">
        <f t="shared" si="198"/>
        <v/>
      </c>
      <c r="CB459" s="530" t="str">
        <f t="shared" si="199"/>
        <v/>
      </c>
      <c r="CM459" s="83" t="s">
        <v>15224</v>
      </c>
      <c r="CR459" t="s">
        <v>13825</v>
      </c>
      <c r="GF459" t="s">
        <v>8389</v>
      </c>
    </row>
    <row r="460" spans="76:188" ht="13.2" customHeight="1">
      <c r="BX460" s="83" t="str">
        <f>IF('page 1'!C5="Norsca","Tribus des Iles de Kuldevind","")</f>
        <v/>
      </c>
      <c r="BY460" t="str">
        <f t="shared" si="200"/>
        <v/>
      </c>
      <c r="BZ460" s="83" t="str">
        <f t="shared" si="197"/>
        <v/>
      </c>
      <c r="CA460" s="83" t="str">
        <f t="shared" si="198"/>
        <v/>
      </c>
      <c r="CB460" s="530" t="str">
        <f t="shared" si="199"/>
        <v/>
      </c>
      <c r="CM460" s="83" t="s">
        <v>15156</v>
      </c>
      <c r="CR460" t="s">
        <v>13826</v>
      </c>
      <c r="GF460" t="s">
        <v>7867</v>
      </c>
    </row>
    <row r="461" spans="76:188" ht="13.2" customHeight="1">
      <c r="BX461" t="str">
        <f>IF('page 1'!C5="Norsca","Tribus du sud (Sarl)","")</f>
        <v/>
      </c>
      <c r="BY461" t="str">
        <f t="shared" si="200"/>
        <v/>
      </c>
      <c r="BZ461" s="83" t="str">
        <f t="shared" si="197"/>
        <v/>
      </c>
      <c r="CA461" s="83" t="str">
        <f t="shared" si="198"/>
        <v/>
      </c>
      <c r="CB461" s="530" t="str">
        <f t="shared" si="199"/>
        <v/>
      </c>
      <c r="CM461" s="3" t="s">
        <v>6693</v>
      </c>
      <c r="CR461" t="s">
        <v>13827</v>
      </c>
      <c r="GF461" t="s">
        <v>8390</v>
      </c>
    </row>
    <row r="462" spans="76:188" ht="13.2" customHeight="1">
      <c r="BX462" t="str">
        <f>IF('page 1'!C5="Norsca","Tribus du sud (Skaelings)","")</f>
        <v/>
      </c>
      <c r="BY462" t="str">
        <f t="shared" si="200"/>
        <v/>
      </c>
      <c r="BZ462" s="83" t="str">
        <f t="shared" si="197"/>
        <v/>
      </c>
      <c r="CA462" s="83" t="str">
        <f t="shared" si="198"/>
        <v/>
      </c>
      <c r="CB462" s="530" t="str">
        <f t="shared" si="199"/>
        <v/>
      </c>
      <c r="CM462" t="s">
        <v>10531</v>
      </c>
      <c r="CR462" t="s">
        <v>13828</v>
      </c>
      <c r="GF462" t="s">
        <v>8401</v>
      </c>
    </row>
    <row r="463" spans="76:188" ht="13.2" customHeight="1">
      <c r="BX463" t="str">
        <f>IF('page 1'!C5="Norsca","Tribus de Skeggi","")</f>
        <v/>
      </c>
      <c r="BY463" t="str">
        <f t="shared" si="200"/>
        <v/>
      </c>
      <c r="BZ463" s="83" t="str">
        <f t="shared" si="197"/>
        <v/>
      </c>
      <c r="CA463" s="83" t="str">
        <f t="shared" si="198"/>
        <v/>
      </c>
      <c r="CB463" s="530" t="str">
        <f t="shared" si="199"/>
        <v/>
      </c>
      <c r="CM463" t="s">
        <v>10532</v>
      </c>
      <c r="CR463" t="s">
        <v>13829</v>
      </c>
      <c r="GF463" t="s">
        <v>8402</v>
      </c>
    </row>
    <row r="464" spans="76:188" ht="13.2" customHeight="1">
      <c r="BX464" t="str">
        <f>IF('page 1'!C5="Norsca","Tribus du nord (Varg)","")</f>
        <v/>
      </c>
      <c r="BY464" t="str">
        <f t="shared" si="200"/>
        <v/>
      </c>
      <c r="BZ464" s="83" t="str">
        <f t="shared" si="197"/>
        <v/>
      </c>
      <c r="CA464" s="83" t="str">
        <f t="shared" si="198"/>
        <v/>
      </c>
      <c r="CB464" s="530" t="str">
        <f t="shared" si="199"/>
        <v/>
      </c>
      <c r="CM464" s="3" t="s">
        <v>6694</v>
      </c>
      <c r="CR464" t="s">
        <v>13830</v>
      </c>
      <c r="GF464" t="s">
        <v>7868</v>
      </c>
    </row>
    <row r="465" spans="76:188" ht="13.2" customHeight="1">
      <c r="BX465" t="str">
        <f>IF(Pays="Terres des Morts","Cité nécropole de Bhagar/Nécropole Éternelle","")</f>
        <v/>
      </c>
      <c r="BY465" t="str">
        <f t="shared" si="200"/>
        <v/>
      </c>
      <c r="BZ465" s="83" t="str">
        <f t="shared" si="197"/>
        <v/>
      </c>
      <c r="CA465" s="83" t="str">
        <f t="shared" si="198"/>
        <v/>
      </c>
      <c r="CB465" s="530" t="str">
        <f t="shared" si="199"/>
        <v/>
      </c>
      <c r="CM465" t="s">
        <v>10533</v>
      </c>
      <c r="CR465" t="s">
        <v>13831</v>
      </c>
      <c r="GF465" t="s">
        <v>7869</v>
      </c>
    </row>
    <row r="466" spans="76:188" ht="13.2" customHeight="1">
      <c r="BX466" s="3" t="str">
        <f>IF(Pays="Terres des Morts","Cité nécropole de Lybaras/Cité mortuaire d’Asaph","")</f>
        <v/>
      </c>
      <c r="BY466" t="str">
        <f t="shared" si="200"/>
        <v/>
      </c>
      <c r="BZ466" s="83" t="str">
        <f t="shared" si="197"/>
        <v/>
      </c>
      <c r="CA466" s="83" t="str">
        <f t="shared" si="198"/>
        <v/>
      </c>
      <c r="CB466" s="530" t="str">
        <f t="shared" si="199"/>
        <v/>
      </c>
      <c r="CM466" s="83" t="s">
        <v>15112</v>
      </c>
      <c r="CR466" t="s">
        <v>13832</v>
      </c>
      <c r="GF466" t="s">
        <v>8403</v>
      </c>
    </row>
    <row r="467" spans="76:188" ht="13.2" customHeight="1">
      <c r="BX467" t="str">
        <f>IF(Pays="Terres des Morts","Cité nécropole de Zelebzel","")</f>
        <v/>
      </c>
      <c r="BY467" t="str">
        <f t="shared" si="200"/>
        <v/>
      </c>
      <c r="BZ467" s="83" t="str">
        <f t="shared" si="197"/>
        <v/>
      </c>
      <c r="CA467" s="83" t="str">
        <f t="shared" si="198"/>
        <v/>
      </c>
      <c r="CB467" s="530" t="str">
        <f t="shared" si="199"/>
        <v/>
      </c>
      <c r="CM467" s="3" t="s">
        <v>6695</v>
      </c>
      <c r="CR467" t="s">
        <v>13833</v>
      </c>
      <c r="GF467" t="s">
        <v>8391</v>
      </c>
    </row>
    <row r="468" spans="76:188" ht="13.2" customHeight="1">
      <c r="BX468" t="str">
        <f>IF(Pays="Terres des Morts","Cité nécropole Zandri/Port de la Terreur","")</f>
        <v/>
      </c>
      <c r="BY468" t="str">
        <f t="shared" si="200"/>
        <v/>
      </c>
      <c r="BZ468" s="83" t="str">
        <f t="shared" si="197"/>
        <v/>
      </c>
      <c r="CA468" s="83" t="str">
        <f t="shared" si="198"/>
        <v/>
      </c>
      <c r="CB468" s="530" t="str">
        <f t="shared" si="199"/>
        <v/>
      </c>
      <c r="CM468" s="83" t="s">
        <v>15229</v>
      </c>
      <c r="CR468" t="s">
        <v>13834</v>
      </c>
      <c r="GF468" t="s">
        <v>8404</v>
      </c>
    </row>
    <row r="469" spans="76:188" ht="13.2" customHeight="1">
      <c r="BX469" t="str">
        <f>IF(Pays="Terres des Morts","Nécropole de Bel Aliad/Cité de Poussière","")</f>
        <v/>
      </c>
      <c r="BY469" t="str">
        <f t="shared" si="200"/>
        <v/>
      </c>
      <c r="BZ469" s="83" t="str">
        <f t="shared" si="197"/>
        <v/>
      </c>
      <c r="CA469" s="83" t="str">
        <f t="shared" si="198"/>
        <v/>
      </c>
      <c r="CB469" s="530" t="str">
        <f t="shared" si="199"/>
        <v/>
      </c>
      <c r="CM469" t="s">
        <v>10534</v>
      </c>
      <c r="CR469" t="s">
        <v>13835</v>
      </c>
      <c r="GF469" t="s">
        <v>7870</v>
      </c>
    </row>
    <row r="470" spans="76:188" ht="13.2" customHeight="1">
      <c r="BX470" s="83" t="str">
        <f>IF(Pays="Terres des Morts","Nécropole de Beremas","")</f>
        <v/>
      </c>
      <c r="BY470" t="str">
        <f t="shared" si="200"/>
        <v/>
      </c>
      <c r="BZ470" s="83" t="str">
        <f t="shared" si="197"/>
        <v/>
      </c>
      <c r="CA470" s="83" t="str">
        <f t="shared" si="198"/>
        <v/>
      </c>
      <c r="CB470" s="530" t="str">
        <f t="shared" si="199"/>
        <v/>
      </c>
      <c r="CM470" t="s">
        <v>10535</v>
      </c>
      <c r="CR470" t="s">
        <v>13836</v>
      </c>
      <c r="GF470" t="s">
        <v>7871</v>
      </c>
    </row>
    <row r="471" spans="76:188" ht="13.2" customHeight="1">
      <c r="BX471" t="str">
        <f>IF(Pays="Terres des Morts","Nécropole de Khareops","")</f>
        <v/>
      </c>
      <c r="BY471" t="str">
        <f t="shared" si="200"/>
        <v/>
      </c>
      <c r="BZ471" s="83" t="str">
        <f t="shared" si="197"/>
        <v/>
      </c>
      <c r="CA471" s="83" t="str">
        <f t="shared" si="198"/>
        <v/>
      </c>
      <c r="CB471" s="530" t="str">
        <f t="shared" si="199"/>
        <v/>
      </c>
      <c r="CM471" s="3" t="s">
        <v>6698</v>
      </c>
      <c r="CR471" t="s">
        <v>13837</v>
      </c>
      <c r="GF471" t="s">
        <v>8392</v>
      </c>
    </row>
    <row r="472" spans="76:188" ht="13.2" customHeight="1">
      <c r="BX472" t="str">
        <f>IF(Pays="Terres des Morts","Nécropole de Khemri/Cité des Rois","")</f>
        <v/>
      </c>
      <c r="BY472" t="str">
        <f t="shared" si="200"/>
        <v/>
      </c>
      <c r="BZ472" s="83" t="str">
        <f t="shared" si="197"/>
        <v/>
      </c>
      <c r="CA472" s="83" t="str">
        <f t="shared" si="198"/>
        <v/>
      </c>
      <c r="CB472" s="530" t="str">
        <f t="shared" si="199"/>
        <v/>
      </c>
      <c r="CM472" t="s">
        <v>10536</v>
      </c>
      <c r="CR472" t="s">
        <v>13838</v>
      </c>
      <c r="GF472" t="s">
        <v>8409</v>
      </c>
    </row>
    <row r="473" spans="76:188" ht="13.2" customHeight="1">
      <c r="BX473" t="str">
        <f>IF(Pays="Terres des Morts","Nécropole de Mahrak/Cité de la Décrépitude et de la Déchéance","")</f>
        <v/>
      </c>
      <c r="BY473" t="str">
        <f t="shared" si="200"/>
        <v/>
      </c>
      <c r="BZ473" s="83" t="str">
        <f t="shared" si="197"/>
        <v/>
      </c>
      <c r="CA473" s="83" t="str">
        <f t="shared" si="198"/>
        <v/>
      </c>
      <c r="CB473" s="530" t="str">
        <f t="shared" si="199"/>
        <v/>
      </c>
      <c r="CM473" t="s">
        <v>10554</v>
      </c>
      <c r="CR473" t="s">
        <v>13839</v>
      </c>
      <c r="GF473" t="s">
        <v>7872</v>
      </c>
    </row>
    <row r="474" spans="76:188" ht="13.2" customHeight="1">
      <c r="BX474" t="str">
        <f>IF(Pays="Terres des Morts","Nécropole de Numas/Cité des Scarabées","")</f>
        <v/>
      </c>
      <c r="BY474" t="str">
        <f t="shared" si="200"/>
        <v/>
      </c>
      <c r="BZ474" s="83" t="str">
        <f t="shared" si="197"/>
        <v/>
      </c>
      <c r="CA474" s="83" t="str">
        <f t="shared" si="198"/>
        <v/>
      </c>
      <c r="CB474" s="530" t="str">
        <f t="shared" si="199"/>
        <v/>
      </c>
      <c r="CM474" t="s">
        <v>10539</v>
      </c>
      <c r="CR474" t="s">
        <v>13840</v>
      </c>
      <c r="GF474" t="s">
        <v>8405</v>
      </c>
    </row>
    <row r="475" spans="76:188" ht="13.2" customHeight="1">
      <c r="BX475" s="83" t="str">
        <f>IF(Pays="Terres des Morts","Nécropole de Quatar/Palais des Cadavres","")</f>
        <v/>
      </c>
      <c r="BY475" t="str">
        <f t="shared" si="200"/>
        <v/>
      </c>
      <c r="BZ475" s="83" t="str">
        <f t="shared" si="197"/>
        <v/>
      </c>
      <c r="CA475" s="83" t="str">
        <f t="shared" si="198"/>
        <v/>
      </c>
      <c r="CB475" s="530" t="str">
        <f t="shared" si="199"/>
        <v/>
      </c>
      <c r="CM475" t="s">
        <v>10538</v>
      </c>
      <c r="CR475" t="s">
        <v>13841</v>
      </c>
      <c r="GF475" t="s">
        <v>7873</v>
      </c>
    </row>
    <row r="476" spans="76:188" ht="13.2" customHeight="1">
      <c r="BX476" s="3" t="str">
        <f>IF(Pays="Terres des Morts","Nécropole de Rasetra/Forteresse des Âmes vengeresses","")</f>
        <v/>
      </c>
      <c r="BY476" t="str">
        <f t="shared" si="200"/>
        <v/>
      </c>
      <c r="BZ476" s="83" t="str">
        <f t="shared" si="197"/>
        <v/>
      </c>
      <c r="CA476" s="83" t="str">
        <f t="shared" si="198"/>
        <v/>
      </c>
      <c r="CB476" s="530" t="str">
        <f t="shared" si="199"/>
        <v/>
      </c>
      <c r="CM476" s="83" t="s">
        <v>15158</v>
      </c>
      <c r="CR476" t="s">
        <v>13842</v>
      </c>
      <c r="GF476" t="s">
        <v>8393</v>
      </c>
    </row>
    <row r="477" spans="76:188" ht="13.2" customHeight="1">
      <c r="BX477" s="83" t="str">
        <f>IF(Pays="Terres des Morts","Nécropole de Sa’qqara","")</f>
        <v/>
      </c>
      <c r="BY477" t="str">
        <f t="shared" si="200"/>
        <v/>
      </c>
      <c r="BZ477" s="83" t="str">
        <f t="shared" si="197"/>
        <v/>
      </c>
      <c r="CA477" s="83" t="str">
        <f t="shared" si="198"/>
        <v/>
      </c>
      <c r="CB477" s="530" t="str">
        <f t="shared" si="199"/>
        <v/>
      </c>
      <c r="CM477" t="s">
        <v>10540</v>
      </c>
      <c r="CR477" t="s">
        <v>13843</v>
      </c>
      <c r="GF477" t="s">
        <v>8397</v>
      </c>
    </row>
    <row r="478" spans="76:188" ht="13.2" customHeight="1">
      <c r="BX478" s="3" t="str">
        <f>IF(SelectRace="skaven","Gouffre Noir","")</f>
        <v/>
      </c>
      <c r="BY478" t="str">
        <f t="shared" si="200"/>
        <v/>
      </c>
      <c r="BZ478" s="83" t="str">
        <f t="shared" si="197"/>
        <v/>
      </c>
      <c r="CA478" s="83" t="str">
        <f t="shared" si="198"/>
        <v/>
      </c>
      <c r="CB478" s="530" t="str">
        <f t="shared" si="199"/>
        <v/>
      </c>
      <c r="CM478" t="s">
        <v>10543</v>
      </c>
      <c r="CR478" t="s">
        <v>13844</v>
      </c>
      <c r="GF478" t="s">
        <v>8406</v>
      </c>
    </row>
    <row r="479" spans="76:188" ht="13.2" customHeight="1">
      <c r="BX479" s="3" t="str">
        <f>IF(SelectRace="skaven","Malefosse","")</f>
        <v/>
      </c>
      <c r="BY479" t="str">
        <f t="shared" si="200"/>
        <v/>
      </c>
      <c r="BZ479" s="83" t="str">
        <f t="shared" si="197"/>
        <v/>
      </c>
      <c r="CA479" s="83" t="str">
        <f t="shared" si="198"/>
        <v/>
      </c>
      <c r="CB479" s="530" t="str">
        <f t="shared" si="199"/>
        <v/>
      </c>
      <c r="CM479" t="s">
        <v>10541</v>
      </c>
      <c r="CR479" t="s">
        <v>13845</v>
      </c>
      <c r="GF479" t="s">
        <v>7874</v>
      </c>
    </row>
    <row r="480" spans="76:188" ht="13.2" customHeight="1">
      <c r="BX480" s="3" t="str">
        <f>IF(SelectRace="skaven","Duché de Moussillon","")</f>
        <v/>
      </c>
      <c r="BY480" t="str">
        <f t="shared" si="200"/>
        <v/>
      </c>
      <c r="BZ480" s="83" t="str">
        <f t="shared" si="197"/>
        <v/>
      </c>
      <c r="CA480" s="83" t="str">
        <f t="shared" si="198"/>
        <v/>
      </c>
      <c r="CB480" s="530" t="str">
        <f t="shared" si="199"/>
        <v/>
      </c>
      <c r="CM480" t="s">
        <v>10542</v>
      </c>
      <c r="CR480" t="s">
        <v>13846</v>
      </c>
      <c r="GF480" t="s">
        <v>8410</v>
      </c>
    </row>
    <row r="481" spans="76:188" ht="13.2" customHeight="1">
      <c r="BX481" s="3" t="str">
        <f>IF(SelectRace="skaven","Puits-du-Queekz","")</f>
        <v/>
      </c>
      <c r="BY481" t="str">
        <f t="shared" si="200"/>
        <v/>
      </c>
      <c r="BZ481" s="83" t="str">
        <f t="shared" si="197"/>
        <v/>
      </c>
      <c r="CA481" s="83" t="str">
        <f t="shared" si="198"/>
        <v/>
      </c>
      <c r="CB481" s="530" t="str">
        <f t="shared" si="199"/>
        <v/>
      </c>
      <c r="CM481" s="3" t="s">
        <v>6699</v>
      </c>
      <c r="CR481" t="s">
        <v>13847</v>
      </c>
      <c r="GF481" t="s">
        <v>8394</v>
      </c>
    </row>
    <row r="482" spans="76:188" ht="13.2" customHeight="1">
      <c r="BX482" s="3" t="str">
        <f>IF(SelectRace="skaven","Skarogne","")</f>
        <v/>
      </c>
      <c r="BY482" t="str">
        <f t="shared" si="200"/>
        <v/>
      </c>
      <c r="BZ482" s="83" t="str">
        <f t="shared" si="197"/>
        <v/>
      </c>
      <c r="CA482" s="83" t="str">
        <f t="shared" si="198"/>
        <v/>
      </c>
      <c r="CB482" s="530" t="str">
        <f t="shared" si="199"/>
        <v/>
      </c>
      <c r="CM482" t="s">
        <v>10544</v>
      </c>
      <c r="CR482" t="s">
        <v>13848</v>
      </c>
      <c r="GF482" t="s">
        <v>7875</v>
      </c>
    </row>
    <row r="483" spans="76:188" ht="13.2" customHeight="1">
      <c r="BX483" s="3" t="str">
        <f>IF(SelectRace="skaven","Sub-Altdorf","")</f>
        <v/>
      </c>
      <c r="BY483" t="str">
        <f t="shared" si="200"/>
        <v/>
      </c>
      <c r="BZ483" s="83" t="str">
        <f t="shared" si="197"/>
        <v/>
      </c>
      <c r="CA483" s="83" t="str">
        <f t="shared" si="198"/>
        <v/>
      </c>
      <c r="CB483" s="530" t="str">
        <f t="shared" si="199"/>
        <v/>
      </c>
      <c r="CM483" s="3" t="s">
        <v>6696</v>
      </c>
      <c r="CR483" t="s">
        <v>13849</v>
      </c>
      <c r="GF483" t="s">
        <v>8395</v>
      </c>
    </row>
    <row r="484" spans="76:188" ht="13.2" customHeight="1">
      <c r="BX484" s="3" t="str">
        <f>IF(SelectRace="skaven","LaCité des Piliers","")</f>
        <v/>
      </c>
      <c r="BY484" t="str">
        <f t="shared" si="200"/>
        <v/>
      </c>
      <c r="BZ484" s="83" t="str">
        <f t="shared" si="197"/>
        <v/>
      </c>
      <c r="CA484" s="83" t="str">
        <f t="shared" si="198"/>
        <v/>
      </c>
      <c r="CB484" s="530" t="str">
        <f t="shared" si="199"/>
        <v/>
      </c>
      <c r="CM484" s="3" t="s">
        <v>6697</v>
      </c>
      <c r="CR484" t="s">
        <v>13850</v>
      </c>
      <c r="GF484" t="s">
        <v>7876</v>
      </c>
    </row>
    <row r="485" spans="76:188" ht="13.2" customHeight="1">
      <c r="BX485" s="83" t="str">
        <f>IF(Pays="Albion","Tribu du Bouclier Grondant","")</f>
        <v/>
      </c>
      <c r="BY485" t="str">
        <f t="shared" si="200"/>
        <v/>
      </c>
      <c r="BZ485" s="83" t="str">
        <f t="shared" si="197"/>
        <v/>
      </c>
      <c r="CA485" s="83" t="str">
        <f t="shared" si="198"/>
        <v/>
      </c>
      <c r="CB485" s="530" t="str">
        <f t="shared" si="199"/>
        <v/>
      </c>
      <c r="CM485" s="3" t="s">
        <v>6700</v>
      </c>
      <c r="CR485" t="s">
        <v>13851</v>
      </c>
      <c r="GF485" t="s">
        <v>7877</v>
      </c>
    </row>
    <row r="486" spans="76:188" ht="13.2" customHeight="1">
      <c r="BX486" s="83" t="str">
        <f>IF(Pays="Albion","Tribu des Sessairs","")</f>
        <v/>
      </c>
      <c r="BY486" t="str">
        <f t="shared" si="200"/>
        <v/>
      </c>
      <c r="BZ486" s="83" t="str">
        <f t="shared" si="197"/>
        <v/>
      </c>
      <c r="CA486" s="83" t="str">
        <f t="shared" si="198"/>
        <v/>
      </c>
      <c r="CB486" s="530" t="str">
        <f t="shared" si="199"/>
        <v/>
      </c>
      <c r="CM486" t="s">
        <v>10545</v>
      </c>
      <c r="CR486" t="s">
        <v>13852</v>
      </c>
      <c r="GF486" t="s">
        <v>8407</v>
      </c>
    </row>
    <row r="487" spans="76:188" ht="13.2" customHeight="1">
      <c r="BX487" s="83" t="str">
        <f>IF(Pays="Albion","Tribu des Faliens","")</f>
        <v/>
      </c>
      <c r="BY487" t="str">
        <f t="shared" si="200"/>
        <v/>
      </c>
      <c r="BZ487" s="83" t="str">
        <f t="shared" si="197"/>
        <v/>
      </c>
      <c r="CA487" s="83" t="str">
        <f t="shared" si="198"/>
        <v/>
      </c>
      <c r="CB487" s="530" t="str">
        <f t="shared" si="199"/>
        <v/>
      </c>
      <c r="CM487" t="s">
        <v>10546</v>
      </c>
      <c r="CR487" t="s">
        <v>13853</v>
      </c>
      <c r="GF487" t="s">
        <v>8422</v>
      </c>
    </row>
    <row r="488" spans="76:188" ht="13.2" customHeight="1">
      <c r="BX488" s="83" t="str">
        <f>IF(Pays="Albion","Tribu des Finiens","")</f>
        <v/>
      </c>
      <c r="BY488" t="str">
        <f t="shared" si="200"/>
        <v/>
      </c>
      <c r="BZ488" s="83" t="str">
        <f t="shared" si="197"/>
        <v/>
      </c>
      <c r="CA488" s="83" t="str">
        <f t="shared" si="198"/>
        <v/>
      </c>
      <c r="CB488" s="530" t="str">
        <f t="shared" si="199"/>
        <v/>
      </c>
      <c r="CM488" s="83" t="s">
        <v>15165</v>
      </c>
      <c r="CR488" t="s">
        <v>13854</v>
      </c>
      <c r="GF488" t="s">
        <v>8423</v>
      </c>
    </row>
    <row r="489" spans="76:188" ht="13.2" customHeight="1">
      <c r="BX489" s="83" t="str">
        <f>IF(Pays="Albion","Tribu indépendante d'Albion","")</f>
        <v/>
      </c>
      <c r="BY489" t="str">
        <f t="shared" si="200"/>
        <v/>
      </c>
      <c r="BZ489" s="83" t="str">
        <f t="shared" si="197"/>
        <v/>
      </c>
      <c r="CA489" s="83" t="str">
        <f t="shared" si="198"/>
        <v/>
      </c>
      <c r="CB489" s="530" t="str">
        <f t="shared" si="199"/>
        <v/>
      </c>
      <c r="CM489" t="s">
        <v>10547</v>
      </c>
      <c r="CR489" t="s">
        <v>13855</v>
      </c>
      <c r="GF489" t="s">
        <v>7878</v>
      </c>
    </row>
    <row r="490" spans="76:188" ht="13.2" customHeight="1">
      <c r="BX490" s="83" t="str">
        <f>IF(Pays="Nippon","Terres du Clan Ashiwara","")</f>
        <v/>
      </c>
      <c r="BY490" t="str">
        <f t="shared" si="200"/>
        <v/>
      </c>
      <c r="BZ490" s="83" t="str">
        <f t="shared" si="197"/>
        <v/>
      </c>
      <c r="CA490" s="83" t="str">
        <f t="shared" si="198"/>
        <v/>
      </c>
      <c r="CB490" s="530" t="str">
        <f t="shared" si="199"/>
        <v/>
      </c>
      <c r="CM490" t="s">
        <v>10548</v>
      </c>
      <c r="CR490" t="s">
        <v>13856</v>
      </c>
      <c r="GF490" t="s">
        <v>7879</v>
      </c>
    </row>
    <row r="491" spans="76:188" ht="13.2" customHeight="1">
      <c r="BX491" t="str">
        <f>IF(Pays="Nippon","Terres du Clan Uruchi","")</f>
        <v/>
      </c>
      <c r="BY491" t="str">
        <f t="shared" si="200"/>
        <v/>
      </c>
      <c r="BZ491" s="83" t="str">
        <f t="shared" si="197"/>
        <v/>
      </c>
      <c r="CA491" s="83" t="str">
        <f t="shared" si="198"/>
        <v/>
      </c>
      <c r="CB491" s="530" t="str">
        <f t="shared" si="199"/>
        <v/>
      </c>
      <c r="CM491" t="s">
        <v>10549</v>
      </c>
      <c r="CR491" t="s">
        <v>13857</v>
      </c>
      <c r="GF491" t="s">
        <v>8429</v>
      </c>
    </row>
    <row r="492" spans="76:188" ht="13.2" customHeight="1">
      <c r="BX492" t="str">
        <f>IF(Pays="Nippon","Terres du Clan Batake","")</f>
        <v/>
      </c>
      <c r="BY492" t="str">
        <f t="shared" si="200"/>
        <v/>
      </c>
      <c r="BZ492" s="83" t="str">
        <f t="shared" si="197"/>
        <v/>
      </c>
      <c r="CA492" s="83" t="str">
        <f t="shared" si="198"/>
        <v/>
      </c>
      <c r="CB492" s="530" t="str">
        <f t="shared" si="199"/>
        <v/>
      </c>
      <c r="CM492" t="s">
        <v>10550</v>
      </c>
      <c r="CR492" t="s">
        <v>13858</v>
      </c>
      <c r="GF492" t="s">
        <v>8411</v>
      </c>
    </row>
    <row r="493" spans="76:188" ht="13.2" customHeight="1">
      <c r="BX493" t="str">
        <f>IF(Pays="Nippon","Terres du Clan Shinzei","")</f>
        <v/>
      </c>
      <c r="BY493" t="str">
        <f t="shared" si="200"/>
        <v/>
      </c>
      <c r="BZ493" s="83" t="str">
        <f t="shared" si="197"/>
        <v/>
      </c>
      <c r="CA493" s="83" t="str">
        <f t="shared" si="198"/>
        <v/>
      </c>
      <c r="CB493" s="530" t="str">
        <f t="shared" si="199"/>
        <v/>
      </c>
      <c r="CM493" t="s">
        <v>10551</v>
      </c>
      <c r="CR493" t="s">
        <v>13859</v>
      </c>
      <c r="GF493" t="s">
        <v>7880</v>
      </c>
    </row>
    <row r="494" spans="76:188" ht="13.2" customHeight="1">
      <c r="BX494" t="str">
        <f>IF(Pays="Nippon","Terres du Clan Mushagi","")</f>
        <v/>
      </c>
      <c r="BY494" t="str">
        <f t="shared" si="200"/>
        <v/>
      </c>
      <c r="BZ494" s="83" t="str">
        <f t="shared" si="197"/>
        <v/>
      </c>
      <c r="CA494" s="83" t="str">
        <f t="shared" si="198"/>
        <v/>
      </c>
      <c r="CB494" s="530" t="str">
        <f t="shared" si="199"/>
        <v/>
      </c>
      <c r="CM494" t="s">
        <v>10552</v>
      </c>
      <c r="CR494" t="s">
        <v>13860</v>
      </c>
      <c r="GF494" t="s">
        <v>8419</v>
      </c>
    </row>
    <row r="495" spans="76:188" ht="13.2" customHeight="1">
      <c r="BX495" t="str">
        <f>IF(Pays="Nippon","Terres du Clan Daimatzu","")</f>
        <v/>
      </c>
      <c r="BY495" t="str">
        <f t="shared" si="200"/>
        <v/>
      </c>
      <c r="BZ495" s="83" t="str">
        <f t="shared" si="197"/>
        <v/>
      </c>
      <c r="CA495" s="83" t="str">
        <f t="shared" si="198"/>
        <v/>
      </c>
      <c r="CB495" s="530" t="str">
        <f t="shared" si="199"/>
        <v/>
      </c>
      <c r="CM495" t="s">
        <v>10537</v>
      </c>
      <c r="CR495" t="s">
        <v>13861</v>
      </c>
      <c r="GF495" t="s">
        <v>8412</v>
      </c>
    </row>
    <row r="496" spans="76:188" ht="13.2" customHeight="1">
      <c r="BX496" t="str">
        <f>IF(Pays="Nippon","Terres du Clan Horumi","")</f>
        <v/>
      </c>
      <c r="BY496" t="str">
        <f t="shared" si="200"/>
        <v/>
      </c>
      <c r="BZ496" s="83" t="str">
        <f t="shared" si="197"/>
        <v/>
      </c>
      <c r="CA496" s="83" t="str">
        <f t="shared" si="198"/>
        <v/>
      </c>
      <c r="CB496" s="530" t="str">
        <f t="shared" si="199"/>
        <v/>
      </c>
      <c r="CM496" t="s">
        <v>10553</v>
      </c>
      <c r="CR496" t="s">
        <v>13862</v>
      </c>
      <c r="GF496" t="s">
        <v>7881</v>
      </c>
    </row>
    <row r="497" spans="76:188" ht="13.2" customHeight="1">
      <c r="BX497" t="str">
        <f>IF(Pays="Nippon","Terres du Clan Taneka","")</f>
        <v/>
      </c>
      <c r="BY497" t="str">
        <f t="shared" si="200"/>
        <v/>
      </c>
      <c r="BZ497" s="83" t="str">
        <f t="shared" si="197"/>
        <v/>
      </c>
      <c r="CA497" s="83" t="str">
        <f t="shared" si="198"/>
        <v/>
      </c>
      <c r="CB497" s="530" t="str">
        <f t="shared" si="199"/>
        <v/>
      </c>
      <c r="CM497" s="83" t="s">
        <v>15117</v>
      </c>
      <c r="CR497" t="s">
        <v>13863</v>
      </c>
      <c r="GF497" s="25" t="s">
        <v>7882</v>
      </c>
    </row>
    <row r="498" spans="76:188" ht="13.2" customHeight="1">
      <c r="BX498" t="str">
        <f>IF(Pays="Cathay","Village de la région des Grands Fleuves","")</f>
        <v/>
      </c>
      <c r="BY498" t="str">
        <f t="shared" si="200"/>
        <v/>
      </c>
      <c r="BZ498" s="83" t="str">
        <f t="shared" si="197"/>
        <v/>
      </c>
      <c r="CA498" s="83" t="str">
        <f t="shared" si="198"/>
        <v/>
      </c>
      <c r="CB498" s="530" t="str">
        <f t="shared" si="199"/>
        <v/>
      </c>
      <c r="CM498" t="s">
        <v>10555</v>
      </c>
      <c r="CR498" t="s">
        <v>13864</v>
      </c>
      <c r="GF498" t="s">
        <v>8413</v>
      </c>
    </row>
    <row r="499" spans="76:188" ht="13.2" customHeight="1">
      <c r="BX499" t="str">
        <f>IF(Pays="Cathay","Village de la région des Montagnes","")</f>
        <v/>
      </c>
      <c r="BY499" t="str">
        <f t="shared" si="200"/>
        <v/>
      </c>
      <c r="BZ499" s="83" t="str">
        <f t="shared" si="197"/>
        <v/>
      </c>
      <c r="CA499" s="83" t="str">
        <f t="shared" si="198"/>
        <v/>
      </c>
      <c r="CB499" s="530" t="str">
        <f t="shared" si="199"/>
        <v/>
      </c>
      <c r="CM499" t="s">
        <v>10556</v>
      </c>
      <c r="CR499" t="s">
        <v>13865</v>
      </c>
      <c r="GF499" t="s">
        <v>7883</v>
      </c>
    </row>
    <row r="500" spans="76:188" ht="13.2" customHeight="1">
      <c r="BX500" t="str">
        <f>IF(Province="Wan Tsou","Ville de Weijin","")</f>
        <v/>
      </c>
      <c r="BY500" t="str">
        <f t="shared" si="200"/>
        <v/>
      </c>
      <c r="BZ500" s="83" t="str">
        <f t="shared" si="197"/>
        <v/>
      </c>
      <c r="CA500" s="83" t="str">
        <f t="shared" si="198"/>
        <v/>
      </c>
      <c r="CB500" s="530" t="str">
        <f t="shared" si="199"/>
        <v/>
      </c>
      <c r="CM500" t="s">
        <v>10557</v>
      </c>
      <c r="CR500" t="s">
        <v>13866</v>
      </c>
      <c r="GF500" t="s">
        <v>8424</v>
      </c>
    </row>
    <row r="501" spans="76:188" ht="13.2" customHeight="1">
      <c r="BX501" t="str">
        <f>IF(Province="Wan Tsou","Ville de Nan-Gau","")</f>
        <v/>
      </c>
      <c r="BY501" t="str">
        <f t="shared" si="200"/>
        <v/>
      </c>
      <c r="BZ501" s="83" t="str">
        <f t="shared" si="197"/>
        <v/>
      </c>
      <c r="CA501" s="83" t="str">
        <f t="shared" si="198"/>
        <v/>
      </c>
      <c r="CB501" s="530" t="str">
        <f t="shared" si="199"/>
        <v/>
      </c>
      <c r="CM501" t="s">
        <v>10558</v>
      </c>
      <c r="CR501" t="s">
        <v>13867</v>
      </c>
      <c r="GF501" t="s">
        <v>8425</v>
      </c>
    </row>
    <row r="502" spans="76:188" ht="13.2" customHeight="1">
      <c r="BX502" t="str">
        <f>IF(Province="Wei An","Ville de Fu Chow","")</f>
        <v/>
      </c>
      <c r="BY502" t="str">
        <f t="shared" si="200"/>
        <v/>
      </c>
      <c r="BZ502" s="83" t="str">
        <f t="shared" si="197"/>
        <v/>
      </c>
      <c r="CA502" s="83" t="str">
        <f t="shared" si="198"/>
        <v/>
      </c>
      <c r="CB502" s="530" t="str">
        <f t="shared" si="199"/>
        <v/>
      </c>
      <c r="CM502" t="s">
        <v>10559</v>
      </c>
      <c r="CR502" t="s">
        <v>13868</v>
      </c>
      <c r="GF502" t="s">
        <v>8426</v>
      </c>
    </row>
    <row r="503" spans="76:188" ht="13.2" customHeight="1">
      <c r="BX503" t="str">
        <f>IF(Province="Datai","Ville de Shang-Yang","")</f>
        <v/>
      </c>
      <c r="BY503" t="str">
        <f t="shared" si="200"/>
        <v/>
      </c>
      <c r="BZ503" s="83" t="str">
        <f t="shared" si="197"/>
        <v/>
      </c>
      <c r="CA503" s="83" t="str">
        <f t="shared" si="198"/>
        <v/>
      </c>
      <c r="CB503" s="530" t="str">
        <f t="shared" si="199"/>
        <v/>
      </c>
      <c r="CM503" t="s">
        <v>10560</v>
      </c>
      <c r="CR503" t="s">
        <v>1062</v>
      </c>
      <c r="GF503" t="s">
        <v>8420</v>
      </c>
    </row>
    <row r="504" spans="76:188" ht="13.2" customHeight="1">
      <c r="BX504" t="str">
        <f>IF(Province="Song Jiang","Ville de Xianbei","")</f>
        <v/>
      </c>
      <c r="BY504" t="str">
        <f t="shared" si="200"/>
        <v/>
      </c>
      <c r="BZ504" s="83" t="str">
        <f t="shared" si="197"/>
        <v/>
      </c>
      <c r="CA504" s="83" t="str">
        <f t="shared" si="198"/>
        <v/>
      </c>
      <c r="CB504" s="530" t="str">
        <f t="shared" si="199"/>
        <v/>
      </c>
      <c r="CM504" t="s">
        <v>10561</v>
      </c>
      <c r="CR504" t="s">
        <v>13869</v>
      </c>
      <c r="GF504" t="s">
        <v>8432</v>
      </c>
    </row>
    <row r="505" spans="76:188" ht="13.2" customHeight="1">
      <c r="BX505" t="str">
        <f>IF(Pays="Cathay","Village sur La Route de la Soie","")</f>
        <v/>
      </c>
      <c r="BY505" t="str">
        <f t="shared" si="200"/>
        <v/>
      </c>
      <c r="BZ505" s="83" t="str">
        <f t="shared" si="197"/>
        <v/>
      </c>
      <c r="CA505" s="83" t="str">
        <f t="shared" si="198"/>
        <v/>
      </c>
      <c r="CB505" s="530" t="str">
        <f t="shared" si="199"/>
        <v/>
      </c>
      <c r="CM505" t="s">
        <v>10562</v>
      </c>
      <c r="CR505" t="s">
        <v>13870</v>
      </c>
      <c r="GF505" t="s">
        <v>7884</v>
      </c>
    </row>
    <row r="506" spans="76:188" ht="13.2" customHeight="1">
      <c r="BX506" t="str">
        <f>IF(Province="Shan Jiao","Ville de Yuanjin","")</f>
        <v/>
      </c>
      <c r="BY506" t="str">
        <f t="shared" si="200"/>
        <v/>
      </c>
      <c r="BZ506" s="83" t="str">
        <f t="shared" si="197"/>
        <v/>
      </c>
      <c r="CA506" s="83" t="str">
        <f t="shared" si="198"/>
        <v/>
      </c>
      <c r="CB506" s="530" t="str">
        <f t="shared" si="199"/>
        <v/>
      </c>
      <c r="CM506" t="s">
        <v>10563</v>
      </c>
      <c r="CR506" t="s">
        <v>13871</v>
      </c>
      <c r="GF506" t="s">
        <v>8414</v>
      </c>
    </row>
    <row r="507" spans="76:188" ht="13.2" customHeight="1">
      <c r="BX507" t="str">
        <f>IF(Province="Han Kou","Ville de Sumun","")</f>
        <v/>
      </c>
      <c r="BY507" t="str">
        <f t="shared" si="200"/>
        <v/>
      </c>
      <c r="BZ507" s="83" t="str">
        <f t="shared" si="197"/>
        <v/>
      </c>
      <c r="CA507" s="83" t="str">
        <f t="shared" si="198"/>
        <v/>
      </c>
      <c r="CB507" s="530" t="str">
        <f t="shared" si="199"/>
        <v/>
      </c>
      <c r="CM507" t="s">
        <v>10564</v>
      </c>
      <c r="CR507" t="s">
        <v>13872</v>
      </c>
      <c r="GF507" t="s">
        <v>8415</v>
      </c>
    </row>
    <row r="508" spans="76:188" ht="13.2" customHeight="1">
      <c r="BX508" s="83" t="str">
        <f>IF(Pays="Steppes orientales","Tribus kurganne des Kvellig","")</f>
        <v/>
      </c>
      <c r="BY508" t="str">
        <f t="shared" si="200"/>
        <v/>
      </c>
      <c r="BZ508" s="83" t="str">
        <f t="shared" si="197"/>
        <v/>
      </c>
      <c r="CA508" s="83" t="str">
        <f t="shared" si="198"/>
        <v/>
      </c>
      <c r="CB508" s="530" t="str">
        <f t="shared" si="199"/>
        <v/>
      </c>
      <c r="CM508" t="s">
        <v>10566</v>
      </c>
      <c r="CR508" t="s">
        <v>13873</v>
      </c>
      <c r="GF508" t="s">
        <v>7885</v>
      </c>
    </row>
    <row r="509" spans="76:188" ht="13.2" customHeight="1">
      <c r="BX509" s="83" t="str">
        <f>IF(Pays="Steppes orientales","Tribus kurganne des Gharhar","")</f>
        <v/>
      </c>
      <c r="BY509" t="str">
        <f t="shared" si="200"/>
        <v/>
      </c>
      <c r="BZ509" s="83" t="str">
        <f t="shared" si="197"/>
        <v/>
      </c>
      <c r="CA509" s="83" t="str">
        <f t="shared" si="198"/>
        <v/>
      </c>
      <c r="CB509" s="530" t="str">
        <f t="shared" si="199"/>
        <v/>
      </c>
      <c r="CM509" t="s">
        <v>10565</v>
      </c>
      <c r="CR509" t="s">
        <v>13874</v>
      </c>
      <c r="GF509" t="s">
        <v>8427</v>
      </c>
    </row>
    <row r="510" spans="76:188" ht="13.2" customHeight="1">
      <c r="BX510" s="83" t="str">
        <f>IF(Pays="Steppes orientales","Tribus kurganne des Tong","")</f>
        <v/>
      </c>
      <c r="BY510" t="str">
        <f t="shared" si="200"/>
        <v/>
      </c>
      <c r="BZ510" s="83" t="str">
        <f t="shared" si="197"/>
        <v/>
      </c>
      <c r="CA510" s="83" t="str">
        <f t="shared" si="198"/>
        <v/>
      </c>
      <c r="CB510" s="530" t="str">
        <f t="shared" si="199"/>
        <v/>
      </c>
      <c r="CM510" t="s">
        <v>10568</v>
      </c>
      <c r="CR510" t="s">
        <v>13875</v>
      </c>
      <c r="GF510" t="s">
        <v>8416</v>
      </c>
    </row>
    <row r="511" spans="76:188" ht="13.2" customHeight="1">
      <c r="BX511" s="83" t="str">
        <f>IF(Pays="Steppes orientales","Tribus kurganne des Tahmak","")</f>
        <v/>
      </c>
      <c r="BY511" t="str">
        <f t="shared" si="200"/>
        <v/>
      </c>
      <c r="BZ511" s="83" t="str">
        <f t="shared" si="197"/>
        <v/>
      </c>
      <c r="CA511" s="83" t="str">
        <f t="shared" si="198"/>
        <v/>
      </c>
      <c r="CB511" s="530" t="str">
        <f t="shared" si="199"/>
        <v/>
      </c>
      <c r="CM511" t="s">
        <v>10569</v>
      </c>
      <c r="CR511" t="s">
        <v>13876</v>
      </c>
      <c r="GF511" t="s">
        <v>8430</v>
      </c>
    </row>
    <row r="512" spans="76:188" ht="13.2" customHeight="1">
      <c r="BX512" s="83" t="str">
        <f>IF(Pays="Steppes orientales","Tribus kurganne des Hastling","")</f>
        <v/>
      </c>
      <c r="BY512" t="str">
        <f t="shared" si="200"/>
        <v/>
      </c>
      <c r="BZ512" s="83" t="str">
        <f t="shared" si="197"/>
        <v/>
      </c>
      <c r="CA512" s="83" t="str">
        <f t="shared" si="198"/>
        <v/>
      </c>
      <c r="CB512" s="530" t="str">
        <f t="shared" si="199"/>
        <v/>
      </c>
      <c r="CM512" t="s">
        <v>10570</v>
      </c>
      <c r="CR512" t="s">
        <v>13877</v>
      </c>
      <c r="GF512" t="s">
        <v>7886</v>
      </c>
    </row>
    <row r="513" spans="76:188" ht="13.2" customHeight="1">
      <c r="BX513" s="83" t="str">
        <f>IF(Pays="Steppes orientales","Tribus kurganne des Kul","")</f>
        <v/>
      </c>
      <c r="BY513" t="str">
        <f t="shared" si="200"/>
        <v/>
      </c>
      <c r="BZ513" s="83" t="str">
        <f t="shared" si="197"/>
        <v/>
      </c>
      <c r="CA513" s="83" t="str">
        <f t="shared" si="198"/>
        <v/>
      </c>
      <c r="CB513" s="530" t="str">
        <f t="shared" si="199"/>
        <v/>
      </c>
      <c r="CM513" s="3" t="s">
        <v>6701</v>
      </c>
      <c r="CR513" t="s">
        <v>13878</v>
      </c>
      <c r="GF513" t="s">
        <v>7887</v>
      </c>
    </row>
    <row r="514" spans="76:188" ht="13.2" customHeight="1">
      <c r="BX514" s="83" t="str">
        <f>IF(Pays="Steppes orientales","Tribus kurganne des Veh-Kung","")</f>
        <v/>
      </c>
      <c r="BY514" t="str">
        <f t="shared" si="200"/>
        <v/>
      </c>
      <c r="BZ514" s="83" t="str">
        <f t="shared" ref="BZ514:BZ577" si="201">IFERROR(SMALL(BY:BY,ROW()-1),"")</f>
        <v/>
      </c>
      <c r="CA514" s="83" t="str">
        <f t="shared" ref="CA514:CA577" si="202">IFERROR(INDEX(BX:BX,BZ514),"")</f>
        <v/>
      </c>
      <c r="CB514" s="530" t="str">
        <f t="shared" ref="CB514:CB577" si="203">INDEX(CA:CA,ROW())</f>
        <v/>
      </c>
      <c r="CM514" t="s">
        <v>10567</v>
      </c>
      <c r="CR514" t="s">
        <v>13879</v>
      </c>
      <c r="GF514" t="s">
        <v>7888</v>
      </c>
    </row>
    <row r="515" spans="76:188" ht="13.2" customHeight="1">
      <c r="BX515" s="83" t="str">
        <f>IF(Pays="Pays Perdu","Cité de Marienbourg","")</f>
        <v/>
      </c>
      <c r="BY515" t="str">
        <f t="shared" ref="BY515:BY578" si="204">IF(BX515="","",ROW())</f>
        <v/>
      </c>
      <c r="BZ515" s="83" t="str">
        <f t="shared" si="201"/>
        <v/>
      </c>
      <c r="CA515" s="83" t="str">
        <f t="shared" si="202"/>
        <v/>
      </c>
      <c r="CB515" s="530" t="str">
        <f t="shared" si="203"/>
        <v/>
      </c>
      <c r="CM515" t="s">
        <v>10571</v>
      </c>
      <c r="CR515" t="s">
        <v>13880</v>
      </c>
      <c r="GF515" t="s">
        <v>7889</v>
      </c>
    </row>
    <row r="516" spans="76:188" ht="13.2" customHeight="1">
      <c r="BX516" s="83" t="str">
        <f>IF(Pays="Lustrie","Ruines de laCité duItza","")</f>
        <v/>
      </c>
      <c r="BY516" t="str">
        <f t="shared" si="204"/>
        <v/>
      </c>
      <c r="BZ516" s="83" t="str">
        <f t="shared" si="201"/>
        <v/>
      </c>
      <c r="CA516" s="83" t="str">
        <f t="shared" si="202"/>
        <v/>
      </c>
      <c r="CB516" s="530" t="str">
        <f t="shared" si="203"/>
        <v/>
      </c>
      <c r="CM516" t="s">
        <v>10572</v>
      </c>
      <c r="CR516" t="s">
        <v>13881</v>
      </c>
      <c r="GF516" t="s">
        <v>8431</v>
      </c>
    </row>
    <row r="517" spans="76:188" ht="13.2" customHeight="1">
      <c r="BX517" s="83" t="str">
        <f>IF(Pays="Lustrie","Cité duHexoatl","")</f>
        <v/>
      </c>
      <c r="BY517" t="str">
        <f t="shared" si="204"/>
        <v/>
      </c>
      <c r="BZ517" s="83" t="str">
        <f t="shared" si="201"/>
        <v/>
      </c>
      <c r="CA517" s="83" t="str">
        <f t="shared" si="202"/>
        <v/>
      </c>
      <c r="CB517" s="530" t="str">
        <f t="shared" si="203"/>
        <v/>
      </c>
      <c r="CM517" t="s">
        <v>10573</v>
      </c>
      <c r="CR517" t="s">
        <v>13882</v>
      </c>
      <c r="GF517" t="s">
        <v>8417</v>
      </c>
    </row>
    <row r="518" spans="76:188" ht="13.2" customHeight="1">
      <c r="BX518" s="83" t="str">
        <f>IF(Pays="Lustrie","Cité de Tlaxtlan","")</f>
        <v/>
      </c>
      <c r="BY518" t="str">
        <f t="shared" si="204"/>
        <v/>
      </c>
      <c r="BZ518" s="83" t="str">
        <f t="shared" si="201"/>
        <v/>
      </c>
      <c r="CA518" s="83" t="str">
        <f t="shared" si="202"/>
        <v/>
      </c>
      <c r="CB518" s="530" t="str">
        <f t="shared" si="203"/>
        <v/>
      </c>
      <c r="CM518" t="s">
        <v>10574</v>
      </c>
      <c r="CR518" t="s">
        <v>13883</v>
      </c>
      <c r="GF518" t="s">
        <v>7890</v>
      </c>
    </row>
    <row r="519" spans="76:188" ht="13.2" customHeight="1">
      <c r="BX519" s="83" t="str">
        <f>IF(Pays="Lustrie","Cité de Xlanhuapec","")</f>
        <v/>
      </c>
      <c r="BY519" t="str">
        <f t="shared" si="204"/>
        <v/>
      </c>
      <c r="BZ519" s="83" t="str">
        <f t="shared" si="201"/>
        <v/>
      </c>
      <c r="CA519" s="83" t="str">
        <f t="shared" si="202"/>
        <v/>
      </c>
      <c r="CB519" s="530" t="str">
        <f t="shared" si="203"/>
        <v/>
      </c>
      <c r="CM519" t="s">
        <v>10576</v>
      </c>
      <c r="CR519" t="s">
        <v>13884</v>
      </c>
      <c r="GF519" t="s">
        <v>8433</v>
      </c>
    </row>
    <row r="520" spans="76:188" ht="13.2" customHeight="1">
      <c r="BX520" s="83" t="str">
        <f>IF(Pays="Lustrie","Ruines de Pahuax","")</f>
        <v/>
      </c>
      <c r="BY520" t="str">
        <f t="shared" si="204"/>
        <v/>
      </c>
      <c r="BZ520" s="83" t="str">
        <f t="shared" si="201"/>
        <v/>
      </c>
      <c r="CA520" s="83" t="str">
        <f t="shared" si="202"/>
        <v/>
      </c>
      <c r="CB520" s="530" t="str">
        <f t="shared" si="203"/>
        <v/>
      </c>
      <c r="CM520" t="s">
        <v>10575</v>
      </c>
      <c r="CR520" t="s">
        <v>13885</v>
      </c>
      <c r="GF520" t="s">
        <v>8421</v>
      </c>
    </row>
    <row r="521" spans="76:188" ht="13.2" customHeight="1">
      <c r="BX521" s="83" t="str">
        <f>IF(Pays="Lustrie","Ruines de Tlanxtla","")</f>
        <v/>
      </c>
      <c r="BY521" t="str">
        <f t="shared" si="204"/>
        <v/>
      </c>
      <c r="BZ521" s="83" t="str">
        <f t="shared" si="201"/>
        <v/>
      </c>
      <c r="CA521" s="83" t="str">
        <f t="shared" si="202"/>
        <v/>
      </c>
      <c r="CB521" s="530" t="str">
        <f t="shared" si="203"/>
        <v/>
      </c>
      <c r="CM521" t="s">
        <v>10577</v>
      </c>
      <c r="CR521" t="s">
        <v>13886</v>
      </c>
      <c r="GF521" t="s">
        <v>8418</v>
      </c>
    </row>
    <row r="522" spans="76:188" ht="13.2" customHeight="1">
      <c r="BX522" s="83" t="str">
        <f>IF(Pays="Lustrie","Ruines de Xahutec","")</f>
        <v/>
      </c>
      <c r="BY522" t="str">
        <f t="shared" si="204"/>
        <v/>
      </c>
      <c r="BZ522" s="83" t="str">
        <f t="shared" si="201"/>
        <v/>
      </c>
      <c r="CA522" s="83" t="str">
        <f t="shared" si="202"/>
        <v/>
      </c>
      <c r="CB522" s="530" t="str">
        <f t="shared" si="203"/>
        <v/>
      </c>
      <c r="CM522" t="s">
        <v>10578</v>
      </c>
      <c r="CR522" t="s">
        <v>13887</v>
      </c>
      <c r="GF522" t="s">
        <v>8428</v>
      </c>
    </row>
    <row r="523" spans="76:188" ht="13.2" customHeight="1">
      <c r="BX523" s="83" t="str">
        <f>IF(Pays="Lustrie","Ruines de Tlax","")</f>
        <v/>
      </c>
      <c r="BY523" t="str">
        <f t="shared" si="204"/>
        <v/>
      </c>
      <c r="BZ523" s="83" t="str">
        <f t="shared" si="201"/>
        <v/>
      </c>
      <c r="CA523" s="83" t="str">
        <f t="shared" si="202"/>
        <v/>
      </c>
      <c r="CB523" s="530" t="str">
        <f t="shared" si="203"/>
        <v/>
      </c>
      <c r="CM523" t="s">
        <v>10579</v>
      </c>
      <c r="CR523" t="s">
        <v>13888</v>
      </c>
      <c r="GF523" t="s">
        <v>8434</v>
      </c>
    </row>
    <row r="524" spans="76:188" ht="13.2" customHeight="1">
      <c r="BX524" s="83" t="str">
        <f>IF(Pays="Lustrie","Ruines de Chaqua","")</f>
        <v/>
      </c>
      <c r="BY524" t="str">
        <f t="shared" si="204"/>
        <v/>
      </c>
      <c r="BZ524" s="83" t="str">
        <f t="shared" si="201"/>
        <v/>
      </c>
      <c r="CA524" s="83" t="str">
        <f t="shared" si="202"/>
        <v/>
      </c>
      <c r="CB524" s="530" t="str">
        <f t="shared" si="203"/>
        <v/>
      </c>
      <c r="CM524" s="83" t="s">
        <v>15222</v>
      </c>
      <c r="CR524" t="s">
        <v>13889</v>
      </c>
      <c r="GF524" t="s">
        <v>7891</v>
      </c>
    </row>
    <row r="525" spans="76:188" ht="13.2" customHeight="1">
      <c r="BX525" s="83" t="str">
        <f>IF(Pays="Lustrie","Ruines d'Huatl","")</f>
        <v/>
      </c>
      <c r="BY525" t="str">
        <f t="shared" si="204"/>
        <v/>
      </c>
      <c r="BZ525" s="83" t="str">
        <f t="shared" si="201"/>
        <v/>
      </c>
      <c r="CA525" s="83" t="str">
        <f t="shared" si="202"/>
        <v/>
      </c>
      <c r="CB525" s="530" t="str">
        <f t="shared" si="203"/>
        <v/>
      </c>
      <c r="CM525" s="83" t="s">
        <v>14888</v>
      </c>
      <c r="CR525" t="s">
        <v>13890</v>
      </c>
      <c r="GF525" t="s">
        <v>7892</v>
      </c>
    </row>
    <row r="526" spans="76:188" ht="13.2" customHeight="1">
      <c r="BX526" s="83" t="str">
        <f>IF(Pays="Lustrie","Ruines de Quetza","")</f>
        <v/>
      </c>
      <c r="BY526" t="str">
        <f t="shared" si="204"/>
        <v/>
      </c>
      <c r="BZ526" s="83" t="str">
        <f t="shared" si="201"/>
        <v/>
      </c>
      <c r="CA526" s="83" t="str">
        <f t="shared" si="202"/>
        <v/>
      </c>
      <c r="CB526" s="530" t="str">
        <f t="shared" si="203"/>
        <v/>
      </c>
      <c r="CM526" t="s">
        <v>10580</v>
      </c>
      <c r="CR526" t="s">
        <v>13891</v>
      </c>
      <c r="GF526" t="s">
        <v>7893</v>
      </c>
    </row>
    <row r="527" spans="76:188" ht="13.2" customHeight="1">
      <c r="BX527" s="83" t="str">
        <f>IF(Pays="Lustrie","Ruines d'Axlotl","")</f>
        <v/>
      </c>
      <c r="BY527" t="str">
        <f t="shared" si="204"/>
        <v/>
      </c>
      <c r="BZ527" s="83" t="str">
        <f t="shared" si="201"/>
        <v/>
      </c>
      <c r="CA527" s="83" t="str">
        <f t="shared" si="202"/>
        <v/>
      </c>
      <c r="CB527" s="530" t="str">
        <f t="shared" si="203"/>
        <v/>
      </c>
      <c r="CM527" s="3" t="s">
        <v>6702</v>
      </c>
      <c r="CR527" t="s">
        <v>13892</v>
      </c>
      <c r="GF527" t="s">
        <v>8458</v>
      </c>
    </row>
    <row r="528" spans="76:188" ht="13.2" customHeight="1">
      <c r="BX528" s="83" t="str">
        <f>IF(Pays="Lustrie","Ruines de Xhotl","")</f>
        <v/>
      </c>
      <c r="BY528" t="str">
        <f t="shared" si="204"/>
        <v/>
      </c>
      <c r="BZ528" s="83" t="str">
        <f t="shared" si="201"/>
        <v/>
      </c>
      <c r="CA528" s="83" t="str">
        <f t="shared" si="202"/>
        <v/>
      </c>
      <c r="CB528" s="530" t="str">
        <f t="shared" si="203"/>
        <v/>
      </c>
      <c r="CM528" t="s">
        <v>10581</v>
      </c>
      <c r="CR528" t="s">
        <v>13893</v>
      </c>
      <c r="GF528" t="s">
        <v>8443</v>
      </c>
    </row>
    <row r="529" spans="76:188" ht="13.2" customHeight="1">
      <c r="BX529" s="83" t="str">
        <f>IF(Pays="Lustrie","Ruines d'Oyxl","")</f>
        <v/>
      </c>
      <c r="BY529" t="str">
        <f t="shared" si="204"/>
        <v/>
      </c>
      <c r="BZ529" s="83" t="str">
        <f t="shared" si="201"/>
        <v/>
      </c>
      <c r="CA529" s="83" t="str">
        <f t="shared" si="202"/>
        <v/>
      </c>
      <c r="CB529" s="530" t="str">
        <f t="shared" si="203"/>
        <v/>
      </c>
      <c r="CM529" t="s">
        <v>10582</v>
      </c>
      <c r="CR529" t="s">
        <v>13894</v>
      </c>
      <c r="GF529" t="s">
        <v>8448</v>
      </c>
    </row>
    <row r="530" spans="76:188" ht="13.2" customHeight="1">
      <c r="BX530" s="83" t="str">
        <f>IF(Pays="Lustrie","Ruines de Chupayotl","")</f>
        <v/>
      </c>
      <c r="BY530" t="str">
        <f t="shared" si="204"/>
        <v/>
      </c>
      <c r="BZ530" s="83" t="str">
        <f t="shared" si="201"/>
        <v/>
      </c>
      <c r="CA530" s="83" t="str">
        <f t="shared" si="202"/>
        <v/>
      </c>
      <c r="CB530" s="530" t="str">
        <f t="shared" si="203"/>
        <v/>
      </c>
      <c r="CM530" s="3" t="s">
        <v>6703</v>
      </c>
      <c r="CR530" t="s">
        <v>13895</v>
      </c>
      <c r="GF530" t="s">
        <v>7894</v>
      </c>
    </row>
    <row r="531" spans="76:188" ht="13.2" customHeight="1">
      <c r="BX531" t="str">
        <f>IF(Pays="Pays Perdu","Bas quartiers de Marienbourg","")</f>
        <v/>
      </c>
      <c r="BY531" t="str">
        <f t="shared" si="204"/>
        <v/>
      </c>
      <c r="BZ531" s="83" t="str">
        <f t="shared" si="201"/>
        <v/>
      </c>
      <c r="CA531" s="83" t="str">
        <f t="shared" si="202"/>
        <v/>
      </c>
      <c r="CB531" s="530" t="str">
        <f t="shared" si="203"/>
        <v/>
      </c>
      <c r="CM531" t="s">
        <v>10583</v>
      </c>
      <c r="CR531" t="s">
        <v>13896</v>
      </c>
      <c r="GF531" t="s">
        <v>7895</v>
      </c>
    </row>
    <row r="532" spans="76:188" ht="13.2" customHeight="1">
      <c r="BX532" t="str">
        <f>IF(Pays="Pays Perdu","Village de pêcheurs du pays Perdu","")</f>
        <v/>
      </c>
      <c r="BY532" t="str">
        <f t="shared" si="204"/>
        <v/>
      </c>
      <c r="BZ532" s="83" t="str">
        <f t="shared" si="201"/>
        <v/>
      </c>
      <c r="CA532" s="83" t="str">
        <f t="shared" si="202"/>
        <v/>
      </c>
      <c r="CB532" s="530" t="str">
        <f t="shared" si="203"/>
        <v/>
      </c>
      <c r="CM532" s="83" t="s">
        <v>11799</v>
      </c>
      <c r="CR532" t="s">
        <v>13897</v>
      </c>
      <c r="GF532" t="s">
        <v>8449</v>
      </c>
    </row>
    <row r="533" spans="76:188" ht="13.2" customHeight="1">
      <c r="BX533" t="str">
        <f>IF(Pays="Principautés Frontalières","Ville de Mentreda","")</f>
        <v/>
      </c>
      <c r="BY533" t="str">
        <f t="shared" si="204"/>
        <v/>
      </c>
      <c r="BZ533" s="83" t="str">
        <f t="shared" si="201"/>
        <v/>
      </c>
      <c r="CA533" s="83" t="str">
        <f t="shared" si="202"/>
        <v/>
      </c>
      <c r="CB533" s="530" t="str">
        <f t="shared" si="203"/>
        <v/>
      </c>
      <c r="CM533" t="s">
        <v>10584</v>
      </c>
      <c r="CR533" t="s">
        <v>13898</v>
      </c>
      <c r="GF533" t="s">
        <v>8447</v>
      </c>
    </row>
    <row r="534" spans="76:188" ht="13.2" customHeight="1">
      <c r="BX534" t="str">
        <f>IF(Pays="Principautés Frontalières","Communauté des Principautés Frontalières","")</f>
        <v/>
      </c>
      <c r="BY534" t="str">
        <f t="shared" si="204"/>
        <v/>
      </c>
      <c r="BZ534" s="83" t="str">
        <f t="shared" si="201"/>
        <v/>
      </c>
      <c r="CA534" s="83" t="str">
        <f t="shared" si="202"/>
        <v/>
      </c>
      <c r="CB534" s="530" t="str">
        <f t="shared" si="203"/>
        <v/>
      </c>
      <c r="CM534" s="3" t="s">
        <v>6704</v>
      </c>
      <c r="CR534" t="s">
        <v>13899</v>
      </c>
      <c r="GF534" t="s">
        <v>8435</v>
      </c>
    </row>
    <row r="535" spans="76:188" ht="13.2" customHeight="1">
      <c r="BX535" t="str">
        <f>IF(Province="Naggaroth","Naggarond, la Tour du Froid","")</f>
        <v/>
      </c>
      <c r="BY535" t="str">
        <f t="shared" si="204"/>
        <v/>
      </c>
      <c r="BZ535" s="83" t="str">
        <f t="shared" si="201"/>
        <v/>
      </c>
      <c r="CA535" s="83" t="str">
        <f t="shared" si="202"/>
        <v/>
      </c>
      <c r="CB535" s="530" t="str">
        <f t="shared" si="203"/>
        <v/>
      </c>
      <c r="CM535" s="3" t="s">
        <v>6705</v>
      </c>
      <c r="CR535" t="s">
        <v>13900</v>
      </c>
      <c r="GF535" t="s">
        <v>7896</v>
      </c>
    </row>
    <row r="536" spans="76:188" ht="13.2" customHeight="1">
      <c r="BX536" t="str">
        <f>IF(Province="Naggaroth","Karond Kar, la Tour du Désespoir","")</f>
        <v/>
      </c>
      <c r="BY536" t="str">
        <f t="shared" si="204"/>
        <v/>
      </c>
      <c r="BZ536" s="83" t="str">
        <f t="shared" si="201"/>
        <v/>
      </c>
      <c r="CA536" s="83" t="str">
        <f t="shared" si="202"/>
        <v/>
      </c>
      <c r="CB536" s="530" t="str">
        <f t="shared" si="203"/>
        <v/>
      </c>
      <c r="CM536" t="s">
        <v>10585</v>
      </c>
      <c r="CR536" t="s">
        <v>13901</v>
      </c>
      <c r="GF536" t="s">
        <v>8444</v>
      </c>
    </row>
    <row r="537" spans="76:188" ht="13.2" customHeight="1">
      <c r="BX537" t="str">
        <f>IF(Province="Naggaroth","Ghrond, la Tour du Nord","")</f>
        <v/>
      </c>
      <c r="BY537" t="str">
        <f t="shared" si="204"/>
        <v/>
      </c>
      <c r="BZ537" s="83" t="str">
        <f t="shared" si="201"/>
        <v/>
      </c>
      <c r="CA537" s="83" t="str">
        <f t="shared" si="202"/>
        <v/>
      </c>
      <c r="CB537" s="530" t="str">
        <f t="shared" si="203"/>
        <v/>
      </c>
      <c r="CM537" t="s">
        <v>10586</v>
      </c>
      <c r="CR537" t="s">
        <v>13902</v>
      </c>
      <c r="GF537" t="s">
        <v>8450</v>
      </c>
    </row>
    <row r="538" spans="76:188" ht="13.2" customHeight="1">
      <c r="BX538" t="str">
        <f>IF(Province="Naggaroth","Hag Graef, le Roc Sombre","")</f>
        <v/>
      </c>
      <c r="BY538" t="str">
        <f t="shared" si="204"/>
        <v/>
      </c>
      <c r="BZ538" s="83" t="str">
        <f t="shared" si="201"/>
        <v/>
      </c>
      <c r="CA538" s="83" t="str">
        <f t="shared" si="202"/>
        <v/>
      </c>
      <c r="CB538" s="530" t="str">
        <f t="shared" si="203"/>
        <v/>
      </c>
      <c r="CM538" s="83" t="s">
        <v>14952</v>
      </c>
      <c r="CR538" t="s">
        <v>13903</v>
      </c>
      <c r="GF538" t="s">
        <v>8436</v>
      </c>
    </row>
    <row r="539" spans="76:188" ht="13.2" customHeight="1">
      <c r="BX539" t="str">
        <f>IF(Province="Naggaroth","Har Ganeth,Cité des Exécuteurs","")</f>
        <v/>
      </c>
      <c r="BY539" t="str">
        <f t="shared" si="204"/>
        <v/>
      </c>
      <c r="BZ539" s="83" t="str">
        <f t="shared" si="201"/>
        <v/>
      </c>
      <c r="CA539" s="83" t="str">
        <f t="shared" si="202"/>
        <v/>
      </c>
      <c r="CB539" s="530" t="str">
        <f t="shared" si="203"/>
        <v/>
      </c>
      <c r="CM539" t="s">
        <v>10587</v>
      </c>
      <c r="CR539" t="s">
        <v>13904</v>
      </c>
      <c r="GF539" t="s">
        <v>8459</v>
      </c>
    </row>
    <row r="540" spans="76:188" ht="13.2" customHeight="1">
      <c r="BX540" t="str">
        <f>IF(Province="Naggaroth","Clar Karond, la Tour du Destin","")</f>
        <v/>
      </c>
      <c r="BY540" t="str">
        <f t="shared" si="204"/>
        <v/>
      </c>
      <c r="BZ540" s="83" t="str">
        <f t="shared" si="201"/>
        <v/>
      </c>
      <c r="CA540" s="83" t="str">
        <f t="shared" si="202"/>
        <v/>
      </c>
      <c r="CB540" s="530" t="str">
        <f t="shared" si="203"/>
        <v/>
      </c>
      <c r="CM540" t="s">
        <v>10588</v>
      </c>
      <c r="CR540" t="s">
        <v>13905</v>
      </c>
      <c r="GF540" t="s">
        <v>8451</v>
      </c>
    </row>
    <row r="541" spans="76:188" ht="13.2" customHeight="1">
      <c r="BX541" t="str">
        <f>IF(Pays="Désolations du Chaos","Forteresse des Marches","")</f>
        <v/>
      </c>
      <c r="BY541" t="str">
        <f t="shared" si="204"/>
        <v/>
      </c>
      <c r="BZ541" s="83" t="str">
        <f t="shared" si="201"/>
        <v/>
      </c>
      <c r="CA541" s="83" t="str">
        <f t="shared" si="202"/>
        <v/>
      </c>
      <c r="CB541" s="530" t="str">
        <f t="shared" si="203"/>
        <v/>
      </c>
      <c r="CM541" s="83" t="s">
        <v>918</v>
      </c>
      <c r="CR541" t="s">
        <v>13906</v>
      </c>
      <c r="GF541" t="s">
        <v>7897</v>
      </c>
    </row>
    <row r="542" spans="76:188" ht="13.2" customHeight="1">
      <c r="BX542" t="str">
        <f>IF(Province="Sylvanie","Château de Drakenhof","")</f>
        <v/>
      </c>
      <c r="BY542" t="str">
        <f t="shared" si="204"/>
        <v/>
      </c>
      <c r="BZ542" s="83" t="str">
        <f t="shared" si="201"/>
        <v/>
      </c>
      <c r="CA542" s="83" t="str">
        <f t="shared" si="202"/>
        <v/>
      </c>
      <c r="CB542" s="530" t="str">
        <f t="shared" si="203"/>
        <v/>
      </c>
      <c r="CM542" t="s">
        <v>10589</v>
      </c>
      <c r="CR542" t="s">
        <v>13907</v>
      </c>
      <c r="GF542" t="s">
        <v>7898</v>
      </c>
    </row>
    <row r="543" spans="76:188" ht="13.2" customHeight="1">
      <c r="BX543" t="str">
        <f>IF(Province="Sylvanie","Ville de Waldenhof","")</f>
        <v/>
      </c>
      <c r="BY543" t="str">
        <f t="shared" si="204"/>
        <v/>
      </c>
      <c r="BZ543" s="83" t="str">
        <f t="shared" si="201"/>
        <v/>
      </c>
      <c r="CA543" s="83" t="str">
        <f t="shared" si="202"/>
        <v/>
      </c>
      <c r="CB543" s="530" t="str">
        <f t="shared" si="203"/>
        <v/>
      </c>
      <c r="CM543" s="83" t="s">
        <v>15173</v>
      </c>
      <c r="CR543" t="s">
        <v>13909</v>
      </c>
      <c r="GF543" t="s">
        <v>8452</v>
      </c>
    </row>
    <row r="544" spans="76:188" ht="13.2" customHeight="1">
      <c r="BX544" t="str">
        <f>IF(Province="Sylvanie","Village de Bylorhof","")</f>
        <v/>
      </c>
      <c r="BY544" t="str">
        <f t="shared" si="204"/>
        <v/>
      </c>
      <c r="BZ544" s="83" t="str">
        <f t="shared" si="201"/>
        <v/>
      </c>
      <c r="CA544" s="83" t="str">
        <f t="shared" si="202"/>
        <v/>
      </c>
      <c r="CB544" s="530" t="str">
        <f t="shared" si="203"/>
        <v/>
      </c>
      <c r="CM544" s="83" t="s">
        <v>15143</v>
      </c>
      <c r="CR544" t="s">
        <v>13910</v>
      </c>
      <c r="GF544" t="s">
        <v>8453</v>
      </c>
    </row>
    <row r="545" spans="76:188" ht="13.2" customHeight="1">
      <c r="BX545" t="str">
        <f>IF(Province="Sylvanie","Bourgade de Mureiste","")</f>
        <v/>
      </c>
      <c r="BY545" t="str">
        <f t="shared" si="204"/>
        <v/>
      </c>
      <c r="BZ545" s="83" t="str">
        <f t="shared" si="201"/>
        <v/>
      </c>
      <c r="CA545" s="83" t="str">
        <f t="shared" si="202"/>
        <v/>
      </c>
      <c r="CB545" s="530" t="str">
        <f t="shared" si="203"/>
        <v/>
      </c>
      <c r="CM545" s="83" t="s">
        <v>12406</v>
      </c>
      <c r="CR545" t="s">
        <v>13911</v>
      </c>
      <c r="GF545" t="s">
        <v>8445</v>
      </c>
    </row>
    <row r="546" spans="76:188" ht="13.2" customHeight="1">
      <c r="BX546" t="str">
        <f>IF(Province="Sylvanie","Ruines du Fort Oberstyre","")</f>
        <v/>
      </c>
      <c r="BY546" t="str">
        <f t="shared" si="204"/>
        <v/>
      </c>
      <c r="BZ546" s="83" t="str">
        <f t="shared" si="201"/>
        <v/>
      </c>
      <c r="CA546" s="83" t="str">
        <f t="shared" si="202"/>
        <v/>
      </c>
      <c r="CB546" s="530" t="str">
        <f t="shared" si="203"/>
        <v/>
      </c>
      <c r="CM546" t="s">
        <v>10590</v>
      </c>
      <c r="CR546" t="s">
        <v>13912</v>
      </c>
      <c r="GF546" t="s">
        <v>8437</v>
      </c>
    </row>
    <row r="547" spans="76:188" ht="13.2" customHeight="1">
      <c r="BX547" s="83" t="str">
        <f>IF(Pays="Inja","Cité des spires","")</f>
        <v/>
      </c>
      <c r="BY547" t="str">
        <f t="shared" si="204"/>
        <v/>
      </c>
      <c r="BZ547" s="83" t="str">
        <f t="shared" si="201"/>
        <v/>
      </c>
      <c r="CA547" s="83" t="str">
        <f t="shared" si="202"/>
        <v/>
      </c>
      <c r="CB547" s="530" t="str">
        <f t="shared" si="203"/>
        <v/>
      </c>
      <c r="CM547" s="3" t="s">
        <v>6711</v>
      </c>
      <c r="CR547" t="s">
        <v>13913</v>
      </c>
      <c r="GF547" t="s">
        <v>8438</v>
      </c>
    </row>
    <row r="548" spans="76:188" ht="13.2" customHeight="1">
      <c r="BX548" s="83" t="str">
        <f>IF(Province="Bhalluka","Ville de Videha","")</f>
        <v/>
      </c>
      <c r="BY548" t="str">
        <f t="shared" si="204"/>
        <v/>
      </c>
      <c r="BZ548" s="83" t="str">
        <f t="shared" si="201"/>
        <v/>
      </c>
      <c r="CA548" s="83" t="str">
        <f t="shared" si="202"/>
        <v/>
      </c>
      <c r="CB548" s="530" t="str">
        <f t="shared" si="203"/>
        <v/>
      </c>
      <c r="CM548" t="s">
        <v>10591</v>
      </c>
      <c r="CR548" t="s">
        <v>13914</v>
      </c>
      <c r="GF548" t="s">
        <v>6049</v>
      </c>
    </row>
    <row r="549" spans="76:188" ht="13.2" customHeight="1">
      <c r="BX549" s="83" t="str">
        <f>IF(Province="Royaume de Panchala","Ville de Dwaraka","")</f>
        <v/>
      </c>
      <c r="BY549" t="str">
        <f t="shared" si="204"/>
        <v/>
      </c>
      <c r="BZ549" s="83" t="str">
        <f t="shared" si="201"/>
        <v/>
      </c>
      <c r="CA549" s="83" t="str">
        <f t="shared" si="202"/>
        <v/>
      </c>
      <c r="CB549" s="530" t="str">
        <f t="shared" si="203"/>
        <v/>
      </c>
      <c r="CM549" s="83" t="s">
        <v>15230</v>
      </c>
      <c r="CR549" t="s">
        <v>13915</v>
      </c>
      <c r="GF549" t="s">
        <v>7899</v>
      </c>
    </row>
    <row r="550" spans="76:188" ht="13.2" customHeight="1">
      <c r="BX550" s="83" t="str">
        <f>IF(Province="Royaume de Panchala","Ville de Culicata","")</f>
        <v/>
      </c>
      <c r="BY550" t="str">
        <f t="shared" si="204"/>
        <v/>
      </c>
      <c r="BZ550" s="83" t="str">
        <f t="shared" si="201"/>
        <v/>
      </c>
      <c r="CA550" s="83" t="str">
        <f t="shared" si="202"/>
        <v/>
      </c>
      <c r="CB550" s="530" t="str">
        <f t="shared" si="203"/>
        <v/>
      </c>
      <c r="CM550" t="s">
        <v>10594</v>
      </c>
      <c r="CR550" t="s">
        <v>13916</v>
      </c>
      <c r="GF550" t="s">
        <v>8454</v>
      </c>
    </row>
    <row r="551" spans="76:188" ht="13.2" customHeight="1">
      <c r="BX551" s="83" t="str">
        <f>IF(Province="Royaume de Gandharva","Ville de Purushapura","")</f>
        <v/>
      </c>
      <c r="BY551" t="str">
        <f t="shared" si="204"/>
        <v/>
      </c>
      <c r="BZ551" s="83" t="str">
        <f t="shared" si="201"/>
        <v/>
      </c>
      <c r="CA551" s="83" t="str">
        <f t="shared" si="202"/>
        <v/>
      </c>
      <c r="CB551" s="530" t="str">
        <f t="shared" si="203"/>
        <v/>
      </c>
      <c r="CM551" s="3" t="s">
        <v>6713</v>
      </c>
      <c r="CR551" t="s">
        <v>13917</v>
      </c>
      <c r="GF551" t="s">
        <v>8439</v>
      </c>
    </row>
    <row r="552" spans="76:188" ht="13.2" customHeight="1">
      <c r="BX552" s="177" t="str">
        <f>IF(Province="Royaume de Panchala","Temple de Kali-ma","")</f>
        <v/>
      </c>
      <c r="BY552" t="str">
        <f t="shared" si="204"/>
        <v/>
      </c>
      <c r="BZ552" s="83" t="str">
        <f t="shared" si="201"/>
        <v/>
      </c>
      <c r="CA552" s="83" t="str">
        <f t="shared" si="202"/>
        <v/>
      </c>
      <c r="CB552" s="530" t="str">
        <f t="shared" si="203"/>
        <v/>
      </c>
      <c r="CM552" t="s">
        <v>10593</v>
      </c>
      <c r="CR552" t="s">
        <v>13918</v>
      </c>
      <c r="GF552" t="s">
        <v>8455</v>
      </c>
    </row>
    <row r="553" spans="76:188" ht="13.2" customHeight="1">
      <c r="BX553" s="83" t="str">
        <f>IF(Province="Royaume de Kurya","Ville de Cindraprastha","")</f>
        <v/>
      </c>
      <c r="BY553" t="str">
        <f t="shared" si="204"/>
        <v/>
      </c>
      <c r="BZ553" s="83" t="str">
        <f t="shared" si="201"/>
        <v/>
      </c>
      <c r="CA553" s="83" t="str">
        <f t="shared" si="202"/>
        <v/>
      </c>
      <c r="CB553" s="530" t="str">
        <f t="shared" si="203"/>
        <v/>
      </c>
      <c r="CM553" s="3" t="s">
        <v>6712</v>
      </c>
      <c r="CR553" t="s">
        <v>13919</v>
      </c>
      <c r="GF553" t="s">
        <v>8460</v>
      </c>
    </row>
    <row r="554" spans="76:188" ht="13.2" customHeight="1">
      <c r="BX554" s="83" t="str">
        <f>IF(Province="Royaume de Singha","Ville de Sakali","")</f>
        <v/>
      </c>
      <c r="BY554" t="str">
        <f t="shared" si="204"/>
        <v/>
      </c>
      <c r="BZ554" s="83" t="str">
        <f t="shared" si="201"/>
        <v/>
      </c>
      <c r="CA554" s="83" t="str">
        <f t="shared" si="202"/>
        <v/>
      </c>
      <c r="CB554" s="530" t="str">
        <f t="shared" si="203"/>
        <v/>
      </c>
      <c r="CM554" t="s">
        <v>10592</v>
      </c>
      <c r="CR554" t="s">
        <v>13920</v>
      </c>
      <c r="GF554" t="s">
        <v>8456</v>
      </c>
    </row>
    <row r="555" spans="76:188" ht="13.2" customHeight="1">
      <c r="BX555" s="83" t="str">
        <f>IF(Pays="Inja","Ruines de Mabanaga","")</f>
        <v/>
      </c>
      <c r="BY555" t="str">
        <f t="shared" si="204"/>
        <v/>
      </c>
      <c r="BZ555" s="83" t="str">
        <f t="shared" si="201"/>
        <v/>
      </c>
      <c r="CA555" s="83" t="str">
        <f t="shared" si="202"/>
        <v/>
      </c>
      <c r="CB555" s="530" t="str">
        <f t="shared" si="203"/>
        <v/>
      </c>
      <c r="CM555" s="83" t="s">
        <v>12407</v>
      </c>
      <c r="CR555" t="s">
        <v>13921</v>
      </c>
      <c r="GF555" t="s">
        <v>8461</v>
      </c>
    </row>
    <row r="556" spans="76:188" ht="13.2" customHeight="1">
      <c r="BX556" s="83" t="str">
        <f>IF(Province="Royaume de Lankshmana","Ville d'Ujjayani","")</f>
        <v/>
      </c>
      <c r="BY556" t="str">
        <f t="shared" si="204"/>
        <v/>
      </c>
      <c r="BZ556" s="83" t="str">
        <f t="shared" si="201"/>
        <v/>
      </c>
      <c r="CA556" s="83" t="str">
        <f t="shared" si="202"/>
        <v/>
      </c>
      <c r="CB556" s="530" t="str">
        <f t="shared" si="203"/>
        <v/>
      </c>
      <c r="CM556" s="83" t="s">
        <v>15217</v>
      </c>
      <c r="CR556" t="s">
        <v>13922</v>
      </c>
      <c r="GF556" t="s">
        <v>8440</v>
      </c>
    </row>
    <row r="557" spans="76:188" ht="13.2" customHeight="1">
      <c r="BX557" s="83" t="str">
        <f>IF(Province="Royaume de Panchala","Ville de Bhojapuri","")</f>
        <v/>
      </c>
      <c r="BY557" t="str">
        <f t="shared" si="204"/>
        <v/>
      </c>
      <c r="BZ557" s="83" t="str">
        <f t="shared" si="201"/>
        <v/>
      </c>
      <c r="CA557" s="83" t="str">
        <f t="shared" si="202"/>
        <v/>
      </c>
      <c r="CB557" s="530" t="str">
        <f t="shared" si="203"/>
        <v/>
      </c>
      <c r="CM557" s="83" t="s">
        <v>14930</v>
      </c>
      <c r="CR557" t="s">
        <v>13923</v>
      </c>
      <c r="GF557" t="s">
        <v>7900</v>
      </c>
    </row>
    <row r="558" spans="76:188" ht="13.2" customHeight="1">
      <c r="BX558" s="83" t="str">
        <f>IF(Province="Royaume de Lankshmana","Ville du Royaume de Lankshmana","")</f>
        <v/>
      </c>
      <c r="BY558" t="str">
        <f t="shared" si="204"/>
        <v/>
      </c>
      <c r="BZ558" s="83" t="str">
        <f t="shared" si="201"/>
        <v/>
      </c>
      <c r="CA558" s="83" t="str">
        <f t="shared" si="202"/>
        <v/>
      </c>
      <c r="CB558" s="530" t="str">
        <f t="shared" si="203"/>
        <v/>
      </c>
      <c r="CM558" s="83" t="s">
        <v>15236</v>
      </c>
      <c r="CR558" t="s">
        <v>13924</v>
      </c>
      <c r="GF558" t="s">
        <v>7901</v>
      </c>
    </row>
    <row r="559" spans="76:188" ht="13.2" customHeight="1">
      <c r="BX559" s="83" t="str">
        <f>IF(Province="Royaume de Kosala","Ville de Sravasti","")</f>
        <v/>
      </c>
      <c r="BY559" t="str">
        <f t="shared" si="204"/>
        <v/>
      </c>
      <c r="BZ559" s="83" t="str">
        <f t="shared" si="201"/>
        <v/>
      </c>
      <c r="CA559" s="83" t="str">
        <f t="shared" si="202"/>
        <v/>
      </c>
      <c r="CB559" s="530" t="str">
        <f t="shared" si="203"/>
        <v/>
      </c>
      <c r="CM559" s="83" t="s">
        <v>15234</v>
      </c>
      <c r="CR559" t="s">
        <v>13925</v>
      </c>
      <c r="GF559" t="s">
        <v>7902</v>
      </c>
    </row>
    <row r="560" spans="76:188" ht="13.2" customHeight="1">
      <c r="BX560" s="83" t="str">
        <f>IF(Province="Royaume de Kosala","Ruines de Janasthana","")</f>
        <v/>
      </c>
      <c r="BY560" t="str">
        <f t="shared" si="204"/>
        <v/>
      </c>
      <c r="BZ560" s="83" t="str">
        <f t="shared" si="201"/>
        <v/>
      </c>
      <c r="CA560" s="83" t="str">
        <f t="shared" si="202"/>
        <v/>
      </c>
      <c r="CB560" s="530" t="str">
        <f t="shared" si="203"/>
        <v/>
      </c>
      <c r="CM560" s="83" t="s">
        <v>15159</v>
      </c>
      <c r="CR560" t="s">
        <v>13926</v>
      </c>
      <c r="GF560" t="s">
        <v>8446</v>
      </c>
    </row>
    <row r="561" spans="76:188" ht="13.2" customHeight="1">
      <c r="BX561" s="83" t="str">
        <f>IF(Province="Royaume de Kosala","Ville de Kusavati","")</f>
        <v/>
      </c>
      <c r="BY561" t="str">
        <f t="shared" si="204"/>
        <v/>
      </c>
      <c r="BZ561" s="83" t="str">
        <f t="shared" si="201"/>
        <v/>
      </c>
      <c r="CA561" s="83" t="str">
        <f t="shared" si="202"/>
        <v/>
      </c>
      <c r="CB561" s="530" t="str">
        <f t="shared" si="203"/>
        <v/>
      </c>
      <c r="CM561" s="83" t="s">
        <v>15231</v>
      </c>
      <c r="CR561" t="s">
        <v>13927</v>
      </c>
      <c r="GF561" t="s">
        <v>8441</v>
      </c>
    </row>
    <row r="562" spans="76:188" ht="13.2" customHeight="1">
      <c r="BX562" s="83" t="str">
        <f>IF(Province="Royaume de Kosala","Ville d'Ayodhya","")</f>
        <v/>
      </c>
      <c r="BY562" t="str">
        <f t="shared" si="204"/>
        <v/>
      </c>
      <c r="BZ562" s="83" t="str">
        <f t="shared" si="201"/>
        <v/>
      </c>
      <c r="CA562" s="83" t="str">
        <f t="shared" si="202"/>
        <v/>
      </c>
      <c r="CB562" s="530" t="str">
        <f t="shared" si="203"/>
        <v/>
      </c>
      <c r="CM562" s="83" t="s">
        <v>14934</v>
      </c>
      <c r="CR562" t="s">
        <v>13928</v>
      </c>
      <c r="GF562" t="s">
        <v>7903</v>
      </c>
    </row>
    <row r="563" spans="76:188" ht="13.2" customHeight="1">
      <c r="BX563" s="83" t="str">
        <f>IF(Province="Royaume de Tigarre","Ville de Bilbali","")</f>
        <v/>
      </c>
      <c r="BY563" t="str">
        <f t="shared" si="204"/>
        <v/>
      </c>
      <c r="BZ563" s="83" t="str">
        <f t="shared" si="201"/>
        <v/>
      </c>
      <c r="CA563" s="83" t="str">
        <f t="shared" si="202"/>
        <v/>
      </c>
      <c r="CB563" s="530" t="str">
        <f t="shared" si="203"/>
        <v/>
      </c>
      <c r="CM563" s="83" t="s">
        <v>15197</v>
      </c>
      <c r="CR563" t="s">
        <v>13929</v>
      </c>
      <c r="GF563" t="s">
        <v>8457</v>
      </c>
    </row>
    <row r="564" spans="76:188" ht="13.2" customHeight="1">
      <c r="BX564" s="83" t="str">
        <f>IF(Province="Royaume d'Istarios","Ville de Magritta","")</f>
        <v/>
      </c>
      <c r="BY564" t="str">
        <f t="shared" si="204"/>
        <v/>
      </c>
      <c r="BZ564" s="83" t="str">
        <f t="shared" si="201"/>
        <v/>
      </c>
      <c r="CA564" s="83" t="str">
        <f t="shared" si="202"/>
        <v/>
      </c>
      <c r="CB564" s="530" t="str">
        <f t="shared" si="203"/>
        <v/>
      </c>
      <c r="CM564" t="s">
        <v>10596</v>
      </c>
      <c r="CR564" t="s">
        <v>13930</v>
      </c>
      <c r="GF564" t="s">
        <v>8442</v>
      </c>
    </row>
    <row r="565" spans="76:188" ht="13.2" customHeight="1">
      <c r="BX565" t="str">
        <f>IF(Province="Royaume de Tigarre","Ville de Portigelle","")</f>
        <v/>
      </c>
      <c r="BY565" t="str">
        <f t="shared" si="204"/>
        <v/>
      </c>
      <c r="BZ565" s="83" t="str">
        <f t="shared" si="201"/>
        <v/>
      </c>
      <c r="CA565" s="83" t="str">
        <f t="shared" si="202"/>
        <v/>
      </c>
      <c r="CB565" s="530" t="str">
        <f t="shared" si="203"/>
        <v/>
      </c>
      <c r="CM565" t="s">
        <v>10595</v>
      </c>
      <c r="CR565" t="s">
        <v>13931</v>
      </c>
      <c r="GF565" t="s">
        <v>7904</v>
      </c>
    </row>
    <row r="566" spans="76:188" ht="13.2" customHeight="1">
      <c r="BX566" t="str">
        <f>IF(Province="Royaumes Côtiers","Ferme (culture) des Royaumes côtiers","")</f>
        <v/>
      </c>
      <c r="BY566" t="str">
        <f t="shared" si="204"/>
        <v/>
      </c>
      <c r="BZ566" s="83" t="str">
        <f t="shared" si="201"/>
        <v/>
      </c>
      <c r="CA566" s="83" t="str">
        <f t="shared" si="202"/>
        <v/>
      </c>
      <c r="CB566" s="530" t="str">
        <f t="shared" si="203"/>
        <v/>
      </c>
      <c r="CM566" t="s">
        <v>10597</v>
      </c>
      <c r="CR566" t="s">
        <v>13932</v>
      </c>
      <c r="GF566" t="s">
        <v>7905</v>
      </c>
    </row>
    <row r="567" spans="76:188" ht="13.2" customHeight="1">
      <c r="BX567" t="str">
        <f>IF(Province="Royaumes Côtiers","Ferme (élevage) des Royaumes côtiers","")</f>
        <v/>
      </c>
      <c r="BY567" t="str">
        <f t="shared" si="204"/>
        <v/>
      </c>
      <c r="BZ567" s="83" t="str">
        <f t="shared" si="201"/>
        <v/>
      </c>
      <c r="CA567" s="83" t="str">
        <f t="shared" si="202"/>
        <v/>
      </c>
      <c r="CB567" s="530" t="str">
        <f t="shared" si="203"/>
        <v/>
      </c>
      <c r="CM567" t="s">
        <v>10598</v>
      </c>
      <c r="CR567" t="s">
        <v>13933</v>
      </c>
      <c r="GF567" t="s">
        <v>8473</v>
      </c>
    </row>
    <row r="568" spans="76:188" ht="13.2" customHeight="1">
      <c r="BX568" t="str">
        <f>IF(Province="Royaumes Côtiers","Petite communauté des Royaumes côtiers","")</f>
        <v/>
      </c>
      <c r="BY568" t="str">
        <f t="shared" si="204"/>
        <v/>
      </c>
      <c r="BZ568" s="83" t="str">
        <f t="shared" si="201"/>
        <v/>
      </c>
      <c r="CA568" s="83" t="str">
        <f t="shared" si="202"/>
        <v/>
      </c>
      <c r="CB568" s="530" t="str">
        <f t="shared" si="203"/>
        <v/>
      </c>
      <c r="CM568" t="s">
        <v>10599</v>
      </c>
      <c r="CR568" t="s">
        <v>13934</v>
      </c>
      <c r="GF568" t="s">
        <v>7906</v>
      </c>
    </row>
    <row r="569" spans="76:188" ht="13.2" customHeight="1">
      <c r="BX569" t="str">
        <f>IF(Province="Royaumes Côtiers","Taudis des Royaumes côtiers","")</f>
        <v/>
      </c>
      <c r="BY569" t="str">
        <f t="shared" si="204"/>
        <v/>
      </c>
      <c r="BZ569" s="83" t="str">
        <f t="shared" si="201"/>
        <v/>
      </c>
      <c r="CA569" s="83" t="str">
        <f t="shared" si="202"/>
        <v/>
      </c>
      <c r="CB569" s="530" t="str">
        <f t="shared" si="203"/>
        <v/>
      </c>
      <c r="CM569" t="s">
        <v>10600</v>
      </c>
      <c r="CR569" t="s">
        <v>13935</v>
      </c>
      <c r="GF569" t="s">
        <v>8462</v>
      </c>
    </row>
    <row r="570" spans="76:188" ht="13.2" customHeight="1">
      <c r="BX570" t="str">
        <f>IF(Province="Royaumes Côtiers","Village agricole des Royaumes côtiers","")</f>
        <v/>
      </c>
      <c r="BY570" t="str">
        <f t="shared" si="204"/>
        <v/>
      </c>
      <c r="BZ570" s="83" t="str">
        <f t="shared" si="201"/>
        <v/>
      </c>
      <c r="CA570" s="83" t="str">
        <f t="shared" si="202"/>
        <v/>
      </c>
      <c r="CB570" s="530" t="str">
        <f t="shared" si="203"/>
        <v/>
      </c>
      <c r="CM570" t="s">
        <v>10601</v>
      </c>
      <c r="CR570" t="s">
        <v>13936</v>
      </c>
      <c r="GF570" t="s">
        <v>8468</v>
      </c>
    </row>
    <row r="571" spans="76:188" ht="13.2" customHeight="1">
      <c r="BX571" t="str">
        <f>IF(Province="Royaumes Côtiers","Village pauvre des Royaumes côtiers","")</f>
        <v/>
      </c>
      <c r="BY571" t="str">
        <f t="shared" si="204"/>
        <v/>
      </c>
      <c r="BZ571" s="83" t="str">
        <f t="shared" si="201"/>
        <v/>
      </c>
      <c r="CA571" s="83" t="str">
        <f t="shared" si="202"/>
        <v/>
      </c>
      <c r="CB571" s="530" t="str">
        <f t="shared" si="203"/>
        <v/>
      </c>
      <c r="CM571" s="3" t="s">
        <v>6706</v>
      </c>
      <c r="CR571" t="s">
        <v>13937</v>
      </c>
      <c r="GF571" t="s">
        <v>7907</v>
      </c>
    </row>
    <row r="572" spans="76:188" ht="13.2" customHeight="1">
      <c r="BX572" t="str">
        <f>IF(Province="Royaumes Côtiers","Ville fortifiée des Royaumes côtiers","")</f>
        <v/>
      </c>
      <c r="BY572" t="str">
        <f t="shared" si="204"/>
        <v/>
      </c>
      <c r="BZ572" s="83" t="str">
        <f t="shared" si="201"/>
        <v/>
      </c>
      <c r="CA572" s="83" t="str">
        <f t="shared" si="202"/>
        <v/>
      </c>
      <c r="CB572" s="530" t="str">
        <f t="shared" si="203"/>
        <v/>
      </c>
      <c r="CM572" s="3" t="s">
        <v>6707</v>
      </c>
      <c r="CR572" t="s">
        <v>13938</v>
      </c>
      <c r="GF572" t="s">
        <v>7908</v>
      </c>
    </row>
    <row r="573" spans="76:188" ht="13.2" customHeight="1">
      <c r="BX573" s="83" t="str">
        <f>IF(Province="Royaumes Côtiers","Ville prospère des Royaumes côtiers","")</f>
        <v/>
      </c>
      <c r="BY573" t="str">
        <f t="shared" si="204"/>
        <v/>
      </c>
      <c r="BZ573" s="83" t="str">
        <f t="shared" si="201"/>
        <v/>
      </c>
      <c r="CA573" s="83" t="str">
        <f t="shared" si="202"/>
        <v/>
      </c>
      <c r="CB573" s="530" t="str">
        <f t="shared" si="203"/>
        <v/>
      </c>
      <c r="CM573" t="s">
        <v>10602</v>
      </c>
      <c r="CR573" t="s">
        <v>13939</v>
      </c>
      <c r="GF573" t="s">
        <v>8474</v>
      </c>
    </row>
    <row r="574" spans="76:188" ht="13.2" customHeight="1">
      <c r="BX574" t="str">
        <f>IF(Province="Royaumes des Montagnes Irrana","Bourg des Montagnes Irrana","")</f>
        <v/>
      </c>
      <c r="BY574" t="str">
        <f t="shared" si="204"/>
        <v/>
      </c>
      <c r="BZ574" s="83" t="str">
        <f t="shared" si="201"/>
        <v/>
      </c>
      <c r="CA574" s="83" t="str">
        <f t="shared" si="202"/>
        <v/>
      </c>
      <c r="CB574" s="530" t="str">
        <f t="shared" si="203"/>
        <v/>
      </c>
      <c r="CM574" t="s">
        <v>10603</v>
      </c>
      <c r="CR574" t="s">
        <v>13940</v>
      </c>
      <c r="GF574" t="s">
        <v>7909</v>
      </c>
    </row>
    <row r="575" spans="76:188" ht="13.2" customHeight="1">
      <c r="BX575" t="str">
        <f>IF(Province="Royaumes des Montagnes Irrana","Cité des Montagnes Irrana","")</f>
        <v/>
      </c>
      <c r="BY575" t="str">
        <f t="shared" si="204"/>
        <v/>
      </c>
      <c r="BZ575" s="83" t="str">
        <f t="shared" si="201"/>
        <v/>
      </c>
      <c r="CA575" s="83" t="str">
        <f t="shared" si="202"/>
        <v/>
      </c>
      <c r="CB575" s="530" t="str">
        <f t="shared" si="203"/>
        <v/>
      </c>
      <c r="CM575" t="s">
        <v>10604</v>
      </c>
      <c r="CR575" t="s">
        <v>13941</v>
      </c>
      <c r="GF575" t="s">
        <v>8463</v>
      </c>
    </row>
    <row r="576" spans="76:188" ht="13.2" customHeight="1">
      <c r="BX576" t="str">
        <f>IF(Province="Royaumes des Montagnes Irrana","Ferme (culture) des Montagnes Irrana","")</f>
        <v/>
      </c>
      <c r="BY576" t="str">
        <f t="shared" si="204"/>
        <v/>
      </c>
      <c r="BZ576" s="83" t="str">
        <f t="shared" si="201"/>
        <v/>
      </c>
      <c r="CA576" s="83" t="str">
        <f t="shared" si="202"/>
        <v/>
      </c>
      <c r="CB576" s="530" t="str">
        <f t="shared" si="203"/>
        <v/>
      </c>
      <c r="CM576" t="s">
        <v>10605</v>
      </c>
      <c r="CR576" t="s">
        <v>13942</v>
      </c>
      <c r="GF576" t="s">
        <v>8481</v>
      </c>
    </row>
    <row r="577" spans="76:188" ht="13.2" customHeight="1">
      <c r="BX577" t="str">
        <f>IF(Province="Royaumes des Montagnes Irrana","Ferme (élevage) des Montagnes Irrana","")</f>
        <v/>
      </c>
      <c r="BY577" t="str">
        <f t="shared" si="204"/>
        <v/>
      </c>
      <c r="BZ577" s="83" t="str">
        <f t="shared" si="201"/>
        <v/>
      </c>
      <c r="CA577" s="83" t="str">
        <f t="shared" si="202"/>
        <v/>
      </c>
      <c r="CB577" s="530" t="str">
        <f t="shared" si="203"/>
        <v/>
      </c>
      <c r="CM577" s="83" t="s">
        <v>14895</v>
      </c>
      <c r="CR577" t="s">
        <v>13943</v>
      </c>
      <c r="GF577" t="s">
        <v>7910</v>
      </c>
    </row>
    <row r="578" spans="76:188" ht="13.2" customHeight="1">
      <c r="BX578" t="str">
        <f>IF(Province="Royaumes des Montagnes Irrana","Petite communauté des Montagnes Irrana","")</f>
        <v/>
      </c>
      <c r="BY578" t="str">
        <f t="shared" si="204"/>
        <v/>
      </c>
      <c r="BZ578" s="83" t="str">
        <f t="shared" ref="BZ578:BZ641" si="205">IFERROR(SMALL(BY:BY,ROW()-1),"")</f>
        <v/>
      </c>
      <c r="CA578" s="83" t="str">
        <f t="shared" ref="CA578:CA641" si="206">IFERROR(INDEX(BX:BX,BZ578),"")</f>
        <v/>
      </c>
      <c r="CB578" s="530" t="str">
        <f t="shared" ref="CB578:CB641" si="207">INDEX(CA:CA,ROW())</f>
        <v/>
      </c>
      <c r="CM578" t="s">
        <v>10606</v>
      </c>
      <c r="CR578" t="s">
        <v>13944</v>
      </c>
      <c r="GF578" t="s">
        <v>7911</v>
      </c>
    </row>
    <row r="579" spans="76:188" ht="13.2" customHeight="1">
      <c r="BX579" t="str">
        <f>IF(Province="Royaumes des Montagnes Irrana","Taudis des Montagnes Irrana","")</f>
        <v/>
      </c>
      <c r="BY579" t="str">
        <f t="shared" ref="BY579:BY642" si="208">IF(BX579="","",ROW())</f>
        <v/>
      </c>
      <c r="BZ579" s="83" t="str">
        <f t="shared" si="205"/>
        <v/>
      </c>
      <c r="CA579" s="83" t="str">
        <f t="shared" si="206"/>
        <v/>
      </c>
      <c r="CB579" s="530" t="str">
        <f t="shared" si="207"/>
        <v/>
      </c>
      <c r="CM579" t="s">
        <v>10607</v>
      </c>
      <c r="CR579" t="s">
        <v>13945</v>
      </c>
      <c r="GF579" t="s">
        <v>8464</v>
      </c>
    </row>
    <row r="580" spans="76:188" ht="13.2" customHeight="1">
      <c r="BX580" t="str">
        <f>IF(Province="Royaumes des Montagnes Irrana","Village agricole des Montagnes Irrana","")</f>
        <v/>
      </c>
      <c r="BY580" t="str">
        <f t="shared" si="208"/>
        <v/>
      </c>
      <c r="BZ580" s="83" t="str">
        <f t="shared" si="205"/>
        <v/>
      </c>
      <c r="CA580" s="83" t="str">
        <f t="shared" si="206"/>
        <v/>
      </c>
      <c r="CB580" s="530" t="str">
        <f t="shared" si="207"/>
        <v/>
      </c>
      <c r="CM580" t="s">
        <v>10609</v>
      </c>
      <c r="CR580" t="s">
        <v>13946</v>
      </c>
      <c r="GF580" t="s">
        <v>8465</v>
      </c>
    </row>
    <row r="581" spans="76:188" ht="13.2" customHeight="1">
      <c r="BX581" t="str">
        <f>IF(Province="Royaumes des Montagnes Irrana","Village pauvre des Montagnes Irrana","")</f>
        <v/>
      </c>
      <c r="BY581" t="str">
        <f t="shared" si="208"/>
        <v/>
      </c>
      <c r="BZ581" s="83" t="str">
        <f t="shared" si="205"/>
        <v/>
      </c>
      <c r="CA581" s="83" t="str">
        <f t="shared" si="206"/>
        <v/>
      </c>
      <c r="CB581" s="530" t="str">
        <f t="shared" si="207"/>
        <v/>
      </c>
      <c r="CM581" t="s">
        <v>10608</v>
      </c>
      <c r="CR581" t="s">
        <v>13947</v>
      </c>
      <c r="GF581" t="s">
        <v>7912</v>
      </c>
    </row>
    <row r="582" spans="76:188" ht="13.2" customHeight="1">
      <c r="BX582" s="177" t="str">
        <f>IF(Province="Royaumes Côtiers","Cité-Etat d'Aguilas","")</f>
        <v/>
      </c>
      <c r="BY582" t="str">
        <f t="shared" si="208"/>
        <v/>
      </c>
      <c r="BZ582" s="83" t="str">
        <f t="shared" si="205"/>
        <v/>
      </c>
      <c r="CA582" s="83" t="str">
        <f t="shared" si="206"/>
        <v/>
      </c>
      <c r="CB582" s="530" t="str">
        <f t="shared" si="207"/>
        <v/>
      </c>
      <c r="CM582" t="s">
        <v>10610</v>
      </c>
      <c r="CR582" t="s">
        <v>13948</v>
      </c>
      <c r="GF582" t="s">
        <v>7913</v>
      </c>
    </row>
    <row r="583" spans="76:188" ht="13.2" customHeight="1">
      <c r="BX583" t="str">
        <f>IF(Pays="Khuresh","LaCité Perdue des Anciens","")</f>
        <v/>
      </c>
      <c r="BY583" t="str">
        <f t="shared" si="208"/>
        <v/>
      </c>
      <c r="BZ583" s="83" t="str">
        <f t="shared" si="205"/>
        <v/>
      </c>
      <c r="CA583" s="83" t="str">
        <f t="shared" si="206"/>
        <v/>
      </c>
      <c r="CB583" s="530" t="str">
        <f t="shared" si="207"/>
        <v/>
      </c>
      <c r="CM583" t="s">
        <v>6402</v>
      </c>
      <c r="CR583" t="s">
        <v>13949</v>
      </c>
      <c r="GF583" t="s">
        <v>8466</v>
      </c>
    </row>
    <row r="584" spans="76:188" ht="13.2" customHeight="1">
      <c r="BX584" t="str">
        <f>IF(SelectRace="Elfe","",IF(Pays="Khuresh","Tribu de la jungle",""))</f>
        <v/>
      </c>
      <c r="BY584" t="str">
        <f t="shared" si="208"/>
        <v/>
      </c>
      <c r="BZ584" s="83" t="str">
        <f t="shared" si="205"/>
        <v/>
      </c>
      <c r="CA584" s="83" t="str">
        <f t="shared" si="206"/>
        <v/>
      </c>
      <c r="CB584" s="530" t="str">
        <f t="shared" si="207"/>
        <v/>
      </c>
      <c r="CM584" t="s">
        <v>10611</v>
      </c>
      <c r="CR584" t="s">
        <v>13950</v>
      </c>
      <c r="GF584" t="s">
        <v>7914</v>
      </c>
    </row>
    <row r="585" spans="76:188" ht="13.2" customHeight="1">
      <c r="BX585" t="str">
        <f>IF(AND(Pays="Khuresh",Selectsousrace="Haut Elfe"),"Forteresse des Portes de Calith","")</f>
        <v/>
      </c>
      <c r="BY585" t="str">
        <f t="shared" si="208"/>
        <v/>
      </c>
      <c r="BZ585" s="83" t="str">
        <f t="shared" si="205"/>
        <v/>
      </c>
      <c r="CA585" s="83" t="str">
        <f t="shared" si="206"/>
        <v/>
      </c>
      <c r="CB585" s="530" t="str">
        <f t="shared" si="207"/>
        <v/>
      </c>
      <c r="CM585" t="s">
        <v>10612</v>
      </c>
      <c r="CR585" t="s">
        <v>13951</v>
      </c>
      <c r="GF585" t="s">
        <v>7915</v>
      </c>
    </row>
    <row r="586" spans="76:188" ht="13.2" customHeight="1">
      <c r="BX586" t="str">
        <f>IF(AND(Pays="Royaumes Ogres",Selectsousrace="Demi-ogre"),"La Tribu de la Dent d’Or","")</f>
        <v/>
      </c>
      <c r="BY586" t="str">
        <f t="shared" si="208"/>
        <v/>
      </c>
      <c r="BZ586" s="83" t="str">
        <f t="shared" si="205"/>
        <v/>
      </c>
      <c r="CA586" s="83" t="str">
        <f t="shared" si="206"/>
        <v/>
      </c>
      <c r="CB586" s="530" t="str">
        <f t="shared" si="207"/>
        <v/>
      </c>
      <c r="CM586" s="83" t="s">
        <v>15220</v>
      </c>
      <c r="CR586" t="s">
        <v>13952</v>
      </c>
      <c r="GF586" t="s">
        <v>7916</v>
      </c>
    </row>
    <row r="587" spans="76:188" ht="13.2" customHeight="1">
      <c r="BX587" s="83" t="str">
        <f>IF(AND(Pays="Royaumes Ogres",Selectsousrace="Demi-ogre"),"La Tribu des Ventres-Tonnerre","")</f>
        <v/>
      </c>
      <c r="BY587" t="str">
        <f t="shared" si="208"/>
        <v/>
      </c>
      <c r="BZ587" s="83" t="str">
        <f t="shared" si="205"/>
        <v/>
      </c>
      <c r="CA587" s="83" t="str">
        <f t="shared" si="206"/>
        <v/>
      </c>
      <c r="CB587" s="530" t="str">
        <f t="shared" si="207"/>
        <v/>
      </c>
      <c r="CM587" t="s">
        <v>10613</v>
      </c>
      <c r="CR587" t="s">
        <v>13953</v>
      </c>
      <c r="GF587" t="s">
        <v>7917</v>
      </c>
    </row>
    <row r="588" spans="76:188" ht="13.2" customHeight="1">
      <c r="BX588" s="83" t="str">
        <f>IF(AND(Pays="Royaumes Ogres",Selectsousrace="Demi-ogre"),"Les Massues Croisées","")</f>
        <v/>
      </c>
      <c r="BY588" t="str">
        <f t="shared" si="208"/>
        <v/>
      </c>
      <c r="BZ588" s="83" t="str">
        <f t="shared" si="205"/>
        <v/>
      </c>
      <c r="CA588" s="83" t="str">
        <f t="shared" si="206"/>
        <v/>
      </c>
      <c r="CB588" s="530" t="str">
        <f t="shared" si="207"/>
        <v/>
      </c>
      <c r="CM588" s="3" t="s">
        <v>6709</v>
      </c>
      <c r="CR588" t="s">
        <v>13954</v>
      </c>
      <c r="GF588" t="s">
        <v>8479</v>
      </c>
    </row>
    <row r="589" spans="76:188" ht="13.2" customHeight="1">
      <c r="BX589" s="83" t="str">
        <f>IF(AND(Pays="Royaumes Ogres",Selectsousrace="Demi-ogre"),"Les Fils de la Montagne","")</f>
        <v/>
      </c>
      <c r="BY589" t="str">
        <f t="shared" si="208"/>
        <v/>
      </c>
      <c r="BZ589" s="83" t="str">
        <f t="shared" si="205"/>
        <v/>
      </c>
      <c r="CA589" s="83" t="str">
        <f t="shared" si="206"/>
        <v/>
      </c>
      <c r="CB589" s="530" t="str">
        <f t="shared" si="207"/>
        <v/>
      </c>
      <c r="CM589" s="3" t="s">
        <v>6710</v>
      </c>
      <c r="CR589" t="s">
        <v>13955</v>
      </c>
      <c r="GF589" t="s">
        <v>7918</v>
      </c>
    </row>
    <row r="590" spans="76:188" ht="13.2" customHeight="1">
      <c r="BX590" s="83" t="str">
        <f>IF(AND(Pays="Royaumes Ogres",Selectsousrace="Demi-ogre"),"La Tribu des Maîtres du Festin","")</f>
        <v/>
      </c>
      <c r="BY590" t="str">
        <f t="shared" si="208"/>
        <v/>
      </c>
      <c r="BZ590" s="83" t="str">
        <f t="shared" si="205"/>
        <v/>
      </c>
      <c r="CA590" s="83" t="str">
        <f t="shared" si="206"/>
        <v/>
      </c>
      <c r="CB590" s="530" t="str">
        <f t="shared" si="207"/>
        <v/>
      </c>
      <c r="CM590" s="83" t="s">
        <v>15225</v>
      </c>
      <c r="CR590" t="s">
        <v>13957</v>
      </c>
      <c r="GF590" t="s">
        <v>8467</v>
      </c>
    </row>
    <row r="591" spans="76:188" ht="13.2" customHeight="1">
      <c r="BX591" s="83" t="str">
        <f>IF(AND(Pays="Royaumes Ogres",Selectsousrace="Demi-ogre"),"Les Crânes de Pierre","")</f>
        <v/>
      </c>
      <c r="BY591" t="str">
        <f t="shared" si="208"/>
        <v/>
      </c>
      <c r="BZ591" s="83" t="str">
        <f t="shared" si="205"/>
        <v/>
      </c>
      <c r="CA591" s="83" t="str">
        <f t="shared" si="206"/>
        <v/>
      </c>
      <c r="CB591" s="530" t="str">
        <f t="shared" si="207"/>
        <v/>
      </c>
      <c r="CM591" t="s">
        <v>10615</v>
      </c>
      <c r="CR591" t="s">
        <v>13958</v>
      </c>
      <c r="GF591" t="s">
        <v>8475</v>
      </c>
    </row>
    <row r="592" spans="76:188" ht="13.2" customHeight="1">
      <c r="BX592" s="83" t="str">
        <f>IF(AND(Pays="Royaumes Ogres",Selectsousrace="Demi-ogre"),"Les Gloutons Sanguinaires","")</f>
        <v/>
      </c>
      <c r="BY592" t="str">
        <f t="shared" si="208"/>
        <v/>
      </c>
      <c r="BZ592" s="83" t="str">
        <f t="shared" si="205"/>
        <v/>
      </c>
      <c r="CA592" s="83" t="str">
        <f t="shared" si="206"/>
        <v/>
      </c>
      <c r="CB592" s="530" t="str">
        <f t="shared" si="207"/>
        <v/>
      </c>
      <c r="CM592" s="3" t="s">
        <v>6708</v>
      </c>
      <c r="CR592" t="s">
        <v>13959</v>
      </c>
      <c r="GF592" t="s">
        <v>7919</v>
      </c>
    </row>
    <row r="593" spans="76:188" ht="13.2" customHeight="1">
      <c r="BX593" s="83" t="str">
        <f>IF(AND(Pays="Royaumes Ogres",Selectsousrace="Demi-ogre"),"La Tribu des Peaux de Fer","")</f>
        <v/>
      </c>
      <c r="BY593" t="str">
        <f t="shared" si="208"/>
        <v/>
      </c>
      <c r="BZ593" s="83" t="str">
        <f t="shared" si="205"/>
        <v/>
      </c>
      <c r="CA593" s="83" t="str">
        <f t="shared" si="206"/>
        <v/>
      </c>
      <c r="CB593" s="530" t="str">
        <f t="shared" si="207"/>
        <v/>
      </c>
      <c r="CM593" t="s">
        <v>10614</v>
      </c>
      <c r="CR593" t="s">
        <v>13960</v>
      </c>
      <c r="GF593" t="s">
        <v>7920</v>
      </c>
    </row>
    <row r="594" spans="76:188" ht="13.2" customHeight="1">
      <c r="BX594" s="83" t="str">
        <f>IF(AND(Pays="Royaumes Ogres",Selectsousrace="Demi-ogre"),"La Tribu des Lazarghs","")</f>
        <v/>
      </c>
      <c r="BY594" t="str">
        <f t="shared" si="208"/>
        <v/>
      </c>
      <c r="BZ594" s="83" t="str">
        <f t="shared" si="205"/>
        <v/>
      </c>
      <c r="CA594" s="83" t="str">
        <f t="shared" si="206"/>
        <v/>
      </c>
      <c r="CB594" s="530" t="str">
        <f t="shared" si="207"/>
        <v/>
      </c>
      <c r="CM594" t="s">
        <v>10616</v>
      </c>
      <c r="CR594" t="s">
        <v>13961</v>
      </c>
      <c r="GF594" t="s">
        <v>7921</v>
      </c>
    </row>
    <row r="595" spans="76:188" ht="13.2" customHeight="1">
      <c r="BX595" s="83" t="str">
        <f>IF(AND(Pays="Royaumes Ogres",Selectsousrace="Demi-ogre"),"Les Mangeurs de Montagnes","")</f>
        <v/>
      </c>
      <c r="BY595" t="str">
        <f t="shared" si="208"/>
        <v/>
      </c>
      <c r="BZ595" s="83" t="str">
        <f t="shared" si="205"/>
        <v/>
      </c>
      <c r="CA595" s="83" t="str">
        <f t="shared" si="206"/>
        <v/>
      </c>
      <c r="CB595" s="530" t="str">
        <f t="shared" si="207"/>
        <v/>
      </c>
      <c r="CM595" t="s">
        <v>10618</v>
      </c>
      <c r="CR595" t="s">
        <v>13962</v>
      </c>
      <c r="GF595" t="s">
        <v>8469</v>
      </c>
    </row>
    <row r="596" spans="76:188" ht="13.2" customHeight="1">
      <c r="BX596" s="83" t="str">
        <f>IF(AND(Pays="Royaumes Ogres",Selectsousrace="Demi-ogre"),"La Tribu des Mordeurs d’Yeux","")</f>
        <v/>
      </c>
      <c r="BY596" t="str">
        <f t="shared" si="208"/>
        <v/>
      </c>
      <c r="BZ596" s="83" t="str">
        <f t="shared" si="205"/>
        <v/>
      </c>
      <c r="CA596" s="83" t="str">
        <f t="shared" si="206"/>
        <v/>
      </c>
      <c r="CB596" s="530" t="str">
        <f t="shared" si="207"/>
        <v/>
      </c>
      <c r="CM596" t="s">
        <v>10617</v>
      </c>
      <c r="CR596" t="s">
        <v>13963</v>
      </c>
      <c r="GF596" t="s">
        <v>7922</v>
      </c>
    </row>
    <row r="597" spans="76:188" ht="13.2" customHeight="1">
      <c r="BX597" s="83" t="str">
        <f>IF(AND(Pays="Royaumes Ogres",Selectsousrace="Demi-ogre"),"La Tribu du Poing Coléreux","")</f>
        <v/>
      </c>
      <c r="BY597" t="str">
        <f t="shared" si="208"/>
        <v/>
      </c>
      <c r="BZ597" s="83" t="str">
        <f t="shared" si="205"/>
        <v/>
      </c>
      <c r="CA597" s="83" t="str">
        <f t="shared" si="206"/>
        <v/>
      </c>
      <c r="CB597" s="530" t="str">
        <f t="shared" si="207"/>
        <v/>
      </c>
      <c r="CM597" t="s">
        <v>10619</v>
      </c>
      <c r="CR597" t="s">
        <v>13964</v>
      </c>
      <c r="GF597" t="s">
        <v>7923</v>
      </c>
    </row>
    <row r="598" spans="76:188" ht="13.2" customHeight="1">
      <c r="BX598" s="83" t="str">
        <f>IF(AND(Pays="Royaumes Ogres",Selectsousrace&lt;&gt;"Demi-ogre"),"Impossible de savoir où","")</f>
        <v/>
      </c>
      <c r="BY598" t="str">
        <f t="shared" si="208"/>
        <v/>
      </c>
      <c r="BZ598" s="83" t="str">
        <f t="shared" si="205"/>
        <v/>
      </c>
      <c r="CA598" s="83" t="str">
        <f t="shared" si="206"/>
        <v/>
      </c>
      <c r="CB598" s="530" t="str">
        <f t="shared" si="207"/>
        <v/>
      </c>
      <c r="CM598" t="s">
        <v>10620</v>
      </c>
      <c r="CR598" t="s">
        <v>13965</v>
      </c>
      <c r="GF598" t="s">
        <v>8476</v>
      </c>
    </row>
    <row r="599" spans="76:188" ht="13.2" customHeight="1">
      <c r="BX599" t="str">
        <f>IF(SelectRace="skaven","Mont Bossu","")</f>
        <v/>
      </c>
      <c r="BY599" t="str">
        <f t="shared" si="208"/>
        <v/>
      </c>
      <c r="BZ599" s="83" t="str">
        <f t="shared" si="205"/>
        <v/>
      </c>
      <c r="CA599" s="83" t="str">
        <f t="shared" si="206"/>
        <v/>
      </c>
      <c r="CB599" s="530" t="str">
        <f t="shared" si="207"/>
        <v/>
      </c>
      <c r="CM599" t="s">
        <v>10622</v>
      </c>
      <c r="CR599" t="s">
        <v>13966</v>
      </c>
      <c r="GF599" t="s">
        <v>7924</v>
      </c>
    </row>
    <row r="600" spans="76:188" ht="13.2" customHeight="1">
      <c r="BX600" t="str">
        <f>IF(Province="Forteresse des nains du chaos","Forteresse Noire","")</f>
        <v/>
      </c>
      <c r="BY600" t="str">
        <f t="shared" si="208"/>
        <v/>
      </c>
      <c r="BZ600" s="83" t="str">
        <f t="shared" si="205"/>
        <v/>
      </c>
      <c r="CA600" s="83" t="str">
        <f t="shared" si="206"/>
        <v/>
      </c>
      <c r="CB600" s="530" t="str">
        <f t="shared" si="207"/>
        <v/>
      </c>
      <c r="CM600" s="83" t="s">
        <v>15218</v>
      </c>
      <c r="CR600" t="s">
        <v>13967</v>
      </c>
      <c r="GF600" t="s">
        <v>7925</v>
      </c>
    </row>
    <row r="601" spans="76:188" ht="13.2" customHeight="1">
      <c r="BX601" t="str">
        <f>IF(Province="Forteresse des nains du chaos","Croc du Démon","")</f>
        <v/>
      </c>
      <c r="BY601" t="str">
        <f t="shared" si="208"/>
        <v/>
      </c>
      <c r="BZ601" s="83" t="str">
        <f t="shared" si="205"/>
        <v/>
      </c>
      <c r="CA601" s="83" t="str">
        <f t="shared" si="206"/>
        <v/>
      </c>
      <c r="CB601" s="530" t="str">
        <f t="shared" si="207"/>
        <v/>
      </c>
      <c r="CM601" t="s">
        <v>10621</v>
      </c>
      <c r="CR601" t="s">
        <v>13968</v>
      </c>
      <c r="GF601" t="s">
        <v>7926</v>
      </c>
    </row>
    <row r="602" spans="76:188" ht="13.2" customHeight="1">
      <c r="BX602" t="str">
        <f>IF(Province="Forteresse des nains du chaos","Zharr-Naggrund","")</f>
        <v/>
      </c>
      <c r="BY602" t="str">
        <f t="shared" si="208"/>
        <v/>
      </c>
      <c r="BZ602" s="83" t="str">
        <f t="shared" si="205"/>
        <v/>
      </c>
      <c r="CA602" s="83" t="str">
        <f t="shared" si="206"/>
        <v/>
      </c>
      <c r="CB602" s="530" t="str">
        <f t="shared" si="207"/>
        <v/>
      </c>
      <c r="CM602" t="s">
        <v>10623</v>
      </c>
      <c r="CR602" t="s">
        <v>13969</v>
      </c>
      <c r="GF602" t="s">
        <v>7927</v>
      </c>
    </row>
    <row r="603" spans="76:188" ht="13.2" customHeight="1">
      <c r="BX603" t="str">
        <f>IF(Province="Forteresse des nains du chaos","Tour de Gorgoth","")</f>
        <v/>
      </c>
      <c r="BY603" t="str">
        <f t="shared" si="208"/>
        <v/>
      </c>
      <c r="BZ603" s="83" t="str">
        <f t="shared" si="205"/>
        <v/>
      </c>
      <c r="CA603" s="83" t="str">
        <f t="shared" si="206"/>
        <v/>
      </c>
      <c r="CB603" s="530" t="str">
        <f t="shared" si="207"/>
        <v/>
      </c>
      <c r="CM603" t="s">
        <v>10624</v>
      </c>
      <c r="CR603" t="s">
        <v>13970</v>
      </c>
      <c r="GF603" t="s">
        <v>7928</v>
      </c>
    </row>
    <row r="604" spans="76:188" ht="13.2" customHeight="1">
      <c r="BX604" s="25" t="str">
        <f>IF(Province="Forteresse des nains du chaos","Gash Kadrak","")</f>
        <v/>
      </c>
      <c r="BY604" t="str">
        <f t="shared" si="208"/>
        <v/>
      </c>
      <c r="BZ604" s="83" t="str">
        <f t="shared" si="205"/>
        <v/>
      </c>
      <c r="CA604" s="83" t="str">
        <f t="shared" si="206"/>
        <v/>
      </c>
      <c r="CB604" s="530" t="str">
        <f t="shared" si="207"/>
        <v/>
      </c>
      <c r="CM604" s="83" t="s">
        <v>10277</v>
      </c>
      <c r="CR604" t="s">
        <v>13971</v>
      </c>
      <c r="GF604" t="s">
        <v>7929</v>
      </c>
    </row>
    <row r="605" spans="76:188" ht="13.2" customHeight="1">
      <c r="BX605" s="83" t="str">
        <f>IF(Province="Forteresse des nains du chaos","Revêtements-de-Fer","")</f>
        <v/>
      </c>
      <c r="BY605" t="str">
        <f t="shared" si="208"/>
        <v/>
      </c>
      <c r="BZ605" s="83" t="str">
        <f t="shared" si="205"/>
        <v/>
      </c>
      <c r="CA605" s="83" t="str">
        <f t="shared" si="206"/>
        <v/>
      </c>
      <c r="CB605" s="530" t="str">
        <f t="shared" si="207"/>
        <v/>
      </c>
      <c r="CM605" s="83" t="s">
        <v>10276</v>
      </c>
      <c r="CR605" t="s">
        <v>13972</v>
      </c>
      <c r="GF605" t="s">
        <v>7930</v>
      </c>
    </row>
    <row r="606" spans="76:188" ht="13.2" customHeight="1">
      <c r="BX606" s="83" t="str">
        <f>IF(Province="Forteresse des nains du chaos","Dronangkul (Forteresse de fer)","")</f>
        <v/>
      </c>
      <c r="BY606" t="str">
        <f t="shared" si="208"/>
        <v/>
      </c>
      <c r="BZ606" s="83" t="str">
        <f t="shared" si="205"/>
        <v/>
      </c>
      <c r="CA606" s="83" t="str">
        <f t="shared" si="206"/>
        <v/>
      </c>
      <c r="CB606" s="530" t="str">
        <f t="shared" si="207"/>
        <v/>
      </c>
      <c r="CM606" s="83" t="s">
        <v>10279</v>
      </c>
      <c r="CR606" t="s">
        <v>13973</v>
      </c>
      <c r="GF606" t="s">
        <v>7931</v>
      </c>
    </row>
    <row r="607" spans="76:188" ht="13.2" customHeight="1">
      <c r="BX607" s="83" t="str">
        <f>IF(Pays="Terres Sombres","Ruines de la Forteresse de Vorag","")</f>
        <v/>
      </c>
      <c r="BY607" t="str">
        <f t="shared" si="208"/>
        <v/>
      </c>
      <c r="BZ607" s="83" t="str">
        <f t="shared" si="205"/>
        <v/>
      </c>
      <c r="CA607" s="83" t="str">
        <f t="shared" si="206"/>
        <v/>
      </c>
      <c r="CB607" s="530" t="str">
        <f t="shared" si="207"/>
        <v/>
      </c>
      <c r="CM607" s="83" t="s">
        <v>10278</v>
      </c>
      <c r="CR607" t="s">
        <v>13974</v>
      </c>
      <c r="GF607" t="s">
        <v>7932</v>
      </c>
    </row>
    <row r="608" spans="76:188" ht="13.2" customHeight="1">
      <c r="BX608" s="83" t="str">
        <f>IF(Province="Forteresse des nains du chaos","Uzkulak, la Forteresse du Crâne","")</f>
        <v/>
      </c>
      <c r="BY608" t="str">
        <f t="shared" si="208"/>
        <v/>
      </c>
      <c r="BZ608" s="83" t="str">
        <f t="shared" si="205"/>
        <v/>
      </c>
      <c r="CA608" s="83" t="str">
        <f t="shared" si="206"/>
        <v/>
      </c>
      <c r="CB608" s="530" t="str">
        <f t="shared" si="207"/>
        <v/>
      </c>
      <c r="CM608" s="83" t="s">
        <v>10275</v>
      </c>
      <c r="CR608" t="s">
        <v>13975</v>
      </c>
      <c r="GF608" t="s">
        <v>8470</v>
      </c>
    </row>
    <row r="609" spans="76:188" ht="13.2" customHeight="1">
      <c r="BX609" s="83" t="str">
        <f>IF(Pays="Terres du Sud","Cité-Temple de Zlatlan","")</f>
        <v/>
      </c>
      <c r="BY609" t="str">
        <f t="shared" si="208"/>
        <v/>
      </c>
      <c r="BZ609" s="83" t="str">
        <f t="shared" si="205"/>
        <v/>
      </c>
      <c r="CA609" s="83" t="str">
        <f t="shared" si="206"/>
        <v/>
      </c>
      <c r="CB609" s="530" t="str">
        <f t="shared" si="207"/>
        <v/>
      </c>
      <c r="CM609" s="83" t="s">
        <v>10273</v>
      </c>
      <c r="CR609" t="s">
        <v>13976</v>
      </c>
      <c r="GF609" t="s">
        <v>7933</v>
      </c>
    </row>
    <row r="610" spans="76:188" ht="13.2" customHeight="1">
      <c r="BX610" s="83" t="str">
        <f>IF(Pays="Strigany","Quelque part sur l'eau...","")</f>
        <v/>
      </c>
      <c r="BY610" t="str">
        <f t="shared" si="208"/>
        <v/>
      </c>
      <c r="BZ610" s="83" t="str">
        <f t="shared" si="205"/>
        <v/>
      </c>
      <c r="CA610" s="83" t="str">
        <f t="shared" si="206"/>
        <v/>
      </c>
      <c r="CB610" s="530" t="str">
        <f t="shared" si="207"/>
        <v/>
      </c>
      <c r="CM610" s="83" t="s">
        <v>10274</v>
      </c>
      <c r="CR610" t="s">
        <v>13977</v>
      </c>
      <c r="GF610" t="s">
        <v>7934</v>
      </c>
    </row>
    <row r="611" spans="76:188" ht="13.2" customHeight="1">
      <c r="BX611" t="str">
        <f>IF(AND(Pays="Terres du Sud",Selectsousrace="Haut Elfe"),"Forteresse de l’Aube","")</f>
        <v/>
      </c>
      <c r="BY611" t="str">
        <f t="shared" si="208"/>
        <v/>
      </c>
      <c r="BZ611" s="83" t="str">
        <f t="shared" si="205"/>
        <v/>
      </c>
      <c r="CA611" s="83" t="str">
        <f t="shared" si="206"/>
        <v/>
      </c>
      <c r="CB611" s="530" t="str">
        <f t="shared" si="207"/>
        <v/>
      </c>
      <c r="CM611" s="3" t="s">
        <v>6714</v>
      </c>
      <c r="CR611" t="s">
        <v>13978</v>
      </c>
      <c r="GF611" t="s">
        <v>7935</v>
      </c>
    </row>
    <row r="612" spans="76:188" ht="13.2" customHeight="1">
      <c r="BX612" t="str">
        <f>IF(SelectRace="Nain","Ruines de Karak Zorn (Epine dorsale des Terres du Sud)","")</f>
        <v/>
      </c>
      <c r="BY612" t="str">
        <f t="shared" si="208"/>
        <v/>
      </c>
      <c r="BZ612" s="83" t="str">
        <f t="shared" si="205"/>
        <v/>
      </c>
      <c r="CA612" s="83" t="str">
        <f t="shared" si="206"/>
        <v/>
      </c>
      <c r="CB612" s="530" t="str">
        <f t="shared" si="207"/>
        <v/>
      </c>
      <c r="CR612" t="s">
        <v>13979</v>
      </c>
      <c r="GF612" t="s">
        <v>7936</v>
      </c>
    </row>
    <row r="613" spans="76:188" ht="13.2" customHeight="1">
      <c r="BX613" t="str">
        <f>IF(Pays="Terres du Sud","Ruines de laCité de Tlaqua","")</f>
        <v/>
      </c>
      <c r="BY613" t="str">
        <f t="shared" si="208"/>
        <v/>
      </c>
      <c r="BZ613" s="83" t="str">
        <f t="shared" si="205"/>
        <v/>
      </c>
      <c r="CA613" s="83" t="str">
        <f t="shared" si="206"/>
        <v/>
      </c>
      <c r="CB613" s="530" t="str">
        <f t="shared" si="207"/>
        <v/>
      </c>
      <c r="CR613" t="s">
        <v>13980</v>
      </c>
      <c r="GF613" t="s">
        <v>7937</v>
      </c>
    </row>
    <row r="614" spans="76:188" ht="13.2" customHeight="1">
      <c r="BX614" t="str">
        <f>IF(Pays="Terres du Sud","Ruines de laCité de Cuexolt","")</f>
        <v/>
      </c>
      <c r="BY614" t="str">
        <f t="shared" si="208"/>
        <v/>
      </c>
      <c r="BZ614" s="83" t="str">
        <f t="shared" si="205"/>
        <v/>
      </c>
      <c r="CA614" s="83" t="str">
        <f t="shared" si="206"/>
        <v/>
      </c>
      <c r="CB614" s="530" t="str">
        <f t="shared" si="207"/>
        <v/>
      </c>
      <c r="CR614" t="s">
        <v>13981</v>
      </c>
      <c r="GF614" t="s">
        <v>7938</v>
      </c>
    </row>
    <row r="615" spans="76:188" ht="13.2" customHeight="1">
      <c r="BX615" t="str">
        <f>IF(Pays="Terres du Sud","Ruines de laCité de Teotiqua","")</f>
        <v/>
      </c>
      <c r="BY615" t="str">
        <f t="shared" si="208"/>
        <v/>
      </c>
      <c r="BZ615" s="83" t="str">
        <f t="shared" si="205"/>
        <v/>
      </c>
      <c r="CA615" s="83" t="str">
        <f t="shared" si="206"/>
        <v/>
      </c>
      <c r="CB615" s="530" t="str">
        <f t="shared" si="207"/>
        <v/>
      </c>
      <c r="CR615" t="s">
        <v>13982</v>
      </c>
      <c r="GF615" t="s">
        <v>7939</v>
      </c>
    </row>
    <row r="616" spans="76:188" ht="13.2" customHeight="1">
      <c r="BX616" t="str">
        <f>IF(Pays="Terres du Sud","Ruines de laCité de Nahuontl","")</f>
        <v/>
      </c>
      <c r="BY616" t="str">
        <f t="shared" si="208"/>
        <v/>
      </c>
      <c r="BZ616" s="83" t="str">
        <f t="shared" si="205"/>
        <v/>
      </c>
      <c r="CA616" s="83" t="str">
        <f t="shared" si="206"/>
        <v/>
      </c>
      <c r="CB616" s="530" t="str">
        <f t="shared" si="207"/>
        <v/>
      </c>
      <c r="CR616" t="s">
        <v>13983</v>
      </c>
      <c r="GF616" t="s">
        <v>7940</v>
      </c>
    </row>
    <row r="617" spans="76:188" ht="13.2" customHeight="1">
      <c r="BX617" t="str">
        <f>IF(SelectRace="skaven","Sub-Delberz","")</f>
        <v/>
      </c>
      <c r="BY617" t="str">
        <f t="shared" si="208"/>
        <v/>
      </c>
      <c r="BZ617" s="83" t="str">
        <f t="shared" si="205"/>
        <v/>
      </c>
      <c r="CA617" s="83" t="str">
        <f t="shared" si="206"/>
        <v/>
      </c>
      <c r="CB617" s="530" t="str">
        <f t="shared" si="207"/>
        <v/>
      </c>
      <c r="CR617" t="s">
        <v>13984</v>
      </c>
      <c r="GF617" t="s">
        <v>7941</v>
      </c>
    </row>
    <row r="618" spans="76:188" ht="13.2" customHeight="1">
      <c r="BX618" t="str">
        <f>IF(SelectRace="skaven","Sub-Middenheim","")</f>
        <v/>
      </c>
      <c r="BY618" t="str">
        <f t="shared" si="208"/>
        <v/>
      </c>
      <c r="BZ618" s="83" t="str">
        <f t="shared" si="205"/>
        <v/>
      </c>
      <c r="CA618" s="83" t="str">
        <f t="shared" si="206"/>
        <v/>
      </c>
      <c r="CB618" s="530" t="str">
        <f t="shared" si="207"/>
        <v/>
      </c>
      <c r="CR618" t="s">
        <v>13985</v>
      </c>
      <c r="GF618" t="s">
        <v>7942</v>
      </c>
    </row>
    <row r="619" spans="76:188" ht="13.2" customHeight="1">
      <c r="BX619" t="str">
        <f>IF(SelectRace="skaven","Fosse Putride","")</f>
        <v/>
      </c>
      <c r="BY619" t="str">
        <f t="shared" si="208"/>
        <v/>
      </c>
      <c r="BZ619" s="83" t="str">
        <f t="shared" si="205"/>
        <v/>
      </c>
      <c r="CA619" s="83" t="str">
        <f t="shared" si="206"/>
        <v/>
      </c>
      <c r="CB619" s="530" t="str">
        <f t="shared" si="207"/>
        <v/>
      </c>
      <c r="CR619" t="s">
        <v>13986</v>
      </c>
      <c r="GF619" t="s">
        <v>7943</v>
      </c>
    </row>
    <row r="620" spans="76:188" ht="13.2" customHeight="1">
      <c r="BX620" t="str">
        <f>IF(SelectRace="skaven","Mont Purulent","")</f>
        <v/>
      </c>
      <c r="BY620" t="str">
        <f t="shared" si="208"/>
        <v/>
      </c>
      <c r="BZ620" s="83" t="str">
        <f t="shared" si="205"/>
        <v/>
      </c>
      <c r="CA620" s="83" t="str">
        <f t="shared" si="206"/>
        <v/>
      </c>
      <c r="CB620" s="530" t="str">
        <f t="shared" si="207"/>
        <v/>
      </c>
      <c r="CR620" t="s">
        <v>13987</v>
      </c>
      <c r="GF620" t="s">
        <v>7944</v>
      </c>
    </row>
    <row r="621" spans="76:188" ht="13.2" customHeight="1">
      <c r="BX621" t="str">
        <f>IF(SelectRace="skaven","Pic Fétide","")</f>
        <v/>
      </c>
      <c r="BY621" t="str">
        <f t="shared" si="208"/>
        <v/>
      </c>
      <c r="BZ621" s="83" t="str">
        <f t="shared" si="205"/>
        <v/>
      </c>
      <c r="CA621" s="83" t="str">
        <f t="shared" si="206"/>
        <v/>
      </c>
      <c r="CB621" s="530" t="str">
        <f t="shared" si="207"/>
        <v/>
      </c>
      <c r="CR621" t="s">
        <v>13988</v>
      </c>
      <c r="GF621" t="s">
        <v>7945</v>
      </c>
    </row>
    <row r="622" spans="76:188" ht="13.2" customHeight="1">
      <c r="BX622" t="str">
        <f>IF(SelectRace="skaven","Fosse Bilieuse","")</f>
        <v/>
      </c>
      <c r="BY622" t="str">
        <f t="shared" si="208"/>
        <v/>
      </c>
      <c r="BZ622" s="83" t="str">
        <f t="shared" si="205"/>
        <v/>
      </c>
      <c r="CA622" s="83" t="str">
        <f t="shared" si="206"/>
        <v/>
      </c>
      <c r="CB622" s="530" t="str">
        <f t="shared" si="207"/>
        <v/>
      </c>
      <c r="CR622" t="s">
        <v>13989</v>
      </c>
      <c r="GF622" t="s">
        <v>7946</v>
      </c>
    </row>
    <row r="623" spans="76:188" ht="13.2" customHeight="1">
      <c r="BX623" t="str">
        <f>IF(SelectRace="skaven","Creux Boursouflé","")</f>
        <v/>
      </c>
      <c r="BY623" t="str">
        <f t="shared" si="208"/>
        <v/>
      </c>
      <c r="BZ623" s="83" t="str">
        <f t="shared" si="205"/>
        <v/>
      </c>
      <c r="CA623" s="83" t="str">
        <f t="shared" si="206"/>
        <v/>
      </c>
      <c r="CB623" s="530" t="str">
        <f t="shared" si="207"/>
        <v/>
      </c>
      <c r="CR623" t="s">
        <v>13990</v>
      </c>
      <c r="GF623" t="s">
        <v>8471</v>
      </c>
    </row>
    <row r="624" spans="76:188" ht="13.2" customHeight="1">
      <c r="BX624" s="25" t="str">
        <f>IF(SelectRace="skaven","Sub-Tobaro/Port de l’Échine","")</f>
        <v/>
      </c>
      <c r="BY624" t="str">
        <f t="shared" si="208"/>
        <v/>
      </c>
      <c r="BZ624" s="83" t="str">
        <f t="shared" si="205"/>
        <v/>
      </c>
      <c r="CA624" s="83" t="str">
        <f t="shared" si="206"/>
        <v/>
      </c>
      <c r="CB624" s="530" t="str">
        <f t="shared" si="207"/>
        <v/>
      </c>
      <c r="CR624" t="s">
        <v>13991</v>
      </c>
      <c r="GF624" t="s">
        <v>7947</v>
      </c>
    </row>
    <row r="625" spans="76:188" ht="13.2" customHeight="1">
      <c r="BX625" s="177" t="str">
        <f>IF(AND(Pays="Naggaroth",Selectsousrace="Haut Elfe"),"Arnheim","")</f>
        <v/>
      </c>
      <c r="BY625" t="str">
        <f t="shared" si="208"/>
        <v/>
      </c>
      <c r="BZ625" s="83" t="str">
        <f t="shared" si="205"/>
        <v/>
      </c>
      <c r="CA625" s="83" t="str">
        <f t="shared" si="206"/>
        <v/>
      </c>
      <c r="CB625" s="530" t="str">
        <f t="shared" si="207"/>
        <v/>
      </c>
      <c r="CR625" t="s">
        <v>13992</v>
      </c>
      <c r="GF625" t="s">
        <v>7948</v>
      </c>
    </row>
    <row r="626" spans="76:188" ht="13.2" customHeight="1">
      <c r="BX626" s="177" t="str">
        <f>IF(Selectsousrace="Haut Elfe","La citadelle du Crépuscule","")</f>
        <v/>
      </c>
      <c r="BY626" t="str">
        <f t="shared" si="208"/>
        <v/>
      </c>
      <c r="BZ626" s="83" t="str">
        <f t="shared" si="205"/>
        <v/>
      </c>
      <c r="CA626" s="83" t="str">
        <f t="shared" si="206"/>
        <v/>
      </c>
      <c r="CB626" s="530" t="str">
        <f t="shared" si="207"/>
        <v/>
      </c>
      <c r="CR626" t="s">
        <v>13993</v>
      </c>
      <c r="GF626" t="s">
        <v>8477</v>
      </c>
    </row>
    <row r="627" spans="76:188" ht="13.2" customHeight="1">
      <c r="BX627" s="177" t="str">
        <f>IF(Selectsousrace="Haut Elfe","Les îles des Tortues","")</f>
        <v/>
      </c>
      <c r="BY627" t="str">
        <f t="shared" si="208"/>
        <v/>
      </c>
      <c r="BZ627" s="83" t="str">
        <f t="shared" si="205"/>
        <v/>
      </c>
      <c r="CA627" s="83" t="str">
        <f t="shared" si="206"/>
        <v/>
      </c>
      <c r="CB627" s="530" t="str">
        <f t="shared" si="207"/>
        <v/>
      </c>
      <c r="CR627" t="s">
        <v>13994</v>
      </c>
      <c r="GF627" t="s">
        <v>8480</v>
      </c>
    </row>
    <row r="628" spans="76:188" ht="13.2" customHeight="1">
      <c r="BX628" s="177" t="str">
        <f>IF(AND(Province="Iles Perdues d'Elithis",Selectsousrace="Haut Elfe"),"La tour du Soleil Levant","")</f>
        <v/>
      </c>
      <c r="BY628" t="str">
        <f t="shared" si="208"/>
        <v/>
      </c>
      <c r="BZ628" s="83" t="str">
        <f t="shared" si="205"/>
        <v/>
      </c>
      <c r="CA628" s="83" t="str">
        <f t="shared" si="206"/>
        <v/>
      </c>
      <c r="CB628" s="530" t="str">
        <f t="shared" si="207"/>
        <v/>
      </c>
      <c r="CR628" t="s">
        <v>13995</v>
      </c>
      <c r="GF628" t="s">
        <v>7949</v>
      </c>
    </row>
    <row r="629" spans="76:188" ht="13.2" customHeight="1">
      <c r="BX629" s="177" t="str">
        <f>IF(AND(Province="Iles Perdues d'Elithis",Selectsousrace="Haut Elfe"),"Tor Elithis","")</f>
        <v/>
      </c>
      <c r="BY629" t="str">
        <f t="shared" si="208"/>
        <v/>
      </c>
      <c r="BZ629" s="83" t="str">
        <f t="shared" si="205"/>
        <v/>
      </c>
      <c r="CA629" s="83" t="str">
        <f t="shared" si="206"/>
        <v/>
      </c>
      <c r="CB629" s="530" t="str">
        <f t="shared" si="207"/>
        <v/>
      </c>
      <c r="CR629" t="s">
        <v>13996</v>
      </c>
      <c r="GF629" t="s">
        <v>7950</v>
      </c>
    </row>
    <row r="630" spans="76:188" ht="13.2" customHeight="1">
      <c r="BX630" s="177" t="str">
        <f>IF(Province="Wan Tsou","Ville de Beichai","")</f>
        <v/>
      </c>
      <c r="BY630" t="str">
        <f t="shared" si="208"/>
        <v/>
      </c>
      <c r="BZ630" s="83" t="str">
        <f t="shared" si="205"/>
        <v/>
      </c>
      <c r="CA630" s="83" t="str">
        <f t="shared" si="206"/>
        <v/>
      </c>
      <c r="CB630" s="530" t="str">
        <f t="shared" si="207"/>
        <v/>
      </c>
      <c r="CR630" t="s">
        <v>13997</v>
      </c>
      <c r="GF630" t="s">
        <v>7951</v>
      </c>
    </row>
    <row r="631" spans="76:188" ht="13.2" customHeight="1">
      <c r="BX631" s="177" t="str">
        <f>IF(Province="Wei An","Ville de Wanbao","")</f>
        <v/>
      </c>
      <c r="BY631" t="str">
        <f t="shared" si="208"/>
        <v/>
      </c>
      <c r="BZ631" s="83" t="str">
        <f t="shared" si="205"/>
        <v/>
      </c>
      <c r="CA631" s="83" t="str">
        <f t="shared" si="206"/>
        <v/>
      </c>
      <c r="CB631" s="530" t="str">
        <f t="shared" si="207"/>
        <v/>
      </c>
      <c r="CR631" t="s">
        <v>13998</v>
      </c>
      <c r="GF631" t="s">
        <v>7953</v>
      </c>
    </row>
    <row r="632" spans="76:188" ht="13.2" customHeight="1">
      <c r="BX632" s="177" t="str">
        <f>IF(Province="Wan Tsou","Ville de Anlo","")</f>
        <v/>
      </c>
      <c r="BY632" t="str">
        <f t="shared" si="208"/>
        <v/>
      </c>
      <c r="BZ632" s="83" t="str">
        <f t="shared" si="205"/>
        <v/>
      </c>
      <c r="CA632" s="83" t="str">
        <f t="shared" si="206"/>
        <v/>
      </c>
      <c r="CB632" s="530" t="str">
        <f t="shared" si="207"/>
        <v/>
      </c>
      <c r="CR632" t="s">
        <v>13999</v>
      </c>
      <c r="GF632" t="s">
        <v>7954</v>
      </c>
    </row>
    <row r="633" spans="76:188" ht="13.2" customHeight="1">
      <c r="BX633" s="177" t="str">
        <f>IF(Province="Shuang Hsi","Ville de Wanbao","")</f>
        <v/>
      </c>
      <c r="BY633" t="str">
        <f t="shared" si="208"/>
        <v/>
      </c>
      <c r="BZ633" s="83" t="str">
        <f t="shared" si="205"/>
        <v/>
      </c>
      <c r="CA633" s="83" t="str">
        <f t="shared" si="206"/>
        <v/>
      </c>
      <c r="CB633" s="530" t="str">
        <f t="shared" si="207"/>
        <v/>
      </c>
      <c r="CR633" t="s">
        <v>14000</v>
      </c>
      <c r="GF633" t="s">
        <v>8478</v>
      </c>
    </row>
    <row r="634" spans="76:188" ht="13.2" customHeight="1">
      <c r="BX634" s="177" t="str">
        <f>IF(Province="Wei An","Ville de Yangshan","")</f>
        <v/>
      </c>
      <c r="BY634" t="str">
        <f t="shared" si="208"/>
        <v/>
      </c>
      <c r="BZ634" s="83" t="str">
        <f t="shared" si="205"/>
        <v/>
      </c>
      <c r="CA634" s="83" t="str">
        <f t="shared" si="206"/>
        <v/>
      </c>
      <c r="CB634" s="530" t="str">
        <f t="shared" si="207"/>
        <v/>
      </c>
      <c r="CR634" t="s">
        <v>14001</v>
      </c>
      <c r="GF634" t="s">
        <v>7955</v>
      </c>
    </row>
    <row r="635" spans="76:188" ht="13.2" customHeight="1">
      <c r="BX635" s="177" t="str">
        <f>IF(Province="Wei An","Ville de Fu Chow","")</f>
        <v/>
      </c>
      <c r="BY635" t="str">
        <f t="shared" si="208"/>
        <v/>
      </c>
      <c r="BZ635" s="83" t="str">
        <f t="shared" si="205"/>
        <v/>
      </c>
      <c r="CA635" s="83" t="str">
        <f t="shared" si="206"/>
        <v/>
      </c>
      <c r="CB635" s="530" t="str">
        <f t="shared" si="207"/>
        <v/>
      </c>
      <c r="CR635" t="s">
        <v>14002</v>
      </c>
      <c r="GF635" t="s">
        <v>7956</v>
      </c>
    </row>
    <row r="636" spans="76:188" ht="13.2" customHeight="1">
      <c r="BX636" s="177" t="str">
        <f>IF(Province="Wei An","Ville de Lohai","")</f>
        <v/>
      </c>
      <c r="BY636" t="str">
        <f t="shared" si="208"/>
        <v/>
      </c>
      <c r="BZ636" s="83" t="str">
        <f t="shared" si="205"/>
        <v/>
      </c>
      <c r="CA636" s="83" t="str">
        <f t="shared" si="206"/>
        <v/>
      </c>
      <c r="CB636" s="530" t="str">
        <f t="shared" si="207"/>
        <v/>
      </c>
      <c r="CR636" t="s">
        <v>14003</v>
      </c>
      <c r="GF636" t="s">
        <v>8472</v>
      </c>
    </row>
    <row r="637" spans="76:188" ht="13.2" customHeight="1">
      <c r="BX637" s="177" t="str">
        <f>IF(Province="Kun Tsou","Ville de Yunying","")</f>
        <v/>
      </c>
      <c r="BY637" t="str">
        <f t="shared" si="208"/>
        <v/>
      </c>
      <c r="BZ637" s="83" t="str">
        <f t="shared" si="205"/>
        <v/>
      </c>
      <c r="CA637" s="83" t="str">
        <f t="shared" si="206"/>
        <v/>
      </c>
      <c r="CB637" s="530" t="str">
        <f t="shared" si="207"/>
        <v/>
      </c>
      <c r="CR637" t="s">
        <v>14004</v>
      </c>
      <c r="GF637" t="s">
        <v>7957</v>
      </c>
    </row>
    <row r="638" spans="76:188" ht="13.2" customHeight="1">
      <c r="BX638" s="177" t="str">
        <f>IF(Province="Ping Dong","Ville de Hsijing","")</f>
        <v/>
      </c>
      <c r="BY638" t="str">
        <f t="shared" si="208"/>
        <v/>
      </c>
      <c r="BZ638" s="83" t="str">
        <f t="shared" si="205"/>
        <v/>
      </c>
      <c r="CA638" s="83" t="str">
        <f t="shared" si="206"/>
        <v/>
      </c>
      <c r="CB638" s="530" t="str">
        <f t="shared" si="207"/>
        <v/>
      </c>
      <c r="CR638" t="s">
        <v>14006</v>
      </c>
      <c r="GF638" s="83" t="s">
        <v>8757</v>
      </c>
    </row>
    <row r="639" spans="76:188" ht="13.2" customHeight="1">
      <c r="BX639" s="177" t="str">
        <f>IF(Province="Ping Dong","Ville de Xiaoping","")</f>
        <v/>
      </c>
      <c r="BY639" t="str">
        <f t="shared" si="208"/>
        <v/>
      </c>
      <c r="BZ639" s="83" t="str">
        <f t="shared" si="205"/>
        <v/>
      </c>
      <c r="CA639" s="83" t="str">
        <f t="shared" si="206"/>
        <v/>
      </c>
      <c r="CB639" s="530" t="str">
        <f t="shared" si="207"/>
        <v/>
      </c>
      <c r="CR639" t="s">
        <v>14007</v>
      </c>
      <c r="GF639" t="s">
        <v>8503</v>
      </c>
    </row>
    <row r="640" spans="76:188" ht="13.2" customHeight="1">
      <c r="BX640" s="25" t="str">
        <f>IF(Province="Song Jiang","Ville de Han-Yi","")</f>
        <v/>
      </c>
      <c r="BY640" t="str">
        <f t="shared" si="208"/>
        <v/>
      </c>
      <c r="BZ640" s="83" t="str">
        <f t="shared" si="205"/>
        <v/>
      </c>
      <c r="CA640" s="83" t="str">
        <f t="shared" si="206"/>
        <v/>
      </c>
      <c r="CB640" s="530" t="str">
        <f t="shared" si="207"/>
        <v/>
      </c>
      <c r="CR640" t="s">
        <v>14008</v>
      </c>
      <c r="GF640" t="s">
        <v>8496</v>
      </c>
    </row>
    <row r="641" spans="76:188" ht="13.2" customHeight="1">
      <c r="BX641" s="25" t="str">
        <f>IF(Province="Song Jiang","Ville de Nan Guang","")</f>
        <v/>
      </c>
      <c r="BY641" t="str">
        <f t="shared" si="208"/>
        <v/>
      </c>
      <c r="BZ641" s="83" t="str">
        <f t="shared" si="205"/>
        <v/>
      </c>
      <c r="CA641" s="83" t="str">
        <f t="shared" si="206"/>
        <v/>
      </c>
      <c r="CB641" s="530" t="str">
        <f t="shared" si="207"/>
        <v/>
      </c>
      <c r="CR641" t="s">
        <v>14009</v>
      </c>
      <c r="GF641" t="s">
        <v>8492</v>
      </c>
    </row>
    <row r="642" spans="76:188" ht="13.2" customHeight="1">
      <c r="BX642" s="25" t="str">
        <f>IF(Province="Ile d'Harakaï","Ville de Kiroshima","")</f>
        <v/>
      </c>
      <c r="BY642" t="str">
        <f t="shared" si="208"/>
        <v/>
      </c>
      <c r="BZ642" s="83" t="str">
        <f t="shared" ref="BZ642:BZ705" si="209">IFERROR(SMALL(BY:BY,ROW()-1),"")</f>
        <v/>
      </c>
      <c r="CA642" s="83" t="str">
        <f t="shared" ref="CA642:CA705" si="210">IFERROR(INDEX(BX:BX,BZ642),"")</f>
        <v/>
      </c>
      <c r="CB642" s="530" t="str">
        <f t="shared" ref="CB642:CB705" si="211">INDEX(CA:CA,ROW())</f>
        <v/>
      </c>
      <c r="CR642" t="s">
        <v>14010</v>
      </c>
      <c r="GF642" t="s">
        <v>7958</v>
      </c>
    </row>
    <row r="643" spans="76:188" ht="13.2" customHeight="1">
      <c r="BX643" s="25" t="str">
        <f>IF(Province="Ile de Kapado","Ville d'Izumo","")</f>
        <v/>
      </c>
      <c r="BY643" t="str">
        <f t="shared" ref="BY643:BY706" si="212">IF(BX643="","",ROW())</f>
        <v/>
      </c>
      <c r="BZ643" s="83" t="str">
        <f t="shared" si="209"/>
        <v/>
      </c>
      <c r="CA643" s="83" t="str">
        <f t="shared" si="210"/>
        <v/>
      </c>
      <c r="CB643" s="530" t="str">
        <f t="shared" si="211"/>
        <v/>
      </c>
      <c r="CR643" t="s">
        <v>14011</v>
      </c>
      <c r="GF643" t="s">
        <v>8504</v>
      </c>
    </row>
    <row r="644" spans="76:188" ht="13.2" customHeight="1">
      <c r="BX644" s="25" t="str">
        <f>IF(Province="Ile de Kapado","Ville de Numano","")</f>
        <v/>
      </c>
      <c r="BY644" t="str">
        <f t="shared" si="212"/>
        <v/>
      </c>
      <c r="BZ644" s="83" t="str">
        <f t="shared" si="209"/>
        <v/>
      </c>
      <c r="CA644" s="83" t="str">
        <f t="shared" si="210"/>
        <v/>
      </c>
      <c r="CB644" s="530" t="str">
        <f t="shared" si="211"/>
        <v/>
      </c>
      <c r="CR644" t="s">
        <v>14012</v>
      </c>
      <c r="GF644" t="s">
        <v>8493</v>
      </c>
    </row>
    <row r="645" spans="76:188" ht="13.2" customHeight="1">
      <c r="BX645" s="25" t="str">
        <f>IF(Province="Ile de Kapado","Ville d'Iakudo","")</f>
        <v/>
      </c>
      <c r="BY645" t="str">
        <f t="shared" si="212"/>
        <v/>
      </c>
      <c r="BZ645" s="83" t="str">
        <f t="shared" si="209"/>
        <v/>
      </c>
      <c r="CA645" s="83" t="str">
        <f t="shared" si="210"/>
        <v/>
      </c>
      <c r="CB645" s="530" t="str">
        <f t="shared" si="211"/>
        <v/>
      </c>
      <c r="CR645" t="s">
        <v>14013</v>
      </c>
      <c r="GF645" t="s">
        <v>7959</v>
      </c>
    </row>
    <row r="646" spans="76:188" ht="13.2" customHeight="1">
      <c r="BX646" s="25" t="str">
        <f>IF(Province="Ile de Kapado","Ville d'Hyudo","")</f>
        <v/>
      </c>
      <c r="BY646" t="str">
        <f t="shared" si="212"/>
        <v/>
      </c>
      <c r="BZ646" s="83" t="str">
        <f t="shared" si="209"/>
        <v/>
      </c>
      <c r="CA646" s="83" t="str">
        <f t="shared" si="210"/>
        <v/>
      </c>
      <c r="CB646" s="530" t="str">
        <f t="shared" si="211"/>
        <v/>
      </c>
      <c r="CR646" t="s">
        <v>14014</v>
      </c>
      <c r="GF646" t="s">
        <v>8482</v>
      </c>
    </row>
    <row r="647" spans="76:188" ht="13.2" customHeight="1">
      <c r="BX647" s="25" t="str">
        <f>IF(Province="Ile de Kapado","Ville de Tokaïdo","")</f>
        <v/>
      </c>
      <c r="BY647" t="str">
        <f t="shared" si="212"/>
        <v/>
      </c>
      <c r="BZ647" s="83" t="str">
        <f t="shared" si="209"/>
        <v/>
      </c>
      <c r="CA647" s="83" t="str">
        <f t="shared" si="210"/>
        <v/>
      </c>
      <c r="CB647" s="530" t="str">
        <f t="shared" si="211"/>
        <v/>
      </c>
      <c r="CR647" t="s">
        <v>14015</v>
      </c>
      <c r="GF647" t="s">
        <v>7960</v>
      </c>
    </row>
    <row r="648" spans="76:188" ht="13.2" customHeight="1">
      <c r="BX648" s="25" t="str">
        <f>IF(Province="Ile de Kapado","Ville d'Okakama","")</f>
        <v/>
      </c>
      <c r="BY648" t="str">
        <f t="shared" si="212"/>
        <v/>
      </c>
      <c r="BZ648" s="83" t="str">
        <f t="shared" si="209"/>
        <v/>
      </c>
      <c r="CA648" s="83" t="str">
        <f t="shared" si="210"/>
        <v/>
      </c>
      <c r="CB648" s="530" t="str">
        <f t="shared" si="211"/>
        <v/>
      </c>
      <c r="CR648" t="s">
        <v>14016</v>
      </c>
      <c r="GF648" t="s">
        <v>8497</v>
      </c>
    </row>
    <row r="649" spans="76:188" ht="13.2" customHeight="1">
      <c r="BX649" s="25" t="str">
        <f>IF(Province="Bhalluka","Ville de Mathura","")</f>
        <v/>
      </c>
      <c r="BY649" t="str">
        <f t="shared" si="212"/>
        <v/>
      </c>
      <c r="BZ649" s="83" t="str">
        <f t="shared" si="209"/>
        <v/>
      </c>
      <c r="CA649" s="83" t="str">
        <f t="shared" si="210"/>
        <v/>
      </c>
      <c r="CB649" s="530" t="str">
        <f t="shared" si="211"/>
        <v/>
      </c>
      <c r="CR649" t="s">
        <v>14017</v>
      </c>
      <c r="GF649" t="s">
        <v>7961</v>
      </c>
    </row>
    <row r="650" spans="76:188" ht="13.2" customHeight="1">
      <c r="BX650" s="25" t="str">
        <f>IF(Province="Royaume de Kosala","Ville de Kausambi","")</f>
        <v/>
      </c>
      <c r="BY650" t="str">
        <f t="shared" si="212"/>
        <v/>
      </c>
      <c r="BZ650" s="83" t="str">
        <f t="shared" si="209"/>
        <v/>
      </c>
      <c r="CA650" s="83" t="str">
        <f t="shared" si="210"/>
        <v/>
      </c>
      <c r="CB650" s="530" t="str">
        <f t="shared" si="211"/>
        <v/>
      </c>
      <c r="CR650" t="s">
        <v>14018</v>
      </c>
      <c r="GF650" t="s">
        <v>8495</v>
      </c>
    </row>
    <row r="651" spans="76:188" ht="13.2" customHeight="1">
      <c r="BX651" s="25" t="str">
        <f>IF(AND(SelectRace="homme-bête",Province="Royaume de Kosala"),"L'œil du Tigre","")</f>
        <v/>
      </c>
      <c r="BY651" t="str">
        <f t="shared" si="212"/>
        <v/>
      </c>
      <c r="BZ651" s="83" t="str">
        <f t="shared" si="209"/>
        <v/>
      </c>
      <c r="CA651" s="83" t="str">
        <f t="shared" si="210"/>
        <v/>
      </c>
      <c r="CB651" s="530" t="str">
        <f t="shared" si="211"/>
        <v/>
      </c>
      <c r="CR651" t="s">
        <v>14019</v>
      </c>
      <c r="GF651" t="s">
        <v>8498</v>
      </c>
    </row>
    <row r="652" spans="76:188" ht="13.2" customHeight="1">
      <c r="BX652" s="25" t="str">
        <f>IF(Pays="Désolations du Chaos","Le Val des Monstres","")</f>
        <v/>
      </c>
      <c r="BY652" t="str">
        <f t="shared" si="212"/>
        <v/>
      </c>
      <c r="BZ652" s="83" t="str">
        <f t="shared" si="209"/>
        <v/>
      </c>
      <c r="CA652" s="83" t="str">
        <f t="shared" si="210"/>
        <v/>
      </c>
      <c r="CB652" s="530" t="str">
        <f t="shared" si="211"/>
        <v/>
      </c>
      <c r="CR652" t="s">
        <v>14020</v>
      </c>
      <c r="GF652" t="s">
        <v>8483</v>
      </c>
    </row>
    <row r="653" spans="76:188" ht="13.2" customHeight="1">
      <c r="BX653" s="25" t="str">
        <f>IF(Pays="Désolations du Chaos","LaCité Incontournable","")</f>
        <v/>
      </c>
      <c r="BY653" t="str">
        <f t="shared" si="212"/>
        <v/>
      </c>
      <c r="BZ653" s="83" t="str">
        <f t="shared" si="209"/>
        <v/>
      </c>
      <c r="CA653" s="83" t="str">
        <f t="shared" si="210"/>
        <v/>
      </c>
      <c r="CB653" s="530" t="str">
        <f t="shared" si="211"/>
        <v/>
      </c>
      <c r="CR653" t="s">
        <v>14021</v>
      </c>
      <c r="GF653" t="s">
        <v>8484</v>
      </c>
    </row>
    <row r="654" spans="76:188" ht="13.2" customHeight="1">
      <c r="BX654" s="25" t="str">
        <f>IF(Pays="Désolations du Chaos","Le Château Errant","")</f>
        <v/>
      </c>
      <c r="BY654" t="str">
        <f t="shared" si="212"/>
        <v/>
      </c>
      <c r="BZ654" s="83" t="str">
        <f t="shared" si="209"/>
        <v/>
      </c>
      <c r="CA654" s="83" t="str">
        <f t="shared" si="210"/>
        <v/>
      </c>
      <c r="CB654" s="530" t="str">
        <f t="shared" si="211"/>
        <v/>
      </c>
      <c r="CR654" t="s">
        <v>14022</v>
      </c>
      <c r="GF654" t="s">
        <v>8499</v>
      </c>
    </row>
    <row r="655" spans="76:188" ht="13.2" customHeight="1">
      <c r="BX655" s="25" t="str">
        <f>IF(Pays="Désolations du Chaos","L'Escalier du Bastion","")</f>
        <v/>
      </c>
      <c r="BY655" t="str">
        <f t="shared" si="212"/>
        <v/>
      </c>
      <c r="BZ655" s="83" t="str">
        <f t="shared" si="209"/>
        <v/>
      </c>
      <c r="CA655" s="83" t="str">
        <f t="shared" si="210"/>
        <v/>
      </c>
      <c r="CB655" s="530" t="str">
        <f t="shared" si="211"/>
        <v/>
      </c>
      <c r="CR655" t="s">
        <v>14023</v>
      </c>
      <c r="GF655" t="s">
        <v>8500</v>
      </c>
    </row>
    <row r="656" spans="76:188" ht="13.2" customHeight="1">
      <c r="BX656" s="25" t="str">
        <f>IF(Province="Principauté de Trantio","Cité-Etat de Trantio","")</f>
        <v/>
      </c>
      <c r="BY656" t="str">
        <f t="shared" si="212"/>
        <v/>
      </c>
      <c r="BZ656" s="83" t="str">
        <f t="shared" si="209"/>
        <v/>
      </c>
      <c r="CA656" s="83" t="str">
        <f t="shared" si="210"/>
        <v/>
      </c>
      <c r="CB656" s="530" t="str">
        <f t="shared" si="211"/>
        <v/>
      </c>
      <c r="CR656" t="s">
        <v>14024</v>
      </c>
      <c r="GF656" t="s">
        <v>8485</v>
      </c>
    </row>
    <row r="657" spans="76:188" ht="13.2" customHeight="1">
      <c r="BX657" s="25" t="str">
        <f>IF(Province="Principauté de Pavona","Cité-Etat de Pavona","")</f>
        <v/>
      </c>
      <c r="BY657" t="str">
        <f t="shared" si="212"/>
        <v/>
      </c>
      <c r="BZ657" s="83" t="str">
        <f t="shared" si="209"/>
        <v/>
      </c>
      <c r="CA657" s="83" t="str">
        <f t="shared" si="210"/>
        <v/>
      </c>
      <c r="CB657" s="530" t="str">
        <f t="shared" si="211"/>
        <v/>
      </c>
      <c r="CR657" t="s">
        <v>14025</v>
      </c>
      <c r="GF657" t="s">
        <v>7962</v>
      </c>
    </row>
    <row r="658" spans="76:188" ht="13.2" customHeight="1">
      <c r="BX658" s="25" t="str">
        <f>IF(Province="Principauté de Miragliano","Cité-Etat de Miragliano","")</f>
        <v/>
      </c>
      <c r="BY658" t="str">
        <f t="shared" si="212"/>
        <v/>
      </c>
      <c r="BZ658" s="83" t="str">
        <f t="shared" si="209"/>
        <v/>
      </c>
      <c r="CA658" s="83" t="str">
        <f t="shared" si="210"/>
        <v/>
      </c>
      <c r="CB658" s="530" t="str">
        <f t="shared" si="211"/>
        <v/>
      </c>
      <c r="CR658" t="s">
        <v>14026</v>
      </c>
      <c r="GF658" t="s">
        <v>8486</v>
      </c>
    </row>
    <row r="659" spans="76:188" ht="13.2" customHeight="1">
      <c r="BX659" s="83" t="str">
        <f>IF(Pays="Estalie","Ville de Porto Real","")</f>
        <v/>
      </c>
      <c r="BY659" t="str">
        <f t="shared" si="212"/>
        <v/>
      </c>
      <c r="BZ659" s="83" t="str">
        <f t="shared" si="209"/>
        <v/>
      </c>
      <c r="CA659" s="83" t="str">
        <f t="shared" si="210"/>
        <v/>
      </c>
      <c r="CB659" s="530" t="str">
        <f t="shared" si="211"/>
        <v/>
      </c>
      <c r="CR659" t="s">
        <v>14027</v>
      </c>
      <c r="GF659" t="s">
        <v>8487</v>
      </c>
    </row>
    <row r="660" spans="76:188" ht="13.2" customHeight="1">
      <c r="BX660" s="83" t="str">
        <f>IF(Province="Duché d'Alquezaro","Ville d'Alquezaro","")</f>
        <v/>
      </c>
      <c r="BY660" t="str">
        <f t="shared" si="212"/>
        <v/>
      </c>
      <c r="BZ660" s="83" t="str">
        <f t="shared" si="209"/>
        <v/>
      </c>
      <c r="CA660" s="83" t="str">
        <f t="shared" si="210"/>
        <v/>
      </c>
      <c r="CB660" s="530" t="str">
        <f t="shared" si="211"/>
        <v/>
      </c>
      <c r="CR660" t="s">
        <v>14028</v>
      </c>
      <c r="GF660" t="s">
        <v>7963</v>
      </c>
    </row>
    <row r="661" spans="76:188" ht="13.2" customHeight="1">
      <c r="BX661" s="83" t="str">
        <f>IF(Province="Duché de Barboza","Duché de Barboza","")</f>
        <v/>
      </c>
      <c r="BY661" t="str">
        <f t="shared" si="212"/>
        <v/>
      </c>
      <c r="BZ661" s="83" t="str">
        <f t="shared" si="209"/>
        <v/>
      </c>
      <c r="CA661" s="83" t="str">
        <f t="shared" si="210"/>
        <v/>
      </c>
      <c r="CB661" s="530" t="str">
        <f t="shared" si="211"/>
        <v/>
      </c>
      <c r="CR661" t="s">
        <v>14029</v>
      </c>
      <c r="GF661" t="s">
        <v>8501</v>
      </c>
    </row>
    <row r="662" spans="76:188" ht="13.2" customHeight="1">
      <c r="BX662" s="83" t="str">
        <f>IF(Province="Duché de Cantonie","Duché de Cantonie","")</f>
        <v/>
      </c>
      <c r="BY662" t="str">
        <f t="shared" si="212"/>
        <v/>
      </c>
      <c r="BZ662" s="83" t="str">
        <f t="shared" si="209"/>
        <v/>
      </c>
      <c r="CA662" s="83" t="str">
        <f t="shared" si="210"/>
        <v/>
      </c>
      <c r="CB662" s="530" t="str">
        <f t="shared" si="211"/>
        <v/>
      </c>
      <c r="CR662" t="s">
        <v>14030</v>
      </c>
      <c r="GF662" t="s">
        <v>8494</v>
      </c>
    </row>
    <row r="663" spans="76:188" ht="13.2" customHeight="1">
      <c r="BX663" s="83" t="str">
        <f>IF(Province="Duché de Gualcazar","Duché de Gualcazar","")</f>
        <v/>
      </c>
      <c r="BY663" t="str">
        <f t="shared" si="212"/>
        <v/>
      </c>
      <c r="BZ663" s="83" t="str">
        <f t="shared" si="209"/>
        <v/>
      </c>
      <c r="CA663" s="83" t="str">
        <f t="shared" si="210"/>
        <v/>
      </c>
      <c r="CB663" s="530" t="str">
        <f t="shared" si="211"/>
        <v/>
      </c>
      <c r="CR663" t="s">
        <v>14031</v>
      </c>
      <c r="GF663" t="s">
        <v>8488</v>
      </c>
    </row>
    <row r="664" spans="76:188" ht="13.2" customHeight="1">
      <c r="BX664" s="83" t="str">
        <f>IF(Province="Duché de San Luis","Duché de San Luis","")</f>
        <v/>
      </c>
      <c r="BY664" t="str">
        <f t="shared" si="212"/>
        <v/>
      </c>
      <c r="BZ664" s="83" t="str">
        <f t="shared" si="209"/>
        <v/>
      </c>
      <c r="CA664" s="83" t="str">
        <f t="shared" si="210"/>
        <v/>
      </c>
      <c r="CB664" s="530" t="str">
        <f t="shared" si="211"/>
        <v/>
      </c>
      <c r="CR664" t="s">
        <v>14032</v>
      </c>
      <c r="GF664" t="s">
        <v>7964</v>
      </c>
    </row>
    <row r="665" spans="76:188" ht="13.2" customHeight="1">
      <c r="BX665" s="83" t="str">
        <f>IF(Province="Duché de Saragosse","Duché de Saragosse","")</f>
        <v/>
      </c>
      <c r="BY665" t="str">
        <f t="shared" si="212"/>
        <v/>
      </c>
      <c r="BZ665" s="83" t="str">
        <f t="shared" si="209"/>
        <v/>
      </c>
      <c r="CA665" s="83" t="str">
        <f t="shared" si="210"/>
        <v/>
      </c>
      <c r="CB665" s="530" t="str">
        <f t="shared" si="211"/>
        <v/>
      </c>
      <c r="CR665" t="s">
        <v>14033</v>
      </c>
      <c r="GF665" t="s">
        <v>7965</v>
      </c>
    </row>
    <row r="666" spans="76:188" ht="13.2" customHeight="1">
      <c r="BX666" s="83" t="str">
        <f>IF(Province="Duché d'Obregon","Duché d'Obregon","")</f>
        <v/>
      </c>
      <c r="BY666" t="str">
        <f t="shared" si="212"/>
        <v/>
      </c>
      <c r="BZ666" s="83" t="str">
        <f t="shared" si="209"/>
        <v/>
      </c>
      <c r="CA666" s="83" t="str">
        <f t="shared" si="210"/>
        <v/>
      </c>
      <c r="CB666" s="530" t="str">
        <f t="shared" si="211"/>
        <v/>
      </c>
      <c r="CR666" t="s">
        <v>14034</v>
      </c>
      <c r="GF666" t="s">
        <v>7966</v>
      </c>
    </row>
    <row r="667" spans="76:188" ht="13.2" customHeight="1">
      <c r="BX667" s="83" t="str">
        <f>IF(Province="Principauté de Catalina","Principauté de Catalina","")</f>
        <v/>
      </c>
      <c r="BY667" t="str">
        <f t="shared" si="212"/>
        <v/>
      </c>
      <c r="BZ667" s="83" t="str">
        <f t="shared" si="209"/>
        <v/>
      </c>
      <c r="CA667" s="83" t="str">
        <f t="shared" si="210"/>
        <v/>
      </c>
      <c r="CB667" s="530" t="str">
        <f t="shared" si="211"/>
        <v/>
      </c>
      <c r="CR667" t="s">
        <v>14035</v>
      </c>
      <c r="GF667" t="s">
        <v>8505</v>
      </c>
    </row>
    <row r="668" spans="76:188" ht="13.2" customHeight="1">
      <c r="BX668" s="83" t="str">
        <f>IF(Province="Republique de Galicée","Republique de Galicée","")</f>
        <v/>
      </c>
      <c r="BY668" t="str">
        <f t="shared" si="212"/>
        <v/>
      </c>
      <c r="BZ668" s="83" t="str">
        <f t="shared" si="209"/>
        <v/>
      </c>
      <c r="CA668" s="83" t="str">
        <f t="shared" si="210"/>
        <v/>
      </c>
      <c r="CB668" s="530" t="str">
        <f t="shared" si="211"/>
        <v/>
      </c>
      <c r="CR668" t="s">
        <v>14037</v>
      </c>
      <c r="GF668" t="s">
        <v>7967</v>
      </c>
    </row>
    <row r="669" spans="76:188" ht="13.2" customHeight="1">
      <c r="BX669" s="83" t="str">
        <f>IF(Province="Royaume de Tigarre","Royaume de Tigarre","")</f>
        <v/>
      </c>
      <c r="BY669" t="str">
        <f t="shared" si="212"/>
        <v/>
      </c>
      <c r="BZ669" s="83" t="str">
        <f t="shared" si="209"/>
        <v/>
      </c>
      <c r="CA669" s="83" t="str">
        <f t="shared" si="210"/>
        <v/>
      </c>
      <c r="CB669" s="530" t="str">
        <f t="shared" si="211"/>
        <v/>
      </c>
      <c r="CR669" t="s">
        <v>14038</v>
      </c>
      <c r="GF669" t="s">
        <v>8502</v>
      </c>
    </row>
    <row r="670" spans="76:188" ht="13.2" customHeight="1">
      <c r="BX670" s="83" t="str">
        <f>IF(Province="Royaume d'Astarios","Royaume d'Astarios","")</f>
        <v/>
      </c>
      <c r="BY670" t="str">
        <f t="shared" si="212"/>
        <v/>
      </c>
      <c r="BZ670" s="83" t="str">
        <f t="shared" si="209"/>
        <v/>
      </c>
      <c r="CA670" s="83" t="str">
        <f t="shared" si="210"/>
        <v/>
      </c>
      <c r="CB670" s="530" t="str">
        <f t="shared" si="211"/>
        <v/>
      </c>
      <c r="CR670" t="s">
        <v>14039</v>
      </c>
      <c r="GF670" t="s">
        <v>7968</v>
      </c>
    </row>
    <row r="671" spans="76:188" ht="13.2" customHeight="1">
      <c r="BX671" s="83" t="str">
        <f>IF(Province="Royaume d'Avila","Royaume d'Avila","")</f>
        <v/>
      </c>
      <c r="BY671" t="str">
        <f t="shared" si="212"/>
        <v/>
      </c>
      <c r="BZ671" s="83" t="str">
        <f t="shared" si="209"/>
        <v/>
      </c>
      <c r="CA671" s="83" t="str">
        <f t="shared" si="210"/>
        <v/>
      </c>
      <c r="CB671" s="530" t="str">
        <f t="shared" si="211"/>
        <v/>
      </c>
      <c r="CR671" t="s">
        <v>14040</v>
      </c>
      <c r="GF671" t="s">
        <v>7969</v>
      </c>
    </row>
    <row r="672" spans="76:188" ht="13.2" customHeight="1">
      <c r="BX672" s="83" t="str">
        <f>IF(Province="Royaume de Navareno","Royaume de Navareno","")</f>
        <v/>
      </c>
      <c r="BY672" t="str">
        <f t="shared" si="212"/>
        <v/>
      </c>
      <c r="BZ672" s="83" t="str">
        <f t="shared" si="209"/>
        <v/>
      </c>
      <c r="CA672" s="83" t="str">
        <f t="shared" si="210"/>
        <v/>
      </c>
      <c r="CB672" s="530" t="str">
        <f t="shared" si="211"/>
        <v/>
      </c>
      <c r="CR672" t="s">
        <v>14041</v>
      </c>
      <c r="GF672" t="s">
        <v>8489</v>
      </c>
    </row>
    <row r="673" spans="76:188" ht="13.2" customHeight="1">
      <c r="BX673" s="83" t="str">
        <f>IF(Pays="Estalie","Colonie de Santa Magritta","")</f>
        <v/>
      </c>
      <c r="BY673" t="str">
        <f t="shared" si="212"/>
        <v/>
      </c>
      <c r="BZ673" s="83" t="str">
        <f t="shared" si="209"/>
        <v/>
      </c>
      <c r="CA673" s="83" t="str">
        <f t="shared" si="210"/>
        <v/>
      </c>
      <c r="CB673" s="530" t="str">
        <f t="shared" si="211"/>
        <v/>
      </c>
      <c r="CR673" t="s">
        <v>14042</v>
      </c>
      <c r="GF673" t="s">
        <v>8490</v>
      </c>
    </row>
    <row r="674" spans="76:188" ht="13.2" customHeight="1">
      <c r="BX674" s="83" t="str">
        <f>IF(Pays="Lustrie","Côte des Vampires","")</f>
        <v/>
      </c>
      <c r="BY674" t="str">
        <f t="shared" si="212"/>
        <v/>
      </c>
      <c r="BZ674" s="83" t="str">
        <f t="shared" si="209"/>
        <v/>
      </c>
      <c r="CA674" s="83" t="str">
        <f t="shared" si="210"/>
        <v/>
      </c>
      <c r="CB674" s="530" t="str">
        <f t="shared" si="211"/>
        <v/>
      </c>
      <c r="CR674" t="s">
        <v>14043</v>
      </c>
      <c r="GF674" t="s">
        <v>7970</v>
      </c>
    </row>
    <row r="675" spans="76:188" ht="13.2" customHeight="1">
      <c r="BX675" s="83" t="str">
        <f>IF(Pays="Lustrie","Tribus des jungles de Lustrie","")</f>
        <v/>
      </c>
      <c r="BY675" t="str">
        <f t="shared" si="212"/>
        <v/>
      </c>
      <c r="BZ675" s="83" t="str">
        <f t="shared" si="209"/>
        <v/>
      </c>
      <c r="CA675" s="83" t="str">
        <f t="shared" si="210"/>
        <v/>
      </c>
      <c r="CB675" s="530" t="str">
        <f t="shared" si="211"/>
        <v/>
      </c>
      <c r="CR675" t="s">
        <v>14044</v>
      </c>
      <c r="GF675" t="s">
        <v>8491</v>
      </c>
    </row>
    <row r="676" spans="76:188" ht="13.2" customHeight="1">
      <c r="BX676" s="25" t="str">
        <f>IF(Province="Royaume de Santoyo","Royaume de Santoyo","")</f>
        <v/>
      </c>
      <c r="BY676" t="str">
        <f t="shared" si="212"/>
        <v/>
      </c>
      <c r="BZ676" s="83" t="str">
        <f t="shared" si="209"/>
        <v/>
      </c>
      <c r="CA676" s="83" t="str">
        <f t="shared" si="210"/>
        <v/>
      </c>
      <c r="CB676" s="530" t="str">
        <f t="shared" si="211"/>
        <v/>
      </c>
      <c r="CR676" t="s">
        <v>14045</v>
      </c>
      <c r="GF676" t="s">
        <v>8514</v>
      </c>
    </row>
    <row r="677" spans="76:188" ht="13.2" customHeight="1">
      <c r="BX677" s="25" t="str">
        <f>IF(OR(Province="Kislev septentrional (Gospodar)",Province="Kislev septentrional (Ungol)"),"Steppes de Translynsk","")</f>
        <v/>
      </c>
      <c r="BY677" t="str">
        <f t="shared" si="212"/>
        <v/>
      </c>
      <c r="BZ677" s="83" t="str">
        <f t="shared" si="209"/>
        <v/>
      </c>
      <c r="CA677" s="83" t="str">
        <f t="shared" si="210"/>
        <v/>
      </c>
      <c r="CB677" s="530" t="str">
        <f t="shared" si="211"/>
        <v/>
      </c>
      <c r="CR677" t="s">
        <v>14046</v>
      </c>
      <c r="GF677" t="s">
        <v>7971</v>
      </c>
    </row>
    <row r="678" spans="76:188" ht="13.2" customHeight="1">
      <c r="BX678" s="25" t="str">
        <f>IF(OR(Province="Kislev septentrional (Gospodar)",Province="Kislev septentrional (Ungol)"),"Steppes de Sibyrie","")</f>
        <v/>
      </c>
      <c r="BY678" t="str">
        <f t="shared" si="212"/>
        <v/>
      </c>
      <c r="BZ678" s="83" t="str">
        <f t="shared" si="209"/>
        <v/>
      </c>
      <c r="CA678" s="83" t="str">
        <f t="shared" si="210"/>
        <v/>
      </c>
      <c r="CB678" s="530" t="str">
        <f t="shared" si="211"/>
        <v/>
      </c>
      <c r="CR678" t="s">
        <v>14047</v>
      </c>
      <c r="GF678" t="s">
        <v>8522</v>
      </c>
    </row>
    <row r="679" spans="76:188" ht="13.2" customHeight="1">
      <c r="BX679" s="25" t="str">
        <f>IF(OR(Province="Kislev septentrional (Gospodar)",Province="Kislev septentrional (Ungol)"),"Monts Goromadny","")</f>
        <v/>
      </c>
      <c r="BY679" t="str">
        <f t="shared" si="212"/>
        <v/>
      </c>
      <c r="BZ679" s="83" t="str">
        <f t="shared" si="209"/>
        <v/>
      </c>
      <c r="CA679" s="83" t="str">
        <f t="shared" si="210"/>
        <v/>
      </c>
      <c r="CB679" s="530" t="str">
        <f t="shared" si="211"/>
        <v/>
      </c>
      <c r="CR679" t="s">
        <v>14048</v>
      </c>
      <c r="GF679" t="s">
        <v>8512</v>
      </c>
    </row>
    <row r="680" spans="76:188" ht="13.2" customHeight="1">
      <c r="BX680" s="25" t="str">
        <f>IF(SelectRace="Nain","Kraka Ravnvake (Monts Goromadny)","")</f>
        <v/>
      </c>
      <c r="BY680" t="str">
        <f t="shared" si="212"/>
        <v/>
      </c>
      <c r="BZ680" s="83" t="str">
        <f t="shared" si="209"/>
        <v/>
      </c>
      <c r="CA680" s="83" t="str">
        <f t="shared" si="210"/>
        <v/>
      </c>
      <c r="CB680" s="530" t="str">
        <f t="shared" si="211"/>
        <v/>
      </c>
      <c r="CR680" t="s">
        <v>14049</v>
      </c>
      <c r="GF680" t="s">
        <v>8506</v>
      </c>
    </row>
    <row r="681" spans="76:188" ht="13.2" customHeight="1">
      <c r="BX681" s="25" t="str">
        <f>IF(SelectRace="Nain","Karak Zaziak ((Montagnes du Bord du Monde))","")</f>
        <v/>
      </c>
      <c r="BY681" t="str">
        <f t="shared" si="212"/>
        <v/>
      </c>
      <c r="BZ681" s="83" t="str">
        <f t="shared" si="209"/>
        <v/>
      </c>
      <c r="CA681" s="83" t="str">
        <f t="shared" si="210"/>
        <v/>
      </c>
      <c r="CB681" s="530" t="str">
        <f t="shared" si="211"/>
        <v/>
      </c>
      <c r="CR681" t="s">
        <v>14050</v>
      </c>
      <c r="GF681" t="s">
        <v>6084</v>
      </c>
    </row>
    <row r="682" spans="76:188" ht="13.2" customHeight="1">
      <c r="BX682" s="83" t="str">
        <f>IF(Province="Royaume d'Astarios","Cité de Maggrita","")</f>
        <v/>
      </c>
      <c r="BY682" t="str">
        <f t="shared" si="212"/>
        <v/>
      </c>
      <c r="BZ682" s="83" t="str">
        <f t="shared" si="209"/>
        <v/>
      </c>
      <c r="CA682" s="83" t="str">
        <f t="shared" si="210"/>
        <v/>
      </c>
      <c r="CB682" s="530" t="str">
        <f t="shared" si="211"/>
        <v/>
      </c>
      <c r="CR682" t="s">
        <v>14051</v>
      </c>
      <c r="GF682" t="s">
        <v>8515</v>
      </c>
    </row>
    <row r="683" spans="76:188" ht="13.2" customHeight="1">
      <c r="BX683" s="25" t="str">
        <f>IF(Province="Republique de Galicée","Ville de Campastello","")</f>
        <v/>
      </c>
      <c r="BY683" t="str">
        <f t="shared" si="212"/>
        <v/>
      </c>
      <c r="BZ683" s="83" t="str">
        <f t="shared" si="209"/>
        <v/>
      </c>
      <c r="CA683" s="83" t="str">
        <f t="shared" si="210"/>
        <v/>
      </c>
      <c r="CB683" s="530" t="str">
        <f t="shared" si="211"/>
        <v/>
      </c>
      <c r="CR683" t="s">
        <v>14052</v>
      </c>
      <c r="GF683" t="s">
        <v>8507</v>
      </c>
    </row>
    <row r="684" spans="76:188" ht="13.2" customHeight="1">
      <c r="BX684" s="25" t="str">
        <f>IF(Province="Ile de Kapado,","Ville de Bukera","")</f>
        <v/>
      </c>
      <c r="BY684" t="str">
        <f t="shared" si="212"/>
        <v/>
      </c>
      <c r="BZ684" s="83" t="str">
        <f t="shared" si="209"/>
        <v/>
      </c>
      <c r="CA684" s="83" t="str">
        <f t="shared" si="210"/>
        <v/>
      </c>
      <c r="CB684" s="530" t="str">
        <f t="shared" si="211"/>
        <v/>
      </c>
      <c r="CR684" t="s">
        <v>14053</v>
      </c>
      <c r="GF684" t="s">
        <v>7972</v>
      </c>
    </row>
    <row r="685" spans="76:188" ht="13.2" customHeight="1">
      <c r="BX685" s="25" t="str">
        <f>IF(Province="Ile de Kapado,","Ville de Bumako","")</f>
        <v/>
      </c>
      <c r="BY685" t="str">
        <f t="shared" si="212"/>
        <v/>
      </c>
      <c r="BZ685" s="83" t="str">
        <f t="shared" si="209"/>
        <v/>
      </c>
      <c r="CA685" s="83" t="str">
        <f t="shared" si="210"/>
        <v/>
      </c>
      <c r="CB685" s="530" t="str">
        <f t="shared" si="211"/>
        <v/>
      </c>
      <c r="CR685" t="s">
        <v>14054</v>
      </c>
      <c r="GF685" t="s">
        <v>8516</v>
      </c>
    </row>
    <row r="686" spans="76:188" ht="13.2" customHeight="1">
      <c r="BX686" s="25" t="str">
        <f>IF(Province="Ile de Shugintsu,","Ville de Yamahika","")</f>
        <v/>
      </c>
      <c r="BY686" t="str">
        <f t="shared" si="212"/>
        <v/>
      </c>
      <c r="BZ686" s="83" t="str">
        <f t="shared" si="209"/>
        <v/>
      </c>
      <c r="CA686" s="83" t="str">
        <f t="shared" si="210"/>
        <v/>
      </c>
      <c r="CB686" s="530" t="str">
        <f t="shared" si="211"/>
        <v/>
      </c>
      <c r="CR686" t="s">
        <v>14055</v>
      </c>
      <c r="GF686" t="s">
        <v>7973</v>
      </c>
    </row>
    <row r="687" spans="76:188" ht="13.2" customHeight="1">
      <c r="BX687" s="25" t="str">
        <f>IF(Province="Ile de Shugintsu,","Ville de Kitu","")</f>
        <v/>
      </c>
      <c r="BY687" t="str">
        <f t="shared" si="212"/>
        <v/>
      </c>
      <c r="BZ687" s="83" t="str">
        <f t="shared" si="209"/>
        <v/>
      </c>
      <c r="CA687" s="83" t="str">
        <f t="shared" si="210"/>
        <v/>
      </c>
      <c r="CB687" s="530" t="str">
        <f t="shared" si="211"/>
        <v/>
      </c>
      <c r="CR687" t="s">
        <v>14056</v>
      </c>
      <c r="GF687" t="s">
        <v>8508</v>
      </c>
    </row>
    <row r="688" spans="76:188" ht="13.2" customHeight="1">
      <c r="BX688" s="25" t="str">
        <f>IF(Pays="Nippon","Ville de Kyuta","")</f>
        <v/>
      </c>
      <c r="BY688" t="str">
        <f t="shared" si="212"/>
        <v/>
      </c>
      <c r="BZ688" s="83" t="str">
        <f t="shared" si="209"/>
        <v/>
      </c>
      <c r="CA688" s="83" t="str">
        <f t="shared" si="210"/>
        <v/>
      </c>
      <c r="CB688" s="530" t="str">
        <f t="shared" si="211"/>
        <v/>
      </c>
      <c r="CR688" t="s">
        <v>14057</v>
      </c>
      <c r="GF688" t="s">
        <v>8509</v>
      </c>
    </row>
    <row r="689" spans="76:188" ht="13.2" customHeight="1">
      <c r="BX689" s="25" t="str">
        <f>IF(Pays="Nippon","Ville de Konimate","")</f>
        <v/>
      </c>
      <c r="BY689" t="str">
        <f t="shared" si="212"/>
        <v/>
      </c>
      <c r="BZ689" s="83" t="str">
        <f t="shared" si="209"/>
        <v/>
      </c>
      <c r="CA689" s="83" t="str">
        <f t="shared" si="210"/>
        <v/>
      </c>
      <c r="CB689" s="530" t="str">
        <f t="shared" si="211"/>
        <v/>
      </c>
      <c r="CR689" t="s">
        <v>14058</v>
      </c>
      <c r="GF689" t="s">
        <v>8510</v>
      </c>
    </row>
    <row r="690" spans="76:188" ht="13.2" customHeight="1">
      <c r="BX690" s="25" t="str">
        <f>IF(Pays="Nippon","Ville de Yodasashi","")</f>
        <v/>
      </c>
      <c r="BY690" t="str">
        <f t="shared" si="212"/>
        <v/>
      </c>
      <c r="BZ690" s="83" t="str">
        <f t="shared" si="209"/>
        <v/>
      </c>
      <c r="CA690" s="83" t="str">
        <f t="shared" si="210"/>
        <v/>
      </c>
      <c r="CB690" s="530" t="str">
        <f t="shared" si="211"/>
        <v/>
      </c>
      <c r="CR690" t="s">
        <v>14059</v>
      </c>
      <c r="GF690" t="s">
        <v>8517</v>
      </c>
    </row>
    <row r="691" spans="76:188" ht="13.2" customHeight="1">
      <c r="BX691" s="25" t="str">
        <f>IF(Pays="Norsca","Colonie Skeggi de Lustrie","")</f>
        <v/>
      </c>
      <c r="BY691" t="str">
        <f t="shared" si="212"/>
        <v/>
      </c>
      <c r="BZ691" s="83" t="str">
        <f t="shared" si="209"/>
        <v/>
      </c>
      <c r="CA691" s="83" t="str">
        <f t="shared" si="210"/>
        <v/>
      </c>
      <c r="CB691" s="530" t="str">
        <f t="shared" si="211"/>
        <v/>
      </c>
      <c r="CR691" t="s">
        <v>14060</v>
      </c>
      <c r="GF691" t="s">
        <v>8511</v>
      </c>
    </row>
    <row r="692" spans="76:188" ht="13.2" customHeight="1">
      <c r="BX692" s="25" t="str">
        <f>IF(Province="Amazonie","Ville de Genaina","")</f>
        <v/>
      </c>
      <c r="BY692" t="str">
        <f t="shared" si="212"/>
        <v/>
      </c>
      <c r="BZ692" s="83" t="str">
        <f t="shared" si="209"/>
        <v/>
      </c>
      <c r="CA692" s="83" t="str">
        <f t="shared" si="210"/>
        <v/>
      </c>
      <c r="CB692" s="530" t="str">
        <f t="shared" si="211"/>
        <v/>
      </c>
      <c r="CR692" t="s">
        <v>14061</v>
      </c>
      <c r="GF692" t="s">
        <v>7975</v>
      </c>
    </row>
    <row r="693" spans="76:188" ht="13.2" customHeight="1">
      <c r="BX693" s="25" t="str">
        <f>IF(Province="Amazonie","Temple de Rigg","")</f>
        <v/>
      </c>
      <c r="BY693" t="str">
        <f t="shared" si="212"/>
        <v/>
      </c>
      <c r="BZ693" s="83" t="str">
        <f t="shared" si="209"/>
        <v/>
      </c>
      <c r="CA693" s="83" t="str">
        <f t="shared" si="210"/>
        <v/>
      </c>
      <c r="CB693" s="530" t="str">
        <f t="shared" si="211"/>
        <v/>
      </c>
      <c r="CR693" t="s">
        <v>14062</v>
      </c>
      <c r="GF693" t="s">
        <v>7974</v>
      </c>
    </row>
    <row r="694" spans="76:188" ht="13.2" customHeight="1">
      <c r="BX694" s="25" t="str">
        <f>IF(Province="Amazonie","Village perché de Mutanbo","")</f>
        <v/>
      </c>
      <c r="BY694" t="str">
        <f t="shared" si="212"/>
        <v/>
      </c>
      <c r="BZ694" s="83" t="str">
        <f t="shared" si="209"/>
        <v/>
      </c>
      <c r="CA694" s="83" t="str">
        <f t="shared" si="210"/>
        <v/>
      </c>
      <c r="CB694" s="530" t="str">
        <f t="shared" si="211"/>
        <v/>
      </c>
      <c r="CR694" t="s">
        <v>14005</v>
      </c>
      <c r="GF694" t="s">
        <v>8523</v>
      </c>
    </row>
    <row r="695" spans="76:188" ht="13.2" customHeight="1">
      <c r="BX695" s="25" t="str">
        <f>IF(Province="Amazonie","Tribu de Morr'Tebio","")</f>
        <v/>
      </c>
      <c r="BY695" t="str">
        <f t="shared" si="212"/>
        <v/>
      </c>
      <c r="BZ695" s="83" t="str">
        <f t="shared" si="209"/>
        <v/>
      </c>
      <c r="CA695" s="83" t="str">
        <f t="shared" si="210"/>
        <v/>
      </c>
      <c r="CB695" s="530" t="str">
        <f t="shared" si="211"/>
        <v/>
      </c>
      <c r="CR695" t="s">
        <v>14063</v>
      </c>
      <c r="GF695" t="s">
        <v>8518</v>
      </c>
    </row>
    <row r="696" spans="76:188" ht="13.2" customHeight="1">
      <c r="BX696" s="25" t="str">
        <f>IF(Province="Amazonie","Tribu de Val'Rond Nubilar (Valée Perdue)","")</f>
        <v/>
      </c>
      <c r="BY696" t="str">
        <f t="shared" si="212"/>
        <v/>
      </c>
      <c r="BZ696" s="83" t="str">
        <f t="shared" si="209"/>
        <v/>
      </c>
      <c r="CA696" s="83" t="str">
        <f t="shared" si="210"/>
        <v/>
      </c>
      <c r="CB696" s="530" t="str">
        <f t="shared" si="211"/>
        <v/>
      </c>
      <c r="CR696" t="s">
        <v>14064</v>
      </c>
      <c r="GF696" t="s">
        <v>7976</v>
      </c>
    </row>
    <row r="697" spans="76:188" ht="13.2" customHeight="1">
      <c r="BX697" s="25" t="str">
        <f>IF(Province="Amazonie","Marais aux Piranhas","")</f>
        <v/>
      </c>
      <c r="BY697" t="str">
        <f t="shared" si="212"/>
        <v/>
      </c>
      <c r="BZ697" s="83" t="str">
        <f t="shared" si="209"/>
        <v/>
      </c>
      <c r="CA697" s="83" t="str">
        <f t="shared" si="210"/>
        <v/>
      </c>
      <c r="CB697" s="530" t="str">
        <f t="shared" si="211"/>
        <v/>
      </c>
      <c r="CR697" t="s">
        <v>14065</v>
      </c>
      <c r="GF697" t="s">
        <v>8513</v>
      </c>
    </row>
    <row r="698" spans="76:188" ht="13.2" customHeight="1">
      <c r="BX698" s="25" t="str">
        <f>IF(Province="Amazonie","Village d'Arachania","")</f>
        <v/>
      </c>
      <c r="BY698" t="str">
        <f t="shared" si="212"/>
        <v/>
      </c>
      <c r="BZ698" s="83" t="str">
        <f t="shared" si="209"/>
        <v/>
      </c>
      <c r="CA698" s="83" t="str">
        <f t="shared" si="210"/>
        <v/>
      </c>
      <c r="CB698" s="530" t="str">
        <f t="shared" si="211"/>
        <v/>
      </c>
      <c r="CR698" t="s">
        <v>14066</v>
      </c>
      <c r="GF698" t="s">
        <v>8519</v>
      </c>
    </row>
    <row r="699" spans="76:188" ht="13.2" customHeight="1">
      <c r="BX699" t="str">
        <f>IF(OR(Province="Kislev oriental (Gospodar)",Province="Kislev oriental (Ungol)"),"Ville de Praag","")</f>
        <v/>
      </c>
      <c r="BY699" t="str">
        <f t="shared" si="212"/>
        <v/>
      </c>
      <c r="BZ699" s="83" t="str">
        <f t="shared" si="209"/>
        <v/>
      </c>
      <c r="CA699" s="83" t="str">
        <f t="shared" si="210"/>
        <v/>
      </c>
      <c r="CB699" s="530" t="str">
        <f t="shared" si="211"/>
        <v/>
      </c>
      <c r="CR699" t="s">
        <v>14067</v>
      </c>
      <c r="GF699" t="s">
        <v>8520</v>
      </c>
    </row>
    <row r="700" spans="76:188" ht="13.2" customHeight="1">
      <c r="BX700" t="str">
        <f>IF(OR(Province="Kislev méridional (Gospodar)",Province="Kislev méridional (Ungol)"),"Ville de Kislev","")</f>
        <v/>
      </c>
      <c r="BY700" t="str">
        <f t="shared" si="212"/>
        <v/>
      </c>
      <c r="BZ700" s="83" t="str">
        <f t="shared" si="209"/>
        <v/>
      </c>
      <c r="CA700" s="83" t="str">
        <f t="shared" si="210"/>
        <v/>
      </c>
      <c r="CB700" s="530" t="str">
        <f t="shared" si="211"/>
        <v/>
      </c>
      <c r="CR700" t="s">
        <v>14068</v>
      </c>
      <c r="GF700" t="s">
        <v>7977</v>
      </c>
    </row>
    <row r="701" spans="76:188" ht="13.2" customHeight="1">
      <c r="BX701" t="str">
        <f>IF(OR(Province="Kislev occdiental (Gospodar)",Province="Kislev occdiental (Ungol)"),"Ville d'Erengrad","")</f>
        <v/>
      </c>
      <c r="BY701" t="str">
        <f t="shared" si="212"/>
        <v/>
      </c>
      <c r="BZ701" s="83" t="str">
        <f t="shared" si="209"/>
        <v/>
      </c>
      <c r="CA701" s="83" t="str">
        <f t="shared" si="210"/>
        <v/>
      </c>
      <c r="CB701" s="530" t="str">
        <f t="shared" si="211"/>
        <v/>
      </c>
      <c r="CR701" t="s">
        <v>14069</v>
      </c>
      <c r="GF701" t="s">
        <v>7978</v>
      </c>
    </row>
    <row r="702" spans="76:188" ht="13.2" customHeight="1">
      <c r="BX702" t="str">
        <f>IF(OR(Province="Kislev oriental (Gospodar)",Province="Kislev oriental (Ungol)"),"Ville de Bolgasgrad","")</f>
        <v/>
      </c>
      <c r="BY702" t="str">
        <f t="shared" si="212"/>
        <v/>
      </c>
      <c r="BZ702" s="83" t="str">
        <f t="shared" si="209"/>
        <v/>
      </c>
      <c r="CA702" s="83" t="str">
        <f t="shared" si="210"/>
        <v/>
      </c>
      <c r="CB702" s="530" t="str">
        <f t="shared" si="211"/>
        <v/>
      </c>
      <c r="CR702" t="s">
        <v>14070</v>
      </c>
      <c r="GF702" t="s">
        <v>7979</v>
      </c>
    </row>
    <row r="703" spans="76:188" ht="13.2" customHeight="1">
      <c r="BX703" t="str">
        <f>IF(OR(Province="Kislev septentrional (Gospodar)",Province="Kislev septentrional (Ungol)"),"Fort Straghov","")</f>
        <v/>
      </c>
      <c r="BY703" t="str">
        <f t="shared" si="212"/>
        <v/>
      </c>
      <c r="BZ703" s="83" t="str">
        <f t="shared" si="209"/>
        <v/>
      </c>
      <c r="CA703" s="83" t="str">
        <f t="shared" si="210"/>
        <v/>
      </c>
      <c r="CB703" s="530" t="str">
        <f t="shared" si="211"/>
        <v/>
      </c>
      <c r="CR703" t="s">
        <v>14071</v>
      </c>
      <c r="GF703" t="s">
        <v>8521</v>
      </c>
    </row>
    <row r="704" spans="76:188" ht="13.2" customHeight="1">
      <c r="BX704" t="str">
        <f>IF(OR(Province="Kislev septentrional (Gospodar)",Province="Kislev septentrional (Ungol)"),"Fort Kaminski","")</f>
        <v/>
      </c>
      <c r="BY704" t="str">
        <f t="shared" si="212"/>
        <v/>
      </c>
      <c r="BZ704" s="83" t="str">
        <f t="shared" si="209"/>
        <v/>
      </c>
      <c r="CA704" s="83" t="str">
        <f t="shared" si="210"/>
        <v/>
      </c>
      <c r="CB704" s="530" t="str">
        <f t="shared" si="211"/>
        <v/>
      </c>
      <c r="CR704" t="s">
        <v>14072</v>
      </c>
      <c r="GF704" t="s">
        <v>8545</v>
      </c>
    </row>
    <row r="705" spans="76:188" ht="13.2" customHeight="1">
      <c r="BX705" t="str">
        <f>IF(OR(Province="Kislev septentrional (Gospodar)",Province="Kislev septentrional (Ungol)"),"Fort Ostrosk","")</f>
        <v/>
      </c>
      <c r="BY705" t="str">
        <f t="shared" si="212"/>
        <v/>
      </c>
      <c r="BZ705" s="83" t="str">
        <f t="shared" si="209"/>
        <v/>
      </c>
      <c r="CA705" s="83" t="str">
        <f t="shared" si="210"/>
        <v/>
      </c>
      <c r="CB705" s="530" t="str">
        <f t="shared" si="211"/>
        <v/>
      </c>
      <c r="CR705" t="s">
        <v>14073</v>
      </c>
      <c r="GF705" t="s">
        <v>7980</v>
      </c>
    </row>
    <row r="706" spans="76:188" ht="13.2" customHeight="1">
      <c r="BX706" t="str">
        <f>IF(OR(Province="Kislev méridional (Gospodar)",Province="Kislev méridional (Ungol)"),"Fort Jakova","")</f>
        <v/>
      </c>
      <c r="BY706" t="str">
        <f t="shared" si="212"/>
        <v/>
      </c>
      <c r="BZ706" s="83" t="str">
        <f t="shared" ref="BZ706:BZ769" si="213">IFERROR(SMALL(BY:BY,ROW()-1),"")</f>
        <v/>
      </c>
      <c r="CA706" s="83" t="str">
        <f t="shared" ref="CA706:CA769" si="214">IFERROR(INDEX(BX:BX,BZ706),"")</f>
        <v/>
      </c>
      <c r="CB706" s="530" t="str">
        <f t="shared" ref="CB706:CB769" si="215">INDEX(CA:CA,ROW())</f>
        <v/>
      </c>
      <c r="CR706" t="s">
        <v>14074</v>
      </c>
      <c r="GF706" t="s">
        <v>7981</v>
      </c>
    </row>
    <row r="707" spans="76:188" ht="13.2" customHeight="1">
      <c r="BX707" s="25" t="str">
        <f>IF(OR(Province="Kislev oriental (Gospodar)",Province="Kislev oriental (Ungol)"),"Forêt de Dhuklys","")</f>
        <v/>
      </c>
      <c r="BY707" t="str">
        <f t="shared" ref="BY707:BY770" si="216">IF(BX707="","",ROW())</f>
        <v/>
      </c>
      <c r="BZ707" s="83" t="str">
        <f t="shared" si="213"/>
        <v/>
      </c>
      <c r="CA707" s="83" t="str">
        <f t="shared" si="214"/>
        <v/>
      </c>
      <c r="CB707" s="530" t="str">
        <f t="shared" si="215"/>
        <v/>
      </c>
      <c r="CR707" t="s">
        <v>14075</v>
      </c>
      <c r="GF707" t="s">
        <v>7982</v>
      </c>
    </row>
    <row r="708" spans="76:188" ht="13.2" customHeight="1">
      <c r="BX708" s="25" t="str">
        <f>IF(AND(Pays="Royaumes Ogres",Selectsousrace="Demi-ogre"),"La Tribu des Bâfre-Chair","")</f>
        <v/>
      </c>
      <c r="BY708" t="str">
        <f t="shared" si="216"/>
        <v/>
      </c>
      <c r="BZ708" s="83" t="str">
        <f t="shared" si="213"/>
        <v/>
      </c>
      <c r="CA708" s="83" t="str">
        <f t="shared" si="214"/>
        <v/>
      </c>
      <c r="CB708" s="530" t="str">
        <f t="shared" si="215"/>
        <v/>
      </c>
      <c r="CR708" t="s">
        <v>14076</v>
      </c>
      <c r="GF708" t="s">
        <v>8532</v>
      </c>
    </row>
    <row r="709" spans="76:188" ht="13.2" customHeight="1">
      <c r="BX709" s="25" t="str">
        <f>IF(AND(Pays="Royaumes Ogres",Selectsousrace="Demi-ogre"),"La Tribu de la Grosse Massue","")</f>
        <v/>
      </c>
      <c r="BY709" t="str">
        <f t="shared" si="216"/>
        <v/>
      </c>
      <c r="BZ709" s="83" t="str">
        <f t="shared" si="213"/>
        <v/>
      </c>
      <c r="CA709" s="83" t="str">
        <f t="shared" si="214"/>
        <v/>
      </c>
      <c r="CB709" s="530" t="str">
        <f t="shared" si="215"/>
        <v/>
      </c>
      <c r="CR709" t="s">
        <v>14077</v>
      </c>
      <c r="GF709" t="s">
        <v>7983</v>
      </c>
    </row>
    <row r="710" spans="76:188" ht="13.2" customHeight="1">
      <c r="BX710" s="25" t="str">
        <f>IF(Selectsousrace="Pygmée","Tribu des Wayarhui","")</f>
        <v/>
      </c>
      <c r="BY710" t="str">
        <f t="shared" si="216"/>
        <v/>
      </c>
      <c r="BZ710" s="83" t="str">
        <f t="shared" si="213"/>
        <v/>
      </c>
      <c r="CA710" s="83" t="str">
        <f t="shared" si="214"/>
        <v/>
      </c>
      <c r="CB710" s="530" t="str">
        <f t="shared" si="215"/>
        <v/>
      </c>
      <c r="CR710" t="s">
        <v>14078</v>
      </c>
      <c r="GF710" t="s">
        <v>8524</v>
      </c>
    </row>
    <row r="711" spans="76:188" ht="13.2" customHeight="1">
      <c r="BX711" s="25" t="str">
        <f>IF(SelectRace="Nain","Mine perdue du Mont Gunbad (Montagnes du Bord du Monde)","")</f>
        <v/>
      </c>
      <c r="BY711" t="str">
        <f t="shared" si="216"/>
        <v/>
      </c>
      <c r="BZ711" s="83" t="str">
        <f t="shared" si="213"/>
        <v/>
      </c>
      <c r="CA711" s="83" t="str">
        <f t="shared" si="214"/>
        <v/>
      </c>
      <c r="CB711" s="530" t="str">
        <f t="shared" si="215"/>
        <v/>
      </c>
      <c r="CR711" t="s">
        <v>14079</v>
      </c>
      <c r="GF711" t="s">
        <v>8533</v>
      </c>
    </row>
    <row r="712" spans="76:188" ht="13.2" customHeight="1">
      <c r="BX712" s="25" t="str">
        <f>IF(SelectRace="Nain","Mine perdue du Mont Lance d'Argent (Montagnes du Bord du Monde)","")</f>
        <v/>
      </c>
      <c r="BY712" t="str">
        <f t="shared" si="216"/>
        <v/>
      </c>
      <c r="BZ712" s="83" t="str">
        <f t="shared" si="213"/>
        <v/>
      </c>
      <c r="CA712" s="83" t="str">
        <f t="shared" si="214"/>
        <v/>
      </c>
      <c r="CB712" s="530" t="str">
        <f t="shared" si="215"/>
        <v/>
      </c>
      <c r="CR712" t="s">
        <v>14080</v>
      </c>
      <c r="GF712" t="s">
        <v>7984</v>
      </c>
    </row>
    <row r="713" spans="76:188" ht="13.2" customHeight="1">
      <c r="BX713" s="25" t="str">
        <f>IF(SelectRace="Nain","Karak Azul (Montagnes du Bord du Monde)","")</f>
        <v/>
      </c>
      <c r="BY713" t="str">
        <f t="shared" si="216"/>
        <v/>
      </c>
      <c r="BZ713" s="83" t="str">
        <f t="shared" si="213"/>
        <v/>
      </c>
      <c r="CA713" s="83" t="str">
        <f t="shared" si="214"/>
        <v/>
      </c>
      <c r="CB713" s="530" t="str">
        <f t="shared" si="215"/>
        <v/>
      </c>
      <c r="CR713" t="s">
        <v>14081</v>
      </c>
      <c r="GF713" t="s">
        <v>8525</v>
      </c>
    </row>
    <row r="714" spans="76:188" ht="13.2" customHeight="1">
      <c r="BX714" s="25" t="str">
        <f>IF(SelectRace="Nain","Karak Hirn (Montagnes du Feu Noir)","")</f>
        <v/>
      </c>
      <c r="BY714" t="str">
        <f t="shared" si="216"/>
        <v/>
      </c>
      <c r="BZ714" s="83" t="str">
        <f t="shared" si="213"/>
        <v/>
      </c>
      <c r="CA714" s="83" t="str">
        <f t="shared" si="214"/>
        <v/>
      </c>
      <c r="CB714" s="530" t="str">
        <f t="shared" si="215"/>
        <v/>
      </c>
      <c r="CR714" t="s">
        <v>14082</v>
      </c>
      <c r="GF714" t="s">
        <v>7985</v>
      </c>
    </row>
    <row r="715" spans="76:188" ht="13.2" customHeight="1">
      <c r="BX715" s="25" t="str">
        <f>IF(SelectRace="Nain","Karak Angazar (Montagnes du Feu Noir)","")</f>
        <v/>
      </c>
      <c r="BY715" t="str">
        <f t="shared" si="216"/>
        <v/>
      </c>
      <c r="BZ715" s="83" t="str">
        <f t="shared" si="213"/>
        <v/>
      </c>
      <c r="CA715" s="83" t="str">
        <f t="shared" si="214"/>
        <v/>
      </c>
      <c r="CB715" s="530" t="str">
        <f t="shared" si="215"/>
        <v/>
      </c>
      <c r="CR715" t="s">
        <v>14083</v>
      </c>
      <c r="GF715" t="s">
        <v>7986</v>
      </c>
    </row>
    <row r="716" spans="76:188" ht="13.2" customHeight="1">
      <c r="BX716" s="25" t="str">
        <f>IF(SelectRace="Nain","Karak Ganluk (Montagnes du Feu Noir)","")</f>
        <v/>
      </c>
      <c r="BY716" t="str">
        <f t="shared" si="216"/>
        <v/>
      </c>
      <c r="BZ716" s="83" t="str">
        <f t="shared" si="213"/>
        <v/>
      </c>
      <c r="CA716" s="83" t="str">
        <f t="shared" si="214"/>
        <v/>
      </c>
      <c r="CB716" s="530" t="str">
        <f t="shared" si="215"/>
        <v/>
      </c>
      <c r="CR716" t="s">
        <v>14084</v>
      </c>
      <c r="GF716" t="s">
        <v>7987</v>
      </c>
    </row>
    <row r="717" spans="76:188" ht="13.2" customHeight="1">
      <c r="BX717" t="str">
        <f>IF(SelectRace="Nain","Zhufbar (Montagnes du Bord du Monde)","")</f>
        <v/>
      </c>
      <c r="BY717" t="str">
        <f t="shared" si="216"/>
        <v/>
      </c>
      <c r="BZ717" s="83" t="str">
        <f t="shared" si="213"/>
        <v/>
      </c>
      <c r="CA717" s="83" t="str">
        <f t="shared" si="214"/>
        <v/>
      </c>
      <c r="CB717" s="530" t="str">
        <f t="shared" si="215"/>
        <v/>
      </c>
      <c r="CR717" t="s">
        <v>14085</v>
      </c>
      <c r="GF717" t="s">
        <v>8534</v>
      </c>
    </row>
    <row r="718" spans="76:188" ht="13.2" customHeight="1">
      <c r="BX718" t="str">
        <f>IF(SelectRace="Skaven","Ruines de Karak Varn (Montagnes du Bord du Monde)","")</f>
        <v/>
      </c>
      <c r="BY718" t="str">
        <f t="shared" si="216"/>
        <v/>
      </c>
      <c r="BZ718" s="83" t="str">
        <f t="shared" si="213"/>
        <v/>
      </c>
      <c r="CA718" s="83" t="str">
        <f t="shared" si="214"/>
        <v/>
      </c>
      <c r="CB718" s="530" t="str">
        <f t="shared" si="215"/>
        <v/>
      </c>
      <c r="CR718" t="s">
        <v>14086</v>
      </c>
      <c r="GF718" t="s">
        <v>8537</v>
      </c>
    </row>
    <row r="719" spans="76:188" ht="13.2" customHeight="1">
      <c r="BX719" t="str">
        <f>IF(SelectRace="Nain","Kazad Mighdal (Montagnes du Bord du Monde)","")</f>
        <v/>
      </c>
      <c r="BY719" t="str">
        <f t="shared" si="216"/>
        <v/>
      </c>
      <c r="BZ719" s="83" t="str">
        <f t="shared" si="213"/>
        <v/>
      </c>
      <c r="CA719" s="83" t="str">
        <f t="shared" si="214"/>
        <v/>
      </c>
      <c r="CB719" s="530" t="str">
        <f t="shared" si="215"/>
        <v/>
      </c>
      <c r="CR719" t="s">
        <v>14087</v>
      </c>
      <c r="GF719" t="s">
        <v>7988</v>
      </c>
    </row>
    <row r="720" spans="76:188" ht="13.2" customHeight="1">
      <c r="BX720" s="25" t="str">
        <f>IF(OR(Pays="Terres des Morts",SelectRace="Skaven"),"Cité nécropole de Nagashizzar/’Abîme Maudit/Pic Dolent","")</f>
        <v/>
      </c>
      <c r="BY720" t="str">
        <f t="shared" si="216"/>
        <v/>
      </c>
      <c r="BZ720" s="83" t="str">
        <f t="shared" si="213"/>
        <v/>
      </c>
      <c r="CA720" s="83" t="str">
        <f t="shared" si="214"/>
        <v/>
      </c>
      <c r="CB720" s="530" t="str">
        <f t="shared" si="215"/>
        <v/>
      </c>
      <c r="CR720" t="s">
        <v>14088</v>
      </c>
      <c r="GF720" t="s">
        <v>8526</v>
      </c>
    </row>
    <row r="721" spans="76:188" ht="13.2" customHeight="1">
      <c r="BX721" s="25" t="str">
        <f>IF(Pays="Steppes orientales","Tribus kurganne des Yusak","")</f>
        <v/>
      </c>
      <c r="BY721" t="str">
        <f t="shared" si="216"/>
        <v/>
      </c>
      <c r="BZ721" s="83" t="str">
        <f t="shared" si="213"/>
        <v/>
      </c>
      <c r="CA721" s="83" t="str">
        <f t="shared" si="214"/>
        <v/>
      </c>
      <c r="CB721" s="530" t="str">
        <f t="shared" si="215"/>
        <v/>
      </c>
      <c r="CR721" t="s">
        <v>14089</v>
      </c>
      <c r="GF721" t="s">
        <v>8538</v>
      </c>
    </row>
    <row r="722" spans="76:188" ht="13.2" customHeight="1">
      <c r="BX722" s="25" t="str">
        <f>IF(Pays="Steppes orientales","Tribus kurganne des Avag","")</f>
        <v/>
      </c>
      <c r="BY722" t="str">
        <f t="shared" si="216"/>
        <v/>
      </c>
      <c r="BZ722" s="83" t="str">
        <f t="shared" si="213"/>
        <v/>
      </c>
      <c r="CA722" s="83" t="str">
        <f t="shared" si="214"/>
        <v/>
      </c>
      <c r="CB722" s="530" t="str">
        <f t="shared" si="215"/>
        <v/>
      </c>
      <c r="CR722" t="s">
        <v>14090</v>
      </c>
      <c r="GF722" t="s">
        <v>8527</v>
      </c>
    </row>
    <row r="723" spans="76:188" ht="13.2" customHeight="1">
      <c r="BX723" t="str">
        <f>IF(Pays="Steppes orientales","Tribus kurganne des Dolgan","")</f>
        <v/>
      </c>
      <c r="BY723" t="str">
        <f t="shared" si="216"/>
        <v/>
      </c>
      <c r="BZ723" s="83" t="str">
        <f t="shared" si="213"/>
        <v/>
      </c>
      <c r="CA723" s="83" t="str">
        <f t="shared" si="214"/>
        <v/>
      </c>
      <c r="CB723" s="530" t="str">
        <f t="shared" si="215"/>
        <v/>
      </c>
      <c r="CR723" t="s">
        <v>14091</v>
      </c>
      <c r="GF723" t="s">
        <v>8546</v>
      </c>
    </row>
    <row r="724" spans="76:188" ht="13.2" customHeight="1">
      <c r="BX724" t="str">
        <f>IF(Pays="Steppes orientales","Tribus kurganne des Gahhuk","")</f>
        <v/>
      </c>
      <c r="BY724" t="str">
        <f t="shared" si="216"/>
        <v/>
      </c>
      <c r="BZ724" s="83" t="str">
        <f t="shared" si="213"/>
        <v/>
      </c>
      <c r="CA724" s="83" t="str">
        <f t="shared" si="214"/>
        <v/>
      </c>
      <c r="CB724" s="530" t="str">
        <f t="shared" si="215"/>
        <v/>
      </c>
      <c r="CR724" t="s">
        <v>14093</v>
      </c>
      <c r="GF724" t="s">
        <v>8539</v>
      </c>
    </row>
    <row r="725" spans="76:188" ht="13.2" customHeight="1">
      <c r="BX725" t="str">
        <f>IF(Pays="Steppes orientales","Tribus kurganne des Muhak","")</f>
        <v/>
      </c>
      <c r="BY725" t="str">
        <f t="shared" si="216"/>
        <v/>
      </c>
      <c r="BZ725" s="83" t="str">
        <f t="shared" si="213"/>
        <v/>
      </c>
      <c r="CA725" s="83" t="str">
        <f t="shared" si="214"/>
        <v/>
      </c>
      <c r="CB725" s="530" t="str">
        <f t="shared" si="215"/>
        <v/>
      </c>
      <c r="CR725" t="s">
        <v>14092</v>
      </c>
      <c r="GF725" t="s">
        <v>7989</v>
      </c>
    </row>
    <row r="726" spans="76:188" ht="13.2" customHeight="1">
      <c r="BX726" t="str">
        <f>IF(Pays="Steppes orientales","Tribus kurganne des Vaan","")</f>
        <v/>
      </c>
      <c r="BY726" t="str">
        <f t="shared" si="216"/>
        <v/>
      </c>
      <c r="BZ726" s="83" t="str">
        <f t="shared" si="213"/>
        <v/>
      </c>
      <c r="CA726" s="83" t="str">
        <f t="shared" si="214"/>
        <v/>
      </c>
      <c r="CB726" s="530" t="str">
        <f t="shared" si="215"/>
        <v/>
      </c>
      <c r="CR726" t="s">
        <v>14094</v>
      </c>
      <c r="GF726" t="s">
        <v>7990</v>
      </c>
    </row>
    <row r="727" spans="76:188" ht="13.2" customHeight="1">
      <c r="BX727" t="str">
        <f>IF(Pays="Steppes orientales","Tribus kurganne des Veig","")</f>
        <v/>
      </c>
      <c r="BY727" t="str">
        <f t="shared" si="216"/>
        <v/>
      </c>
      <c r="BZ727" s="83" t="str">
        <f t="shared" si="213"/>
        <v/>
      </c>
      <c r="CA727" s="83" t="str">
        <f t="shared" si="214"/>
        <v/>
      </c>
      <c r="CB727" s="530" t="str">
        <f t="shared" si="215"/>
        <v/>
      </c>
      <c r="CR727" t="s">
        <v>14095</v>
      </c>
      <c r="GF727" t="s">
        <v>8535</v>
      </c>
    </row>
    <row r="728" spans="76:188" ht="13.2" customHeight="1">
      <c r="BX728" t="str">
        <f>IF(Pays="Steppes orientales","Tribus hung des Aghol","")</f>
        <v/>
      </c>
      <c r="BY728" t="str">
        <f t="shared" si="216"/>
        <v/>
      </c>
      <c r="BZ728" s="83" t="str">
        <f t="shared" si="213"/>
        <v/>
      </c>
      <c r="CA728" s="83" t="str">
        <f t="shared" si="214"/>
        <v/>
      </c>
      <c r="CB728" s="530" t="str">
        <f t="shared" si="215"/>
        <v/>
      </c>
      <c r="CR728" t="s">
        <v>14096</v>
      </c>
      <c r="GF728" t="s">
        <v>8547</v>
      </c>
    </row>
    <row r="729" spans="76:188" ht="13.2" customHeight="1">
      <c r="BX729" t="str">
        <f>IF(Pays="Steppes orientales","Tribus hung des Chi-An","")</f>
        <v/>
      </c>
      <c r="BY729" t="str">
        <f t="shared" si="216"/>
        <v/>
      </c>
      <c r="BZ729" s="83" t="str">
        <f t="shared" si="213"/>
        <v/>
      </c>
      <c r="CA729" s="83" t="str">
        <f t="shared" si="214"/>
        <v/>
      </c>
      <c r="CB729" s="530" t="str">
        <f t="shared" si="215"/>
        <v/>
      </c>
      <c r="CR729" t="s">
        <v>14097</v>
      </c>
      <c r="GF729" t="s">
        <v>7991</v>
      </c>
    </row>
    <row r="730" spans="76:188" ht="13.2" customHeight="1">
      <c r="BX730" t="str">
        <f>IF(Pays="Steppes orientales","Tribus hung des Kuj","")</f>
        <v/>
      </c>
      <c r="BY730" t="str">
        <f t="shared" si="216"/>
        <v/>
      </c>
      <c r="BZ730" s="83" t="str">
        <f t="shared" si="213"/>
        <v/>
      </c>
      <c r="CA730" s="83" t="str">
        <f t="shared" si="214"/>
        <v/>
      </c>
      <c r="CB730" s="530" t="str">
        <f t="shared" si="215"/>
        <v/>
      </c>
      <c r="CR730" t="s">
        <v>14098</v>
      </c>
      <c r="GF730" t="s">
        <v>7992</v>
      </c>
    </row>
    <row r="731" spans="76:188" ht="13.2" customHeight="1">
      <c r="BX731" t="str">
        <f>IF(Pays="Steppes orientales","Tribus hung des Man-Chu","")</f>
        <v/>
      </c>
      <c r="BY731" t="str">
        <f t="shared" si="216"/>
        <v/>
      </c>
      <c r="BZ731" s="83" t="str">
        <f t="shared" si="213"/>
        <v/>
      </c>
      <c r="CA731" s="83" t="str">
        <f t="shared" si="214"/>
        <v/>
      </c>
      <c r="CB731" s="530" t="str">
        <f t="shared" si="215"/>
        <v/>
      </c>
      <c r="CR731" t="s">
        <v>14099</v>
      </c>
      <c r="GF731" t="s">
        <v>8540</v>
      </c>
    </row>
    <row r="732" spans="76:188" ht="13.2" customHeight="1">
      <c r="BX732" t="str">
        <f>IF(Pays="Steppes orientales","Tribus hung des Mung","")</f>
        <v/>
      </c>
      <c r="BY732" t="str">
        <f t="shared" si="216"/>
        <v/>
      </c>
      <c r="BZ732" s="83" t="str">
        <f t="shared" si="213"/>
        <v/>
      </c>
      <c r="CA732" s="83" t="str">
        <f t="shared" si="214"/>
        <v/>
      </c>
      <c r="CB732" s="530" t="str">
        <f t="shared" si="215"/>
        <v/>
      </c>
      <c r="CR732" t="s">
        <v>14100</v>
      </c>
      <c r="GF732" t="s">
        <v>8541</v>
      </c>
    </row>
    <row r="733" spans="76:188" ht="13.2" customHeight="1">
      <c r="BX733" t="str">
        <f>IF(Pays="Steppes orientales","Tribus hung des Seifan","")</f>
        <v/>
      </c>
      <c r="BY733" t="str">
        <f t="shared" si="216"/>
        <v/>
      </c>
      <c r="BZ733" s="83" t="str">
        <f t="shared" si="213"/>
        <v/>
      </c>
      <c r="CA733" s="83" t="str">
        <f t="shared" si="214"/>
        <v/>
      </c>
      <c r="CB733" s="530" t="str">
        <f t="shared" si="215"/>
        <v/>
      </c>
      <c r="CR733" t="s">
        <v>14101</v>
      </c>
      <c r="GF733" t="s">
        <v>8528</v>
      </c>
    </row>
    <row r="734" spans="76:188" ht="13.2" customHeight="1">
      <c r="BX734" t="str">
        <f>IF(Pays="Steppes orientales","Tribus hung des Sul","")</f>
        <v/>
      </c>
      <c r="BY734" t="str">
        <f t="shared" si="216"/>
        <v/>
      </c>
      <c r="BZ734" s="83" t="str">
        <f t="shared" si="213"/>
        <v/>
      </c>
      <c r="CA734" s="83" t="str">
        <f t="shared" si="214"/>
        <v/>
      </c>
      <c r="CB734" s="530" t="str">
        <f t="shared" si="215"/>
        <v/>
      </c>
      <c r="CR734" t="s">
        <v>14102</v>
      </c>
      <c r="GF734" t="s">
        <v>7993</v>
      </c>
    </row>
    <row r="735" spans="76:188" ht="13.2" customHeight="1">
      <c r="BX735" t="str">
        <f>IF(Pays="Steppes orientales","Tribus hung des Tu-Ka","")</f>
        <v/>
      </c>
      <c r="BY735" t="str">
        <f t="shared" si="216"/>
        <v/>
      </c>
      <c r="BZ735" s="83" t="str">
        <f t="shared" si="213"/>
        <v/>
      </c>
      <c r="CA735" s="83" t="str">
        <f t="shared" si="214"/>
        <v/>
      </c>
      <c r="CB735" s="530" t="str">
        <f t="shared" si="215"/>
        <v/>
      </c>
      <c r="CR735" t="s">
        <v>14103</v>
      </c>
      <c r="GF735" t="s">
        <v>7994</v>
      </c>
    </row>
    <row r="736" spans="76:188" ht="13.2" customHeight="1">
      <c r="BX736" t="str">
        <f>IF(Pays="Steppes orientales","Tribus hung des Veh-Kung","")</f>
        <v/>
      </c>
      <c r="BY736" t="str">
        <f t="shared" si="216"/>
        <v/>
      </c>
      <c r="BZ736" s="83" t="str">
        <f t="shared" si="213"/>
        <v/>
      </c>
      <c r="CA736" s="83" t="str">
        <f t="shared" si="214"/>
        <v/>
      </c>
      <c r="CB736" s="530" t="str">
        <f t="shared" si="215"/>
        <v/>
      </c>
      <c r="CR736" t="s">
        <v>14104</v>
      </c>
      <c r="GF736" t="s">
        <v>7995</v>
      </c>
    </row>
    <row r="737" spans="76:188" ht="13.2" customHeight="1">
      <c r="BX737" t="str">
        <f>IF(Pays="Steppes orientales","Tribus hung des Wei-Tu","")</f>
        <v/>
      </c>
      <c r="BY737" t="str">
        <f t="shared" si="216"/>
        <v/>
      </c>
      <c r="BZ737" s="83" t="str">
        <f t="shared" si="213"/>
        <v/>
      </c>
      <c r="CA737" s="83" t="str">
        <f t="shared" si="214"/>
        <v/>
      </c>
      <c r="CB737" s="530" t="str">
        <f t="shared" si="215"/>
        <v/>
      </c>
      <c r="CR737" t="s">
        <v>14105</v>
      </c>
      <c r="GF737" t="s">
        <v>8542</v>
      </c>
    </row>
    <row r="738" spans="76:188" ht="13.2" customHeight="1">
      <c r="BX738" t="str">
        <f>IF(Pays="Steppes orientales","Tribus hung des Wo","")</f>
        <v/>
      </c>
      <c r="BY738" t="str">
        <f t="shared" si="216"/>
        <v/>
      </c>
      <c r="BZ738" s="83" t="str">
        <f t="shared" si="213"/>
        <v/>
      </c>
      <c r="CA738" s="83" t="str">
        <f t="shared" si="214"/>
        <v/>
      </c>
      <c r="CB738" s="530" t="str">
        <f t="shared" si="215"/>
        <v/>
      </c>
      <c r="CR738" t="s">
        <v>14106</v>
      </c>
      <c r="GF738" t="s">
        <v>7996</v>
      </c>
    </row>
    <row r="739" spans="76:188" ht="13.2" customHeight="1">
      <c r="BX739" t="str">
        <f>IF(Pays="Steppes orientales","Tribus hung des Yin","")</f>
        <v/>
      </c>
      <c r="BY739" t="str">
        <f t="shared" si="216"/>
        <v/>
      </c>
      <c r="BZ739" s="83" t="str">
        <f t="shared" si="213"/>
        <v/>
      </c>
      <c r="CA739" s="83" t="str">
        <f t="shared" si="214"/>
        <v/>
      </c>
      <c r="CB739" s="530" t="str">
        <f t="shared" si="215"/>
        <v/>
      </c>
      <c r="CR739" t="s">
        <v>14107</v>
      </c>
      <c r="GF739" t="s">
        <v>7997</v>
      </c>
    </row>
    <row r="740" spans="76:188" ht="13.2" customHeight="1">
      <c r="BX740" s="177" t="str">
        <f>IF(Province="Sylvanie","Bois des Goules","")</f>
        <v/>
      </c>
      <c r="BY740" t="str">
        <f t="shared" si="216"/>
        <v/>
      </c>
      <c r="BZ740" s="83" t="str">
        <f t="shared" si="213"/>
        <v/>
      </c>
      <c r="CA740" s="83" t="str">
        <f t="shared" si="214"/>
        <v/>
      </c>
      <c r="CB740" s="530" t="str">
        <f t="shared" si="215"/>
        <v/>
      </c>
      <c r="CR740" t="s">
        <v>14108</v>
      </c>
      <c r="GF740" t="s">
        <v>8543</v>
      </c>
    </row>
    <row r="741" spans="76:188" ht="13.2" customHeight="1">
      <c r="BX741" s="177" t="str">
        <f>IF(Province="Sylvanie","Bois Sininstres","")</f>
        <v/>
      </c>
      <c r="BY741" t="str">
        <f t="shared" si="216"/>
        <v/>
      </c>
      <c r="BZ741" s="83" t="str">
        <f t="shared" si="213"/>
        <v/>
      </c>
      <c r="CA741" s="83" t="str">
        <f t="shared" si="214"/>
        <v/>
      </c>
      <c r="CB741" s="530" t="str">
        <f t="shared" si="215"/>
        <v/>
      </c>
      <c r="CR741" t="s">
        <v>14109</v>
      </c>
      <c r="GF741" t="s">
        <v>7998</v>
      </c>
    </row>
    <row r="742" spans="76:188" ht="13.2" customHeight="1">
      <c r="BX742" s="177" t="str">
        <f>IF(Province="Sylvanie","Ver Bogenwald","")</f>
        <v/>
      </c>
      <c r="BY742" t="str">
        <f t="shared" si="216"/>
        <v/>
      </c>
      <c r="BZ742" s="83" t="str">
        <f t="shared" si="213"/>
        <v/>
      </c>
      <c r="CA742" s="83" t="str">
        <f t="shared" si="214"/>
        <v/>
      </c>
      <c r="CB742" s="530" t="str">
        <f t="shared" si="215"/>
        <v/>
      </c>
      <c r="CR742" t="s">
        <v>14110</v>
      </c>
      <c r="GF742" t="s">
        <v>7999</v>
      </c>
    </row>
    <row r="743" spans="76:188" ht="13.2" customHeight="1">
      <c r="BX743" s="177" t="str">
        <f>IF(Province="Grand comté d'Averland","Plaine de Brachland","")</f>
        <v/>
      </c>
      <c r="BY743" t="str">
        <f t="shared" si="216"/>
        <v/>
      </c>
      <c r="BZ743" s="83" t="str">
        <f t="shared" si="213"/>
        <v/>
      </c>
      <c r="CA743" s="83" t="str">
        <f t="shared" si="214"/>
        <v/>
      </c>
      <c r="CB743" s="530" t="str">
        <f t="shared" si="215"/>
        <v/>
      </c>
      <c r="CR743" t="s">
        <v>14111</v>
      </c>
      <c r="GF743" t="s">
        <v>8000</v>
      </c>
    </row>
    <row r="744" spans="76:188" ht="13.2" customHeight="1">
      <c r="BX744" s="177" t="str">
        <f>IF(Province="Grand comté d'Averland","Les vieilles Pâtures","")</f>
        <v/>
      </c>
      <c r="BY744" t="str">
        <f t="shared" si="216"/>
        <v/>
      </c>
      <c r="BZ744" s="83" t="str">
        <f t="shared" si="213"/>
        <v/>
      </c>
      <c r="CA744" s="83" t="str">
        <f t="shared" si="214"/>
        <v/>
      </c>
      <c r="CB744" s="530" t="str">
        <f t="shared" si="215"/>
        <v/>
      </c>
      <c r="CR744" t="s">
        <v>14112</v>
      </c>
      <c r="GF744" t="s">
        <v>8001</v>
      </c>
    </row>
    <row r="745" spans="76:188" ht="13.2" customHeight="1">
      <c r="BX745" s="177" t="str">
        <f>IF(Province="Sylvanie","Marais de Bylorhof","")</f>
        <v/>
      </c>
      <c r="BY745" t="str">
        <f t="shared" si="216"/>
        <v/>
      </c>
      <c r="BZ745" s="83" t="str">
        <f t="shared" si="213"/>
        <v/>
      </c>
      <c r="CA745" s="83" t="str">
        <f t="shared" si="214"/>
        <v/>
      </c>
      <c r="CB745" s="530" t="str">
        <f t="shared" si="215"/>
        <v/>
      </c>
      <c r="CR745" t="s">
        <v>14113</v>
      </c>
      <c r="GF745" t="s">
        <v>8002</v>
      </c>
    </row>
    <row r="746" spans="76:188" ht="13.2" customHeight="1">
      <c r="BX746" s="177" t="str">
        <f>IF(Province="Sylvanie","Bourg de Nachthaven","")</f>
        <v/>
      </c>
      <c r="BY746" t="str">
        <f t="shared" si="216"/>
        <v/>
      </c>
      <c r="BZ746" s="83" t="str">
        <f t="shared" si="213"/>
        <v/>
      </c>
      <c r="CA746" s="83" t="str">
        <f t="shared" si="214"/>
        <v/>
      </c>
      <c r="CB746" s="530" t="str">
        <f t="shared" si="215"/>
        <v/>
      </c>
      <c r="CR746" t="s">
        <v>14114</v>
      </c>
      <c r="GF746" t="s">
        <v>8003</v>
      </c>
    </row>
    <row r="747" spans="76:188" ht="13.2" customHeight="1">
      <c r="BX747" s="177" t="str">
        <f>IF(Province="Sylvanie","Bourg de Senkehof","")</f>
        <v/>
      </c>
      <c r="BY747" t="str">
        <f t="shared" si="216"/>
        <v/>
      </c>
      <c r="BZ747" s="83" t="str">
        <f t="shared" si="213"/>
        <v/>
      </c>
      <c r="CA747" s="83" t="str">
        <f t="shared" si="214"/>
        <v/>
      </c>
      <c r="CB747" s="530" t="str">
        <f t="shared" si="215"/>
        <v/>
      </c>
      <c r="CR747" t="s">
        <v>14115</v>
      </c>
      <c r="GF747" t="s">
        <v>8004</v>
      </c>
    </row>
    <row r="748" spans="76:188" ht="13.2" customHeight="1">
      <c r="BX748" s="177" t="str">
        <f>IF(Province="Sylvanie","Bourg de Koningstein","")</f>
        <v/>
      </c>
      <c r="BY748" t="str">
        <f t="shared" si="216"/>
        <v/>
      </c>
      <c r="BZ748" s="83" t="str">
        <f t="shared" si="213"/>
        <v/>
      </c>
      <c r="CA748" s="83" t="str">
        <f t="shared" si="214"/>
        <v/>
      </c>
      <c r="CB748" s="530" t="str">
        <f t="shared" si="215"/>
        <v/>
      </c>
      <c r="CR748" t="s">
        <v>14116</v>
      </c>
      <c r="GF748" t="s">
        <v>8005</v>
      </c>
    </row>
    <row r="749" spans="76:188" ht="13.2" customHeight="1">
      <c r="BX749" s="177" t="str">
        <f>IF(Province="Sylvanie","Bourg de Templehof","")</f>
        <v/>
      </c>
      <c r="BY749" t="str">
        <f t="shared" si="216"/>
        <v/>
      </c>
      <c r="BZ749" s="83" t="str">
        <f t="shared" si="213"/>
        <v/>
      </c>
      <c r="CA749" s="83" t="str">
        <f t="shared" si="214"/>
        <v/>
      </c>
      <c r="CB749" s="530" t="str">
        <f t="shared" si="215"/>
        <v/>
      </c>
      <c r="CR749" t="s">
        <v>14117</v>
      </c>
      <c r="GF749" t="s">
        <v>8006</v>
      </c>
    </row>
    <row r="750" spans="76:188" ht="13.2" customHeight="1">
      <c r="BX750" s="177" t="str">
        <f>IF(Province="Sylvanie","Bourg de Eschen","")</f>
        <v/>
      </c>
      <c r="BY750" t="str">
        <f t="shared" si="216"/>
        <v/>
      </c>
      <c r="BZ750" s="83" t="str">
        <f t="shared" si="213"/>
        <v/>
      </c>
      <c r="CA750" s="83" t="str">
        <f t="shared" si="214"/>
        <v/>
      </c>
      <c r="CB750" s="530" t="str">
        <f t="shared" si="215"/>
        <v/>
      </c>
      <c r="CR750" t="s">
        <v>14118</v>
      </c>
      <c r="GF750" t="s">
        <v>8007</v>
      </c>
    </row>
    <row r="751" spans="76:188" ht="13.2" customHeight="1">
      <c r="BX751" s="177" t="str">
        <f>IF(Province="Sylvanie","Bourg de Regakhof","")</f>
        <v/>
      </c>
      <c r="BY751" t="str">
        <f t="shared" si="216"/>
        <v/>
      </c>
      <c r="BZ751" s="83" t="str">
        <f t="shared" si="213"/>
        <v/>
      </c>
      <c r="CA751" s="83" t="str">
        <f t="shared" si="214"/>
        <v/>
      </c>
      <c r="CB751" s="530" t="str">
        <f t="shared" si="215"/>
        <v/>
      </c>
      <c r="CR751" t="s">
        <v>14119</v>
      </c>
      <c r="GF751" t="s">
        <v>8008</v>
      </c>
    </row>
    <row r="752" spans="76:188" ht="13.2" customHeight="1">
      <c r="BY752" t="str">
        <f t="shared" si="216"/>
        <v/>
      </c>
      <c r="BZ752" s="83" t="str">
        <f t="shared" si="213"/>
        <v/>
      </c>
      <c r="CA752" s="83" t="str">
        <f t="shared" si="214"/>
        <v/>
      </c>
      <c r="CB752" s="530" t="str">
        <f t="shared" si="215"/>
        <v/>
      </c>
      <c r="CR752" t="s">
        <v>14120</v>
      </c>
      <c r="GF752" t="s">
        <v>8009</v>
      </c>
    </row>
    <row r="753" spans="76:188" ht="13.2" customHeight="1">
      <c r="BX753" s="177" t="str">
        <f>IF(Province="Sylvanie","Bois de la Famine","")</f>
        <v/>
      </c>
      <c r="BY753" t="str">
        <f t="shared" si="216"/>
        <v/>
      </c>
      <c r="BZ753" s="83" t="str">
        <f t="shared" si="213"/>
        <v/>
      </c>
      <c r="CA753" s="83" t="str">
        <f t="shared" si="214"/>
        <v/>
      </c>
      <c r="CB753" s="530" t="str">
        <f t="shared" si="215"/>
        <v/>
      </c>
      <c r="CR753" t="s">
        <v>14121</v>
      </c>
      <c r="GF753" t="s">
        <v>8544</v>
      </c>
    </row>
    <row r="754" spans="76:188" ht="13.2" customHeight="1">
      <c r="BX754" s="177" t="str">
        <f>IF(Province="Sylvanie","Bois Mort","")</f>
        <v/>
      </c>
      <c r="BY754" t="str">
        <f t="shared" si="216"/>
        <v/>
      </c>
      <c r="BZ754" s="83" t="str">
        <f t="shared" si="213"/>
        <v/>
      </c>
      <c r="CA754" s="83" t="str">
        <f t="shared" si="214"/>
        <v/>
      </c>
      <c r="CB754" s="530" t="str">
        <f t="shared" si="215"/>
        <v/>
      </c>
      <c r="CR754" t="s">
        <v>14122</v>
      </c>
      <c r="GF754" t="s">
        <v>8010</v>
      </c>
    </row>
    <row r="755" spans="76:188" ht="13.2" customHeight="1">
      <c r="BX755" s="177" t="str">
        <f>IF(Province="Sylvanie","Bois d'Hunsheimerwald","")</f>
        <v/>
      </c>
      <c r="BY755" t="str">
        <f t="shared" si="216"/>
        <v/>
      </c>
      <c r="BZ755" s="83" t="str">
        <f t="shared" si="213"/>
        <v/>
      </c>
      <c r="CA755" s="83" t="str">
        <f t="shared" si="214"/>
        <v/>
      </c>
      <c r="CB755" s="530" t="str">
        <f t="shared" si="215"/>
        <v/>
      </c>
      <c r="CR755" t="s">
        <v>14123</v>
      </c>
      <c r="GF755" t="s">
        <v>8550</v>
      </c>
    </row>
    <row r="756" spans="76:188" ht="13.2" customHeight="1">
      <c r="BX756" s="177" t="str">
        <f>IF(Province="Sylvanie","Bourg de Swartzhafen","")</f>
        <v/>
      </c>
      <c r="BY756" t="str">
        <f t="shared" si="216"/>
        <v/>
      </c>
      <c r="BZ756" s="83" t="str">
        <f t="shared" si="213"/>
        <v/>
      </c>
      <c r="CA756" s="83" t="str">
        <f t="shared" si="214"/>
        <v/>
      </c>
      <c r="CB756" s="530" t="str">
        <f t="shared" si="215"/>
        <v/>
      </c>
      <c r="CR756" t="s">
        <v>14124</v>
      </c>
      <c r="GF756" t="s">
        <v>8011</v>
      </c>
    </row>
    <row r="757" spans="76:188" ht="13.2" customHeight="1">
      <c r="BX757" s="177" t="str">
        <f>IF(Province="Sylvanie","Plaines d'Achteraver","")</f>
        <v/>
      </c>
      <c r="BY757" t="str">
        <f t="shared" si="216"/>
        <v/>
      </c>
      <c r="BZ757" s="83" t="str">
        <f t="shared" si="213"/>
        <v/>
      </c>
      <c r="CA757" s="83" t="str">
        <f t="shared" si="214"/>
        <v/>
      </c>
      <c r="CB757" s="530" t="str">
        <f t="shared" si="215"/>
        <v/>
      </c>
      <c r="CR757" t="s">
        <v>14125</v>
      </c>
      <c r="GF757" t="s">
        <v>8012</v>
      </c>
    </row>
    <row r="758" spans="76:188" ht="13.2" customHeight="1">
      <c r="BX758" s="177" t="str">
        <f>IF(Province="Grand comté d'Averland","Bourg de Mittenburg","")</f>
        <v/>
      </c>
      <c r="BY758" t="str">
        <f t="shared" si="216"/>
        <v/>
      </c>
      <c r="BZ758" s="83" t="str">
        <f t="shared" si="213"/>
        <v/>
      </c>
      <c r="CA758" s="83" t="str">
        <f t="shared" si="214"/>
        <v/>
      </c>
      <c r="CB758" s="530" t="str">
        <f t="shared" si="215"/>
        <v/>
      </c>
      <c r="CR758" t="s">
        <v>14126</v>
      </c>
      <c r="GF758" t="s">
        <v>8013</v>
      </c>
    </row>
    <row r="759" spans="76:188" ht="13.2" customHeight="1">
      <c r="BX759" s="177" t="str">
        <f>IF(Province="Grand comté d'Averland","Plaines de BN762","")</f>
        <v/>
      </c>
      <c r="BY759" t="str">
        <f t="shared" si="216"/>
        <v/>
      </c>
      <c r="BZ759" s="83" t="str">
        <f t="shared" si="213"/>
        <v/>
      </c>
      <c r="CA759" s="83" t="str">
        <f t="shared" si="214"/>
        <v/>
      </c>
      <c r="CB759" s="530" t="str">
        <f t="shared" si="215"/>
        <v/>
      </c>
      <c r="CR759" t="s">
        <v>14127</v>
      </c>
      <c r="GF759" t="s">
        <v>8014</v>
      </c>
    </row>
    <row r="760" spans="76:188" ht="13.2" customHeight="1">
      <c r="BX760" s="177" t="str">
        <f>IF(Province="Sylvanie","Bourg de Leicheberg","")</f>
        <v/>
      </c>
      <c r="BY760" t="str">
        <f t="shared" si="216"/>
        <v/>
      </c>
      <c r="BZ760" s="83" t="str">
        <f t="shared" si="213"/>
        <v/>
      </c>
      <c r="CA760" s="83" t="str">
        <f t="shared" si="214"/>
        <v/>
      </c>
      <c r="CB760" s="530" t="str">
        <f t="shared" si="215"/>
        <v/>
      </c>
      <c r="CR760" t="s">
        <v>14128</v>
      </c>
      <c r="GF760" t="s">
        <v>8015</v>
      </c>
    </row>
    <row r="761" spans="76:188" ht="13.2" customHeight="1">
      <c r="BX761" s="25" t="str">
        <f>IF(Province="Ligue de l'Ostermark","Bourg de Bahlkurk","")</f>
        <v/>
      </c>
      <c r="BY761" t="str">
        <f t="shared" si="216"/>
        <v/>
      </c>
      <c r="BZ761" s="83" t="str">
        <f t="shared" si="213"/>
        <v/>
      </c>
      <c r="CA761" s="83" t="str">
        <f t="shared" si="214"/>
        <v/>
      </c>
      <c r="CB761" s="530" t="str">
        <f t="shared" si="215"/>
        <v/>
      </c>
      <c r="CR761" t="s">
        <v>14129</v>
      </c>
      <c r="GF761" t="s">
        <v>8016</v>
      </c>
    </row>
    <row r="762" spans="76:188" ht="13.2" customHeight="1">
      <c r="BX762" s="25" t="str">
        <f>IF(Province="Ligue de l'Ostermark","Bourg de Carlsbruck","")</f>
        <v/>
      </c>
      <c r="BY762" t="str">
        <f t="shared" si="216"/>
        <v/>
      </c>
      <c r="BZ762" s="83" t="str">
        <f t="shared" si="213"/>
        <v/>
      </c>
      <c r="CA762" s="83" t="str">
        <f t="shared" si="214"/>
        <v/>
      </c>
      <c r="CB762" s="530" t="str">
        <f t="shared" si="215"/>
        <v/>
      </c>
      <c r="CR762" t="s">
        <v>14130</v>
      </c>
      <c r="GF762" t="s">
        <v>8017</v>
      </c>
    </row>
    <row r="763" spans="76:188" ht="13.2" customHeight="1">
      <c r="BX763" s="25" t="str">
        <f>IF(Province="Sylvanie","Bourg de Sigfriedhof","")</f>
        <v/>
      </c>
      <c r="BY763" t="str">
        <f t="shared" si="216"/>
        <v/>
      </c>
      <c r="BZ763" s="83" t="str">
        <f t="shared" si="213"/>
        <v/>
      </c>
      <c r="CA763" s="83" t="str">
        <f t="shared" si="214"/>
        <v/>
      </c>
      <c r="CB763" s="530" t="str">
        <f t="shared" si="215"/>
        <v/>
      </c>
      <c r="CR763" t="s">
        <v>14131</v>
      </c>
      <c r="GF763" t="s">
        <v>8018</v>
      </c>
    </row>
    <row r="764" spans="76:188" ht="13.2" customHeight="1">
      <c r="BX764" s="25" t="str">
        <f>IF(Province="Sylvanie","Montagnes du Drakenhöhenzug","")</f>
        <v/>
      </c>
      <c r="BY764" t="str">
        <f t="shared" si="216"/>
        <v/>
      </c>
      <c r="BZ764" s="83" t="str">
        <f t="shared" si="213"/>
        <v/>
      </c>
      <c r="CA764" s="83" t="str">
        <f t="shared" si="214"/>
        <v/>
      </c>
      <c r="CB764" s="530" t="str">
        <f t="shared" si="215"/>
        <v/>
      </c>
      <c r="CR764" t="s">
        <v>14132</v>
      </c>
      <c r="GF764" t="s">
        <v>8019</v>
      </c>
    </row>
    <row r="765" spans="76:188" ht="13.2" customHeight="1">
      <c r="BX765" s="25" t="str">
        <f>IF(Province="Sylvanie","Collines Hantées","")</f>
        <v/>
      </c>
      <c r="BY765" t="str">
        <f t="shared" si="216"/>
        <v/>
      </c>
      <c r="BZ765" s="83" t="str">
        <f t="shared" si="213"/>
        <v/>
      </c>
      <c r="CA765" s="83" t="str">
        <f t="shared" si="214"/>
        <v/>
      </c>
      <c r="CB765" s="530" t="str">
        <f t="shared" si="215"/>
        <v/>
      </c>
      <c r="CR765" t="s">
        <v>14133</v>
      </c>
      <c r="GF765" t="s">
        <v>8020</v>
      </c>
    </row>
    <row r="766" spans="76:188" ht="13.2" customHeight="1">
      <c r="BX766" s="25" t="str">
        <f>IF(Province="Sylvanie","Marais d'Hel Fenn","")</f>
        <v/>
      </c>
      <c r="BY766" t="str">
        <f t="shared" si="216"/>
        <v/>
      </c>
      <c r="BZ766" s="83" t="str">
        <f t="shared" si="213"/>
        <v/>
      </c>
      <c r="CA766" s="83" t="str">
        <f t="shared" si="214"/>
        <v/>
      </c>
      <c r="CB766" s="530" t="str">
        <f t="shared" si="215"/>
        <v/>
      </c>
      <c r="CR766" t="s">
        <v>14134</v>
      </c>
      <c r="GF766" t="s">
        <v>8021</v>
      </c>
    </row>
    <row r="767" spans="76:188" ht="13.2" customHeight="1">
      <c r="BX767" s="25" t="str">
        <f>IF(Province="Sylvanie","Marais des Zombies","")</f>
        <v/>
      </c>
      <c r="BY767" t="str">
        <f t="shared" si="216"/>
        <v/>
      </c>
      <c r="BZ767" s="83" t="str">
        <f t="shared" si="213"/>
        <v/>
      </c>
      <c r="CA767" s="83" t="str">
        <f t="shared" si="214"/>
        <v/>
      </c>
      <c r="CB767" s="530" t="str">
        <f t="shared" si="215"/>
        <v/>
      </c>
      <c r="CR767" t="s">
        <v>14135</v>
      </c>
      <c r="GF767" t="s">
        <v>8022</v>
      </c>
    </row>
    <row r="768" spans="76:188" ht="13.2" customHeight="1">
      <c r="BX768" s="25" t="str">
        <f>IF(Province="Sylvanie","Marais des Morrfenn","")</f>
        <v/>
      </c>
      <c r="BY768" t="str">
        <f t="shared" si="216"/>
        <v/>
      </c>
      <c r="BZ768" s="83" t="str">
        <f t="shared" si="213"/>
        <v/>
      </c>
      <c r="CA768" s="83" t="str">
        <f t="shared" si="214"/>
        <v/>
      </c>
      <c r="CB768" s="530" t="str">
        <f t="shared" si="215"/>
        <v/>
      </c>
      <c r="CR768" t="s">
        <v>14136</v>
      </c>
      <c r="GF768" t="s">
        <v>8529</v>
      </c>
    </row>
    <row r="769" spans="76:188" ht="13.2" customHeight="1">
      <c r="BX769" s="25" t="str">
        <f>IF(Province="Grand comté d'Averland","Plaine de Fennonhügel","")</f>
        <v/>
      </c>
      <c r="BY769" t="str">
        <f t="shared" si="216"/>
        <v/>
      </c>
      <c r="BZ769" s="83" t="str">
        <f t="shared" si="213"/>
        <v/>
      </c>
      <c r="CA769" s="83" t="str">
        <f t="shared" si="214"/>
        <v/>
      </c>
      <c r="CB769" s="530" t="str">
        <f t="shared" si="215"/>
        <v/>
      </c>
      <c r="CR769" t="s">
        <v>14137</v>
      </c>
      <c r="GF769" t="s">
        <v>8549</v>
      </c>
    </row>
    <row r="770" spans="76:188" ht="13.2" customHeight="1">
      <c r="BX770" t="str">
        <f>IF(Province="Sylvanie","Tertres Chancreux","")</f>
        <v/>
      </c>
      <c r="BY770" t="str">
        <f t="shared" si="216"/>
        <v/>
      </c>
      <c r="BZ770" s="83" t="str">
        <f t="shared" ref="BZ770:BZ833" si="217">IFERROR(SMALL(BY:BY,ROW()-1),"")</f>
        <v/>
      </c>
      <c r="CA770" s="83" t="str">
        <f t="shared" ref="CA770:CA833" si="218">IFERROR(INDEX(BX:BX,BZ770),"")</f>
        <v/>
      </c>
      <c r="CB770" s="530" t="str">
        <f t="shared" ref="CB770:CB833" si="219">INDEX(CA:CA,ROW())</f>
        <v/>
      </c>
      <c r="CR770" t="s">
        <v>14138</v>
      </c>
      <c r="GF770" t="s">
        <v>8023</v>
      </c>
    </row>
    <row r="771" spans="76:188" ht="13.2" customHeight="1">
      <c r="BX771" s="177" t="str">
        <f>IF(Province="Ligue de l'Ostermark","Collines de l'Effroi","")</f>
        <v/>
      </c>
      <c r="BY771" t="str">
        <f t="shared" ref="BY771:BY834" si="220">IF(BX771="","",ROW())</f>
        <v/>
      </c>
      <c r="BZ771" s="83" t="str">
        <f t="shared" si="217"/>
        <v/>
      </c>
      <c r="CA771" s="83" t="str">
        <f t="shared" si="218"/>
        <v/>
      </c>
      <c r="CB771" s="530" t="str">
        <f t="shared" si="219"/>
        <v/>
      </c>
      <c r="CR771" t="s">
        <v>14139</v>
      </c>
      <c r="GF771" t="s">
        <v>8024</v>
      </c>
    </row>
    <row r="772" spans="76:188" ht="13.2" customHeight="1">
      <c r="BX772" s="177" t="str">
        <f>IF(Province="Ligue de l'Ostermark","Landes Désolées","")</f>
        <v/>
      </c>
      <c r="BY772" t="str">
        <f t="shared" si="220"/>
        <v/>
      </c>
      <c r="BZ772" s="83" t="str">
        <f t="shared" si="217"/>
        <v/>
      </c>
      <c r="CA772" s="83" t="str">
        <f t="shared" si="218"/>
        <v/>
      </c>
      <c r="CB772" s="530" t="str">
        <f t="shared" si="219"/>
        <v/>
      </c>
      <c r="CR772" t="s">
        <v>14140</v>
      </c>
      <c r="GF772" t="s">
        <v>8548</v>
      </c>
    </row>
    <row r="773" spans="76:188" ht="13.2" customHeight="1">
      <c r="BX773" s="25" t="str">
        <f>IF(Pays="Empire","Colonie arabéene de Sudenburg","")</f>
        <v/>
      </c>
      <c r="BY773" t="str">
        <f t="shared" si="220"/>
        <v/>
      </c>
      <c r="BZ773" s="83" t="str">
        <f t="shared" si="217"/>
        <v/>
      </c>
      <c r="CA773" s="83" t="str">
        <f t="shared" si="218"/>
        <v/>
      </c>
      <c r="CB773" s="530" t="str">
        <f t="shared" si="219"/>
        <v/>
      </c>
      <c r="CR773" t="s">
        <v>14141</v>
      </c>
      <c r="GF773" t="s">
        <v>8536</v>
      </c>
    </row>
    <row r="774" spans="76:188" ht="13.2" customHeight="1">
      <c r="BX774" s="25" t="str">
        <f>IF(Pays="Bretonnie","Colonie arabéene d'Antoch","")</f>
        <v/>
      </c>
      <c r="BY774" t="str">
        <f t="shared" si="220"/>
        <v/>
      </c>
      <c r="BZ774" s="83" t="str">
        <f t="shared" si="217"/>
        <v/>
      </c>
      <c r="CA774" s="83" t="str">
        <f t="shared" si="218"/>
        <v/>
      </c>
      <c r="CB774" s="530" t="str">
        <f t="shared" si="219"/>
        <v/>
      </c>
      <c r="CR774" t="s">
        <v>14142</v>
      </c>
      <c r="GF774" t="s">
        <v>8025</v>
      </c>
    </row>
    <row r="775" spans="76:188" ht="13.2" customHeight="1">
      <c r="BX775" s="25" t="str">
        <f>IF(SelectRace="Elfe","Colonie arabéene du Coeur de la Jungle","")</f>
        <v/>
      </c>
      <c r="BY775" t="str">
        <f t="shared" si="220"/>
        <v/>
      </c>
      <c r="BZ775" s="83" t="str">
        <f t="shared" si="217"/>
        <v/>
      </c>
      <c r="CA775" s="83" t="str">
        <f t="shared" si="218"/>
        <v/>
      </c>
      <c r="CB775" s="530" t="str">
        <f t="shared" si="219"/>
        <v/>
      </c>
      <c r="CR775" t="s">
        <v>14143</v>
      </c>
      <c r="GF775" t="s">
        <v>8026</v>
      </c>
    </row>
    <row r="776" spans="76:188" ht="13.2" customHeight="1">
      <c r="BX776" s="25" t="str">
        <f>IF(Province="Massershloss","Ville de Massershloss","")</f>
        <v/>
      </c>
      <c r="BY776" t="str">
        <f t="shared" si="220"/>
        <v/>
      </c>
      <c r="BZ776" s="83" t="str">
        <f t="shared" si="217"/>
        <v/>
      </c>
      <c r="CA776" s="83" t="str">
        <f t="shared" si="218"/>
        <v/>
      </c>
      <c r="CB776" s="530" t="str">
        <f t="shared" si="219"/>
        <v/>
      </c>
      <c r="CR776" t="s">
        <v>14144</v>
      </c>
      <c r="GF776" t="s">
        <v>8530</v>
      </c>
    </row>
    <row r="777" spans="76:188" ht="13.2" customHeight="1">
      <c r="BX777" s="25" t="str">
        <f>IF(Province="Massershloss","Village du Massershloss","")</f>
        <v/>
      </c>
      <c r="BY777" t="str">
        <f t="shared" si="220"/>
        <v/>
      </c>
      <c r="BZ777" s="83" t="str">
        <f t="shared" si="217"/>
        <v/>
      </c>
      <c r="CA777" s="83" t="str">
        <f t="shared" si="218"/>
        <v/>
      </c>
      <c r="CB777" s="530" t="str">
        <f t="shared" si="219"/>
        <v/>
      </c>
      <c r="CR777" t="s">
        <v>14145</v>
      </c>
      <c r="GF777" t="s">
        <v>8531</v>
      </c>
    </row>
    <row r="778" spans="76:188" ht="13.2" customHeight="1">
      <c r="BX778" s="25" t="str">
        <f>IF(Province="Walandrie","Village de Vlandrie","")</f>
        <v/>
      </c>
      <c r="BY778" t="str">
        <f t="shared" si="220"/>
        <v/>
      </c>
      <c r="BZ778" s="83" t="str">
        <f t="shared" si="217"/>
        <v/>
      </c>
      <c r="CA778" s="83" t="str">
        <f t="shared" si="218"/>
        <v/>
      </c>
      <c r="CB778" s="530" t="str">
        <f t="shared" si="219"/>
        <v/>
      </c>
      <c r="CR778" t="s">
        <v>14146</v>
      </c>
      <c r="GF778" t="s">
        <v>8027</v>
      </c>
    </row>
    <row r="779" spans="76:188" ht="13.2" customHeight="1">
      <c r="BX779" s="25" t="str">
        <f>IF(Province="Walandrie","Ville de Brug","")</f>
        <v/>
      </c>
      <c r="BY779" t="str">
        <f t="shared" si="220"/>
        <v/>
      </c>
      <c r="BZ779" s="83" t="str">
        <f t="shared" si="217"/>
        <v/>
      </c>
      <c r="CA779" s="83" t="str">
        <f t="shared" si="218"/>
        <v/>
      </c>
      <c r="CB779" s="530" t="str">
        <f t="shared" si="219"/>
        <v/>
      </c>
      <c r="CR779" t="s">
        <v>14147</v>
      </c>
      <c r="GF779" t="s">
        <v>8028</v>
      </c>
    </row>
    <row r="780" spans="76:188" ht="13.2" customHeight="1">
      <c r="BX780" s="25" t="str">
        <f>IF(Province="Walandrie","Ville de Gen","")</f>
        <v/>
      </c>
      <c r="BY780" t="str">
        <f t="shared" si="220"/>
        <v/>
      </c>
      <c r="BZ780" s="83" t="str">
        <f t="shared" si="217"/>
        <v/>
      </c>
      <c r="CA780" s="83" t="str">
        <f t="shared" si="218"/>
        <v/>
      </c>
      <c r="CB780" s="530" t="str">
        <f t="shared" si="219"/>
        <v/>
      </c>
      <c r="CR780" t="s">
        <v>14148</v>
      </c>
      <c r="GF780" t="s">
        <v>8029</v>
      </c>
    </row>
    <row r="781" spans="76:188" ht="13.2" customHeight="1">
      <c r="BX781" s="25" t="str">
        <f>IF(Province="Walandrie","Ville de Beursel","")</f>
        <v/>
      </c>
      <c r="BY781" t="str">
        <f t="shared" si="220"/>
        <v/>
      </c>
      <c r="BZ781" s="83" t="str">
        <f t="shared" si="217"/>
        <v/>
      </c>
      <c r="CA781" s="83" t="str">
        <f t="shared" si="218"/>
        <v/>
      </c>
      <c r="CB781" s="530" t="str">
        <f t="shared" si="219"/>
        <v/>
      </c>
      <c r="CR781" t="s">
        <v>14149</v>
      </c>
      <c r="GF781" t="s">
        <v>8559</v>
      </c>
    </row>
    <row r="782" spans="76:188" ht="13.2" customHeight="1">
      <c r="BX782" s="25" t="str">
        <f>IF(Province="Walandrie","Village de Walnie","")</f>
        <v/>
      </c>
      <c r="BY782" t="str">
        <f t="shared" si="220"/>
        <v/>
      </c>
      <c r="BZ782" s="83" t="str">
        <f t="shared" si="217"/>
        <v/>
      </c>
      <c r="CA782" s="83" t="str">
        <f t="shared" si="218"/>
        <v/>
      </c>
      <c r="CB782" s="530" t="str">
        <f t="shared" si="219"/>
        <v/>
      </c>
      <c r="CR782" t="s">
        <v>14150</v>
      </c>
      <c r="GF782" t="s">
        <v>8555</v>
      </c>
    </row>
    <row r="783" spans="76:188" ht="13.2" customHeight="1">
      <c r="BX783" s="25" t="str">
        <f>IF(Province="Walandrie","Ville de Char-du-Roi","")</f>
        <v/>
      </c>
      <c r="BY783" t="str">
        <f t="shared" si="220"/>
        <v/>
      </c>
      <c r="BZ783" s="83" t="str">
        <f t="shared" si="217"/>
        <v/>
      </c>
      <c r="CA783" s="83" t="str">
        <f t="shared" si="218"/>
        <v/>
      </c>
      <c r="CB783" s="530" t="str">
        <f t="shared" si="219"/>
        <v/>
      </c>
      <c r="CR783" t="s">
        <v>14151</v>
      </c>
      <c r="GF783" t="s">
        <v>8551</v>
      </c>
    </row>
    <row r="784" spans="76:188" ht="13.2" customHeight="1">
      <c r="BX784" s="25" t="str">
        <f>IF(Province="Walandrie","Ville de Mouns","")</f>
        <v/>
      </c>
      <c r="BY784" t="str">
        <f t="shared" si="220"/>
        <v/>
      </c>
      <c r="BZ784" s="83" t="str">
        <f t="shared" si="217"/>
        <v/>
      </c>
      <c r="CA784" s="83" t="str">
        <f t="shared" si="218"/>
        <v/>
      </c>
      <c r="CB784" s="530" t="str">
        <f t="shared" si="219"/>
        <v/>
      </c>
      <c r="CR784" t="s">
        <v>14152</v>
      </c>
      <c r="GF784" t="s">
        <v>8030</v>
      </c>
    </row>
    <row r="785" spans="76:188" ht="13.2" customHeight="1">
      <c r="BX785" s="25" t="str">
        <f>IF(Province="Walandrie","Ville du Mur de Nam","")</f>
        <v/>
      </c>
      <c r="BY785" t="str">
        <f t="shared" si="220"/>
        <v/>
      </c>
      <c r="BZ785" s="83" t="str">
        <f t="shared" si="217"/>
        <v/>
      </c>
      <c r="CA785" s="83" t="str">
        <f t="shared" si="218"/>
        <v/>
      </c>
      <c r="CB785" s="530" t="str">
        <f t="shared" si="219"/>
        <v/>
      </c>
      <c r="CR785" t="s">
        <v>14153</v>
      </c>
      <c r="GF785" t="s">
        <v>8552</v>
      </c>
    </row>
    <row r="786" spans="76:188" ht="13.2" customHeight="1">
      <c r="BX786" s="25" t="str">
        <f>IF(Province="Walandrie","Ville de Lièch","")</f>
        <v/>
      </c>
      <c r="BY786" t="str">
        <f t="shared" si="220"/>
        <v/>
      </c>
      <c r="BZ786" s="83" t="str">
        <f t="shared" si="217"/>
        <v/>
      </c>
      <c r="CA786" s="83" t="str">
        <f t="shared" si="218"/>
        <v/>
      </c>
      <c r="CB786" s="530" t="str">
        <f t="shared" si="219"/>
        <v/>
      </c>
      <c r="CR786" t="s">
        <v>14154</v>
      </c>
      <c r="GF786" t="s">
        <v>8554</v>
      </c>
    </row>
    <row r="787" spans="76:188" ht="13.2" customHeight="1">
      <c r="BX787" s="177" t="str">
        <f>IF(OR(Province="Kislev méridional (Gospodar)",Province="kislev méridional (Ungol)"),"Ville de Gerslev","")</f>
        <v/>
      </c>
      <c r="BY787" t="str">
        <f t="shared" si="220"/>
        <v/>
      </c>
      <c r="BZ787" s="83" t="str">
        <f t="shared" si="217"/>
        <v/>
      </c>
      <c r="CA787" s="83" t="str">
        <f t="shared" si="218"/>
        <v/>
      </c>
      <c r="CB787" s="530" t="str">
        <f t="shared" si="219"/>
        <v/>
      </c>
      <c r="CR787" t="s">
        <v>14155</v>
      </c>
      <c r="GF787" t="s">
        <v>8553</v>
      </c>
    </row>
    <row r="788" spans="76:188" ht="13.2" customHeight="1">
      <c r="BX788" s="177" t="str">
        <f>IF(OR(Province="Kislev méridional (Gospodar)",Province="kislev méridional (Ungol)"),"Grande Stanista de Resov","")</f>
        <v/>
      </c>
      <c r="BY788" t="str">
        <f t="shared" si="220"/>
        <v/>
      </c>
      <c r="BZ788" s="83" t="str">
        <f t="shared" si="217"/>
        <v/>
      </c>
      <c r="CA788" s="83" t="str">
        <f t="shared" si="218"/>
        <v/>
      </c>
      <c r="CB788" s="530" t="str">
        <f t="shared" si="219"/>
        <v/>
      </c>
      <c r="CR788" t="s">
        <v>14156</v>
      </c>
      <c r="GF788" t="s">
        <v>8553</v>
      </c>
    </row>
    <row r="789" spans="76:188" ht="13.2" customHeight="1">
      <c r="BX789" s="177" t="str">
        <f>IF(OR(Province="Kislev méridional (Gospodar)",Province="kislev méridional (Ungol)"),"Village de Vitevo","")</f>
        <v/>
      </c>
      <c r="BY789" t="str">
        <f t="shared" si="220"/>
        <v/>
      </c>
      <c r="BZ789" s="83" t="str">
        <f t="shared" si="217"/>
        <v/>
      </c>
      <c r="CA789" s="83" t="str">
        <f t="shared" si="218"/>
        <v/>
      </c>
      <c r="CB789" s="530" t="str">
        <f t="shared" si="219"/>
        <v/>
      </c>
      <c r="CR789" t="s">
        <v>14157</v>
      </c>
      <c r="GF789" t="s">
        <v>8556</v>
      </c>
    </row>
    <row r="790" spans="76:188" ht="13.2" customHeight="1">
      <c r="BX790" s="177" t="str">
        <f>IF(OR(Province="Kislev méridional (Gospodar)",Province="kislev méridional (Ungol)"),"Village de Voltsara","")</f>
        <v/>
      </c>
      <c r="BY790" t="str">
        <f t="shared" si="220"/>
        <v/>
      </c>
      <c r="BZ790" s="83" t="str">
        <f t="shared" si="217"/>
        <v/>
      </c>
      <c r="CA790" s="83" t="str">
        <f t="shared" si="218"/>
        <v/>
      </c>
      <c r="CB790" s="530" t="str">
        <f t="shared" si="219"/>
        <v/>
      </c>
      <c r="CR790" t="s">
        <v>14158</v>
      </c>
      <c r="GF790" t="s">
        <v>8031</v>
      </c>
    </row>
    <row r="791" spans="76:188" ht="13.2" customHeight="1">
      <c r="BX791" s="177" t="str">
        <f>IF(OR(Province="Kislev oriental (Gospodar)",Province="Kislev oriental (Ungol)"),"Communauté ungol de Sepukzy","")</f>
        <v/>
      </c>
      <c r="BY791" t="str">
        <f t="shared" si="220"/>
        <v/>
      </c>
      <c r="BZ791" s="83" t="str">
        <f t="shared" si="217"/>
        <v/>
      </c>
      <c r="CA791" s="83" t="str">
        <f t="shared" si="218"/>
        <v/>
      </c>
      <c r="CB791" s="530" t="str">
        <f t="shared" si="219"/>
        <v/>
      </c>
      <c r="CR791" t="s">
        <v>14159</v>
      </c>
      <c r="GF791" t="s">
        <v>8557</v>
      </c>
    </row>
    <row r="792" spans="76:188" ht="13.2" customHeight="1">
      <c r="BX792" s="177" t="str">
        <f>IF(OR(Province="Kislev oriental (Gospodar)",Province="Kislev oriental (Ungol)"),"Communauté de Volksgrad","")</f>
        <v/>
      </c>
      <c r="BY792" t="str">
        <f t="shared" si="220"/>
        <v/>
      </c>
      <c r="BZ792" s="83" t="str">
        <f t="shared" si="217"/>
        <v/>
      </c>
      <c r="CA792" s="83" t="str">
        <f t="shared" si="218"/>
        <v/>
      </c>
      <c r="CB792" s="530" t="str">
        <f t="shared" si="219"/>
        <v/>
      </c>
      <c r="CR792" t="s">
        <v>14160</v>
      </c>
      <c r="GF792" t="s">
        <v>8558</v>
      </c>
    </row>
    <row r="793" spans="76:188" ht="13.2" customHeight="1">
      <c r="BX793" s="177" t="str">
        <f>IF(OR(Province="Kislev oriental (Gospodar)",Province="Kislev oriental (Ungol)"),"Vallée des Dents d’Ursun/Urszebya","")</f>
        <v/>
      </c>
      <c r="BY793" t="str">
        <f t="shared" si="220"/>
        <v/>
      </c>
      <c r="BZ793" s="83" t="str">
        <f t="shared" si="217"/>
        <v/>
      </c>
      <c r="CA793" s="83" t="str">
        <f t="shared" si="218"/>
        <v/>
      </c>
      <c r="CB793" s="530" t="str">
        <f t="shared" si="219"/>
        <v/>
      </c>
      <c r="CR793" t="s">
        <v>14161</v>
      </c>
      <c r="GF793" t="s">
        <v>8585</v>
      </c>
    </row>
    <row r="794" spans="76:188" ht="13.2" customHeight="1">
      <c r="BX794" s="177" t="str">
        <f>IF(OR(Province="Kislev occdiental (Gospodar)",Province="Kislev occdiental (Ungol)"),"Grande stanista de Milkavala","")</f>
        <v/>
      </c>
      <c r="BY794" t="str">
        <f t="shared" si="220"/>
        <v/>
      </c>
      <c r="BZ794" s="83" t="str">
        <f t="shared" si="217"/>
        <v/>
      </c>
      <c r="CA794" s="83" t="str">
        <f t="shared" si="218"/>
        <v/>
      </c>
      <c r="CB794" s="530" t="str">
        <f t="shared" si="219"/>
        <v/>
      </c>
      <c r="CR794" t="s">
        <v>14162</v>
      </c>
      <c r="GF794" t="s">
        <v>8576</v>
      </c>
    </row>
    <row r="795" spans="76:188" ht="13.2" customHeight="1">
      <c r="BX795" s="177" t="str">
        <f>IF(OR(Province="Kislev occdiental (Gospodar)",Province="Kislev occdiental (Ungol)"),"Petite ville de Zavstra","")</f>
        <v/>
      </c>
      <c r="BY795" t="str">
        <f t="shared" si="220"/>
        <v/>
      </c>
      <c r="BZ795" s="83" t="str">
        <f t="shared" si="217"/>
        <v/>
      </c>
      <c r="CA795" s="83" t="str">
        <f t="shared" si="218"/>
        <v/>
      </c>
      <c r="CB795" s="530" t="str">
        <f t="shared" si="219"/>
        <v/>
      </c>
      <c r="CR795" t="s">
        <v>14163</v>
      </c>
      <c r="GF795" t="s">
        <v>8571</v>
      </c>
    </row>
    <row r="796" spans="76:188" ht="13.2" customHeight="1">
      <c r="BX796" s="177" t="str">
        <f>IF(OR(Province="Kislev occdiental (Gospodar)",Province="Kislev occdiental (Ungol)"),"Le marécage Gangrené","")</f>
        <v/>
      </c>
      <c r="BY796" t="str">
        <f t="shared" si="220"/>
        <v/>
      </c>
      <c r="BZ796" s="83" t="str">
        <f t="shared" si="217"/>
        <v/>
      </c>
      <c r="CA796" s="83" t="str">
        <f t="shared" si="218"/>
        <v/>
      </c>
      <c r="CB796" s="530" t="str">
        <f t="shared" si="219"/>
        <v/>
      </c>
      <c r="CR796" t="s">
        <v>14164</v>
      </c>
      <c r="GF796" t="s">
        <v>8586</v>
      </c>
    </row>
    <row r="797" spans="76:188" ht="13.2" customHeight="1">
      <c r="BX797" s="177" t="str">
        <f>IF(OR(Province="Pays des Trolls"),"Communauté de Leblya","")</f>
        <v/>
      </c>
      <c r="BY797" t="str">
        <f t="shared" si="220"/>
        <v/>
      </c>
      <c r="BZ797" s="83" t="str">
        <f t="shared" si="217"/>
        <v/>
      </c>
      <c r="CA797" s="83" t="str">
        <f t="shared" si="218"/>
        <v/>
      </c>
      <c r="CB797" s="530" t="str">
        <f t="shared" si="219"/>
        <v/>
      </c>
      <c r="CR797" t="s">
        <v>14165</v>
      </c>
      <c r="GF797" t="s">
        <v>8561</v>
      </c>
    </row>
    <row r="798" spans="76:188" ht="13.2" customHeight="1">
      <c r="BX798" s="177" t="str">
        <f>IF(OR(Province="Pays des Trolls"),"Petite Communauté de Zamak Spayenya","")</f>
        <v/>
      </c>
      <c r="BY798" t="str">
        <f t="shared" si="220"/>
        <v/>
      </c>
      <c r="BZ798" s="83" t="str">
        <f t="shared" si="217"/>
        <v/>
      </c>
      <c r="CA798" s="83" t="str">
        <f t="shared" si="218"/>
        <v/>
      </c>
      <c r="CB798" s="530" t="str">
        <f t="shared" si="219"/>
        <v/>
      </c>
      <c r="CR798" t="s">
        <v>14166</v>
      </c>
      <c r="GF798" t="s">
        <v>8562</v>
      </c>
    </row>
    <row r="799" spans="76:188" ht="13.2" customHeight="1">
      <c r="BX799" s="25" t="str">
        <f>IF(Pays="Kislev","Colonie des Terres Sombres de Chernozavtra","")</f>
        <v/>
      </c>
      <c r="BY799" t="str">
        <f t="shared" si="220"/>
        <v/>
      </c>
      <c r="BZ799" s="83" t="str">
        <f t="shared" si="217"/>
        <v/>
      </c>
      <c r="CA799" s="83" t="str">
        <f t="shared" si="218"/>
        <v/>
      </c>
      <c r="CB799" s="530" t="str">
        <f t="shared" si="219"/>
        <v/>
      </c>
      <c r="CR799" t="s">
        <v>14168</v>
      </c>
      <c r="GF799" t="s">
        <v>8032</v>
      </c>
    </row>
    <row r="800" spans="76:188" ht="13.2" customHeight="1">
      <c r="BX800" t="str">
        <f>IF(Pays="Principautés Frontalières","Baronie de Mirasino","")</f>
        <v/>
      </c>
      <c r="BY800" t="str">
        <f t="shared" si="220"/>
        <v/>
      </c>
      <c r="BZ800" s="83" t="str">
        <f t="shared" si="217"/>
        <v/>
      </c>
      <c r="CA800" s="83" t="str">
        <f t="shared" si="218"/>
        <v/>
      </c>
      <c r="CB800" s="530" t="str">
        <f t="shared" si="219"/>
        <v/>
      </c>
      <c r="CR800" t="s">
        <v>14169</v>
      </c>
      <c r="GF800" t="s">
        <v>8033</v>
      </c>
    </row>
    <row r="801" spans="76:188" ht="13.2" customHeight="1">
      <c r="BX801" t="str">
        <f>IF(Pays="Principauté de Scarosio","","")</f>
        <v/>
      </c>
      <c r="BY801" t="str">
        <f t="shared" si="220"/>
        <v/>
      </c>
      <c r="BZ801" s="83" t="str">
        <f t="shared" si="217"/>
        <v/>
      </c>
      <c r="CA801" s="83" t="str">
        <f t="shared" si="218"/>
        <v/>
      </c>
      <c r="CB801" s="530" t="str">
        <f t="shared" si="219"/>
        <v/>
      </c>
      <c r="CR801" t="s">
        <v>14170</v>
      </c>
      <c r="GF801" t="s">
        <v>8034</v>
      </c>
    </row>
    <row r="802" spans="76:188" ht="13.2" customHeight="1">
      <c r="BX802" t="str">
        <f>IF(Pays="Principautés Frontalières","L’Empire Insignifiant","")</f>
        <v/>
      </c>
      <c r="BY802" t="str">
        <f t="shared" si="220"/>
        <v/>
      </c>
      <c r="BZ802" s="83" t="str">
        <f t="shared" si="217"/>
        <v/>
      </c>
      <c r="CA802" s="83" t="str">
        <f t="shared" si="218"/>
        <v/>
      </c>
      <c r="CB802" s="530" t="str">
        <f t="shared" si="219"/>
        <v/>
      </c>
      <c r="CR802" t="s">
        <v>14171</v>
      </c>
      <c r="GF802" t="s">
        <v>8572</v>
      </c>
    </row>
    <row r="803" spans="76:188" ht="13.2" customHeight="1">
      <c r="BX803" t="str">
        <f>IF(Pays="Principautés Frontalières","Lament","")</f>
        <v/>
      </c>
      <c r="BY803" t="str">
        <f t="shared" si="220"/>
        <v/>
      </c>
      <c r="BZ803" s="83" t="str">
        <f t="shared" si="217"/>
        <v/>
      </c>
      <c r="CA803" s="83" t="str">
        <f t="shared" si="218"/>
        <v/>
      </c>
      <c r="CB803" s="530" t="str">
        <f t="shared" si="219"/>
        <v/>
      </c>
      <c r="CR803" t="s">
        <v>14172</v>
      </c>
      <c r="GF803" t="s">
        <v>8035</v>
      </c>
    </row>
    <row r="804" spans="76:188" ht="13.2" customHeight="1">
      <c r="BX804" t="str">
        <f>IF(Pays="Principautés Frontalières","Désolation de la Côte Draken","")</f>
        <v/>
      </c>
      <c r="BY804" t="str">
        <f t="shared" si="220"/>
        <v/>
      </c>
      <c r="BZ804" s="83" t="str">
        <f t="shared" si="217"/>
        <v/>
      </c>
      <c r="CA804" s="83" t="str">
        <f t="shared" si="218"/>
        <v/>
      </c>
      <c r="CB804" s="530" t="str">
        <f t="shared" si="219"/>
        <v/>
      </c>
      <c r="CR804" t="s">
        <v>14173</v>
      </c>
      <c r="GF804" t="s">
        <v>8577</v>
      </c>
    </row>
    <row r="805" spans="76:188" ht="13.2" customHeight="1">
      <c r="BX805" t="str">
        <f>IF(AND(Pays="Principautés Frontalières",Selectsousrace="Orc"),"Tribu orque Sans Espoir","")</f>
        <v/>
      </c>
      <c r="BY805" t="str">
        <f t="shared" si="220"/>
        <v/>
      </c>
      <c r="BZ805" s="83" t="str">
        <f t="shared" si="217"/>
        <v/>
      </c>
      <c r="CA805" s="83" t="str">
        <f t="shared" si="218"/>
        <v/>
      </c>
      <c r="CB805" s="530" t="str">
        <f t="shared" si="219"/>
        <v/>
      </c>
      <c r="CR805" t="s">
        <v>14174</v>
      </c>
      <c r="GF805" t="s">
        <v>8578</v>
      </c>
    </row>
    <row r="806" spans="76:188" ht="13.2" customHeight="1">
      <c r="BX806" t="str">
        <f>IF(AND(Pays="Principautés Frontalières",Selectsousrace="Gobelin"),"Tribu gobeline de l’Oeil Jaune",IF(Pays="Principautés Frontalières","Possessions d’Halfear",""))</f>
        <v/>
      </c>
      <c r="BY806" t="str">
        <f t="shared" si="220"/>
        <v/>
      </c>
      <c r="BZ806" s="83" t="str">
        <f t="shared" si="217"/>
        <v/>
      </c>
      <c r="CA806" s="83" t="str">
        <f t="shared" si="218"/>
        <v/>
      </c>
      <c r="CB806" s="530" t="str">
        <f t="shared" si="219"/>
        <v/>
      </c>
      <c r="CR806" t="s">
        <v>14175</v>
      </c>
      <c r="GF806" t="s">
        <v>8563</v>
      </c>
    </row>
    <row r="807" spans="76:188" ht="13.2" customHeight="1">
      <c r="BX807" t="str">
        <f>IF(Pays="Principautés Frontalières","Tumulus du Corbeau","")</f>
        <v/>
      </c>
      <c r="BY807" t="str">
        <f t="shared" si="220"/>
        <v/>
      </c>
      <c r="BZ807" s="83" t="str">
        <f t="shared" si="217"/>
        <v/>
      </c>
      <c r="CA807" s="83" t="str">
        <f t="shared" si="218"/>
        <v/>
      </c>
      <c r="CB807" s="530" t="str">
        <f t="shared" si="219"/>
        <v/>
      </c>
      <c r="CR807" t="s">
        <v>14176</v>
      </c>
      <c r="GF807" t="s">
        <v>8590</v>
      </c>
    </row>
    <row r="808" spans="76:188" ht="13.2" customHeight="1">
      <c r="BX808" t="str">
        <f>IF(Pays="Principautés Frontalières","Confédération de l’Aigle","")</f>
        <v/>
      </c>
      <c r="BY808" t="str">
        <f t="shared" si="220"/>
        <v/>
      </c>
      <c r="BZ808" s="83" t="str">
        <f t="shared" si="217"/>
        <v/>
      </c>
      <c r="CA808" s="83" t="str">
        <f t="shared" si="218"/>
        <v/>
      </c>
      <c r="CB808" s="530" t="str">
        <f t="shared" si="219"/>
        <v/>
      </c>
      <c r="CR808" t="s">
        <v>14177</v>
      </c>
      <c r="GF808" t="s">
        <v>8036</v>
      </c>
    </row>
    <row r="809" spans="76:188" ht="13.2" customHeight="1">
      <c r="BX809" t="str">
        <f>IF(Pays="Principautés Frontalières","Royaume de Sarngul","")</f>
        <v/>
      </c>
      <c r="BY809" t="str">
        <f t="shared" si="220"/>
        <v/>
      </c>
      <c r="BZ809" s="83" t="str">
        <f t="shared" si="217"/>
        <v/>
      </c>
      <c r="CA809" s="83" t="str">
        <f t="shared" si="218"/>
        <v/>
      </c>
      <c r="CB809" s="530" t="str">
        <f t="shared" si="219"/>
        <v/>
      </c>
      <c r="CR809" t="s">
        <v>14178</v>
      </c>
      <c r="GF809" t="s">
        <v>8587</v>
      </c>
    </row>
    <row r="810" spans="76:188" ht="13.2" customHeight="1">
      <c r="BX810" t="str">
        <f>IF(Pays="Principautés Frontalières","Les Tumulus Terribles","")</f>
        <v/>
      </c>
      <c r="BY810" t="str">
        <f t="shared" si="220"/>
        <v/>
      </c>
      <c r="BZ810" s="83" t="str">
        <f t="shared" si="217"/>
        <v/>
      </c>
      <c r="CA810" s="83" t="str">
        <f t="shared" si="218"/>
        <v/>
      </c>
      <c r="CB810" s="530" t="str">
        <f t="shared" si="219"/>
        <v/>
      </c>
      <c r="CR810" t="s">
        <v>14179</v>
      </c>
      <c r="GF810" t="s">
        <v>8564</v>
      </c>
    </row>
    <row r="811" spans="76:188" ht="13.2" customHeight="1">
      <c r="BX811" t="str">
        <f>IF(Pays="Principautés Frontalières","Course de Noirvenin","")</f>
        <v/>
      </c>
      <c r="BY811" t="str">
        <f t="shared" si="220"/>
        <v/>
      </c>
      <c r="BZ811" s="83" t="str">
        <f t="shared" si="217"/>
        <v/>
      </c>
      <c r="CA811" s="83" t="str">
        <f t="shared" si="218"/>
        <v/>
      </c>
      <c r="CB811" s="530" t="str">
        <f t="shared" si="219"/>
        <v/>
      </c>
      <c r="CR811" t="s">
        <v>14180</v>
      </c>
      <c r="GF811" t="s">
        <v>8573</v>
      </c>
    </row>
    <row r="812" spans="76:188" ht="13.2" customHeight="1">
      <c r="BX812" t="str">
        <f>IF(Pays="Empire","Colonie des Principautés de Rutgarburg","")</f>
        <v/>
      </c>
      <c r="BY812" t="str">
        <f t="shared" si="220"/>
        <v/>
      </c>
      <c r="BZ812" s="83" t="str">
        <f t="shared" si="217"/>
        <v/>
      </c>
      <c r="CA812" s="83" t="str">
        <f t="shared" si="218"/>
        <v/>
      </c>
      <c r="CB812" s="530" t="str">
        <f t="shared" si="219"/>
        <v/>
      </c>
      <c r="CR812" t="s">
        <v>14181</v>
      </c>
      <c r="GF812" t="s">
        <v>8588</v>
      </c>
    </row>
    <row r="813" spans="76:188" ht="13.2" customHeight="1">
      <c r="BX813" t="str">
        <f>IF(Pays="Empire","Colonie des Principautés de Ravenburg","")</f>
        <v/>
      </c>
      <c r="BY813" t="str">
        <f t="shared" si="220"/>
        <v/>
      </c>
      <c r="BZ813" s="83" t="str">
        <f t="shared" si="217"/>
        <v/>
      </c>
      <c r="CA813" s="83" t="str">
        <f t="shared" si="218"/>
        <v/>
      </c>
      <c r="CB813" s="530" t="str">
        <f t="shared" si="219"/>
        <v/>
      </c>
      <c r="CR813" t="s">
        <v>14182</v>
      </c>
      <c r="GF813" t="s">
        <v>8037</v>
      </c>
    </row>
    <row r="814" spans="76:188" ht="13.2" customHeight="1">
      <c r="BX814" s="25" t="str">
        <f>IF(Pays="Principautés Frontalières","Cité libre de Mortensholm","")</f>
        <v/>
      </c>
      <c r="BY814" t="str">
        <f t="shared" si="220"/>
        <v/>
      </c>
      <c r="BZ814" s="83" t="str">
        <f t="shared" si="217"/>
        <v/>
      </c>
      <c r="CA814" s="83" t="str">
        <f t="shared" si="218"/>
        <v/>
      </c>
      <c r="CB814" s="530" t="str">
        <f t="shared" si="219"/>
        <v/>
      </c>
      <c r="CR814" t="s">
        <v>14183</v>
      </c>
      <c r="GF814" t="s">
        <v>8038</v>
      </c>
    </row>
    <row r="815" spans="76:188" ht="13.2" customHeight="1">
      <c r="BX815" s="25" t="str">
        <f>IF('page 1'!C5="Ulthuan","Montagnes des Annulii","")</f>
        <v/>
      </c>
      <c r="BY815" t="str">
        <f t="shared" si="220"/>
        <v/>
      </c>
      <c r="BZ815" s="83" t="str">
        <f t="shared" si="217"/>
        <v/>
      </c>
      <c r="CA815" s="83" t="str">
        <f t="shared" si="218"/>
        <v/>
      </c>
      <c r="CB815" s="530" t="str">
        <f t="shared" si="219"/>
        <v/>
      </c>
      <c r="CR815" t="s">
        <v>14184</v>
      </c>
      <c r="GF815" t="s">
        <v>8565</v>
      </c>
    </row>
    <row r="816" spans="76:188" ht="13.2" customHeight="1">
      <c r="BX816" s="25" t="str">
        <f>IF(Province="Royaume d'Ellyrion","Ville de Tor Emyrath","")</f>
        <v/>
      </c>
      <c r="BY816" t="str">
        <f t="shared" si="220"/>
        <v/>
      </c>
      <c r="BZ816" s="83" t="str">
        <f t="shared" si="217"/>
        <v/>
      </c>
      <c r="CA816" s="83" t="str">
        <f t="shared" si="218"/>
        <v/>
      </c>
      <c r="CB816" s="530" t="str">
        <f t="shared" si="219"/>
        <v/>
      </c>
      <c r="CR816" t="s">
        <v>14185</v>
      </c>
      <c r="GF816" t="s">
        <v>8589</v>
      </c>
    </row>
    <row r="817" spans="76:188" ht="13.2" customHeight="1">
      <c r="BX817" s="25" t="str">
        <f>IF(Province="Royaume de Caledor","Ville de Tor Caleda","")</f>
        <v/>
      </c>
      <c r="BY817" t="str">
        <f t="shared" si="220"/>
        <v/>
      </c>
      <c r="BZ817" s="83" t="str">
        <f t="shared" si="217"/>
        <v/>
      </c>
      <c r="CA817" s="83" t="str">
        <f t="shared" si="218"/>
        <v/>
      </c>
      <c r="CB817" s="530" t="str">
        <f t="shared" si="219"/>
        <v/>
      </c>
      <c r="CR817" t="s">
        <v>14186</v>
      </c>
      <c r="GF817" t="s">
        <v>8039</v>
      </c>
    </row>
    <row r="818" spans="76:188" ht="13.2" customHeight="1">
      <c r="BX818" s="25" t="str">
        <f>IF(Province="Royaume de Caledor","Cahine de volcans de l'Echine du Dragon","")</f>
        <v/>
      </c>
      <c r="BY818" t="str">
        <f t="shared" si="220"/>
        <v/>
      </c>
      <c r="BZ818" s="83" t="str">
        <f t="shared" si="217"/>
        <v/>
      </c>
      <c r="CA818" s="83" t="str">
        <f t="shared" si="218"/>
        <v/>
      </c>
      <c r="CB818" s="530" t="str">
        <f t="shared" si="219"/>
        <v/>
      </c>
      <c r="CR818" t="s">
        <v>14187</v>
      </c>
      <c r="GF818" t="s">
        <v>8579</v>
      </c>
    </row>
    <row r="819" spans="76:188" ht="13.2" customHeight="1">
      <c r="BX819" t="str">
        <f>IF(Province="Royaume de Cothique","Cité de Tor Alin","")</f>
        <v/>
      </c>
      <c r="BY819" t="str">
        <f t="shared" si="220"/>
        <v/>
      </c>
      <c r="BZ819" s="83" t="str">
        <f t="shared" si="217"/>
        <v/>
      </c>
      <c r="CA819" s="83" t="str">
        <f t="shared" si="218"/>
        <v/>
      </c>
      <c r="CB819" s="530" t="str">
        <f t="shared" si="219"/>
        <v/>
      </c>
      <c r="CR819" t="s">
        <v>14188</v>
      </c>
      <c r="GF819" t="s">
        <v>8580</v>
      </c>
    </row>
    <row r="820" spans="76:188" ht="13.2" customHeight="1">
      <c r="BX820" t="str">
        <f>IF(Province="Royaume de Cothique","Port d'Ilsina","")</f>
        <v/>
      </c>
      <c r="BY820" t="str">
        <f t="shared" si="220"/>
        <v/>
      </c>
      <c r="BZ820" s="83" t="str">
        <f t="shared" si="217"/>
        <v/>
      </c>
      <c r="CA820" s="83" t="str">
        <f t="shared" si="218"/>
        <v/>
      </c>
      <c r="CB820" s="530" t="str">
        <f t="shared" si="219"/>
        <v/>
      </c>
      <c r="CR820" t="s">
        <v>14189</v>
      </c>
      <c r="GF820" t="s">
        <v>8566</v>
      </c>
    </row>
    <row r="821" spans="76:188" ht="13.2" customHeight="1">
      <c r="BX821" s="25" t="str">
        <f>IF(Province="Royaume d'Yvresse","Cité de Tor Yvresse","")</f>
        <v/>
      </c>
      <c r="BY821" t="str">
        <f t="shared" si="220"/>
        <v/>
      </c>
      <c r="BZ821" s="83" t="str">
        <f t="shared" si="217"/>
        <v/>
      </c>
      <c r="CA821" s="83" t="str">
        <f t="shared" si="218"/>
        <v/>
      </c>
      <c r="CB821" s="530" t="str">
        <f t="shared" si="219"/>
        <v/>
      </c>
      <c r="CR821" t="s">
        <v>14190</v>
      </c>
      <c r="GF821" t="s">
        <v>8040</v>
      </c>
    </row>
    <row r="822" spans="76:188" ht="13.2" customHeight="1">
      <c r="BX822" s="25" t="str">
        <f>IF(Province="Royaume d'Yvresse","Iles Mouvantes","")</f>
        <v/>
      </c>
      <c r="BY822" t="str">
        <f t="shared" si="220"/>
        <v/>
      </c>
      <c r="BZ822" s="83" t="str">
        <f t="shared" si="217"/>
        <v/>
      </c>
      <c r="CA822" s="83" t="str">
        <f t="shared" si="218"/>
        <v/>
      </c>
      <c r="CB822" s="530" t="str">
        <f t="shared" si="219"/>
        <v/>
      </c>
      <c r="CR822" t="s">
        <v>14191</v>
      </c>
      <c r="GF822" t="s">
        <v>8581</v>
      </c>
    </row>
    <row r="823" spans="76:188" ht="13.2" customHeight="1">
      <c r="BX823" s="25" t="str">
        <f>IF(Province="Royaume perdu de Nagarythe","Ruines d'Antec","")</f>
        <v/>
      </c>
      <c r="BY823" t="str">
        <f t="shared" si="220"/>
        <v/>
      </c>
      <c r="BZ823" s="83" t="str">
        <f t="shared" si="217"/>
        <v/>
      </c>
      <c r="CA823" s="83" t="str">
        <f t="shared" si="218"/>
        <v/>
      </c>
      <c r="CB823" s="530" t="str">
        <f t="shared" si="219"/>
        <v/>
      </c>
      <c r="CR823" t="s">
        <v>14192</v>
      </c>
      <c r="GF823" t="s">
        <v>8574</v>
      </c>
    </row>
    <row r="824" spans="76:188" ht="13.2" customHeight="1">
      <c r="BX824" t="str">
        <f>IF(Province="Royaumes d'Eataine et de Lothern","Villégiature d'Eataine","")</f>
        <v/>
      </c>
      <c r="BY824" t="str">
        <f t="shared" si="220"/>
        <v/>
      </c>
      <c r="BZ824" s="83" t="str">
        <f t="shared" si="217"/>
        <v/>
      </c>
      <c r="CA824" s="83" t="str">
        <f t="shared" si="218"/>
        <v/>
      </c>
      <c r="CB824" s="530" t="str">
        <f t="shared" si="219"/>
        <v/>
      </c>
      <c r="CR824" t="s">
        <v>14193</v>
      </c>
      <c r="GF824" t="s">
        <v>8567</v>
      </c>
    </row>
    <row r="825" spans="76:188" ht="13.2" customHeight="1">
      <c r="BX825" s="25" t="str">
        <f>IF(Province="Royaume de Tiranoc","Ville engloutie de Tor Inra","")</f>
        <v/>
      </c>
      <c r="BY825" t="str">
        <f t="shared" si="220"/>
        <v/>
      </c>
      <c r="BZ825" s="83" t="str">
        <f t="shared" si="217"/>
        <v/>
      </c>
      <c r="CA825" s="83" t="str">
        <f t="shared" si="218"/>
        <v/>
      </c>
      <c r="CB825" s="530" t="str">
        <f t="shared" si="219"/>
        <v/>
      </c>
      <c r="CR825" t="s">
        <v>14194</v>
      </c>
      <c r="GF825" t="s">
        <v>8568</v>
      </c>
    </row>
    <row r="826" spans="76:188" ht="13.2" customHeight="1">
      <c r="BX826" s="25" t="str">
        <f>IF(Province="Royaume de Tiranoc","Ville engloutie de Merokal","")</f>
        <v/>
      </c>
      <c r="BY826" t="str">
        <f t="shared" si="220"/>
        <v/>
      </c>
      <c r="BZ826" s="83" t="str">
        <f t="shared" si="217"/>
        <v/>
      </c>
      <c r="CA826" s="83" t="str">
        <f t="shared" si="218"/>
        <v/>
      </c>
      <c r="CB826" s="530" t="str">
        <f t="shared" si="219"/>
        <v/>
      </c>
      <c r="CR826" t="s">
        <v>14195</v>
      </c>
      <c r="GF826" t="s">
        <v>8575</v>
      </c>
    </row>
    <row r="827" spans="76:188" ht="13.2" customHeight="1">
      <c r="BX827" s="25" t="str">
        <f>IF(Province="Iles du Nord","Ile Blafarde","")</f>
        <v/>
      </c>
      <c r="BY827" t="str">
        <f t="shared" si="220"/>
        <v/>
      </c>
      <c r="BZ827" s="83" t="str">
        <f t="shared" si="217"/>
        <v/>
      </c>
      <c r="CA827" s="83" t="str">
        <f t="shared" si="218"/>
        <v/>
      </c>
      <c r="CB827" s="530" t="str">
        <f t="shared" si="219"/>
        <v/>
      </c>
      <c r="CR827" t="s">
        <v>14196</v>
      </c>
      <c r="GF827" t="s">
        <v>8041</v>
      </c>
    </row>
    <row r="828" spans="76:188" ht="13.2" customHeight="1">
      <c r="BX828" s="25" t="str">
        <f>IF(Selectsousrace="Haut Elfe","La forteresse de l'Aube","")</f>
        <v/>
      </c>
      <c r="BY828" t="str">
        <f t="shared" si="220"/>
        <v/>
      </c>
      <c r="BZ828" s="83" t="str">
        <f t="shared" si="217"/>
        <v/>
      </c>
      <c r="CA828" s="83" t="str">
        <f t="shared" si="218"/>
        <v/>
      </c>
      <c r="CB828" s="530" t="str">
        <f t="shared" si="219"/>
        <v/>
      </c>
      <c r="CR828" t="s">
        <v>14197</v>
      </c>
      <c r="GF828" t="s">
        <v>8560</v>
      </c>
    </row>
    <row r="829" spans="76:188" ht="13.2" customHeight="1">
      <c r="BX829" s="25" t="str">
        <f>IF(SelectRace="Nain","Karak Varr (Montagnes du Bord du Monde)","")</f>
        <v/>
      </c>
      <c r="BY829" t="str">
        <f t="shared" si="220"/>
        <v/>
      </c>
      <c r="BZ829" s="83" t="str">
        <f t="shared" si="217"/>
        <v/>
      </c>
      <c r="CA829" s="83" t="str">
        <f t="shared" si="218"/>
        <v/>
      </c>
      <c r="CB829" s="530" t="str">
        <f t="shared" si="219"/>
        <v/>
      </c>
      <c r="CR829" t="s">
        <v>14198</v>
      </c>
      <c r="GF829" t="s">
        <v>8569</v>
      </c>
    </row>
    <row r="830" spans="76:188" ht="13.2" customHeight="1">
      <c r="BX830" s="25" t="str">
        <f>IF(SelectRace="Skaven","Ruines de Karak Ungor (Montagne de l'Oeil Rouge)","")</f>
        <v/>
      </c>
      <c r="BY830" t="str">
        <f t="shared" si="220"/>
        <v/>
      </c>
      <c r="BZ830" s="83" t="str">
        <f t="shared" si="217"/>
        <v/>
      </c>
      <c r="CA830" s="83" t="str">
        <f t="shared" si="218"/>
        <v/>
      </c>
      <c r="CB830" s="530" t="str">
        <f t="shared" si="219"/>
        <v/>
      </c>
      <c r="CR830" t="s">
        <v>14199</v>
      </c>
      <c r="GF830" t="s">
        <v>8582</v>
      </c>
    </row>
    <row r="831" spans="76:188" ht="13.2" customHeight="1">
      <c r="BX831" s="25" t="str">
        <f>IF(OR(SelectRace="Nain",SelectRace="Skaven"),"Ruines de Karak Azgal/Kazad Migdal (Montagnes du Bord du Monde)","")</f>
        <v/>
      </c>
      <c r="BY831" t="str">
        <f t="shared" si="220"/>
        <v/>
      </c>
      <c r="BZ831" s="83" t="str">
        <f t="shared" si="217"/>
        <v/>
      </c>
      <c r="CA831" s="83" t="str">
        <f t="shared" si="218"/>
        <v/>
      </c>
      <c r="CB831" s="530" t="str">
        <f t="shared" si="219"/>
        <v/>
      </c>
      <c r="CR831" t="s">
        <v>14200</v>
      </c>
      <c r="GF831" t="s">
        <v>8042</v>
      </c>
    </row>
    <row r="832" spans="76:188" ht="13.2" customHeight="1">
      <c r="BX832" s="25" t="str">
        <f>IF(SelectRace="Skaven","Ruines de Karak Drazh/Oran (Montagnes du Bord du Monde)","")</f>
        <v/>
      </c>
      <c r="BY832" t="str">
        <f t="shared" si="220"/>
        <v/>
      </c>
      <c r="BZ832" s="83" t="str">
        <f t="shared" si="217"/>
        <v/>
      </c>
      <c r="CA832" s="83" t="str">
        <f t="shared" si="218"/>
        <v/>
      </c>
      <c r="CB832" s="530" t="str">
        <f t="shared" si="219"/>
        <v/>
      </c>
      <c r="CR832" t="s">
        <v>14201</v>
      </c>
      <c r="GF832" t="s">
        <v>8570</v>
      </c>
    </row>
    <row r="833" spans="76:188" ht="13.2" customHeight="1">
      <c r="BX833" s="25" t="str">
        <f>IF(SelectRace="Nain","Ruines de Karak Vlag (Montagnes du Bord du Monde)","")</f>
        <v/>
      </c>
      <c r="BY833" t="str">
        <f t="shared" si="220"/>
        <v/>
      </c>
      <c r="BZ833" s="83" t="str">
        <f t="shared" si="217"/>
        <v/>
      </c>
      <c r="CA833" s="83" t="str">
        <f t="shared" si="218"/>
        <v/>
      </c>
      <c r="CB833" s="530" t="str">
        <f t="shared" si="219"/>
        <v/>
      </c>
      <c r="CR833" t="s">
        <v>14202</v>
      </c>
      <c r="GF833" t="s">
        <v>6365</v>
      </c>
    </row>
    <row r="834" spans="76:188" ht="13.2" customHeight="1">
      <c r="BX834" s="25" t="str">
        <f>IF(SelectRace="Nain","Ruines de Karak Dum (Désolations du Chaos)","")</f>
        <v/>
      </c>
      <c r="BY834" t="str">
        <f t="shared" si="220"/>
        <v/>
      </c>
      <c r="BZ834" s="83" t="str">
        <f t="shared" ref="BZ834:BZ897" si="221">IFERROR(SMALL(BY:BY,ROW()-1),"")</f>
        <v/>
      </c>
      <c r="CA834" s="83" t="str">
        <f t="shared" ref="CA834:CA897" si="222">IFERROR(INDEX(BX:BX,BZ834),"")</f>
        <v/>
      </c>
      <c r="CB834" s="530" t="str">
        <f t="shared" ref="CB834:CB897" si="223">INDEX(CA:CA,ROW())</f>
        <v/>
      </c>
      <c r="CR834" t="s">
        <v>14203</v>
      </c>
      <c r="GF834" t="s">
        <v>8043</v>
      </c>
    </row>
    <row r="835" spans="76:188" ht="13.2" customHeight="1">
      <c r="BX835" s="25" t="str">
        <f>IF(SelectRace="Nain","Ruines de Kadar-Gravning  (Montagnes Noires)","")</f>
        <v/>
      </c>
      <c r="BY835" t="str">
        <f t="shared" ref="BY835:BY898" si="224">IF(BX835="","",ROW())</f>
        <v/>
      </c>
      <c r="BZ835" s="83" t="str">
        <f t="shared" si="221"/>
        <v/>
      </c>
      <c r="CA835" s="83" t="str">
        <f t="shared" si="222"/>
        <v/>
      </c>
      <c r="CB835" s="530" t="str">
        <f t="shared" si="223"/>
        <v/>
      </c>
      <c r="CR835" t="s">
        <v>14204</v>
      </c>
      <c r="GF835" t="s">
        <v>8583</v>
      </c>
    </row>
    <row r="836" spans="76:188" ht="13.2" customHeight="1">
      <c r="BX836" s="25" t="str">
        <f>IF(SelectRace="Nain","Ruines de Karak Kan","")</f>
        <v/>
      </c>
      <c r="BY836" t="str">
        <f t="shared" si="224"/>
        <v/>
      </c>
      <c r="BZ836" s="83" t="str">
        <f t="shared" si="221"/>
        <v/>
      </c>
      <c r="CA836" s="83" t="str">
        <f t="shared" si="222"/>
        <v/>
      </c>
      <c r="CB836" s="530" t="str">
        <f t="shared" si="223"/>
        <v/>
      </c>
      <c r="CR836" t="s">
        <v>14206</v>
      </c>
      <c r="GF836" t="s">
        <v>8044</v>
      </c>
    </row>
    <row r="837" spans="76:188" ht="13.2" customHeight="1">
      <c r="BX837" s="25" t="str">
        <f>IF(SelectRace="Nain","Ruines de Karak-Zulvor","")</f>
        <v/>
      </c>
      <c r="BY837" t="str">
        <f t="shared" si="224"/>
        <v/>
      </c>
      <c r="BZ837" s="83" t="str">
        <f t="shared" si="221"/>
        <v/>
      </c>
      <c r="CA837" s="83" t="str">
        <f t="shared" si="222"/>
        <v/>
      </c>
      <c r="CB837" s="530" t="str">
        <f t="shared" si="223"/>
        <v/>
      </c>
      <c r="CR837" t="s">
        <v>14207</v>
      </c>
      <c r="GF837" t="s">
        <v>8584</v>
      </c>
    </row>
    <row r="838" spans="76:188" ht="13.2" customHeight="1">
      <c r="BX838" s="25" t="str">
        <f>IF(SelectRace="Nain","Ruines de Karaz Ghumzul (Monts du milieu)","")</f>
        <v/>
      </c>
      <c r="BY838" t="str">
        <f t="shared" si="224"/>
        <v/>
      </c>
      <c r="BZ838" s="83" t="str">
        <f t="shared" si="221"/>
        <v/>
      </c>
      <c r="CA838" s="83" t="str">
        <f t="shared" si="222"/>
        <v/>
      </c>
      <c r="CB838" s="530" t="str">
        <f t="shared" si="223"/>
        <v/>
      </c>
      <c r="CR838" t="s">
        <v>14208</v>
      </c>
      <c r="GF838" t="s">
        <v>8045</v>
      </c>
    </row>
    <row r="839" spans="76:188" ht="13.2" customHeight="1">
      <c r="BX839" s="25" t="str">
        <f>IF(SelectRace="Nain","Ruines de Karak-Gromni","")</f>
        <v/>
      </c>
      <c r="BY839" t="str">
        <f t="shared" si="224"/>
        <v/>
      </c>
      <c r="BZ839" s="83" t="str">
        <f t="shared" si="221"/>
        <v/>
      </c>
      <c r="CA839" s="83" t="str">
        <f t="shared" si="222"/>
        <v/>
      </c>
      <c r="CB839" s="530" t="str">
        <f t="shared" si="223"/>
        <v/>
      </c>
      <c r="CR839" t="s">
        <v>14209</v>
      </c>
      <c r="GF839" t="s">
        <v>8046</v>
      </c>
    </row>
    <row r="840" spans="76:188" ht="13.2" customHeight="1">
      <c r="BX840" s="25" t="str">
        <f>IF(SelectRace="Nain","Ruines de Mal-Karak (Albion)","")</f>
        <v/>
      </c>
      <c r="BY840" t="str">
        <f t="shared" si="224"/>
        <v/>
      </c>
      <c r="BZ840" s="83" t="str">
        <f t="shared" si="221"/>
        <v/>
      </c>
      <c r="CA840" s="83" t="str">
        <f t="shared" si="222"/>
        <v/>
      </c>
      <c r="CB840" s="530" t="str">
        <f t="shared" si="223"/>
        <v/>
      </c>
      <c r="CR840" t="s">
        <v>14210</v>
      </c>
      <c r="GF840" t="s">
        <v>8047</v>
      </c>
    </row>
    <row r="841" spans="76:188" ht="13.2" customHeight="1">
      <c r="BX841" s="25" t="str">
        <f>IF(SelectRace="Nain","Ruines de Karak Azrum","")</f>
        <v/>
      </c>
      <c r="BY841" t="str">
        <f t="shared" si="224"/>
        <v/>
      </c>
      <c r="BZ841" s="83" t="str">
        <f t="shared" si="221"/>
        <v/>
      </c>
      <c r="CA841" s="83" t="str">
        <f t="shared" si="222"/>
        <v/>
      </c>
      <c r="CB841" s="530" t="str">
        <f t="shared" si="223"/>
        <v/>
      </c>
      <c r="CR841" t="s">
        <v>14211</v>
      </c>
      <c r="GF841" t="s">
        <v>7506</v>
      </c>
    </row>
    <row r="842" spans="76:188" ht="13.2" customHeight="1">
      <c r="BX842" s="25" t="str">
        <f>IF(SelectRace="Nain","Ruines de Karbutzal","")</f>
        <v/>
      </c>
      <c r="BY842" t="str">
        <f t="shared" si="224"/>
        <v/>
      </c>
      <c r="BZ842" s="83" t="str">
        <f t="shared" si="221"/>
        <v/>
      </c>
      <c r="CA842" s="83" t="str">
        <f t="shared" si="222"/>
        <v/>
      </c>
      <c r="CB842" s="530" t="str">
        <f t="shared" si="223"/>
        <v/>
      </c>
      <c r="CR842" t="s">
        <v>14212</v>
      </c>
      <c r="GF842" t="s">
        <v>8048</v>
      </c>
    </row>
    <row r="843" spans="76:188" ht="13.2" customHeight="1">
      <c r="BX843" s="25" t="str">
        <f>IF(SelectRace="Nain","Ruines de Durrag-Dol (Montagnes du Bord du Monde)","")</f>
        <v/>
      </c>
      <c r="BY843" t="str">
        <f t="shared" si="224"/>
        <v/>
      </c>
      <c r="BZ843" s="83" t="str">
        <f t="shared" si="221"/>
        <v/>
      </c>
      <c r="CA843" s="83" t="str">
        <f t="shared" si="222"/>
        <v/>
      </c>
      <c r="CB843" s="530" t="str">
        <f t="shared" si="223"/>
        <v/>
      </c>
      <c r="CR843" t="s">
        <v>14213</v>
      </c>
      <c r="GF843" t="s">
        <v>8049</v>
      </c>
    </row>
    <row r="844" spans="76:188" ht="13.2" customHeight="1">
      <c r="BX844" s="25" t="str">
        <f>IF(SelectRace="Nain","Ruines du Pic Kurak (Montagnes du Bord du Monde)","")</f>
        <v/>
      </c>
      <c r="BY844" t="str">
        <f t="shared" si="224"/>
        <v/>
      </c>
      <c r="BZ844" s="83" t="str">
        <f t="shared" si="221"/>
        <v/>
      </c>
      <c r="CA844" s="83" t="str">
        <f t="shared" si="222"/>
        <v/>
      </c>
      <c r="CB844" s="530" t="str">
        <f t="shared" si="223"/>
        <v/>
      </c>
      <c r="CR844" t="s">
        <v>14214</v>
      </c>
      <c r="GF844" t="s">
        <v>8050</v>
      </c>
    </row>
    <row r="845" spans="76:188" ht="13.2" customHeight="1">
      <c r="BX845" s="25" t="str">
        <f>IF(SelectRace="Nain","Ruines du Pic Kurak (Montagnes du Bord du Monde)","")</f>
        <v/>
      </c>
      <c r="BY845" t="str">
        <f t="shared" si="224"/>
        <v/>
      </c>
      <c r="BZ845" s="83" t="str">
        <f t="shared" si="221"/>
        <v/>
      </c>
      <c r="CA845" s="83" t="str">
        <f t="shared" si="222"/>
        <v/>
      </c>
      <c r="CB845" s="530" t="str">
        <f t="shared" si="223"/>
        <v/>
      </c>
      <c r="CR845" t="s">
        <v>14215</v>
      </c>
      <c r="GF845" t="s">
        <v>8603</v>
      </c>
    </row>
    <row r="846" spans="76:188" ht="13.2" customHeight="1">
      <c r="BX846" s="25" t="str">
        <f>IF(SelectRace="Nain","Mine perdue d'Ekrund (Montagnes du Dos du Dragon)","")</f>
        <v/>
      </c>
      <c r="BY846" t="str">
        <f t="shared" si="224"/>
        <v/>
      </c>
      <c r="BZ846" s="83" t="str">
        <f t="shared" si="221"/>
        <v/>
      </c>
      <c r="CA846" s="83" t="str">
        <f t="shared" si="222"/>
        <v/>
      </c>
      <c r="CB846" s="530" t="str">
        <f t="shared" si="223"/>
        <v/>
      </c>
      <c r="CR846" t="s">
        <v>14216</v>
      </c>
      <c r="GF846" t="s">
        <v>8051</v>
      </c>
    </row>
    <row r="847" spans="76:188" ht="13.2" customHeight="1">
      <c r="BX847" s="25" t="str">
        <f>IF(Province="Ex-Ligue Achéenne","Ruines de laCité-état de Spartius","")</f>
        <v/>
      </c>
      <c r="BY847" t="str">
        <f t="shared" si="224"/>
        <v/>
      </c>
      <c r="BZ847" s="83" t="str">
        <f t="shared" si="221"/>
        <v/>
      </c>
      <c r="CA847" s="83" t="str">
        <f t="shared" si="222"/>
        <v/>
      </c>
      <c r="CB847" s="530" t="str">
        <f t="shared" si="223"/>
        <v/>
      </c>
      <c r="CR847" t="s">
        <v>14217</v>
      </c>
      <c r="GF847" t="s">
        <v>8616</v>
      </c>
    </row>
    <row r="848" spans="76:188" ht="13.2" customHeight="1">
      <c r="BX848" s="25" t="str">
        <f>IF(Province="Ex-Ligue Achéenne","Collines de Miros","")</f>
        <v/>
      </c>
      <c r="BY848" t="str">
        <f t="shared" si="224"/>
        <v/>
      </c>
      <c r="BZ848" s="83" t="str">
        <f t="shared" si="221"/>
        <v/>
      </c>
      <c r="CA848" s="83" t="str">
        <f t="shared" si="222"/>
        <v/>
      </c>
      <c r="CB848" s="530" t="str">
        <f t="shared" si="223"/>
        <v/>
      </c>
      <c r="CR848" t="s">
        <v>14218</v>
      </c>
      <c r="GF848" t="s">
        <v>8606</v>
      </c>
    </row>
    <row r="849" spans="76:188" ht="13.2" customHeight="1">
      <c r="BX849" s="25" t="str">
        <f>IF(Province="Ex-Ligue Achéenne","Ruines de laCité-état de Kasos","")</f>
        <v/>
      </c>
      <c r="BY849" t="str">
        <f t="shared" si="224"/>
        <v/>
      </c>
      <c r="BZ849" s="83" t="str">
        <f t="shared" si="221"/>
        <v/>
      </c>
      <c r="CA849" s="83" t="str">
        <f t="shared" si="222"/>
        <v/>
      </c>
      <c r="CB849" s="530" t="str">
        <f t="shared" si="223"/>
        <v/>
      </c>
      <c r="CR849" t="s">
        <v>14219</v>
      </c>
      <c r="GF849" t="s">
        <v>8052</v>
      </c>
    </row>
    <row r="850" spans="76:188" ht="13.2" customHeight="1">
      <c r="BX850" s="25" t="str">
        <f>IF(Province="Ex-Ligue Achéenne","Ruines de laCité-état d'Argalis","")</f>
        <v/>
      </c>
      <c r="BY850" t="str">
        <f t="shared" si="224"/>
        <v/>
      </c>
      <c r="BZ850" s="83" t="str">
        <f t="shared" si="221"/>
        <v/>
      </c>
      <c r="CA850" s="83" t="str">
        <f t="shared" si="222"/>
        <v/>
      </c>
      <c r="CB850" s="530" t="str">
        <f t="shared" si="223"/>
        <v/>
      </c>
      <c r="CR850" t="s">
        <v>14220</v>
      </c>
      <c r="GF850" t="s">
        <v>8053</v>
      </c>
    </row>
    <row r="851" spans="76:188" ht="13.2" customHeight="1">
      <c r="BX851" s="25" t="str">
        <f>IF(Province="Ex-Ligue Achéenne","Ruines de laCité-état de Volrisa","")</f>
        <v/>
      </c>
      <c r="BY851" t="str">
        <f t="shared" si="224"/>
        <v/>
      </c>
      <c r="BZ851" s="83" t="str">
        <f t="shared" si="221"/>
        <v/>
      </c>
      <c r="CA851" s="83" t="str">
        <f t="shared" si="222"/>
        <v/>
      </c>
      <c r="CB851" s="530" t="str">
        <f t="shared" si="223"/>
        <v/>
      </c>
      <c r="CR851" t="s">
        <v>14221</v>
      </c>
      <c r="GF851" t="s">
        <v>8054</v>
      </c>
    </row>
    <row r="852" spans="76:188" ht="13.2" customHeight="1">
      <c r="BX852" s="25" t="str">
        <f>IF(Province="Ex-Ligue Achéenne","Ruines de laCité-état de Thesos","")</f>
        <v/>
      </c>
      <c r="BY852" t="str">
        <f t="shared" si="224"/>
        <v/>
      </c>
      <c r="BZ852" s="83" t="str">
        <f t="shared" si="221"/>
        <v/>
      </c>
      <c r="CA852" s="83" t="str">
        <f t="shared" si="222"/>
        <v/>
      </c>
      <c r="CB852" s="530" t="str">
        <f t="shared" si="223"/>
        <v/>
      </c>
      <c r="CR852" t="s">
        <v>14222</v>
      </c>
      <c r="GF852" t="s">
        <v>8055</v>
      </c>
    </row>
    <row r="853" spans="76:188" ht="13.2" customHeight="1">
      <c r="BX853" s="25" t="str">
        <f>IF(Province="Ex-Ligue Achéenne","Ruines de laCité-état d'Achaes","")</f>
        <v/>
      </c>
      <c r="BY853" t="str">
        <f t="shared" si="224"/>
        <v/>
      </c>
      <c r="BZ853" s="83" t="str">
        <f t="shared" si="221"/>
        <v/>
      </c>
      <c r="CA853" s="83" t="str">
        <f t="shared" si="222"/>
        <v/>
      </c>
      <c r="CB853" s="530" t="str">
        <f t="shared" si="223"/>
        <v/>
      </c>
      <c r="CR853" t="s">
        <v>14223</v>
      </c>
      <c r="GF853" t="s">
        <v>8598</v>
      </c>
    </row>
    <row r="854" spans="76:188" ht="13.2" customHeight="1">
      <c r="BX854" s="25" t="str">
        <f>IF(Pays="Norsca","Cité portuaire de Chrystol","")</f>
        <v/>
      </c>
      <c r="BY854" t="str">
        <f t="shared" si="224"/>
        <v/>
      </c>
      <c r="BZ854" s="83" t="str">
        <f t="shared" si="221"/>
        <v/>
      </c>
      <c r="CA854" s="83" t="str">
        <f t="shared" si="222"/>
        <v/>
      </c>
      <c r="CB854" s="530" t="str">
        <f t="shared" si="223"/>
        <v/>
      </c>
      <c r="CR854" t="s">
        <v>14224</v>
      </c>
      <c r="GF854" t="s">
        <v>8056</v>
      </c>
    </row>
    <row r="855" spans="76:188" ht="13.2" customHeight="1">
      <c r="BX855" s="25" t="str">
        <f>IF(Pays="Norsca","Vieille ville d'Horvenghaast","")</f>
        <v/>
      </c>
      <c r="BY855" t="str">
        <f t="shared" si="224"/>
        <v/>
      </c>
      <c r="BZ855" s="83" t="str">
        <f t="shared" si="221"/>
        <v/>
      </c>
      <c r="CA855" s="83" t="str">
        <f t="shared" si="222"/>
        <v/>
      </c>
      <c r="CB855" s="530" t="str">
        <f t="shared" si="223"/>
        <v/>
      </c>
      <c r="CR855" t="s">
        <v>14225</v>
      </c>
      <c r="GF855" t="s">
        <v>8607</v>
      </c>
    </row>
    <row r="856" spans="76:188" ht="13.2" customHeight="1">
      <c r="BX856" s="25" t="str">
        <f>IF(Pays="Principautés Frontalières","Ville de Cavanal","")</f>
        <v/>
      </c>
      <c r="BY856" t="str">
        <f t="shared" si="224"/>
        <v/>
      </c>
      <c r="BZ856" s="83" t="str">
        <f t="shared" si="221"/>
        <v/>
      </c>
      <c r="CA856" s="83" t="str">
        <f t="shared" si="222"/>
        <v/>
      </c>
      <c r="CB856" s="530" t="str">
        <f t="shared" si="223"/>
        <v/>
      </c>
      <c r="CR856" t="s">
        <v>14226</v>
      </c>
      <c r="GF856" t="s">
        <v>8608</v>
      </c>
    </row>
    <row r="857" spans="76:188" ht="13.2" customHeight="1">
      <c r="BX857" s="25" t="str">
        <f>IF(Pays="Principautés Frontalières","Ville d'Alynda","")</f>
        <v/>
      </c>
      <c r="BY857" t="str">
        <f t="shared" si="224"/>
        <v/>
      </c>
      <c r="BZ857" s="83" t="str">
        <f t="shared" si="221"/>
        <v/>
      </c>
      <c r="CA857" s="83" t="str">
        <f t="shared" si="222"/>
        <v/>
      </c>
      <c r="CB857" s="530" t="str">
        <f t="shared" si="223"/>
        <v/>
      </c>
      <c r="CR857" t="s">
        <v>14227</v>
      </c>
      <c r="GF857" t="s">
        <v>8591</v>
      </c>
    </row>
    <row r="858" spans="76:188" ht="13.2" customHeight="1">
      <c r="BX858" s="25" t="str">
        <f>IF(Pays="Principautés Frontalières","Ville de Khypris","")</f>
        <v/>
      </c>
      <c r="BY858" t="str">
        <f t="shared" si="224"/>
        <v/>
      </c>
      <c r="BZ858" s="83" t="str">
        <f t="shared" si="221"/>
        <v/>
      </c>
      <c r="CA858" s="83" t="str">
        <f t="shared" si="222"/>
        <v/>
      </c>
      <c r="CB858" s="530" t="str">
        <f t="shared" si="223"/>
        <v/>
      </c>
      <c r="CR858" t="s">
        <v>14228</v>
      </c>
      <c r="GF858" t="s">
        <v>8057</v>
      </c>
    </row>
    <row r="859" spans="76:188" ht="13.2" customHeight="1">
      <c r="BX859" s="25" t="str">
        <f>IF(Pays="Albion","Province de Lucanfell","")</f>
        <v/>
      </c>
      <c r="BY859" t="str">
        <f t="shared" si="224"/>
        <v/>
      </c>
      <c r="BZ859" s="83" t="str">
        <f t="shared" si="221"/>
        <v/>
      </c>
      <c r="CA859" s="83" t="str">
        <f t="shared" si="222"/>
        <v/>
      </c>
      <c r="CB859" s="530" t="str">
        <f t="shared" si="223"/>
        <v/>
      </c>
      <c r="CR859" t="s">
        <v>14229</v>
      </c>
      <c r="GF859" t="s">
        <v>8609</v>
      </c>
    </row>
    <row r="860" spans="76:188" ht="13.2" customHeight="1">
      <c r="BX860" s="25" t="str">
        <f>IF(Pays="Albion","Château Eldaw","")</f>
        <v/>
      </c>
      <c r="BY860" t="str">
        <f t="shared" si="224"/>
        <v/>
      </c>
      <c r="BZ860" s="83" t="str">
        <f t="shared" si="221"/>
        <v/>
      </c>
      <c r="CA860" s="83" t="str">
        <f t="shared" si="222"/>
        <v/>
      </c>
      <c r="CB860" s="530" t="str">
        <f t="shared" si="223"/>
        <v/>
      </c>
      <c r="CR860" t="s">
        <v>14230</v>
      </c>
      <c r="GF860" t="s">
        <v>8610</v>
      </c>
    </row>
    <row r="861" spans="76:188" ht="13.2" customHeight="1">
      <c r="BX861" s="25" t="str">
        <f>IF(Pays="Albion","Bourg de Cawdor","")</f>
        <v/>
      </c>
      <c r="BY861" t="str">
        <f t="shared" si="224"/>
        <v/>
      </c>
      <c r="BZ861" s="83" t="str">
        <f t="shared" si="221"/>
        <v/>
      </c>
      <c r="CA861" s="83" t="str">
        <f t="shared" si="222"/>
        <v/>
      </c>
      <c r="CB861" s="530" t="str">
        <f t="shared" si="223"/>
        <v/>
      </c>
      <c r="CR861" t="s">
        <v>14231</v>
      </c>
      <c r="GF861" t="s">
        <v>8611</v>
      </c>
    </row>
    <row r="862" spans="76:188" ht="13.2" customHeight="1">
      <c r="BX862" s="25" t="str">
        <f>IF(Pays="Albion","Bourg de Ross","")</f>
        <v/>
      </c>
      <c r="BY862" t="str">
        <f t="shared" si="224"/>
        <v/>
      </c>
      <c r="BZ862" s="83" t="str">
        <f t="shared" si="221"/>
        <v/>
      </c>
      <c r="CA862" s="83" t="str">
        <f t="shared" si="222"/>
        <v/>
      </c>
      <c r="CB862" s="530" t="str">
        <f t="shared" si="223"/>
        <v/>
      </c>
      <c r="CR862" t="s">
        <v>14232</v>
      </c>
      <c r="GF862" t="s">
        <v>8612</v>
      </c>
    </row>
    <row r="863" spans="76:188" ht="13.2" customHeight="1">
      <c r="BX863" s="25" t="str">
        <f>IF(Pays="Albion","Bourg de Glamis","")</f>
        <v/>
      </c>
      <c r="BY863" t="str">
        <f t="shared" si="224"/>
        <v/>
      </c>
      <c r="BZ863" s="83" t="str">
        <f t="shared" si="221"/>
        <v/>
      </c>
      <c r="CA863" s="83" t="str">
        <f t="shared" si="222"/>
        <v/>
      </c>
      <c r="CB863" s="530" t="str">
        <f t="shared" si="223"/>
        <v/>
      </c>
      <c r="CR863" t="s">
        <v>14233</v>
      </c>
      <c r="GF863" t="s">
        <v>8058</v>
      </c>
    </row>
    <row r="864" spans="76:188" ht="13.2" customHeight="1">
      <c r="BX864" s="25" t="str">
        <f>IF(Pays="Albion","Port de Winwood","")</f>
        <v/>
      </c>
      <c r="BY864" t="str">
        <f t="shared" si="224"/>
        <v/>
      </c>
      <c r="BZ864" s="83" t="str">
        <f t="shared" si="221"/>
        <v/>
      </c>
      <c r="CA864" s="83" t="str">
        <f t="shared" si="222"/>
        <v/>
      </c>
      <c r="CB864" s="530" t="str">
        <f t="shared" si="223"/>
        <v/>
      </c>
      <c r="CR864" t="s">
        <v>14234</v>
      </c>
      <c r="GF864" t="s">
        <v>8613</v>
      </c>
    </row>
    <row r="865" spans="76:188" ht="13.2" customHeight="1">
      <c r="BX865" s="25" t="str">
        <f>IF(Pays="Albion","Château Runsinane","")</f>
        <v/>
      </c>
      <c r="BY865" t="str">
        <f t="shared" si="224"/>
        <v/>
      </c>
      <c r="BZ865" s="83" t="str">
        <f t="shared" si="221"/>
        <v/>
      </c>
      <c r="CA865" s="83" t="str">
        <f t="shared" si="222"/>
        <v/>
      </c>
      <c r="CB865" s="530" t="str">
        <f t="shared" si="223"/>
        <v/>
      </c>
      <c r="CR865" t="s">
        <v>14235</v>
      </c>
      <c r="GF865" t="s">
        <v>8614</v>
      </c>
    </row>
    <row r="866" spans="76:188" ht="13.2" customHeight="1">
      <c r="BX866" s="25" t="str">
        <f>IF(Province="Ile de Morien/Galles","Royaume de Gwron","")</f>
        <v/>
      </c>
      <c r="BY866" t="str">
        <f t="shared" si="224"/>
        <v/>
      </c>
      <c r="BZ866" s="83" t="str">
        <f t="shared" si="221"/>
        <v/>
      </c>
      <c r="CA866" s="83" t="str">
        <f t="shared" si="222"/>
        <v/>
      </c>
      <c r="CB866" s="530" t="str">
        <f t="shared" si="223"/>
        <v/>
      </c>
      <c r="CR866" t="s">
        <v>14236</v>
      </c>
      <c r="GF866" t="s">
        <v>8059</v>
      </c>
    </row>
    <row r="867" spans="76:188" ht="13.2" customHeight="1">
      <c r="BX867" s="25" t="str">
        <f>IF(Province="Ile de Morien/Galles","Roayaume d'Alawn","")</f>
        <v/>
      </c>
      <c r="BY867" t="str">
        <f t="shared" si="224"/>
        <v/>
      </c>
      <c r="BZ867" s="83" t="str">
        <f t="shared" si="221"/>
        <v/>
      </c>
      <c r="CA867" s="83" t="str">
        <f t="shared" si="222"/>
        <v/>
      </c>
      <c r="CB867" s="530" t="str">
        <f t="shared" si="223"/>
        <v/>
      </c>
      <c r="CR867" t="s">
        <v>14237</v>
      </c>
      <c r="GF867" t="s">
        <v>8599</v>
      </c>
    </row>
    <row r="868" spans="76:188" ht="13.2" customHeight="1">
      <c r="BX868" s="25" t="str">
        <f>IF(Province="Ile de Morien/Galles","Royaume de Plennydd","")</f>
        <v/>
      </c>
      <c r="BY868" t="str">
        <f t="shared" si="224"/>
        <v/>
      </c>
      <c r="BZ868" s="83" t="str">
        <f t="shared" si="221"/>
        <v/>
      </c>
      <c r="CA868" s="83" t="str">
        <f t="shared" si="222"/>
        <v/>
      </c>
      <c r="CB868" s="530" t="str">
        <f t="shared" si="223"/>
        <v/>
      </c>
      <c r="CR868" t="s">
        <v>14238</v>
      </c>
      <c r="GF868" t="s">
        <v>8060</v>
      </c>
    </row>
    <row r="869" spans="76:188" ht="13.2" customHeight="1">
      <c r="BX869" s="25" t="str">
        <f>IF(Pays="Norsca","Bourg de Swerborg","")</f>
        <v/>
      </c>
      <c r="BY869" t="str">
        <f t="shared" si="224"/>
        <v/>
      </c>
      <c r="BZ869" s="83" t="str">
        <f t="shared" si="221"/>
        <v/>
      </c>
      <c r="CA869" s="83" t="str">
        <f t="shared" si="222"/>
        <v/>
      </c>
      <c r="CB869" s="530" t="str">
        <f t="shared" si="223"/>
        <v/>
      </c>
      <c r="CR869" t="s">
        <v>14239</v>
      </c>
      <c r="GF869" t="s">
        <v>8061</v>
      </c>
    </row>
    <row r="870" spans="76:188" ht="13.2" customHeight="1">
      <c r="BX870" s="25" t="str">
        <f>IF(Pays="Norsca","Bourg de Goslor","")</f>
        <v/>
      </c>
      <c r="BY870" t="str">
        <f t="shared" si="224"/>
        <v/>
      </c>
      <c r="BZ870" s="83" t="str">
        <f t="shared" si="221"/>
        <v/>
      </c>
      <c r="CA870" s="83" t="str">
        <f t="shared" si="222"/>
        <v/>
      </c>
      <c r="CB870" s="530" t="str">
        <f t="shared" si="223"/>
        <v/>
      </c>
      <c r="CR870" t="s">
        <v>14240</v>
      </c>
      <c r="GF870" t="s">
        <v>8615</v>
      </c>
    </row>
    <row r="871" spans="76:188" ht="13.2" customHeight="1">
      <c r="BX871" s="25" t="str">
        <f>IF(Pays="Norsca","Bour de Klutborg","")</f>
        <v/>
      </c>
      <c r="BY871" t="str">
        <f t="shared" si="224"/>
        <v/>
      </c>
      <c r="BZ871" s="83" t="str">
        <f t="shared" si="221"/>
        <v/>
      </c>
      <c r="CA871" s="83" t="str">
        <f t="shared" si="222"/>
        <v/>
      </c>
      <c r="CB871" s="530" t="str">
        <f t="shared" si="223"/>
        <v/>
      </c>
      <c r="CR871" t="s">
        <v>14241</v>
      </c>
      <c r="GF871" s="83" t="s">
        <v>12198</v>
      </c>
    </row>
    <row r="872" spans="76:188" ht="13.2" customHeight="1">
      <c r="BX872" s="25" t="str">
        <f>IF(Pays="Norsca","Bourg de Skorlm","")</f>
        <v/>
      </c>
      <c r="BY872" t="str">
        <f t="shared" si="224"/>
        <v/>
      </c>
      <c r="BZ872" s="83" t="str">
        <f t="shared" si="221"/>
        <v/>
      </c>
      <c r="CA872" s="83" t="str">
        <f t="shared" si="222"/>
        <v/>
      </c>
      <c r="CB872" s="530" t="str">
        <f t="shared" si="223"/>
        <v/>
      </c>
      <c r="CR872" t="s">
        <v>14242</v>
      </c>
      <c r="GF872" t="s">
        <v>8062</v>
      </c>
    </row>
    <row r="873" spans="76:188" ht="13.2" customHeight="1">
      <c r="BX873" s="25" t="str">
        <f>IF(Pays="Norsca","Bourg de Ragnar","")</f>
        <v/>
      </c>
      <c r="BY873" t="str">
        <f t="shared" si="224"/>
        <v/>
      </c>
      <c r="BZ873" s="83" t="str">
        <f t="shared" si="221"/>
        <v/>
      </c>
      <c r="CA873" s="83" t="str">
        <f t="shared" si="222"/>
        <v/>
      </c>
      <c r="CB873" s="530" t="str">
        <f t="shared" si="223"/>
        <v/>
      </c>
      <c r="CR873" t="s">
        <v>14243</v>
      </c>
      <c r="GF873" t="s">
        <v>8617</v>
      </c>
    </row>
    <row r="874" spans="76:188" ht="13.2" customHeight="1">
      <c r="BX874" s="25" t="str">
        <f>IF(Province="Ramalia","Ville de Palesandre","")</f>
        <v/>
      </c>
      <c r="BY874" t="str">
        <f t="shared" si="224"/>
        <v/>
      </c>
      <c r="BZ874" s="83" t="str">
        <f t="shared" si="221"/>
        <v/>
      </c>
      <c r="CA874" s="83" t="str">
        <f t="shared" si="222"/>
        <v/>
      </c>
      <c r="CB874" s="530" t="str">
        <f t="shared" si="223"/>
        <v/>
      </c>
      <c r="CR874" t="s">
        <v>14244</v>
      </c>
      <c r="GF874" t="s">
        <v>8619</v>
      </c>
    </row>
    <row r="875" spans="76:188" ht="13.2" customHeight="1">
      <c r="BX875" t="str">
        <f>IF(Province="Ramalia","Bourg de Mevion","")</f>
        <v/>
      </c>
      <c r="BY875" t="str">
        <f t="shared" si="224"/>
        <v/>
      </c>
      <c r="BZ875" s="83" t="str">
        <f t="shared" si="221"/>
        <v/>
      </c>
      <c r="CA875" s="83" t="str">
        <f t="shared" si="222"/>
        <v/>
      </c>
      <c r="CB875" s="530" t="str">
        <f t="shared" si="223"/>
        <v/>
      </c>
      <c r="CR875" t="s">
        <v>14245</v>
      </c>
      <c r="GF875" t="s">
        <v>8063</v>
      </c>
    </row>
    <row r="876" spans="76:188" ht="13.2" customHeight="1">
      <c r="BX876" t="str">
        <f>IF(Province="Ramalia","Bourg d'Ortar","")</f>
        <v/>
      </c>
      <c r="BY876" t="str">
        <f t="shared" si="224"/>
        <v/>
      </c>
      <c r="BZ876" s="83" t="str">
        <f t="shared" si="221"/>
        <v/>
      </c>
      <c r="CA876" s="83" t="str">
        <f t="shared" si="222"/>
        <v/>
      </c>
      <c r="CB876" s="530" t="str">
        <f t="shared" si="223"/>
        <v/>
      </c>
      <c r="CR876" t="s">
        <v>14246</v>
      </c>
      <c r="GF876" t="s">
        <v>8064</v>
      </c>
    </row>
    <row r="877" spans="76:188" ht="13.2" customHeight="1">
      <c r="BX877" t="str">
        <f>IF(Province="Ramalia","Bourg de Meledir","")</f>
        <v/>
      </c>
      <c r="BY877" t="str">
        <f t="shared" si="224"/>
        <v/>
      </c>
      <c r="BZ877" s="83" t="str">
        <f t="shared" si="221"/>
        <v/>
      </c>
      <c r="CA877" s="83" t="str">
        <f t="shared" si="222"/>
        <v/>
      </c>
      <c r="CB877" s="530" t="str">
        <f t="shared" si="223"/>
        <v/>
      </c>
      <c r="CR877" t="s">
        <v>14247</v>
      </c>
      <c r="GF877" t="s">
        <v>8600</v>
      </c>
    </row>
    <row r="878" spans="76:188" ht="13.2" customHeight="1">
      <c r="BX878" t="str">
        <f>IF(Province="Ramalia","Bourg de Merlinas","")</f>
        <v/>
      </c>
      <c r="BY878" t="str">
        <f t="shared" si="224"/>
        <v/>
      </c>
      <c r="BZ878" s="83" t="str">
        <f t="shared" si="221"/>
        <v/>
      </c>
      <c r="CA878" s="83" t="str">
        <f t="shared" si="222"/>
        <v/>
      </c>
      <c r="CB878" s="530" t="str">
        <f t="shared" si="223"/>
        <v/>
      </c>
      <c r="CR878" t="s">
        <v>14248</v>
      </c>
      <c r="GF878" t="s">
        <v>8592</v>
      </c>
    </row>
    <row r="879" spans="76:188" ht="13.2" customHeight="1">
      <c r="BX879" t="str">
        <f>IF(Province="Ramalia","Bourg de Drillion","")</f>
        <v/>
      </c>
      <c r="BY879" t="str">
        <f t="shared" si="224"/>
        <v/>
      </c>
      <c r="BZ879" s="83" t="str">
        <f t="shared" si="221"/>
        <v/>
      </c>
      <c r="CA879" s="83" t="str">
        <f t="shared" si="222"/>
        <v/>
      </c>
      <c r="CB879" s="530" t="str">
        <f t="shared" si="223"/>
        <v/>
      </c>
      <c r="CR879" t="s">
        <v>14249</v>
      </c>
      <c r="GF879" t="s">
        <v>8620</v>
      </c>
    </row>
    <row r="880" spans="76:188" ht="13.2" customHeight="1">
      <c r="BX880" s="83" t="str">
        <f>IF(Province="Ramalia","La Dérive des Orcs","")</f>
        <v/>
      </c>
      <c r="BY880" t="str">
        <f t="shared" si="224"/>
        <v/>
      </c>
      <c r="BZ880" s="83" t="str">
        <f t="shared" si="221"/>
        <v/>
      </c>
      <c r="CA880" s="83" t="str">
        <f t="shared" si="222"/>
        <v/>
      </c>
      <c r="CB880" s="530" t="str">
        <f t="shared" si="223"/>
        <v/>
      </c>
      <c r="CR880" t="s">
        <v>14250</v>
      </c>
      <c r="GF880" t="s">
        <v>8065</v>
      </c>
    </row>
    <row r="881" spans="76:188" ht="13.2" customHeight="1">
      <c r="BX881" s="83" t="str">
        <f>IF(Pays="Norsca","Colonie de lustrie Iquitos","")</f>
        <v/>
      </c>
      <c r="BY881" t="str">
        <f t="shared" si="224"/>
        <v/>
      </c>
      <c r="BZ881" s="83" t="str">
        <f t="shared" si="221"/>
        <v/>
      </c>
      <c r="CA881" s="83" t="str">
        <f t="shared" si="222"/>
        <v/>
      </c>
      <c r="CB881" s="530" t="str">
        <f t="shared" si="223"/>
        <v/>
      </c>
      <c r="CR881" t="s">
        <v>14252</v>
      </c>
      <c r="GF881" t="s">
        <v>8066</v>
      </c>
    </row>
    <row r="882" spans="76:188" ht="13.2" customHeight="1">
      <c r="BX882" s="83" t="str">
        <f>IF(Pays="Lustrie","Capitale slaan de Cotec","")</f>
        <v/>
      </c>
      <c r="BY882" t="str">
        <f t="shared" si="224"/>
        <v/>
      </c>
      <c r="BZ882" s="83" t="str">
        <f t="shared" si="221"/>
        <v/>
      </c>
      <c r="CA882" s="83" t="str">
        <f t="shared" si="222"/>
        <v/>
      </c>
      <c r="CB882" s="530" t="str">
        <f t="shared" si="223"/>
        <v/>
      </c>
      <c r="CR882" t="s">
        <v>14253</v>
      </c>
      <c r="GF882" t="s">
        <v>8067</v>
      </c>
    </row>
    <row r="883" spans="76:188" ht="13.2" customHeight="1">
      <c r="BX883" s="25" t="str">
        <f>IF(Province="Principauté de Catalina","Ville de Barsellon","")</f>
        <v/>
      </c>
      <c r="BY883" t="str">
        <f t="shared" si="224"/>
        <v/>
      </c>
      <c r="BZ883" s="83" t="str">
        <f t="shared" si="221"/>
        <v/>
      </c>
      <c r="CA883" s="83" t="str">
        <f t="shared" si="222"/>
        <v/>
      </c>
      <c r="CB883" s="530" t="str">
        <f t="shared" si="223"/>
        <v/>
      </c>
      <c r="CR883" t="s">
        <v>14255</v>
      </c>
      <c r="GF883" t="s">
        <v>8594</v>
      </c>
    </row>
    <row r="884" spans="76:188" ht="13.2" customHeight="1">
      <c r="BX884" s="659" t="str">
        <f>IF(Province="Duché de L'Anguille","Ville du Duché de L'Anguille","")</f>
        <v/>
      </c>
      <c r="BY884" t="str">
        <f t="shared" si="224"/>
        <v/>
      </c>
      <c r="BZ884" s="83" t="str">
        <f t="shared" si="221"/>
        <v/>
      </c>
      <c r="CA884" s="83" t="str">
        <f t="shared" si="222"/>
        <v/>
      </c>
      <c r="CB884" s="530" t="str">
        <f t="shared" si="223"/>
        <v/>
      </c>
      <c r="CR884" t="s">
        <v>14256</v>
      </c>
      <c r="GF884" t="s">
        <v>8068</v>
      </c>
    </row>
    <row r="885" spans="76:188" ht="13.2" customHeight="1">
      <c r="BX885" s="659" t="str">
        <f>IF(Province="Duché de Bordeleaux","Ville du Duché de Bordeleaux","")</f>
        <v/>
      </c>
      <c r="BY885" t="str">
        <f t="shared" si="224"/>
        <v/>
      </c>
      <c r="BZ885" s="83" t="str">
        <f t="shared" si="221"/>
        <v/>
      </c>
      <c r="CA885" s="83" t="str">
        <f t="shared" si="222"/>
        <v/>
      </c>
      <c r="CB885" s="530" t="str">
        <f t="shared" si="223"/>
        <v/>
      </c>
      <c r="CR885" t="s">
        <v>14257</v>
      </c>
      <c r="GF885" t="s">
        <v>8069</v>
      </c>
    </row>
    <row r="886" spans="76:188" ht="13.2" customHeight="1">
      <c r="BX886" s="659" t="str">
        <f>IF(Province="Duché de Brionne","Ville du Duché de Brionne","")</f>
        <v/>
      </c>
      <c r="BY886" t="str">
        <f t="shared" si="224"/>
        <v/>
      </c>
      <c r="BZ886" s="83" t="str">
        <f t="shared" si="221"/>
        <v/>
      </c>
      <c r="CA886" s="83" t="str">
        <f t="shared" si="222"/>
        <v/>
      </c>
      <c r="CB886" s="530" t="str">
        <f t="shared" si="223"/>
        <v/>
      </c>
      <c r="CR886" t="s">
        <v>14258</v>
      </c>
      <c r="GF886" t="s">
        <v>8070</v>
      </c>
    </row>
    <row r="887" spans="76:188" ht="13.2" customHeight="1">
      <c r="BX887" s="659" t="str">
        <f>IF(Province="Guisoreux","Ville de Guisoreux","")</f>
        <v/>
      </c>
      <c r="BY887" t="str">
        <f t="shared" si="224"/>
        <v/>
      </c>
      <c r="BZ887" s="83" t="str">
        <f t="shared" si="221"/>
        <v/>
      </c>
      <c r="CA887" s="83" t="str">
        <f t="shared" si="222"/>
        <v/>
      </c>
      <c r="CB887" s="530" t="str">
        <f t="shared" si="223"/>
        <v/>
      </c>
      <c r="CR887" t="s">
        <v>14259</v>
      </c>
      <c r="GF887" t="s">
        <v>8071</v>
      </c>
    </row>
    <row r="888" spans="76:188" ht="13.2" customHeight="1">
      <c r="BX888" s="25" t="str">
        <f>IF(Province="Duché de Parravon","Bourg de Chambonnay","")</f>
        <v/>
      </c>
      <c r="BY888" t="str">
        <f t="shared" si="224"/>
        <v/>
      </c>
      <c r="BZ888" s="83" t="str">
        <f t="shared" si="221"/>
        <v/>
      </c>
      <c r="CA888" s="83" t="str">
        <f t="shared" si="222"/>
        <v/>
      </c>
      <c r="CB888" s="530" t="str">
        <f t="shared" si="223"/>
        <v/>
      </c>
      <c r="CR888" t="s">
        <v>14260</v>
      </c>
      <c r="GF888" t="s">
        <v>8072</v>
      </c>
    </row>
    <row r="889" spans="76:188" ht="13.2" customHeight="1">
      <c r="BX889" s="25" t="str">
        <f>IF(Province="Duché de Parravon","Bourg de Clémenceau","")</f>
        <v/>
      </c>
      <c r="BY889" t="str">
        <f t="shared" si="224"/>
        <v/>
      </c>
      <c r="BZ889" s="83" t="str">
        <f t="shared" si="221"/>
        <v/>
      </c>
      <c r="CA889" s="83" t="str">
        <f t="shared" si="222"/>
        <v/>
      </c>
      <c r="CB889" s="530" t="str">
        <f t="shared" si="223"/>
        <v/>
      </c>
      <c r="CR889" t="s">
        <v>14261</v>
      </c>
      <c r="GF889" t="s">
        <v>8595</v>
      </c>
    </row>
    <row r="890" spans="76:188" ht="13.2" customHeight="1">
      <c r="BX890" s="25" t="str">
        <f>IF(Province="Duché de Parravon","Bourg d'Emilion","")</f>
        <v/>
      </c>
      <c r="BY890" t="str">
        <f t="shared" si="224"/>
        <v/>
      </c>
      <c r="BZ890" s="83" t="str">
        <f t="shared" si="221"/>
        <v/>
      </c>
      <c r="CA890" s="83" t="str">
        <f t="shared" si="222"/>
        <v/>
      </c>
      <c r="CB890" s="530" t="str">
        <f t="shared" si="223"/>
        <v/>
      </c>
      <c r="CR890" t="s">
        <v>14262</v>
      </c>
      <c r="GF890" t="s">
        <v>8595</v>
      </c>
    </row>
    <row r="891" spans="76:188" ht="13.2" customHeight="1">
      <c r="BX891" s="25" t="str">
        <f>IF(Province="Duché de Parravon","Bourg de Grunère","")</f>
        <v/>
      </c>
      <c r="BY891" t="str">
        <f t="shared" si="224"/>
        <v/>
      </c>
      <c r="BZ891" s="83" t="str">
        <f t="shared" si="221"/>
        <v/>
      </c>
      <c r="CA891" s="83" t="str">
        <f t="shared" si="222"/>
        <v/>
      </c>
      <c r="CB891" s="530" t="str">
        <f t="shared" si="223"/>
        <v/>
      </c>
      <c r="CR891" t="s">
        <v>14263</v>
      </c>
      <c r="GF891" t="s">
        <v>8604</v>
      </c>
    </row>
    <row r="892" spans="76:188" ht="13.2" customHeight="1">
      <c r="BX892" s="25" t="str">
        <f>IF(Province="Duché de Parravon","Bourg d'Hemmerle","")</f>
        <v/>
      </c>
      <c r="BY892" t="str">
        <f t="shared" si="224"/>
        <v/>
      </c>
      <c r="BZ892" s="83" t="str">
        <f t="shared" si="221"/>
        <v/>
      </c>
      <c r="CA892" s="83" t="str">
        <f t="shared" si="222"/>
        <v/>
      </c>
      <c r="CB892" s="530" t="str">
        <f t="shared" si="223"/>
        <v/>
      </c>
      <c r="CR892" t="s">
        <v>14264</v>
      </c>
      <c r="GF892" t="s">
        <v>8605</v>
      </c>
    </row>
    <row r="893" spans="76:188" ht="13.2" customHeight="1">
      <c r="BX893" s="25" t="str">
        <f>IF(Province="Duché de Parravon","Bourg de Jouinard","")</f>
        <v/>
      </c>
      <c r="BY893" t="str">
        <f t="shared" si="224"/>
        <v/>
      </c>
      <c r="BZ893" s="83" t="str">
        <f t="shared" si="221"/>
        <v/>
      </c>
      <c r="CA893" s="83" t="str">
        <f t="shared" si="222"/>
        <v/>
      </c>
      <c r="CB893" s="530" t="str">
        <f t="shared" si="223"/>
        <v/>
      </c>
      <c r="CR893" t="s">
        <v>14265</v>
      </c>
      <c r="GF893" t="s">
        <v>8073</v>
      </c>
    </row>
    <row r="894" spans="76:188" ht="13.2" customHeight="1">
      <c r="BX894" s="25" t="str">
        <f>IF(Province="Duché de Parravon","Bourg de La Maisontaal","")</f>
        <v/>
      </c>
      <c r="BY894" t="str">
        <f t="shared" si="224"/>
        <v/>
      </c>
      <c r="BZ894" s="83" t="str">
        <f t="shared" si="221"/>
        <v/>
      </c>
      <c r="CA894" s="83" t="str">
        <f t="shared" si="222"/>
        <v/>
      </c>
      <c r="CB894" s="530" t="str">
        <f t="shared" si="223"/>
        <v/>
      </c>
      <c r="CR894" t="s">
        <v>14266</v>
      </c>
      <c r="GF894" t="s">
        <v>8621</v>
      </c>
    </row>
    <row r="895" spans="76:188" ht="13.2" customHeight="1">
      <c r="BX895" s="25" t="str">
        <f>IF(Province="Duché de Parravon","Bourg de Lesèvre","")</f>
        <v/>
      </c>
      <c r="BY895" t="str">
        <f t="shared" si="224"/>
        <v/>
      </c>
      <c r="BZ895" s="83" t="str">
        <f t="shared" si="221"/>
        <v/>
      </c>
      <c r="CA895" s="83" t="str">
        <f t="shared" si="222"/>
        <v/>
      </c>
      <c r="CB895" s="530" t="str">
        <f t="shared" si="223"/>
        <v/>
      </c>
      <c r="CR895" t="s">
        <v>14267</v>
      </c>
      <c r="GF895" t="s">
        <v>8074</v>
      </c>
    </row>
    <row r="896" spans="76:188" ht="13.2" customHeight="1">
      <c r="BX896" t="str">
        <f>IF(Province="Duché de Gisoreux","Palais de l'Oisillon","")</f>
        <v/>
      </c>
      <c r="BY896" t="str">
        <f t="shared" si="224"/>
        <v/>
      </c>
      <c r="BZ896" s="83" t="str">
        <f t="shared" si="221"/>
        <v/>
      </c>
      <c r="CA896" s="83" t="str">
        <f t="shared" si="222"/>
        <v/>
      </c>
      <c r="CB896" s="530" t="str">
        <f t="shared" si="223"/>
        <v/>
      </c>
      <c r="CR896" t="s">
        <v>14268</v>
      </c>
      <c r="GF896" t="s">
        <v>7952</v>
      </c>
    </row>
    <row r="897" spans="76:188" ht="13.2" customHeight="1">
      <c r="BX897" s="659" t="str">
        <f>IF(Pays="Bretonnie","Village de Perrache","")</f>
        <v/>
      </c>
      <c r="BY897" t="str">
        <f t="shared" si="224"/>
        <v/>
      </c>
      <c r="BZ897" s="83" t="str">
        <f t="shared" si="221"/>
        <v/>
      </c>
      <c r="CA897" s="83" t="str">
        <f t="shared" si="222"/>
        <v/>
      </c>
      <c r="CB897" s="530" t="str">
        <f t="shared" si="223"/>
        <v/>
      </c>
      <c r="CR897" t="s">
        <v>14269</v>
      </c>
      <c r="GF897" t="s">
        <v>8075</v>
      </c>
    </row>
    <row r="898" spans="76:188" ht="13.2" customHeight="1">
      <c r="BX898" s="659" t="str">
        <f>IF(Pays="Bretonnie","Village de Merceaux-Descloux","")</f>
        <v/>
      </c>
      <c r="BY898" t="str">
        <f t="shared" si="224"/>
        <v/>
      </c>
      <c r="BZ898" s="83" t="str">
        <f t="shared" ref="BZ898:BZ961" si="225">IFERROR(SMALL(BY:BY,ROW()-1),"")</f>
        <v/>
      </c>
      <c r="CA898" s="83" t="str">
        <f t="shared" ref="CA898:CA961" si="226">IFERROR(INDEX(BX:BX,BZ898),"")</f>
        <v/>
      </c>
      <c r="CB898" s="530" t="str">
        <f t="shared" ref="CB898:CB961" si="227">INDEX(CA:CA,ROW())</f>
        <v/>
      </c>
      <c r="CR898" t="s">
        <v>14270</v>
      </c>
      <c r="GF898" t="s">
        <v>8076</v>
      </c>
    </row>
    <row r="899" spans="76:188" ht="13.2" customHeight="1">
      <c r="BX899" s="659" t="str">
        <f>IF(Pays="Bretonnie","Village de Clouseau","")</f>
        <v/>
      </c>
      <c r="BY899" t="str">
        <f t="shared" ref="BY899:BY962" si="228">IF(BX899="","",ROW())</f>
        <v/>
      </c>
      <c r="BZ899" s="83" t="str">
        <f t="shared" si="225"/>
        <v/>
      </c>
      <c r="CA899" s="83" t="str">
        <f t="shared" si="226"/>
        <v/>
      </c>
      <c r="CB899" s="530" t="str">
        <f t="shared" si="227"/>
        <v/>
      </c>
      <c r="CR899" t="s">
        <v>14271</v>
      </c>
      <c r="GF899" t="s">
        <v>8077</v>
      </c>
    </row>
    <row r="900" spans="76:188" ht="13.2" customHeight="1">
      <c r="BX900" s="659" t="str">
        <f>IF(Pays="Bretonnie","Village de Marguilles","")</f>
        <v/>
      </c>
      <c r="BY900" t="str">
        <f t="shared" si="228"/>
        <v/>
      </c>
      <c r="BZ900" s="83" t="str">
        <f t="shared" si="225"/>
        <v/>
      </c>
      <c r="CA900" s="83" t="str">
        <f t="shared" si="226"/>
        <v/>
      </c>
      <c r="CB900" s="530" t="str">
        <f t="shared" si="227"/>
        <v/>
      </c>
      <c r="CR900" t="s">
        <v>14272</v>
      </c>
      <c r="GF900" t="s">
        <v>8601</v>
      </c>
    </row>
    <row r="901" spans="76:188" ht="13.2" customHeight="1">
      <c r="BX901" s="659" t="str">
        <f>IF(Pays="Bretonnie","Village de Paillole","")</f>
        <v/>
      </c>
      <c r="BY901" t="str">
        <f t="shared" si="228"/>
        <v/>
      </c>
      <c r="BZ901" s="83" t="str">
        <f t="shared" si="225"/>
        <v/>
      </c>
      <c r="CA901" s="83" t="str">
        <f t="shared" si="226"/>
        <v/>
      </c>
      <c r="CB901" s="530" t="str">
        <f t="shared" si="227"/>
        <v/>
      </c>
      <c r="CR901" t="s">
        <v>14273</v>
      </c>
      <c r="GF901" t="s">
        <v>8078</v>
      </c>
    </row>
    <row r="902" spans="76:188" ht="13.2" customHeight="1">
      <c r="BX902" s="659" t="str">
        <f>IF(Pays="Bretonnie","Village de Salignac-la-Rouge","")</f>
        <v/>
      </c>
      <c r="BY902" t="str">
        <f t="shared" si="228"/>
        <v/>
      </c>
      <c r="BZ902" s="83" t="str">
        <f t="shared" si="225"/>
        <v/>
      </c>
      <c r="CA902" s="83" t="str">
        <f t="shared" si="226"/>
        <v/>
      </c>
      <c r="CB902" s="530" t="str">
        <f t="shared" si="227"/>
        <v/>
      </c>
      <c r="CR902" t="s">
        <v>14274</v>
      </c>
      <c r="GF902" t="s">
        <v>8079</v>
      </c>
    </row>
    <row r="903" spans="76:188" ht="13.2" customHeight="1">
      <c r="BX903" s="659" t="str">
        <f>IF(Pays="Bretonnie","Village d'Ora Lamae","")</f>
        <v/>
      </c>
      <c r="BY903" t="str">
        <f t="shared" si="228"/>
        <v/>
      </c>
      <c r="BZ903" s="83" t="str">
        <f t="shared" si="225"/>
        <v/>
      </c>
      <c r="CA903" s="83" t="str">
        <f t="shared" si="226"/>
        <v/>
      </c>
      <c r="CB903" s="530" t="str">
        <f t="shared" si="227"/>
        <v/>
      </c>
      <c r="CR903" t="s">
        <v>14275</v>
      </c>
      <c r="GF903" t="s">
        <v>8618</v>
      </c>
    </row>
    <row r="904" spans="76:188" ht="13.2" customHeight="1">
      <c r="BX904" s="659" t="str">
        <f>IF(Pays="Bretonnie","Village d'Yremy","")</f>
        <v/>
      </c>
      <c r="BY904" t="str">
        <f t="shared" si="228"/>
        <v/>
      </c>
      <c r="BZ904" s="83" t="str">
        <f t="shared" si="225"/>
        <v/>
      </c>
      <c r="CA904" s="83" t="str">
        <f t="shared" si="226"/>
        <v/>
      </c>
      <c r="CB904" s="530" t="str">
        <f t="shared" si="227"/>
        <v/>
      </c>
      <c r="CR904" t="s">
        <v>14276</v>
      </c>
      <c r="GF904" t="s">
        <v>8593</v>
      </c>
    </row>
    <row r="905" spans="76:188" ht="13.2" customHeight="1">
      <c r="BX905" s="25" t="str">
        <f>IF(Province="Duché de Quenelles","Plaines du Tombeau de Culieux","")</f>
        <v/>
      </c>
      <c r="BY905" t="str">
        <f t="shared" si="228"/>
        <v/>
      </c>
      <c r="BZ905" s="83" t="str">
        <f t="shared" si="225"/>
        <v/>
      </c>
      <c r="CA905" s="83" t="str">
        <f t="shared" si="226"/>
        <v/>
      </c>
      <c r="CB905" s="530" t="str">
        <f t="shared" si="227"/>
        <v/>
      </c>
      <c r="CR905" t="s">
        <v>14277</v>
      </c>
      <c r="GF905" t="s">
        <v>8080</v>
      </c>
    </row>
    <row r="906" spans="76:188" ht="13.2" customHeight="1">
      <c r="BX906" s="25" t="str">
        <f>IF(Province="Principauté de Gasconnie","Château de Principauté de Gasconnie","")</f>
        <v/>
      </c>
      <c r="BY906" t="str">
        <f t="shared" si="228"/>
        <v/>
      </c>
      <c r="BZ906" s="83" t="str">
        <f t="shared" si="225"/>
        <v/>
      </c>
      <c r="CA906" s="83" t="str">
        <f t="shared" si="226"/>
        <v/>
      </c>
      <c r="CB906" s="530" t="str">
        <f t="shared" si="227"/>
        <v/>
      </c>
      <c r="CR906" t="s">
        <v>14278</v>
      </c>
      <c r="GF906" t="s">
        <v>8602</v>
      </c>
    </row>
    <row r="907" spans="76:188" ht="13.2" customHeight="1">
      <c r="BX907" s="25" t="str">
        <f>IF(Province="Principauté de Gasconnie","Fort Solstice","")</f>
        <v/>
      </c>
      <c r="BY907" t="str">
        <f t="shared" si="228"/>
        <v/>
      </c>
      <c r="BZ907" s="83" t="str">
        <f t="shared" si="225"/>
        <v/>
      </c>
      <c r="CA907" s="83" t="str">
        <f t="shared" si="226"/>
        <v/>
      </c>
      <c r="CB907" s="530" t="str">
        <f t="shared" si="227"/>
        <v/>
      </c>
      <c r="CR907" t="s">
        <v>14279</v>
      </c>
      <c r="GF907" t="s">
        <v>8596</v>
      </c>
    </row>
    <row r="908" spans="76:188" ht="13.2" customHeight="1">
      <c r="BX908" t="str">
        <f>IF(Province="Duché de Brionne","Château de Gransette","")</f>
        <v/>
      </c>
      <c r="BY908" t="str">
        <f t="shared" si="228"/>
        <v/>
      </c>
      <c r="BZ908" s="83" t="str">
        <f t="shared" si="225"/>
        <v/>
      </c>
      <c r="CA908" s="83" t="str">
        <f t="shared" si="226"/>
        <v/>
      </c>
      <c r="CB908" s="530" t="str">
        <f t="shared" si="227"/>
        <v/>
      </c>
      <c r="CR908" t="s">
        <v>14280</v>
      </c>
      <c r="GF908" t="s">
        <v>8081</v>
      </c>
    </row>
    <row r="909" spans="76:188" ht="13.2" customHeight="1">
      <c r="BX909" t="str">
        <f>IF(Province="Duché de Bastogne","Château du Duché de Bastogne","")</f>
        <v/>
      </c>
      <c r="BY909" t="str">
        <f t="shared" si="228"/>
        <v/>
      </c>
      <c r="BZ909" s="83" t="str">
        <f t="shared" si="225"/>
        <v/>
      </c>
      <c r="CA909" s="83" t="str">
        <f t="shared" si="226"/>
        <v/>
      </c>
      <c r="CB909" s="530" t="str">
        <f t="shared" si="227"/>
        <v/>
      </c>
      <c r="CR909" t="s">
        <v>14281</v>
      </c>
      <c r="GF909" t="s">
        <v>8597</v>
      </c>
    </row>
    <row r="910" spans="76:188" ht="13.2" customHeight="1">
      <c r="BX910" s="25" t="str">
        <f>IF(Province="Duché de Parravon","Bourg de Vettard","")</f>
        <v/>
      </c>
      <c r="BY910" t="str">
        <f t="shared" si="228"/>
        <v/>
      </c>
      <c r="BZ910" s="83" t="str">
        <f t="shared" si="225"/>
        <v/>
      </c>
      <c r="CA910" s="83" t="str">
        <f t="shared" si="226"/>
        <v/>
      </c>
      <c r="CB910" s="530" t="str">
        <f t="shared" si="227"/>
        <v/>
      </c>
      <c r="CR910" t="s">
        <v>14282</v>
      </c>
      <c r="GF910" t="s">
        <v>8082</v>
      </c>
    </row>
    <row r="911" spans="76:188" ht="13.2" customHeight="1">
      <c r="BX911" t="str">
        <f>IF(Province="Duché de Parravon","Bourg de Vingtiennes","")</f>
        <v/>
      </c>
      <c r="BY911" t="str">
        <f t="shared" si="228"/>
        <v/>
      </c>
      <c r="BZ911" s="83" t="str">
        <f t="shared" si="225"/>
        <v/>
      </c>
      <c r="CA911" s="83" t="str">
        <f t="shared" si="226"/>
        <v/>
      </c>
      <c r="CB911" s="530" t="str">
        <f t="shared" si="227"/>
        <v/>
      </c>
      <c r="CR911" t="s">
        <v>14283</v>
      </c>
      <c r="GF911" t="s">
        <v>8622</v>
      </c>
    </row>
    <row r="912" spans="76:188" ht="13.2" customHeight="1">
      <c r="BX912" s="25" t="str">
        <f>IF(Province="Duché de Bordelaux","Turris Vigilans","")</f>
        <v/>
      </c>
      <c r="BY912" t="str">
        <f t="shared" si="228"/>
        <v/>
      </c>
      <c r="BZ912" s="83" t="str">
        <f t="shared" si="225"/>
        <v/>
      </c>
      <c r="CA912" s="83" t="str">
        <f t="shared" si="226"/>
        <v/>
      </c>
      <c r="CB912" s="530" t="str">
        <f t="shared" si="227"/>
        <v/>
      </c>
      <c r="CR912" t="s">
        <v>14284</v>
      </c>
      <c r="GF912" t="s">
        <v>8083</v>
      </c>
    </row>
    <row r="913" spans="76:188" ht="13.2" customHeight="1">
      <c r="BX913" s="25" t="str">
        <f>IF(Province="Duché de Lyonesse","Fief maudit de Motte l'Ogre","")</f>
        <v/>
      </c>
      <c r="BY913" t="str">
        <f t="shared" si="228"/>
        <v/>
      </c>
      <c r="BZ913" s="83" t="str">
        <f t="shared" si="225"/>
        <v/>
      </c>
      <c r="CA913" s="83" t="str">
        <f t="shared" si="226"/>
        <v/>
      </c>
      <c r="CB913" s="530" t="str">
        <f t="shared" si="227"/>
        <v/>
      </c>
      <c r="CR913" t="s">
        <v>14285</v>
      </c>
      <c r="GF913" t="s">
        <v>8632</v>
      </c>
    </row>
    <row r="914" spans="76:188" ht="13.2" customHeight="1">
      <c r="BX914" s="25" t="str">
        <f>IF(Province="Duché de Couronne","Château de Tancrède","")</f>
        <v/>
      </c>
      <c r="BY914" t="str">
        <f t="shared" si="228"/>
        <v/>
      </c>
      <c r="BZ914" s="83" t="str">
        <f t="shared" si="225"/>
        <v/>
      </c>
      <c r="CA914" s="83" t="str">
        <f t="shared" si="226"/>
        <v/>
      </c>
      <c r="CB914" s="530" t="str">
        <f t="shared" si="227"/>
        <v/>
      </c>
      <c r="CR914" t="s">
        <v>14286</v>
      </c>
      <c r="GF914" t="s">
        <v>8623</v>
      </c>
    </row>
    <row r="915" spans="76:188" ht="13.2" customHeight="1">
      <c r="BX915" s="25" t="str">
        <f>IF(Province="Duché de Parravon","Château de Sanglac","")</f>
        <v/>
      </c>
      <c r="BY915" t="str">
        <f t="shared" si="228"/>
        <v/>
      </c>
      <c r="BZ915" s="83" t="str">
        <f t="shared" si="225"/>
        <v/>
      </c>
      <c r="CA915" s="83" t="str">
        <f t="shared" si="226"/>
        <v/>
      </c>
      <c r="CB915" s="530" t="str">
        <f t="shared" si="227"/>
        <v/>
      </c>
      <c r="CR915" t="s">
        <v>14287</v>
      </c>
      <c r="GF915" t="s">
        <v>8638</v>
      </c>
    </row>
    <row r="916" spans="76:188" ht="13.2" customHeight="1">
      <c r="BX916" s="25" t="str">
        <f>IF(Province="Duché de Gisoreux","Château de Desfleuves","")</f>
        <v/>
      </c>
      <c r="BY916" t="str">
        <f t="shared" si="228"/>
        <v/>
      </c>
      <c r="BZ916" s="83" t="str">
        <f t="shared" si="225"/>
        <v/>
      </c>
      <c r="CA916" s="83" t="str">
        <f t="shared" si="226"/>
        <v/>
      </c>
      <c r="CB916" s="530" t="str">
        <f t="shared" si="227"/>
        <v/>
      </c>
      <c r="CR916" t="s">
        <v>14288</v>
      </c>
      <c r="GF916" t="s">
        <v>8084</v>
      </c>
    </row>
    <row r="917" spans="76:188" ht="13.2" customHeight="1">
      <c r="BX917" s="25" t="str">
        <f>IF(Province="Duché d'Aquitanie","Château de d'Epée","")</f>
        <v/>
      </c>
      <c r="BY917" t="str">
        <f t="shared" si="228"/>
        <v/>
      </c>
      <c r="BZ917" s="83" t="str">
        <f t="shared" si="225"/>
        <v/>
      </c>
      <c r="CA917" s="83" t="str">
        <f t="shared" si="226"/>
        <v/>
      </c>
      <c r="CB917" s="530" t="str">
        <f t="shared" si="227"/>
        <v/>
      </c>
      <c r="CR917" t="s">
        <v>14289</v>
      </c>
      <c r="GF917" t="s">
        <v>8639</v>
      </c>
    </row>
    <row r="918" spans="76:188" ht="13.2" customHeight="1">
      <c r="BX918" s="25" t="str">
        <f>IF(Province="Duché d'Aquitanie","Derrevin Libre","")</f>
        <v/>
      </c>
      <c r="BY918" t="str">
        <f t="shared" si="228"/>
        <v/>
      </c>
      <c r="BZ918" s="83" t="str">
        <f t="shared" si="225"/>
        <v/>
      </c>
      <c r="CA918" s="83" t="str">
        <f t="shared" si="226"/>
        <v/>
      </c>
      <c r="CB918" s="530" t="str">
        <f t="shared" si="227"/>
        <v/>
      </c>
      <c r="CR918" t="s">
        <v>14290</v>
      </c>
      <c r="GF918" t="s">
        <v>8624</v>
      </c>
    </row>
    <row r="919" spans="76:188" ht="13.2" customHeight="1">
      <c r="BX919" s="25" t="str">
        <f>IF(Province="Duché d'Artenois","Château du Duché d'Artenois","")</f>
        <v/>
      </c>
      <c r="BY919" t="str">
        <f t="shared" si="228"/>
        <v/>
      </c>
      <c r="BZ919" s="83" t="str">
        <f t="shared" si="225"/>
        <v/>
      </c>
      <c r="CA919" s="83" t="str">
        <f t="shared" si="226"/>
        <v/>
      </c>
      <c r="CB919" s="530" t="str">
        <f t="shared" si="227"/>
        <v/>
      </c>
      <c r="CR919" t="s">
        <v>14291</v>
      </c>
      <c r="GF919" t="s">
        <v>8086</v>
      </c>
    </row>
    <row r="920" spans="76:188" ht="13.2" customHeight="1">
      <c r="BX920" s="25" t="str">
        <f>IF(Province="Duché d'Artenois","Château du Duché d'Artenois","")</f>
        <v/>
      </c>
      <c r="BY920" t="str">
        <f t="shared" si="228"/>
        <v/>
      </c>
      <c r="BZ920" s="83" t="str">
        <f t="shared" si="225"/>
        <v/>
      </c>
      <c r="CA920" s="83" t="str">
        <f t="shared" si="226"/>
        <v/>
      </c>
      <c r="CB920" s="530" t="str">
        <f t="shared" si="227"/>
        <v/>
      </c>
      <c r="CR920" t="s">
        <v>14292</v>
      </c>
      <c r="GF920" t="s">
        <v>8085</v>
      </c>
    </row>
    <row r="921" spans="76:188" ht="13.2" customHeight="1">
      <c r="BX921" s="25" t="str">
        <f>IF(Province="Duché de L'Anguille","Château de Grasgar","")</f>
        <v/>
      </c>
      <c r="BY921" t="str">
        <f t="shared" si="228"/>
        <v/>
      </c>
      <c r="BZ921" s="83" t="str">
        <f t="shared" si="225"/>
        <v/>
      </c>
      <c r="CA921" s="83" t="str">
        <f t="shared" si="226"/>
        <v/>
      </c>
      <c r="CB921" s="530" t="str">
        <f t="shared" si="227"/>
        <v/>
      </c>
      <c r="CR921" t="s">
        <v>14293</v>
      </c>
      <c r="GF921" t="s">
        <v>8646</v>
      </c>
    </row>
    <row r="922" spans="76:188" ht="13.2" customHeight="1">
      <c r="BX922" s="25" t="str">
        <f>IF(Pays="Bretonnie","Ile Muette","")</f>
        <v/>
      </c>
      <c r="BY922" t="str">
        <f t="shared" si="228"/>
        <v/>
      </c>
      <c r="BZ922" s="83" t="str">
        <f t="shared" si="225"/>
        <v/>
      </c>
      <c r="CA922" s="83" t="str">
        <f t="shared" si="226"/>
        <v/>
      </c>
      <c r="CB922" s="530" t="str">
        <f t="shared" si="227"/>
        <v/>
      </c>
      <c r="CR922" t="s">
        <v>14294</v>
      </c>
      <c r="GF922" t="s">
        <v>8640</v>
      </c>
    </row>
    <row r="923" spans="76:188" ht="13.2" customHeight="1">
      <c r="BX923" s="83" t="str">
        <f>IF(Province="Grand comté d'Averland","Ville d'Averheim","")</f>
        <v/>
      </c>
      <c r="BY923" t="str">
        <f t="shared" si="228"/>
        <v/>
      </c>
      <c r="BZ923" s="83" t="str">
        <f t="shared" si="225"/>
        <v/>
      </c>
      <c r="CA923" s="83" t="str">
        <f t="shared" si="226"/>
        <v/>
      </c>
      <c r="CB923" s="530" t="str">
        <f t="shared" si="227"/>
        <v/>
      </c>
      <c r="CR923" t="s">
        <v>14295</v>
      </c>
      <c r="GF923" t="s">
        <v>8087</v>
      </c>
    </row>
    <row r="924" spans="76:188" ht="13.2" customHeight="1">
      <c r="BX924" t="str">
        <f>IF(Province="Grand comté d'Averland","Village de Friedendorf","")</f>
        <v/>
      </c>
      <c r="BY924" t="str">
        <f t="shared" si="228"/>
        <v/>
      </c>
      <c r="BZ924" s="83" t="str">
        <f t="shared" si="225"/>
        <v/>
      </c>
      <c r="CA924" s="83" t="str">
        <f t="shared" si="226"/>
        <v/>
      </c>
      <c r="CB924" s="530" t="str">
        <f t="shared" si="227"/>
        <v/>
      </c>
      <c r="CR924" t="s">
        <v>14254</v>
      </c>
      <c r="GF924" t="s">
        <v>8633</v>
      </c>
    </row>
    <row r="925" spans="76:188" ht="13.2" customHeight="1">
      <c r="BX925" t="str">
        <f>IF(Province="Grand comté d'Averland","Village de Monheim","")</f>
        <v/>
      </c>
      <c r="BY925" t="str">
        <f t="shared" si="228"/>
        <v/>
      </c>
      <c r="BZ925" s="83" t="str">
        <f t="shared" si="225"/>
        <v/>
      </c>
      <c r="CA925" s="83" t="str">
        <f t="shared" si="226"/>
        <v/>
      </c>
      <c r="CB925" s="530" t="str">
        <f t="shared" si="227"/>
        <v/>
      </c>
      <c r="CR925" t="s">
        <v>14296</v>
      </c>
      <c r="GF925" t="s">
        <v>8641</v>
      </c>
    </row>
    <row r="926" spans="76:188" ht="13.2" customHeight="1">
      <c r="BX926" t="str">
        <f>IF(Province="Grand comté d'Averland","Village de Ruhgsdorf","")</f>
        <v/>
      </c>
      <c r="BY926" t="str">
        <f t="shared" si="228"/>
        <v/>
      </c>
      <c r="BZ926" s="83" t="str">
        <f t="shared" si="225"/>
        <v/>
      </c>
      <c r="CA926" s="83" t="str">
        <f t="shared" si="226"/>
        <v/>
      </c>
      <c r="CB926" s="530" t="str">
        <f t="shared" si="227"/>
        <v/>
      </c>
      <c r="CR926" t="s">
        <v>14297</v>
      </c>
      <c r="GF926" t="s">
        <v>8647</v>
      </c>
    </row>
    <row r="927" spans="76:188" ht="13.2" customHeight="1">
      <c r="BX927" t="str">
        <f>IF(Province="Grand comté d'Averland","Village de Sorghof","")</f>
        <v/>
      </c>
      <c r="BY927" t="str">
        <f t="shared" si="228"/>
        <v/>
      </c>
      <c r="BZ927" s="83" t="str">
        <f t="shared" si="225"/>
        <v/>
      </c>
      <c r="CA927" s="83" t="str">
        <f t="shared" si="226"/>
        <v/>
      </c>
      <c r="CB927" s="530" t="str">
        <f t="shared" si="227"/>
        <v/>
      </c>
      <c r="CR927" t="s">
        <v>14298</v>
      </c>
      <c r="GF927" t="s">
        <v>8635</v>
      </c>
    </row>
    <row r="928" spans="76:188" ht="13.2" customHeight="1">
      <c r="BX928" t="str">
        <f>IF(Province="Grand comté d'Averland","Village de Tannfeld","")</f>
        <v/>
      </c>
      <c r="BY928" t="str">
        <f t="shared" si="228"/>
        <v/>
      </c>
      <c r="BZ928" s="83" t="str">
        <f t="shared" si="225"/>
        <v/>
      </c>
      <c r="CA928" s="83" t="str">
        <f t="shared" si="226"/>
        <v/>
      </c>
      <c r="CB928" s="530" t="str">
        <f t="shared" si="227"/>
        <v/>
      </c>
      <c r="CR928" t="s">
        <v>14299</v>
      </c>
      <c r="GF928" t="s">
        <v>8088</v>
      </c>
    </row>
    <row r="929" spans="76:188" ht="13.2" customHeight="1">
      <c r="BX929" s="83" t="str">
        <f>IF(Province="Grand comté d'Averland","Bourg d'Agbeiten","")</f>
        <v/>
      </c>
      <c r="BY929" t="str">
        <f t="shared" si="228"/>
        <v/>
      </c>
      <c r="BZ929" s="83" t="str">
        <f t="shared" si="225"/>
        <v/>
      </c>
      <c r="CA929" s="83" t="str">
        <f t="shared" si="226"/>
        <v/>
      </c>
      <c r="CB929" s="530" t="str">
        <f t="shared" si="227"/>
        <v/>
      </c>
      <c r="CR929" t="s">
        <v>14300</v>
      </c>
      <c r="GF929" t="s">
        <v>8651</v>
      </c>
    </row>
    <row r="930" spans="76:188" ht="13.2" customHeight="1">
      <c r="BX930" t="str">
        <f>IF(Province="Grand comté d'Averland","Village d'Ensdorf","")</f>
        <v/>
      </c>
      <c r="BY930" t="str">
        <f t="shared" si="228"/>
        <v/>
      </c>
      <c r="BZ930" s="83" t="str">
        <f t="shared" si="225"/>
        <v/>
      </c>
      <c r="CA930" s="83" t="str">
        <f t="shared" si="226"/>
        <v/>
      </c>
      <c r="CB930" s="530" t="str">
        <f t="shared" si="227"/>
        <v/>
      </c>
      <c r="CR930" t="s">
        <v>14301</v>
      </c>
      <c r="GF930" t="s">
        <v>8652</v>
      </c>
    </row>
    <row r="931" spans="76:188" ht="13.2" customHeight="1">
      <c r="BX931" t="str">
        <f>IF(Province="Grand comté d'Averland","Village de Naabeck","")</f>
        <v/>
      </c>
      <c r="BY931" t="str">
        <f t="shared" si="228"/>
        <v/>
      </c>
      <c r="BZ931" s="83" t="str">
        <f t="shared" si="225"/>
        <v/>
      </c>
      <c r="CA931" s="83" t="str">
        <f t="shared" si="226"/>
        <v/>
      </c>
      <c r="CB931" s="530" t="str">
        <f t="shared" si="227"/>
        <v/>
      </c>
      <c r="CR931" t="s">
        <v>14302</v>
      </c>
      <c r="GF931" t="s">
        <v>8089</v>
      </c>
    </row>
    <row r="932" spans="76:188" ht="13.2" customHeight="1">
      <c r="BX932" s="83" t="str">
        <f>IF(Province="Grand comté d'Averland","Bourg de Bernloch","")</f>
        <v/>
      </c>
      <c r="BY932" t="str">
        <f t="shared" si="228"/>
        <v/>
      </c>
      <c r="BZ932" s="83" t="str">
        <f t="shared" si="225"/>
        <v/>
      </c>
      <c r="CA932" s="83" t="str">
        <f t="shared" si="226"/>
        <v/>
      </c>
      <c r="CB932" s="530" t="str">
        <f t="shared" si="227"/>
        <v/>
      </c>
      <c r="CR932" t="s">
        <v>14303</v>
      </c>
      <c r="GF932" t="s">
        <v>8625</v>
      </c>
    </row>
    <row r="933" spans="76:188" ht="13.2" customHeight="1">
      <c r="BX933" t="str">
        <f>IF(Province="Grand comté d'Averland","Village de Jehlfeld","")</f>
        <v/>
      </c>
      <c r="BY933" t="str">
        <f t="shared" si="228"/>
        <v/>
      </c>
      <c r="BZ933" s="83" t="str">
        <f t="shared" si="225"/>
        <v/>
      </c>
      <c r="CA933" s="83" t="str">
        <f t="shared" si="226"/>
        <v/>
      </c>
      <c r="CB933" s="530" t="str">
        <f t="shared" si="227"/>
        <v/>
      </c>
      <c r="CR933" t="s">
        <v>14304</v>
      </c>
      <c r="GF933" t="s">
        <v>8090</v>
      </c>
    </row>
    <row r="934" spans="76:188" ht="13.2" customHeight="1">
      <c r="BX934" s="83" t="str">
        <f>IF(Province="Grand comté d'Averland","Bourg de Bieswang","")</f>
        <v/>
      </c>
      <c r="BY934" t="str">
        <f t="shared" si="228"/>
        <v/>
      </c>
      <c r="BZ934" s="83" t="str">
        <f t="shared" si="225"/>
        <v/>
      </c>
      <c r="CA934" s="83" t="str">
        <f t="shared" si="226"/>
        <v/>
      </c>
      <c r="CB934" s="530" t="str">
        <f t="shared" si="227"/>
        <v/>
      </c>
      <c r="CR934" t="s">
        <v>14305</v>
      </c>
      <c r="GF934" t="s">
        <v>8091</v>
      </c>
    </row>
    <row r="935" spans="76:188" ht="13.2" customHeight="1">
      <c r="BX935" s="83" t="str">
        <f>IF(Province="Grand comté d'Averland","Village d'Hirshhiigel","")</f>
        <v/>
      </c>
      <c r="BY935" t="str">
        <f t="shared" si="228"/>
        <v/>
      </c>
      <c r="BZ935" s="83" t="str">
        <f t="shared" si="225"/>
        <v/>
      </c>
      <c r="CA935" s="83" t="str">
        <f t="shared" si="226"/>
        <v/>
      </c>
      <c r="CB935" s="530" t="str">
        <f t="shared" si="227"/>
        <v/>
      </c>
      <c r="CR935" t="s">
        <v>14306</v>
      </c>
      <c r="GF935" t="s">
        <v>8092</v>
      </c>
    </row>
    <row r="936" spans="76:188" ht="13.2" customHeight="1">
      <c r="BX936" s="83" t="str">
        <f>IF(Province="Grand comté d'Averland","Bourg de Colmware","")</f>
        <v/>
      </c>
      <c r="BY936" t="str">
        <f t="shared" si="228"/>
        <v/>
      </c>
      <c r="BZ936" s="83" t="str">
        <f t="shared" si="225"/>
        <v/>
      </c>
      <c r="CA936" s="83" t="str">
        <f t="shared" si="226"/>
        <v/>
      </c>
      <c r="CB936" s="530" t="str">
        <f t="shared" si="227"/>
        <v/>
      </c>
      <c r="CR936" t="s">
        <v>14307</v>
      </c>
      <c r="GF936" t="s">
        <v>1090</v>
      </c>
    </row>
    <row r="937" spans="76:188" ht="13.2" customHeight="1">
      <c r="BX937" t="str">
        <f>IF(Province="Grand comté d'Averland","Village de Volsbach","")</f>
        <v/>
      </c>
      <c r="BY937" t="str">
        <f t="shared" si="228"/>
        <v/>
      </c>
      <c r="BZ937" s="83" t="str">
        <f t="shared" si="225"/>
        <v/>
      </c>
      <c r="CA937" s="83" t="str">
        <f t="shared" si="226"/>
        <v/>
      </c>
      <c r="CB937" s="530" t="str">
        <f t="shared" si="227"/>
        <v/>
      </c>
      <c r="CR937" t="s">
        <v>14308</v>
      </c>
      <c r="GF937" t="s">
        <v>8642</v>
      </c>
    </row>
    <row r="938" spans="76:188" ht="13.2" customHeight="1">
      <c r="BX938" s="83" t="str">
        <f>IF(Province="Grand comté d'Averland","Ville de Grenzstadt","")</f>
        <v/>
      </c>
      <c r="BY938" t="str">
        <f t="shared" si="228"/>
        <v/>
      </c>
      <c r="BZ938" s="83" t="str">
        <f t="shared" si="225"/>
        <v/>
      </c>
      <c r="CA938" s="83" t="str">
        <f t="shared" si="226"/>
        <v/>
      </c>
      <c r="CB938" s="530" t="str">
        <f t="shared" si="227"/>
        <v/>
      </c>
      <c r="CR938" t="s">
        <v>14309</v>
      </c>
      <c r="GF938" t="s">
        <v>8626</v>
      </c>
    </row>
    <row r="939" spans="76:188" ht="13.2" customHeight="1">
      <c r="BX939" t="str">
        <f>IF(Province="Grand comté d'Averland","Village de Buch","")</f>
        <v/>
      </c>
      <c r="BY939" t="str">
        <f t="shared" si="228"/>
        <v/>
      </c>
      <c r="BZ939" s="83" t="str">
        <f t="shared" si="225"/>
        <v/>
      </c>
      <c r="CA939" s="83" t="str">
        <f t="shared" si="226"/>
        <v/>
      </c>
      <c r="CB939" s="530" t="str">
        <f t="shared" si="227"/>
        <v/>
      </c>
      <c r="CR939" t="s">
        <v>14310</v>
      </c>
      <c r="GF939" t="s">
        <v>8093</v>
      </c>
    </row>
    <row r="940" spans="76:188" ht="13.2" customHeight="1">
      <c r="BX940" t="str">
        <f>IF(Province="Grand comté d'Averland","Village de Dorfbach","")</f>
        <v/>
      </c>
      <c r="BY940" t="str">
        <f t="shared" si="228"/>
        <v/>
      </c>
      <c r="BZ940" s="83" t="str">
        <f t="shared" si="225"/>
        <v/>
      </c>
      <c r="CA940" s="83" t="str">
        <f t="shared" si="226"/>
        <v/>
      </c>
      <c r="CB940" s="530" t="str">
        <f t="shared" si="227"/>
        <v/>
      </c>
      <c r="CR940" t="s">
        <v>14311</v>
      </c>
      <c r="GF940" t="s">
        <v>8094</v>
      </c>
    </row>
    <row r="941" spans="76:188" ht="13.2" customHeight="1">
      <c r="BX941" s="83" t="str">
        <f>IF(Province="Grand comté d'Averland","Bourg d'Heideck","")</f>
        <v/>
      </c>
      <c r="BY941" t="str">
        <f t="shared" si="228"/>
        <v/>
      </c>
      <c r="BZ941" s="83" t="str">
        <f t="shared" si="225"/>
        <v/>
      </c>
      <c r="CA941" s="83" t="str">
        <f t="shared" si="226"/>
        <v/>
      </c>
      <c r="CB941" s="530" t="str">
        <f t="shared" si="227"/>
        <v/>
      </c>
      <c r="CR941" t="s">
        <v>14312</v>
      </c>
      <c r="GF941" t="s">
        <v>8095</v>
      </c>
    </row>
    <row r="942" spans="76:188" ht="13.2" customHeight="1">
      <c r="BX942" t="str">
        <f>IF(Province="Grand comté d'Averland","Village de Willenfeld","")</f>
        <v/>
      </c>
      <c r="BY942" t="str">
        <f t="shared" si="228"/>
        <v/>
      </c>
      <c r="BZ942" s="83" t="str">
        <f t="shared" si="225"/>
        <v/>
      </c>
      <c r="CA942" s="83" t="str">
        <f t="shared" si="226"/>
        <v/>
      </c>
      <c r="CB942" s="530" t="str">
        <f t="shared" si="227"/>
        <v/>
      </c>
      <c r="CR942" t="s">
        <v>14313</v>
      </c>
      <c r="GF942" t="s">
        <v>8096</v>
      </c>
    </row>
    <row r="943" spans="76:188" ht="13.2" customHeight="1">
      <c r="BX943" s="83" t="str">
        <f>IF(Province="Grand comté d'Averland","Bourg d'Hochebelen","")</f>
        <v/>
      </c>
      <c r="BY943" t="str">
        <f t="shared" si="228"/>
        <v/>
      </c>
      <c r="BZ943" s="83" t="str">
        <f t="shared" si="225"/>
        <v/>
      </c>
      <c r="CA943" s="83" t="str">
        <f t="shared" si="226"/>
        <v/>
      </c>
      <c r="CB943" s="530" t="str">
        <f t="shared" si="227"/>
        <v/>
      </c>
      <c r="CR943" t="s">
        <v>8589</v>
      </c>
      <c r="GF943" t="s">
        <v>8097</v>
      </c>
    </row>
    <row r="944" spans="76:188" ht="13.2" customHeight="1">
      <c r="BX944" t="str">
        <f>IF(Province="Grand comté d'Averland","Village de Kulz","")</f>
        <v/>
      </c>
      <c r="BY944" t="str">
        <f t="shared" si="228"/>
        <v/>
      </c>
      <c r="BZ944" s="83" t="str">
        <f t="shared" si="225"/>
        <v/>
      </c>
      <c r="CA944" s="83" t="str">
        <f t="shared" si="226"/>
        <v/>
      </c>
      <c r="CB944" s="530" t="str">
        <f t="shared" si="227"/>
        <v/>
      </c>
      <c r="CR944" t="s">
        <v>14314</v>
      </c>
      <c r="GF944" t="s">
        <v>8098</v>
      </c>
    </row>
    <row r="945" spans="76:188" ht="13.2" customHeight="1">
      <c r="BX945" t="str">
        <f>IF(Province="Grand comté d'Averland","Village de Spalt","")</f>
        <v/>
      </c>
      <c r="BY945" t="str">
        <f t="shared" si="228"/>
        <v/>
      </c>
      <c r="BZ945" s="83" t="str">
        <f t="shared" si="225"/>
        <v/>
      </c>
      <c r="CA945" s="83" t="str">
        <f t="shared" si="226"/>
        <v/>
      </c>
      <c r="CB945" s="530" t="str">
        <f t="shared" si="227"/>
        <v/>
      </c>
      <c r="CR945" t="s">
        <v>14315</v>
      </c>
      <c r="GF945" t="s">
        <v>8099</v>
      </c>
    </row>
    <row r="946" spans="76:188" ht="13.2" customHeight="1">
      <c r="BX946" s="83" t="str">
        <f>IF(Province="Grand comté d'Averland","Bourg de Lengenfeld","")</f>
        <v/>
      </c>
      <c r="BY946" t="str">
        <f t="shared" si="228"/>
        <v/>
      </c>
      <c r="BZ946" s="83" t="str">
        <f t="shared" si="225"/>
        <v/>
      </c>
      <c r="CA946" s="83" t="str">
        <f t="shared" si="226"/>
        <v/>
      </c>
      <c r="CB946" s="530" t="str">
        <f t="shared" si="227"/>
        <v/>
      </c>
      <c r="CR946" t="s">
        <v>14316</v>
      </c>
      <c r="GF946" t="s">
        <v>8627</v>
      </c>
    </row>
    <row r="947" spans="76:188" ht="13.2" customHeight="1">
      <c r="BX947" t="str">
        <f>IF(Province="Grand comté d'Averland","Village de Gebenbach","")</f>
        <v/>
      </c>
      <c r="BY947" t="str">
        <f t="shared" si="228"/>
        <v/>
      </c>
      <c r="BZ947" s="83" t="str">
        <f t="shared" si="225"/>
        <v/>
      </c>
      <c r="CA947" s="83" t="str">
        <f t="shared" si="226"/>
        <v/>
      </c>
      <c r="CB947" s="530" t="str">
        <f t="shared" si="227"/>
        <v/>
      </c>
      <c r="CR947" t="s">
        <v>14317</v>
      </c>
      <c r="GF947" t="s">
        <v>8648</v>
      </c>
    </row>
    <row r="948" spans="76:188" ht="13.2" customHeight="1">
      <c r="BX948" t="str">
        <f>IF(Province="Grand comté d'Averland","Village de Mantel","")</f>
        <v/>
      </c>
      <c r="BY948" t="str">
        <f t="shared" si="228"/>
        <v/>
      </c>
      <c r="BZ948" s="83" t="str">
        <f t="shared" si="225"/>
        <v/>
      </c>
      <c r="CA948" s="83" t="str">
        <f t="shared" si="226"/>
        <v/>
      </c>
      <c r="CB948" s="530" t="str">
        <f t="shared" si="227"/>
        <v/>
      </c>
      <c r="CR948" t="s">
        <v>14318</v>
      </c>
      <c r="GF948" t="s">
        <v>8100</v>
      </c>
    </row>
    <row r="949" spans="76:188" ht="13.2" customHeight="1">
      <c r="BX949" s="83" t="str">
        <f>IF(Province="Grand comté d'Averland","Bourg de Loningbruck","")</f>
        <v/>
      </c>
      <c r="BY949" t="str">
        <f t="shared" si="228"/>
        <v/>
      </c>
      <c r="BZ949" s="83" t="str">
        <f t="shared" si="225"/>
        <v/>
      </c>
      <c r="CA949" s="83" t="str">
        <f t="shared" si="226"/>
        <v/>
      </c>
      <c r="CB949" s="530" t="str">
        <f t="shared" si="227"/>
        <v/>
      </c>
      <c r="CR949" t="s">
        <v>14319</v>
      </c>
      <c r="GF949" t="s">
        <v>8653</v>
      </c>
    </row>
    <row r="950" spans="76:188" ht="13.2" customHeight="1">
      <c r="BX950" t="str">
        <f>IF(Province="Grand comté d'Averland","Village de Tandem","")</f>
        <v/>
      </c>
      <c r="BY950" t="str">
        <f t="shared" si="228"/>
        <v/>
      </c>
      <c r="BZ950" s="83" t="str">
        <f t="shared" si="225"/>
        <v/>
      </c>
      <c r="CA950" s="83" t="str">
        <f t="shared" si="226"/>
        <v/>
      </c>
      <c r="CB950" s="530" t="str">
        <f t="shared" si="227"/>
        <v/>
      </c>
      <c r="CR950" t="s">
        <v>14320</v>
      </c>
      <c r="GF950" t="s">
        <v>8101</v>
      </c>
    </row>
    <row r="951" spans="76:188" ht="13.2" customHeight="1">
      <c r="BX951" t="str">
        <f>IF(Province="Grand comté d'Averland","Village de Zang","")</f>
        <v/>
      </c>
      <c r="BY951" t="str">
        <f t="shared" si="228"/>
        <v/>
      </c>
      <c r="BZ951" s="83" t="str">
        <f t="shared" si="225"/>
        <v/>
      </c>
      <c r="CA951" s="83" t="str">
        <f t="shared" si="226"/>
        <v/>
      </c>
      <c r="CB951" s="530" t="str">
        <f t="shared" si="227"/>
        <v/>
      </c>
      <c r="CR951" t="s">
        <v>14321</v>
      </c>
      <c r="GF951" t="s">
        <v>8102</v>
      </c>
    </row>
    <row r="952" spans="76:188" ht="13.2" customHeight="1">
      <c r="BX952" s="83" t="str">
        <f>IF(Province="Grand comté d'Averland","Ville de Pfungzig","")</f>
        <v/>
      </c>
      <c r="BY952" t="str">
        <f t="shared" si="228"/>
        <v/>
      </c>
      <c r="BZ952" s="83" t="str">
        <f t="shared" si="225"/>
        <v/>
      </c>
      <c r="CA952" s="83" t="str">
        <f t="shared" si="226"/>
        <v/>
      </c>
      <c r="CB952" s="530" t="str">
        <f t="shared" si="227"/>
        <v/>
      </c>
      <c r="CR952" t="s">
        <v>14322</v>
      </c>
      <c r="GF952" t="s">
        <v>8628</v>
      </c>
    </row>
    <row r="953" spans="76:188" ht="13.2" customHeight="1">
      <c r="BX953" t="str">
        <f>IF(Province="Grand comté d'Averland","Village de Dietfurt","")</f>
        <v/>
      </c>
      <c r="BY953" t="str">
        <f t="shared" si="228"/>
        <v/>
      </c>
      <c r="BZ953" s="83" t="str">
        <f t="shared" si="225"/>
        <v/>
      </c>
      <c r="CA953" s="83" t="str">
        <f t="shared" si="226"/>
        <v/>
      </c>
      <c r="CB953" s="530" t="str">
        <f t="shared" si="227"/>
        <v/>
      </c>
      <c r="CR953" t="s">
        <v>14323</v>
      </c>
      <c r="GF953" t="s">
        <v>8103</v>
      </c>
    </row>
    <row r="954" spans="76:188" ht="13.2" customHeight="1">
      <c r="BX954" t="str">
        <f>IF(Province="Grand comté d'Averland","Village d'Essing","")</f>
        <v/>
      </c>
      <c r="BY954" t="str">
        <f t="shared" si="228"/>
        <v/>
      </c>
      <c r="BZ954" s="83" t="str">
        <f t="shared" si="225"/>
        <v/>
      </c>
      <c r="CA954" s="83" t="str">
        <f t="shared" si="226"/>
        <v/>
      </c>
      <c r="CB954" s="530" t="str">
        <f t="shared" si="227"/>
        <v/>
      </c>
      <c r="CR954" t="s">
        <v>14324</v>
      </c>
      <c r="GF954" t="s">
        <v>8649</v>
      </c>
    </row>
    <row r="955" spans="76:188" ht="13.2" customHeight="1">
      <c r="BX955" t="str">
        <f>IF(Province="Grand comté d'Averland","Village de Zell","")</f>
        <v/>
      </c>
      <c r="BY955" t="str">
        <f t="shared" si="228"/>
        <v/>
      </c>
      <c r="BZ955" s="83" t="str">
        <f t="shared" si="225"/>
        <v/>
      </c>
      <c r="CA955" s="83" t="str">
        <f t="shared" si="226"/>
        <v/>
      </c>
      <c r="CB955" s="530" t="str">
        <f t="shared" si="227"/>
        <v/>
      </c>
      <c r="CR955" t="s">
        <v>14325</v>
      </c>
      <c r="GF955" t="s">
        <v>8104</v>
      </c>
    </row>
    <row r="956" spans="76:188" ht="13.2" customHeight="1">
      <c r="BX956" s="83" t="str">
        <f>IF(Province="Grand comté d'Averland","Ville de Streissen","")</f>
        <v/>
      </c>
      <c r="BY956" t="str">
        <f t="shared" si="228"/>
        <v/>
      </c>
      <c r="BZ956" s="83" t="str">
        <f t="shared" si="225"/>
        <v/>
      </c>
      <c r="CA956" s="83" t="str">
        <f t="shared" si="226"/>
        <v/>
      </c>
      <c r="CB956" s="530" t="str">
        <f t="shared" si="227"/>
        <v/>
      </c>
      <c r="CR956" t="s">
        <v>14326</v>
      </c>
      <c r="GF956" t="s">
        <v>8105</v>
      </c>
    </row>
    <row r="957" spans="76:188" ht="13.2" customHeight="1">
      <c r="BX957" t="str">
        <f>IF(Province="Grand comté d'Averland","Village de Dachbach","")</f>
        <v/>
      </c>
      <c r="BY957" t="str">
        <f t="shared" si="228"/>
        <v/>
      </c>
      <c r="BZ957" s="83" t="str">
        <f t="shared" si="225"/>
        <v/>
      </c>
      <c r="CA957" s="83" t="str">
        <f t="shared" si="226"/>
        <v/>
      </c>
      <c r="CB957" s="530" t="str">
        <f t="shared" si="227"/>
        <v/>
      </c>
      <c r="CR957" t="s">
        <v>14327</v>
      </c>
      <c r="GF957" t="s">
        <v>8106</v>
      </c>
    </row>
    <row r="958" spans="76:188" ht="13.2" customHeight="1">
      <c r="BX958" s="83" t="str">
        <f>IF(Province="Grand comté d'Averland","Village d'Eining","")</f>
        <v/>
      </c>
      <c r="BY958" t="str">
        <f t="shared" si="228"/>
        <v/>
      </c>
      <c r="BZ958" s="83" t="str">
        <f t="shared" si="225"/>
        <v/>
      </c>
      <c r="CA958" s="83" t="str">
        <f t="shared" si="226"/>
        <v/>
      </c>
      <c r="CB958" s="530" t="str">
        <f t="shared" si="227"/>
        <v/>
      </c>
      <c r="CR958" t="s">
        <v>14328</v>
      </c>
      <c r="GF958" t="s">
        <v>8643</v>
      </c>
    </row>
    <row r="959" spans="76:188" ht="13.2" customHeight="1">
      <c r="BX959" t="str">
        <f>IF(Province="Grand comté d'Averland","Village de Pilsach","")</f>
        <v/>
      </c>
      <c r="BY959" t="str">
        <f t="shared" si="228"/>
        <v/>
      </c>
      <c r="BZ959" s="83" t="str">
        <f t="shared" si="225"/>
        <v/>
      </c>
      <c r="CA959" s="83" t="str">
        <f t="shared" si="226"/>
        <v/>
      </c>
      <c r="CB959" s="530" t="str">
        <f t="shared" si="227"/>
        <v/>
      </c>
      <c r="CR959" t="s">
        <v>14329</v>
      </c>
      <c r="GF959" t="s">
        <v>8107</v>
      </c>
    </row>
    <row r="960" spans="76:188" ht="13.2" customHeight="1">
      <c r="BX960" t="str">
        <f>IF(Province="Grand comté d'Averland","Village de Siegenhausen","")</f>
        <v/>
      </c>
      <c r="BY960" t="str">
        <f t="shared" si="228"/>
        <v/>
      </c>
      <c r="BZ960" s="83" t="str">
        <f t="shared" si="225"/>
        <v/>
      </c>
      <c r="CA960" s="83" t="str">
        <f t="shared" si="226"/>
        <v/>
      </c>
      <c r="CB960" s="530" t="str">
        <f t="shared" si="227"/>
        <v/>
      </c>
      <c r="CR960" t="s">
        <v>14330</v>
      </c>
      <c r="GF960" t="s">
        <v>8108</v>
      </c>
    </row>
    <row r="961" spans="76:188" ht="13.2" customHeight="1">
      <c r="BX961" s="83" t="str">
        <f>IF(Province="Grand comté d'Averland","Ville de Wuppertal","")</f>
        <v/>
      </c>
      <c r="BY961" t="str">
        <f t="shared" si="228"/>
        <v/>
      </c>
      <c r="BZ961" s="83" t="str">
        <f t="shared" si="225"/>
        <v/>
      </c>
      <c r="CA961" s="83" t="str">
        <f t="shared" si="226"/>
        <v/>
      </c>
      <c r="CB961" s="530" t="str">
        <f t="shared" si="227"/>
        <v/>
      </c>
      <c r="CR961" t="s">
        <v>14331</v>
      </c>
      <c r="GF961" t="s">
        <v>8109</v>
      </c>
    </row>
    <row r="962" spans="76:188" ht="13.2" customHeight="1">
      <c r="BX962" t="str">
        <f>IF(Province="Grand comté d'Averland","Village de Gerzen","")</f>
        <v/>
      </c>
      <c r="BY962" t="str">
        <f t="shared" si="228"/>
        <v/>
      </c>
      <c r="BZ962" s="83" t="str">
        <f t="shared" ref="BZ962:BZ1025" si="229">IFERROR(SMALL(BY:BY,ROW()-1),"")</f>
        <v/>
      </c>
      <c r="CA962" s="83" t="str">
        <f t="shared" ref="CA962:CA1025" si="230">IFERROR(INDEX(BX:BX,BZ962),"")</f>
        <v/>
      </c>
      <c r="CB962" s="530" t="str">
        <f t="shared" ref="CB962:CB1025" si="231">INDEX(CA:CA,ROW())</f>
        <v/>
      </c>
      <c r="CR962" t="s">
        <v>14332</v>
      </c>
      <c r="GF962" t="s">
        <v>8110</v>
      </c>
    </row>
    <row r="963" spans="76:188" ht="13.2" customHeight="1">
      <c r="BX963" t="str">
        <f>IF(Province="Grand comté d'Averland","Village de Mùhlfeld","")</f>
        <v/>
      </c>
      <c r="BY963" t="str">
        <f t="shared" ref="BY963:BY1026" si="232">IF(BX963="","",ROW())</f>
        <v/>
      </c>
      <c r="BZ963" s="83" t="str">
        <f t="shared" si="229"/>
        <v/>
      </c>
      <c r="CA963" s="83" t="str">
        <f t="shared" si="230"/>
        <v/>
      </c>
      <c r="CB963" s="530" t="str">
        <f t="shared" si="231"/>
        <v/>
      </c>
      <c r="CR963" t="s">
        <v>14333</v>
      </c>
      <c r="GF963" t="s">
        <v>8111</v>
      </c>
    </row>
    <row r="964" spans="76:188" ht="13.2" customHeight="1">
      <c r="BX964" t="str">
        <f>IF(Province="Grand comté d'Averland","Village de Thann","")</f>
        <v/>
      </c>
      <c r="BY964" t="str">
        <f t="shared" si="232"/>
        <v/>
      </c>
      <c r="BZ964" s="83" t="str">
        <f t="shared" si="229"/>
        <v/>
      </c>
      <c r="CA964" s="83" t="str">
        <f t="shared" si="230"/>
        <v/>
      </c>
      <c r="CB964" s="530" t="str">
        <f t="shared" si="231"/>
        <v/>
      </c>
      <c r="CR964" t="s">
        <v>14334</v>
      </c>
      <c r="GF964" t="s">
        <v>8112</v>
      </c>
    </row>
    <row r="965" spans="76:188" ht="13.2" customHeight="1">
      <c r="BX965" s="83" t="str">
        <f>IF(Province="Grande baronnie du Hochland","Ville d'Hergig","")</f>
        <v/>
      </c>
      <c r="BY965" t="str">
        <f t="shared" si="232"/>
        <v/>
      </c>
      <c r="BZ965" s="83" t="str">
        <f t="shared" si="229"/>
        <v/>
      </c>
      <c r="CA965" s="83" t="str">
        <f t="shared" si="230"/>
        <v/>
      </c>
      <c r="CB965" s="530" t="str">
        <f t="shared" si="231"/>
        <v/>
      </c>
      <c r="CR965" t="s">
        <v>14335</v>
      </c>
      <c r="GF965" t="s">
        <v>8654</v>
      </c>
    </row>
    <row r="966" spans="76:188" ht="13.2" customHeight="1">
      <c r="BX966" t="str">
        <f>IF(Province="Grande baronnie du Hochland","Village de Dunstigfurt","")</f>
        <v/>
      </c>
      <c r="BY966" t="str">
        <f t="shared" si="232"/>
        <v/>
      </c>
      <c r="BZ966" s="83" t="str">
        <f t="shared" si="229"/>
        <v/>
      </c>
      <c r="CA966" s="83" t="str">
        <f t="shared" si="230"/>
        <v/>
      </c>
      <c r="CB966" s="530" t="str">
        <f t="shared" si="231"/>
        <v/>
      </c>
      <c r="CR966" t="s">
        <v>14336</v>
      </c>
      <c r="GF966" t="s">
        <v>8113</v>
      </c>
    </row>
    <row r="967" spans="76:188" ht="13.2" customHeight="1">
      <c r="BX967" t="str">
        <f>IF(Province="Grande baronnie du Hochland","Village de Mùden","")</f>
        <v/>
      </c>
      <c r="BY967" t="str">
        <f t="shared" si="232"/>
        <v/>
      </c>
      <c r="BZ967" s="83" t="str">
        <f t="shared" si="229"/>
        <v/>
      </c>
      <c r="CA967" s="83" t="str">
        <f t="shared" si="230"/>
        <v/>
      </c>
      <c r="CB967" s="530" t="str">
        <f t="shared" si="231"/>
        <v/>
      </c>
      <c r="CR967" t="s">
        <v>14337</v>
      </c>
      <c r="GF967" t="s">
        <v>8114</v>
      </c>
    </row>
    <row r="968" spans="76:188" ht="13.2" customHeight="1">
      <c r="BX968" t="str">
        <f>IF(Province="Grande baronnie du Hochland","Village de Stôckse","")</f>
        <v/>
      </c>
      <c r="BY968" t="str">
        <f t="shared" si="232"/>
        <v/>
      </c>
      <c r="BZ968" s="83" t="str">
        <f t="shared" si="229"/>
        <v/>
      </c>
      <c r="CA968" s="83" t="str">
        <f t="shared" si="230"/>
        <v/>
      </c>
      <c r="CB968" s="530" t="str">
        <f t="shared" si="231"/>
        <v/>
      </c>
      <c r="CR968" t="s">
        <v>14338</v>
      </c>
      <c r="GF968" s="83" t="s">
        <v>8758</v>
      </c>
    </row>
    <row r="969" spans="76:188" ht="13.2" customHeight="1">
      <c r="BX969" t="str">
        <f>IF(Province="Grande baronnie du Hochland","Village de Vodf","")</f>
        <v/>
      </c>
      <c r="BY969" t="str">
        <f t="shared" si="232"/>
        <v/>
      </c>
      <c r="BZ969" s="83" t="str">
        <f t="shared" si="229"/>
        <v/>
      </c>
      <c r="CA969" s="83" t="str">
        <f t="shared" si="230"/>
        <v/>
      </c>
      <c r="CB969" s="530" t="str">
        <f t="shared" si="231"/>
        <v/>
      </c>
      <c r="CR969" t="s">
        <v>14339</v>
      </c>
      <c r="GF969" t="s">
        <v>8115</v>
      </c>
    </row>
    <row r="970" spans="76:188" ht="13.2" customHeight="1">
      <c r="BX970" s="83" t="str">
        <f>IF(Province="Grande baronnie du Hochland","Village de Bergendorf","")</f>
        <v/>
      </c>
      <c r="BY970" t="str">
        <f t="shared" si="232"/>
        <v/>
      </c>
      <c r="BZ970" s="83" t="str">
        <f t="shared" si="229"/>
        <v/>
      </c>
      <c r="CA970" s="83" t="str">
        <f t="shared" si="230"/>
        <v/>
      </c>
      <c r="CB970" s="530" t="str">
        <f t="shared" si="231"/>
        <v/>
      </c>
      <c r="CR970" t="s">
        <v>14340</v>
      </c>
      <c r="GF970" t="s">
        <v>8116</v>
      </c>
    </row>
    <row r="971" spans="76:188" ht="13.2" customHeight="1">
      <c r="BX971" s="83" t="str">
        <f>IF(Province="Grande baronnie du Hochland","Village d'Aliresdorf","")</f>
        <v/>
      </c>
      <c r="BY971" t="str">
        <f t="shared" si="232"/>
        <v/>
      </c>
      <c r="BZ971" s="83" t="str">
        <f t="shared" si="229"/>
        <v/>
      </c>
      <c r="CA971" s="83" t="str">
        <f t="shared" si="230"/>
        <v/>
      </c>
      <c r="CB971" s="530" t="str">
        <f t="shared" si="231"/>
        <v/>
      </c>
      <c r="CR971" t="s">
        <v>14341</v>
      </c>
      <c r="GF971" t="s">
        <v>8629</v>
      </c>
    </row>
    <row r="972" spans="76:188" ht="13.2" customHeight="1">
      <c r="BX972" t="str">
        <f>IF(Province="Grande baronnie du Hochland","Village de Wannsingen","")</f>
        <v/>
      </c>
      <c r="BY972" t="str">
        <f t="shared" si="232"/>
        <v/>
      </c>
      <c r="BZ972" s="83" t="str">
        <f t="shared" si="229"/>
        <v/>
      </c>
      <c r="CA972" s="83" t="str">
        <f t="shared" si="230"/>
        <v/>
      </c>
      <c r="CB972" s="530" t="str">
        <f t="shared" si="231"/>
        <v/>
      </c>
      <c r="CR972" t="s">
        <v>14342</v>
      </c>
      <c r="GF972" t="s">
        <v>8117</v>
      </c>
    </row>
    <row r="973" spans="76:188" ht="13.2" customHeight="1">
      <c r="BX973" s="83" t="str">
        <f>IF(Province="Grande baronnie du Hochland","Bourg de Breder","")</f>
        <v/>
      </c>
      <c r="BY973" t="str">
        <f t="shared" si="232"/>
        <v/>
      </c>
      <c r="BZ973" s="83" t="str">
        <f t="shared" si="229"/>
        <v/>
      </c>
      <c r="CA973" s="83" t="str">
        <f t="shared" si="230"/>
        <v/>
      </c>
      <c r="CB973" s="530" t="str">
        <f t="shared" si="231"/>
        <v/>
      </c>
      <c r="CR973" t="s">
        <v>14343</v>
      </c>
      <c r="GF973" t="s">
        <v>8118</v>
      </c>
    </row>
    <row r="974" spans="76:188" ht="13.2" customHeight="1">
      <c r="BX974" s="83" t="str">
        <f>IF(Province="Grande baronnie du Hochland","Village d'Esk","")</f>
        <v/>
      </c>
      <c r="BY974" t="str">
        <f t="shared" si="232"/>
        <v/>
      </c>
      <c r="BZ974" s="83" t="str">
        <f t="shared" si="229"/>
        <v/>
      </c>
      <c r="CA974" s="83" t="str">
        <f t="shared" si="230"/>
        <v/>
      </c>
      <c r="CB974" s="530" t="str">
        <f t="shared" si="231"/>
        <v/>
      </c>
      <c r="CR974" t="s">
        <v>14344</v>
      </c>
      <c r="GF974" t="s">
        <v>8636</v>
      </c>
    </row>
    <row r="975" spans="76:188" ht="13.2" customHeight="1">
      <c r="BX975" s="83" t="str">
        <f>IF(Province="Grande baronnie du Hochland","Fort Denkh","")</f>
        <v/>
      </c>
      <c r="BY975" t="str">
        <f t="shared" si="232"/>
        <v/>
      </c>
      <c r="BZ975" s="83" t="str">
        <f t="shared" si="229"/>
        <v/>
      </c>
      <c r="CA975" s="83" t="str">
        <f t="shared" si="230"/>
        <v/>
      </c>
      <c r="CB975" s="530" t="str">
        <f t="shared" si="231"/>
        <v/>
      </c>
      <c r="CR975" t="s">
        <v>14345</v>
      </c>
      <c r="GF975" t="s">
        <v>8119</v>
      </c>
    </row>
    <row r="976" spans="76:188" ht="13.2" customHeight="1">
      <c r="BX976" s="83" t="str">
        <f>IF(Province="Grande baronnie du Hochland","Fort Schippel","")</f>
        <v/>
      </c>
      <c r="BY976" t="str">
        <f t="shared" si="232"/>
        <v/>
      </c>
      <c r="BZ976" s="83" t="str">
        <f t="shared" si="229"/>
        <v/>
      </c>
      <c r="CA976" s="83" t="str">
        <f t="shared" si="230"/>
        <v/>
      </c>
      <c r="CB976" s="530" t="str">
        <f t="shared" si="231"/>
        <v/>
      </c>
      <c r="CR976" t="s">
        <v>14346</v>
      </c>
      <c r="GF976" t="s">
        <v>8120</v>
      </c>
    </row>
    <row r="977" spans="76:188" ht="13.2" customHeight="1">
      <c r="BX977" s="83" t="str">
        <f>IF(Province="Grande baronnie du Hochland","Village de Gruyden","")</f>
        <v/>
      </c>
      <c r="BY977" t="str">
        <f t="shared" si="232"/>
        <v/>
      </c>
      <c r="BZ977" s="83" t="str">
        <f t="shared" si="229"/>
        <v/>
      </c>
      <c r="CA977" s="83" t="str">
        <f t="shared" si="230"/>
        <v/>
      </c>
      <c r="CB977" s="530" t="str">
        <f t="shared" si="231"/>
        <v/>
      </c>
      <c r="CR977" t="s">
        <v>14347</v>
      </c>
      <c r="GF977" t="s">
        <v>8121</v>
      </c>
    </row>
    <row r="978" spans="76:188" ht="13.2" customHeight="1">
      <c r="BX978" t="str">
        <f>IF(Province="Grande baronnie du Hochland","Village de Barwedel","")</f>
        <v/>
      </c>
      <c r="BY978" t="str">
        <f t="shared" si="232"/>
        <v/>
      </c>
      <c r="BZ978" s="83" t="str">
        <f t="shared" si="229"/>
        <v/>
      </c>
      <c r="CA978" s="83" t="str">
        <f t="shared" si="230"/>
        <v/>
      </c>
      <c r="CB978" s="530" t="str">
        <f t="shared" si="231"/>
        <v/>
      </c>
      <c r="CR978" t="s">
        <v>14348</v>
      </c>
      <c r="GF978" t="s">
        <v>8122</v>
      </c>
    </row>
    <row r="979" spans="76:188" ht="13.2" customHeight="1">
      <c r="BX979" s="83" t="str">
        <f>IF(Province="Grande baronnie du Hochland","Ville de Koerin","")</f>
        <v/>
      </c>
      <c r="BY979" t="str">
        <f t="shared" si="232"/>
        <v/>
      </c>
      <c r="BZ979" s="83" t="str">
        <f t="shared" si="229"/>
        <v/>
      </c>
      <c r="CA979" s="83" t="str">
        <f t="shared" si="230"/>
        <v/>
      </c>
      <c r="CB979" s="530" t="str">
        <f t="shared" si="231"/>
        <v/>
      </c>
      <c r="CR979" t="s">
        <v>14349</v>
      </c>
      <c r="GF979" t="s">
        <v>8637</v>
      </c>
    </row>
    <row r="980" spans="76:188" ht="13.2" customHeight="1">
      <c r="BX980" s="83" t="str">
        <f>IF(Province="Grande baronnie du Hochland","Village de Krudenwald","")</f>
        <v/>
      </c>
      <c r="BY980" t="str">
        <f t="shared" si="232"/>
        <v/>
      </c>
      <c r="BZ980" s="83" t="str">
        <f t="shared" si="229"/>
        <v/>
      </c>
      <c r="CA980" s="83" t="str">
        <f t="shared" si="230"/>
        <v/>
      </c>
      <c r="CB980" s="530" t="str">
        <f t="shared" si="231"/>
        <v/>
      </c>
      <c r="CR980" t="s">
        <v>14350</v>
      </c>
      <c r="GF980" t="s">
        <v>8123</v>
      </c>
    </row>
    <row r="981" spans="76:188" ht="13.2" customHeight="1">
      <c r="BX981" t="str">
        <f>IF(Province="Grande baronnie du Hochland","Village de Garssen","")</f>
        <v/>
      </c>
      <c r="BY981" t="str">
        <f t="shared" si="232"/>
        <v/>
      </c>
      <c r="BZ981" s="83" t="str">
        <f t="shared" si="229"/>
        <v/>
      </c>
      <c r="CA981" s="83" t="str">
        <f t="shared" si="230"/>
        <v/>
      </c>
      <c r="CB981" s="530" t="str">
        <f t="shared" si="231"/>
        <v/>
      </c>
      <c r="CR981" t="s">
        <v>14351</v>
      </c>
      <c r="GF981" t="s">
        <v>8630</v>
      </c>
    </row>
    <row r="982" spans="76:188" ht="13.2" customHeight="1">
      <c r="BX982" s="83" t="str">
        <f>IF(Province="Grande baronnie du Hochland","Village d'Hovelhof","")</f>
        <v/>
      </c>
      <c r="BY982" t="str">
        <f t="shared" si="232"/>
        <v/>
      </c>
      <c r="BZ982" s="83" t="str">
        <f t="shared" si="229"/>
        <v/>
      </c>
      <c r="CA982" s="83" t="str">
        <f t="shared" si="230"/>
        <v/>
      </c>
      <c r="CB982" s="530" t="str">
        <f t="shared" si="231"/>
        <v/>
      </c>
      <c r="CR982" t="s">
        <v>14352</v>
      </c>
      <c r="GF982" t="s">
        <v>8634</v>
      </c>
    </row>
    <row r="983" spans="76:188" ht="13.2" customHeight="1">
      <c r="BX983" s="83" t="str">
        <f>IF(Province="Grande baronnie du Hochland","Village de Selmigerholz","")</f>
        <v/>
      </c>
      <c r="BY983" t="str">
        <f t="shared" si="232"/>
        <v/>
      </c>
      <c r="BZ983" s="83" t="str">
        <f t="shared" si="229"/>
        <v/>
      </c>
      <c r="CA983" s="83" t="str">
        <f t="shared" si="230"/>
        <v/>
      </c>
      <c r="CB983" s="530" t="str">
        <f t="shared" si="231"/>
        <v/>
      </c>
      <c r="CR983" t="s">
        <v>14353</v>
      </c>
      <c r="GF983" t="s">
        <v>8124</v>
      </c>
    </row>
    <row r="984" spans="76:188" ht="13.2" customHeight="1">
      <c r="BX984" s="83" t="str">
        <f>IF(Province="Grands-duchés de Middenheim et du Middenland","Ville de Middenheim","")</f>
        <v/>
      </c>
      <c r="BY984" t="str">
        <f t="shared" si="232"/>
        <v/>
      </c>
      <c r="BZ984" s="83" t="str">
        <f t="shared" si="229"/>
        <v/>
      </c>
      <c r="CA984" s="83" t="str">
        <f t="shared" si="230"/>
        <v/>
      </c>
      <c r="CB984" s="530" t="str">
        <f t="shared" si="231"/>
        <v/>
      </c>
      <c r="CR984" t="s">
        <v>14354</v>
      </c>
      <c r="GF984" t="s">
        <v>8631</v>
      </c>
    </row>
    <row r="985" spans="76:188" ht="13.2" customHeight="1">
      <c r="BX985" t="str">
        <f>IF(Province="Grands-duchés de Middenheim et du Middenland","Village d'Arenberg","")</f>
        <v/>
      </c>
      <c r="BY985" t="str">
        <f t="shared" si="232"/>
        <v/>
      </c>
      <c r="BZ985" s="83" t="str">
        <f t="shared" si="229"/>
        <v/>
      </c>
      <c r="CA985" s="83" t="str">
        <f t="shared" si="230"/>
        <v/>
      </c>
      <c r="CB985" s="530" t="str">
        <f t="shared" si="231"/>
        <v/>
      </c>
      <c r="CR985" t="s">
        <v>14355</v>
      </c>
      <c r="GF985" t="s">
        <v>8644</v>
      </c>
    </row>
    <row r="986" spans="76:188" ht="13.2" customHeight="1">
      <c r="BX986" t="str">
        <f>IF(Province="Grands-duchés de Middenheim et du Middenland","Bourg d'Elsterweld","")</f>
        <v/>
      </c>
      <c r="BY986" t="str">
        <f t="shared" si="232"/>
        <v/>
      </c>
      <c r="BZ986" s="83" t="str">
        <f t="shared" si="229"/>
        <v/>
      </c>
      <c r="CA986" s="83" t="str">
        <f t="shared" si="230"/>
        <v/>
      </c>
      <c r="CB986" s="530" t="str">
        <f t="shared" si="231"/>
        <v/>
      </c>
      <c r="CR986" t="s">
        <v>14356</v>
      </c>
      <c r="GF986" t="s">
        <v>8125</v>
      </c>
    </row>
    <row r="987" spans="76:188" ht="13.2" customHeight="1">
      <c r="BX987" t="str">
        <f>IF(Province="Grands-duchés de Middenheim et du Middenland","Village de Grevenfeld","")</f>
        <v/>
      </c>
      <c r="BY987" t="str">
        <f t="shared" si="232"/>
        <v/>
      </c>
      <c r="BZ987" s="83" t="str">
        <f t="shared" si="229"/>
        <v/>
      </c>
      <c r="CA987" s="83" t="str">
        <f t="shared" si="230"/>
        <v/>
      </c>
      <c r="CB987" s="530" t="str">
        <f t="shared" si="231"/>
        <v/>
      </c>
      <c r="CR987" t="s">
        <v>14357</v>
      </c>
      <c r="GF987" t="s">
        <v>8645</v>
      </c>
    </row>
    <row r="988" spans="76:188" ht="13.2" customHeight="1">
      <c r="BX988" t="str">
        <f>IF(Province="Grands-duchés de Middenheim et du Middenland","Village d'Holzbeck","")</f>
        <v/>
      </c>
      <c r="BY988" t="str">
        <f t="shared" si="232"/>
        <v/>
      </c>
      <c r="BZ988" s="83" t="str">
        <f t="shared" si="229"/>
        <v/>
      </c>
      <c r="CA988" s="83" t="str">
        <f t="shared" si="230"/>
        <v/>
      </c>
      <c r="CB988" s="530" t="str">
        <f t="shared" si="231"/>
        <v/>
      </c>
      <c r="CR988" t="s">
        <v>14358</v>
      </c>
      <c r="GF988" t="s">
        <v>8650</v>
      </c>
    </row>
    <row r="989" spans="76:188" ht="13.2" customHeight="1">
      <c r="BX989" t="str">
        <f>IF(Province="Grands-duchés de Middenheim et du Middenland","Village d'Hunxe","")</f>
        <v/>
      </c>
      <c r="BY989" t="str">
        <f t="shared" si="232"/>
        <v/>
      </c>
      <c r="BZ989" s="83" t="str">
        <f t="shared" si="229"/>
        <v/>
      </c>
      <c r="CA989" s="83" t="str">
        <f t="shared" si="230"/>
        <v/>
      </c>
      <c r="CB989" s="530" t="str">
        <f t="shared" si="231"/>
        <v/>
      </c>
      <c r="CR989" t="s">
        <v>14359</v>
      </c>
      <c r="GF989" t="s">
        <v>8661</v>
      </c>
    </row>
    <row r="990" spans="76:188" ht="13.2" customHeight="1">
      <c r="BX990" t="str">
        <f>IF(Province="Grands-duchés de Middenheim et du Middenland","Village d'Immelschcki","")</f>
        <v/>
      </c>
      <c r="BY990" t="str">
        <f t="shared" si="232"/>
        <v/>
      </c>
      <c r="BZ990" s="83" t="str">
        <f t="shared" si="229"/>
        <v/>
      </c>
      <c r="CA990" s="83" t="str">
        <f t="shared" si="230"/>
        <v/>
      </c>
      <c r="CB990" s="530" t="str">
        <f t="shared" si="231"/>
        <v/>
      </c>
      <c r="CR990" t="s">
        <v>14360</v>
      </c>
      <c r="GF990" t="s">
        <v>882</v>
      </c>
    </row>
    <row r="991" spans="76:188" ht="13.2" customHeight="1">
      <c r="BX991" t="str">
        <f>IF(Province="Grands-duchés de Middenheim et du Middenland","Village de Jagerhausen","")</f>
        <v/>
      </c>
      <c r="BY991" t="str">
        <f t="shared" si="232"/>
        <v/>
      </c>
      <c r="BZ991" s="83" t="str">
        <f t="shared" si="229"/>
        <v/>
      </c>
      <c r="CA991" s="83" t="str">
        <f t="shared" si="230"/>
        <v/>
      </c>
      <c r="CB991" s="530" t="str">
        <f t="shared" si="231"/>
        <v/>
      </c>
      <c r="CR991" t="s">
        <v>14361</v>
      </c>
      <c r="GF991" t="s">
        <v>8662</v>
      </c>
    </row>
    <row r="992" spans="76:188" ht="13.2" customHeight="1">
      <c r="BX992" t="str">
        <f>IF(Province="Grands-duchés de Middenheim et du Middenland","Village de Lindenheim","")</f>
        <v/>
      </c>
      <c r="BY992" t="str">
        <f t="shared" si="232"/>
        <v/>
      </c>
      <c r="BZ992" s="83" t="str">
        <f t="shared" si="229"/>
        <v/>
      </c>
      <c r="CA992" s="83" t="str">
        <f t="shared" si="230"/>
        <v/>
      </c>
      <c r="CB992" s="530" t="str">
        <f t="shared" si="231"/>
        <v/>
      </c>
      <c r="CR992" t="s">
        <v>14362</v>
      </c>
      <c r="GF992" t="s">
        <v>8659</v>
      </c>
    </row>
    <row r="993" spans="76:188" ht="13.2" customHeight="1">
      <c r="BX993" s="83" t="str">
        <f>IF(Province="Grands-duchés de Middenheim et du Middenland","Bourg de Norderingen","")</f>
        <v/>
      </c>
      <c r="BY993" t="str">
        <f t="shared" si="232"/>
        <v/>
      </c>
      <c r="BZ993" s="83" t="str">
        <f t="shared" si="229"/>
        <v/>
      </c>
      <c r="CA993" s="83" t="str">
        <f t="shared" si="230"/>
        <v/>
      </c>
      <c r="CB993" s="530" t="str">
        <f t="shared" si="231"/>
        <v/>
      </c>
      <c r="CR993" t="s">
        <v>14363</v>
      </c>
      <c r="GF993" t="s">
        <v>8655</v>
      </c>
    </row>
    <row r="994" spans="76:188" ht="13.2" customHeight="1">
      <c r="BX994" s="83" t="str">
        <f>IF(Province="Grands-duchés de Middenheim et du Middenland","Bourg de Schoninghagen","")</f>
        <v/>
      </c>
      <c r="BY994" t="str">
        <f t="shared" si="232"/>
        <v/>
      </c>
      <c r="BZ994" s="83" t="str">
        <f t="shared" si="229"/>
        <v/>
      </c>
      <c r="CA994" s="83" t="str">
        <f t="shared" si="230"/>
        <v/>
      </c>
      <c r="CB994" s="530" t="str">
        <f t="shared" si="231"/>
        <v/>
      </c>
      <c r="CR994" t="s">
        <v>14364</v>
      </c>
      <c r="GF994" t="s">
        <v>8663</v>
      </c>
    </row>
    <row r="995" spans="76:188" ht="13.2" customHeight="1">
      <c r="BX995" t="str">
        <f>IF(Province="Grands-duchés de Middenheim et du Middenland","Bourg de Warrenburg","")</f>
        <v/>
      </c>
      <c r="BY995" t="str">
        <f t="shared" si="232"/>
        <v/>
      </c>
      <c r="BZ995" s="83" t="str">
        <f t="shared" si="229"/>
        <v/>
      </c>
      <c r="CA995" s="83" t="str">
        <f t="shared" si="230"/>
        <v/>
      </c>
      <c r="CB995" s="530" t="str">
        <f t="shared" si="231"/>
        <v/>
      </c>
      <c r="CR995" t="s">
        <v>14365</v>
      </c>
      <c r="GF995" t="s">
        <v>8664</v>
      </c>
    </row>
    <row r="996" spans="76:188" ht="13.2" customHeight="1">
      <c r="BX996" s="83" t="str">
        <f>IF(Province="Grands-duchés de Middenheim et du Middenland","Ville d'Ahlenhof","")</f>
        <v/>
      </c>
      <c r="BY996" t="str">
        <f t="shared" si="232"/>
        <v/>
      </c>
      <c r="BZ996" s="83" t="str">
        <f t="shared" si="229"/>
        <v/>
      </c>
      <c r="CA996" s="83" t="str">
        <f t="shared" si="230"/>
        <v/>
      </c>
      <c r="CB996" s="530" t="str">
        <f t="shared" si="231"/>
        <v/>
      </c>
      <c r="CR996" t="s">
        <v>14366</v>
      </c>
      <c r="GF996" t="s">
        <v>8665</v>
      </c>
    </row>
    <row r="997" spans="76:188" ht="13.2" customHeight="1">
      <c r="BX997" t="str">
        <f>IF(Province="Grands-duchés de Middenheim et du Middenland","Village de Bad Hohne","")</f>
        <v/>
      </c>
      <c r="BY997" t="str">
        <f t="shared" si="232"/>
        <v/>
      </c>
      <c r="BZ997" s="83" t="str">
        <f t="shared" si="229"/>
        <v/>
      </c>
      <c r="CA997" s="83" t="str">
        <f t="shared" si="230"/>
        <v/>
      </c>
      <c r="CB997" s="530" t="str">
        <f t="shared" si="231"/>
        <v/>
      </c>
      <c r="CR997" t="s">
        <v>14367</v>
      </c>
      <c r="GF997" t="s">
        <v>8666</v>
      </c>
    </row>
    <row r="998" spans="76:188" ht="13.2" customHeight="1">
      <c r="BX998" t="str">
        <f>IF(Province="Grands-duchés de Middenheim et du Middenland","Village de Leer","")</f>
        <v/>
      </c>
      <c r="BY998" t="str">
        <f t="shared" si="232"/>
        <v/>
      </c>
      <c r="BZ998" s="83" t="str">
        <f t="shared" si="229"/>
        <v/>
      </c>
      <c r="CA998" s="83" t="str">
        <f t="shared" si="230"/>
        <v/>
      </c>
      <c r="CB998" s="530" t="str">
        <f t="shared" si="231"/>
        <v/>
      </c>
      <c r="CR998" t="s">
        <v>14368</v>
      </c>
      <c r="GF998" t="s">
        <v>8656</v>
      </c>
    </row>
    <row r="999" spans="76:188" ht="13.2" customHeight="1">
      <c r="BX999" t="str">
        <f>IF(Province="Grands-duchés de Middenheim et du Middenland","Village de Suderberg","")</f>
        <v/>
      </c>
      <c r="BY999" t="str">
        <f t="shared" si="232"/>
        <v/>
      </c>
      <c r="BZ999" s="83" t="str">
        <f t="shared" si="229"/>
        <v/>
      </c>
      <c r="CA999" s="83" t="str">
        <f t="shared" si="230"/>
        <v/>
      </c>
      <c r="CB999" s="530" t="str">
        <f t="shared" si="231"/>
        <v/>
      </c>
      <c r="CR999" t="s">
        <v>14369</v>
      </c>
      <c r="GF999" t="s">
        <v>8128</v>
      </c>
    </row>
    <row r="1000" spans="76:188" ht="13.2" customHeight="1">
      <c r="BX1000" s="83" t="str">
        <f>IF(Province="Grands-duchés de Middenheim et du Middenland","Citadelle d'Airain","")</f>
        <v/>
      </c>
      <c r="BY1000" t="str">
        <f t="shared" si="232"/>
        <v/>
      </c>
      <c r="BZ1000" s="83" t="str">
        <f t="shared" si="229"/>
        <v/>
      </c>
      <c r="CA1000" s="83" t="str">
        <f t="shared" si="230"/>
        <v/>
      </c>
      <c r="CB1000" s="530" t="str">
        <f t="shared" si="231"/>
        <v/>
      </c>
      <c r="CR1000" t="s">
        <v>14370</v>
      </c>
      <c r="GF1000" t="s">
        <v>8660</v>
      </c>
    </row>
    <row r="1001" spans="76:188" ht="13.2" customHeight="1">
      <c r="BX1001" s="83" t="str">
        <f>IF(Province="Grands-duchés de Middenheim et du Middenland","Ville de Carrobourg","")</f>
        <v/>
      </c>
      <c r="BY1001" t="str">
        <f t="shared" si="232"/>
        <v/>
      </c>
      <c r="BZ1001" s="83" t="str">
        <f t="shared" si="229"/>
        <v/>
      </c>
      <c r="CA1001" s="83" t="str">
        <f t="shared" si="230"/>
        <v/>
      </c>
      <c r="CB1001" s="530" t="str">
        <f t="shared" si="231"/>
        <v/>
      </c>
      <c r="CR1001" t="s">
        <v>14371</v>
      </c>
      <c r="GF1001" t="s">
        <v>8658</v>
      </c>
    </row>
    <row r="1002" spans="76:188" ht="13.2" customHeight="1">
      <c r="BX1002" t="str">
        <f>IF(Province="Grands-duchés de Middenheim et du Middenland","Village d'Anseldorf","")</f>
        <v/>
      </c>
      <c r="BY1002" t="str">
        <f t="shared" si="232"/>
        <v/>
      </c>
      <c r="BZ1002" s="83" t="str">
        <f t="shared" si="229"/>
        <v/>
      </c>
      <c r="CA1002" s="83" t="str">
        <f t="shared" si="230"/>
        <v/>
      </c>
      <c r="CB1002" s="530" t="str">
        <f t="shared" si="231"/>
        <v/>
      </c>
      <c r="CR1002" t="s">
        <v>14372</v>
      </c>
      <c r="GF1002" t="s">
        <v>8668</v>
      </c>
    </row>
    <row r="1003" spans="76:188" ht="13.2" customHeight="1">
      <c r="BX1003" t="str">
        <f>IF(Province="Grands-duchés de Middenheim et du Middenland","Village de Barenfàhre","")</f>
        <v/>
      </c>
      <c r="BY1003" t="str">
        <f t="shared" si="232"/>
        <v/>
      </c>
      <c r="BZ1003" s="83" t="str">
        <f t="shared" si="229"/>
        <v/>
      </c>
      <c r="CA1003" s="83" t="str">
        <f t="shared" si="230"/>
        <v/>
      </c>
      <c r="CB1003" s="530" t="str">
        <f t="shared" si="231"/>
        <v/>
      </c>
      <c r="CR1003" t="s">
        <v>14373</v>
      </c>
      <c r="GF1003" t="s">
        <v>8657</v>
      </c>
    </row>
    <row r="1004" spans="76:188" ht="13.2" customHeight="1">
      <c r="BX1004" t="str">
        <f>IF(Province="Grands-duchés de Middenheim et du Middenland","Village de Dunkelbild","")</f>
        <v/>
      </c>
      <c r="BY1004" t="str">
        <f t="shared" si="232"/>
        <v/>
      </c>
      <c r="BZ1004" s="83" t="str">
        <f t="shared" si="229"/>
        <v/>
      </c>
      <c r="CA1004" s="83" t="str">
        <f t="shared" si="230"/>
        <v/>
      </c>
      <c r="CB1004" s="530" t="str">
        <f t="shared" si="231"/>
        <v/>
      </c>
      <c r="CR1004" t="s">
        <v>14374</v>
      </c>
      <c r="GF1004" t="s">
        <v>8667</v>
      </c>
    </row>
    <row r="1005" spans="76:188" ht="13.2" customHeight="1">
      <c r="BX1005" t="str">
        <f>IF(Province="Grands-duchés de Middenheim et du Middenland","Village de Punzen","")</f>
        <v/>
      </c>
      <c r="BY1005" t="str">
        <f t="shared" si="232"/>
        <v/>
      </c>
      <c r="BZ1005" s="83" t="str">
        <f t="shared" si="229"/>
        <v/>
      </c>
      <c r="CA1005" s="83" t="str">
        <f t="shared" si="230"/>
        <v/>
      </c>
      <c r="CB1005" s="530" t="str">
        <f t="shared" si="231"/>
        <v/>
      </c>
      <c r="CR1005" t="s">
        <v>14375</v>
      </c>
      <c r="GF1005" t="s">
        <v>8682</v>
      </c>
    </row>
    <row r="1006" spans="76:188" ht="13.2" customHeight="1">
      <c r="BX1006" t="str">
        <f>IF(Province="Grands-duchés de Middenheim et du Middenland","Village de Schattenlas","")</f>
        <v/>
      </c>
      <c r="BY1006" t="str">
        <f t="shared" si="232"/>
        <v/>
      </c>
      <c r="BZ1006" s="83" t="str">
        <f t="shared" si="229"/>
        <v/>
      </c>
      <c r="CA1006" s="83" t="str">
        <f t="shared" si="230"/>
        <v/>
      </c>
      <c r="CB1006" s="530" t="str">
        <f t="shared" si="231"/>
        <v/>
      </c>
      <c r="CR1006" t="s">
        <v>14376</v>
      </c>
      <c r="GF1006" t="s">
        <v>8129</v>
      </c>
    </row>
    <row r="1007" spans="76:188" ht="13.2" customHeight="1">
      <c r="BX1007" t="str">
        <f>IF(Province="Grands-duchés de Middenheim et du Middenland","Village de Senden","")</f>
        <v/>
      </c>
      <c r="BY1007" t="str">
        <f t="shared" si="232"/>
        <v/>
      </c>
      <c r="BZ1007" s="83" t="str">
        <f t="shared" si="229"/>
        <v/>
      </c>
      <c r="CA1007" s="83" t="str">
        <f t="shared" si="230"/>
        <v/>
      </c>
      <c r="CB1007" s="530" t="str">
        <f t="shared" si="231"/>
        <v/>
      </c>
      <c r="CR1007" t="s">
        <v>14377</v>
      </c>
      <c r="GF1007" t="s">
        <v>8674</v>
      </c>
    </row>
    <row r="1008" spans="76:188" ht="13.2" customHeight="1">
      <c r="BX1008" t="str">
        <f>IF(Province="Grands-duchés de Middenheim et du Middenland","Village de Weidemarkt","")</f>
        <v/>
      </c>
      <c r="BY1008" t="str">
        <f t="shared" si="232"/>
        <v/>
      </c>
      <c r="BZ1008" s="83" t="str">
        <f t="shared" si="229"/>
        <v/>
      </c>
      <c r="CA1008" s="83" t="str">
        <f t="shared" si="230"/>
        <v/>
      </c>
      <c r="CB1008" s="530" t="str">
        <f t="shared" si="231"/>
        <v/>
      </c>
      <c r="CR1008" t="s">
        <v>14378</v>
      </c>
      <c r="GF1008" t="s">
        <v>8672</v>
      </c>
    </row>
    <row r="1009" spans="76:188" ht="13.2" customHeight="1">
      <c r="BX1009" s="83" t="str">
        <f>IF(Province="Grands-duchés de Middenheim et du Middenland","Ville de Delberz","")</f>
        <v/>
      </c>
      <c r="BY1009" t="str">
        <f t="shared" si="232"/>
        <v/>
      </c>
      <c r="BZ1009" s="83" t="str">
        <f t="shared" si="229"/>
        <v/>
      </c>
      <c r="CA1009" s="83" t="str">
        <f t="shared" si="230"/>
        <v/>
      </c>
      <c r="CB1009" s="530" t="str">
        <f t="shared" si="231"/>
        <v/>
      </c>
      <c r="CR1009" t="s">
        <v>14379</v>
      </c>
      <c r="GF1009" t="s">
        <v>8675</v>
      </c>
    </row>
    <row r="1010" spans="76:188" ht="13.2" customHeight="1">
      <c r="BX1010" t="str">
        <f>IF(Province="Grands-duchés de Middenheim et du Middenland","Village de Mittelmund","")</f>
        <v/>
      </c>
      <c r="BY1010" t="str">
        <f t="shared" si="232"/>
        <v/>
      </c>
      <c r="BZ1010" s="83" t="str">
        <f t="shared" si="229"/>
        <v/>
      </c>
      <c r="CA1010" s="83" t="str">
        <f t="shared" si="230"/>
        <v/>
      </c>
      <c r="CB1010" s="530" t="str">
        <f t="shared" si="231"/>
        <v/>
      </c>
      <c r="CR1010" t="s">
        <v>14380</v>
      </c>
      <c r="GF1010" t="s">
        <v>8676</v>
      </c>
    </row>
    <row r="1011" spans="76:188" ht="13.2" customHeight="1">
      <c r="BX1011" t="str">
        <f>IF(Province="Grands-duchés de Middenheim et du Middenland","Village de Schwarzmarkt","")</f>
        <v/>
      </c>
      <c r="BY1011" t="str">
        <f t="shared" si="232"/>
        <v/>
      </c>
      <c r="BZ1011" s="83" t="str">
        <f t="shared" si="229"/>
        <v/>
      </c>
      <c r="CA1011" s="83" t="str">
        <f t="shared" si="230"/>
        <v/>
      </c>
      <c r="CB1011" s="530" t="str">
        <f t="shared" si="231"/>
        <v/>
      </c>
      <c r="CR1011" t="s">
        <v>14381</v>
      </c>
      <c r="GF1011" t="s">
        <v>8669</v>
      </c>
    </row>
    <row r="1012" spans="76:188" ht="13.2" customHeight="1">
      <c r="BX1012" t="str">
        <f>IF(Province="Grands-duchés de Middenheim et du Middenland","Village de Turmgever","")</f>
        <v/>
      </c>
      <c r="BY1012" t="str">
        <f t="shared" si="232"/>
        <v/>
      </c>
      <c r="BZ1012" s="83" t="str">
        <f t="shared" si="229"/>
        <v/>
      </c>
      <c r="CA1012" s="83" t="str">
        <f t="shared" si="230"/>
        <v/>
      </c>
      <c r="CB1012" s="530" t="str">
        <f t="shared" si="231"/>
        <v/>
      </c>
      <c r="CR1012" t="s">
        <v>14382</v>
      </c>
      <c r="GF1012" t="s">
        <v>8130</v>
      </c>
    </row>
    <row r="1013" spans="76:188" ht="13.2" customHeight="1">
      <c r="BX1013" s="83" t="str">
        <f>IF(Province="Grands-duchés de Middenheim et du Middenland","Ville de Grimminhagen","")</f>
        <v/>
      </c>
      <c r="BY1013" t="str">
        <f t="shared" si="232"/>
        <v/>
      </c>
      <c r="BZ1013" s="83" t="str">
        <f t="shared" si="229"/>
        <v/>
      </c>
      <c r="CA1013" s="83" t="str">
        <f t="shared" si="230"/>
        <v/>
      </c>
      <c r="CB1013" s="530" t="str">
        <f t="shared" si="231"/>
        <v/>
      </c>
      <c r="CR1013" t="s">
        <v>14383</v>
      </c>
      <c r="GF1013" t="s">
        <v>8677</v>
      </c>
    </row>
    <row r="1014" spans="76:188" ht="13.2" customHeight="1">
      <c r="BX1014" t="str">
        <f>IF(Province="Grands-duchés de Middenheim et du Middenland","Village de Fintel","")</f>
        <v/>
      </c>
      <c r="BY1014" t="str">
        <f t="shared" si="232"/>
        <v/>
      </c>
      <c r="BZ1014" s="83" t="str">
        <f t="shared" si="229"/>
        <v/>
      </c>
      <c r="CA1014" s="83" t="str">
        <f t="shared" si="230"/>
        <v/>
      </c>
      <c r="CB1014" s="530" t="str">
        <f t="shared" si="231"/>
        <v/>
      </c>
      <c r="CR1014" t="s">
        <v>14384</v>
      </c>
      <c r="GF1014" t="s">
        <v>8670</v>
      </c>
    </row>
    <row r="1015" spans="76:188" ht="13.2" customHeight="1">
      <c r="BX1015" t="str">
        <f>IF(Province="Grands-duchés de Middenheim et du Middenland","Village d'Harsum","")</f>
        <v/>
      </c>
      <c r="BY1015" t="str">
        <f t="shared" si="232"/>
        <v/>
      </c>
      <c r="BZ1015" s="83" t="str">
        <f t="shared" si="229"/>
        <v/>
      </c>
      <c r="CA1015" s="83" t="str">
        <f t="shared" si="230"/>
        <v/>
      </c>
      <c r="CB1015" s="530" t="str">
        <f t="shared" si="231"/>
        <v/>
      </c>
      <c r="CR1015" t="s">
        <v>14385</v>
      </c>
      <c r="GF1015" t="s">
        <v>8131</v>
      </c>
    </row>
    <row r="1016" spans="76:188" ht="13.2" customHeight="1">
      <c r="BX1016" s="83" t="str">
        <f>IF(Province="Grands-duchés de Middenheim et du Middenland","Mine de Rosche","")</f>
        <v/>
      </c>
      <c r="BY1016" t="str">
        <f t="shared" si="232"/>
        <v/>
      </c>
      <c r="BZ1016" s="83" t="str">
        <f t="shared" si="229"/>
        <v/>
      </c>
      <c r="CA1016" s="83" t="str">
        <f t="shared" si="230"/>
        <v/>
      </c>
      <c r="CB1016" s="530" t="str">
        <f t="shared" si="231"/>
        <v/>
      </c>
      <c r="CR1016" t="s">
        <v>14386</v>
      </c>
      <c r="GF1016" t="s">
        <v>8671</v>
      </c>
    </row>
    <row r="1017" spans="76:188" ht="13.2" customHeight="1">
      <c r="BX1017" t="str">
        <f>IF(Province="Grands-duchés de Middenheim et du Middenland","Village de Winsen","")</f>
        <v/>
      </c>
      <c r="BY1017" t="str">
        <f t="shared" si="232"/>
        <v/>
      </c>
      <c r="BZ1017" s="83" t="str">
        <f t="shared" si="229"/>
        <v/>
      </c>
      <c r="CA1017" s="83" t="str">
        <f t="shared" si="230"/>
        <v/>
      </c>
      <c r="CB1017" s="530" t="str">
        <f t="shared" si="231"/>
        <v/>
      </c>
      <c r="CR1017" t="s">
        <v>14387</v>
      </c>
      <c r="GF1017" t="s">
        <v>8132</v>
      </c>
    </row>
    <row r="1018" spans="76:188" ht="13.2" customHeight="1">
      <c r="BX1018" s="83" t="str">
        <f>IF(Province="Grands-duchés de Middenheim et du Middenland","Village de Grubentreich","")</f>
        <v/>
      </c>
      <c r="BY1018" t="str">
        <f t="shared" si="232"/>
        <v/>
      </c>
      <c r="BZ1018" s="83" t="str">
        <f t="shared" si="229"/>
        <v/>
      </c>
      <c r="CA1018" s="83" t="str">
        <f t="shared" si="230"/>
        <v/>
      </c>
      <c r="CB1018" s="530" t="str">
        <f t="shared" si="231"/>
        <v/>
      </c>
      <c r="CR1018" t="s">
        <v>14388</v>
      </c>
      <c r="GF1018" t="s">
        <v>8133</v>
      </c>
    </row>
    <row r="1019" spans="76:188" ht="13.2" customHeight="1">
      <c r="BX1019" s="83" t="str">
        <f>IF(Province="Grands-duchés de Middenheim et du Middenland","Village de Kammendun","")</f>
        <v/>
      </c>
      <c r="BY1019" t="str">
        <f t="shared" si="232"/>
        <v/>
      </c>
      <c r="BZ1019" s="83" t="str">
        <f t="shared" si="229"/>
        <v/>
      </c>
      <c r="CA1019" s="83" t="str">
        <f t="shared" si="230"/>
        <v/>
      </c>
      <c r="CB1019" s="530" t="str">
        <f t="shared" si="231"/>
        <v/>
      </c>
      <c r="CR1019" t="s">
        <v>14389</v>
      </c>
      <c r="GF1019" t="s">
        <v>8134</v>
      </c>
    </row>
    <row r="1020" spans="76:188" ht="13.2" customHeight="1">
      <c r="BX1020" s="83" t="str">
        <f>IF(Province="Grands-duchés de Middenheim et du Middenland","Village de Leichlinberg","")</f>
        <v/>
      </c>
      <c r="BY1020" t="str">
        <f t="shared" si="232"/>
        <v/>
      </c>
      <c r="BZ1020" s="83" t="str">
        <f t="shared" si="229"/>
        <v/>
      </c>
      <c r="CA1020" s="83" t="str">
        <f t="shared" si="230"/>
        <v/>
      </c>
      <c r="CB1020" s="530" t="str">
        <f t="shared" si="231"/>
        <v/>
      </c>
      <c r="CR1020" t="s">
        <v>14390</v>
      </c>
      <c r="GF1020" t="s">
        <v>8135</v>
      </c>
    </row>
    <row r="1021" spans="76:188" ht="13.2" customHeight="1">
      <c r="BX1021" s="83" t="str">
        <f>IF(Province="Grands-duchés de Middenheim et du Middenland","Fort de Middenstag","")</f>
        <v/>
      </c>
      <c r="BY1021" t="str">
        <f t="shared" si="232"/>
        <v/>
      </c>
      <c r="BZ1021" s="83" t="str">
        <f t="shared" si="229"/>
        <v/>
      </c>
      <c r="CA1021" s="83" t="str">
        <f t="shared" si="230"/>
        <v/>
      </c>
      <c r="CB1021" s="530" t="str">
        <f t="shared" si="231"/>
        <v/>
      </c>
      <c r="CR1021" t="s">
        <v>14391</v>
      </c>
      <c r="GF1021" t="s">
        <v>8136</v>
      </c>
    </row>
    <row r="1022" spans="76:188" ht="13.2" customHeight="1">
      <c r="BX1022" s="83" t="str">
        <f>IF(Province="Grands-duchés de Middenheim et du Middenland","Village de Pritzstock","")</f>
        <v/>
      </c>
      <c r="BY1022" t="str">
        <f t="shared" si="232"/>
        <v/>
      </c>
      <c r="BZ1022" s="83" t="str">
        <f t="shared" si="229"/>
        <v/>
      </c>
      <c r="CA1022" s="83" t="str">
        <f t="shared" si="230"/>
        <v/>
      </c>
      <c r="CB1022" s="530" t="str">
        <f t="shared" si="231"/>
        <v/>
      </c>
      <c r="CR1022" t="s">
        <v>14392</v>
      </c>
      <c r="GF1022" t="s">
        <v>8678</v>
      </c>
    </row>
    <row r="1023" spans="76:188" ht="13.2" customHeight="1">
      <c r="BX1023" s="83" t="str">
        <f>IF(Province="Grands-duchés de Middenheim et du Middenland","Bourg de Scheinfeld","")</f>
        <v/>
      </c>
      <c r="BY1023" t="str">
        <f t="shared" si="232"/>
        <v/>
      </c>
      <c r="BZ1023" s="83" t="str">
        <f t="shared" si="229"/>
        <v/>
      </c>
      <c r="CA1023" s="83" t="str">
        <f t="shared" si="230"/>
        <v/>
      </c>
      <c r="CB1023" s="530" t="str">
        <f t="shared" si="231"/>
        <v/>
      </c>
      <c r="CR1023" t="s">
        <v>14393</v>
      </c>
      <c r="GF1023" t="s">
        <v>8679</v>
      </c>
    </row>
    <row r="1024" spans="76:188" ht="13.2" customHeight="1">
      <c r="BX1024" s="83" t="str">
        <f>IF(Province="Grands-duchés de Middenheim et du Middenland","Village d'Hupstedt","")</f>
        <v/>
      </c>
      <c r="BY1024" t="str">
        <f t="shared" si="232"/>
        <v/>
      </c>
      <c r="BZ1024" s="83" t="str">
        <f t="shared" si="229"/>
        <v/>
      </c>
      <c r="CA1024" s="83" t="str">
        <f t="shared" si="230"/>
        <v/>
      </c>
      <c r="CB1024" s="530" t="str">
        <f t="shared" si="231"/>
        <v/>
      </c>
      <c r="CR1024" t="s">
        <v>14394</v>
      </c>
      <c r="GF1024" t="s">
        <v>7646</v>
      </c>
    </row>
    <row r="1025" spans="76:188" ht="13.2" customHeight="1">
      <c r="BX1025" s="83" t="str">
        <f>IF(Province="Grands-duchés de Middenheim et du Middenland","Village d'Uder","")</f>
        <v/>
      </c>
      <c r="BY1025" t="str">
        <f t="shared" si="232"/>
        <v/>
      </c>
      <c r="BZ1025" s="83" t="str">
        <f t="shared" si="229"/>
        <v/>
      </c>
      <c r="CA1025" s="83" t="str">
        <f t="shared" si="230"/>
        <v/>
      </c>
      <c r="CB1025" s="530" t="str">
        <f t="shared" si="231"/>
        <v/>
      </c>
      <c r="CR1025" t="s">
        <v>14395</v>
      </c>
      <c r="GF1025" t="s">
        <v>8683</v>
      </c>
    </row>
    <row r="1026" spans="76:188" ht="13.2" customHeight="1">
      <c r="BX1026" s="83" t="str">
        <f>IF(Province="Grands-duchés de Middenheim et du Middenland","Village de Schoppendorf","")</f>
        <v/>
      </c>
      <c r="BY1026" t="str">
        <f t="shared" si="232"/>
        <v/>
      </c>
      <c r="BZ1026" s="83" t="str">
        <f t="shared" ref="BZ1026:BZ1089" si="233">IFERROR(SMALL(BY:BY,ROW()-1),"")</f>
        <v/>
      </c>
      <c r="CA1026" s="83" t="str">
        <f t="shared" ref="CA1026:CA1089" si="234">IFERROR(INDEX(BX:BX,BZ1026),"")</f>
        <v/>
      </c>
      <c r="CB1026" s="530" t="str">
        <f t="shared" ref="CB1026:CB1089" si="235">INDEX(CA:CA,ROW())</f>
        <v/>
      </c>
      <c r="CR1026" t="s">
        <v>14396</v>
      </c>
      <c r="GF1026" t="s">
        <v>8680</v>
      </c>
    </row>
    <row r="1027" spans="76:188" ht="13.2" customHeight="1">
      <c r="BX1027" s="83" t="str">
        <f>IF(Province="Grands-duchés de Middenheim et du Middenland","Village de Langwiese","")</f>
        <v/>
      </c>
      <c r="BY1027" t="str">
        <f t="shared" ref="BY1027:BY1090" si="236">IF(BX1027="","",ROW())</f>
        <v/>
      </c>
      <c r="BZ1027" s="83" t="str">
        <f t="shared" si="233"/>
        <v/>
      </c>
      <c r="CA1027" s="83" t="str">
        <f t="shared" si="234"/>
        <v/>
      </c>
      <c r="CB1027" s="530" t="str">
        <f t="shared" si="235"/>
        <v/>
      </c>
      <c r="CR1027" t="s">
        <v>14397</v>
      </c>
      <c r="GF1027" t="s">
        <v>8684</v>
      </c>
    </row>
    <row r="1028" spans="76:188" ht="13.2" customHeight="1">
      <c r="BX1028" s="83" t="str">
        <f>IF(Province="Grands-duchés de Middenheim et du Middenland","Village de Sokh","")</f>
        <v/>
      </c>
      <c r="BY1028" t="str">
        <f t="shared" si="236"/>
        <v/>
      </c>
      <c r="BZ1028" s="83" t="str">
        <f t="shared" si="233"/>
        <v/>
      </c>
      <c r="CA1028" s="83" t="str">
        <f t="shared" si="234"/>
        <v/>
      </c>
      <c r="CB1028" s="530" t="str">
        <f t="shared" si="235"/>
        <v/>
      </c>
      <c r="CR1028" t="s">
        <v>14398</v>
      </c>
      <c r="GF1028" t="s">
        <v>8685</v>
      </c>
    </row>
    <row r="1029" spans="76:188" ht="13.2" customHeight="1">
      <c r="BX1029" s="83" t="str">
        <f>IF(Province="Grands-duchés de Middenheim et du Middenland","Bourg d'Untergard","")</f>
        <v/>
      </c>
      <c r="BY1029" t="str">
        <f t="shared" si="236"/>
        <v/>
      </c>
      <c r="BZ1029" s="83" t="str">
        <f t="shared" si="233"/>
        <v/>
      </c>
      <c r="CA1029" s="83" t="str">
        <f t="shared" si="234"/>
        <v/>
      </c>
      <c r="CB1029" s="530" t="str">
        <f t="shared" si="235"/>
        <v/>
      </c>
      <c r="CR1029" t="s">
        <v>14399</v>
      </c>
      <c r="GF1029" t="s">
        <v>8673</v>
      </c>
    </row>
    <row r="1030" spans="76:188" ht="13.2" customHeight="1">
      <c r="BX1030" s="83" t="str">
        <f>IF(Province="Le Grand comté du Mootland","Ville d'Eicheschatten","")</f>
        <v/>
      </c>
      <c r="BY1030" t="str">
        <f t="shared" si="236"/>
        <v/>
      </c>
      <c r="BZ1030" s="83" t="str">
        <f t="shared" si="233"/>
        <v/>
      </c>
      <c r="CA1030" s="83" t="str">
        <f t="shared" si="234"/>
        <v/>
      </c>
      <c r="CB1030" s="530" t="str">
        <f t="shared" si="235"/>
        <v/>
      </c>
      <c r="CR1030" t="s">
        <v>14400</v>
      </c>
      <c r="GF1030" t="s">
        <v>8681</v>
      </c>
    </row>
    <row r="1031" spans="76:188" ht="13.2" customHeight="1">
      <c r="BX1031" t="str">
        <f>IF(Province="Le Grand comté du Mootland","Village de Birnbaum","")</f>
        <v/>
      </c>
      <c r="BY1031" t="str">
        <f t="shared" si="236"/>
        <v/>
      </c>
      <c r="BZ1031" s="83" t="str">
        <f t="shared" si="233"/>
        <v/>
      </c>
      <c r="CA1031" s="83" t="str">
        <f t="shared" si="234"/>
        <v/>
      </c>
      <c r="CB1031" s="530" t="str">
        <f t="shared" si="235"/>
        <v/>
      </c>
      <c r="CR1031" t="s">
        <v>14401</v>
      </c>
      <c r="GF1031" t="s">
        <v>8699</v>
      </c>
    </row>
    <row r="1032" spans="76:188" ht="13.2" customHeight="1">
      <c r="BX1032" t="str">
        <f>IF(Province="Le Grand comté du Mootland","Bourg de Dreiflussen","")</f>
        <v/>
      </c>
      <c r="BY1032" t="str">
        <f t="shared" si="236"/>
        <v/>
      </c>
      <c r="BZ1032" s="83" t="str">
        <f t="shared" si="233"/>
        <v/>
      </c>
      <c r="CA1032" s="83" t="str">
        <f t="shared" si="234"/>
        <v/>
      </c>
      <c r="CB1032" s="530" t="str">
        <f t="shared" si="235"/>
        <v/>
      </c>
      <c r="CR1032" t="s">
        <v>14402</v>
      </c>
      <c r="GF1032" t="s">
        <v>8698</v>
      </c>
    </row>
    <row r="1033" spans="76:188" ht="13.2" customHeight="1">
      <c r="BX1033" t="str">
        <f>IF(Province="Le Grand comté du Mootland","Bourg d'Einsamholz","")</f>
        <v/>
      </c>
      <c r="BY1033" t="str">
        <f t="shared" si="236"/>
        <v/>
      </c>
      <c r="BZ1033" s="83" t="str">
        <f t="shared" si="233"/>
        <v/>
      </c>
      <c r="CA1033" s="83" t="str">
        <f t="shared" si="234"/>
        <v/>
      </c>
      <c r="CB1033" s="530" t="str">
        <f t="shared" si="235"/>
        <v/>
      </c>
      <c r="CR1033" t="s">
        <v>14403</v>
      </c>
      <c r="GF1033" t="s">
        <v>8700</v>
      </c>
    </row>
    <row r="1034" spans="76:188" ht="13.2" customHeight="1">
      <c r="BX1034" t="str">
        <f>IF(Province="Le Grand comté du Mootland","Village de Fâllenblatt","")</f>
        <v/>
      </c>
      <c r="BY1034" t="str">
        <f t="shared" si="236"/>
        <v/>
      </c>
      <c r="BZ1034" s="83" t="str">
        <f t="shared" si="233"/>
        <v/>
      </c>
      <c r="CA1034" s="83" t="str">
        <f t="shared" si="234"/>
        <v/>
      </c>
      <c r="CB1034" s="530" t="str">
        <f t="shared" si="235"/>
        <v/>
      </c>
      <c r="CR1034" t="s">
        <v>14404</v>
      </c>
      <c r="GF1034" t="s">
        <v>8686</v>
      </c>
    </row>
    <row r="1035" spans="76:188" ht="13.2" customHeight="1">
      <c r="BX1035" t="str">
        <f>IF(Province="Le Grand comté du Mootland","Village de Gipfel","")</f>
        <v/>
      </c>
      <c r="BY1035" t="str">
        <f t="shared" si="236"/>
        <v/>
      </c>
      <c r="BZ1035" s="83" t="str">
        <f t="shared" si="233"/>
        <v/>
      </c>
      <c r="CA1035" s="83" t="str">
        <f t="shared" si="234"/>
        <v/>
      </c>
      <c r="CB1035" s="530" t="str">
        <f t="shared" si="235"/>
        <v/>
      </c>
      <c r="CR1035" t="s">
        <v>14405</v>
      </c>
      <c r="GF1035" t="s">
        <v>8695</v>
      </c>
    </row>
    <row r="1036" spans="76:188" ht="13.2" customHeight="1">
      <c r="BX1036" t="str">
        <f>IF(Province="Le Grand comté du Mootland","Village de Grùnhûgel","")</f>
        <v/>
      </c>
      <c r="BY1036" t="str">
        <f t="shared" si="236"/>
        <v/>
      </c>
      <c r="BZ1036" s="83" t="str">
        <f t="shared" si="233"/>
        <v/>
      </c>
      <c r="CA1036" s="83" t="str">
        <f t="shared" si="234"/>
        <v/>
      </c>
      <c r="CB1036" s="530" t="str">
        <f t="shared" si="235"/>
        <v/>
      </c>
      <c r="CR1036" t="s">
        <v>14406</v>
      </c>
      <c r="GF1036" t="s">
        <v>8701</v>
      </c>
    </row>
    <row r="1037" spans="76:188" ht="13.2" customHeight="1">
      <c r="BX1037" t="str">
        <f>IF(Province="Le Grand comté du Mootland","Village d'Heukern","")</f>
        <v/>
      </c>
      <c r="BY1037" t="str">
        <f t="shared" si="236"/>
        <v/>
      </c>
      <c r="BZ1037" s="83" t="str">
        <f t="shared" si="233"/>
        <v/>
      </c>
      <c r="CA1037" s="83" t="str">
        <f t="shared" si="234"/>
        <v/>
      </c>
      <c r="CB1037" s="530" t="str">
        <f t="shared" si="235"/>
        <v/>
      </c>
      <c r="CR1037" t="s">
        <v>14407</v>
      </c>
      <c r="GF1037" t="s">
        <v>8687</v>
      </c>
    </row>
    <row r="1038" spans="76:188" ht="13.2" customHeight="1">
      <c r="BX1038" t="str">
        <f>IF(Province="Le Grand comté du Mootland","Bourg de Sauerapfel","")</f>
        <v/>
      </c>
      <c r="BY1038" t="str">
        <f t="shared" si="236"/>
        <v/>
      </c>
      <c r="BZ1038" s="83" t="str">
        <f t="shared" si="233"/>
        <v/>
      </c>
      <c r="CA1038" s="83" t="str">
        <f t="shared" si="234"/>
        <v/>
      </c>
      <c r="CB1038" s="530" t="str">
        <f t="shared" si="235"/>
        <v/>
      </c>
      <c r="CR1038" t="s">
        <v>14408</v>
      </c>
      <c r="GF1038" t="s">
        <v>8707</v>
      </c>
    </row>
    <row r="1039" spans="76:188" ht="13.2" customHeight="1">
      <c r="BX1039" s="83" t="str">
        <f>IF(Province=" Grande baronnie du Nordland","Ville de Salzenmund","")</f>
        <v/>
      </c>
      <c r="BY1039" t="str">
        <f t="shared" si="236"/>
        <v/>
      </c>
      <c r="BZ1039" s="83" t="str">
        <f t="shared" si="233"/>
        <v/>
      </c>
      <c r="CA1039" s="83" t="str">
        <f t="shared" si="234"/>
        <v/>
      </c>
      <c r="CB1039" s="530" t="str">
        <f t="shared" si="235"/>
        <v/>
      </c>
      <c r="CR1039" t="s">
        <v>14409</v>
      </c>
      <c r="GF1039" t="s">
        <v>8688</v>
      </c>
    </row>
    <row r="1040" spans="76:188" ht="13.2" customHeight="1">
      <c r="BX1040" s="83" t="str">
        <f>IF(Province=" Grande baronnie du Nordland","Bourg de Beeckerhoven","")</f>
        <v/>
      </c>
      <c r="BY1040" t="str">
        <f t="shared" si="236"/>
        <v/>
      </c>
      <c r="BZ1040" s="83" t="str">
        <f t="shared" si="233"/>
        <v/>
      </c>
      <c r="CA1040" s="83" t="str">
        <f t="shared" si="234"/>
        <v/>
      </c>
      <c r="CB1040" s="530" t="str">
        <f t="shared" si="235"/>
        <v/>
      </c>
      <c r="CR1040" t="s">
        <v>14410</v>
      </c>
      <c r="GF1040" t="s">
        <v>8689</v>
      </c>
    </row>
    <row r="1041" spans="76:188" ht="13.2" customHeight="1">
      <c r="BX1041" t="str">
        <f>IF(Province=" Grande baronnie du Nordland","Bourg de Grafenrich","")</f>
        <v/>
      </c>
      <c r="BY1041" t="str">
        <f t="shared" si="236"/>
        <v/>
      </c>
      <c r="BZ1041" s="83" t="str">
        <f t="shared" si="233"/>
        <v/>
      </c>
      <c r="CA1041" s="83" t="str">
        <f t="shared" si="234"/>
        <v/>
      </c>
      <c r="CB1041" s="530" t="str">
        <f t="shared" si="235"/>
        <v/>
      </c>
      <c r="CR1041" t="s">
        <v>14411</v>
      </c>
      <c r="GF1041" t="s">
        <v>8137</v>
      </c>
    </row>
    <row r="1042" spans="76:188" ht="13.2" customHeight="1">
      <c r="BX1042" t="str">
        <f>IF(Province=" Grande baronnie du Nordland","Village de Kurtwallen","")</f>
        <v/>
      </c>
      <c r="BY1042" t="str">
        <f t="shared" si="236"/>
        <v/>
      </c>
      <c r="BZ1042" s="83" t="str">
        <f t="shared" si="233"/>
        <v/>
      </c>
      <c r="CA1042" s="83" t="str">
        <f t="shared" si="234"/>
        <v/>
      </c>
      <c r="CB1042" s="530" t="str">
        <f t="shared" si="235"/>
        <v/>
      </c>
      <c r="CR1042" t="s">
        <v>14412</v>
      </c>
      <c r="GF1042" t="s">
        <v>8702</v>
      </c>
    </row>
    <row r="1043" spans="76:188" ht="13.2" customHeight="1">
      <c r="BX1043" t="str">
        <f>IF(Province=" Grande baronnie du Nordland","Bourg d'Oldenlitz","")</f>
        <v/>
      </c>
      <c r="BY1043" t="str">
        <f t="shared" si="236"/>
        <v/>
      </c>
      <c r="BZ1043" s="83" t="str">
        <f t="shared" si="233"/>
        <v/>
      </c>
      <c r="CA1043" s="83" t="str">
        <f t="shared" si="234"/>
        <v/>
      </c>
      <c r="CB1043" s="530" t="str">
        <f t="shared" si="235"/>
        <v/>
      </c>
      <c r="CR1043" t="s">
        <v>14413</v>
      </c>
      <c r="GF1043" t="s">
        <v>8708</v>
      </c>
    </row>
    <row r="1044" spans="76:188" ht="13.2" customHeight="1">
      <c r="BX1044" s="83" t="str">
        <f>IF(Province=" Grande baronnie du Nordland","Ville de Dietershafen","")</f>
        <v/>
      </c>
      <c r="BY1044" t="str">
        <f t="shared" si="236"/>
        <v/>
      </c>
      <c r="BZ1044" s="83" t="str">
        <f t="shared" si="233"/>
        <v/>
      </c>
      <c r="CA1044" s="83" t="str">
        <f t="shared" si="234"/>
        <v/>
      </c>
      <c r="CB1044" s="530" t="str">
        <f t="shared" si="235"/>
        <v/>
      </c>
      <c r="CR1044" t="s">
        <v>14414</v>
      </c>
      <c r="GF1044" t="s">
        <v>8703</v>
      </c>
    </row>
    <row r="1045" spans="76:188" ht="13.2" customHeight="1">
      <c r="BX1045" s="83" t="str">
        <f>IF(Province=" Grande baronnie du Nordland","Bourg de Frote","")</f>
        <v/>
      </c>
      <c r="BY1045" t="str">
        <f t="shared" si="236"/>
        <v/>
      </c>
      <c r="BZ1045" s="83" t="str">
        <f t="shared" si="233"/>
        <v/>
      </c>
      <c r="CA1045" s="83" t="str">
        <f t="shared" si="234"/>
        <v/>
      </c>
      <c r="CB1045" s="530" t="str">
        <f t="shared" si="235"/>
        <v/>
      </c>
      <c r="CR1045" t="s">
        <v>14415</v>
      </c>
      <c r="GF1045" t="s">
        <v>8690</v>
      </c>
    </row>
    <row r="1046" spans="76:188" ht="13.2" customHeight="1">
      <c r="BX1046" s="83" t="str">
        <f>IF(Province=" Grande baronnie du Nordland","Bourg d'Hargendorf","")</f>
        <v/>
      </c>
      <c r="BY1046" t="str">
        <f t="shared" si="236"/>
        <v/>
      </c>
      <c r="BZ1046" s="83" t="str">
        <f t="shared" si="233"/>
        <v/>
      </c>
      <c r="CA1046" s="83" t="str">
        <f t="shared" si="234"/>
        <v/>
      </c>
      <c r="CB1046" s="530" t="str">
        <f t="shared" si="235"/>
        <v/>
      </c>
      <c r="CR1046" t="s">
        <v>14416</v>
      </c>
      <c r="GF1046" t="s">
        <v>8691</v>
      </c>
    </row>
    <row r="1047" spans="76:188" ht="13.2" customHeight="1">
      <c r="BX1047" t="str">
        <f>IF(Province=" Grande baronnie du Nordland","Village de Beilen","")</f>
        <v/>
      </c>
      <c r="BY1047" t="str">
        <f t="shared" si="236"/>
        <v/>
      </c>
      <c r="BZ1047" s="83" t="str">
        <f t="shared" si="233"/>
        <v/>
      </c>
      <c r="CA1047" s="83" t="str">
        <f t="shared" si="234"/>
        <v/>
      </c>
      <c r="CB1047" s="530" t="str">
        <f t="shared" si="235"/>
        <v/>
      </c>
      <c r="CR1047" t="s">
        <v>14417</v>
      </c>
      <c r="GF1047" t="s">
        <v>8711</v>
      </c>
    </row>
    <row r="1048" spans="76:188" ht="13.2" customHeight="1">
      <c r="BX1048" t="str">
        <f>IF(Province=" Grande baronnie du Nordland","Village de Schlaghùgel","")</f>
        <v/>
      </c>
      <c r="BY1048" t="str">
        <f t="shared" si="236"/>
        <v/>
      </c>
      <c r="BZ1048" s="83" t="str">
        <f t="shared" si="233"/>
        <v/>
      </c>
      <c r="CA1048" s="83" t="str">
        <f t="shared" si="234"/>
        <v/>
      </c>
      <c r="CB1048" s="530" t="str">
        <f t="shared" si="235"/>
        <v/>
      </c>
      <c r="CR1048" t="s">
        <v>14418</v>
      </c>
      <c r="GF1048" t="s">
        <v>8709</v>
      </c>
    </row>
    <row r="1049" spans="76:188" ht="13.2" customHeight="1">
      <c r="BX1049" t="str">
        <f>IF(Province=" Grande baronnie du Nordland","Village d'Ueblingen","")</f>
        <v/>
      </c>
      <c r="BY1049" t="str">
        <f t="shared" si="236"/>
        <v/>
      </c>
      <c r="BZ1049" s="83" t="str">
        <f t="shared" si="233"/>
        <v/>
      </c>
      <c r="CA1049" s="83" t="str">
        <f t="shared" si="234"/>
        <v/>
      </c>
      <c r="CB1049" s="530" t="str">
        <f t="shared" si="235"/>
        <v/>
      </c>
      <c r="CR1049" t="s">
        <v>14419</v>
      </c>
      <c r="GF1049" t="s">
        <v>8710</v>
      </c>
    </row>
    <row r="1050" spans="76:188" ht="13.2" customHeight="1">
      <c r="BX1050" s="83" t="str">
        <f>IF(Province=" Grande baronnie du Nordland","Village de Luftberg","")</f>
        <v/>
      </c>
      <c r="BY1050" t="str">
        <f t="shared" si="236"/>
        <v/>
      </c>
      <c r="BZ1050" s="83" t="str">
        <f t="shared" si="233"/>
        <v/>
      </c>
      <c r="CA1050" s="83" t="str">
        <f t="shared" si="234"/>
        <v/>
      </c>
      <c r="CB1050" s="530" t="str">
        <f t="shared" si="235"/>
        <v/>
      </c>
      <c r="CR1050" t="s">
        <v>14420</v>
      </c>
      <c r="GF1050" t="s">
        <v>8692</v>
      </c>
    </row>
    <row r="1051" spans="76:188" ht="13.2" customHeight="1">
      <c r="BX1051" s="83" t="str">
        <f>IF(Province=" Grande baronnie du Nordland","Bourg de Neues Emskrank","")</f>
        <v/>
      </c>
      <c r="BY1051" t="str">
        <f t="shared" si="236"/>
        <v/>
      </c>
      <c r="BZ1051" s="83" t="str">
        <f t="shared" si="233"/>
        <v/>
      </c>
      <c r="CA1051" s="83" t="str">
        <f t="shared" si="234"/>
        <v/>
      </c>
      <c r="CB1051" s="530" t="str">
        <f t="shared" si="235"/>
        <v/>
      </c>
      <c r="CR1051" t="s">
        <v>14421</v>
      </c>
      <c r="GF1051" t="s">
        <v>8697</v>
      </c>
    </row>
    <row r="1052" spans="76:188" ht="13.2" customHeight="1">
      <c r="BX1052" s="83" t="str">
        <f>IF(Province=" Grande baronnie du Nordland","Village d'Heiligdorf","")</f>
        <v/>
      </c>
      <c r="BY1052" t="str">
        <f t="shared" si="236"/>
        <v/>
      </c>
      <c r="BZ1052" s="83" t="str">
        <f t="shared" si="233"/>
        <v/>
      </c>
      <c r="CA1052" s="83" t="str">
        <f t="shared" si="234"/>
        <v/>
      </c>
      <c r="CB1052" s="530" t="str">
        <f t="shared" si="235"/>
        <v/>
      </c>
      <c r="CR1052" t="s">
        <v>14422</v>
      </c>
      <c r="GF1052" t="s">
        <v>8704</v>
      </c>
    </row>
    <row r="1053" spans="76:188" ht="13.2" customHeight="1">
      <c r="BX1053" s="83" t="str">
        <f>IF(Province=" Grande baronnie du Nordland","Fort de Manannsheim","")</f>
        <v/>
      </c>
      <c r="BY1053" t="str">
        <f t="shared" si="236"/>
        <v/>
      </c>
      <c r="BZ1053" s="83" t="str">
        <f t="shared" si="233"/>
        <v/>
      </c>
      <c r="CA1053" s="83" t="str">
        <f t="shared" si="234"/>
        <v/>
      </c>
      <c r="CB1053" s="530" t="str">
        <f t="shared" si="235"/>
        <v/>
      </c>
      <c r="CR1053" t="s">
        <v>14423</v>
      </c>
      <c r="GF1053" t="s">
        <v>8693</v>
      </c>
    </row>
    <row r="1054" spans="76:188" ht="13.2" customHeight="1">
      <c r="BX1054" s="83" t="str">
        <f>IF(Province=" Grande baronnie du Nordland","Ville de Norden","")</f>
        <v/>
      </c>
      <c r="BY1054" t="str">
        <f t="shared" si="236"/>
        <v/>
      </c>
      <c r="BZ1054" s="83" t="str">
        <f t="shared" si="233"/>
        <v/>
      </c>
      <c r="CA1054" s="83" t="str">
        <f t="shared" si="234"/>
        <v/>
      </c>
      <c r="CB1054" s="530" t="str">
        <f t="shared" si="235"/>
        <v/>
      </c>
      <c r="CR1054" t="s">
        <v>14424</v>
      </c>
      <c r="GF1054" t="s">
        <v>8696</v>
      </c>
    </row>
    <row r="1055" spans="76:188" ht="13.2" customHeight="1">
      <c r="BX1055" t="str">
        <f>IF(Province=" Grande baronnie du Nordland","Village de Beelen","")</f>
        <v/>
      </c>
      <c r="BY1055" t="str">
        <f t="shared" si="236"/>
        <v/>
      </c>
      <c r="BZ1055" s="83" t="str">
        <f t="shared" si="233"/>
        <v/>
      </c>
      <c r="CA1055" s="83" t="str">
        <f t="shared" si="234"/>
        <v/>
      </c>
      <c r="CB1055" s="530" t="str">
        <f t="shared" si="235"/>
        <v/>
      </c>
      <c r="CR1055" t="s">
        <v>14425</v>
      </c>
      <c r="GF1055" t="s">
        <v>8138</v>
      </c>
    </row>
    <row r="1056" spans="76:188" ht="13.2" customHeight="1">
      <c r="BX1056" t="str">
        <f>IF(Province=" Grande baronnie du Nordland","Village de Gelting","")</f>
        <v/>
      </c>
      <c r="BY1056" t="str">
        <f t="shared" si="236"/>
        <v/>
      </c>
      <c r="BZ1056" s="83" t="str">
        <f t="shared" si="233"/>
        <v/>
      </c>
      <c r="CA1056" s="83" t="str">
        <f t="shared" si="234"/>
        <v/>
      </c>
      <c r="CB1056" s="530" t="str">
        <f t="shared" si="235"/>
        <v/>
      </c>
      <c r="CR1056" t="s">
        <v>14426</v>
      </c>
      <c r="GF1056" t="s">
        <v>8139</v>
      </c>
    </row>
    <row r="1057" spans="76:188" ht="13.2" customHeight="1">
      <c r="BX1057" t="str">
        <f>IF(Province=" Grande baronnie du Nordland","Village de Kreideklippe","")</f>
        <v/>
      </c>
      <c r="BY1057" t="str">
        <f t="shared" si="236"/>
        <v/>
      </c>
      <c r="BZ1057" s="83" t="str">
        <f t="shared" si="233"/>
        <v/>
      </c>
      <c r="CA1057" s="83" t="str">
        <f t="shared" si="234"/>
        <v/>
      </c>
      <c r="CB1057" s="530" t="str">
        <f t="shared" si="235"/>
        <v/>
      </c>
      <c r="CR1057" t="s">
        <v>14427</v>
      </c>
      <c r="GF1057" t="s">
        <v>8705</v>
      </c>
    </row>
    <row r="1058" spans="76:188" ht="13.2" customHeight="1">
      <c r="BX1058" t="str">
        <f>IF(Province=" Grande baronnie du Nordland","Village de Salzmorast","")</f>
        <v/>
      </c>
      <c r="BY1058" t="str">
        <f t="shared" si="236"/>
        <v/>
      </c>
      <c r="BZ1058" s="83" t="str">
        <f t="shared" si="233"/>
        <v/>
      </c>
      <c r="CA1058" s="83" t="str">
        <f t="shared" si="234"/>
        <v/>
      </c>
      <c r="CB1058" s="530" t="str">
        <f t="shared" si="235"/>
        <v/>
      </c>
      <c r="CR1058" t="s">
        <v>14428</v>
      </c>
      <c r="GF1058" t="s">
        <v>8706</v>
      </c>
    </row>
    <row r="1059" spans="76:188" ht="13.2" customHeight="1">
      <c r="BX1059" s="83" t="str">
        <f>IF(Province=" Grande baronnie du Nordland","Village de Schuten","")</f>
        <v/>
      </c>
      <c r="BY1059" t="str">
        <f t="shared" si="236"/>
        <v/>
      </c>
      <c r="BZ1059" s="83" t="str">
        <f t="shared" si="233"/>
        <v/>
      </c>
      <c r="CA1059" s="83" t="str">
        <f t="shared" si="234"/>
        <v/>
      </c>
      <c r="CB1059" s="530" t="str">
        <f t="shared" si="235"/>
        <v/>
      </c>
      <c r="CR1059" t="s">
        <v>14429</v>
      </c>
      <c r="GF1059" t="s">
        <v>8694</v>
      </c>
    </row>
    <row r="1060" spans="76:188" ht="13.2" customHeight="1">
      <c r="BX1060" s="83" t="str">
        <f>IF(Province=" Grande baronnie du Nordland","Village de Wilhelmskoog","")</f>
        <v/>
      </c>
      <c r="BY1060" t="str">
        <f t="shared" si="236"/>
        <v/>
      </c>
      <c r="BZ1060" s="83" t="str">
        <f t="shared" si="233"/>
        <v/>
      </c>
      <c r="CA1060" s="83" t="str">
        <f t="shared" si="234"/>
        <v/>
      </c>
      <c r="CB1060" s="530" t="str">
        <f t="shared" si="235"/>
        <v/>
      </c>
      <c r="CR1060" t="s">
        <v>14430</v>
      </c>
      <c r="GF1060" t="s">
        <v>8715</v>
      </c>
    </row>
    <row r="1061" spans="76:188" ht="13.2" customHeight="1">
      <c r="BX1061" t="str">
        <f>IF(Province=" Grande baronnie du Nordland","Village d'Ockholm","")</f>
        <v/>
      </c>
      <c r="BY1061" t="str">
        <f t="shared" si="236"/>
        <v/>
      </c>
      <c r="BZ1061" s="83" t="str">
        <f t="shared" si="233"/>
        <v/>
      </c>
      <c r="CA1061" s="83" t="str">
        <f t="shared" si="234"/>
        <v/>
      </c>
      <c r="CB1061" s="530" t="str">
        <f t="shared" si="235"/>
        <v/>
      </c>
      <c r="CR1061" t="s">
        <v>14431</v>
      </c>
      <c r="GF1061" t="s">
        <v>8714</v>
      </c>
    </row>
    <row r="1062" spans="76:188" ht="13.2" customHeight="1">
      <c r="BX1062" s="83" t="str">
        <f>IF(Province=" Ligue de l'Ostermark","Ville de Bechafen","")</f>
        <v/>
      </c>
      <c r="BY1062" t="str">
        <f t="shared" si="236"/>
        <v/>
      </c>
      <c r="BZ1062" s="83" t="str">
        <f t="shared" si="233"/>
        <v/>
      </c>
      <c r="CA1062" s="83" t="str">
        <f t="shared" si="234"/>
        <v/>
      </c>
      <c r="CB1062" s="530" t="str">
        <f t="shared" si="235"/>
        <v/>
      </c>
      <c r="CR1062" t="s">
        <v>14432</v>
      </c>
      <c r="GF1062" t="s">
        <v>6410</v>
      </c>
    </row>
    <row r="1063" spans="76:188" ht="13.2" customHeight="1">
      <c r="BX1063" t="str">
        <f>IF(Province=" Ligue de l'Ostermark","Village de Dorna","")</f>
        <v/>
      </c>
      <c r="BY1063" t="str">
        <f t="shared" si="236"/>
        <v/>
      </c>
      <c r="BZ1063" s="83" t="str">
        <f t="shared" si="233"/>
        <v/>
      </c>
      <c r="CA1063" s="83" t="str">
        <f t="shared" si="234"/>
        <v/>
      </c>
      <c r="CB1063" s="530" t="str">
        <f t="shared" si="235"/>
        <v/>
      </c>
      <c r="CR1063" t="s">
        <v>14433</v>
      </c>
      <c r="GF1063" t="s">
        <v>8712</v>
      </c>
    </row>
    <row r="1064" spans="76:188" ht="13.2" customHeight="1">
      <c r="BX1064" t="str">
        <f>IF(Province=" Ligue de l'Ostermark","Village de Mùnkenhof","")</f>
        <v/>
      </c>
      <c r="BY1064" t="str">
        <f t="shared" si="236"/>
        <v/>
      </c>
      <c r="BZ1064" s="83" t="str">
        <f t="shared" si="233"/>
        <v/>
      </c>
      <c r="CA1064" s="83" t="str">
        <f t="shared" si="234"/>
        <v/>
      </c>
      <c r="CB1064" s="530" t="str">
        <f t="shared" si="235"/>
        <v/>
      </c>
      <c r="CR1064" t="s">
        <v>14434</v>
      </c>
      <c r="GF1064" t="s">
        <v>8717</v>
      </c>
    </row>
    <row r="1065" spans="76:188" ht="13.2" customHeight="1">
      <c r="BX1065" t="str">
        <f>IF(Province=" Ligue de l'Ostermark","Village de Reitwein","")</f>
        <v/>
      </c>
      <c r="BY1065" t="str">
        <f t="shared" si="236"/>
        <v/>
      </c>
      <c r="BZ1065" s="83" t="str">
        <f t="shared" si="233"/>
        <v/>
      </c>
      <c r="CA1065" s="83" t="str">
        <f t="shared" si="234"/>
        <v/>
      </c>
      <c r="CB1065" s="530" t="str">
        <f t="shared" si="235"/>
        <v/>
      </c>
      <c r="CR1065" t="s">
        <v>14435</v>
      </c>
      <c r="GF1065" t="s">
        <v>8713</v>
      </c>
    </row>
    <row r="1066" spans="76:188" ht="13.2" customHeight="1">
      <c r="BX1066" t="str">
        <f>IF(Province=" Ligue de l'Ostermark","Village de Rugenbuttle","")</f>
        <v/>
      </c>
      <c r="BY1066" t="str">
        <f t="shared" si="236"/>
        <v/>
      </c>
      <c r="BZ1066" s="83" t="str">
        <f t="shared" si="233"/>
        <v/>
      </c>
      <c r="CA1066" s="83" t="str">
        <f t="shared" si="234"/>
        <v/>
      </c>
      <c r="CB1066" s="530" t="str">
        <f t="shared" si="235"/>
        <v/>
      </c>
      <c r="CR1066" t="s">
        <v>14436</v>
      </c>
      <c r="GF1066" t="s">
        <v>8716</v>
      </c>
    </row>
    <row r="1067" spans="76:188" ht="13.2" customHeight="1">
      <c r="BX1067" s="83" t="str">
        <f>IF(Province=" Ligue de l'Ostermark","Village de Bissendorf","")</f>
        <v/>
      </c>
      <c r="BY1067" t="str">
        <f t="shared" si="236"/>
        <v/>
      </c>
      <c r="BZ1067" s="83" t="str">
        <f t="shared" si="233"/>
        <v/>
      </c>
      <c r="CA1067" s="83" t="str">
        <f t="shared" si="234"/>
        <v/>
      </c>
      <c r="CB1067" s="530" t="str">
        <f t="shared" si="235"/>
        <v/>
      </c>
      <c r="CR1067" t="s">
        <v>14437</v>
      </c>
      <c r="GF1067" t="s">
        <v>8718</v>
      </c>
    </row>
    <row r="1068" spans="76:188" ht="13.2" customHeight="1">
      <c r="BX1068" t="str">
        <f>IF(Province=" Ligue de l'Ostermark","Village de Tauer","")</f>
        <v/>
      </c>
      <c r="BY1068" t="str">
        <f t="shared" si="236"/>
        <v/>
      </c>
      <c r="BZ1068" s="83" t="str">
        <f t="shared" si="233"/>
        <v/>
      </c>
      <c r="CA1068" s="83" t="str">
        <f t="shared" si="234"/>
        <v/>
      </c>
      <c r="CB1068" s="530" t="str">
        <f t="shared" si="235"/>
        <v/>
      </c>
      <c r="CR1068" t="s">
        <v>14438</v>
      </c>
      <c r="GF1068" t="s">
        <v>8140</v>
      </c>
    </row>
    <row r="1069" spans="76:188" ht="13.2" customHeight="1">
      <c r="BX1069" s="83" t="str">
        <f>IF(Province=" Ligue de l'Ostermark","Bourg d'Eisental","")</f>
        <v/>
      </c>
      <c r="BY1069" t="str">
        <f t="shared" si="236"/>
        <v/>
      </c>
      <c r="BZ1069" s="83" t="str">
        <f t="shared" si="233"/>
        <v/>
      </c>
      <c r="CA1069" s="83" t="str">
        <f t="shared" si="234"/>
        <v/>
      </c>
      <c r="CB1069" s="530" t="str">
        <f t="shared" si="235"/>
        <v/>
      </c>
      <c r="CR1069" t="s">
        <v>14439</v>
      </c>
      <c r="GF1069" t="s">
        <v>8727</v>
      </c>
    </row>
    <row r="1070" spans="76:188" ht="13.2" customHeight="1">
      <c r="BX1070" t="str">
        <f>IF(Province=" Ligue de l'Ostermark","Village de Mielau","")</f>
        <v/>
      </c>
      <c r="BY1070" t="str">
        <f t="shared" si="236"/>
        <v/>
      </c>
      <c r="BZ1070" s="83" t="str">
        <f t="shared" si="233"/>
        <v/>
      </c>
      <c r="CA1070" s="83" t="str">
        <f t="shared" si="234"/>
        <v/>
      </c>
      <c r="CB1070" s="530" t="str">
        <f t="shared" si="235"/>
        <v/>
      </c>
      <c r="CR1070" t="s">
        <v>13908</v>
      </c>
      <c r="GF1070" t="s">
        <v>8725</v>
      </c>
    </row>
    <row r="1071" spans="76:188" ht="13.2" customHeight="1">
      <c r="BX1071" s="83" t="str">
        <f>IF(Province=" Ligue de l'Ostermark","Village d'Essen","")</f>
        <v/>
      </c>
      <c r="BY1071" t="str">
        <f t="shared" si="236"/>
        <v/>
      </c>
      <c r="BZ1071" s="83" t="str">
        <f t="shared" si="233"/>
        <v/>
      </c>
      <c r="CA1071" s="83" t="str">
        <f t="shared" si="234"/>
        <v/>
      </c>
      <c r="CB1071" s="530" t="str">
        <f t="shared" si="235"/>
        <v/>
      </c>
      <c r="CR1071" t="s">
        <v>13956</v>
      </c>
      <c r="GF1071" t="s">
        <v>8728</v>
      </c>
    </row>
    <row r="1072" spans="76:188" ht="13.2" customHeight="1">
      <c r="BX1072" s="83" t="str">
        <f>IF(Province=" Ligue de l'Ostermark","Village de Fortenhaf","")</f>
        <v/>
      </c>
      <c r="BY1072" t="str">
        <f t="shared" si="236"/>
        <v/>
      </c>
      <c r="BZ1072" s="83" t="str">
        <f t="shared" si="233"/>
        <v/>
      </c>
      <c r="CA1072" s="83" t="str">
        <f t="shared" si="234"/>
        <v/>
      </c>
      <c r="CB1072" s="530" t="str">
        <f t="shared" si="235"/>
        <v/>
      </c>
      <c r="CR1072" t="s">
        <v>14440</v>
      </c>
      <c r="GF1072" s="83" t="s">
        <v>9100</v>
      </c>
    </row>
    <row r="1073" spans="76:188" ht="13.2" customHeight="1">
      <c r="BX1073" t="str">
        <f>IF(Province=" Ligue de l'Ostermark","Village de Gerdouen","")</f>
        <v/>
      </c>
      <c r="BY1073" t="str">
        <f t="shared" si="236"/>
        <v/>
      </c>
      <c r="BZ1073" s="83" t="str">
        <f t="shared" si="233"/>
        <v/>
      </c>
      <c r="CA1073" s="83" t="str">
        <f t="shared" si="234"/>
        <v/>
      </c>
      <c r="CB1073" s="530" t="str">
        <f t="shared" si="235"/>
        <v/>
      </c>
      <c r="CR1073" t="s">
        <v>14441</v>
      </c>
      <c r="GF1073" t="s">
        <v>8720</v>
      </c>
    </row>
    <row r="1074" spans="76:188" ht="13.2" customHeight="1">
      <c r="BX1074" t="str">
        <f>IF(Province=" Ligue de l'Ostermark","Village de Rheden","")</f>
        <v/>
      </c>
      <c r="BY1074" t="str">
        <f t="shared" si="236"/>
        <v/>
      </c>
      <c r="BZ1074" s="83" t="str">
        <f t="shared" si="233"/>
        <v/>
      </c>
      <c r="CA1074" s="83" t="str">
        <f t="shared" si="234"/>
        <v/>
      </c>
      <c r="CB1074" s="530" t="str">
        <f t="shared" si="235"/>
        <v/>
      </c>
      <c r="CR1074" t="s">
        <v>14442</v>
      </c>
      <c r="GF1074" t="s">
        <v>8729</v>
      </c>
    </row>
    <row r="1075" spans="76:188" ht="13.2" customHeight="1">
      <c r="BX1075" s="83" t="str">
        <f>IF(Province=" Ligue de l'Ostermark","Village d'Heffengen","")</f>
        <v/>
      </c>
      <c r="BY1075" t="str">
        <f t="shared" si="236"/>
        <v/>
      </c>
      <c r="BZ1075" s="83" t="str">
        <f t="shared" si="233"/>
        <v/>
      </c>
      <c r="CA1075" s="83" t="str">
        <f t="shared" si="234"/>
        <v/>
      </c>
      <c r="CB1075" s="530" t="str">
        <f t="shared" si="235"/>
        <v/>
      </c>
      <c r="CR1075" t="s">
        <v>14443</v>
      </c>
      <c r="GF1075" t="s">
        <v>8730</v>
      </c>
    </row>
    <row r="1076" spans="76:188" ht="13.2" customHeight="1">
      <c r="BX1076" t="str">
        <f>IF(Province=" Ligue de l'Ostermark","Village d'Elbing","")</f>
        <v/>
      </c>
      <c r="BY1076" t="str">
        <f t="shared" si="236"/>
        <v/>
      </c>
      <c r="BZ1076" s="83" t="str">
        <f t="shared" si="233"/>
        <v/>
      </c>
      <c r="CA1076" s="83" t="str">
        <f t="shared" si="234"/>
        <v/>
      </c>
      <c r="CB1076" s="530" t="str">
        <f t="shared" si="235"/>
        <v/>
      </c>
      <c r="CR1076" t="s">
        <v>14444</v>
      </c>
      <c r="GF1076" t="s">
        <v>8731</v>
      </c>
    </row>
    <row r="1077" spans="76:188" ht="13.2" customHeight="1">
      <c r="BX1077" s="83" t="str">
        <f>IF(Province=" Ligue de l'Ostermark","Bourg de Nagenhof","")</f>
        <v/>
      </c>
      <c r="BY1077" t="str">
        <f t="shared" si="236"/>
        <v/>
      </c>
      <c r="BZ1077" s="83" t="str">
        <f t="shared" si="233"/>
        <v/>
      </c>
      <c r="CA1077" s="83" t="str">
        <f t="shared" si="234"/>
        <v/>
      </c>
      <c r="CB1077" s="530" t="str">
        <f t="shared" si="235"/>
        <v/>
      </c>
      <c r="CR1077" t="s">
        <v>14445</v>
      </c>
      <c r="GF1077" t="s">
        <v>8721</v>
      </c>
    </row>
    <row r="1078" spans="76:188" ht="13.2" customHeight="1">
      <c r="BX1078" t="str">
        <f>IF(Province=" Ligue de l'Ostermark","Village de Buckow","")</f>
        <v/>
      </c>
      <c r="BY1078" t="str">
        <f t="shared" si="236"/>
        <v/>
      </c>
      <c r="BZ1078" s="83" t="str">
        <f t="shared" si="233"/>
        <v/>
      </c>
      <c r="CA1078" s="83" t="str">
        <f t="shared" si="234"/>
        <v/>
      </c>
      <c r="CB1078" s="530" t="str">
        <f t="shared" si="235"/>
        <v/>
      </c>
      <c r="CR1078" t="s">
        <v>14446</v>
      </c>
      <c r="GF1078" t="s">
        <v>8719</v>
      </c>
    </row>
    <row r="1079" spans="76:188" ht="13.2" customHeight="1">
      <c r="BX1079" t="str">
        <f>IF(Province=" Ligue de l'Ostermark","Village de Weiler","")</f>
        <v/>
      </c>
      <c r="BY1079" t="str">
        <f t="shared" si="236"/>
        <v/>
      </c>
      <c r="BZ1079" s="83" t="str">
        <f t="shared" si="233"/>
        <v/>
      </c>
      <c r="CA1079" s="83" t="str">
        <f t="shared" si="234"/>
        <v/>
      </c>
      <c r="CB1079" s="530" t="str">
        <f t="shared" si="235"/>
        <v/>
      </c>
      <c r="CR1079" t="s">
        <v>14447</v>
      </c>
      <c r="GF1079" t="s">
        <v>8726</v>
      </c>
    </row>
    <row r="1080" spans="76:188" ht="13.2" customHeight="1">
      <c r="BX1080" s="83" t="str">
        <f>IF(Province=" Ligue de l'Ostermark","Bourg de Remer","")</f>
        <v/>
      </c>
      <c r="BY1080" t="str">
        <f t="shared" si="236"/>
        <v/>
      </c>
      <c r="BZ1080" s="83" t="str">
        <f t="shared" si="233"/>
        <v/>
      </c>
      <c r="CA1080" s="83" t="str">
        <f t="shared" si="234"/>
        <v/>
      </c>
      <c r="CB1080" s="530" t="str">
        <f t="shared" si="235"/>
        <v/>
      </c>
      <c r="CR1080" t="s">
        <v>14448</v>
      </c>
      <c r="GF1080" t="s">
        <v>8141</v>
      </c>
    </row>
    <row r="1081" spans="76:188" ht="13.2" customHeight="1">
      <c r="BX1081" t="str">
        <f>IF(Province=" Ligue de l'Ostermark","Village de Zeisholz","")</f>
        <v/>
      </c>
      <c r="BY1081" t="str">
        <f t="shared" si="236"/>
        <v/>
      </c>
      <c r="BZ1081" s="83" t="str">
        <f t="shared" si="233"/>
        <v/>
      </c>
      <c r="CA1081" s="83" t="str">
        <f t="shared" si="234"/>
        <v/>
      </c>
      <c r="CB1081" s="530" t="str">
        <f t="shared" si="235"/>
        <v/>
      </c>
      <c r="CR1081" t="s">
        <v>14449</v>
      </c>
      <c r="GF1081" t="s">
        <v>8735</v>
      </c>
    </row>
    <row r="1082" spans="76:188" ht="13.2" customHeight="1">
      <c r="BX1082" s="83" t="str">
        <f>IF(Province=" Grande principauté d'Ostland","Ville de Wolfenburg","")</f>
        <v/>
      </c>
      <c r="BY1082" t="str">
        <f t="shared" si="236"/>
        <v/>
      </c>
      <c r="BZ1082" s="83" t="str">
        <f t="shared" si="233"/>
        <v/>
      </c>
      <c r="CA1082" s="83" t="str">
        <f t="shared" si="234"/>
        <v/>
      </c>
      <c r="CB1082" s="530" t="str">
        <f t="shared" si="235"/>
        <v/>
      </c>
      <c r="CR1082" t="s">
        <v>14450</v>
      </c>
      <c r="GF1082" t="s">
        <v>8722</v>
      </c>
    </row>
    <row r="1083" spans="76:188" ht="13.2" customHeight="1">
      <c r="BX1083" t="str">
        <f>IF(Province="Grande principauté d'Ostland","Village de Dassel","")</f>
        <v/>
      </c>
      <c r="BY1083" t="str">
        <f t="shared" si="236"/>
        <v/>
      </c>
      <c r="BZ1083" s="83" t="str">
        <f t="shared" si="233"/>
        <v/>
      </c>
      <c r="CA1083" s="83" t="str">
        <f t="shared" si="234"/>
        <v/>
      </c>
      <c r="CB1083" s="530" t="str">
        <f t="shared" si="235"/>
        <v/>
      </c>
      <c r="CR1083" t="s">
        <v>14451</v>
      </c>
      <c r="GF1083" t="s">
        <v>8723</v>
      </c>
    </row>
    <row r="1084" spans="76:188" ht="13.2" customHeight="1">
      <c r="BX1084" t="str">
        <f>IF(Province="Grande principauté d'Ostland","Village de Felde","")</f>
        <v/>
      </c>
      <c r="BY1084" t="str">
        <f t="shared" si="236"/>
        <v/>
      </c>
      <c r="BZ1084" s="83" t="str">
        <f t="shared" si="233"/>
        <v/>
      </c>
      <c r="CA1084" s="83" t="str">
        <f t="shared" si="234"/>
        <v/>
      </c>
      <c r="CB1084" s="530" t="str">
        <f t="shared" si="235"/>
        <v/>
      </c>
      <c r="CR1084" t="s">
        <v>14452</v>
      </c>
      <c r="GF1084" t="s">
        <v>8732</v>
      </c>
    </row>
    <row r="1085" spans="76:188" ht="13.2" customHeight="1">
      <c r="BX1085" t="str">
        <f>IF(Province="Grande principauté d'Ostland","Bourg de Griinackeren","")</f>
        <v/>
      </c>
      <c r="BY1085" t="str">
        <f t="shared" si="236"/>
        <v/>
      </c>
      <c r="BZ1085" s="83" t="str">
        <f t="shared" si="233"/>
        <v/>
      </c>
      <c r="CA1085" s="83" t="str">
        <f t="shared" si="234"/>
        <v/>
      </c>
      <c r="CB1085" s="530" t="str">
        <f t="shared" si="235"/>
        <v/>
      </c>
      <c r="CR1085" t="s">
        <v>14453</v>
      </c>
      <c r="GF1085" t="s">
        <v>8733</v>
      </c>
    </row>
    <row r="1086" spans="76:188" ht="13.2" customHeight="1">
      <c r="BX1086" t="str">
        <f>IF(Province="Grande principauté d'Ostland","Village de Melbeck","")</f>
        <v/>
      </c>
      <c r="BY1086" t="str">
        <f t="shared" si="236"/>
        <v/>
      </c>
      <c r="BZ1086" s="83" t="str">
        <f t="shared" si="233"/>
        <v/>
      </c>
      <c r="CA1086" s="83" t="str">
        <f t="shared" si="234"/>
        <v/>
      </c>
      <c r="CB1086" s="530" t="str">
        <f t="shared" si="235"/>
        <v/>
      </c>
      <c r="CR1086" t="s">
        <v>14454</v>
      </c>
      <c r="GF1086" t="s">
        <v>8724</v>
      </c>
    </row>
    <row r="1087" spans="76:188" ht="13.2" customHeight="1">
      <c r="BX1087" t="str">
        <f>IF(Province="Grande principauté d'Ostland","Village de Ristedt","")</f>
        <v/>
      </c>
      <c r="BY1087" t="str">
        <f t="shared" si="236"/>
        <v/>
      </c>
      <c r="BZ1087" s="83" t="str">
        <f t="shared" si="233"/>
        <v/>
      </c>
      <c r="CA1087" s="83" t="str">
        <f t="shared" si="234"/>
        <v/>
      </c>
      <c r="CB1087" s="530" t="str">
        <f t="shared" si="235"/>
        <v/>
      </c>
      <c r="CR1087" t="s">
        <v>14455</v>
      </c>
      <c r="GF1087" t="s">
        <v>8734</v>
      </c>
    </row>
    <row r="1088" spans="76:188" ht="13.2" customHeight="1">
      <c r="BX1088" t="str">
        <f>IF(Province="Grande principauté d'Ostland","Bourg de Wendorf","")</f>
        <v/>
      </c>
      <c r="BY1088" t="str">
        <f t="shared" si="236"/>
        <v/>
      </c>
      <c r="BZ1088" s="83" t="str">
        <f t="shared" si="233"/>
        <v/>
      </c>
      <c r="CA1088" s="83" t="str">
        <f t="shared" si="234"/>
        <v/>
      </c>
      <c r="CB1088" s="530" t="str">
        <f t="shared" si="235"/>
        <v/>
      </c>
      <c r="CR1088" t="s">
        <v>14456</v>
      </c>
      <c r="GF1088" t="s">
        <v>8142</v>
      </c>
    </row>
    <row r="1089" spans="76:188" ht="13.2" customHeight="1">
      <c r="BX1089" s="83" t="str">
        <f>IF(Province="Grande principauté d'Ostland","Fort de Bohsenfels","")</f>
        <v/>
      </c>
      <c r="BY1089" t="str">
        <f t="shared" si="236"/>
        <v/>
      </c>
      <c r="BZ1089" s="83" t="str">
        <f t="shared" si="233"/>
        <v/>
      </c>
      <c r="CA1089" s="83" t="str">
        <f t="shared" si="234"/>
        <v/>
      </c>
      <c r="CB1089" s="530" t="str">
        <f t="shared" si="235"/>
        <v/>
      </c>
      <c r="CR1089" t="s">
        <v>8674</v>
      </c>
      <c r="GF1089" t="s">
        <v>8750</v>
      </c>
    </row>
    <row r="1090" spans="76:188" ht="13.2" customHeight="1">
      <c r="BX1090" s="83" t="str">
        <f>IF(Province="Grande principauté d'Ostland","Bourg de Lubrecht","")</f>
        <v/>
      </c>
      <c r="BY1090" t="str">
        <f t="shared" si="236"/>
        <v/>
      </c>
      <c r="BZ1090" s="83" t="str">
        <f t="shared" ref="BZ1090:BZ1153" si="237">IFERROR(SMALL(BY:BY,ROW()-1),"")</f>
        <v/>
      </c>
      <c r="CA1090" s="83" t="str">
        <f t="shared" ref="CA1090:CA1153" si="238">IFERROR(INDEX(BX:BX,BZ1090),"")</f>
        <v/>
      </c>
      <c r="CB1090" s="530" t="str">
        <f t="shared" ref="CB1090:CB1153" si="239">INDEX(CA:CA,ROW())</f>
        <v/>
      </c>
      <c r="CR1090" t="s">
        <v>14457</v>
      </c>
      <c r="GF1090" t="s">
        <v>8743</v>
      </c>
    </row>
    <row r="1091" spans="76:188" ht="13.2" customHeight="1">
      <c r="BX1091" s="83" t="str">
        <f>IF(Province="Grande principauté d'Ostland","Village de Boven","")</f>
        <v/>
      </c>
      <c r="BY1091" t="str">
        <f t="shared" ref="BY1091:BY1154" si="240">IF(BX1091="","",ROW())</f>
        <v/>
      </c>
      <c r="BZ1091" s="83" t="str">
        <f t="shared" si="237"/>
        <v/>
      </c>
      <c r="CA1091" s="83" t="str">
        <f t="shared" si="238"/>
        <v/>
      </c>
      <c r="CB1091" s="530" t="str">
        <f t="shared" si="239"/>
        <v/>
      </c>
      <c r="CR1091" t="s">
        <v>14458</v>
      </c>
      <c r="GF1091" t="s">
        <v>8740</v>
      </c>
    </row>
    <row r="1092" spans="76:188" ht="13.2" customHeight="1">
      <c r="BX1092" s="83" t="str">
        <f>IF(Province="Grande principauté d'Ostland","Village de birkewiese","")</f>
        <v/>
      </c>
      <c r="BY1092" t="str">
        <f t="shared" si="240"/>
        <v/>
      </c>
      <c r="BZ1092" s="83" t="str">
        <f t="shared" si="237"/>
        <v/>
      </c>
      <c r="CA1092" s="83" t="str">
        <f t="shared" si="238"/>
        <v/>
      </c>
      <c r="CB1092" s="530" t="str">
        <f t="shared" si="239"/>
        <v/>
      </c>
      <c r="CR1092" t="s">
        <v>14459</v>
      </c>
      <c r="GF1092" t="s">
        <v>8741</v>
      </c>
    </row>
    <row r="1093" spans="76:188" ht="13.2" customHeight="1">
      <c r="BX1093" s="83" t="str">
        <f>IF(Province="Grande principauté d'Ostland","Château Lenkster","")</f>
        <v/>
      </c>
      <c r="BY1093" t="str">
        <f t="shared" si="240"/>
        <v/>
      </c>
      <c r="BZ1093" s="83" t="str">
        <f t="shared" si="237"/>
        <v/>
      </c>
      <c r="CA1093" s="83" t="str">
        <f t="shared" si="238"/>
        <v/>
      </c>
      <c r="CB1093" s="530" t="str">
        <f t="shared" si="239"/>
        <v/>
      </c>
      <c r="CR1093" t="s">
        <v>14460</v>
      </c>
      <c r="GF1093" t="s">
        <v>8143</v>
      </c>
    </row>
    <row r="1094" spans="76:188" ht="13.2" customHeight="1">
      <c r="BX1094" s="83" t="str">
        <f>IF(Province="Grande principauté d'Ostland","Ville de Ferlangen","")</f>
        <v/>
      </c>
      <c r="BY1094" t="str">
        <f t="shared" si="240"/>
        <v/>
      </c>
      <c r="BZ1094" s="83" t="str">
        <f t="shared" si="237"/>
        <v/>
      </c>
      <c r="CA1094" s="83" t="str">
        <f t="shared" si="238"/>
        <v/>
      </c>
      <c r="CB1094" s="530" t="str">
        <f t="shared" si="239"/>
        <v/>
      </c>
      <c r="CR1094" t="s">
        <v>14461</v>
      </c>
      <c r="GF1094" t="s">
        <v>8742</v>
      </c>
    </row>
    <row r="1095" spans="76:188" ht="13.2" customHeight="1">
      <c r="BX1095" t="str">
        <f>IF(Province="Grande principauté d'Ostland","Village d'Aukrug","")</f>
        <v/>
      </c>
      <c r="BY1095" t="str">
        <f t="shared" si="240"/>
        <v/>
      </c>
      <c r="BZ1095" s="83" t="str">
        <f t="shared" si="237"/>
        <v/>
      </c>
      <c r="CA1095" s="83" t="str">
        <f t="shared" si="238"/>
        <v/>
      </c>
      <c r="CB1095" s="530" t="str">
        <f t="shared" si="239"/>
        <v/>
      </c>
      <c r="CR1095" t="s">
        <v>14462</v>
      </c>
      <c r="GF1095" t="s">
        <v>8754</v>
      </c>
    </row>
    <row r="1096" spans="76:188" ht="13.2" customHeight="1">
      <c r="BX1096" t="str">
        <f>IF(Province="Grande principauté d'Ostland","Village de Dunkelpfad","")</f>
        <v/>
      </c>
      <c r="BY1096" t="str">
        <f t="shared" si="240"/>
        <v/>
      </c>
      <c r="BZ1096" s="83" t="str">
        <f t="shared" si="237"/>
        <v/>
      </c>
      <c r="CA1096" s="83" t="str">
        <f t="shared" si="238"/>
        <v/>
      </c>
      <c r="CB1096" s="530" t="str">
        <f t="shared" si="239"/>
        <v/>
      </c>
      <c r="CR1096" t="s">
        <v>14463</v>
      </c>
      <c r="GF1096" t="s">
        <v>8736</v>
      </c>
    </row>
    <row r="1097" spans="76:188" ht="13.2" customHeight="1">
      <c r="BX1097" t="str">
        <f>IF(Province="Grande principauté d'Ostland","Village de Fleckeby","")</f>
        <v/>
      </c>
      <c r="BY1097" t="str">
        <f t="shared" si="240"/>
        <v/>
      </c>
      <c r="BZ1097" s="83" t="str">
        <f t="shared" si="237"/>
        <v/>
      </c>
      <c r="CA1097" s="83" t="str">
        <f t="shared" si="238"/>
        <v/>
      </c>
      <c r="CB1097" s="530" t="str">
        <f t="shared" si="239"/>
        <v/>
      </c>
      <c r="CR1097" t="s">
        <v>14464</v>
      </c>
      <c r="GF1097" t="s">
        <v>8751</v>
      </c>
    </row>
    <row r="1098" spans="76:188" ht="13.2" customHeight="1">
      <c r="BX1098" t="str">
        <f>IF(Province="Grande principauté d'Ostland","Village d'Hasselhund","")</f>
        <v/>
      </c>
      <c r="BY1098" t="str">
        <f t="shared" si="240"/>
        <v/>
      </c>
      <c r="BZ1098" s="83" t="str">
        <f t="shared" si="237"/>
        <v/>
      </c>
      <c r="CA1098" s="83" t="str">
        <f t="shared" si="238"/>
        <v/>
      </c>
      <c r="CB1098" s="530" t="str">
        <f t="shared" si="239"/>
        <v/>
      </c>
      <c r="CR1098" t="s">
        <v>14465</v>
      </c>
      <c r="GF1098" t="s">
        <v>8737</v>
      </c>
    </row>
    <row r="1099" spans="76:188" ht="13.2" customHeight="1">
      <c r="BX1099" s="83" t="str">
        <f>IF(Province="Grande principauté d'Ostland","Village de Kurst","")</f>
        <v/>
      </c>
      <c r="BY1099" t="str">
        <f t="shared" si="240"/>
        <v/>
      </c>
      <c r="BZ1099" s="83" t="str">
        <f t="shared" si="237"/>
        <v/>
      </c>
      <c r="CA1099" s="83" t="str">
        <f t="shared" si="238"/>
        <v/>
      </c>
      <c r="CB1099" s="530" t="str">
        <f t="shared" si="239"/>
        <v/>
      </c>
      <c r="CR1099" t="s">
        <v>14466</v>
      </c>
      <c r="GF1099" t="s">
        <v>8755</v>
      </c>
    </row>
    <row r="1100" spans="76:188" ht="13.2" customHeight="1">
      <c r="BX1100" t="str">
        <f>IF(Province="Grande principauté d'Ostland","Village de Levudaldorf","")</f>
        <v/>
      </c>
      <c r="BY1100" t="str">
        <f t="shared" si="240"/>
        <v/>
      </c>
      <c r="BZ1100" s="83" t="str">
        <f t="shared" si="237"/>
        <v/>
      </c>
      <c r="CA1100" s="83" t="str">
        <f t="shared" si="238"/>
        <v/>
      </c>
      <c r="CB1100" s="530" t="str">
        <f t="shared" si="239"/>
        <v/>
      </c>
      <c r="CR1100" t="s">
        <v>14467</v>
      </c>
      <c r="GF1100" t="s">
        <v>8738</v>
      </c>
    </row>
    <row r="1101" spans="76:188" ht="13.2" customHeight="1">
      <c r="BX1101" s="83" t="str">
        <f>IF(Province="Grande principauté d'Ostland","Village d'Obelstein","")</f>
        <v/>
      </c>
      <c r="BY1101" t="str">
        <f t="shared" si="240"/>
        <v/>
      </c>
      <c r="BZ1101" s="83" t="str">
        <f t="shared" si="237"/>
        <v/>
      </c>
      <c r="CA1101" s="83" t="str">
        <f t="shared" si="238"/>
        <v/>
      </c>
      <c r="CB1101" s="530" t="str">
        <f t="shared" si="239"/>
        <v/>
      </c>
      <c r="CR1101" t="s">
        <v>14468</v>
      </c>
      <c r="GF1101" t="s">
        <v>8752</v>
      </c>
    </row>
    <row r="1102" spans="76:188" ht="13.2" customHeight="1">
      <c r="BX1102" s="83" t="str">
        <f>IF(Province="Grande principauté d'Ostland","Ville de Salkalten","")</f>
        <v/>
      </c>
      <c r="BY1102" t="str">
        <f t="shared" si="240"/>
        <v/>
      </c>
      <c r="BZ1102" s="83" t="str">
        <f t="shared" si="237"/>
        <v/>
      </c>
      <c r="CA1102" s="83" t="str">
        <f t="shared" si="238"/>
        <v/>
      </c>
      <c r="CB1102" s="530" t="str">
        <f t="shared" si="239"/>
        <v/>
      </c>
      <c r="CR1102" t="s">
        <v>14469</v>
      </c>
      <c r="GF1102" t="s">
        <v>8744</v>
      </c>
    </row>
    <row r="1103" spans="76:188" ht="13.2" customHeight="1">
      <c r="BX1103" t="str">
        <f>IF(Province="Grande principauté d'Ostland","Village de Verborgenbucht","")</f>
        <v/>
      </c>
      <c r="BY1103" t="str">
        <f t="shared" si="240"/>
        <v/>
      </c>
      <c r="BZ1103" s="83" t="str">
        <f t="shared" si="237"/>
        <v/>
      </c>
      <c r="CA1103" s="83" t="str">
        <f t="shared" si="238"/>
        <v/>
      </c>
      <c r="CB1103" s="530" t="str">
        <f t="shared" si="239"/>
        <v/>
      </c>
      <c r="CR1103" t="s">
        <v>14470</v>
      </c>
      <c r="GF1103" t="s">
        <v>8144</v>
      </c>
    </row>
    <row r="1104" spans="76:188" ht="13.2" customHeight="1">
      <c r="BX1104" s="83" t="str">
        <f>IF(Province="Grande principauté d'Ostland","Village de Smallhof","")</f>
        <v/>
      </c>
      <c r="BY1104" t="str">
        <f t="shared" si="240"/>
        <v/>
      </c>
      <c r="BZ1104" s="83" t="str">
        <f t="shared" si="237"/>
        <v/>
      </c>
      <c r="CA1104" s="83" t="str">
        <f t="shared" si="238"/>
        <v/>
      </c>
      <c r="CB1104" s="530" t="str">
        <f t="shared" si="239"/>
        <v/>
      </c>
      <c r="CR1104" t="s">
        <v>14471</v>
      </c>
      <c r="GF1104" t="s">
        <v>8745</v>
      </c>
    </row>
    <row r="1105" spans="76:188" ht="13.2" customHeight="1">
      <c r="BX1105" s="83" t="str">
        <f>IF(Province="Grande principauté d'Ostland","Bourg de Vadengart","")</f>
        <v/>
      </c>
      <c r="BY1105" t="str">
        <f t="shared" si="240"/>
        <v/>
      </c>
      <c r="BZ1105" s="83" t="str">
        <f t="shared" si="237"/>
        <v/>
      </c>
      <c r="CA1105" s="83" t="str">
        <f t="shared" si="238"/>
        <v/>
      </c>
      <c r="CB1105" s="530" t="str">
        <f t="shared" si="239"/>
        <v/>
      </c>
      <c r="CR1105" t="s">
        <v>14472</v>
      </c>
      <c r="GF1105" t="s">
        <v>8739</v>
      </c>
    </row>
    <row r="1106" spans="76:188" ht="13.2" customHeight="1">
      <c r="BX1106" s="83" t="str">
        <f>IF(Province="Grande principauté d'Ostland","Village de Grenzburg","")</f>
        <v/>
      </c>
      <c r="BY1106" t="str">
        <f t="shared" si="240"/>
        <v/>
      </c>
      <c r="BZ1106" s="83" t="str">
        <f t="shared" si="237"/>
        <v/>
      </c>
      <c r="CA1106" s="83" t="str">
        <f t="shared" si="238"/>
        <v/>
      </c>
      <c r="CB1106" s="530" t="str">
        <f t="shared" si="239"/>
        <v/>
      </c>
      <c r="CR1106" t="s">
        <v>14473</v>
      </c>
      <c r="GF1106" t="s">
        <v>8739</v>
      </c>
    </row>
    <row r="1107" spans="76:188" ht="13.2" customHeight="1">
      <c r="BX1107" s="83" t="str">
        <f>IF(Province="Grande principauté d'Ostland","Bourg de Wurzen","")</f>
        <v/>
      </c>
      <c r="BY1107" t="str">
        <f t="shared" si="240"/>
        <v/>
      </c>
      <c r="BZ1107" s="83" t="str">
        <f t="shared" si="237"/>
        <v/>
      </c>
      <c r="CA1107" s="83" t="str">
        <f t="shared" si="238"/>
        <v/>
      </c>
      <c r="CB1107" s="530" t="str">
        <f t="shared" si="239"/>
        <v/>
      </c>
      <c r="CR1107" t="s">
        <v>14474</v>
      </c>
      <c r="GF1107" t="s">
        <v>8145</v>
      </c>
    </row>
    <row r="1108" spans="76:188" ht="13.2" customHeight="1">
      <c r="BX1108" t="str">
        <f>IF(Province="Grande principauté d'Ostland","Village de Csenger","")</f>
        <v/>
      </c>
      <c r="BY1108" t="str">
        <f t="shared" si="240"/>
        <v/>
      </c>
      <c r="BZ1108" s="83" t="str">
        <f t="shared" si="237"/>
        <v/>
      </c>
      <c r="CA1108" s="83" t="str">
        <f t="shared" si="238"/>
        <v/>
      </c>
      <c r="CB1108" s="530" t="str">
        <f t="shared" si="239"/>
        <v/>
      </c>
      <c r="CR1108" t="s">
        <v>14475</v>
      </c>
      <c r="GF1108" t="s">
        <v>8746</v>
      </c>
    </row>
    <row r="1109" spans="76:188" ht="13.2" customHeight="1">
      <c r="BX1109" t="str">
        <f>IF(Province="Grande principauté d'Ostland","Village de Dorog","")</f>
        <v/>
      </c>
      <c r="BY1109" t="str">
        <f t="shared" si="240"/>
        <v/>
      </c>
      <c r="BZ1109" s="83" t="str">
        <f t="shared" si="237"/>
        <v/>
      </c>
      <c r="CA1109" s="83" t="str">
        <f t="shared" si="238"/>
        <v/>
      </c>
      <c r="CB1109" s="530" t="str">
        <f t="shared" si="239"/>
        <v/>
      </c>
      <c r="CR1109" t="s">
        <v>14476</v>
      </c>
      <c r="GF1109" t="s">
        <v>8747</v>
      </c>
    </row>
    <row r="1110" spans="76:188" ht="13.2" customHeight="1">
      <c r="BX1110" t="str">
        <f>IF(Province="Grande principauté du Reikland","Village d'Autler","")</f>
        <v/>
      </c>
      <c r="BY1110" t="str">
        <f t="shared" si="240"/>
        <v/>
      </c>
      <c r="BZ1110" s="83" t="str">
        <f t="shared" si="237"/>
        <v/>
      </c>
      <c r="CA1110" s="83" t="str">
        <f t="shared" si="238"/>
        <v/>
      </c>
      <c r="CB1110" s="530" t="str">
        <f t="shared" si="239"/>
        <v/>
      </c>
      <c r="CR1110" t="s">
        <v>14477</v>
      </c>
      <c r="GF1110" t="s">
        <v>8748</v>
      </c>
    </row>
    <row r="1111" spans="76:188" ht="13.2" customHeight="1">
      <c r="BX1111" t="str">
        <f>IF(Province="Grande principauté du Reikland","Bourg de Blutroch","")</f>
        <v/>
      </c>
      <c r="BY1111" t="str">
        <f t="shared" si="240"/>
        <v/>
      </c>
      <c r="BZ1111" s="83" t="str">
        <f t="shared" si="237"/>
        <v/>
      </c>
      <c r="CA1111" s="83" t="str">
        <f t="shared" si="238"/>
        <v/>
      </c>
      <c r="CB1111" s="530" t="str">
        <f t="shared" si="239"/>
        <v/>
      </c>
      <c r="CR1111" t="s">
        <v>14478</v>
      </c>
      <c r="GF1111" t="s">
        <v>8753</v>
      </c>
    </row>
    <row r="1112" spans="76:188" ht="13.2" customHeight="1">
      <c r="BX1112" t="str">
        <f>IF(Province="Grande principauté du Reikland","Village de Braunwurt","")</f>
        <v/>
      </c>
      <c r="BY1112" t="str">
        <f t="shared" si="240"/>
        <v/>
      </c>
      <c r="BZ1112" s="83" t="str">
        <f t="shared" si="237"/>
        <v/>
      </c>
      <c r="CA1112" s="83" t="str">
        <f t="shared" si="238"/>
        <v/>
      </c>
      <c r="CB1112" s="530" t="str">
        <f t="shared" si="239"/>
        <v/>
      </c>
      <c r="CR1112" t="s">
        <v>14479</v>
      </c>
      <c r="GF1112" t="s">
        <v>8146</v>
      </c>
    </row>
    <row r="1113" spans="76:188" ht="13.2" customHeight="1">
      <c r="BX1113" t="str">
        <f>IF(Province="Grande principauté du Reikland","Village de Bundesmarkt","")</f>
        <v/>
      </c>
      <c r="BY1113" t="str">
        <f t="shared" si="240"/>
        <v/>
      </c>
      <c r="BZ1113" s="83" t="str">
        <f t="shared" si="237"/>
        <v/>
      </c>
      <c r="CA1113" s="83" t="str">
        <f t="shared" si="238"/>
        <v/>
      </c>
      <c r="CB1113" s="530" t="str">
        <f t="shared" si="239"/>
        <v/>
      </c>
      <c r="CR1113" t="s">
        <v>14480</v>
      </c>
      <c r="GF1113" t="s">
        <v>8749</v>
      </c>
    </row>
    <row r="1114" spans="76:188" ht="13.2" customHeight="1">
      <c r="BX1114" t="str">
        <f>IF(Province="Grande principauté du Reikland","Village de Dorchen","")</f>
        <v/>
      </c>
      <c r="BY1114" t="str">
        <f t="shared" si="240"/>
        <v/>
      </c>
      <c r="BZ1114" s="83" t="str">
        <f t="shared" si="237"/>
        <v/>
      </c>
      <c r="CA1114" s="83" t="str">
        <f t="shared" si="238"/>
        <v/>
      </c>
      <c r="CB1114" s="530" t="str">
        <f t="shared" si="239"/>
        <v/>
      </c>
      <c r="CR1114" t="s">
        <v>14481</v>
      </c>
    </row>
    <row r="1115" spans="76:188" ht="13.2" customHeight="1">
      <c r="BX1115" t="str">
        <f>IF(Province="Grande principauté du Reikland","Village de Frederheim","")</f>
        <v/>
      </c>
      <c r="BY1115" t="str">
        <f t="shared" si="240"/>
        <v/>
      </c>
      <c r="BZ1115" s="83" t="str">
        <f t="shared" si="237"/>
        <v/>
      </c>
      <c r="CA1115" s="83" t="str">
        <f t="shared" si="238"/>
        <v/>
      </c>
      <c r="CB1115" s="530" t="str">
        <f t="shared" si="239"/>
        <v/>
      </c>
      <c r="CR1115" t="s">
        <v>14482</v>
      </c>
    </row>
    <row r="1116" spans="76:188" ht="13.2" customHeight="1">
      <c r="BX1116" t="str">
        <f>IF(Province="Grande principauté du Reikland","Village de Furtild","")</f>
        <v/>
      </c>
      <c r="BY1116" t="str">
        <f t="shared" si="240"/>
        <v/>
      </c>
      <c r="BZ1116" s="83" t="str">
        <f t="shared" si="237"/>
        <v/>
      </c>
      <c r="CA1116" s="83" t="str">
        <f t="shared" si="238"/>
        <v/>
      </c>
      <c r="CB1116" s="530" t="str">
        <f t="shared" si="239"/>
        <v/>
      </c>
      <c r="CR1116" t="s">
        <v>14483</v>
      </c>
      <c r="GF1116" s="3"/>
    </row>
    <row r="1117" spans="76:188" ht="13.2" customHeight="1">
      <c r="BX1117" t="str">
        <f>IF(Province="Grande principauté du Reikland","Village de Geldrecht","")</f>
        <v/>
      </c>
      <c r="BY1117" t="str">
        <f t="shared" si="240"/>
        <v/>
      </c>
      <c r="BZ1117" s="83" t="str">
        <f t="shared" si="237"/>
        <v/>
      </c>
      <c r="CA1117" s="83" t="str">
        <f t="shared" si="238"/>
        <v/>
      </c>
      <c r="CB1117" s="530" t="str">
        <f t="shared" si="239"/>
        <v/>
      </c>
      <c r="CR1117" t="s">
        <v>14484</v>
      </c>
    </row>
    <row r="1118" spans="76:188" ht="13.2" customHeight="1">
      <c r="BX1118" t="str">
        <f>IF(Province="Grande principauté du Reikland","Village de Gluckshalt","")</f>
        <v/>
      </c>
      <c r="BY1118" t="str">
        <f t="shared" si="240"/>
        <v/>
      </c>
      <c r="BZ1118" s="83" t="str">
        <f t="shared" si="237"/>
        <v/>
      </c>
      <c r="CA1118" s="83" t="str">
        <f t="shared" si="238"/>
        <v/>
      </c>
      <c r="CB1118" s="530" t="str">
        <f t="shared" si="239"/>
        <v/>
      </c>
      <c r="CR1118" t="s">
        <v>14485</v>
      </c>
    </row>
    <row r="1119" spans="76:188" ht="13.2" customHeight="1">
      <c r="BX1119" t="str">
        <f>IF(Province="Grande principauté du Reikland","Village de Grossbad","")</f>
        <v/>
      </c>
      <c r="BY1119" t="str">
        <f t="shared" si="240"/>
        <v/>
      </c>
      <c r="BZ1119" s="83" t="str">
        <f t="shared" si="237"/>
        <v/>
      </c>
      <c r="CA1119" s="83" t="str">
        <f t="shared" si="238"/>
        <v/>
      </c>
      <c r="CB1119" s="530" t="str">
        <f t="shared" si="239"/>
        <v/>
      </c>
      <c r="CR1119" t="s">
        <v>14486</v>
      </c>
    </row>
    <row r="1120" spans="76:188" ht="13.2" customHeight="1">
      <c r="BX1120" t="str">
        <f>IF(Province="Grande principauté du Reikland","Village d'Hartsklein","")</f>
        <v/>
      </c>
      <c r="BY1120" t="str">
        <f t="shared" si="240"/>
        <v/>
      </c>
      <c r="BZ1120" s="83" t="str">
        <f t="shared" si="237"/>
        <v/>
      </c>
      <c r="CA1120" s="83" t="str">
        <f t="shared" si="238"/>
        <v/>
      </c>
      <c r="CB1120" s="530" t="str">
        <f t="shared" si="239"/>
        <v/>
      </c>
      <c r="CR1120" t="s">
        <v>14487</v>
      </c>
    </row>
    <row r="1121" spans="76:96" ht="13.2" customHeight="1">
      <c r="BX1121" t="str">
        <f>IF(Province="Grande principauté du Reikland","Village d'Heiligen","")</f>
        <v/>
      </c>
      <c r="BY1121" t="str">
        <f t="shared" si="240"/>
        <v/>
      </c>
      <c r="BZ1121" s="83" t="str">
        <f t="shared" si="237"/>
        <v/>
      </c>
      <c r="CA1121" s="83" t="str">
        <f t="shared" si="238"/>
        <v/>
      </c>
      <c r="CB1121" s="530" t="str">
        <f t="shared" si="239"/>
        <v/>
      </c>
      <c r="CR1121" t="s">
        <v>14488</v>
      </c>
    </row>
    <row r="1122" spans="76:96" ht="13.2" customHeight="1">
      <c r="BX1122" t="str">
        <f>IF(Province="Grande principauté du Reikland","Village d'Hochloff","")</f>
        <v/>
      </c>
      <c r="BY1122" t="str">
        <f t="shared" si="240"/>
        <v/>
      </c>
      <c r="BZ1122" s="83" t="str">
        <f t="shared" si="237"/>
        <v/>
      </c>
      <c r="CA1122" s="83" t="str">
        <f t="shared" si="238"/>
        <v/>
      </c>
      <c r="CB1122" s="530" t="str">
        <f t="shared" si="239"/>
        <v/>
      </c>
      <c r="CR1122" t="s">
        <v>14489</v>
      </c>
    </row>
    <row r="1123" spans="76:96" ht="13.2" customHeight="1">
      <c r="BX1123" t="str">
        <f>IF(Province="Grande principauté du Reikland","Village de Kaldach","")</f>
        <v/>
      </c>
      <c r="BY1123" t="str">
        <f t="shared" si="240"/>
        <v/>
      </c>
      <c r="BZ1123" s="83" t="str">
        <f t="shared" si="237"/>
        <v/>
      </c>
      <c r="CA1123" s="83" t="str">
        <f t="shared" si="238"/>
        <v/>
      </c>
      <c r="CB1123" s="530" t="str">
        <f t="shared" si="239"/>
        <v/>
      </c>
      <c r="CR1123" t="s">
        <v>14490</v>
      </c>
    </row>
    <row r="1124" spans="76:96" ht="13.2" customHeight="1">
      <c r="BX1124" t="str">
        <f>IF(Province="Grande principauté du Reikland","Village de Rechtlich","")</f>
        <v/>
      </c>
      <c r="BY1124" t="str">
        <f t="shared" si="240"/>
        <v/>
      </c>
      <c r="BZ1124" s="83" t="str">
        <f t="shared" si="237"/>
        <v/>
      </c>
      <c r="CA1124" s="83" t="str">
        <f t="shared" si="238"/>
        <v/>
      </c>
      <c r="CB1124" s="530" t="str">
        <f t="shared" si="239"/>
        <v/>
      </c>
      <c r="CR1124" t="s">
        <v>14491</v>
      </c>
    </row>
    <row r="1125" spans="76:96" ht="13.2" customHeight="1">
      <c r="BX1125" t="str">
        <f>IF(Province="Grande principauté du Reikland","Village de Rottefach","")</f>
        <v/>
      </c>
      <c r="BY1125" t="str">
        <f t="shared" si="240"/>
        <v/>
      </c>
      <c r="BZ1125" s="83" t="str">
        <f t="shared" si="237"/>
        <v/>
      </c>
      <c r="CA1125" s="83" t="str">
        <f t="shared" si="238"/>
        <v/>
      </c>
      <c r="CB1125" s="530" t="str">
        <f t="shared" si="239"/>
        <v/>
      </c>
      <c r="CR1125" t="s">
        <v>14492</v>
      </c>
    </row>
    <row r="1126" spans="76:96" ht="13.2" customHeight="1">
      <c r="BX1126" t="str">
        <f>IF(Province="Grande principauté du Reikland","Village de Schlafebild","")</f>
        <v/>
      </c>
      <c r="BY1126" t="str">
        <f t="shared" si="240"/>
        <v/>
      </c>
      <c r="BZ1126" s="83" t="str">
        <f t="shared" si="237"/>
        <v/>
      </c>
      <c r="CA1126" s="83" t="str">
        <f t="shared" si="238"/>
        <v/>
      </c>
      <c r="CB1126" s="530" t="str">
        <f t="shared" si="239"/>
        <v/>
      </c>
      <c r="CR1126" t="s">
        <v>14493</v>
      </c>
    </row>
    <row r="1127" spans="76:96" ht="13.2" customHeight="1">
      <c r="BX1127" t="str">
        <f>IF(Province="Grande principauté du Reikland","Village de Teufelfeuer","")</f>
        <v/>
      </c>
      <c r="BY1127" t="str">
        <f t="shared" si="240"/>
        <v/>
      </c>
      <c r="BZ1127" s="83" t="str">
        <f t="shared" si="237"/>
        <v/>
      </c>
      <c r="CA1127" s="83" t="str">
        <f t="shared" si="238"/>
        <v/>
      </c>
      <c r="CB1127" s="530" t="str">
        <f t="shared" si="239"/>
        <v/>
      </c>
      <c r="CR1127" t="s">
        <v>14494</v>
      </c>
    </row>
    <row r="1128" spans="76:96" ht="13.2" customHeight="1">
      <c r="BX1128" t="str">
        <f>IF(Province="Grande principauté du Reikland","Bourg de Walfen","")</f>
        <v/>
      </c>
      <c r="BY1128" t="str">
        <f t="shared" si="240"/>
        <v/>
      </c>
      <c r="BZ1128" s="83" t="str">
        <f t="shared" si="237"/>
        <v/>
      </c>
      <c r="CA1128" s="83" t="str">
        <f t="shared" si="238"/>
        <v/>
      </c>
      <c r="CB1128" s="530" t="str">
        <f t="shared" si="239"/>
        <v/>
      </c>
      <c r="CR1128" t="s">
        <v>14495</v>
      </c>
    </row>
    <row r="1129" spans="76:96" ht="13.2" customHeight="1">
      <c r="BX1129" s="83" t="str">
        <f>IF(Province="Grande principauté du Reikland","Ville d'Auerswald","")</f>
        <v/>
      </c>
      <c r="BY1129" t="str">
        <f t="shared" si="240"/>
        <v/>
      </c>
      <c r="BZ1129" s="83" t="str">
        <f t="shared" si="237"/>
        <v/>
      </c>
      <c r="CA1129" s="83" t="str">
        <f t="shared" si="238"/>
        <v/>
      </c>
      <c r="CB1129" s="530" t="str">
        <f t="shared" si="239"/>
        <v/>
      </c>
      <c r="CR1129" t="s">
        <v>14496</v>
      </c>
    </row>
    <row r="1130" spans="76:96" ht="13.2" customHeight="1">
      <c r="BX1130" t="str">
        <f>IF(Province="Grande principauté du Reikland","Village de Dresschler","")</f>
        <v/>
      </c>
      <c r="BY1130" t="str">
        <f t="shared" si="240"/>
        <v/>
      </c>
      <c r="BZ1130" s="83" t="str">
        <f t="shared" si="237"/>
        <v/>
      </c>
      <c r="CA1130" s="83" t="str">
        <f t="shared" si="238"/>
        <v/>
      </c>
      <c r="CB1130" s="530" t="str">
        <f t="shared" si="239"/>
        <v/>
      </c>
      <c r="CR1130" t="s">
        <v>14497</v>
      </c>
    </row>
    <row r="1131" spans="76:96" ht="13.2" customHeight="1">
      <c r="BX1131" t="str">
        <f>IF(Province="Grande principauté du Reikland","Village de Gladisch","")</f>
        <v/>
      </c>
      <c r="BY1131" t="str">
        <f t="shared" si="240"/>
        <v/>
      </c>
      <c r="BZ1131" s="83" t="str">
        <f t="shared" si="237"/>
        <v/>
      </c>
      <c r="CA1131" s="83" t="str">
        <f t="shared" si="238"/>
        <v/>
      </c>
      <c r="CB1131" s="530" t="str">
        <f t="shared" si="239"/>
        <v/>
      </c>
      <c r="CR1131" t="s">
        <v>14498</v>
      </c>
    </row>
    <row r="1132" spans="76:96" ht="13.2" customHeight="1">
      <c r="BX1132" s="83" t="str">
        <f>IF(Province="Grande principauté du Reikland","Mine d'Hahnbrandt","")</f>
        <v/>
      </c>
      <c r="BY1132" t="str">
        <f t="shared" si="240"/>
        <v/>
      </c>
      <c r="BZ1132" s="83" t="str">
        <f t="shared" si="237"/>
        <v/>
      </c>
      <c r="CA1132" s="83" t="str">
        <f t="shared" si="238"/>
        <v/>
      </c>
      <c r="CB1132" s="530" t="str">
        <f t="shared" si="239"/>
        <v/>
      </c>
      <c r="CR1132" t="s">
        <v>14499</v>
      </c>
    </row>
    <row r="1133" spans="76:96" ht="13.2" customHeight="1">
      <c r="BX1133" t="str">
        <f>IF(Province="Grande principauté du Reikland","Village de Koch","")</f>
        <v/>
      </c>
      <c r="BY1133" t="str">
        <f t="shared" si="240"/>
        <v/>
      </c>
      <c r="BZ1133" s="83" t="str">
        <f t="shared" si="237"/>
        <v/>
      </c>
      <c r="CA1133" s="83" t="str">
        <f t="shared" si="238"/>
        <v/>
      </c>
      <c r="CB1133" s="530" t="str">
        <f t="shared" si="239"/>
        <v/>
      </c>
      <c r="CR1133" t="s">
        <v>14500</v>
      </c>
    </row>
    <row r="1134" spans="76:96" ht="13.2" customHeight="1">
      <c r="BX1134" t="str">
        <f>IF(Province="Grande principauté du Reikland","Village de Sprinthof","")</f>
        <v/>
      </c>
      <c r="BY1134" t="str">
        <f t="shared" si="240"/>
        <v/>
      </c>
      <c r="BZ1134" s="83" t="str">
        <f t="shared" si="237"/>
        <v/>
      </c>
      <c r="CA1134" s="83" t="str">
        <f t="shared" si="238"/>
        <v/>
      </c>
      <c r="CB1134" s="530" t="str">
        <f t="shared" si="239"/>
        <v/>
      </c>
      <c r="CR1134" t="s">
        <v>14501</v>
      </c>
    </row>
    <row r="1135" spans="76:96" ht="13.2" customHeight="1">
      <c r="BX1135" t="str">
        <f>IF(Province="Grande principauté du Reikland","Village de Steche","")</f>
        <v/>
      </c>
      <c r="BY1135" t="str">
        <f t="shared" si="240"/>
        <v/>
      </c>
      <c r="BZ1135" s="83" t="str">
        <f t="shared" si="237"/>
        <v/>
      </c>
      <c r="CA1135" s="83" t="str">
        <f t="shared" si="238"/>
        <v/>
      </c>
      <c r="CB1135" s="530" t="str">
        <f t="shared" si="239"/>
        <v/>
      </c>
      <c r="CR1135" t="s">
        <v>14502</v>
      </c>
    </row>
    <row r="1136" spans="76:96" ht="13.2" customHeight="1">
      <c r="BX1136" s="83" t="str">
        <f>IF(Province="Grande principauté du Reikland","Ville de Bogenhafen","")</f>
        <v/>
      </c>
      <c r="BY1136" t="str">
        <f t="shared" si="240"/>
        <v/>
      </c>
      <c r="BZ1136" s="83" t="str">
        <f t="shared" si="237"/>
        <v/>
      </c>
      <c r="CA1136" s="83" t="str">
        <f t="shared" si="238"/>
        <v/>
      </c>
      <c r="CB1136" s="530" t="str">
        <f t="shared" si="239"/>
        <v/>
      </c>
      <c r="CR1136" t="s">
        <v>14503</v>
      </c>
    </row>
    <row r="1137" spans="76:96" ht="13.2" customHeight="1">
      <c r="BX1137" t="str">
        <f>IF(Province="Grande principauté du Reikland","Village d'Ardlich","")</f>
        <v/>
      </c>
      <c r="BY1137" t="str">
        <f t="shared" si="240"/>
        <v/>
      </c>
      <c r="BZ1137" s="83" t="str">
        <f t="shared" si="237"/>
        <v/>
      </c>
      <c r="CA1137" s="83" t="str">
        <f t="shared" si="238"/>
        <v/>
      </c>
      <c r="CB1137" s="530" t="str">
        <f t="shared" si="239"/>
        <v/>
      </c>
      <c r="CR1137" t="s">
        <v>14504</v>
      </c>
    </row>
    <row r="1138" spans="76:96" ht="13.2" customHeight="1">
      <c r="BX1138" t="str">
        <f>IF(Province="Grande principauté du Reikland","Village de Finsterbad","")</f>
        <v/>
      </c>
      <c r="BY1138" t="str">
        <f t="shared" si="240"/>
        <v/>
      </c>
      <c r="BZ1138" s="83" t="str">
        <f t="shared" si="237"/>
        <v/>
      </c>
      <c r="CA1138" s="83" t="str">
        <f t="shared" si="238"/>
        <v/>
      </c>
      <c r="CB1138" s="530" t="str">
        <f t="shared" si="239"/>
        <v/>
      </c>
      <c r="CR1138" t="s">
        <v>14505</v>
      </c>
    </row>
    <row r="1139" spans="76:96" ht="13.2" customHeight="1">
      <c r="BX1139" t="str">
        <f>IF(Province="Grande principauté du Reikland","Village de Grubevon","")</f>
        <v/>
      </c>
      <c r="BY1139" t="str">
        <f t="shared" si="240"/>
        <v/>
      </c>
      <c r="BZ1139" s="83" t="str">
        <f t="shared" si="237"/>
        <v/>
      </c>
      <c r="CA1139" s="83" t="str">
        <f t="shared" si="238"/>
        <v/>
      </c>
      <c r="CB1139" s="530" t="str">
        <f t="shared" si="239"/>
        <v/>
      </c>
      <c r="CR1139" t="s">
        <v>14506</v>
      </c>
    </row>
    <row r="1140" spans="76:96" ht="13.2" customHeight="1">
      <c r="BX1140" t="str">
        <f>IF(Province="Grande principauté du Reikland","Village d'Herzhald","")</f>
        <v/>
      </c>
      <c r="BY1140" t="str">
        <f t="shared" si="240"/>
        <v/>
      </c>
      <c r="BZ1140" s="83" t="str">
        <f t="shared" si="237"/>
        <v/>
      </c>
      <c r="CA1140" s="83" t="str">
        <f t="shared" si="238"/>
        <v/>
      </c>
      <c r="CB1140" s="530" t="str">
        <f t="shared" si="239"/>
        <v/>
      </c>
      <c r="CR1140" t="s">
        <v>14507</v>
      </c>
    </row>
    <row r="1141" spans="76:96" ht="13.2" customHeight="1">
      <c r="BX1141" s="83" t="str">
        <f>IF(Province="Grande principauté du Reikland","Château Grauenburg","")</f>
        <v/>
      </c>
      <c r="BY1141" t="str">
        <f t="shared" si="240"/>
        <v/>
      </c>
      <c r="BZ1141" s="83" t="str">
        <f t="shared" si="237"/>
        <v/>
      </c>
      <c r="CA1141" s="83" t="str">
        <f t="shared" si="238"/>
        <v/>
      </c>
      <c r="CB1141" s="530" t="str">
        <f t="shared" si="239"/>
        <v/>
      </c>
      <c r="CR1141" t="s">
        <v>14508</v>
      </c>
    </row>
    <row r="1142" spans="76:96" ht="13.2" customHeight="1">
      <c r="BX1142" s="83" t="str">
        <f>IF(Province="Grande principauté du Reikland","Château Reiksguard","")</f>
        <v/>
      </c>
      <c r="BY1142" t="str">
        <f t="shared" si="240"/>
        <v/>
      </c>
      <c r="BZ1142" s="83" t="str">
        <f t="shared" si="237"/>
        <v/>
      </c>
      <c r="CA1142" s="83" t="str">
        <f t="shared" si="238"/>
        <v/>
      </c>
      <c r="CB1142" s="530" t="str">
        <f t="shared" si="239"/>
        <v/>
      </c>
      <c r="CR1142" t="s">
        <v>14509</v>
      </c>
    </row>
    <row r="1143" spans="76:96" ht="13.2" customHeight="1">
      <c r="BX1143" s="83" t="str">
        <f>IF(Province="Grande principauté du Reikland","Cité-Etat d'Altdorf","")</f>
        <v/>
      </c>
      <c r="BY1143" t="str">
        <f t="shared" si="240"/>
        <v/>
      </c>
      <c r="BZ1143" s="83" t="str">
        <f t="shared" si="237"/>
        <v/>
      </c>
      <c r="CA1143" s="83" t="str">
        <f t="shared" si="238"/>
        <v/>
      </c>
      <c r="CB1143" s="530" t="str">
        <f t="shared" si="239"/>
        <v/>
      </c>
      <c r="CR1143" t="s">
        <v>14510</v>
      </c>
    </row>
    <row r="1144" spans="76:96" ht="13.2" customHeight="1">
      <c r="BX1144" s="83" t="str">
        <f>IF(Province="Grande principauté du Reikland","Ville de Dunkelburg","")</f>
        <v/>
      </c>
      <c r="BY1144" t="str">
        <f t="shared" si="240"/>
        <v/>
      </c>
      <c r="BZ1144" s="83" t="str">
        <f t="shared" si="237"/>
        <v/>
      </c>
      <c r="CA1144" s="83" t="str">
        <f t="shared" si="238"/>
        <v/>
      </c>
      <c r="CB1144" s="530" t="str">
        <f t="shared" si="239"/>
        <v/>
      </c>
      <c r="CR1144" t="s">
        <v>8746</v>
      </c>
    </row>
    <row r="1145" spans="76:96" ht="13.2" customHeight="1">
      <c r="BX1145" t="str">
        <f>IF(Province="Grande principauté du Reikland","Village de Barfsheim","")</f>
        <v/>
      </c>
      <c r="BY1145" t="str">
        <f t="shared" si="240"/>
        <v/>
      </c>
      <c r="BZ1145" s="83" t="str">
        <f t="shared" si="237"/>
        <v/>
      </c>
      <c r="CA1145" s="83" t="str">
        <f t="shared" si="238"/>
        <v/>
      </c>
      <c r="CB1145" s="530" t="str">
        <f t="shared" si="239"/>
        <v/>
      </c>
      <c r="CR1145" t="s">
        <v>14511</v>
      </c>
    </row>
    <row r="1146" spans="76:96" ht="13.2" customHeight="1">
      <c r="BX1146" t="str">
        <f>IF(Province="Grande principauté du Reikland","Village de Gemusenbad","")</f>
        <v/>
      </c>
      <c r="BY1146" t="str">
        <f t="shared" si="240"/>
        <v/>
      </c>
      <c r="BZ1146" s="83" t="str">
        <f t="shared" si="237"/>
        <v/>
      </c>
      <c r="CA1146" s="83" t="str">
        <f t="shared" si="238"/>
        <v/>
      </c>
      <c r="CB1146" s="530" t="str">
        <f t="shared" si="239"/>
        <v/>
      </c>
      <c r="CR1146" t="s">
        <v>14512</v>
      </c>
    </row>
    <row r="1147" spans="76:96" ht="13.2" customHeight="1">
      <c r="BX1147" t="str">
        <f>IF(Province="Grande principauté du Reikland","Village d'Harke","")</f>
        <v/>
      </c>
      <c r="BY1147" t="str">
        <f t="shared" si="240"/>
        <v/>
      </c>
      <c r="BZ1147" s="83" t="str">
        <f t="shared" si="237"/>
        <v/>
      </c>
      <c r="CA1147" s="83" t="str">
        <f t="shared" si="238"/>
        <v/>
      </c>
      <c r="CB1147" s="530" t="str">
        <f t="shared" si="239"/>
        <v/>
      </c>
      <c r="CR1147" t="s">
        <v>14513</v>
      </c>
    </row>
    <row r="1148" spans="76:96" ht="13.2" customHeight="1">
      <c r="BX1148" t="str">
        <f>IF(Province="Grande principauté du Reikland","Village de Ruhfurt","")</f>
        <v/>
      </c>
      <c r="BY1148" t="str">
        <f t="shared" si="240"/>
        <v/>
      </c>
      <c r="BZ1148" s="83" t="str">
        <f t="shared" si="237"/>
        <v/>
      </c>
      <c r="CA1148" s="83" t="str">
        <f t="shared" si="238"/>
        <v/>
      </c>
      <c r="CB1148" s="530" t="str">
        <f t="shared" si="239"/>
        <v/>
      </c>
      <c r="CR1148" t="s">
        <v>14514</v>
      </c>
    </row>
    <row r="1149" spans="76:96" ht="13.2" customHeight="1">
      <c r="BX1149" t="str">
        <f>IF(Province="Grande principauté du Reikland","Village de Schattental","")</f>
        <v/>
      </c>
      <c r="BY1149" t="str">
        <f t="shared" si="240"/>
        <v/>
      </c>
      <c r="BZ1149" s="83" t="str">
        <f t="shared" si="237"/>
        <v/>
      </c>
      <c r="CA1149" s="83" t="str">
        <f t="shared" si="238"/>
        <v/>
      </c>
      <c r="CB1149" s="530" t="str">
        <f t="shared" si="239"/>
        <v/>
      </c>
      <c r="CR1149" t="s">
        <v>14515</v>
      </c>
    </row>
    <row r="1150" spans="76:96" ht="13.2" customHeight="1">
      <c r="BX1150" t="str">
        <f>IF(Province="Grande principauté du Reikland","Village de Steindorf","")</f>
        <v/>
      </c>
      <c r="BY1150" t="str">
        <f t="shared" si="240"/>
        <v/>
      </c>
      <c r="BZ1150" s="83" t="str">
        <f t="shared" si="237"/>
        <v/>
      </c>
      <c r="CA1150" s="83" t="str">
        <f t="shared" si="238"/>
        <v/>
      </c>
      <c r="CB1150" s="530" t="str">
        <f t="shared" si="239"/>
        <v/>
      </c>
      <c r="CR1150" t="s">
        <v>14516</v>
      </c>
    </row>
    <row r="1151" spans="76:96" ht="13.2" customHeight="1">
      <c r="BX1151" s="83" t="str">
        <f>IF(Province="Grande principauté du Reikland","Bourg de Diesdorf","")</f>
        <v/>
      </c>
      <c r="BY1151" t="str">
        <f t="shared" si="240"/>
        <v/>
      </c>
      <c r="BZ1151" s="83" t="str">
        <f t="shared" si="237"/>
        <v/>
      </c>
      <c r="CA1151" s="83" t="str">
        <f t="shared" si="238"/>
        <v/>
      </c>
      <c r="CB1151" s="530" t="str">
        <f t="shared" si="239"/>
        <v/>
      </c>
      <c r="CR1151" t="s">
        <v>14517</v>
      </c>
    </row>
    <row r="1152" spans="76:96" ht="13.2" customHeight="1">
      <c r="BX1152" s="83" t="str">
        <f>IF(Province="Grande principauté du Reikland","Ville d'Eilhart","")</f>
        <v/>
      </c>
      <c r="BY1152" t="str">
        <f t="shared" si="240"/>
        <v/>
      </c>
      <c r="BZ1152" s="83" t="str">
        <f t="shared" si="237"/>
        <v/>
      </c>
      <c r="CA1152" s="83" t="str">
        <f t="shared" si="238"/>
        <v/>
      </c>
      <c r="CB1152" s="530" t="str">
        <f t="shared" si="239"/>
        <v/>
      </c>
      <c r="CR1152" t="s">
        <v>14518</v>
      </c>
    </row>
    <row r="1153" spans="76:96" ht="13.2" customHeight="1">
      <c r="BX1153" s="83" t="str">
        <f>IF(Province="Grande principauté du Reikland","Ville de Grissenwald","")</f>
        <v/>
      </c>
      <c r="BY1153" t="str">
        <f t="shared" si="240"/>
        <v/>
      </c>
      <c r="BZ1153" s="83" t="str">
        <f t="shared" si="237"/>
        <v/>
      </c>
      <c r="CA1153" s="83" t="str">
        <f t="shared" si="238"/>
        <v/>
      </c>
      <c r="CB1153" s="530" t="str">
        <f t="shared" si="239"/>
        <v/>
      </c>
      <c r="CR1153" t="s">
        <v>14519</v>
      </c>
    </row>
    <row r="1154" spans="76:96" ht="13.2" customHeight="1">
      <c r="BX1154" s="83" t="str">
        <f>IF(Province="Grande principauté du Reikland","Ville de Grunburg","")</f>
        <v/>
      </c>
      <c r="BY1154" t="str">
        <f t="shared" si="240"/>
        <v/>
      </c>
      <c r="BZ1154" s="83" t="str">
        <f t="shared" ref="BZ1154:BZ1217" si="241">IFERROR(SMALL(BY:BY,ROW()-1),"")</f>
        <v/>
      </c>
      <c r="CA1154" s="83" t="str">
        <f t="shared" ref="CA1154:CA1217" si="242">IFERROR(INDEX(BX:BX,BZ1154),"")</f>
        <v/>
      </c>
      <c r="CB1154" s="530" t="str">
        <f t="shared" ref="CB1154:CB1217" si="243">INDEX(CA:CA,ROW())</f>
        <v/>
      </c>
      <c r="CR1154" t="s">
        <v>14520</v>
      </c>
    </row>
    <row r="1155" spans="76:96" ht="13.2" customHeight="1">
      <c r="BX1155" t="str">
        <f>IF(Province="Grande principauté du Reikland","Village d'Aussen","")</f>
        <v/>
      </c>
      <c r="BY1155" t="str">
        <f t="shared" ref="BY1155:BY1218" si="244">IF(BX1155="","",ROW())</f>
        <v/>
      </c>
      <c r="BZ1155" s="83" t="str">
        <f t="shared" si="241"/>
        <v/>
      </c>
      <c r="CA1155" s="83" t="str">
        <f t="shared" si="242"/>
        <v/>
      </c>
      <c r="CB1155" s="530" t="str">
        <f t="shared" si="243"/>
        <v/>
      </c>
      <c r="CR1155" t="s">
        <v>14521</v>
      </c>
    </row>
    <row r="1156" spans="76:96" ht="13.2" customHeight="1">
      <c r="BX1156" t="str">
        <f>IF(Province="Grande principauté du Reikland","Village d'Hornlach","")</f>
        <v/>
      </c>
      <c r="BY1156" t="str">
        <f t="shared" si="244"/>
        <v/>
      </c>
      <c r="BZ1156" s="83" t="str">
        <f t="shared" si="241"/>
        <v/>
      </c>
      <c r="CA1156" s="83" t="str">
        <f t="shared" si="242"/>
        <v/>
      </c>
      <c r="CB1156" s="530" t="str">
        <f t="shared" si="243"/>
        <v/>
      </c>
      <c r="CR1156" t="s">
        <v>14522</v>
      </c>
    </row>
    <row r="1157" spans="76:96" ht="13.2" customHeight="1">
      <c r="BX1157" t="str">
        <f>IF(Province="Grande principauté du Reikland","Village de Kleindorf","")</f>
        <v/>
      </c>
      <c r="BY1157" t="str">
        <f t="shared" si="244"/>
        <v/>
      </c>
      <c r="BZ1157" s="83" t="str">
        <f t="shared" si="241"/>
        <v/>
      </c>
      <c r="CA1157" s="83" t="str">
        <f t="shared" si="242"/>
        <v/>
      </c>
      <c r="CB1157" s="530" t="str">
        <f t="shared" si="243"/>
        <v/>
      </c>
      <c r="CR1157" t="s">
        <v>14523</v>
      </c>
    </row>
    <row r="1158" spans="76:96" ht="13.2" customHeight="1">
      <c r="BX1158" t="str">
        <f>IF(Province="Grande principauté du Reikland","Village de Silberwurt","")</f>
        <v/>
      </c>
      <c r="BY1158" t="str">
        <f t="shared" si="244"/>
        <v/>
      </c>
      <c r="BZ1158" s="83" t="str">
        <f t="shared" si="241"/>
        <v/>
      </c>
      <c r="CA1158" s="83" t="str">
        <f t="shared" si="242"/>
        <v/>
      </c>
      <c r="CB1158" s="530" t="str">
        <f t="shared" si="243"/>
        <v/>
      </c>
      <c r="CR1158" t="s">
        <v>14524</v>
      </c>
    </row>
    <row r="1159" spans="76:96" ht="13.2" customHeight="1">
      <c r="BX1159" t="str">
        <f>IF(Province="Grande principauté du Reikland","Village de Wôrlitz","")</f>
        <v/>
      </c>
      <c r="BY1159" t="str">
        <f t="shared" si="244"/>
        <v/>
      </c>
      <c r="BZ1159" s="83" t="str">
        <f t="shared" si="241"/>
        <v/>
      </c>
      <c r="CA1159" s="83" t="str">
        <f t="shared" si="242"/>
        <v/>
      </c>
      <c r="CB1159" s="530" t="str">
        <f t="shared" si="243"/>
        <v/>
      </c>
      <c r="CR1159" t="s">
        <v>14525</v>
      </c>
    </row>
    <row r="1160" spans="76:96" ht="13.2" customHeight="1">
      <c r="BX1160" s="83" t="str">
        <f>IF(Province="Grande principauté du Reikland","Ville d'Helmgart","")</f>
        <v/>
      </c>
      <c r="BY1160" t="str">
        <f t="shared" si="244"/>
        <v/>
      </c>
      <c r="BZ1160" s="83" t="str">
        <f t="shared" si="241"/>
        <v/>
      </c>
      <c r="CA1160" s="83" t="str">
        <f t="shared" si="242"/>
        <v/>
      </c>
      <c r="CB1160" s="530" t="str">
        <f t="shared" si="243"/>
        <v/>
      </c>
      <c r="CR1160" t="s">
        <v>14526</v>
      </c>
    </row>
    <row r="1161" spans="76:96" ht="13.2" customHeight="1">
      <c r="BX1161" s="83" t="str">
        <f>IF(Province="Grande principauté du Reikland","Ville d'Holthusen","")</f>
        <v/>
      </c>
      <c r="BY1161" t="str">
        <f t="shared" si="244"/>
        <v/>
      </c>
      <c r="BZ1161" s="83" t="str">
        <f t="shared" si="241"/>
        <v/>
      </c>
      <c r="CA1161" s="83" t="str">
        <f t="shared" si="242"/>
        <v/>
      </c>
      <c r="CB1161" s="530" t="str">
        <f t="shared" si="243"/>
        <v/>
      </c>
      <c r="CR1161" s="83"/>
    </row>
    <row r="1162" spans="76:96" ht="13.2" customHeight="1">
      <c r="BX1162" s="83" t="str">
        <f>IF(Province="Grande principauté du Reikland","Village de Rottfurt","")</f>
        <v/>
      </c>
      <c r="BY1162" t="str">
        <f t="shared" si="244"/>
        <v/>
      </c>
      <c r="BZ1162" s="83" t="str">
        <f t="shared" si="241"/>
        <v/>
      </c>
      <c r="CA1162" s="83" t="str">
        <f t="shared" si="242"/>
        <v/>
      </c>
      <c r="CB1162" s="530" t="str">
        <f t="shared" si="243"/>
        <v/>
      </c>
    </row>
    <row r="1163" spans="76:96" ht="13.2" customHeight="1">
      <c r="BX1163" s="83" t="str">
        <f>IF(Province="Grande principauté du Reikland","Ville de Schilderheim","")</f>
        <v/>
      </c>
      <c r="BY1163" t="str">
        <f t="shared" si="244"/>
        <v/>
      </c>
      <c r="BZ1163" s="83" t="str">
        <f t="shared" si="241"/>
        <v/>
      </c>
      <c r="CA1163" s="83" t="str">
        <f t="shared" si="242"/>
        <v/>
      </c>
      <c r="CB1163" s="530" t="str">
        <f t="shared" si="243"/>
        <v/>
      </c>
    </row>
    <row r="1164" spans="76:96" ht="13.2" customHeight="1">
      <c r="BX1164" s="83" t="str">
        <f>IF(Province="Grande principauté du Reikland","Ville de Stimmigen","")</f>
        <v/>
      </c>
      <c r="BY1164" t="str">
        <f t="shared" si="244"/>
        <v/>
      </c>
      <c r="BZ1164" s="83" t="str">
        <f t="shared" si="241"/>
        <v/>
      </c>
      <c r="CA1164" s="83" t="str">
        <f t="shared" si="242"/>
        <v/>
      </c>
      <c r="CB1164" s="530" t="str">
        <f t="shared" si="243"/>
        <v/>
      </c>
    </row>
    <row r="1165" spans="76:96" ht="13.2" customHeight="1">
      <c r="BX1165" t="str">
        <f>IF(Province="Grande principauté du Reikland","Village de Lachenbad","")</f>
        <v/>
      </c>
      <c r="BY1165" t="str">
        <f t="shared" si="244"/>
        <v/>
      </c>
      <c r="BZ1165" s="83" t="str">
        <f t="shared" si="241"/>
        <v/>
      </c>
      <c r="CA1165" s="83" t="str">
        <f t="shared" si="242"/>
        <v/>
      </c>
      <c r="CB1165" s="530" t="str">
        <f t="shared" si="243"/>
        <v/>
      </c>
    </row>
    <row r="1166" spans="76:96" ht="13.2" customHeight="1">
      <c r="BX1166" t="str">
        <f>IF(Province="Grande principauté du Reikland","Village de Merretheim","")</f>
        <v/>
      </c>
      <c r="BY1166" t="str">
        <f t="shared" si="244"/>
        <v/>
      </c>
      <c r="BZ1166" s="83" t="str">
        <f t="shared" si="241"/>
        <v/>
      </c>
      <c r="CA1166" s="83" t="str">
        <f t="shared" si="242"/>
        <v/>
      </c>
      <c r="CB1166" s="530" t="str">
        <f t="shared" si="243"/>
        <v/>
      </c>
    </row>
    <row r="1167" spans="76:96" ht="13.2" customHeight="1">
      <c r="BX1167" t="str">
        <f>IF(Province="Grande principauté du Reikland","Village de Misthausen","")</f>
        <v/>
      </c>
      <c r="BY1167" t="str">
        <f t="shared" si="244"/>
        <v/>
      </c>
      <c r="BZ1167" s="83" t="str">
        <f t="shared" si="241"/>
        <v/>
      </c>
      <c r="CA1167" s="83" t="str">
        <f t="shared" si="242"/>
        <v/>
      </c>
      <c r="CB1167" s="530" t="str">
        <f t="shared" si="243"/>
        <v/>
      </c>
    </row>
    <row r="1168" spans="76:96" ht="13.2" customHeight="1">
      <c r="BX1168" t="str">
        <f>IF(Province="Grande principauté du Reikland","Village de Naffdorf","")</f>
        <v/>
      </c>
      <c r="BY1168" t="str">
        <f t="shared" si="244"/>
        <v/>
      </c>
      <c r="BZ1168" s="83" t="str">
        <f t="shared" si="241"/>
        <v/>
      </c>
      <c r="CA1168" s="83" t="str">
        <f t="shared" si="242"/>
        <v/>
      </c>
      <c r="CB1168" s="530" t="str">
        <f t="shared" si="243"/>
        <v/>
      </c>
    </row>
    <row r="1169" spans="76:80" ht="13.2" customHeight="1">
      <c r="BX1169" s="83" t="str">
        <f>IF(Province="Grande principauté du Reikland","illage de Pfeiffer","")</f>
        <v/>
      </c>
      <c r="BY1169" t="str">
        <f t="shared" si="244"/>
        <v/>
      </c>
      <c r="BZ1169" s="83" t="str">
        <f t="shared" si="241"/>
        <v/>
      </c>
      <c r="CA1169" s="83" t="str">
        <f t="shared" si="242"/>
        <v/>
      </c>
      <c r="CB1169" s="530" t="str">
        <f t="shared" si="243"/>
        <v/>
      </c>
    </row>
    <row r="1170" spans="76:80" ht="13.2" customHeight="1">
      <c r="BX1170" s="83" t="str">
        <f>IF(Province="Grande principauté du Reikland","Ville d'Ubersreik","")</f>
        <v/>
      </c>
      <c r="BY1170" t="str">
        <f t="shared" si="244"/>
        <v/>
      </c>
      <c r="BZ1170" s="83" t="str">
        <f t="shared" si="241"/>
        <v/>
      </c>
      <c r="CA1170" s="83" t="str">
        <f t="shared" si="242"/>
        <v/>
      </c>
      <c r="CB1170" s="530" t="str">
        <f t="shared" si="243"/>
        <v/>
      </c>
    </row>
    <row r="1171" spans="76:80" ht="13.2" customHeight="1">
      <c r="BX1171" t="str">
        <f>IF(Province="Grande principauté du Reikland","Village de Buchedorf","")</f>
        <v/>
      </c>
      <c r="BY1171" t="str">
        <f t="shared" si="244"/>
        <v/>
      </c>
      <c r="BZ1171" s="83" t="str">
        <f t="shared" si="241"/>
        <v/>
      </c>
      <c r="CA1171" s="83" t="str">
        <f t="shared" si="242"/>
        <v/>
      </c>
      <c r="CB1171" s="530" t="str">
        <f t="shared" si="243"/>
        <v/>
      </c>
    </row>
    <row r="1172" spans="76:80" ht="13.2" customHeight="1">
      <c r="BX1172" t="str">
        <f>IF(Province="Grande principauté du Reikland","Village de Flussberg","")</f>
        <v/>
      </c>
      <c r="BY1172" t="str">
        <f t="shared" si="244"/>
        <v/>
      </c>
      <c r="BZ1172" s="83" t="str">
        <f t="shared" si="241"/>
        <v/>
      </c>
      <c r="CA1172" s="83" t="str">
        <f t="shared" si="242"/>
        <v/>
      </c>
      <c r="CB1172" s="530" t="str">
        <f t="shared" si="243"/>
        <v/>
      </c>
    </row>
    <row r="1173" spans="76:80" ht="13.2" customHeight="1">
      <c r="BX1173" t="str">
        <f>IF(Province="Grande principauté du Reikland","Village de Geissbach","")</f>
        <v/>
      </c>
      <c r="BY1173" t="str">
        <f t="shared" si="244"/>
        <v/>
      </c>
      <c r="BZ1173" s="83" t="str">
        <f t="shared" si="241"/>
        <v/>
      </c>
      <c r="CA1173" s="83" t="str">
        <f t="shared" si="242"/>
        <v/>
      </c>
      <c r="CB1173" s="530" t="str">
        <f t="shared" si="243"/>
        <v/>
      </c>
    </row>
    <row r="1174" spans="76:80" ht="13.2" customHeight="1">
      <c r="BX1174" t="str">
        <f>IF(Province="Grande principauté du Reikland","Village d'Halheim","")</f>
        <v/>
      </c>
      <c r="BY1174" t="str">
        <f t="shared" si="244"/>
        <v/>
      </c>
      <c r="BZ1174" s="83" t="str">
        <f t="shared" si="241"/>
        <v/>
      </c>
      <c r="CA1174" s="83" t="str">
        <f t="shared" si="242"/>
        <v/>
      </c>
      <c r="CB1174" s="530" t="str">
        <f t="shared" si="243"/>
        <v/>
      </c>
    </row>
    <row r="1175" spans="76:80" ht="13.2" customHeight="1">
      <c r="BX1175" s="83" t="str">
        <f>IF(Province="Grande principauté du Reikland","Mine d'Hugeldal","")</f>
        <v/>
      </c>
      <c r="BY1175" t="str">
        <f t="shared" si="244"/>
        <v/>
      </c>
      <c r="BZ1175" s="83" t="str">
        <f t="shared" si="241"/>
        <v/>
      </c>
      <c r="CA1175" s="83" t="str">
        <f t="shared" si="242"/>
        <v/>
      </c>
      <c r="CB1175" s="530" t="str">
        <f t="shared" si="243"/>
        <v/>
      </c>
    </row>
    <row r="1176" spans="76:80" ht="13.2" customHeight="1">
      <c r="BX1176" t="str">
        <f>IF(Province="Grande principauté du Reikland","Village de Messingen","")</f>
        <v/>
      </c>
      <c r="BY1176" t="str">
        <f t="shared" si="244"/>
        <v/>
      </c>
      <c r="BZ1176" s="83" t="str">
        <f t="shared" si="241"/>
        <v/>
      </c>
      <c r="CA1176" s="83" t="str">
        <f t="shared" si="242"/>
        <v/>
      </c>
      <c r="CB1176" s="530" t="str">
        <f t="shared" si="243"/>
        <v/>
      </c>
    </row>
    <row r="1177" spans="76:80" ht="13.2" customHeight="1">
      <c r="BX1177" t="str">
        <f>IF(Province="Grande principauté du Reikland","Village de Wurfel","")</f>
        <v/>
      </c>
      <c r="BY1177" t="str">
        <f t="shared" si="244"/>
        <v/>
      </c>
      <c r="BZ1177" s="83" t="str">
        <f t="shared" si="241"/>
        <v/>
      </c>
      <c r="CA1177" s="83" t="str">
        <f t="shared" si="242"/>
        <v/>
      </c>
      <c r="CB1177" s="530" t="str">
        <f t="shared" si="243"/>
        <v/>
      </c>
    </row>
    <row r="1178" spans="76:80" ht="13.2" customHeight="1">
      <c r="BX1178" s="83" t="str">
        <f>IF(Province="Grande principauté du Reikland","Ville de Weissbruck","")</f>
        <v/>
      </c>
      <c r="BY1178" t="str">
        <f t="shared" si="244"/>
        <v/>
      </c>
      <c r="BZ1178" s="83" t="str">
        <f t="shared" si="241"/>
        <v/>
      </c>
      <c r="CA1178" s="83" t="str">
        <f t="shared" si="242"/>
        <v/>
      </c>
      <c r="CB1178" s="530" t="str">
        <f t="shared" si="243"/>
        <v/>
      </c>
    </row>
    <row r="1179" spans="76:80" ht="13.2" customHeight="1">
      <c r="BX1179" s="83" t="str">
        <f>IF(Province="Grande principauté du Reikland","Mine de Delfgruber","")</f>
        <v/>
      </c>
      <c r="BY1179" t="str">
        <f t="shared" si="244"/>
        <v/>
      </c>
      <c r="BZ1179" s="83" t="str">
        <f t="shared" si="241"/>
        <v/>
      </c>
      <c r="CA1179" s="83" t="str">
        <f t="shared" si="242"/>
        <v/>
      </c>
      <c r="CB1179" s="530" t="str">
        <f t="shared" si="243"/>
        <v/>
      </c>
    </row>
    <row r="1180" spans="76:80" ht="13.2" customHeight="1">
      <c r="BX1180" s="83" t="str">
        <f>IF(Province="Grande principauté du Reikland","Bourg de Wittgendorf","")</f>
        <v/>
      </c>
      <c r="BY1180" t="str">
        <f t="shared" si="244"/>
        <v/>
      </c>
      <c r="BZ1180" s="83" t="str">
        <f t="shared" si="241"/>
        <v/>
      </c>
      <c r="CA1180" s="83" t="str">
        <f t="shared" si="242"/>
        <v/>
      </c>
      <c r="CB1180" s="530" t="str">
        <f t="shared" si="243"/>
        <v/>
      </c>
    </row>
    <row r="1181" spans="76:80" ht="13.2" customHeight="1">
      <c r="BX1181" s="83" t="str">
        <f>IF(Province="Grande principauté du Reikland","Ville de Kemperbad","")</f>
        <v/>
      </c>
      <c r="BY1181" t="str">
        <f t="shared" si="244"/>
        <v/>
      </c>
      <c r="BZ1181" s="83" t="str">
        <f t="shared" si="241"/>
        <v/>
      </c>
      <c r="CA1181" s="83" t="str">
        <f t="shared" si="242"/>
        <v/>
      </c>
      <c r="CB1181" s="530" t="str">
        <f t="shared" si="243"/>
        <v/>
      </c>
    </row>
    <row r="1182" spans="76:80" ht="13.2" customHeight="1">
      <c r="BX1182" t="str">
        <f>IF(Province="Grande principauté du Reikland","Village de Berghof","")</f>
        <v/>
      </c>
      <c r="BY1182" t="str">
        <f t="shared" si="244"/>
        <v/>
      </c>
      <c r="BZ1182" s="83" t="str">
        <f t="shared" si="241"/>
        <v/>
      </c>
      <c r="CA1182" s="83" t="str">
        <f t="shared" si="242"/>
        <v/>
      </c>
      <c r="CB1182" s="530" t="str">
        <f t="shared" si="243"/>
        <v/>
      </c>
    </row>
    <row r="1183" spans="76:80" ht="13.2" customHeight="1">
      <c r="BX1183" t="str">
        <f>IF(Province="Grande principauté du Reikland","Village de Brandenburg","")</f>
        <v/>
      </c>
      <c r="BY1183" t="str">
        <f t="shared" si="244"/>
        <v/>
      </c>
      <c r="BZ1183" s="83" t="str">
        <f t="shared" si="241"/>
        <v/>
      </c>
      <c r="CA1183" s="83" t="str">
        <f t="shared" si="242"/>
        <v/>
      </c>
      <c r="CB1183" s="530" t="str">
        <f t="shared" si="243"/>
        <v/>
      </c>
    </row>
    <row r="1184" spans="76:80" ht="13.2" customHeight="1">
      <c r="BX1184" t="str">
        <f>IF(Province="Grande principauté du Reikland","Village de Jungbach","")</f>
        <v/>
      </c>
      <c r="BY1184" t="str">
        <f t="shared" si="244"/>
        <v/>
      </c>
      <c r="BZ1184" s="83" t="str">
        <f t="shared" si="241"/>
        <v/>
      </c>
      <c r="CA1184" s="83" t="str">
        <f t="shared" si="242"/>
        <v/>
      </c>
      <c r="CB1184" s="530" t="str">
        <f t="shared" si="243"/>
        <v/>
      </c>
    </row>
    <row r="1185" spans="76:80" ht="13.2" customHeight="1">
      <c r="BX1185" t="str">
        <f>IF(Province="Grande principauté du Reikland","Village d'Ostwald","")</f>
        <v/>
      </c>
      <c r="BY1185" t="str">
        <f t="shared" si="244"/>
        <v/>
      </c>
      <c r="BZ1185" s="83" t="str">
        <f t="shared" si="241"/>
        <v/>
      </c>
      <c r="CA1185" s="83" t="str">
        <f t="shared" si="242"/>
        <v/>
      </c>
      <c r="CB1185" s="530" t="str">
        <f t="shared" si="243"/>
        <v/>
      </c>
    </row>
    <row r="1186" spans="76:80" ht="13.2" customHeight="1">
      <c r="BX1186" t="str">
        <f>IF(Province="Grande principauté du Reikland","Village de Stockhausen","")</f>
        <v/>
      </c>
      <c r="BY1186" t="str">
        <f t="shared" si="244"/>
        <v/>
      </c>
      <c r="BZ1186" s="83" t="str">
        <f t="shared" si="241"/>
        <v/>
      </c>
      <c r="CA1186" s="83" t="str">
        <f t="shared" si="242"/>
        <v/>
      </c>
      <c r="CB1186" s="530" t="str">
        <f t="shared" si="243"/>
        <v/>
      </c>
    </row>
    <row r="1187" spans="76:80" ht="13.2" customHeight="1">
      <c r="BX1187" s="83" t="str">
        <f>IF(Province="Grand comté du Stirland","Ville de Wurtbad","")</f>
        <v/>
      </c>
      <c r="BY1187" t="str">
        <f t="shared" si="244"/>
        <v/>
      </c>
      <c r="BZ1187" s="83" t="str">
        <f t="shared" si="241"/>
        <v/>
      </c>
      <c r="CA1187" s="83" t="str">
        <f t="shared" si="242"/>
        <v/>
      </c>
      <c r="CB1187" s="530" t="str">
        <f t="shared" si="243"/>
        <v/>
      </c>
    </row>
    <row r="1188" spans="76:80" ht="13.2" customHeight="1">
      <c r="BX1188" t="str">
        <f>IF(Province="Grand comté du Stirland","Village de Biberhof","")</f>
        <v/>
      </c>
      <c r="BY1188" t="str">
        <f t="shared" si="244"/>
        <v/>
      </c>
      <c r="BZ1188" s="83" t="str">
        <f t="shared" si="241"/>
        <v/>
      </c>
      <c r="CA1188" s="83" t="str">
        <f t="shared" si="242"/>
        <v/>
      </c>
      <c r="CB1188" s="530" t="str">
        <f t="shared" si="243"/>
        <v/>
      </c>
    </row>
    <row r="1189" spans="76:80" ht="13.2" customHeight="1">
      <c r="BX1189" t="str">
        <f>IF(Province="Grand comté du Stirland","Village de Julbach","")</f>
        <v/>
      </c>
      <c r="BY1189" t="str">
        <f t="shared" si="244"/>
        <v/>
      </c>
      <c r="BZ1189" s="83" t="str">
        <f t="shared" si="241"/>
        <v/>
      </c>
      <c r="CA1189" s="83" t="str">
        <f t="shared" si="242"/>
        <v/>
      </c>
      <c r="CB1189" s="530" t="str">
        <f t="shared" si="243"/>
        <v/>
      </c>
    </row>
    <row r="1190" spans="76:80" ht="13.2" customHeight="1">
      <c r="BX1190" t="str">
        <f>IF(Province="Grand comté du Stirland","Village d'Oberwil","")</f>
        <v/>
      </c>
      <c r="BY1190" t="str">
        <f t="shared" si="244"/>
        <v/>
      </c>
      <c r="BZ1190" s="83" t="str">
        <f t="shared" si="241"/>
        <v/>
      </c>
      <c r="CA1190" s="83" t="str">
        <f t="shared" si="242"/>
        <v/>
      </c>
      <c r="CB1190" s="530" t="str">
        <f t="shared" si="243"/>
        <v/>
      </c>
    </row>
    <row r="1191" spans="76:80" ht="13.2" customHeight="1">
      <c r="BX1191" t="str">
        <f>IF(Province="Grand comté du Stirland","Village de Tarshof","")</f>
        <v/>
      </c>
      <c r="BY1191" t="str">
        <f t="shared" si="244"/>
        <v/>
      </c>
      <c r="BZ1191" s="83" t="str">
        <f t="shared" si="241"/>
        <v/>
      </c>
      <c r="CA1191" s="83" t="str">
        <f t="shared" si="242"/>
        <v/>
      </c>
      <c r="CB1191" s="530" t="str">
        <f t="shared" si="243"/>
        <v/>
      </c>
    </row>
    <row r="1192" spans="76:80" ht="13.2" customHeight="1">
      <c r="BX1192" s="83" t="str">
        <f>IF(Province="Grand comté du Stirland","Village de Blutdorf","")</f>
        <v/>
      </c>
      <c r="BY1192" t="str">
        <f t="shared" si="244"/>
        <v/>
      </c>
      <c r="BZ1192" s="83" t="str">
        <f t="shared" si="241"/>
        <v/>
      </c>
      <c r="CA1192" s="83" t="str">
        <f t="shared" si="242"/>
        <v/>
      </c>
      <c r="CB1192" s="530" t="str">
        <f t="shared" si="243"/>
        <v/>
      </c>
    </row>
    <row r="1193" spans="76:80" ht="13.2" customHeight="1">
      <c r="BX1193" t="str">
        <f>IF(Province="Grand comté du Stirland","Village de Kirchham","")</f>
        <v/>
      </c>
      <c r="BY1193" t="str">
        <f t="shared" si="244"/>
        <v/>
      </c>
      <c r="BZ1193" s="83" t="str">
        <f t="shared" si="241"/>
        <v/>
      </c>
      <c r="CA1193" s="83" t="str">
        <f t="shared" si="242"/>
        <v/>
      </c>
      <c r="CB1193" s="530" t="str">
        <f t="shared" si="243"/>
        <v/>
      </c>
    </row>
    <row r="1194" spans="76:80" ht="13.2" customHeight="1">
      <c r="BX1194" s="83" t="str">
        <f>IF(Province="Grand comté du Stirland","Bourg de Drankenhof","")</f>
        <v/>
      </c>
      <c r="BY1194" t="str">
        <f t="shared" si="244"/>
        <v/>
      </c>
      <c r="BZ1194" s="83" t="str">
        <f t="shared" si="241"/>
        <v/>
      </c>
      <c r="CA1194" s="83" t="str">
        <f t="shared" si="242"/>
        <v/>
      </c>
      <c r="CB1194" s="530" t="str">
        <f t="shared" si="243"/>
        <v/>
      </c>
    </row>
    <row r="1195" spans="76:80" ht="13.2" customHeight="1">
      <c r="BX1195" s="83" t="str">
        <f>IF(Province="Grand comté du Stirland","Bourg de Flensburg","")</f>
        <v/>
      </c>
      <c r="BY1195" t="str">
        <f t="shared" si="244"/>
        <v/>
      </c>
      <c r="BZ1195" s="83" t="str">
        <f t="shared" si="241"/>
        <v/>
      </c>
      <c r="CA1195" s="83" t="str">
        <f t="shared" si="242"/>
        <v/>
      </c>
      <c r="CB1195" s="530" t="str">
        <f t="shared" si="243"/>
        <v/>
      </c>
    </row>
    <row r="1196" spans="76:80" ht="13.2" customHeight="1">
      <c r="BX1196" t="str">
        <f>IF(Province="Grand comté du Stirland","Village de Lochen","")</f>
        <v/>
      </c>
      <c r="BY1196" t="str">
        <f t="shared" si="244"/>
        <v/>
      </c>
      <c r="BZ1196" s="83" t="str">
        <f t="shared" si="241"/>
        <v/>
      </c>
      <c r="CA1196" s="83" t="str">
        <f t="shared" si="242"/>
        <v/>
      </c>
      <c r="CB1196" s="530" t="str">
        <f t="shared" si="243"/>
        <v/>
      </c>
    </row>
    <row r="1197" spans="76:80" ht="13.2" customHeight="1">
      <c r="BX1197" t="str">
        <f>IF(Province="Grand comté du Stirland","Village de Ramsau","")</f>
        <v/>
      </c>
      <c r="BY1197" t="str">
        <f t="shared" si="244"/>
        <v/>
      </c>
      <c r="BZ1197" s="83" t="str">
        <f t="shared" si="241"/>
        <v/>
      </c>
      <c r="CA1197" s="83" t="str">
        <f t="shared" si="242"/>
        <v/>
      </c>
      <c r="CB1197" s="530" t="str">
        <f t="shared" si="243"/>
        <v/>
      </c>
    </row>
    <row r="1198" spans="76:80" ht="13.2" customHeight="1">
      <c r="BX1198" s="83" t="str">
        <f>IF(Province="Grand comté du Stirland","Bourg de Franzen","")</f>
        <v/>
      </c>
      <c r="BY1198" t="str">
        <f t="shared" si="244"/>
        <v/>
      </c>
      <c r="BZ1198" s="83" t="str">
        <f t="shared" si="241"/>
        <v/>
      </c>
      <c r="CA1198" s="83" t="str">
        <f t="shared" si="242"/>
        <v/>
      </c>
      <c r="CB1198" s="530" t="str">
        <f t="shared" si="243"/>
        <v/>
      </c>
    </row>
    <row r="1199" spans="76:80" ht="13.2" customHeight="1">
      <c r="BX1199" t="str">
        <f>IF(Province="Grand comté du Stirland","Village de Chrobok","")</f>
        <v/>
      </c>
      <c r="BY1199" t="str">
        <f t="shared" si="244"/>
        <v/>
      </c>
      <c r="BZ1199" s="83" t="str">
        <f t="shared" si="241"/>
        <v/>
      </c>
      <c r="CA1199" s="83" t="str">
        <f t="shared" si="242"/>
        <v/>
      </c>
      <c r="CB1199" s="530" t="str">
        <f t="shared" si="243"/>
        <v/>
      </c>
    </row>
    <row r="1200" spans="76:80" ht="13.2" customHeight="1">
      <c r="BX1200" t="str">
        <f>IF(Province="Grand comté du Stirland","Village de Russbach","")</f>
        <v/>
      </c>
      <c r="BY1200" t="str">
        <f t="shared" si="244"/>
        <v/>
      </c>
      <c r="BZ1200" s="83" t="str">
        <f t="shared" si="241"/>
        <v/>
      </c>
      <c r="CA1200" s="83" t="str">
        <f t="shared" si="242"/>
        <v/>
      </c>
      <c r="CB1200" s="530" t="str">
        <f t="shared" si="243"/>
        <v/>
      </c>
    </row>
    <row r="1201" spans="76:80" ht="13.2" customHeight="1">
      <c r="BX1201" s="83" t="str">
        <f>IF(Province="Grand comté du Stirland","Bourg dedHalstedt","")</f>
        <v/>
      </c>
      <c r="BY1201" t="str">
        <f t="shared" si="244"/>
        <v/>
      </c>
      <c r="BZ1201" s="83" t="str">
        <f t="shared" si="241"/>
        <v/>
      </c>
      <c r="CA1201" s="83" t="str">
        <f t="shared" si="242"/>
        <v/>
      </c>
      <c r="CB1201" s="530" t="str">
        <f t="shared" si="243"/>
        <v/>
      </c>
    </row>
    <row r="1202" spans="76:80" ht="13.2" customHeight="1">
      <c r="BX1202" t="str">
        <f>IF(Province="Grand comté du Stirland","Village de Raab","")</f>
        <v/>
      </c>
      <c r="BY1202" t="str">
        <f t="shared" si="244"/>
        <v/>
      </c>
      <c r="BZ1202" s="83" t="str">
        <f t="shared" si="241"/>
        <v/>
      </c>
      <c r="CA1202" s="83" t="str">
        <f t="shared" si="242"/>
        <v/>
      </c>
      <c r="CB1202" s="530" t="str">
        <f t="shared" si="243"/>
        <v/>
      </c>
    </row>
    <row r="1203" spans="76:80" ht="13.2" customHeight="1">
      <c r="BX1203" t="str">
        <f>IF(Province="Grand comté du Stirland","Village de Tenneck","")</f>
        <v/>
      </c>
      <c r="BY1203" t="str">
        <f t="shared" si="244"/>
        <v/>
      </c>
      <c r="BZ1203" s="83" t="str">
        <f t="shared" si="241"/>
        <v/>
      </c>
      <c r="CA1203" s="83" t="str">
        <f t="shared" si="242"/>
        <v/>
      </c>
      <c r="CB1203" s="530" t="str">
        <f t="shared" si="243"/>
        <v/>
      </c>
    </row>
    <row r="1204" spans="76:80" ht="13.2" customHeight="1">
      <c r="BX1204" s="83" t="str">
        <f>IF(Province="Grand comté du Stirland","Bourg de Leicheberg","")</f>
        <v/>
      </c>
      <c r="BY1204" t="str">
        <f t="shared" si="244"/>
        <v/>
      </c>
      <c r="BZ1204" s="83" t="str">
        <f t="shared" si="241"/>
        <v/>
      </c>
      <c r="CA1204" s="83" t="str">
        <f t="shared" si="242"/>
        <v/>
      </c>
      <c r="CB1204" s="530" t="str">
        <f t="shared" si="243"/>
        <v/>
      </c>
    </row>
    <row r="1205" spans="76:80" ht="13.2" customHeight="1">
      <c r="BX1205" t="str">
        <f>IF(Province="Grand comté du Stirland","Village de Naubonum","")</f>
        <v/>
      </c>
      <c r="BY1205" t="str">
        <f t="shared" si="244"/>
        <v/>
      </c>
      <c r="BZ1205" s="83" t="str">
        <f t="shared" si="241"/>
        <v/>
      </c>
      <c r="CA1205" s="83" t="str">
        <f t="shared" si="242"/>
        <v/>
      </c>
      <c r="CB1205" s="530" t="str">
        <f t="shared" si="243"/>
        <v/>
      </c>
    </row>
    <row r="1206" spans="76:80" ht="13.2" customHeight="1">
      <c r="BX1206" t="str">
        <f>IF(Province="Grand comté du Stirland","Village de Swartzhafen","")</f>
        <v/>
      </c>
      <c r="BY1206" t="str">
        <f t="shared" si="244"/>
        <v/>
      </c>
      <c r="BZ1206" s="83" t="str">
        <f t="shared" si="241"/>
        <v/>
      </c>
      <c r="CA1206" s="83" t="str">
        <f t="shared" si="242"/>
        <v/>
      </c>
      <c r="CB1206" s="530" t="str">
        <f t="shared" si="243"/>
        <v/>
      </c>
    </row>
    <row r="1207" spans="76:80" ht="13.2" customHeight="1">
      <c r="BX1207" s="83" t="str">
        <f>IF(Province="Grand comté du Stirland","Village de Marburg","")</f>
        <v/>
      </c>
      <c r="BY1207" t="str">
        <f t="shared" si="244"/>
        <v/>
      </c>
      <c r="BZ1207" s="83" t="str">
        <f t="shared" si="241"/>
        <v/>
      </c>
      <c r="CA1207" s="83" t="str">
        <f t="shared" si="242"/>
        <v/>
      </c>
      <c r="CB1207" s="530" t="str">
        <f t="shared" si="243"/>
        <v/>
      </c>
    </row>
    <row r="1208" spans="76:80" ht="13.2" customHeight="1">
      <c r="BX1208" t="str">
        <f>IF(Province="Grand comté du Stirland","Village d'Oehling","")</f>
        <v/>
      </c>
      <c r="BY1208" t="str">
        <f t="shared" si="244"/>
        <v/>
      </c>
      <c r="BZ1208" s="83" t="str">
        <f t="shared" si="241"/>
        <v/>
      </c>
      <c r="CA1208" s="83" t="str">
        <f t="shared" si="242"/>
        <v/>
      </c>
      <c r="CB1208" s="530" t="str">
        <f t="shared" si="243"/>
        <v/>
      </c>
    </row>
    <row r="1209" spans="76:80" ht="13.2" customHeight="1">
      <c r="BX1209" s="83" t="str">
        <f>IF(Province="Grand comté du Stirland","Bourg de Nachthafen","")</f>
        <v/>
      </c>
      <c r="BY1209" t="str">
        <f t="shared" si="244"/>
        <v/>
      </c>
      <c r="BZ1209" s="83" t="str">
        <f t="shared" si="241"/>
        <v/>
      </c>
      <c r="CA1209" s="83" t="str">
        <f t="shared" si="242"/>
        <v/>
      </c>
      <c r="CB1209" s="530" t="str">
        <f t="shared" si="243"/>
        <v/>
      </c>
    </row>
    <row r="1210" spans="76:80" ht="13.2" customHeight="1">
      <c r="BX1210" t="str">
        <f>IF(Province="Grand comté du Stirland","Village de Pfaffbach","")</f>
        <v/>
      </c>
      <c r="BY1210" t="str">
        <f t="shared" si="244"/>
        <v/>
      </c>
      <c r="BZ1210" s="83" t="str">
        <f t="shared" si="241"/>
        <v/>
      </c>
      <c r="CA1210" s="83" t="str">
        <f t="shared" si="242"/>
        <v/>
      </c>
      <c r="CB1210" s="530" t="str">
        <f t="shared" si="243"/>
        <v/>
      </c>
    </row>
    <row r="1211" spans="76:80" ht="13.2" customHeight="1">
      <c r="BX1211" s="83" t="str">
        <f>IF(Province="Grand comté du Stirland","Bourg de Chramleben","")</f>
        <v/>
      </c>
      <c r="BY1211" t="str">
        <f t="shared" si="244"/>
        <v/>
      </c>
      <c r="BZ1211" s="83" t="str">
        <f t="shared" si="241"/>
        <v/>
      </c>
      <c r="CA1211" s="83" t="str">
        <f t="shared" si="242"/>
        <v/>
      </c>
      <c r="CB1211" s="530" t="str">
        <f t="shared" si="243"/>
        <v/>
      </c>
    </row>
    <row r="1212" spans="76:80" ht="13.2" customHeight="1">
      <c r="BX1212" t="str">
        <f>IF(Province="Grand comté du Stirland","Village de Falkenhausen","")</f>
        <v/>
      </c>
      <c r="BY1212" t="str">
        <f t="shared" si="244"/>
        <v/>
      </c>
      <c r="BZ1212" s="83" t="str">
        <f t="shared" si="241"/>
        <v/>
      </c>
      <c r="CA1212" s="83" t="str">
        <f t="shared" si="242"/>
        <v/>
      </c>
      <c r="CB1212" s="530" t="str">
        <f t="shared" si="243"/>
        <v/>
      </c>
    </row>
    <row r="1213" spans="76:80" ht="13.2" customHeight="1">
      <c r="BX1213" t="str">
        <f>IF(Province="Grand comté du Stirland","Village d'Hutten","")</f>
        <v/>
      </c>
      <c r="BY1213" t="str">
        <f t="shared" si="244"/>
        <v/>
      </c>
      <c r="BZ1213" s="83" t="str">
        <f t="shared" si="241"/>
        <v/>
      </c>
      <c r="CA1213" s="83" t="str">
        <f t="shared" si="242"/>
        <v/>
      </c>
      <c r="CB1213" s="530" t="str">
        <f t="shared" si="243"/>
        <v/>
      </c>
    </row>
    <row r="1214" spans="76:80" ht="13.2" customHeight="1">
      <c r="BX1214" t="str">
        <f>IF(Province="Grand comté du Stirland","Village de Pappenheim","")</f>
        <v/>
      </c>
      <c r="BY1214" t="str">
        <f t="shared" si="244"/>
        <v/>
      </c>
      <c r="BZ1214" s="83" t="str">
        <f t="shared" si="241"/>
        <v/>
      </c>
      <c r="CA1214" s="83" t="str">
        <f t="shared" si="242"/>
        <v/>
      </c>
      <c r="CB1214" s="530" t="str">
        <f t="shared" si="243"/>
        <v/>
      </c>
    </row>
    <row r="1215" spans="76:80" ht="13.2" customHeight="1">
      <c r="BX1215" s="83" t="str">
        <f>IF(Province="Grand comté du Stirland","Bourg de Siegfriedhof","")</f>
        <v/>
      </c>
      <c r="BY1215" t="str">
        <f t="shared" si="244"/>
        <v/>
      </c>
      <c r="BZ1215" s="83" t="str">
        <f t="shared" si="241"/>
        <v/>
      </c>
      <c r="CA1215" s="83" t="str">
        <f t="shared" si="242"/>
        <v/>
      </c>
      <c r="CB1215" s="530" t="str">
        <f t="shared" si="243"/>
        <v/>
      </c>
    </row>
    <row r="1216" spans="76:80" ht="13.2" customHeight="1">
      <c r="BX1216" s="83" t="str">
        <f>IF(Province="Grand comté du Stirland","Bourg de Sigmaringen","")</f>
        <v/>
      </c>
      <c r="BY1216" t="str">
        <f t="shared" si="244"/>
        <v/>
      </c>
      <c r="BZ1216" s="83" t="str">
        <f t="shared" si="241"/>
        <v/>
      </c>
      <c r="CA1216" s="83" t="str">
        <f t="shared" si="242"/>
        <v/>
      </c>
      <c r="CB1216" s="530" t="str">
        <f t="shared" si="243"/>
        <v/>
      </c>
    </row>
    <row r="1217" spans="76:80" ht="13.2" customHeight="1">
      <c r="BX1217" t="str">
        <f>IF(Province="Grand comté du Stirland","Village d'Hardenburg","")</f>
        <v/>
      </c>
      <c r="BY1217" t="str">
        <f t="shared" si="244"/>
        <v/>
      </c>
      <c r="BZ1217" s="83" t="str">
        <f t="shared" si="241"/>
        <v/>
      </c>
      <c r="CA1217" s="83" t="str">
        <f t="shared" si="242"/>
        <v/>
      </c>
      <c r="CB1217" s="530" t="str">
        <f t="shared" si="243"/>
        <v/>
      </c>
    </row>
    <row r="1218" spans="76:80" ht="13.2" customHeight="1">
      <c r="BX1218" t="str">
        <f>IF(Province="Grand comté du Stirland","Village de Kaunitz","")</f>
        <v/>
      </c>
      <c r="BY1218" t="str">
        <f t="shared" si="244"/>
        <v/>
      </c>
      <c r="BZ1218" s="83" t="str">
        <f t="shared" ref="BZ1218:BZ1281" si="245">IFERROR(SMALL(BY:BY,ROW()-1),"")</f>
        <v/>
      </c>
      <c r="CA1218" s="83" t="str">
        <f t="shared" ref="CA1218:CA1281" si="246">IFERROR(INDEX(BX:BX,BZ1218),"")</f>
        <v/>
      </c>
      <c r="CB1218" s="530" t="str">
        <f t="shared" ref="CB1218:CB1281" si="247">INDEX(CA:CA,ROW())</f>
        <v/>
      </c>
    </row>
    <row r="1219" spans="76:80" ht="13.2" customHeight="1">
      <c r="BX1219" t="str">
        <f>IF(Province="Grand comté du Stirland","Village de Steuben","")</f>
        <v/>
      </c>
      <c r="BY1219" t="str">
        <f t="shared" ref="BY1219:BY1282" si="248">IF(BX1219="","",ROW())</f>
        <v/>
      </c>
      <c r="BZ1219" s="83" t="str">
        <f t="shared" si="245"/>
        <v/>
      </c>
      <c r="CA1219" s="83" t="str">
        <f t="shared" si="246"/>
        <v/>
      </c>
      <c r="CB1219" s="530" t="str">
        <f t="shared" si="247"/>
        <v/>
      </c>
    </row>
    <row r="1220" spans="76:80" ht="13.2" customHeight="1">
      <c r="BX1220" s="83" t="str">
        <f>IF(Province="Grand comté du Stirland","Village de Tempelhof","")</f>
        <v/>
      </c>
      <c r="BY1220" t="str">
        <f t="shared" si="248"/>
        <v/>
      </c>
      <c r="BZ1220" s="83" t="str">
        <f t="shared" si="245"/>
        <v/>
      </c>
      <c r="CA1220" s="83" t="str">
        <f t="shared" si="246"/>
        <v/>
      </c>
      <c r="CB1220" s="530" t="str">
        <f t="shared" si="247"/>
        <v/>
      </c>
    </row>
    <row r="1221" spans="76:80" ht="13.2" customHeight="1">
      <c r="BX1221" s="83" t="str">
        <f>IF(Province="Grand comté du Stirland","Village de Vanhaldenhof","")</f>
        <v/>
      </c>
      <c r="BY1221" t="str">
        <f t="shared" si="248"/>
        <v/>
      </c>
      <c r="BZ1221" s="83" t="str">
        <f t="shared" si="245"/>
        <v/>
      </c>
      <c r="CA1221" s="83" t="str">
        <f t="shared" si="246"/>
        <v/>
      </c>
      <c r="CB1221" s="530" t="str">
        <f t="shared" si="247"/>
        <v/>
      </c>
    </row>
    <row r="1222" spans="76:80" ht="13.2" customHeight="1">
      <c r="BX1222" s="83" t="str">
        <f>IF(Province="Grand comté du Stirland","Bourg de Worden","")</f>
        <v/>
      </c>
      <c r="BY1222" t="str">
        <f t="shared" si="248"/>
        <v/>
      </c>
      <c r="BZ1222" s="83" t="str">
        <f t="shared" si="245"/>
        <v/>
      </c>
      <c r="CA1222" s="83" t="str">
        <f t="shared" si="246"/>
        <v/>
      </c>
      <c r="CB1222" s="530" t="str">
        <f t="shared" si="247"/>
        <v/>
      </c>
    </row>
    <row r="1223" spans="76:80" ht="13.2" customHeight="1">
      <c r="BX1223" t="str">
        <f>IF(Province="Grand comté du Stirland","Village de Kelham","")</f>
        <v/>
      </c>
      <c r="BY1223" t="str">
        <f t="shared" si="248"/>
        <v/>
      </c>
      <c r="BZ1223" s="83" t="str">
        <f t="shared" si="245"/>
        <v/>
      </c>
      <c r="CA1223" s="83" t="str">
        <f t="shared" si="246"/>
        <v/>
      </c>
      <c r="CB1223" s="530" t="str">
        <f t="shared" si="247"/>
        <v/>
      </c>
    </row>
    <row r="1224" spans="76:80" ht="13.2" customHeight="1">
      <c r="BX1224" t="str">
        <f>IF(Province="Grand comté du Stirland","Village de Nussbach","")</f>
        <v/>
      </c>
      <c r="BY1224" t="str">
        <f t="shared" si="248"/>
        <v/>
      </c>
      <c r="BZ1224" s="83" t="str">
        <f t="shared" si="245"/>
        <v/>
      </c>
      <c r="CA1224" s="83" t="str">
        <f t="shared" si="246"/>
        <v/>
      </c>
      <c r="CB1224" s="530" t="str">
        <f t="shared" si="247"/>
        <v/>
      </c>
    </row>
    <row r="1225" spans="76:80" ht="13.2" customHeight="1">
      <c r="BX1225" s="83" t="str">
        <f>IF(Province="Sylvanie","Ville de Walendorf","")</f>
        <v/>
      </c>
      <c r="BY1225" t="str">
        <f t="shared" si="248"/>
        <v/>
      </c>
      <c r="BZ1225" s="83" t="str">
        <f t="shared" si="245"/>
        <v/>
      </c>
      <c r="CA1225" s="83" t="str">
        <f t="shared" si="246"/>
        <v/>
      </c>
      <c r="CB1225" s="530" t="str">
        <f t="shared" si="247"/>
        <v/>
      </c>
    </row>
    <row r="1226" spans="76:80" ht="13.2" customHeight="1">
      <c r="BX1226" t="str">
        <f>IF(Province="Sylvanie","Village d'Egling","")</f>
        <v/>
      </c>
      <c r="BY1226" t="str">
        <f t="shared" si="248"/>
        <v/>
      </c>
      <c r="BZ1226" s="83" t="str">
        <f t="shared" si="245"/>
        <v/>
      </c>
      <c r="CA1226" s="83" t="str">
        <f t="shared" si="246"/>
        <v/>
      </c>
      <c r="CB1226" s="530" t="str">
        <f t="shared" si="247"/>
        <v/>
      </c>
    </row>
    <row r="1227" spans="76:80" ht="13.2" customHeight="1">
      <c r="BX1227" t="str">
        <f>IF(Province="Sylvanie","Village d'Hundham","")</f>
        <v/>
      </c>
      <c r="BY1227" t="str">
        <f t="shared" si="248"/>
        <v/>
      </c>
      <c r="BZ1227" s="83" t="str">
        <f t="shared" si="245"/>
        <v/>
      </c>
      <c r="CA1227" s="83" t="str">
        <f t="shared" si="246"/>
        <v/>
      </c>
      <c r="CB1227" s="530" t="str">
        <f t="shared" si="247"/>
        <v/>
      </c>
    </row>
    <row r="1228" spans="76:80" ht="13.2" customHeight="1">
      <c r="BX1228" t="str">
        <f>IF(Province="Sylvanie","Village de Mikalsdorf","")</f>
        <v/>
      </c>
      <c r="BY1228" t="str">
        <f t="shared" si="248"/>
        <v/>
      </c>
      <c r="BZ1228" s="83" t="str">
        <f t="shared" si="245"/>
        <v/>
      </c>
      <c r="CA1228" s="83" t="str">
        <f t="shared" si="246"/>
        <v/>
      </c>
      <c r="CB1228" s="530" t="str">
        <f t="shared" si="247"/>
        <v/>
      </c>
    </row>
    <row r="1229" spans="76:80" ht="13.2" customHeight="1">
      <c r="BX1229" t="str">
        <f>IF(Province="Sylvanie","Village de Regakhof","")</f>
        <v/>
      </c>
      <c r="BY1229" t="str">
        <f t="shared" si="248"/>
        <v/>
      </c>
      <c r="BZ1229" s="83" t="str">
        <f t="shared" si="245"/>
        <v/>
      </c>
      <c r="CA1229" s="83" t="str">
        <f t="shared" si="246"/>
        <v/>
      </c>
      <c r="CB1229" s="530" t="str">
        <f t="shared" si="247"/>
        <v/>
      </c>
    </row>
    <row r="1230" spans="76:80" ht="13.2" customHeight="1">
      <c r="BX1230" s="83" t="str">
        <f>IF(Province="Sylvanie","Village de Thyrnau","")</f>
        <v/>
      </c>
      <c r="BY1230" t="str">
        <f t="shared" si="248"/>
        <v/>
      </c>
      <c r="BZ1230" s="83" t="str">
        <f t="shared" si="245"/>
        <v/>
      </c>
      <c r="CA1230" s="83" t="str">
        <f t="shared" si="246"/>
        <v/>
      </c>
      <c r="CB1230" s="530" t="str">
        <f t="shared" si="247"/>
        <v/>
      </c>
    </row>
    <row r="1231" spans="76:80" ht="13.2" customHeight="1">
      <c r="BX1231" s="83" t="str">
        <f>IF(Province="Grand-duché du Talabecland","Ville de Kùsel","")</f>
        <v/>
      </c>
      <c r="BY1231" t="str">
        <f t="shared" si="248"/>
        <v/>
      </c>
      <c r="BZ1231" s="83" t="str">
        <f t="shared" si="245"/>
        <v/>
      </c>
      <c r="CA1231" s="83" t="str">
        <f t="shared" si="246"/>
        <v/>
      </c>
      <c r="CB1231" s="530" t="str">
        <f t="shared" si="247"/>
        <v/>
      </c>
    </row>
    <row r="1232" spans="76:80" ht="13.2" customHeight="1">
      <c r="BX1232" s="83" t="str">
        <f>IF(Province="Grand-duché du Talabecland","Village de Dreetz","")</f>
        <v/>
      </c>
      <c r="BY1232" t="str">
        <f t="shared" si="248"/>
        <v/>
      </c>
      <c r="BZ1232" s="83" t="str">
        <f t="shared" si="245"/>
        <v/>
      </c>
      <c r="CA1232" s="83" t="str">
        <f t="shared" si="246"/>
        <v/>
      </c>
      <c r="CB1232" s="530" t="str">
        <f t="shared" si="247"/>
        <v/>
      </c>
    </row>
    <row r="1233" spans="76:80" ht="13.2" customHeight="1">
      <c r="BX1233" t="str">
        <f>IF(Province="Grand-duché du Talabecland","Village de Lohrafurt","")</f>
        <v/>
      </c>
      <c r="BY1233" t="str">
        <f t="shared" si="248"/>
        <v/>
      </c>
      <c r="BZ1233" s="83" t="str">
        <f t="shared" si="245"/>
        <v/>
      </c>
      <c r="CA1233" s="83" t="str">
        <f t="shared" si="246"/>
        <v/>
      </c>
      <c r="CB1233" s="530" t="str">
        <f t="shared" si="247"/>
        <v/>
      </c>
    </row>
    <row r="1234" spans="76:80" ht="13.2" customHeight="1">
      <c r="BX1234" t="str">
        <f>IF(Province="Grand-duché du Talabecland","Village de Lïckrofurt","")</f>
        <v/>
      </c>
      <c r="BY1234" t="str">
        <f t="shared" si="248"/>
        <v/>
      </c>
      <c r="BZ1234" s="83" t="str">
        <f t="shared" si="245"/>
        <v/>
      </c>
      <c r="CA1234" s="83" t="str">
        <f t="shared" si="246"/>
        <v/>
      </c>
      <c r="CB1234" s="530" t="str">
        <f t="shared" si="247"/>
        <v/>
      </c>
    </row>
    <row r="1235" spans="76:80" ht="13.2" customHeight="1">
      <c r="BX1235" s="83" t="str">
        <f>IF(Province="Grand-duché du Talabecland","Bourg de Bek","")</f>
        <v/>
      </c>
      <c r="BY1235" t="str">
        <f t="shared" si="248"/>
        <v/>
      </c>
      <c r="BZ1235" s="83" t="str">
        <f t="shared" si="245"/>
        <v/>
      </c>
      <c r="CA1235" s="83" t="str">
        <f t="shared" si="246"/>
        <v/>
      </c>
      <c r="CB1235" s="530" t="str">
        <f t="shared" si="247"/>
        <v/>
      </c>
    </row>
    <row r="1236" spans="76:80" ht="13.2" customHeight="1">
      <c r="BX1236" t="str">
        <f>IF(Province="Grand-duché du Talabecland","Village de Freital","")</f>
        <v/>
      </c>
      <c r="BY1236" t="str">
        <f t="shared" si="248"/>
        <v/>
      </c>
      <c r="BZ1236" s="83" t="str">
        <f t="shared" si="245"/>
        <v/>
      </c>
      <c r="CA1236" s="83" t="str">
        <f t="shared" si="246"/>
        <v/>
      </c>
      <c r="CB1236" s="530" t="str">
        <f t="shared" si="247"/>
        <v/>
      </c>
    </row>
    <row r="1237" spans="76:80" ht="13.2" customHeight="1">
      <c r="BX1237" t="str">
        <f>IF(Province="Grand-duché du Talabecland","Village de Viernau","")</f>
        <v/>
      </c>
      <c r="BY1237" t="str">
        <f t="shared" si="248"/>
        <v/>
      </c>
      <c r="BZ1237" s="83" t="str">
        <f t="shared" si="245"/>
        <v/>
      </c>
      <c r="CA1237" s="83" t="str">
        <f t="shared" si="246"/>
        <v/>
      </c>
      <c r="CB1237" s="530" t="str">
        <f t="shared" si="247"/>
        <v/>
      </c>
    </row>
    <row r="1238" spans="76:80" ht="13.2" customHeight="1">
      <c r="BX1238" s="83" t="str">
        <f>IF(Province="Grand-duché du Talabecland","Village de Garndorf","")</f>
        <v/>
      </c>
      <c r="BY1238" t="str">
        <f t="shared" si="248"/>
        <v/>
      </c>
      <c r="BZ1238" s="83" t="str">
        <f t="shared" si="245"/>
        <v/>
      </c>
      <c r="CA1238" s="83" t="str">
        <f t="shared" si="246"/>
        <v/>
      </c>
      <c r="CB1238" s="530" t="str">
        <f t="shared" si="247"/>
        <v/>
      </c>
    </row>
    <row r="1239" spans="76:80" ht="13.2" customHeight="1">
      <c r="BX1239" t="str">
        <f>IF(Province="Grand-duché du Talabecland","Village de Torpin","")</f>
        <v/>
      </c>
      <c r="BY1239" t="str">
        <f t="shared" si="248"/>
        <v/>
      </c>
      <c r="BZ1239" s="83" t="str">
        <f t="shared" si="245"/>
        <v/>
      </c>
      <c r="CA1239" s="83" t="str">
        <f t="shared" si="246"/>
        <v/>
      </c>
      <c r="CB1239" s="530" t="str">
        <f t="shared" si="247"/>
        <v/>
      </c>
    </row>
    <row r="1240" spans="76:80" ht="13.2" customHeight="1">
      <c r="BX1240" t="str">
        <f>IF(Province="Grand-duché du Talabecland","Village de Werder","")</f>
        <v/>
      </c>
      <c r="BY1240" t="str">
        <f t="shared" si="248"/>
        <v/>
      </c>
      <c r="BZ1240" s="83" t="str">
        <f t="shared" si="245"/>
        <v/>
      </c>
      <c r="CA1240" s="83" t="str">
        <f t="shared" si="246"/>
        <v/>
      </c>
      <c r="CB1240" s="530" t="str">
        <f t="shared" si="247"/>
        <v/>
      </c>
    </row>
    <row r="1241" spans="76:80" ht="13.2" customHeight="1">
      <c r="BX1241" s="83" t="str">
        <f>IF(Province="Grand-duché du Talabecland","Bourg de Gerdorf","")</f>
        <v/>
      </c>
      <c r="BY1241" t="str">
        <f t="shared" si="248"/>
        <v/>
      </c>
      <c r="BZ1241" s="83" t="str">
        <f t="shared" si="245"/>
        <v/>
      </c>
      <c r="CA1241" s="83" t="str">
        <f t="shared" si="246"/>
        <v/>
      </c>
      <c r="CB1241" s="530" t="str">
        <f t="shared" si="247"/>
        <v/>
      </c>
    </row>
    <row r="1242" spans="76:80" ht="13.2" customHeight="1">
      <c r="BX1242" t="str">
        <f>IF(Province="Grand-duché du Talabecland","Village de Donna","")</f>
        <v/>
      </c>
      <c r="BY1242" t="str">
        <f t="shared" si="248"/>
        <v/>
      </c>
      <c r="BZ1242" s="83" t="str">
        <f t="shared" si="245"/>
        <v/>
      </c>
      <c r="CA1242" s="83" t="str">
        <f t="shared" si="246"/>
        <v/>
      </c>
      <c r="CB1242" s="530" t="str">
        <f t="shared" si="247"/>
        <v/>
      </c>
    </row>
    <row r="1243" spans="76:80" ht="13.2" customHeight="1">
      <c r="BX1243" t="str">
        <f>IF(Province="Grand-duché du Talabecland","Village de Sabritz","")</f>
        <v/>
      </c>
      <c r="BY1243" t="str">
        <f t="shared" si="248"/>
        <v/>
      </c>
      <c r="BZ1243" s="83" t="str">
        <f t="shared" si="245"/>
        <v/>
      </c>
      <c r="CA1243" s="83" t="str">
        <f t="shared" si="246"/>
        <v/>
      </c>
      <c r="CB1243" s="530" t="str">
        <f t="shared" si="247"/>
        <v/>
      </c>
    </row>
    <row r="1244" spans="76:80" ht="13.2" customHeight="1">
      <c r="BX1244" s="83" t="str">
        <f>IF(Province="Grand-duché du Talabecland","Bourg d'Hermsdorf","")</f>
        <v/>
      </c>
      <c r="BY1244" t="str">
        <f t="shared" si="248"/>
        <v/>
      </c>
      <c r="BZ1244" s="83" t="str">
        <f t="shared" si="245"/>
        <v/>
      </c>
      <c r="CA1244" s="83" t="str">
        <f t="shared" si="246"/>
        <v/>
      </c>
      <c r="CB1244" s="530" t="str">
        <f t="shared" si="247"/>
        <v/>
      </c>
    </row>
    <row r="1245" spans="76:80" ht="13.2" customHeight="1">
      <c r="BX1245" t="str">
        <f>IF(Province="Grand-duché du Talabecland","Village de Radische","")</f>
        <v/>
      </c>
      <c r="BY1245" t="str">
        <f t="shared" si="248"/>
        <v/>
      </c>
      <c r="BZ1245" s="83" t="str">
        <f t="shared" si="245"/>
        <v/>
      </c>
      <c r="CA1245" s="83" t="str">
        <f t="shared" si="246"/>
        <v/>
      </c>
      <c r="CB1245" s="530" t="str">
        <f t="shared" si="247"/>
        <v/>
      </c>
    </row>
    <row r="1246" spans="76:80" ht="13.2" customHeight="1">
      <c r="BX1246" s="83" t="str">
        <f>IF(Province="Grand-duché du Talabecland","Ville de Krugenheim","")</f>
        <v/>
      </c>
      <c r="BY1246" t="str">
        <f t="shared" si="248"/>
        <v/>
      </c>
      <c r="BZ1246" s="83" t="str">
        <f t="shared" si="245"/>
        <v/>
      </c>
      <c r="CA1246" s="83" t="str">
        <f t="shared" si="246"/>
        <v/>
      </c>
      <c r="CB1246" s="530" t="str">
        <f t="shared" si="247"/>
        <v/>
      </c>
    </row>
    <row r="1247" spans="76:80" ht="13.2" customHeight="1">
      <c r="BX1247" t="str">
        <f>IF(Province="Grand-duché du Talabecland","Village d'Hazelhof","")</f>
        <v/>
      </c>
      <c r="BY1247" t="str">
        <f t="shared" si="248"/>
        <v/>
      </c>
      <c r="BZ1247" s="83" t="str">
        <f t="shared" si="245"/>
        <v/>
      </c>
      <c r="CA1247" s="83" t="str">
        <f t="shared" si="246"/>
        <v/>
      </c>
      <c r="CB1247" s="530" t="str">
        <f t="shared" si="247"/>
        <v/>
      </c>
    </row>
    <row r="1248" spans="76:80" ht="13.2" customHeight="1">
      <c r="BX1248" t="str">
        <f>IF(Province="Grand-duché du Talabecland","Village de Kiel","")</f>
        <v/>
      </c>
      <c r="BY1248" t="str">
        <f t="shared" si="248"/>
        <v/>
      </c>
      <c r="BZ1248" s="83" t="str">
        <f t="shared" si="245"/>
        <v/>
      </c>
      <c r="CA1248" s="83" t="str">
        <f t="shared" si="246"/>
        <v/>
      </c>
      <c r="CB1248" s="530" t="str">
        <f t="shared" si="247"/>
        <v/>
      </c>
    </row>
    <row r="1249" spans="76:80" ht="13.2" customHeight="1">
      <c r="BX1249" t="str">
        <f>IF(Province="Grand-duché du Talabecland","Village de Trautenau","")</f>
        <v/>
      </c>
      <c r="BY1249" t="str">
        <f t="shared" si="248"/>
        <v/>
      </c>
      <c r="BZ1249" s="83" t="str">
        <f t="shared" si="245"/>
        <v/>
      </c>
      <c r="CA1249" s="83" t="str">
        <f t="shared" si="246"/>
        <v/>
      </c>
      <c r="CB1249" s="530" t="str">
        <f t="shared" si="247"/>
        <v/>
      </c>
    </row>
    <row r="1250" spans="76:80" ht="13.2" customHeight="1">
      <c r="BX1250" s="83" t="str">
        <f>IF(Province="Grand-duché du Talabecland","Village de Lieske","")</f>
        <v/>
      </c>
      <c r="BY1250" t="str">
        <f t="shared" si="248"/>
        <v/>
      </c>
      <c r="BZ1250" s="83" t="str">
        <f t="shared" si="245"/>
        <v/>
      </c>
      <c r="CA1250" s="83" t="str">
        <f t="shared" si="246"/>
        <v/>
      </c>
      <c r="CB1250" s="530" t="str">
        <f t="shared" si="247"/>
        <v/>
      </c>
    </row>
    <row r="1251" spans="76:80" ht="13.2" customHeight="1">
      <c r="BX1251" s="83" t="str">
        <f>IF(Province="Grand-duché du Talabecland","Village d'Ossino","")</f>
        <v/>
      </c>
      <c r="BY1251" t="str">
        <f t="shared" si="248"/>
        <v/>
      </c>
      <c r="BZ1251" s="83" t="str">
        <f t="shared" si="245"/>
        <v/>
      </c>
      <c r="CA1251" s="83" t="str">
        <f t="shared" si="246"/>
        <v/>
      </c>
      <c r="CB1251" s="530" t="str">
        <f t="shared" si="247"/>
        <v/>
      </c>
    </row>
    <row r="1252" spans="76:80" ht="13.2" customHeight="1">
      <c r="BX1252" s="83" t="str">
        <f>IF(Province="Grand-duché du Talabecland","Village de Rangenhof","")</f>
        <v/>
      </c>
      <c r="BY1252" t="str">
        <f t="shared" si="248"/>
        <v/>
      </c>
      <c r="BZ1252" s="83" t="str">
        <f t="shared" si="245"/>
        <v/>
      </c>
      <c r="CA1252" s="83" t="str">
        <f t="shared" si="246"/>
        <v/>
      </c>
      <c r="CB1252" s="530" t="str">
        <f t="shared" si="247"/>
        <v/>
      </c>
    </row>
    <row r="1253" spans="76:80" ht="13.2" customHeight="1">
      <c r="BX1253" t="str">
        <f>IF(Province="Grand-duché du Talabecland","Village de Gostahof","")</f>
        <v/>
      </c>
      <c r="BY1253" t="str">
        <f t="shared" si="248"/>
        <v/>
      </c>
      <c r="BZ1253" s="83" t="str">
        <f t="shared" si="245"/>
        <v/>
      </c>
      <c r="CA1253" s="83" t="str">
        <f t="shared" si="246"/>
        <v/>
      </c>
      <c r="CB1253" s="530" t="str">
        <f t="shared" si="247"/>
        <v/>
      </c>
    </row>
    <row r="1254" spans="76:80" ht="13.2" customHeight="1">
      <c r="BX1254" t="str">
        <f>IF(Province="Grand-duché du Talabecland","Village de Zùtzen","")</f>
        <v/>
      </c>
      <c r="BY1254" t="str">
        <f t="shared" si="248"/>
        <v/>
      </c>
      <c r="BZ1254" s="83" t="str">
        <f t="shared" si="245"/>
        <v/>
      </c>
      <c r="CA1254" s="83" t="str">
        <f t="shared" si="246"/>
        <v/>
      </c>
      <c r="CB1254" s="530" t="str">
        <f t="shared" si="247"/>
        <v/>
      </c>
    </row>
    <row r="1255" spans="76:80" ht="13.2" customHeight="1">
      <c r="BX1255" s="83" t="str">
        <f>IF(Province="Grand-duché du Talabecland","Bourg de Ravenstein","")</f>
        <v/>
      </c>
      <c r="BY1255" t="str">
        <f t="shared" si="248"/>
        <v/>
      </c>
      <c r="BZ1255" s="83" t="str">
        <f t="shared" si="245"/>
        <v/>
      </c>
      <c r="CA1255" s="83" t="str">
        <f t="shared" si="246"/>
        <v/>
      </c>
      <c r="CB1255" s="530" t="str">
        <f t="shared" si="247"/>
        <v/>
      </c>
    </row>
    <row r="1256" spans="76:80" ht="13.2" customHeight="1">
      <c r="BX1256" t="str">
        <f>IF(Province="Grand-duché du Talabecland","Village de Klepzig","")</f>
        <v/>
      </c>
      <c r="BY1256" t="str">
        <f t="shared" si="248"/>
        <v/>
      </c>
      <c r="BZ1256" s="83" t="str">
        <f t="shared" si="245"/>
        <v/>
      </c>
      <c r="CA1256" s="83" t="str">
        <f t="shared" si="246"/>
        <v/>
      </c>
      <c r="CB1256" s="530" t="str">
        <f t="shared" si="247"/>
        <v/>
      </c>
    </row>
    <row r="1257" spans="76:80" ht="13.2" customHeight="1">
      <c r="BX1257" s="83" t="str">
        <f>IF(Province="Grand-duché du Talabecland","Village d'Unterbaum","")</f>
        <v/>
      </c>
      <c r="BY1257" t="str">
        <f t="shared" si="248"/>
        <v/>
      </c>
      <c r="BZ1257" s="83" t="str">
        <f t="shared" si="245"/>
        <v/>
      </c>
      <c r="CA1257" s="83" t="str">
        <f t="shared" si="246"/>
        <v/>
      </c>
      <c r="CB1257" s="530" t="str">
        <f t="shared" si="247"/>
        <v/>
      </c>
    </row>
    <row r="1258" spans="76:80" ht="13.2" customHeight="1">
      <c r="BX1258" s="83" t="str">
        <f>IF(Province="Grand-duché du Talabecland","Ville de Volgen","")</f>
        <v/>
      </c>
      <c r="BY1258" t="str">
        <f t="shared" si="248"/>
        <v/>
      </c>
      <c r="BZ1258" s="83" t="str">
        <f t="shared" si="245"/>
        <v/>
      </c>
      <c r="CA1258" s="83" t="str">
        <f t="shared" si="246"/>
        <v/>
      </c>
      <c r="CB1258" s="530" t="str">
        <f t="shared" si="247"/>
        <v/>
      </c>
    </row>
    <row r="1259" spans="76:80" ht="13.2" customHeight="1">
      <c r="BX1259" t="str">
        <f>IF(Province="Grand-duché du Talabecland","Village de Brasthof","")</f>
        <v/>
      </c>
      <c r="BY1259" t="str">
        <f t="shared" si="248"/>
        <v/>
      </c>
      <c r="BZ1259" s="83" t="str">
        <f t="shared" si="245"/>
        <v/>
      </c>
      <c r="CA1259" s="83" t="str">
        <f t="shared" si="246"/>
        <v/>
      </c>
      <c r="CB1259" s="530" t="str">
        <f t="shared" si="247"/>
        <v/>
      </c>
    </row>
    <row r="1260" spans="76:80" ht="13.2" customHeight="1">
      <c r="BX1260" t="str">
        <f>IF(Province="Grand-duché du Talabecland","Village d'Esselfurt","")</f>
        <v/>
      </c>
      <c r="BY1260" t="str">
        <f t="shared" si="248"/>
        <v/>
      </c>
      <c r="BZ1260" s="83" t="str">
        <f t="shared" si="245"/>
        <v/>
      </c>
      <c r="CA1260" s="83" t="str">
        <f t="shared" si="246"/>
        <v/>
      </c>
      <c r="CB1260" s="530" t="str">
        <f t="shared" si="247"/>
        <v/>
      </c>
    </row>
    <row r="1261" spans="76:80" ht="13.2" customHeight="1">
      <c r="BX1261" t="str">
        <f>IF(Province="Grand-duché du Talabecland","Village de Priestlicheim","")</f>
        <v/>
      </c>
      <c r="BY1261" t="str">
        <f t="shared" si="248"/>
        <v/>
      </c>
      <c r="BZ1261" s="83" t="str">
        <f t="shared" si="245"/>
        <v/>
      </c>
      <c r="CA1261" s="83" t="str">
        <f t="shared" si="246"/>
        <v/>
      </c>
      <c r="CB1261" s="530" t="str">
        <f t="shared" si="247"/>
        <v/>
      </c>
    </row>
    <row r="1262" spans="76:80" ht="13.2" customHeight="1">
      <c r="BX1262" t="str">
        <f>IF(Province="Grand-duché du Talabecland","Village de Ripdorf","")</f>
        <v/>
      </c>
      <c r="BY1262" t="str">
        <f t="shared" si="248"/>
        <v/>
      </c>
      <c r="BZ1262" s="83" t="str">
        <f t="shared" si="245"/>
        <v/>
      </c>
      <c r="CA1262" s="83" t="str">
        <f t="shared" si="246"/>
        <v/>
      </c>
      <c r="CB1262" s="530" t="str">
        <f t="shared" si="247"/>
        <v/>
      </c>
    </row>
    <row r="1263" spans="76:80" ht="13.2" customHeight="1">
      <c r="BX1263" t="str">
        <f>IF(Province="Grand-duché du Talabecland","Village de Sudenheim","")</f>
        <v/>
      </c>
      <c r="BY1263" t="str">
        <f t="shared" si="248"/>
        <v/>
      </c>
      <c r="BZ1263" s="83" t="str">
        <f t="shared" si="245"/>
        <v/>
      </c>
      <c r="CA1263" s="83" t="str">
        <f t="shared" si="246"/>
        <v/>
      </c>
      <c r="CB1263" s="530" t="str">
        <f t="shared" si="247"/>
        <v/>
      </c>
    </row>
    <row r="1264" spans="76:80" ht="13.2" customHeight="1">
      <c r="BX1264" t="str">
        <f>IF(Province="Grand-duché du Talabecland","Village de Zeder","")</f>
        <v/>
      </c>
      <c r="BY1264" t="str">
        <f t="shared" si="248"/>
        <v/>
      </c>
      <c r="BZ1264" s="83" t="str">
        <f t="shared" si="245"/>
        <v/>
      </c>
      <c r="CA1264" s="83" t="str">
        <f t="shared" si="246"/>
        <v/>
      </c>
      <c r="CB1264" s="530" t="str">
        <f t="shared" si="247"/>
        <v/>
      </c>
    </row>
    <row r="1265" spans="76:80" ht="13.2" customHeight="1">
      <c r="BX1265" s="83" t="str">
        <f>IF(Province="Grand-duché du Talabecland","Village de Welleborn","")</f>
        <v/>
      </c>
      <c r="BY1265" t="str">
        <f t="shared" si="248"/>
        <v/>
      </c>
      <c r="BZ1265" s="83" t="str">
        <f t="shared" si="245"/>
        <v/>
      </c>
      <c r="CA1265" s="83" t="str">
        <f t="shared" si="246"/>
        <v/>
      </c>
      <c r="CB1265" s="530" t="str">
        <f t="shared" si="247"/>
        <v/>
      </c>
    </row>
    <row r="1266" spans="76:80" ht="13.2" customHeight="1">
      <c r="BX1266" t="str">
        <f>IF(Province="Grand-duché du Talabecland","Village de Missen","")</f>
        <v/>
      </c>
      <c r="BY1266" t="str">
        <f t="shared" si="248"/>
        <v/>
      </c>
      <c r="BZ1266" s="83" t="str">
        <f t="shared" si="245"/>
        <v/>
      </c>
      <c r="CA1266" s="83" t="str">
        <f t="shared" si="246"/>
        <v/>
      </c>
      <c r="CB1266" s="530" t="str">
        <f t="shared" si="247"/>
        <v/>
      </c>
    </row>
    <row r="1267" spans="76:80" ht="13.2" customHeight="1">
      <c r="BX1267" t="str">
        <f>IF(Province="Grand-duché du Talabecland","Village de Sydow","")</f>
        <v/>
      </c>
      <c r="BY1267" t="str">
        <f t="shared" si="248"/>
        <v/>
      </c>
      <c r="BZ1267" s="83" t="str">
        <f t="shared" si="245"/>
        <v/>
      </c>
      <c r="CA1267" s="83" t="str">
        <f t="shared" si="246"/>
        <v/>
      </c>
      <c r="CB1267" s="530" t="str">
        <f t="shared" si="247"/>
        <v/>
      </c>
    </row>
    <row r="1268" spans="76:80" ht="13.2" customHeight="1">
      <c r="BX1268" s="83" t="str">
        <f>IF(Province="Grand-duché du Talabecland","Vullage de Zurin","")</f>
        <v/>
      </c>
      <c r="BY1268" t="str">
        <f t="shared" si="248"/>
        <v/>
      </c>
      <c r="BZ1268" s="83" t="str">
        <f t="shared" si="245"/>
        <v/>
      </c>
      <c r="CA1268" s="83" t="str">
        <f t="shared" si="246"/>
        <v/>
      </c>
      <c r="CB1268" s="530" t="str">
        <f t="shared" si="247"/>
        <v/>
      </c>
    </row>
    <row r="1269" spans="76:80" ht="13.2" customHeight="1">
      <c r="BX1269" t="str">
        <f>IF(Province="Grand-duché du Talabecland","Village de Sarno","")</f>
        <v/>
      </c>
      <c r="BY1269" t="str">
        <f t="shared" si="248"/>
        <v/>
      </c>
      <c r="BZ1269" s="83" t="str">
        <f t="shared" si="245"/>
        <v/>
      </c>
      <c r="CA1269" s="83" t="str">
        <f t="shared" si="246"/>
        <v/>
      </c>
      <c r="CB1269" s="530" t="str">
        <f t="shared" si="247"/>
        <v/>
      </c>
    </row>
    <row r="1270" spans="76:80" ht="13.2" customHeight="1">
      <c r="BX1270" s="83" t="str">
        <f>IF(Province="Grand-duché du Talabecland","Cité-Etat de Talabheim","")</f>
        <v/>
      </c>
      <c r="BY1270" t="str">
        <f t="shared" si="248"/>
        <v/>
      </c>
      <c r="BZ1270" s="83" t="str">
        <f t="shared" si="245"/>
        <v/>
      </c>
      <c r="CA1270" s="83" t="str">
        <f t="shared" si="246"/>
        <v/>
      </c>
      <c r="CB1270" s="530" t="str">
        <f t="shared" si="247"/>
        <v/>
      </c>
    </row>
    <row r="1271" spans="76:80" ht="13.2" customHeight="1">
      <c r="BX1271" t="str">
        <f>IF(Province="Grand-duché du Talabecland","Village de Bachra","")</f>
        <v/>
      </c>
      <c r="BY1271" t="str">
        <f t="shared" si="248"/>
        <v/>
      </c>
      <c r="BZ1271" s="83" t="str">
        <f t="shared" si="245"/>
        <v/>
      </c>
      <c r="CA1271" s="83" t="str">
        <f t="shared" si="246"/>
        <v/>
      </c>
      <c r="CB1271" s="530" t="str">
        <f t="shared" si="247"/>
        <v/>
      </c>
    </row>
    <row r="1272" spans="76:80" ht="13.2" customHeight="1">
      <c r="BX1272" t="str">
        <f>IF(Province="Grand-duché du Talabecland","Village de Bad Dankerode","")</f>
        <v/>
      </c>
      <c r="BY1272" t="str">
        <f t="shared" si="248"/>
        <v/>
      </c>
      <c r="BZ1272" s="83" t="str">
        <f t="shared" si="245"/>
        <v/>
      </c>
      <c r="CA1272" s="83" t="str">
        <f t="shared" si="246"/>
        <v/>
      </c>
      <c r="CB1272" s="530" t="str">
        <f t="shared" si="247"/>
        <v/>
      </c>
    </row>
    <row r="1273" spans="76:80" ht="13.2" customHeight="1">
      <c r="BX1273" t="str">
        <f>IF(Province="Grand-duché du Talabecland","Village de Bad Tennsalza","")</f>
        <v/>
      </c>
      <c r="BY1273" t="str">
        <f t="shared" si="248"/>
        <v/>
      </c>
      <c r="BZ1273" s="83" t="str">
        <f t="shared" si="245"/>
        <v/>
      </c>
      <c r="CA1273" s="83" t="str">
        <f t="shared" si="246"/>
        <v/>
      </c>
      <c r="CB1273" s="530" t="str">
        <f t="shared" si="247"/>
        <v/>
      </c>
    </row>
    <row r="1274" spans="76:80" ht="13.2" customHeight="1">
      <c r="BX1274" t="str">
        <f>IF(Province="Grand-duché du Talabecland","Village de Breitblatt","")</f>
        <v/>
      </c>
      <c r="BY1274" t="str">
        <f t="shared" si="248"/>
        <v/>
      </c>
      <c r="BZ1274" s="83" t="str">
        <f t="shared" si="245"/>
        <v/>
      </c>
      <c r="CA1274" s="83" t="str">
        <f t="shared" si="246"/>
        <v/>
      </c>
      <c r="CB1274" s="530" t="str">
        <f t="shared" si="247"/>
        <v/>
      </c>
    </row>
    <row r="1275" spans="76:80" ht="13.2" customHeight="1">
      <c r="BX1275" t="str">
        <f>IF(Province="Grand-duché du Talabecland","Village de Grossreiche","")</f>
        <v/>
      </c>
      <c r="BY1275" t="str">
        <f t="shared" si="248"/>
        <v/>
      </c>
      <c r="BZ1275" s="83" t="str">
        <f t="shared" si="245"/>
        <v/>
      </c>
      <c r="CA1275" s="83" t="str">
        <f t="shared" si="246"/>
        <v/>
      </c>
      <c r="CB1275" s="530" t="str">
        <f t="shared" si="247"/>
        <v/>
      </c>
    </row>
    <row r="1276" spans="76:80" ht="13.2" customHeight="1">
      <c r="BX1276" t="str">
        <f>IF(Province="Grand-duché du Talabecland","Village de Griindach","")</f>
        <v/>
      </c>
      <c r="BY1276" t="str">
        <f t="shared" si="248"/>
        <v/>
      </c>
      <c r="BZ1276" s="83" t="str">
        <f t="shared" si="245"/>
        <v/>
      </c>
      <c r="CA1276" s="83" t="str">
        <f t="shared" si="246"/>
        <v/>
      </c>
      <c r="CB1276" s="530" t="str">
        <f t="shared" si="247"/>
        <v/>
      </c>
    </row>
    <row r="1277" spans="76:80" ht="13.2" customHeight="1">
      <c r="BX1277" t="str">
        <f>IF(Province="Grand-duché du Talabecland","Village d'Harferfàhre","")</f>
        <v/>
      </c>
      <c r="BY1277" t="str">
        <f t="shared" si="248"/>
        <v/>
      </c>
      <c r="BZ1277" s="83" t="str">
        <f t="shared" si="245"/>
        <v/>
      </c>
      <c r="CA1277" s="83" t="str">
        <f t="shared" si="246"/>
        <v/>
      </c>
      <c r="CB1277" s="530" t="str">
        <f t="shared" si="247"/>
        <v/>
      </c>
    </row>
    <row r="1278" spans="76:80" ht="13.2" customHeight="1">
      <c r="BX1278" t="str">
        <f>IF(Province="Grand-duché du Talabecland","Village d'Hernhausen","")</f>
        <v/>
      </c>
      <c r="BY1278" t="str">
        <f t="shared" si="248"/>
        <v/>
      </c>
      <c r="BZ1278" s="83" t="str">
        <f t="shared" si="245"/>
        <v/>
      </c>
      <c r="CA1278" s="83" t="str">
        <f t="shared" si="246"/>
        <v/>
      </c>
      <c r="CB1278" s="530" t="str">
        <f t="shared" si="247"/>
        <v/>
      </c>
    </row>
    <row r="1279" spans="76:80" ht="13.2" customHeight="1">
      <c r="BX1279" t="str">
        <f>IF(Province="Grand-duché du Talabecland","Village de Klarfeld","")</f>
        <v/>
      </c>
      <c r="BY1279" t="str">
        <f t="shared" si="248"/>
        <v/>
      </c>
      <c r="BZ1279" s="83" t="str">
        <f t="shared" si="245"/>
        <v/>
      </c>
      <c r="CA1279" s="83" t="str">
        <f t="shared" si="246"/>
        <v/>
      </c>
      <c r="CB1279" s="530" t="str">
        <f t="shared" si="247"/>
        <v/>
      </c>
    </row>
    <row r="1280" spans="76:80" ht="13.2" customHeight="1">
      <c r="BX1280" t="str">
        <f>IF(Province="Grand-duché du Talabecland","Village de Kutzleben","")</f>
        <v/>
      </c>
      <c r="BY1280" t="str">
        <f t="shared" si="248"/>
        <v/>
      </c>
      <c r="BZ1280" s="83" t="str">
        <f t="shared" si="245"/>
        <v/>
      </c>
      <c r="CA1280" s="83" t="str">
        <f t="shared" si="246"/>
        <v/>
      </c>
      <c r="CB1280" s="530" t="str">
        <f t="shared" si="247"/>
        <v/>
      </c>
    </row>
    <row r="1281" spans="76:80" ht="13.2" customHeight="1">
      <c r="BX1281" t="str">
        <f>IF(Province="Grand-duché du Talabecland","Village de Liebstedt","")</f>
        <v/>
      </c>
      <c r="BY1281" t="str">
        <f t="shared" si="248"/>
        <v/>
      </c>
      <c r="BZ1281" s="83" t="str">
        <f t="shared" si="245"/>
        <v/>
      </c>
      <c r="CA1281" s="83" t="str">
        <f t="shared" si="246"/>
        <v/>
      </c>
      <c r="CB1281" s="530" t="str">
        <f t="shared" si="247"/>
        <v/>
      </c>
    </row>
    <row r="1282" spans="76:80" ht="13.2" customHeight="1">
      <c r="BX1282" t="str">
        <f>IF(Province="Grand-duché du Talabecland","Village de Rotha","")</f>
        <v/>
      </c>
      <c r="BY1282" t="str">
        <f t="shared" si="248"/>
        <v/>
      </c>
      <c r="BZ1282" s="83" t="str">
        <f t="shared" ref="BZ1282:BZ1345" si="249">IFERROR(SMALL(BY:BY,ROW()-1),"")</f>
        <v/>
      </c>
      <c r="CA1282" s="83" t="str">
        <f t="shared" ref="CA1282:CA1345" si="250">IFERROR(INDEX(BX:BX,BZ1282),"")</f>
        <v/>
      </c>
      <c r="CB1282" s="530" t="str">
        <f t="shared" ref="CB1282:CB1345" si="251">INDEX(CA:CA,ROW())</f>
        <v/>
      </c>
    </row>
    <row r="1283" spans="76:80" ht="13.2" customHeight="1">
      <c r="BX1283" t="str">
        <f>IF(Province="Grand-duché du Talabecland","Village de Sprôtau","")</f>
        <v/>
      </c>
      <c r="BY1283" t="str">
        <f t="shared" ref="BY1283:BY1346" si="252">IF(BX1283="","",ROW())</f>
        <v/>
      </c>
      <c r="BZ1283" s="83" t="str">
        <f t="shared" si="249"/>
        <v/>
      </c>
      <c r="CA1283" s="83" t="str">
        <f t="shared" si="250"/>
        <v/>
      </c>
      <c r="CB1283" s="530" t="str">
        <f t="shared" si="251"/>
        <v/>
      </c>
    </row>
    <row r="1284" spans="76:80" ht="13.2" customHeight="1">
      <c r="BX1284" t="str">
        <f>IF(Province="Grand-duché du Talabecland","Village de Sumpfrand","")</f>
        <v/>
      </c>
      <c r="BY1284" t="str">
        <f t="shared" si="252"/>
        <v/>
      </c>
      <c r="BZ1284" s="83" t="str">
        <f t="shared" si="249"/>
        <v/>
      </c>
      <c r="CA1284" s="83" t="str">
        <f t="shared" si="250"/>
        <v/>
      </c>
      <c r="CB1284" s="530" t="str">
        <f t="shared" si="251"/>
        <v/>
      </c>
    </row>
    <row r="1285" spans="76:80" ht="13.2" customHeight="1">
      <c r="BX1285" s="83" t="str">
        <f>IF(Province="Grand-duché du Talabecland","Bourg de Talagaad","")</f>
        <v/>
      </c>
      <c r="BY1285" t="str">
        <f t="shared" si="252"/>
        <v/>
      </c>
      <c r="BZ1285" s="83" t="str">
        <f t="shared" si="249"/>
        <v/>
      </c>
      <c r="CA1285" s="83" t="str">
        <f t="shared" si="250"/>
        <v/>
      </c>
      <c r="CB1285" s="530" t="str">
        <f t="shared" si="251"/>
        <v/>
      </c>
    </row>
    <row r="1286" spans="76:80" ht="13.2" customHeight="1">
      <c r="BX1286" t="str">
        <f>IF(Province="Grand-duché du Talabecland","Village d'Urhausen","")</f>
        <v/>
      </c>
      <c r="BY1286" t="str">
        <f t="shared" si="252"/>
        <v/>
      </c>
      <c r="BZ1286" s="83" t="str">
        <f t="shared" si="249"/>
        <v/>
      </c>
      <c r="CA1286" s="83" t="str">
        <f t="shared" si="250"/>
        <v/>
      </c>
      <c r="CB1286" s="530" t="str">
        <f t="shared" si="251"/>
        <v/>
      </c>
    </row>
    <row r="1287" spans="76:80" ht="13.2" customHeight="1">
      <c r="BX1287" t="str">
        <f>IF(Province="Grand-duché du Talabecland","Village de Vateresche","")</f>
        <v/>
      </c>
      <c r="BY1287" t="str">
        <f t="shared" si="252"/>
        <v/>
      </c>
      <c r="BZ1287" s="83" t="str">
        <f t="shared" si="249"/>
        <v/>
      </c>
      <c r="CA1287" s="83" t="str">
        <f t="shared" si="250"/>
        <v/>
      </c>
      <c r="CB1287" s="530" t="str">
        <f t="shared" si="251"/>
        <v/>
      </c>
    </row>
    <row r="1288" spans="76:80" ht="13.2" customHeight="1">
      <c r="BX1288" t="str">
        <f>IF(Province="Grand-duché du Talabecland","Village de Waldfàhrte","")</f>
        <v/>
      </c>
      <c r="BY1288" t="str">
        <f t="shared" si="252"/>
        <v/>
      </c>
      <c r="BZ1288" s="83" t="str">
        <f t="shared" si="249"/>
        <v/>
      </c>
      <c r="CA1288" s="83" t="str">
        <f t="shared" si="250"/>
        <v/>
      </c>
      <c r="CB1288" s="530" t="str">
        <f t="shared" si="251"/>
        <v/>
      </c>
    </row>
    <row r="1289" spans="76:80" ht="13.2" customHeight="1">
      <c r="BX1289" s="83" t="str">
        <f>IF(Province="Grand comté du Wissenland","Ville de Wissenburg","")</f>
        <v/>
      </c>
      <c r="BY1289" t="str">
        <f t="shared" si="252"/>
        <v/>
      </c>
      <c r="BZ1289" s="83" t="str">
        <f t="shared" si="249"/>
        <v/>
      </c>
      <c r="CA1289" s="83" t="str">
        <f t="shared" si="250"/>
        <v/>
      </c>
      <c r="CB1289" s="530" t="str">
        <f t="shared" si="251"/>
        <v/>
      </c>
    </row>
    <row r="1290" spans="76:80" ht="13.2" customHeight="1">
      <c r="BX1290" t="str">
        <f>IF(Province="Grand comté du Wissenland","Village de Dotternbach","")</f>
        <v/>
      </c>
      <c r="BY1290" t="str">
        <f t="shared" si="252"/>
        <v/>
      </c>
      <c r="BZ1290" s="83" t="str">
        <f t="shared" si="249"/>
        <v/>
      </c>
      <c r="CA1290" s="83" t="str">
        <f t="shared" si="250"/>
        <v/>
      </c>
      <c r="CB1290" s="530" t="str">
        <f t="shared" si="251"/>
        <v/>
      </c>
    </row>
    <row r="1291" spans="76:80" ht="13.2" customHeight="1">
      <c r="BX1291" t="str">
        <f>IF(Province="Grand comté du Wissenland","Village d'Haigerbach","")</f>
        <v/>
      </c>
      <c r="BY1291" t="str">
        <f t="shared" si="252"/>
        <v/>
      </c>
      <c r="BZ1291" s="83" t="str">
        <f t="shared" si="249"/>
        <v/>
      </c>
      <c r="CA1291" s="83" t="str">
        <f t="shared" si="250"/>
        <v/>
      </c>
      <c r="CB1291" s="530" t="str">
        <f t="shared" si="251"/>
        <v/>
      </c>
    </row>
    <row r="1292" spans="76:80" ht="13.2" customHeight="1">
      <c r="BX1292" t="str">
        <f>IF(Province="Grand comté du Wissenland","Village de Maselhof","")</f>
        <v/>
      </c>
      <c r="BY1292" t="str">
        <f t="shared" si="252"/>
        <v/>
      </c>
      <c r="BZ1292" s="83" t="str">
        <f t="shared" si="249"/>
        <v/>
      </c>
      <c r="CA1292" s="83" t="str">
        <f t="shared" si="250"/>
        <v/>
      </c>
      <c r="CB1292" s="530" t="str">
        <f t="shared" si="251"/>
        <v/>
      </c>
    </row>
    <row r="1293" spans="76:80" ht="13.2" customHeight="1">
      <c r="BX1293" t="str">
        <f>IF(Province="Grand comté du Wissenland","Village de Rohrhausen","")</f>
        <v/>
      </c>
      <c r="BY1293" t="str">
        <f t="shared" si="252"/>
        <v/>
      </c>
      <c r="BZ1293" s="83" t="str">
        <f t="shared" si="249"/>
        <v/>
      </c>
      <c r="CA1293" s="83" t="str">
        <f t="shared" si="250"/>
        <v/>
      </c>
      <c r="CB1293" s="530" t="str">
        <f t="shared" si="251"/>
        <v/>
      </c>
    </row>
    <row r="1294" spans="76:80" ht="13.2" customHeight="1">
      <c r="BX1294" t="str">
        <f>IF(Province="Grand comté du Wissenland","Village de Weningen","")</f>
        <v/>
      </c>
      <c r="BY1294" t="str">
        <f t="shared" si="252"/>
        <v/>
      </c>
      <c r="BZ1294" s="83" t="str">
        <f t="shared" si="249"/>
        <v/>
      </c>
      <c r="CA1294" s="83" t="str">
        <f t="shared" si="250"/>
        <v/>
      </c>
      <c r="CB1294" s="530" t="str">
        <f t="shared" si="251"/>
        <v/>
      </c>
    </row>
    <row r="1295" spans="76:80" ht="13.2" customHeight="1">
      <c r="BX1295" s="83" t="str">
        <f>IF(Province="Grand comté du Wissenland","Bourg de Geshburg","")</f>
        <v/>
      </c>
      <c r="BY1295" t="str">
        <f t="shared" si="252"/>
        <v/>
      </c>
      <c r="BZ1295" s="83" t="str">
        <f t="shared" si="249"/>
        <v/>
      </c>
      <c r="CA1295" s="83" t="str">
        <f t="shared" si="250"/>
        <v/>
      </c>
      <c r="CB1295" s="530" t="str">
        <f t="shared" si="251"/>
        <v/>
      </c>
    </row>
    <row r="1296" spans="76:80" ht="13.2" customHeight="1">
      <c r="BX1296" t="str">
        <f>IF(Province="Grand comté du Wissenland","Village d'Althausen","")</f>
        <v/>
      </c>
      <c r="BY1296" t="str">
        <f t="shared" si="252"/>
        <v/>
      </c>
      <c r="BZ1296" s="83" t="str">
        <f t="shared" si="249"/>
        <v/>
      </c>
      <c r="CA1296" s="83" t="str">
        <f t="shared" si="250"/>
        <v/>
      </c>
      <c r="CB1296" s="530" t="str">
        <f t="shared" si="251"/>
        <v/>
      </c>
    </row>
    <row r="1297" spans="76:80" ht="13.2" customHeight="1">
      <c r="BX1297" t="str">
        <f>IF(Province="Grand comté du Wissenland","Village de Fluorn","")</f>
        <v/>
      </c>
      <c r="BY1297" t="str">
        <f t="shared" si="252"/>
        <v/>
      </c>
      <c r="BZ1297" s="83" t="str">
        <f t="shared" si="249"/>
        <v/>
      </c>
      <c r="CA1297" s="83" t="str">
        <f t="shared" si="250"/>
        <v/>
      </c>
      <c r="CB1297" s="530" t="str">
        <f t="shared" si="251"/>
        <v/>
      </c>
    </row>
    <row r="1298" spans="76:80" ht="13.2" customHeight="1">
      <c r="BX1298" s="83" t="str">
        <f>IF(Province="Grand comté du Wissenland","Bourg de Kreutzhofen","")</f>
        <v/>
      </c>
      <c r="BY1298" t="str">
        <f t="shared" si="252"/>
        <v/>
      </c>
      <c r="BZ1298" s="83" t="str">
        <f t="shared" si="249"/>
        <v/>
      </c>
      <c r="CA1298" s="83" t="str">
        <f t="shared" si="250"/>
        <v/>
      </c>
      <c r="CB1298" s="530" t="str">
        <f t="shared" si="251"/>
        <v/>
      </c>
    </row>
    <row r="1299" spans="76:80" ht="13.2" customHeight="1">
      <c r="BX1299" t="str">
        <f>IF(Province="Grand comté du Wissenland","Village de Weilerberg","")</f>
        <v/>
      </c>
      <c r="BY1299" t="str">
        <f t="shared" si="252"/>
        <v/>
      </c>
      <c r="BZ1299" s="83" t="str">
        <f t="shared" si="249"/>
        <v/>
      </c>
      <c r="CA1299" s="83" t="str">
        <f t="shared" si="250"/>
        <v/>
      </c>
      <c r="CB1299" s="530" t="str">
        <f t="shared" si="251"/>
        <v/>
      </c>
    </row>
    <row r="1300" spans="76:80" ht="13.2" customHeight="1">
      <c r="BX1300" s="83" t="str">
        <f>IF(Province="Grand comté du Wissenland","Village de Kroppenleben","")</f>
        <v/>
      </c>
      <c r="BY1300" t="str">
        <f t="shared" si="252"/>
        <v/>
      </c>
      <c r="BZ1300" s="83" t="str">
        <f t="shared" si="249"/>
        <v/>
      </c>
      <c r="CA1300" s="83" t="str">
        <f t="shared" si="250"/>
        <v/>
      </c>
      <c r="CB1300" s="530" t="str">
        <f t="shared" si="251"/>
        <v/>
      </c>
    </row>
    <row r="1301" spans="76:80" ht="13.2" customHeight="1">
      <c r="BX1301" s="83" t="str">
        <f>IF(Province="Grand comté du Wissenland","Bourg de Meissen","")</f>
        <v/>
      </c>
      <c r="BY1301" t="str">
        <f t="shared" si="252"/>
        <v/>
      </c>
      <c r="BZ1301" s="83" t="str">
        <f t="shared" si="249"/>
        <v/>
      </c>
      <c r="CA1301" s="83" t="str">
        <f t="shared" si="250"/>
        <v/>
      </c>
      <c r="CB1301" s="530" t="str">
        <f t="shared" si="251"/>
        <v/>
      </c>
    </row>
    <row r="1302" spans="76:80" ht="13.2" customHeight="1">
      <c r="BX1302" t="str">
        <f>IF(Province="Grand comté du Wissenland","Village d'Auggen","")</f>
        <v/>
      </c>
      <c r="BY1302" t="str">
        <f t="shared" si="252"/>
        <v/>
      </c>
      <c r="BZ1302" s="83" t="str">
        <f t="shared" si="249"/>
        <v/>
      </c>
      <c r="CA1302" s="83" t="str">
        <f t="shared" si="250"/>
        <v/>
      </c>
      <c r="CB1302" s="530" t="str">
        <f t="shared" si="251"/>
        <v/>
      </c>
    </row>
    <row r="1303" spans="76:80" ht="13.2" customHeight="1">
      <c r="BX1303" t="str">
        <f>IF(Province="Grand comté du Wissenland","Village d'Heisenberg","")</f>
        <v/>
      </c>
      <c r="BY1303" t="str">
        <f t="shared" si="252"/>
        <v/>
      </c>
      <c r="BZ1303" s="83" t="str">
        <f t="shared" si="249"/>
        <v/>
      </c>
      <c r="CA1303" s="83" t="str">
        <f t="shared" si="250"/>
        <v/>
      </c>
      <c r="CB1303" s="530" t="str">
        <f t="shared" si="251"/>
        <v/>
      </c>
    </row>
    <row r="1304" spans="76:80" ht="13.2" customHeight="1">
      <c r="BX1304" t="str">
        <f>IF(Province="Grand comté du Wissenland","Village d'Owingen","")</f>
        <v/>
      </c>
      <c r="BY1304" t="str">
        <f t="shared" si="252"/>
        <v/>
      </c>
      <c r="BZ1304" s="83" t="str">
        <f t="shared" si="249"/>
        <v/>
      </c>
      <c r="CA1304" s="83" t="str">
        <f t="shared" si="250"/>
        <v/>
      </c>
      <c r="CB1304" s="530" t="str">
        <f t="shared" si="251"/>
        <v/>
      </c>
    </row>
    <row r="1305" spans="76:80" ht="13.2" customHeight="1">
      <c r="BX1305" s="83" t="str">
        <f>IF(Province="Grand comté du Wissenland","Ville de Pfeildorf","")</f>
        <v/>
      </c>
      <c r="BY1305" t="str">
        <f t="shared" si="252"/>
        <v/>
      </c>
      <c r="BZ1305" s="83" t="str">
        <f t="shared" si="249"/>
        <v/>
      </c>
      <c r="CA1305" s="83" t="str">
        <f t="shared" si="250"/>
        <v/>
      </c>
      <c r="CB1305" s="530" t="str">
        <f t="shared" si="251"/>
        <v/>
      </c>
    </row>
    <row r="1306" spans="76:80" ht="13.2" customHeight="1">
      <c r="BX1306" t="str">
        <f>IF(Province="Grand comté du Wissenland","Village de Bernau","")</f>
        <v/>
      </c>
      <c r="BY1306" t="str">
        <f t="shared" si="252"/>
        <v/>
      </c>
      <c r="BZ1306" s="83" t="str">
        <f t="shared" si="249"/>
        <v/>
      </c>
      <c r="CA1306" s="83" t="str">
        <f t="shared" si="250"/>
        <v/>
      </c>
      <c r="CB1306" s="530" t="str">
        <f t="shared" si="251"/>
        <v/>
      </c>
    </row>
    <row r="1307" spans="76:80" ht="13.2" customHeight="1">
      <c r="BX1307" t="str">
        <f>IF(Province="Grand comté du Wissenland","Village de Durbheim","")</f>
        <v/>
      </c>
      <c r="BY1307" t="str">
        <f t="shared" si="252"/>
        <v/>
      </c>
      <c r="BZ1307" s="83" t="str">
        <f t="shared" si="249"/>
        <v/>
      </c>
      <c r="CA1307" s="83" t="str">
        <f t="shared" si="250"/>
        <v/>
      </c>
      <c r="CB1307" s="530" t="str">
        <f t="shared" si="251"/>
        <v/>
      </c>
    </row>
    <row r="1308" spans="76:80" ht="13.2" customHeight="1">
      <c r="BX1308" t="str">
        <f>IF(Province="Grand comté du Wissenland","Village d'Elzach","")</f>
        <v/>
      </c>
      <c r="BY1308" t="str">
        <f t="shared" si="252"/>
        <v/>
      </c>
      <c r="BZ1308" s="83" t="str">
        <f t="shared" si="249"/>
        <v/>
      </c>
      <c r="CA1308" s="83" t="str">
        <f t="shared" si="250"/>
        <v/>
      </c>
      <c r="CB1308" s="530" t="str">
        <f t="shared" si="251"/>
        <v/>
      </c>
    </row>
    <row r="1309" spans="76:80" ht="13.2" customHeight="1">
      <c r="BX1309" t="str">
        <f>IF(Province="Grand comté du Wissenland","Village d'Hausern","")</f>
        <v/>
      </c>
      <c r="BY1309" t="str">
        <f t="shared" si="252"/>
        <v/>
      </c>
      <c r="BZ1309" s="83" t="str">
        <f t="shared" si="249"/>
        <v/>
      </c>
      <c r="CA1309" s="83" t="str">
        <f t="shared" si="250"/>
        <v/>
      </c>
      <c r="CB1309" s="530" t="str">
        <f t="shared" si="251"/>
        <v/>
      </c>
    </row>
    <row r="1310" spans="76:80" ht="13.2" customHeight="1">
      <c r="BX1310" s="83" t="str">
        <f>IF(Province="Grand comté du Wissenland","Village de Scharmbeck","")</f>
        <v/>
      </c>
      <c r="BY1310" t="str">
        <f t="shared" si="252"/>
        <v/>
      </c>
      <c r="BZ1310" s="83" t="str">
        <f t="shared" si="249"/>
        <v/>
      </c>
      <c r="CA1310" s="83" t="str">
        <f t="shared" si="250"/>
        <v/>
      </c>
      <c r="CB1310" s="530" t="str">
        <f t="shared" si="251"/>
        <v/>
      </c>
    </row>
    <row r="1311" spans="76:80" ht="13.2" customHeight="1">
      <c r="BX1311" s="83" t="str">
        <f>IF(Province="Grand comté du Wissenland","Mine de Tierhùgel","")</f>
        <v/>
      </c>
      <c r="BY1311" t="str">
        <f t="shared" si="252"/>
        <v/>
      </c>
      <c r="BZ1311" s="83" t="str">
        <f t="shared" si="249"/>
        <v/>
      </c>
      <c r="CA1311" s="83" t="str">
        <f t="shared" si="250"/>
        <v/>
      </c>
      <c r="CB1311" s="530" t="str">
        <f t="shared" si="251"/>
        <v/>
      </c>
    </row>
    <row r="1312" spans="76:80" ht="13.2" customHeight="1">
      <c r="BX1312" s="83" t="str">
        <f>IF(Province="Grand comté du Wissenland","Village de Sonnefurt","")</f>
        <v/>
      </c>
      <c r="BY1312" t="str">
        <f t="shared" si="252"/>
        <v/>
      </c>
      <c r="BZ1312" s="83" t="str">
        <f t="shared" si="249"/>
        <v/>
      </c>
      <c r="CA1312" s="83" t="str">
        <f t="shared" si="250"/>
        <v/>
      </c>
      <c r="CB1312" s="530" t="str">
        <f t="shared" si="251"/>
        <v/>
      </c>
    </row>
    <row r="1313" spans="76:80" ht="13.2" customHeight="1">
      <c r="BX1313" s="83" t="str">
        <f>IF(Province="Grand comté du Wissenland","Village de Steingart","")</f>
        <v/>
      </c>
      <c r="BY1313" t="str">
        <f t="shared" si="252"/>
        <v/>
      </c>
      <c r="BZ1313" s="83" t="str">
        <f t="shared" si="249"/>
        <v/>
      </c>
      <c r="CA1313" s="83" t="str">
        <f t="shared" si="250"/>
        <v/>
      </c>
      <c r="CB1313" s="530" t="str">
        <f t="shared" si="251"/>
        <v/>
      </c>
    </row>
    <row r="1314" spans="76:80" ht="13.2" customHeight="1">
      <c r="BX1314" t="str">
        <f>IF(Province="Grand comté du Wissenland","Bourg de Wusterburg","")</f>
        <v/>
      </c>
      <c r="BY1314" t="str">
        <f t="shared" si="252"/>
        <v/>
      </c>
      <c r="BZ1314" s="83" t="str">
        <f t="shared" si="249"/>
        <v/>
      </c>
      <c r="CA1314" s="83" t="str">
        <f t="shared" si="250"/>
        <v/>
      </c>
      <c r="CB1314" s="530" t="str">
        <f t="shared" si="251"/>
        <v/>
      </c>
    </row>
    <row r="1315" spans="76:80" ht="13.2" customHeight="1">
      <c r="BX1315" t="str">
        <f>IF(Province="Grand comté du Wissenland","Village d'Eigenhof","")</f>
        <v/>
      </c>
      <c r="BY1315" t="str">
        <f t="shared" si="252"/>
        <v/>
      </c>
      <c r="BZ1315" s="83" t="str">
        <f t="shared" si="249"/>
        <v/>
      </c>
      <c r="CA1315" s="83" t="str">
        <f t="shared" si="250"/>
        <v/>
      </c>
      <c r="CB1315" s="530" t="str">
        <f t="shared" si="251"/>
        <v/>
      </c>
    </row>
    <row r="1316" spans="76:80" ht="13.2" customHeight="1">
      <c r="BX1316" t="str">
        <f>IF(Province="Grand comté du Wissenland","Village de Rôtenbach","")</f>
        <v/>
      </c>
      <c r="BY1316" t="str">
        <f t="shared" si="252"/>
        <v/>
      </c>
      <c r="BZ1316" s="83" t="str">
        <f t="shared" si="249"/>
        <v/>
      </c>
      <c r="CA1316" s="83" t="str">
        <f t="shared" si="250"/>
        <v/>
      </c>
      <c r="CB1316" s="530" t="str">
        <f t="shared" si="251"/>
        <v/>
      </c>
    </row>
    <row r="1317" spans="76:80" ht="13.2" customHeight="1">
      <c r="BX1317" s="83" t="str">
        <f>IF(Province="Grand comté du Wissenland","Cité-Etat de Nuln","")</f>
        <v/>
      </c>
      <c r="BY1317" t="str">
        <f t="shared" si="252"/>
        <v/>
      </c>
      <c r="BZ1317" s="83" t="str">
        <f t="shared" si="249"/>
        <v/>
      </c>
      <c r="CA1317" s="83" t="str">
        <f t="shared" si="250"/>
        <v/>
      </c>
      <c r="CB1317" s="530" t="str">
        <f t="shared" si="251"/>
        <v/>
      </c>
    </row>
    <row r="1318" spans="76:80" ht="13.2" customHeight="1">
      <c r="BX1318" t="str">
        <f>IF(Province="Grand comté du Wissenland","Village d'Ambosstein","")</f>
        <v/>
      </c>
      <c r="BY1318" t="str">
        <f t="shared" si="252"/>
        <v/>
      </c>
      <c r="BZ1318" s="83" t="str">
        <f t="shared" si="249"/>
        <v/>
      </c>
      <c r="CA1318" s="83" t="str">
        <f t="shared" si="250"/>
        <v/>
      </c>
      <c r="CB1318" s="530" t="str">
        <f t="shared" si="251"/>
        <v/>
      </c>
    </row>
    <row r="1319" spans="76:80" ht="13.2" customHeight="1">
      <c r="BX1319" t="str">
        <f>IF(Province="Grand comté du Wissenland","Village d'Armedorf","")</f>
        <v/>
      </c>
      <c r="BY1319" t="str">
        <f t="shared" si="252"/>
        <v/>
      </c>
      <c r="BZ1319" s="83" t="str">
        <f t="shared" si="249"/>
        <v/>
      </c>
      <c r="CA1319" s="83" t="str">
        <f t="shared" si="250"/>
        <v/>
      </c>
      <c r="CB1319" s="530" t="str">
        <f t="shared" si="251"/>
        <v/>
      </c>
    </row>
    <row r="1320" spans="76:80" ht="13.2" customHeight="1">
      <c r="BX1320" t="str">
        <f>IF(Province="Grand comté du Wissenland","Village d'Arschel","")</f>
        <v/>
      </c>
      <c r="BY1320" t="str">
        <f t="shared" si="252"/>
        <v/>
      </c>
      <c r="BZ1320" s="83" t="str">
        <f t="shared" si="249"/>
        <v/>
      </c>
      <c r="CA1320" s="83" t="str">
        <f t="shared" si="250"/>
        <v/>
      </c>
      <c r="CB1320" s="530" t="str">
        <f t="shared" si="251"/>
        <v/>
      </c>
    </row>
    <row r="1321" spans="76:80" ht="13.2" customHeight="1">
      <c r="BX1321" t="str">
        <f>IF(Province="Grand comté du Wissenland","Village de Biberdorf","")</f>
        <v/>
      </c>
      <c r="BY1321" t="str">
        <f t="shared" si="252"/>
        <v/>
      </c>
      <c r="BZ1321" s="83" t="str">
        <f t="shared" si="249"/>
        <v/>
      </c>
      <c r="CA1321" s="83" t="str">
        <f t="shared" si="250"/>
        <v/>
      </c>
      <c r="CB1321" s="530" t="str">
        <f t="shared" si="251"/>
        <v/>
      </c>
    </row>
    <row r="1322" spans="76:80" ht="13.2" customHeight="1">
      <c r="BX1322" t="str">
        <f>IF(Province="Grand comté du Wissenland","Village de Bleichdorf","")</f>
        <v/>
      </c>
      <c r="BY1322" t="str">
        <f t="shared" si="252"/>
        <v/>
      </c>
      <c r="BZ1322" s="83" t="str">
        <f t="shared" si="249"/>
        <v/>
      </c>
      <c r="CA1322" s="83" t="str">
        <f t="shared" si="250"/>
        <v/>
      </c>
      <c r="CB1322" s="530" t="str">
        <f t="shared" si="251"/>
        <v/>
      </c>
    </row>
    <row r="1323" spans="76:80" ht="13.2" customHeight="1">
      <c r="BX1323" t="str">
        <f>IF(Province="Grand comté du Wissenland","Village de Brandtstadt","")</f>
        <v/>
      </c>
      <c r="BY1323" t="str">
        <f t="shared" si="252"/>
        <v/>
      </c>
      <c r="BZ1323" s="83" t="str">
        <f t="shared" si="249"/>
        <v/>
      </c>
      <c r="CA1323" s="83" t="str">
        <f t="shared" si="250"/>
        <v/>
      </c>
      <c r="CB1323" s="530" t="str">
        <f t="shared" si="251"/>
        <v/>
      </c>
    </row>
    <row r="1324" spans="76:80" ht="13.2" customHeight="1">
      <c r="BX1324" t="str">
        <f>IF(Province="Grand comté du Wissenland","Village de Braundorf","")</f>
        <v/>
      </c>
      <c r="BY1324" t="str">
        <f t="shared" si="252"/>
        <v/>
      </c>
      <c r="BZ1324" s="83" t="str">
        <f t="shared" si="249"/>
        <v/>
      </c>
      <c r="CA1324" s="83" t="str">
        <f t="shared" si="250"/>
        <v/>
      </c>
      <c r="CB1324" s="530" t="str">
        <f t="shared" si="251"/>
        <v/>
      </c>
    </row>
    <row r="1325" spans="76:80" ht="13.2" customHeight="1">
      <c r="BX1325" t="str">
        <f>IF(Province="Grand comté du Wissenland","Village d'Eschedorf","")</f>
        <v/>
      </c>
      <c r="BY1325" t="str">
        <f t="shared" si="252"/>
        <v/>
      </c>
      <c r="BZ1325" s="83" t="str">
        <f t="shared" si="249"/>
        <v/>
      </c>
      <c r="CA1325" s="83" t="str">
        <f t="shared" si="250"/>
        <v/>
      </c>
      <c r="CB1325" s="530" t="str">
        <f t="shared" si="251"/>
        <v/>
      </c>
    </row>
    <row r="1326" spans="76:80" ht="13.2" customHeight="1">
      <c r="BX1326" t="str">
        <f>IF(Province="Grand comté du Wissenland","Village de Furtzhausen","")</f>
        <v/>
      </c>
      <c r="BY1326" t="str">
        <f t="shared" si="252"/>
        <v/>
      </c>
      <c r="BZ1326" s="83" t="str">
        <f t="shared" si="249"/>
        <v/>
      </c>
      <c r="CA1326" s="83" t="str">
        <f t="shared" si="250"/>
        <v/>
      </c>
      <c r="CB1326" s="530" t="str">
        <f t="shared" si="251"/>
        <v/>
      </c>
    </row>
    <row r="1327" spans="76:80" ht="13.2" customHeight="1">
      <c r="BX1327" t="str">
        <f>IF(Province="Grand comté du Wissenland","Village de Kônigsdorf","")</f>
        <v/>
      </c>
      <c r="BY1327" t="str">
        <f t="shared" si="252"/>
        <v/>
      </c>
      <c r="BZ1327" s="83" t="str">
        <f t="shared" si="249"/>
        <v/>
      </c>
      <c r="CA1327" s="83" t="str">
        <f t="shared" si="250"/>
        <v/>
      </c>
      <c r="CB1327" s="530" t="str">
        <f t="shared" si="251"/>
        <v/>
      </c>
    </row>
    <row r="1328" spans="76:80" ht="13.2" customHeight="1">
      <c r="BX1328" t="str">
        <f>IF(Province="Grand comté du Wissenland","Village de Kotzenheim","")</f>
        <v/>
      </c>
      <c r="BY1328" t="str">
        <f t="shared" si="252"/>
        <v/>
      </c>
      <c r="BZ1328" s="83" t="str">
        <f t="shared" si="249"/>
        <v/>
      </c>
      <c r="CA1328" s="83" t="str">
        <f t="shared" si="250"/>
        <v/>
      </c>
      <c r="CB1328" s="530" t="str">
        <f t="shared" si="251"/>
        <v/>
      </c>
    </row>
    <row r="1329" spans="76:80" ht="13.2" customHeight="1">
      <c r="BX1329" t="str">
        <f>IF(Province="Grand comté du Wissenland","Village de Rrauthof","")</f>
        <v/>
      </c>
      <c r="BY1329" t="str">
        <f t="shared" si="252"/>
        <v/>
      </c>
      <c r="BZ1329" s="83" t="str">
        <f t="shared" si="249"/>
        <v/>
      </c>
      <c r="CA1329" s="83" t="str">
        <f t="shared" si="250"/>
        <v/>
      </c>
      <c r="CB1329" s="530" t="str">
        <f t="shared" si="251"/>
        <v/>
      </c>
    </row>
    <row r="1330" spans="76:80" ht="13.2" customHeight="1">
      <c r="BX1330" t="str">
        <f>IF(Province="Grand comté du Wissenland","Village de Mattersheim","")</f>
        <v/>
      </c>
      <c r="BY1330" t="str">
        <f t="shared" si="252"/>
        <v/>
      </c>
      <c r="BZ1330" s="83" t="str">
        <f t="shared" si="249"/>
        <v/>
      </c>
      <c r="CA1330" s="83" t="str">
        <f t="shared" si="250"/>
        <v/>
      </c>
      <c r="CB1330" s="530" t="str">
        <f t="shared" si="251"/>
        <v/>
      </c>
    </row>
    <row r="1331" spans="76:80" ht="13.2" customHeight="1">
      <c r="BX1331" t="str">
        <f>IF(Province="Grand comté du Wissenland","Village de Segeldorf","")</f>
        <v/>
      </c>
      <c r="BY1331" t="str">
        <f t="shared" si="252"/>
        <v/>
      </c>
      <c r="BZ1331" s="83" t="str">
        <f t="shared" si="249"/>
        <v/>
      </c>
      <c r="CA1331" s="83" t="str">
        <f t="shared" si="250"/>
        <v/>
      </c>
      <c r="CB1331" s="530" t="str">
        <f t="shared" si="251"/>
        <v/>
      </c>
    </row>
    <row r="1332" spans="76:80" ht="13.2" customHeight="1">
      <c r="BX1332" t="str">
        <f>IF(Province="Grand comté du Wissenland","Village de Wahnfurt","")</f>
        <v/>
      </c>
      <c r="BY1332" t="str">
        <f t="shared" si="252"/>
        <v/>
      </c>
      <c r="BZ1332" s="83" t="str">
        <f t="shared" si="249"/>
        <v/>
      </c>
      <c r="CA1332" s="83" t="str">
        <f t="shared" si="250"/>
        <v/>
      </c>
      <c r="CB1332" s="530" t="str">
        <f t="shared" si="251"/>
        <v/>
      </c>
    </row>
    <row r="1333" spans="76:80" ht="13.2" customHeight="1">
      <c r="BX1333" s="25" t="str">
        <f>IF(Province="Grand comté du Wissenland","Village de Winkelhausen","")</f>
        <v/>
      </c>
      <c r="BY1333" t="str">
        <f t="shared" si="252"/>
        <v/>
      </c>
      <c r="BZ1333" s="83" t="str">
        <f t="shared" si="249"/>
        <v/>
      </c>
      <c r="CA1333" s="83" t="str">
        <f t="shared" si="250"/>
        <v/>
      </c>
      <c r="CB1333" s="530" t="str">
        <f t="shared" si="251"/>
        <v/>
      </c>
    </row>
    <row r="1334" spans="76:80" ht="13.2" customHeight="1">
      <c r="BX1334" s="25" t="str">
        <f>IF(Pays="Norsca","Montagnes Jotunheim","")</f>
        <v/>
      </c>
      <c r="BY1334" t="str">
        <f t="shared" si="252"/>
        <v/>
      </c>
      <c r="BZ1334" s="83" t="str">
        <f t="shared" si="249"/>
        <v/>
      </c>
      <c r="CA1334" s="83" t="str">
        <f t="shared" si="250"/>
        <v/>
      </c>
      <c r="CB1334" s="530" t="str">
        <f t="shared" si="251"/>
        <v/>
      </c>
    </row>
    <row r="1335" spans="76:80" ht="13.2" customHeight="1">
      <c r="BX1335" s="25" t="str">
        <f>IF(AND(Pays="Norsca",SelectRace="Nain"),"Kraka Ornsmontek","")</f>
        <v/>
      </c>
      <c r="BY1335" t="str">
        <f t="shared" si="252"/>
        <v/>
      </c>
      <c r="BZ1335" s="83" t="str">
        <f t="shared" si="249"/>
        <v/>
      </c>
      <c r="CA1335" s="83" t="str">
        <f t="shared" si="250"/>
        <v/>
      </c>
      <c r="CB1335" s="530" t="str">
        <f t="shared" si="251"/>
        <v/>
      </c>
    </row>
    <row r="1336" spans="76:80" ht="13.2" customHeight="1">
      <c r="BX1336" s="25" t="str">
        <f>IF(AND(Pays="Norsca",SelectRace="Nain"),"Kraka Drak","")</f>
        <v/>
      </c>
      <c r="BY1336" t="str">
        <f t="shared" si="252"/>
        <v/>
      </c>
      <c r="BZ1336" s="83" t="str">
        <f t="shared" si="249"/>
        <v/>
      </c>
      <c r="CA1336" s="83" t="str">
        <f t="shared" si="250"/>
        <v/>
      </c>
      <c r="CB1336" s="530" t="str">
        <f t="shared" si="251"/>
        <v/>
      </c>
    </row>
    <row r="1337" spans="76:80" ht="13.2" customHeight="1">
      <c r="BX1337" s="25" t="str">
        <f>IF(AND(Pays="Norsca",SelectRace="Nain"),"Kraka Dorden","")</f>
        <v/>
      </c>
      <c r="BY1337" t="str">
        <f t="shared" si="252"/>
        <v/>
      </c>
      <c r="BZ1337" s="83" t="str">
        <f t="shared" si="249"/>
        <v/>
      </c>
      <c r="CA1337" s="83" t="str">
        <f t="shared" si="250"/>
        <v/>
      </c>
      <c r="CB1337" s="530" t="str">
        <f t="shared" si="251"/>
        <v/>
      </c>
    </row>
    <row r="1338" spans="76:80" ht="13.2" customHeight="1">
      <c r="BX1338" s="25" t="str">
        <f>IF(Province="Grand comté du Wissenland","Village de Zecher","")</f>
        <v/>
      </c>
      <c r="BY1338" t="str">
        <f t="shared" si="252"/>
        <v/>
      </c>
      <c r="BZ1338" s="83" t="str">
        <f t="shared" si="249"/>
        <v/>
      </c>
      <c r="CA1338" s="83" t="str">
        <f t="shared" si="250"/>
        <v/>
      </c>
      <c r="CB1338" s="530" t="str">
        <f t="shared" si="251"/>
        <v/>
      </c>
    </row>
    <row r="1339" spans="76:80" ht="13.2" customHeight="1">
      <c r="BX1339" s="25" t="str">
        <f>IF(Pays="Norsca","Ville de Rnnsylk","")</f>
        <v/>
      </c>
      <c r="BY1339" t="str">
        <f t="shared" si="252"/>
        <v/>
      </c>
      <c r="BZ1339" s="83" t="str">
        <f t="shared" si="249"/>
        <v/>
      </c>
      <c r="CA1339" s="83" t="str">
        <f t="shared" si="250"/>
        <v/>
      </c>
      <c r="CB1339" s="530" t="str">
        <f t="shared" si="251"/>
        <v/>
      </c>
    </row>
    <row r="1340" spans="76:80" ht="13.2" customHeight="1">
      <c r="BX1340" s="25" t="str">
        <f>IF(Pays="Norsca","Ville de Frost","")</f>
        <v/>
      </c>
      <c r="BY1340" t="str">
        <f t="shared" si="252"/>
        <v/>
      </c>
      <c r="BZ1340" s="83" t="str">
        <f t="shared" si="249"/>
        <v/>
      </c>
      <c r="CA1340" s="83" t="str">
        <f t="shared" si="250"/>
        <v/>
      </c>
      <c r="CB1340" s="530" t="str">
        <f t="shared" si="251"/>
        <v/>
      </c>
    </row>
    <row r="1341" spans="76:80" ht="13.2" customHeight="1">
      <c r="BX1341" s="25" t="str">
        <f>IF(Pays="Norsca","Ville de Heimsetter","")</f>
        <v/>
      </c>
      <c r="BY1341" t="str">
        <f t="shared" si="252"/>
        <v/>
      </c>
      <c r="BZ1341" s="83" t="str">
        <f t="shared" si="249"/>
        <v/>
      </c>
      <c r="CA1341" s="83" t="str">
        <f t="shared" si="250"/>
        <v/>
      </c>
      <c r="CB1341" s="530" t="str">
        <f t="shared" si="251"/>
        <v/>
      </c>
    </row>
    <row r="1342" spans="76:80" ht="13.2" customHeight="1">
      <c r="BX1342" s="25" t="str">
        <f>IF(Pays="Norsca","Ville de Stavgard","")</f>
        <v/>
      </c>
      <c r="BY1342" t="str">
        <f t="shared" si="252"/>
        <v/>
      </c>
      <c r="BZ1342" s="83" t="str">
        <f t="shared" si="249"/>
        <v/>
      </c>
      <c r="CA1342" s="83" t="str">
        <f t="shared" si="250"/>
        <v/>
      </c>
      <c r="CB1342" s="530" t="str">
        <f t="shared" si="251"/>
        <v/>
      </c>
    </row>
    <row r="1343" spans="76:80" ht="13.2" customHeight="1">
      <c r="BX1343" s="25" t="str">
        <f>IF(Pays="Norsca","Ville de Kaupang","")</f>
        <v/>
      </c>
      <c r="BY1343" t="str">
        <f t="shared" si="252"/>
        <v/>
      </c>
      <c r="BZ1343" s="83" t="str">
        <f t="shared" si="249"/>
        <v/>
      </c>
      <c r="CA1343" s="83" t="str">
        <f t="shared" si="250"/>
        <v/>
      </c>
      <c r="CB1343" s="530" t="str">
        <f t="shared" si="251"/>
        <v/>
      </c>
    </row>
    <row r="1344" spans="76:80" ht="13.2" customHeight="1">
      <c r="BX1344" s="25" t="str">
        <f>IF(Pays="Norsca","Ville d'Aarvik","")</f>
        <v/>
      </c>
      <c r="BY1344" t="str">
        <f t="shared" si="252"/>
        <v/>
      </c>
      <c r="BZ1344" s="83" t="str">
        <f t="shared" si="249"/>
        <v/>
      </c>
      <c r="CA1344" s="83" t="str">
        <f t="shared" si="250"/>
        <v/>
      </c>
      <c r="CB1344" s="530" t="str">
        <f t="shared" si="251"/>
        <v/>
      </c>
    </row>
    <row r="1345" spans="76:80" ht="13.2" customHeight="1">
      <c r="BX1345" s="25" t="str">
        <f>IF(Pays="Norsca","Ville de Birka","")</f>
        <v/>
      </c>
      <c r="BY1345" t="str">
        <f t="shared" si="252"/>
        <v/>
      </c>
      <c r="BZ1345" s="83" t="str">
        <f t="shared" si="249"/>
        <v/>
      </c>
      <c r="CA1345" s="83" t="str">
        <f t="shared" si="250"/>
        <v/>
      </c>
      <c r="CB1345" s="530" t="str">
        <f t="shared" si="251"/>
        <v/>
      </c>
    </row>
    <row r="1346" spans="76:80" ht="13.2" customHeight="1">
      <c r="BX1346" s="25" t="str">
        <f>IF(Pays="Norsca","Capitale d'Olricstaad","")</f>
        <v/>
      </c>
      <c r="BY1346" t="str">
        <f t="shared" si="252"/>
        <v/>
      </c>
      <c r="BZ1346" s="83" t="str">
        <f t="shared" ref="BZ1346:BZ1409" si="253">IFERROR(SMALL(BY:BY,ROW()-1),"")</f>
        <v/>
      </c>
      <c r="CA1346" s="83" t="str">
        <f t="shared" ref="CA1346:CA1409" si="254">IFERROR(INDEX(BX:BX,BZ1346),"")</f>
        <v/>
      </c>
      <c r="CB1346" s="530" t="str">
        <f t="shared" ref="CB1346:CB1409" si="255">INDEX(CA:CA,ROW())</f>
        <v/>
      </c>
    </row>
    <row r="1347" spans="76:80" ht="13.2" customHeight="1">
      <c r="BX1347" s="25" t="str">
        <f>IF(Pays="Norsca","Ville de Stormstad","")</f>
        <v/>
      </c>
      <c r="BY1347" t="str">
        <f t="shared" ref="BY1347:BY1410" si="256">IF(BX1347="","",ROW())</f>
        <v/>
      </c>
      <c r="BZ1347" s="83" t="str">
        <f t="shared" si="253"/>
        <v/>
      </c>
      <c r="CA1347" s="83" t="str">
        <f t="shared" si="254"/>
        <v/>
      </c>
      <c r="CB1347" s="530" t="str">
        <f t="shared" si="255"/>
        <v/>
      </c>
    </row>
    <row r="1348" spans="76:80" ht="13.2" customHeight="1">
      <c r="BX1348" s="25" t="str">
        <f>IF(Pays="Norsca","Ville de Suderholm","")</f>
        <v/>
      </c>
      <c r="BY1348" t="str">
        <f t="shared" si="256"/>
        <v/>
      </c>
      <c r="BZ1348" s="83" t="str">
        <f t="shared" si="253"/>
        <v/>
      </c>
      <c r="CA1348" s="83" t="str">
        <f t="shared" si="254"/>
        <v/>
      </c>
      <c r="CB1348" s="530" t="str">
        <f t="shared" si="255"/>
        <v/>
      </c>
    </row>
    <row r="1349" spans="76:80" ht="13.2" customHeight="1">
      <c r="BX1349" s="25" t="str">
        <f>IF(Pays="Norsca","Ville de Thorshafn","")</f>
        <v/>
      </c>
      <c r="BY1349" t="str">
        <f t="shared" si="256"/>
        <v/>
      </c>
      <c r="BZ1349" s="83" t="str">
        <f t="shared" si="253"/>
        <v/>
      </c>
      <c r="CA1349" s="83" t="str">
        <f t="shared" si="254"/>
        <v/>
      </c>
      <c r="CB1349" s="530" t="str">
        <f t="shared" si="255"/>
        <v/>
      </c>
    </row>
    <row r="1350" spans="76:80" ht="13.2" customHeight="1">
      <c r="BX1350" s="25" t="str">
        <f>IF(Pays="Norsca","Ville de Gotland","")</f>
        <v/>
      </c>
      <c r="BY1350" t="str">
        <f t="shared" si="256"/>
        <v/>
      </c>
      <c r="BZ1350" s="83" t="str">
        <f t="shared" si="253"/>
        <v/>
      </c>
      <c r="CA1350" s="83" t="str">
        <f t="shared" si="254"/>
        <v/>
      </c>
      <c r="CB1350" s="530" t="str">
        <f t="shared" si="255"/>
        <v/>
      </c>
    </row>
    <row r="1351" spans="76:80" ht="13.2" customHeight="1">
      <c r="BX1351" s="25" t="str">
        <f>IF(Pays="Norsca","Ville de Lade","")</f>
        <v/>
      </c>
      <c r="BY1351" t="str">
        <f t="shared" si="256"/>
        <v/>
      </c>
      <c r="BZ1351" s="83" t="str">
        <f t="shared" si="253"/>
        <v/>
      </c>
      <c r="CA1351" s="83" t="str">
        <f t="shared" si="254"/>
        <v/>
      </c>
      <c r="CB1351" s="530" t="str">
        <f t="shared" si="255"/>
        <v/>
      </c>
    </row>
    <row r="1352" spans="76:80" ht="13.2" customHeight="1">
      <c r="BX1352" s="25" t="str">
        <f>IF(Pays="Norsca","Ville de Bjarkoy","")</f>
        <v/>
      </c>
      <c r="BY1352" t="str">
        <f t="shared" si="256"/>
        <v/>
      </c>
      <c r="BZ1352" s="83" t="str">
        <f t="shared" si="253"/>
        <v/>
      </c>
      <c r="CA1352" s="83" t="str">
        <f t="shared" si="254"/>
        <v/>
      </c>
      <c r="CB1352" s="530" t="str">
        <f t="shared" si="255"/>
        <v/>
      </c>
    </row>
    <row r="1353" spans="76:80" ht="13.2" customHeight="1">
      <c r="BX1353" s="25" t="str">
        <f>IF(Pays="Norsca","Soerligslette (plaine du sud)","")</f>
        <v/>
      </c>
      <c r="BY1353" t="str">
        <f t="shared" si="256"/>
        <v/>
      </c>
      <c r="BZ1353" s="83" t="str">
        <f t="shared" si="253"/>
        <v/>
      </c>
      <c r="CA1353" s="83" t="str">
        <f t="shared" si="254"/>
        <v/>
      </c>
      <c r="CB1353" s="530" t="str">
        <f t="shared" si="255"/>
        <v/>
      </c>
    </row>
    <row r="1354" spans="76:80" ht="13.2" customHeight="1">
      <c r="BX1354" s="25" t="str">
        <f>IF(Pays="Norsca","Taaketskog (forêt brumeuse)","")</f>
        <v/>
      </c>
      <c r="BY1354" t="str">
        <f t="shared" si="256"/>
        <v/>
      </c>
      <c r="BZ1354" s="83" t="str">
        <f t="shared" si="253"/>
        <v/>
      </c>
      <c r="CA1354" s="83" t="str">
        <f t="shared" si="254"/>
        <v/>
      </c>
      <c r="CB1354" s="530" t="str">
        <f t="shared" si="255"/>
        <v/>
      </c>
    </row>
    <row r="1355" spans="76:80" ht="13.2" customHeight="1">
      <c r="BX1355" s="25" t="str">
        <f>IF(Province="Forteresse naine de la Norsca","Kraka-Dark (Gardien du Dragon)","")</f>
        <v/>
      </c>
      <c r="BY1355" t="str">
        <f t="shared" si="256"/>
        <v/>
      </c>
      <c r="BZ1355" s="83" t="str">
        <f t="shared" si="253"/>
        <v/>
      </c>
      <c r="CA1355" s="83" t="str">
        <f t="shared" si="254"/>
        <v/>
      </c>
      <c r="CB1355" s="530" t="str">
        <f t="shared" si="255"/>
        <v/>
      </c>
    </row>
    <row r="1356" spans="76:80" ht="13.2" customHeight="1">
      <c r="BX1356" s="25" t="str">
        <f>IF(Province="Forteresse naine de la Norsca","Karak-Mingol (La Tour Eternelle) ","")</f>
        <v/>
      </c>
      <c r="BY1356" t="str">
        <f t="shared" si="256"/>
        <v/>
      </c>
      <c r="BZ1356" s="83" t="str">
        <f t="shared" si="253"/>
        <v/>
      </c>
      <c r="CA1356" s="83" t="str">
        <f t="shared" si="254"/>
        <v/>
      </c>
      <c r="CB1356" s="530" t="str">
        <f t="shared" si="255"/>
        <v/>
      </c>
    </row>
    <row r="1357" spans="76:80" ht="13.2" customHeight="1">
      <c r="BX1357" s="25" t="str">
        <f>IF(Province="Forteresse naine de la Norsca","Kazad-Azkahr (Grande Ville Fortifiée)","")</f>
        <v/>
      </c>
      <c r="BY1357" t="str">
        <f t="shared" si="256"/>
        <v/>
      </c>
      <c r="BZ1357" s="83" t="str">
        <f t="shared" si="253"/>
        <v/>
      </c>
      <c r="CA1357" s="83" t="str">
        <f t="shared" si="254"/>
        <v/>
      </c>
      <c r="CB1357" s="530" t="str">
        <f t="shared" si="255"/>
        <v/>
      </c>
    </row>
    <row r="1358" spans="76:80" ht="13.2" customHeight="1">
      <c r="BX1358" s="25" t="str">
        <f>IF(AND(SelectRace="Elfe",Pays="Norsca"),"Ruines du comptoir elfique de Norsca","")</f>
        <v/>
      </c>
      <c r="BY1358" t="str">
        <f t="shared" si="256"/>
        <v/>
      </c>
      <c r="BZ1358" s="83" t="str">
        <f t="shared" si="253"/>
        <v/>
      </c>
      <c r="CA1358" s="83" t="str">
        <f t="shared" si="254"/>
        <v/>
      </c>
      <c r="CB1358" s="530" t="str">
        <f t="shared" si="255"/>
        <v/>
      </c>
    </row>
    <row r="1359" spans="76:80" ht="13.2" customHeight="1">
      <c r="BX1359" s="25" t="str">
        <f>IF(SelectRace="Nain","Citadelle de Skalf","")</f>
        <v/>
      </c>
      <c r="BY1359" t="str">
        <f t="shared" si="256"/>
        <v/>
      </c>
      <c r="BZ1359" s="83" t="str">
        <f t="shared" si="253"/>
        <v/>
      </c>
      <c r="CA1359" s="83" t="str">
        <f t="shared" si="254"/>
        <v/>
      </c>
      <c r="CB1359" s="530" t="str">
        <f t="shared" si="255"/>
        <v/>
      </c>
    </row>
    <row r="1360" spans="76:80" ht="13.2" customHeight="1">
      <c r="BX1360" s="25" t="str">
        <f>IF(SelectRace="Nain","Citadelle de Skalf","")</f>
        <v/>
      </c>
      <c r="BY1360" t="str">
        <f t="shared" si="256"/>
        <v/>
      </c>
      <c r="BZ1360" s="83" t="str">
        <f t="shared" si="253"/>
        <v/>
      </c>
      <c r="CA1360" s="83" t="str">
        <f t="shared" si="254"/>
        <v/>
      </c>
      <c r="CB1360" s="530" t="str">
        <f t="shared" si="255"/>
        <v/>
      </c>
    </row>
    <row r="1361" spans="76:80" ht="13.2" customHeight="1">
      <c r="BX1361" s="25" t="str">
        <f>IF(SelectRace="Skaven","Marais putride","")</f>
        <v/>
      </c>
      <c r="BY1361" t="str">
        <f t="shared" si="256"/>
        <v/>
      </c>
      <c r="BZ1361" s="83" t="str">
        <f t="shared" si="253"/>
        <v/>
      </c>
      <c r="CA1361" s="83" t="str">
        <f t="shared" si="254"/>
        <v/>
      </c>
      <c r="CB1361" s="530" t="str">
        <f t="shared" si="255"/>
        <v/>
      </c>
    </row>
    <row r="1362" spans="76:80" ht="13.2" customHeight="1">
      <c r="BX1362" s="25" t="str">
        <f>IF(Province="Terres arides","Collines des Rochers Grinçants","")</f>
        <v/>
      </c>
      <c r="BY1362" t="str">
        <f t="shared" si="256"/>
        <v/>
      </c>
      <c r="BZ1362" s="83" t="str">
        <f t="shared" si="253"/>
        <v/>
      </c>
      <c r="CA1362" s="83" t="str">
        <f t="shared" si="254"/>
        <v/>
      </c>
      <c r="CB1362" s="530" t="str">
        <f t="shared" si="255"/>
        <v/>
      </c>
    </row>
    <row r="1363" spans="76:80" ht="13.2" customHeight="1">
      <c r="BX1363" s="25" t="str">
        <f>IF(Province="Terres arides","Marais de la Folie","")</f>
        <v/>
      </c>
      <c r="BY1363" t="str">
        <f t="shared" si="256"/>
        <v/>
      </c>
      <c r="BZ1363" s="83" t="str">
        <f t="shared" si="253"/>
        <v/>
      </c>
      <c r="CA1363" s="83" t="str">
        <f t="shared" si="254"/>
        <v/>
      </c>
      <c r="CB1363" s="530" t="str">
        <f t="shared" si="255"/>
        <v/>
      </c>
    </row>
    <row r="1364" spans="76:80" ht="13.2" customHeight="1">
      <c r="BX1364" s="25" t="str">
        <f>IF(Province="Terres arides","Ruines de la colonie naine du Rocher de Fer ","")</f>
        <v/>
      </c>
      <c r="BY1364" t="str">
        <f t="shared" si="256"/>
        <v/>
      </c>
      <c r="BZ1364" s="83" t="str">
        <f t="shared" si="253"/>
        <v/>
      </c>
      <c r="CA1364" s="83" t="str">
        <f t="shared" si="254"/>
        <v/>
      </c>
      <c r="CB1364" s="530" t="str">
        <f t="shared" si="255"/>
        <v/>
      </c>
    </row>
    <row r="1365" spans="76:80" ht="13.2" customHeight="1">
      <c r="BX1365" s="25" t="str">
        <f>IF(Province="Terres arides","Grottes de Gorg’eud’la Mort","")</f>
        <v/>
      </c>
      <c r="BY1365" t="str">
        <f t="shared" si="256"/>
        <v/>
      </c>
      <c r="BZ1365" s="83" t="str">
        <f t="shared" si="253"/>
        <v/>
      </c>
      <c r="CA1365" s="83" t="str">
        <f t="shared" si="254"/>
        <v/>
      </c>
      <c r="CB1365" s="530" t="str">
        <f t="shared" si="255"/>
        <v/>
      </c>
    </row>
    <row r="1366" spans="76:80" ht="13.2" customHeight="1">
      <c r="BX1366" s="25" t="str">
        <f>IF(Province="Terres arides","Monts du Dos du Dragon","")</f>
        <v/>
      </c>
      <c r="BY1366" t="str">
        <f t="shared" si="256"/>
        <v/>
      </c>
      <c r="BZ1366" s="83" t="str">
        <f t="shared" si="253"/>
        <v/>
      </c>
      <c r="CA1366" s="83" t="str">
        <f t="shared" si="254"/>
        <v/>
      </c>
      <c r="CB1366" s="530" t="str">
        <f t="shared" si="255"/>
        <v/>
      </c>
    </row>
    <row r="1367" spans="76:80" ht="13.2" customHeight="1">
      <c r="BX1367" s="25" t="str">
        <f>IF(Province="Terres arides","Ruines de la colonie naine d’Ekrund ","")</f>
        <v/>
      </c>
      <c r="BY1367" t="str">
        <f t="shared" si="256"/>
        <v/>
      </c>
      <c r="BZ1367" s="83" t="str">
        <f t="shared" si="253"/>
        <v/>
      </c>
      <c r="CA1367" s="83" t="str">
        <f t="shared" si="254"/>
        <v/>
      </c>
      <c r="CB1367" s="530" t="str">
        <f t="shared" si="255"/>
        <v/>
      </c>
    </row>
    <row r="1368" spans="76:80" ht="13.2" customHeight="1">
      <c r="BX1368" s="25" t="str">
        <f>IF(Province="Terres arides","Terres de Jeu des Géants","")</f>
        <v/>
      </c>
      <c r="BY1368" t="str">
        <f t="shared" si="256"/>
        <v/>
      </c>
      <c r="BZ1368" s="83" t="str">
        <f t="shared" si="253"/>
        <v/>
      </c>
      <c r="CA1368" s="83" t="str">
        <f t="shared" si="254"/>
        <v/>
      </c>
      <c r="CB1368" s="530" t="str">
        <f t="shared" si="255"/>
        <v/>
      </c>
    </row>
    <row r="1369" spans="76:80" ht="13.2" customHeight="1">
      <c r="BX1369" s="25" t="str">
        <f>IF(Province="Terres arides","Ruines du Crochet du Serpent","")</f>
        <v/>
      </c>
      <c r="BY1369" t="str">
        <f t="shared" si="256"/>
        <v/>
      </c>
      <c r="BZ1369" s="83" t="str">
        <f t="shared" si="253"/>
        <v/>
      </c>
      <c r="CA1369" s="83" t="str">
        <f t="shared" si="254"/>
        <v/>
      </c>
      <c r="CB1369" s="530" t="str">
        <f t="shared" si="255"/>
        <v/>
      </c>
    </row>
    <row r="1370" spans="76:80" ht="13.2" customHeight="1">
      <c r="BX1370" s="25" t="str">
        <f>IF(Province="Terres arides","Ruines de la ville de Morgheim","")</f>
        <v/>
      </c>
      <c r="BY1370" t="str">
        <f t="shared" si="256"/>
        <v/>
      </c>
      <c r="BZ1370" s="83" t="str">
        <f t="shared" si="253"/>
        <v/>
      </c>
      <c r="CA1370" s="83" t="str">
        <f t="shared" si="254"/>
        <v/>
      </c>
      <c r="CB1370" s="530" t="str">
        <f t="shared" si="255"/>
        <v/>
      </c>
    </row>
    <row r="1371" spans="76:80" ht="13.2" customHeight="1">
      <c r="BX1371" s="25" t="str">
        <f>IF(Province="Grands-duchés de Middenheim et du Middenland","Forteresse de Bergerhoff.","")</f>
        <v/>
      </c>
      <c r="BY1371" t="str">
        <f t="shared" si="256"/>
        <v/>
      </c>
      <c r="BZ1371" s="83" t="str">
        <f t="shared" si="253"/>
        <v/>
      </c>
      <c r="CA1371" s="83" t="str">
        <f t="shared" si="254"/>
        <v/>
      </c>
      <c r="CB1371" s="530" t="str">
        <f t="shared" si="255"/>
        <v/>
      </c>
    </row>
    <row r="1372" spans="76:80" ht="13.2" customHeight="1">
      <c r="BX1372" s="25" t="str">
        <f>IF(Province="Grands-duchés de Middenheim et du Middenland","Bourg de Hoshberg","")</f>
        <v/>
      </c>
      <c r="BY1372" t="str">
        <f t="shared" si="256"/>
        <v/>
      </c>
      <c r="BZ1372" s="83" t="str">
        <f t="shared" si="253"/>
        <v/>
      </c>
      <c r="CA1372" s="83" t="str">
        <f t="shared" si="254"/>
        <v/>
      </c>
      <c r="CB1372" s="530" t="str">
        <f t="shared" si="255"/>
        <v/>
      </c>
    </row>
    <row r="1373" spans="76:80" ht="13.2" customHeight="1">
      <c r="BX1373" s="25" t="str">
        <f>IF(Province="Grands-duchés de Middenheim et du Middenland","Village de Kietchdorf","")</f>
        <v/>
      </c>
      <c r="BY1373" t="str">
        <f t="shared" si="256"/>
        <v/>
      </c>
      <c r="BZ1373" s="83" t="str">
        <f t="shared" si="253"/>
        <v/>
      </c>
      <c r="CA1373" s="83" t="str">
        <f t="shared" si="254"/>
        <v/>
      </c>
      <c r="CB1373" s="530" t="str">
        <f t="shared" si="255"/>
        <v/>
      </c>
    </row>
    <row r="1374" spans="76:80" ht="13.2" customHeight="1">
      <c r="BX1374" s="25" t="str">
        <f>IF(Province="Grands-duchés de Middenheim et du Middenland","Ville de Ruhrhoff","")</f>
        <v/>
      </c>
      <c r="BY1374" t="str">
        <f t="shared" si="256"/>
        <v/>
      </c>
      <c r="BZ1374" s="83" t="str">
        <f t="shared" si="253"/>
        <v/>
      </c>
      <c r="CA1374" s="83" t="str">
        <f t="shared" si="254"/>
        <v/>
      </c>
      <c r="CB1374" s="530" t="str">
        <f t="shared" si="255"/>
        <v/>
      </c>
    </row>
    <row r="1375" spans="76:80" ht="13.2" customHeight="1">
      <c r="BX1375" s="25" t="str">
        <f>IF(Province="Grands-duchés de Middenheim et du Middenland","Village perdu dans la Drakwald","")</f>
        <v/>
      </c>
      <c r="BY1375" t="str">
        <f t="shared" si="256"/>
        <v/>
      </c>
      <c r="BZ1375" s="83" t="str">
        <f t="shared" si="253"/>
        <v/>
      </c>
      <c r="CA1375" s="83" t="str">
        <f t="shared" si="254"/>
        <v/>
      </c>
      <c r="CB1375" s="530" t="str">
        <f t="shared" si="255"/>
        <v/>
      </c>
    </row>
    <row r="1376" spans="76:80" ht="13.2" customHeight="1">
      <c r="BX1376" s="83" t="str">
        <f>IF(Province="Royaumes des Montagnes Irrana","Bourg d'Organza","")</f>
        <v/>
      </c>
      <c r="BY1376" t="str">
        <f t="shared" si="256"/>
        <v/>
      </c>
      <c r="BZ1376" s="83" t="str">
        <f t="shared" si="253"/>
        <v/>
      </c>
      <c r="CA1376" s="83" t="str">
        <f t="shared" si="254"/>
        <v/>
      </c>
      <c r="CB1376" s="530" t="str">
        <f t="shared" si="255"/>
        <v/>
      </c>
    </row>
    <row r="1377" spans="76:80" ht="13.2" customHeight="1">
      <c r="BX1377" s="83" t="str">
        <f>IF(SelectRace="Nain","Kazad Frankund (Montagnes Appucini)","")</f>
        <v/>
      </c>
      <c r="BY1377" t="str">
        <f t="shared" si="256"/>
        <v/>
      </c>
      <c r="BZ1377" s="83" t="str">
        <f t="shared" si="253"/>
        <v/>
      </c>
      <c r="CA1377" s="83" t="str">
        <f t="shared" si="254"/>
        <v/>
      </c>
      <c r="CB1377" s="530" t="str">
        <f t="shared" si="255"/>
        <v/>
      </c>
    </row>
    <row r="1378" spans="76:80" ht="13.2" customHeight="1">
      <c r="BX1378" s="83" t="str">
        <f>IF(SelectRace="Nain","Karak Eks­filaz (Montagnes Appucini)","")</f>
        <v/>
      </c>
      <c r="BY1378" t="str">
        <f t="shared" si="256"/>
        <v/>
      </c>
      <c r="BZ1378" s="83" t="str">
        <f t="shared" si="253"/>
        <v/>
      </c>
      <c r="CA1378" s="83" t="str">
        <f t="shared" si="254"/>
        <v/>
      </c>
      <c r="CB1378" s="530" t="str">
        <f t="shared" si="255"/>
        <v/>
      </c>
    </row>
    <row r="1379" spans="76:80" ht="13.2" customHeight="1">
      <c r="BX1379" s="83" t="str">
        <f>IF(SelectRace="Nain","Mine de Grung Mizpal (Montagnes Appucini)","")</f>
        <v/>
      </c>
      <c r="BY1379" t="str">
        <f t="shared" si="256"/>
        <v/>
      </c>
      <c r="BZ1379" s="83" t="str">
        <f t="shared" si="253"/>
        <v/>
      </c>
      <c r="CA1379" s="83" t="str">
        <f t="shared" si="254"/>
        <v/>
      </c>
      <c r="CB1379" s="530" t="str">
        <f t="shared" si="255"/>
        <v/>
      </c>
    </row>
    <row r="1380" spans="76:80" ht="13.2" customHeight="1">
      <c r="BX1380" s="83" t="str">
        <f>IF(SelectRace="Nain","Karak Seda­zund (Montagnes Appucini)","")</f>
        <v/>
      </c>
      <c r="BY1380" t="str">
        <f t="shared" si="256"/>
        <v/>
      </c>
      <c r="BZ1380" s="83" t="str">
        <f t="shared" si="253"/>
        <v/>
      </c>
      <c r="CA1380" s="83" t="str">
        <f t="shared" si="254"/>
        <v/>
      </c>
      <c r="CB1380" s="530" t="str">
        <f t="shared" si="255"/>
        <v/>
      </c>
    </row>
    <row r="1381" spans="76:80" ht="13.2" customHeight="1">
      <c r="BX1381" s="83" t="str">
        <f>IF(SelectRace="Nain","Khazid Urbaz (Montagnes Appucini)","")</f>
        <v/>
      </c>
      <c r="BY1381" t="str">
        <f t="shared" si="256"/>
        <v/>
      </c>
      <c r="BZ1381" s="83" t="str">
        <f t="shared" si="253"/>
        <v/>
      </c>
      <c r="CA1381" s="83" t="str">
        <f t="shared" si="254"/>
        <v/>
      </c>
      <c r="CB1381" s="530" t="str">
        <f t="shared" si="255"/>
        <v/>
      </c>
    </row>
    <row r="1382" spans="76:80" ht="13.2" customHeight="1">
      <c r="BX1382" s="83" t="str">
        <f>IF(SelectRace="Nain","Kazad Kaferkammaz (Montagnes Appucini)","")</f>
        <v/>
      </c>
      <c r="BY1382" t="str">
        <f t="shared" si="256"/>
        <v/>
      </c>
      <c r="BZ1382" s="83" t="str">
        <f t="shared" si="253"/>
        <v/>
      </c>
      <c r="CA1382" s="83" t="str">
        <f t="shared" si="254"/>
        <v/>
      </c>
      <c r="CB1382" s="530" t="str">
        <f t="shared" si="255"/>
        <v/>
      </c>
    </row>
    <row r="1383" spans="76:80" ht="13.2" customHeight="1">
      <c r="BX1383" t="str">
        <f>IF(Province="Principauté de Miragliano","Cité-état de Toscania","")</f>
        <v/>
      </c>
      <c r="BY1383" t="str">
        <f t="shared" si="256"/>
        <v/>
      </c>
      <c r="BZ1383" s="83" t="str">
        <f t="shared" si="253"/>
        <v/>
      </c>
      <c r="CA1383" s="83" t="str">
        <f t="shared" si="254"/>
        <v/>
      </c>
      <c r="CB1383" s="530" t="str">
        <f t="shared" si="255"/>
        <v/>
      </c>
    </row>
    <row r="1384" spans="76:80" ht="13.2" customHeight="1">
      <c r="BX1384" s="83" t="str">
        <f>IF(Province="Principauté d'Aquilas","Bourg portuaire de Porto Sarba","")</f>
        <v/>
      </c>
      <c r="BY1384" t="str">
        <f t="shared" si="256"/>
        <v/>
      </c>
      <c r="BZ1384" s="83" t="str">
        <f t="shared" si="253"/>
        <v/>
      </c>
      <c r="CA1384" s="83" t="str">
        <f t="shared" si="254"/>
        <v/>
      </c>
      <c r="CB1384" s="530" t="str">
        <f t="shared" si="255"/>
        <v/>
      </c>
    </row>
    <row r="1385" spans="76:80" ht="13.2" customHeight="1">
      <c r="BX1385" s="83" t="str">
        <f>IF(Province="Principauté de Tobaro","Bourg portuaire d'Espejo","")</f>
        <v/>
      </c>
      <c r="BY1385" t="str">
        <f t="shared" si="256"/>
        <v/>
      </c>
      <c r="BZ1385" s="83" t="str">
        <f t="shared" si="253"/>
        <v/>
      </c>
      <c r="CA1385" s="83" t="str">
        <f t="shared" si="254"/>
        <v/>
      </c>
      <c r="CB1385" s="530" t="str">
        <f t="shared" si="255"/>
        <v/>
      </c>
    </row>
    <row r="1386" spans="76:80" ht="13.2" customHeight="1">
      <c r="BX1386" s="83" t="str">
        <f>IF(Province="Principauté d'Aquilas","Fort de Cera-Scuro","")</f>
        <v/>
      </c>
      <c r="BY1386" t="str">
        <f t="shared" si="256"/>
        <v/>
      </c>
      <c r="BZ1386" s="83" t="str">
        <f t="shared" si="253"/>
        <v/>
      </c>
      <c r="CA1386" s="83" t="str">
        <f t="shared" si="254"/>
        <v/>
      </c>
      <c r="CB1386" s="530" t="str">
        <f t="shared" si="255"/>
        <v/>
      </c>
    </row>
    <row r="1387" spans="76:80" ht="13.2" customHeight="1">
      <c r="BX1387" s="83" t="str">
        <f>IF(Province="Principauté d'Aquilas","Ville de Bacino Reale","")</f>
        <v/>
      </c>
      <c r="BY1387" t="str">
        <f t="shared" si="256"/>
        <v/>
      </c>
      <c r="BZ1387" s="83" t="str">
        <f t="shared" si="253"/>
        <v/>
      </c>
      <c r="CA1387" s="83" t="str">
        <f t="shared" si="254"/>
        <v/>
      </c>
      <c r="CB1387" s="530" t="str">
        <f t="shared" si="255"/>
        <v/>
      </c>
    </row>
    <row r="1388" spans="76:80" ht="13.2" customHeight="1">
      <c r="BX1388" s="83" t="str">
        <f>IF(Province="Royaumes des Montagnes Irrana","Ville d'Udolpho","")</f>
        <v/>
      </c>
      <c r="BY1388" t="str">
        <f t="shared" si="256"/>
        <v/>
      </c>
      <c r="BZ1388" s="83" t="str">
        <f t="shared" si="253"/>
        <v/>
      </c>
      <c r="CA1388" s="83" t="str">
        <f t="shared" si="254"/>
        <v/>
      </c>
      <c r="CB1388" s="530" t="str">
        <f t="shared" si="255"/>
        <v/>
      </c>
    </row>
    <row r="1389" spans="76:80" ht="13.2" customHeight="1">
      <c r="BX1389" s="83" t="str">
        <f>IF(Province="Principauté de Miragliano","Ville d'Ebino","")</f>
        <v/>
      </c>
      <c r="BY1389" t="str">
        <f t="shared" si="256"/>
        <v/>
      </c>
      <c r="BZ1389" s="83" t="str">
        <f t="shared" si="253"/>
        <v/>
      </c>
      <c r="CA1389" s="83" t="str">
        <f t="shared" si="254"/>
        <v/>
      </c>
      <c r="CB1389" s="530" t="str">
        <f t="shared" si="255"/>
        <v/>
      </c>
    </row>
    <row r="1390" spans="76:80" ht="13.2" customHeight="1">
      <c r="BX1390" s="83" t="str">
        <f>IF(Province="Principauté de Miragliano","Bourg de Ravola","")</f>
        <v/>
      </c>
      <c r="BY1390" t="str">
        <f t="shared" si="256"/>
        <v/>
      </c>
      <c r="BZ1390" s="83" t="str">
        <f t="shared" si="253"/>
        <v/>
      </c>
      <c r="CA1390" s="83" t="str">
        <f t="shared" si="254"/>
        <v/>
      </c>
      <c r="CB1390" s="530" t="str">
        <f t="shared" si="255"/>
        <v/>
      </c>
    </row>
    <row r="1391" spans="76:80" ht="13.2" customHeight="1">
      <c r="BX1391" s="83" t="str">
        <f>IF(Province="Principauté de Miragliano","Ville de Campogrotta","")</f>
        <v/>
      </c>
      <c r="BY1391" t="str">
        <f t="shared" si="256"/>
        <v/>
      </c>
      <c r="BZ1391" s="83" t="str">
        <f t="shared" si="253"/>
        <v/>
      </c>
      <c r="CA1391" s="83" t="str">
        <f t="shared" si="254"/>
        <v/>
      </c>
      <c r="CB1391" s="530" t="str">
        <f t="shared" si="255"/>
        <v/>
      </c>
    </row>
    <row r="1392" spans="76:80" ht="13.2" customHeight="1">
      <c r="BX1392" s="83" t="str">
        <f>IF(Province="Royaumes des Montagnes Irrana","Bourg de Raganos","")</f>
        <v/>
      </c>
      <c r="BY1392" t="str">
        <f t="shared" si="256"/>
        <v/>
      </c>
      <c r="BZ1392" s="83" t="str">
        <f t="shared" si="253"/>
        <v/>
      </c>
      <c r="CA1392" s="83" t="str">
        <f t="shared" si="254"/>
        <v/>
      </c>
      <c r="CB1392" s="530" t="str">
        <f t="shared" si="255"/>
        <v/>
      </c>
    </row>
    <row r="1393" spans="76:80" ht="13.2" customHeight="1">
      <c r="BX1393" s="83" t="str">
        <f>IF(Province="Royaumes des Montagnes Irrana","Bourg de Durango","")</f>
        <v/>
      </c>
      <c r="BY1393" t="str">
        <f t="shared" si="256"/>
        <v/>
      </c>
      <c r="BZ1393" s="83" t="str">
        <f t="shared" si="253"/>
        <v/>
      </c>
      <c r="CA1393" s="83" t="str">
        <f t="shared" si="254"/>
        <v/>
      </c>
      <c r="CB1393" s="530" t="str">
        <f t="shared" si="255"/>
        <v/>
      </c>
    </row>
    <row r="1394" spans="76:80" ht="13.2" customHeight="1">
      <c r="BX1394" s="83" t="str">
        <f>IF(Province="Royaumes des Montagnes Irrana","Bourg de Guanir","")</f>
        <v/>
      </c>
      <c r="BY1394" t="str">
        <f t="shared" si="256"/>
        <v/>
      </c>
      <c r="BZ1394" s="83" t="str">
        <f t="shared" si="253"/>
        <v/>
      </c>
      <c r="CA1394" s="83" t="str">
        <f t="shared" si="254"/>
        <v/>
      </c>
      <c r="CB1394" s="530" t="str">
        <f t="shared" si="255"/>
        <v/>
      </c>
    </row>
    <row r="1395" spans="76:80" ht="13.2" customHeight="1">
      <c r="BX1395" s="83" t="str">
        <f>IF(Province="Royaumes des Montagnes Irrana","Village d'Alimento","")</f>
        <v/>
      </c>
      <c r="BY1395" t="str">
        <f t="shared" si="256"/>
        <v/>
      </c>
      <c r="BZ1395" s="83" t="str">
        <f t="shared" si="253"/>
        <v/>
      </c>
      <c r="CA1395" s="83" t="str">
        <f t="shared" si="254"/>
        <v/>
      </c>
      <c r="CB1395" s="530" t="str">
        <f t="shared" si="255"/>
        <v/>
      </c>
    </row>
    <row r="1396" spans="76:80" ht="13.2" customHeight="1">
      <c r="BX1396" s="83" t="str">
        <f>IF(Province="Principauté de Pavona","Ville de Stiani","")</f>
        <v/>
      </c>
      <c r="BY1396" t="str">
        <f t="shared" si="256"/>
        <v/>
      </c>
      <c r="BZ1396" s="83" t="str">
        <f t="shared" si="253"/>
        <v/>
      </c>
      <c r="CA1396" s="83" t="str">
        <f t="shared" si="254"/>
        <v/>
      </c>
      <c r="CB1396" s="530" t="str">
        <f t="shared" si="255"/>
        <v/>
      </c>
    </row>
    <row r="1397" spans="76:80" ht="13.2" customHeight="1">
      <c r="BX1397" s="83" t="str">
        <f>IF(Province="Principauté de Pavona","Ville d'Astiano","")</f>
        <v/>
      </c>
      <c r="BY1397" t="str">
        <f t="shared" si="256"/>
        <v/>
      </c>
      <c r="BZ1397" s="83" t="str">
        <f t="shared" si="253"/>
        <v/>
      </c>
      <c r="CA1397" s="83" t="str">
        <f t="shared" si="254"/>
        <v/>
      </c>
      <c r="CB1397" s="530" t="str">
        <f t="shared" si="255"/>
        <v/>
      </c>
    </row>
    <row r="1398" spans="76:80" ht="13.2" customHeight="1">
      <c r="BX1398" s="83" t="str">
        <f>IF(Province="République de Remas","Ville de Catrazza","")</f>
        <v/>
      </c>
      <c r="BY1398" t="str">
        <f t="shared" si="256"/>
        <v/>
      </c>
      <c r="BZ1398" s="83" t="str">
        <f t="shared" si="253"/>
        <v/>
      </c>
      <c r="CA1398" s="83" t="str">
        <f t="shared" si="254"/>
        <v/>
      </c>
      <c r="CB1398" s="530" t="str">
        <f t="shared" si="255"/>
        <v/>
      </c>
    </row>
    <row r="1399" spans="76:80" ht="13.2" customHeight="1">
      <c r="BX1399" s="83" t="str">
        <f>IF(Province="République de Remas","Ville d'Urbino","")</f>
        <v/>
      </c>
      <c r="BY1399" t="str">
        <f t="shared" si="256"/>
        <v/>
      </c>
      <c r="BZ1399" s="83" t="str">
        <f t="shared" si="253"/>
        <v/>
      </c>
      <c r="CA1399" s="83" t="str">
        <f t="shared" si="254"/>
        <v/>
      </c>
      <c r="CB1399" s="530" t="str">
        <f t="shared" si="255"/>
        <v/>
      </c>
    </row>
    <row r="1400" spans="76:80" ht="13.2" customHeight="1">
      <c r="BX1400" s="83" t="str">
        <f>IF(Province="Principauté de Trantio","Bourg de Scorcio","")</f>
        <v/>
      </c>
      <c r="BY1400" t="str">
        <f t="shared" si="256"/>
        <v/>
      </c>
      <c r="BZ1400" s="83" t="str">
        <f t="shared" si="253"/>
        <v/>
      </c>
      <c r="CA1400" s="83" t="str">
        <f t="shared" si="254"/>
        <v/>
      </c>
      <c r="CB1400" s="530" t="str">
        <f t="shared" si="255"/>
        <v/>
      </c>
    </row>
    <row r="1401" spans="76:80" ht="13.2" customHeight="1">
      <c r="BX1401" s="83" t="str">
        <f>IF(Province="Principauté de Trantio","Ville de Varieno","")</f>
        <v/>
      </c>
      <c r="BY1401" t="str">
        <f t="shared" si="256"/>
        <v/>
      </c>
      <c r="BZ1401" s="83" t="str">
        <f t="shared" si="253"/>
        <v/>
      </c>
      <c r="CA1401" s="83" t="str">
        <f t="shared" si="254"/>
        <v/>
      </c>
      <c r="CB1401" s="530" t="str">
        <f t="shared" si="255"/>
        <v/>
      </c>
    </row>
    <row r="1402" spans="76:80" ht="13.2" customHeight="1">
      <c r="BX1402" s="83" t="str">
        <f>IF(Province="République de Remas","Fort de l'île Nonucci","")</f>
        <v/>
      </c>
      <c r="BY1402" t="str">
        <f t="shared" si="256"/>
        <v/>
      </c>
      <c r="BZ1402" s="83" t="str">
        <f t="shared" si="253"/>
        <v/>
      </c>
      <c r="CA1402" s="83" t="str">
        <f t="shared" si="254"/>
        <v/>
      </c>
      <c r="CB1402" s="530" t="str">
        <f t="shared" si="255"/>
        <v/>
      </c>
    </row>
    <row r="1403" spans="76:80" ht="13.2" customHeight="1">
      <c r="BX1403" s="83" t="str">
        <f>IF(Province="République de Remas","Village de Scozzese","")</f>
        <v/>
      </c>
      <c r="BY1403" t="str">
        <f t="shared" si="256"/>
        <v/>
      </c>
      <c r="BZ1403" s="83" t="str">
        <f t="shared" si="253"/>
        <v/>
      </c>
      <c r="CA1403" s="83" t="str">
        <f t="shared" si="254"/>
        <v/>
      </c>
      <c r="CB1403" s="530" t="str">
        <f t="shared" si="255"/>
        <v/>
      </c>
    </row>
    <row r="1404" spans="76:80" ht="13.2" customHeight="1">
      <c r="BX1404" s="83" t="str">
        <f>IF(Province="Principauté de Verezzo","Bourg de Rifraffa ","")</f>
        <v/>
      </c>
      <c r="BY1404" t="str">
        <f t="shared" si="256"/>
        <v/>
      </c>
      <c r="BZ1404" s="83" t="str">
        <f t="shared" si="253"/>
        <v/>
      </c>
      <c r="CA1404" s="83" t="str">
        <f t="shared" si="254"/>
        <v/>
      </c>
      <c r="CB1404" s="530" t="str">
        <f t="shared" si="255"/>
        <v/>
      </c>
    </row>
    <row r="1405" spans="76:80" ht="13.2" customHeight="1">
      <c r="BX1405" s="83" t="str">
        <f>IF(Province="Principauté de Verezzo","Ville de Spomanti ","")</f>
        <v/>
      </c>
      <c r="BY1405" t="str">
        <f t="shared" si="256"/>
        <v/>
      </c>
      <c r="BZ1405" s="83" t="str">
        <f t="shared" si="253"/>
        <v/>
      </c>
      <c r="CA1405" s="83" t="str">
        <f t="shared" si="254"/>
        <v/>
      </c>
      <c r="CB1405" s="530" t="str">
        <f t="shared" si="255"/>
        <v/>
      </c>
    </row>
    <row r="1406" spans="76:80" ht="13.2" customHeight="1">
      <c r="BX1406" s="83" t="str">
        <f>IF(Province="Principauté de Verezzo","Ville de Terenne ","")</f>
        <v/>
      </c>
      <c r="BY1406" t="str">
        <f t="shared" si="256"/>
        <v/>
      </c>
      <c r="BZ1406" s="83" t="str">
        <f t="shared" si="253"/>
        <v/>
      </c>
      <c r="CA1406" s="83" t="str">
        <f t="shared" si="254"/>
        <v/>
      </c>
      <c r="CB1406" s="530" t="str">
        <f t="shared" si="255"/>
        <v/>
      </c>
    </row>
    <row r="1407" spans="76:80" ht="13.2" customHeight="1">
      <c r="BX1407" s="83" t="str">
        <f>IF(Province="Principauté de Verezzo","Ville de Raverno ","")</f>
        <v/>
      </c>
      <c r="BY1407" t="str">
        <f t="shared" si="256"/>
        <v/>
      </c>
      <c r="BZ1407" s="83" t="str">
        <f t="shared" si="253"/>
        <v/>
      </c>
      <c r="CA1407" s="83" t="str">
        <f t="shared" si="254"/>
        <v/>
      </c>
      <c r="CB1407" s="530" t="str">
        <f t="shared" si="255"/>
        <v/>
      </c>
    </row>
    <row r="1408" spans="76:80" ht="13.2" customHeight="1">
      <c r="BX1408" s="83" t="str">
        <f>IF(Province="Principauté de Verezzo","Ville d'Olesi","")</f>
        <v/>
      </c>
      <c r="BY1408" t="str">
        <f t="shared" si="256"/>
        <v/>
      </c>
      <c r="BZ1408" s="83" t="str">
        <f t="shared" si="253"/>
        <v/>
      </c>
      <c r="CA1408" s="83" t="str">
        <f t="shared" si="254"/>
        <v/>
      </c>
      <c r="CB1408" s="530" t="str">
        <f t="shared" si="255"/>
        <v/>
      </c>
    </row>
    <row r="1409" spans="76:80" ht="13.2" customHeight="1">
      <c r="BX1409" s="83" t="str">
        <f>IF(Province="Principauté de Verezzo","Ville de Portomaggiore ","")</f>
        <v/>
      </c>
      <c r="BY1409" t="str">
        <f t="shared" si="256"/>
        <v/>
      </c>
      <c r="BZ1409" s="83" t="str">
        <f t="shared" si="253"/>
        <v/>
      </c>
      <c r="CA1409" s="83" t="str">
        <f t="shared" si="254"/>
        <v/>
      </c>
      <c r="CB1409" s="530" t="str">
        <f t="shared" si="255"/>
        <v/>
      </c>
    </row>
    <row r="1410" spans="76:80" ht="13.2" customHeight="1">
      <c r="BX1410" s="83" t="str">
        <f>IF(Province="Principauté de Luccini","Ville de Minotupa ","")</f>
        <v/>
      </c>
      <c r="BY1410" t="str">
        <f t="shared" si="256"/>
        <v/>
      </c>
      <c r="BZ1410" s="83" t="str">
        <f t="shared" ref="BZ1410:BZ1473" si="257">IFERROR(SMALL(BY:BY,ROW()-1),"")</f>
        <v/>
      </c>
      <c r="CA1410" s="83" t="str">
        <f t="shared" ref="CA1410:CA1473" si="258">IFERROR(INDEX(BX:BX,BZ1410),"")</f>
        <v/>
      </c>
      <c r="CB1410" s="530" t="str">
        <f t="shared" ref="CB1410:CB1473" si="259">INDEX(CA:CA,ROW())</f>
        <v/>
      </c>
    </row>
    <row r="1411" spans="76:80" ht="13.2" customHeight="1">
      <c r="BX1411" s="83" t="str">
        <f>IF(Province="Principauté de Luccini","Ville de Capelli","")</f>
        <v/>
      </c>
      <c r="BY1411" t="str">
        <f t="shared" ref="BY1411:BY1474" si="260">IF(BX1411="","",ROW())</f>
        <v/>
      </c>
      <c r="BZ1411" s="83" t="str">
        <f t="shared" si="257"/>
        <v/>
      </c>
      <c r="CA1411" s="83" t="str">
        <f t="shared" si="258"/>
        <v/>
      </c>
      <c r="CB1411" s="530" t="str">
        <f t="shared" si="259"/>
        <v/>
      </c>
    </row>
    <row r="1412" spans="76:80" ht="13.2" customHeight="1">
      <c r="BX1412" s="83" t="str">
        <f>IF(Province="Principauté de Luccini","Ville de Aldente","")</f>
        <v/>
      </c>
      <c r="BY1412" t="str">
        <f t="shared" si="260"/>
        <v/>
      </c>
      <c r="BZ1412" s="83" t="str">
        <f t="shared" si="257"/>
        <v/>
      </c>
      <c r="CA1412" s="83" t="str">
        <f t="shared" si="258"/>
        <v/>
      </c>
      <c r="CB1412" s="530" t="str">
        <f t="shared" si="259"/>
        <v/>
      </c>
    </row>
    <row r="1413" spans="76:80" ht="13.2" customHeight="1">
      <c r="BX1413" s="83" t="str">
        <f>IF(Province="Principauté de Luccini","Ville de Pavezzano","")</f>
        <v/>
      </c>
      <c r="BY1413" t="str">
        <f t="shared" si="260"/>
        <v/>
      </c>
      <c r="BZ1413" s="83" t="str">
        <f t="shared" si="257"/>
        <v/>
      </c>
      <c r="CA1413" s="83" t="str">
        <f t="shared" si="258"/>
        <v/>
      </c>
      <c r="CB1413" s="530" t="str">
        <f t="shared" si="259"/>
        <v/>
      </c>
    </row>
    <row r="1414" spans="76:80" ht="13.2" customHeight="1">
      <c r="BX1414" s="83" t="str">
        <f>IF(Province="Principauté de Luccini","Fort de Monte Castello","")</f>
        <v/>
      </c>
      <c r="BY1414" t="str">
        <f t="shared" si="260"/>
        <v/>
      </c>
      <c r="BZ1414" s="83" t="str">
        <f t="shared" si="257"/>
        <v/>
      </c>
      <c r="CA1414" s="83" t="str">
        <f t="shared" si="258"/>
        <v/>
      </c>
      <c r="CB1414" s="530" t="str">
        <f t="shared" si="259"/>
        <v/>
      </c>
    </row>
    <row r="1415" spans="76:80" ht="13.2" customHeight="1">
      <c r="BX1415" s="83" t="str">
        <f>IF(Province="Principauté de Luccini","Bourg de Pugno ","")</f>
        <v/>
      </c>
      <c r="BY1415" t="str">
        <f t="shared" si="260"/>
        <v/>
      </c>
      <c r="BZ1415" s="83" t="str">
        <f t="shared" si="257"/>
        <v/>
      </c>
      <c r="CA1415" s="83" t="str">
        <f t="shared" si="258"/>
        <v/>
      </c>
      <c r="CB1415" s="530" t="str">
        <f t="shared" si="259"/>
        <v/>
      </c>
    </row>
    <row r="1416" spans="76:80" ht="13.2" customHeight="1">
      <c r="BX1416" s="25" t="str">
        <f>IF(Province="Principauté d'Aquilas","Village de Gorgon's Ola","")</f>
        <v/>
      </c>
      <c r="BY1416" t="str">
        <f t="shared" si="260"/>
        <v/>
      </c>
      <c r="BZ1416" s="83" t="str">
        <f t="shared" si="257"/>
        <v/>
      </c>
      <c r="CA1416" s="83" t="str">
        <f t="shared" si="258"/>
        <v/>
      </c>
      <c r="CB1416" s="530" t="str">
        <f t="shared" si="259"/>
        <v/>
      </c>
    </row>
    <row r="1417" spans="76:80" ht="13.2" customHeight="1">
      <c r="BX1417" s="25" t="str">
        <f>IF(Province="Principauté de Tobaro","Village d'Agosta","")</f>
        <v/>
      </c>
      <c r="BY1417" t="str">
        <f t="shared" si="260"/>
        <v/>
      </c>
      <c r="BZ1417" s="83" t="str">
        <f t="shared" si="257"/>
        <v/>
      </c>
      <c r="CA1417" s="83" t="str">
        <f t="shared" si="258"/>
        <v/>
      </c>
      <c r="CB1417" s="530" t="str">
        <f t="shared" si="259"/>
        <v/>
      </c>
    </row>
    <row r="1418" spans="76:80" ht="13.2" customHeight="1">
      <c r="BX1418" s="25" t="str">
        <f>IF(Province="Principauté d'Aquilas","Village de Culo Trento","")</f>
        <v/>
      </c>
      <c r="BY1418" t="str">
        <f t="shared" si="260"/>
        <v/>
      </c>
      <c r="BZ1418" s="83" t="str">
        <f t="shared" si="257"/>
        <v/>
      </c>
      <c r="CA1418" s="83" t="str">
        <f t="shared" si="258"/>
        <v/>
      </c>
      <c r="CB1418" s="530" t="str">
        <f t="shared" si="259"/>
        <v/>
      </c>
    </row>
    <row r="1419" spans="76:80" ht="13.2" customHeight="1">
      <c r="BX1419" s="25" t="str">
        <f>IF(Province="République de Remas","Village de Monte Negro","")</f>
        <v/>
      </c>
      <c r="BY1419" t="str">
        <f t="shared" si="260"/>
        <v/>
      </c>
      <c r="BZ1419" s="83" t="str">
        <f t="shared" si="257"/>
        <v/>
      </c>
      <c r="CA1419" s="83" t="str">
        <f t="shared" si="258"/>
        <v/>
      </c>
      <c r="CB1419" s="530" t="str">
        <f t="shared" si="259"/>
        <v/>
      </c>
    </row>
    <row r="1420" spans="76:80" ht="13.2" customHeight="1">
      <c r="BX1420" s="25" t="str">
        <f>IF(Pays="Principautés frontalières","Cité-Etat de Vardanos","")</f>
        <v/>
      </c>
      <c r="BY1420" t="str">
        <f t="shared" si="260"/>
        <v/>
      </c>
      <c r="BZ1420" s="83" t="str">
        <f t="shared" si="257"/>
        <v/>
      </c>
      <c r="CA1420" s="83" t="str">
        <f t="shared" si="258"/>
        <v/>
      </c>
      <c r="CB1420" s="530" t="str">
        <f t="shared" si="259"/>
        <v/>
      </c>
    </row>
    <row r="1421" spans="76:80" ht="13.2" customHeight="1">
      <c r="BX1421" s="25" t="str">
        <f>IF(Pays="Terres Sombres","Désolation d’Azgoth","")</f>
        <v/>
      </c>
      <c r="BY1421" t="str">
        <f t="shared" si="260"/>
        <v/>
      </c>
      <c r="BZ1421" s="83" t="str">
        <f t="shared" si="257"/>
        <v/>
      </c>
      <c r="CA1421" s="83" t="str">
        <f t="shared" si="258"/>
        <v/>
      </c>
      <c r="CB1421" s="530" t="str">
        <f t="shared" si="259"/>
        <v/>
      </c>
    </row>
    <row r="1422" spans="76:80" ht="13.2" customHeight="1">
      <c r="BX1422" s="25" t="str">
        <f>IF(Pays="Terres Sombres","Chaine des Monts Cendreux","")</f>
        <v/>
      </c>
      <c r="BY1422" t="str">
        <f t="shared" si="260"/>
        <v/>
      </c>
      <c r="BZ1422" s="83" t="str">
        <f t="shared" si="257"/>
        <v/>
      </c>
      <c r="CA1422" s="83" t="str">
        <f t="shared" si="258"/>
        <v/>
      </c>
      <c r="CB1422" s="530" t="str">
        <f t="shared" si="259"/>
        <v/>
      </c>
    </row>
    <row r="1423" spans="76:80" ht="13.2" customHeight="1">
      <c r="BX1423" s="25" t="str">
        <f>IF(Selectsousrace="Gobelin","La Sorcière grise (Terres Sombres)","")</f>
        <v/>
      </c>
      <c r="BY1423" t="str">
        <f t="shared" si="260"/>
        <v/>
      </c>
      <c r="BZ1423" s="83" t="str">
        <f t="shared" si="257"/>
        <v/>
      </c>
      <c r="CA1423" s="83" t="str">
        <f t="shared" si="258"/>
        <v/>
      </c>
      <c r="CB1423" s="530" t="str">
        <f t="shared" si="259"/>
        <v/>
      </c>
    </row>
    <row r="1424" spans="76:80" ht="13.2" customHeight="1">
      <c r="BX1424" s="769" t="str">
        <f>IF(Province="Principauté de Luccini","Village d’Iraklia ","")</f>
        <v/>
      </c>
      <c r="BY1424" t="str">
        <f t="shared" si="260"/>
        <v/>
      </c>
      <c r="BZ1424" s="83" t="str">
        <f t="shared" si="257"/>
        <v/>
      </c>
      <c r="CA1424" s="83" t="str">
        <f t="shared" si="258"/>
        <v/>
      </c>
      <c r="CB1424" s="530" t="str">
        <f t="shared" si="259"/>
        <v/>
      </c>
    </row>
    <row r="1425" spans="76:80" ht="13.2" customHeight="1">
      <c r="BX1425" s="25" t="str">
        <f>IF(Province="Principauté de Luccini","Village de Mirmathi ","")</f>
        <v/>
      </c>
      <c r="BY1425" t="str">
        <f t="shared" si="260"/>
        <v/>
      </c>
      <c r="BZ1425" s="83" t="str">
        <f t="shared" si="257"/>
        <v/>
      </c>
      <c r="CA1425" s="83" t="str">
        <f t="shared" si="258"/>
        <v/>
      </c>
      <c r="CB1425" s="530" t="str">
        <f t="shared" si="259"/>
        <v/>
      </c>
    </row>
    <row r="1426" spans="76:80" ht="13.2" customHeight="1">
      <c r="BX1426" t="str">
        <f>IF(Province="Principauté de Luccini","Village de Costco","")</f>
        <v/>
      </c>
      <c r="BY1426" t="str">
        <f t="shared" si="260"/>
        <v/>
      </c>
      <c r="BZ1426" s="83" t="str">
        <f t="shared" si="257"/>
        <v/>
      </c>
      <c r="CA1426" s="83" t="str">
        <f t="shared" si="258"/>
        <v/>
      </c>
      <c r="CB1426" s="530" t="str">
        <f t="shared" si="259"/>
        <v/>
      </c>
    </row>
    <row r="1427" spans="76:80" ht="13.2" customHeight="1">
      <c r="BX1427" t="str">
        <f>IF(Province="Principauté de Luccini","Village de Vlacherna","")</f>
        <v/>
      </c>
      <c r="BY1427" t="str">
        <f t="shared" si="260"/>
        <v/>
      </c>
      <c r="BZ1427" s="83" t="str">
        <f t="shared" si="257"/>
        <v/>
      </c>
      <c r="CA1427" s="83" t="str">
        <f t="shared" si="258"/>
        <v/>
      </c>
      <c r="CB1427" s="530" t="str">
        <f t="shared" si="259"/>
        <v/>
      </c>
    </row>
    <row r="1428" spans="76:80" ht="13.2" customHeight="1">
      <c r="BX1428" t="str">
        <f>IF(Province="Principauté de Luccini","Bourg d’Avrippio","")</f>
        <v/>
      </c>
      <c r="BY1428" t="str">
        <f t="shared" si="260"/>
        <v/>
      </c>
      <c r="BZ1428" s="83" t="str">
        <f t="shared" si="257"/>
        <v/>
      </c>
      <c r="CA1428" s="83" t="str">
        <f t="shared" si="258"/>
        <v/>
      </c>
      <c r="CB1428" s="530" t="str">
        <f t="shared" si="259"/>
        <v/>
      </c>
    </row>
    <row r="1429" spans="76:80" ht="13.2" customHeight="1">
      <c r="BX1429" t="str">
        <f>IF(Province="Principauté de Luccini","Fort de Roccaforte del Mar ","")</f>
        <v/>
      </c>
      <c r="BY1429" t="str">
        <f t="shared" si="260"/>
        <v/>
      </c>
      <c r="BZ1429" s="83" t="str">
        <f t="shared" si="257"/>
        <v/>
      </c>
      <c r="CA1429" s="83" t="str">
        <f t="shared" si="258"/>
        <v/>
      </c>
      <c r="CB1429" s="530" t="str">
        <f t="shared" si="259"/>
        <v/>
      </c>
    </row>
    <row r="1430" spans="76:80" ht="13.2" customHeight="1">
      <c r="BX1430" t="str">
        <f>IF(Province="Principauté de Luccini","Village de Sanatorio","")</f>
        <v/>
      </c>
      <c r="BY1430" t="str">
        <f t="shared" si="260"/>
        <v/>
      </c>
      <c r="BZ1430" s="83" t="str">
        <f t="shared" si="257"/>
        <v/>
      </c>
      <c r="CA1430" s="83" t="str">
        <f t="shared" si="258"/>
        <v/>
      </c>
      <c r="CB1430" s="530" t="str">
        <f t="shared" si="259"/>
        <v/>
      </c>
    </row>
    <row r="1431" spans="76:80" ht="13.2" customHeight="1">
      <c r="BX1431" t="str">
        <f>IF(Province="Principauté de Luccini","Village d’Ariano Irpino","")</f>
        <v/>
      </c>
      <c r="BY1431" t="str">
        <f t="shared" si="260"/>
        <v/>
      </c>
      <c r="BZ1431" s="83" t="str">
        <f t="shared" si="257"/>
        <v/>
      </c>
      <c r="CA1431" s="83" t="str">
        <f t="shared" si="258"/>
        <v/>
      </c>
      <c r="CB1431" s="530" t="str">
        <f t="shared" si="259"/>
        <v/>
      </c>
    </row>
    <row r="1432" spans="76:80" ht="13.2" customHeight="1">
      <c r="BX1432" t="str">
        <f>IF(Province="Principauté de Luccini","Bourg de Di Palma","")</f>
        <v/>
      </c>
      <c r="BY1432" t="str">
        <f t="shared" si="260"/>
        <v/>
      </c>
      <c r="BZ1432" s="83" t="str">
        <f t="shared" si="257"/>
        <v/>
      </c>
      <c r="CA1432" s="83" t="str">
        <f t="shared" si="258"/>
        <v/>
      </c>
      <c r="CB1432" s="530" t="str">
        <f t="shared" si="259"/>
        <v/>
      </c>
    </row>
    <row r="1433" spans="76:80" ht="13.2" customHeight="1">
      <c r="BX1433" t="str">
        <f>IF(Province="Principauté de Luccini","Fort de Vene Spazi","")</f>
        <v/>
      </c>
      <c r="BY1433" t="str">
        <f t="shared" si="260"/>
        <v/>
      </c>
      <c r="BZ1433" s="83" t="str">
        <f t="shared" si="257"/>
        <v/>
      </c>
      <c r="CA1433" s="83" t="str">
        <f t="shared" si="258"/>
        <v/>
      </c>
      <c r="CB1433" s="530" t="str">
        <f t="shared" si="259"/>
        <v/>
      </c>
    </row>
    <row r="1434" spans="76:80" ht="13.2" customHeight="1">
      <c r="BX1434" t="str">
        <f>IF(Province="Principauté de Luccini","Village d’Aldi","")</f>
        <v/>
      </c>
      <c r="BY1434" t="str">
        <f t="shared" si="260"/>
        <v/>
      </c>
      <c r="BZ1434" s="83" t="str">
        <f t="shared" si="257"/>
        <v/>
      </c>
      <c r="CA1434" s="83" t="str">
        <f t="shared" si="258"/>
        <v/>
      </c>
      <c r="CB1434" s="530" t="str">
        <f t="shared" si="259"/>
        <v/>
      </c>
    </row>
    <row r="1435" spans="76:80" ht="13.2" customHeight="1">
      <c r="BX1435" t="str">
        <f>IF(Province="Principauté de Luccini","Village de Paramythia","")</f>
        <v/>
      </c>
      <c r="BY1435" t="str">
        <f t="shared" si="260"/>
        <v/>
      </c>
      <c r="BZ1435" s="83" t="str">
        <f t="shared" si="257"/>
        <v/>
      </c>
      <c r="CA1435" s="83" t="str">
        <f t="shared" si="258"/>
        <v/>
      </c>
      <c r="CB1435" s="530" t="str">
        <f t="shared" si="259"/>
        <v/>
      </c>
    </row>
    <row r="1436" spans="76:80" ht="13.2" customHeight="1">
      <c r="BX1436" t="str">
        <f>IF(Province="Principauté de Luccini","Village de Minervino","")</f>
        <v/>
      </c>
      <c r="BY1436" t="str">
        <f t="shared" si="260"/>
        <v/>
      </c>
      <c r="BZ1436" s="83" t="str">
        <f t="shared" si="257"/>
        <v/>
      </c>
      <c r="CA1436" s="83" t="str">
        <f t="shared" si="258"/>
        <v/>
      </c>
      <c r="CB1436" s="530" t="str">
        <f t="shared" si="259"/>
        <v/>
      </c>
    </row>
    <row r="1437" spans="76:80" ht="13.2" customHeight="1">
      <c r="BX1437" t="str">
        <f>IF(Province="Principauté de Luccini","Fort de Venerati dei Chiaro","")</f>
        <v/>
      </c>
      <c r="BY1437" t="str">
        <f t="shared" si="260"/>
        <v/>
      </c>
      <c r="BZ1437" s="83" t="str">
        <f t="shared" si="257"/>
        <v/>
      </c>
      <c r="CA1437" s="83" t="str">
        <f t="shared" si="258"/>
        <v/>
      </c>
      <c r="CB1437" s="530" t="str">
        <f t="shared" si="259"/>
        <v/>
      </c>
    </row>
    <row r="1438" spans="76:80" ht="13.2" customHeight="1">
      <c r="BX1438" s="25" t="str">
        <f>IF(Province="Principauté de Verezzo","Ville de Spomanti","")</f>
        <v/>
      </c>
      <c r="BY1438" t="str">
        <f t="shared" si="260"/>
        <v/>
      </c>
      <c r="BZ1438" s="83" t="str">
        <f t="shared" si="257"/>
        <v/>
      </c>
      <c r="CA1438" s="83" t="str">
        <f t="shared" si="258"/>
        <v/>
      </c>
      <c r="CB1438" s="530" t="str">
        <f t="shared" si="259"/>
        <v/>
      </c>
    </row>
    <row r="1439" spans="76:80" ht="13.2" customHeight="1">
      <c r="BX1439" t="str">
        <f>IF(Province="Principauté de Verezzo","Ville de Terenne","")</f>
        <v/>
      </c>
      <c r="BY1439" t="str">
        <f t="shared" si="260"/>
        <v/>
      </c>
      <c r="BZ1439" s="83" t="str">
        <f t="shared" si="257"/>
        <v/>
      </c>
      <c r="CA1439" s="83" t="str">
        <f t="shared" si="258"/>
        <v/>
      </c>
      <c r="CB1439" s="530" t="str">
        <f t="shared" si="259"/>
        <v/>
      </c>
    </row>
    <row r="1440" spans="76:80" ht="13.2" customHeight="1">
      <c r="BX1440" t="str">
        <f>IF(Province="Principauté de Verezzo","Ville de Raverno","")</f>
        <v/>
      </c>
      <c r="BY1440" t="str">
        <f t="shared" si="260"/>
        <v/>
      </c>
      <c r="BZ1440" s="83" t="str">
        <f t="shared" si="257"/>
        <v/>
      </c>
      <c r="CA1440" s="83" t="str">
        <f t="shared" si="258"/>
        <v/>
      </c>
      <c r="CB1440" s="530" t="str">
        <f t="shared" si="259"/>
        <v/>
      </c>
    </row>
    <row r="1441" spans="76:80" ht="13.2" customHeight="1">
      <c r="BX1441" t="str">
        <f>IF(Province="Principauté de Verezzo","Village de Milfi","")</f>
        <v/>
      </c>
      <c r="BY1441" t="str">
        <f t="shared" si="260"/>
        <v/>
      </c>
      <c r="BZ1441" s="83" t="str">
        <f t="shared" si="257"/>
        <v/>
      </c>
      <c r="CA1441" s="83" t="str">
        <f t="shared" si="258"/>
        <v/>
      </c>
      <c r="CB1441" s="530" t="str">
        <f t="shared" si="259"/>
        <v/>
      </c>
    </row>
    <row r="1442" spans="76:80" ht="13.2" customHeight="1">
      <c r="BX1442" t="str">
        <f>IF(Province="Principauté de Verezzo","Mine de Della Monte","")</f>
        <v/>
      </c>
      <c r="BY1442" t="str">
        <f t="shared" si="260"/>
        <v/>
      </c>
      <c r="BZ1442" s="83" t="str">
        <f t="shared" si="257"/>
        <v/>
      </c>
      <c r="CA1442" s="83" t="str">
        <f t="shared" si="258"/>
        <v/>
      </c>
      <c r="CB1442" s="530" t="str">
        <f t="shared" si="259"/>
        <v/>
      </c>
    </row>
    <row r="1443" spans="76:80" ht="13.2" customHeight="1">
      <c r="BX1443" t="str">
        <f>IF(Province="Principauté de Verezzo","Village de Noochi","")</f>
        <v/>
      </c>
      <c r="BY1443" t="str">
        <f t="shared" si="260"/>
        <v/>
      </c>
      <c r="BZ1443" s="83" t="str">
        <f t="shared" si="257"/>
        <v/>
      </c>
      <c r="CA1443" s="83" t="str">
        <f t="shared" si="258"/>
        <v/>
      </c>
      <c r="CB1443" s="530" t="str">
        <f t="shared" si="259"/>
        <v/>
      </c>
    </row>
    <row r="1444" spans="76:80" ht="13.2" customHeight="1">
      <c r="BX1444" t="str">
        <f>IF(Province="Principauté de Verezzo","Village de Lizzano","")</f>
        <v/>
      </c>
      <c r="BY1444" t="str">
        <f t="shared" si="260"/>
        <v/>
      </c>
      <c r="BZ1444" s="83" t="str">
        <f t="shared" si="257"/>
        <v/>
      </c>
      <c r="CA1444" s="83" t="str">
        <f t="shared" si="258"/>
        <v/>
      </c>
      <c r="CB1444" s="530" t="str">
        <f t="shared" si="259"/>
        <v/>
      </c>
    </row>
    <row r="1445" spans="76:80" ht="13.2" customHeight="1">
      <c r="BX1445" t="str">
        <f>IF(Province="Principauté de Verezzo","Village de Raggebonna","")</f>
        <v/>
      </c>
      <c r="BY1445" t="str">
        <f t="shared" si="260"/>
        <v/>
      </c>
      <c r="BZ1445" s="83" t="str">
        <f t="shared" si="257"/>
        <v/>
      </c>
      <c r="CA1445" s="83" t="str">
        <f t="shared" si="258"/>
        <v/>
      </c>
      <c r="CB1445" s="530" t="str">
        <f t="shared" si="259"/>
        <v/>
      </c>
    </row>
    <row r="1446" spans="76:80" ht="13.2" customHeight="1">
      <c r="BX1446" t="str">
        <f>IF(Province="Principauté de Verezzo","Village d’Agrippa","")</f>
        <v/>
      </c>
      <c r="BY1446" t="str">
        <f t="shared" si="260"/>
        <v/>
      </c>
      <c r="BZ1446" s="83" t="str">
        <f t="shared" si="257"/>
        <v/>
      </c>
      <c r="CA1446" s="83" t="str">
        <f t="shared" si="258"/>
        <v/>
      </c>
      <c r="CB1446" s="530" t="str">
        <f t="shared" si="259"/>
        <v/>
      </c>
    </row>
    <row r="1447" spans="76:80" ht="13.2" customHeight="1">
      <c r="BX1447" t="str">
        <f>IF(Province="Principauté de Verezzo","Village de Cittafinistre","")</f>
        <v/>
      </c>
      <c r="BY1447" t="str">
        <f t="shared" si="260"/>
        <v/>
      </c>
      <c r="BZ1447" s="83" t="str">
        <f t="shared" si="257"/>
        <v/>
      </c>
      <c r="CA1447" s="83" t="str">
        <f t="shared" si="258"/>
        <v/>
      </c>
      <c r="CB1447" s="530" t="str">
        <f t="shared" si="259"/>
        <v/>
      </c>
    </row>
    <row r="1448" spans="76:80" ht="13.2" customHeight="1">
      <c r="BX1448" t="str">
        <f>IF(Province="Principauté de Verezzo","Village d'Argithea","")</f>
        <v/>
      </c>
      <c r="BY1448" t="str">
        <f t="shared" si="260"/>
        <v/>
      </c>
      <c r="BZ1448" s="83" t="str">
        <f t="shared" si="257"/>
        <v/>
      </c>
      <c r="CA1448" s="83" t="str">
        <f t="shared" si="258"/>
        <v/>
      </c>
      <c r="CB1448" s="530" t="str">
        <f t="shared" si="259"/>
        <v/>
      </c>
    </row>
    <row r="1449" spans="76:80" ht="13.2" customHeight="1">
      <c r="BX1449" t="str">
        <f>IF(Province="Principauté de Verezzo","Village de Garibaldi","")</f>
        <v/>
      </c>
      <c r="BY1449" t="str">
        <f t="shared" si="260"/>
        <v/>
      </c>
      <c r="BZ1449" s="83" t="str">
        <f t="shared" si="257"/>
        <v/>
      </c>
      <c r="CA1449" s="83" t="str">
        <f t="shared" si="258"/>
        <v/>
      </c>
      <c r="CB1449" s="530" t="str">
        <f t="shared" si="259"/>
        <v/>
      </c>
    </row>
    <row r="1450" spans="76:80" ht="13.2" customHeight="1">
      <c r="BX1450" t="str">
        <f>IF(Province="Principauté de Verezzo","Mine d’Alitilea","")</f>
        <v/>
      </c>
      <c r="BY1450" t="str">
        <f t="shared" si="260"/>
        <v/>
      </c>
      <c r="BZ1450" s="83" t="str">
        <f t="shared" si="257"/>
        <v/>
      </c>
      <c r="CA1450" s="83" t="str">
        <f t="shared" si="258"/>
        <v/>
      </c>
      <c r="CB1450" s="530" t="str">
        <f t="shared" si="259"/>
        <v/>
      </c>
    </row>
    <row r="1451" spans="76:80" ht="13.2" customHeight="1">
      <c r="BX1451" s="83" t="str">
        <f>IF(Province="Principauté de Verezzo","Bourg de Venerato Lorenzo","")</f>
        <v/>
      </c>
      <c r="BY1451" t="str">
        <f t="shared" si="260"/>
        <v/>
      </c>
      <c r="BZ1451" s="83" t="str">
        <f t="shared" si="257"/>
        <v/>
      </c>
      <c r="CA1451" s="83" t="str">
        <f t="shared" si="258"/>
        <v/>
      </c>
      <c r="CB1451" s="530" t="str">
        <f t="shared" si="259"/>
        <v/>
      </c>
    </row>
    <row r="1452" spans="76:80" ht="13.2" customHeight="1">
      <c r="BX1452" s="83" t="str">
        <f>IF(Province="Principauté de Verezzo","Mine de Monte Verde","")</f>
        <v/>
      </c>
      <c r="BY1452" t="str">
        <f t="shared" si="260"/>
        <v/>
      </c>
      <c r="BZ1452" s="83" t="str">
        <f t="shared" si="257"/>
        <v/>
      </c>
      <c r="CA1452" s="83" t="str">
        <f t="shared" si="258"/>
        <v/>
      </c>
      <c r="CB1452" s="530" t="str">
        <f t="shared" si="259"/>
        <v/>
      </c>
    </row>
    <row r="1453" spans="76:80" ht="13.2" customHeight="1">
      <c r="BX1453" s="25" t="str">
        <f>IF(Province="République de Remas","Ville de Stiani","")</f>
        <v/>
      </c>
      <c r="BY1453" t="str">
        <f t="shared" si="260"/>
        <v/>
      </c>
      <c r="BZ1453" s="83" t="str">
        <f t="shared" si="257"/>
        <v/>
      </c>
      <c r="CA1453" s="83" t="str">
        <f t="shared" si="258"/>
        <v/>
      </c>
      <c r="CB1453" s="530" t="str">
        <f t="shared" si="259"/>
        <v/>
      </c>
    </row>
    <row r="1454" spans="76:80" ht="13.2" customHeight="1">
      <c r="BX1454" t="str">
        <f>IF(Province="République de Remas","Village de Bargia","")</f>
        <v/>
      </c>
      <c r="BY1454" t="str">
        <f t="shared" si="260"/>
        <v/>
      </c>
      <c r="BZ1454" s="83" t="str">
        <f t="shared" si="257"/>
        <v/>
      </c>
      <c r="CA1454" s="83" t="str">
        <f t="shared" si="258"/>
        <v/>
      </c>
      <c r="CB1454" s="530" t="str">
        <f t="shared" si="259"/>
        <v/>
      </c>
    </row>
    <row r="1455" spans="76:80" ht="13.2" customHeight="1">
      <c r="BX1455" t="str">
        <f>IF(Province="République de Remas","Village de Certainlio","")</f>
        <v/>
      </c>
      <c r="BY1455" t="str">
        <f t="shared" si="260"/>
        <v/>
      </c>
      <c r="BZ1455" s="83" t="str">
        <f t="shared" si="257"/>
        <v/>
      </c>
      <c r="CA1455" s="83" t="str">
        <f t="shared" si="258"/>
        <v/>
      </c>
      <c r="CB1455" s="530" t="str">
        <f t="shared" si="259"/>
        <v/>
      </c>
    </row>
    <row r="1456" spans="76:80" ht="13.2" customHeight="1">
      <c r="BX1456" t="str">
        <f>IF(Province="République de Remas","Village de Poggi­bonsi","")</f>
        <v/>
      </c>
      <c r="BY1456" t="str">
        <f t="shared" si="260"/>
        <v/>
      </c>
      <c r="BZ1456" s="83" t="str">
        <f t="shared" si="257"/>
        <v/>
      </c>
      <c r="CA1456" s="83" t="str">
        <f t="shared" si="258"/>
        <v/>
      </c>
      <c r="CB1456" s="530" t="str">
        <f t="shared" si="259"/>
        <v/>
      </c>
    </row>
    <row r="1457" spans="76:80" ht="13.2" customHeight="1">
      <c r="BX1457" t="str">
        <f>IF(Province="République de Remas","Bourg de Bibblena","")</f>
        <v/>
      </c>
      <c r="BY1457" t="str">
        <f t="shared" si="260"/>
        <v/>
      </c>
      <c r="BZ1457" s="83" t="str">
        <f t="shared" si="257"/>
        <v/>
      </c>
      <c r="CA1457" s="83" t="str">
        <f t="shared" si="258"/>
        <v/>
      </c>
      <c r="CB1457" s="530" t="str">
        <f t="shared" si="259"/>
        <v/>
      </c>
    </row>
    <row r="1458" spans="76:80" ht="13.2" customHeight="1">
      <c r="BX1458" t="str">
        <f>IF(Province="République de Remas","Village d’Ammertime","")</f>
        <v/>
      </c>
      <c r="BY1458" t="str">
        <f t="shared" si="260"/>
        <v/>
      </c>
      <c r="BZ1458" s="83" t="str">
        <f t="shared" si="257"/>
        <v/>
      </c>
      <c r="CA1458" s="83" t="str">
        <f t="shared" si="258"/>
        <v/>
      </c>
      <c r="CB1458" s="530" t="str">
        <f t="shared" si="259"/>
        <v/>
      </c>
    </row>
    <row r="1459" spans="76:80" ht="13.2" customHeight="1">
      <c r="BX1459" t="str">
        <f>IF(Province="République de Remas","Fort de Settefrati","")</f>
        <v/>
      </c>
      <c r="BY1459" t="str">
        <f t="shared" si="260"/>
        <v/>
      </c>
      <c r="BZ1459" s="83" t="str">
        <f t="shared" si="257"/>
        <v/>
      </c>
      <c r="CA1459" s="83" t="str">
        <f t="shared" si="258"/>
        <v/>
      </c>
      <c r="CB1459" s="530" t="str">
        <f t="shared" si="259"/>
        <v/>
      </c>
    </row>
    <row r="1460" spans="76:80" ht="13.2" customHeight="1">
      <c r="BX1460" t="str">
        <f>IF(Province="République de Remas","Fort de Biterbit","")</f>
        <v/>
      </c>
      <c r="BY1460" t="str">
        <f t="shared" si="260"/>
        <v/>
      </c>
      <c r="BZ1460" s="83" t="str">
        <f t="shared" si="257"/>
        <v/>
      </c>
      <c r="CA1460" s="83" t="str">
        <f t="shared" si="258"/>
        <v/>
      </c>
      <c r="CB1460" s="530" t="str">
        <f t="shared" si="259"/>
        <v/>
      </c>
    </row>
    <row r="1461" spans="76:80" ht="13.2" customHeight="1">
      <c r="BX1461" t="str">
        <f>IF(Province="République de Remas","Village d’Alatri","")</f>
        <v/>
      </c>
      <c r="BY1461" t="str">
        <f t="shared" si="260"/>
        <v/>
      </c>
      <c r="BZ1461" s="83" t="str">
        <f t="shared" si="257"/>
        <v/>
      </c>
      <c r="CA1461" s="83" t="str">
        <f t="shared" si="258"/>
        <v/>
      </c>
      <c r="CB1461" s="530" t="str">
        <f t="shared" si="259"/>
        <v/>
      </c>
    </row>
    <row r="1462" spans="76:80" ht="13.2" customHeight="1">
      <c r="BX1462" t="str">
        <f>IF(Province="République de Remas","Village de Venerato Marco","")</f>
        <v/>
      </c>
      <c r="BY1462" t="str">
        <f t="shared" si="260"/>
        <v/>
      </c>
      <c r="BZ1462" s="83" t="str">
        <f t="shared" si="257"/>
        <v/>
      </c>
      <c r="CA1462" s="83" t="str">
        <f t="shared" si="258"/>
        <v/>
      </c>
      <c r="CB1462" s="530" t="str">
        <f t="shared" si="259"/>
        <v/>
      </c>
    </row>
    <row r="1463" spans="76:80" ht="13.2" customHeight="1">
      <c r="BX1463" t="str">
        <f>IF(Province="République de Remas","Village de Celano","")</f>
        <v/>
      </c>
      <c r="BY1463" t="str">
        <f t="shared" si="260"/>
        <v/>
      </c>
      <c r="BZ1463" s="83" t="str">
        <f t="shared" si="257"/>
        <v/>
      </c>
      <c r="CA1463" s="83" t="str">
        <f t="shared" si="258"/>
        <v/>
      </c>
      <c r="CB1463" s="530" t="str">
        <f t="shared" si="259"/>
        <v/>
      </c>
    </row>
    <row r="1464" spans="76:80" ht="13.2" customHeight="1">
      <c r="BX1464" t="str">
        <f>IF(Province="République de Remas","Village de Nanci","")</f>
        <v/>
      </c>
      <c r="BY1464" t="str">
        <f t="shared" si="260"/>
        <v/>
      </c>
      <c r="BZ1464" s="83" t="str">
        <f t="shared" si="257"/>
        <v/>
      </c>
      <c r="CA1464" s="83" t="str">
        <f t="shared" si="258"/>
        <v/>
      </c>
      <c r="CB1464" s="530" t="str">
        <f t="shared" si="259"/>
        <v/>
      </c>
    </row>
    <row r="1465" spans="76:80" ht="13.2" customHeight="1">
      <c r="BX1465" t="str">
        <f>IF(Province="République de Remas","Village de Benetizio","")</f>
        <v/>
      </c>
      <c r="BY1465" t="str">
        <f t="shared" si="260"/>
        <v/>
      </c>
      <c r="BZ1465" s="83" t="str">
        <f t="shared" si="257"/>
        <v/>
      </c>
      <c r="CA1465" s="83" t="str">
        <f t="shared" si="258"/>
        <v/>
      </c>
      <c r="CB1465" s="530" t="str">
        <f t="shared" si="259"/>
        <v/>
      </c>
    </row>
    <row r="1466" spans="76:80" ht="13.2" customHeight="1">
      <c r="BX1466" t="str">
        <f>IF(Province="République de Remas","Fort d’Acqua Marina","")</f>
        <v/>
      </c>
      <c r="BY1466" t="str">
        <f t="shared" si="260"/>
        <v/>
      </c>
      <c r="BZ1466" s="83" t="str">
        <f t="shared" si="257"/>
        <v/>
      </c>
      <c r="CA1466" s="83" t="str">
        <f t="shared" si="258"/>
        <v/>
      </c>
      <c r="CB1466" s="530" t="str">
        <f t="shared" si="259"/>
        <v/>
      </c>
    </row>
    <row r="1467" spans="76:80" ht="13.2" customHeight="1">
      <c r="BX1467" t="str">
        <f>IF(Province="Duché de L'Anguille","Château de Grasgar","")</f>
        <v/>
      </c>
      <c r="BY1467" t="str">
        <f t="shared" si="260"/>
        <v/>
      </c>
      <c r="BZ1467" s="83" t="str">
        <f t="shared" si="257"/>
        <v/>
      </c>
      <c r="CA1467" s="83" t="str">
        <f t="shared" si="258"/>
        <v/>
      </c>
      <c r="CB1467" s="530" t="str">
        <f t="shared" si="259"/>
        <v/>
      </c>
    </row>
    <row r="1468" spans="76:80" ht="13.2" customHeight="1">
      <c r="BX1468" t="str">
        <f>IF(Province="Duché de L'Anguille","La Gueule du Dragon","")</f>
        <v/>
      </c>
      <c r="BY1468" t="str">
        <f t="shared" si="260"/>
        <v/>
      </c>
      <c r="BZ1468" s="83" t="str">
        <f t="shared" si="257"/>
        <v/>
      </c>
      <c r="CA1468" s="83" t="str">
        <f t="shared" si="258"/>
        <v/>
      </c>
      <c r="CB1468" s="530" t="str">
        <f t="shared" si="259"/>
        <v/>
      </c>
    </row>
    <row r="1469" spans="76:80" ht="13.2" customHeight="1">
      <c r="BX1469" t="str">
        <f>IF(Province="Duché d'Artenois","Ville de Larret","")</f>
        <v/>
      </c>
      <c r="BY1469" t="str">
        <f t="shared" si="260"/>
        <v/>
      </c>
      <c r="BZ1469" s="83" t="str">
        <f t="shared" si="257"/>
        <v/>
      </c>
      <c r="CA1469" s="83" t="str">
        <f t="shared" si="258"/>
        <v/>
      </c>
      <c r="CB1469" s="530" t="str">
        <f t="shared" si="259"/>
        <v/>
      </c>
    </row>
    <row r="1470" spans="76:80" ht="13.2" customHeight="1">
      <c r="BX1470" t="str">
        <f>IF(Province="Duché d'Artenois","Fief des mutants d’Uesin,","")</f>
        <v/>
      </c>
      <c r="BY1470" t="str">
        <f t="shared" si="260"/>
        <v/>
      </c>
      <c r="BZ1470" s="83" t="str">
        <f t="shared" si="257"/>
        <v/>
      </c>
      <c r="CA1470" s="83" t="str">
        <f t="shared" si="258"/>
        <v/>
      </c>
      <c r="CB1470" s="530" t="str">
        <f t="shared" si="259"/>
        <v/>
      </c>
    </row>
    <row r="1471" spans="76:80" ht="13.2" customHeight="1">
      <c r="BX1471" t="str">
        <f>IF(Province="Duché d'Artenois","Fief des mutants d’Uesin,","")</f>
        <v/>
      </c>
      <c r="BY1471" t="str">
        <f t="shared" si="260"/>
        <v/>
      </c>
      <c r="BZ1471" s="83" t="str">
        <f t="shared" si="257"/>
        <v/>
      </c>
      <c r="CA1471" s="83" t="str">
        <f t="shared" si="258"/>
        <v/>
      </c>
      <c r="CB1471" s="530" t="str">
        <f t="shared" si="259"/>
        <v/>
      </c>
    </row>
    <row r="1472" spans="76:80" ht="13.2" customHeight="1">
      <c r="BX1472" t="str">
        <f>IF(Province="Duché de Gisoreux","Vallée du Valfleury","")</f>
        <v/>
      </c>
      <c r="BY1472" t="str">
        <f t="shared" si="260"/>
        <v/>
      </c>
      <c r="BZ1472" s="83" t="str">
        <f t="shared" si="257"/>
        <v/>
      </c>
      <c r="CA1472" s="83" t="str">
        <f t="shared" si="258"/>
        <v/>
      </c>
      <c r="CB1472" s="530" t="str">
        <f t="shared" si="259"/>
        <v/>
      </c>
    </row>
    <row r="1473" spans="76:80" ht="13.2" customHeight="1">
      <c r="BX1473" t="str">
        <f>IF(Province="Duché de Lyonesse","Avant-poste de Sigmarsheim","")</f>
        <v/>
      </c>
      <c r="BY1473" t="str">
        <f t="shared" si="260"/>
        <v/>
      </c>
      <c r="BZ1473" s="83" t="str">
        <f t="shared" si="257"/>
        <v/>
      </c>
      <c r="CA1473" s="83" t="str">
        <f t="shared" si="258"/>
        <v/>
      </c>
      <c r="CB1473" s="530" t="str">
        <f t="shared" si="259"/>
        <v/>
      </c>
    </row>
    <row r="1474" spans="76:80" ht="13.2" customHeight="1">
      <c r="BX1474" t="str">
        <f>IF(Province="Duché de Montfort","Village mythique de Tharravil","")</f>
        <v/>
      </c>
      <c r="BY1474" t="str">
        <f t="shared" si="260"/>
        <v/>
      </c>
      <c r="BZ1474" s="83" t="str">
        <f t="shared" ref="BZ1474:BZ1491" si="261">IFERROR(SMALL(BY:BY,ROW()-1),"")</f>
        <v/>
      </c>
      <c r="CA1474" s="83" t="str">
        <f t="shared" ref="CA1474:CA1491" si="262">IFERROR(INDEX(BX:BX,BZ1474),"")</f>
        <v/>
      </c>
      <c r="CB1474" s="530" t="str">
        <f t="shared" ref="CB1474:CB1491" si="263">INDEX(CA:CA,ROW())</f>
        <v/>
      </c>
    </row>
    <row r="1475" spans="76:80" ht="13.2" customHeight="1">
      <c r="BX1475" t="str">
        <f>IF(Province="Duché de Montfort","Fort orque de Garban","")</f>
        <v/>
      </c>
      <c r="BY1475" t="str">
        <f t="shared" ref="BY1475:BY1490" si="264">IF(BX1475="","",ROW())</f>
        <v/>
      </c>
      <c r="BZ1475" s="83" t="str">
        <f t="shared" si="261"/>
        <v/>
      </c>
      <c r="CA1475" s="83" t="str">
        <f t="shared" si="262"/>
        <v/>
      </c>
      <c r="CB1475" s="530" t="str">
        <f t="shared" si="263"/>
        <v/>
      </c>
    </row>
    <row r="1476" spans="76:80" ht="13.2" customHeight="1">
      <c r="BX1476" t="str">
        <f>IF(Province="Duché de Moussillon","Château Rachard","")</f>
        <v/>
      </c>
      <c r="BY1476" t="str">
        <f t="shared" si="264"/>
        <v/>
      </c>
      <c r="BZ1476" s="83" t="str">
        <f t="shared" si="261"/>
        <v/>
      </c>
      <c r="CA1476" s="83" t="str">
        <f t="shared" si="262"/>
        <v/>
      </c>
      <c r="CB1476" s="530" t="str">
        <f t="shared" si="263"/>
        <v/>
      </c>
    </row>
    <row r="1477" spans="76:80" ht="13.2" customHeight="1">
      <c r="BX1477" t="str">
        <f>IF(Province="Duché de Quenelles","Bourg de Viefin","")</f>
        <v/>
      </c>
      <c r="BY1477" t="str">
        <f t="shared" si="264"/>
        <v/>
      </c>
      <c r="BZ1477" s="83" t="str">
        <f t="shared" si="261"/>
        <v/>
      </c>
      <c r="CA1477" s="83" t="str">
        <f t="shared" si="262"/>
        <v/>
      </c>
      <c r="CB1477" s="530" t="str">
        <f t="shared" si="263"/>
        <v/>
      </c>
    </row>
    <row r="1478" spans="76:80" ht="13.2" customHeight="1">
      <c r="BX1478" t="str">
        <f>IF(Province="Duché de Moussillon","Château Beaumarchais","")</f>
        <v/>
      </c>
      <c r="BY1478" t="str">
        <f t="shared" si="264"/>
        <v/>
      </c>
      <c r="BZ1478" s="83" t="str">
        <f t="shared" si="261"/>
        <v/>
      </c>
      <c r="CA1478" s="83" t="str">
        <f t="shared" si="262"/>
        <v/>
      </c>
      <c r="CB1478" s="530" t="str">
        <f t="shared" si="263"/>
        <v/>
      </c>
    </row>
    <row r="1479" spans="76:80" ht="13.2" customHeight="1">
      <c r="BX1479" t="str">
        <f>IF(Province="Duché de Moussillon","Village de Bayens","")</f>
        <v/>
      </c>
      <c r="BY1479" t="str">
        <f t="shared" si="264"/>
        <v/>
      </c>
      <c r="BZ1479" s="83" t="str">
        <f t="shared" si="261"/>
        <v/>
      </c>
      <c r="CA1479" s="83" t="str">
        <f t="shared" si="262"/>
        <v/>
      </c>
      <c r="CB1479" s="530" t="str">
        <f t="shared" si="263"/>
        <v/>
      </c>
    </row>
    <row r="1480" spans="76:80" ht="13.2" customHeight="1">
      <c r="BX1480" t="str">
        <f>IF(Province="Duché de Moussillon","Village de Bellay","")</f>
        <v/>
      </c>
      <c r="BY1480" t="str">
        <f t="shared" si="264"/>
        <v/>
      </c>
      <c r="BZ1480" s="83" t="str">
        <f t="shared" si="261"/>
        <v/>
      </c>
      <c r="CA1480" s="83" t="str">
        <f t="shared" si="262"/>
        <v/>
      </c>
      <c r="CB1480" s="530" t="str">
        <f t="shared" si="263"/>
        <v/>
      </c>
    </row>
    <row r="1481" spans="76:80" ht="13.2" customHeight="1">
      <c r="BX1481" t="str">
        <f>IF(Province="Duché de Moussillon","Village de Dinois","")</f>
        <v/>
      </c>
      <c r="BY1481" t="str">
        <f t="shared" si="264"/>
        <v/>
      </c>
      <c r="BZ1481" s="83" t="str">
        <f t="shared" si="261"/>
        <v/>
      </c>
      <c r="CA1481" s="83" t="str">
        <f t="shared" si="262"/>
        <v/>
      </c>
      <c r="CB1481" s="530" t="str">
        <f t="shared" si="263"/>
        <v/>
      </c>
    </row>
    <row r="1482" spans="76:80" ht="13.2" customHeight="1">
      <c r="BX1482" t="str">
        <f>IF(Province="Duché de Moussillon","Village de Cracheur","")</f>
        <v/>
      </c>
      <c r="BY1482" t="str">
        <f t="shared" si="264"/>
        <v/>
      </c>
      <c r="BZ1482" s="83" t="str">
        <f t="shared" si="261"/>
        <v/>
      </c>
      <c r="CA1482" s="83" t="str">
        <f t="shared" si="262"/>
        <v/>
      </c>
      <c r="CB1482" s="530" t="str">
        <f t="shared" si="263"/>
        <v/>
      </c>
    </row>
    <row r="1483" spans="76:80" ht="13.2" customHeight="1">
      <c r="BX1483" t="str">
        <f>IF(Province="Duché de Moussillon","Village de Dinois","")</f>
        <v/>
      </c>
      <c r="BY1483" t="str">
        <f t="shared" si="264"/>
        <v/>
      </c>
      <c r="BZ1483" s="83" t="str">
        <f t="shared" si="261"/>
        <v/>
      </c>
      <c r="CA1483" s="83" t="str">
        <f t="shared" si="262"/>
        <v/>
      </c>
      <c r="CB1483" s="530" t="str">
        <f t="shared" si="263"/>
        <v/>
      </c>
    </row>
    <row r="1484" spans="76:80" ht="13.2" customHeight="1">
      <c r="BX1484" t="str">
        <f>IF(Pays="Principautés Frontalières","ex-Royaume néhékarhéen de Karitamen","")</f>
        <v/>
      </c>
      <c r="BY1484" t="str">
        <f t="shared" si="264"/>
        <v/>
      </c>
      <c r="BZ1484" s="83" t="str">
        <f t="shared" si="261"/>
        <v/>
      </c>
      <c r="CA1484" s="83" t="str">
        <f t="shared" si="262"/>
        <v/>
      </c>
      <c r="CB1484" s="530" t="str">
        <f t="shared" si="263"/>
        <v/>
      </c>
    </row>
    <row r="1485" spans="76:80" ht="13.2" customHeight="1">
      <c r="BX1485" t="str">
        <f>IF(Pays="Principautés Frontalières","Principauté de Fatandira","")</f>
        <v/>
      </c>
      <c r="BY1485" t="str">
        <f t="shared" si="264"/>
        <v/>
      </c>
      <c r="BZ1485" s="83" t="str">
        <f t="shared" si="261"/>
        <v/>
      </c>
      <c r="CA1485" s="83" t="str">
        <f t="shared" si="262"/>
        <v/>
      </c>
      <c r="CB1485" s="530" t="str">
        <f t="shared" si="263"/>
        <v/>
      </c>
    </row>
    <row r="1486" spans="76:80" ht="13.2" customHeight="1">
      <c r="BX1486" t="str">
        <f>IF(Pays="Principautés Frontalières","Principauté de Levrellian","")</f>
        <v/>
      </c>
      <c r="BY1486" t="str">
        <f t="shared" si="264"/>
        <v/>
      </c>
      <c r="BZ1486" s="83" t="str">
        <f t="shared" si="261"/>
        <v/>
      </c>
      <c r="CA1486" s="83" t="str">
        <f t="shared" si="262"/>
        <v/>
      </c>
      <c r="CB1486" s="530" t="str">
        <f t="shared" si="263"/>
        <v/>
      </c>
    </row>
    <row r="1487" spans="76:80" ht="13.2" customHeight="1">
      <c r="BX1487" t="str">
        <f>IF(Pays="Principautés Frontalières","Communauté d'Haflok","")</f>
        <v/>
      </c>
      <c r="BY1487" t="str">
        <f t="shared" si="264"/>
        <v/>
      </c>
      <c r="BZ1487" s="83" t="str">
        <f t="shared" si="261"/>
        <v/>
      </c>
      <c r="CA1487" s="83" t="str">
        <f t="shared" si="262"/>
        <v/>
      </c>
      <c r="CB1487" s="530" t="str">
        <f t="shared" si="263"/>
        <v/>
      </c>
    </row>
    <row r="1488" spans="76:80" ht="13.2" customHeight="1">
      <c r="BX1488" t="str">
        <f>IF(Pays="Principautés Frontalières","Bourg de Vrilloles","")</f>
        <v/>
      </c>
      <c r="BY1488" t="str">
        <f t="shared" si="264"/>
        <v/>
      </c>
      <c r="BZ1488" s="83" t="str">
        <f t="shared" si="261"/>
        <v/>
      </c>
      <c r="CA1488" s="83" t="str">
        <f t="shared" si="262"/>
        <v/>
      </c>
      <c r="CB1488" s="530" t="str">
        <f t="shared" si="263"/>
        <v/>
      </c>
    </row>
    <row r="1489" spans="76:80" ht="13.2" customHeight="1">
      <c r="BX1489" t="str">
        <f>IF(Pays="Principautés Frontalières","Bourg de Mirstadt","")</f>
        <v/>
      </c>
      <c r="BY1489" t="str">
        <f t="shared" si="264"/>
        <v/>
      </c>
      <c r="BZ1489" s="83" t="str">
        <f t="shared" si="261"/>
        <v/>
      </c>
      <c r="CA1489" s="83" t="str">
        <f t="shared" si="262"/>
        <v/>
      </c>
      <c r="CB1489" s="530" t="str">
        <f t="shared" si="263"/>
        <v/>
      </c>
    </row>
    <row r="1490" spans="76:80" ht="13.2" customHeight="1">
      <c r="BX1490" t="str">
        <f>IF(Pays="Principautés Frontalières","Bourg de Zenrès","")</f>
        <v/>
      </c>
      <c r="BY1490" t="str">
        <f t="shared" si="264"/>
        <v/>
      </c>
      <c r="BZ1490" s="83" t="str">
        <f t="shared" si="261"/>
        <v/>
      </c>
      <c r="CA1490" s="83" t="str">
        <f t="shared" si="262"/>
        <v/>
      </c>
      <c r="CB1490" s="530" t="str">
        <f t="shared" si="263"/>
        <v/>
      </c>
    </row>
    <row r="1491" spans="76:80" ht="13.2" customHeight="1">
      <c r="BX1491" t="str">
        <f>IF(Pays="Principautés Frontalières","Bourg de Fatanbad","")</f>
        <v/>
      </c>
      <c r="BY1491" t="str">
        <f t="shared" ref="BY1491" si="265">IF(BX1491="","",ROW())</f>
        <v/>
      </c>
      <c r="BZ1491" s="83" t="str">
        <f t="shared" si="261"/>
        <v/>
      </c>
      <c r="CA1491" s="83" t="str">
        <f t="shared" si="262"/>
        <v/>
      </c>
      <c r="CB1491" s="530" t="str">
        <f t="shared" si="263"/>
        <v/>
      </c>
    </row>
    <row r="1492" spans="76:80" ht="13.2" customHeight="1">
      <c r="BX1492" t="str">
        <f>IF(Pays="Ulthuan","Montagnes de l’Échine du Dragon","")</f>
        <v/>
      </c>
      <c r="BY1492" t="str">
        <f t="shared" ref="BY1492" si="266">IF(BX1492="","",ROW())</f>
        <v/>
      </c>
      <c r="BZ1492" s="83" t="str">
        <f t="shared" ref="BZ1492" si="267">IFERROR(SMALL(BY:BY,ROW()-1),"")</f>
        <v/>
      </c>
      <c r="CA1492" s="83" t="str">
        <f t="shared" ref="CA1492" si="268">IFERROR(INDEX(BX:BX,BZ1492),"")</f>
        <v/>
      </c>
      <c r="CB1492" s="530" t="str">
        <f t="shared" ref="CB1492" si="269">INDEX(CA:CA,ROW())</f>
        <v/>
      </c>
    </row>
    <row r="1493" spans="76:80" ht="13.2" customHeight="1">
      <c r="BX1493" s="25" t="str">
        <f>IF(Pays="Steppes orientales","Tribus kurganne des Muhaks","")</f>
        <v/>
      </c>
      <c r="BY1493" t="str">
        <f t="shared" ref="BY1493" si="270">IF(BX1493="","",ROW())</f>
        <v/>
      </c>
      <c r="BZ1493" s="83" t="str">
        <f t="shared" ref="BZ1493" si="271">IFERROR(SMALL(BY:BY,ROW()-1),"")</f>
        <v/>
      </c>
      <c r="CA1493" s="83" t="str">
        <f t="shared" ref="CA1493" si="272">IFERROR(INDEX(BX:BX,BZ1493),"")</f>
        <v/>
      </c>
      <c r="CB1493" s="530" t="str">
        <f t="shared" ref="CB1493" si="273">INDEX(CA:CA,ROW())</f>
        <v/>
      </c>
    </row>
    <row r="1494" spans="76:80" ht="13.2" customHeight="1">
      <c r="BX1494" s="25" t="str">
        <f>IF(Pays="Lustrie","Port des Pillards","")</f>
        <v/>
      </c>
      <c r="BY1494" t="str">
        <f t="shared" ref="BY1494:BY1495" si="274">IF(BX1494="","",ROW())</f>
        <v/>
      </c>
      <c r="BZ1494" s="83" t="str">
        <f t="shared" ref="BZ1494:BZ1495" si="275">IFERROR(SMALL(BY:BY,ROW()-1),"")</f>
        <v/>
      </c>
      <c r="CA1494" s="83" t="str">
        <f t="shared" ref="CA1494:CA1495" si="276">IFERROR(INDEX(BX:BX,BZ1494),"")</f>
        <v/>
      </c>
      <c r="CB1494" s="530" t="str">
        <f t="shared" ref="CB1494:CB1495" si="277">INDEX(CA:CA,ROW())</f>
        <v/>
      </c>
    </row>
    <row r="1495" spans="76:80" ht="13.2" customHeight="1">
      <c r="BX1495" s="25" t="str">
        <f>IF(Pays="Lustrie","Bourbeville","")</f>
        <v/>
      </c>
      <c r="BY1495" t="str">
        <f t="shared" si="274"/>
        <v/>
      </c>
      <c r="BZ1495" s="83" t="str">
        <f t="shared" si="275"/>
        <v/>
      </c>
      <c r="CA1495" s="83" t="str">
        <f t="shared" si="276"/>
        <v/>
      </c>
      <c r="CB1495" s="530" t="str">
        <f t="shared" si="277"/>
        <v/>
      </c>
    </row>
    <row r="1496" spans="76:80" ht="13.2" customHeight="1">
      <c r="BX1496" s="25" t="str">
        <f>IF(Pays="Lustrie","Ruines de la ville portuaire de Cadavo,","")</f>
        <v/>
      </c>
      <c r="BY1496" t="str">
        <f t="shared" ref="BY1496:BY1497" si="278">IF(BX1496="","",ROW())</f>
        <v/>
      </c>
      <c r="BZ1496" s="83" t="str">
        <f t="shared" ref="BZ1496:BZ1497" si="279">IFERROR(SMALL(BY:BY,ROW()-1),"")</f>
        <v/>
      </c>
      <c r="CA1496" s="83" t="str">
        <f t="shared" ref="CA1496:CA1497" si="280">IFERROR(INDEX(BX:BX,BZ1496),"")</f>
        <v/>
      </c>
      <c r="CB1496" s="530" t="str">
        <f t="shared" ref="CB1496:CB1497" si="281">INDEX(CA:CA,ROW())</f>
        <v/>
      </c>
    </row>
    <row r="1497" spans="76:80" ht="13.2" customHeight="1">
      <c r="BX1497" s="25" t="str">
        <f>IF(Pays="Norsca","Ruines de l'île d'Àsin","")</f>
        <v/>
      </c>
      <c r="BY1497" t="str">
        <f t="shared" si="278"/>
        <v/>
      </c>
      <c r="BZ1497" s="83" t="str">
        <f t="shared" si="279"/>
        <v/>
      </c>
      <c r="CA1497" s="83" t="str">
        <f t="shared" si="280"/>
        <v/>
      </c>
      <c r="CB1497" s="530" t="str">
        <f t="shared" si="281"/>
        <v/>
      </c>
    </row>
    <row r="1498" spans="76:80" ht="13.2" customHeight="1">
      <c r="BX1498" s="25" t="str">
        <f>IF(Province="Ligue de l'Ostermark","Mordheim/La Cité des Damnés","")</f>
        <v/>
      </c>
      <c r="BY1498" t="str">
        <f t="shared" ref="BY1498" si="282">IF(BX1498="","",ROW())</f>
        <v/>
      </c>
      <c r="BZ1498" s="83" t="str">
        <f t="shared" ref="BZ1498" si="283">IFERROR(SMALL(BY:BY,ROW()-1),"")</f>
        <v/>
      </c>
      <c r="CA1498" s="83" t="str">
        <f t="shared" ref="CA1498" si="284">IFERROR(INDEX(BX:BX,BZ1498),"")</f>
        <v/>
      </c>
      <c r="CB1498" s="530" t="str">
        <f t="shared" ref="CB1498" si="285">INDEX(CA:CA,ROW())</f>
        <v/>
      </c>
    </row>
    <row r="1499" spans="76:80" ht="13.2" customHeight="1">
      <c r="BX1499" s="25" t="str">
        <f>IF(Pays="Principautés Frontalières","Ancienne Province de Lichtenberg","")</f>
        <v/>
      </c>
      <c r="BY1499" t="str">
        <f t="shared" ref="BY1499" si="286">IF(BX1499="","",ROW())</f>
        <v/>
      </c>
      <c r="BZ1499" s="83" t="str">
        <f t="shared" ref="BZ1499" si="287">IFERROR(SMALL(BY:BY,ROW()-1),"")</f>
        <v/>
      </c>
      <c r="CA1499" s="83" t="str">
        <f t="shared" ref="CA1499" si="288">IFERROR(INDEX(BX:BX,BZ1499),"")</f>
        <v/>
      </c>
      <c r="CB1499" s="530" t="str">
        <f t="shared" ref="CB1499" si="289">INDEX(CA:CA,ROW())</f>
        <v/>
      </c>
    </row>
    <row r="1500" spans="76:80" ht="13.2" customHeight="1">
      <c r="BX1500" s="25" t="str">
        <f>IF(Pays="Principautés Frontalières","Ville-forteresse de Malko","")</f>
        <v/>
      </c>
      <c r="BY1500" t="str">
        <f t="shared" ref="BY1500" si="290">IF(BX1500="","",ROW())</f>
        <v/>
      </c>
      <c r="BZ1500" s="83" t="str">
        <f t="shared" ref="BZ1500" si="291">IFERROR(SMALL(BY:BY,ROW()-1),"")</f>
        <v/>
      </c>
      <c r="CA1500" s="83" t="str">
        <f t="shared" ref="CA1500" si="292">IFERROR(INDEX(BX:BX,BZ1500),"")</f>
        <v/>
      </c>
      <c r="CB1500" s="530" t="str">
        <f t="shared" ref="CB1500" si="293">INDEX(CA:CA,ROW())</f>
        <v/>
      </c>
    </row>
    <row r="1501" spans="76:80" ht="13.2" customHeight="1">
      <c r="BX1501" s="574"/>
    </row>
  </sheetData>
  <sheetProtection selectLockedCells="1" selectUnlockedCells="1"/>
  <sortState xmlns:xlrd2="http://schemas.microsoft.com/office/spreadsheetml/2017/richdata2" ref="DV2:DW35">
    <sortCondition ref="DV2:DV35"/>
  </sortState>
  <mergeCells count="10">
    <mergeCell ref="EV1:EX1"/>
    <mergeCell ref="ER1:ET1"/>
    <mergeCell ref="B1:C1"/>
    <mergeCell ref="D1:E1"/>
    <mergeCell ref="EH1:EJ1"/>
    <mergeCell ref="BU1:BW1"/>
    <mergeCell ref="CV1:CX1"/>
    <mergeCell ref="BY1:CB1"/>
    <mergeCell ref="DA1:DB1"/>
    <mergeCell ref="BE1:BG1"/>
  </mergeCells>
  <phoneticPr fontId="2" type="noConversion"/>
  <dataValidations count="5">
    <dataValidation type="list" allowBlank="1" showInputMessage="1" showErrorMessage="1" sqref="DE120:DE121 DE66:DE73 DE77:DE105 DE518:DE1048576 DE51:DE64 DE129:DE131 DE123:DE127 DE133:DE516 DE107:DE117 DE27:DE37 DE1:DE25 DE39:DE48" xr:uid="{00000000-0002-0000-0900-000000000000}">
      <formula1>caractéristique</formula1>
    </dataValidation>
    <dataValidation type="list" allowBlank="1" showInputMessage="1" showErrorMessage="1" sqref="Y155:Y203 Y412:Y1048576 Y119:Y153 Y207:Y221 Y262:Y315 Y27:Y33 Y3:Y25 Y49:Y79 Y35:Y47 Y251:Y259 Y223:Y249 Y349:Y410 Y344:Y347 Y317:Y342 Y81:Y117" xr:uid="{00000000-0002-0000-0900-000002000000}">
      <formula1>types_carrières</formula1>
    </dataValidation>
    <dataValidation type="whole" allowBlank="1" showInputMessage="1" showErrorMessage="1" sqref="DF518:DF1048576 DF1:DF516" xr:uid="{00000000-0002-0000-0900-000001000000}">
      <formula1>1</formula1>
      <formula2>99</formula2>
    </dataValidation>
    <dataValidation type="list" allowBlank="1" showInputMessage="1" showErrorMessage="1" sqref="CT27:CT34 CT45:CT57 CT36:CT43 CT19:CT25 CT1:CT17 CT62:CT1048576" xr:uid="{6452FEF4-B946-4E13-9C26-AECE28F41363}">
      <formula1>talents</formula1>
    </dataValidation>
    <dataValidation type="list" allowBlank="1" showInputMessage="1" showErrorMessage="1" sqref="EN1:EN1048576" xr:uid="{4E3C8118-9524-476E-9AC4-F9FE286DC89B}">
      <formula1>vertu_don</formula1>
    </dataValidation>
  </dataValidations>
  <hyperlinks>
    <hyperlink ref="Z132" r:id="rId1" xr:uid="{00000000-0004-0000-0900-000000000000}"/>
    <hyperlink ref="Z174" r:id="rId2" xr:uid="{00000000-0004-0000-0900-000001000000}"/>
    <hyperlink ref="Z227" r:id="rId3" xr:uid="{00000000-0004-0000-0900-000002000000}"/>
    <hyperlink ref="EP158" r:id="rId4" xr:uid="{D9595723-166F-49AA-98E7-E3F976620DFC}"/>
    <hyperlink ref="EP159:EP161" r:id="rId5" display="Web" xr:uid="{E02393DC-D797-47BA-B98A-C09D4F793412}"/>
    <hyperlink ref="DU22" r:id="rId6" xr:uid="{F9A0810F-D03D-4D8D-B541-06338572B677}"/>
    <hyperlink ref="FD156" r:id="rId7" xr:uid="{B2AA60FC-ED0B-44E1-8CE4-13E00A87768D}"/>
    <hyperlink ref="FD179" r:id="rId8" xr:uid="{9C3CEE85-6684-4841-9D67-A45FB9FB4CD2}"/>
    <hyperlink ref="FD173" r:id="rId9" xr:uid="{9A5C5C67-2A10-45D4-AFFF-186F0FC6552D}"/>
    <hyperlink ref="FD180" r:id="rId10" xr:uid="{BBA6D864-0817-401A-9222-1DF729C2497F}"/>
    <hyperlink ref="FD165" r:id="rId11" display="Web" xr:uid="{013F449B-B279-4AC2-AAE7-67CBD9D6DAD3}"/>
    <hyperlink ref="FD271" r:id="rId12" display="Web" xr:uid="{D09B4CBC-0B5C-4238-8A36-10ABC69BCF92}"/>
    <hyperlink ref="FD45" r:id="rId13" xr:uid="{062AD8DD-C31A-433E-9D24-0363DD683325}"/>
    <hyperlink ref="FD44" r:id="rId14" xr:uid="{15B83865-7AAB-4FDC-A518-742C3981B924}"/>
    <hyperlink ref="FD27" r:id="rId15" xr:uid="{A76CE78B-3E8B-47CB-B2B8-FBEBE111B929}"/>
    <hyperlink ref="FD270:FD271" r:id="rId16" display="Web" xr:uid="{088EAA53-C632-46DD-97D4-6CCA565C2649}"/>
    <hyperlink ref="FD7" r:id="rId17" xr:uid="{9B9DF7AC-0AB6-4349-8674-39EEC8131A6D}"/>
    <hyperlink ref="FD32" r:id="rId18" xr:uid="{6FF51AF2-0967-446F-AB60-199D11AEAC91}"/>
    <hyperlink ref="Z35" r:id="rId19" xr:uid="{8FCC89A8-B497-40E1-8C68-8F5782B29781}"/>
    <hyperlink ref="Z277" r:id="rId20" display="Web" xr:uid="{BFAB6997-E8A8-4731-944B-3E9027F55C4C}"/>
    <hyperlink ref="Z222" r:id="rId21" xr:uid="{014B8739-0CD7-4CD6-A727-CAA56C8F0569}"/>
    <hyperlink ref="Z316" r:id="rId22" xr:uid="{23E6883D-0A0D-46FF-B732-4D7C24A1F271}"/>
    <hyperlink ref="FD185" r:id="rId23" xr:uid="{30A02B1E-A5B9-434F-8244-1A85737CE089}"/>
    <hyperlink ref="FD134" r:id="rId24" xr:uid="{0988ABEB-4808-42FD-B00C-D949886F4C6A}"/>
    <hyperlink ref="FD34" r:id="rId25" xr:uid="{DB46BAC9-E57F-4A94-ADF4-23AE6617EBE9}"/>
    <hyperlink ref="FD85" r:id="rId26" xr:uid="{DCFF92DD-16FB-41E3-91AF-7F284F19C6EB}"/>
    <hyperlink ref="FD9" r:id="rId27" xr:uid="{F43BB7A4-53CE-46FA-9D7E-E127478FFC00}"/>
    <hyperlink ref="FD149" r:id="rId28" xr:uid="{6E1EDADE-273F-486F-A877-1B2728BC9CA6}"/>
    <hyperlink ref="FD83" r:id="rId29" xr:uid="{C0B2836B-41C2-416F-9D0B-9F0CA7E55563}"/>
    <hyperlink ref="FD166" r:id="rId30" xr:uid="{D6408C8E-BE13-4309-9A07-FFCE302B2F59}"/>
    <hyperlink ref="FD170" r:id="rId31" xr:uid="{CE1FD564-35D6-467E-841D-D5E23ADC9B9C}"/>
    <hyperlink ref="FD6" r:id="rId32" xr:uid="{BCB50602-638E-4C86-80D5-05502D328BFD}"/>
    <hyperlink ref="FD72" r:id="rId33" xr:uid="{780E467C-3E6A-4534-9AAE-00EEDE80FACE}"/>
    <hyperlink ref="DU8" r:id="rId34" xr:uid="{DC62C566-63F4-4B35-B58E-BC681D2A1A64}"/>
    <hyperlink ref="DU12" r:id="rId35" xr:uid="{BE3E247E-D2C5-43B6-814F-C0A18851233F}"/>
    <hyperlink ref="DU38" r:id="rId36" xr:uid="{62BFD66B-7EBF-453D-83D5-F5D121FF1F16}"/>
    <hyperlink ref="DU41" r:id="rId37" xr:uid="{8C0E8692-1333-4D26-86C2-6E13278E52C9}"/>
  </hyperlinks>
  <pageMargins left="0.78740157499999996" right="0.78740157499999996" top="0.984251969" bottom="0.984251969" header="0.4921259845" footer="0.4921259845"/>
  <pageSetup paperSize="9" orientation="portrait" r:id="rId38"/>
  <headerFooter alignWithMargins="0"/>
  <legacyDrawing r:id="rId3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theme="1"/>
  </sheetPr>
  <dimension ref="A1:N968"/>
  <sheetViews>
    <sheetView showRowColHeaders="0" workbookViewId="0">
      <pane xSplit="2" topLeftCell="H1" activePane="topRight" state="frozen"/>
      <selection sqref="A1:AQ1"/>
      <selection pane="topRight"/>
    </sheetView>
  </sheetViews>
  <sheetFormatPr baseColWidth="10" defaultColWidth="50" defaultRowHeight="13.2"/>
  <cols>
    <col min="1" max="1" width="38.44140625" style="40" customWidth="1"/>
    <col min="2" max="2" width="41.33203125" style="42" customWidth="1"/>
    <col min="3" max="3" width="31" style="42" customWidth="1"/>
    <col min="4" max="4" width="35.6640625" style="53" customWidth="1"/>
    <col min="5" max="5" width="31.33203125" style="53" customWidth="1"/>
    <col min="6" max="6" width="22.44140625" style="53" customWidth="1"/>
    <col min="7" max="7" width="45" style="53" customWidth="1"/>
    <col min="8" max="8" width="147.88671875" style="42" customWidth="1"/>
    <col min="9" max="9" width="10.5546875" style="42" customWidth="1"/>
    <col min="10" max="10" width="16.33203125" style="577" customWidth="1"/>
    <col min="11" max="11" width="14.33203125" style="42" customWidth="1"/>
    <col min="12" max="12" width="20.5546875" style="42" customWidth="1"/>
    <col min="13" max="13" width="34.33203125" style="42" customWidth="1"/>
    <col min="14" max="14" width="18.88671875" style="42" customWidth="1"/>
    <col min="15" max="21" width="50" style="42"/>
    <col min="22" max="22" width="55" style="42" customWidth="1"/>
    <col min="23" max="23" width="50" style="42"/>
    <col min="24" max="24" width="42.6640625" style="42" customWidth="1"/>
    <col min="25" max="16384" width="50" style="42"/>
  </cols>
  <sheetData>
    <row r="1" spans="1:14" s="40" customFormat="1">
      <c r="A1" s="40" t="s">
        <v>686</v>
      </c>
      <c r="B1" s="40" t="s">
        <v>678</v>
      </c>
      <c r="C1" s="40" t="s">
        <v>537</v>
      </c>
      <c r="D1" s="52" t="s">
        <v>536</v>
      </c>
      <c r="E1" s="52"/>
      <c r="F1" s="52"/>
      <c r="G1" s="52"/>
      <c r="I1" s="40" t="s">
        <v>11360</v>
      </c>
      <c r="J1" s="40" t="s">
        <v>11362</v>
      </c>
      <c r="K1" s="40" t="s">
        <v>11368</v>
      </c>
      <c r="L1" s="40" t="s">
        <v>11399</v>
      </c>
      <c r="M1" s="40" t="s">
        <v>11361</v>
      </c>
      <c r="N1" s="40" t="s">
        <v>11389</v>
      </c>
    </row>
    <row r="2" spans="1:14" ht="15" customHeight="1">
      <c r="A2" s="616" t="s">
        <v>433</v>
      </c>
      <c r="B2" s="40"/>
      <c r="C2" s="59" t="s">
        <v>9712</v>
      </c>
      <c r="D2" s="53" t="s">
        <v>11944</v>
      </c>
    </row>
    <row r="3" spans="1:14">
      <c r="A3" s="613" t="s">
        <v>1310</v>
      </c>
      <c r="B3" s="42" t="s">
        <v>1115</v>
      </c>
      <c r="C3" s="59" t="s">
        <v>1321</v>
      </c>
      <c r="D3" s="53" t="s">
        <v>1322</v>
      </c>
      <c r="N3" s="86" t="s">
        <v>5679</v>
      </c>
    </row>
    <row r="4" spans="1:14">
      <c r="B4" s="86" t="s">
        <v>16402</v>
      </c>
      <c r="C4" s="59" t="s">
        <v>16404</v>
      </c>
      <c r="D4" s="53">
        <v>30</v>
      </c>
      <c r="N4" s="86" t="s">
        <v>16403</v>
      </c>
    </row>
    <row r="5" spans="1:14">
      <c r="B5" s="86" t="s">
        <v>9704</v>
      </c>
      <c r="C5" s="59" t="s">
        <v>9703</v>
      </c>
      <c r="D5" s="53">
        <v>244</v>
      </c>
      <c r="N5" s="86" t="s">
        <v>11447</v>
      </c>
    </row>
    <row r="6" spans="1:14">
      <c r="B6" s="42" t="s">
        <v>526</v>
      </c>
      <c r="C6" s="59" t="s">
        <v>538</v>
      </c>
      <c r="D6" s="53">
        <v>217</v>
      </c>
      <c r="N6" s="86" t="s">
        <v>11448</v>
      </c>
    </row>
    <row r="7" spans="1:14">
      <c r="B7" s="42" t="s">
        <v>16123</v>
      </c>
      <c r="C7" s="59" t="s">
        <v>15646</v>
      </c>
      <c r="D7" s="53">
        <v>105</v>
      </c>
      <c r="N7" s="86" t="s">
        <v>16382</v>
      </c>
    </row>
    <row r="8" spans="1:14">
      <c r="B8" s="42" t="s">
        <v>528</v>
      </c>
      <c r="C8" s="59" t="s">
        <v>538</v>
      </c>
      <c r="D8" s="53">
        <v>217</v>
      </c>
      <c r="N8" s="86" t="s">
        <v>11449</v>
      </c>
    </row>
    <row r="9" spans="1:14">
      <c r="B9" s="42" t="s">
        <v>529</v>
      </c>
      <c r="C9" s="59" t="s">
        <v>538</v>
      </c>
      <c r="D9" s="53">
        <v>217</v>
      </c>
      <c r="N9" s="86" t="s">
        <v>11450</v>
      </c>
    </row>
    <row r="10" spans="1:14">
      <c r="B10" s="42" t="s">
        <v>530</v>
      </c>
      <c r="C10" s="59" t="s">
        <v>538</v>
      </c>
      <c r="D10" s="53">
        <v>218</v>
      </c>
      <c r="N10" s="86" t="s">
        <v>11451</v>
      </c>
    </row>
    <row r="11" spans="1:14">
      <c r="B11" s="42" t="s">
        <v>531</v>
      </c>
      <c r="C11" s="59" t="s">
        <v>538</v>
      </c>
      <c r="D11" s="53">
        <v>218</v>
      </c>
      <c r="N11" s="86" t="s">
        <v>11452</v>
      </c>
    </row>
    <row r="12" spans="1:14">
      <c r="B12" s="42" t="s">
        <v>532</v>
      </c>
      <c r="C12" s="59" t="s">
        <v>538</v>
      </c>
      <c r="D12" s="53">
        <v>218</v>
      </c>
      <c r="N12" s="86" t="s">
        <v>11453</v>
      </c>
    </row>
    <row r="13" spans="1:14">
      <c r="B13" s="83" t="s">
        <v>9111</v>
      </c>
      <c r="C13" s="59" t="s">
        <v>9130</v>
      </c>
      <c r="D13" s="53" t="s">
        <v>4551</v>
      </c>
      <c r="N13" s="86" t="s">
        <v>11454</v>
      </c>
    </row>
    <row r="14" spans="1:14">
      <c r="B14" s="86" t="s">
        <v>11455</v>
      </c>
      <c r="C14" s="59" t="s">
        <v>538</v>
      </c>
      <c r="D14" s="53">
        <v>218</v>
      </c>
      <c r="N14" s="86" t="s">
        <v>11456</v>
      </c>
    </row>
    <row r="15" spans="1:14">
      <c r="B15" s="86" t="s">
        <v>9805</v>
      </c>
      <c r="C15" s="59" t="s">
        <v>1319</v>
      </c>
      <c r="D15" s="53">
        <v>113</v>
      </c>
      <c r="N15" s="86" t="s">
        <v>11457</v>
      </c>
    </row>
    <row r="16" spans="1:14">
      <c r="B16" s="42" t="s">
        <v>535</v>
      </c>
      <c r="C16" s="59" t="s">
        <v>538</v>
      </c>
      <c r="D16" s="53">
        <v>219</v>
      </c>
      <c r="N16" s="86" t="s">
        <v>11458</v>
      </c>
    </row>
    <row r="17" spans="1:14">
      <c r="B17" s="83" t="s">
        <v>9112</v>
      </c>
      <c r="C17" s="59" t="s">
        <v>9130</v>
      </c>
      <c r="N17" s="86" t="s">
        <v>11459</v>
      </c>
    </row>
    <row r="18" spans="1:14">
      <c r="B18" s="83" t="s">
        <v>11741</v>
      </c>
      <c r="C18" s="59" t="s">
        <v>9130</v>
      </c>
      <c r="D18" s="53" t="s">
        <v>4551</v>
      </c>
      <c r="N18" s="86" t="s">
        <v>11761</v>
      </c>
    </row>
    <row r="19" spans="1:14">
      <c r="B19" s="42" t="s">
        <v>534</v>
      </c>
      <c r="C19" s="59" t="s">
        <v>538</v>
      </c>
      <c r="D19" s="53">
        <v>218</v>
      </c>
      <c r="N19" s="86" t="s">
        <v>11460</v>
      </c>
    </row>
    <row r="20" spans="1:14">
      <c r="B20" s="86" t="s">
        <v>9806</v>
      </c>
      <c r="C20" s="59" t="s">
        <v>1319</v>
      </c>
      <c r="D20" s="53">
        <v>113</v>
      </c>
      <c r="N20" s="86" t="s">
        <v>11461</v>
      </c>
    </row>
    <row r="21" spans="1:14">
      <c r="A21" s="614" t="s">
        <v>11587</v>
      </c>
      <c r="B21" s="42" t="s">
        <v>9823</v>
      </c>
      <c r="C21" s="59" t="s">
        <v>1319</v>
      </c>
      <c r="D21" s="53">
        <v>119</v>
      </c>
      <c r="N21" s="86" t="s">
        <v>11428</v>
      </c>
    </row>
    <row r="22" spans="1:14">
      <c r="B22" s="42" t="s">
        <v>9819</v>
      </c>
      <c r="C22" s="59" t="s">
        <v>538</v>
      </c>
      <c r="D22" s="53">
        <v>220</v>
      </c>
      <c r="N22" s="86" t="s">
        <v>11430</v>
      </c>
    </row>
    <row r="23" spans="1:14">
      <c r="B23" s="42" t="s">
        <v>9820</v>
      </c>
      <c r="C23" s="59" t="s">
        <v>538</v>
      </c>
      <c r="D23" s="53">
        <v>221</v>
      </c>
      <c r="N23" s="86" t="s">
        <v>11431</v>
      </c>
    </row>
    <row r="24" spans="1:14">
      <c r="B24" s="42" t="s">
        <v>9821</v>
      </c>
      <c r="C24" s="59" t="s">
        <v>538</v>
      </c>
      <c r="D24" s="53">
        <v>222</v>
      </c>
      <c r="N24" s="86" t="s">
        <v>16383</v>
      </c>
    </row>
    <row r="25" spans="1:14">
      <c r="B25" s="86" t="s">
        <v>11335</v>
      </c>
      <c r="C25" s="59"/>
      <c r="N25" s="86" t="s">
        <v>11432</v>
      </c>
    </row>
    <row r="26" spans="1:14">
      <c r="B26" s="86" t="s">
        <v>16405</v>
      </c>
      <c r="C26" s="59" t="s">
        <v>16404</v>
      </c>
      <c r="D26" s="53">
        <v>35</v>
      </c>
      <c r="N26" s="86"/>
    </row>
    <row r="27" spans="1:14">
      <c r="B27" s="86" t="s">
        <v>16032</v>
      </c>
      <c r="C27" s="59" t="s">
        <v>15646</v>
      </c>
      <c r="D27" s="53">
        <v>105</v>
      </c>
      <c r="N27" s="86" t="s">
        <v>16384</v>
      </c>
    </row>
    <row r="28" spans="1:14">
      <c r="B28" s="83" t="s">
        <v>9822</v>
      </c>
      <c r="C28" s="59" t="s">
        <v>9221</v>
      </c>
      <c r="D28" s="53">
        <v>26</v>
      </c>
      <c r="N28" s="86" t="s">
        <v>11176</v>
      </c>
    </row>
    <row r="29" spans="1:14">
      <c r="B29" s="86" t="s">
        <v>16124</v>
      </c>
      <c r="C29" s="59" t="s">
        <v>9130</v>
      </c>
      <c r="N29" s="86" t="s">
        <v>16385</v>
      </c>
    </row>
    <row r="30" spans="1:14">
      <c r="B30" s="337" t="s">
        <v>9826</v>
      </c>
      <c r="C30" s="59" t="s">
        <v>9703</v>
      </c>
      <c r="D30" s="53">
        <v>293</v>
      </c>
      <c r="N30" s="86" t="s">
        <v>11433</v>
      </c>
    </row>
    <row r="31" spans="1:14">
      <c r="B31" s="42" t="s">
        <v>9809</v>
      </c>
      <c r="C31" s="59" t="s">
        <v>1321</v>
      </c>
      <c r="D31" s="53" t="s">
        <v>1906</v>
      </c>
      <c r="N31" s="86" t="s">
        <v>11434</v>
      </c>
    </row>
    <row r="32" spans="1:14">
      <c r="B32" s="42" t="s">
        <v>9810</v>
      </c>
      <c r="C32" s="59" t="s">
        <v>1321</v>
      </c>
      <c r="D32" s="53" t="s">
        <v>1907</v>
      </c>
      <c r="N32" s="86" t="s">
        <v>11435</v>
      </c>
    </row>
    <row r="33" spans="1:14">
      <c r="B33" s="42" t="s">
        <v>9811</v>
      </c>
      <c r="C33" s="59" t="s">
        <v>1321</v>
      </c>
      <c r="D33" s="53" t="s">
        <v>1908</v>
      </c>
      <c r="N33" s="86" t="s">
        <v>11436</v>
      </c>
    </row>
    <row r="34" spans="1:14">
      <c r="B34" s="42" t="s">
        <v>9812</v>
      </c>
      <c r="C34" s="59" t="s">
        <v>1321</v>
      </c>
      <c r="D34" s="53" t="s">
        <v>1909</v>
      </c>
      <c r="N34" s="86" t="s">
        <v>11437</v>
      </c>
    </row>
    <row r="35" spans="1:14">
      <c r="B35" s="42" t="s">
        <v>9813</v>
      </c>
      <c r="C35" s="59" t="s">
        <v>1321</v>
      </c>
      <c r="D35" s="53" t="s">
        <v>1910</v>
      </c>
      <c r="N35" s="86" t="s">
        <v>11438</v>
      </c>
    </row>
    <row r="36" spans="1:14">
      <c r="B36" s="42" t="s">
        <v>9815</v>
      </c>
      <c r="C36" s="59" t="s">
        <v>1321</v>
      </c>
      <c r="D36" s="53" t="s">
        <v>1911</v>
      </c>
      <c r="N36" s="86" t="s">
        <v>11439</v>
      </c>
    </row>
    <row r="37" spans="1:14">
      <c r="B37" s="86" t="s">
        <v>9814</v>
      </c>
      <c r="C37" s="59" t="s">
        <v>9130</v>
      </c>
      <c r="N37" s="86" t="s">
        <v>11429</v>
      </c>
    </row>
    <row r="38" spans="1:14">
      <c r="B38" s="42" t="s">
        <v>9816</v>
      </c>
      <c r="C38" s="59" t="s">
        <v>9029</v>
      </c>
      <c r="N38" s="86" t="s">
        <v>11440</v>
      </c>
    </row>
    <row r="39" spans="1:14">
      <c r="B39" s="42" t="s">
        <v>9817</v>
      </c>
      <c r="C39" s="59" t="s">
        <v>1321</v>
      </c>
      <c r="D39" s="53" t="s">
        <v>1912</v>
      </c>
      <c r="N39" s="86" t="s">
        <v>11441</v>
      </c>
    </row>
    <row r="40" spans="1:14">
      <c r="B40" s="42" t="s">
        <v>9824</v>
      </c>
      <c r="C40" s="59" t="s">
        <v>1319</v>
      </c>
      <c r="D40" s="53">
        <v>120</v>
      </c>
      <c r="N40" s="86" t="s">
        <v>11442</v>
      </c>
    </row>
    <row r="41" spans="1:14">
      <c r="B41" s="42" t="s">
        <v>9818</v>
      </c>
      <c r="C41" s="59" t="s">
        <v>1321</v>
      </c>
      <c r="D41" s="53" t="s">
        <v>1914</v>
      </c>
      <c r="N41" s="86" t="s">
        <v>11443</v>
      </c>
    </row>
    <row r="42" spans="1:14">
      <c r="B42" s="44" t="s">
        <v>9825</v>
      </c>
      <c r="C42" s="59" t="s">
        <v>2210</v>
      </c>
      <c r="D42" s="53" t="s">
        <v>3592</v>
      </c>
      <c r="N42" s="86" t="s">
        <v>11444</v>
      </c>
    </row>
    <row r="43" spans="1:14">
      <c r="B43" s="86" t="s">
        <v>9827</v>
      </c>
      <c r="C43" s="59" t="s">
        <v>9130</v>
      </c>
      <c r="N43" s="86" t="s">
        <v>11445</v>
      </c>
    </row>
    <row r="44" spans="1:14">
      <c r="B44" s="42" t="s">
        <v>9828</v>
      </c>
      <c r="C44" s="59" t="s">
        <v>1321</v>
      </c>
      <c r="D44" s="53" t="s">
        <v>1913</v>
      </c>
      <c r="N44" s="86" t="s">
        <v>11446</v>
      </c>
    </row>
    <row r="45" spans="1:14">
      <c r="B45" s="42" t="s">
        <v>9829</v>
      </c>
      <c r="C45" s="59" t="s">
        <v>1319</v>
      </c>
      <c r="D45" s="53">
        <v>121</v>
      </c>
      <c r="N45" s="86" t="s">
        <v>17245</v>
      </c>
    </row>
    <row r="46" spans="1:14">
      <c r="B46" s="86" t="s">
        <v>16387</v>
      </c>
      <c r="N46" s="86" t="s">
        <v>16386</v>
      </c>
    </row>
    <row r="47" spans="1:14">
      <c r="A47" s="618" t="s">
        <v>432</v>
      </c>
      <c r="B47" s="44" t="s">
        <v>3591</v>
      </c>
      <c r="C47" s="59" t="s">
        <v>2196</v>
      </c>
      <c r="D47" s="53">
        <v>226</v>
      </c>
      <c r="N47" s="86" t="s">
        <v>11477</v>
      </c>
    </row>
    <row r="48" spans="1:14">
      <c r="B48" s="86" t="s">
        <v>11423</v>
      </c>
      <c r="C48" s="59" t="s">
        <v>5299</v>
      </c>
      <c r="D48" s="53">
        <v>63</v>
      </c>
      <c r="N48" s="86" t="s">
        <v>11691</v>
      </c>
    </row>
    <row r="50" spans="1:14">
      <c r="B50" s="86" t="s">
        <v>11689</v>
      </c>
      <c r="C50" s="59" t="s">
        <v>4551</v>
      </c>
      <c r="N50" s="86" t="s">
        <v>11489</v>
      </c>
    </row>
    <row r="51" spans="1:14">
      <c r="B51" s="86" t="s">
        <v>9803</v>
      </c>
      <c r="C51" s="59" t="s">
        <v>1319</v>
      </c>
      <c r="D51" s="53">
        <v>112</v>
      </c>
      <c r="N51" s="86" t="s">
        <v>621</v>
      </c>
    </row>
    <row r="52" spans="1:14">
      <c r="B52" s="44" t="s">
        <v>1323</v>
      </c>
      <c r="C52" s="59" t="s">
        <v>1324</v>
      </c>
      <c r="D52" s="53">
        <v>146</v>
      </c>
      <c r="N52" s="86" t="s">
        <v>11427</v>
      </c>
    </row>
    <row r="53" spans="1:14">
      <c r="B53" s="86" t="s">
        <v>9701</v>
      </c>
      <c r="C53" s="59" t="s">
        <v>9703</v>
      </c>
      <c r="D53" s="53">
        <v>284</v>
      </c>
      <c r="N53" s="42" t="s">
        <v>10044</v>
      </c>
    </row>
    <row r="54" spans="1:14">
      <c r="B54" s="86" t="s">
        <v>9802</v>
      </c>
      <c r="C54" s="59" t="s">
        <v>1319</v>
      </c>
      <c r="D54" s="53">
        <v>112</v>
      </c>
      <c r="N54" s="86" t="s">
        <v>11494</v>
      </c>
    </row>
    <row r="55" spans="1:14">
      <c r="B55" s="44" t="s">
        <v>1325</v>
      </c>
      <c r="C55" s="59" t="s">
        <v>1324</v>
      </c>
      <c r="D55" s="53">
        <v>147</v>
      </c>
      <c r="N55" s="86" t="s">
        <v>5756</v>
      </c>
    </row>
    <row r="56" spans="1:14">
      <c r="B56" s="42" t="s">
        <v>1329</v>
      </c>
      <c r="C56" s="59" t="s">
        <v>1328</v>
      </c>
      <c r="D56" s="53">
        <v>74</v>
      </c>
      <c r="N56" s="86" t="s">
        <v>12951</v>
      </c>
    </row>
    <row r="57" spans="1:14">
      <c r="B57" s="86" t="s">
        <v>12945</v>
      </c>
      <c r="C57" s="59" t="s">
        <v>12950</v>
      </c>
      <c r="D57" s="53">
        <v>21</v>
      </c>
      <c r="N57" s="86" t="s">
        <v>12952</v>
      </c>
    </row>
    <row r="58" spans="1:14">
      <c r="B58" s="86" t="s">
        <v>12946</v>
      </c>
      <c r="C58" s="59" t="s">
        <v>12950</v>
      </c>
      <c r="D58" s="53">
        <v>21</v>
      </c>
      <c r="N58" s="86" t="s">
        <v>3102</v>
      </c>
    </row>
    <row r="59" spans="1:14">
      <c r="B59" s="42" t="s">
        <v>9702</v>
      </c>
      <c r="C59" s="59" t="s">
        <v>9703</v>
      </c>
      <c r="D59" s="53">
        <v>285</v>
      </c>
      <c r="N59" s="86" t="s">
        <v>11476</v>
      </c>
    </row>
    <row r="60" spans="1:14">
      <c r="B60" s="86" t="s">
        <v>15312</v>
      </c>
      <c r="C60" s="59" t="s">
        <v>15317</v>
      </c>
      <c r="D60" s="53">
        <v>226</v>
      </c>
      <c r="N60" s="86"/>
    </row>
    <row r="61" spans="1:14">
      <c r="A61" s="612" t="s">
        <v>11586</v>
      </c>
      <c r="B61" s="86" t="s">
        <v>16113</v>
      </c>
      <c r="C61" s="59" t="s">
        <v>15646</v>
      </c>
      <c r="D61" s="53">
        <v>105</v>
      </c>
      <c r="J61" s="577" t="s">
        <v>11385</v>
      </c>
      <c r="K61" s="86" t="s">
        <v>11462</v>
      </c>
      <c r="L61" s="86" t="s">
        <v>11463</v>
      </c>
      <c r="M61" s="86" t="s">
        <v>11474</v>
      </c>
      <c r="N61" s="86" t="s">
        <v>16114</v>
      </c>
    </row>
    <row r="62" spans="1:14">
      <c r="A62" s="833"/>
      <c r="B62" s="83" t="str">
        <f>IF(OR(Selectsousrace="Elfe Sylvain",AND(SelectRace="Humain",Selectsousrace="Demi-elfe"),AND(SelectRace="Halfling",Selectsousrace="Demi-elfe")),"Domaine d'Athel Loren","")</f>
        <v/>
      </c>
      <c r="C62" s="59" t="s">
        <v>9221</v>
      </c>
      <c r="D62" s="53">
        <v>23</v>
      </c>
      <c r="I62" s="86" t="s">
        <v>11413</v>
      </c>
      <c r="K62" s="86" t="s">
        <v>17246</v>
      </c>
      <c r="L62" s="86" t="s">
        <v>11422</v>
      </c>
      <c r="M62" s="86" t="s">
        <v>11390</v>
      </c>
      <c r="N62" s="86" t="s">
        <v>11479</v>
      </c>
    </row>
    <row r="63" spans="1:14">
      <c r="A63" s="45"/>
      <c r="B63" s="42" t="s">
        <v>1311</v>
      </c>
      <c r="C63" s="59" t="s">
        <v>1330</v>
      </c>
      <c r="D63" s="53" t="s">
        <v>1331</v>
      </c>
      <c r="I63" s="86" t="s">
        <v>11376</v>
      </c>
      <c r="J63" s="577" t="s">
        <v>11377</v>
      </c>
      <c r="K63" s="86" t="s">
        <v>11376</v>
      </c>
      <c r="L63" s="86" t="s">
        <v>11400</v>
      </c>
      <c r="M63" s="86" t="s">
        <v>11395</v>
      </c>
      <c r="N63" s="86" t="s">
        <v>1264</v>
      </c>
    </row>
    <row r="64" spans="1:14">
      <c r="B64" s="86" t="s">
        <v>7203</v>
      </c>
      <c r="C64" s="59" t="s">
        <v>5513</v>
      </c>
      <c r="D64" s="53">
        <v>74</v>
      </c>
      <c r="I64" s="86" t="s">
        <v>11386</v>
      </c>
      <c r="J64" s="577" t="s">
        <v>11385</v>
      </c>
      <c r="K64" s="86" t="s">
        <v>11462</v>
      </c>
      <c r="L64" s="86" t="s">
        <v>11463</v>
      </c>
      <c r="M64" s="86" t="s">
        <v>11474</v>
      </c>
      <c r="N64" s="86" t="s">
        <v>11939</v>
      </c>
    </row>
    <row r="65" spans="1:14">
      <c r="B65" s="42" t="s">
        <v>1314</v>
      </c>
      <c r="C65" s="59" t="s">
        <v>1330</v>
      </c>
      <c r="D65" s="53" t="s">
        <v>1334</v>
      </c>
      <c r="I65" s="86" t="s">
        <v>11363</v>
      </c>
      <c r="J65" s="577" t="s">
        <v>11364</v>
      </c>
      <c r="K65" s="86" t="s">
        <v>11411</v>
      </c>
      <c r="L65" s="86" t="s">
        <v>11401</v>
      </c>
      <c r="M65" s="86" t="s">
        <v>11382</v>
      </c>
      <c r="N65" s="86" t="s">
        <v>11498</v>
      </c>
    </row>
    <row r="66" spans="1:14">
      <c r="B66" s="44" t="s">
        <v>7178</v>
      </c>
      <c r="C66" s="59" t="s">
        <v>5513</v>
      </c>
      <c r="D66" s="53">
        <v>73</v>
      </c>
      <c r="I66" s="86" t="s">
        <v>11376</v>
      </c>
      <c r="J66" s="577" t="s">
        <v>11377</v>
      </c>
      <c r="K66" s="86" t="s">
        <v>11376</v>
      </c>
      <c r="L66" s="86" t="s">
        <v>11400</v>
      </c>
      <c r="M66" s="86" t="s">
        <v>11474</v>
      </c>
      <c r="N66" s="86" t="s">
        <v>11480</v>
      </c>
    </row>
    <row r="67" spans="1:14">
      <c r="B67" s="86" t="s">
        <v>16381</v>
      </c>
      <c r="C67" s="59"/>
      <c r="I67" s="86"/>
      <c r="J67" s="577" t="s">
        <v>11372</v>
      </c>
      <c r="K67" s="86" t="s">
        <v>11469</v>
      </c>
      <c r="L67" s="86" t="s">
        <v>11406</v>
      </c>
      <c r="M67" s="86" t="s">
        <v>16389</v>
      </c>
      <c r="N67" s="86" t="s">
        <v>16388</v>
      </c>
    </row>
    <row r="68" spans="1:14">
      <c r="B68" s="42" t="s">
        <v>1316</v>
      </c>
      <c r="C68" s="59" t="s">
        <v>1330</v>
      </c>
      <c r="D68" s="53">
        <v>155</v>
      </c>
      <c r="I68" s="86" t="s">
        <v>11373</v>
      </c>
      <c r="J68" s="577" t="s">
        <v>11374</v>
      </c>
      <c r="K68" s="86" t="s">
        <v>11375</v>
      </c>
      <c r="L68" s="86" t="s">
        <v>11404</v>
      </c>
      <c r="M68" s="86" t="s">
        <v>11383</v>
      </c>
      <c r="N68" s="86" t="s">
        <v>11481</v>
      </c>
    </row>
    <row r="69" spans="1:14">
      <c r="B69" s="42" t="s">
        <v>1318</v>
      </c>
      <c r="C69" s="59" t="s">
        <v>1330</v>
      </c>
      <c r="D69" s="53">
        <v>158161</v>
      </c>
      <c r="I69" s="86" t="s">
        <v>12954</v>
      </c>
      <c r="J69" s="577" t="s">
        <v>11367</v>
      </c>
      <c r="K69" s="86" t="s">
        <v>11369</v>
      </c>
      <c r="L69" s="86" t="s">
        <v>11405</v>
      </c>
      <c r="M69" s="86" t="s">
        <v>11378</v>
      </c>
      <c r="N69" s="86" t="s">
        <v>11482</v>
      </c>
    </row>
    <row r="70" spans="1:14">
      <c r="B70" s="44" t="s">
        <v>7205</v>
      </c>
      <c r="C70" s="59" t="s">
        <v>5513</v>
      </c>
      <c r="D70" s="53">
        <v>72</v>
      </c>
      <c r="I70" s="86" t="s">
        <v>11388</v>
      </c>
      <c r="J70" s="577" t="s">
        <v>11371</v>
      </c>
      <c r="K70" s="86" t="s">
        <v>11403</v>
      </c>
      <c r="L70" s="86" t="s">
        <v>11402</v>
      </c>
      <c r="M70" s="86" t="s">
        <v>17247</v>
      </c>
      <c r="N70" s="86" t="s">
        <v>5364</v>
      </c>
    </row>
    <row r="71" spans="1:14">
      <c r="B71" s="86" t="s">
        <v>9120</v>
      </c>
      <c r="C71" s="59" t="s">
        <v>4551</v>
      </c>
      <c r="I71" s="86" t="s">
        <v>11387</v>
      </c>
      <c r="J71" s="577" t="s">
        <v>11372</v>
      </c>
      <c r="K71" s="86" t="s">
        <v>11468</v>
      </c>
      <c r="L71" s="86" t="s">
        <v>11406</v>
      </c>
      <c r="M71" s="86" t="s">
        <v>12486</v>
      </c>
      <c r="N71" s="86" t="s">
        <v>11483</v>
      </c>
    </row>
    <row r="72" spans="1:14">
      <c r="B72" s="42" t="s">
        <v>1312</v>
      </c>
      <c r="C72" s="59" t="s">
        <v>1330</v>
      </c>
      <c r="D72" s="53" t="s">
        <v>1332</v>
      </c>
      <c r="I72" s="86" t="s">
        <v>11370</v>
      </c>
      <c r="J72" s="577" t="s">
        <v>11371</v>
      </c>
      <c r="K72" s="86" t="s">
        <v>11403</v>
      </c>
      <c r="L72" s="86" t="s">
        <v>11402</v>
      </c>
      <c r="M72" s="86" t="s">
        <v>11672</v>
      </c>
      <c r="N72" s="86" t="s">
        <v>11484</v>
      </c>
    </row>
    <row r="73" spans="1:14">
      <c r="B73" s="83" t="str">
        <f>IF(OR(Selectsousrace="Elfe Sylvain",AND(SelectRace="Humain",Selectsousrace="Demi-elfe"),AND(SelectRace="Halfling",Selectsousrace="Demi-elfe")),"Domaine des Forêts elfiques","")</f>
        <v/>
      </c>
      <c r="C73" s="59" t="s">
        <v>9221</v>
      </c>
      <c r="D73" s="53">
        <v>21</v>
      </c>
      <c r="I73" s="86" t="s">
        <v>11413</v>
      </c>
      <c r="K73" s="86" t="s">
        <v>17246</v>
      </c>
      <c r="L73" s="86" t="s">
        <v>11422</v>
      </c>
      <c r="M73" s="86" t="s">
        <v>11381</v>
      </c>
      <c r="N73" s="86" t="s">
        <v>11391</v>
      </c>
    </row>
    <row r="74" spans="1:14">
      <c r="B74" s="86" t="s">
        <v>1317</v>
      </c>
      <c r="C74" s="59" t="s">
        <v>1330</v>
      </c>
      <c r="D74" s="53" t="s">
        <v>1336</v>
      </c>
      <c r="I74" s="86" t="s">
        <v>11414</v>
      </c>
      <c r="J74" s="577" t="s">
        <v>11372</v>
      </c>
      <c r="K74" s="86" t="s">
        <v>11469</v>
      </c>
      <c r="L74" s="86" t="s">
        <v>11406</v>
      </c>
      <c r="M74" s="86" t="s">
        <v>11379</v>
      </c>
      <c r="N74" s="86" t="s">
        <v>11485</v>
      </c>
    </row>
    <row r="75" spans="1:14">
      <c r="B75" s="42" t="s">
        <v>1313</v>
      </c>
      <c r="C75" s="59" t="s">
        <v>1330</v>
      </c>
      <c r="D75" s="53" t="s">
        <v>1333</v>
      </c>
      <c r="I75" s="86" t="s">
        <v>11358</v>
      </c>
      <c r="J75" s="577" t="s">
        <v>11359</v>
      </c>
      <c r="K75" s="86" t="s">
        <v>11410</v>
      </c>
      <c r="L75" s="86" t="s">
        <v>11409</v>
      </c>
      <c r="M75" s="86" t="s">
        <v>11384</v>
      </c>
      <c r="N75" s="86" t="s">
        <v>11486</v>
      </c>
    </row>
    <row r="76" spans="1:14">
      <c r="B76" s="42" t="s">
        <v>1315</v>
      </c>
      <c r="C76" s="59" t="s">
        <v>1330</v>
      </c>
      <c r="D76" s="53" t="s">
        <v>1335</v>
      </c>
      <c r="I76" s="86" t="s">
        <v>11365</v>
      </c>
      <c r="J76" s="577" t="s">
        <v>11366</v>
      </c>
      <c r="K76" s="86" t="s">
        <v>11408</v>
      </c>
      <c r="L76" s="86" t="s">
        <v>11407</v>
      </c>
      <c r="M76" s="86" t="s">
        <v>11380</v>
      </c>
      <c r="N76" s="86" t="s">
        <v>11487</v>
      </c>
    </row>
    <row r="77" spans="1:14">
      <c r="A77" s="611" t="s">
        <v>10107</v>
      </c>
      <c r="B77" s="86" t="s">
        <v>9705</v>
      </c>
      <c r="C77" s="59" t="s">
        <v>9703</v>
      </c>
      <c r="D77" s="53">
        <v>287</v>
      </c>
      <c r="I77" s="86" t="s">
        <v>11393</v>
      </c>
      <c r="J77" s="577" t="s">
        <v>11392</v>
      </c>
      <c r="K77" s="86" t="s">
        <v>11465</v>
      </c>
      <c r="L77" s="86" t="s">
        <v>11464</v>
      </c>
      <c r="M77" s="86"/>
      <c r="N77" s="86" t="s">
        <v>9667</v>
      </c>
    </row>
    <row r="78" spans="1:14">
      <c r="B78" s="44" t="s">
        <v>9807</v>
      </c>
      <c r="C78" s="59" t="s">
        <v>1319</v>
      </c>
      <c r="D78" s="53">
        <v>114</v>
      </c>
      <c r="I78" s="86" t="s">
        <v>11412</v>
      </c>
      <c r="K78" s="86" t="s">
        <v>11467</v>
      </c>
      <c r="L78" s="86" t="s">
        <v>11419</v>
      </c>
      <c r="M78" s="86" t="s">
        <v>11417</v>
      </c>
      <c r="N78" s="86" t="s">
        <v>11478</v>
      </c>
    </row>
    <row r="79" spans="1:14">
      <c r="B79" s="44" t="s">
        <v>15605</v>
      </c>
      <c r="C79" s="59" t="s">
        <v>1319</v>
      </c>
      <c r="D79" s="53">
        <v>117</v>
      </c>
      <c r="I79" s="86" t="s">
        <v>11415</v>
      </c>
      <c r="J79" s="577" t="s">
        <v>11418</v>
      </c>
      <c r="K79" s="86" t="s">
        <v>11466</v>
      </c>
      <c r="L79" s="86" t="s">
        <v>11470</v>
      </c>
      <c r="M79" s="86" t="s">
        <v>11420</v>
      </c>
      <c r="N79" s="86" t="s">
        <v>11496</v>
      </c>
    </row>
    <row r="80" spans="1:14">
      <c r="B80" s="44" t="s">
        <v>15604</v>
      </c>
      <c r="C80" s="59" t="s">
        <v>1319</v>
      </c>
      <c r="D80" s="53">
        <v>117</v>
      </c>
      <c r="I80" s="86" t="s">
        <v>11415</v>
      </c>
      <c r="J80" s="577" t="s">
        <v>11418</v>
      </c>
      <c r="K80" s="86" t="s">
        <v>11466</v>
      </c>
      <c r="L80" s="86" t="s">
        <v>11470</v>
      </c>
      <c r="M80" s="86" t="s">
        <v>11420</v>
      </c>
      <c r="N80" s="86" t="s">
        <v>11496</v>
      </c>
    </row>
    <row r="81" spans="1:14">
      <c r="B81" s="44" t="s">
        <v>15603</v>
      </c>
      <c r="C81" s="59" t="s">
        <v>1319</v>
      </c>
      <c r="D81" s="53">
        <v>117</v>
      </c>
      <c r="I81" s="86" t="s">
        <v>11415</v>
      </c>
      <c r="J81" s="577" t="s">
        <v>11418</v>
      </c>
      <c r="K81" s="86" t="s">
        <v>11466</v>
      </c>
      <c r="L81" s="86" t="s">
        <v>11470</v>
      </c>
      <c r="M81" s="86" t="s">
        <v>11420</v>
      </c>
      <c r="N81" s="86" t="s">
        <v>11496</v>
      </c>
    </row>
    <row r="82" spans="1:14">
      <c r="A82" s="608" t="s">
        <v>11396</v>
      </c>
      <c r="B82" s="86" t="s">
        <v>11705</v>
      </c>
      <c r="C82" s="59" t="s">
        <v>4551</v>
      </c>
      <c r="I82" s="86" t="s">
        <v>11393</v>
      </c>
      <c r="J82" s="577" t="s">
        <v>11392</v>
      </c>
      <c r="K82" s="86" t="s">
        <v>11394</v>
      </c>
      <c r="L82" s="86" t="s">
        <v>11471</v>
      </c>
      <c r="M82" s="86"/>
      <c r="N82" s="86" t="s">
        <v>11718</v>
      </c>
    </row>
    <row r="83" spans="1:14">
      <c r="B83" s="86" t="s">
        <v>11499</v>
      </c>
      <c r="C83" s="59" t="s">
        <v>4551</v>
      </c>
      <c r="I83" s="86" t="s">
        <v>11397</v>
      </c>
      <c r="J83" s="577" t="s">
        <v>11398</v>
      </c>
      <c r="K83" s="86" t="s">
        <v>11416</v>
      </c>
      <c r="L83" s="86" t="s">
        <v>11421</v>
      </c>
      <c r="M83" s="562" t="s">
        <v>11473</v>
      </c>
      <c r="N83" s="86" t="s">
        <v>11488</v>
      </c>
    </row>
    <row r="84" spans="1:14">
      <c r="B84" s="86" t="s">
        <v>11500</v>
      </c>
      <c r="C84" s="59" t="s">
        <v>4551</v>
      </c>
      <c r="I84" s="86" t="s">
        <v>11397</v>
      </c>
      <c r="J84" s="577" t="s">
        <v>11398</v>
      </c>
      <c r="K84" s="86" t="s">
        <v>11416</v>
      </c>
      <c r="L84" s="86" t="s">
        <v>11421</v>
      </c>
      <c r="M84" s="562"/>
      <c r="N84" s="86" t="s">
        <v>11501</v>
      </c>
    </row>
    <row r="85" spans="1:14">
      <c r="A85" s="676" t="s">
        <v>12949</v>
      </c>
      <c r="B85" s="86" t="s">
        <v>12947</v>
      </c>
      <c r="C85" s="59" t="s">
        <v>12950</v>
      </c>
      <c r="I85" s="86" t="s">
        <v>12953</v>
      </c>
      <c r="J85" s="577" t="s">
        <v>12955</v>
      </c>
      <c r="K85" s="86" t="s">
        <v>12956</v>
      </c>
      <c r="L85" s="86" t="s">
        <v>12956</v>
      </c>
      <c r="M85" s="562"/>
      <c r="N85" s="86" t="s">
        <v>12957</v>
      </c>
    </row>
    <row r="86" spans="1:14">
      <c r="B86" s="86" t="s">
        <v>12948</v>
      </c>
      <c r="C86" s="59" t="s">
        <v>12950</v>
      </c>
      <c r="I86" s="86" t="s">
        <v>12953</v>
      </c>
      <c r="J86" s="577" t="s">
        <v>12955</v>
      </c>
      <c r="K86" s="86" t="s">
        <v>12956</v>
      </c>
      <c r="L86" s="86" t="s">
        <v>12956</v>
      </c>
      <c r="M86" s="562"/>
      <c r="N86" s="86" t="s">
        <v>12958</v>
      </c>
    </row>
    <row r="87" spans="1:14">
      <c r="A87" s="609" t="s">
        <v>3590</v>
      </c>
      <c r="B87" s="44" t="s">
        <v>1326</v>
      </c>
      <c r="C87" s="59" t="s">
        <v>1324</v>
      </c>
      <c r="D87" s="53">
        <v>160</v>
      </c>
      <c r="I87" s="86" t="s">
        <v>11393</v>
      </c>
      <c r="J87" s="577" t="s">
        <v>11392</v>
      </c>
      <c r="K87" s="86" t="s">
        <v>11394</v>
      </c>
      <c r="L87" s="86" t="s">
        <v>11471</v>
      </c>
      <c r="N87" s="86" t="s">
        <v>11497</v>
      </c>
    </row>
    <row r="88" spans="1:14">
      <c r="B88" s="86" t="s">
        <v>11673</v>
      </c>
      <c r="C88" s="59" t="s">
        <v>4551</v>
      </c>
      <c r="I88" s="86" t="s">
        <v>11393</v>
      </c>
      <c r="J88" s="577" t="s">
        <v>11392</v>
      </c>
      <c r="K88" s="86" t="s">
        <v>11394</v>
      </c>
      <c r="L88" s="86" t="s">
        <v>11471</v>
      </c>
      <c r="N88" s="86" t="s">
        <v>11758</v>
      </c>
    </row>
    <row r="89" spans="1:14">
      <c r="B89" s="86" t="s">
        <v>9921</v>
      </c>
      <c r="C89" s="59" t="s">
        <v>1324</v>
      </c>
      <c r="D89" s="53">
        <v>161</v>
      </c>
      <c r="I89" s="86" t="s">
        <v>11393</v>
      </c>
      <c r="J89" s="577" t="s">
        <v>11392</v>
      </c>
      <c r="K89" s="86" t="s">
        <v>11394</v>
      </c>
      <c r="L89" s="86" t="s">
        <v>11471</v>
      </c>
      <c r="N89" s="86" t="s">
        <v>11490</v>
      </c>
    </row>
    <row r="90" spans="1:14">
      <c r="B90" s="44" t="s">
        <v>3626</v>
      </c>
      <c r="C90" s="59" t="s">
        <v>9339</v>
      </c>
      <c r="D90" s="53" t="s">
        <v>9340</v>
      </c>
      <c r="I90" s="86" t="s">
        <v>11393</v>
      </c>
      <c r="J90" s="577" t="s">
        <v>11392</v>
      </c>
      <c r="K90" s="86" t="s">
        <v>11394</v>
      </c>
      <c r="L90" s="86" t="s">
        <v>11471</v>
      </c>
      <c r="N90" s="86" t="s">
        <v>11491</v>
      </c>
    </row>
    <row r="91" spans="1:14">
      <c r="B91" s="86" t="s">
        <v>3657</v>
      </c>
      <c r="C91" s="59" t="s">
        <v>2196</v>
      </c>
      <c r="D91" s="53">
        <v>230</v>
      </c>
      <c r="I91" s="86" t="s">
        <v>11393</v>
      </c>
      <c r="J91" s="577" t="s">
        <v>11392</v>
      </c>
      <c r="K91" s="86" t="s">
        <v>11394</v>
      </c>
      <c r="L91" s="86" t="s">
        <v>11471</v>
      </c>
      <c r="N91" s="86" t="s">
        <v>11492</v>
      </c>
    </row>
    <row r="92" spans="1:14">
      <c r="B92" s="86" t="s">
        <v>3690</v>
      </c>
      <c r="C92" s="59" t="s">
        <v>2196</v>
      </c>
      <c r="D92" s="53">
        <v>232</v>
      </c>
      <c r="I92" s="86" t="s">
        <v>11393</v>
      </c>
      <c r="J92" s="577" t="s">
        <v>11392</v>
      </c>
      <c r="K92" s="86" t="s">
        <v>11394</v>
      </c>
      <c r="L92" s="86" t="s">
        <v>11471</v>
      </c>
      <c r="N92" s="86" t="s">
        <v>11493</v>
      </c>
    </row>
    <row r="93" spans="1:14">
      <c r="B93" s="86" t="s">
        <v>9830</v>
      </c>
      <c r="C93" s="59" t="s">
        <v>2196</v>
      </c>
      <c r="D93" s="53">
        <v>167</v>
      </c>
      <c r="I93" s="86" t="s">
        <v>11393</v>
      </c>
      <c r="J93" s="577" t="s">
        <v>11392</v>
      </c>
      <c r="K93" s="86" t="s">
        <v>11394</v>
      </c>
      <c r="L93" s="86" t="s">
        <v>11471</v>
      </c>
      <c r="N93" s="86" t="s">
        <v>609</v>
      </c>
    </row>
    <row r="94" spans="1:14">
      <c r="B94" s="86" t="s">
        <v>11750</v>
      </c>
      <c r="C94" s="59" t="s">
        <v>9130</v>
      </c>
      <c r="D94" s="53" t="s">
        <v>4551</v>
      </c>
      <c r="I94" s="86" t="s">
        <v>11393</v>
      </c>
      <c r="J94" s="577" t="s">
        <v>11392</v>
      </c>
      <c r="K94" s="86" t="s">
        <v>11394</v>
      </c>
      <c r="L94" s="86" t="s">
        <v>11471</v>
      </c>
      <c r="N94" s="86" t="s">
        <v>11491</v>
      </c>
    </row>
    <row r="95" spans="1:14">
      <c r="B95" s="86" t="s">
        <v>11755</v>
      </c>
      <c r="C95" s="59" t="s">
        <v>9130</v>
      </c>
      <c r="D95" s="53" t="s">
        <v>4551</v>
      </c>
      <c r="I95" s="86" t="s">
        <v>11393</v>
      </c>
      <c r="J95" s="577" t="s">
        <v>11392</v>
      </c>
      <c r="K95" s="86" t="s">
        <v>11394</v>
      </c>
      <c r="L95" s="86" t="s">
        <v>11471</v>
      </c>
      <c r="N95" s="86" t="s">
        <v>11759</v>
      </c>
    </row>
    <row r="96" spans="1:14">
      <c r="B96" s="44" t="s">
        <v>1495</v>
      </c>
      <c r="C96" s="59" t="s">
        <v>1328</v>
      </c>
      <c r="D96" s="53">
        <v>75</v>
      </c>
      <c r="I96" s="86" t="s">
        <v>11393</v>
      </c>
      <c r="J96" s="577" t="s">
        <v>11392</v>
      </c>
      <c r="K96" s="86" t="s">
        <v>11394</v>
      </c>
      <c r="L96" s="86" t="s">
        <v>11471</v>
      </c>
      <c r="N96" s="86" t="s">
        <v>11760</v>
      </c>
    </row>
    <row r="97" spans="1:14">
      <c r="B97" s="44" t="s">
        <v>3776</v>
      </c>
      <c r="C97" s="59" t="s">
        <v>1328</v>
      </c>
      <c r="D97" s="53">
        <v>75</v>
      </c>
      <c r="I97" s="86" t="s">
        <v>11393</v>
      </c>
      <c r="J97" s="577" t="s">
        <v>11392</v>
      </c>
      <c r="K97" s="86" t="s">
        <v>11394</v>
      </c>
      <c r="L97" s="86" t="s">
        <v>11471</v>
      </c>
      <c r="N97" s="86" t="s">
        <v>8774</v>
      </c>
    </row>
    <row r="98" spans="1:14">
      <c r="B98" s="44" t="s">
        <v>3777</v>
      </c>
      <c r="C98" s="59" t="s">
        <v>1328</v>
      </c>
      <c r="D98" s="53">
        <v>75</v>
      </c>
      <c r="I98" s="86" t="s">
        <v>11393</v>
      </c>
      <c r="J98" s="577" t="s">
        <v>11392</v>
      </c>
      <c r="K98" s="86" t="s">
        <v>11394</v>
      </c>
      <c r="L98" s="86" t="s">
        <v>11471</v>
      </c>
      <c r="N98" s="86" t="s">
        <v>3105</v>
      </c>
    </row>
    <row r="99" spans="1:14" ht="15.6">
      <c r="A99" s="610" t="s">
        <v>2729</v>
      </c>
      <c r="B99" s="86" t="s">
        <v>2729</v>
      </c>
      <c r="C99" s="59" t="s">
        <v>17248</v>
      </c>
      <c r="D99" s="53" t="s">
        <v>16112</v>
      </c>
      <c r="I99" s="86" t="s">
        <v>12956</v>
      </c>
      <c r="J99" s="86" t="s">
        <v>12956</v>
      </c>
      <c r="K99" s="86" t="s">
        <v>12956</v>
      </c>
      <c r="L99" s="86" t="s">
        <v>12956</v>
      </c>
      <c r="N99" s="86" t="s">
        <v>12967</v>
      </c>
    </row>
    <row r="100" spans="1:14" ht="15.6">
      <c r="B100" s="86" t="s">
        <v>3750</v>
      </c>
      <c r="C100" s="59" t="s">
        <v>17248</v>
      </c>
      <c r="D100" s="53" t="s">
        <v>16111</v>
      </c>
      <c r="I100" s="86"/>
      <c r="J100" s="86" t="s">
        <v>12956</v>
      </c>
      <c r="K100" s="86" t="s">
        <v>12956</v>
      </c>
      <c r="L100" s="86" t="s">
        <v>12956</v>
      </c>
      <c r="N100" s="86" t="s">
        <v>12968</v>
      </c>
    </row>
    <row r="101" spans="1:14">
      <c r="B101" s="86" t="s">
        <v>16054</v>
      </c>
      <c r="C101" s="59" t="s">
        <v>16110</v>
      </c>
      <c r="D101" s="42">
        <v>25</v>
      </c>
      <c r="F101" s="42"/>
      <c r="G101" s="42"/>
      <c r="I101" s="86" t="s">
        <v>12956</v>
      </c>
      <c r="J101" s="86" t="s">
        <v>12956</v>
      </c>
      <c r="K101" s="86" t="s">
        <v>12956</v>
      </c>
      <c r="L101" s="86" t="s">
        <v>12956</v>
      </c>
      <c r="N101" s="86" t="s">
        <v>16115</v>
      </c>
    </row>
    <row r="102" spans="1:14" ht="8.4" customHeight="1">
      <c r="C102" s="43"/>
    </row>
    <row r="103" spans="1:14">
      <c r="A103" s="615" t="s">
        <v>433</v>
      </c>
      <c r="B103" s="40" t="s">
        <v>162</v>
      </c>
      <c r="C103" s="40" t="s">
        <v>1121</v>
      </c>
      <c r="D103" s="52" t="s">
        <v>1122</v>
      </c>
      <c r="E103" s="52" t="s">
        <v>1123</v>
      </c>
      <c r="F103" s="52" t="s">
        <v>163</v>
      </c>
      <c r="G103" s="52" t="s">
        <v>1124</v>
      </c>
      <c r="H103" s="40" t="s">
        <v>1125</v>
      </c>
    </row>
    <row r="104" spans="1:14">
      <c r="B104" s="41" t="s">
        <v>1341</v>
      </c>
      <c r="C104" s="42">
        <v>8</v>
      </c>
      <c r="D104" s="53" t="s">
        <v>476</v>
      </c>
      <c r="E104" s="53" t="s">
        <v>9079</v>
      </c>
      <c r="F104" s="53" t="s">
        <v>9080</v>
      </c>
      <c r="G104" s="53" t="s">
        <v>1229</v>
      </c>
      <c r="H104" s="86" t="s">
        <v>9078</v>
      </c>
    </row>
    <row r="105" spans="1:14">
      <c r="B105" s="41" t="s">
        <v>556</v>
      </c>
      <c r="C105" s="42">
        <v>10</v>
      </c>
      <c r="D105" s="53" t="s">
        <v>1136</v>
      </c>
      <c r="E105" s="53" t="s">
        <v>277</v>
      </c>
      <c r="F105" s="53" t="s">
        <v>958</v>
      </c>
      <c r="G105" s="53" t="s">
        <v>278</v>
      </c>
      <c r="H105" s="42" t="s">
        <v>279</v>
      </c>
    </row>
    <row r="106" spans="1:14">
      <c r="B106" s="41" t="s">
        <v>1339</v>
      </c>
      <c r="C106" s="42">
        <v>6</v>
      </c>
      <c r="D106" s="53" t="s">
        <v>1126</v>
      </c>
      <c r="E106" s="53" t="s">
        <v>484</v>
      </c>
      <c r="F106" s="53" t="s">
        <v>9081</v>
      </c>
      <c r="G106" s="53" t="s">
        <v>1230</v>
      </c>
      <c r="H106" s="86" t="s">
        <v>17249</v>
      </c>
    </row>
    <row r="107" spans="1:14">
      <c r="B107" s="41" t="s">
        <v>1338</v>
      </c>
      <c r="C107" s="42">
        <v>5</v>
      </c>
      <c r="D107" s="53" t="s">
        <v>1126</v>
      </c>
      <c r="E107" s="53" t="s">
        <v>1127</v>
      </c>
      <c r="F107" s="53" t="s">
        <v>9082</v>
      </c>
      <c r="G107" s="53" t="s">
        <v>1231</v>
      </c>
      <c r="H107" s="42" t="s">
        <v>1232</v>
      </c>
    </row>
    <row r="108" spans="1:14">
      <c r="B108" s="41" t="s">
        <v>9713</v>
      </c>
      <c r="C108" s="42">
        <v>2</v>
      </c>
      <c r="D108" s="53" t="s">
        <v>282</v>
      </c>
      <c r="E108" s="53" t="s">
        <v>9246</v>
      </c>
      <c r="F108" s="53" t="s">
        <v>468</v>
      </c>
      <c r="G108" s="53" t="s">
        <v>9714</v>
      </c>
      <c r="H108" s="86" t="s">
        <v>9715</v>
      </c>
    </row>
    <row r="109" spans="1:14">
      <c r="B109" s="41" t="s">
        <v>1345</v>
      </c>
      <c r="C109" s="42">
        <v>16</v>
      </c>
      <c r="D109" s="53" t="s">
        <v>1136</v>
      </c>
      <c r="E109" s="53" t="s">
        <v>277</v>
      </c>
      <c r="F109" s="53" t="s">
        <v>472</v>
      </c>
      <c r="G109" s="53" t="s">
        <v>1233</v>
      </c>
      <c r="H109" s="42" t="s">
        <v>1234</v>
      </c>
    </row>
    <row r="110" spans="1:14">
      <c r="B110" s="41" t="s">
        <v>1346</v>
      </c>
      <c r="C110" s="42">
        <v>12</v>
      </c>
      <c r="D110" s="53" t="s">
        <v>282</v>
      </c>
      <c r="E110" s="53" t="s">
        <v>1235</v>
      </c>
      <c r="F110" s="53" t="s">
        <v>1236</v>
      </c>
      <c r="G110" s="53" t="s">
        <v>1237</v>
      </c>
      <c r="H110" s="42" t="s">
        <v>1241</v>
      </c>
    </row>
    <row r="111" spans="1:14">
      <c r="B111" s="41" t="s">
        <v>9716</v>
      </c>
      <c r="C111" s="42">
        <v>5</v>
      </c>
      <c r="D111" s="53" t="s">
        <v>1772</v>
      </c>
      <c r="E111" s="53" t="s">
        <v>11791</v>
      </c>
      <c r="F111" s="53" t="s">
        <v>1130</v>
      </c>
      <c r="G111" s="53" t="s">
        <v>9717</v>
      </c>
      <c r="H111" s="86" t="s">
        <v>9718</v>
      </c>
    </row>
    <row r="112" spans="1:14">
      <c r="B112" s="41" t="s">
        <v>1347</v>
      </c>
      <c r="C112" s="42">
        <v>14</v>
      </c>
      <c r="D112" s="53" t="s">
        <v>1238</v>
      </c>
      <c r="E112" s="53" t="s">
        <v>11791</v>
      </c>
      <c r="F112" s="53" t="s">
        <v>958</v>
      </c>
      <c r="G112" s="53" t="s">
        <v>1239</v>
      </c>
      <c r="H112" s="42" t="s">
        <v>1240</v>
      </c>
    </row>
    <row r="113" spans="2:8">
      <c r="B113" s="41" t="s">
        <v>557</v>
      </c>
      <c r="C113" s="42">
        <v>8</v>
      </c>
      <c r="D113" s="53" t="s">
        <v>1126</v>
      </c>
      <c r="E113" s="53" t="s">
        <v>267</v>
      </c>
      <c r="F113" s="53" t="s">
        <v>1128</v>
      </c>
      <c r="G113" s="53" t="s">
        <v>280</v>
      </c>
      <c r="H113" s="42" t="s">
        <v>281</v>
      </c>
    </row>
    <row r="114" spans="2:8">
      <c r="B114" s="41" t="s">
        <v>249</v>
      </c>
      <c r="C114" s="42">
        <v>8</v>
      </c>
      <c r="D114" s="53" t="s">
        <v>1136</v>
      </c>
      <c r="E114" s="53" t="s">
        <v>1277</v>
      </c>
      <c r="F114" s="53" t="s">
        <v>1128</v>
      </c>
      <c r="G114" s="53" t="s">
        <v>9719</v>
      </c>
      <c r="H114" s="86" t="s">
        <v>9753</v>
      </c>
    </row>
    <row r="115" spans="2:8">
      <c r="B115" s="41" t="s">
        <v>1344</v>
      </c>
      <c r="C115" s="42">
        <v>13</v>
      </c>
      <c r="D115" s="53" t="s">
        <v>1136</v>
      </c>
      <c r="F115" s="53" t="s">
        <v>468</v>
      </c>
      <c r="G115" s="53" t="s">
        <v>2136</v>
      </c>
      <c r="H115" s="42" t="s">
        <v>213</v>
      </c>
    </row>
    <row r="116" spans="2:8">
      <c r="B116" s="41" t="s">
        <v>558</v>
      </c>
      <c r="C116" s="42">
        <v>8</v>
      </c>
      <c r="D116" s="53" t="s">
        <v>282</v>
      </c>
      <c r="E116" s="53" t="s">
        <v>270</v>
      </c>
      <c r="F116" s="53" t="s">
        <v>958</v>
      </c>
      <c r="G116" s="53" t="s">
        <v>283</v>
      </c>
      <c r="H116" s="42" t="s">
        <v>284</v>
      </c>
    </row>
    <row r="117" spans="2:8">
      <c r="B117" s="41" t="s">
        <v>3610</v>
      </c>
      <c r="C117" s="42">
        <v>10</v>
      </c>
      <c r="D117" s="53" t="s">
        <v>1126</v>
      </c>
      <c r="E117" s="53" t="s">
        <v>471</v>
      </c>
      <c r="F117" s="53" t="s">
        <v>468</v>
      </c>
      <c r="G117" s="53" t="s">
        <v>47</v>
      </c>
      <c r="H117" s="86" t="s">
        <v>17250</v>
      </c>
    </row>
    <row r="118" spans="2:8">
      <c r="B118" s="41" t="s">
        <v>9532</v>
      </c>
      <c r="C118" s="42">
        <v>11</v>
      </c>
      <c r="D118" s="53" t="s">
        <v>2911</v>
      </c>
      <c r="E118" s="53" t="s">
        <v>2912</v>
      </c>
      <c r="F118" s="53" t="s">
        <v>346</v>
      </c>
      <c r="G118" s="53" t="s">
        <v>1239</v>
      </c>
      <c r="H118" s="44" t="s">
        <v>2913</v>
      </c>
    </row>
    <row r="119" spans="2:8">
      <c r="B119" s="41" t="s">
        <v>559</v>
      </c>
      <c r="C119" s="42">
        <v>4</v>
      </c>
      <c r="D119" s="53" t="s">
        <v>1126</v>
      </c>
      <c r="E119" s="53" t="s">
        <v>270</v>
      </c>
      <c r="F119" s="53" t="s">
        <v>1128</v>
      </c>
      <c r="G119" s="53" t="s">
        <v>466</v>
      </c>
      <c r="H119" s="86" t="s">
        <v>17251</v>
      </c>
    </row>
    <row r="120" spans="2:8">
      <c r="B120" s="41" t="s">
        <v>4504</v>
      </c>
      <c r="C120" s="42">
        <v>10</v>
      </c>
      <c r="D120" s="53" t="s">
        <v>1136</v>
      </c>
      <c r="E120" s="53" t="s">
        <v>277</v>
      </c>
      <c r="F120" s="53" t="s">
        <v>4505</v>
      </c>
      <c r="G120" s="53" t="s">
        <v>1239</v>
      </c>
      <c r="H120" s="86" t="s">
        <v>17252</v>
      </c>
    </row>
    <row r="121" spans="2:8">
      <c r="B121" s="41" t="s">
        <v>560</v>
      </c>
      <c r="C121" s="42">
        <v>18</v>
      </c>
      <c r="D121" s="54" t="s">
        <v>1136</v>
      </c>
      <c r="E121" s="53" t="s">
        <v>467</v>
      </c>
      <c r="F121" s="53" t="s">
        <v>468</v>
      </c>
      <c r="G121" s="53" t="s">
        <v>469</v>
      </c>
      <c r="H121" s="86" t="s">
        <v>470</v>
      </c>
    </row>
    <row r="122" spans="2:8">
      <c r="B122" s="41" t="s">
        <v>3611</v>
      </c>
      <c r="C122" s="42">
        <v>13</v>
      </c>
      <c r="D122" s="53" t="s">
        <v>1136</v>
      </c>
      <c r="E122" s="53" t="s">
        <v>467</v>
      </c>
      <c r="F122" s="53" t="s">
        <v>472</v>
      </c>
      <c r="G122" s="53" t="s">
        <v>3612</v>
      </c>
      <c r="H122" s="44" t="s">
        <v>3613</v>
      </c>
    </row>
    <row r="123" spans="2:8">
      <c r="B123" s="41" t="s">
        <v>1337</v>
      </c>
      <c r="C123" s="42">
        <v>4</v>
      </c>
      <c r="D123" s="53" t="s">
        <v>1126</v>
      </c>
      <c r="G123" s="53" t="s">
        <v>214</v>
      </c>
      <c r="H123" s="42" t="s">
        <v>215</v>
      </c>
    </row>
    <row r="124" spans="2:8">
      <c r="B124" s="41" t="s">
        <v>1343</v>
      </c>
      <c r="C124" s="42">
        <v>11</v>
      </c>
      <c r="D124" s="53" t="s">
        <v>1136</v>
      </c>
      <c r="G124" s="53" t="s">
        <v>216</v>
      </c>
      <c r="H124" s="42" t="s">
        <v>217</v>
      </c>
    </row>
    <row r="125" spans="2:8">
      <c r="B125" s="41" t="s">
        <v>3614</v>
      </c>
      <c r="C125" s="42">
        <v>11</v>
      </c>
      <c r="D125" s="53" t="s">
        <v>1126</v>
      </c>
      <c r="E125" s="53" t="s">
        <v>11791</v>
      </c>
      <c r="F125" s="53" t="s">
        <v>270</v>
      </c>
      <c r="G125" s="53" t="s">
        <v>3615</v>
      </c>
      <c r="H125" s="86" t="s">
        <v>3616</v>
      </c>
    </row>
    <row r="126" spans="2:8">
      <c r="B126" s="41" t="s">
        <v>561</v>
      </c>
      <c r="C126" s="42">
        <v>12</v>
      </c>
      <c r="D126" s="53" t="s">
        <v>1136</v>
      </c>
      <c r="E126" s="53" t="s">
        <v>471</v>
      </c>
      <c r="F126" s="53" t="s">
        <v>472</v>
      </c>
      <c r="G126" s="53" t="s">
        <v>473</v>
      </c>
      <c r="H126" s="42" t="s">
        <v>474</v>
      </c>
    </row>
    <row r="127" spans="2:8">
      <c r="B127" s="41" t="s">
        <v>3617</v>
      </c>
      <c r="C127" s="42">
        <v>15</v>
      </c>
      <c r="D127" s="53" t="s">
        <v>1136</v>
      </c>
      <c r="E127" s="53" t="s">
        <v>471</v>
      </c>
      <c r="F127" s="53" t="s">
        <v>958</v>
      </c>
      <c r="G127" s="53" t="s">
        <v>3618</v>
      </c>
      <c r="H127" s="44" t="s">
        <v>3619</v>
      </c>
    </row>
    <row r="128" spans="2:8">
      <c r="B128" s="41" t="s">
        <v>562</v>
      </c>
      <c r="C128" s="42">
        <v>13</v>
      </c>
      <c r="D128" s="53" t="s">
        <v>1136</v>
      </c>
      <c r="E128" s="53" t="s">
        <v>277</v>
      </c>
      <c r="F128" s="53" t="s">
        <v>270</v>
      </c>
      <c r="G128" s="53" t="s">
        <v>475</v>
      </c>
      <c r="H128" s="44" t="s">
        <v>3723</v>
      </c>
    </row>
    <row r="129" spans="1:8">
      <c r="B129" s="41" t="s">
        <v>3721</v>
      </c>
      <c r="C129" s="42">
        <v>6</v>
      </c>
      <c r="E129" s="53" t="s">
        <v>11791</v>
      </c>
      <c r="G129" s="53" t="s">
        <v>3722</v>
      </c>
      <c r="H129" s="86" t="s">
        <v>9351</v>
      </c>
    </row>
    <row r="130" spans="1:8">
      <c r="B130" s="41" t="s">
        <v>3620</v>
      </c>
      <c r="C130" s="42">
        <v>8</v>
      </c>
      <c r="D130" s="53" t="s">
        <v>1126</v>
      </c>
      <c r="E130" s="53" t="s">
        <v>11791</v>
      </c>
      <c r="F130" s="53" t="s">
        <v>874</v>
      </c>
      <c r="G130" s="53" t="s">
        <v>3622</v>
      </c>
      <c r="H130" s="44" t="s">
        <v>3623</v>
      </c>
    </row>
    <row r="131" spans="1:8">
      <c r="B131" s="41" t="s">
        <v>1342</v>
      </c>
      <c r="C131" s="42">
        <v>10</v>
      </c>
      <c r="D131" s="53" t="s">
        <v>1126</v>
      </c>
      <c r="G131" s="53" t="s">
        <v>218</v>
      </c>
      <c r="H131" s="42" t="s">
        <v>219</v>
      </c>
    </row>
    <row r="132" spans="1:8">
      <c r="B132" s="41" t="s">
        <v>16390</v>
      </c>
      <c r="C132" s="42">
        <v>3</v>
      </c>
      <c r="D132" s="53" t="s">
        <v>1772</v>
      </c>
      <c r="E132" s="53" t="s">
        <v>277</v>
      </c>
      <c r="F132" s="53" t="s">
        <v>958</v>
      </c>
      <c r="G132" s="53" t="s">
        <v>9721</v>
      </c>
      <c r="H132" s="534" t="s">
        <v>9754</v>
      </c>
    </row>
    <row r="133" spans="1:8" ht="13.95" customHeight="1">
      <c r="B133" s="41" t="s">
        <v>3621</v>
      </c>
      <c r="C133" s="42">
        <v>7</v>
      </c>
      <c r="D133" s="53" t="s">
        <v>1126</v>
      </c>
      <c r="E133" s="53" t="s">
        <v>467</v>
      </c>
      <c r="F133" s="53" t="s">
        <v>472</v>
      </c>
      <c r="G133" s="53" t="s">
        <v>3624</v>
      </c>
      <c r="H133" s="58" t="s">
        <v>3625</v>
      </c>
    </row>
    <row r="134" spans="1:8">
      <c r="B134" s="41" t="s">
        <v>1348</v>
      </c>
      <c r="C134" s="42">
        <v>4</v>
      </c>
      <c r="D134" s="53" t="s">
        <v>1136</v>
      </c>
      <c r="E134" s="53" t="s">
        <v>277</v>
      </c>
      <c r="F134" s="53" t="s">
        <v>220</v>
      </c>
      <c r="G134" s="53" t="s">
        <v>221</v>
      </c>
      <c r="H134" s="86" t="s">
        <v>17253</v>
      </c>
    </row>
    <row r="135" spans="1:8">
      <c r="B135" s="41" t="s">
        <v>1340</v>
      </c>
      <c r="C135" s="42">
        <v>7</v>
      </c>
      <c r="D135" s="53" t="s">
        <v>476</v>
      </c>
      <c r="G135" s="53" t="s">
        <v>222</v>
      </c>
      <c r="H135" s="42" t="s">
        <v>223</v>
      </c>
    </row>
    <row r="136" spans="1:8">
      <c r="B136" s="41" t="s">
        <v>563</v>
      </c>
      <c r="C136" s="42">
        <v>11</v>
      </c>
      <c r="D136" s="53" t="s">
        <v>476</v>
      </c>
      <c r="E136" s="53" t="s">
        <v>270</v>
      </c>
      <c r="F136" s="53" t="s">
        <v>958</v>
      </c>
      <c r="G136" s="53" t="s">
        <v>477</v>
      </c>
      <c r="H136" s="42" t="s">
        <v>478</v>
      </c>
    </row>
    <row r="137" spans="1:8">
      <c r="A137" s="613" t="s">
        <v>1115</v>
      </c>
      <c r="B137" s="41" t="s">
        <v>1116</v>
      </c>
      <c r="C137" s="42">
        <v>4</v>
      </c>
      <c r="D137" s="53" t="s">
        <v>1126</v>
      </c>
      <c r="E137" s="53" t="s">
        <v>1127</v>
      </c>
      <c r="F137" s="53" t="s">
        <v>1128</v>
      </c>
      <c r="G137" s="53" t="s">
        <v>1129</v>
      </c>
      <c r="H137" s="42" t="s">
        <v>1133</v>
      </c>
    </row>
    <row r="138" spans="1:8">
      <c r="B138" s="41" t="s">
        <v>1117</v>
      </c>
      <c r="C138" s="42">
        <v>3</v>
      </c>
      <c r="D138" s="53" t="s">
        <v>1126</v>
      </c>
      <c r="E138" s="53" t="s">
        <v>149</v>
      </c>
      <c r="F138" s="53" t="s">
        <v>1130</v>
      </c>
      <c r="G138" s="53" t="s">
        <v>1131</v>
      </c>
      <c r="H138" s="42" t="s">
        <v>1132</v>
      </c>
    </row>
    <row r="139" spans="1:8">
      <c r="B139" s="41" t="s">
        <v>1320</v>
      </c>
      <c r="C139" s="42">
        <v>5</v>
      </c>
      <c r="D139" s="53" t="s">
        <v>1126</v>
      </c>
      <c r="E139" s="53" t="s">
        <v>1127</v>
      </c>
      <c r="F139" s="53" t="s">
        <v>1128</v>
      </c>
      <c r="G139" s="53" t="s">
        <v>1134</v>
      </c>
      <c r="H139" s="42" t="s">
        <v>1135</v>
      </c>
    </row>
    <row r="140" spans="1:8">
      <c r="B140" s="41" t="s">
        <v>1118</v>
      </c>
      <c r="C140" s="42">
        <v>7</v>
      </c>
      <c r="D140" s="53" t="s">
        <v>1136</v>
      </c>
      <c r="E140" s="53" t="s">
        <v>1127</v>
      </c>
      <c r="F140" s="53" t="s">
        <v>1128</v>
      </c>
      <c r="G140" s="53" t="s">
        <v>1137</v>
      </c>
      <c r="H140" s="42" t="s">
        <v>522</v>
      </c>
    </row>
    <row r="141" spans="1:8">
      <c r="B141" s="41" t="s">
        <v>1119</v>
      </c>
      <c r="C141" s="42">
        <v>6</v>
      </c>
      <c r="D141" s="53" t="s">
        <v>1126</v>
      </c>
      <c r="E141" s="53" t="s">
        <v>1127</v>
      </c>
      <c r="F141" s="53" t="s">
        <v>1128</v>
      </c>
      <c r="G141" s="53" t="s">
        <v>523</v>
      </c>
      <c r="H141" s="42" t="s">
        <v>524</v>
      </c>
    </row>
    <row r="142" spans="1:8">
      <c r="B142" s="41" t="s">
        <v>1120</v>
      </c>
      <c r="C142" s="42">
        <v>5</v>
      </c>
      <c r="D142" s="53" t="s">
        <v>1126</v>
      </c>
      <c r="E142" s="53" t="s">
        <v>11791</v>
      </c>
      <c r="F142" s="53" t="s">
        <v>1128</v>
      </c>
      <c r="G142" s="53" t="s">
        <v>525</v>
      </c>
      <c r="H142" s="86" t="s">
        <v>17254</v>
      </c>
    </row>
    <row r="143" spans="1:8">
      <c r="A143" s="613" t="s">
        <v>16402</v>
      </c>
      <c r="B143" s="41" t="s">
        <v>16395</v>
      </c>
      <c r="C143" s="42">
        <v>5</v>
      </c>
      <c r="D143" s="53" t="s">
        <v>1126</v>
      </c>
      <c r="E143" s="53" t="s">
        <v>968</v>
      </c>
      <c r="F143" s="53" t="s">
        <v>346</v>
      </c>
      <c r="G143" s="53" t="s">
        <v>17255</v>
      </c>
      <c r="H143" s="86" t="s">
        <v>15417</v>
      </c>
    </row>
    <row r="144" spans="1:8">
      <c r="B144" s="41" t="s">
        <v>5270</v>
      </c>
      <c r="C144" s="42">
        <v>8</v>
      </c>
      <c r="D144" s="53" t="s">
        <v>1136</v>
      </c>
      <c r="E144" s="53" t="s">
        <v>277</v>
      </c>
      <c r="F144" s="53" t="s">
        <v>472</v>
      </c>
      <c r="G144" s="53" t="s">
        <v>5284</v>
      </c>
      <c r="H144" s="42" t="s">
        <v>5285</v>
      </c>
    </row>
    <row r="145" spans="1:8">
      <c r="B145" s="41" t="s">
        <v>16401</v>
      </c>
      <c r="C145" s="42">
        <v>8</v>
      </c>
      <c r="D145" s="53" t="s">
        <v>1126</v>
      </c>
      <c r="E145" s="53" t="s">
        <v>11791</v>
      </c>
      <c r="F145" s="53" t="s">
        <v>472</v>
      </c>
      <c r="G145" s="53" t="s">
        <v>1791</v>
      </c>
      <c r="H145" s="86" t="s">
        <v>17256</v>
      </c>
    </row>
    <row r="146" spans="1:8">
      <c r="B146" s="41" t="s">
        <v>5300</v>
      </c>
      <c r="C146" s="42">
        <v>6</v>
      </c>
      <c r="D146" s="53" t="s">
        <v>282</v>
      </c>
      <c r="E146" s="53" t="s">
        <v>1948</v>
      </c>
      <c r="F146" s="53" t="s">
        <v>346</v>
      </c>
      <c r="G146" s="53" t="s">
        <v>5296</v>
      </c>
      <c r="H146" s="86" t="s">
        <v>17257</v>
      </c>
    </row>
    <row r="147" spans="1:8">
      <c r="A147" s="613" t="s">
        <v>16533</v>
      </c>
      <c r="B147" s="41" t="s">
        <v>11694</v>
      </c>
      <c r="C147" s="42">
        <v>10</v>
      </c>
      <c r="D147" s="53" t="s">
        <v>1126</v>
      </c>
      <c r="E147" s="53" t="s">
        <v>471</v>
      </c>
      <c r="F147" s="53" t="s">
        <v>472</v>
      </c>
      <c r="G147" s="53" t="s">
        <v>1884</v>
      </c>
      <c r="H147" s="86" t="s">
        <v>17258</v>
      </c>
    </row>
    <row r="148" spans="1:8">
      <c r="B148" s="41" t="s">
        <v>11690</v>
      </c>
      <c r="C148" s="42">
        <v>5</v>
      </c>
      <c r="D148" s="53" t="s">
        <v>1126</v>
      </c>
      <c r="E148" s="53" t="s">
        <v>11692</v>
      </c>
      <c r="F148" s="53" t="s">
        <v>472</v>
      </c>
      <c r="G148" s="53" t="s">
        <v>1839</v>
      </c>
      <c r="H148" s="86" t="s">
        <v>11693</v>
      </c>
    </row>
    <row r="149" spans="1:8">
      <c r="A149" s="613" t="s">
        <v>9112</v>
      </c>
      <c r="B149" s="41" t="s">
        <v>9113</v>
      </c>
      <c r="C149" s="42">
        <v>6</v>
      </c>
      <c r="D149" s="53" t="s">
        <v>9037</v>
      </c>
      <c r="E149" s="53" t="s">
        <v>11791</v>
      </c>
      <c r="F149" s="53" t="s">
        <v>958</v>
      </c>
      <c r="G149" s="53" t="s">
        <v>9115</v>
      </c>
      <c r="H149" s="86" t="s">
        <v>9131</v>
      </c>
    </row>
    <row r="150" spans="1:8">
      <c r="B150" s="41" t="s">
        <v>17259</v>
      </c>
      <c r="C150" s="42">
        <v>6</v>
      </c>
      <c r="D150" s="53" t="s">
        <v>9037</v>
      </c>
      <c r="E150" s="53" t="s">
        <v>3685</v>
      </c>
      <c r="G150" s="53" t="s">
        <v>9114</v>
      </c>
      <c r="H150" s="86" t="s">
        <v>9116</v>
      </c>
    </row>
    <row r="151" spans="1:8">
      <c r="A151" s="613" t="s">
        <v>11667</v>
      </c>
      <c r="B151" s="41" t="s">
        <v>11670</v>
      </c>
      <c r="C151" s="42">
        <v>6</v>
      </c>
      <c r="D151" s="53" t="s">
        <v>1126</v>
      </c>
      <c r="E151" s="53" t="s">
        <v>11791</v>
      </c>
      <c r="F151" s="53" t="s">
        <v>1128</v>
      </c>
      <c r="G151" s="53" t="s">
        <v>734</v>
      </c>
      <c r="H151" s="86" t="s">
        <v>11671</v>
      </c>
    </row>
    <row r="152" spans="1:8">
      <c r="B152" s="41" t="s">
        <v>11668</v>
      </c>
      <c r="C152" s="42">
        <v>6</v>
      </c>
      <c r="D152" s="53" t="s">
        <v>1126</v>
      </c>
      <c r="E152" s="53" t="s">
        <v>1127</v>
      </c>
      <c r="F152" s="53" t="s">
        <v>468</v>
      </c>
      <c r="G152" s="53" t="s">
        <v>11669</v>
      </c>
      <c r="H152" s="86" t="s">
        <v>17260</v>
      </c>
    </row>
    <row r="153" spans="1:8">
      <c r="A153" s="613" t="s">
        <v>526</v>
      </c>
      <c r="B153" s="41" t="s">
        <v>527</v>
      </c>
      <c r="C153" s="42">
        <v>6</v>
      </c>
      <c r="D153" s="53" t="s">
        <v>1126</v>
      </c>
      <c r="E153" s="53" t="s">
        <v>1127</v>
      </c>
      <c r="F153" s="53" t="s">
        <v>1128</v>
      </c>
      <c r="G153" s="53" t="s">
        <v>46</v>
      </c>
      <c r="H153" s="42" t="s">
        <v>637</v>
      </c>
    </row>
    <row r="154" spans="1:8">
      <c r="B154" s="41" t="s">
        <v>539</v>
      </c>
      <c r="C154" s="42">
        <v>5</v>
      </c>
      <c r="D154" s="53" t="s">
        <v>1126</v>
      </c>
      <c r="E154" s="53" t="s">
        <v>1127</v>
      </c>
      <c r="F154" s="53" t="s">
        <v>1128</v>
      </c>
      <c r="G154" s="53" t="s">
        <v>47</v>
      </c>
      <c r="H154" s="42" t="s">
        <v>48</v>
      </c>
    </row>
    <row r="155" spans="1:8">
      <c r="A155" s="613" t="s">
        <v>528</v>
      </c>
      <c r="B155" s="41" t="s">
        <v>540</v>
      </c>
      <c r="C155" s="42">
        <v>5</v>
      </c>
      <c r="D155" s="53" t="s">
        <v>1126</v>
      </c>
      <c r="E155" s="53" t="s">
        <v>1127</v>
      </c>
      <c r="F155" s="53" t="s">
        <v>1128</v>
      </c>
      <c r="G155" s="53" t="s">
        <v>49</v>
      </c>
      <c r="H155" s="42" t="s">
        <v>50</v>
      </c>
    </row>
    <row r="156" spans="1:8">
      <c r="B156" s="41" t="s">
        <v>541</v>
      </c>
      <c r="C156" s="42">
        <v>4</v>
      </c>
      <c r="D156" s="53" t="s">
        <v>1126</v>
      </c>
      <c r="E156" s="53" t="s">
        <v>1127</v>
      </c>
      <c r="F156" s="53" t="s">
        <v>1128</v>
      </c>
      <c r="G156" s="53" t="s">
        <v>54</v>
      </c>
      <c r="H156" s="42" t="s">
        <v>51</v>
      </c>
    </row>
    <row r="157" spans="1:8">
      <c r="A157" s="613" t="s">
        <v>529</v>
      </c>
      <c r="B157" s="41" t="s">
        <v>542</v>
      </c>
      <c r="C157" s="42">
        <v>5</v>
      </c>
      <c r="D157" s="53" t="s">
        <v>1126</v>
      </c>
      <c r="E157" s="53" t="s">
        <v>52</v>
      </c>
      <c r="F157" s="53" t="s">
        <v>1128</v>
      </c>
      <c r="G157" s="53" t="s">
        <v>53</v>
      </c>
      <c r="H157" s="86" t="s">
        <v>17261</v>
      </c>
    </row>
    <row r="158" spans="1:8">
      <c r="B158" s="41" t="s">
        <v>543</v>
      </c>
      <c r="C158" s="42">
        <v>4</v>
      </c>
      <c r="D158" s="53" t="s">
        <v>1126</v>
      </c>
      <c r="E158" s="53" t="s">
        <v>55</v>
      </c>
      <c r="F158" s="53" t="s">
        <v>1128</v>
      </c>
      <c r="G158" s="53" t="s">
        <v>56</v>
      </c>
      <c r="H158" s="42" t="s">
        <v>57</v>
      </c>
    </row>
    <row r="159" spans="1:8">
      <c r="A159" s="613" t="s">
        <v>530</v>
      </c>
      <c r="B159" s="41" t="s">
        <v>544</v>
      </c>
      <c r="C159" s="42">
        <v>5</v>
      </c>
      <c r="D159" s="53" t="s">
        <v>1126</v>
      </c>
      <c r="E159" s="53" t="s">
        <v>52</v>
      </c>
      <c r="F159" s="53" t="s">
        <v>1128</v>
      </c>
      <c r="G159" s="53" t="s">
        <v>954</v>
      </c>
      <c r="H159" s="42" t="s">
        <v>955</v>
      </c>
    </row>
    <row r="160" spans="1:8">
      <c r="B160" s="41" t="s">
        <v>545</v>
      </c>
      <c r="C160" s="42">
        <v>5</v>
      </c>
      <c r="D160" s="53" t="s">
        <v>1126</v>
      </c>
      <c r="E160" s="53" t="s">
        <v>1127</v>
      </c>
      <c r="F160" s="53" t="s">
        <v>1128</v>
      </c>
      <c r="G160" s="53" t="s">
        <v>956</v>
      </c>
      <c r="H160" s="42" t="s">
        <v>957</v>
      </c>
    </row>
    <row r="161" spans="1:8">
      <c r="A161" s="613" t="s">
        <v>531</v>
      </c>
      <c r="B161" s="41" t="s">
        <v>546</v>
      </c>
      <c r="C161" s="42">
        <v>5</v>
      </c>
      <c r="D161" s="53" t="s">
        <v>1126</v>
      </c>
      <c r="E161" s="53" t="s">
        <v>11791</v>
      </c>
      <c r="F161" s="53" t="s">
        <v>958</v>
      </c>
      <c r="G161" s="53" t="s">
        <v>959</v>
      </c>
      <c r="H161" s="42" t="s">
        <v>962</v>
      </c>
    </row>
    <row r="162" spans="1:8">
      <c r="B162" s="41" t="s">
        <v>547</v>
      </c>
      <c r="C162" s="42">
        <v>3</v>
      </c>
      <c r="D162" s="53" t="s">
        <v>1136</v>
      </c>
      <c r="E162" s="53" t="s">
        <v>11791</v>
      </c>
      <c r="F162" s="53" t="s">
        <v>1128</v>
      </c>
      <c r="G162" s="53" t="s">
        <v>960</v>
      </c>
      <c r="H162" s="42" t="s">
        <v>961</v>
      </c>
    </row>
    <row r="163" spans="1:8">
      <c r="A163" s="613" t="s">
        <v>532</v>
      </c>
      <c r="B163" s="41" t="s">
        <v>548</v>
      </c>
      <c r="C163" s="42">
        <v>4</v>
      </c>
      <c r="D163" s="53" t="s">
        <v>1126</v>
      </c>
      <c r="E163" s="53" t="s">
        <v>1127</v>
      </c>
      <c r="F163" s="53" t="s">
        <v>1128</v>
      </c>
      <c r="G163" s="53" t="s">
        <v>963</v>
      </c>
      <c r="H163" s="42" t="s">
        <v>964</v>
      </c>
    </row>
    <row r="164" spans="1:8">
      <c r="B164" s="41" t="s">
        <v>549</v>
      </c>
      <c r="C164" s="42">
        <v>7</v>
      </c>
      <c r="D164" s="53" t="s">
        <v>1136</v>
      </c>
      <c r="E164" s="53" t="s">
        <v>1127</v>
      </c>
      <c r="F164" s="53" t="s">
        <v>1130</v>
      </c>
      <c r="G164" s="53" t="s">
        <v>965</v>
      </c>
      <c r="H164" s="42" t="s">
        <v>264</v>
      </c>
    </row>
    <row r="165" spans="1:8">
      <c r="A165" s="613" t="s">
        <v>9111</v>
      </c>
      <c r="B165" s="41" t="s">
        <v>9117</v>
      </c>
      <c r="C165" s="42">
        <v>6</v>
      </c>
      <c r="D165" s="53" t="s">
        <v>1136</v>
      </c>
      <c r="E165" s="53" t="s">
        <v>270</v>
      </c>
      <c r="F165" s="53" t="s">
        <v>1130</v>
      </c>
      <c r="G165" s="53" t="s">
        <v>963</v>
      </c>
      <c r="H165" s="86" t="s">
        <v>9118</v>
      </c>
    </row>
    <row r="166" spans="1:8">
      <c r="B166" s="41" t="s">
        <v>9162</v>
      </c>
      <c r="C166" s="42">
        <v>10</v>
      </c>
      <c r="D166" s="53" t="s">
        <v>1136</v>
      </c>
      <c r="E166" s="53" t="s">
        <v>11791</v>
      </c>
      <c r="F166" s="53" t="s">
        <v>629</v>
      </c>
      <c r="G166" s="53" t="s">
        <v>1810</v>
      </c>
      <c r="H166" s="86" t="s">
        <v>9163</v>
      </c>
    </row>
    <row r="167" spans="1:8">
      <c r="A167" s="613" t="s">
        <v>533</v>
      </c>
      <c r="B167" s="41" t="s">
        <v>550</v>
      </c>
      <c r="C167" s="42">
        <v>5</v>
      </c>
      <c r="D167" s="53" t="s">
        <v>1126</v>
      </c>
      <c r="E167" s="53" t="s">
        <v>1127</v>
      </c>
      <c r="F167" s="53" t="s">
        <v>1128</v>
      </c>
      <c r="G167" s="53" t="s">
        <v>265</v>
      </c>
      <c r="H167" s="42" t="s">
        <v>266</v>
      </c>
    </row>
    <row r="168" spans="1:8">
      <c r="A168" s="45"/>
      <c r="B168" s="41" t="s">
        <v>551</v>
      </c>
      <c r="C168" s="42">
        <v>6</v>
      </c>
      <c r="D168" s="53" t="s">
        <v>1126</v>
      </c>
      <c r="E168" s="53" t="s">
        <v>267</v>
      </c>
      <c r="F168" s="53" t="s">
        <v>1128</v>
      </c>
      <c r="G168" s="53" t="s">
        <v>268</v>
      </c>
      <c r="H168" s="42" t="s">
        <v>269</v>
      </c>
    </row>
    <row r="169" spans="1:8">
      <c r="A169" s="613" t="s">
        <v>534</v>
      </c>
      <c r="B169" s="41" t="s">
        <v>552</v>
      </c>
      <c r="C169" s="42">
        <v>6</v>
      </c>
      <c r="D169" s="53" t="s">
        <v>1126</v>
      </c>
      <c r="E169" s="53" t="s">
        <v>270</v>
      </c>
      <c r="F169" s="53" t="s">
        <v>1128</v>
      </c>
      <c r="G169" s="53" t="s">
        <v>271</v>
      </c>
      <c r="H169" s="42" t="s">
        <v>638</v>
      </c>
    </row>
    <row r="170" spans="1:8">
      <c r="B170" s="41" t="s">
        <v>553</v>
      </c>
      <c r="C170" s="42">
        <v>6</v>
      </c>
      <c r="D170" s="53" t="s">
        <v>1126</v>
      </c>
      <c r="E170" s="53" t="s">
        <v>1127</v>
      </c>
      <c r="F170" s="53" t="s">
        <v>1128</v>
      </c>
      <c r="G170" s="53" t="s">
        <v>272</v>
      </c>
      <c r="H170" s="42" t="s">
        <v>273</v>
      </c>
    </row>
    <row r="171" spans="1:8">
      <c r="A171" s="613" t="s">
        <v>535</v>
      </c>
      <c r="B171" s="41" t="s">
        <v>554</v>
      </c>
      <c r="C171" s="42">
        <v>6</v>
      </c>
      <c r="D171" s="53" t="s">
        <v>1136</v>
      </c>
      <c r="E171" s="53" t="s">
        <v>267</v>
      </c>
      <c r="F171" s="53" t="s">
        <v>1128</v>
      </c>
      <c r="G171" s="53" t="s">
        <v>274</v>
      </c>
      <c r="H171" s="42" t="s">
        <v>275</v>
      </c>
    </row>
    <row r="172" spans="1:8">
      <c r="B172" s="41" t="s">
        <v>555</v>
      </c>
      <c r="C172" s="42">
        <v>3</v>
      </c>
      <c r="D172" s="53" t="s">
        <v>1126</v>
      </c>
      <c r="E172" s="53" t="s">
        <v>1127</v>
      </c>
      <c r="F172" s="53" t="s">
        <v>1130</v>
      </c>
      <c r="G172" s="53" t="s">
        <v>276</v>
      </c>
      <c r="H172" s="86" t="s">
        <v>17262</v>
      </c>
    </row>
    <row r="173" spans="1:8">
      <c r="A173" s="613" t="s">
        <v>9804</v>
      </c>
      <c r="B173" s="41" t="s">
        <v>1387</v>
      </c>
      <c r="C173" s="42">
        <v>7</v>
      </c>
      <c r="D173" s="53" t="s">
        <v>1126</v>
      </c>
      <c r="E173" s="53" t="s">
        <v>1127</v>
      </c>
      <c r="F173" s="53" t="s">
        <v>1128</v>
      </c>
      <c r="G173" s="53" t="s">
        <v>1688</v>
      </c>
      <c r="H173" s="44" t="s">
        <v>1689</v>
      </c>
    </row>
    <row r="174" spans="1:8">
      <c r="B174" s="41" t="s">
        <v>1388</v>
      </c>
      <c r="C174" s="42">
        <v>4</v>
      </c>
      <c r="D174" s="53" t="s">
        <v>1126</v>
      </c>
      <c r="E174" s="53" t="s">
        <v>1690</v>
      </c>
      <c r="F174" s="53" t="s">
        <v>346</v>
      </c>
      <c r="G174" s="53" t="s">
        <v>1691</v>
      </c>
      <c r="H174" s="44" t="s">
        <v>1692</v>
      </c>
    </row>
    <row r="175" spans="1:8">
      <c r="A175" s="613" t="s">
        <v>16123</v>
      </c>
      <c r="B175" s="41" t="s">
        <v>15979</v>
      </c>
      <c r="C175" s="42">
        <v>4</v>
      </c>
      <c r="D175" s="54" t="s">
        <v>1136</v>
      </c>
      <c r="E175" s="53" t="s">
        <v>356</v>
      </c>
      <c r="F175" s="53" t="s">
        <v>472</v>
      </c>
      <c r="G175" s="53" t="s">
        <v>1789</v>
      </c>
      <c r="H175" s="86" t="s">
        <v>15999</v>
      </c>
    </row>
    <row r="176" spans="1:8">
      <c r="A176" s="45"/>
      <c r="B176" s="41" t="s">
        <v>16023</v>
      </c>
      <c r="C176" s="42">
        <v>4</v>
      </c>
      <c r="D176" s="53" t="s">
        <v>476</v>
      </c>
      <c r="E176" s="53" t="s">
        <v>16004</v>
      </c>
      <c r="F176" s="53" t="s">
        <v>1130</v>
      </c>
      <c r="G176" s="53" t="s">
        <v>17263</v>
      </c>
      <c r="H176" s="86" t="s">
        <v>16024</v>
      </c>
    </row>
    <row r="177" spans="1:8">
      <c r="A177" s="613" t="s">
        <v>9805</v>
      </c>
      <c r="B177" s="41" t="s">
        <v>1383</v>
      </c>
      <c r="C177" s="42">
        <v>7</v>
      </c>
      <c r="D177" s="53" t="s">
        <v>1126</v>
      </c>
      <c r="E177" s="53" t="s">
        <v>1127</v>
      </c>
      <c r="F177" s="53" t="s">
        <v>629</v>
      </c>
      <c r="G177" s="53" t="s">
        <v>1693</v>
      </c>
      <c r="H177" s="44" t="s">
        <v>1694</v>
      </c>
    </row>
    <row r="178" spans="1:8">
      <c r="B178" s="41" t="s">
        <v>1384</v>
      </c>
      <c r="C178" s="42">
        <v>4</v>
      </c>
      <c r="D178" s="53" t="s">
        <v>1126</v>
      </c>
      <c r="E178" s="53" t="s">
        <v>1127</v>
      </c>
      <c r="F178" s="53" t="s">
        <v>958</v>
      </c>
      <c r="G178" s="53" t="s">
        <v>1695</v>
      </c>
      <c r="H178" s="44" t="s">
        <v>1696</v>
      </c>
    </row>
    <row r="179" spans="1:8">
      <c r="A179" s="613" t="s">
        <v>9806</v>
      </c>
      <c r="B179" s="41" t="s">
        <v>1385</v>
      </c>
      <c r="C179" s="42">
        <v>3</v>
      </c>
      <c r="D179" s="53" t="s">
        <v>1126</v>
      </c>
      <c r="E179" s="53" t="s">
        <v>11791</v>
      </c>
      <c r="F179" s="53" t="s">
        <v>1128</v>
      </c>
      <c r="G179" s="53" t="s">
        <v>1697</v>
      </c>
      <c r="H179" s="44" t="s">
        <v>1698</v>
      </c>
    </row>
    <row r="180" spans="1:8">
      <c r="B180" s="41" t="s">
        <v>1386</v>
      </c>
      <c r="C180" s="42">
        <v>4</v>
      </c>
      <c r="D180" s="53" t="s">
        <v>1126</v>
      </c>
      <c r="E180" s="53" t="s">
        <v>1127</v>
      </c>
      <c r="F180" s="53" t="s">
        <v>1128</v>
      </c>
      <c r="G180" s="53" t="s">
        <v>1699</v>
      </c>
      <c r="H180" s="44" t="s">
        <v>1700</v>
      </c>
    </row>
    <row r="181" spans="1:8">
      <c r="A181" s="613" t="s">
        <v>9704</v>
      </c>
      <c r="B181" s="41" t="s">
        <v>9831</v>
      </c>
      <c r="C181" s="42">
        <v>4</v>
      </c>
      <c r="D181" s="53" t="s">
        <v>1136</v>
      </c>
      <c r="E181" s="53" t="s">
        <v>9833</v>
      </c>
      <c r="F181" s="53" t="s">
        <v>468</v>
      </c>
      <c r="G181" s="53" t="s">
        <v>9835</v>
      </c>
      <c r="H181" s="86" t="s">
        <v>16499</v>
      </c>
    </row>
    <row r="182" spans="1:8">
      <c r="B182" s="41" t="s">
        <v>9832</v>
      </c>
      <c r="C182" s="42">
        <v>8</v>
      </c>
      <c r="D182" s="53" t="s">
        <v>1136</v>
      </c>
      <c r="E182" s="53" t="s">
        <v>9834</v>
      </c>
      <c r="F182" s="53" t="s">
        <v>1130</v>
      </c>
      <c r="G182" s="53" t="s">
        <v>9836</v>
      </c>
      <c r="H182" s="86" t="s">
        <v>9837</v>
      </c>
    </row>
    <row r="183" spans="1:8">
      <c r="A183" s="613" t="s">
        <v>12944</v>
      </c>
      <c r="B183" s="41" t="s">
        <v>11749</v>
      </c>
      <c r="C183" s="42">
        <v>5</v>
      </c>
      <c r="D183" s="53" t="s">
        <v>1126</v>
      </c>
      <c r="E183" s="53" t="s">
        <v>1127</v>
      </c>
      <c r="F183" s="53" t="s">
        <v>472</v>
      </c>
      <c r="G183" s="53" t="s">
        <v>11747</v>
      </c>
      <c r="H183" s="86" t="s">
        <v>11748</v>
      </c>
    </row>
    <row r="184" spans="1:8">
      <c r="A184" s="667"/>
      <c r="B184" s="41" t="s">
        <v>12940</v>
      </c>
      <c r="C184" s="42">
        <v>3</v>
      </c>
      <c r="D184" s="53" t="s">
        <v>1126</v>
      </c>
      <c r="E184" s="53" t="s">
        <v>484</v>
      </c>
      <c r="F184" s="53" t="s">
        <v>12941</v>
      </c>
      <c r="G184" s="53" t="s">
        <v>1660</v>
      </c>
      <c r="H184" s="86" t="s">
        <v>12942</v>
      </c>
    </row>
    <row r="185" spans="1:8">
      <c r="A185" s="613" t="s">
        <v>12943</v>
      </c>
      <c r="B185" s="41" t="s">
        <v>11739</v>
      </c>
      <c r="C185" s="42">
        <v>8</v>
      </c>
      <c r="D185" s="53" t="s">
        <v>1136</v>
      </c>
      <c r="E185" s="53" t="s">
        <v>11791</v>
      </c>
      <c r="F185" s="53" t="s">
        <v>468</v>
      </c>
      <c r="G185" s="53" t="s">
        <v>11743</v>
      </c>
      <c r="H185" s="86" t="s">
        <v>17264</v>
      </c>
    </row>
    <row r="186" spans="1:8">
      <c r="B186" s="41" t="s">
        <v>12937</v>
      </c>
      <c r="C186" s="42">
        <v>6</v>
      </c>
      <c r="D186" s="53" t="s">
        <v>1126</v>
      </c>
      <c r="E186" s="53" t="s">
        <v>11791</v>
      </c>
      <c r="F186" s="53" t="s">
        <v>9891</v>
      </c>
      <c r="G186" s="53" t="s">
        <v>12938</v>
      </c>
      <c r="H186" s="86" t="s">
        <v>12939</v>
      </c>
    </row>
    <row r="187" spans="1:8">
      <c r="A187" s="614" t="s">
        <v>16124</v>
      </c>
      <c r="B187" s="41" t="s">
        <v>16197</v>
      </c>
      <c r="C187" s="42">
        <v>12</v>
      </c>
      <c r="D187" s="53" t="s">
        <v>282</v>
      </c>
      <c r="E187" s="53" t="s">
        <v>1127</v>
      </c>
      <c r="F187" s="53" t="s">
        <v>629</v>
      </c>
      <c r="G187" s="53" t="s">
        <v>9146</v>
      </c>
      <c r="H187" s="86" t="s">
        <v>9144</v>
      </c>
    </row>
    <row r="188" spans="1:8">
      <c r="B188" s="41" t="s">
        <v>16198</v>
      </c>
      <c r="C188" s="42">
        <v>25</v>
      </c>
      <c r="D188" s="53" t="s">
        <v>282</v>
      </c>
      <c r="E188" s="53" t="s">
        <v>1127</v>
      </c>
      <c r="F188" s="53" t="s">
        <v>629</v>
      </c>
      <c r="G188" s="53" t="s">
        <v>9636</v>
      </c>
      <c r="H188" s="86" t="s">
        <v>9145</v>
      </c>
    </row>
    <row r="189" spans="1:8">
      <c r="B189" s="41" t="s">
        <v>9637</v>
      </c>
      <c r="C189" s="42">
        <v>20</v>
      </c>
      <c r="D189" s="53" t="s">
        <v>1136</v>
      </c>
      <c r="E189" s="53" t="s">
        <v>3729</v>
      </c>
      <c r="F189" s="53" t="s">
        <v>629</v>
      </c>
      <c r="G189" s="53" t="s">
        <v>9636</v>
      </c>
      <c r="H189" s="86" t="s">
        <v>9640</v>
      </c>
    </row>
    <row r="190" spans="1:8">
      <c r="A190" s="45"/>
      <c r="B190" s="41" t="s">
        <v>15988</v>
      </c>
      <c r="C190" s="42">
        <v>6</v>
      </c>
      <c r="D190" s="53" t="s">
        <v>1126</v>
      </c>
      <c r="E190" s="53" t="s">
        <v>471</v>
      </c>
      <c r="F190" s="53" t="s">
        <v>472</v>
      </c>
      <c r="G190" s="53" t="s">
        <v>15989</v>
      </c>
      <c r="H190" s="86" t="s">
        <v>17265</v>
      </c>
    </row>
    <row r="191" spans="1:8">
      <c r="A191" s="614" t="s">
        <v>9827</v>
      </c>
      <c r="B191" s="41" t="s">
        <v>8864</v>
      </c>
      <c r="C191" s="42">
        <v>12</v>
      </c>
      <c r="D191" s="54" t="s">
        <v>1136</v>
      </c>
      <c r="E191" s="53" t="s">
        <v>11791</v>
      </c>
      <c r="F191" s="53" t="s">
        <v>874</v>
      </c>
      <c r="G191" s="53" t="s">
        <v>15975</v>
      </c>
      <c r="H191" s="86" t="s">
        <v>15974</v>
      </c>
    </row>
    <row r="192" spans="1:8">
      <c r="B192" s="41" t="s">
        <v>17266</v>
      </c>
      <c r="C192" s="42">
        <v>15</v>
      </c>
      <c r="D192" s="53" t="s">
        <v>1149</v>
      </c>
      <c r="E192" s="53" t="s">
        <v>9889</v>
      </c>
      <c r="F192" s="53" t="s">
        <v>468</v>
      </c>
      <c r="G192" s="53" t="s">
        <v>9954</v>
      </c>
      <c r="H192" s="44" t="s">
        <v>9897</v>
      </c>
    </row>
    <row r="193" spans="1:8">
      <c r="A193" s="42"/>
      <c r="B193" s="41" t="s">
        <v>9147</v>
      </c>
      <c r="C193" s="42">
        <v>12</v>
      </c>
      <c r="D193" s="53" t="s">
        <v>1126</v>
      </c>
      <c r="E193" s="53" t="s">
        <v>277</v>
      </c>
      <c r="F193" s="53" t="s">
        <v>468</v>
      </c>
      <c r="G193" s="53" t="s">
        <v>9148</v>
      </c>
      <c r="H193" s="42" t="s">
        <v>9149</v>
      </c>
    </row>
    <row r="194" spans="1:8">
      <c r="A194" s="614" t="s">
        <v>9814</v>
      </c>
      <c r="B194" s="41" t="s">
        <v>15977</v>
      </c>
      <c r="C194" s="42">
        <v>12</v>
      </c>
      <c r="D194" s="53" t="s">
        <v>1126</v>
      </c>
      <c r="E194" s="53" t="s">
        <v>1127</v>
      </c>
      <c r="F194" s="53" t="s">
        <v>472</v>
      </c>
      <c r="G194" s="53" t="s">
        <v>15996</v>
      </c>
      <c r="H194" s="86" t="s">
        <v>15997</v>
      </c>
    </row>
    <row r="195" spans="1:8">
      <c r="B195" s="41" t="s">
        <v>9119</v>
      </c>
      <c r="C195" s="42">
        <v>19</v>
      </c>
      <c r="D195" s="53" t="s">
        <v>1136</v>
      </c>
      <c r="E195" s="53" t="s">
        <v>277</v>
      </c>
      <c r="F195" s="53" t="s">
        <v>220</v>
      </c>
      <c r="G195" s="53" t="s">
        <v>9165</v>
      </c>
      <c r="H195" s="86" t="s">
        <v>9167</v>
      </c>
    </row>
    <row r="196" spans="1:8">
      <c r="B196" s="41" t="s">
        <v>9160</v>
      </c>
      <c r="C196" s="42">
        <v>21</v>
      </c>
      <c r="D196" s="53" t="s">
        <v>1136</v>
      </c>
      <c r="E196" s="53" t="s">
        <v>467</v>
      </c>
      <c r="F196" s="53" t="s">
        <v>468</v>
      </c>
      <c r="G196" s="53" t="s">
        <v>9166</v>
      </c>
      <c r="H196" s="86" t="s">
        <v>9161</v>
      </c>
    </row>
    <row r="197" spans="1:8">
      <c r="B197" s="41" t="s">
        <v>9153</v>
      </c>
      <c r="C197" s="42">
        <v>12</v>
      </c>
      <c r="D197" s="53" t="s">
        <v>1136</v>
      </c>
      <c r="E197" s="53" t="s">
        <v>277</v>
      </c>
      <c r="F197" s="53" t="s">
        <v>472</v>
      </c>
      <c r="G197" s="53" t="s">
        <v>9156</v>
      </c>
      <c r="H197" s="86" t="s">
        <v>9154</v>
      </c>
    </row>
    <row r="198" spans="1:8">
      <c r="A198" s="45"/>
      <c r="B198" s="41" t="s">
        <v>9155</v>
      </c>
      <c r="C198" s="42">
        <v>15</v>
      </c>
      <c r="D198" s="53" t="s">
        <v>1136</v>
      </c>
      <c r="E198" s="53" t="s">
        <v>277</v>
      </c>
      <c r="F198" s="53" t="s">
        <v>874</v>
      </c>
      <c r="G198" s="53" t="s">
        <v>9158</v>
      </c>
      <c r="H198" s="86" t="s">
        <v>9159</v>
      </c>
    </row>
    <row r="199" spans="1:8">
      <c r="A199" s="614" t="s">
        <v>9816</v>
      </c>
      <c r="B199" s="41" t="s">
        <v>9031</v>
      </c>
      <c r="C199" s="42">
        <v>8</v>
      </c>
      <c r="D199" s="53" t="s">
        <v>9037</v>
      </c>
      <c r="E199" s="53" t="s">
        <v>3732</v>
      </c>
      <c r="F199" s="53" t="s">
        <v>1286</v>
      </c>
      <c r="G199" s="53" t="s">
        <v>9038</v>
      </c>
      <c r="H199" s="86" t="s">
        <v>17267</v>
      </c>
    </row>
    <row r="200" spans="1:8">
      <c r="B200" s="41" t="s">
        <v>584</v>
      </c>
      <c r="C200" s="42">
        <v>16</v>
      </c>
      <c r="D200" s="53" t="s">
        <v>1136</v>
      </c>
      <c r="E200" s="53" t="s">
        <v>277</v>
      </c>
      <c r="F200" s="53" t="s">
        <v>1283</v>
      </c>
      <c r="G200" s="53" t="s">
        <v>1284</v>
      </c>
      <c r="H200" s="42" t="s">
        <v>1285</v>
      </c>
    </row>
    <row r="201" spans="1:8">
      <c r="B201" s="41" t="s">
        <v>9035</v>
      </c>
      <c r="C201" s="42">
        <v>10</v>
      </c>
      <c r="D201" s="53" t="s">
        <v>1126</v>
      </c>
      <c r="E201" s="53" t="s">
        <v>3729</v>
      </c>
      <c r="F201" s="53" t="s">
        <v>468</v>
      </c>
      <c r="G201" s="53" t="s">
        <v>9039</v>
      </c>
      <c r="H201" s="86" t="s">
        <v>9040</v>
      </c>
    </row>
    <row r="202" spans="1:8">
      <c r="B202" s="41" t="s">
        <v>9036</v>
      </c>
      <c r="C202" s="42">
        <v>18</v>
      </c>
      <c r="D202" s="53" t="s">
        <v>1136</v>
      </c>
      <c r="E202" s="53" t="s">
        <v>3729</v>
      </c>
      <c r="F202" s="53" t="s">
        <v>1130</v>
      </c>
      <c r="G202" s="53" t="s">
        <v>9041</v>
      </c>
      <c r="H202" s="86" t="s">
        <v>17268</v>
      </c>
    </row>
    <row r="203" spans="1:8">
      <c r="B203" s="41" t="s">
        <v>9033</v>
      </c>
      <c r="C203" s="42">
        <v>18</v>
      </c>
      <c r="D203" s="53" t="s">
        <v>1136</v>
      </c>
      <c r="E203" s="53" t="s">
        <v>484</v>
      </c>
      <c r="F203" s="53" t="s">
        <v>468</v>
      </c>
      <c r="G203" s="53" t="s">
        <v>9042</v>
      </c>
      <c r="H203" s="86" t="s">
        <v>9043</v>
      </c>
    </row>
    <row r="204" spans="1:8">
      <c r="B204" s="41" t="s">
        <v>9030</v>
      </c>
      <c r="C204" s="42">
        <v>5</v>
      </c>
      <c r="D204" s="53" t="s">
        <v>1136</v>
      </c>
      <c r="E204" s="53" t="s">
        <v>484</v>
      </c>
      <c r="F204" s="53" t="s">
        <v>1624</v>
      </c>
      <c r="G204" s="53" t="s">
        <v>9044</v>
      </c>
      <c r="H204" s="86" t="s">
        <v>17269</v>
      </c>
    </row>
    <row r="205" spans="1:8">
      <c r="B205" s="41" t="s">
        <v>9032</v>
      </c>
      <c r="C205" s="42">
        <v>12</v>
      </c>
      <c r="D205" s="53" t="s">
        <v>1126</v>
      </c>
      <c r="E205" s="53" t="s">
        <v>3729</v>
      </c>
      <c r="F205" s="53" t="s">
        <v>1286</v>
      </c>
      <c r="G205" s="53" t="s">
        <v>9045</v>
      </c>
      <c r="H205" s="86" t="s">
        <v>9047</v>
      </c>
    </row>
    <row r="206" spans="1:8">
      <c r="B206" s="41" t="s">
        <v>9034</v>
      </c>
      <c r="C206" s="42">
        <v>20</v>
      </c>
      <c r="D206" s="53" t="s">
        <v>5275</v>
      </c>
      <c r="E206" s="53" t="s">
        <v>484</v>
      </c>
      <c r="F206" s="53" t="s">
        <v>1624</v>
      </c>
      <c r="G206" s="53" t="s">
        <v>9046</v>
      </c>
      <c r="H206" s="86" t="s">
        <v>17270</v>
      </c>
    </row>
    <row r="207" spans="1:8">
      <c r="A207" s="614" t="s">
        <v>9819</v>
      </c>
      <c r="B207" s="41" t="s">
        <v>564</v>
      </c>
      <c r="C207" s="42">
        <v>8</v>
      </c>
      <c r="D207" s="53" t="s">
        <v>1126</v>
      </c>
      <c r="E207" s="53" t="s">
        <v>467</v>
      </c>
      <c r="F207" s="53" t="s">
        <v>479</v>
      </c>
      <c r="G207" s="53" t="s">
        <v>480</v>
      </c>
      <c r="H207" s="42" t="s">
        <v>481</v>
      </c>
    </row>
    <row r="208" spans="1:8">
      <c r="B208" s="41" t="s">
        <v>565</v>
      </c>
      <c r="C208" s="42">
        <v>14</v>
      </c>
      <c r="D208" s="53" t="s">
        <v>1126</v>
      </c>
      <c r="E208" s="53" t="s">
        <v>1127</v>
      </c>
      <c r="F208" s="53" t="s">
        <v>472</v>
      </c>
      <c r="G208" s="53" t="s">
        <v>482</v>
      </c>
      <c r="H208" s="86" t="s">
        <v>483</v>
      </c>
    </row>
    <row r="209" spans="1:8">
      <c r="B209" s="41" t="s">
        <v>566</v>
      </c>
      <c r="C209" s="42">
        <v>12</v>
      </c>
      <c r="D209" s="53" t="s">
        <v>1136</v>
      </c>
      <c r="E209" s="53" t="s">
        <v>484</v>
      </c>
      <c r="F209" s="53" t="s">
        <v>485</v>
      </c>
      <c r="G209" s="53" t="s">
        <v>486</v>
      </c>
      <c r="H209" s="42" t="s">
        <v>628</v>
      </c>
    </row>
    <row r="210" spans="1:8">
      <c r="B210" s="41" t="s">
        <v>567</v>
      </c>
      <c r="C210" s="42">
        <v>20</v>
      </c>
      <c r="D210" s="53" t="s">
        <v>1126</v>
      </c>
      <c r="E210" s="53" t="s">
        <v>11791</v>
      </c>
      <c r="F210" s="53" t="s">
        <v>629</v>
      </c>
      <c r="G210" s="53" t="s">
        <v>630</v>
      </c>
      <c r="H210" s="42" t="s">
        <v>631</v>
      </c>
    </row>
    <row r="211" spans="1:8">
      <c r="B211" s="41" t="s">
        <v>568</v>
      </c>
      <c r="C211" s="42">
        <v>17</v>
      </c>
      <c r="D211" s="53" t="s">
        <v>1136</v>
      </c>
      <c r="E211" s="53" t="s">
        <v>467</v>
      </c>
      <c r="F211" s="53" t="s">
        <v>472</v>
      </c>
      <c r="G211" s="53" t="s">
        <v>632</v>
      </c>
      <c r="H211" s="42" t="s">
        <v>633</v>
      </c>
    </row>
    <row r="212" spans="1:8">
      <c r="A212" s="45"/>
      <c r="B212" s="41" t="s">
        <v>15969</v>
      </c>
      <c r="C212" s="42">
        <v>14</v>
      </c>
      <c r="D212" s="54" t="s">
        <v>1136</v>
      </c>
      <c r="E212" s="53" t="s">
        <v>277</v>
      </c>
      <c r="F212" s="53" t="s">
        <v>472</v>
      </c>
      <c r="G212" s="53" t="s">
        <v>15986</v>
      </c>
      <c r="H212" s="86" t="s">
        <v>17271</v>
      </c>
    </row>
    <row r="213" spans="1:8">
      <c r="B213" s="41" t="s">
        <v>569</v>
      </c>
      <c r="C213" s="42">
        <v>4</v>
      </c>
      <c r="D213" s="53" t="s">
        <v>1136</v>
      </c>
      <c r="E213" s="53" t="s">
        <v>11791</v>
      </c>
      <c r="F213" s="53" t="s">
        <v>468</v>
      </c>
      <c r="G213" s="53" t="s">
        <v>634</v>
      </c>
      <c r="H213" s="42" t="s">
        <v>635</v>
      </c>
    </row>
    <row r="214" spans="1:8">
      <c r="B214" s="41" t="s">
        <v>16541</v>
      </c>
      <c r="C214" s="42">
        <v>5</v>
      </c>
      <c r="D214" s="53" t="s">
        <v>1136</v>
      </c>
      <c r="E214" s="53" t="s">
        <v>16542</v>
      </c>
      <c r="F214" s="53" t="s">
        <v>468</v>
      </c>
      <c r="G214" s="53" t="s">
        <v>16543</v>
      </c>
      <c r="H214" s="86" t="s">
        <v>16544</v>
      </c>
    </row>
    <row r="215" spans="1:8">
      <c r="A215" s="614" t="s">
        <v>9820</v>
      </c>
      <c r="B215" s="41" t="s">
        <v>570</v>
      </c>
      <c r="C215" s="42">
        <v>9</v>
      </c>
      <c r="D215" s="53" t="s">
        <v>476</v>
      </c>
      <c r="E215" s="53" t="s">
        <v>277</v>
      </c>
      <c r="F215" s="53" t="s">
        <v>472</v>
      </c>
      <c r="G215" s="53" t="s">
        <v>636</v>
      </c>
      <c r="H215" s="42" t="s">
        <v>1138</v>
      </c>
    </row>
    <row r="216" spans="1:8">
      <c r="B216" s="41" t="s">
        <v>571</v>
      </c>
      <c r="C216" s="42">
        <v>11</v>
      </c>
      <c r="D216" s="53" t="s">
        <v>1126</v>
      </c>
      <c r="E216" s="53" t="s">
        <v>467</v>
      </c>
      <c r="F216" s="53" t="s">
        <v>472</v>
      </c>
      <c r="G216" s="53" t="s">
        <v>1139</v>
      </c>
      <c r="H216" s="42" t="s">
        <v>353</v>
      </c>
    </row>
    <row r="217" spans="1:8">
      <c r="B217" s="41" t="s">
        <v>572</v>
      </c>
      <c r="C217" s="42">
        <v>12</v>
      </c>
      <c r="D217" s="53" t="s">
        <v>1136</v>
      </c>
      <c r="E217" s="53" t="s">
        <v>467</v>
      </c>
      <c r="F217" s="53" t="s">
        <v>472</v>
      </c>
      <c r="G217" s="53" t="s">
        <v>354</v>
      </c>
      <c r="H217" s="42" t="s">
        <v>355</v>
      </c>
    </row>
    <row r="218" spans="1:8">
      <c r="B218" s="41" t="s">
        <v>573</v>
      </c>
      <c r="C218" s="42">
        <v>10</v>
      </c>
      <c r="D218" s="53" t="s">
        <v>282</v>
      </c>
      <c r="E218" s="53" t="s">
        <v>356</v>
      </c>
      <c r="F218" s="53" t="s">
        <v>1130</v>
      </c>
      <c r="G218" s="53" t="s">
        <v>357</v>
      </c>
      <c r="H218" s="42" t="s">
        <v>358</v>
      </c>
    </row>
    <row r="219" spans="1:8">
      <c r="B219" s="41" t="s">
        <v>16129</v>
      </c>
      <c r="C219" s="42">
        <v>13</v>
      </c>
      <c r="D219" s="53" t="s">
        <v>1126</v>
      </c>
      <c r="E219" s="53" t="s">
        <v>467</v>
      </c>
      <c r="F219" s="53" t="s">
        <v>1128</v>
      </c>
      <c r="G219" s="53" t="s">
        <v>16130</v>
      </c>
      <c r="H219" s="86" t="s">
        <v>16132</v>
      </c>
    </row>
    <row r="220" spans="1:8">
      <c r="B220" s="41" t="s">
        <v>574</v>
      </c>
      <c r="C220" s="42">
        <v>19</v>
      </c>
      <c r="D220" s="53" t="s">
        <v>1126</v>
      </c>
      <c r="E220" s="53" t="s">
        <v>270</v>
      </c>
      <c r="F220" s="53" t="s">
        <v>472</v>
      </c>
      <c r="G220" s="53" t="s">
        <v>359</v>
      </c>
      <c r="H220" s="86" t="s">
        <v>16131</v>
      </c>
    </row>
    <row r="221" spans="1:8">
      <c r="B221" s="41" t="s">
        <v>575</v>
      </c>
      <c r="C221" s="42">
        <v>16</v>
      </c>
      <c r="D221" s="53" t="s">
        <v>1126</v>
      </c>
      <c r="E221" s="53" t="s">
        <v>270</v>
      </c>
      <c r="F221" s="53" t="s">
        <v>472</v>
      </c>
      <c r="G221" s="53" t="s">
        <v>360</v>
      </c>
      <c r="H221" s="42" t="s">
        <v>1242</v>
      </c>
    </row>
    <row r="222" spans="1:8">
      <c r="B222" s="41" t="s">
        <v>16538</v>
      </c>
      <c r="C222" s="42">
        <v>12</v>
      </c>
      <c r="D222" s="53" t="s">
        <v>1126</v>
      </c>
      <c r="E222" s="53" t="s">
        <v>277</v>
      </c>
      <c r="F222" s="53" t="s">
        <v>874</v>
      </c>
      <c r="G222" s="53" t="s">
        <v>16539</v>
      </c>
      <c r="H222" s="86" t="s">
        <v>16540</v>
      </c>
    </row>
    <row r="223" spans="1:8">
      <c r="A223" s="614" t="s">
        <v>9821</v>
      </c>
      <c r="B223" s="41" t="s">
        <v>576</v>
      </c>
      <c r="C223" s="42">
        <v>5</v>
      </c>
      <c r="D223" s="53" t="s">
        <v>1126</v>
      </c>
      <c r="E223" s="53" t="s">
        <v>1127</v>
      </c>
      <c r="F223" s="53" t="s">
        <v>472</v>
      </c>
      <c r="G223" s="53" t="s">
        <v>1305</v>
      </c>
      <c r="H223" s="42" t="s">
        <v>1306</v>
      </c>
    </row>
    <row r="224" spans="1:8">
      <c r="B224" s="41" t="s">
        <v>577</v>
      </c>
      <c r="C224" s="42">
        <v>9</v>
      </c>
      <c r="D224" s="53" t="s">
        <v>1126</v>
      </c>
      <c r="E224" s="53" t="s">
        <v>471</v>
      </c>
      <c r="F224" s="53" t="s">
        <v>472</v>
      </c>
      <c r="G224" s="53" t="s">
        <v>1307</v>
      </c>
      <c r="H224" s="86" t="s">
        <v>16545</v>
      </c>
    </row>
    <row r="225" spans="1:8">
      <c r="B225" s="41" t="s">
        <v>578</v>
      </c>
      <c r="C225" s="42">
        <v>7</v>
      </c>
      <c r="D225" s="53" t="s">
        <v>1126</v>
      </c>
      <c r="E225" s="53" t="s">
        <v>11791</v>
      </c>
      <c r="F225" s="53" t="s">
        <v>472</v>
      </c>
      <c r="G225" s="53" t="s">
        <v>1272</v>
      </c>
      <c r="H225" s="42" t="s">
        <v>1273</v>
      </c>
    </row>
    <row r="226" spans="1:8">
      <c r="B226" s="41" t="s">
        <v>579</v>
      </c>
      <c r="C226" s="42">
        <v>20</v>
      </c>
      <c r="D226" s="53" t="s">
        <v>1136</v>
      </c>
      <c r="E226" s="53" t="s">
        <v>471</v>
      </c>
      <c r="F226" s="53" t="s">
        <v>472</v>
      </c>
      <c r="G226" s="53" t="s">
        <v>1274</v>
      </c>
      <c r="H226" s="42" t="s">
        <v>1275</v>
      </c>
    </row>
    <row r="227" spans="1:8">
      <c r="B227" s="41" t="s">
        <v>580</v>
      </c>
      <c r="C227" s="42">
        <v>12</v>
      </c>
      <c r="D227" s="53" t="s">
        <v>1126</v>
      </c>
      <c r="E227" s="53" t="s">
        <v>467</v>
      </c>
      <c r="F227" s="53" t="s">
        <v>472</v>
      </c>
      <c r="G227" s="53" t="s">
        <v>1276</v>
      </c>
      <c r="H227" s="86" t="s">
        <v>16547</v>
      </c>
    </row>
    <row r="228" spans="1:8">
      <c r="B228" s="41" t="s">
        <v>581</v>
      </c>
      <c r="C228" s="42">
        <v>16</v>
      </c>
      <c r="D228" s="53" t="s">
        <v>1277</v>
      </c>
      <c r="E228" s="53" t="s">
        <v>11791</v>
      </c>
      <c r="F228" s="53" t="s">
        <v>472</v>
      </c>
      <c r="G228" s="53" t="s">
        <v>1278</v>
      </c>
      <c r="H228" s="42" t="s">
        <v>1279</v>
      </c>
    </row>
    <row r="229" spans="1:8">
      <c r="A229" s="45"/>
      <c r="B229" s="41" t="s">
        <v>16017</v>
      </c>
      <c r="C229" s="42">
        <v>7</v>
      </c>
      <c r="D229" s="53" t="s">
        <v>1126</v>
      </c>
      <c r="E229" s="53" t="s">
        <v>471</v>
      </c>
      <c r="F229" s="53" t="s">
        <v>1128</v>
      </c>
      <c r="G229" s="53" t="s">
        <v>15990</v>
      </c>
      <c r="H229" s="86" t="s">
        <v>17272</v>
      </c>
    </row>
    <row r="230" spans="1:8">
      <c r="A230" s="614" t="s">
        <v>9822</v>
      </c>
      <c r="B230" s="41" t="s">
        <v>9262</v>
      </c>
      <c r="C230" s="42">
        <v>17</v>
      </c>
      <c r="D230" s="53" t="s">
        <v>1126</v>
      </c>
      <c r="E230" s="53" t="s">
        <v>467</v>
      </c>
      <c r="F230" s="53" t="s">
        <v>472</v>
      </c>
      <c r="G230" s="53" t="s">
        <v>9273</v>
      </c>
      <c r="H230" s="86" t="s">
        <v>9263</v>
      </c>
    </row>
    <row r="231" spans="1:8">
      <c r="B231" s="41" t="s">
        <v>9256</v>
      </c>
      <c r="C231" s="42">
        <v>7</v>
      </c>
      <c r="D231" s="53" t="s">
        <v>1126</v>
      </c>
      <c r="E231" s="53" t="s">
        <v>467</v>
      </c>
      <c r="F231" s="53" t="s">
        <v>472</v>
      </c>
      <c r="G231" s="53" t="s">
        <v>9273</v>
      </c>
      <c r="H231" s="86" t="s">
        <v>9257</v>
      </c>
    </row>
    <row r="232" spans="1:8">
      <c r="B232" s="41" t="s">
        <v>9264</v>
      </c>
      <c r="C232" s="42">
        <v>13</v>
      </c>
      <c r="D232" s="53" t="s">
        <v>1126</v>
      </c>
      <c r="E232" s="53" t="s">
        <v>467</v>
      </c>
      <c r="F232" s="53" t="s">
        <v>472</v>
      </c>
      <c r="G232" s="53" t="s">
        <v>9273</v>
      </c>
      <c r="H232" s="86" t="s">
        <v>9265</v>
      </c>
    </row>
    <row r="233" spans="1:8">
      <c r="B233" s="41" t="s">
        <v>9258</v>
      </c>
      <c r="C233" s="42">
        <v>8</v>
      </c>
      <c r="D233" s="53" t="s">
        <v>1126</v>
      </c>
      <c r="E233" s="53" t="s">
        <v>467</v>
      </c>
      <c r="F233" s="53" t="s">
        <v>472</v>
      </c>
      <c r="G233" s="53" t="s">
        <v>9273</v>
      </c>
      <c r="H233" s="86" t="s">
        <v>9259</v>
      </c>
    </row>
    <row r="234" spans="1:8">
      <c r="B234" s="41" t="s">
        <v>9315</v>
      </c>
      <c r="C234" s="42">
        <v>10</v>
      </c>
      <c r="D234" s="53" t="s">
        <v>9037</v>
      </c>
      <c r="E234" s="53" t="s">
        <v>471</v>
      </c>
      <c r="F234" s="53" t="s">
        <v>472</v>
      </c>
      <c r="G234" s="53" t="s">
        <v>9273</v>
      </c>
      <c r="H234" s="86" t="s">
        <v>9316</v>
      </c>
    </row>
    <row r="235" spans="1:8">
      <c r="B235" s="41" t="s">
        <v>9317</v>
      </c>
      <c r="C235" s="42">
        <v>10</v>
      </c>
      <c r="D235" s="53" t="s">
        <v>1136</v>
      </c>
      <c r="E235" s="53" t="s">
        <v>1127</v>
      </c>
      <c r="F235" s="53" t="s">
        <v>472</v>
      </c>
      <c r="G235" s="53" t="s">
        <v>9273</v>
      </c>
      <c r="H235" s="86" t="s">
        <v>9318</v>
      </c>
    </row>
    <row r="236" spans="1:8">
      <c r="B236" s="41" t="s">
        <v>9266</v>
      </c>
      <c r="C236" s="42">
        <v>12</v>
      </c>
      <c r="D236" s="53" t="s">
        <v>1126</v>
      </c>
      <c r="E236" s="53" t="s">
        <v>467</v>
      </c>
      <c r="F236" s="53" t="s">
        <v>472</v>
      </c>
      <c r="G236" s="53" t="s">
        <v>9273</v>
      </c>
      <c r="H236" s="86" t="s">
        <v>9268</v>
      </c>
    </row>
    <row r="237" spans="1:8">
      <c r="B237" s="41" t="s">
        <v>9267</v>
      </c>
      <c r="C237" s="42">
        <v>15</v>
      </c>
      <c r="D237" s="53" t="s">
        <v>1126</v>
      </c>
      <c r="E237" s="53" t="s">
        <v>467</v>
      </c>
      <c r="F237" s="53" t="s">
        <v>472</v>
      </c>
      <c r="G237" s="53" t="s">
        <v>9273</v>
      </c>
      <c r="H237" s="86" t="s">
        <v>9269</v>
      </c>
    </row>
    <row r="238" spans="1:8">
      <c r="B238" s="41" t="s">
        <v>9313</v>
      </c>
      <c r="C238" s="42">
        <v>16</v>
      </c>
      <c r="D238" s="53" t="s">
        <v>1126</v>
      </c>
      <c r="E238" s="53" t="s">
        <v>471</v>
      </c>
      <c r="F238" s="53" t="s">
        <v>874</v>
      </c>
      <c r="G238" s="53" t="s">
        <v>9273</v>
      </c>
      <c r="H238" s="86" t="s">
        <v>9314</v>
      </c>
    </row>
    <row r="239" spans="1:8">
      <c r="B239" s="41" t="s">
        <v>9260</v>
      </c>
      <c r="C239" s="42">
        <v>6</v>
      </c>
      <c r="D239" s="53" t="s">
        <v>1126</v>
      </c>
      <c r="E239" s="53" t="s">
        <v>467</v>
      </c>
      <c r="F239" s="53" t="s">
        <v>472</v>
      </c>
      <c r="G239" s="53" t="s">
        <v>9273</v>
      </c>
      <c r="H239" s="86" t="s">
        <v>9261</v>
      </c>
    </row>
    <row r="240" spans="1:8">
      <c r="B240" s="41" t="s">
        <v>9254</v>
      </c>
      <c r="C240" s="42">
        <v>5</v>
      </c>
      <c r="D240" s="53" t="s">
        <v>1126</v>
      </c>
      <c r="E240" s="53" t="s">
        <v>467</v>
      </c>
      <c r="F240" s="53" t="s">
        <v>472</v>
      </c>
      <c r="G240" s="53" t="s">
        <v>9273</v>
      </c>
      <c r="H240" s="86" t="s">
        <v>9255</v>
      </c>
    </row>
    <row r="241" spans="1:8">
      <c r="A241" s="614" t="s">
        <v>9809</v>
      </c>
      <c r="B241" s="41" t="s">
        <v>582</v>
      </c>
      <c r="C241" s="42">
        <v>20</v>
      </c>
      <c r="D241" s="53" t="s">
        <v>476</v>
      </c>
      <c r="E241" s="53" t="s">
        <v>270</v>
      </c>
      <c r="F241" s="53" t="s">
        <v>270</v>
      </c>
      <c r="G241" s="53" t="s">
        <v>1280</v>
      </c>
      <c r="H241" s="42" t="s">
        <v>1281</v>
      </c>
    </row>
    <row r="242" spans="1:8">
      <c r="B242" s="41" t="s">
        <v>583</v>
      </c>
      <c r="C242" s="42">
        <v>16</v>
      </c>
      <c r="D242" s="53" t="s">
        <v>1136</v>
      </c>
      <c r="E242" s="53" t="s">
        <v>484</v>
      </c>
      <c r="F242" s="53" t="s">
        <v>270</v>
      </c>
      <c r="G242" s="53" t="s">
        <v>1282</v>
      </c>
      <c r="H242" s="86" t="s">
        <v>17273</v>
      </c>
    </row>
    <row r="243" spans="1:8">
      <c r="B243" s="41" t="s">
        <v>584</v>
      </c>
      <c r="C243" s="42">
        <v>16</v>
      </c>
      <c r="D243" s="53" t="s">
        <v>1136</v>
      </c>
      <c r="E243" s="53" t="s">
        <v>277</v>
      </c>
      <c r="F243" s="53" t="s">
        <v>1283</v>
      </c>
      <c r="G243" s="53" t="s">
        <v>1284</v>
      </c>
      <c r="H243" s="42" t="s">
        <v>1285</v>
      </c>
    </row>
    <row r="244" spans="1:8">
      <c r="B244" s="41" t="s">
        <v>585</v>
      </c>
      <c r="C244" s="42">
        <v>10</v>
      </c>
      <c r="D244" s="53" t="s">
        <v>1126</v>
      </c>
      <c r="E244" s="53" t="s">
        <v>11791</v>
      </c>
      <c r="F244" s="53" t="s">
        <v>1286</v>
      </c>
      <c r="G244" s="53" t="s">
        <v>1287</v>
      </c>
      <c r="H244" s="86" t="s">
        <v>17274</v>
      </c>
    </row>
    <row r="245" spans="1:8">
      <c r="B245" s="41" t="s">
        <v>15978</v>
      </c>
      <c r="C245" s="42">
        <v>9</v>
      </c>
      <c r="D245" s="53" t="s">
        <v>1126</v>
      </c>
      <c r="E245" s="53" t="s">
        <v>1127</v>
      </c>
      <c r="F245" s="53" t="s">
        <v>1128</v>
      </c>
      <c r="G245" s="53" t="s">
        <v>15998</v>
      </c>
      <c r="H245" s="86" t="s">
        <v>16021</v>
      </c>
    </row>
    <row r="246" spans="1:8">
      <c r="A246" s="45"/>
      <c r="B246" s="41" t="s">
        <v>587</v>
      </c>
      <c r="C246" s="42">
        <v>14</v>
      </c>
      <c r="D246" s="53" t="s">
        <v>1136</v>
      </c>
      <c r="E246" s="53" t="s">
        <v>467</v>
      </c>
      <c r="F246" s="53" t="s">
        <v>472</v>
      </c>
      <c r="G246" s="53" t="s">
        <v>1288</v>
      </c>
      <c r="H246" s="42" t="s">
        <v>1289</v>
      </c>
    </row>
    <row r="247" spans="1:8">
      <c r="B247" s="41" t="s">
        <v>588</v>
      </c>
      <c r="C247" s="42">
        <v>5</v>
      </c>
      <c r="D247" s="53" t="s">
        <v>1136</v>
      </c>
      <c r="E247" s="53" t="s">
        <v>484</v>
      </c>
      <c r="F247" s="53" t="s">
        <v>270</v>
      </c>
      <c r="G247" s="53" t="s">
        <v>1290</v>
      </c>
      <c r="H247" s="42" t="s">
        <v>1291</v>
      </c>
    </row>
    <row r="248" spans="1:8">
      <c r="B248" s="41" t="s">
        <v>589</v>
      </c>
      <c r="C248" s="42">
        <v>5</v>
      </c>
      <c r="D248" s="53" t="s">
        <v>476</v>
      </c>
      <c r="E248" s="53" t="s">
        <v>270</v>
      </c>
      <c r="F248" s="53" t="s">
        <v>472</v>
      </c>
      <c r="G248" s="53" t="s">
        <v>1292</v>
      </c>
      <c r="H248" s="86" t="s">
        <v>17275</v>
      </c>
    </row>
    <row r="249" spans="1:8">
      <c r="B249" s="41" t="s">
        <v>590</v>
      </c>
      <c r="C249" s="42">
        <v>9</v>
      </c>
      <c r="D249" s="53" t="s">
        <v>1126</v>
      </c>
      <c r="E249" s="53" t="s">
        <v>11791</v>
      </c>
      <c r="F249" s="53" t="s">
        <v>472</v>
      </c>
      <c r="G249" s="53" t="s">
        <v>1293</v>
      </c>
      <c r="H249" s="42" t="s">
        <v>1024</v>
      </c>
    </row>
    <row r="250" spans="1:8">
      <c r="B250" s="41" t="s">
        <v>591</v>
      </c>
      <c r="C250" s="42">
        <v>12</v>
      </c>
      <c r="D250" s="53" t="s">
        <v>1126</v>
      </c>
      <c r="E250" s="53" t="s">
        <v>467</v>
      </c>
      <c r="F250" s="53" t="s">
        <v>1286</v>
      </c>
      <c r="G250" s="53" t="s">
        <v>1294</v>
      </c>
      <c r="H250" s="86" t="s">
        <v>17276</v>
      </c>
    </row>
    <row r="251" spans="1:8">
      <c r="B251" s="41" t="s">
        <v>592</v>
      </c>
      <c r="C251" s="42">
        <v>7</v>
      </c>
      <c r="D251" s="53" t="s">
        <v>1136</v>
      </c>
      <c r="E251" s="53" t="s">
        <v>484</v>
      </c>
      <c r="F251" s="53" t="s">
        <v>1128</v>
      </c>
      <c r="G251" s="53" t="s">
        <v>1295</v>
      </c>
      <c r="H251" s="42" t="s">
        <v>487</v>
      </c>
    </row>
    <row r="252" spans="1:8">
      <c r="B252" s="41" t="s">
        <v>593</v>
      </c>
      <c r="C252" s="42">
        <v>8</v>
      </c>
      <c r="D252" s="53" t="s">
        <v>1126</v>
      </c>
      <c r="E252" s="53" t="s">
        <v>471</v>
      </c>
      <c r="F252" s="53" t="s">
        <v>1286</v>
      </c>
      <c r="G252" s="53" t="s">
        <v>488</v>
      </c>
      <c r="H252" s="42" t="s">
        <v>489</v>
      </c>
    </row>
    <row r="253" spans="1:8">
      <c r="A253" s="614" t="s">
        <v>9810</v>
      </c>
      <c r="B253" s="41" t="s">
        <v>15985</v>
      </c>
      <c r="C253" s="42">
        <v>8</v>
      </c>
      <c r="D253" s="53" t="s">
        <v>1136</v>
      </c>
      <c r="E253" s="53" t="s">
        <v>11791</v>
      </c>
      <c r="F253" s="53" t="s">
        <v>16014</v>
      </c>
      <c r="G253" s="53" t="s">
        <v>16015</v>
      </c>
      <c r="H253" s="86" t="s">
        <v>16031</v>
      </c>
    </row>
    <row r="254" spans="1:8">
      <c r="B254" s="41" t="s">
        <v>594</v>
      </c>
      <c r="C254" s="42">
        <v>13</v>
      </c>
      <c r="D254" s="53" t="s">
        <v>1126</v>
      </c>
      <c r="E254" s="53" t="s">
        <v>11791</v>
      </c>
      <c r="F254" s="53" t="s">
        <v>958</v>
      </c>
      <c r="G254" s="53" t="s">
        <v>490</v>
      </c>
      <c r="H254" s="42" t="s">
        <v>491</v>
      </c>
    </row>
    <row r="255" spans="1:8">
      <c r="B255" s="41" t="s">
        <v>595</v>
      </c>
      <c r="C255" s="42">
        <v>20</v>
      </c>
      <c r="D255" s="53" t="s">
        <v>476</v>
      </c>
      <c r="E255" s="53" t="s">
        <v>270</v>
      </c>
      <c r="F255" s="53" t="s">
        <v>270</v>
      </c>
      <c r="G255" s="53" t="s">
        <v>492</v>
      </c>
      <c r="H255" s="42" t="s">
        <v>493</v>
      </c>
    </row>
    <row r="256" spans="1:8">
      <c r="B256" s="41" t="s">
        <v>596</v>
      </c>
      <c r="C256" s="42">
        <v>11</v>
      </c>
      <c r="D256" s="53" t="s">
        <v>1136</v>
      </c>
      <c r="E256" s="53" t="s">
        <v>270</v>
      </c>
      <c r="F256" s="53" t="s">
        <v>270</v>
      </c>
      <c r="G256" s="53" t="s">
        <v>494</v>
      </c>
      <c r="H256" s="86" t="s">
        <v>17277</v>
      </c>
    </row>
    <row r="257" spans="1:8">
      <c r="B257" s="41" t="s">
        <v>597</v>
      </c>
      <c r="C257" s="42">
        <v>10</v>
      </c>
      <c r="D257" s="53" t="s">
        <v>476</v>
      </c>
      <c r="E257" s="53" t="s">
        <v>966</v>
      </c>
      <c r="F257" s="53" t="s">
        <v>270</v>
      </c>
      <c r="G257" s="53" t="s">
        <v>967</v>
      </c>
      <c r="H257" s="86" t="s">
        <v>17278</v>
      </c>
    </row>
    <row r="258" spans="1:8">
      <c r="B258" s="41" t="s">
        <v>598</v>
      </c>
      <c r="C258" s="42">
        <v>5</v>
      </c>
      <c r="D258" s="53" t="s">
        <v>476</v>
      </c>
      <c r="E258" s="53" t="s">
        <v>968</v>
      </c>
      <c r="F258" s="53" t="s">
        <v>958</v>
      </c>
      <c r="G258" s="53" t="s">
        <v>969</v>
      </c>
      <c r="H258" s="86" t="s">
        <v>17279</v>
      </c>
    </row>
    <row r="259" spans="1:8">
      <c r="B259" s="41" t="s">
        <v>599</v>
      </c>
      <c r="C259" s="42">
        <v>8</v>
      </c>
      <c r="D259" s="53" t="s">
        <v>1126</v>
      </c>
      <c r="E259" s="53" t="s">
        <v>970</v>
      </c>
      <c r="F259" s="53" t="s">
        <v>472</v>
      </c>
      <c r="G259" s="53" t="s">
        <v>971</v>
      </c>
      <c r="H259" s="86" t="s">
        <v>972</v>
      </c>
    </row>
    <row r="260" spans="1:8">
      <c r="B260" s="41" t="s">
        <v>600</v>
      </c>
      <c r="C260" s="42">
        <v>16</v>
      </c>
      <c r="D260" s="53" t="s">
        <v>1277</v>
      </c>
      <c r="E260" s="53" t="s">
        <v>11791</v>
      </c>
      <c r="F260" s="53" t="s">
        <v>958</v>
      </c>
      <c r="G260" s="53" t="s">
        <v>973</v>
      </c>
      <c r="H260" s="86" t="s">
        <v>17280</v>
      </c>
    </row>
    <row r="261" spans="1:8" ht="79.2">
      <c r="B261" s="41" t="s">
        <v>601</v>
      </c>
      <c r="C261" s="42">
        <v>15</v>
      </c>
      <c r="D261" s="53" t="s">
        <v>476</v>
      </c>
      <c r="E261" s="53" t="s">
        <v>11791</v>
      </c>
      <c r="F261" s="53" t="s">
        <v>472</v>
      </c>
      <c r="G261" s="53" t="s">
        <v>974</v>
      </c>
      <c r="H261" s="144" t="s">
        <v>17281</v>
      </c>
    </row>
    <row r="262" spans="1:8">
      <c r="B262" s="41" t="s">
        <v>602</v>
      </c>
      <c r="C262" s="42">
        <v>12</v>
      </c>
      <c r="D262" s="53" t="s">
        <v>476</v>
      </c>
      <c r="E262" s="53" t="s">
        <v>11791</v>
      </c>
      <c r="F262" s="53" t="s">
        <v>472</v>
      </c>
      <c r="G262" s="53" t="s">
        <v>224</v>
      </c>
      <c r="H262" s="86" t="s">
        <v>17282</v>
      </c>
    </row>
    <row r="263" spans="1:8">
      <c r="B263" s="41" t="s">
        <v>603</v>
      </c>
      <c r="C263" s="42">
        <v>9</v>
      </c>
      <c r="D263" s="53" t="s">
        <v>1126</v>
      </c>
      <c r="E263" s="53" t="s">
        <v>471</v>
      </c>
      <c r="F263" s="53" t="s">
        <v>468</v>
      </c>
      <c r="G263" s="53" t="s">
        <v>49</v>
      </c>
      <c r="H263" s="42" t="s">
        <v>1140</v>
      </c>
    </row>
    <row r="264" spans="1:8">
      <c r="B264" s="41" t="s">
        <v>604</v>
      </c>
      <c r="C264" s="42">
        <v>20</v>
      </c>
      <c r="D264" s="53" t="s">
        <v>1136</v>
      </c>
      <c r="E264" s="53" t="s">
        <v>270</v>
      </c>
      <c r="F264" s="53" t="s">
        <v>1130</v>
      </c>
      <c r="G264" s="53" t="s">
        <v>1141</v>
      </c>
      <c r="H264" s="42" t="s">
        <v>1142</v>
      </c>
    </row>
    <row r="265" spans="1:8">
      <c r="B265" s="41" t="s">
        <v>605</v>
      </c>
      <c r="C265" s="42">
        <v>15</v>
      </c>
      <c r="D265" s="53" t="s">
        <v>476</v>
      </c>
      <c r="E265" s="53" t="s">
        <v>11791</v>
      </c>
      <c r="F265" s="53" t="s">
        <v>472</v>
      </c>
      <c r="G265" s="53" t="s">
        <v>1143</v>
      </c>
      <c r="H265" s="42" t="s">
        <v>1144</v>
      </c>
    </row>
    <row r="266" spans="1:8">
      <c r="A266" s="614" t="s">
        <v>9811</v>
      </c>
      <c r="B266" s="41" t="s">
        <v>606</v>
      </c>
      <c r="C266" s="42">
        <v>15</v>
      </c>
      <c r="D266" s="53" t="s">
        <v>1136</v>
      </c>
      <c r="E266" s="53" t="s">
        <v>471</v>
      </c>
      <c r="F266" s="53" t="s">
        <v>1130</v>
      </c>
      <c r="G266" s="53" t="s">
        <v>1145</v>
      </c>
      <c r="H266" s="42" t="s">
        <v>1146</v>
      </c>
    </row>
    <row r="267" spans="1:8">
      <c r="B267" s="41" t="s">
        <v>607</v>
      </c>
      <c r="C267" s="42">
        <v>10</v>
      </c>
      <c r="D267" s="54" t="s">
        <v>1136</v>
      </c>
      <c r="E267" s="53" t="s">
        <v>471</v>
      </c>
      <c r="F267" s="53" t="s">
        <v>1130</v>
      </c>
      <c r="G267" s="53" t="s">
        <v>1147</v>
      </c>
      <c r="H267" s="42" t="s">
        <v>1148</v>
      </c>
    </row>
    <row r="268" spans="1:8">
      <c r="B268" s="41" t="s">
        <v>736</v>
      </c>
      <c r="C268" s="42">
        <v>20</v>
      </c>
      <c r="D268" s="53" t="s">
        <v>1149</v>
      </c>
      <c r="E268" s="53" t="s">
        <v>1127</v>
      </c>
      <c r="F268" s="53" t="s">
        <v>1130</v>
      </c>
      <c r="G268" s="53" t="s">
        <v>1150</v>
      </c>
      <c r="H268" s="42" t="s">
        <v>1151</v>
      </c>
    </row>
    <row r="269" spans="1:8">
      <c r="B269" s="41" t="s">
        <v>737</v>
      </c>
      <c r="C269" s="42">
        <v>6</v>
      </c>
      <c r="D269" s="53" t="s">
        <v>1126</v>
      </c>
      <c r="E269" s="53" t="s">
        <v>55</v>
      </c>
      <c r="F269" s="53" t="s">
        <v>270</v>
      </c>
      <c r="G269" s="53" t="s">
        <v>1152</v>
      </c>
      <c r="H269" s="42" t="s">
        <v>1153</v>
      </c>
    </row>
    <row r="270" spans="1:8">
      <c r="B270" s="41" t="s">
        <v>738</v>
      </c>
      <c r="C270" s="42">
        <v>7</v>
      </c>
      <c r="D270" s="53" t="s">
        <v>1136</v>
      </c>
      <c r="E270" s="53" t="s">
        <v>467</v>
      </c>
      <c r="F270" s="53" t="s">
        <v>1154</v>
      </c>
      <c r="G270" s="53" t="s">
        <v>1155</v>
      </c>
      <c r="H270" s="42" t="s">
        <v>1157</v>
      </c>
    </row>
    <row r="271" spans="1:8">
      <c r="B271" s="41" t="s">
        <v>739</v>
      </c>
      <c r="C271" s="42">
        <v>7</v>
      </c>
      <c r="D271" s="53" t="s">
        <v>1136</v>
      </c>
      <c r="E271" s="53" t="s">
        <v>467</v>
      </c>
      <c r="F271" s="53" t="s">
        <v>472</v>
      </c>
      <c r="G271" s="53" t="s">
        <v>1156</v>
      </c>
      <c r="H271" s="42" t="s">
        <v>865</v>
      </c>
    </row>
    <row r="272" spans="1:8">
      <c r="B272" s="41" t="s">
        <v>740</v>
      </c>
      <c r="C272" s="42">
        <v>17</v>
      </c>
      <c r="D272" s="53" t="s">
        <v>1136</v>
      </c>
      <c r="E272" s="53" t="s">
        <v>471</v>
      </c>
      <c r="F272" s="53" t="s">
        <v>1286</v>
      </c>
      <c r="G272" s="53" t="s">
        <v>866</v>
      </c>
      <c r="H272" s="42" t="s">
        <v>867</v>
      </c>
    </row>
    <row r="273" spans="1:8">
      <c r="B273" s="41" t="s">
        <v>741</v>
      </c>
      <c r="C273" s="42">
        <v>14</v>
      </c>
      <c r="D273" s="53" t="s">
        <v>1136</v>
      </c>
      <c r="E273" s="53" t="s">
        <v>1127</v>
      </c>
      <c r="F273" s="53" t="s">
        <v>472</v>
      </c>
      <c r="G273" s="53" t="s">
        <v>868</v>
      </c>
      <c r="H273" s="42" t="s">
        <v>869</v>
      </c>
    </row>
    <row r="274" spans="1:8">
      <c r="B274" s="41" t="s">
        <v>15976</v>
      </c>
      <c r="C274" s="42">
        <v>13</v>
      </c>
      <c r="D274" s="53" t="s">
        <v>1136</v>
      </c>
      <c r="E274" s="53" t="s">
        <v>15993</v>
      </c>
      <c r="F274" s="53" t="s">
        <v>874</v>
      </c>
      <c r="G274" s="53" t="s">
        <v>15994</v>
      </c>
      <c r="H274" s="86" t="s">
        <v>16018</v>
      </c>
    </row>
    <row r="275" spans="1:8">
      <c r="B275" s="41" t="s">
        <v>742</v>
      </c>
      <c r="C275" s="42">
        <v>16</v>
      </c>
      <c r="D275" s="53" t="s">
        <v>1126</v>
      </c>
      <c r="E275" s="53" t="s">
        <v>471</v>
      </c>
      <c r="F275" s="53" t="s">
        <v>472</v>
      </c>
      <c r="G275" s="53" t="s">
        <v>870</v>
      </c>
      <c r="H275" s="42" t="s">
        <v>871</v>
      </c>
    </row>
    <row r="276" spans="1:8">
      <c r="B276" s="41" t="s">
        <v>743</v>
      </c>
      <c r="C276" s="42">
        <v>5</v>
      </c>
      <c r="D276" s="53" t="s">
        <v>1126</v>
      </c>
      <c r="E276" s="53" t="s">
        <v>1127</v>
      </c>
      <c r="F276" s="53" t="s">
        <v>472</v>
      </c>
      <c r="G276" s="53" t="s">
        <v>872</v>
      </c>
      <c r="H276" s="42" t="s">
        <v>873</v>
      </c>
    </row>
    <row r="277" spans="1:8">
      <c r="B277" s="41" t="s">
        <v>744</v>
      </c>
      <c r="C277" s="42">
        <v>20</v>
      </c>
      <c r="D277" s="53" t="s">
        <v>1126</v>
      </c>
      <c r="E277" s="53" t="s">
        <v>11791</v>
      </c>
      <c r="F277" s="53" t="s">
        <v>874</v>
      </c>
      <c r="G277" s="53" t="s">
        <v>2910</v>
      </c>
      <c r="H277" s="42" t="s">
        <v>875</v>
      </c>
    </row>
    <row r="278" spans="1:8">
      <c r="B278" s="41" t="s">
        <v>745</v>
      </c>
      <c r="C278" s="42">
        <v>13</v>
      </c>
      <c r="D278" s="53" t="s">
        <v>282</v>
      </c>
      <c r="E278" s="53" t="s">
        <v>1127</v>
      </c>
      <c r="F278" s="53" t="s">
        <v>472</v>
      </c>
      <c r="G278" s="53" t="s">
        <v>876</v>
      </c>
      <c r="H278" s="86" t="s">
        <v>17283</v>
      </c>
    </row>
    <row r="279" spans="1:8">
      <c r="A279" s="614" t="s">
        <v>16032</v>
      </c>
      <c r="B279" s="41" t="s">
        <v>15956</v>
      </c>
      <c r="C279" s="42">
        <v>9</v>
      </c>
      <c r="D279" s="53" t="s">
        <v>1126</v>
      </c>
      <c r="E279" s="53" t="s">
        <v>1127</v>
      </c>
      <c r="F279" s="53" t="s">
        <v>1130</v>
      </c>
      <c r="G279" s="53" t="s">
        <v>15957</v>
      </c>
      <c r="H279" s="86" t="s">
        <v>16033</v>
      </c>
    </row>
    <row r="280" spans="1:8">
      <c r="A280" s="45"/>
      <c r="B280" s="41" t="s">
        <v>16415</v>
      </c>
      <c r="C280" s="42">
        <v>23</v>
      </c>
      <c r="D280" s="53" t="s">
        <v>55</v>
      </c>
      <c r="E280" s="53" t="s">
        <v>1127</v>
      </c>
      <c r="F280" s="53" t="s">
        <v>1283</v>
      </c>
      <c r="G280" s="53" t="s">
        <v>16416</v>
      </c>
      <c r="H280" s="86" t="s">
        <v>17284</v>
      </c>
    </row>
    <row r="281" spans="1:8">
      <c r="A281" s="45"/>
      <c r="B281" s="41" t="s">
        <v>16119</v>
      </c>
      <c r="C281" s="42">
        <v>6</v>
      </c>
      <c r="D281" s="54" t="s">
        <v>14585</v>
      </c>
      <c r="E281" s="53" t="s">
        <v>356</v>
      </c>
      <c r="F281" s="53" t="s">
        <v>958</v>
      </c>
      <c r="G281" s="53" t="s">
        <v>16120</v>
      </c>
      <c r="H281" s="86" t="s">
        <v>17285</v>
      </c>
    </row>
    <row r="282" spans="1:8">
      <c r="A282" s="45"/>
      <c r="B282" s="41" t="s">
        <v>17286</v>
      </c>
      <c r="C282" s="42">
        <v>15</v>
      </c>
      <c r="D282" s="53" t="s">
        <v>1126</v>
      </c>
      <c r="E282" s="53" t="s">
        <v>11791</v>
      </c>
      <c r="F282" s="53" t="s">
        <v>1130</v>
      </c>
      <c r="G282" s="53" t="s">
        <v>15963</v>
      </c>
      <c r="H282" s="86" t="s">
        <v>15964</v>
      </c>
    </row>
    <row r="283" spans="1:8">
      <c r="A283" s="45"/>
      <c r="B283" s="41" t="s">
        <v>16125</v>
      </c>
      <c r="C283" s="42">
        <v>18</v>
      </c>
      <c r="D283" s="53" t="s">
        <v>1126</v>
      </c>
      <c r="E283" s="53" t="s">
        <v>1127</v>
      </c>
      <c r="F283" s="53" t="s">
        <v>1130</v>
      </c>
      <c r="G283" s="53" t="s">
        <v>16120</v>
      </c>
      <c r="H283" s="86" t="s">
        <v>16126</v>
      </c>
    </row>
    <row r="284" spans="1:8">
      <c r="A284" s="45"/>
      <c r="B284" s="41" t="s">
        <v>16022</v>
      </c>
      <c r="C284" s="42">
        <v>11</v>
      </c>
      <c r="D284" s="53" t="s">
        <v>1136</v>
      </c>
      <c r="E284" s="53" t="s">
        <v>15993</v>
      </c>
      <c r="F284" s="53" t="s">
        <v>15993</v>
      </c>
      <c r="G284" s="53" t="s">
        <v>16003</v>
      </c>
      <c r="H284" s="86" t="s">
        <v>17287</v>
      </c>
    </row>
    <row r="285" spans="1:8">
      <c r="A285" s="45"/>
      <c r="B285" s="41" t="s">
        <v>15983</v>
      </c>
      <c r="C285" s="42">
        <v>9</v>
      </c>
      <c r="D285" s="53" t="s">
        <v>282</v>
      </c>
      <c r="E285" s="53" t="s">
        <v>16010</v>
      </c>
      <c r="F285" s="53" t="s">
        <v>1128</v>
      </c>
      <c r="G285" s="53" t="s">
        <v>16011</v>
      </c>
      <c r="H285" s="86" t="s">
        <v>16028</v>
      </c>
    </row>
    <row r="286" spans="1:8">
      <c r="A286" s="45"/>
      <c r="B286" s="41" t="s">
        <v>15960</v>
      </c>
      <c r="C286" s="42">
        <v>10</v>
      </c>
      <c r="D286" s="53" t="s">
        <v>1126</v>
      </c>
      <c r="E286" s="53" t="s">
        <v>1127</v>
      </c>
      <c r="F286" s="53" t="s">
        <v>472</v>
      </c>
      <c r="G286" s="53" t="s">
        <v>15961</v>
      </c>
      <c r="H286" s="86" t="s">
        <v>15962</v>
      </c>
    </row>
    <row r="287" spans="1:8">
      <c r="A287" s="45"/>
      <c r="B287" s="41" t="s">
        <v>16026</v>
      </c>
      <c r="C287" s="42">
        <v>13</v>
      </c>
      <c r="D287" s="53" t="s">
        <v>476</v>
      </c>
      <c r="E287" s="53" t="s">
        <v>16005</v>
      </c>
      <c r="F287" s="53" t="s">
        <v>1128</v>
      </c>
      <c r="G287" s="53" t="s">
        <v>16006</v>
      </c>
      <c r="H287" s="86" t="s">
        <v>16025</v>
      </c>
    </row>
    <row r="288" spans="1:8">
      <c r="B288" s="41" t="s">
        <v>15981</v>
      </c>
      <c r="C288" s="42">
        <v>20</v>
      </c>
      <c r="D288" s="53" t="s">
        <v>1277</v>
      </c>
      <c r="E288" s="53" t="s">
        <v>484</v>
      </c>
      <c r="F288" s="53" t="s">
        <v>1628</v>
      </c>
      <c r="G288" s="53" t="s">
        <v>16008</v>
      </c>
      <c r="H288" s="86" t="s">
        <v>16034</v>
      </c>
    </row>
    <row r="289" spans="1:8" hidden="1">
      <c r="A289" s="45"/>
      <c r="D289" s="42"/>
      <c r="F289" s="42"/>
      <c r="G289" s="42"/>
    </row>
    <row r="290" spans="1:8" hidden="1"/>
    <row r="291" spans="1:8">
      <c r="A291" s="614" t="s">
        <v>9812</v>
      </c>
      <c r="B291" s="41" t="s">
        <v>746</v>
      </c>
      <c r="C291" s="42">
        <v>20</v>
      </c>
      <c r="D291" s="53" t="s">
        <v>1136</v>
      </c>
      <c r="E291" s="53" t="s">
        <v>52</v>
      </c>
      <c r="F291" s="53" t="s">
        <v>1130</v>
      </c>
      <c r="G291" s="53" t="s">
        <v>1308</v>
      </c>
      <c r="H291" s="42" t="s">
        <v>1309</v>
      </c>
    </row>
    <row r="292" spans="1:8">
      <c r="B292" s="41" t="s">
        <v>747</v>
      </c>
      <c r="C292" s="42">
        <v>16</v>
      </c>
      <c r="D292" s="53" t="s">
        <v>476</v>
      </c>
      <c r="E292" s="53" t="s">
        <v>467</v>
      </c>
      <c r="F292" s="53" t="s">
        <v>472</v>
      </c>
      <c r="G292" s="53" t="s">
        <v>1296</v>
      </c>
      <c r="H292" s="42" t="s">
        <v>1297</v>
      </c>
    </row>
    <row r="293" spans="1:8">
      <c r="B293" s="41" t="s">
        <v>748</v>
      </c>
      <c r="C293" s="42">
        <v>10</v>
      </c>
      <c r="D293" s="53" t="s">
        <v>476</v>
      </c>
      <c r="E293" s="53" t="s">
        <v>11791</v>
      </c>
      <c r="F293" s="53" t="s">
        <v>472</v>
      </c>
      <c r="G293" s="53" t="s">
        <v>1298</v>
      </c>
      <c r="H293" s="42" t="s">
        <v>1299</v>
      </c>
    </row>
    <row r="294" spans="1:8">
      <c r="B294" s="41" t="s">
        <v>749</v>
      </c>
      <c r="C294" s="42">
        <v>7</v>
      </c>
      <c r="D294" s="53" t="s">
        <v>1136</v>
      </c>
      <c r="E294" s="53" t="s">
        <v>52</v>
      </c>
      <c r="F294" s="53" t="s">
        <v>1300</v>
      </c>
      <c r="G294" s="53" t="s">
        <v>1301</v>
      </c>
      <c r="H294" s="86" t="s">
        <v>17288</v>
      </c>
    </row>
    <row r="295" spans="1:8">
      <c r="B295" s="41" t="s">
        <v>750</v>
      </c>
      <c r="C295" s="42">
        <v>14</v>
      </c>
      <c r="D295" s="53" t="s">
        <v>1136</v>
      </c>
      <c r="E295" s="53" t="s">
        <v>55</v>
      </c>
      <c r="F295" s="53" t="s">
        <v>1130</v>
      </c>
      <c r="G295" s="53" t="s">
        <v>338</v>
      </c>
      <c r="H295" s="42" t="s">
        <v>339</v>
      </c>
    </row>
    <row r="296" spans="1:8">
      <c r="A296" s="45"/>
      <c r="B296" s="41" t="s">
        <v>15958</v>
      </c>
      <c r="C296" s="42">
        <v>9</v>
      </c>
      <c r="D296" s="53" t="s">
        <v>1126</v>
      </c>
      <c r="E296" s="53" t="s">
        <v>467</v>
      </c>
      <c r="F296" s="53" t="s">
        <v>1128</v>
      </c>
      <c r="G296" s="53" t="s">
        <v>15959</v>
      </c>
      <c r="H296" s="86" t="s">
        <v>17289</v>
      </c>
    </row>
    <row r="297" spans="1:8">
      <c r="B297" s="41" t="s">
        <v>751</v>
      </c>
      <c r="C297" s="42">
        <v>20</v>
      </c>
      <c r="D297" s="53" t="s">
        <v>1126</v>
      </c>
      <c r="E297" s="53" t="s">
        <v>467</v>
      </c>
      <c r="F297" s="53" t="s">
        <v>472</v>
      </c>
      <c r="G297" s="53" t="s">
        <v>340</v>
      </c>
      <c r="H297" s="42" t="s">
        <v>341</v>
      </c>
    </row>
    <row r="298" spans="1:8">
      <c r="B298" s="41" t="s">
        <v>752</v>
      </c>
      <c r="C298" s="42">
        <v>5</v>
      </c>
      <c r="D298" s="53" t="s">
        <v>1136</v>
      </c>
      <c r="E298" s="53" t="s">
        <v>467</v>
      </c>
      <c r="F298" s="53" t="s">
        <v>472</v>
      </c>
      <c r="G298" s="53" t="s">
        <v>342</v>
      </c>
      <c r="H298" s="42" t="s">
        <v>343</v>
      </c>
    </row>
    <row r="299" spans="1:8">
      <c r="B299" s="41" t="s">
        <v>753</v>
      </c>
      <c r="C299" s="42">
        <v>12</v>
      </c>
      <c r="D299" s="53" t="s">
        <v>1136</v>
      </c>
      <c r="E299" s="53" t="s">
        <v>467</v>
      </c>
      <c r="F299" s="53" t="s">
        <v>472</v>
      </c>
      <c r="G299" s="53" t="s">
        <v>344</v>
      </c>
      <c r="H299" s="42" t="s">
        <v>345</v>
      </c>
    </row>
    <row r="300" spans="1:8">
      <c r="B300" s="41" t="s">
        <v>754</v>
      </c>
      <c r="C300" s="42">
        <v>9</v>
      </c>
      <c r="D300" s="53" t="s">
        <v>1126</v>
      </c>
      <c r="E300" s="53" t="s">
        <v>1127</v>
      </c>
      <c r="F300" s="53" t="s">
        <v>346</v>
      </c>
      <c r="G300" s="53" t="s">
        <v>347</v>
      </c>
      <c r="H300" s="86" t="s">
        <v>17290</v>
      </c>
    </row>
    <row r="301" spans="1:8">
      <c r="B301" s="41" t="s">
        <v>755</v>
      </c>
      <c r="C301" s="42">
        <v>16</v>
      </c>
      <c r="D301" s="53" t="s">
        <v>282</v>
      </c>
      <c r="E301" s="53" t="s">
        <v>11791</v>
      </c>
      <c r="F301" s="53" t="s">
        <v>468</v>
      </c>
      <c r="G301" s="53" t="s">
        <v>348</v>
      </c>
      <c r="H301" s="42" t="s">
        <v>349</v>
      </c>
    </row>
    <row r="302" spans="1:8">
      <c r="B302" s="41" t="s">
        <v>756</v>
      </c>
      <c r="C302" s="42">
        <v>16</v>
      </c>
      <c r="D302" s="53" t="s">
        <v>1136</v>
      </c>
      <c r="E302" s="53" t="s">
        <v>277</v>
      </c>
      <c r="F302" s="53" t="s">
        <v>468</v>
      </c>
      <c r="G302" s="53" t="s">
        <v>350</v>
      </c>
      <c r="H302" s="86" t="s">
        <v>17291</v>
      </c>
    </row>
    <row r="303" spans="1:8">
      <c r="B303" s="41" t="s">
        <v>757</v>
      </c>
      <c r="C303" s="42">
        <v>14</v>
      </c>
      <c r="D303" s="53" t="s">
        <v>1126</v>
      </c>
      <c r="E303" s="53" t="s">
        <v>277</v>
      </c>
      <c r="F303" s="53" t="s">
        <v>472</v>
      </c>
      <c r="G303" s="53" t="s">
        <v>351</v>
      </c>
      <c r="H303" s="42" t="s">
        <v>352</v>
      </c>
    </row>
    <row r="304" spans="1:8">
      <c r="A304" s="614" t="s">
        <v>9813</v>
      </c>
      <c r="B304" s="41" t="s">
        <v>758</v>
      </c>
      <c r="C304" s="42">
        <v>20</v>
      </c>
      <c r="D304" s="53" t="s">
        <v>1136</v>
      </c>
      <c r="E304" s="53" t="s">
        <v>1540</v>
      </c>
      <c r="F304" s="53" t="s">
        <v>472</v>
      </c>
      <c r="G304" s="53" t="s">
        <v>1510</v>
      </c>
      <c r="H304" s="44" t="s">
        <v>1514</v>
      </c>
    </row>
    <row r="305" spans="1:8">
      <c r="B305" s="41" t="s">
        <v>759</v>
      </c>
      <c r="C305" s="42">
        <v>15</v>
      </c>
      <c r="D305" s="53" t="s">
        <v>1126</v>
      </c>
      <c r="E305" s="53" t="s">
        <v>1511</v>
      </c>
      <c r="F305" s="53" t="s">
        <v>1128</v>
      </c>
      <c r="G305" s="53" t="s">
        <v>1512</v>
      </c>
      <c r="H305" s="44" t="s">
        <v>1513</v>
      </c>
    </row>
    <row r="306" spans="1:8">
      <c r="B306" s="41" t="s">
        <v>760</v>
      </c>
      <c r="C306" s="42">
        <v>8</v>
      </c>
      <c r="D306" s="53" t="s">
        <v>1126</v>
      </c>
      <c r="E306" s="53" t="s">
        <v>1127</v>
      </c>
      <c r="F306" s="53" t="s">
        <v>1128</v>
      </c>
      <c r="G306" s="53" t="s">
        <v>1515</v>
      </c>
      <c r="H306" s="86" t="s">
        <v>17292</v>
      </c>
    </row>
    <row r="307" spans="1:8">
      <c r="B307" s="41" t="s">
        <v>761</v>
      </c>
      <c r="C307" s="42">
        <v>12</v>
      </c>
      <c r="D307" s="53" t="s">
        <v>1136</v>
      </c>
      <c r="E307" s="53" t="s">
        <v>277</v>
      </c>
      <c r="F307" s="53" t="s">
        <v>1128</v>
      </c>
      <c r="G307" s="53" t="s">
        <v>1516</v>
      </c>
      <c r="H307" s="44" t="s">
        <v>1517</v>
      </c>
    </row>
    <row r="308" spans="1:8">
      <c r="B308" s="41" t="s">
        <v>762</v>
      </c>
      <c r="C308" s="42">
        <v>6</v>
      </c>
      <c r="D308" s="53" t="s">
        <v>1126</v>
      </c>
      <c r="E308" s="53" t="s">
        <v>11791</v>
      </c>
      <c r="F308" s="53" t="s">
        <v>1128</v>
      </c>
      <c r="G308" s="53" t="s">
        <v>1518</v>
      </c>
      <c r="H308" s="44" t="s">
        <v>1519</v>
      </c>
    </row>
    <row r="309" spans="1:8">
      <c r="B309" s="41" t="s">
        <v>763</v>
      </c>
      <c r="C309" s="42">
        <v>20</v>
      </c>
      <c r="D309" s="53" t="s">
        <v>484</v>
      </c>
      <c r="E309" s="53" t="s">
        <v>11791</v>
      </c>
      <c r="F309" s="53" t="s">
        <v>958</v>
      </c>
      <c r="G309" s="53" t="s">
        <v>1520</v>
      </c>
      <c r="H309" s="86" t="s">
        <v>1521</v>
      </c>
    </row>
    <row r="310" spans="1:8">
      <c r="B310" s="41" t="s">
        <v>1522</v>
      </c>
      <c r="C310" s="42">
        <v>11</v>
      </c>
      <c r="D310" s="53" t="s">
        <v>1149</v>
      </c>
      <c r="E310" s="53" t="s">
        <v>11791</v>
      </c>
      <c r="F310" s="53" t="s">
        <v>1128</v>
      </c>
      <c r="G310" s="53" t="s">
        <v>1523</v>
      </c>
      <c r="H310" s="44" t="s">
        <v>1524</v>
      </c>
    </row>
    <row r="311" spans="1:8">
      <c r="B311" s="41" t="s">
        <v>764</v>
      </c>
      <c r="C311" s="42">
        <v>4</v>
      </c>
      <c r="D311" s="53" t="s">
        <v>1126</v>
      </c>
      <c r="E311" s="53" t="s">
        <v>11791</v>
      </c>
      <c r="F311" s="53" t="s">
        <v>1128</v>
      </c>
      <c r="G311" s="53" t="s">
        <v>1525</v>
      </c>
      <c r="H311" s="44" t="s">
        <v>1526</v>
      </c>
    </row>
    <row r="312" spans="1:8">
      <c r="B312" s="41" t="s">
        <v>765</v>
      </c>
      <c r="C312" s="42">
        <v>18</v>
      </c>
      <c r="D312" s="53" t="s">
        <v>1126</v>
      </c>
      <c r="E312" s="53" t="s">
        <v>11791</v>
      </c>
      <c r="F312" s="53" t="s">
        <v>958</v>
      </c>
      <c r="G312" s="53" t="s">
        <v>1527</v>
      </c>
      <c r="H312" s="86" t="s">
        <v>17293</v>
      </c>
    </row>
    <row r="313" spans="1:8">
      <c r="A313" s="45"/>
      <c r="B313" s="41" t="s">
        <v>16036</v>
      </c>
      <c r="C313" s="42">
        <v>10</v>
      </c>
      <c r="D313" s="53" t="s">
        <v>1126</v>
      </c>
      <c r="E313" s="53" t="s">
        <v>1127</v>
      </c>
      <c r="F313" s="53" t="s">
        <v>472</v>
      </c>
      <c r="G313" s="53" t="s">
        <v>15955</v>
      </c>
      <c r="H313" s="86" t="s">
        <v>17294</v>
      </c>
    </row>
    <row r="314" spans="1:8">
      <c r="B314" s="41" t="s">
        <v>766</v>
      </c>
      <c r="C314" s="42">
        <v>14</v>
      </c>
      <c r="D314" s="53" t="s">
        <v>1126</v>
      </c>
      <c r="E314" s="53" t="s">
        <v>1127</v>
      </c>
      <c r="F314" s="53" t="s">
        <v>1130</v>
      </c>
      <c r="G314" s="53" t="s">
        <v>1528</v>
      </c>
      <c r="H314" s="44" t="s">
        <v>1529</v>
      </c>
    </row>
    <row r="315" spans="1:8">
      <c r="B315" s="41" t="s">
        <v>767</v>
      </c>
      <c r="C315" s="42">
        <v>16</v>
      </c>
      <c r="D315" s="53" t="s">
        <v>1126</v>
      </c>
      <c r="E315" s="53" t="s">
        <v>11791</v>
      </c>
      <c r="F315" s="53" t="s">
        <v>629</v>
      </c>
      <c r="G315" s="53" t="s">
        <v>1530</v>
      </c>
      <c r="H315" s="86" t="s">
        <v>17295</v>
      </c>
    </row>
    <row r="316" spans="1:8">
      <c r="B316" s="41" t="s">
        <v>768</v>
      </c>
      <c r="C316" s="42">
        <v>4</v>
      </c>
      <c r="D316" s="53" t="s">
        <v>476</v>
      </c>
      <c r="E316" s="53" t="s">
        <v>277</v>
      </c>
      <c r="F316" s="53" t="s">
        <v>1128</v>
      </c>
      <c r="G316" s="53" t="s">
        <v>1531</v>
      </c>
      <c r="H316" s="44" t="s">
        <v>1532</v>
      </c>
    </row>
    <row r="317" spans="1:8">
      <c r="A317" s="614" t="s">
        <v>9815</v>
      </c>
      <c r="B317" s="41" t="s">
        <v>0</v>
      </c>
      <c r="C317" s="42">
        <v>6</v>
      </c>
      <c r="D317" s="53" t="s">
        <v>1136</v>
      </c>
      <c r="E317" s="53" t="s">
        <v>1127</v>
      </c>
      <c r="F317" s="53" t="s">
        <v>472</v>
      </c>
      <c r="G317" s="53" t="s">
        <v>1533</v>
      </c>
      <c r="H317" s="42" t="s">
        <v>1534</v>
      </c>
    </row>
    <row r="318" spans="1:8">
      <c r="B318" s="41" t="s">
        <v>1</v>
      </c>
      <c r="C318" s="42">
        <v>12</v>
      </c>
      <c r="D318" s="53" t="s">
        <v>1136</v>
      </c>
      <c r="E318" s="53" t="s">
        <v>1127</v>
      </c>
      <c r="F318" s="53" t="s">
        <v>472</v>
      </c>
      <c r="G318" s="53" t="s">
        <v>1535</v>
      </c>
      <c r="H318" s="86" t="s">
        <v>9150</v>
      </c>
    </row>
    <row r="319" spans="1:8">
      <c r="B319" s="41" t="s">
        <v>2</v>
      </c>
      <c r="C319" s="42">
        <v>14</v>
      </c>
      <c r="D319" s="53" t="s">
        <v>1136</v>
      </c>
      <c r="E319" s="53" t="s">
        <v>1127</v>
      </c>
      <c r="F319" s="53" t="s">
        <v>1130</v>
      </c>
      <c r="G319" s="53" t="s">
        <v>1536</v>
      </c>
      <c r="H319" s="44" t="s">
        <v>1537</v>
      </c>
    </row>
    <row r="320" spans="1:8">
      <c r="A320" s="45"/>
      <c r="B320" s="41" t="s">
        <v>16019</v>
      </c>
      <c r="C320" s="42">
        <v>17</v>
      </c>
      <c r="D320" s="53" t="s">
        <v>1126</v>
      </c>
      <c r="E320" s="53" t="s">
        <v>1127</v>
      </c>
      <c r="F320" s="53" t="s">
        <v>874</v>
      </c>
      <c r="G320" s="53" t="s">
        <v>15995</v>
      </c>
      <c r="H320" s="86" t="s">
        <v>16020</v>
      </c>
    </row>
    <row r="321" spans="1:8">
      <c r="B321" s="41" t="s">
        <v>3</v>
      </c>
      <c r="C321" s="44">
        <v>16</v>
      </c>
      <c r="D321" s="53" t="s">
        <v>1126</v>
      </c>
      <c r="E321" s="53" t="s">
        <v>11791</v>
      </c>
      <c r="F321" s="53" t="s">
        <v>1130</v>
      </c>
      <c r="G321" s="53" t="s">
        <v>1538</v>
      </c>
      <c r="H321" s="44" t="s">
        <v>1539</v>
      </c>
    </row>
    <row r="322" spans="1:8">
      <c r="B322" s="41" t="s">
        <v>4</v>
      </c>
      <c r="C322" s="42">
        <v>14</v>
      </c>
      <c r="D322" s="53" t="s">
        <v>1126</v>
      </c>
      <c r="E322" s="53" t="s">
        <v>11791</v>
      </c>
      <c r="F322" s="53" t="s">
        <v>270</v>
      </c>
      <c r="G322" s="53" t="s">
        <v>1541</v>
      </c>
      <c r="H322" s="44" t="s">
        <v>1542</v>
      </c>
    </row>
    <row r="323" spans="1:8">
      <c r="B323" s="41" t="s">
        <v>5</v>
      </c>
      <c r="C323" s="42">
        <v>20</v>
      </c>
      <c r="D323" s="53" t="s">
        <v>1126</v>
      </c>
      <c r="E323" s="53" t="s">
        <v>11791</v>
      </c>
      <c r="F323" s="53" t="s">
        <v>874</v>
      </c>
      <c r="G323" s="53" t="s">
        <v>1543</v>
      </c>
      <c r="H323" s="44" t="s">
        <v>1544</v>
      </c>
    </row>
    <row r="324" spans="1:8">
      <c r="B324" s="41" t="s">
        <v>6</v>
      </c>
      <c r="C324" s="42">
        <v>15</v>
      </c>
      <c r="D324" s="53" t="s">
        <v>1136</v>
      </c>
      <c r="E324" s="53" t="s">
        <v>1127</v>
      </c>
      <c r="F324" s="53" t="s">
        <v>472</v>
      </c>
      <c r="G324" s="53" t="s">
        <v>17296</v>
      </c>
      <c r="H324" s="44" t="s">
        <v>1545</v>
      </c>
    </row>
    <row r="325" spans="1:8">
      <c r="B325" s="41" t="s">
        <v>7</v>
      </c>
      <c r="C325" s="42">
        <v>12</v>
      </c>
      <c r="D325" s="53" t="s">
        <v>1149</v>
      </c>
      <c r="E325" s="53" t="s">
        <v>11791</v>
      </c>
      <c r="F325" s="53" t="s">
        <v>1128</v>
      </c>
      <c r="G325" s="53" t="s">
        <v>1546</v>
      </c>
      <c r="H325" s="44" t="s">
        <v>1547</v>
      </c>
    </row>
    <row r="326" spans="1:8">
      <c r="B326" s="41" t="s">
        <v>8</v>
      </c>
      <c r="C326" s="42">
        <v>5</v>
      </c>
      <c r="D326" s="53" t="s">
        <v>1126</v>
      </c>
      <c r="E326" s="53" t="s">
        <v>1127</v>
      </c>
      <c r="F326" s="53" t="s">
        <v>472</v>
      </c>
      <c r="G326" s="53" t="s">
        <v>1548</v>
      </c>
      <c r="H326" s="86" t="s">
        <v>1549</v>
      </c>
    </row>
    <row r="327" spans="1:8">
      <c r="B327" s="41" t="s">
        <v>9</v>
      </c>
      <c r="C327" s="42">
        <v>13</v>
      </c>
      <c r="D327" s="53" t="s">
        <v>1149</v>
      </c>
      <c r="E327" s="53" t="s">
        <v>1127</v>
      </c>
      <c r="F327" s="53" t="s">
        <v>468</v>
      </c>
      <c r="G327" s="53" t="s">
        <v>340</v>
      </c>
      <c r="H327" s="86" t="s">
        <v>16548</v>
      </c>
    </row>
    <row r="328" spans="1:8">
      <c r="B328" s="41" t="s">
        <v>10</v>
      </c>
      <c r="C328" s="42">
        <v>8</v>
      </c>
      <c r="D328" s="53" t="s">
        <v>1126</v>
      </c>
      <c r="E328" s="53" t="s">
        <v>467</v>
      </c>
      <c r="F328" s="53" t="s">
        <v>958</v>
      </c>
      <c r="G328" s="53" t="s">
        <v>1550</v>
      </c>
      <c r="H328" s="44" t="s">
        <v>1551</v>
      </c>
    </row>
    <row r="329" spans="1:8">
      <c r="B329" s="41" t="s">
        <v>11</v>
      </c>
      <c r="C329" s="42">
        <v>16</v>
      </c>
      <c r="D329" s="53" t="s">
        <v>1136</v>
      </c>
      <c r="E329" s="53" t="s">
        <v>1127</v>
      </c>
      <c r="F329" s="53" t="s">
        <v>468</v>
      </c>
      <c r="G329" s="53" t="s">
        <v>1552</v>
      </c>
      <c r="H329" s="86" t="s">
        <v>17297</v>
      </c>
    </row>
    <row r="330" spans="1:8">
      <c r="A330" s="614" t="s">
        <v>9817</v>
      </c>
      <c r="B330" s="41" t="s">
        <v>12</v>
      </c>
      <c r="C330" s="42">
        <v>4</v>
      </c>
      <c r="D330" s="53" t="s">
        <v>1149</v>
      </c>
      <c r="E330" s="53" t="s">
        <v>1277</v>
      </c>
      <c r="F330" s="53" t="s">
        <v>468</v>
      </c>
      <c r="G330" s="53" t="s">
        <v>1553</v>
      </c>
      <c r="H330" s="86" t="s">
        <v>17298</v>
      </c>
    </row>
    <row r="331" spans="1:8">
      <c r="B331" s="41" t="s">
        <v>13</v>
      </c>
      <c r="C331" s="42">
        <v>10</v>
      </c>
      <c r="D331" s="53" t="s">
        <v>282</v>
      </c>
      <c r="E331" s="53" t="s">
        <v>356</v>
      </c>
      <c r="F331" s="53" t="s">
        <v>472</v>
      </c>
      <c r="G331" s="53" t="s">
        <v>1295</v>
      </c>
      <c r="H331" s="42" t="s">
        <v>1554</v>
      </c>
    </row>
    <row r="332" spans="1:8">
      <c r="B332" s="41" t="s">
        <v>14</v>
      </c>
      <c r="C332" s="42">
        <v>14</v>
      </c>
      <c r="D332" s="53" t="s">
        <v>1136</v>
      </c>
      <c r="E332" s="53" t="s">
        <v>467</v>
      </c>
      <c r="F332" s="53" t="s">
        <v>1128</v>
      </c>
      <c r="G332" s="53" t="s">
        <v>1555</v>
      </c>
      <c r="H332" s="42" t="s">
        <v>1556</v>
      </c>
    </row>
    <row r="333" spans="1:8">
      <c r="B333" s="41" t="s">
        <v>15</v>
      </c>
      <c r="C333" s="42">
        <v>12</v>
      </c>
      <c r="D333" s="53" t="s">
        <v>1136</v>
      </c>
      <c r="E333" s="53" t="s">
        <v>11791</v>
      </c>
      <c r="F333" s="53" t="s">
        <v>629</v>
      </c>
      <c r="G333" s="53" t="s">
        <v>1557</v>
      </c>
      <c r="H333" s="44" t="s">
        <v>1558</v>
      </c>
    </row>
    <row r="334" spans="1:8">
      <c r="B334" s="41" t="s">
        <v>16</v>
      </c>
      <c r="C334" s="42">
        <v>26</v>
      </c>
      <c r="D334" s="53" t="s">
        <v>1136</v>
      </c>
      <c r="E334" s="53" t="s">
        <v>11791</v>
      </c>
      <c r="F334" s="53" t="s">
        <v>1286</v>
      </c>
      <c r="G334" s="53" t="s">
        <v>1559</v>
      </c>
      <c r="H334" s="86" t="s">
        <v>11664</v>
      </c>
    </row>
    <row r="335" spans="1:8">
      <c r="B335" s="41" t="s">
        <v>17299</v>
      </c>
      <c r="C335" s="42">
        <v>6</v>
      </c>
      <c r="D335" s="53" t="s">
        <v>1126</v>
      </c>
      <c r="E335" s="53" t="s">
        <v>467</v>
      </c>
      <c r="F335" s="53" t="s">
        <v>472</v>
      </c>
      <c r="G335" s="53" t="s">
        <v>1560</v>
      </c>
      <c r="H335" s="44" t="s">
        <v>1561</v>
      </c>
    </row>
    <row r="336" spans="1:8">
      <c r="B336" s="41" t="s">
        <v>17</v>
      </c>
      <c r="C336" s="42">
        <v>15</v>
      </c>
      <c r="D336" s="53" t="s">
        <v>1136</v>
      </c>
      <c r="E336" s="53" t="s">
        <v>1127</v>
      </c>
      <c r="F336" s="53" t="s">
        <v>1562</v>
      </c>
      <c r="G336" s="53" t="s">
        <v>1563</v>
      </c>
      <c r="H336" s="44" t="s">
        <v>1564</v>
      </c>
    </row>
    <row r="337" spans="1:8">
      <c r="A337" s="45"/>
      <c r="B337" s="41" t="s">
        <v>15980</v>
      </c>
      <c r="C337" s="42">
        <v>6</v>
      </c>
      <c r="D337" s="54" t="s">
        <v>1136</v>
      </c>
      <c r="E337" s="53" t="s">
        <v>11791</v>
      </c>
      <c r="F337" s="53" t="s">
        <v>1128</v>
      </c>
      <c r="G337" s="53" t="s">
        <v>3574</v>
      </c>
      <c r="H337" s="86" t="s">
        <v>16007</v>
      </c>
    </row>
    <row r="338" spans="1:8">
      <c r="B338" s="41" t="s">
        <v>17300</v>
      </c>
      <c r="C338" s="42">
        <v>8</v>
      </c>
      <c r="D338" s="53" t="s">
        <v>1136</v>
      </c>
      <c r="E338" s="53" t="s">
        <v>1127</v>
      </c>
      <c r="F338" s="53" t="s">
        <v>629</v>
      </c>
      <c r="G338" s="53" t="s">
        <v>1565</v>
      </c>
      <c r="H338" s="44" t="s">
        <v>1566</v>
      </c>
    </row>
    <row r="339" spans="1:8">
      <c r="B339" s="41" t="s">
        <v>18</v>
      </c>
      <c r="C339" s="42">
        <v>10</v>
      </c>
      <c r="D339" s="53" t="s">
        <v>1136</v>
      </c>
      <c r="E339" s="53" t="s">
        <v>1127</v>
      </c>
      <c r="F339" s="53" t="s">
        <v>472</v>
      </c>
      <c r="G339" s="53" t="s">
        <v>1567</v>
      </c>
      <c r="H339" s="86" t="s">
        <v>11696</v>
      </c>
    </row>
    <row r="340" spans="1:8">
      <c r="B340" s="41" t="s">
        <v>17301</v>
      </c>
      <c r="C340" s="42">
        <v>18</v>
      </c>
      <c r="D340" s="53" t="s">
        <v>476</v>
      </c>
      <c r="E340" s="53" t="s">
        <v>11791</v>
      </c>
      <c r="F340" s="53" t="s">
        <v>874</v>
      </c>
      <c r="G340" s="53" t="s">
        <v>1568</v>
      </c>
      <c r="H340" s="44" t="s">
        <v>1569</v>
      </c>
    </row>
    <row r="341" spans="1:8">
      <c r="B341" s="41" t="s">
        <v>20</v>
      </c>
      <c r="C341" s="42">
        <v>15</v>
      </c>
      <c r="D341" s="53" t="s">
        <v>1126</v>
      </c>
      <c r="E341" s="53" t="s">
        <v>55</v>
      </c>
      <c r="F341" s="53" t="s">
        <v>1286</v>
      </c>
      <c r="G341" s="53" t="s">
        <v>17302</v>
      </c>
      <c r="H341" s="44" t="s">
        <v>1570</v>
      </c>
    </row>
    <row r="342" spans="1:8">
      <c r="B342" s="41" t="s">
        <v>21</v>
      </c>
      <c r="C342" s="42">
        <v>19</v>
      </c>
      <c r="D342" s="53" t="s">
        <v>1126</v>
      </c>
      <c r="E342" s="53" t="s">
        <v>1127</v>
      </c>
      <c r="F342" s="53" t="s">
        <v>874</v>
      </c>
      <c r="G342" s="53" t="s">
        <v>1571</v>
      </c>
      <c r="H342" s="86" t="s">
        <v>17303</v>
      </c>
    </row>
    <row r="343" spans="1:8">
      <c r="A343" s="614" t="s">
        <v>9828</v>
      </c>
      <c r="B343" s="41" t="s">
        <v>22</v>
      </c>
      <c r="C343" s="42">
        <v>18</v>
      </c>
      <c r="D343" s="53" t="s">
        <v>1149</v>
      </c>
      <c r="E343" s="53" t="s">
        <v>1127</v>
      </c>
      <c r="F343" s="53" t="s">
        <v>1130</v>
      </c>
      <c r="G343" s="53" t="s">
        <v>1572</v>
      </c>
      <c r="H343" s="44" t="s">
        <v>1573</v>
      </c>
    </row>
    <row r="344" spans="1:8">
      <c r="B344" s="41" t="s">
        <v>23</v>
      </c>
      <c r="C344" s="42">
        <v>21</v>
      </c>
      <c r="D344" s="53" t="s">
        <v>1574</v>
      </c>
      <c r="E344" s="53" t="s">
        <v>471</v>
      </c>
      <c r="F344" s="53" t="s">
        <v>468</v>
      </c>
      <c r="G344" s="53" t="s">
        <v>1575</v>
      </c>
      <c r="H344" s="44" t="s">
        <v>1576</v>
      </c>
    </row>
    <row r="345" spans="1:8">
      <c r="B345" s="41" t="s">
        <v>24</v>
      </c>
      <c r="C345" s="42">
        <v>15</v>
      </c>
      <c r="D345" s="53" t="s">
        <v>1149</v>
      </c>
      <c r="E345" s="53" t="s">
        <v>484</v>
      </c>
      <c r="F345" s="53" t="s">
        <v>958</v>
      </c>
      <c r="G345" s="53" t="s">
        <v>1577</v>
      </c>
      <c r="H345" s="86" t="s">
        <v>17304</v>
      </c>
    </row>
    <row r="346" spans="1:8">
      <c r="B346" s="41" t="s">
        <v>25</v>
      </c>
      <c r="C346" s="42">
        <v>5</v>
      </c>
      <c r="D346" s="53" t="s">
        <v>1126</v>
      </c>
      <c r="E346" s="53" t="s">
        <v>1127</v>
      </c>
      <c r="F346" s="53" t="s">
        <v>472</v>
      </c>
      <c r="G346" s="53" t="s">
        <v>1578</v>
      </c>
      <c r="H346" s="44" t="s">
        <v>1579</v>
      </c>
    </row>
    <row r="347" spans="1:8">
      <c r="B347" s="41" t="s">
        <v>26</v>
      </c>
      <c r="C347" s="42">
        <v>7</v>
      </c>
      <c r="D347" s="53" t="s">
        <v>1136</v>
      </c>
      <c r="E347" s="53" t="s">
        <v>467</v>
      </c>
      <c r="F347" s="53" t="s">
        <v>472</v>
      </c>
      <c r="G347" s="53" t="s">
        <v>1580</v>
      </c>
      <c r="H347" s="44" t="s">
        <v>1581</v>
      </c>
    </row>
    <row r="348" spans="1:8">
      <c r="B348" s="41" t="s">
        <v>27</v>
      </c>
      <c r="C348" s="42">
        <v>11</v>
      </c>
      <c r="D348" s="53" t="s">
        <v>1126</v>
      </c>
      <c r="E348" s="53" t="s">
        <v>55</v>
      </c>
      <c r="F348" s="53" t="s">
        <v>1130</v>
      </c>
      <c r="G348" s="53" t="s">
        <v>1582</v>
      </c>
      <c r="H348" s="44" t="s">
        <v>1583</v>
      </c>
    </row>
    <row r="349" spans="1:8">
      <c r="B349" s="41" t="s">
        <v>28</v>
      </c>
      <c r="C349" s="42">
        <v>11</v>
      </c>
      <c r="D349" s="53" t="s">
        <v>1136</v>
      </c>
      <c r="E349" s="53" t="s">
        <v>1127</v>
      </c>
      <c r="F349" s="53" t="s">
        <v>1130</v>
      </c>
      <c r="G349" s="53" t="s">
        <v>1584</v>
      </c>
      <c r="H349" s="44" t="s">
        <v>1585</v>
      </c>
    </row>
    <row r="350" spans="1:8">
      <c r="B350" s="41" t="s">
        <v>29</v>
      </c>
      <c r="C350" s="42">
        <v>9</v>
      </c>
      <c r="D350" s="53" t="s">
        <v>1126</v>
      </c>
      <c r="E350" s="53" t="s">
        <v>11791</v>
      </c>
      <c r="F350" s="53" t="s">
        <v>1130</v>
      </c>
      <c r="G350" s="53" t="s">
        <v>1586</v>
      </c>
      <c r="H350" s="42" t="s">
        <v>1587</v>
      </c>
    </row>
    <row r="351" spans="1:8">
      <c r="B351" s="41" t="s">
        <v>30</v>
      </c>
      <c r="C351" s="42">
        <v>10</v>
      </c>
      <c r="D351" s="53" t="s">
        <v>1126</v>
      </c>
      <c r="E351" s="53" t="s">
        <v>1127</v>
      </c>
      <c r="F351" s="53" t="s">
        <v>472</v>
      </c>
      <c r="G351" s="53" t="s">
        <v>1588</v>
      </c>
      <c r="H351" s="42" t="s">
        <v>1589</v>
      </c>
    </row>
    <row r="352" spans="1:8">
      <c r="B352" s="41" t="s">
        <v>31</v>
      </c>
      <c r="C352" s="42">
        <v>13</v>
      </c>
      <c r="D352" s="53" t="s">
        <v>282</v>
      </c>
      <c r="E352" s="53" t="s">
        <v>1511</v>
      </c>
      <c r="F352" s="53" t="s">
        <v>472</v>
      </c>
      <c r="G352" s="53" t="s">
        <v>1590</v>
      </c>
      <c r="H352" s="86" t="s">
        <v>17305</v>
      </c>
    </row>
    <row r="353" spans="1:8">
      <c r="B353" s="41" t="s">
        <v>32</v>
      </c>
      <c r="C353" s="42">
        <v>21</v>
      </c>
      <c r="D353" s="53" t="s">
        <v>1149</v>
      </c>
      <c r="E353" s="53" t="s">
        <v>1127</v>
      </c>
      <c r="F353" s="53" t="s">
        <v>1286</v>
      </c>
      <c r="G353" s="53" t="s">
        <v>1591</v>
      </c>
      <c r="H353" s="42" t="s">
        <v>1592</v>
      </c>
    </row>
    <row r="354" spans="1:8">
      <c r="B354" s="41" t="s">
        <v>33</v>
      </c>
      <c r="C354" s="42">
        <v>20</v>
      </c>
      <c r="D354" s="53" t="s">
        <v>1126</v>
      </c>
      <c r="E354" s="53" t="s">
        <v>11791</v>
      </c>
      <c r="F354" s="53" t="s">
        <v>629</v>
      </c>
      <c r="G354" s="53" t="s">
        <v>1593</v>
      </c>
      <c r="H354" s="42" t="s">
        <v>1594</v>
      </c>
    </row>
    <row r="355" spans="1:8">
      <c r="A355" s="45"/>
      <c r="B355" s="41" t="s">
        <v>15970</v>
      </c>
      <c r="C355" s="42">
        <v>8</v>
      </c>
      <c r="D355" s="54" t="s">
        <v>1136</v>
      </c>
      <c r="E355" s="53" t="s">
        <v>277</v>
      </c>
      <c r="F355" s="53" t="s">
        <v>472</v>
      </c>
      <c r="G355" s="53" t="s">
        <v>15987</v>
      </c>
      <c r="H355" s="86" t="s">
        <v>16507</v>
      </c>
    </row>
    <row r="356" spans="1:8">
      <c r="A356" s="614" t="s">
        <v>9818</v>
      </c>
      <c r="B356" s="41" t="s">
        <v>34</v>
      </c>
      <c r="C356" s="42">
        <v>6</v>
      </c>
      <c r="D356" s="53" t="s">
        <v>1126</v>
      </c>
      <c r="E356" s="53" t="s">
        <v>1127</v>
      </c>
      <c r="F356" s="53" t="s">
        <v>468</v>
      </c>
      <c r="G356" s="53" t="s">
        <v>1595</v>
      </c>
      <c r="H356" s="42" t="s">
        <v>1596</v>
      </c>
    </row>
    <row r="357" spans="1:8">
      <c r="B357" s="41" t="s">
        <v>35</v>
      </c>
      <c r="C357" s="42">
        <v>14</v>
      </c>
      <c r="D357" s="53" t="s">
        <v>1136</v>
      </c>
      <c r="E357" s="53" t="s">
        <v>467</v>
      </c>
      <c r="F357" s="53" t="s">
        <v>1130</v>
      </c>
      <c r="G357" s="53" t="s">
        <v>1597</v>
      </c>
      <c r="H357" s="42" t="s">
        <v>1598</v>
      </c>
    </row>
    <row r="358" spans="1:8">
      <c r="B358" s="41" t="s">
        <v>36</v>
      </c>
      <c r="C358" s="42">
        <v>10</v>
      </c>
      <c r="D358" s="53" t="s">
        <v>1126</v>
      </c>
      <c r="E358" s="53" t="s">
        <v>1127</v>
      </c>
      <c r="F358" s="53" t="s">
        <v>472</v>
      </c>
      <c r="G358" s="53" t="s">
        <v>1599</v>
      </c>
      <c r="H358" s="42" t="s">
        <v>1600</v>
      </c>
    </row>
    <row r="359" spans="1:8">
      <c r="B359" s="41" t="s">
        <v>37</v>
      </c>
      <c r="C359" s="42">
        <v>18</v>
      </c>
      <c r="D359" s="53" t="s">
        <v>476</v>
      </c>
      <c r="E359" s="53" t="s">
        <v>270</v>
      </c>
      <c r="F359" s="53" t="s">
        <v>468</v>
      </c>
      <c r="G359" s="53" t="s">
        <v>17306</v>
      </c>
      <c r="H359" s="42" t="s">
        <v>1601</v>
      </c>
    </row>
    <row r="360" spans="1:8">
      <c r="B360" s="41" t="s">
        <v>38</v>
      </c>
      <c r="C360" s="42">
        <v>13</v>
      </c>
      <c r="D360" s="53" t="s">
        <v>1136</v>
      </c>
      <c r="E360" s="53" t="s">
        <v>52</v>
      </c>
      <c r="F360" s="53" t="s">
        <v>472</v>
      </c>
      <c r="G360" s="53" t="s">
        <v>1602</v>
      </c>
      <c r="H360" s="42" t="s">
        <v>1603</v>
      </c>
    </row>
    <row r="361" spans="1:8">
      <c r="A361" s="45"/>
      <c r="B361" s="41" t="s">
        <v>16002</v>
      </c>
      <c r="C361" s="42">
        <v>14</v>
      </c>
      <c r="D361" s="53" t="s">
        <v>476</v>
      </c>
      <c r="E361" s="53" t="s">
        <v>467</v>
      </c>
      <c r="F361" s="53" t="s">
        <v>472</v>
      </c>
      <c r="G361" s="53" t="s">
        <v>16000</v>
      </c>
      <c r="H361" s="86" t="s">
        <v>16001</v>
      </c>
    </row>
    <row r="362" spans="1:8">
      <c r="B362" s="41" t="s">
        <v>39</v>
      </c>
      <c r="C362" s="42">
        <v>15</v>
      </c>
      <c r="D362" s="53" t="s">
        <v>476</v>
      </c>
      <c r="E362" s="53" t="s">
        <v>467</v>
      </c>
      <c r="F362" s="53" t="s">
        <v>472</v>
      </c>
      <c r="G362" s="53" t="s">
        <v>1604</v>
      </c>
      <c r="H362" s="42" t="s">
        <v>1605</v>
      </c>
    </row>
    <row r="363" spans="1:8">
      <c r="B363" s="41" t="s">
        <v>40</v>
      </c>
      <c r="C363" s="42">
        <v>13</v>
      </c>
      <c r="D363" s="53" t="s">
        <v>282</v>
      </c>
      <c r="E363" s="53" t="s">
        <v>11791</v>
      </c>
      <c r="F363" s="53" t="s">
        <v>270</v>
      </c>
      <c r="G363" s="53" t="s">
        <v>340</v>
      </c>
      <c r="H363" s="42" t="s">
        <v>1606</v>
      </c>
    </row>
    <row r="364" spans="1:8">
      <c r="B364" s="41" t="s">
        <v>41</v>
      </c>
      <c r="C364" s="42">
        <v>17</v>
      </c>
      <c r="D364" s="53" t="s">
        <v>476</v>
      </c>
      <c r="E364" s="53" t="s">
        <v>1607</v>
      </c>
      <c r="F364" s="53" t="s">
        <v>958</v>
      </c>
      <c r="G364" s="53" t="s">
        <v>1597</v>
      </c>
      <c r="H364" s="42" t="s">
        <v>1608</v>
      </c>
    </row>
    <row r="365" spans="1:8">
      <c r="B365" s="41" t="s">
        <v>42</v>
      </c>
      <c r="C365" s="42">
        <v>8</v>
      </c>
      <c r="D365" s="53" t="s">
        <v>476</v>
      </c>
      <c r="E365" s="53" t="s">
        <v>11791</v>
      </c>
      <c r="F365" s="53" t="s">
        <v>472</v>
      </c>
      <c r="G365" s="53" t="s">
        <v>1609</v>
      </c>
      <c r="H365" s="44" t="s">
        <v>1610</v>
      </c>
    </row>
    <row r="366" spans="1:8">
      <c r="B366" s="41" t="s">
        <v>43</v>
      </c>
      <c r="C366" s="42">
        <v>17</v>
      </c>
      <c r="D366" s="53" t="s">
        <v>476</v>
      </c>
      <c r="E366" s="53" t="s">
        <v>1540</v>
      </c>
      <c r="F366" s="53" t="s">
        <v>472</v>
      </c>
      <c r="G366" s="53" t="s">
        <v>1611</v>
      </c>
      <c r="H366" s="44" t="s">
        <v>1612</v>
      </c>
    </row>
    <row r="367" spans="1:8">
      <c r="B367" s="41" t="s">
        <v>44</v>
      </c>
      <c r="C367" s="42">
        <v>14</v>
      </c>
      <c r="D367" s="53" t="s">
        <v>3774</v>
      </c>
      <c r="E367" s="53" t="s">
        <v>471</v>
      </c>
      <c r="F367" s="53" t="s">
        <v>472</v>
      </c>
      <c r="G367" s="53" t="s">
        <v>1613</v>
      </c>
      <c r="H367" s="44" t="s">
        <v>1614</v>
      </c>
    </row>
    <row r="368" spans="1:8">
      <c r="B368" s="41" t="s">
        <v>45</v>
      </c>
      <c r="C368" s="42">
        <v>16</v>
      </c>
      <c r="D368" s="53" t="s">
        <v>1126</v>
      </c>
      <c r="E368" s="53" t="s">
        <v>471</v>
      </c>
      <c r="F368" s="53" t="s">
        <v>472</v>
      </c>
      <c r="G368" s="53" t="s">
        <v>1615</v>
      </c>
      <c r="H368" s="44" t="s">
        <v>1616</v>
      </c>
    </row>
    <row r="369" spans="1:8">
      <c r="A369" s="614" t="s">
        <v>9823</v>
      </c>
      <c r="B369" s="41" t="s">
        <v>1349</v>
      </c>
      <c r="C369" s="42">
        <v>12</v>
      </c>
      <c r="D369" s="53" t="s">
        <v>1126</v>
      </c>
      <c r="E369" s="53" t="s">
        <v>11791</v>
      </c>
      <c r="F369" s="53" t="s">
        <v>1617</v>
      </c>
      <c r="G369" s="53" t="s">
        <v>1618</v>
      </c>
      <c r="H369" s="42" t="s">
        <v>1619</v>
      </c>
    </row>
    <row r="370" spans="1:8">
      <c r="B370" s="41" t="s">
        <v>1350</v>
      </c>
      <c r="C370" s="42">
        <v>7</v>
      </c>
      <c r="D370" s="53" t="s">
        <v>1136</v>
      </c>
      <c r="E370" s="53" t="s">
        <v>11791</v>
      </c>
      <c r="F370" s="53" t="s">
        <v>346</v>
      </c>
      <c r="G370" s="53" t="s">
        <v>1620</v>
      </c>
      <c r="H370" s="42" t="s">
        <v>1621</v>
      </c>
    </row>
    <row r="371" spans="1:8">
      <c r="B371" s="41" t="s">
        <v>1351</v>
      </c>
      <c r="C371" s="42">
        <v>13</v>
      </c>
      <c r="D371" s="53" t="s">
        <v>1126</v>
      </c>
      <c r="E371" s="53" t="s">
        <v>471</v>
      </c>
      <c r="F371" s="53" t="s">
        <v>472</v>
      </c>
      <c r="G371" s="53" t="s">
        <v>1622</v>
      </c>
      <c r="H371" s="44" t="s">
        <v>1623</v>
      </c>
    </row>
    <row r="372" spans="1:8">
      <c r="B372" s="41" t="s">
        <v>1352</v>
      </c>
      <c r="C372" s="42">
        <v>8</v>
      </c>
      <c r="D372" s="53" t="s">
        <v>282</v>
      </c>
      <c r="E372" s="53" t="s">
        <v>277</v>
      </c>
      <c r="F372" s="53" t="s">
        <v>1624</v>
      </c>
      <c r="G372" s="53" t="s">
        <v>17307</v>
      </c>
      <c r="H372" s="86" t="s">
        <v>17308</v>
      </c>
    </row>
    <row r="373" spans="1:8">
      <c r="B373" s="41" t="s">
        <v>1353</v>
      </c>
      <c r="C373" s="42">
        <v>14</v>
      </c>
      <c r="D373" s="53" t="s">
        <v>1136</v>
      </c>
      <c r="E373" s="53" t="s">
        <v>11791</v>
      </c>
      <c r="F373" s="53" t="s">
        <v>1625</v>
      </c>
      <c r="G373" s="53" t="s">
        <v>1626</v>
      </c>
      <c r="H373" s="44" t="s">
        <v>1627</v>
      </c>
    </row>
    <row r="374" spans="1:8">
      <c r="B374" s="41" t="s">
        <v>1354</v>
      </c>
      <c r="C374" s="42">
        <v>5</v>
      </c>
      <c r="D374" s="53" t="s">
        <v>1136</v>
      </c>
      <c r="E374" s="53" t="s">
        <v>1628</v>
      </c>
      <c r="F374" s="53" t="s">
        <v>1628</v>
      </c>
      <c r="G374" s="53" t="s">
        <v>1629</v>
      </c>
      <c r="H374" s="86" t="s">
        <v>11145</v>
      </c>
    </row>
    <row r="375" spans="1:8">
      <c r="B375" s="41" t="s">
        <v>15971</v>
      </c>
      <c r="C375" s="42">
        <v>13</v>
      </c>
      <c r="D375" s="53" t="s">
        <v>282</v>
      </c>
      <c r="E375" s="53" t="s">
        <v>1948</v>
      </c>
      <c r="F375" s="53" t="s">
        <v>472</v>
      </c>
      <c r="G375" s="53" t="s">
        <v>9845</v>
      </c>
      <c r="H375" s="86" t="s">
        <v>16016</v>
      </c>
    </row>
    <row r="376" spans="1:8">
      <c r="A376" s="614" t="s">
        <v>9824</v>
      </c>
      <c r="B376" s="41" t="s">
        <v>1355</v>
      </c>
      <c r="C376" s="42">
        <v>16</v>
      </c>
      <c r="D376" s="53" t="s">
        <v>1136</v>
      </c>
      <c r="E376" s="53" t="s">
        <v>55</v>
      </c>
      <c r="F376" s="53" t="s">
        <v>1630</v>
      </c>
      <c r="G376" s="53" t="s">
        <v>1631</v>
      </c>
      <c r="H376" s="42" t="s">
        <v>1632</v>
      </c>
    </row>
    <row r="377" spans="1:8">
      <c r="B377" s="41" t="s">
        <v>1356</v>
      </c>
      <c r="C377" s="42">
        <v>15</v>
      </c>
      <c r="D377" s="53" t="s">
        <v>1126</v>
      </c>
      <c r="E377" s="53" t="s">
        <v>1511</v>
      </c>
      <c r="F377" s="53" t="s">
        <v>1624</v>
      </c>
      <c r="G377" s="53" t="s">
        <v>1633</v>
      </c>
      <c r="H377" s="86" t="s">
        <v>16421</v>
      </c>
    </row>
    <row r="378" spans="1:8">
      <c r="B378" s="41" t="s">
        <v>1357</v>
      </c>
      <c r="C378" s="42">
        <v>6</v>
      </c>
      <c r="D378" s="53" t="s">
        <v>1126</v>
      </c>
      <c r="E378" s="53" t="s">
        <v>467</v>
      </c>
      <c r="F378" s="53" t="s">
        <v>472</v>
      </c>
      <c r="G378" s="53" t="s">
        <v>872</v>
      </c>
      <c r="H378" s="42" t="s">
        <v>1634</v>
      </c>
    </row>
    <row r="379" spans="1:8">
      <c r="A379" s="45"/>
      <c r="B379" s="41" t="s">
        <v>15984</v>
      </c>
      <c r="C379" s="42">
        <v>14</v>
      </c>
      <c r="D379" s="53" t="s">
        <v>476</v>
      </c>
      <c r="E379" s="53" t="s">
        <v>11791</v>
      </c>
      <c r="F379" s="53" t="s">
        <v>16012</v>
      </c>
      <c r="G379" s="53" t="s">
        <v>17309</v>
      </c>
      <c r="H379" s="86" t="s">
        <v>17310</v>
      </c>
    </row>
    <row r="380" spans="1:8">
      <c r="B380" s="41" t="s">
        <v>1358</v>
      </c>
      <c r="C380" s="42">
        <v>9</v>
      </c>
      <c r="D380" s="53" t="s">
        <v>1136</v>
      </c>
      <c r="E380" s="53" t="s">
        <v>1635</v>
      </c>
      <c r="F380" s="53" t="s">
        <v>468</v>
      </c>
      <c r="G380" s="53" t="s">
        <v>1636</v>
      </c>
      <c r="H380" s="42" t="s">
        <v>1637</v>
      </c>
    </row>
    <row r="381" spans="1:8">
      <c r="B381" s="41" t="s">
        <v>1359</v>
      </c>
      <c r="C381" s="42">
        <v>12</v>
      </c>
      <c r="D381" s="53" t="s">
        <v>1136</v>
      </c>
      <c r="E381" s="53" t="s">
        <v>11791</v>
      </c>
      <c r="F381" s="53" t="s">
        <v>468</v>
      </c>
      <c r="G381" s="53" t="s">
        <v>1638</v>
      </c>
      <c r="H381" s="42" t="s">
        <v>1639</v>
      </c>
    </row>
    <row r="382" spans="1:8">
      <c r="B382" s="41" t="s">
        <v>1360</v>
      </c>
      <c r="C382" s="42">
        <v>11</v>
      </c>
      <c r="D382" s="53" t="s">
        <v>1136</v>
      </c>
      <c r="E382" s="53" t="s">
        <v>11791</v>
      </c>
      <c r="F382" s="53" t="s">
        <v>468</v>
      </c>
      <c r="G382" s="53" t="s">
        <v>1640</v>
      </c>
      <c r="H382" s="44" t="s">
        <v>1641</v>
      </c>
    </row>
    <row r="383" spans="1:8">
      <c r="A383" s="614" t="s">
        <v>9829</v>
      </c>
      <c r="B383" s="41" t="s">
        <v>17311</v>
      </c>
      <c r="C383" s="42">
        <v>8</v>
      </c>
      <c r="D383" s="53" t="s">
        <v>1136</v>
      </c>
      <c r="E383" s="53" t="s">
        <v>471</v>
      </c>
      <c r="F383" s="53" t="s">
        <v>1128</v>
      </c>
      <c r="G383" s="53" t="s">
        <v>16009</v>
      </c>
      <c r="H383" s="86" t="s">
        <v>16027</v>
      </c>
    </row>
    <row r="384" spans="1:8">
      <c r="A384" s="45"/>
      <c r="B384" s="41" t="s">
        <v>1361</v>
      </c>
      <c r="C384" s="42">
        <v>8</v>
      </c>
      <c r="D384" s="53" t="s">
        <v>1126</v>
      </c>
      <c r="E384" s="53" t="s">
        <v>1127</v>
      </c>
      <c r="F384" s="53" t="s">
        <v>472</v>
      </c>
      <c r="G384" s="53" t="s">
        <v>1642</v>
      </c>
      <c r="H384" s="44" t="s">
        <v>1643</v>
      </c>
    </row>
    <row r="385" spans="1:8">
      <c r="B385" s="41" t="s">
        <v>1362</v>
      </c>
      <c r="C385" s="42">
        <v>9</v>
      </c>
      <c r="D385" s="53" t="s">
        <v>1126</v>
      </c>
      <c r="E385" s="53" t="s">
        <v>1127</v>
      </c>
      <c r="F385" s="53" t="s">
        <v>472</v>
      </c>
      <c r="G385" s="53" t="s">
        <v>1644</v>
      </c>
      <c r="H385" s="44" t="s">
        <v>1645</v>
      </c>
    </row>
    <row r="386" spans="1:8">
      <c r="B386" s="41" t="s">
        <v>1363</v>
      </c>
      <c r="C386" s="42">
        <v>21</v>
      </c>
      <c r="D386" s="53" t="s">
        <v>1136</v>
      </c>
      <c r="E386" s="53" t="s">
        <v>1127</v>
      </c>
      <c r="F386" s="53" t="s">
        <v>1286</v>
      </c>
      <c r="G386" s="53" t="s">
        <v>1646</v>
      </c>
      <c r="H386" s="44" t="s">
        <v>1647</v>
      </c>
    </row>
    <row r="387" spans="1:8">
      <c r="B387" s="41" t="s">
        <v>1364</v>
      </c>
      <c r="C387" s="42">
        <v>10</v>
      </c>
      <c r="D387" s="53" t="s">
        <v>1126</v>
      </c>
      <c r="E387" s="53" t="s">
        <v>467</v>
      </c>
      <c r="F387" s="53" t="s">
        <v>472</v>
      </c>
      <c r="G387" s="53" t="s">
        <v>1648</v>
      </c>
      <c r="H387" s="44" t="s">
        <v>1649</v>
      </c>
    </row>
    <row r="388" spans="1:8">
      <c r="B388" s="41" t="s">
        <v>1365</v>
      </c>
      <c r="C388" s="42">
        <v>9</v>
      </c>
      <c r="D388" s="53" t="s">
        <v>1136</v>
      </c>
      <c r="E388" s="53" t="s">
        <v>467</v>
      </c>
      <c r="F388" s="53" t="s">
        <v>468</v>
      </c>
      <c r="G388" s="53" t="s">
        <v>1650</v>
      </c>
      <c r="H388" s="44" t="s">
        <v>1651</v>
      </c>
    </row>
    <row r="389" spans="1:8">
      <c r="B389" s="41" t="s">
        <v>1366</v>
      </c>
      <c r="C389" s="42">
        <v>14</v>
      </c>
      <c r="D389" s="53" t="s">
        <v>1136</v>
      </c>
      <c r="E389" s="53" t="s">
        <v>1652</v>
      </c>
      <c r="F389" s="53" t="s">
        <v>468</v>
      </c>
      <c r="G389" s="53" t="s">
        <v>1653</v>
      </c>
      <c r="H389" s="44" t="s">
        <v>1654</v>
      </c>
    </row>
    <row r="390" spans="1:8">
      <c r="A390" s="614" t="s">
        <v>9825</v>
      </c>
      <c r="B390" s="41" t="s">
        <v>3580</v>
      </c>
      <c r="C390" s="42">
        <v>13</v>
      </c>
      <c r="D390" s="53" t="s">
        <v>476</v>
      </c>
      <c r="E390" s="53" t="s">
        <v>11791</v>
      </c>
      <c r="F390" s="53" t="s">
        <v>958</v>
      </c>
      <c r="G390" s="53" t="s">
        <v>3585</v>
      </c>
      <c r="H390" s="44" t="s">
        <v>3586</v>
      </c>
    </row>
    <row r="391" spans="1:8">
      <c r="A391" s="45"/>
      <c r="B391" s="41" t="s">
        <v>15954</v>
      </c>
      <c r="C391" s="42">
        <v>14</v>
      </c>
      <c r="D391" s="53" t="s">
        <v>1126</v>
      </c>
      <c r="E391" s="53" t="s">
        <v>11791</v>
      </c>
      <c r="F391" s="53" t="s">
        <v>1128</v>
      </c>
      <c r="G391" s="53" t="s">
        <v>17312</v>
      </c>
      <c r="H391" s="86" t="s">
        <v>17313</v>
      </c>
    </row>
    <row r="392" spans="1:8">
      <c r="B392" s="41" t="s">
        <v>3573</v>
      </c>
      <c r="C392" s="42">
        <v>5</v>
      </c>
      <c r="D392" s="53" t="s">
        <v>1126</v>
      </c>
      <c r="E392" s="53" t="s">
        <v>1127</v>
      </c>
      <c r="F392" s="53" t="s">
        <v>472</v>
      </c>
      <c r="G392" s="53" t="s">
        <v>3574</v>
      </c>
      <c r="H392" s="44" t="s">
        <v>3575</v>
      </c>
    </row>
    <row r="393" spans="1:8">
      <c r="B393" s="41" t="s">
        <v>3582</v>
      </c>
      <c r="C393" s="42">
        <v>20</v>
      </c>
      <c r="D393" s="53" t="s">
        <v>282</v>
      </c>
      <c r="E393" s="53" t="s">
        <v>471</v>
      </c>
      <c r="F393" s="53" t="s">
        <v>1130</v>
      </c>
      <c r="G393" s="53" t="s">
        <v>3588</v>
      </c>
      <c r="H393" s="44" t="s">
        <v>3589</v>
      </c>
    </row>
    <row r="394" spans="1:8">
      <c r="B394" s="41" t="s">
        <v>3576</v>
      </c>
      <c r="C394" s="42">
        <v>8</v>
      </c>
      <c r="D394" s="53" t="s">
        <v>1126</v>
      </c>
      <c r="E394" s="53" t="s">
        <v>11791</v>
      </c>
      <c r="F394" s="53" t="s">
        <v>1286</v>
      </c>
      <c r="G394" s="53" t="s">
        <v>3577</v>
      </c>
      <c r="H394" s="44" t="s">
        <v>3578</v>
      </c>
    </row>
    <row r="395" spans="1:8">
      <c r="B395" s="41" t="s">
        <v>16458</v>
      </c>
      <c r="C395" s="42">
        <v>21</v>
      </c>
      <c r="D395" s="53" t="s">
        <v>282</v>
      </c>
      <c r="E395" s="53" t="s">
        <v>11791</v>
      </c>
      <c r="F395" s="53" t="s">
        <v>1128</v>
      </c>
      <c r="G395" s="53" t="s">
        <v>16460</v>
      </c>
      <c r="H395" s="86" t="s">
        <v>16459</v>
      </c>
    </row>
    <row r="396" spans="1:8">
      <c r="B396" s="41" t="s">
        <v>3581</v>
      </c>
      <c r="C396" s="42">
        <v>15</v>
      </c>
      <c r="D396" s="53" t="s">
        <v>476</v>
      </c>
      <c r="E396" s="53" t="s">
        <v>11791</v>
      </c>
      <c r="F396" s="53" t="s">
        <v>270</v>
      </c>
      <c r="G396" s="53" t="s">
        <v>1674</v>
      </c>
      <c r="H396" s="44" t="s">
        <v>3587</v>
      </c>
    </row>
    <row r="397" spans="1:8">
      <c r="B397" s="41" t="s">
        <v>3579</v>
      </c>
      <c r="C397" s="42">
        <v>11</v>
      </c>
      <c r="D397" s="53" t="s">
        <v>1126</v>
      </c>
      <c r="E397" s="53" t="s">
        <v>1127</v>
      </c>
      <c r="F397" s="53" t="s">
        <v>468</v>
      </c>
      <c r="G397" s="53" t="s">
        <v>3583</v>
      </c>
      <c r="H397" s="44" t="s">
        <v>3584</v>
      </c>
    </row>
    <row r="398" spans="1:8">
      <c r="A398" s="614" t="s">
        <v>9826</v>
      </c>
      <c r="B398" s="41" t="s">
        <v>9743</v>
      </c>
      <c r="C398" s="42">
        <v>9</v>
      </c>
      <c r="D398" s="53" t="s">
        <v>1149</v>
      </c>
      <c r="E398" s="53" t="s">
        <v>11791</v>
      </c>
      <c r="F398" s="53" t="s">
        <v>958</v>
      </c>
      <c r="G398" s="53" t="s">
        <v>9959</v>
      </c>
      <c r="H398" s="44" t="s">
        <v>9893</v>
      </c>
    </row>
    <row r="399" spans="1:8">
      <c r="B399" s="41" t="s">
        <v>9744</v>
      </c>
      <c r="C399" s="42">
        <v>4</v>
      </c>
      <c r="D399" s="53" t="s">
        <v>1126</v>
      </c>
      <c r="E399" s="53" t="s">
        <v>11791</v>
      </c>
      <c r="F399" s="53" t="s">
        <v>468</v>
      </c>
      <c r="G399" s="53" t="s">
        <v>9953</v>
      </c>
      <c r="H399" s="86" t="s">
        <v>9894</v>
      </c>
    </row>
    <row r="400" spans="1:8">
      <c r="B400" s="41" t="s">
        <v>9746</v>
      </c>
      <c r="C400" s="42">
        <v>20</v>
      </c>
      <c r="D400" s="53" t="s">
        <v>1136</v>
      </c>
      <c r="E400" s="53" t="s">
        <v>11791</v>
      </c>
      <c r="F400" s="53" t="s">
        <v>9891</v>
      </c>
      <c r="G400" s="53" t="s">
        <v>9951</v>
      </c>
      <c r="H400" s="44" t="s">
        <v>9895</v>
      </c>
    </row>
    <row r="401" spans="1:8">
      <c r="B401" s="41" t="s">
        <v>9745</v>
      </c>
      <c r="C401" s="42">
        <v>6</v>
      </c>
      <c r="D401" s="53" t="s">
        <v>1126</v>
      </c>
      <c r="E401" s="53" t="s">
        <v>11791</v>
      </c>
      <c r="F401" s="53" t="s">
        <v>958</v>
      </c>
      <c r="G401" s="53" t="s">
        <v>9952</v>
      </c>
      <c r="H401" s="44" t="s">
        <v>9896</v>
      </c>
    </row>
    <row r="402" spans="1:8">
      <c r="B402" s="41" t="s">
        <v>9748</v>
      </c>
      <c r="C402" s="42">
        <v>17</v>
      </c>
      <c r="D402" s="53" t="s">
        <v>1136</v>
      </c>
      <c r="E402" s="53" t="s">
        <v>471</v>
      </c>
      <c r="F402" s="53" t="s">
        <v>1154</v>
      </c>
      <c r="G402" s="53" t="s">
        <v>9955</v>
      </c>
      <c r="H402" s="86" t="s">
        <v>9898</v>
      </c>
    </row>
    <row r="403" spans="1:8">
      <c r="B403" s="41" t="s">
        <v>9749</v>
      </c>
      <c r="C403" s="42">
        <v>20</v>
      </c>
      <c r="D403" s="53" t="s">
        <v>1136</v>
      </c>
      <c r="E403" s="53" t="s">
        <v>1127</v>
      </c>
      <c r="F403" s="53" t="s">
        <v>1154</v>
      </c>
      <c r="G403" s="53" t="s">
        <v>2103</v>
      </c>
      <c r="H403" s="44" t="s">
        <v>9899</v>
      </c>
    </row>
    <row r="404" spans="1:8">
      <c r="B404" s="41" t="s">
        <v>9747</v>
      </c>
      <c r="C404" s="42">
        <v>13</v>
      </c>
      <c r="D404" s="53" t="s">
        <v>1136</v>
      </c>
      <c r="E404" s="53" t="s">
        <v>1127</v>
      </c>
      <c r="F404" s="53" t="s">
        <v>1130</v>
      </c>
      <c r="G404" s="53" t="s">
        <v>9956</v>
      </c>
      <c r="H404" s="86" t="s">
        <v>9900</v>
      </c>
    </row>
    <row r="405" spans="1:8">
      <c r="B405" s="41" t="s">
        <v>9750</v>
      </c>
      <c r="C405" s="42">
        <v>6</v>
      </c>
      <c r="D405" s="53" t="s">
        <v>282</v>
      </c>
      <c r="E405" s="53" t="s">
        <v>968</v>
      </c>
      <c r="F405" s="53" t="s">
        <v>1617</v>
      </c>
      <c r="G405" s="53" t="s">
        <v>9957</v>
      </c>
      <c r="H405" s="44" t="s">
        <v>9901</v>
      </c>
    </row>
    <row r="406" spans="1:8">
      <c r="B406" s="41" t="s">
        <v>9752</v>
      </c>
      <c r="C406" s="42">
        <v>16</v>
      </c>
      <c r="D406" s="53" t="s">
        <v>1136</v>
      </c>
      <c r="E406" s="53" t="s">
        <v>9890</v>
      </c>
      <c r="F406" s="53" t="s">
        <v>9892</v>
      </c>
      <c r="G406" s="53" t="s">
        <v>9958</v>
      </c>
      <c r="H406" s="44" t="s">
        <v>9902</v>
      </c>
    </row>
    <row r="407" spans="1:8">
      <c r="B407" s="41" t="s">
        <v>9751</v>
      </c>
      <c r="C407" s="42">
        <v>10</v>
      </c>
      <c r="D407" s="53" t="s">
        <v>282</v>
      </c>
      <c r="E407" s="53" t="s">
        <v>968</v>
      </c>
      <c r="F407" s="53" t="s">
        <v>1617</v>
      </c>
      <c r="G407" s="53" t="s">
        <v>1531</v>
      </c>
      <c r="H407" s="44" t="s">
        <v>9903</v>
      </c>
    </row>
    <row r="408" spans="1:8">
      <c r="A408" s="614" t="s">
        <v>16387</v>
      </c>
      <c r="B408" s="41" t="s">
        <v>11697</v>
      </c>
      <c r="C408" s="42">
        <v>14</v>
      </c>
      <c r="D408" s="53" t="s">
        <v>1136</v>
      </c>
      <c r="E408" s="53" t="s">
        <v>55</v>
      </c>
      <c r="F408" s="53" t="s">
        <v>11679</v>
      </c>
      <c r="G408" s="53" t="s">
        <v>11701</v>
      </c>
      <c r="H408" s="86" t="s">
        <v>17314</v>
      </c>
    </row>
    <row r="409" spans="1:8">
      <c r="B409" s="41" t="s">
        <v>11703</v>
      </c>
      <c r="C409" s="86">
        <v>13</v>
      </c>
      <c r="D409" s="53" t="s">
        <v>1136</v>
      </c>
      <c r="E409" s="53" t="s">
        <v>476</v>
      </c>
      <c r="F409" s="53" t="s">
        <v>472</v>
      </c>
      <c r="G409" s="53" t="s">
        <v>11702</v>
      </c>
      <c r="H409" s="86" t="s">
        <v>11704</v>
      </c>
    </row>
    <row r="410" spans="1:8">
      <c r="A410" s="614" t="s">
        <v>16405</v>
      </c>
      <c r="B410" s="41" t="s">
        <v>16409</v>
      </c>
      <c r="C410" s="42">
        <v>18</v>
      </c>
      <c r="D410" s="53" t="s">
        <v>282</v>
      </c>
      <c r="E410" s="53" t="s">
        <v>11791</v>
      </c>
      <c r="F410" s="53" t="s">
        <v>629</v>
      </c>
      <c r="G410" s="53" t="s">
        <v>16410</v>
      </c>
      <c r="H410" s="86" t="s">
        <v>16411</v>
      </c>
    </row>
    <row r="411" spans="1:8">
      <c r="A411" s="45"/>
      <c r="B411" s="41" t="s">
        <v>16396</v>
      </c>
      <c r="C411" s="42">
        <v>13</v>
      </c>
      <c r="D411" s="53" t="s">
        <v>1136</v>
      </c>
      <c r="E411" s="53" t="s">
        <v>277</v>
      </c>
      <c r="F411" s="53" t="s">
        <v>472</v>
      </c>
      <c r="G411" s="53" t="s">
        <v>16397</v>
      </c>
      <c r="H411" s="86" t="s">
        <v>16398</v>
      </c>
    </row>
    <row r="412" spans="1:8">
      <c r="A412" s="45"/>
      <c r="B412" s="41" t="s">
        <v>16420</v>
      </c>
      <c r="C412" s="42">
        <v>20</v>
      </c>
      <c r="D412" s="53" t="s">
        <v>476</v>
      </c>
      <c r="E412" s="53" t="s">
        <v>277</v>
      </c>
      <c r="F412" s="53" t="s">
        <v>7156</v>
      </c>
      <c r="G412" s="53" t="s">
        <v>1829</v>
      </c>
      <c r="H412" s="86" t="s">
        <v>17315</v>
      </c>
    </row>
    <row r="413" spans="1:8">
      <c r="B413" s="41" t="s">
        <v>1419</v>
      </c>
      <c r="C413" s="42">
        <v>20</v>
      </c>
      <c r="D413" s="53" t="s">
        <v>282</v>
      </c>
      <c r="E413" s="53" t="s">
        <v>471</v>
      </c>
      <c r="F413" s="53" t="s">
        <v>472</v>
      </c>
      <c r="G413" s="53" t="s">
        <v>5289</v>
      </c>
      <c r="H413" s="86" t="s">
        <v>17316</v>
      </c>
    </row>
    <row r="414" spans="1:8">
      <c r="B414" s="41" t="s">
        <v>5264</v>
      </c>
      <c r="C414" s="42">
        <v>21</v>
      </c>
      <c r="D414" s="53" t="s">
        <v>1772</v>
      </c>
      <c r="E414" s="53" t="s">
        <v>5297</v>
      </c>
      <c r="F414" s="53" t="s">
        <v>1128</v>
      </c>
      <c r="G414" s="53" t="s">
        <v>16406</v>
      </c>
      <c r="H414" s="86" t="s">
        <v>17317</v>
      </c>
    </row>
    <row r="415" spans="1:8">
      <c r="B415" s="41" t="s">
        <v>16412</v>
      </c>
      <c r="C415" s="42">
        <v>18</v>
      </c>
      <c r="D415" s="53" t="s">
        <v>1772</v>
      </c>
      <c r="E415" s="53" t="s">
        <v>471</v>
      </c>
      <c r="F415" s="53" t="s">
        <v>629</v>
      </c>
      <c r="G415" s="53" t="s">
        <v>16413</v>
      </c>
      <c r="H415" s="86" t="s">
        <v>16414</v>
      </c>
    </row>
    <row r="416" spans="1:8">
      <c r="B416" s="41" t="s">
        <v>16408</v>
      </c>
      <c r="C416" s="42">
        <v>8</v>
      </c>
      <c r="D416" s="53" t="s">
        <v>1136</v>
      </c>
      <c r="E416" s="53" t="s">
        <v>1948</v>
      </c>
      <c r="F416" s="53" t="s">
        <v>958</v>
      </c>
      <c r="G416" s="53" t="s">
        <v>16399</v>
      </c>
      <c r="H416" s="86" t="s">
        <v>17318</v>
      </c>
    </row>
    <row r="417" spans="1:8">
      <c r="B417" s="41" t="s">
        <v>17319</v>
      </c>
      <c r="C417" s="42">
        <v>10</v>
      </c>
      <c r="D417" s="53" t="s">
        <v>9239</v>
      </c>
      <c r="E417" s="53" t="s">
        <v>7171</v>
      </c>
      <c r="F417" s="53" t="s">
        <v>1128</v>
      </c>
      <c r="G417" s="53" t="s">
        <v>17320</v>
      </c>
      <c r="H417" s="86" t="s">
        <v>16407</v>
      </c>
    </row>
    <row r="418" spans="1:8">
      <c r="B418" s="41" t="s">
        <v>5273</v>
      </c>
      <c r="C418" s="42">
        <v>20</v>
      </c>
      <c r="D418" s="53" t="s">
        <v>1772</v>
      </c>
      <c r="E418" s="53" t="s">
        <v>1948</v>
      </c>
      <c r="F418" s="53" t="s">
        <v>958</v>
      </c>
      <c r="G418" s="53" t="s">
        <v>5286</v>
      </c>
      <c r="H418" s="42" t="s">
        <v>5287</v>
      </c>
    </row>
    <row r="419" spans="1:8">
      <c r="A419" s="619" t="s">
        <v>3591</v>
      </c>
      <c r="B419" s="41" t="s">
        <v>3593</v>
      </c>
      <c r="C419" s="42">
        <v>6</v>
      </c>
      <c r="D419" s="53" t="s">
        <v>1126</v>
      </c>
      <c r="E419" s="53" t="s">
        <v>471</v>
      </c>
      <c r="F419" s="53" t="s">
        <v>472</v>
      </c>
      <c r="G419" s="53" t="s">
        <v>3594</v>
      </c>
      <c r="H419" s="44" t="s">
        <v>3595</v>
      </c>
    </row>
    <row r="420" spans="1:8">
      <c r="B420" s="41" t="s">
        <v>3596</v>
      </c>
      <c r="C420" s="42">
        <v>4</v>
      </c>
      <c r="D420" s="53" t="s">
        <v>1126</v>
      </c>
      <c r="F420" s="53" t="s">
        <v>3598</v>
      </c>
      <c r="G420" s="53" t="s">
        <v>3599</v>
      </c>
      <c r="H420" s="44" t="s">
        <v>3600</v>
      </c>
    </row>
    <row r="421" spans="1:8">
      <c r="B421" s="41" t="s">
        <v>3597</v>
      </c>
      <c r="C421" s="42">
        <v>4</v>
      </c>
      <c r="D421" s="53" t="s">
        <v>1126</v>
      </c>
      <c r="E421" s="53" t="s">
        <v>1652</v>
      </c>
      <c r="F421" s="53" t="s">
        <v>958</v>
      </c>
      <c r="G421" s="53" t="s">
        <v>3601</v>
      </c>
      <c r="H421" s="44" t="s">
        <v>3602</v>
      </c>
    </row>
    <row r="422" spans="1:8">
      <c r="B422" s="41" t="s">
        <v>11762</v>
      </c>
      <c r="C422" s="42">
        <v>8</v>
      </c>
      <c r="D422" s="53" t="s">
        <v>1126</v>
      </c>
      <c r="E422" s="53" t="s">
        <v>11791</v>
      </c>
      <c r="F422" s="53" t="s">
        <v>958</v>
      </c>
      <c r="G422" s="53" t="s">
        <v>17321</v>
      </c>
      <c r="H422" s="86" t="s">
        <v>11763</v>
      </c>
    </row>
    <row r="423" spans="1:8">
      <c r="B423" s="41" t="s">
        <v>11756</v>
      </c>
      <c r="C423" s="42">
        <v>10</v>
      </c>
      <c r="D423" s="53" t="s">
        <v>1126</v>
      </c>
      <c r="E423" s="53" t="s">
        <v>11791</v>
      </c>
      <c r="F423" s="53" t="s">
        <v>1286</v>
      </c>
      <c r="G423" s="53" t="s">
        <v>11757</v>
      </c>
      <c r="H423" s="86" t="s">
        <v>16472</v>
      </c>
    </row>
    <row r="424" spans="1:8">
      <c r="B424" s="41" t="s">
        <v>16470</v>
      </c>
      <c r="C424" s="42">
        <v>21</v>
      </c>
      <c r="D424" s="53" t="s">
        <v>1136</v>
      </c>
      <c r="E424" s="53" t="s">
        <v>1628</v>
      </c>
      <c r="F424" s="53" t="s">
        <v>1128</v>
      </c>
      <c r="G424" s="53" t="s">
        <v>16471</v>
      </c>
      <c r="H424" s="86" t="s">
        <v>16473</v>
      </c>
    </row>
    <row r="425" spans="1:8">
      <c r="B425" s="41" t="s">
        <v>1382</v>
      </c>
      <c r="C425" s="42">
        <v>6</v>
      </c>
      <c r="D425" s="53" t="s">
        <v>1136</v>
      </c>
      <c r="E425" s="53" t="s">
        <v>968</v>
      </c>
      <c r="F425" s="53" t="s">
        <v>468</v>
      </c>
      <c r="G425" s="53" t="s">
        <v>1686</v>
      </c>
      <c r="H425" s="44" t="s">
        <v>3603</v>
      </c>
    </row>
    <row r="426" spans="1:8">
      <c r="B426" s="41" t="s">
        <v>3604</v>
      </c>
      <c r="C426" s="42">
        <v>3</v>
      </c>
      <c r="D426" s="53" t="s">
        <v>1126</v>
      </c>
      <c r="E426" s="53" t="s">
        <v>1652</v>
      </c>
      <c r="F426" s="53" t="s">
        <v>3598</v>
      </c>
      <c r="G426" s="53" t="s">
        <v>3606</v>
      </c>
      <c r="H426" s="44" t="s">
        <v>3608</v>
      </c>
    </row>
    <row r="427" spans="1:8">
      <c r="B427" s="41" t="s">
        <v>3605</v>
      </c>
      <c r="C427" s="42">
        <v>6</v>
      </c>
      <c r="D427" s="53" t="s">
        <v>1126</v>
      </c>
      <c r="E427" s="53" t="s">
        <v>277</v>
      </c>
      <c r="F427" s="53" t="s">
        <v>472</v>
      </c>
      <c r="G427" s="53" t="s">
        <v>3607</v>
      </c>
      <c r="H427" s="44" t="s">
        <v>3609</v>
      </c>
    </row>
    <row r="428" spans="1:8">
      <c r="A428" s="619" t="s">
        <v>1323</v>
      </c>
      <c r="B428" s="41" t="s">
        <v>16528</v>
      </c>
      <c r="C428" s="42">
        <v>8</v>
      </c>
      <c r="D428" s="53" t="s">
        <v>1136</v>
      </c>
      <c r="E428" s="53" t="s">
        <v>1277</v>
      </c>
      <c r="F428" s="53" t="s">
        <v>1128</v>
      </c>
      <c r="G428" s="53" t="s">
        <v>16529</v>
      </c>
      <c r="H428" s="86" t="s">
        <v>17322</v>
      </c>
    </row>
    <row r="429" spans="1:8">
      <c r="B429" s="41" t="s">
        <v>1369</v>
      </c>
      <c r="C429" s="42">
        <v>6</v>
      </c>
      <c r="D429" s="53" t="s">
        <v>1136</v>
      </c>
      <c r="E429" s="53" t="s">
        <v>1657</v>
      </c>
      <c r="F429" s="53" t="s">
        <v>1657</v>
      </c>
      <c r="G429" s="53" t="s">
        <v>1660</v>
      </c>
      <c r="H429" s="44" t="s">
        <v>1661</v>
      </c>
    </row>
    <row r="430" spans="1:8">
      <c r="B430" s="41" t="s">
        <v>1370</v>
      </c>
      <c r="C430" s="42">
        <v>6</v>
      </c>
      <c r="D430" s="53" t="s">
        <v>1126</v>
      </c>
      <c r="E430" s="53" t="s">
        <v>1657</v>
      </c>
      <c r="F430" s="53" t="s">
        <v>1657</v>
      </c>
      <c r="G430" s="53" t="s">
        <v>1662</v>
      </c>
      <c r="H430" s="44" t="s">
        <v>1663</v>
      </c>
    </row>
    <row r="431" spans="1:8">
      <c r="B431" s="41" t="s">
        <v>1379</v>
      </c>
      <c r="C431" s="42">
        <v>3</v>
      </c>
      <c r="D431" s="53" t="s">
        <v>1126</v>
      </c>
      <c r="E431" s="53" t="s">
        <v>1657</v>
      </c>
      <c r="F431" s="53" t="s">
        <v>1657</v>
      </c>
      <c r="G431" s="53" t="s">
        <v>1655</v>
      </c>
      <c r="H431" s="42" t="s">
        <v>1656</v>
      </c>
    </row>
    <row r="432" spans="1:8">
      <c r="B432" s="41" t="s">
        <v>1371</v>
      </c>
      <c r="C432" s="42">
        <v>6</v>
      </c>
      <c r="D432" s="53" t="s">
        <v>1126</v>
      </c>
      <c r="G432" s="53" t="s">
        <v>1664</v>
      </c>
      <c r="H432" s="44" t="s">
        <v>1665</v>
      </c>
    </row>
    <row r="433" spans="1:8">
      <c r="B433" s="41" t="s">
        <v>1368</v>
      </c>
      <c r="C433" s="42">
        <v>4</v>
      </c>
      <c r="D433" s="53" t="s">
        <v>1126</v>
      </c>
      <c r="E433" s="53" t="s">
        <v>1657</v>
      </c>
      <c r="F433" s="53" t="s">
        <v>1657</v>
      </c>
      <c r="G433" s="53" t="s">
        <v>278</v>
      </c>
      <c r="H433" s="44" t="s">
        <v>1659</v>
      </c>
    </row>
    <row r="434" spans="1:8">
      <c r="A434" s="619" t="s">
        <v>1325</v>
      </c>
      <c r="B434" s="41" t="s">
        <v>16525</v>
      </c>
      <c r="C434" s="42">
        <v>5</v>
      </c>
      <c r="D434" s="53" t="s">
        <v>1136</v>
      </c>
      <c r="E434" s="53" t="s">
        <v>277</v>
      </c>
      <c r="F434" s="53" t="s">
        <v>9080</v>
      </c>
      <c r="G434" s="53" t="s">
        <v>16526</v>
      </c>
      <c r="H434" s="86" t="s">
        <v>16527</v>
      </c>
    </row>
    <row r="435" spans="1:8">
      <c r="B435" s="41" t="s">
        <v>16522</v>
      </c>
      <c r="C435" s="42">
        <v>5</v>
      </c>
      <c r="D435" s="53" t="s">
        <v>1126</v>
      </c>
      <c r="E435" s="53" t="s">
        <v>467</v>
      </c>
      <c r="F435" s="53" t="s">
        <v>472</v>
      </c>
      <c r="G435" s="53" t="s">
        <v>16523</v>
      </c>
      <c r="H435" s="86" t="s">
        <v>16524</v>
      </c>
    </row>
    <row r="436" spans="1:8">
      <c r="B436" s="41" t="s">
        <v>9695</v>
      </c>
      <c r="C436" s="42">
        <v>4</v>
      </c>
      <c r="D436" s="53" t="s">
        <v>1277</v>
      </c>
      <c r="E436" s="53" t="s">
        <v>968</v>
      </c>
      <c r="F436" s="53" t="s">
        <v>346</v>
      </c>
      <c r="G436" s="53" t="s">
        <v>9696</v>
      </c>
      <c r="H436" s="86" t="s">
        <v>9698</v>
      </c>
    </row>
    <row r="437" spans="1:8">
      <c r="B437" s="41" t="s">
        <v>9690</v>
      </c>
      <c r="C437" s="42">
        <v>3</v>
      </c>
      <c r="D437" s="53" t="s">
        <v>1277</v>
      </c>
      <c r="E437" s="53" t="s">
        <v>968</v>
      </c>
      <c r="F437" s="53" t="s">
        <v>346</v>
      </c>
      <c r="G437" s="53" t="s">
        <v>9697</v>
      </c>
      <c r="H437" s="86" t="s">
        <v>9700</v>
      </c>
    </row>
    <row r="438" spans="1:8">
      <c r="B438" s="41" t="s">
        <v>1377</v>
      </c>
      <c r="C438" s="42">
        <v>6</v>
      </c>
      <c r="D438" s="53" t="s">
        <v>1126</v>
      </c>
      <c r="F438" s="53" t="s">
        <v>1657</v>
      </c>
      <c r="G438" s="53" t="s">
        <v>1676</v>
      </c>
      <c r="H438" s="44" t="s">
        <v>1677</v>
      </c>
    </row>
    <row r="439" spans="1:8">
      <c r="B439" s="41" t="s">
        <v>1372</v>
      </c>
      <c r="C439" s="42">
        <v>3</v>
      </c>
      <c r="D439" s="53" t="s">
        <v>1126</v>
      </c>
      <c r="G439" s="53" t="s">
        <v>1666</v>
      </c>
      <c r="H439" s="44" t="s">
        <v>1667</v>
      </c>
    </row>
    <row r="440" spans="1:8">
      <c r="B440" s="41" t="s">
        <v>1376</v>
      </c>
      <c r="C440" s="42">
        <v>5</v>
      </c>
      <c r="D440" s="53" t="s">
        <v>1149</v>
      </c>
      <c r="E440" s="53" t="s">
        <v>1657</v>
      </c>
      <c r="F440" s="53" t="s">
        <v>1657</v>
      </c>
      <c r="G440" s="53" t="s">
        <v>1674</v>
      </c>
      <c r="H440" s="44" t="s">
        <v>1675</v>
      </c>
    </row>
    <row r="441" spans="1:8">
      <c r="B441" s="41" t="s">
        <v>1373</v>
      </c>
      <c r="C441" s="42">
        <v>3</v>
      </c>
      <c r="D441" s="53" t="s">
        <v>1136</v>
      </c>
      <c r="E441" s="53" t="s">
        <v>1657</v>
      </c>
      <c r="F441" s="53" t="s">
        <v>1657</v>
      </c>
      <c r="G441" s="53" t="s">
        <v>1668</v>
      </c>
      <c r="H441" s="44" t="s">
        <v>1669</v>
      </c>
    </row>
    <row r="442" spans="1:8">
      <c r="B442" s="41" t="s">
        <v>9689</v>
      </c>
      <c r="C442" s="42">
        <v>3</v>
      </c>
      <c r="D442" s="53" t="s">
        <v>1277</v>
      </c>
      <c r="E442" s="53" t="s">
        <v>968</v>
      </c>
      <c r="F442" s="53" t="s">
        <v>346</v>
      </c>
      <c r="G442" s="53" t="s">
        <v>9694</v>
      </c>
      <c r="H442" s="86" t="s">
        <v>9699</v>
      </c>
    </row>
    <row r="443" spans="1:8">
      <c r="B443" s="41" t="s">
        <v>1374</v>
      </c>
      <c r="C443" s="42">
        <v>4</v>
      </c>
      <c r="D443" s="53" t="s">
        <v>1126</v>
      </c>
      <c r="E443" s="53" t="s">
        <v>1657</v>
      </c>
      <c r="F443" s="53" t="s">
        <v>1657</v>
      </c>
      <c r="G443" s="53" t="s">
        <v>1670</v>
      </c>
      <c r="H443" s="44" t="s">
        <v>1671</v>
      </c>
    </row>
    <row r="444" spans="1:8">
      <c r="B444" s="41" t="s">
        <v>1375</v>
      </c>
      <c r="C444" s="42">
        <v>4</v>
      </c>
      <c r="D444" s="53" t="s">
        <v>1149</v>
      </c>
      <c r="E444" s="53" t="s">
        <v>1657</v>
      </c>
      <c r="F444" s="53" t="s">
        <v>1657</v>
      </c>
      <c r="G444" s="53" t="s">
        <v>1672</v>
      </c>
      <c r="H444" s="44" t="s">
        <v>1673</v>
      </c>
    </row>
    <row r="445" spans="1:8">
      <c r="B445" s="41" t="s">
        <v>9691</v>
      </c>
      <c r="C445" s="42">
        <v>3</v>
      </c>
      <c r="D445" s="53" t="s">
        <v>484</v>
      </c>
      <c r="E445" s="53" t="s">
        <v>5281</v>
      </c>
      <c r="F445" s="53" t="s">
        <v>958</v>
      </c>
      <c r="G445" s="53" t="s">
        <v>9692</v>
      </c>
      <c r="H445" s="86" t="s">
        <v>9693</v>
      </c>
    </row>
    <row r="446" spans="1:8">
      <c r="A446" s="619" t="s">
        <v>15312</v>
      </c>
      <c r="B446" s="41" t="s">
        <v>15315</v>
      </c>
      <c r="C446" s="42">
        <v>0</v>
      </c>
      <c r="D446" s="53" t="s">
        <v>3774</v>
      </c>
      <c r="E446" s="53" t="s">
        <v>11791</v>
      </c>
      <c r="F446" s="53" t="s">
        <v>15316</v>
      </c>
      <c r="G446" s="53" t="s">
        <v>734</v>
      </c>
      <c r="H446" s="86" t="s">
        <v>15411</v>
      </c>
    </row>
    <row r="447" spans="1:8">
      <c r="B447" s="41" t="s">
        <v>15311</v>
      </c>
      <c r="C447" s="42">
        <v>0</v>
      </c>
      <c r="D447" s="53" t="s">
        <v>3774</v>
      </c>
      <c r="E447" s="53" t="s">
        <v>11791</v>
      </c>
      <c r="F447" s="53" t="s">
        <v>15316</v>
      </c>
      <c r="G447" s="53" t="s">
        <v>734</v>
      </c>
      <c r="H447" s="86" t="s">
        <v>15412</v>
      </c>
    </row>
    <row r="448" spans="1:8">
      <c r="B448" s="41" t="s">
        <v>15386</v>
      </c>
      <c r="C448" s="42">
        <v>0</v>
      </c>
      <c r="D448" s="53" t="s">
        <v>3774</v>
      </c>
      <c r="E448" s="53" t="s">
        <v>11791</v>
      </c>
      <c r="F448" s="53" t="s">
        <v>15316</v>
      </c>
      <c r="G448" s="53" t="s">
        <v>734</v>
      </c>
      <c r="H448" s="86" t="s">
        <v>15416</v>
      </c>
    </row>
    <row r="449" spans="1:8">
      <c r="B449" s="41" t="s">
        <v>15310</v>
      </c>
      <c r="C449" s="42">
        <v>0</v>
      </c>
      <c r="D449" s="53" t="s">
        <v>3774</v>
      </c>
      <c r="E449" s="53" t="s">
        <v>11791</v>
      </c>
      <c r="F449" s="53" t="s">
        <v>15316</v>
      </c>
      <c r="G449" s="53" t="s">
        <v>734</v>
      </c>
      <c r="H449" s="86" t="s">
        <v>15413</v>
      </c>
    </row>
    <row r="450" spans="1:8">
      <c r="B450" s="41" t="s">
        <v>15308</v>
      </c>
      <c r="C450" s="42">
        <v>0</v>
      </c>
      <c r="D450" s="53" t="s">
        <v>3774</v>
      </c>
      <c r="E450" s="53" t="s">
        <v>11791</v>
      </c>
      <c r="F450" s="53" t="s">
        <v>15316</v>
      </c>
      <c r="G450" s="53" t="s">
        <v>734</v>
      </c>
      <c r="H450" s="86" t="s">
        <v>15414</v>
      </c>
    </row>
    <row r="451" spans="1:8">
      <c r="B451" s="41" t="s">
        <v>15309</v>
      </c>
      <c r="C451" s="42">
        <v>0</v>
      </c>
      <c r="D451" s="53" t="s">
        <v>3774</v>
      </c>
      <c r="E451" s="53" t="s">
        <v>11791</v>
      </c>
      <c r="F451" s="53" t="s">
        <v>15316</v>
      </c>
      <c r="G451" s="53" t="s">
        <v>734</v>
      </c>
      <c r="H451" s="86" t="s">
        <v>15415</v>
      </c>
    </row>
    <row r="452" spans="1:8">
      <c r="A452" s="619" t="s">
        <v>9803</v>
      </c>
      <c r="B452" s="41" t="s">
        <v>4506</v>
      </c>
      <c r="C452" s="42">
        <v>3</v>
      </c>
      <c r="D452" s="53" t="str">
        <f>D445</f>
        <v>1 heure</v>
      </c>
      <c r="E452" s="53" t="s">
        <v>471</v>
      </c>
      <c r="F452" s="53" t="s">
        <v>958</v>
      </c>
      <c r="G452" s="53" t="s">
        <v>4507</v>
      </c>
      <c r="H452" s="86" t="s">
        <v>17323</v>
      </c>
    </row>
    <row r="453" spans="1:8">
      <c r="B453" s="41" t="s">
        <v>1370</v>
      </c>
      <c r="C453" s="42">
        <f t="shared" ref="C453:H453" si="0">C432</f>
        <v>6</v>
      </c>
      <c r="D453" s="53" t="str">
        <f t="shared" si="0"/>
        <v>1 demi-action</v>
      </c>
      <c r="E453" s="53">
        <f t="shared" si="0"/>
        <v>0</v>
      </c>
      <c r="F453" s="53">
        <f t="shared" si="0"/>
        <v>0</v>
      </c>
      <c r="G453" s="53" t="str">
        <f t="shared" si="0"/>
        <v>un peu de duvet (+1)</v>
      </c>
      <c r="H453" s="42" t="str">
        <f t="shared" si="0"/>
        <v>votre contact plonge votre adversaire dans un sommeil profond pendant 1d10 rounds à moins qu’il ne réussisse un test de Force Mentale. Les personnages endormis sont considérés comme sans défense. Sommeil est un sort de contact.</v>
      </c>
    </row>
    <row r="454" spans="1:8">
      <c r="B454" s="41" t="s">
        <v>1378</v>
      </c>
      <c r="C454" s="42">
        <v>6</v>
      </c>
      <c r="D454" s="53" t="s">
        <v>1136</v>
      </c>
      <c r="E454" s="53" t="s">
        <v>1678</v>
      </c>
      <c r="F454" s="53" t="s">
        <v>958</v>
      </c>
      <c r="G454" s="53" t="s">
        <v>1679</v>
      </c>
      <c r="H454" s="44" t="s">
        <v>1680</v>
      </c>
    </row>
    <row r="455" spans="1:8">
      <c r="B455" s="41" t="s">
        <v>1379</v>
      </c>
      <c r="C455" s="42">
        <f t="shared" ref="C455:H455" si="1">C428</f>
        <v>8</v>
      </c>
      <c r="D455" s="53" t="str">
        <f t="shared" si="1"/>
        <v>1 action complète</v>
      </c>
      <c r="E455" s="53" t="str">
        <f t="shared" si="1"/>
        <v>10 minutes</v>
      </c>
      <c r="F455" s="53" t="str">
        <f t="shared" si="1"/>
        <v>contact (vous)</v>
      </c>
      <c r="G455" s="53" t="str">
        <f t="shared" si="1"/>
        <v>un silex (+1)</v>
      </c>
      <c r="H455" s="42" t="str">
        <f t="shared" si="1"/>
        <v>Ce sort rend phosphorescent l'encre de l'écrit ciblé qui peut dès lors être lu dans l'obscurité la plus totale. La luminosité dégagée ne dépasse pas celle d'une allumette et ne consume pas le support.</v>
      </c>
    </row>
    <row r="456" spans="1:8">
      <c r="B456" s="41" t="s">
        <v>1380</v>
      </c>
      <c r="C456" s="42">
        <v>7</v>
      </c>
      <c r="D456" s="53" t="s">
        <v>1136</v>
      </c>
      <c r="E456" s="53" t="s">
        <v>484</v>
      </c>
      <c r="F456" s="53" t="s">
        <v>472</v>
      </c>
      <c r="G456" s="53" t="s">
        <v>1681</v>
      </c>
      <c r="H456" s="44" t="s">
        <v>1682</v>
      </c>
    </row>
    <row r="457" spans="1:8">
      <c r="B457" s="41" t="s">
        <v>1373</v>
      </c>
      <c r="C457" s="42">
        <f t="shared" ref="C457:H457" si="2">C441</f>
        <v>3</v>
      </c>
      <c r="D457" s="53" t="str">
        <f t="shared" si="2"/>
        <v>1 action complète</v>
      </c>
      <c r="E457" s="53" t="str">
        <f t="shared" si="2"/>
        <v xml:space="preserve"> </v>
      </c>
      <c r="F457" s="53" t="str">
        <f t="shared" si="2"/>
        <v xml:space="preserve"> </v>
      </c>
      <c r="G457" s="53" t="str">
        <f t="shared" si="2"/>
        <v>une feuille fraîchement cueillie (+1)</v>
      </c>
      <c r="H457" s="42" t="str">
        <f t="shared" si="2"/>
        <v>ce sort vous protège de la pluie et autres précipitations. Vous restez parfaitement sec, ainsi que votre équipement, même sous les plus fortes averses. Les effets du sort persistent pendant 1 heure, mais vous pouvez y mettre un terme avant cela si vous le désirez.</v>
      </c>
    </row>
    <row r="458" spans="1:8">
      <c r="B458" s="41" t="s">
        <v>1374</v>
      </c>
      <c r="C458" s="42">
        <f t="shared" ref="C458:H458" si="3">C443</f>
        <v>4</v>
      </c>
      <c r="D458" s="53" t="str">
        <f t="shared" si="3"/>
        <v>1 demi-action</v>
      </c>
      <c r="E458" s="53" t="str">
        <f t="shared" si="3"/>
        <v xml:space="preserve"> </v>
      </c>
      <c r="F458" s="53" t="str">
        <f t="shared" si="3"/>
        <v xml:space="preserve"> </v>
      </c>
      <c r="G458" s="53" t="str">
        <f t="shared" si="3"/>
        <v>une plume d’oiseau (+1)</v>
      </c>
      <c r="H458" s="42" t="str">
        <f t="shared" si="3"/>
        <v>d’un mouvement de main, vous créez un bref coup de vent dans les environs. Cette rafale suffit à éteindre les bougies et à disperser les feuilles volantes, mais pas à renverser des objets plus lourds.</v>
      </c>
    </row>
    <row r="459" spans="1:8">
      <c r="A459" s="619" t="s">
        <v>9802</v>
      </c>
      <c r="B459" s="41" t="s">
        <v>1381</v>
      </c>
      <c r="C459" s="42">
        <v>6</v>
      </c>
      <c r="D459" s="53" t="s">
        <v>1126</v>
      </c>
      <c r="E459" s="53" t="s">
        <v>1683</v>
      </c>
      <c r="F459" s="53" t="s">
        <v>1128</v>
      </c>
      <c r="G459" s="53" t="s">
        <v>1684</v>
      </c>
      <c r="H459" s="44" t="s">
        <v>1685</v>
      </c>
    </row>
    <row r="460" spans="1:8">
      <c r="B460" s="41" t="s">
        <v>1382</v>
      </c>
      <c r="C460" s="42">
        <v>6</v>
      </c>
      <c r="D460" s="53" t="s">
        <v>1136</v>
      </c>
      <c r="E460" s="53" t="s">
        <v>1678</v>
      </c>
      <c r="F460" s="53" t="s">
        <v>468</v>
      </c>
      <c r="G460" s="53" t="s">
        <v>1686</v>
      </c>
      <c r="H460" s="44" t="s">
        <v>1687</v>
      </c>
    </row>
    <row r="461" spans="1:8">
      <c r="B461" s="41" t="s">
        <v>1379</v>
      </c>
      <c r="C461" s="42">
        <f t="shared" ref="C461:H461" si="4">C428</f>
        <v>8</v>
      </c>
      <c r="D461" s="53" t="str">
        <f t="shared" si="4"/>
        <v>1 action complète</v>
      </c>
      <c r="E461" s="53" t="str">
        <f t="shared" si="4"/>
        <v>10 minutes</v>
      </c>
      <c r="F461" s="53" t="str">
        <f t="shared" si="4"/>
        <v>contact (vous)</v>
      </c>
      <c r="G461" s="53" t="str">
        <f t="shared" si="4"/>
        <v>un silex (+1)</v>
      </c>
      <c r="H461" s="42" t="str">
        <f t="shared" si="4"/>
        <v>Ce sort rend phosphorescent l'encre de l'écrit ciblé qui peut dès lors être lu dans l'obscurité la plus totale. La luminosité dégagée ne dépasse pas celle d'une allumette et ne consume pas le support.</v>
      </c>
    </row>
    <row r="462" spans="1:8">
      <c r="B462" s="41" t="s">
        <v>1367</v>
      </c>
      <c r="C462" s="42">
        <v>4</v>
      </c>
      <c r="D462" s="53" t="str">
        <f t="shared" ref="D462" si="5">D447</f>
        <v>1 action gratuite (= action d'incantation pour ce round)</v>
      </c>
      <c r="E462" s="53" t="s">
        <v>11791</v>
      </c>
      <c r="F462" s="53" t="s">
        <v>1130</v>
      </c>
      <c r="G462" s="53" t="s">
        <v>1658</v>
      </c>
      <c r="H462" s="86" t="s">
        <v>16530</v>
      </c>
    </row>
    <row r="463" spans="1:8">
      <c r="B463" s="41" t="s">
        <v>1376</v>
      </c>
      <c r="C463" s="42">
        <f t="shared" ref="C463:H463" si="6">C440</f>
        <v>5</v>
      </c>
      <c r="D463" s="53" t="str">
        <f t="shared" si="6"/>
        <v>1 action complète et 1 demi-action</v>
      </c>
      <c r="E463" s="53" t="str">
        <f t="shared" si="6"/>
        <v xml:space="preserve"> </v>
      </c>
      <c r="F463" s="53" t="str">
        <f t="shared" si="6"/>
        <v xml:space="preserve"> </v>
      </c>
      <c r="G463" s="53" t="str">
        <f t="shared" si="6"/>
        <v>une poupée représentant grossièrement la victime (+1)</v>
      </c>
      <c r="H463" s="42" t="str">
        <f t="shared" si="6"/>
        <v>vous pouvez enchanter un objet de manière à ce que son porteur soit frappé de malchance. Il vous faut toucher l’objet pour pouvoir lancer le sort (si l’objet est porté par la personne, la règle concernant les sorts de contact s’applique). Pendant les prochaines 24 heures, le porteur de l’objet maudit subit un malus égal à votre valeur de Magie pour tous ses tests. Un même personnage ne peut être affecté que par un seul sort de mauvaise fortune à la fois.</v>
      </c>
    </row>
    <row r="464" spans="1:8">
      <c r="B464" s="41" t="s">
        <v>3775</v>
      </c>
      <c r="C464" s="42">
        <v>7</v>
      </c>
      <c r="D464" s="53" t="s">
        <v>1136</v>
      </c>
      <c r="E464" s="53" t="s">
        <v>484</v>
      </c>
      <c r="F464" s="53" t="s">
        <v>346</v>
      </c>
      <c r="G464" s="53" t="s">
        <v>9164</v>
      </c>
      <c r="H464" s="86" t="s">
        <v>9152</v>
      </c>
    </row>
    <row r="465" spans="1:8">
      <c r="B465" s="41" t="s">
        <v>1375</v>
      </c>
      <c r="C465" s="42">
        <f t="shared" ref="C465:H465" si="7">C444</f>
        <v>4</v>
      </c>
      <c r="D465" s="53" t="str">
        <f t="shared" si="7"/>
        <v>1 action complète et 1 demi-action</v>
      </c>
      <c r="E465" s="53" t="str">
        <f t="shared" si="7"/>
        <v xml:space="preserve"> </v>
      </c>
      <c r="F465" s="53" t="str">
        <f t="shared" si="7"/>
        <v xml:space="preserve"> </v>
      </c>
      <c r="G465" s="53" t="str">
        <f t="shared" si="7"/>
        <v>une pincée de sable (+1)</v>
      </c>
      <c r="H465" s="42" t="str">
        <f t="shared" si="7"/>
        <v>vous ne laissez aucune trace visible derrière vous pendant 1 heure, quel que soit le type de terrain sur lequel vous évoluez. Quiconque tente un test de Pistage pour vous retrouver subit un malus de -30%.</v>
      </c>
    </row>
    <row r="466" spans="1:8">
      <c r="B466" s="41" t="s">
        <v>1368</v>
      </c>
      <c r="C466" s="42">
        <f t="shared" ref="C466:H466" si="8">C430</f>
        <v>6</v>
      </c>
      <c r="D466" s="53" t="str">
        <f t="shared" si="8"/>
        <v>1 demi-action</v>
      </c>
      <c r="E466" s="53" t="str">
        <f t="shared" si="8"/>
        <v xml:space="preserve"> </v>
      </c>
      <c r="F466" s="53" t="str">
        <f t="shared" si="8"/>
        <v xml:space="preserve"> </v>
      </c>
      <c r="G466" s="53" t="str">
        <f t="shared" si="8"/>
        <v>une fléchette (+1)</v>
      </c>
      <c r="H466" s="42" t="str">
        <f t="shared" si="8"/>
        <v>vous lancez une fléchette d’énergie magique sur un adversaire situé à 16 mètres (8 cases) ou moins. Malgré sa taille réduite, la fléchette d’énergie frappe avec une force considérable. Une fléchette magique est un projectile magique infligeant des dégâts de 3.</v>
      </c>
    </row>
    <row r="467" spans="1:8">
      <c r="A467" s="619" t="s">
        <v>11423</v>
      </c>
      <c r="B467" s="41" t="s">
        <v>5274</v>
      </c>
      <c r="C467" s="42">
        <v>14</v>
      </c>
      <c r="D467" s="53" t="s">
        <v>282</v>
      </c>
      <c r="E467" s="53" t="s">
        <v>5276</v>
      </c>
      <c r="F467" s="53" t="s">
        <v>1617</v>
      </c>
      <c r="G467" s="53" t="s">
        <v>5277</v>
      </c>
      <c r="H467" s="42" t="s">
        <v>5278</v>
      </c>
    </row>
    <row r="468" spans="1:8">
      <c r="B468" s="41" t="s">
        <v>5263</v>
      </c>
      <c r="C468" s="42">
        <v>7</v>
      </c>
      <c r="D468" s="53" t="s">
        <v>282</v>
      </c>
      <c r="E468" s="53" t="s">
        <v>1127</v>
      </c>
      <c r="F468" s="53" t="s">
        <v>472</v>
      </c>
      <c r="G468" s="53" t="s">
        <v>5298</v>
      </c>
      <c r="H468" s="86" t="s">
        <v>17324</v>
      </c>
    </row>
    <row r="469" spans="1:8">
      <c r="B469" s="41" t="s">
        <v>5266</v>
      </c>
      <c r="C469" s="42">
        <v>5</v>
      </c>
      <c r="D469" s="53" t="s">
        <v>1126</v>
      </c>
      <c r="E469" s="53" t="s">
        <v>1127</v>
      </c>
      <c r="F469" s="53" t="s">
        <v>958</v>
      </c>
      <c r="G469" s="53" t="s">
        <v>5291</v>
      </c>
      <c r="H469" s="86" t="s">
        <v>17325</v>
      </c>
    </row>
    <row r="470" spans="1:8">
      <c r="B470" s="41" t="s">
        <v>5265</v>
      </c>
      <c r="C470" s="42">
        <v>15</v>
      </c>
      <c r="D470" s="53" t="s">
        <v>1126</v>
      </c>
      <c r="E470" s="53" t="s">
        <v>1511</v>
      </c>
      <c r="F470" s="53" t="s">
        <v>1128</v>
      </c>
      <c r="G470" s="53" t="s">
        <v>5293</v>
      </c>
      <c r="H470" s="42" t="s">
        <v>5294</v>
      </c>
    </row>
    <row r="471" spans="1:8">
      <c r="B471" s="41" t="s">
        <v>5269</v>
      </c>
      <c r="C471" s="42">
        <v>16</v>
      </c>
      <c r="D471" s="53" t="s">
        <v>1772</v>
      </c>
      <c r="E471" s="53" t="s">
        <v>1948</v>
      </c>
      <c r="F471" s="53" t="s">
        <v>958</v>
      </c>
      <c r="G471" s="53" t="s">
        <v>5288</v>
      </c>
      <c r="H471" s="86" t="s">
        <v>17326</v>
      </c>
    </row>
    <row r="472" spans="1:8">
      <c r="B472" s="41" t="s">
        <v>5301</v>
      </c>
      <c r="C472" s="42">
        <v>16</v>
      </c>
      <c r="D472" s="53" t="s">
        <v>282</v>
      </c>
      <c r="E472" s="53" t="s">
        <v>5279</v>
      </c>
      <c r="F472" s="53" t="s">
        <v>958</v>
      </c>
      <c r="G472" s="53" t="s">
        <v>5280</v>
      </c>
      <c r="H472" s="86" t="s">
        <v>17327</v>
      </c>
    </row>
    <row r="473" spans="1:8">
      <c r="B473" s="41" t="s">
        <v>5271</v>
      </c>
      <c r="C473" s="42">
        <v>10</v>
      </c>
      <c r="D473" s="53" t="s">
        <v>1772</v>
      </c>
      <c r="E473" s="53" t="s">
        <v>5281</v>
      </c>
      <c r="F473" s="53" t="s">
        <v>958</v>
      </c>
      <c r="G473" s="53" t="s">
        <v>5282</v>
      </c>
      <c r="H473" s="42" t="s">
        <v>5283</v>
      </c>
    </row>
    <row r="474" spans="1:8">
      <c r="B474" s="41" t="s">
        <v>5272</v>
      </c>
      <c r="C474" s="42">
        <v>4</v>
      </c>
      <c r="D474" s="53" t="s">
        <v>5275</v>
      </c>
      <c r="E474" s="53" t="s">
        <v>277</v>
      </c>
      <c r="F474" s="53" t="s">
        <v>1128</v>
      </c>
      <c r="G474" s="53" t="s">
        <v>224</v>
      </c>
      <c r="H474" s="42" t="s">
        <v>9151</v>
      </c>
    </row>
    <row r="475" spans="1:8">
      <c r="B475" s="41" t="s">
        <v>5267</v>
      </c>
      <c r="C475" s="42">
        <v>23</v>
      </c>
      <c r="D475" s="53" t="s">
        <v>1772</v>
      </c>
      <c r="E475" s="53" t="s">
        <v>5295</v>
      </c>
      <c r="F475" s="53" t="s">
        <v>958</v>
      </c>
      <c r="G475" s="53" t="s">
        <v>5290</v>
      </c>
      <c r="H475" s="86" t="s">
        <v>17328</v>
      </c>
    </row>
    <row r="476" spans="1:8">
      <c r="B476" s="41" t="s">
        <v>5268</v>
      </c>
      <c r="C476" s="42">
        <v>24</v>
      </c>
      <c r="D476" s="53" t="s">
        <v>1772</v>
      </c>
      <c r="E476" s="53" t="s">
        <v>277</v>
      </c>
      <c r="F476" s="53" t="s">
        <v>472</v>
      </c>
      <c r="G476" s="53" t="s">
        <v>5292</v>
      </c>
      <c r="H476" s="86" t="s">
        <v>17329</v>
      </c>
    </row>
    <row r="477" spans="1:8">
      <c r="A477" s="619" t="s">
        <v>1329</v>
      </c>
      <c r="B477" s="41" t="s">
        <v>1389</v>
      </c>
      <c r="C477" s="42">
        <v>5</v>
      </c>
      <c r="D477" s="53" t="s">
        <v>1126</v>
      </c>
      <c r="G477" s="53" t="s">
        <v>1701</v>
      </c>
      <c r="H477" s="86" t="s">
        <v>11711</v>
      </c>
    </row>
    <row r="478" spans="1:8">
      <c r="B478" s="41" t="s">
        <v>1390</v>
      </c>
      <c r="C478" s="42">
        <v>5</v>
      </c>
      <c r="D478" s="53" t="s">
        <v>1126</v>
      </c>
      <c r="G478" s="53" t="s">
        <v>1702</v>
      </c>
      <c r="H478" s="44" t="s">
        <v>1704</v>
      </c>
    </row>
    <row r="479" spans="1:8">
      <c r="B479" s="41" t="s">
        <v>1391</v>
      </c>
      <c r="C479" s="42">
        <v>6</v>
      </c>
      <c r="D479" s="53" t="s">
        <v>1126</v>
      </c>
      <c r="G479" s="53" t="s">
        <v>1703</v>
      </c>
      <c r="H479" s="44" t="s">
        <v>1705</v>
      </c>
    </row>
    <row r="480" spans="1:8">
      <c r="B480" s="41" t="s">
        <v>1392</v>
      </c>
      <c r="C480" s="42">
        <v>3</v>
      </c>
      <c r="D480" s="53" t="s">
        <v>1126</v>
      </c>
      <c r="G480" s="53" t="s">
        <v>1706</v>
      </c>
      <c r="H480" s="44" t="s">
        <v>1707</v>
      </c>
    </row>
    <row r="481" spans="1:8">
      <c r="B481" s="41" t="s">
        <v>1393</v>
      </c>
      <c r="C481" s="42">
        <v>3</v>
      </c>
      <c r="D481" s="53" t="s">
        <v>1126</v>
      </c>
      <c r="G481" s="53" t="s">
        <v>1708</v>
      </c>
      <c r="H481" s="44" t="s">
        <v>1709</v>
      </c>
    </row>
    <row r="482" spans="1:8">
      <c r="B482" s="41" t="s">
        <v>1394</v>
      </c>
      <c r="C482" s="42">
        <v>4</v>
      </c>
      <c r="D482" s="53" t="s">
        <v>1126</v>
      </c>
      <c r="G482" s="53" t="s">
        <v>1710</v>
      </c>
      <c r="H482" s="44" t="s">
        <v>1711</v>
      </c>
    </row>
    <row r="483" spans="1:8">
      <c r="A483" s="619" t="s">
        <v>9701</v>
      </c>
      <c r="B483" s="41" t="s">
        <v>9687</v>
      </c>
      <c r="C483" s="42">
        <v>8</v>
      </c>
      <c r="D483" s="53" t="s">
        <v>1136</v>
      </c>
      <c r="E483" s="53" t="s">
        <v>1635</v>
      </c>
      <c r="F483" s="53" t="s">
        <v>1128</v>
      </c>
      <c r="G483" s="53" t="s">
        <v>9706</v>
      </c>
      <c r="H483" s="86" t="s">
        <v>9709</v>
      </c>
    </row>
    <row r="484" spans="1:8">
      <c r="B484" s="41" t="s">
        <v>9686</v>
      </c>
      <c r="C484" s="42">
        <v>3</v>
      </c>
      <c r="D484" s="53" t="s">
        <v>1136</v>
      </c>
      <c r="E484" s="53" t="s">
        <v>484</v>
      </c>
      <c r="F484" s="53" t="s">
        <v>468</v>
      </c>
      <c r="G484" s="53" t="s">
        <v>9707</v>
      </c>
      <c r="H484" s="86" t="s">
        <v>9710</v>
      </c>
    </row>
    <row r="485" spans="1:8">
      <c r="A485" s="619" t="s">
        <v>9702</v>
      </c>
      <c r="B485" s="41" t="s">
        <v>16534</v>
      </c>
      <c r="C485" s="42">
        <v>3</v>
      </c>
      <c r="D485" s="53" t="s">
        <v>1126</v>
      </c>
      <c r="E485" s="53" t="s">
        <v>3685</v>
      </c>
      <c r="F485" s="53" t="s">
        <v>16535</v>
      </c>
      <c r="G485" s="53" t="s">
        <v>16536</v>
      </c>
      <c r="H485" s="86" t="s">
        <v>16537</v>
      </c>
    </row>
    <row r="486" spans="1:8">
      <c r="A486" s="860"/>
      <c r="B486" s="41" t="s">
        <v>9688</v>
      </c>
      <c r="C486" s="42">
        <v>4</v>
      </c>
      <c r="D486" s="53" t="s">
        <v>1136</v>
      </c>
      <c r="E486" s="53" t="s">
        <v>3711</v>
      </c>
      <c r="F486" s="53" t="s">
        <v>468</v>
      </c>
      <c r="G486" s="53" t="s">
        <v>9708</v>
      </c>
      <c r="H486" s="86" t="s">
        <v>9711</v>
      </c>
    </row>
    <row r="487" spans="1:8">
      <c r="A487" s="612" t="s">
        <v>16113</v>
      </c>
      <c r="B487" s="41" t="s">
        <v>15972</v>
      </c>
      <c r="C487" s="42">
        <v>14</v>
      </c>
      <c r="D487" s="53" t="s">
        <v>1277</v>
      </c>
      <c r="E487" s="53" t="s">
        <v>277</v>
      </c>
      <c r="F487" s="53" t="s">
        <v>472</v>
      </c>
      <c r="G487" s="53" t="s">
        <v>15991</v>
      </c>
      <c r="H487" s="86" t="s">
        <v>16035</v>
      </c>
    </row>
    <row r="488" spans="1:8">
      <c r="A488" s="45"/>
      <c r="B488" s="41" t="s">
        <v>15982</v>
      </c>
      <c r="C488" s="42">
        <v>19</v>
      </c>
      <c r="D488" s="53" t="s">
        <v>1127</v>
      </c>
      <c r="E488" s="53" t="s">
        <v>11791</v>
      </c>
      <c r="F488" s="53" t="s">
        <v>1128</v>
      </c>
      <c r="G488" s="53" t="s">
        <v>17330</v>
      </c>
      <c r="H488" s="86" t="s">
        <v>16038</v>
      </c>
    </row>
    <row r="489" spans="1:8">
      <c r="A489" s="45"/>
      <c r="B489" s="41" t="s">
        <v>15949</v>
      </c>
      <c r="C489" s="42">
        <v>12</v>
      </c>
      <c r="D489" s="53" t="s">
        <v>15950</v>
      </c>
      <c r="E489" s="53" t="s">
        <v>15951</v>
      </c>
      <c r="F489" s="53" t="s">
        <v>472</v>
      </c>
      <c r="G489" s="53" t="s">
        <v>15952</v>
      </c>
      <c r="H489" s="86" t="s">
        <v>15953</v>
      </c>
    </row>
    <row r="490" spans="1:8">
      <c r="A490" s="45"/>
      <c r="B490" s="41" t="s">
        <v>16030</v>
      </c>
      <c r="C490" s="42">
        <v>9</v>
      </c>
      <c r="D490" s="53" t="s">
        <v>1136</v>
      </c>
      <c r="E490" s="53" t="s">
        <v>467</v>
      </c>
      <c r="F490" s="53" t="s">
        <v>1628</v>
      </c>
      <c r="G490" s="53" t="s">
        <v>16013</v>
      </c>
      <c r="H490" s="86" t="s">
        <v>16029</v>
      </c>
    </row>
    <row r="491" spans="1:8">
      <c r="A491" s="45"/>
      <c r="B491" s="41" t="s">
        <v>15973</v>
      </c>
      <c r="C491" s="42">
        <v>7</v>
      </c>
      <c r="D491" s="53" t="s">
        <v>1126</v>
      </c>
      <c r="E491" s="53" t="s">
        <v>277</v>
      </c>
      <c r="F491" s="53" t="s">
        <v>1128</v>
      </c>
      <c r="G491" s="53" t="s">
        <v>15992</v>
      </c>
      <c r="H491" s="86" t="s">
        <v>17331</v>
      </c>
    </row>
    <row r="492" spans="1:8">
      <c r="A492" s="45"/>
      <c r="B492" s="41" t="s">
        <v>15965</v>
      </c>
      <c r="C492" s="42">
        <v>7</v>
      </c>
      <c r="D492" s="53" t="s">
        <v>1126</v>
      </c>
      <c r="E492" s="53" t="s">
        <v>15966</v>
      </c>
      <c r="F492" s="53" t="s">
        <v>1128</v>
      </c>
      <c r="G492" s="53" t="s">
        <v>15967</v>
      </c>
      <c r="H492" s="86" t="s">
        <v>15968</v>
      </c>
    </row>
    <row r="493" spans="1:8">
      <c r="A493" s="45"/>
      <c r="B493" s="41" t="s">
        <v>16037</v>
      </c>
      <c r="C493" s="42">
        <v>19</v>
      </c>
      <c r="D493" s="53" t="s">
        <v>1127</v>
      </c>
      <c r="E493" s="53" t="s">
        <v>11791</v>
      </c>
      <c r="F493" s="53" t="s">
        <v>1128</v>
      </c>
      <c r="G493" s="53" t="s">
        <v>17330</v>
      </c>
      <c r="H493" s="86" t="s">
        <v>17332</v>
      </c>
    </row>
    <row r="494" spans="1:8">
      <c r="A494" s="612" t="s">
        <v>1311</v>
      </c>
      <c r="B494" s="41" t="s">
        <v>1395</v>
      </c>
      <c r="C494" s="42">
        <v>25</v>
      </c>
      <c r="D494" s="53" t="s">
        <v>282</v>
      </c>
      <c r="G494" s="53" t="s">
        <v>1774</v>
      </c>
      <c r="H494" s="86" t="s">
        <v>17333</v>
      </c>
    </row>
    <row r="495" spans="1:8">
      <c r="B495" s="41" t="s">
        <v>1396</v>
      </c>
      <c r="C495" s="42">
        <v>5</v>
      </c>
      <c r="D495" s="53" t="s">
        <v>1126</v>
      </c>
      <c r="G495" s="53" t="s">
        <v>1758</v>
      </c>
      <c r="H495" s="42" t="s">
        <v>1759</v>
      </c>
    </row>
    <row r="496" spans="1:8">
      <c r="B496" s="41" t="s">
        <v>1397</v>
      </c>
      <c r="C496" s="42">
        <v>7</v>
      </c>
      <c r="D496" s="53" t="s">
        <v>1136</v>
      </c>
      <c r="G496" s="53" t="s">
        <v>2030</v>
      </c>
      <c r="H496" s="86" t="s">
        <v>17334</v>
      </c>
    </row>
    <row r="497" spans="2:8">
      <c r="B497" s="41" t="s">
        <v>16392</v>
      </c>
      <c r="C497" s="42">
        <v>35</v>
      </c>
      <c r="D497" s="53" t="s">
        <v>282</v>
      </c>
      <c r="G497" s="53" t="s">
        <v>11724</v>
      </c>
      <c r="H497" s="86" t="s">
        <v>13296</v>
      </c>
    </row>
    <row r="498" spans="2:8">
      <c r="B498" s="41" t="s">
        <v>2032</v>
      </c>
      <c r="C498" s="42">
        <v>14</v>
      </c>
      <c r="D498" s="53" t="s">
        <v>1126</v>
      </c>
      <c r="G498" s="53" t="s">
        <v>2031</v>
      </c>
      <c r="H498" s="86" t="s">
        <v>2033</v>
      </c>
    </row>
    <row r="499" spans="2:8">
      <c r="B499" s="41" t="s">
        <v>1398</v>
      </c>
      <c r="C499" s="42">
        <v>19</v>
      </c>
      <c r="D499" s="53" t="s">
        <v>282</v>
      </c>
      <c r="G499" s="53" t="s">
        <v>17335</v>
      </c>
      <c r="H499" s="44" t="s">
        <v>1771</v>
      </c>
    </row>
    <row r="500" spans="2:8">
      <c r="B500" s="41" t="s">
        <v>1399</v>
      </c>
      <c r="C500" s="42">
        <v>17</v>
      </c>
      <c r="D500" s="53" t="s">
        <v>1136</v>
      </c>
      <c r="G500" s="53" t="s">
        <v>1769</v>
      </c>
      <c r="H500" s="44" t="s">
        <v>1770</v>
      </c>
    </row>
    <row r="501" spans="2:8">
      <c r="B501" s="41" t="s">
        <v>1400</v>
      </c>
      <c r="C501" s="42">
        <v>8</v>
      </c>
      <c r="D501" s="53" t="s">
        <v>1126</v>
      </c>
      <c r="G501" s="53" t="s">
        <v>1761</v>
      </c>
      <c r="H501" s="44" t="s">
        <v>1762</v>
      </c>
    </row>
    <row r="502" spans="2:8">
      <c r="B502" s="41" t="s">
        <v>1403</v>
      </c>
      <c r="C502" s="42">
        <v>13</v>
      </c>
      <c r="D502" s="53" t="s">
        <v>1126</v>
      </c>
      <c r="G502" s="53" t="s">
        <v>1765</v>
      </c>
      <c r="H502" s="44" t="s">
        <v>1766</v>
      </c>
    </row>
    <row r="503" spans="2:8">
      <c r="B503" s="41" t="s">
        <v>1404</v>
      </c>
      <c r="C503" s="42">
        <v>11</v>
      </c>
      <c r="D503" s="53" t="s">
        <v>1126</v>
      </c>
      <c r="G503" s="53" t="s">
        <v>1763</v>
      </c>
      <c r="H503" s="44" t="s">
        <v>1764</v>
      </c>
    </row>
    <row r="504" spans="2:8">
      <c r="B504" s="41" t="s">
        <v>1405</v>
      </c>
      <c r="C504" s="42">
        <v>15</v>
      </c>
      <c r="D504" s="53" t="s">
        <v>282</v>
      </c>
      <c r="G504" s="53" t="s">
        <v>1767</v>
      </c>
      <c r="H504" s="44" t="s">
        <v>1768</v>
      </c>
    </row>
    <row r="505" spans="2:8">
      <c r="B505" s="41" t="s">
        <v>1401</v>
      </c>
      <c r="C505" s="42">
        <v>7</v>
      </c>
      <c r="D505" s="53" t="s">
        <v>1136</v>
      </c>
      <c r="G505" s="53" t="s">
        <v>49</v>
      </c>
      <c r="H505" s="86" t="s">
        <v>1760</v>
      </c>
    </row>
    <row r="506" spans="2:8">
      <c r="B506" s="41" t="s">
        <v>1406</v>
      </c>
      <c r="C506" s="42">
        <v>16</v>
      </c>
      <c r="D506" s="53" t="s">
        <v>282</v>
      </c>
      <c r="G506" s="53" t="s">
        <v>2034</v>
      </c>
      <c r="H506" s="86" t="s">
        <v>17336</v>
      </c>
    </row>
    <row r="507" spans="2:8">
      <c r="B507" s="41" t="s">
        <v>1402</v>
      </c>
      <c r="C507" s="42">
        <v>21</v>
      </c>
      <c r="D507" s="53" t="s">
        <v>1772</v>
      </c>
      <c r="G507" s="53" t="s">
        <v>1773</v>
      </c>
      <c r="H507" s="86" t="s">
        <v>11725</v>
      </c>
    </row>
    <row r="508" spans="2:8">
      <c r="B508" s="41" t="s">
        <v>1407</v>
      </c>
      <c r="C508" s="42">
        <v>11</v>
      </c>
      <c r="D508" s="53" t="s">
        <v>1126</v>
      </c>
      <c r="G508" s="53" t="s">
        <v>2035</v>
      </c>
      <c r="H508" s="44" t="s">
        <v>2036</v>
      </c>
    </row>
    <row r="509" spans="2:8">
      <c r="B509" s="41" t="s">
        <v>1408</v>
      </c>
      <c r="C509" s="42">
        <v>18</v>
      </c>
      <c r="D509" s="53" t="s">
        <v>282</v>
      </c>
      <c r="G509" s="53" t="s">
        <v>2037</v>
      </c>
      <c r="H509" s="86" t="s">
        <v>2038</v>
      </c>
    </row>
    <row r="510" spans="2:8">
      <c r="B510" s="41" t="s">
        <v>1409</v>
      </c>
      <c r="C510" s="42">
        <v>6</v>
      </c>
      <c r="D510" s="53" t="s">
        <v>1126</v>
      </c>
      <c r="G510" s="53" t="s">
        <v>2039</v>
      </c>
      <c r="H510" s="44" t="s">
        <v>2040</v>
      </c>
    </row>
    <row r="511" spans="2:8">
      <c r="B511" s="41" t="s">
        <v>1410</v>
      </c>
      <c r="C511" s="42">
        <v>15</v>
      </c>
      <c r="D511" s="53" t="s">
        <v>1136</v>
      </c>
      <c r="G511" s="53" t="s">
        <v>2041</v>
      </c>
      <c r="H511" s="86" t="s">
        <v>17337</v>
      </c>
    </row>
    <row r="512" spans="2:8">
      <c r="B512" s="41" t="s">
        <v>1411</v>
      </c>
      <c r="C512" s="42">
        <v>9</v>
      </c>
      <c r="D512" s="53" t="s">
        <v>1136</v>
      </c>
      <c r="G512" s="53" t="s">
        <v>2042</v>
      </c>
      <c r="H512" s="44" t="s">
        <v>2043</v>
      </c>
    </row>
    <row r="513" spans="1:8">
      <c r="B513" s="41" t="s">
        <v>1412</v>
      </c>
      <c r="C513" s="42">
        <v>18</v>
      </c>
      <c r="D513" s="53" t="s">
        <v>1136</v>
      </c>
      <c r="G513" s="53" t="s">
        <v>2044</v>
      </c>
      <c r="H513" s="42" t="s">
        <v>2045</v>
      </c>
    </row>
    <row r="514" spans="1:8">
      <c r="B514" s="41" t="s">
        <v>1413</v>
      </c>
      <c r="C514" s="42">
        <v>21</v>
      </c>
      <c r="D514" s="53" t="s">
        <v>282</v>
      </c>
      <c r="G514" s="53" t="s">
        <v>2046</v>
      </c>
      <c r="H514" s="86" t="s">
        <v>9049</v>
      </c>
    </row>
    <row r="515" spans="1:8">
      <c r="A515" s="612" t="s">
        <v>1312</v>
      </c>
      <c r="B515" s="41" t="s">
        <v>1414</v>
      </c>
      <c r="C515" s="42">
        <v>18</v>
      </c>
      <c r="D515" s="53" t="s">
        <v>1136</v>
      </c>
      <c r="G515" s="53" t="s">
        <v>1787</v>
      </c>
      <c r="H515" s="86" t="s">
        <v>1788</v>
      </c>
    </row>
    <row r="516" spans="1:8">
      <c r="B516" s="41" t="s">
        <v>1415</v>
      </c>
      <c r="C516" s="42">
        <v>21</v>
      </c>
      <c r="D516" s="53" t="s">
        <v>1136</v>
      </c>
      <c r="G516" s="53" t="s">
        <v>2047</v>
      </c>
      <c r="H516" s="86" t="s">
        <v>17338</v>
      </c>
    </row>
    <row r="517" spans="1:8">
      <c r="B517" s="41" t="s">
        <v>11729</v>
      </c>
      <c r="C517" s="42">
        <v>35</v>
      </c>
      <c r="D517" s="53" t="s">
        <v>282</v>
      </c>
      <c r="G517" s="53" t="s">
        <v>11730</v>
      </c>
      <c r="H517" s="86" t="s">
        <v>11731</v>
      </c>
    </row>
    <row r="518" spans="1:8">
      <c r="B518" s="41" t="s">
        <v>1416</v>
      </c>
      <c r="C518" s="42">
        <v>31</v>
      </c>
      <c r="D518" s="53" t="s">
        <v>484</v>
      </c>
      <c r="G518" s="53" t="s">
        <v>1793</v>
      </c>
      <c r="H518" s="44" t="s">
        <v>1794</v>
      </c>
    </row>
    <row r="519" spans="1:8">
      <c r="B519" s="41" t="s">
        <v>1417</v>
      </c>
      <c r="C519" s="42">
        <v>10</v>
      </c>
      <c r="D519" s="53" t="s">
        <v>1126</v>
      </c>
      <c r="G519" s="53" t="s">
        <v>1779</v>
      </c>
      <c r="H519" s="44" t="s">
        <v>1780</v>
      </c>
    </row>
    <row r="520" spans="1:8">
      <c r="B520" s="41" t="s">
        <v>1418</v>
      </c>
      <c r="C520" s="42">
        <v>12</v>
      </c>
      <c r="D520" s="53" t="s">
        <v>1136</v>
      </c>
      <c r="G520" s="53" t="s">
        <v>2048</v>
      </c>
      <c r="H520" s="86" t="s">
        <v>16400</v>
      </c>
    </row>
    <row r="521" spans="1:8">
      <c r="B521" s="41" t="s">
        <v>1419</v>
      </c>
      <c r="C521" s="42">
        <v>18</v>
      </c>
      <c r="D521" s="53" t="s">
        <v>282</v>
      </c>
      <c r="G521" s="53" t="s">
        <v>2049</v>
      </c>
      <c r="H521" s="86" t="s">
        <v>17339</v>
      </c>
    </row>
    <row r="522" spans="1:8">
      <c r="B522" s="41" t="s">
        <v>1420</v>
      </c>
      <c r="C522" s="42">
        <v>10</v>
      </c>
      <c r="D522" s="53" t="s">
        <v>1136</v>
      </c>
      <c r="G522" s="53" t="s">
        <v>2050</v>
      </c>
      <c r="H522" s="44" t="s">
        <v>2051</v>
      </c>
    </row>
    <row r="523" spans="1:8">
      <c r="B523" s="41" t="s">
        <v>1421</v>
      </c>
      <c r="C523" s="42">
        <v>8</v>
      </c>
      <c r="D523" s="53" t="s">
        <v>1126</v>
      </c>
      <c r="G523" s="53" t="s">
        <v>2052</v>
      </c>
      <c r="H523" s="44" t="s">
        <v>2053</v>
      </c>
    </row>
    <row r="524" spans="1:8">
      <c r="B524" s="41" t="s">
        <v>1422</v>
      </c>
      <c r="C524" s="42">
        <v>22</v>
      </c>
      <c r="D524" s="53" t="s">
        <v>1149</v>
      </c>
      <c r="G524" s="53" t="s">
        <v>1789</v>
      </c>
      <c r="H524" s="44" t="s">
        <v>1790</v>
      </c>
    </row>
    <row r="525" spans="1:8">
      <c r="B525" s="41" t="s">
        <v>15575</v>
      </c>
      <c r="C525" s="42">
        <v>16</v>
      </c>
      <c r="D525" s="53" t="s">
        <v>1126</v>
      </c>
      <c r="G525" s="53" t="s">
        <v>1785</v>
      </c>
      <c r="H525" s="44" t="s">
        <v>1786</v>
      </c>
    </row>
    <row r="526" spans="1:8">
      <c r="B526" s="41" t="s">
        <v>1424</v>
      </c>
      <c r="C526" s="42">
        <v>24</v>
      </c>
      <c r="D526" s="53" t="s">
        <v>282</v>
      </c>
      <c r="G526" s="53" t="s">
        <v>2054</v>
      </c>
      <c r="H526" s="86" t="s">
        <v>9048</v>
      </c>
    </row>
    <row r="527" spans="1:8">
      <c r="B527" s="41" t="s">
        <v>1425</v>
      </c>
      <c r="C527" s="42">
        <v>4</v>
      </c>
      <c r="D527" s="53" t="s">
        <v>1126</v>
      </c>
      <c r="G527" s="53" t="s">
        <v>2055</v>
      </c>
      <c r="H527" s="86" t="s">
        <v>17340</v>
      </c>
    </row>
    <row r="528" spans="1:8">
      <c r="B528" s="41" t="s">
        <v>1426</v>
      </c>
      <c r="C528" s="42">
        <v>6</v>
      </c>
      <c r="D528" s="53" t="s">
        <v>1126</v>
      </c>
      <c r="G528" s="53" t="s">
        <v>1777</v>
      </c>
      <c r="H528" s="44" t="s">
        <v>1778</v>
      </c>
    </row>
    <row r="529" spans="1:8">
      <c r="B529" s="41" t="s">
        <v>1427</v>
      </c>
      <c r="C529" s="42">
        <v>16</v>
      </c>
      <c r="D529" s="53" t="s">
        <v>1126</v>
      </c>
      <c r="G529" s="53" t="s">
        <v>2056</v>
      </c>
      <c r="H529" s="44" t="s">
        <v>2057</v>
      </c>
    </row>
    <row r="530" spans="1:8">
      <c r="B530" s="41" t="s">
        <v>1428</v>
      </c>
      <c r="C530" s="42">
        <v>4</v>
      </c>
      <c r="D530" s="53" t="s">
        <v>476</v>
      </c>
      <c r="G530" s="53" t="s">
        <v>1775</v>
      </c>
      <c r="H530" s="44" t="s">
        <v>1776</v>
      </c>
    </row>
    <row r="531" spans="1:8">
      <c r="B531" s="41" t="s">
        <v>1429</v>
      </c>
      <c r="C531" s="42">
        <v>13</v>
      </c>
      <c r="D531" s="53" t="s">
        <v>1136</v>
      </c>
      <c r="G531" s="53" t="s">
        <v>2056</v>
      </c>
      <c r="H531" s="44" t="s">
        <v>2058</v>
      </c>
    </row>
    <row r="532" spans="1:8">
      <c r="B532" s="41" t="s">
        <v>1430</v>
      </c>
      <c r="C532" s="42">
        <v>12</v>
      </c>
      <c r="D532" s="53" t="s">
        <v>1136</v>
      </c>
      <c r="G532" s="53" t="s">
        <v>1781</v>
      </c>
      <c r="H532" s="44" t="s">
        <v>1782</v>
      </c>
    </row>
    <row r="533" spans="1:8">
      <c r="B533" s="41" t="s">
        <v>1431</v>
      </c>
      <c r="C533" s="42">
        <v>25</v>
      </c>
      <c r="D533" s="53" t="s">
        <v>1136</v>
      </c>
      <c r="G533" s="53" t="s">
        <v>1791</v>
      </c>
      <c r="H533" s="44" t="s">
        <v>1792</v>
      </c>
    </row>
    <row r="534" spans="1:8">
      <c r="B534" s="41" t="s">
        <v>1432</v>
      </c>
      <c r="C534" s="42">
        <v>14</v>
      </c>
      <c r="D534" s="53" t="s">
        <v>1126</v>
      </c>
      <c r="G534" s="53" t="s">
        <v>1783</v>
      </c>
      <c r="H534" s="44" t="s">
        <v>1784</v>
      </c>
    </row>
    <row r="535" spans="1:8">
      <c r="B535" s="41" t="s">
        <v>1433</v>
      </c>
      <c r="C535" s="42">
        <v>14</v>
      </c>
      <c r="D535" s="53" t="s">
        <v>282</v>
      </c>
      <c r="G535" s="53" t="s">
        <v>2059</v>
      </c>
      <c r="H535" s="44" t="s">
        <v>2060</v>
      </c>
    </row>
    <row r="536" spans="1:8">
      <c r="A536" s="612" t="s">
        <v>1313</v>
      </c>
      <c r="B536" s="41" t="s">
        <v>639</v>
      </c>
      <c r="C536" s="42">
        <v>12</v>
      </c>
      <c r="D536" s="53" t="s">
        <v>1136</v>
      </c>
      <c r="G536" s="53" t="s">
        <v>1800</v>
      </c>
      <c r="H536" s="44" t="s">
        <v>1801</v>
      </c>
    </row>
    <row r="537" spans="1:8">
      <c r="B537" s="41" t="s">
        <v>640</v>
      </c>
      <c r="C537" s="42">
        <v>12</v>
      </c>
      <c r="D537" s="53" t="s">
        <v>1126</v>
      </c>
      <c r="G537" s="53" t="s">
        <v>1802</v>
      </c>
      <c r="H537" s="44" t="s">
        <v>1803</v>
      </c>
    </row>
    <row r="538" spans="1:8">
      <c r="B538" s="41" t="s">
        <v>11737</v>
      </c>
      <c r="C538" s="42">
        <v>35</v>
      </c>
      <c r="D538" s="53" t="s">
        <v>282</v>
      </c>
      <c r="G538" s="53" t="s">
        <v>17341</v>
      </c>
      <c r="H538" s="86" t="s">
        <v>17342</v>
      </c>
    </row>
    <row r="539" spans="1:8">
      <c r="B539" s="41" t="s">
        <v>641</v>
      </c>
      <c r="C539" s="42">
        <v>4</v>
      </c>
      <c r="D539" s="53" t="s">
        <v>1126</v>
      </c>
      <c r="G539" s="53" t="s">
        <v>1620</v>
      </c>
      <c r="H539" s="44" t="s">
        <v>1795</v>
      </c>
    </row>
    <row r="540" spans="1:8">
      <c r="B540" s="41" t="s">
        <v>642</v>
      </c>
      <c r="C540" s="42">
        <v>16</v>
      </c>
      <c r="D540" s="53" t="s">
        <v>1806</v>
      </c>
      <c r="G540" s="53" t="s">
        <v>1807</v>
      </c>
      <c r="H540" s="86" t="s">
        <v>17343</v>
      </c>
    </row>
    <row r="541" spans="1:8">
      <c r="B541" s="41" t="s">
        <v>643</v>
      </c>
      <c r="C541" s="42">
        <v>6</v>
      </c>
      <c r="D541" s="53" t="s">
        <v>1126</v>
      </c>
      <c r="G541" s="53" t="s">
        <v>2061</v>
      </c>
      <c r="H541" s="42" t="s">
        <v>2062</v>
      </c>
    </row>
    <row r="542" spans="1:8">
      <c r="B542" s="41" t="s">
        <v>644</v>
      </c>
      <c r="C542" s="42">
        <v>31</v>
      </c>
      <c r="D542" s="53" t="s">
        <v>1149</v>
      </c>
      <c r="G542" s="53" t="s">
        <v>1811</v>
      </c>
      <c r="H542" s="86" t="s">
        <v>1812</v>
      </c>
    </row>
    <row r="543" spans="1:8">
      <c r="B543" s="41" t="s">
        <v>645</v>
      </c>
      <c r="C543" s="42">
        <v>8</v>
      </c>
      <c r="D543" s="53" t="s">
        <v>1136</v>
      </c>
      <c r="G543" s="53" t="s">
        <v>1798</v>
      </c>
      <c r="H543" s="44" t="s">
        <v>1799</v>
      </c>
    </row>
    <row r="544" spans="1:8">
      <c r="B544" s="41" t="s">
        <v>646</v>
      </c>
      <c r="C544" s="42">
        <v>4</v>
      </c>
      <c r="D544" s="53" t="s">
        <v>1126</v>
      </c>
      <c r="G544" s="53" t="s">
        <v>2063</v>
      </c>
      <c r="H544" s="42" t="s">
        <v>2064</v>
      </c>
    </row>
    <row r="545" spans="1:8">
      <c r="B545" s="41" t="s">
        <v>647</v>
      </c>
      <c r="C545" s="42">
        <v>24</v>
      </c>
      <c r="D545" s="53" t="s">
        <v>282</v>
      </c>
      <c r="G545" s="53" t="s">
        <v>2065</v>
      </c>
      <c r="H545" s="42" t="s">
        <v>2066</v>
      </c>
    </row>
    <row r="546" spans="1:8">
      <c r="B546" s="41" t="s">
        <v>648</v>
      </c>
      <c r="C546" s="42">
        <v>16</v>
      </c>
      <c r="D546" s="53" t="s">
        <v>1136</v>
      </c>
      <c r="G546" s="53" t="s">
        <v>2067</v>
      </c>
      <c r="H546" s="86" t="s">
        <v>17344</v>
      </c>
    </row>
    <row r="547" spans="1:8">
      <c r="B547" s="41" t="s">
        <v>649</v>
      </c>
      <c r="C547" s="42">
        <v>14</v>
      </c>
      <c r="D547" s="53" t="s">
        <v>1126</v>
      </c>
      <c r="G547" s="53" t="s">
        <v>1804</v>
      </c>
      <c r="H547" s="44" t="s">
        <v>1805</v>
      </c>
    </row>
    <row r="548" spans="1:8">
      <c r="B548" s="41" t="s">
        <v>650</v>
      </c>
      <c r="C548" s="42">
        <v>22</v>
      </c>
      <c r="D548" s="53" t="s">
        <v>1136</v>
      </c>
      <c r="G548" s="53" t="s">
        <v>1808</v>
      </c>
      <c r="H548" s="44" t="s">
        <v>1809</v>
      </c>
    </row>
    <row r="549" spans="1:8">
      <c r="B549" s="41" t="s">
        <v>651</v>
      </c>
      <c r="C549" s="42">
        <v>11</v>
      </c>
      <c r="D549" s="53" t="s">
        <v>1126</v>
      </c>
      <c r="G549" s="53" t="s">
        <v>1282</v>
      </c>
      <c r="H549" s="86" t="s">
        <v>17345</v>
      </c>
    </row>
    <row r="550" spans="1:8">
      <c r="B550" s="41" t="s">
        <v>652</v>
      </c>
      <c r="C550" s="42">
        <v>6</v>
      </c>
      <c r="D550" s="53" t="s">
        <v>1126</v>
      </c>
      <c r="G550" s="53" t="s">
        <v>1796</v>
      </c>
      <c r="H550" s="44" t="s">
        <v>1797</v>
      </c>
    </row>
    <row r="551" spans="1:8">
      <c r="B551" s="41" t="s">
        <v>653</v>
      </c>
      <c r="C551" s="42">
        <v>9</v>
      </c>
      <c r="D551" s="53" t="s">
        <v>1136</v>
      </c>
      <c r="G551" s="53" t="s">
        <v>2068</v>
      </c>
      <c r="H551" s="44" t="s">
        <v>2069</v>
      </c>
    </row>
    <row r="552" spans="1:8">
      <c r="B552" s="41" t="s">
        <v>654</v>
      </c>
      <c r="C552" s="42">
        <v>14</v>
      </c>
      <c r="D552" s="53" t="s">
        <v>1136</v>
      </c>
      <c r="G552" s="53" t="s">
        <v>2070</v>
      </c>
      <c r="H552" s="44" t="s">
        <v>2071</v>
      </c>
    </row>
    <row r="553" spans="1:8">
      <c r="B553" s="41" t="s">
        <v>655</v>
      </c>
      <c r="C553" s="42">
        <v>18</v>
      </c>
      <c r="D553" s="53" t="s">
        <v>1136</v>
      </c>
      <c r="G553" s="53" t="s">
        <v>2072</v>
      </c>
      <c r="H553" s="44" t="s">
        <v>11792</v>
      </c>
    </row>
    <row r="554" spans="1:8">
      <c r="B554" s="41" t="s">
        <v>656</v>
      </c>
      <c r="C554" s="42">
        <v>21</v>
      </c>
      <c r="D554" s="53" t="s">
        <v>1136</v>
      </c>
      <c r="G554" s="53" t="s">
        <v>2073</v>
      </c>
      <c r="H554" s="44" t="s">
        <v>2074</v>
      </c>
    </row>
    <row r="555" spans="1:8">
      <c r="B555" s="41" t="s">
        <v>657</v>
      </c>
      <c r="C555" s="42">
        <v>25</v>
      </c>
      <c r="D555" s="53" t="s">
        <v>1136</v>
      </c>
      <c r="G555" s="53" t="s">
        <v>1810</v>
      </c>
      <c r="H555" s="86" t="s">
        <v>14642</v>
      </c>
    </row>
    <row r="556" spans="1:8">
      <c r="B556" s="41" t="s">
        <v>658</v>
      </c>
      <c r="C556" s="42">
        <v>26</v>
      </c>
      <c r="D556" s="53" t="s">
        <v>476</v>
      </c>
      <c r="G556" s="53" t="s">
        <v>2075</v>
      </c>
      <c r="H556" s="42" t="s">
        <v>2076</v>
      </c>
    </row>
    <row r="557" spans="1:8">
      <c r="A557" s="612" t="s">
        <v>1314</v>
      </c>
      <c r="B557" s="41" t="s">
        <v>659</v>
      </c>
      <c r="C557" s="42">
        <v>9</v>
      </c>
      <c r="D557" s="53" t="s">
        <v>1126</v>
      </c>
      <c r="G557" s="53" t="s">
        <v>2077</v>
      </c>
      <c r="H557" s="44" t="s">
        <v>2078</v>
      </c>
    </row>
    <row r="558" spans="1:8">
      <c r="B558" s="41" t="s">
        <v>660</v>
      </c>
      <c r="C558" s="42">
        <v>13</v>
      </c>
      <c r="D558" s="53" t="s">
        <v>1136</v>
      </c>
      <c r="G558" s="53" t="s">
        <v>1821</v>
      </c>
      <c r="H558" s="86" t="s">
        <v>1822</v>
      </c>
    </row>
    <row r="559" spans="1:8">
      <c r="B559" s="41" t="s">
        <v>661</v>
      </c>
      <c r="C559" s="42">
        <v>27</v>
      </c>
      <c r="D559" s="53" t="s">
        <v>282</v>
      </c>
      <c r="G559" s="53" t="s">
        <v>2079</v>
      </c>
      <c r="H559" s="86" t="s">
        <v>17346</v>
      </c>
    </row>
    <row r="560" spans="1:8">
      <c r="B560" s="41" t="s">
        <v>662</v>
      </c>
      <c r="C560" s="42">
        <v>7</v>
      </c>
      <c r="D560" s="53" t="s">
        <v>1126</v>
      </c>
      <c r="G560" s="53" t="s">
        <v>2080</v>
      </c>
      <c r="H560" s="44" t="s">
        <v>2081</v>
      </c>
    </row>
    <row r="561" spans="2:8">
      <c r="B561" s="41" t="s">
        <v>663</v>
      </c>
      <c r="C561" s="42">
        <v>28</v>
      </c>
      <c r="D561" s="53" t="s">
        <v>1136</v>
      </c>
      <c r="G561" s="53" t="s">
        <v>17347</v>
      </c>
      <c r="H561" s="44" t="s">
        <v>1831</v>
      </c>
    </row>
    <row r="562" spans="2:8">
      <c r="B562" s="41" t="s">
        <v>17348</v>
      </c>
      <c r="C562" s="42">
        <v>35</v>
      </c>
      <c r="D562" s="53" t="s">
        <v>282</v>
      </c>
      <c r="G562" s="53" t="s">
        <v>2112</v>
      </c>
      <c r="H562" s="86" t="s">
        <v>17349</v>
      </c>
    </row>
    <row r="563" spans="2:8">
      <c r="B563" s="41" t="s">
        <v>664</v>
      </c>
      <c r="C563" s="42">
        <v>11</v>
      </c>
      <c r="D563" s="53" t="s">
        <v>1136</v>
      </c>
      <c r="G563" s="53" t="s">
        <v>2082</v>
      </c>
      <c r="H563" s="86" t="s">
        <v>17350</v>
      </c>
    </row>
    <row r="564" spans="2:8">
      <c r="B564" s="41" t="s">
        <v>9533</v>
      </c>
      <c r="C564" s="42">
        <v>26</v>
      </c>
      <c r="D564" s="53" t="s">
        <v>1149</v>
      </c>
      <c r="G564" s="53" t="s">
        <v>1829</v>
      </c>
      <c r="H564" s="44" t="s">
        <v>1830</v>
      </c>
    </row>
    <row r="565" spans="2:8">
      <c r="B565" s="41" t="s">
        <v>666</v>
      </c>
      <c r="C565" s="42">
        <v>16</v>
      </c>
      <c r="D565" s="53" t="s">
        <v>1136</v>
      </c>
      <c r="G565" s="53" t="s">
        <v>1523</v>
      </c>
      <c r="H565" s="44" t="s">
        <v>2083</v>
      </c>
    </row>
    <row r="566" spans="2:8">
      <c r="B566" s="41" t="s">
        <v>667</v>
      </c>
      <c r="C566" s="42">
        <v>16</v>
      </c>
      <c r="D566" s="53" t="s">
        <v>476</v>
      </c>
      <c r="G566" s="53" t="s">
        <v>1823</v>
      </c>
      <c r="H566" s="86" t="s">
        <v>1824</v>
      </c>
    </row>
    <row r="567" spans="2:8">
      <c r="B567" s="41" t="s">
        <v>9110</v>
      </c>
      <c r="C567" s="42">
        <v>5</v>
      </c>
      <c r="D567" s="53" t="s">
        <v>1126</v>
      </c>
      <c r="G567" s="53" t="s">
        <v>1813</v>
      </c>
      <c r="H567" s="42" t="s">
        <v>1814</v>
      </c>
    </row>
    <row r="568" spans="2:8">
      <c r="B568" s="41" t="s">
        <v>668</v>
      </c>
      <c r="C568" s="42">
        <v>5</v>
      </c>
      <c r="D568" s="53" t="s">
        <v>1126</v>
      </c>
      <c r="G568" s="53" t="s">
        <v>2084</v>
      </c>
      <c r="H568" s="86" t="s">
        <v>17351</v>
      </c>
    </row>
    <row r="569" spans="2:8">
      <c r="B569" s="41" t="s">
        <v>669</v>
      </c>
      <c r="C569" s="42">
        <v>24</v>
      </c>
      <c r="D569" s="53" t="s">
        <v>1136</v>
      </c>
      <c r="G569" s="53" t="s">
        <v>1827</v>
      </c>
      <c r="H569" s="44" t="s">
        <v>1828</v>
      </c>
    </row>
    <row r="570" spans="2:8">
      <c r="B570" s="41" t="s">
        <v>670</v>
      </c>
      <c r="C570" s="42">
        <v>12</v>
      </c>
      <c r="D570" s="53" t="s">
        <v>282</v>
      </c>
      <c r="G570" s="53" t="s">
        <v>2085</v>
      </c>
      <c r="H570" s="44" t="s">
        <v>2086</v>
      </c>
    </row>
    <row r="571" spans="2:8">
      <c r="B571" s="41" t="s">
        <v>671</v>
      </c>
      <c r="C571" s="42">
        <v>8</v>
      </c>
      <c r="D571" s="53" t="s">
        <v>1126</v>
      </c>
      <c r="G571" s="53" t="s">
        <v>1817</v>
      </c>
      <c r="H571" s="44" t="s">
        <v>1818</v>
      </c>
    </row>
    <row r="572" spans="2:8" ht="13.8">
      <c r="B572" s="41" t="s">
        <v>672</v>
      </c>
      <c r="C572" s="42">
        <v>18</v>
      </c>
      <c r="D572" s="53" t="s">
        <v>1149</v>
      </c>
      <c r="G572" s="53" t="s">
        <v>2087</v>
      </c>
      <c r="H572" s="44" t="s">
        <v>2088</v>
      </c>
    </row>
    <row r="573" spans="2:8">
      <c r="B573" s="41" t="s">
        <v>673</v>
      </c>
      <c r="C573" s="42">
        <v>21</v>
      </c>
      <c r="D573" s="53" t="s">
        <v>282</v>
      </c>
      <c r="G573" s="53" t="s">
        <v>2089</v>
      </c>
      <c r="H573" s="86" t="s">
        <v>17352</v>
      </c>
    </row>
    <row r="574" spans="2:8">
      <c r="B574" s="41" t="s">
        <v>674</v>
      </c>
      <c r="C574" s="42">
        <v>7</v>
      </c>
      <c r="D574" s="53" t="s">
        <v>1136</v>
      </c>
      <c r="G574" s="53" t="s">
        <v>1815</v>
      </c>
      <c r="H574" s="42" t="s">
        <v>1816</v>
      </c>
    </row>
    <row r="575" spans="2:8">
      <c r="B575" s="41" t="s">
        <v>675</v>
      </c>
      <c r="C575" s="42">
        <v>14</v>
      </c>
      <c r="D575" s="53" t="s">
        <v>1136</v>
      </c>
      <c r="G575" s="53" t="s">
        <v>2090</v>
      </c>
      <c r="H575" s="44" t="s">
        <v>2091</v>
      </c>
    </row>
    <row r="576" spans="2:8">
      <c r="B576" s="41" t="s">
        <v>676</v>
      </c>
      <c r="C576" s="42">
        <v>10</v>
      </c>
      <c r="D576" s="53" t="s">
        <v>1136</v>
      </c>
      <c r="G576" s="53" t="s">
        <v>1819</v>
      </c>
      <c r="H576" s="44" t="s">
        <v>1820</v>
      </c>
    </row>
    <row r="577" spans="1:8">
      <c r="B577" s="41" t="s">
        <v>677</v>
      </c>
      <c r="C577" s="42">
        <v>20</v>
      </c>
      <c r="D577" s="53" t="s">
        <v>1136</v>
      </c>
      <c r="G577" s="53" t="s">
        <v>1825</v>
      </c>
      <c r="H577" s="44" t="s">
        <v>1826</v>
      </c>
    </row>
    <row r="578" spans="1:8">
      <c r="A578" s="612" t="s">
        <v>1315</v>
      </c>
      <c r="B578" s="41" t="s">
        <v>687</v>
      </c>
      <c r="C578" s="42">
        <v>14</v>
      </c>
      <c r="D578" s="53" t="s">
        <v>1136</v>
      </c>
      <c r="G578" s="53" t="s">
        <v>1841</v>
      </c>
      <c r="H578" s="44" t="s">
        <v>1842</v>
      </c>
    </row>
    <row r="579" spans="1:8">
      <c r="B579" s="41" t="s">
        <v>688</v>
      </c>
      <c r="C579" s="42">
        <v>14</v>
      </c>
      <c r="D579" s="53" t="s">
        <v>1136</v>
      </c>
      <c r="G579" s="53" t="s">
        <v>2092</v>
      </c>
      <c r="H579" s="44" t="s">
        <v>2093</v>
      </c>
    </row>
    <row r="580" spans="1:8" ht="66">
      <c r="B580" s="41" t="s">
        <v>689</v>
      </c>
      <c r="C580" s="42">
        <v>22</v>
      </c>
      <c r="D580" s="53" t="s">
        <v>476</v>
      </c>
      <c r="G580" s="53" t="s">
        <v>2094</v>
      </c>
      <c r="H580" s="144" t="s">
        <v>17353</v>
      </c>
    </row>
    <row r="581" spans="1:8">
      <c r="B581" s="41" t="s">
        <v>690</v>
      </c>
      <c r="C581" s="42">
        <v>21</v>
      </c>
      <c r="D581" s="53" t="s">
        <v>476</v>
      </c>
      <c r="G581" s="53" t="s">
        <v>1847</v>
      </c>
      <c r="H581" s="44" t="s">
        <v>1848</v>
      </c>
    </row>
    <row r="582" spans="1:8">
      <c r="B582" s="41" t="s">
        <v>691</v>
      </c>
      <c r="C582" s="42">
        <v>18</v>
      </c>
      <c r="D582" s="53" t="s">
        <v>476</v>
      </c>
      <c r="G582" s="53" t="s">
        <v>1845</v>
      </c>
      <c r="H582" s="44" t="s">
        <v>1846</v>
      </c>
    </row>
    <row r="583" spans="1:8">
      <c r="B583" s="41" t="s">
        <v>692</v>
      </c>
      <c r="C583" s="42">
        <v>13</v>
      </c>
      <c r="D583" s="53" t="s">
        <v>1126</v>
      </c>
      <c r="G583" s="53" t="s">
        <v>1839</v>
      </c>
      <c r="H583" s="44" t="s">
        <v>1840</v>
      </c>
    </row>
    <row r="584" spans="1:8">
      <c r="B584" s="41" t="s">
        <v>693</v>
      </c>
      <c r="C584" s="42">
        <v>5</v>
      </c>
      <c r="D584" s="53" t="s">
        <v>1126</v>
      </c>
      <c r="G584" s="53" t="s">
        <v>1832</v>
      </c>
      <c r="H584" s="42" t="s">
        <v>1833</v>
      </c>
    </row>
    <row r="585" spans="1:8">
      <c r="B585" s="41" t="s">
        <v>694</v>
      </c>
      <c r="C585" s="42">
        <v>7</v>
      </c>
      <c r="D585" s="53" t="s">
        <v>1136</v>
      </c>
      <c r="G585" s="53" t="s">
        <v>2095</v>
      </c>
      <c r="H585" s="44" t="s">
        <v>2096</v>
      </c>
    </row>
    <row r="586" spans="1:8">
      <c r="B586" s="41" t="s">
        <v>695</v>
      </c>
      <c r="C586" s="42">
        <v>26</v>
      </c>
      <c r="D586" s="53" t="s">
        <v>1136</v>
      </c>
      <c r="G586" s="53" t="s">
        <v>17354</v>
      </c>
      <c r="H586" s="44" t="s">
        <v>1850</v>
      </c>
    </row>
    <row r="587" spans="1:8">
      <c r="B587" s="41" t="s">
        <v>696</v>
      </c>
      <c r="C587" s="42">
        <v>8</v>
      </c>
      <c r="D587" s="53" t="s">
        <v>1136</v>
      </c>
      <c r="G587" s="53" t="s">
        <v>2097</v>
      </c>
      <c r="H587" s="44" t="s">
        <v>2098</v>
      </c>
    </row>
    <row r="588" spans="1:8">
      <c r="B588" s="41" t="s">
        <v>697</v>
      </c>
      <c r="C588" s="42">
        <v>7</v>
      </c>
      <c r="D588" s="53" t="s">
        <v>1834</v>
      </c>
      <c r="G588" s="53" t="s">
        <v>1835</v>
      </c>
      <c r="H588" s="44" t="s">
        <v>1836</v>
      </c>
    </row>
    <row r="589" spans="1:8">
      <c r="B589" s="41" t="s">
        <v>698</v>
      </c>
      <c r="C589" s="42">
        <v>15</v>
      </c>
      <c r="D589" s="53" t="s">
        <v>1136</v>
      </c>
      <c r="G589" s="53" t="s">
        <v>2099</v>
      </c>
      <c r="H589" s="44" t="s">
        <v>2100</v>
      </c>
    </row>
    <row r="590" spans="1:8">
      <c r="B590" s="41" t="s">
        <v>699</v>
      </c>
      <c r="C590" s="42">
        <v>9</v>
      </c>
      <c r="D590" s="53" t="s">
        <v>1126</v>
      </c>
      <c r="G590" s="53" t="s">
        <v>1837</v>
      </c>
      <c r="H590" s="44" t="s">
        <v>1838</v>
      </c>
    </row>
    <row r="591" spans="1:8">
      <c r="B591" s="41" t="s">
        <v>700</v>
      </c>
      <c r="C591" s="42">
        <v>11</v>
      </c>
      <c r="D591" s="53" t="s">
        <v>282</v>
      </c>
      <c r="G591" s="53" t="s">
        <v>2101</v>
      </c>
      <c r="H591" s="44" t="s">
        <v>2102</v>
      </c>
    </row>
    <row r="592" spans="1:8">
      <c r="B592" s="41" t="s">
        <v>701</v>
      </c>
      <c r="C592" s="42">
        <v>17</v>
      </c>
      <c r="D592" s="53" t="s">
        <v>1136</v>
      </c>
      <c r="G592" s="53" t="s">
        <v>2103</v>
      </c>
      <c r="H592" s="44" t="s">
        <v>2104</v>
      </c>
    </row>
    <row r="593" spans="1:8">
      <c r="B593" s="41" t="s">
        <v>702</v>
      </c>
      <c r="C593" s="42">
        <v>12</v>
      </c>
      <c r="D593" s="53" t="s">
        <v>1136</v>
      </c>
      <c r="G593" s="53" t="s">
        <v>2105</v>
      </c>
      <c r="H593" s="44" t="s">
        <v>2106</v>
      </c>
    </row>
    <row r="594" spans="1:8">
      <c r="B594" s="41" t="s">
        <v>703</v>
      </c>
      <c r="C594" s="42">
        <v>14</v>
      </c>
      <c r="D594" s="53" t="s">
        <v>1136</v>
      </c>
      <c r="G594" s="53" t="s">
        <v>2107</v>
      </c>
      <c r="H594" s="86" t="s">
        <v>17355</v>
      </c>
    </row>
    <row r="595" spans="1:8">
      <c r="B595" s="41" t="s">
        <v>704</v>
      </c>
      <c r="C595" s="42">
        <v>4</v>
      </c>
      <c r="D595" s="53" t="s">
        <v>1126</v>
      </c>
      <c r="G595" s="53" t="s">
        <v>2108</v>
      </c>
      <c r="H595" s="44" t="s">
        <v>2109</v>
      </c>
    </row>
    <row r="596" spans="1:8">
      <c r="B596" s="41" t="s">
        <v>705</v>
      </c>
      <c r="C596" s="42">
        <v>23</v>
      </c>
      <c r="D596" s="53" t="s">
        <v>1277</v>
      </c>
      <c r="G596" s="53" t="s">
        <v>1849</v>
      </c>
      <c r="H596" s="86" t="s">
        <v>17356</v>
      </c>
    </row>
    <row r="597" spans="1:8">
      <c r="B597" s="41" t="s">
        <v>11726</v>
      </c>
      <c r="C597" s="42">
        <v>35</v>
      </c>
      <c r="D597" s="53" t="s">
        <v>282</v>
      </c>
      <c r="G597" s="53" t="s">
        <v>11727</v>
      </c>
      <c r="H597" s="86" t="s">
        <v>17357</v>
      </c>
    </row>
    <row r="598" spans="1:8">
      <c r="B598" s="41" t="s">
        <v>706</v>
      </c>
      <c r="C598" s="42">
        <v>16</v>
      </c>
      <c r="D598" s="53" t="s">
        <v>1136</v>
      </c>
      <c r="G598" s="53" t="s">
        <v>1843</v>
      </c>
      <c r="H598" s="44" t="s">
        <v>1844</v>
      </c>
    </row>
    <row r="599" spans="1:8">
      <c r="A599" s="612" t="s">
        <v>1316</v>
      </c>
      <c r="B599" s="41" t="s">
        <v>707</v>
      </c>
      <c r="C599" s="42">
        <v>16</v>
      </c>
      <c r="D599" s="53" t="s">
        <v>1126</v>
      </c>
      <c r="G599" s="53" t="s">
        <v>1860</v>
      </c>
      <c r="H599" s="44" t="s">
        <v>1861</v>
      </c>
    </row>
    <row r="600" spans="1:8">
      <c r="B600" s="41" t="s">
        <v>1170</v>
      </c>
      <c r="C600" s="42">
        <v>29</v>
      </c>
      <c r="D600" s="53" t="s">
        <v>282</v>
      </c>
      <c r="G600" s="53" t="s">
        <v>2110</v>
      </c>
      <c r="H600" s="46" t="s">
        <v>17358</v>
      </c>
    </row>
    <row r="601" spans="1:8">
      <c r="B601" s="41" t="s">
        <v>1171</v>
      </c>
      <c r="C601" s="42">
        <v>18</v>
      </c>
      <c r="D601" s="53" t="s">
        <v>1136</v>
      </c>
      <c r="G601" s="53" t="s">
        <v>1862</v>
      </c>
      <c r="H601" s="44" t="s">
        <v>1863</v>
      </c>
    </row>
    <row r="602" spans="1:8">
      <c r="B602" s="41" t="s">
        <v>1172</v>
      </c>
      <c r="C602" s="42">
        <v>7</v>
      </c>
      <c r="D602" s="53" t="s">
        <v>1126</v>
      </c>
      <c r="G602" s="53" t="s">
        <v>1852</v>
      </c>
      <c r="H602" s="44" t="s">
        <v>1853</v>
      </c>
    </row>
    <row r="603" spans="1:8">
      <c r="B603" s="41" t="s">
        <v>1173</v>
      </c>
      <c r="C603" s="42">
        <v>16</v>
      </c>
      <c r="D603" s="53" t="s">
        <v>1136</v>
      </c>
      <c r="G603" s="53" t="s">
        <v>11695</v>
      </c>
      <c r="H603" s="86" t="s">
        <v>17359</v>
      </c>
    </row>
    <row r="604" spans="1:8">
      <c r="B604" s="41" t="s">
        <v>1174</v>
      </c>
      <c r="C604" s="42">
        <v>14</v>
      </c>
      <c r="D604" s="53" t="s">
        <v>1149</v>
      </c>
      <c r="G604" s="53" t="s">
        <v>1858</v>
      </c>
      <c r="H604" s="44" t="s">
        <v>1859</v>
      </c>
    </row>
    <row r="605" spans="1:8">
      <c r="B605" s="41" t="s">
        <v>1175</v>
      </c>
      <c r="C605" s="42">
        <v>8</v>
      </c>
      <c r="D605" s="53" t="s">
        <v>1126</v>
      </c>
      <c r="G605" s="53" t="s">
        <v>1854</v>
      </c>
      <c r="H605" s="44" t="s">
        <v>1855</v>
      </c>
    </row>
    <row r="606" spans="1:8">
      <c r="B606" s="41" t="s">
        <v>1176</v>
      </c>
      <c r="C606" s="42">
        <v>31</v>
      </c>
      <c r="D606" s="53" t="s">
        <v>1136</v>
      </c>
      <c r="G606" s="53" t="s">
        <v>2111</v>
      </c>
      <c r="H606" s="86" t="s">
        <v>17360</v>
      </c>
    </row>
    <row r="607" spans="1:8">
      <c r="B607" s="41" t="s">
        <v>1177</v>
      </c>
      <c r="C607" s="42">
        <v>5</v>
      </c>
      <c r="D607" s="53" t="s">
        <v>1136</v>
      </c>
      <c r="G607" s="53" t="s">
        <v>2112</v>
      </c>
      <c r="H607" s="86" t="s">
        <v>17361</v>
      </c>
    </row>
    <row r="608" spans="1:8" ht="13.8">
      <c r="B608" s="41" t="s">
        <v>1178</v>
      </c>
      <c r="C608" s="42">
        <v>14</v>
      </c>
      <c r="D608" s="53" t="s">
        <v>1136</v>
      </c>
      <c r="G608" s="53" t="s">
        <v>2113</v>
      </c>
      <c r="H608" s="86" t="s">
        <v>17362</v>
      </c>
    </row>
    <row r="609" spans="1:8">
      <c r="B609" s="41" t="s">
        <v>1179</v>
      </c>
      <c r="C609" s="42">
        <v>10</v>
      </c>
      <c r="D609" s="53" t="s">
        <v>476</v>
      </c>
      <c r="G609" s="53" t="s">
        <v>2114</v>
      </c>
      <c r="H609" s="44" t="s">
        <v>2115</v>
      </c>
    </row>
    <row r="610" spans="1:8">
      <c r="B610" s="41" t="s">
        <v>1180</v>
      </c>
      <c r="C610" s="42">
        <v>11</v>
      </c>
      <c r="D610" s="53" t="s">
        <v>1136</v>
      </c>
      <c r="G610" s="53" t="s">
        <v>2116</v>
      </c>
      <c r="H610" s="86" t="s">
        <v>17363</v>
      </c>
    </row>
    <row r="611" spans="1:8">
      <c r="B611" s="41" t="s">
        <v>1181</v>
      </c>
      <c r="C611" s="42">
        <v>6</v>
      </c>
      <c r="D611" s="53" t="s">
        <v>1126</v>
      </c>
      <c r="G611" s="53" t="s">
        <v>2117</v>
      </c>
      <c r="H611" s="44" t="s">
        <v>2118</v>
      </c>
    </row>
    <row r="612" spans="1:8">
      <c r="B612" s="41" t="s">
        <v>1182</v>
      </c>
      <c r="C612" s="42">
        <v>23</v>
      </c>
      <c r="D612" s="53" t="s">
        <v>1136</v>
      </c>
      <c r="G612" s="53" t="s">
        <v>1866</v>
      </c>
      <c r="H612" s="86" t="s">
        <v>17364</v>
      </c>
    </row>
    <row r="613" spans="1:8">
      <c r="B613" s="41" t="s">
        <v>1183</v>
      </c>
      <c r="C613" s="42">
        <v>12</v>
      </c>
      <c r="D613" s="53" t="s">
        <v>1136</v>
      </c>
      <c r="G613" s="53" t="s">
        <v>2119</v>
      </c>
      <c r="H613" s="44" t="s">
        <v>2120</v>
      </c>
    </row>
    <row r="614" spans="1:8">
      <c r="B614" s="41" t="s">
        <v>1184</v>
      </c>
      <c r="C614" s="42">
        <v>18</v>
      </c>
      <c r="D614" s="53" t="s">
        <v>1136</v>
      </c>
      <c r="G614" s="53" t="s">
        <v>2121</v>
      </c>
      <c r="H614" s="86" t="s">
        <v>17365</v>
      </c>
    </row>
    <row r="615" spans="1:8">
      <c r="B615" s="41" t="s">
        <v>16391</v>
      </c>
      <c r="C615" s="42">
        <v>35</v>
      </c>
      <c r="D615" s="53" t="s">
        <v>282</v>
      </c>
      <c r="G615" s="53" t="s">
        <v>9951</v>
      </c>
      <c r="H615" s="86" t="s">
        <v>17366</v>
      </c>
    </row>
    <row r="616" spans="1:8">
      <c r="B616" s="41" t="s">
        <v>1185</v>
      </c>
      <c r="C616" s="42">
        <v>20</v>
      </c>
      <c r="D616" s="53" t="s">
        <v>1136</v>
      </c>
      <c r="G616" s="53" t="s">
        <v>1864</v>
      </c>
      <c r="H616" s="44" t="s">
        <v>1865</v>
      </c>
    </row>
    <row r="617" spans="1:8">
      <c r="B617" s="41" t="s">
        <v>1186</v>
      </c>
      <c r="C617" s="42">
        <v>11</v>
      </c>
      <c r="D617" s="53" t="s">
        <v>1126</v>
      </c>
      <c r="G617" s="53" t="s">
        <v>1856</v>
      </c>
      <c r="H617" s="44" t="s">
        <v>1857</v>
      </c>
    </row>
    <row r="618" spans="1:8">
      <c r="B618" s="41" t="s">
        <v>1187</v>
      </c>
      <c r="C618" s="42">
        <v>27</v>
      </c>
      <c r="D618" s="53" t="s">
        <v>1136</v>
      </c>
      <c r="G618" s="53" t="s">
        <v>17367</v>
      </c>
      <c r="H618" s="44" t="s">
        <v>1867</v>
      </c>
    </row>
    <row r="619" spans="1:8">
      <c r="B619" s="41" t="s">
        <v>5207</v>
      </c>
      <c r="C619" s="42">
        <v>5</v>
      </c>
      <c r="D619" s="53" t="s">
        <v>1136</v>
      </c>
      <c r="G619" s="53" t="s">
        <v>1851</v>
      </c>
      <c r="H619" s="86" t="s">
        <v>17368</v>
      </c>
    </row>
    <row r="620" spans="1:8">
      <c r="A620" s="612" t="s">
        <v>1317</v>
      </c>
      <c r="B620" s="41" t="s">
        <v>1189</v>
      </c>
      <c r="C620" s="42">
        <v>12</v>
      </c>
      <c r="D620" s="53" t="s">
        <v>1126</v>
      </c>
      <c r="G620" s="53" t="s">
        <v>1873</v>
      </c>
      <c r="H620" s="44" t="s">
        <v>1874</v>
      </c>
    </row>
    <row r="621" spans="1:8">
      <c r="B621" s="41" t="s">
        <v>1190</v>
      </c>
      <c r="C621" s="42">
        <v>7</v>
      </c>
      <c r="D621" s="53" t="s">
        <v>1149</v>
      </c>
      <c r="G621" s="53" t="s">
        <v>1869</v>
      </c>
      <c r="H621" s="86" t="s">
        <v>1870</v>
      </c>
    </row>
    <row r="622" spans="1:8">
      <c r="B622" s="41" t="s">
        <v>1191</v>
      </c>
      <c r="C622" s="42">
        <v>7</v>
      </c>
      <c r="D622" s="53" t="s">
        <v>1126</v>
      </c>
      <c r="G622" s="53" t="s">
        <v>2122</v>
      </c>
      <c r="H622" s="42" t="s">
        <v>2123</v>
      </c>
    </row>
    <row r="623" spans="1:8">
      <c r="B623" s="41" t="s">
        <v>1192</v>
      </c>
      <c r="C623" s="42">
        <v>27</v>
      </c>
      <c r="D623" s="53" t="s">
        <v>1126</v>
      </c>
      <c r="G623" s="53" t="s">
        <v>1903</v>
      </c>
      <c r="H623" s="44" t="s">
        <v>1904</v>
      </c>
    </row>
    <row r="624" spans="1:8">
      <c r="B624" s="41" t="s">
        <v>1193</v>
      </c>
      <c r="C624" s="42">
        <v>8</v>
      </c>
      <c r="D624" s="53" t="s">
        <v>1126</v>
      </c>
      <c r="G624" s="53" t="s">
        <v>1871</v>
      </c>
      <c r="H624" s="44" t="s">
        <v>1872</v>
      </c>
    </row>
    <row r="625" spans="2:8">
      <c r="B625" s="41" t="s">
        <v>1194</v>
      </c>
      <c r="C625" s="42">
        <v>11</v>
      </c>
      <c r="D625" s="53" t="s">
        <v>1136</v>
      </c>
      <c r="G625" s="53" t="s">
        <v>2124</v>
      </c>
      <c r="H625" s="44" t="s">
        <v>2125</v>
      </c>
    </row>
    <row r="626" spans="2:8">
      <c r="B626" s="41" t="s">
        <v>1195</v>
      </c>
      <c r="C626" s="42">
        <v>24</v>
      </c>
      <c r="D626" s="53" t="s">
        <v>1149</v>
      </c>
      <c r="G626" s="53" t="s">
        <v>1883</v>
      </c>
      <c r="H626" s="86" t="s">
        <v>9101</v>
      </c>
    </row>
    <row r="627" spans="2:8">
      <c r="B627" s="41" t="s">
        <v>1196</v>
      </c>
      <c r="C627" s="42">
        <v>9</v>
      </c>
      <c r="D627" s="53" t="s">
        <v>1126</v>
      </c>
      <c r="G627" s="53" t="s">
        <v>2126</v>
      </c>
      <c r="H627" s="42" t="s">
        <v>2127</v>
      </c>
    </row>
    <row r="628" spans="2:8">
      <c r="B628" s="41" t="s">
        <v>1197</v>
      </c>
      <c r="C628" s="42">
        <v>15</v>
      </c>
      <c r="D628" s="53" t="s">
        <v>1126</v>
      </c>
      <c r="G628" s="53" t="s">
        <v>1875</v>
      </c>
      <c r="H628" s="44" t="s">
        <v>1876</v>
      </c>
    </row>
    <row r="629" spans="2:8">
      <c r="B629" s="41" t="s">
        <v>1198</v>
      </c>
      <c r="C629" s="42">
        <v>5</v>
      </c>
      <c r="D629" s="53" t="s">
        <v>1126</v>
      </c>
      <c r="G629" s="53" t="s">
        <v>1620</v>
      </c>
      <c r="H629" s="42" t="s">
        <v>1868</v>
      </c>
    </row>
    <row r="630" spans="2:8">
      <c r="B630" s="41" t="s">
        <v>1199</v>
      </c>
      <c r="C630" s="42">
        <v>15</v>
      </c>
      <c r="D630" s="53" t="s">
        <v>1136</v>
      </c>
      <c r="G630" s="53" t="s">
        <v>2128</v>
      </c>
      <c r="H630" s="42" t="s">
        <v>2129</v>
      </c>
    </row>
    <row r="631" spans="2:8">
      <c r="B631" s="41" t="s">
        <v>1200</v>
      </c>
      <c r="C631" s="42">
        <v>14</v>
      </c>
      <c r="D631" s="53" t="s">
        <v>1136</v>
      </c>
      <c r="G631" s="53" t="s">
        <v>9157</v>
      </c>
      <c r="H631" s="86" t="s">
        <v>17369</v>
      </c>
    </row>
    <row r="632" spans="2:8">
      <c r="B632" s="41" t="s">
        <v>1201</v>
      </c>
      <c r="C632" s="42">
        <v>18</v>
      </c>
      <c r="D632" s="53" t="s">
        <v>1136</v>
      </c>
      <c r="G632" s="53" t="s">
        <v>2130</v>
      </c>
      <c r="H632" s="86" t="s">
        <v>17370</v>
      </c>
    </row>
    <row r="633" spans="2:8">
      <c r="B633" s="41" t="s">
        <v>1202</v>
      </c>
      <c r="C633" s="42">
        <v>22</v>
      </c>
      <c r="D633" s="53" t="s">
        <v>1126</v>
      </c>
      <c r="G633" s="53" t="s">
        <v>1881</v>
      </c>
      <c r="H633" s="44" t="s">
        <v>1882</v>
      </c>
    </row>
    <row r="634" spans="2:8">
      <c r="B634" s="41" t="s">
        <v>11732</v>
      </c>
      <c r="C634" s="42">
        <v>35</v>
      </c>
      <c r="D634" s="53" t="s">
        <v>282</v>
      </c>
      <c r="G634" s="53" t="s">
        <v>11733</v>
      </c>
      <c r="H634" s="86" t="s">
        <v>17371</v>
      </c>
    </row>
    <row r="635" spans="2:8">
      <c r="B635" s="41" t="s">
        <v>1203</v>
      </c>
      <c r="C635" s="42">
        <v>13</v>
      </c>
      <c r="D635" s="53" t="s">
        <v>1136</v>
      </c>
      <c r="G635" s="53" t="s">
        <v>2134</v>
      </c>
      <c r="H635" s="86" t="s">
        <v>17372</v>
      </c>
    </row>
    <row r="636" spans="2:8">
      <c r="B636" s="41" t="s">
        <v>1204</v>
      </c>
      <c r="C636" s="42">
        <v>22</v>
      </c>
      <c r="D636" s="53" t="s">
        <v>1136</v>
      </c>
      <c r="G636" s="53" t="s">
        <v>2135</v>
      </c>
      <c r="H636" s="86" t="s">
        <v>17373</v>
      </c>
    </row>
    <row r="637" spans="2:8">
      <c r="B637" s="41" t="s">
        <v>1205</v>
      </c>
      <c r="C637" s="42">
        <v>8</v>
      </c>
      <c r="D637" s="53" t="s">
        <v>1126</v>
      </c>
      <c r="G637" s="53" t="s">
        <v>2131</v>
      </c>
      <c r="H637" s="42" t="s">
        <v>2132</v>
      </c>
    </row>
    <row r="638" spans="2:8">
      <c r="B638" s="41" t="s">
        <v>1206</v>
      </c>
      <c r="C638" s="42">
        <v>21</v>
      </c>
      <c r="D638" s="53" t="s">
        <v>1126</v>
      </c>
      <c r="G638" s="53" t="s">
        <v>1879</v>
      </c>
      <c r="H638" s="44" t="s">
        <v>1880</v>
      </c>
    </row>
    <row r="639" spans="2:8">
      <c r="B639" s="41" t="s">
        <v>1207</v>
      </c>
      <c r="C639" s="42">
        <v>6</v>
      </c>
      <c r="D639" s="53" t="s">
        <v>1126</v>
      </c>
      <c r="G639" s="53" t="s">
        <v>2137</v>
      </c>
      <c r="H639" s="86" t="s">
        <v>17374</v>
      </c>
    </row>
    <row r="640" spans="2:8">
      <c r="B640" s="41" t="s">
        <v>1208</v>
      </c>
      <c r="C640" s="42">
        <v>17</v>
      </c>
      <c r="D640" s="53" t="s">
        <v>1136</v>
      </c>
      <c r="G640" s="53" t="s">
        <v>1877</v>
      </c>
      <c r="H640" s="44" t="s">
        <v>1878</v>
      </c>
    </row>
    <row r="641" spans="1:8">
      <c r="A641" s="612" t="s">
        <v>1318</v>
      </c>
      <c r="B641" s="41" t="s">
        <v>1209</v>
      </c>
      <c r="C641" s="42">
        <v>8</v>
      </c>
      <c r="D641" s="53" t="s">
        <v>476</v>
      </c>
      <c r="G641" s="53" t="s">
        <v>1886</v>
      </c>
      <c r="H641" s="86" t="s">
        <v>1887</v>
      </c>
    </row>
    <row r="642" spans="1:8">
      <c r="B642" s="41" t="s">
        <v>1210</v>
      </c>
      <c r="C642" s="42">
        <v>8</v>
      </c>
      <c r="D642" s="53" t="s">
        <v>1126</v>
      </c>
      <c r="G642" s="53" t="s">
        <v>2138</v>
      </c>
      <c r="H642" s="86" t="s">
        <v>17375</v>
      </c>
    </row>
    <row r="643" spans="1:8">
      <c r="B643" s="41" t="s">
        <v>1211</v>
      </c>
      <c r="C643" s="42">
        <v>18</v>
      </c>
      <c r="D643" s="53" t="s">
        <v>484</v>
      </c>
      <c r="G643" s="53" t="s">
        <v>2140</v>
      </c>
      <c r="H643" s="86" t="s">
        <v>9050</v>
      </c>
    </row>
    <row r="644" spans="1:8">
      <c r="B644" s="41" t="s">
        <v>1212</v>
      </c>
      <c r="C644" s="42">
        <v>12</v>
      </c>
      <c r="D644" s="53" t="s">
        <v>1126</v>
      </c>
      <c r="G644" s="53" t="s">
        <v>1891</v>
      </c>
      <c r="H644" s="44" t="s">
        <v>1892</v>
      </c>
    </row>
    <row r="645" spans="1:8">
      <c r="B645" s="41" t="s">
        <v>1213</v>
      </c>
      <c r="C645" s="42">
        <v>24</v>
      </c>
      <c r="D645" s="53" t="s">
        <v>1136</v>
      </c>
      <c r="G645" s="53" t="s">
        <v>2141</v>
      </c>
      <c r="H645" s="86" t="s">
        <v>17376</v>
      </c>
    </row>
    <row r="646" spans="1:8">
      <c r="B646" s="41" t="s">
        <v>1214</v>
      </c>
      <c r="C646" s="42">
        <v>12</v>
      </c>
      <c r="D646" s="53" t="s">
        <v>1136</v>
      </c>
      <c r="G646" s="53" t="s">
        <v>2142</v>
      </c>
      <c r="H646" s="86" t="s">
        <v>17377</v>
      </c>
    </row>
    <row r="647" spans="1:8">
      <c r="B647" s="41" t="s">
        <v>1215</v>
      </c>
      <c r="C647" s="42">
        <v>15</v>
      </c>
      <c r="D647" s="53" t="s">
        <v>2143</v>
      </c>
      <c r="G647" s="53" t="s">
        <v>2144</v>
      </c>
      <c r="H647" s="44" t="s">
        <v>2145</v>
      </c>
    </row>
    <row r="648" spans="1:8">
      <c r="B648" s="41" t="s">
        <v>1216</v>
      </c>
      <c r="C648" s="42">
        <v>18</v>
      </c>
      <c r="D648" s="53" t="s">
        <v>1277</v>
      </c>
      <c r="G648" s="53" t="s">
        <v>1897</v>
      </c>
      <c r="H648" s="44" t="s">
        <v>1898</v>
      </c>
    </row>
    <row r="649" spans="1:8">
      <c r="B649" s="41" t="s">
        <v>1217</v>
      </c>
      <c r="C649" s="42">
        <v>4</v>
      </c>
      <c r="D649" s="53" t="s">
        <v>1126</v>
      </c>
      <c r="G649" s="53" t="s">
        <v>2146</v>
      </c>
      <c r="H649" s="86" t="s">
        <v>17378</v>
      </c>
    </row>
    <row r="650" spans="1:8">
      <c r="B650" s="41" t="s">
        <v>1218</v>
      </c>
      <c r="C650" s="42">
        <v>9</v>
      </c>
      <c r="D650" s="53" t="s">
        <v>1888</v>
      </c>
      <c r="G650" s="53" t="s">
        <v>1889</v>
      </c>
      <c r="H650" s="44" t="s">
        <v>1890</v>
      </c>
    </row>
    <row r="651" spans="1:8">
      <c r="B651" s="41" t="s">
        <v>1219</v>
      </c>
      <c r="C651" s="42">
        <v>22</v>
      </c>
      <c r="D651" s="53" t="s">
        <v>1136</v>
      </c>
      <c r="G651" s="53" t="s">
        <v>1899</v>
      </c>
      <c r="H651" s="44" t="s">
        <v>1900</v>
      </c>
    </row>
    <row r="652" spans="1:8">
      <c r="B652" s="41" t="s">
        <v>1220</v>
      </c>
      <c r="C652" s="42">
        <v>25</v>
      </c>
      <c r="D652" s="53" t="s">
        <v>1136</v>
      </c>
      <c r="G652" s="53" t="s">
        <v>1901</v>
      </c>
      <c r="H652" s="44" t="s">
        <v>1902</v>
      </c>
    </row>
    <row r="653" spans="1:8">
      <c r="B653" s="41" t="s">
        <v>16393</v>
      </c>
      <c r="C653" s="42">
        <v>35</v>
      </c>
      <c r="D653" s="53" t="s">
        <v>282</v>
      </c>
      <c r="G653" s="53" t="s">
        <v>11728</v>
      </c>
      <c r="H653" s="86" t="s">
        <v>17379</v>
      </c>
    </row>
    <row r="654" spans="1:8">
      <c r="B654" s="41" t="s">
        <v>1221</v>
      </c>
      <c r="C654" s="42">
        <v>6</v>
      </c>
      <c r="D654" s="53" t="s">
        <v>1126</v>
      </c>
      <c r="G654" s="53" t="s">
        <v>1884</v>
      </c>
      <c r="H654" s="42" t="s">
        <v>1885</v>
      </c>
    </row>
    <row r="655" spans="1:8">
      <c r="B655" s="41" t="s">
        <v>1222</v>
      </c>
      <c r="C655" s="42">
        <v>15</v>
      </c>
      <c r="D655" s="53" t="s">
        <v>476</v>
      </c>
      <c r="G655" s="53" t="s">
        <v>1895</v>
      </c>
      <c r="H655" s="44" t="s">
        <v>1896</v>
      </c>
    </row>
    <row r="656" spans="1:8">
      <c r="B656" s="41" t="s">
        <v>1223</v>
      </c>
      <c r="C656" s="42">
        <v>14</v>
      </c>
      <c r="D656" s="53" t="s">
        <v>1136</v>
      </c>
      <c r="G656" s="53" t="s">
        <v>1893</v>
      </c>
      <c r="H656" s="44" t="s">
        <v>1894</v>
      </c>
    </row>
    <row r="657" spans="1:8">
      <c r="B657" s="41" t="s">
        <v>1224</v>
      </c>
      <c r="C657" s="42">
        <v>14</v>
      </c>
      <c r="D657" s="53" t="s">
        <v>1136</v>
      </c>
      <c r="G657" s="53" t="s">
        <v>2147</v>
      </c>
      <c r="H657" s="44" t="s">
        <v>2148</v>
      </c>
    </row>
    <row r="658" spans="1:8">
      <c r="B658" s="41" t="s">
        <v>1225</v>
      </c>
      <c r="C658" s="42">
        <v>11</v>
      </c>
      <c r="D658" s="53" t="s">
        <v>1136</v>
      </c>
      <c r="G658" s="53" t="s">
        <v>17380</v>
      </c>
      <c r="H658" s="86" t="s">
        <v>17381</v>
      </c>
    </row>
    <row r="659" spans="1:8">
      <c r="B659" s="41" t="s">
        <v>1226</v>
      </c>
      <c r="C659" s="42">
        <v>7</v>
      </c>
      <c r="D659" s="53" t="s">
        <v>1136</v>
      </c>
      <c r="G659" s="53" t="s">
        <v>2149</v>
      </c>
      <c r="H659" s="42" t="s">
        <v>2150</v>
      </c>
    </row>
    <row r="660" spans="1:8">
      <c r="B660" s="41" t="s">
        <v>1227</v>
      </c>
      <c r="C660" s="42">
        <v>27</v>
      </c>
      <c r="D660" s="53" t="s">
        <v>1277</v>
      </c>
      <c r="G660" s="53" t="s">
        <v>1905</v>
      </c>
      <c r="H660" s="44" t="s">
        <v>2151</v>
      </c>
    </row>
    <row r="661" spans="1:8">
      <c r="B661" s="41" t="s">
        <v>1228</v>
      </c>
      <c r="C661" s="42">
        <v>16</v>
      </c>
      <c r="D661" s="53" t="s">
        <v>1136</v>
      </c>
      <c r="G661" s="53" t="s">
        <v>9125</v>
      </c>
      <c r="H661" s="42" t="s">
        <v>2152</v>
      </c>
    </row>
    <row r="662" spans="1:8" ht="66">
      <c r="A662" s="612" t="s">
        <v>9120</v>
      </c>
      <c r="B662" s="41" t="s">
        <v>9122</v>
      </c>
      <c r="C662" s="42">
        <v>8</v>
      </c>
      <c r="D662" s="53" t="s">
        <v>1126</v>
      </c>
      <c r="E662" s="53" t="s">
        <v>476</v>
      </c>
      <c r="F662" s="53" t="s">
        <v>1130</v>
      </c>
      <c r="G662" s="53" t="s">
        <v>9124</v>
      </c>
      <c r="H662" s="144" t="s">
        <v>17382</v>
      </c>
    </row>
    <row r="663" spans="1:8">
      <c r="B663" s="41" t="s">
        <v>9121</v>
      </c>
      <c r="C663" s="42">
        <v>6</v>
      </c>
      <c r="D663" s="53" t="s">
        <v>1126</v>
      </c>
      <c r="E663" s="53" t="s">
        <v>476</v>
      </c>
      <c r="F663" s="53" t="s">
        <v>472</v>
      </c>
      <c r="G663" s="53" t="s">
        <v>9126</v>
      </c>
      <c r="H663" s="86" t="s">
        <v>9128</v>
      </c>
    </row>
    <row r="664" spans="1:8">
      <c r="B664" s="41" t="s">
        <v>9123</v>
      </c>
      <c r="C664" s="42">
        <v>10</v>
      </c>
      <c r="D664" s="53" t="s">
        <v>476</v>
      </c>
      <c r="E664" s="53" t="s">
        <v>476</v>
      </c>
      <c r="G664" s="53" t="s">
        <v>9127</v>
      </c>
      <c r="H664" s="86" t="s">
        <v>9129</v>
      </c>
    </row>
    <row r="665" spans="1:8">
      <c r="A665" s="612" t="s">
        <v>7205</v>
      </c>
      <c r="B665" s="41" t="s">
        <v>11734</v>
      </c>
      <c r="C665" s="42">
        <v>35</v>
      </c>
      <c r="D665" s="53" t="s">
        <v>282</v>
      </c>
      <c r="E665" s="53" t="s">
        <v>11791</v>
      </c>
      <c r="F665" s="53" t="s">
        <v>1130</v>
      </c>
      <c r="G665" s="53" t="s">
        <v>3707</v>
      </c>
      <c r="H665" s="86" t="s">
        <v>17383</v>
      </c>
    </row>
    <row r="666" spans="1:8">
      <c r="A666" s="617"/>
      <c r="B666" s="41" t="s">
        <v>7151</v>
      </c>
      <c r="C666" s="42">
        <v>11</v>
      </c>
      <c r="D666" s="53" t="s">
        <v>476</v>
      </c>
      <c r="E666" s="53" t="s">
        <v>11791</v>
      </c>
      <c r="F666" s="53" t="s">
        <v>1128</v>
      </c>
      <c r="G666" s="53" t="s">
        <v>7152</v>
      </c>
      <c r="H666" s="86" t="s">
        <v>17384</v>
      </c>
    </row>
    <row r="667" spans="1:8">
      <c r="B667" s="41" t="s">
        <v>7153</v>
      </c>
      <c r="C667" s="42">
        <v>21</v>
      </c>
      <c r="D667" s="53" t="s">
        <v>476</v>
      </c>
      <c r="E667" s="53" t="s">
        <v>471</v>
      </c>
      <c r="F667" s="53" t="s">
        <v>629</v>
      </c>
      <c r="G667" s="53" t="s">
        <v>3707</v>
      </c>
      <c r="H667" s="86" t="s">
        <v>17385</v>
      </c>
    </row>
    <row r="668" spans="1:8">
      <c r="B668" s="41" t="s">
        <v>7154</v>
      </c>
      <c r="C668" s="42">
        <v>13</v>
      </c>
      <c r="D668" s="53" t="s">
        <v>1126</v>
      </c>
      <c r="E668" s="53" t="s">
        <v>471</v>
      </c>
      <c r="F668" s="53" t="s">
        <v>629</v>
      </c>
      <c r="G668" s="53" t="s">
        <v>3707</v>
      </c>
      <c r="H668" s="86" t="s">
        <v>17386</v>
      </c>
    </row>
    <row r="669" spans="1:8" ht="12.6" customHeight="1">
      <c r="B669" s="41" t="s">
        <v>7155</v>
      </c>
      <c r="C669" s="42">
        <v>14</v>
      </c>
      <c r="D669" s="53" t="s">
        <v>282</v>
      </c>
      <c r="E669" s="53" t="s">
        <v>471</v>
      </c>
      <c r="F669" s="53" t="s">
        <v>7156</v>
      </c>
      <c r="G669" s="53" t="s">
        <v>1789</v>
      </c>
      <c r="H669" s="144" t="s">
        <v>17387</v>
      </c>
    </row>
    <row r="670" spans="1:8">
      <c r="B670" s="41" t="s">
        <v>7202</v>
      </c>
      <c r="C670" s="42">
        <v>19</v>
      </c>
      <c r="D670" s="53" t="s">
        <v>1136</v>
      </c>
      <c r="E670" s="53" t="s">
        <v>11791</v>
      </c>
      <c r="F670" s="53" t="s">
        <v>7157</v>
      </c>
      <c r="G670" s="53" t="s">
        <v>963</v>
      </c>
      <c r="H670" s="86" t="s">
        <v>17388</v>
      </c>
    </row>
    <row r="671" spans="1:8">
      <c r="B671" s="41" t="s">
        <v>7158</v>
      </c>
      <c r="C671" s="42">
        <v>13</v>
      </c>
      <c r="D671" s="53" t="s">
        <v>1126</v>
      </c>
      <c r="E671" s="53" t="s">
        <v>3685</v>
      </c>
      <c r="F671" s="53" t="s">
        <v>1130</v>
      </c>
      <c r="G671" s="53" t="s">
        <v>7159</v>
      </c>
      <c r="H671" s="86" t="s">
        <v>17389</v>
      </c>
    </row>
    <row r="672" spans="1:8" ht="12.6" customHeight="1">
      <c r="B672" s="41" t="s">
        <v>7164</v>
      </c>
      <c r="C672" s="42">
        <v>19</v>
      </c>
      <c r="D672" s="53" t="s">
        <v>1136</v>
      </c>
      <c r="E672" s="53" t="s">
        <v>3729</v>
      </c>
      <c r="F672" s="53" t="s">
        <v>472</v>
      </c>
      <c r="G672" s="53" t="s">
        <v>7162</v>
      </c>
      <c r="H672" s="86" t="s">
        <v>17390</v>
      </c>
    </row>
    <row r="673" spans="1:8" ht="13.2" customHeight="1">
      <c r="B673" s="41" t="s">
        <v>7160</v>
      </c>
      <c r="C673" s="42">
        <v>7</v>
      </c>
      <c r="D673" s="53" t="s">
        <v>1136</v>
      </c>
      <c r="E673" s="53" t="s">
        <v>3729</v>
      </c>
      <c r="F673" s="53" t="s">
        <v>472</v>
      </c>
      <c r="G673" s="53" t="s">
        <v>7163</v>
      </c>
      <c r="H673" s="144" t="s">
        <v>7161</v>
      </c>
    </row>
    <row r="674" spans="1:8">
      <c r="A674" s="612" t="s">
        <v>7178</v>
      </c>
      <c r="B674" s="41" t="s">
        <v>7168</v>
      </c>
      <c r="C674" s="42">
        <v>8</v>
      </c>
      <c r="D674" s="53" t="s">
        <v>1126</v>
      </c>
      <c r="E674" s="53" t="s">
        <v>3729</v>
      </c>
      <c r="F674" s="53" t="s">
        <v>472</v>
      </c>
      <c r="G674" s="53" t="s">
        <v>1761</v>
      </c>
      <c r="H674" s="86" t="s">
        <v>17391</v>
      </c>
    </row>
    <row r="675" spans="1:8">
      <c r="B675" s="41" t="s">
        <v>7169</v>
      </c>
      <c r="C675" s="42">
        <v>7</v>
      </c>
      <c r="D675" s="53" t="s">
        <v>1126</v>
      </c>
      <c r="E675" s="53" t="s">
        <v>3729</v>
      </c>
      <c r="F675" s="53" t="s">
        <v>472</v>
      </c>
      <c r="G675" s="53" t="s">
        <v>7165</v>
      </c>
      <c r="H675" s="86" t="s">
        <v>7166</v>
      </c>
    </row>
    <row r="676" spans="1:8">
      <c r="B676" s="41" t="s">
        <v>247</v>
      </c>
      <c r="C676" s="42">
        <v>11</v>
      </c>
      <c r="D676" s="53" t="s">
        <v>282</v>
      </c>
      <c r="E676" s="53" t="s">
        <v>356</v>
      </c>
      <c r="F676" s="53" t="s">
        <v>472</v>
      </c>
      <c r="G676" s="53" t="s">
        <v>7180</v>
      </c>
      <c r="H676" s="86" t="s">
        <v>17392</v>
      </c>
    </row>
    <row r="677" spans="1:8">
      <c r="B677" s="41" t="s">
        <v>7265</v>
      </c>
      <c r="C677" s="42">
        <v>26</v>
      </c>
      <c r="D677" s="53" t="s">
        <v>282</v>
      </c>
      <c r="E677" s="53" t="s">
        <v>484</v>
      </c>
      <c r="F677" s="53" t="s">
        <v>472</v>
      </c>
      <c r="G677" s="53" t="s">
        <v>7176</v>
      </c>
      <c r="H677" s="86" t="s">
        <v>7177</v>
      </c>
    </row>
    <row r="678" spans="1:8">
      <c r="B678" s="41" t="s">
        <v>7167</v>
      </c>
      <c r="C678" s="42">
        <v>9</v>
      </c>
      <c r="D678" s="53" t="s">
        <v>282</v>
      </c>
      <c r="E678" s="53" t="s">
        <v>277</v>
      </c>
      <c r="F678" s="53" t="s">
        <v>472</v>
      </c>
      <c r="G678" s="53" t="s">
        <v>216</v>
      </c>
      <c r="H678" s="86" t="s">
        <v>7204</v>
      </c>
    </row>
    <row r="679" spans="1:8">
      <c r="B679" s="41" t="s">
        <v>7170</v>
      </c>
      <c r="C679" s="42">
        <v>17</v>
      </c>
      <c r="D679" s="53" t="s">
        <v>282</v>
      </c>
      <c r="E679" s="53" t="s">
        <v>7171</v>
      </c>
      <c r="F679" s="53" t="s">
        <v>472</v>
      </c>
      <c r="G679" s="53" t="s">
        <v>7172</v>
      </c>
      <c r="H679" s="86" t="s">
        <v>7183</v>
      </c>
    </row>
    <row r="680" spans="1:8">
      <c r="B680" s="41" t="s">
        <v>7179</v>
      </c>
      <c r="C680" s="42">
        <v>13</v>
      </c>
      <c r="D680" s="53" t="s">
        <v>1136</v>
      </c>
      <c r="E680" s="53" t="s">
        <v>3729</v>
      </c>
      <c r="F680" s="53" t="s">
        <v>472</v>
      </c>
      <c r="G680" s="53" t="s">
        <v>7181</v>
      </c>
      <c r="H680" s="86" t="s">
        <v>7182</v>
      </c>
    </row>
    <row r="681" spans="1:8">
      <c r="B681" s="41" t="s">
        <v>7173</v>
      </c>
      <c r="C681" s="42">
        <v>8</v>
      </c>
      <c r="D681" s="53" t="s">
        <v>1126</v>
      </c>
      <c r="E681" s="53" t="s">
        <v>3729</v>
      </c>
      <c r="F681" s="53" t="s">
        <v>472</v>
      </c>
      <c r="G681" s="53" t="s">
        <v>7175</v>
      </c>
      <c r="H681" s="86" t="s">
        <v>7174</v>
      </c>
    </row>
    <row r="682" spans="1:8">
      <c r="A682" s="612" t="s">
        <v>7203</v>
      </c>
      <c r="B682" s="41" t="s">
        <v>7184</v>
      </c>
      <c r="C682" s="42">
        <v>10</v>
      </c>
      <c r="D682" s="53" t="s">
        <v>1136</v>
      </c>
      <c r="E682" s="53" t="s">
        <v>3729</v>
      </c>
      <c r="F682" s="53" t="s">
        <v>1130</v>
      </c>
      <c r="G682" s="53" t="s">
        <v>7185</v>
      </c>
      <c r="H682" s="86" t="s">
        <v>17393</v>
      </c>
    </row>
    <row r="683" spans="1:8">
      <c r="B683" s="41" t="s">
        <v>7188</v>
      </c>
      <c r="C683" s="42">
        <v>9</v>
      </c>
      <c r="D683" s="53" t="s">
        <v>1126</v>
      </c>
      <c r="E683" s="53" t="s">
        <v>3732</v>
      </c>
      <c r="F683" s="53" t="s">
        <v>958</v>
      </c>
      <c r="G683" s="53" t="s">
        <v>7191</v>
      </c>
      <c r="H683" s="86" t="s">
        <v>7189</v>
      </c>
    </row>
    <row r="684" spans="1:8">
      <c r="B684" s="41" t="s">
        <v>11735</v>
      </c>
      <c r="C684" s="42">
        <v>35</v>
      </c>
      <c r="D684" s="53" t="s">
        <v>282</v>
      </c>
      <c r="E684" s="53" t="s">
        <v>3732</v>
      </c>
      <c r="F684" s="53" t="s">
        <v>7157</v>
      </c>
      <c r="G684" s="53" t="s">
        <v>11736</v>
      </c>
      <c r="H684" s="86" t="s">
        <v>17394</v>
      </c>
    </row>
    <row r="685" spans="1:8">
      <c r="B685" s="41" t="s">
        <v>7196</v>
      </c>
      <c r="C685" s="42">
        <v>18</v>
      </c>
      <c r="D685" s="53" t="s">
        <v>484</v>
      </c>
      <c r="E685" s="53" t="s">
        <v>11791</v>
      </c>
      <c r="F685" s="53" t="s">
        <v>958</v>
      </c>
      <c r="G685" s="53" t="s">
        <v>7194</v>
      </c>
      <c r="H685" s="86" t="s">
        <v>7195</v>
      </c>
    </row>
    <row r="686" spans="1:8">
      <c r="B686" s="41" t="s">
        <v>7193</v>
      </c>
      <c r="C686" s="42">
        <v>9</v>
      </c>
      <c r="D686" s="53" t="s">
        <v>1126</v>
      </c>
      <c r="E686" s="53" t="s">
        <v>3732</v>
      </c>
      <c r="F686" s="53" t="s">
        <v>958</v>
      </c>
      <c r="G686" s="53" t="s">
        <v>7192</v>
      </c>
      <c r="H686" s="86" t="s">
        <v>7190</v>
      </c>
    </row>
    <row r="687" spans="1:8">
      <c r="B687" s="41" t="s">
        <v>7186</v>
      </c>
      <c r="C687" s="42">
        <v>15</v>
      </c>
      <c r="D687" s="53" t="s">
        <v>282</v>
      </c>
      <c r="E687" s="53" t="s">
        <v>1635</v>
      </c>
      <c r="F687" s="53" t="s">
        <v>1130</v>
      </c>
      <c r="G687" s="53" t="s">
        <v>7187</v>
      </c>
      <c r="H687" s="86" t="s">
        <v>17395</v>
      </c>
    </row>
    <row r="688" spans="1:8">
      <c r="B688" s="41" t="s">
        <v>7197</v>
      </c>
      <c r="C688" s="42">
        <v>9</v>
      </c>
      <c r="D688" s="53" t="s">
        <v>1126</v>
      </c>
      <c r="E688" s="53" t="s">
        <v>3732</v>
      </c>
      <c r="F688" s="53" t="s">
        <v>1617</v>
      </c>
      <c r="G688" s="53" t="s">
        <v>7198</v>
      </c>
      <c r="H688" s="86" t="s">
        <v>17396</v>
      </c>
    </row>
    <row r="689" spans="1:8">
      <c r="B689" s="41" t="s">
        <v>3053</v>
      </c>
      <c r="C689" s="42">
        <v>7</v>
      </c>
      <c r="D689" s="53" t="s">
        <v>1136</v>
      </c>
      <c r="E689" s="53" t="s">
        <v>3732</v>
      </c>
      <c r="F689" s="53" t="s">
        <v>468</v>
      </c>
      <c r="G689" s="53" t="s">
        <v>7200</v>
      </c>
      <c r="H689" s="86" t="s">
        <v>17397</v>
      </c>
    </row>
    <row r="690" spans="1:8">
      <c r="B690" s="41" t="s">
        <v>3054</v>
      </c>
      <c r="C690" s="42">
        <v>15</v>
      </c>
      <c r="D690" s="53" t="s">
        <v>1126</v>
      </c>
      <c r="E690" s="53" t="s">
        <v>11791</v>
      </c>
      <c r="F690" s="53" t="s">
        <v>1624</v>
      </c>
      <c r="G690" s="53" t="s">
        <v>7199</v>
      </c>
      <c r="H690" s="86" t="s">
        <v>7201</v>
      </c>
    </row>
    <row r="691" spans="1:8">
      <c r="A691" s="612" t="s">
        <v>9222</v>
      </c>
      <c r="B691" s="41" t="s">
        <v>16552</v>
      </c>
      <c r="C691" s="42">
        <v>8</v>
      </c>
      <c r="D691" s="53" t="s">
        <v>16553</v>
      </c>
      <c r="E691" s="53" t="s">
        <v>16557</v>
      </c>
      <c r="F691" s="53" t="s">
        <v>468</v>
      </c>
      <c r="G691" s="53" t="s">
        <v>16554</v>
      </c>
      <c r="H691" s="86" t="s">
        <v>16555</v>
      </c>
    </row>
    <row r="692" spans="1:8">
      <c r="B692" s="41" t="s">
        <v>16556</v>
      </c>
      <c r="C692" s="42">
        <v>12</v>
      </c>
      <c r="D692" s="53" t="s">
        <v>484</v>
      </c>
      <c r="E692" s="53" t="s">
        <v>1948</v>
      </c>
      <c r="F692" s="53" t="s">
        <v>16535</v>
      </c>
      <c r="G692" s="53" t="s">
        <v>16558</v>
      </c>
      <c r="H692" s="86" t="s">
        <v>16559</v>
      </c>
    </row>
    <row r="693" spans="1:8">
      <c r="A693" s="612" t="s">
        <v>9223</v>
      </c>
      <c r="B693" s="41" t="s">
        <v>9242</v>
      </c>
      <c r="C693" s="42">
        <v>27</v>
      </c>
      <c r="D693" s="53" t="s">
        <v>1136</v>
      </c>
      <c r="E693" s="53" t="s">
        <v>3732</v>
      </c>
      <c r="F693" s="53" t="s">
        <v>1286</v>
      </c>
      <c r="G693" s="53" t="s">
        <v>9243</v>
      </c>
      <c r="H693" s="86" t="s">
        <v>9244</v>
      </c>
    </row>
    <row r="694" spans="1:8">
      <c r="B694" s="41" t="s">
        <v>9238</v>
      </c>
      <c r="C694" s="42">
        <v>24</v>
      </c>
      <c r="D694" s="53" t="s">
        <v>9239</v>
      </c>
      <c r="E694" s="53" t="s">
        <v>3732</v>
      </c>
      <c r="F694" s="53" t="s">
        <v>1286</v>
      </c>
      <c r="G694" s="53" t="s">
        <v>9240</v>
      </c>
      <c r="H694" s="86" t="s">
        <v>9241</v>
      </c>
    </row>
    <row r="695" spans="1:8">
      <c r="B695" s="41" t="s">
        <v>9224</v>
      </c>
      <c r="C695" s="42">
        <v>12</v>
      </c>
      <c r="D695" s="53" t="s">
        <v>476</v>
      </c>
      <c r="E695" s="53" t="s">
        <v>9225</v>
      </c>
      <c r="F695" s="53" t="s">
        <v>1286</v>
      </c>
      <c r="G695" s="53" t="s">
        <v>17398</v>
      </c>
      <c r="H695" s="86" t="s">
        <v>9230</v>
      </c>
    </row>
    <row r="696" spans="1:8">
      <c r="B696" s="41" t="s">
        <v>9234</v>
      </c>
      <c r="C696" s="42">
        <v>18</v>
      </c>
      <c r="D696" s="53" t="s">
        <v>1136</v>
      </c>
      <c r="E696" s="53" t="s">
        <v>3732</v>
      </c>
      <c r="F696" s="53" t="s">
        <v>9232</v>
      </c>
      <c r="G696" s="53" t="s">
        <v>9233</v>
      </c>
      <c r="H696" s="86" t="s">
        <v>9235</v>
      </c>
    </row>
    <row r="697" spans="1:8">
      <c r="B697" s="41" t="s">
        <v>9228</v>
      </c>
      <c r="C697" s="42">
        <v>15</v>
      </c>
      <c r="D697" s="53" t="s">
        <v>1126</v>
      </c>
      <c r="E697" s="53" t="s">
        <v>3732</v>
      </c>
      <c r="F697" s="53" t="s">
        <v>9232</v>
      </c>
      <c r="G697" s="53" t="s">
        <v>9229</v>
      </c>
      <c r="H697" s="86" t="s">
        <v>9231</v>
      </c>
    </row>
    <row r="698" spans="1:8">
      <c r="B698" s="41" t="s">
        <v>9236</v>
      </c>
      <c r="C698" s="42">
        <v>21</v>
      </c>
      <c r="D698" s="53" t="s">
        <v>1136</v>
      </c>
      <c r="E698" s="53" t="s">
        <v>3732</v>
      </c>
      <c r="F698" s="53" t="s">
        <v>1286</v>
      </c>
      <c r="G698" s="53" t="s">
        <v>17399</v>
      </c>
      <c r="H698" s="86" t="s">
        <v>9237</v>
      </c>
    </row>
    <row r="699" spans="1:8">
      <c r="B699" s="41" t="s">
        <v>17400</v>
      </c>
      <c r="C699" s="42">
        <v>14</v>
      </c>
      <c r="D699" s="53" t="s">
        <v>1126</v>
      </c>
      <c r="E699" s="53" t="s">
        <v>9225</v>
      </c>
      <c r="F699" s="53" t="s">
        <v>1286</v>
      </c>
      <c r="G699" s="53" t="s">
        <v>9226</v>
      </c>
      <c r="H699" s="86" t="s">
        <v>9227</v>
      </c>
    </row>
    <row r="700" spans="1:8">
      <c r="B700" s="41" t="s">
        <v>9245</v>
      </c>
      <c r="C700" s="42">
        <v>29</v>
      </c>
      <c r="D700" s="53" t="s">
        <v>9246</v>
      </c>
      <c r="E700" s="53" t="s">
        <v>11791</v>
      </c>
      <c r="F700" s="53" t="s">
        <v>1128</v>
      </c>
      <c r="G700" s="53" t="s">
        <v>9247</v>
      </c>
      <c r="H700" s="86" t="s">
        <v>9248</v>
      </c>
    </row>
    <row r="701" spans="1:8">
      <c r="B701" s="41" t="s">
        <v>9249</v>
      </c>
      <c r="C701" s="42">
        <v>32</v>
      </c>
      <c r="D701" s="53" t="s">
        <v>1772</v>
      </c>
      <c r="E701" s="53" t="s">
        <v>3729</v>
      </c>
      <c r="F701" s="53" t="s">
        <v>1128</v>
      </c>
      <c r="G701" s="53" t="s">
        <v>9250</v>
      </c>
      <c r="H701" s="86" t="s">
        <v>9251</v>
      </c>
    </row>
    <row r="702" spans="1:8">
      <c r="A702" s="611" t="s">
        <v>9807</v>
      </c>
      <c r="B702" s="41" t="s">
        <v>1434</v>
      </c>
      <c r="C702" s="42">
        <v>15</v>
      </c>
      <c r="D702" s="53" t="s">
        <v>1136</v>
      </c>
      <c r="E702" s="53" t="s">
        <v>467</v>
      </c>
      <c r="F702" s="53" t="s">
        <v>1286</v>
      </c>
      <c r="G702" s="53" t="s">
        <v>1915</v>
      </c>
      <c r="H702" s="42" t="s">
        <v>1916</v>
      </c>
    </row>
    <row r="703" spans="1:8">
      <c r="B703" s="41" t="s">
        <v>1435</v>
      </c>
      <c r="C703" s="42">
        <v>20</v>
      </c>
      <c r="D703" s="53" t="s">
        <v>1136</v>
      </c>
      <c r="E703" s="53" t="s">
        <v>11791</v>
      </c>
      <c r="F703" s="53" t="s">
        <v>1917</v>
      </c>
      <c r="G703" s="53" t="s">
        <v>1918</v>
      </c>
      <c r="H703" s="42" t="s">
        <v>1919</v>
      </c>
    </row>
    <row r="704" spans="1:8">
      <c r="B704" s="41" t="s">
        <v>1436</v>
      </c>
      <c r="C704" s="42">
        <v>18</v>
      </c>
      <c r="D704" s="53" t="s">
        <v>1136</v>
      </c>
      <c r="E704" s="53" t="s">
        <v>471</v>
      </c>
      <c r="F704" s="53" t="s">
        <v>1628</v>
      </c>
      <c r="G704" s="53" t="s">
        <v>1920</v>
      </c>
      <c r="H704" s="44" t="s">
        <v>1921</v>
      </c>
    </row>
    <row r="705" spans="1:8">
      <c r="B705" s="41" t="s">
        <v>1437</v>
      </c>
      <c r="C705" s="42">
        <v>18</v>
      </c>
      <c r="D705" s="53" t="s">
        <v>1136</v>
      </c>
      <c r="E705" s="53" t="s">
        <v>1628</v>
      </c>
      <c r="F705" s="53" t="s">
        <v>1286</v>
      </c>
      <c r="G705" s="53" t="s">
        <v>1922</v>
      </c>
      <c r="H705" s="44" t="s">
        <v>1923</v>
      </c>
    </row>
    <row r="706" spans="1:8">
      <c r="B706" s="41" t="s">
        <v>1438</v>
      </c>
      <c r="C706" s="42">
        <v>27</v>
      </c>
      <c r="D706" s="53" t="s">
        <v>1772</v>
      </c>
      <c r="E706" s="53" t="s">
        <v>1628</v>
      </c>
      <c r="F706" s="53" t="s">
        <v>472</v>
      </c>
      <c r="G706" s="53" t="s">
        <v>1924</v>
      </c>
      <c r="H706" s="86" t="s">
        <v>1925</v>
      </c>
    </row>
    <row r="707" spans="1:8">
      <c r="B707" s="41" t="s">
        <v>1439</v>
      </c>
      <c r="C707" s="42">
        <v>25</v>
      </c>
      <c r="D707" s="53" t="s">
        <v>1136</v>
      </c>
      <c r="E707" s="53" t="s">
        <v>11791</v>
      </c>
      <c r="F707" s="53" t="s">
        <v>958</v>
      </c>
      <c r="G707" s="53" t="s">
        <v>1926</v>
      </c>
      <c r="H707" s="44" t="s">
        <v>1927</v>
      </c>
    </row>
    <row r="708" spans="1:8">
      <c r="B708" s="41" t="s">
        <v>1440</v>
      </c>
      <c r="C708" s="42">
        <v>8</v>
      </c>
      <c r="D708" s="53" t="s">
        <v>1126</v>
      </c>
      <c r="E708" s="53" t="s">
        <v>1928</v>
      </c>
      <c r="F708" s="53" t="s">
        <v>472</v>
      </c>
      <c r="G708" s="53" t="s">
        <v>1929</v>
      </c>
      <c r="H708" s="44" t="s">
        <v>1930</v>
      </c>
    </row>
    <row r="709" spans="1:8">
      <c r="B709" s="41" t="s">
        <v>1441</v>
      </c>
      <c r="C709" s="42">
        <v>15</v>
      </c>
      <c r="D709" s="53" t="s">
        <v>1136</v>
      </c>
      <c r="E709" s="53" t="s">
        <v>1127</v>
      </c>
      <c r="F709" s="53" t="s">
        <v>472</v>
      </c>
      <c r="G709" s="53" t="s">
        <v>1931</v>
      </c>
      <c r="H709" s="44" t="s">
        <v>1932</v>
      </c>
    </row>
    <row r="710" spans="1:8">
      <c r="B710" s="41" t="s">
        <v>1442</v>
      </c>
      <c r="C710" s="42">
        <v>15</v>
      </c>
      <c r="D710" s="53" t="s">
        <v>282</v>
      </c>
      <c r="E710" s="53" t="s">
        <v>1511</v>
      </c>
      <c r="F710" s="53" t="s">
        <v>472</v>
      </c>
      <c r="G710" s="53" t="s">
        <v>1936</v>
      </c>
      <c r="H710" s="44" t="s">
        <v>1935</v>
      </c>
    </row>
    <row r="711" spans="1:8">
      <c r="B711" s="41" t="s">
        <v>1443</v>
      </c>
      <c r="C711" s="42">
        <v>12</v>
      </c>
      <c r="D711" s="53" t="s">
        <v>1136</v>
      </c>
      <c r="E711" s="53" t="s">
        <v>467</v>
      </c>
      <c r="F711" s="53" t="s">
        <v>468</v>
      </c>
      <c r="G711" s="53" t="s">
        <v>1933</v>
      </c>
      <c r="H711" s="44" t="s">
        <v>1934</v>
      </c>
    </row>
    <row r="712" spans="1:8">
      <c r="B712" s="41" t="s">
        <v>1444</v>
      </c>
      <c r="C712" s="42">
        <v>20</v>
      </c>
      <c r="D712" s="53" t="s">
        <v>282</v>
      </c>
      <c r="E712" s="53" t="s">
        <v>1511</v>
      </c>
      <c r="F712" s="53" t="s">
        <v>629</v>
      </c>
      <c r="G712" s="53" t="s">
        <v>1937</v>
      </c>
      <c r="H712" s="44" t="s">
        <v>1938</v>
      </c>
    </row>
    <row r="713" spans="1:8">
      <c r="B713" s="41" t="s">
        <v>1445</v>
      </c>
      <c r="C713" s="42">
        <v>12</v>
      </c>
      <c r="D713" s="53" t="s">
        <v>1126</v>
      </c>
      <c r="E713" s="53" t="s">
        <v>467</v>
      </c>
      <c r="F713" s="53" t="s">
        <v>1130</v>
      </c>
      <c r="G713" s="53" t="s">
        <v>1933</v>
      </c>
      <c r="H713" s="44" t="s">
        <v>1939</v>
      </c>
    </row>
    <row r="714" spans="1:8">
      <c r="B714" s="41" t="s">
        <v>1446</v>
      </c>
      <c r="C714" s="42">
        <v>18</v>
      </c>
      <c r="D714" s="53" t="s">
        <v>1136</v>
      </c>
      <c r="E714" s="53" t="s">
        <v>11791</v>
      </c>
      <c r="F714" s="53" t="s">
        <v>629</v>
      </c>
      <c r="G714" s="53" t="s">
        <v>1940</v>
      </c>
      <c r="H714" s="44" t="s">
        <v>1941</v>
      </c>
    </row>
    <row r="715" spans="1:8">
      <c r="B715" s="41" t="s">
        <v>1447</v>
      </c>
      <c r="C715" s="42">
        <v>14</v>
      </c>
      <c r="D715" s="53" t="s">
        <v>1126</v>
      </c>
      <c r="E715" s="53" t="s">
        <v>467</v>
      </c>
      <c r="F715" s="53" t="s">
        <v>1625</v>
      </c>
      <c r="G715" s="53" t="s">
        <v>1942</v>
      </c>
      <c r="H715" s="44" t="s">
        <v>1943</v>
      </c>
    </row>
    <row r="716" spans="1:8">
      <c r="B716" s="41" t="s">
        <v>1448</v>
      </c>
      <c r="C716" s="42">
        <v>23</v>
      </c>
      <c r="D716" s="53" t="s">
        <v>1136</v>
      </c>
      <c r="E716" s="53" t="s">
        <v>11791</v>
      </c>
      <c r="F716" s="53" t="s">
        <v>1286</v>
      </c>
      <c r="G716" s="53" t="s">
        <v>1944</v>
      </c>
      <c r="H716" s="44" t="s">
        <v>1945</v>
      </c>
    </row>
    <row r="717" spans="1:8">
      <c r="B717" s="41" t="s">
        <v>1449</v>
      </c>
      <c r="C717" s="42">
        <v>9</v>
      </c>
      <c r="D717" s="53" t="s">
        <v>1126</v>
      </c>
      <c r="E717" s="53" t="s">
        <v>467</v>
      </c>
      <c r="F717" s="53" t="s">
        <v>472</v>
      </c>
      <c r="G717" s="53" t="s">
        <v>1946</v>
      </c>
      <c r="H717" s="44" t="s">
        <v>1947</v>
      </c>
    </row>
    <row r="718" spans="1:8">
      <c r="A718" s="611" t="s">
        <v>9808</v>
      </c>
      <c r="B718" s="41" t="s">
        <v>1450</v>
      </c>
      <c r="C718" s="42">
        <v>16</v>
      </c>
      <c r="D718" s="53" t="s">
        <v>1136</v>
      </c>
      <c r="E718" s="53" t="s">
        <v>1948</v>
      </c>
      <c r="F718" s="53" t="s">
        <v>468</v>
      </c>
      <c r="G718" s="53" t="s">
        <v>1949</v>
      </c>
      <c r="H718" s="42" t="s">
        <v>1950</v>
      </c>
    </row>
    <row r="719" spans="1:8">
      <c r="B719" s="41" t="s">
        <v>15608</v>
      </c>
      <c r="C719" s="42">
        <v>12</v>
      </c>
      <c r="D719" s="53" t="s">
        <v>1136</v>
      </c>
      <c r="E719" s="53" t="s">
        <v>277</v>
      </c>
      <c r="F719" s="53" t="s">
        <v>468</v>
      </c>
      <c r="G719" s="53" t="s">
        <v>1951</v>
      </c>
      <c r="H719" s="42" t="s">
        <v>1952</v>
      </c>
    </row>
    <row r="720" spans="1:8">
      <c r="B720" s="41" t="s">
        <v>1451</v>
      </c>
      <c r="C720" s="42">
        <v>12</v>
      </c>
      <c r="D720" s="53" t="s">
        <v>282</v>
      </c>
      <c r="E720" s="53" t="s">
        <v>1953</v>
      </c>
      <c r="F720" s="53" t="s">
        <v>468</v>
      </c>
      <c r="G720" s="53" t="s">
        <v>1954</v>
      </c>
      <c r="H720" s="86" t="s">
        <v>17401</v>
      </c>
    </row>
    <row r="721" spans="2:8">
      <c r="B721" s="41" t="s">
        <v>1452</v>
      </c>
      <c r="C721" s="42">
        <v>26</v>
      </c>
      <c r="D721" s="53" t="s">
        <v>1772</v>
      </c>
      <c r="E721" s="53" t="s">
        <v>1628</v>
      </c>
      <c r="F721" s="53" t="s">
        <v>472</v>
      </c>
      <c r="G721" s="53" t="s">
        <v>1955</v>
      </c>
      <c r="H721" s="44" t="s">
        <v>1956</v>
      </c>
    </row>
    <row r="722" spans="2:8">
      <c r="B722" s="41" t="s">
        <v>1453</v>
      </c>
      <c r="C722" s="42">
        <v>14</v>
      </c>
      <c r="D722" s="53" t="s">
        <v>484</v>
      </c>
      <c r="E722" s="53" t="s">
        <v>1628</v>
      </c>
      <c r="F722" s="53" t="s">
        <v>1628</v>
      </c>
      <c r="G722" s="53" t="s">
        <v>1957</v>
      </c>
      <c r="H722" s="44" t="s">
        <v>1958</v>
      </c>
    </row>
    <row r="723" spans="2:8">
      <c r="B723" s="41" t="s">
        <v>1960</v>
      </c>
      <c r="C723" s="42">
        <v>14</v>
      </c>
      <c r="D723" s="53" t="s">
        <v>282</v>
      </c>
      <c r="E723" s="53" t="s">
        <v>1628</v>
      </c>
      <c r="F723" s="53" t="s">
        <v>958</v>
      </c>
      <c r="G723" s="53" t="s">
        <v>1959</v>
      </c>
      <c r="H723" s="44" t="s">
        <v>1965</v>
      </c>
    </row>
    <row r="724" spans="2:8">
      <c r="B724" s="41" t="s">
        <v>1961</v>
      </c>
      <c r="C724" s="42">
        <v>14</v>
      </c>
      <c r="D724" s="53" t="s">
        <v>282</v>
      </c>
      <c r="E724" s="53" t="s">
        <v>1628</v>
      </c>
      <c r="F724" s="53" t="s">
        <v>958</v>
      </c>
      <c r="G724" s="53" t="s">
        <v>1959</v>
      </c>
      <c r="H724" s="44" t="s">
        <v>1966</v>
      </c>
    </row>
    <row r="725" spans="2:8">
      <c r="B725" s="41" t="s">
        <v>1962</v>
      </c>
      <c r="C725" s="42">
        <v>14</v>
      </c>
      <c r="D725" s="53" t="s">
        <v>282</v>
      </c>
      <c r="E725" s="53" t="s">
        <v>1628</v>
      </c>
      <c r="F725" s="53" t="s">
        <v>958</v>
      </c>
      <c r="G725" s="53" t="s">
        <v>1959</v>
      </c>
      <c r="H725" s="44" t="s">
        <v>1967</v>
      </c>
    </row>
    <row r="726" spans="2:8">
      <c r="B726" s="41" t="s">
        <v>1963</v>
      </c>
      <c r="C726" s="42">
        <v>14</v>
      </c>
      <c r="D726" s="53" t="s">
        <v>282</v>
      </c>
      <c r="E726" s="53" t="s">
        <v>1628</v>
      </c>
      <c r="F726" s="53" t="s">
        <v>958</v>
      </c>
      <c r="G726" s="53" t="s">
        <v>1959</v>
      </c>
      <c r="H726" s="44" t="s">
        <v>1968</v>
      </c>
    </row>
    <row r="727" spans="2:8">
      <c r="B727" s="41" t="s">
        <v>1964</v>
      </c>
      <c r="C727" s="42">
        <v>14</v>
      </c>
      <c r="D727" s="53" t="s">
        <v>282</v>
      </c>
      <c r="E727" s="53" t="s">
        <v>1628</v>
      </c>
      <c r="F727" s="53" t="s">
        <v>958</v>
      </c>
      <c r="G727" s="53" t="s">
        <v>1959</v>
      </c>
      <c r="H727" s="44" t="s">
        <v>1969</v>
      </c>
    </row>
    <row r="728" spans="2:8">
      <c r="B728" s="41" t="s">
        <v>1454</v>
      </c>
      <c r="C728" s="42">
        <v>11</v>
      </c>
      <c r="D728" s="53" t="s">
        <v>1136</v>
      </c>
      <c r="E728" s="53" t="s">
        <v>1972</v>
      </c>
      <c r="F728" s="53" t="s">
        <v>468</v>
      </c>
      <c r="G728" s="53" t="s">
        <v>1973</v>
      </c>
      <c r="H728" s="44" t="s">
        <v>1974</v>
      </c>
    </row>
    <row r="729" spans="2:8">
      <c r="B729" s="41" t="s">
        <v>1455</v>
      </c>
      <c r="C729" s="42">
        <v>8</v>
      </c>
      <c r="D729" s="53" t="s">
        <v>1136</v>
      </c>
      <c r="E729" s="53" t="s">
        <v>11791</v>
      </c>
      <c r="F729" s="53" t="s">
        <v>958</v>
      </c>
      <c r="G729" s="53" t="s">
        <v>1970</v>
      </c>
      <c r="H729" s="44" t="s">
        <v>1971</v>
      </c>
    </row>
    <row r="730" spans="2:8">
      <c r="B730" s="41" t="s">
        <v>1980</v>
      </c>
      <c r="C730" s="42">
        <v>16</v>
      </c>
      <c r="D730" s="53" t="s">
        <v>282</v>
      </c>
      <c r="E730" s="53" t="s">
        <v>17402</v>
      </c>
      <c r="F730" s="53" t="s">
        <v>468</v>
      </c>
      <c r="G730" s="53" t="s">
        <v>1975</v>
      </c>
      <c r="H730" s="86" t="s">
        <v>11698</v>
      </c>
    </row>
    <row r="731" spans="2:8">
      <c r="B731" s="41" t="s">
        <v>1976</v>
      </c>
      <c r="C731" s="42">
        <v>16</v>
      </c>
      <c r="D731" s="53" t="s">
        <v>282</v>
      </c>
      <c r="E731" s="53" t="s">
        <v>17402</v>
      </c>
      <c r="F731" s="53" t="s">
        <v>468</v>
      </c>
      <c r="G731" s="53" t="s">
        <v>1975</v>
      </c>
      <c r="H731" s="86" t="s">
        <v>9052</v>
      </c>
    </row>
    <row r="732" spans="2:8">
      <c r="B732" s="41" t="s">
        <v>1977</v>
      </c>
      <c r="C732" s="42">
        <v>16</v>
      </c>
      <c r="D732" s="53" t="s">
        <v>282</v>
      </c>
      <c r="E732" s="53" t="s">
        <v>17402</v>
      </c>
      <c r="F732" s="53" t="s">
        <v>468</v>
      </c>
      <c r="G732" s="53" t="s">
        <v>1975</v>
      </c>
      <c r="H732" s="86" t="s">
        <v>9053</v>
      </c>
    </row>
    <row r="733" spans="2:8">
      <c r="B733" s="41" t="s">
        <v>1978</v>
      </c>
      <c r="C733" s="42">
        <v>16</v>
      </c>
      <c r="D733" s="53" t="s">
        <v>282</v>
      </c>
      <c r="E733" s="53" t="s">
        <v>17402</v>
      </c>
      <c r="F733" s="53" t="s">
        <v>468</v>
      </c>
      <c r="G733" s="53" t="s">
        <v>1975</v>
      </c>
      <c r="H733" s="86" t="s">
        <v>9054</v>
      </c>
    </row>
    <row r="734" spans="2:8">
      <c r="B734" s="41" t="s">
        <v>1979</v>
      </c>
      <c r="C734" s="42">
        <v>16</v>
      </c>
      <c r="D734" s="53" t="s">
        <v>282</v>
      </c>
      <c r="E734" s="53" t="s">
        <v>17402</v>
      </c>
      <c r="F734" s="53" t="s">
        <v>468</v>
      </c>
      <c r="G734" s="53" t="s">
        <v>1975</v>
      </c>
      <c r="H734" s="86" t="s">
        <v>9051</v>
      </c>
    </row>
    <row r="735" spans="2:8">
      <c r="B735" s="41" t="s">
        <v>1456</v>
      </c>
      <c r="C735" s="42">
        <v>20</v>
      </c>
      <c r="D735" s="53" t="s">
        <v>1772</v>
      </c>
      <c r="E735" s="53" t="s">
        <v>1628</v>
      </c>
      <c r="F735" s="53" t="s">
        <v>472</v>
      </c>
      <c r="G735" s="53" t="s">
        <v>1957</v>
      </c>
      <c r="H735" s="44" t="s">
        <v>1981</v>
      </c>
    </row>
    <row r="736" spans="2:8">
      <c r="B736" s="41" t="s">
        <v>1457</v>
      </c>
      <c r="C736" s="42">
        <v>11</v>
      </c>
      <c r="D736" s="53" t="s">
        <v>1136</v>
      </c>
      <c r="E736" s="53" t="s">
        <v>1982</v>
      </c>
      <c r="F736" s="53" t="s">
        <v>958</v>
      </c>
      <c r="G736" s="53" t="s">
        <v>1983</v>
      </c>
      <c r="H736" s="44" t="s">
        <v>1984</v>
      </c>
    </row>
    <row r="737" spans="1:8">
      <c r="B737" s="41" t="s">
        <v>15585</v>
      </c>
      <c r="C737" s="42">
        <v>18</v>
      </c>
      <c r="D737" s="53" t="s">
        <v>282</v>
      </c>
      <c r="E737" s="53" t="s">
        <v>1985</v>
      </c>
      <c r="F737" s="53" t="s">
        <v>468</v>
      </c>
      <c r="G737" s="53" t="s">
        <v>1975</v>
      </c>
      <c r="H737" s="44" t="s">
        <v>1986</v>
      </c>
    </row>
    <row r="738" spans="1:8">
      <c r="B738" s="41" t="s">
        <v>1458</v>
      </c>
      <c r="C738" s="42">
        <v>13</v>
      </c>
      <c r="D738" s="53" t="s">
        <v>282</v>
      </c>
      <c r="E738" s="53" t="s">
        <v>11791</v>
      </c>
      <c r="F738" s="53" t="s">
        <v>958</v>
      </c>
      <c r="G738" s="53" t="s">
        <v>1987</v>
      </c>
      <c r="H738" s="44" t="s">
        <v>1988</v>
      </c>
    </row>
    <row r="739" spans="1:8">
      <c r="B739" s="41" t="s">
        <v>1459</v>
      </c>
      <c r="C739" s="42">
        <v>24</v>
      </c>
      <c r="D739" s="53" t="s">
        <v>282</v>
      </c>
      <c r="E739" s="53" t="s">
        <v>11791</v>
      </c>
      <c r="F739" s="53" t="s">
        <v>958</v>
      </c>
      <c r="G739" s="53" t="s">
        <v>1989</v>
      </c>
      <c r="H739" s="44" t="s">
        <v>1990</v>
      </c>
    </row>
    <row r="740" spans="1:8">
      <c r="B740" s="41" t="s">
        <v>1460</v>
      </c>
      <c r="C740" s="42">
        <v>12</v>
      </c>
      <c r="D740" s="53" t="s">
        <v>1136</v>
      </c>
      <c r="E740" s="53" t="s">
        <v>1948</v>
      </c>
      <c r="F740" s="53" t="s">
        <v>468</v>
      </c>
      <c r="G740" s="53" t="s">
        <v>1991</v>
      </c>
      <c r="H740" s="44" t="s">
        <v>1992</v>
      </c>
    </row>
    <row r="741" spans="1:8">
      <c r="B741" s="41" t="s">
        <v>796</v>
      </c>
      <c r="C741" s="42">
        <v>17</v>
      </c>
      <c r="D741" s="53" t="s">
        <v>282</v>
      </c>
      <c r="E741" s="53" t="s">
        <v>467</v>
      </c>
      <c r="F741" s="53" t="s">
        <v>468</v>
      </c>
      <c r="G741" s="53" t="s">
        <v>1993</v>
      </c>
      <c r="H741" s="44" t="s">
        <v>1994</v>
      </c>
    </row>
    <row r="742" spans="1:8">
      <c r="A742" s="611" t="s">
        <v>9705</v>
      </c>
      <c r="B742" s="41" t="s">
        <v>9722</v>
      </c>
      <c r="C742" s="42">
        <v>18</v>
      </c>
      <c r="D742" s="53" t="s">
        <v>282</v>
      </c>
      <c r="E742" s="53" t="s">
        <v>9838</v>
      </c>
      <c r="F742" s="53" t="s">
        <v>9839</v>
      </c>
      <c r="G742" s="53" t="s">
        <v>9843</v>
      </c>
      <c r="H742" s="86" t="s">
        <v>9840</v>
      </c>
    </row>
    <row r="743" spans="1:8">
      <c r="B743" s="41" t="s">
        <v>9674</v>
      </c>
      <c r="C743" s="42">
        <v>11</v>
      </c>
      <c r="D743" s="53" t="s">
        <v>1126</v>
      </c>
      <c r="E743" s="53" t="s">
        <v>1127</v>
      </c>
      <c r="F743" s="53" t="s">
        <v>1128</v>
      </c>
      <c r="G743" s="53" t="s">
        <v>9841</v>
      </c>
      <c r="H743" s="86" t="s">
        <v>9842</v>
      </c>
    </row>
    <row r="744" spans="1:8">
      <c r="B744" s="41" t="s">
        <v>9725</v>
      </c>
      <c r="C744" s="42">
        <v>17</v>
      </c>
      <c r="D744" s="53" t="s">
        <v>1136</v>
      </c>
      <c r="E744" s="53" t="s">
        <v>11791</v>
      </c>
      <c r="F744" s="53" t="s">
        <v>629</v>
      </c>
      <c r="G744" s="53" t="s">
        <v>9844</v>
      </c>
      <c r="H744" s="86" t="s">
        <v>17403</v>
      </c>
    </row>
    <row r="745" spans="1:8">
      <c r="B745" s="41" t="s">
        <v>9727</v>
      </c>
      <c r="C745" s="42">
        <v>5</v>
      </c>
      <c r="D745" s="53" t="s">
        <v>1126</v>
      </c>
      <c r="E745" s="53" t="s">
        <v>3685</v>
      </c>
      <c r="F745" s="53" t="s">
        <v>1128</v>
      </c>
      <c r="G745" s="53" t="s">
        <v>9845</v>
      </c>
      <c r="H745" s="86" t="s">
        <v>9846</v>
      </c>
    </row>
    <row r="746" spans="1:8">
      <c r="B746" s="41" t="s">
        <v>9734</v>
      </c>
      <c r="C746" s="42">
        <v>12</v>
      </c>
      <c r="D746" s="53" t="s">
        <v>1277</v>
      </c>
      <c r="E746" s="53" t="s">
        <v>9847</v>
      </c>
      <c r="F746" s="53" t="s">
        <v>346</v>
      </c>
      <c r="G746" s="53" t="s">
        <v>9848</v>
      </c>
      <c r="H746" s="86" t="s">
        <v>17404</v>
      </c>
    </row>
    <row r="747" spans="1:8">
      <c r="B747" s="41" t="s">
        <v>9849</v>
      </c>
      <c r="C747" s="42">
        <v>8</v>
      </c>
      <c r="D747" s="53" t="s">
        <v>1126</v>
      </c>
      <c r="E747" s="53" t="s">
        <v>11791</v>
      </c>
      <c r="F747" s="53" t="s">
        <v>1617</v>
      </c>
      <c r="G747" s="53" t="s">
        <v>9850</v>
      </c>
      <c r="H747" s="86" t="s">
        <v>9851</v>
      </c>
    </row>
    <row r="748" spans="1:8">
      <c r="B748" s="41" t="s">
        <v>9852</v>
      </c>
      <c r="C748" s="42">
        <v>7</v>
      </c>
      <c r="D748" s="53" t="s">
        <v>1126</v>
      </c>
      <c r="E748" s="53" t="s">
        <v>3729</v>
      </c>
      <c r="F748" s="53" t="s">
        <v>958</v>
      </c>
      <c r="G748" s="53" t="s">
        <v>9853</v>
      </c>
      <c r="H748" s="86" t="s">
        <v>9854</v>
      </c>
    </row>
    <row r="749" spans="1:8">
      <c r="B749" s="41" t="s">
        <v>9735</v>
      </c>
      <c r="C749" s="42">
        <v>3</v>
      </c>
      <c r="D749" s="53" t="s">
        <v>1136</v>
      </c>
      <c r="E749" s="53" t="s">
        <v>11791</v>
      </c>
      <c r="F749" s="53" t="s">
        <v>468</v>
      </c>
      <c r="G749" s="53" t="s">
        <v>9855</v>
      </c>
      <c r="H749" s="86" t="s">
        <v>9856</v>
      </c>
    </row>
    <row r="750" spans="1:8">
      <c r="B750" s="41" t="s">
        <v>9857</v>
      </c>
      <c r="C750" s="42">
        <v>6</v>
      </c>
      <c r="D750" s="53" t="s">
        <v>1126</v>
      </c>
      <c r="E750" s="53" t="s">
        <v>1127</v>
      </c>
      <c r="F750" s="53" t="s">
        <v>9861</v>
      </c>
      <c r="G750" s="53" t="s">
        <v>9862</v>
      </c>
      <c r="H750" s="86" t="s">
        <v>9863</v>
      </c>
    </row>
    <row r="751" spans="1:8">
      <c r="B751" s="41" t="s">
        <v>9729</v>
      </c>
      <c r="C751" s="42">
        <v>26</v>
      </c>
      <c r="D751" s="53" t="s">
        <v>282</v>
      </c>
      <c r="E751" s="53" t="s">
        <v>11791</v>
      </c>
      <c r="F751" s="53" t="s">
        <v>629</v>
      </c>
      <c r="G751" s="53" t="s">
        <v>9864</v>
      </c>
      <c r="H751" s="86" t="s">
        <v>9865</v>
      </c>
    </row>
    <row r="752" spans="1:8">
      <c r="B752" s="41" t="s">
        <v>9728</v>
      </c>
      <c r="C752" s="42">
        <v>15</v>
      </c>
      <c r="D752" s="53" t="s">
        <v>1136</v>
      </c>
      <c r="E752" s="53" t="s">
        <v>11791</v>
      </c>
      <c r="F752" s="53" t="s">
        <v>468</v>
      </c>
      <c r="G752" s="53" t="s">
        <v>9866</v>
      </c>
      <c r="H752" s="86" t="s">
        <v>9867</v>
      </c>
    </row>
    <row r="753" spans="1:10" ht="52.8">
      <c r="B753" s="41" t="s">
        <v>9724</v>
      </c>
      <c r="C753" s="42">
        <v>9</v>
      </c>
      <c r="D753" s="53" t="s">
        <v>1136</v>
      </c>
      <c r="E753" s="53" t="s">
        <v>1127</v>
      </c>
      <c r="F753" s="53" t="s">
        <v>629</v>
      </c>
      <c r="G753" s="53" t="s">
        <v>9868</v>
      </c>
      <c r="H753" s="144" t="s">
        <v>17405</v>
      </c>
    </row>
    <row r="754" spans="1:10">
      <c r="B754" s="41" t="s">
        <v>9732</v>
      </c>
      <c r="C754" s="42">
        <v>10</v>
      </c>
      <c r="D754" s="53" t="s">
        <v>1126</v>
      </c>
      <c r="E754" s="53" t="s">
        <v>1127</v>
      </c>
      <c r="F754" s="53" t="s">
        <v>468</v>
      </c>
      <c r="G754" s="53" t="s">
        <v>9870</v>
      </c>
      <c r="H754" s="86" t="s">
        <v>9879</v>
      </c>
    </row>
    <row r="755" spans="1:10">
      <c r="B755" s="41" t="s">
        <v>9741</v>
      </c>
      <c r="C755" s="42">
        <v>22</v>
      </c>
      <c r="D755" s="53" t="s">
        <v>282</v>
      </c>
      <c r="E755" s="53" t="s">
        <v>1948</v>
      </c>
      <c r="F755" s="53" t="s">
        <v>1617</v>
      </c>
      <c r="G755" s="53" t="s">
        <v>9871</v>
      </c>
      <c r="H755" s="86" t="s">
        <v>9880</v>
      </c>
    </row>
    <row r="756" spans="1:10">
      <c r="B756" s="41" t="s">
        <v>9742</v>
      </c>
      <c r="C756" s="42">
        <v>28</v>
      </c>
      <c r="D756" s="53" t="s">
        <v>282</v>
      </c>
      <c r="E756" s="53" t="s">
        <v>9860</v>
      </c>
      <c r="F756" s="53" t="s">
        <v>9869</v>
      </c>
      <c r="G756" s="53" t="s">
        <v>9872</v>
      </c>
      <c r="H756" s="86" t="s">
        <v>16549</v>
      </c>
    </row>
    <row r="757" spans="1:10">
      <c r="B757" s="41" t="s">
        <v>9731</v>
      </c>
      <c r="C757" s="42">
        <v>3</v>
      </c>
      <c r="D757" s="53" t="s">
        <v>1126</v>
      </c>
      <c r="E757" s="53" t="s">
        <v>1127</v>
      </c>
      <c r="F757" s="53" t="s">
        <v>1236</v>
      </c>
      <c r="G757" s="53" t="s">
        <v>9873</v>
      </c>
      <c r="H757" s="86" t="s">
        <v>9881</v>
      </c>
    </row>
    <row r="758" spans="1:10">
      <c r="B758" s="41" t="s">
        <v>9730</v>
      </c>
      <c r="C758" s="42">
        <v>6</v>
      </c>
      <c r="D758" s="53" t="s">
        <v>1136</v>
      </c>
      <c r="E758" s="53" t="s">
        <v>9847</v>
      </c>
      <c r="F758" s="53" t="s">
        <v>1617</v>
      </c>
      <c r="G758" s="53" t="s">
        <v>9874</v>
      </c>
      <c r="H758" s="86" t="s">
        <v>9882</v>
      </c>
    </row>
    <row r="759" spans="1:10">
      <c r="B759" s="41" t="s">
        <v>9733</v>
      </c>
      <c r="C759" s="42">
        <v>20</v>
      </c>
      <c r="D759" s="53" t="s">
        <v>282</v>
      </c>
      <c r="E759" s="53" t="s">
        <v>1948</v>
      </c>
      <c r="F759" s="53" t="s">
        <v>468</v>
      </c>
      <c r="G759" s="53" t="s">
        <v>9876</v>
      </c>
      <c r="H759" s="86" t="s">
        <v>9884</v>
      </c>
    </row>
    <row r="760" spans="1:10">
      <c r="B760" s="41" t="s">
        <v>9726</v>
      </c>
      <c r="C760" s="42">
        <v>17</v>
      </c>
      <c r="D760" s="53" t="s">
        <v>1136</v>
      </c>
      <c r="E760" s="53" t="s">
        <v>1127</v>
      </c>
      <c r="F760" s="53" t="s">
        <v>468</v>
      </c>
      <c r="G760" s="53" t="s">
        <v>11946</v>
      </c>
      <c r="H760" s="86" t="s">
        <v>9885</v>
      </c>
    </row>
    <row r="761" spans="1:10">
      <c r="B761" s="41" t="s">
        <v>9723</v>
      </c>
      <c r="C761" s="42">
        <v>4</v>
      </c>
      <c r="D761" s="53" t="s">
        <v>1126</v>
      </c>
      <c r="E761" s="53" t="s">
        <v>1127</v>
      </c>
      <c r="F761" s="53" t="s">
        <v>346</v>
      </c>
      <c r="G761" s="53" t="s">
        <v>9877</v>
      </c>
      <c r="H761" s="86" t="s">
        <v>9886</v>
      </c>
    </row>
    <row r="762" spans="1:10">
      <c r="B762" s="41" t="s">
        <v>9858</v>
      </c>
      <c r="C762" s="42">
        <v>11</v>
      </c>
      <c r="D762" s="53" t="s">
        <v>1126</v>
      </c>
      <c r="E762" s="53" t="s">
        <v>3711</v>
      </c>
      <c r="F762" s="53" t="s">
        <v>1130</v>
      </c>
      <c r="G762" s="53" t="s">
        <v>9878</v>
      </c>
      <c r="H762" s="86" t="s">
        <v>9887</v>
      </c>
    </row>
    <row r="763" spans="1:10">
      <c r="B763" s="41" t="s">
        <v>9737</v>
      </c>
      <c r="C763" s="42">
        <v>16</v>
      </c>
      <c r="D763" s="53" t="s">
        <v>282</v>
      </c>
      <c r="E763" s="53" t="s">
        <v>3711</v>
      </c>
      <c r="F763" s="53" t="s">
        <v>629</v>
      </c>
      <c r="G763" s="53" t="s">
        <v>11537</v>
      </c>
      <c r="H763" s="86" t="s">
        <v>9888</v>
      </c>
    </row>
    <row r="764" spans="1:10">
      <c r="B764" s="41" t="s">
        <v>9736</v>
      </c>
      <c r="C764" s="42">
        <v>8</v>
      </c>
      <c r="D764" s="53" t="s">
        <v>1136</v>
      </c>
      <c r="E764" s="53" t="s">
        <v>3729</v>
      </c>
      <c r="F764" s="53" t="s">
        <v>220</v>
      </c>
      <c r="G764" s="53" t="s">
        <v>11945</v>
      </c>
      <c r="H764" s="86" t="s">
        <v>9859</v>
      </c>
    </row>
    <row r="765" spans="1:10">
      <c r="A765" s="608" t="s">
        <v>11705</v>
      </c>
      <c r="B765" s="41" t="s">
        <v>11767</v>
      </c>
      <c r="C765" s="42">
        <v>30</v>
      </c>
      <c r="D765" s="53" t="s">
        <v>1136</v>
      </c>
      <c r="E765" s="53" t="s">
        <v>11791</v>
      </c>
      <c r="F765" s="53" t="s">
        <v>11765</v>
      </c>
      <c r="G765" s="53" t="s">
        <v>734</v>
      </c>
      <c r="H765" s="86" t="s">
        <v>17406</v>
      </c>
      <c r="J765" s="42"/>
    </row>
    <row r="766" spans="1:10">
      <c r="B766" s="41" t="s">
        <v>11657</v>
      </c>
      <c r="C766" s="42">
        <v>15</v>
      </c>
      <c r="D766" s="53" t="s">
        <v>1136</v>
      </c>
      <c r="E766" s="53" t="s">
        <v>3729</v>
      </c>
      <c r="F766" s="53" t="s">
        <v>11539</v>
      </c>
      <c r="G766" s="53" t="s">
        <v>734</v>
      </c>
      <c r="H766" s="86" t="s">
        <v>11540</v>
      </c>
    </row>
    <row r="767" spans="1:10">
      <c r="B767" s="41" t="s">
        <v>14584</v>
      </c>
      <c r="C767" s="42">
        <v>18</v>
      </c>
      <c r="D767" s="53" t="s">
        <v>14585</v>
      </c>
      <c r="E767" s="53" t="s">
        <v>11791</v>
      </c>
      <c r="F767" s="53" t="s">
        <v>468</v>
      </c>
      <c r="G767" s="53" t="s">
        <v>734</v>
      </c>
      <c r="H767" s="86" t="s">
        <v>17407</v>
      </c>
    </row>
    <row r="768" spans="1:10">
      <c r="B768" s="41" t="s">
        <v>17408</v>
      </c>
      <c r="C768" s="42">
        <v>40</v>
      </c>
      <c r="D768" s="53" t="s">
        <v>282</v>
      </c>
      <c r="E768" s="53" t="s">
        <v>1948</v>
      </c>
      <c r="F768" s="53" t="s">
        <v>468</v>
      </c>
      <c r="G768" s="53" t="s">
        <v>734</v>
      </c>
      <c r="H768" s="86" t="s">
        <v>17409</v>
      </c>
    </row>
    <row r="769" spans="1:8">
      <c r="A769" s="607"/>
      <c r="B769" s="41" t="s">
        <v>11658</v>
      </c>
      <c r="C769" s="42">
        <v>25</v>
      </c>
      <c r="D769" s="53" t="s">
        <v>11687</v>
      </c>
      <c r="E769" s="53" t="s">
        <v>11791</v>
      </c>
      <c r="F769" s="53" t="s">
        <v>11539</v>
      </c>
      <c r="G769" s="53" t="s">
        <v>3705</v>
      </c>
      <c r="H769" s="86" t="s">
        <v>11716</v>
      </c>
    </row>
    <row r="770" spans="1:8">
      <c r="A770" s="607"/>
      <c r="B770" s="41" t="s">
        <v>11707</v>
      </c>
      <c r="C770" s="42">
        <v>22</v>
      </c>
      <c r="D770" s="53" t="s">
        <v>1136</v>
      </c>
      <c r="E770" s="53" t="s">
        <v>11791</v>
      </c>
      <c r="F770" s="53" t="s">
        <v>11533</v>
      </c>
      <c r="G770" s="53" t="s">
        <v>734</v>
      </c>
      <c r="H770" s="86" t="s">
        <v>11708</v>
      </c>
    </row>
    <row r="771" spans="1:8">
      <c r="B771" s="41" t="s">
        <v>11712</v>
      </c>
      <c r="C771" s="42">
        <v>27</v>
      </c>
      <c r="D771" s="53" t="s">
        <v>1126</v>
      </c>
      <c r="G771" s="53" t="s">
        <v>2009</v>
      </c>
      <c r="H771" s="86" t="s">
        <v>11713</v>
      </c>
    </row>
    <row r="772" spans="1:8">
      <c r="A772" s="607"/>
      <c r="B772" s="41" t="s">
        <v>11545</v>
      </c>
      <c r="C772" s="42">
        <v>8</v>
      </c>
      <c r="D772" s="53" t="s">
        <v>1126</v>
      </c>
      <c r="E772" s="53" t="s">
        <v>1948</v>
      </c>
      <c r="F772" s="53" t="s">
        <v>1617</v>
      </c>
      <c r="G772" s="53" t="s">
        <v>734</v>
      </c>
      <c r="H772" s="86" t="s">
        <v>11546</v>
      </c>
    </row>
    <row r="773" spans="1:8">
      <c r="A773" s="607"/>
      <c r="B773" s="41" t="s">
        <v>16394</v>
      </c>
      <c r="C773" s="42">
        <v>30</v>
      </c>
      <c r="D773" s="53" t="s">
        <v>282</v>
      </c>
      <c r="E773" s="53" t="s">
        <v>11530</v>
      </c>
      <c r="F773" s="53" t="s">
        <v>9232</v>
      </c>
      <c r="G773" s="53" t="s">
        <v>734</v>
      </c>
      <c r="H773" s="86" t="s">
        <v>17410</v>
      </c>
    </row>
    <row r="774" spans="1:8">
      <c r="B774" s="41" t="s">
        <v>11709</v>
      </c>
      <c r="C774" s="42">
        <v>10</v>
      </c>
      <c r="D774" s="53" t="s">
        <v>1126</v>
      </c>
      <c r="E774" s="53" t="s">
        <v>3729</v>
      </c>
      <c r="F774" s="53" t="s">
        <v>11539</v>
      </c>
      <c r="G774" s="53" t="s">
        <v>734</v>
      </c>
      <c r="H774" s="86" t="s">
        <v>11710</v>
      </c>
    </row>
    <row r="775" spans="1:8">
      <c r="A775" s="608" t="s">
        <v>11499</v>
      </c>
      <c r="B775" s="41" t="s">
        <v>11534</v>
      </c>
      <c r="C775" s="42">
        <v>30</v>
      </c>
      <c r="D775" s="53" t="s">
        <v>484</v>
      </c>
      <c r="E775" s="53" t="s">
        <v>3729</v>
      </c>
      <c r="F775" s="53" t="s">
        <v>1617</v>
      </c>
      <c r="G775" s="53" t="s">
        <v>734</v>
      </c>
      <c r="H775" s="86" t="s">
        <v>11535</v>
      </c>
    </row>
    <row r="776" spans="1:8">
      <c r="A776" s="704"/>
      <c r="B776" s="41" t="s">
        <v>14582</v>
      </c>
      <c r="C776" s="42">
        <v>10</v>
      </c>
      <c r="D776" s="53" t="s">
        <v>1772</v>
      </c>
      <c r="E776" s="53" t="s">
        <v>11791</v>
      </c>
      <c r="F776" s="53" t="s">
        <v>14583</v>
      </c>
      <c r="G776" s="53" t="s">
        <v>734</v>
      </c>
      <c r="H776" s="86" t="s">
        <v>17411</v>
      </c>
    </row>
    <row r="777" spans="1:8">
      <c r="B777" s="41" t="s">
        <v>11717</v>
      </c>
      <c r="C777" s="42">
        <v>23</v>
      </c>
      <c r="D777" s="53" t="s">
        <v>282</v>
      </c>
      <c r="E777" s="53" t="s">
        <v>11791</v>
      </c>
      <c r="F777" s="53" t="s">
        <v>11533</v>
      </c>
      <c r="G777" s="53" t="s">
        <v>1821</v>
      </c>
      <c r="H777" s="86" t="s">
        <v>17412</v>
      </c>
    </row>
    <row r="778" spans="1:8">
      <c r="B778" s="41" t="s">
        <v>11706</v>
      </c>
      <c r="C778" s="42">
        <v>15</v>
      </c>
      <c r="D778" s="53" t="s">
        <v>282</v>
      </c>
      <c r="E778" s="53" t="s">
        <v>11791</v>
      </c>
      <c r="F778" s="53" t="s">
        <v>472</v>
      </c>
      <c r="G778" s="53" t="s">
        <v>734</v>
      </c>
      <c r="H778" s="86" t="s">
        <v>17413</v>
      </c>
    </row>
    <row r="779" spans="1:8">
      <c r="B779" s="41" t="s">
        <v>17414</v>
      </c>
      <c r="C779" s="42">
        <v>12</v>
      </c>
      <c r="D779" s="53" t="s">
        <v>282</v>
      </c>
      <c r="E779" s="53" t="s">
        <v>11541</v>
      </c>
      <c r="F779" s="53" t="s">
        <v>468</v>
      </c>
      <c r="G779" s="53" t="s">
        <v>734</v>
      </c>
      <c r="H779" s="86" t="s">
        <v>17415</v>
      </c>
    </row>
    <row r="780" spans="1:8">
      <c r="B780" s="41" t="s">
        <v>11662</v>
      </c>
      <c r="C780" s="42">
        <v>26</v>
      </c>
      <c r="D780" s="53" t="s">
        <v>1136</v>
      </c>
      <c r="E780" s="53" t="s">
        <v>11791</v>
      </c>
      <c r="F780" s="53" t="s">
        <v>11533</v>
      </c>
      <c r="G780" s="53" t="s">
        <v>734</v>
      </c>
      <c r="H780" s="86" t="s">
        <v>11663</v>
      </c>
    </row>
    <row r="781" spans="1:8" ht="66">
      <c r="B781" s="41" t="s">
        <v>11656</v>
      </c>
      <c r="C781" s="42">
        <v>18</v>
      </c>
      <c r="D781" s="53" t="s">
        <v>282</v>
      </c>
      <c r="E781" s="53" t="s">
        <v>9838</v>
      </c>
      <c r="F781" s="53" t="s">
        <v>9839</v>
      </c>
      <c r="G781" s="53" t="s">
        <v>9843</v>
      </c>
      <c r="H781" s="144" t="s">
        <v>17416</v>
      </c>
    </row>
    <row r="782" spans="1:8">
      <c r="B782" s="41" t="s">
        <v>11660</v>
      </c>
      <c r="C782" s="42">
        <v>15</v>
      </c>
      <c r="D782" s="53" t="s">
        <v>1126</v>
      </c>
      <c r="E782" s="53" t="s">
        <v>3729</v>
      </c>
      <c r="F782" s="53" t="s">
        <v>11539</v>
      </c>
      <c r="G782" s="53" t="s">
        <v>734</v>
      </c>
      <c r="H782" s="86" t="s">
        <v>11661</v>
      </c>
    </row>
    <row r="783" spans="1:8">
      <c r="B783" s="41" t="s">
        <v>11578</v>
      </c>
      <c r="C783" s="42">
        <v>13</v>
      </c>
      <c r="D783" s="53" t="s">
        <v>1126</v>
      </c>
      <c r="E783" s="53" t="s">
        <v>11791</v>
      </c>
      <c r="F783" s="53" t="s">
        <v>11539</v>
      </c>
      <c r="G783" s="53" t="s">
        <v>734</v>
      </c>
      <c r="H783" s="86" t="s">
        <v>11544</v>
      </c>
    </row>
    <row r="784" spans="1:8">
      <c r="B784" s="41" t="s">
        <v>11547</v>
      </c>
      <c r="C784" s="42">
        <v>18</v>
      </c>
      <c r="D784" s="53" t="s">
        <v>1136</v>
      </c>
      <c r="E784" s="53" t="s">
        <v>3729</v>
      </c>
      <c r="F784" s="53" t="s">
        <v>11539</v>
      </c>
      <c r="G784" s="53" t="s">
        <v>734</v>
      </c>
      <c r="H784" s="86" t="s">
        <v>17417</v>
      </c>
    </row>
    <row r="785" spans="1:10">
      <c r="A785" s="608" t="s">
        <v>11500</v>
      </c>
      <c r="B785" s="41" t="s">
        <v>11665</v>
      </c>
      <c r="C785" s="42">
        <v>10</v>
      </c>
      <c r="D785" s="53" t="s">
        <v>1126</v>
      </c>
      <c r="E785" s="53" t="s">
        <v>11791</v>
      </c>
      <c r="F785" s="53" t="s">
        <v>472</v>
      </c>
      <c r="G785" s="53" t="s">
        <v>734</v>
      </c>
      <c r="H785" s="86" t="s">
        <v>11666</v>
      </c>
    </row>
    <row r="786" spans="1:10">
      <c r="B786" s="41" t="s">
        <v>11764</v>
      </c>
      <c r="C786" s="42">
        <v>30</v>
      </c>
      <c r="D786" s="53" t="s">
        <v>1136</v>
      </c>
      <c r="E786" s="53" t="s">
        <v>11791</v>
      </c>
      <c r="F786" s="53" t="s">
        <v>11765</v>
      </c>
      <c r="G786" s="53" t="s">
        <v>734</v>
      </c>
      <c r="H786" s="86" t="s">
        <v>11766</v>
      </c>
    </row>
    <row r="787" spans="1:10">
      <c r="B787" s="41" t="s">
        <v>9638</v>
      </c>
      <c r="C787" s="42">
        <v>27</v>
      </c>
      <c r="D787" s="53" t="s">
        <v>1136</v>
      </c>
      <c r="E787" s="53" t="s">
        <v>3729</v>
      </c>
      <c r="F787" s="53" t="s">
        <v>1283</v>
      </c>
      <c r="G787" s="53" t="s">
        <v>734</v>
      </c>
      <c r="H787" s="86" t="s">
        <v>9639</v>
      </c>
    </row>
    <row r="788" spans="1:10">
      <c r="A788" s="607"/>
      <c r="B788" s="41" t="s">
        <v>11659</v>
      </c>
      <c r="C788" s="42">
        <v>10</v>
      </c>
      <c r="D788" s="53" t="s">
        <v>1126</v>
      </c>
      <c r="E788" s="53" t="s">
        <v>3729</v>
      </c>
      <c r="F788" s="53" t="s">
        <v>472</v>
      </c>
      <c r="G788" s="53" t="s">
        <v>734</v>
      </c>
      <c r="H788" s="86" t="s">
        <v>17418</v>
      </c>
    </row>
    <row r="789" spans="1:10">
      <c r="B789" s="41" t="s">
        <v>11542</v>
      </c>
      <c r="C789" s="42">
        <v>8</v>
      </c>
      <c r="D789" s="53" t="s">
        <v>1126</v>
      </c>
      <c r="E789" s="53" t="s">
        <v>1127</v>
      </c>
      <c r="F789" s="53" t="s">
        <v>472</v>
      </c>
      <c r="G789" s="53" t="s">
        <v>734</v>
      </c>
      <c r="H789" s="86" t="s">
        <v>11543</v>
      </c>
    </row>
    <row r="790" spans="1:10">
      <c r="B790" s="41" t="s">
        <v>11579</v>
      </c>
      <c r="C790" s="42">
        <v>10</v>
      </c>
      <c r="D790" s="53" t="s">
        <v>1136</v>
      </c>
      <c r="E790" s="53" t="s">
        <v>3729</v>
      </c>
      <c r="F790" s="53" t="s">
        <v>472</v>
      </c>
      <c r="G790" s="53" t="s">
        <v>734</v>
      </c>
      <c r="H790" s="86" t="s">
        <v>11580</v>
      </c>
    </row>
    <row r="791" spans="1:10">
      <c r="B791" s="41" t="s">
        <v>9739</v>
      </c>
      <c r="C791" s="42">
        <v>20</v>
      </c>
      <c r="D791" s="53" t="s">
        <v>1136</v>
      </c>
      <c r="E791" s="53" t="s">
        <v>3711</v>
      </c>
      <c r="F791" s="53" t="s">
        <v>1617</v>
      </c>
      <c r="G791" s="53" t="s">
        <v>9875</v>
      </c>
      <c r="H791" s="86" t="s">
        <v>9883</v>
      </c>
    </row>
    <row r="792" spans="1:10">
      <c r="B792" s="41" t="s">
        <v>17419</v>
      </c>
      <c r="C792" s="42">
        <v>40</v>
      </c>
      <c r="D792" s="53" t="s">
        <v>282</v>
      </c>
      <c r="E792" s="53" t="s">
        <v>1948</v>
      </c>
      <c r="F792" s="53" t="s">
        <v>1617</v>
      </c>
      <c r="G792" s="53" t="s">
        <v>11538</v>
      </c>
      <c r="H792" s="86" t="s">
        <v>17420</v>
      </c>
    </row>
    <row r="793" spans="1:10">
      <c r="B793" s="41" t="s">
        <v>14643</v>
      </c>
      <c r="C793" s="42">
        <v>15</v>
      </c>
      <c r="D793" s="53" t="s">
        <v>1136</v>
      </c>
      <c r="E793" s="53" t="s">
        <v>11791</v>
      </c>
      <c r="F793" s="53" t="s">
        <v>734</v>
      </c>
      <c r="G793" s="53" t="s">
        <v>1810</v>
      </c>
      <c r="H793" s="86" t="s">
        <v>14644</v>
      </c>
    </row>
    <row r="794" spans="1:10">
      <c r="A794" s="45"/>
      <c r="B794" s="41" t="s">
        <v>11531</v>
      </c>
      <c r="C794" s="42">
        <v>20</v>
      </c>
      <c r="D794" s="53" t="s">
        <v>282</v>
      </c>
      <c r="E794" s="53" t="s">
        <v>7171</v>
      </c>
      <c r="F794" s="53" t="s">
        <v>11532</v>
      </c>
      <c r="G794" s="53" t="s">
        <v>734</v>
      </c>
      <c r="H794" s="86" t="s">
        <v>11536</v>
      </c>
    </row>
    <row r="795" spans="1:10">
      <c r="A795" s="676" t="s">
        <v>12948</v>
      </c>
      <c r="B795" s="41" t="s">
        <v>12960</v>
      </c>
      <c r="C795" s="42">
        <v>10</v>
      </c>
      <c r="D795" s="53" t="s">
        <v>1136</v>
      </c>
      <c r="E795" s="53" t="s">
        <v>12961</v>
      </c>
      <c r="F795" s="53" t="s">
        <v>12962</v>
      </c>
      <c r="G795" s="53" t="s">
        <v>17421</v>
      </c>
      <c r="H795" s="534" t="s">
        <v>17422</v>
      </c>
    </row>
    <row r="796" spans="1:10">
      <c r="A796" s="45"/>
      <c r="B796" s="41" t="s">
        <v>12966</v>
      </c>
      <c r="C796" s="42">
        <v>8</v>
      </c>
      <c r="D796" s="53" t="s">
        <v>1126</v>
      </c>
      <c r="E796" s="53" t="s">
        <v>11791</v>
      </c>
      <c r="F796" s="53" t="s">
        <v>1130</v>
      </c>
      <c r="G796" s="53" t="s">
        <v>1973</v>
      </c>
      <c r="H796" s="86" t="s">
        <v>12971</v>
      </c>
    </row>
    <row r="797" spans="1:10">
      <c r="A797" s="45"/>
      <c r="B797" s="41" t="s">
        <v>11752</v>
      </c>
      <c r="C797" s="42">
        <v>15</v>
      </c>
      <c r="D797" s="53" t="s">
        <v>1126</v>
      </c>
      <c r="E797" s="53" t="s">
        <v>11791</v>
      </c>
      <c r="F797" s="53" t="s">
        <v>11744</v>
      </c>
      <c r="G797" s="53" t="s">
        <v>11753</v>
      </c>
      <c r="H797" s="86" t="s">
        <v>12970</v>
      </c>
    </row>
    <row r="798" spans="1:10">
      <c r="A798" s="45"/>
      <c r="B798" s="41" t="s">
        <v>12963</v>
      </c>
      <c r="C798" s="42">
        <v>18</v>
      </c>
      <c r="D798" s="53" t="s">
        <v>1136</v>
      </c>
      <c r="E798" s="53" t="s">
        <v>484</v>
      </c>
      <c r="F798" s="53" t="s">
        <v>958</v>
      </c>
      <c r="G798" s="53" t="s">
        <v>12964</v>
      </c>
      <c r="H798" s="86" t="s">
        <v>17423</v>
      </c>
    </row>
    <row r="799" spans="1:10">
      <c r="A799" s="45"/>
      <c r="B799" s="41" t="s">
        <v>16462</v>
      </c>
      <c r="C799" s="42">
        <v>15</v>
      </c>
      <c r="D799" s="53" t="s">
        <v>9239</v>
      </c>
      <c r="E799" s="53" t="s">
        <v>3732</v>
      </c>
      <c r="F799" s="53" t="s">
        <v>1130</v>
      </c>
      <c r="G799" s="53" t="s">
        <v>16463</v>
      </c>
      <c r="H799" s="86" t="s">
        <v>16464</v>
      </c>
    </row>
    <row r="800" spans="1:10">
      <c r="A800" s="676" t="s">
        <v>12947</v>
      </c>
      <c r="B800" s="41" t="s">
        <v>12978</v>
      </c>
      <c r="C800" s="42">
        <v>31</v>
      </c>
      <c r="D800" s="53" t="s">
        <v>282</v>
      </c>
      <c r="E800" s="53" t="s">
        <v>484</v>
      </c>
      <c r="F800" s="53" t="s">
        <v>9869</v>
      </c>
      <c r="G800" s="53" t="s">
        <v>17424</v>
      </c>
      <c r="H800" s="86" t="s">
        <v>12979</v>
      </c>
      <c r="J800" s="42"/>
    </row>
    <row r="801" spans="1:8">
      <c r="A801" s="681"/>
      <c r="B801" s="41" t="s">
        <v>16466</v>
      </c>
      <c r="C801" s="42">
        <v>14</v>
      </c>
      <c r="D801" s="53" t="s">
        <v>1136</v>
      </c>
      <c r="E801" s="53" t="s">
        <v>1127</v>
      </c>
      <c r="F801" s="53" t="s">
        <v>1128</v>
      </c>
      <c r="G801" s="53" t="s">
        <v>17424</v>
      </c>
      <c r="H801" s="534" t="s">
        <v>12972</v>
      </c>
    </row>
    <row r="802" spans="1:8">
      <c r="A802" s="45"/>
      <c r="B802" s="41" t="s">
        <v>12969</v>
      </c>
      <c r="C802" s="42">
        <v>12</v>
      </c>
      <c r="D802" s="53" t="s">
        <v>1126</v>
      </c>
      <c r="E802" s="53" t="s">
        <v>1127</v>
      </c>
      <c r="F802" s="53" t="s">
        <v>1625</v>
      </c>
      <c r="G802" s="53" t="s">
        <v>17421</v>
      </c>
      <c r="H802" s="86" t="s">
        <v>16465</v>
      </c>
    </row>
    <row r="803" spans="1:8">
      <c r="A803" s="45"/>
      <c r="B803" s="41" t="s">
        <v>12965</v>
      </c>
      <c r="C803" s="42">
        <v>18</v>
      </c>
      <c r="D803" s="53" t="s">
        <v>1136</v>
      </c>
      <c r="E803" s="53" t="s">
        <v>476</v>
      </c>
      <c r="F803" s="53" t="s">
        <v>11744</v>
      </c>
      <c r="G803" s="53" t="s">
        <v>11751</v>
      </c>
      <c r="H803" s="86" t="s">
        <v>17425</v>
      </c>
    </row>
    <row r="804" spans="1:8" ht="12.6" customHeight="1">
      <c r="B804" s="41" t="s">
        <v>11740</v>
      </c>
      <c r="C804" s="42">
        <v>12</v>
      </c>
      <c r="D804" s="53" t="s">
        <v>1136</v>
      </c>
      <c r="E804" s="53" t="s">
        <v>11791</v>
      </c>
      <c r="F804" s="53" t="s">
        <v>11744</v>
      </c>
      <c r="G804" s="53" t="s">
        <v>11742</v>
      </c>
      <c r="H804" s="86" t="s">
        <v>17426</v>
      </c>
    </row>
    <row r="805" spans="1:8" ht="12.6" customHeight="1">
      <c r="B805" s="41" t="s">
        <v>17427</v>
      </c>
      <c r="C805" s="42">
        <v>15</v>
      </c>
      <c r="D805" s="53" t="s">
        <v>1136</v>
      </c>
      <c r="E805" s="53" t="s">
        <v>3732</v>
      </c>
      <c r="F805" s="53" t="s">
        <v>1130</v>
      </c>
      <c r="G805" s="53" t="s">
        <v>16467</v>
      </c>
      <c r="H805" s="86" t="s">
        <v>16468</v>
      </c>
    </row>
    <row r="806" spans="1:8" ht="12.6" customHeight="1">
      <c r="B806" s="41" t="s">
        <v>17428</v>
      </c>
      <c r="C806" s="42">
        <v>19</v>
      </c>
      <c r="D806" s="53" t="s">
        <v>1136</v>
      </c>
      <c r="E806" s="53" t="s">
        <v>467</v>
      </c>
      <c r="F806" s="53" t="s">
        <v>1128</v>
      </c>
      <c r="G806" s="53" t="s">
        <v>11745</v>
      </c>
      <c r="H806" s="86" t="s">
        <v>16469</v>
      </c>
    </row>
    <row r="807" spans="1:8">
      <c r="B807" s="41" t="s">
        <v>12974</v>
      </c>
      <c r="C807" s="42">
        <v>10</v>
      </c>
      <c r="D807" s="53" t="s">
        <v>1136</v>
      </c>
      <c r="E807" s="53" t="s">
        <v>3732</v>
      </c>
      <c r="F807" s="53" t="s">
        <v>1128</v>
      </c>
      <c r="G807" s="53" t="s">
        <v>17429</v>
      </c>
      <c r="H807" s="86" t="s">
        <v>12975</v>
      </c>
    </row>
    <row r="808" spans="1:8">
      <c r="A808" s="609" t="s">
        <v>1326</v>
      </c>
      <c r="B808" s="41" t="s">
        <v>1461</v>
      </c>
      <c r="C808" s="42">
        <v>7</v>
      </c>
      <c r="D808" s="53" t="s">
        <v>1126</v>
      </c>
      <c r="G808" s="53" t="s">
        <v>1995</v>
      </c>
      <c r="H808" s="42" t="s">
        <v>1996</v>
      </c>
    </row>
    <row r="809" spans="1:8">
      <c r="B809" s="41" t="s">
        <v>1462</v>
      </c>
      <c r="C809" s="42">
        <v>9</v>
      </c>
      <c r="D809" s="53" t="s">
        <v>1136</v>
      </c>
      <c r="G809" s="53" t="s">
        <v>1997</v>
      </c>
      <c r="H809" s="42" t="s">
        <v>1998</v>
      </c>
    </row>
    <row r="810" spans="1:8">
      <c r="B810" s="41" t="s">
        <v>1463</v>
      </c>
      <c r="C810" s="42">
        <v>12</v>
      </c>
      <c r="D810" s="53" t="s">
        <v>282</v>
      </c>
      <c r="G810" s="53" t="s">
        <v>17430</v>
      </c>
      <c r="H810" s="86" t="s">
        <v>9141</v>
      </c>
    </row>
    <row r="811" spans="1:8">
      <c r="B811" s="41" t="s">
        <v>1464</v>
      </c>
      <c r="C811" s="42">
        <v>13</v>
      </c>
      <c r="D811" s="53" t="s">
        <v>1126</v>
      </c>
      <c r="G811" s="53" t="s">
        <v>1999</v>
      </c>
      <c r="H811" s="44" t="s">
        <v>2000</v>
      </c>
    </row>
    <row r="812" spans="1:8">
      <c r="B812" s="41" t="s">
        <v>1465</v>
      </c>
      <c r="C812" s="42">
        <v>16</v>
      </c>
      <c r="D812" s="53" t="s">
        <v>1136</v>
      </c>
      <c r="G812" s="53" t="s">
        <v>2001</v>
      </c>
      <c r="H812" s="44" t="s">
        <v>2002</v>
      </c>
    </row>
    <row r="813" spans="1:8">
      <c r="B813" s="41" t="s">
        <v>1466</v>
      </c>
      <c r="C813" s="42">
        <v>17</v>
      </c>
      <c r="D813" s="53" t="s">
        <v>1136</v>
      </c>
      <c r="G813" s="53" t="s">
        <v>2003</v>
      </c>
      <c r="H813" s="44" t="s">
        <v>2004</v>
      </c>
    </row>
    <row r="814" spans="1:8">
      <c r="B814" s="41" t="s">
        <v>1467</v>
      </c>
      <c r="C814" s="42">
        <v>20</v>
      </c>
      <c r="D814" s="53" t="s">
        <v>1126</v>
      </c>
      <c r="G814" s="53" t="s">
        <v>2005</v>
      </c>
      <c r="H814" s="44" t="s">
        <v>2006</v>
      </c>
    </row>
    <row r="815" spans="1:8">
      <c r="B815" s="41" t="s">
        <v>1468</v>
      </c>
      <c r="C815" s="42">
        <v>24</v>
      </c>
      <c r="D815" s="53" t="s">
        <v>1136</v>
      </c>
      <c r="G815" s="53" t="s">
        <v>2007</v>
      </c>
      <c r="H815" s="44" t="s">
        <v>2008</v>
      </c>
    </row>
    <row r="816" spans="1:8">
      <c r="B816" s="41" t="s">
        <v>9140</v>
      </c>
      <c r="C816" s="42">
        <v>25</v>
      </c>
      <c r="D816" s="53" t="s">
        <v>282</v>
      </c>
      <c r="G816" s="53" t="s">
        <v>17431</v>
      </c>
      <c r="H816" s="86" t="s">
        <v>9142</v>
      </c>
    </row>
    <row r="817" spans="1:8">
      <c r="B817" s="41" t="s">
        <v>1469</v>
      </c>
      <c r="C817" s="42">
        <v>27</v>
      </c>
      <c r="D817" s="53" t="s">
        <v>1126</v>
      </c>
      <c r="G817" s="53" t="s">
        <v>2009</v>
      </c>
      <c r="H817" s="86" t="s">
        <v>2010</v>
      </c>
    </row>
    <row r="818" spans="1:8">
      <c r="A818" s="609" t="s">
        <v>9921</v>
      </c>
      <c r="B818" s="41" t="s">
        <v>1477</v>
      </c>
      <c r="C818" s="42">
        <v>22</v>
      </c>
      <c r="D818" s="53" t="s">
        <v>282</v>
      </c>
      <c r="G818" s="53" t="s">
        <v>2025</v>
      </c>
      <c r="H818" s="44" t="s">
        <v>2026</v>
      </c>
    </row>
    <row r="819" spans="1:8">
      <c r="B819" s="41" t="s">
        <v>1474</v>
      </c>
      <c r="C819" s="42">
        <v>15</v>
      </c>
      <c r="D819" s="53" t="s">
        <v>1136</v>
      </c>
      <c r="G819" s="53" t="s">
        <v>2020</v>
      </c>
      <c r="H819" s="86" t="s">
        <v>17432</v>
      </c>
    </row>
    <row r="820" spans="1:8">
      <c r="B820" s="41" t="s">
        <v>1479</v>
      </c>
      <c r="C820" s="42">
        <v>26</v>
      </c>
      <c r="D820" s="53" t="s">
        <v>1136</v>
      </c>
      <c r="G820" s="53" t="s">
        <v>2029</v>
      </c>
      <c r="H820" s="86" t="s">
        <v>17433</v>
      </c>
    </row>
    <row r="821" spans="1:8">
      <c r="B821" s="41" t="s">
        <v>1476</v>
      </c>
      <c r="C821" s="42">
        <v>19</v>
      </c>
      <c r="D821" s="53" t="s">
        <v>1136</v>
      </c>
      <c r="G821" s="53" t="s">
        <v>2023</v>
      </c>
      <c r="H821" s="44" t="s">
        <v>2024</v>
      </c>
    </row>
    <row r="822" spans="1:8">
      <c r="B822" s="41" t="s">
        <v>3724</v>
      </c>
      <c r="C822" s="42">
        <v>11</v>
      </c>
      <c r="D822" s="53" t="s">
        <v>1136</v>
      </c>
      <c r="E822" s="53" t="s">
        <v>2912</v>
      </c>
      <c r="F822" s="53" t="s">
        <v>1130</v>
      </c>
      <c r="G822" s="53" t="s">
        <v>3726</v>
      </c>
      <c r="H822" s="86" t="s">
        <v>17434</v>
      </c>
    </row>
    <row r="823" spans="1:8">
      <c r="B823" s="41" t="s">
        <v>1475</v>
      </c>
      <c r="C823" s="42">
        <v>17</v>
      </c>
      <c r="D823" s="53" t="s">
        <v>1126</v>
      </c>
      <c r="G823" s="53" t="s">
        <v>2021</v>
      </c>
      <c r="H823" s="44" t="s">
        <v>2022</v>
      </c>
    </row>
    <row r="824" spans="1:8">
      <c r="B824" s="41" t="s">
        <v>3725</v>
      </c>
      <c r="C824" s="42">
        <v>27</v>
      </c>
      <c r="D824" s="53" t="s">
        <v>282</v>
      </c>
      <c r="E824" s="53" t="s">
        <v>11791</v>
      </c>
      <c r="F824" s="53" t="s">
        <v>1630</v>
      </c>
      <c r="G824" s="53" t="s">
        <v>3727</v>
      </c>
      <c r="H824" s="86" t="s">
        <v>17435</v>
      </c>
    </row>
    <row r="825" spans="1:8">
      <c r="B825" s="41" t="s">
        <v>3728</v>
      </c>
      <c r="C825" s="42">
        <v>6</v>
      </c>
      <c r="D825" s="53" t="s">
        <v>1126</v>
      </c>
      <c r="E825" s="53" t="s">
        <v>3729</v>
      </c>
      <c r="F825" s="53" t="s">
        <v>468</v>
      </c>
      <c r="G825" s="53" t="s">
        <v>1518</v>
      </c>
      <c r="H825" s="44" t="s">
        <v>3730</v>
      </c>
    </row>
    <row r="826" spans="1:8">
      <c r="B826" s="41" t="s">
        <v>1478</v>
      </c>
      <c r="C826" s="42">
        <v>24</v>
      </c>
      <c r="D826" s="53" t="s">
        <v>282</v>
      </c>
      <c r="G826" s="53" t="s">
        <v>2027</v>
      </c>
      <c r="H826" s="44" t="s">
        <v>2028</v>
      </c>
    </row>
    <row r="827" spans="1:8">
      <c r="B827" s="41" t="s">
        <v>1473</v>
      </c>
      <c r="C827" s="42">
        <v>13</v>
      </c>
      <c r="D827" s="53" t="s">
        <v>1126</v>
      </c>
      <c r="G827" s="53" t="s">
        <v>2018</v>
      </c>
      <c r="H827" s="44" t="s">
        <v>2019</v>
      </c>
    </row>
    <row r="828" spans="1:8">
      <c r="B828" s="41" t="s">
        <v>1471</v>
      </c>
      <c r="C828" s="42">
        <v>8</v>
      </c>
      <c r="D828" s="53" t="s">
        <v>2013</v>
      </c>
      <c r="G828" s="53" t="s">
        <v>2014</v>
      </c>
      <c r="H828" s="44" t="s">
        <v>2015</v>
      </c>
    </row>
    <row r="829" spans="1:8">
      <c r="B829" s="41" t="s">
        <v>3731</v>
      </c>
      <c r="C829" s="42">
        <v>12</v>
      </c>
      <c r="D829" s="53" t="s">
        <v>1126</v>
      </c>
      <c r="E829" s="53" t="s">
        <v>3732</v>
      </c>
      <c r="F829" s="53" t="s">
        <v>1130</v>
      </c>
      <c r="G829" s="53" t="s">
        <v>3733</v>
      </c>
      <c r="H829" s="86" t="s">
        <v>17436</v>
      </c>
    </row>
    <row r="830" spans="1:8">
      <c r="B830" s="41" t="s">
        <v>1472</v>
      </c>
      <c r="C830" s="42">
        <v>11</v>
      </c>
      <c r="D830" s="53" t="s">
        <v>1149</v>
      </c>
      <c r="G830" s="53" t="s">
        <v>2016</v>
      </c>
      <c r="H830" s="44" t="s">
        <v>2017</v>
      </c>
    </row>
    <row r="831" spans="1:8">
      <c r="B831" s="41" t="s">
        <v>3734</v>
      </c>
      <c r="C831" s="42">
        <v>21</v>
      </c>
      <c r="D831" s="53" t="s">
        <v>1136</v>
      </c>
      <c r="E831" s="53" t="s">
        <v>11791</v>
      </c>
      <c r="F831" s="53" t="s">
        <v>1625</v>
      </c>
      <c r="G831" s="53" t="s">
        <v>3736</v>
      </c>
      <c r="H831" s="86" t="s">
        <v>17437</v>
      </c>
    </row>
    <row r="832" spans="1:8">
      <c r="B832" s="41" t="s">
        <v>3735</v>
      </c>
      <c r="C832" s="42">
        <v>15</v>
      </c>
      <c r="D832" s="53" t="s">
        <v>1136</v>
      </c>
      <c r="E832" s="53" t="s">
        <v>3729</v>
      </c>
      <c r="F832" s="53" t="s">
        <v>1130</v>
      </c>
      <c r="G832" s="53" t="s">
        <v>3737</v>
      </c>
      <c r="H832" s="86" t="s">
        <v>17438</v>
      </c>
    </row>
    <row r="833" spans="1:8">
      <c r="B833" s="41" t="s">
        <v>1470</v>
      </c>
      <c r="C833" s="42">
        <v>6</v>
      </c>
      <c r="D833" s="53" t="s">
        <v>1136</v>
      </c>
      <c r="G833" s="53" t="s">
        <v>2011</v>
      </c>
      <c r="H833" s="44" t="s">
        <v>2012</v>
      </c>
    </row>
    <row r="834" spans="1:8">
      <c r="A834" s="609" t="s">
        <v>1327</v>
      </c>
      <c r="B834" s="41" t="s">
        <v>1480</v>
      </c>
      <c r="C834" s="42">
        <v>12</v>
      </c>
      <c r="D834" s="53" t="s">
        <v>1126</v>
      </c>
      <c r="G834" s="53" t="s">
        <v>1712</v>
      </c>
      <c r="H834" s="44" t="s">
        <v>1713</v>
      </c>
    </row>
    <row r="835" spans="1:8">
      <c r="B835" s="41" t="s">
        <v>1481</v>
      </c>
      <c r="C835" s="42">
        <v>10</v>
      </c>
      <c r="D835" s="53" t="s">
        <v>1126</v>
      </c>
      <c r="G835" s="53" t="s">
        <v>1714</v>
      </c>
      <c r="H835" s="44" t="s">
        <v>1715</v>
      </c>
    </row>
    <row r="836" spans="1:8">
      <c r="B836" s="41" t="s">
        <v>1482</v>
      </c>
      <c r="C836" s="42">
        <v>7</v>
      </c>
      <c r="D836" s="53" t="s">
        <v>1126</v>
      </c>
      <c r="G836" s="53" t="s">
        <v>1716</v>
      </c>
      <c r="H836" s="44" t="s">
        <v>1717</v>
      </c>
    </row>
    <row r="837" spans="1:8">
      <c r="B837" s="41" t="s">
        <v>1483</v>
      </c>
      <c r="C837" s="42">
        <v>25</v>
      </c>
      <c r="D837" s="53" t="s">
        <v>1136</v>
      </c>
      <c r="G837" s="53" t="s">
        <v>1718</v>
      </c>
      <c r="H837" s="44" t="s">
        <v>1719</v>
      </c>
    </row>
    <row r="838" spans="1:8">
      <c r="B838" s="41" t="s">
        <v>1484</v>
      </c>
      <c r="C838" s="42">
        <v>14</v>
      </c>
      <c r="D838" s="53" t="s">
        <v>1126</v>
      </c>
      <c r="G838" s="53" t="s">
        <v>1720</v>
      </c>
      <c r="H838" s="44" t="s">
        <v>1721</v>
      </c>
    </row>
    <row r="839" spans="1:8">
      <c r="B839" s="41" t="s">
        <v>1485</v>
      </c>
      <c r="C839" s="42">
        <v>8</v>
      </c>
      <c r="D839" s="53" t="s">
        <v>1136</v>
      </c>
      <c r="G839" s="53" t="s">
        <v>1722</v>
      </c>
      <c r="H839" s="44" t="s">
        <v>1723</v>
      </c>
    </row>
    <row r="840" spans="1:8">
      <c r="B840" s="41" t="s">
        <v>1486</v>
      </c>
      <c r="C840" s="42">
        <v>14</v>
      </c>
      <c r="D840" s="53" t="s">
        <v>1136</v>
      </c>
      <c r="G840" s="53" t="s">
        <v>1724</v>
      </c>
      <c r="H840" s="44" t="s">
        <v>1725</v>
      </c>
    </row>
    <row r="841" spans="1:8">
      <c r="B841" s="41" t="s">
        <v>1487</v>
      </c>
      <c r="C841" s="42">
        <v>6</v>
      </c>
      <c r="D841" s="53" t="s">
        <v>1126</v>
      </c>
      <c r="G841" s="53" t="s">
        <v>1726</v>
      </c>
      <c r="H841" s="44" t="s">
        <v>1727</v>
      </c>
    </row>
    <row r="842" spans="1:8">
      <c r="B842" s="41" t="s">
        <v>1488</v>
      </c>
      <c r="C842" s="42">
        <v>18</v>
      </c>
      <c r="D842" s="53" t="s">
        <v>1136</v>
      </c>
      <c r="G842" s="53" t="s">
        <v>1728</v>
      </c>
      <c r="H842" s="44" t="s">
        <v>1730</v>
      </c>
    </row>
    <row r="843" spans="1:8">
      <c r="B843" s="41" t="s">
        <v>1489</v>
      </c>
      <c r="C843" s="42">
        <v>11</v>
      </c>
      <c r="D843" s="53" t="s">
        <v>1126</v>
      </c>
      <c r="G843" s="53" t="s">
        <v>1729</v>
      </c>
      <c r="H843" s="44" t="s">
        <v>1731</v>
      </c>
    </row>
    <row r="844" spans="1:8">
      <c r="B844" s="41" t="s">
        <v>1490</v>
      </c>
      <c r="C844" s="42">
        <v>26</v>
      </c>
      <c r="D844" s="53" t="s">
        <v>1126</v>
      </c>
      <c r="G844" s="53" t="s">
        <v>1732</v>
      </c>
      <c r="H844" s="44" t="s">
        <v>1733</v>
      </c>
    </row>
    <row r="845" spans="1:8">
      <c r="B845" s="41" t="s">
        <v>1491</v>
      </c>
      <c r="C845" s="42">
        <v>18</v>
      </c>
      <c r="D845" s="53" t="s">
        <v>1136</v>
      </c>
      <c r="G845" s="53" t="s">
        <v>1734</v>
      </c>
      <c r="H845" s="44" t="s">
        <v>1735</v>
      </c>
    </row>
    <row r="846" spans="1:8">
      <c r="B846" s="41" t="s">
        <v>1492</v>
      </c>
      <c r="C846" s="42">
        <v>6</v>
      </c>
      <c r="D846" s="53" t="s">
        <v>1126</v>
      </c>
      <c r="G846" s="53" t="s">
        <v>1736</v>
      </c>
      <c r="H846" s="44" t="s">
        <v>1737</v>
      </c>
    </row>
    <row r="847" spans="1:8">
      <c r="B847" s="41" t="s">
        <v>1493</v>
      </c>
      <c r="C847" s="42">
        <v>20</v>
      </c>
      <c r="D847" s="53" t="s">
        <v>1126</v>
      </c>
      <c r="G847" s="53" t="s">
        <v>1738</v>
      </c>
      <c r="H847" s="44" t="s">
        <v>1739</v>
      </c>
    </row>
    <row r="848" spans="1:8">
      <c r="B848" s="41" t="s">
        <v>1494</v>
      </c>
      <c r="C848" s="42">
        <v>16</v>
      </c>
      <c r="D848" s="53" t="s">
        <v>1126</v>
      </c>
      <c r="G848" s="53" t="s">
        <v>1740</v>
      </c>
      <c r="H848" s="44" t="s">
        <v>1741</v>
      </c>
    </row>
    <row r="849" spans="1:8">
      <c r="B849" s="41" t="s">
        <v>1495</v>
      </c>
      <c r="C849" s="42">
        <v>26</v>
      </c>
      <c r="D849" s="53" t="s">
        <v>1136</v>
      </c>
      <c r="G849" s="53" t="s">
        <v>1742</v>
      </c>
      <c r="H849" s="44" t="s">
        <v>1743</v>
      </c>
    </row>
    <row r="850" spans="1:8">
      <c r="B850" s="41" t="s">
        <v>1496</v>
      </c>
      <c r="C850" s="42">
        <v>12</v>
      </c>
      <c r="D850" s="53" t="s">
        <v>1126</v>
      </c>
      <c r="G850" s="53" t="s">
        <v>1744</v>
      </c>
      <c r="H850" s="44" t="s">
        <v>1745</v>
      </c>
    </row>
    <row r="851" spans="1:8">
      <c r="B851" s="41" t="s">
        <v>1497</v>
      </c>
      <c r="C851" s="42">
        <v>24</v>
      </c>
      <c r="D851" s="53" t="s">
        <v>1136</v>
      </c>
      <c r="G851" s="53" t="s">
        <v>1746</v>
      </c>
      <c r="H851" s="44" t="s">
        <v>1748</v>
      </c>
    </row>
    <row r="852" spans="1:8">
      <c r="B852" s="41" t="s">
        <v>1498</v>
      </c>
      <c r="C852" s="42">
        <v>10</v>
      </c>
      <c r="D852" s="53" t="s">
        <v>1126</v>
      </c>
      <c r="G852" s="53" t="s">
        <v>1747</v>
      </c>
      <c r="H852" s="44" t="s">
        <v>1749</v>
      </c>
    </row>
    <row r="853" spans="1:8">
      <c r="B853" s="41" t="s">
        <v>1499</v>
      </c>
      <c r="C853" s="42">
        <v>8</v>
      </c>
      <c r="D853" s="53" t="s">
        <v>1126</v>
      </c>
      <c r="G853" s="53" t="s">
        <v>1750</v>
      </c>
      <c r="H853" s="86" t="s">
        <v>15589</v>
      </c>
    </row>
    <row r="854" spans="1:8">
      <c r="B854" s="41" t="s">
        <v>1500</v>
      </c>
      <c r="C854" s="42">
        <v>16</v>
      </c>
      <c r="D854" s="53" t="s">
        <v>1136</v>
      </c>
      <c r="G854" s="53" t="s">
        <v>1751</v>
      </c>
      <c r="H854" s="44" t="s">
        <v>1752</v>
      </c>
    </row>
    <row r="855" spans="1:8">
      <c r="B855" s="41" t="s">
        <v>1501</v>
      </c>
      <c r="C855" s="42">
        <v>20</v>
      </c>
      <c r="D855" s="53" t="s">
        <v>1136</v>
      </c>
      <c r="G855" s="53" t="s">
        <v>1753</v>
      </c>
      <c r="H855" s="44" t="s">
        <v>1754</v>
      </c>
    </row>
    <row r="856" spans="1:8">
      <c r="B856" s="41" t="s">
        <v>1502</v>
      </c>
      <c r="C856" s="42">
        <v>22</v>
      </c>
      <c r="D856" s="53" t="s">
        <v>484</v>
      </c>
      <c r="G856" s="53" t="s">
        <v>1755</v>
      </c>
      <c r="H856" s="44" t="s">
        <v>1756</v>
      </c>
    </row>
    <row r="857" spans="1:8">
      <c r="B857" s="41" t="s">
        <v>1503</v>
      </c>
      <c r="C857" s="42">
        <v>18</v>
      </c>
      <c r="D857" s="53" t="s">
        <v>1136</v>
      </c>
      <c r="G857" s="53" t="s">
        <v>1757</v>
      </c>
      <c r="H857" s="86" t="s">
        <v>15590</v>
      </c>
    </row>
    <row r="858" spans="1:8">
      <c r="A858" s="609" t="s">
        <v>3626</v>
      </c>
      <c r="B858" s="41" t="s">
        <v>3627</v>
      </c>
      <c r="C858" s="42">
        <v>12</v>
      </c>
      <c r="D858" s="53" t="s">
        <v>1126</v>
      </c>
      <c r="E858" s="53" t="s">
        <v>11791</v>
      </c>
      <c r="F858" s="53" t="s">
        <v>958</v>
      </c>
      <c r="G858" s="53" t="s">
        <v>3630</v>
      </c>
      <c r="H858" s="44" t="s">
        <v>3631</v>
      </c>
    </row>
    <row r="859" spans="1:8">
      <c r="B859" s="41" t="s">
        <v>9337</v>
      </c>
      <c r="C859" s="42">
        <v>10</v>
      </c>
      <c r="D859" s="53" t="s">
        <v>1126</v>
      </c>
      <c r="E859" s="53" t="s">
        <v>11791</v>
      </c>
      <c r="F859" s="53" t="s">
        <v>958</v>
      </c>
      <c r="G859" s="53" t="s">
        <v>9338</v>
      </c>
      <c r="H859" s="86" t="s">
        <v>17439</v>
      </c>
    </row>
    <row r="860" spans="1:8" ht="13.95" customHeight="1">
      <c r="B860" s="41" t="s">
        <v>3628</v>
      </c>
      <c r="C860" s="42">
        <v>16</v>
      </c>
      <c r="D860" s="53" t="s">
        <v>1126</v>
      </c>
      <c r="E860" s="53" t="s">
        <v>277</v>
      </c>
      <c r="F860" s="53" t="s">
        <v>958</v>
      </c>
      <c r="G860" s="53" t="s">
        <v>3632</v>
      </c>
      <c r="H860" s="58" t="s">
        <v>3633</v>
      </c>
    </row>
    <row r="861" spans="1:8">
      <c r="B861" s="41" t="s">
        <v>3629</v>
      </c>
      <c r="C861" s="42">
        <v>18</v>
      </c>
      <c r="D861" s="53" t="s">
        <v>1126</v>
      </c>
      <c r="E861" s="53" t="s">
        <v>467</v>
      </c>
      <c r="F861" s="53" t="s">
        <v>1917</v>
      </c>
      <c r="G861" s="53" t="s">
        <v>3634</v>
      </c>
      <c r="H861" s="44" t="s">
        <v>3635</v>
      </c>
    </row>
    <row r="862" spans="1:8">
      <c r="B862" s="41" t="s">
        <v>3636</v>
      </c>
      <c r="C862" s="42">
        <v>8</v>
      </c>
      <c r="D862" s="53" t="s">
        <v>1136</v>
      </c>
      <c r="F862" s="53" t="s">
        <v>270</v>
      </c>
      <c r="G862" s="53" t="s">
        <v>3644</v>
      </c>
      <c r="H862" s="44" t="s">
        <v>3643</v>
      </c>
    </row>
    <row r="863" spans="1:8">
      <c r="B863" s="41" t="s">
        <v>3637</v>
      </c>
      <c r="C863" s="42">
        <v>26</v>
      </c>
      <c r="D863" s="53" t="s">
        <v>1126</v>
      </c>
      <c r="E863" s="53" t="s">
        <v>277</v>
      </c>
      <c r="F863" s="53" t="s">
        <v>472</v>
      </c>
      <c r="G863" s="53" t="s">
        <v>3645</v>
      </c>
      <c r="H863" s="44" t="s">
        <v>3650</v>
      </c>
    </row>
    <row r="864" spans="1:8">
      <c r="B864" s="41" t="s">
        <v>3638</v>
      </c>
      <c r="C864" s="42">
        <v>18</v>
      </c>
      <c r="D864" s="53" t="s">
        <v>1126</v>
      </c>
      <c r="E864" s="53" t="s">
        <v>467</v>
      </c>
      <c r="F864" s="53" t="s">
        <v>874</v>
      </c>
      <c r="G864" s="53" t="s">
        <v>3646</v>
      </c>
      <c r="H864" s="44" t="s">
        <v>3651</v>
      </c>
    </row>
    <row r="865" spans="1:8">
      <c r="B865" s="41" t="s">
        <v>3639</v>
      </c>
      <c r="C865" s="42">
        <v>25</v>
      </c>
      <c r="D865" s="53" t="s">
        <v>282</v>
      </c>
      <c r="E865" s="53" t="s">
        <v>11791</v>
      </c>
      <c r="F865" s="53" t="s">
        <v>1130</v>
      </c>
      <c r="G865" s="53" t="s">
        <v>3647</v>
      </c>
      <c r="H865" s="44" t="s">
        <v>3652</v>
      </c>
    </row>
    <row r="866" spans="1:8">
      <c r="B866" s="41" t="s">
        <v>3640</v>
      </c>
      <c r="C866" s="42">
        <v>6</v>
      </c>
      <c r="D866" s="53" t="s">
        <v>1126</v>
      </c>
      <c r="E866" s="53" t="s">
        <v>11791</v>
      </c>
      <c r="F866" s="53" t="s">
        <v>270</v>
      </c>
      <c r="G866" s="53" t="s">
        <v>3648</v>
      </c>
      <c r="H866" s="44" t="s">
        <v>3653</v>
      </c>
    </row>
    <row r="867" spans="1:8">
      <c r="B867" s="41" t="s">
        <v>3641</v>
      </c>
      <c r="C867" s="42">
        <v>8</v>
      </c>
      <c r="D867" s="53" t="s">
        <v>1126</v>
      </c>
      <c r="E867" s="53" t="s">
        <v>471</v>
      </c>
      <c r="F867" s="53" t="s">
        <v>17440</v>
      </c>
      <c r="G867" s="53" t="s">
        <v>17441</v>
      </c>
      <c r="H867" s="44" t="s">
        <v>3654</v>
      </c>
    </row>
    <row r="868" spans="1:8">
      <c r="B868" s="41" t="s">
        <v>3642</v>
      </c>
      <c r="C868" s="42">
        <v>29</v>
      </c>
      <c r="D868" s="53" t="s">
        <v>282</v>
      </c>
      <c r="E868" s="53" t="s">
        <v>467</v>
      </c>
      <c r="F868" s="53" t="s">
        <v>3656</v>
      </c>
      <c r="G868" s="53" t="s">
        <v>3649</v>
      </c>
      <c r="H868" s="44" t="s">
        <v>3655</v>
      </c>
    </row>
    <row r="869" spans="1:8">
      <c r="A869" s="609" t="s">
        <v>3657</v>
      </c>
      <c r="B869" s="41" t="s">
        <v>3658</v>
      </c>
      <c r="C869" s="42">
        <v>6</v>
      </c>
      <c r="D869" s="53" t="s">
        <v>1126</v>
      </c>
      <c r="E869" s="53" t="s">
        <v>471</v>
      </c>
      <c r="F869" s="53" t="s">
        <v>958</v>
      </c>
      <c r="G869" s="53" t="s">
        <v>3668</v>
      </c>
      <c r="H869" s="44" t="s">
        <v>3669</v>
      </c>
    </row>
    <row r="870" spans="1:8">
      <c r="B870" s="41" t="s">
        <v>3659</v>
      </c>
      <c r="C870" s="42">
        <v>16</v>
      </c>
      <c r="D870" s="53" t="s">
        <v>1126</v>
      </c>
      <c r="E870" s="53" t="s">
        <v>467</v>
      </c>
      <c r="F870" s="53" t="s">
        <v>468</v>
      </c>
      <c r="G870" s="53" t="s">
        <v>3670</v>
      </c>
      <c r="H870" s="44" t="s">
        <v>3674</v>
      </c>
    </row>
    <row r="871" spans="1:8">
      <c r="B871" s="41" t="s">
        <v>3660</v>
      </c>
      <c r="C871" s="42">
        <v>11</v>
      </c>
      <c r="D871" s="53" t="s">
        <v>1126</v>
      </c>
      <c r="E871" s="53" t="s">
        <v>1607</v>
      </c>
      <c r="F871" s="53" t="s">
        <v>958</v>
      </c>
      <c r="G871" s="53" t="s">
        <v>3671</v>
      </c>
      <c r="H871" s="44" t="s">
        <v>3675</v>
      </c>
    </row>
    <row r="872" spans="1:8">
      <c r="B872" s="41" t="s">
        <v>3661</v>
      </c>
      <c r="C872" s="42">
        <v>7</v>
      </c>
      <c r="D872" s="53" t="s">
        <v>1126</v>
      </c>
      <c r="E872" s="53" t="s">
        <v>471</v>
      </c>
      <c r="F872" s="53" t="s">
        <v>468</v>
      </c>
      <c r="G872" s="53" t="s">
        <v>3672</v>
      </c>
      <c r="H872" s="44" t="s">
        <v>3676</v>
      </c>
    </row>
    <row r="873" spans="1:8">
      <c r="B873" s="41" t="s">
        <v>3662</v>
      </c>
      <c r="C873" s="42">
        <v>25</v>
      </c>
      <c r="D873" s="53" t="s">
        <v>1126</v>
      </c>
      <c r="E873" s="53" t="s">
        <v>2912</v>
      </c>
      <c r="F873" s="53" t="s">
        <v>1130</v>
      </c>
      <c r="G873" s="53" t="s">
        <v>3673</v>
      </c>
      <c r="H873" s="44" t="s">
        <v>3677</v>
      </c>
    </row>
    <row r="874" spans="1:8">
      <c r="B874" s="41" t="s">
        <v>3663</v>
      </c>
      <c r="C874" s="42">
        <v>22</v>
      </c>
      <c r="D874" s="53" t="s">
        <v>1126</v>
      </c>
      <c r="E874" s="53" t="s">
        <v>277</v>
      </c>
      <c r="F874" s="53" t="s">
        <v>3683</v>
      </c>
      <c r="G874" s="53" t="s">
        <v>3678</v>
      </c>
      <c r="H874" s="44" t="s">
        <v>3682</v>
      </c>
    </row>
    <row r="875" spans="1:8">
      <c r="B875" s="41" t="s">
        <v>3664</v>
      </c>
      <c r="C875" s="42">
        <v>18</v>
      </c>
      <c r="D875" s="53" t="s">
        <v>1136</v>
      </c>
      <c r="E875" s="53" t="s">
        <v>467</v>
      </c>
      <c r="F875" s="53" t="s">
        <v>1130</v>
      </c>
      <c r="G875" s="53" t="s">
        <v>3679</v>
      </c>
      <c r="H875" s="44" t="s">
        <v>3684</v>
      </c>
    </row>
    <row r="876" spans="1:8">
      <c r="B876" s="41" t="s">
        <v>3665</v>
      </c>
      <c r="C876" s="42">
        <v>28</v>
      </c>
      <c r="D876" s="53" t="s">
        <v>1772</v>
      </c>
      <c r="E876" s="53" t="s">
        <v>3685</v>
      </c>
      <c r="F876" s="53" t="s">
        <v>472</v>
      </c>
      <c r="G876" s="53" t="s">
        <v>3680</v>
      </c>
      <c r="H876" s="44" t="s">
        <v>3686</v>
      </c>
    </row>
    <row r="877" spans="1:8">
      <c r="B877" s="41" t="s">
        <v>3666</v>
      </c>
      <c r="C877" s="42">
        <v>21</v>
      </c>
      <c r="D877" s="53" t="s">
        <v>1126</v>
      </c>
      <c r="F877" s="53" t="s">
        <v>1130</v>
      </c>
      <c r="G877" s="53" t="s">
        <v>3688</v>
      </c>
      <c r="H877" s="86" t="s">
        <v>3687</v>
      </c>
    </row>
    <row r="878" spans="1:8">
      <c r="B878" s="41" t="s">
        <v>3667</v>
      </c>
      <c r="C878" s="42">
        <v>14</v>
      </c>
      <c r="D878" s="53" t="s">
        <v>1136</v>
      </c>
      <c r="E878" s="53" t="s">
        <v>277</v>
      </c>
      <c r="F878" s="53" t="s">
        <v>958</v>
      </c>
      <c r="G878" s="53" t="s">
        <v>3681</v>
      </c>
      <c r="H878" s="44" t="s">
        <v>3689</v>
      </c>
    </row>
    <row r="879" spans="1:8">
      <c r="A879" s="609" t="s">
        <v>3690</v>
      </c>
      <c r="B879" s="41" t="s">
        <v>3691</v>
      </c>
      <c r="C879" s="42">
        <v>18</v>
      </c>
      <c r="D879" s="53" t="s">
        <v>1136</v>
      </c>
      <c r="E879" s="53" t="s">
        <v>11791</v>
      </c>
      <c r="F879" s="53" t="s">
        <v>472</v>
      </c>
      <c r="G879" s="53" t="s">
        <v>3702</v>
      </c>
      <c r="H879" s="44" t="s">
        <v>3703</v>
      </c>
    </row>
    <row r="880" spans="1:8">
      <c r="B880" s="41" t="s">
        <v>3692</v>
      </c>
      <c r="C880" s="42">
        <v>6</v>
      </c>
      <c r="D880" s="53" t="s">
        <v>1126</v>
      </c>
      <c r="E880" s="53" t="s">
        <v>467</v>
      </c>
      <c r="F880" s="53" t="s">
        <v>468</v>
      </c>
      <c r="G880" s="53" t="s">
        <v>3704</v>
      </c>
      <c r="H880" s="86" t="s">
        <v>11678</v>
      </c>
    </row>
    <row r="881" spans="1:10">
      <c r="B881" s="41" t="s">
        <v>11714</v>
      </c>
      <c r="C881" s="42">
        <v>30</v>
      </c>
      <c r="D881" s="53" t="s">
        <v>1136</v>
      </c>
      <c r="E881" s="53" t="s">
        <v>11791</v>
      </c>
      <c r="F881" s="53" t="s">
        <v>1617</v>
      </c>
      <c r="G881" s="53" t="s">
        <v>3705</v>
      </c>
      <c r="H881" s="86" t="s">
        <v>11715</v>
      </c>
    </row>
    <row r="882" spans="1:10">
      <c r="B882" s="41" t="s">
        <v>3694</v>
      </c>
      <c r="C882" s="42">
        <v>18</v>
      </c>
      <c r="D882" s="53" t="s">
        <v>1126</v>
      </c>
      <c r="E882" s="53" t="s">
        <v>3711</v>
      </c>
      <c r="G882" s="53" t="s">
        <v>3706</v>
      </c>
      <c r="H882" s="44" t="s">
        <v>3710</v>
      </c>
    </row>
    <row r="883" spans="1:10">
      <c r="B883" s="41" t="s">
        <v>3695</v>
      </c>
      <c r="C883" s="42">
        <v>7</v>
      </c>
      <c r="D883" s="53" t="s">
        <v>1136</v>
      </c>
      <c r="E883" s="53" t="s">
        <v>467</v>
      </c>
      <c r="F883" s="53" t="s">
        <v>472</v>
      </c>
      <c r="G883" s="53" t="s">
        <v>3707</v>
      </c>
      <c r="H883" s="44" t="s">
        <v>3712</v>
      </c>
    </row>
    <row r="884" spans="1:10">
      <c r="B884" s="41" t="s">
        <v>3696</v>
      </c>
      <c r="C884" s="42">
        <v>15</v>
      </c>
      <c r="D884" s="53" t="s">
        <v>1126</v>
      </c>
      <c r="E884" s="53" t="s">
        <v>11791</v>
      </c>
      <c r="F884" s="53" t="s">
        <v>1617</v>
      </c>
      <c r="G884" s="53" t="s">
        <v>3708</v>
      </c>
      <c r="H884" s="44" t="s">
        <v>3713</v>
      </c>
    </row>
    <row r="885" spans="1:10" ht="13.95" customHeight="1">
      <c r="B885" s="41" t="s">
        <v>3697</v>
      </c>
      <c r="C885" s="42">
        <v>20</v>
      </c>
      <c r="D885" s="53" t="s">
        <v>282</v>
      </c>
      <c r="E885" s="53" t="s">
        <v>1953</v>
      </c>
      <c r="F885" s="53" t="s">
        <v>1617</v>
      </c>
      <c r="G885" s="53" t="s">
        <v>3709</v>
      </c>
      <c r="H885" s="58" t="s">
        <v>3714</v>
      </c>
    </row>
    <row r="886" spans="1:10">
      <c r="B886" s="41" t="s">
        <v>3698</v>
      </c>
      <c r="C886" s="42">
        <v>11</v>
      </c>
      <c r="D886" s="53" t="s">
        <v>282</v>
      </c>
      <c r="E886" s="53" t="s">
        <v>467</v>
      </c>
      <c r="F886" s="53" t="s">
        <v>958</v>
      </c>
      <c r="G886" s="53" t="s">
        <v>3715</v>
      </c>
      <c r="H886" s="86" t="s">
        <v>3718</v>
      </c>
    </row>
    <row r="887" spans="1:10">
      <c r="B887" s="41" t="s">
        <v>3699</v>
      </c>
      <c r="C887" s="42">
        <v>10</v>
      </c>
      <c r="D887" s="53" t="s">
        <v>1126</v>
      </c>
      <c r="G887" s="53" t="s">
        <v>3716</v>
      </c>
      <c r="H887" s="86" t="s">
        <v>17442</v>
      </c>
    </row>
    <row r="888" spans="1:10">
      <c r="B888" s="41" t="s">
        <v>3700</v>
      </c>
      <c r="C888" s="42">
        <v>25</v>
      </c>
      <c r="D888" s="53" t="s">
        <v>282</v>
      </c>
      <c r="E888" s="53" t="s">
        <v>1652</v>
      </c>
      <c r="F888" s="53" t="s">
        <v>3656</v>
      </c>
      <c r="G888" s="53" t="s">
        <v>3717</v>
      </c>
      <c r="H888" s="44" t="s">
        <v>3719</v>
      </c>
    </row>
    <row r="889" spans="1:10">
      <c r="B889" s="41" t="s">
        <v>3701</v>
      </c>
      <c r="C889" s="42">
        <v>18</v>
      </c>
      <c r="D889" s="53" t="s">
        <v>1136</v>
      </c>
      <c r="E889" s="53" t="s">
        <v>471</v>
      </c>
      <c r="F889" s="53" t="s">
        <v>468</v>
      </c>
      <c r="G889" s="53" t="s">
        <v>17443</v>
      </c>
      <c r="H889" s="44" t="s">
        <v>3720</v>
      </c>
    </row>
    <row r="890" spans="1:10">
      <c r="A890" s="609" t="s">
        <v>12240</v>
      </c>
      <c r="B890" s="41" t="s">
        <v>11674</v>
      </c>
      <c r="C890" s="42">
        <v>6</v>
      </c>
      <c r="D890" s="53" t="s">
        <v>11687</v>
      </c>
      <c r="E890" s="53" t="s">
        <v>11791</v>
      </c>
      <c r="F890" s="53" t="s">
        <v>468</v>
      </c>
      <c r="G890" s="53" t="s">
        <v>12239</v>
      </c>
      <c r="H890" s="86" t="s">
        <v>17444</v>
      </c>
    </row>
    <row r="891" spans="1:10">
      <c r="B891" s="41" t="s">
        <v>11675</v>
      </c>
      <c r="C891" s="42">
        <v>10</v>
      </c>
      <c r="D891" s="53" t="s">
        <v>11687</v>
      </c>
      <c r="E891" s="53" t="s">
        <v>11791</v>
      </c>
      <c r="F891" s="53" t="s">
        <v>468</v>
      </c>
      <c r="G891" s="53" t="s">
        <v>12238</v>
      </c>
      <c r="H891" s="86" t="s">
        <v>11676</v>
      </c>
    </row>
    <row r="892" spans="1:10">
      <c r="B892" s="41" t="s">
        <v>11677</v>
      </c>
      <c r="C892" s="42">
        <v>12</v>
      </c>
      <c r="D892" s="53" t="s">
        <v>11687</v>
      </c>
      <c r="E892" s="53" t="s">
        <v>11791</v>
      </c>
      <c r="F892" s="53" t="s">
        <v>11679</v>
      </c>
      <c r="G892" s="53" t="s">
        <v>7185</v>
      </c>
      <c r="H892" s="86" t="s">
        <v>11680</v>
      </c>
    </row>
    <row r="893" spans="1:10">
      <c r="B893" s="41" t="s">
        <v>11684</v>
      </c>
      <c r="C893" s="42">
        <v>15</v>
      </c>
      <c r="D893" s="53" t="s">
        <v>11687</v>
      </c>
      <c r="E893" s="53" t="s">
        <v>11791</v>
      </c>
      <c r="F893" s="53" t="s">
        <v>11679</v>
      </c>
      <c r="G893" s="53" t="s">
        <v>11685</v>
      </c>
      <c r="H893" s="86" t="s">
        <v>11686</v>
      </c>
      <c r="J893" s="42"/>
    </row>
    <row r="894" spans="1:10">
      <c r="B894" s="41" t="s">
        <v>12236</v>
      </c>
      <c r="C894" s="42">
        <v>8</v>
      </c>
      <c r="D894" s="53" t="s">
        <v>11687</v>
      </c>
      <c r="E894" s="53" t="s">
        <v>11791</v>
      </c>
      <c r="F894" s="53" t="s">
        <v>468</v>
      </c>
      <c r="G894" s="53" t="s">
        <v>12237</v>
      </c>
      <c r="H894" s="86" t="s">
        <v>12973</v>
      </c>
      <c r="J894" s="42"/>
    </row>
    <row r="895" spans="1:10">
      <c r="B895" s="41" t="s">
        <v>11681</v>
      </c>
      <c r="C895" s="42">
        <v>6</v>
      </c>
      <c r="D895" s="53" t="s">
        <v>11687</v>
      </c>
      <c r="E895" s="53" t="s">
        <v>11791</v>
      </c>
      <c r="F895" s="53" t="s">
        <v>1128</v>
      </c>
      <c r="G895" s="53" t="s">
        <v>11682</v>
      </c>
      <c r="H895" s="86" t="s">
        <v>11683</v>
      </c>
      <c r="J895" s="42"/>
    </row>
    <row r="896" spans="1:10">
      <c r="A896" s="609" t="s">
        <v>11773</v>
      </c>
      <c r="B896" s="41" t="s">
        <v>14954</v>
      </c>
      <c r="C896" s="42">
        <v>18</v>
      </c>
      <c r="D896" s="53" t="s">
        <v>11687</v>
      </c>
      <c r="E896" s="53" t="s">
        <v>467</v>
      </c>
      <c r="F896" s="53" t="s">
        <v>1625</v>
      </c>
      <c r="G896" s="53" t="s">
        <v>14955</v>
      </c>
      <c r="H896" s="86" t="s">
        <v>14956</v>
      </c>
    </row>
    <row r="897" spans="1:10">
      <c r="A897" s="45"/>
      <c r="B897" s="41" t="s">
        <v>11778</v>
      </c>
      <c r="C897" s="42">
        <v>18</v>
      </c>
      <c r="D897" s="53" t="s">
        <v>1136</v>
      </c>
      <c r="E897" s="53" t="s">
        <v>11780</v>
      </c>
      <c r="F897" s="53" t="s">
        <v>1625</v>
      </c>
      <c r="G897" s="53" t="s">
        <v>11779</v>
      </c>
      <c r="H897" s="86" t="s">
        <v>14773</v>
      </c>
    </row>
    <row r="898" spans="1:10">
      <c r="A898" s="45"/>
      <c r="B898" s="41" t="s">
        <v>11785</v>
      </c>
      <c r="C898" s="42">
        <v>12</v>
      </c>
      <c r="D898" s="53" t="s">
        <v>1126</v>
      </c>
      <c r="E898" s="53" t="s">
        <v>1127</v>
      </c>
      <c r="F898" s="53" t="s">
        <v>1128</v>
      </c>
      <c r="G898" s="53" t="s">
        <v>14774</v>
      </c>
      <c r="H898" s="86" t="s">
        <v>11786</v>
      </c>
    </row>
    <row r="899" spans="1:10">
      <c r="A899" s="45"/>
      <c r="B899" s="41" t="s">
        <v>11776</v>
      </c>
      <c r="C899" s="42">
        <v>10</v>
      </c>
      <c r="D899" s="53" t="s">
        <v>9037</v>
      </c>
      <c r="E899" s="53" t="s">
        <v>1127</v>
      </c>
      <c r="F899" s="53" t="s">
        <v>1128</v>
      </c>
      <c r="G899" s="53" t="s">
        <v>11788</v>
      </c>
      <c r="H899" s="86" t="s">
        <v>11789</v>
      </c>
    </row>
    <row r="900" spans="1:10">
      <c r="B900" s="41" t="s">
        <v>11723</v>
      </c>
      <c r="C900" s="42">
        <v>25</v>
      </c>
      <c r="D900" s="53" t="s">
        <v>282</v>
      </c>
      <c r="E900" s="53" t="s">
        <v>15369</v>
      </c>
      <c r="F900" s="53" t="s">
        <v>1128</v>
      </c>
      <c r="G900" s="53" t="s">
        <v>11724</v>
      </c>
      <c r="H900" s="86" t="s">
        <v>15368</v>
      </c>
    </row>
    <row r="901" spans="1:10">
      <c r="A901" s="45"/>
      <c r="B901" s="41" t="s">
        <v>11777</v>
      </c>
      <c r="C901" s="42">
        <v>20</v>
      </c>
      <c r="D901" s="53" t="s">
        <v>1136</v>
      </c>
      <c r="E901" s="53" t="s">
        <v>11780</v>
      </c>
      <c r="F901" s="53" t="s">
        <v>1625</v>
      </c>
      <c r="G901" s="53" t="s">
        <v>11783</v>
      </c>
      <c r="H901" s="86" t="s">
        <v>11790</v>
      </c>
    </row>
    <row r="902" spans="1:10">
      <c r="A902" s="45"/>
      <c r="B902" s="41" t="s">
        <v>11774</v>
      </c>
      <c r="C902" s="42">
        <v>15</v>
      </c>
      <c r="D902" s="53" t="s">
        <v>1136</v>
      </c>
      <c r="E902" s="53" t="s">
        <v>11791</v>
      </c>
      <c r="F902" s="53" t="s">
        <v>11781</v>
      </c>
      <c r="G902" s="53" t="s">
        <v>11784</v>
      </c>
      <c r="H902" s="86" t="s">
        <v>11782</v>
      </c>
    </row>
    <row r="903" spans="1:10">
      <c r="A903" s="610" t="s">
        <v>2729</v>
      </c>
      <c r="B903" s="41" t="s">
        <v>16055</v>
      </c>
      <c r="C903" s="42">
        <v>13</v>
      </c>
      <c r="D903" s="53" t="s">
        <v>1136</v>
      </c>
      <c r="E903" s="53" t="s">
        <v>3739</v>
      </c>
      <c r="F903" s="53" t="s">
        <v>468</v>
      </c>
      <c r="G903" s="53" t="s">
        <v>3738</v>
      </c>
      <c r="H903" s="44" t="s">
        <v>3741</v>
      </c>
      <c r="J903" s="42"/>
    </row>
    <row r="904" spans="1:10">
      <c r="B904" s="41" t="s">
        <v>16058</v>
      </c>
      <c r="C904" s="42">
        <v>20</v>
      </c>
      <c r="D904" s="53" t="s">
        <v>3774</v>
      </c>
      <c r="E904" s="53" t="s">
        <v>3743</v>
      </c>
      <c r="F904" s="53" t="s">
        <v>3746</v>
      </c>
      <c r="G904" s="53" t="s">
        <v>3747</v>
      </c>
      <c r="H904" s="86" t="s">
        <v>17445</v>
      </c>
      <c r="J904" s="42"/>
    </row>
    <row r="905" spans="1:10">
      <c r="B905" s="41" t="s">
        <v>16059</v>
      </c>
      <c r="C905" s="42">
        <v>15</v>
      </c>
      <c r="D905" s="53" t="s">
        <v>3774</v>
      </c>
      <c r="E905" s="53" t="s">
        <v>3744</v>
      </c>
      <c r="F905" s="53" t="s">
        <v>3746</v>
      </c>
      <c r="G905" s="53" t="s">
        <v>3748</v>
      </c>
      <c r="H905" s="86" t="s">
        <v>17446</v>
      </c>
      <c r="J905" s="42"/>
    </row>
    <row r="906" spans="1:10">
      <c r="B906" s="41" t="s">
        <v>16060</v>
      </c>
      <c r="C906" s="42">
        <v>17</v>
      </c>
      <c r="D906" s="53" t="s">
        <v>3774</v>
      </c>
      <c r="E906" s="53" t="s">
        <v>3743</v>
      </c>
      <c r="F906" s="53" t="s">
        <v>3746</v>
      </c>
      <c r="G906" s="53" t="s">
        <v>3748</v>
      </c>
      <c r="H906" s="86" t="s">
        <v>17447</v>
      </c>
      <c r="J906" s="42"/>
    </row>
    <row r="907" spans="1:10">
      <c r="B907" s="41" t="s">
        <v>16510</v>
      </c>
      <c r="C907" s="42">
        <v>15</v>
      </c>
      <c r="D907" s="53" t="s">
        <v>3774</v>
      </c>
      <c r="E907" s="53" t="s">
        <v>3743</v>
      </c>
      <c r="F907" s="53" t="s">
        <v>3746</v>
      </c>
      <c r="G907" s="53" t="s">
        <v>3748</v>
      </c>
      <c r="H907" s="44" t="s">
        <v>3757</v>
      </c>
      <c r="J907" s="42"/>
    </row>
    <row r="908" spans="1:10">
      <c r="B908" s="41" t="s">
        <v>16062</v>
      </c>
      <c r="C908" s="42">
        <v>20</v>
      </c>
      <c r="D908" s="53" t="s">
        <v>3774</v>
      </c>
      <c r="E908" s="53" t="s">
        <v>3745</v>
      </c>
      <c r="F908" s="53" t="s">
        <v>3746</v>
      </c>
      <c r="G908" s="53" t="s">
        <v>3738</v>
      </c>
      <c r="H908" s="44" t="s">
        <v>3758</v>
      </c>
      <c r="J908" s="42"/>
    </row>
    <row r="909" spans="1:10">
      <c r="B909" s="41" t="s">
        <v>16063</v>
      </c>
      <c r="C909" s="42">
        <v>17</v>
      </c>
      <c r="D909" s="53" t="s">
        <v>3774</v>
      </c>
      <c r="E909" s="53" t="s">
        <v>3743</v>
      </c>
      <c r="F909" s="53" t="s">
        <v>3746</v>
      </c>
      <c r="G909" s="53" t="s">
        <v>3748</v>
      </c>
      <c r="H909" s="86" t="s">
        <v>17448</v>
      </c>
      <c r="J909" s="42"/>
    </row>
    <row r="910" spans="1:10">
      <c r="B910" s="41" t="s">
        <v>16064</v>
      </c>
      <c r="C910" s="42">
        <v>17</v>
      </c>
      <c r="D910" s="53" t="s">
        <v>3774</v>
      </c>
      <c r="E910" s="53" t="s">
        <v>3749</v>
      </c>
      <c r="F910" s="53" t="s">
        <v>3746</v>
      </c>
      <c r="G910" s="53" t="s">
        <v>3738</v>
      </c>
      <c r="H910" s="44" t="s">
        <v>3759</v>
      </c>
      <c r="J910" s="42"/>
    </row>
    <row r="911" spans="1:10">
      <c r="B911" s="41" t="s">
        <v>16065</v>
      </c>
      <c r="C911" s="42">
        <v>8</v>
      </c>
      <c r="D911" s="53" t="s">
        <v>3774</v>
      </c>
      <c r="E911" s="53" t="s">
        <v>3739</v>
      </c>
      <c r="F911" s="53" t="s">
        <v>3746</v>
      </c>
      <c r="G911" s="53" t="s">
        <v>3748</v>
      </c>
      <c r="H911" s="44" t="s">
        <v>3760</v>
      </c>
      <c r="J911" s="42"/>
    </row>
    <row r="912" spans="1:10">
      <c r="B912" s="41" t="s">
        <v>16066</v>
      </c>
      <c r="C912" s="42">
        <v>20</v>
      </c>
      <c r="D912" s="53" t="s">
        <v>3774</v>
      </c>
      <c r="E912" s="53" t="s">
        <v>3744</v>
      </c>
      <c r="F912" s="53" t="s">
        <v>3746</v>
      </c>
      <c r="G912" s="53" t="s">
        <v>3748</v>
      </c>
      <c r="H912" s="86" t="s">
        <v>3761</v>
      </c>
      <c r="J912" s="42"/>
    </row>
    <row r="913" spans="2:10">
      <c r="B913" s="41" t="s">
        <v>16068</v>
      </c>
      <c r="C913" s="42">
        <v>10</v>
      </c>
      <c r="D913" s="53" t="s">
        <v>3774</v>
      </c>
      <c r="E913" s="53" t="s">
        <v>3739</v>
      </c>
      <c r="F913" s="53" t="s">
        <v>3746</v>
      </c>
      <c r="G913" s="53" t="s">
        <v>3747</v>
      </c>
      <c r="H913" s="86" t="s">
        <v>17449</v>
      </c>
      <c r="J913" s="42"/>
    </row>
    <row r="914" spans="2:10">
      <c r="B914" s="41" t="s">
        <v>16069</v>
      </c>
      <c r="C914" s="42">
        <v>15</v>
      </c>
      <c r="D914" s="53" t="s">
        <v>3774</v>
      </c>
      <c r="E914" s="53" t="s">
        <v>3740</v>
      </c>
      <c r="F914" s="53" t="s">
        <v>3746</v>
      </c>
      <c r="G914" s="53" t="s">
        <v>3738</v>
      </c>
      <c r="H914" s="86" t="s">
        <v>12931</v>
      </c>
      <c r="J914" s="42"/>
    </row>
    <row r="915" spans="2:10">
      <c r="B915" s="41" t="s">
        <v>16493</v>
      </c>
      <c r="C915" s="42">
        <v>30</v>
      </c>
      <c r="D915" s="53" t="s">
        <v>3774</v>
      </c>
      <c r="E915" s="53" t="s">
        <v>12926</v>
      </c>
      <c r="F915" s="53" t="s">
        <v>3746</v>
      </c>
      <c r="G915" s="53" t="s">
        <v>11979</v>
      </c>
      <c r="H915" s="86" t="s">
        <v>16496</v>
      </c>
      <c r="J915" s="42"/>
    </row>
    <row r="916" spans="2:10">
      <c r="B916" s="41" t="s">
        <v>16070</v>
      </c>
      <c r="C916" s="42">
        <v>18</v>
      </c>
      <c r="D916" s="53" t="s">
        <v>3774</v>
      </c>
      <c r="E916" s="53" t="s">
        <v>3745</v>
      </c>
      <c r="F916" s="53" t="s">
        <v>3746</v>
      </c>
      <c r="G916" s="53" t="s">
        <v>3747</v>
      </c>
      <c r="H916" s="42" t="s">
        <v>3763</v>
      </c>
      <c r="J916" s="42"/>
    </row>
    <row r="917" spans="2:10">
      <c r="B917" s="41" t="s">
        <v>16508</v>
      </c>
      <c r="C917" s="42">
        <v>20</v>
      </c>
      <c r="D917" s="53" t="s">
        <v>3774</v>
      </c>
      <c r="E917" s="53" t="s">
        <v>3743</v>
      </c>
      <c r="F917" s="53" t="s">
        <v>3746</v>
      </c>
      <c r="G917" s="53" t="s">
        <v>3738</v>
      </c>
      <c r="H917" s="86" t="s">
        <v>17450</v>
      </c>
      <c r="J917" s="42"/>
    </row>
    <row r="918" spans="2:10">
      <c r="B918" s="41" t="s">
        <v>16071</v>
      </c>
      <c r="C918" s="42">
        <v>17</v>
      </c>
      <c r="D918" s="53" t="s">
        <v>3774</v>
      </c>
      <c r="E918" s="53" t="s">
        <v>3744</v>
      </c>
      <c r="F918" s="53" t="s">
        <v>3746</v>
      </c>
      <c r="G918" s="53" t="s">
        <v>3747</v>
      </c>
      <c r="H918" s="42" t="s">
        <v>3764</v>
      </c>
      <c r="J918" s="42"/>
    </row>
    <row r="919" spans="2:10">
      <c r="B919" s="41" t="s">
        <v>16503</v>
      </c>
      <c r="C919" s="42">
        <v>10</v>
      </c>
      <c r="D919" s="53" t="s">
        <v>3774</v>
      </c>
      <c r="E919" s="53" t="s">
        <v>12926</v>
      </c>
      <c r="F919" s="53" t="s">
        <v>3746</v>
      </c>
      <c r="G919" s="53" t="s">
        <v>11979</v>
      </c>
      <c r="H919" s="86" t="s">
        <v>17451</v>
      </c>
      <c r="J919" s="42"/>
    </row>
    <row r="920" spans="2:10">
      <c r="B920" s="41" t="s">
        <v>16500</v>
      </c>
      <c r="C920" s="42">
        <v>8</v>
      </c>
      <c r="D920" s="53" t="s">
        <v>3774</v>
      </c>
      <c r="E920" s="53" t="s">
        <v>16504</v>
      </c>
      <c r="F920" s="53" t="s">
        <v>3746</v>
      </c>
      <c r="G920" s="53" t="s">
        <v>3738</v>
      </c>
      <c r="H920" s="86" t="s">
        <v>17452</v>
      </c>
      <c r="J920" s="42"/>
    </row>
    <row r="921" spans="2:10">
      <c r="B921" s="41" t="s">
        <v>16498</v>
      </c>
      <c r="C921" s="42">
        <v>4</v>
      </c>
      <c r="D921" s="53" t="s">
        <v>3774</v>
      </c>
      <c r="E921" s="53" t="s">
        <v>16495</v>
      </c>
      <c r="F921" s="53" t="s">
        <v>3746</v>
      </c>
      <c r="G921" s="53" t="s">
        <v>3738</v>
      </c>
      <c r="H921" s="86" t="s">
        <v>17453</v>
      </c>
      <c r="J921" s="42"/>
    </row>
    <row r="922" spans="2:10">
      <c r="B922" s="41" t="s">
        <v>16074</v>
      </c>
      <c r="C922" s="42">
        <v>6</v>
      </c>
      <c r="D922" s="53" t="s">
        <v>3774</v>
      </c>
      <c r="E922" s="53" t="s">
        <v>3739</v>
      </c>
      <c r="F922" s="53" t="s">
        <v>3746</v>
      </c>
      <c r="G922" s="53" t="s">
        <v>3748</v>
      </c>
      <c r="H922" s="86" t="s">
        <v>17454</v>
      </c>
      <c r="J922" s="42"/>
    </row>
    <row r="923" spans="2:10">
      <c r="B923" s="41" t="s">
        <v>16057</v>
      </c>
      <c r="C923" s="42">
        <v>9</v>
      </c>
      <c r="D923" s="53" t="s">
        <v>3774</v>
      </c>
      <c r="E923" s="53" t="s">
        <v>3739</v>
      </c>
      <c r="F923" s="53" t="s">
        <v>3746</v>
      </c>
      <c r="G923" s="53" t="s">
        <v>3738</v>
      </c>
      <c r="H923" s="86" t="s">
        <v>9197</v>
      </c>
      <c r="J923" s="42"/>
    </row>
    <row r="924" spans="2:10">
      <c r="B924" s="41" t="s">
        <v>17455</v>
      </c>
      <c r="C924" s="42">
        <v>14</v>
      </c>
      <c r="D924" s="53" t="s">
        <v>3774</v>
      </c>
      <c r="E924" s="53" t="s">
        <v>3743</v>
      </c>
      <c r="F924" s="53" t="s">
        <v>3746</v>
      </c>
      <c r="G924" s="53" t="s">
        <v>3747</v>
      </c>
      <c r="H924" s="44" t="s">
        <v>3756</v>
      </c>
      <c r="J924" s="42"/>
    </row>
    <row r="925" spans="2:10">
      <c r="B925" s="41" t="s">
        <v>16511</v>
      </c>
      <c r="C925" s="42">
        <v>22</v>
      </c>
      <c r="D925" s="53" t="s">
        <v>3774</v>
      </c>
      <c r="E925" s="53" t="s">
        <v>12926</v>
      </c>
      <c r="F925" s="53" t="s">
        <v>3746</v>
      </c>
      <c r="G925" s="53" t="s">
        <v>11979</v>
      </c>
      <c r="H925" s="86" t="s">
        <v>16512</v>
      </c>
      <c r="J925" s="42"/>
    </row>
    <row r="926" spans="2:10">
      <c r="B926" s="41" t="s">
        <v>16056</v>
      </c>
      <c r="C926" s="42">
        <v>16</v>
      </c>
      <c r="D926" s="53" t="s">
        <v>3774</v>
      </c>
      <c r="E926" s="53" t="s">
        <v>3740</v>
      </c>
      <c r="F926" s="53" t="s">
        <v>3746</v>
      </c>
      <c r="G926" s="53" t="s">
        <v>3738</v>
      </c>
      <c r="H926" s="44" t="s">
        <v>3742</v>
      </c>
      <c r="J926" s="42"/>
    </row>
    <row r="927" spans="2:10">
      <c r="B927" s="41" t="s">
        <v>16061</v>
      </c>
      <c r="C927" s="42">
        <v>14</v>
      </c>
      <c r="D927" s="53" t="s">
        <v>3774</v>
      </c>
      <c r="E927" s="53" t="s">
        <v>3740</v>
      </c>
      <c r="F927" s="53" t="s">
        <v>3746</v>
      </c>
      <c r="G927" s="53" t="s">
        <v>3748</v>
      </c>
      <c r="H927" s="86" t="s">
        <v>17456</v>
      </c>
      <c r="J927" s="42"/>
    </row>
    <row r="928" spans="2:10">
      <c r="B928" s="41" t="s">
        <v>16067</v>
      </c>
      <c r="C928" s="42">
        <v>9</v>
      </c>
      <c r="D928" s="53" t="s">
        <v>3774</v>
      </c>
      <c r="E928" s="53" t="s">
        <v>3739</v>
      </c>
      <c r="F928" s="53" t="s">
        <v>3746</v>
      </c>
      <c r="G928" s="53" t="s">
        <v>3738</v>
      </c>
      <c r="H928" s="44" t="s">
        <v>3762</v>
      </c>
      <c r="J928" s="42"/>
    </row>
    <row r="929" spans="1:10">
      <c r="B929" s="41" t="s">
        <v>16072</v>
      </c>
      <c r="C929" s="42">
        <v>14</v>
      </c>
      <c r="D929" s="53" t="s">
        <v>3774</v>
      </c>
      <c r="E929" s="53" t="s">
        <v>3740</v>
      </c>
      <c r="F929" s="53" t="s">
        <v>3746</v>
      </c>
      <c r="G929" s="53" t="s">
        <v>3748</v>
      </c>
      <c r="H929" s="42" t="s">
        <v>3765</v>
      </c>
      <c r="J929" s="42"/>
    </row>
    <row r="930" spans="1:10">
      <c r="B930" s="41" t="s">
        <v>16073</v>
      </c>
      <c r="C930" s="42">
        <v>20</v>
      </c>
      <c r="D930" s="53" t="s">
        <v>3774</v>
      </c>
      <c r="E930" s="53" t="s">
        <v>3743</v>
      </c>
      <c r="F930" s="53" t="s">
        <v>468</v>
      </c>
      <c r="G930" s="53" t="s">
        <v>3738</v>
      </c>
      <c r="H930" s="86" t="s">
        <v>3766</v>
      </c>
      <c r="J930" s="42"/>
    </row>
    <row r="931" spans="1:10">
      <c r="B931" s="41" t="s">
        <v>16494</v>
      </c>
      <c r="C931" s="42">
        <v>5</v>
      </c>
      <c r="D931" s="53" t="s">
        <v>3774</v>
      </c>
      <c r="E931" s="53" t="s">
        <v>16495</v>
      </c>
      <c r="F931" s="53" t="s">
        <v>3746</v>
      </c>
      <c r="G931" s="53" t="s">
        <v>11979</v>
      </c>
      <c r="H931" s="86" t="s">
        <v>16505</v>
      </c>
      <c r="J931" s="42"/>
    </row>
    <row r="932" spans="1:10">
      <c r="A932" s="610" t="s">
        <v>3750</v>
      </c>
      <c r="B932" s="41" t="s">
        <v>16075</v>
      </c>
      <c r="C932" s="42">
        <v>28</v>
      </c>
      <c r="D932" s="53" t="s">
        <v>3774</v>
      </c>
      <c r="E932" s="53" t="s">
        <v>3749</v>
      </c>
      <c r="F932" s="53" t="s">
        <v>3746</v>
      </c>
      <c r="G932" s="53" t="s">
        <v>3747</v>
      </c>
      <c r="H932" s="86" t="s">
        <v>10881</v>
      </c>
      <c r="J932" s="42"/>
    </row>
    <row r="933" spans="1:10">
      <c r="B933" s="41" t="s">
        <v>16076</v>
      </c>
      <c r="C933" s="42">
        <v>27</v>
      </c>
      <c r="D933" s="53" t="s">
        <v>3774</v>
      </c>
      <c r="E933" s="53" t="s">
        <v>3745</v>
      </c>
      <c r="F933" s="53" t="s">
        <v>3746</v>
      </c>
      <c r="G933" s="53" t="s">
        <v>3748</v>
      </c>
      <c r="H933" s="86" t="s">
        <v>3767</v>
      </c>
      <c r="J933" s="42"/>
    </row>
    <row r="934" spans="1:10">
      <c r="B934" s="41" t="s">
        <v>16108</v>
      </c>
      <c r="C934" s="42">
        <v>28</v>
      </c>
      <c r="D934" s="53" t="s">
        <v>3774</v>
      </c>
      <c r="E934" s="53" t="s">
        <v>3749</v>
      </c>
      <c r="F934" s="53" t="s">
        <v>3746</v>
      </c>
      <c r="G934" s="53" t="s">
        <v>3748</v>
      </c>
      <c r="H934" s="86" t="s">
        <v>17457</v>
      </c>
      <c r="J934" s="42"/>
    </row>
    <row r="935" spans="1:10">
      <c r="B935" s="41" t="s">
        <v>16506</v>
      </c>
      <c r="C935" s="42">
        <v>25</v>
      </c>
      <c r="D935" s="53" t="s">
        <v>3774</v>
      </c>
      <c r="E935" s="53" t="s">
        <v>3744</v>
      </c>
      <c r="F935" s="53" t="s">
        <v>3746</v>
      </c>
      <c r="G935" s="53" t="s">
        <v>3748</v>
      </c>
      <c r="H935" s="86" t="s">
        <v>17458</v>
      </c>
      <c r="J935" s="42"/>
    </row>
    <row r="936" spans="1:10">
      <c r="B936" s="41" t="s">
        <v>16490</v>
      </c>
      <c r="C936" s="42">
        <v>38</v>
      </c>
      <c r="D936" s="53" t="s">
        <v>3774</v>
      </c>
      <c r="E936" s="53" t="s">
        <v>16488</v>
      </c>
      <c r="F936" s="53" t="s">
        <v>3746</v>
      </c>
      <c r="G936" s="53" t="s">
        <v>3747</v>
      </c>
      <c r="H936" s="86" t="s">
        <v>17459</v>
      </c>
      <c r="J936" s="42"/>
    </row>
    <row r="937" spans="1:10">
      <c r="B937" s="41" t="s">
        <v>16077</v>
      </c>
      <c r="C937" s="42">
        <v>26</v>
      </c>
      <c r="D937" s="53" t="s">
        <v>3774</v>
      </c>
      <c r="E937" s="53" t="s">
        <v>3751</v>
      </c>
      <c r="F937" s="53" t="s">
        <v>629</v>
      </c>
      <c r="G937" s="53" t="s">
        <v>3738</v>
      </c>
      <c r="H937" s="86" t="s">
        <v>10882</v>
      </c>
      <c r="J937" s="42"/>
    </row>
    <row r="938" spans="1:10">
      <c r="B938" s="41" t="s">
        <v>16078</v>
      </c>
      <c r="C938" s="42">
        <v>30</v>
      </c>
      <c r="D938" s="53" t="s">
        <v>3774</v>
      </c>
      <c r="E938" s="53" t="s">
        <v>12926</v>
      </c>
      <c r="F938" s="53" t="s">
        <v>3746</v>
      </c>
      <c r="G938" s="53" t="s">
        <v>11979</v>
      </c>
      <c r="H938" s="86" t="s">
        <v>12928</v>
      </c>
      <c r="J938" s="42"/>
    </row>
    <row r="939" spans="1:10">
      <c r="B939" s="41" t="s">
        <v>17460</v>
      </c>
      <c r="C939" s="42">
        <v>25</v>
      </c>
      <c r="D939" s="53" t="s">
        <v>3774</v>
      </c>
      <c r="E939" s="53" t="s">
        <v>3749</v>
      </c>
      <c r="F939" s="53" t="s">
        <v>629</v>
      </c>
      <c r="G939" s="53" t="s">
        <v>3738</v>
      </c>
      <c r="H939" s="42" t="s">
        <v>3768</v>
      </c>
      <c r="J939" s="42"/>
    </row>
    <row r="940" spans="1:10">
      <c r="B940" s="41" t="s">
        <v>16079</v>
      </c>
      <c r="C940" s="42">
        <v>30</v>
      </c>
      <c r="D940" s="53" t="s">
        <v>3774</v>
      </c>
      <c r="E940" s="53" t="s">
        <v>3749</v>
      </c>
      <c r="F940" s="53" t="s">
        <v>3746</v>
      </c>
      <c r="G940" s="53" t="s">
        <v>3747</v>
      </c>
      <c r="H940" s="86" t="s">
        <v>17461</v>
      </c>
      <c r="J940" s="42"/>
    </row>
    <row r="941" spans="1:10">
      <c r="B941" s="41" t="s">
        <v>16502</v>
      </c>
      <c r="C941" s="42">
        <v>25</v>
      </c>
      <c r="D941" s="53" t="s">
        <v>3774</v>
      </c>
      <c r="E941" s="53" t="s">
        <v>3744</v>
      </c>
      <c r="F941" s="53" t="s">
        <v>3746</v>
      </c>
      <c r="G941" s="53" t="s">
        <v>12929</v>
      </c>
      <c r="H941" s="86" t="s">
        <v>12930</v>
      </c>
      <c r="J941" s="42"/>
    </row>
    <row r="942" spans="1:10">
      <c r="B942" s="41" t="s">
        <v>16080</v>
      </c>
      <c r="C942" s="42">
        <v>25</v>
      </c>
      <c r="D942" s="53" t="s">
        <v>3774</v>
      </c>
      <c r="E942" s="53" t="s">
        <v>3745</v>
      </c>
      <c r="F942" s="53" t="s">
        <v>3746</v>
      </c>
      <c r="G942" s="53" t="s">
        <v>3747</v>
      </c>
      <c r="H942" s="86" t="s">
        <v>3769</v>
      </c>
      <c r="J942" s="42"/>
    </row>
    <row r="943" spans="1:10">
      <c r="B943" s="41" t="s">
        <v>16081</v>
      </c>
      <c r="C943" s="42">
        <v>24</v>
      </c>
      <c r="D943" s="53" t="s">
        <v>3774</v>
      </c>
      <c r="E943" s="53" t="s">
        <v>3749</v>
      </c>
      <c r="F943" s="53" t="s">
        <v>3746</v>
      </c>
      <c r="G943" s="53" t="s">
        <v>3738</v>
      </c>
      <c r="H943" s="86" t="s">
        <v>17462</v>
      </c>
      <c r="J943" s="42"/>
    </row>
    <row r="944" spans="1:10">
      <c r="B944" s="41" t="s">
        <v>16082</v>
      </c>
      <c r="C944" s="42">
        <v>25</v>
      </c>
      <c r="D944" s="53" t="s">
        <v>3774</v>
      </c>
      <c r="E944" s="53" t="s">
        <v>3749</v>
      </c>
      <c r="F944" s="53" t="s">
        <v>3746</v>
      </c>
      <c r="G944" s="53" t="s">
        <v>11979</v>
      </c>
      <c r="H944" s="86" t="s">
        <v>12927</v>
      </c>
      <c r="J944" s="42"/>
    </row>
    <row r="945" spans="1:10">
      <c r="B945" s="41" t="s">
        <v>16109</v>
      </c>
      <c r="C945" s="42">
        <v>33</v>
      </c>
      <c r="D945" s="53" t="s">
        <v>3774</v>
      </c>
      <c r="E945" s="53" t="s">
        <v>12904</v>
      </c>
      <c r="F945" s="53" t="s">
        <v>3746</v>
      </c>
      <c r="G945" s="53" t="s">
        <v>3748</v>
      </c>
      <c r="H945" s="86" t="s">
        <v>17463</v>
      </c>
      <c r="J945" s="42"/>
    </row>
    <row r="946" spans="1:10">
      <c r="B946" s="41" t="s">
        <v>16083</v>
      </c>
      <c r="C946" s="42">
        <v>23</v>
      </c>
      <c r="D946" s="53" t="s">
        <v>3774</v>
      </c>
      <c r="E946" s="53" t="s">
        <v>3743</v>
      </c>
      <c r="F946" s="53" t="s">
        <v>3746</v>
      </c>
      <c r="G946" s="53" t="s">
        <v>3748</v>
      </c>
      <c r="H946" s="86" t="s">
        <v>17464</v>
      </c>
      <c r="J946" s="42"/>
    </row>
    <row r="947" spans="1:10">
      <c r="B947" s="41" t="s">
        <v>16084</v>
      </c>
      <c r="C947" s="42">
        <v>33</v>
      </c>
      <c r="D947" s="53" t="s">
        <v>3774</v>
      </c>
      <c r="E947" s="53" t="s">
        <v>3752</v>
      </c>
      <c r="F947" s="53" t="s">
        <v>629</v>
      </c>
      <c r="G947" s="53" t="s">
        <v>3753</v>
      </c>
      <c r="H947" s="42" t="s">
        <v>3770</v>
      </c>
      <c r="J947" s="42"/>
    </row>
    <row r="948" spans="1:10">
      <c r="B948" s="41" t="s">
        <v>16487</v>
      </c>
      <c r="C948" s="42">
        <v>30</v>
      </c>
      <c r="D948" s="53" t="s">
        <v>3774</v>
      </c>
      <c r="E948" s="53" t="s">
        <v>16488</v>
      </c>
      <c r="F948" s="53" t="s">
        <v>629</v>
      </c>
      <c r="G948" s="53" t="s">
        <v>3738</v>
      </c>
      <c r="H948" s="86" t="s">
        <v>16489</v>
      </c>
      <c r="J948" s="42"/>
    </row>
    <row r="949" spans="1:10">
      <c r="B949" s="41" t="s">
        <v>16085</v>
      </c>
      <c r="C949" s="42">
        <v>31</v>
      </c>
      <c r="D949" s="53" t="s">
        <v>3774</v>
      </c>
      <c r="E949" s="53" t="s">
        <v>3751</v>
      </c>
      <c r="F949" s="53" t="s">
        <v>3746</v>
      </c>
      <c r="G949" s="53" t="s">
        <v>3748</v>
      </c>
      <c r="H949" s="86" t="s">
        <v>3771</v>
      </c>
      <c r="J949" s="42"/>
    </row>
    <row r="950" spans="1:10">
      <c r="B950" s="41" t="s">
        <v>16086</v>
      </c>
      <c r="C950" s="42">
        <v>29</v>
      </c>
      <c r="D950" s="53" t="s">
        <v>3774</v>
      </c>
      <c r="E950" s="53" t="s">
        <v>3749</v>
      </c>
      <c r="F950" s="53" t="s">
        <v>3746</v>
      </c>
      <c r="G950" s="53" t="s">
        <v>3748</v>
      </c>
      <c r="H950" s="42" t="s">
        <v>3772</v>
      </c>
      <c r="J950" s="42"/>
    </row>
    <row r="951" spans="1:10">
      <c r="B951" s="41" t="s">
        <v>16491</v>
      </c>
      <c r="C951" s="42">
        <v>28</v>
      </c>
      <c r="D951" s="53" t="s">
        <v>3774</v>
      </c>
      <c r="E951" s="53" t="s">
        <v>3751</v>
      </c>
      <c r="F951" s="53" t="s">
        <v>629</v>
      </c>
      <c r="G951" s="53" t="s">
        <v>3754</v>
      </c>
      <c r="H951" s="86" t="s">
        <v>17465</v>
      </c>
      <c r="J951" s="42"/>
    </row>
    <row r="952" spans="1:10">
      <c r="B952" s="41" t="s">
        <v>16087</v>
      </c>
      <c r="C952" s="42">
        <v>21</v>
      </c>
      <c r="D952" s="53" t="s">
        <v>3774</v>
      </c>
      <c r="E952" s="53" t="s">
        <v>3743</v>
      </c>
      <c r="F952" s="53" t="s">
        <v>1130</v>
      </c>
      <c r="G952" s="53" t="s">
        <v>3755</v>
      </c>
      <c r="H952" s="86" t="s">
        <v>17466</v>
      </c>
      <c r="J952" s="42"/>
    </row>
    <row r="953" spans="1:10">
      <c r="A953" s="610" t="s">
        <v>16054</v>
      </c>
      <c r="B953" s="41" t="s">
        <v>16100</v>
      </c>
      <c r="C953" s="42">
        <v>32</v>
      </c>
      <c r="D953" s="53" t="s">
        <v>3774</v>
      </c>
      <c r="E953" s="53" t="s">
        <v>12904</v>
      </c>
      <c r="F953" s="53" t="s">
        <v>3746</v>
      </c>
      <c r="G953" s="53" t="s">
        <v>3748</v>
      </c>
      <c r="H953" s="86" t="s">
        <v>16101</v>
      </c>
    </row>
    <row r="954" spans="1:10">
      <c r="B954" s="41" t="s">
        <v>16492</v>
      </c>
      <c r="C954" s="42">
        <v>30</v>
      </c>
      <c r="D954" s="53" t="s">
        <v>3774</v>
      </c>
      <c r="E954" s="53" t="s">
        <v>3751</v>
      </c>
      <c r="F954" s="53" t="s">
        <v>3746</v>
      </c>
      <c r="G954" s="53" t="s">
        <v>3748</v>
      </c>
      <c r="H954" s="86" t="s">
        <v>17467</v>
      </c>
    </row>
    <row r="955" spans="1:10">
      <c r="B955" s="41" t="s">
        <v>16497</v>
      </c>
      <c r="C955" s="42">
        <v>40</v>
      </c>
      <c r="D955" s="53" t="s">
        <v>3774</v>
      </c>
      <c r="E955" s="53" t="s">
        <v>3752</v>
      </c>
      <c r="F955" s="53" t="s">
        <v>3746</v>
      </c>
      <c r="G955" s="53" t="s">
        <v>3748</v>
      </c>
      <c r="H955" s="86" t="s">
        <v>17468</v>
      </c>
    </row>
    <row r="956" spans="1:10">
      <c r="B956" s="41" t="s">
        <v>16481</v>
      </c>
      <c r="C956" s="42">
        <v>25</v>
      </c>
      <c r="D956" s="53" t="s">
        <v>3774</v>
      </c>
      <c r="E956" s="53" t="s">
        <v>12904</v>
      </c>
      <c r="F956" s="53" t="s">
        <v>3746</v>
      </c>
      <c r="G956" s="53" t="s">
        <v>3738</v>
      </c>
      <c r="H956" s="86" t="s">
        <v>16501</v>
      </c>
    </row>
    <row r="957" spans="1:10">
      <c r="B957" s="41" t="s">
        <v>16102</v>
      </c>
      <c r="C957" s="42">
        <v>40</v>
      </c>
      <c r="D957" s="53" t="s">
        <v>3774</v>
      </c>
      <c r="E957" s="53" t="s">
        <v>3752</v>
      </c>
      <c r="F957" s="53" t="s">
        <v>3746</v>
      </c>
      <c r="G957" s="53" t="s">
        <v>3747</v>
      </c>
      <c r="H957" s="86" t="s">
        <v>16103</v>
      </c>
    </row>
    <row r="958" spans="1:10" ht="52.8">
      <c r="B958" s="41" t="s">
        <v>16484</v>
      </c>
      <c r="C958" s="42">
        <v>35</v>
      </c>
      <c r="D958" s="53" t="s">
        <v>3774</v>
      </c>
      <c r="E958" s="53" t="s">
        <v>3752</v>
      </c>
      <c r="F958" s="53" t="s">
        <v>3746</v>
      </c>
      <c r="G958" s="53" t="s">
        <v>16091</v>
      </c>
      <c r="H958" s="144" t="s">
        <v>17469</v>
      </c>
    </row>
    <row r="959" spans="1:10">
      <c r="B959" s="41" t="s">
        <v>16485</v>
      </c>
      <c r="C959" s="42">
        <v>40</v>
      </c>
      <c r="D959" s="53" t="s">
        <v>3774</v>
      </c>
      <c r="E959" s="53" t="s">
        <v>3752</v>
      </c>
      <c r="F959" s="53" t="s">
        <v>3746</v>
      </c>
      <c r="G959" s="53" t="s">
        <v>3748</v>
      </c>
      <c r="H959" s="86" t="s">
        <v>17470</v>
      </c>
    </row>
    <row r="960" spans="1:10">
      <c r="B960" s="41" t="s">
        <v>16482</v>
      </c>
      <c r="C960" s="42">
        <v>36</v>
      </c>
      <c r="D960" s="53" t="s">
        <v>3774</v>
      </c>
      <c r="E960" s="53" t="s">
        <v>16483</v>
      </c>
      <c r="F960" s="53" t="s">
        <v>3746</v>
      </c>
      <c r="G960" s="53" t="s">
        <v>3747</v>
      </c>
      <c r="H960" s="86" t="s">
        <v>16486</v>
      </c>
      <c r="J960" s="42"/>
    </row>
    <row r="961" spans="2:8">
      <c r="B961" s="41" t="s">
        <v>16090</v>
      </c>
      <c r="C961" s="42">
        <v>25</v>
      </c>
      <c r="D961" s="53" t="s">
        <v>3774</v>
      </c>
      <c r="E961" s="53" t="s">
        <v>3751</v>
      </c>
      <c r="F961" s="53" t="s">
        <v>3746</v>
      </c>
      <c r="G961" s="53" t="s">
        <v>16091</v>
      </c>
      <c r="H961" s="86" t="s">
        <v>16093</v>
      </c>
    </row>
    <row r="962" spans="2:8">
      <c r="B962" s="41" t="s">
        <v>16092</v>
      </c>
      <c r="C962" s="42">
        <v>24</v>
      </c>
      <c r="D962" s="53" t="s">
        <v>3774</v>
      </c>
      <c r="E962" s="53" t="s">
        <v>3749</v>
      </c>
      <c r="F962" s="53" t="s">
        <v>3746</v>
      </c>
      <c r="G962" s="53" t="s">
        <v>3738</v>
      </c>
      <c r="H962" s="86" t="s">
        <v>17471</v>
      </c>
    </row>
    <row r="963" spans="2:8">
      <c r="B963" s="41" t="s">
        <v>16088</v>
      </c>
      <c r="C963" s="42">
        <v>28</v>
      </c>
      <c r="D963" s="53" t="s">
        <v>3774</v>
      </c>
      <c r="E963" s="53" t="s">
        <v>12926</v>
      </c>
      <c r="F963" s="53" t="s">
        <v>3746</v>
      </c>
      <c r="G963" s="53" t="s">
        <v>16089</v>
      </c>
      <c r="H963" s="86" t="s">
        <v>17472</v>
      </c>
    </row>
    <row r="964" spans="2:8">
      <c r="B964" s="41" t="s">
        <v>16095</v>
      </c>
      <c r="C964" s="42">
        <v>35</v>
      </c>
      <c r="D964" s="53" t="s">
        <v>3774</v>
      </c>
      <c r="E964" s="53" t="s">
        <v>12904</v>
      </c>
      <c r="F964" s="53" t="s">
        <v>3746</v>
      </c>
      <c r="G964" s="53" t="s">
        <v>3748</v>
      </c>
      <c r="H964" s="86" t="s">
        <v>16509</v>
      </c>
    </row>
    <row r="965" spans="2:8">
      <c r="B965" s="41" t="s">
        <v>16094</v>
      </c>
      <c r="C965" s="42">
        <v>28</v>
      </c>
      <c r="D965" s="53" t="s">
        <v>3774</v>
      </c>
      <c r="E965" s="53" t="s">
        <v>3751</v>
      </c>
      <c r="F965" s="53" t="s">
        <v>3746</v>
      </c>
      <c r="G965" s="53" t="s">
        <v>3748</v>
      </c>
      <c r="H965" s="86" t="s">
        <v>17473</v>
      </c>
    </row>
    <row r="966" spans="2:8" ht="39.6">
      <c r="B966" s="41" t="s">
        <v>16097</v>
      </c>
      <c r="C966" s="42">
        <v>35</v>
      </c>
      <c r="D966" s="53" t="s">
        <v>3774</v>
      </c>
      <c r="E966" s="53" t="s">
        <v>12904</v>
      </c>
      <c r="F966" s="53" t="s">
        <v>3746</v>
      </c>
      <c r="G966" s="53" t="s">
        <v>3748</v>
      </c>
      <c r="H966" s="144" t="s">
        <v>17474</v>
      </c>
    </row>
    <row r="967" spans="2:8">
      <c r="B967" s="41" t="s">
        <v>16096</v>
      </c>
      <c r="C967" s="42">
        <v>35</v>
      </c>
      <c r="D967" s="53" t="s">
        <v>3774</v>
      </c>
      <c r="E967" s="53" t="s">
        <v>12904</v>
      </c>
      <c r="F967" s="53" t="s">
        <v>3746</v>
      </c>
      <c r="G967" s="53" t="s">
        <v>3748</v>
      </c>
      <c r="H967" s="86" t="s">
        <v>17475</v>
      </c>
    </row>
    <row r="968" spans="2:8">
      <c r="B968" s="41" t="s">
        <v>16098</v>
      </c>
      <c r="C968" s="42">
        <v>25</v>
      </c>
      <c r="D968" s="53" t="s">
        <v>3774</v>
      </c>
      <c r="E968" s="53" t="s">
        <v>3749</v>
      </c>
      <c r="F968" s="53" t="s">
        <v>3746</v>
      </c>
      <c r="G968" s="53" t="s">
        <v>3748</v>
      </c>
      <c r="H968" s="86" t="s">
        <v>16099</v>
      </c>
    </row>
  </sheetData>
  <sheetProtection selectLockedCells="1" selectUnlockedCells="1"/>
  <sortState xmlns:xlrd2="http://schemas.microsoft.com/office/spreadsheetml/2017/richdata2" ref="B428:H433">
    <sortCondition ref="B428:B433"/>
  </sortState>
  <phoneticPr fontId="15" type="noConversion"/>
  <hyperlinks>
    <hyperlink ref="C71" r:id="rId1" xr:uid="{00000000-0004-0000-0A00-000000000000}"/>
    <hyperlink ref="M83" r:id="rId2" tooltip="Tour Blanche de Hœth" display="https://bibliotheque-imperiale.com/index.php/Tour_Blanche_de_H%C5%93th" xr:uid="{B3C47109-B112-4884-A001-F5AD7FDBCAE8}"/>
    <hyperlink ref="C88" r:id="rId3" location="Qhaysh:_all_eight_winds_woven_together.2C_Lore_of_High_Magic" xr:uid="{19BFB7A4-D457-44B5-935B-B5870EF3B119}"/>
    <hyperlink ref="C50" r:id="rId4" location="Qhaysh:_all_eight_winds_woven_together.2C_Lore_of_High_Magic" xr:uid="{D77AF851-64FB-464C-AB90-EC00A1CEC34E}"/>
    <hyperlink ref="C82" r:id="rId5" location="Qhaysh:_all_eight_winds_woven_together.2C_Lore_of_High_Magic" xr:uid="{469EA0DA-568C-43F4-A993-DD0F3D588EB4}"/>
    <hyperlink ref="C83:C84" r:id="rId6" location="Qhaysh:_all_eight_winds_woven_together.2C_Lore_of_High_Magic" display="Web" xr:uid="{429D0A91-7370-4D78-94A5-287EBAE40585}"/>
    <hyperlink ref="D18" r:id="rId7" location="Qhaysh:_all_eight_winds_woven_together.2C_Lore_of_High_Magic" xr:uid="{DBD94B67-AD36-41C1-A02E-5B66C3DF8CB1}"/>
    <hyperlink ref="D94" r:id="rId8" location="Qhaysh:_all_eight_winds_woven_together.2C_Lore_of_High_Magic" xr:uid="{213F2309-F303-47EF-BAE8-D5FD0B061153}"/>
    <hyperlink ref="D95" r:id="rId9" xr:uid="{9F8B3A50-1F60-47AE-AED8-C709D8AA2CBC}"/>
  </hyperlinks>
  <pageMargins left="0.78740157499999996" right="0.78740157499999996" top="0.984251969" bottom="0.984251969" header="0.4921259845" footer="0.4921259845"/>
  <pageSetup paperSize="9" orientation="portrait" r:id="rId1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theme="1"/>
  </sheetPr>
  <dimension ref="A1:CT62"/>
  <sheetViews>
    <sheetView workbookViewId="0">
      <pane ySplit="2" topLeftCell="A18" activePane="bottomLeft" state="frozen"/>
      <selection pane="bottomLeft" activeCell="A33" sqref="A16:XFD35"/>
    </sheetView>
  </sheetViews>
  <sheetFormatPr baseColWidth="10" defaultColWidth="11.44140625" defaultRowHeight="13.2"/>
  <cols>
    <col min="1" max="1" width="20.88671875" style="581" customWidth="1"/>
    <col min="2" max="4" width="39" style="3" customWidth="1"/>
    <col min="5" max="5" width="24.5546875" style="3" customWidth="1"/>
    <col min="6" max="6" width="25.109375" style="580" bestFit="1" customWidth="1"/>
    <col min="7" max="7" width="20.33203125" style="3" bestFit="1" customWidth="1"/>
    <col min="8" max="8" width="25" style="3" customWidth="1"/>
    <col min="9" max="9" width="26.5546875" style="3" customWidth="1"/>
    <col min="10" max="10" width="23.6640625" style="3" bestFit="1" customWidth="1"/>
    <col min="11" max="11" width="23.6640625" style="3" customWidth="1"/>
    <col min="12" max="12" width="30.109375" style="3" bestFit="1" customWidth="1"/>
    <col min="13" max="13" width="22.44140625" style="3" customWidth="1"/>
    <col min="14" max="14" width="20.88671875" style="3" bestFit="1" customWidth="1"/>
    <col min="15" max="15" width="24" style="3" customWidth="1"/>
    <col min="16" max="17" width="26.44140625" style="3" customWidth="1"/>
    <col min="18" max="18" width="23.88671875" style="3" customWidth="1"/>
    <col min="19" max="19" width="35.6640625" style="36" customWidth="1"/>
    <col min="20" max="20" width="20.33203125" style="3" customWidth="1"/>
    <col min="21" max="21" width="26" style="3" customWidth="1"/>
    <col min="22" max="22" width="21.6640625" style="580" customWidth="1"/>
    <col min="23" max="23" width="20.6640625" style="3" customWidth="1"/>
    <col min="24" max="24" width="22.88671875" style="3" bestFit="1" customWidth="1"/>
    <col min="25" max="25" width="22.5546875" style="3" bestFit="1" customWidth="1"/>
    <col min="26" max="26" width="27.88671875" style="3" bestFit="1" customWidth="1"/>
    <col min="27" max="27" width="22" style="3" bestFit="1" customWidth="1"/>
    <col min="28" max="28" width="22.44140625" style="3" bestFit="1" customWidth="1"/>
    <col min="29" max="29" width="21" style="3" customWidth="1"/>
    <col min="30" max="30" width="22.109375" style="3" bestFit="1" customWidth="1"/>
    <col min="31" max="31" width="23.5546875" style="3" customWidth="1"/>
    <col min="32" max="32" width="27.109375" style="3" bestFit="1" customWidth="1"/>
    <col min="33" max="33" width="21.44140625" style="3" bestFit="1" customWidth="1"/>
    <col min="34" max="34" width="22.109375" style="3" bestFit="1" customWidth="1"/>
    <col min="35" max="35" width="25.33203125" style="3" bestFit="1" customWidth="1"/>
    <col min="36" max="36" width="23.6640625" style="3" bestFit="1" customWidth="1"/>
    <col min="37" max="37" width="22" style="3" bestFit="1" customWidth="1"/>
    <col min="38" max="38" width="22" style="3" customWidth="1"/>
    <col min="39" max="39" width="32.88671875" style="3" customWidth="1"/>
    <col min="40" max="40" width="20" style="3" bestFit="1" customWidth="1"/>
    <col min="41" max="41" width="18.44140625" style="3" bestFit="1" customWidth="1"/>
    <col min="42" max="42" width="22.5546875" style="3" bestFit="1" customWidth="1"/>
    <col min="43" max="43" width="22.6640625" style="3" customWidth="1"/>
    <col min="44" max="44" width="24.88671875" customWidth="1"/>
    <col min="45" max="45" width="29.33203125" style="36" customWidth="1"/>
    <col min="46" max="46" width="27.33203125" style="3" customWidth="1"/>
    <col min="47" max="47" width="25.109375" style="3" customWidth="1"/>
    <col min="48" max="48" width="29.33203125" style="580" customWidth="1"/>
    <col min="49" max="49" width="29.33203125" style="36" customWidth="1"/>
    <col min="50" max="50" width="29.33203125" style="580" customWidth="1"/>
    <col min="51" max="51" width="24.33203125" style="3" bestFit="1" customWidth="1"/>
    <col min="52" max="52" width="34.5546875" style="3" customWidth="1"/>
    <col min="53" max="53" width="18.109375" style="3" customWidth="1"/>
    <col min="54" max="54" width="22" style="3" customWidth="1"/>
    <col min="55" max="55" width="29.33203125" style="3" customWidth="1"/>
    <col min="56" max="56" width="33.33203125" style="3" customWidth="1"/>
    <col min="57" max="57" width="24.44140625" style="3" customWidth="1"/>
    <col min="58" max="58" width="21.5546875" style="3" customWidth="1"/>
    <col min="59" max="59" width="17.6640625" style="3" customWidth="1"/>
    <col min="60" max="60" width="19.6640625" style="3" customWidth="1"/>
    <col min="61" max="61" width="19.44140625" style="580" customWidth="1"/>
    <col min="62" max="62" width="29.5546875" style="3" customWidth="1"/>
    <col min="63" max="63" width="23.5546875" style="3" bestFit="1" customWidth="1"/>
    <col min="64" max="64" width="31.33203125" style="3" bestFit="1" customWidth="1"/>
    <col min="65" max="65" width="32.5546875" style="3" bestFit="1" customWidth="1"/>
    <col min="66" max="66" width="24.6640625" style="3" bestFit="1" customWidth="1"/>
    <col min="67" max="67" width="25.5546875" style="3" bestFit="1" customWidth="1"/>
    <col min="68" max="68" width="29.33203125" style="3" customWidth="1"/>
    <col min="69" max="69" width="29.88671875" style="3" customWidth="1"/>
    <col min="70" max="70" width="32" style="3" customWidth="1"/>
    <col min="71" max="71" width="34.33203125" style="580" customWidth="1"/>
    <col min="72" max="72" width="23.6640625" style="3" bestFit="1" customWidth="1"/>
    <col min="73" max="73" width="29.5546875" style="3" customWidth="1"/>
    <col min="74" max="74" width="29" style="3" customWidth="1"/>
    <col min="75" max="75" width="27.33203125" style="3" bestFit="1" customWidth="1"/>
    <col min="76" max="76" width="24" style="3" bestFit="1" customWidth="1"/>
    <col min="77" max="77" width="28.44140625" style="3" bestFit="1" customWidth="1"/>
    <col min="78" max="78" width="26.44140625" style="3" bestFit="1" customWidth="1"/>
    <col min="79" max="79" width="29.88671875" style="3" customWidth="1"/>
    <col min="80" max="80" width="26.44140625" style="3" customWidth="1"/>
    <col min="81" max="81" width="26.88671875" style="3" bestFit="1" customWidth="1"/>
    <col min="82" max="82" width="26.5546875" style="3" bestFit="1" customWidth="1"/>
    <col min="83" max="83" width="25.5546875" style="3" customWidth="1"/>
    <col min="84" max="84" width="23.88671875" style="3" bestFit="1" customWidth="1"/>
    <col min="85" max="85" width="25.33203125" style="3" bestFit="1" customWidth="1"/>
    <col min="86" max="86" width="26.5546875" style="3" bestFit="1" customWidth="1"/>
    <col min="87" max="87" width="22.5546875" style="3" customWidth="1"/>
    <col min="88" max="88" width="22" style="3" customWidth="1"/>
    <col min="89" max="89" width="26.44140625" style="3" bestFit="1" customWidth="1"/>
    <col min="90" max="91" width="29.88671875" style="3" customWidth="1"/>
    <col min="92" max="92" width="29.88671875" style="580" customWidth="1"/>
    <col min="93" max="94" width="21.88671875" style="3" customWidth="1"/>
    <col min="95" max="95" width="35.6640625" style="580" customWidth="1"/>
    <col min="96" max="97" width="19.6640625" style="3" customWidth="1"/>
    <col min="98" max="98" width="21.109375" style="580" customWidth="1"/>
    <col min="99" max="99" width="19.88671875" style="3" customWidth="1"/>
    <col min="100" max="16384" width="11.44140625" style="3"/>
  </cols>
  <sheetData>
    <row r="1" spans="1:98" s="585" customFormat="1">
      <c r="A1" s="584" t="s">
        <v>433</v>
      </c>
      <c r="B1" s="1490" t="s">
        <v>11581</v>
      </c>
      <c r="C1" s="1491"/>
      <c r="D1" s="1491"/>
      <c r="E1" s="1491"/>
      <c r="F1" s="1491"/>
      <c r="G1" s="1498" t="s">
        <v>11584</v>
      </c>
      <c r="H1" s="1498"/>
      <c r="I1" s="1498"/>
      <c r="J1" s="1498"/>
      <c r="K1" s="1498"/>
      <c r="L1" s="1498"/>
      <c r="M1" s="1498"/>
      <c r="N1" s="1498"/>
      <c r="O1" s="1498"/>
      <c r="P1" s="1498"/>
      <c r="Q1" s="1498"/>
      <c r="R1" s="1498"/>
      <c r="S1" s="1498"/>
      <c r="T1" s="1498"/>
      <c r="U1" s="1498"/>
      <c r="V1" s="1498"/>
      <c r="W1" s="1497" t="s">
        <v>11585</v>
      </c>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497"/>
      <c r="AW1" s="1495" t="s">
        <v>12949</v>
      </c>
      <c r="AX1" s="1495"/>
      <c r="AY1" s="1496" t="s">
        <v>11582</v>
      </c>
      <c r="AZ1" s="1496"/>
      <c r="BA1" s="1496"/>
      <c r="BB1" s="1496"/>
      <c r="BC1" s="1496"/>
      <c r="BD1" s="1496"/>
      <c r="BE1" s="1496"/>
      <c r="BF1" s="1496"/>
      <c r="BG1" s="1496"/>
      <c r="BH1" s="1496"/>
      <c r="BI1" s="1496"/>
      <c r="BJ1" s="1501" t="s">
        <v>16532</v>
      </c>
      <c r="BK1" s="1501"/>
      <c r="BL1" s="1501"/>
      <c r="BM1" s="1501"/>
      <c r="BN1" s="1501"/>
      <c r="BO1" s="1501"/>
      <c r="BP1" s="1501"/>
      <c r="BQ1" s="1501"/>
      <c r="BR1" s="1501"/>
      <c r="BS1" s="1501"/>
      <c r="BT1" s="1499" t="s">
        <v>16531</v>
      </c>
      <c r="BU1" s="1499"/>
      <c r="BV1" s="1499"/>
      <c r="BW1" s="1499"/>
      <c r="BX1" s="1499"/>
      <c r="BY1" s="1499"/>
      <c r="BZ1" s="1499"/>
      <c r="CA1" s="1499"/>
      <c r="CB1" s="1499"/>
      <c r="CC1" s="1499"/>
      <c r="CD1" s="1499"/>
      <c r="CE1" s="1499"/>
      <c r="CF1" s="1499"/>
      <c r="CG1" s="1499"/>
      <c r="CH1" s="1499"/>
      <c r="CI1" s="1499"/>
      <c r="CJ1" s="1499"/>
      <c r="CK1" s="1499"/>
      <c r="CL1" s="1499"/>
      <c r="CM1" s="1499"/>
      <c r="CN1" s="1500"/>
      <c r="CO1" s="1492" t="s">
        <v>2729</v>
      </c>
      <c r="CP1" s="1492"/>
      <c r="CQ1" s="1492"/>
      <c r="CR1" s="1493" t="s">
        <v>11583</v>
      </c>
      <c r="CS1" s="1493"/>
      <c r="CT1" s="1494"/>
    </row>
    <row r="2" spans="1:98" s="587" customFormat="1">
      <c r="A2" s="586" t="s">
        <v>433</v>
      </c>
      <c r="B2" s="587" t="s">
        <v>15605</v>
      </c>
      <c r="C2" s="587" t="s">
        <v>15604</v>
      </c>
      <c r="D2" s="587" t="s">
        <v>15603</v>
      </c>
      <c r="E2" s="587" t="s">
        <v>9705</v>
      </c>
      <c r="F2" s="586" t="s">
        <v>9807</v>
      </c>
      <c r="G2" s="587" t="s">
        <v>1312</v>
      </c>
      <c r="H2" s="587" t="s">
        <v>1313</v>
      </c>
      <c r="I2" s="587" t="s">
        <v>1314</v>
      </c>
      <c r="J2" s="587" t="s">
        <v>1315</v>
      </c>
      <c r="K2" s="587" t="s">
        <v>1311</v>
      </c>
      <c r="L2" s="587" t="s">
        <v>1316</v>
      </c>
      <c r="M2" s="587" t="s">
        <v>1317</v>
      </c>
      <c r="N2" s="587" t="s">
        <v>1318</v>
      </c>
      <c r="O2" s="587" t="s">
        <v>7205</v>
      </c>
      <c r="P2" s="587" t="s">
        <v>7178</v>
      </c>
      <c r="Q2" s="587" t="s">
        <v>16381</v>
      </c>
      <c r="R2" s="587" t="s">
        <v>7203</v>
      </c>
      <c r="S2" s="588" t="s">
        <v>16113</v>
      </c>
      <c r="T2" s="587" t="s">
        <v>9120</v>
      </c>
      <c r="U2" s="587" t="s">
        <v>9222</v>
      </c>
      <c r="V2" s="586" t="s">
        <v>9223</v>
      </c>
      <c r="W2" s="587" t="s">
        <v>9827</v>
      </c>
      <c r="X2" s="587" t="s">
        <v>9809</v>
      </c>
      <c r="Y2" s="587" t="s">
        <v>9810</v>
      </c>
      <c r="Z2" s="587" t="s">
        <v>9811</v>
      </c>
      <c r="AA2" s="587" t="s">
        <v>9812</v>
      </c>
      <c r="AB2" s="587" t="s">
        <v>9813</v>
      </c>
      <c r="AC2" s="587" t="s">
        <v>9814</v>
      </c>
      <c r="AD2" s="587" t="s">
        <v>9815</v>
      </c>
      <c r="AE2" s="587" t="s">
        <v>9816</v>
      </c>
      <c r="AF2" s="587" t="s">
        <v>9817</v>
      </c>
      <c r="AG2" s="587" t="s">
        <v>9828</v>
      </c>
      <c r="AH2" s="587" t="s">
        <v>9818</v>
      </c>
      <c r="AI2" s="587" t="s">
        <v>9819</v>
      </c>
      <c r="AJ2" s="587" t="s">
        <v>9820</v>
      </c>
      <c r="AK2" s="587" t="s">
        <v>9821</v>
      </c>
      <c r="AL2" s="587" t="s">
        <v>16032</v>
      </c>
      <c r="AM2" s="587" t="s">
        <v>9822</v>
      </c>
      <c r="AN2" s="587" t="s">
        <v>9823</v>
      </c>
      <c r="AO2" s="587" t="s">
        <v>9824</v>
      </c>
      <c r="AP2" s="587" t="s">
        <v>9829</v>
      </c>
      <c r="AQ2" s="587" t="s">
        <v>9826</v>
      </c>
      <c r="AR2" s="587" t="s">
        <v>11335</v>
      </c>
      <c r="AS2" s="588" t="s">
        <v>16124</v>
      </c>
      <c r="AT2" s="587" t="s">
        <v>16387</v>
      </c>
      <c r="AU2" s="587" t="s">
        <v>16405</v>
      </c>
      <c r="AV2" s="586" t="s">
        <v>9825</v>
      </c>
      <c r="AW2" s="588" t="s">
        <v>12947</v>
      </c>
      <c r="AX2" s="586" t="s">
        <v>12948</v>
      </c>
      <c r="AY2" s="587" t="s">
        <v>1326</v>
      </c>
      <c r="AZ2" s="587" t="s">
        <v>9921</v>
      </c>
      <c r="BA2" s="587" t="s">
        <v>3626</v>
      </c>
      <c r="BB2" s="587" t="s">
        <v>3657</v>
      </c>
      <c r="BC2" s="587" t="s">
        <v>3690</v>
      </c>
      <c r="BD2" s="587" t="s">
        <v>11773</v>
      </c>
      <c r="BE2" s="587" t="s">
        <v>12240</v>
      </c>
      <c r="BF2" s="587" t="s">
        <v>3776</v>
      </c>
      <c r="BG2" s="587" t="s">
        <v>3777</v>
      </c>
      <c r="BH2" s="587" t="s">
        <v>1495</v>
      </c>
      <c r="BI2" s="586" t="s">
        <v>9830</v>
      </c>
      <c r="BJ2" s="587" t="s">
        <v>3591</v>
      </c>
      <c r="BK2" s="587" t="s">
        <v>1329</v>
      </c>
      <c r="BL2" s="587" t="s">
        <v>9803</v>
      </c>
      <c r="BM2" s="587" t="s">
        <v>9802</v>
      </c>
      <c r="BN2" s="587" t="s">
        <v>1323</v>
      </c>
      <c r="BO2" s="587" t="s">
        <v>1325</v>
      </c>
      <c r="BP2" s="587" t="s">
        <v>9701</v>
      </c>
      <c r="BQ2" s="587" t="s">
        <v>9702</v>
      </c>
      <c r="BR2" s="587" t="s">
        <v>15312</v>
      </c>
      <c r="BS2" s="586" t="s">
        <v>11423</v>
      </c>
      <c r="BT2" s="587" t="s">
        <v>1115</v>
      </c>
      <c r="BU2" s="587" t="s">
        <v>16402</v>
      </c>
      <c r="BV2" s="587" t="s">
        <v>9112</v>
      </c>
      <c r="BW2" s="587" t="s">
        <v>526</v>
      </c>
      <c r="BX2" s="587" t="s">
        <v>528</v>
      </c>
      <c r="BY2" s="587" t="s">
        <v>529</v>
      </c>
      <c r="BZ2" s="587" t="s">
        <v>530</v>
      </c>
      <c r="CA2" s="587" t="s">
        <v>16533</v>
      </c>
      <c r="CB2" s="587" t="s">
        <v>16123</v>
      </c>
      <c r="CC2" s="587" t="s">
        <v>531</v>
      </c>
      <c r="CD2" s="587" t="s">
        <v>532</v>
      </c>
      <c r="CE2" s="587" t="s">
        <v>9111</v>
      </c>
      <c r="CF2" s="587" t="s">
        <v>533</v>
      </c>
      <c r="CG2" s="587" t="s">
        <v>534</v>
      </c>
      <c r="CH2" s="587" t="s">
        <v>535</v>
      </c>
      <c r="CI2" s="587" t="s">
        <v>9804</v>
      </c>
      <c r="CJ2" s="587" t="s">
        <v>9805</v>
      </c>
      <c r="CK2" s="587" t="s">
        <v>9806</v>
      </c>
      <c r="CL2" s="587" t="s">
        <v>12944</v>
      </c>
      <c r="CM2" s="587" t="s">
        <v>12943</v>
      </c>
      <c r="CN2" s="586" t="s">
        <v>9704</v>
      </c>
      <c r="CO2" s="587" t="s">
        <v>2729</v>
      </c>
      <c r="CP2" s="588" t="s">
        <v>3750</v>
      </c>
      <c r="CQ2" s="586" t="s">
        <v>16054</v>
      </c>
      <c r="CR2" s="587" t="s">
        <v>11499</v>
      </c>
      <c r="CS2" s="587" t="s">
        <v>11705</v>
      </c>
      <c r="CT2" s="586" t="s">
        <v>11500</v>
      </c>
    </row>
    <row r="3" spans="1:98" s="36" customFormat="1">
      <c r="A3" s="581" t="s">
        <v>1341</v>
      </c>
      <c r="B3" s="106" t="s">
        <v>1450</v>
      </c>
      <c r="C3" s="36" t="s">
        <v>1453</v>
      </c>
      <c r="D3" s="36" t="s">
        <v>15608</v>
      </c>
      <c r="E3" s="36" t="s">
        <v>9722</v>
      </c>
      <c r="F3" s="580" t="s">
        <v>1434</v>
      </c>
      <c r="G3" s="44" t="s">
        <v>1414</v>
      </c>
      <c r="H3" s="44" t="s">
        <v>645</v>
      </c>
      <c r="I3" s="44" t="s">
        <v>659</v>
      </c>
      <c r="J3" s="44" t="s">
        <v>687</v>
      </c>
      <c r="K3" s="86" t="s">
        <v>1395</v>
      </c>
      <c r="L3" s="44" t="s">
        <v>707</v>
      </c>
      <c r="M3" s="44" t="s">
        <v>1189</v>
      </c>
      <c r="N3" s="44" t="s">
        <v>1209</v>
      </c>
      <c r="O3" s="36" t="s">
        <v>7151</v>
      </c>
      <c r="P3" s="36" t="s">
        <v>7168</v>
      </c>
      <c r="Q3" s="106" t="s">
        <v>1189</v>
      </c>
      <c r="R3" s="36" t="s">
        <v>7188</v>
      </c>
      <c r="S3" s="36" t="s">
        <v>15972</v>
      </c>
      <c r="T3" s="36" t="s">
        <v>1190</v>
      </c>
      <c r="U3" s="44" t="s">
        <v>1209</v>
      </c>
      <c r="V3" s="583" t="s">
        <v>9242</v>
      </c>
      <c r="W3" s="85" t="s">
        <v>8864</v>
      </c>
      <c r="X3" s="106" t="s">
        <v>582</v>
      </c>
      <c r="Y3" s="85" t="s">
        <v>15985</v>
      </c>
      <c r="Z3" s="36" t="s">
        <v>606</v>
      </c>
      <c r="AA3" s="36" t="s">
        <v>747</v>
      </c>
      <c r="AB3" s="36" t="s">
        <v>758</v>
      </c>
      <c r="AC3" s="36" t="s">
        <v>642</v>
      </c>
      <c r="AD3" s="36" t="s">
        <v>0</v>
      </c>
      <c r="AE3" s="36" t="s">
        <v>9031</v>
      </c>
      <c r="AF3" s="36" t="s">
        <v>12</v>
      </c>
      <c r="AG3" s="36" t="s">
        <v>22</v>
      </c>
      <c r="AH3" s="36" t="s">
        <v>34</v>
      </c>
      <c r="AI3" s="36" t="s">
        <v>564</v>
      </c>
      <c r="AJ3" s="106" t="s">
        <v>17476</v>
      </c>
      <c r="AK3" s="36" t="s">
        <v>576</v>
      </c>
      <c r="AL3" s="36" t="s">
        <v>15956</v>
      </c>
      <c r="AM3" s="44" t="s">
        <v>9262</v>
      </c>
      <c r="AN3" s="36" t="s">
        <v>1349</v>
      </c>
      <c r="AO3" s="36" t="s">
        <v>1355</v>
      </c>
      <c r="AP3" s="106" t="s">
        <v>17311</v>
      </c>
      <c r="AQ3" s="36" t="s">
        <v>9743</v>
      </c>
      <c r="AR3" s="44" t="s">
        <v>1209</v>
      </c>
      <c r="AS3" s="36" t="s">
        <v>660</v>
      </c>
      <c r="AT3" s="85" t="s">
        <v>12</v>
      </c>
      <c r="AU3" s="85" t="s">
        <v>16409</v>
      </c>
      <c r="AV3" s="580" t="s">
        <v>3580</v>
      </c>
      <c r="AW3" s="85" t="s">
        <v>564</v>
      </c>
      <c r="AX3" s="582" t="s">
        <v>16546</v>
      </c>
      <c r="AY3" s="36" t="s">
        <v>1467</v>
      </c>
      <c r="AZ3" s="36" t="s">
        <v>1474</v>
      </c>
      <c r="BA3" s="36" t="s">
        <v>9337</v>
      </c>
      <c r="BB3" s="36" t="s">
        <v>3659</v>
      </c>
      <c r="BC3" s="36" t="s">
        <v>3692</v>
      </c>
      <c r="BD3" s="36" t="s">
        <v>1477</v>
      </c>
      <c r="BE3" s="36" t="s">
        <v>11675</v>
      </c>
      <c r="BF3" s="44" t="s">
        <v>1484</v>
      </c>
      <c r="BG3" s="44" t="s">
        <v>1482</v>
      </c>
      <c r="BH3" s="44" t="s">
        <v>1492</v>
      </c>
      <c r="BI3" s="580" t="s">
        <v>641</v>
      </c>
      <c r="BJ3" s="36" t="s">
        <v>3593</v>
      </c>
      <c r="BK3" s="36" t="s">
        <v>1390</v>
      </c>
      <c r="BL3" s="106" t="s">
        <v>4506</v>
      </c>
      <c r="BM3" s="36" t="s">
        <v>1381</v>
      </c>
      <c r="BN3" s="85" t="s">
        <v>16528</v>
      </c>
      <c r="BO3" s="36" t="s">
        <v>16525</v>
      </c>
      <c r="BP3" s="36" t="s">
        <v>9687</v>
      </c>
      <c r="BQ3" s="36" t="s">
        <v>1117</v>
      </c>
      <c r="BR3" s="85" t="s">
        <v>15315</v>
      </c>
      <c r="BS3" s="582" t="s">
        <v>5274</v>
      </c>
      <c r="BT3" s="36" t="s">
        <v>1117</v>
      </c>
      <c r="BU3" s="36" t="s">
        <v>16395</v>
      </c>
      <c r="BV3" s="106" t="s">
        <v>17259</v>
      </c>
      <c r="BW3" s="36" t="s">
        <v>539</v>
      </c>
      <c r="BX3" s="36" t="s">
        <v>541</v>
      </c>
      <c r="BY3" s="36" t="s">
        <v>543</v>
      </c>
      <c r="BZ3" s="36" t="s">
        <v>545</v>
      </c>
      <c r="CA3" s="36" t="s">
        <v>11694</v>
      </c>
      <c r="CB3" s="36" t="s">
        <v>15979</v>
      </c>
      <c r="CC3" s="36" t="s">
        <v>547</v>
      </c>
      <c r="CD3" s="36" t="s">
        <v>549</v>
      </c>
      <c r="CE3" s="36" t="s">
        <v>9162</v>
      </c>
      <c r="CF3" s="36" t="s">
        <v>551</v>
      </c>
      <c r="CG3" s="36" t="s">
        <v>553</v>
      </c>
      <c r="CH3" s="36" t="s">
        <v>555</v>
      </c>
      <c r="CI3" s="36" t="s">
        <v>1388</v>
      </c>
      <c r="CJ3" s="36" t="s">
        <v>1384</v>
      </c>
      <c r="CK3" s="36" t="s">
        <v>1386</v>
      </c>
      <c r="CL3" s="85" t="s">
        <v>11749</v>
      </c>
      <c r="CM3" s="85" t="s">
        <v>11739</v>
      </c>
      <c r="CN3" s="581" t="s">
        <v>9832</v>
      </c>
      <c r="CO3" s="36" t="s">
        <v>16055</v>
      </c>
      <c r="CP3" s="36" t="s">
        <v>16075</v>
      </c>
      <c r="CQ3" s="580" t="s">
        <v>16100</v>
      </c>
      <c r="CR3" s="85" t="s">
        <v>14582</v>
      </c>
      <c r="CS3" s="106" t="s">
        <v>11657</v>
      </c>
      <c r="CT3" s="580" t="s">
        <v>11764</v>
      </c>
    </row>
    <row r="4" spans="1:98" s="36" customFormat="1">
      <c r="A4" s="581" t="s">
        <v>1346</v>
      </c>
      <c r="B4" s="37" t="s">
        <v>15606</v>
      </c>
      <c r="C4" s="37" t="s">
        <v>1960</v>
      </c>
      <c r="D4" s="37" t="s">
        <v>1960</v>
      </c>
      <c r="E4" s="36" t="s">
        <v>1450</v>
      </c>
      <c r="F4" s="580" t="s">
        <v>1440</v>
      </c>
      <c r="G4" s="44" t="s">
        <v>1420</v>
      </c>
      <c r="H4" s="85" t="s">
        <v>11737</v>
      </c>
      <c r="I4" s="86" t="s">
        <v>9533</v>
      </c>
      <c r="J4" s="44" t="s">
        <v>693</v>
      </c>
      <c r="K4" s="86" t="s">
        <v>1396</v>
      </c>
      <c r="L4" s="44" t="s">
        <v>1175</v>
      </c>
      <c r="M4" s="44" t="s">
        <v>1195</v>
      </c>
      <c r="N4" s="44" t="s">
        <v>1215</v>
      </c>
      <c r="O4" s="337" t="s">
        <v>11734</v>
      </c>
      <c r="P4" s="106" t="s">
        <v>7265</v>
      </c>
      <c r="Q4" s="36" t="s">
        <v>9722</v>
      </c>
      <c r="R4" s="36" t="s">
        <v>7184</v>
      </c>
      <c r="S4" s="36" t="s">
        <v>1396</v>
      </c>
      <c r="T4" s="36" t="s">
        <v>1189</v>
      </c>
      <c r="U4" s="86" t="s">
        <v>16552</v>
      </c>
      <c r="V4" s="871" t="s">
        <v>17400</v>
      </c>
      <c r="W4" s="36" t="s">
        <v>1388</v>
      </c>
      <c r="X4" s="36" t="s">
        <v>583</v>
      </c>
      <c r="Y4" s="36" t="s">
        <v>594</v>
      </c>
      <c r="Z4" s="36" t="s">
        <v>607</v>
      </c>
      <c r="AA4" s="36" t="s">
        <v>746</v>
      </c>
      <c r="AB4" s="36" t="s">
        <v>759</v>
      </c>
      <c r="AC4" s="85" t="s">
        <v>15977</v>
      </c>
      <c r="AD4" s="36" t="s">
        <v>1</v>
      </c>
      <c r="AE4" s="36" t="s">
        <v>584</v>
      </c>
      <c r="AF4" s="36" t="s">
        <v>13</v>
      </c>
      <c r="AG4" s="36" t="s">
        <v>28</v>
      </c>
      <c r="AH4" s="36" t="s">
        <v>35</v>
      </c>
      <c r="AI4" s="36" t="s">
        <v>565</v>
      </c>
      <c r="AJ4" s="36" t="s">
        <v>571</v>
      </c>
      <c r="AK4" s="36" t="s">
        <v>577</v>
      </c>
      <c r="AL4" s="85" t="s">
        <v>750</v>
      </c>
      <c r="AM4" s="44" t="s">
        <v>9266</v>
      </c>
      <c r="AN4" s="36" t="s">
        <v>640</v>
      </c>
      <c r="AO4" s="36" t="s">
        <v>1356</v>
      </c>
      <c r="AP4" s="36" t="s">
        <v>9748</v>
      </c>
      <c r="AQ4" s="36" t="s">
        <v>9749</v>
      </c>
      <c r="AR4" s="44" t="s">
        <v>1398</v>
      </c>
      <c r="AS4" s="36" t="s">
        <v>1</v>
      </c>
      <c r="AT4" s="36" t="s">
        <v>1397</v>
      </c>
      <c r="AU4" s="36" t="s">
        <v>1356</v>
      </c>
      <c r="AV4" s="580" t="s">
        <v>15954</v>
      </c>
      <c r="AW4" s="85" t="s">
        <v>641</v>
      </c>
      <c r="AX4" s="582" t="s">
        <v>565</v>
      </c>
      <c r="AY4" s="36" t="s">
        <v>1464</v>
      </c>
      <c r="AZ4" s="36" t="s">
        <v>1477</v>
      </c>
      <c r="BA4" s="36" t="s">
        <v>3627</v>
      </c>
      <c r="BB4" s="36" t="s">
        <v>3658</v>
      </c>
      <c r="BC4" s="36" t="s">
        <v>3691</v>
      </c>
      <c r="BD4" s="36" t="s">
        <v>14954</v>
      </c>
      <c r="BE4" s="36" t="s">
        <v>11674</v>
      </c>
      <c r="BF4" s="44" t="s">
        <v>1480</v>
      </c>
      <c r="BG4" s="44" t="s">
        <v>1481</v>
      </c>
      <c r="BH4" s="44" t="s">
        <v>1486</v>
      </c>
      <c r="BI4" s="580" t="s">
        <v>640</v>
      </c>
      <c r="BJ4" s="85" t="s">
        <v>9113</v>
      </c>
      <c r="BK4" s="36" t="s">
        <v>1389</v>
      </c>
      <c r="BL4" s="36" t="s">
        <v>1377</v>
      </c>
      <c r="BM4" s="36" t="s">
        <v>1382</v>
      </c>
      <c r="BN4" s="36" t="s">
        <v>1369</v>
      </c>
      <c r="BO4" s="85" t="s">
        <v>16522</v>
      </c>
      <c r="BP4" s="36" t="s">
        <v>1377</v>
      </c>
      <c r="BQ4" s="85" t="s">
        <v>1418</v>
      </c>
      <c r="BR4" s="85" t="s">
        <v>15311</v>
      </c>
      <c r="BS4" s="581" t="s">
        <v>5263</v>
      </c>
      <c r="BT4" s="36" t="s">
        <v>1116</v>
      </c>
      <c r="BU4" s="106" t="s">
        <v>5270</v>
      </c>
      <c r="BV4" s="36" t="s">
        <v>9113</v>
      </c>
      <c r="BW4" s="36" t="s">
        <v>527</v>
      </c>
      <c r="BX4" s="36" t="s">
        <v>540</v>
      </c>
      <c r="BY4" s="36" t="s">
        <v>542</v>
      </c>
      <c r="BZ4" s="36" t="s">
        <v>544</v>
      </c>
      <c r="CA4" s="36" t="s">
        <v>11690</v>
      </c>
      <c r="CB4" s="36" t="s">
        <v>16023</v>
      </c>
      <c r="CC4" s="36" t="s">
        <v>546</v>
      </c>
      <c r="CD4" s="36" t="s">
        <v>548</v>
      </c>
      <c r="CE4" s="36" t="s">
        <v>9117</v>
      </c>
      <c r="CF4" s="36" t="s">
        <v>550</v>
      </c>
      <c r="CG4" s="36" t="s">
        <v>552</v>
      </c>
      <c r="CH4" s="36" t="s">
        <v>554</v>
      </c>
      <c r="CI4" s="36" t="s">
        <v>1387</v>
      </c>
      <c r="CJ4" s="36" t="s">
        <v>1383</v>
      </c>
      <c r="CK4" s="36" t="s">
        <v>1385</v>
      </c>
      <c r="CL4" s="85" t="s">
        <v>12940</v>
      </c>
      <c r="CM4" s="85" t="s">
        <v>12937</v>
      </c>
      <c r="CN4" s="582" t="s">
        <v>9831</v>
      </c>
      <c r="CO4" s="36" t="s">
        <v>16058</v>
      </c>
      <c r="CP4" s="36" t="s">
        <v>16076</v>
      </c>
      <c r="CQ4" s="580" t="s">
        <v>16492</v>
      </c>
      <c r="CR4" s="36" t="s">
        <v>11534</v>
      </c>
      <c r="CS4" s="85" t="s">
        <v>11767</v>
      </c>
      <c r="CT4" s="580" t="s">
        <v>11665</v>
      </c>
    </row>
    <row r="5" spans="1:98" s="36" customFormat="1">
      <c r="A5" s="581" t="s">
        <v>556</v>
      </c>
      <c r="B5" s="36" t="s">
        <v>1452</v>
      </c>
      <c r="C5" s="36" t="s">
        <v>1961</v>
      </c>
      <c r="D5" s="36" t="s">
        <v>1961</v>
      </c>
      <c r="E5" s="36" t="s">
        <v>9727</v>
      </c>
      <c r="F5" s="580" t="s">
        <v>1435</v>
      </c>
      <c r="G5" s="44" t="s">
        <v>1415</v>
      </c>
      <c r="H5" s="44" t="s">
        <v>639</v>
      </c>
      <c r="I5" s="44" t="s">
        <v>660</v>
      </c>
      <c r="J5" s="44" t="s">
        <v>688</v>
      </c>
      <c r="K5" s="86" t="s">
        <v>1397</v>
      </c>
      <c r="L5" s="44" t="s">
        <v>1170</v>
      </c>
      <c r="M5" s="44" t="s">
        <v>1190</v>
      </c>
      <c r="N5" s="44" t="s">
        <v>1210</v>
      </c>
      <c r="O5" s="36" t="s">
        <v>7153</v>
      </c>
      <c r="P5" s="36" t="s">
        <v>7169</v>
      </c>
      <c r="Q5" s="36" t="s">
        <v>247</v>
      </c>
      <c r="R5" s="337" t="s">
        <v>11735</v>
      </c>
      <c r="S5" s="36" t="s">
        <v>9224</v>
      </c>
      <c r="T5" s="36" t="s">
        <v>1369</v>
      </c>
      <c r="U5" s="44" t="s">
        <v>16556</v>
      </c>
      <c r="V5" s="583" t="s">
        <v>9238</v>
      </c>
      <c r="W5" s="36" t="s">
        <v>1417</v>
      </c>
      <c r="X5" s="36" t="s">
        <v>584</v>
      </c>
      <c r="Y5" s="36" t="s">
        <v>600</v>
      </c>
      <c r="Z5" s="36" t="s">
        <v>736</v>
      </c>
      <c r="AA5" s="36" t="s">
        <v>748</v>
      </c>
      <c r="AB5" s="36" t="s">
        <v>760</v>
      </c>
      <c r="AC5" s="36" t="s">
        <v>9119</v>
      </c>
      <c r="AD5" s="36" t="s">
        <v>2</v>
      </c>
      <c r="AE5" s="36" t="s">
        <v>9035</v>
      </c>
      <c r="AF5" s="36" t="s">
        <v>14</v>
      </c>
      <c r="AG5" s="36" t="s">
        <v>23</v>
      </c>
      <c r="AH5" s="36" t="s">
        <v>36</v>
      </c>
      <c r="AI5" s="36" t="s">
        <v>566</v>
      </c>
      <c r="AJ5" s="36" t="s">
        <v>572</v>
      </c>
      <c r="AK5" s="36" t="s">
        <v>578</v>
      </c>
      <c r="AL5" s="36" t="s">
        <v>9727</v>
      </c>
      <c r="AM5" s="44" t="s">
        <v>9256</v>
      </c>
      <c r="AN5" s="36" t="s">
        <v>1350</v>
      </c>
      <c r="AO5" s="36" t="s">
        <v>9748</v>
      </c>
      <c r="AP5" s="36" t="s">
        <v>1361</v>
      </c>
      <c r="AQ5" s="36" t="s">
        <v>9744</v>
      </c>
      <c r="AR5" s="86" t="s">
        <v>1396</v>
      </c>
      <c r="AS5" s="36" t="s">
        <v>9637</v>
      </c>
      <c r="AT5" s="36" t="s">
        <v>1213</v>
      </c>
      <c r="AU5" s="106" t="s">
        <v>16396</v>
      </c>
      <c r="AV5" s="580" t="s">
        <v>1397</v>
      </c>
      <c r="AW5" s="85" t="s">
        <v>12978</v>
      </c>
      <c r="AX5" s="580" t="s">
        <v>12960</v>
      </c>
      <c r="AY5" s="36" t="s">
        <v>1462</v>
      </c>
      <c r="AZ5" s="36" t="s">
        <v>1479</v>
      </c>
      <c r="BA5" s="36" t="s">
        <v>3628</v>
      </c>
      <c r="BB5" s="36" t="s">
        <v>3660</v>
      </c>
      <c r="BC5" s="36" t="s">
        <v>3693</v>
      </c>
      <c r="BD5" s="36" t="s">
        <v>1476</v>
      </c>
      <c r="BE5" s="36" t="s">
        <v>11677</v>
      </c>
      <c r="BF5" s="44" t="s">
        <v>1485</v>
      </c>
      <c r="BG5" s="44" t="s">
        <v>1483</v>
      </c>
      <c r="BH5" s="44" t="s">
        <v>1493</v>
      </c>
      <c r="BI5" s="580" t="s">
        <v>642</v>
      </c>
      <c r="BJ5" s="36" t="s">
        <v>3596</v>
      </c>
      <c r="BK5" s="36" t="s">
        <v>1391</v>
      </c>
      <c r="BL5" s="36" t="s">
        <v>1370</v>
      </c>
      <c r="BM5" s="36" t="s">
        <v>1379</v>
      </c>
      <c r="BN5" s="36" t="s">
        <v>1370</v>
      </c>
      <c r="BO5" s="36" t="s">
        <v>9695</v>
      </c>
      <c r="BP5" s="36" t="s">
        <v>9686</v>
      </c>
      <c r="BQ5" s="36" t="s">
        <v>1369</v>
      </c>
      <c r="BR5" s="85" t="s">
        <v>15386</v>
      </c>
      <c r="BS5" s="581" t="s">
        <v>5266</v>
      </c>
      <c r="BT5" s="36" t="s">
        <v>1320</v>
      </c>
      <c r="BU5" s="85" t="s">
        <v>16401</v>
      </c>
      <c r="CN5" s="580"/>
      <c r="CO5" s="36" t="s">
        <v>16059</v>
      </c>
      <c r="CP5" s="36" t="s">
        <v>16108</v>
      </c>
      <c r="CQ5" s="580" t="s">
        <v>16497</v>
      </c>
      <c r="CR5" s="106" t="s">
        <v>11717</v>
      </c>
      <c r="CS5" s="85" t="s">
        <v>14584</v>
      </c>
      <c r="CT5" s="580" t="s">
        <v>9638</v>
      </c>
    </row>
    <row r="6" spans="1:98" s="36" customFormat="1">
      <c r="A6" s="581" t="s">
        <v>1339</v>
      </c>
      <c r="B6" s="37" t="s">
        <v>1960</v>
      </c>
      <c r="C6" s="36" t="s">
        <v>1963</v>
      </c>
      <c r="D6" s="36" t="s">
        <v>1963</v>
      </c>
      <c r="E6" s="36" t="s">
        <v>9734</v>
      </c>
      <c r="F6" s="580" t="s">
        <v>1436</v>
      </c>
      <c r="G6" s="337" t="s">
        <v>11729</v>
      </c>
      <c r="H6" s="44" t="s">
        <v>640</v>
      </c>
      <c r="I6" s="44" t="s">
        <v>661</v>
      </c>
      <c r="J6" s="44" t="s">
        <v>689</v>
      </c>
      <c r="K6" s="86" t="s">
        <v>16392</v>
      </c>
      <c r="L6" s="44" t="s">
        <v>1171</v>
      </c>
      <c r="M6" s="44" t="s">
        <v>1191</v>
      </c>
      <c r="N6" s="44" t="s">
        <v>1211</v>
      </c>
      <c r="O6" s="36" t="s">
        <v>7154</v>
      </c>
      <c r="P6" s="36" t="s">
        <v>247</v>
      </c>
      <c r="Q6" s="36" t="s">
        <v>1195</v>
      </c>
      <c r="R6" s="106" t="s">
        <v>9319</v>
      </c>
      <c r="S6" s="36" t="s">
        <v>11697</v>
      </c>
      <c r="T6" s="36" t="s">
        <v>1196</v>
      </c>
      <c r="U6" s="44" t="s">
        <v>1211</v>
      </c>
      <c r="V6" s="583" t="s">
        <v>9224</v>
      </c>
      <c r="W6" s="106" t="s">
        <v>17266</v>
      </c>
      <c r="X6" s="36" t="s">
        <v>585</v>
      </c>
      <c r="Y6" s="36" t="s">
        <v>595</v>
      </c>
      <c r="Z6" s="36" t="s">
        <v>737</v>
      </c>
      <c r="AA6" s="36" t="s">
        <v>749</v>
      </c>
      <c r="AB6" s="36" t="s">
        <v>761</v>
      </c>
      <c r="AC6" s="36" t="s">
        <v>1351</v>
      </c>
      <c r="AD6" s="36" t="s">
        <v>16019</v>
      </c>
      <c r="AE6" s="36" t="s">
        <v>9036</v>
      </c>
      <c r="AF6" s="36" t="s">
        <v>15</v>
      </c>
      <c r="AG6" s="36" t="s">
        <v>24</v>
      </c>
      <c r="AH6" s="36" t="s">
        <v>37</v>
      </c>
      <c r="AI6" s="36" t="s">
        <v>567</v>
      </c>
      <c r="AJ6" s="36" t="s">
        <v>573</v>
      </c>
      <c r="AK6" s="36" t="s">
        <v>579</v>
      </c>
      <c r="AL6" s="85" t="s">
        <v>16415</v>
      </c>
      <c r="AM6" s="44" t="s">
        <v>9264</v>
      </c>
      <c r="AN6" s="36" t="s">
        <v>1351</v>
      </c>
      <c r="AO6" s="36" t="s">
        <v>1357</v>
      </c>
      <c r="AP6" s="36" t="s">
        <v>1362</v>
      </c>
      <c r="AQ6" s="36" t="s">
        <v>9746</v>
      </c>
      <c r="AR6" s="86" t="s">
        <v>1397</v>
      </c>
      <c r="AS6" s="36" t="s">
        <v>5</v>
      </c>
      <c r="AT6" s="36" t="s">
        <v>11697</v>
      </c>
      <c r="AU6" s="85" t="s">
        <v>16420</v>
      </c>
      <c r="AV6" s="580" t="s">
        <v>3573</v>
      </c>
      <c r="AW6" s="36" t="s">
        <v>16466</v>
      </c>
      <c r="AX6" s="580" t="s">
        <v>12966</v>
      </c>
      <c r="AY6" s="106" t="s">
        <v>1463</v>
      </c>
      <c r="AZ6" s="36" t="s">
        <v>1476</v>
      </c>
      <c r="BA6" s="36" t="s">
        <v>3629</v>
      </c>
      <c r="BB6" s="36" t="s">
        <v>3661</v>
      </c>
      <c r="BC6" s="36" t="s">
        <v>3694</v>
      </c>
      <c r="BD6" s="36" t="s">
        <v>739</v>
      </c>
      <c r="BE6" s="36" t="s">
        <v>1488</v>
      </c>
      <c r="BF6" s="44" t="s">
        <v>1487</v>
      </c>
      <c r="BG6" s="44" t="s">
        <v>1485</v>
      </c>
      <c r="BH6" s="44" t="s">
        <v>1495</v>
      </c>
      <c r="BI6" s="580" t="s">
        <v>644</v>
      </c>
      <c r="BJ6" s="85" t="s">
        <v>11762</v>
      </c>
      <c r="BK6" s="36" t="s">
        <v>1392</v>
      </c>
      <c r="BL6" s="36" t="s">
        <v>1378</v>
      </c>
      <c r="BM6" s="36" t="s">
        <v>1367</v>
      </c>
      <c r="BN6" s="106" t="s">
        <v>1379</v>
      </c>
      <c r="BO6" s="36" t="s">
        <v>9690</v>
      </c>
      <c r="BP6" s="36" t="s">
        <v>1379</v>
      </c>
      <c r="BQ6" s="36" t="s">
        <v>1376</v>
      </c>
      <c r="BR6" s="85" t="s">
        <v>15310</v>
      </c>
      <c r="BS6" s="581" t="s">
        <v>5265</v>
      </c>
      <c r="BT6" s="36" t="s">
        <v>1118</v>
      </c>
      <c r="BU6" s="85" t="s">
        <v>5300</v>
      </c>
      <c r="CN6" s="580"/>
      <c r="CO6" s="36" t="s">
        <v>16060</v>
      </c>
      <c r="CP6" s="106" t="s">
        <v>16506</v>
      </c>
      <c r="CQ6" s="580" t="s">
        <v>16481</v>
      </c>
      <c r="CR6" s="85" t="s">
        <v>11706</v>
      </c>
      <c r="CS6" s="85" t="s">
        <v>17408</v>
      </c>
      <c r="CT6" s="580" t="s">
        <v>11659</v>
      </c>
    </row>
    <row r="7" spans="1:98" s="36" customFormat="1">
      <c r="A7" s="581" t="s">
        <v>1338</v>
      </c>
      <c r="B7" s="36" t="s">
        <v>1961</v>
      </c>
      <c r="C7" s="36" t="s">
        <v>1962</v>
      </c>
      <c r="D7" s="36" t="s">
        <v>1962</v>
      </c>
      <c r="E7" s="106" t="s">
        <v>9849</v>
      </c>
      <c r="F7" s="580" t="s">
        <v>1437</v>
      </c>
      <c r="G7" s="44" t="s">
        <v>1416</v>
      </c>
      <c r="H7" s="44" t="s">
        <v>641</v>
      </c>
      <c r="I7" s="44" t="s">
        <v>662</v>
      </c>
      <c r="J7" s="44" t="s">
        <v>690</v>
      </c>
      <c r="K7" s="44" t="s">
        <v>2032</v>
      </c>
      <c r="L7" s="44" t="s">
        <v>1172</v>
      </c>
      <c r="M7" s="44" t="s">
        <v>1192</v>
      </c>
      <c r="N7" s="44" t="s">
        <v>1212</v>
      </c>
      <c r="O7" s="36" t="s">
        <v>7155</v>
      </c>
      <c r="P7" s="36" t="s">
        <v>7167</v>
      </c>
      <c r="Q7" s="86" t="s">
        <v>9122</v>
      </c>
      <c r="R7" s="44" t="s">
        <v>1192</v>
      </c>
      <c r="S7" s="36" t="s">
        <v>15982</v>
      </c>
      <c r="T7" s="36" t="s">
        <v>9122</v>
      </c>
      <c r="U7" s="44" t="s">
        <v>1214</v>
      </c>
      <c r="V7" s="583" t="s">
        <v>9234</v>
      </c>
      <c r="W7" s="36" t="s">
        <v>1369</v>
      </c>
      <c r="X7" s="36" t="s">
        <v>15978</v>
      </c>
      <c r="Y7" s="36" t="s">
        <v>596</v>
      </c>
      <c r="Z7" s="36" t="s">
        <v>738</v>
      </c>
      <c r="AA7" s="36" t="s">
        <v>750</v>
      </c>
      <c r="AB7" s="36" t="s">
        <v>762</v>
      </c>
      <c r="AC7" s="36" t="s">
        <v>1352</v>
      </c>
      <c r="AD7" s="36" t="s">
        <v>3</v>
      </c>
      <c r="AE7" s="36" t="s">
        <v>9033</v>
      </c>
      <c r="AF7" s="36" t="s">
        <v>16</v>
      </c>
      <c r="AG7" s="36" t="s">
        <v>25</v>
      </c>
      <c r="AH7" s="36" t="s">
        <v>38</v>
      </c>
      <c r="AI7" s="36" t="s">
        <v>568</v>
      </c>
      <c r="AJ7" s="36" t="s">
        <v>16129</v>
      </c>
      <c r="AK7" s="36" t="s">
        <v>580</v>
      </c>
      <c r="AL7" s="36" t="s">
        <v>16119</v>
      </c>
      <c r="AM7" s="44" t="s">
        <v>9258</v>
      </c>
      <c r="AN7" s="36" t="s">
        <v>1352</v>
      </c>
      <c r="AO7" s="36" t="s">
        <v>15984</v>
      </c>
      <c r="AP7" s="36" t="s">
        <v>764</v>
      </c>
      <c r="AQ7" s="36" t="s">
        <v>9745</v>
      </c>
      <c r="AR7" s="44" t="s">
        <v>1211</v>
      </c>
      <c r="AS7" s="44" t="s">
        <v>16198</v>
      </c>
      <c r="AT7" s="337" t="s">
        <v>11734</v>
      </c>
      <c r="AU7" s="36" t="s">
        <v>1419</v>
      </c>
      <c r="AV7" s="580" t="s">
        <v>3582</v>
      </c>
      <c r="AW7" s="36" t="s">
        <v>12969</v>
      </c>
      <c r="AX7" s="582" t="s">
        <v>578</v>
      </c>
      <c r="AY7" s="106" t="s">
        <v>9140</v>
      </c>
      <c r="AZ7" s="36" t="s">
        <v>3724</v>
      </c>
      <c r="BA7" s="36" t="s">
        <v>3636</v>
      </c>
      <c r="BB7" s="36" t="s">
        <v>3662</v>
      </c>
      <c r="BC7" s="36" t="s">
        <v>3695</v>
      </c>
      <c r="BD7" s="85" t="s">
        <v>11778</v>
      </c>
      <c r="BE7" s="36" t="s">
        <v>3629</v>
      </c>
      <c r="BF7" s="106" t="s">
        <v>1488</v>
      </c>
      <c r="BG7" s="44" t="s">
        <v>1486</v>
      </c>
      <c r="BH7" s="44" t="s">
        <v>1496</v>
      </c>
      <c r="BI7" s="580" t="s">
        <v>645</v>
      </c>
      <c r="BJ7" s="36" t="s">
        <v>3597</v>
      </c>
      <c r="BK7" s="36" t="s">
        <v>1393</v>
      </c>
      <c r="BL7" s="36" t="s">
        <v>1379</v>
      </c>
      <c r="BM7" s="36" t="s">
        <v>1376</v>
      </c>
      <c r="BN7" s="36" t="s">
        <v>1367</v>
      </c>
      <c r="BO7" s="36" t="s">
        <v>1377</v>
      </c>
      <c r="BP7" s="36" t="s">
        <v>1367</v>
      </c>
      <c r="BQ7" s="106" t="s">
        <v>16534</v>
      </c>
      <c r="BR7" s="36" t="s">
        <v>15308</v>
      </c>
      <c r="BS7" s="581" t="s">
        <v>5269</v>
      </c>
      <c r="BT7" s="36" t="s">
        <v>1119</v>
      </c>
      <c r="CN7" s="580"/>
      <c r="CO7" s="36" t="s">
        <v>16510</v>
      </c>
      <c r="CP7" s="36" t="s">
        <v>16490</v>
      </c>
      <c r="CQ7" s="580" t="s">
        <v>16102</v>
      </c>
      <c r="CR7" s="106" t="s">
        <v>17414</v>
      </c>
      <c r="CS7" s="36" t="s">
        <v>11658</v>
      </c>
      <c r="CT7" s="580" t="s">
        <v>11542</v>
      </c>
    </row>
    <row r="8" spans="1:98" s="36" customFormat="1">
      <c r="A8" s="581" t="s">
        <v>9713</v>
      </c>
      <c r="B8" s="36" t="s">
        <v>1963</v>
      </c>
      <c r="C8" s="36" t="s">
        <v>1964</v>
      </c>
      <c r="D8" s="36" t="s">
        <v>1964</v>
      </c>
      <c r="E8" s="106" t="s">
        <v>9852</v>
      </c>
      <c r="F8" s="580" t="s">
        <v>1438</v>
      </c>
      <c r="G8" s="44" t="s">
        <v>1417</v>
      </c>
      <c r="H8" s="44" t="s">
        <v>642</v>
      </c>
      <c r="I8" s="44" t="s">
        <v>663</v>
      </c>
      <c r="J8" s="44" t="s">
        <v>691</v>
      </c>
      <c r="K8" s="44" t="s">
        <v>1398</v>
      </c>
      <c r="L8" s="44" t="s">
        <v>1173</v>
      </c>
      <c r="M8" s="44" t="s">
        <v>1193</v>
      </c>
      <c r="N8" s="44" t="s">
        <v>1213</v>
      </c>
      <c r="O8" s="36" t="s">
        <v>7202</v>
      </c>
      <c r="P8" s="36" t="s">
        <v>7170</v>
      </c>
      <c r="Q8" s="86" t="s">
        <v>9731</v>
      </c>
      <c r="R8" s="36" t="s">
        <v>7196</v>
      </c>
      <c r="S8" s="36" t="s">
        <v>1191</v>
      </c>
      <c r="T8" s="36" t="s">
        <v>9121</v>
      </c>
      <c r="U8" s="44" t="s">
        <v>1192</v>
      </c>
      <c r="V8" s="583" t="s">
        <v>9228</v>
      </c>
      <c r="W8" s="36" t="s">
        <v>651</v>
      </c>
      <c r="X8" s="36" t="s">
        <v>586</v>
      </c>
      <c r="Y8" s="36" t="s">
        <v>597</v>
      </c>
      <c r="Z8" s="36" t="s">
        <v>739</v>
      </c>
      <c r="AA8" s="36" t="s">
        <v>15958</v>
      </c>
      <c r="AB8" s="36" t="s">
        <v>763</v>
      </c>
      <c r="AC8" s="36" t="s">
        <v>1416</v>
      </c>
      <c r="AD8" s="36" t="s">
        <v>4</v>
      </c>
      <c r="AE8" s="36" t="s">
        <v>586</v>
      </c>
      <c r="AF8" s="106" t="s">
        <v>17299</v>
      </c>
      <c r="AG8" s="36" t="s">
        <v>26</v>
      </c>
      <c r="AH8" s="36" t="s">
        <v>16002</v>
      </c>
      <c r="AI8" s="36" t="s">
        <v>15969</v>
      </c>
      <c r="AJ8" s="36" t="s">
        <v>574</v>
      </c>
      <c r="AK8" s="36" t="s">
        <v>18</v>
      </c>
      <c r="AL8" s="106" t="s">
        <v>17286</v>
      </c>
      <c r="AM8" s="44" t="s">
        <v>9315</v>
      </c>
      <c r="AN8" s="36" t="s">
        <v>1353</v>
      </c>
      <c r="AO8" s="36" t="s">
        <v>1431</v>
      </c>
      <c r="AP8" s="36" t="s">
        <v>1363</v>
      </c>
      <c r="AQ8" s="36" t="s">
        <v>9748</v>
      </c>
      <c r="AR8" s="44" t="s">
        <v>1214</v>
      </c>
      <c r="AS8" s="44" t="s">
        <v>16197</v>
      </c>
      <c r="AT8" s="36" t="s">
        <v>2032</v>
      </c>
      <c r="AU8" s="106" t="s">
        <v>5264</v>
      </c>
      <c r="AV8" s="580" t="s">
        <v>3576</v>
      </c>
      <c r="AW8" s="85" t="s">
        <v>17427</v>
      </c>
      <c r="AX8" s="582" t="s">
        <v>11752</v>
      </c>
      <c r="AY8" s="36" t="s">
        <v>1466</v>
      </c>
      <c r="AZ8" s="36" t="s">
        <v>1475</v>
      </c>
      <c r="BA8" s="36" t="s">
        <v>3637</v>
      </c>
      <c r="BB8" s="36" t="s">
        <v>3663</v>
      </c>
      <c r="BC8" s="36" t="s">
        <v>3696</v>
      </c>
      <c r="BD8" s="36" t="s">
        <v>1478</v>
      </c>
      <c r="BE8" s="36" t="s">
        <v>11684</v>
      </c>
      <c r="BF8" s="44" t="s">
        <v>1490</v>
      </c>
      <c r="BG8" s="86" t="s">
        <v>1488</v>
      </c>
      <c r="BH8" s="44" t="s">
        <v>1497</v>
      </c>
      <c r="BI8" s="580" t="s">
        <v>650</v>
      </c>
      <c r="BJ8" s="85" t="s">
        <v>11756</v>
      </c>
      <c r="BK8" s="36" t="s">
        <v>1394</v>
      </c>
      <c r="BL8" s="36" t="s">
        <v>1367</v>
      </c>
      <c r="BM8" s="106" t="s">
        <v>3775</v>
      </c>
      <c r="BN8" s="36" t="s">
        <v>1371</v>
      </c>
      <c r="BO8" s="36" t="s">
        <v>1372</v>
      </c>
      <c r="BP8" s="36" t="s">
        <v>1371</v>
      </c>
      <c r="BQ8" s="36" t="s">
        <v>9688</v>
      </c>
      <c r="BR8" s="36" t="s">
        <v>15309</v>
      </c>
      <c r="BS8" s="582" t="s">
        <v>5301</v>
      </c>
      <c r="BT8" s="36" t="s">
        <v>1120</v>
      </c>
      <c r="CN8" s="580"/>
      <c r="CO8" s="36" t="s">
        <v>16062</v>
      </c>
      <c r="CP8" s="36" t="s">
        <v>16077</v>
      </c>
      <c r="CQ8" s="580" t="s">
        <v>16484</v>
      </c>
      <c r="CR8" s="36" t="s">
        <v>11662</v>
      </c>
      <c r="CS8" s="36" t="s">
        <v>11707</v>
      </c>
      <c r="CT8" s="580" t="s">
        <v>11579</v>
      </c>
    </row>
    <row r="9" spans="1:98" s="36" customFormat="1">
      <c r="A9" s="581" t="s">
        <v>1345</v>
      </c>
      <c r="B9" s="36" t="s">
        <v>1962</v>
      </c>
      <c r="C9" s="36" t="s">
        <v>1455</v>
      </c>
      <c r="D9" s="36" t="s">
        <v>1980</v>
      </c>
      <c r="E9" s="36" t="s">
        <v>9735</v>
      </c>
      <c r="F9" s="580" t="s">
        <v>1439</v>
      </c>
      <c r="G9" s="44" t="s">
        <v>1418</v>
      </c>
      <c r="H9" s="44" t="s">
        <v>643</v>
      </c>
      <c r="I9" s="337" t="s">
        <v>17348</v>
      </c>
      <c r="J9" s="44" t="s">
        <v>692</v>
      </c>
      <c r="K9" s="44" t="s">
        <v>1399</v>
      </c>
      <c r="L9" s="44" t="s">
        <v>1174</v>
      </c>
      <c r="M9" s="44" t="s">
        <v>1194</v>
      </c>
      <c r="N9" s="44" t="s">
        <v>1214</v>
      </c>
      <c r="O9" s="36" t="s">
        <v>7158</v>
      </c>
      <c r="P9" s="36" t="s">
        <v>7179</v>
      </c>
      <c r="Q9" s="36" t="s">
        <v>15970</v>
      </c>
      <c r="R9" s="36" t="s">
        <v>7193</v>
      </c>
      <c r="S9" s="36" t="s">
        <v>15949</v>
      </c>
      <c r="T9" s="36" t="s">
        <v>587</v>
      </c>
      <c r="U9" s="44" t="s">
        <v>1215</v>
      </c>
      <c r="V9" s="871" t="s">
        <v>9236</v>
      </c>
      <c r="W9" s="36" t="s">
        <v>9110</v>
      </c>
      <c r="X9" s="36" t="s">
        <v>587</v>
      </c>
      <c r="Y9" s="36" t="s">
        <v>598</v>
      </c>
      <c r="Z9" s="36" t="s">
        <v>740</v>
      </c>
      <c r="AA9" s="36" t="s">
        <v>751</v>
      </c>
      <c r="AB9" s="36" t="s">
        <v>1522</v>
      </c>
      <c r="AC9" s="36" t="s">
        <v>649</v>
      </c>
      <c r="AD9" s="36" t="s">
        <v>5</v>
      </c>
      <c r="AE9" s="36" t="s">
        <v>587</v>
      </c>
      <c r="AF9" s="85" t="s">
        <v>15980</v>
      </c>
      <c r="AG9" s="36" t="s">
        <v>27</v>
      </c>
      <c r="AH9" s="36" t="s">
        <v>39</v>
      </c>
      <c r="AI9" s="36" t="s">
        <v>569</v>
      </c>
      <c r="AJ9" s="36" t="s">
        <v>575</v>
      </c>
      <c r="AK9" s="36" t="s">
        <v>581</v>
      </c>
      <c r="AL9" s="36" t="s">
        <v>1422</v>
      </c>
      <c r="AM9" s="44" t="s">
        <v>9317</v>
      </c>
      <c r="AN9" s="106" t="s">
        <v>17266</v>
      </c>
      <c r="AO9" s="36" t="s">
        <v>1358</v>
      </c>
      <c r="AP9" s="36" t="s">
        <v>1364</v>
      </c>
      <c r="AQ9" s="106" t="s">
        <v>764</v>
      </c>
      <c r="AR9" s="44" t="s">
        <v>1215</v>
      </c>
      <c r="AS9" s="44" t="s">
        <v>669</v>
      </c>
      <c r="AT9" s="36" t="s">
        <v>1404</v>
      </c>
      <c r="AU9" s="337" t="s">
        <v>16412</v>
      </c>
      <c r="AV9" s="580" t="s">
        <v>16458</v>
      </c>
      <c r="AW9" s="85" t="s">
        <v>12965</v>
      </c>
      <c r="AX9" s="582" t="s">
        <v>1469</v>
      </c>
      <c r="AY9" s="36" t="s">
        <v>1469</v>
      </c>
      <c r="AZ9" s="36" t="s">
        <v>3725</v>
      </c>
      <c r="BA9" s="36" t="s">
        <v>3638</v>
      </c>
      <c r="BB9" s="36" t="s">
        <v>3664</v>
      </c>
      <c r="BC9" s="36" t="s">
        <v>3697</v>
      </c>
      <c r="BD9" s="85" t="s">
        <v>11775</v>
      </c>
      <c r="BE9" s="36" t="s">
        <v>3698</v>
      </c>
      <c r="BF9" s="44" t="s">
        <v>1494</v>
      </c>
      <c r="BG9" s="44" t="s">
        <v>1490</v>
      </c>
      <c r="BH9" s="44" t="s">
        <v>1498</v>
      </c>
      <c r="BI9" s="580" t="s">
        <v>1462</v>
      </c>
      <c r="BJ9" s="36" t="s">
        <v>16470</v>
      </c>
      <c r="BL9" s="36" t="s">
        <v>1380</v>
      </c>
      <c r="BM9" s="36" t="s">
        <v>1375</v>
      </c>
      <c r="BN9" s="36" t="s">
        <v>1368</v>
      </c>
      <c r="BO9" s="36" t="s">
        <v>1376</v>
      </c>
      <c r="BP9" s="36" t="s">
        <v>1368</v>
      </c>
      <c r="BQ9" s="36" t="s">
        <v>1375</v>
      </c>
      <c r="BS9" s="582" t="s">
        <v>5271</v>
      </c>
      <c r="CN9" s="580"/>
      <c r="CO9" s="36" t="s">
        <v>16063</v>
      </c>
      <c r="CP9" s="36" t="s">
        <v>16078</v>
      </c>
      <c r="CQ9" s="580" t="s">
        <v>16485</v>
      </c>
      <c r="CR9" s="106" t="s">
        <v>11656</v>
      </c>
      <c r="CS9" s="36" t="s">
        <v>11712</v>
      </c>
      <c r="CT9" s="582" t="s">
        <v>9739</v>
      </c>
    </row>
    <row r="10" spans="1:98" s="36" customFormat="1">
      <c r="A10" s="581" t="s">
        <v>9716</v>
      </c>
      <c r="B10" s="36" t="s">
        <v>1964</v>
      </c>
      <c r="C10" s="36" t="s">
        <v>1980</v>
      </c>
      <c r="D10" s="37" t="s">
        <v>1976</v>
      </c>
      <c r="E10" s="36" t="s">
        <v>9729</v>
      </c>
      <c r="F10" s="580" t="s">
        <v>1441</v>
      </c>
      <c r="G10" s="44" t="s">
        <v>1419</v>
      </c>
      <c r="H10" s="44" t="s">
        <v>644</v>
      </c>
      <c r="I10" s="44" t="s">
        <v>664</v>
      </c>
      <c r="J10" s="44" t="s">
        <v>694</v>
      </c>
      <c r="K10" s="44" t="s">
        <v>1400</v>
      </c>
      <c r="L10" s="44" t="s">
        <v>1176</v>
      </c>
      <c r="M10" s="44" t="s">
        <v>1196</v>
      </c>
      <c r="N10" s="44" t="s">
        <v>1216</v>
      </c>
      <c r="O10" s="44" t="s">
        <v>1427</v>
      </c>
      <c r="P10" s="36" t="s">
        <v>1405</v>
      </c>
      <c r="Q10" s="36" t="s">
        <v>1206</v>
      </c>
      <c r="R10" s="36" t="s">
        <v>7186</v>
      </c>
      <c r="S10" s="36" t="s">
        <v>16030</v>
      </c>
      <c r="T10" s="36" t="s">
        <v>9123</v>
      </c>
      <c r="U10" s="44" t="s">
        <v>1193</v>
      </c>
      <c r="V10" s="583" t="s">
        <v>1406</v>
      </c>
      <c r="W10" s="106" t="s">
        <v>668</v>
      </c>
      <c r="X10" s="36" t="s">
        <v>588</v>
      </c>
      <c r="Y10" s="36" t="s">
        <v>599</v>
      </c>
      <c r="Z10" s="36" t="s">
        <v>741</v>
      </c>
      <c r="AA10" s="36" t="s">
        <v>752</v>
      </c>
      <c r="AB10" s="36" t="s">
        <v>764</v>
      </c>
      <c r="AC10" s="36" t="s">
        <v>665</v>
      </c>
      <c r="AD10" s="36" t="s">
        <v>6</v>
      </c>
      <c r="AE10" s="36" t="s">
        <v>588</v>
      </c>
      <c r="AF10" s="36" t="s">
        <v>17</v>
      </c>
      <c r="AG10" s="36" t="s">
        <v>29</v>
      </c>
      <c r="AH10" s="36" t="s">
        <v>40</v>
      </c>
      <c r="AI10" s="36" t="s">
        <v>16541</v>
      </c>
      <c r="AJ10" s="85" t="s">
        <v>16538</v>
      </c>
      <c r="AK10" s="36" t="s">
        <v>16017</v>
      </c>
      <c r="AL10" s="85" t="s">
        <v>16125</v>
      </c>
      <c r="AM10" s="44" t="s">
        <v>9267</v>
      </c>
      <c r="AN10" s="36" t="s">
        <v>1354</v>
      </c>
      <c r="AO10" s="36" t="s">
        <v>1359</v>
      </c>
      <c r="AP10" s="36" t="s">
        <v>1365</v>
      </c>
      <c r="AQ10" s="36" t="s">
        <v>9747</v>
      </c>
      <c r="AR10" s="44" t="s">
        <v>1418</v>
      </c>
      <c r="AS10" s="44" t="s">
        <v>15988</v>
      </c>
      <c r="AT10" s="36" t="s">
        <v>1198</v>
      </c>
      <c r="AU10" s="36" t="s">
        <v>16408</v>
      </c>
      <c r="AV10" s="580" t="s">
        <v>3581</v>
      </c>
      <c r="AW10" s="85" t="s">
        <v>11740</v>
      </c>
      <c r="AX10" s="580" t="s">
        <v>12963</v>
      </c>
      <c r="AY10" s="36" t="s">
        <v>1465</v>
      </c>
      <c r="AZ10" s="36" t="s">
        <v>3728</v>
      </c>
      <c r="BA10" s="36" t="s">
        <v>3639</v>
      </c>
      <c r="BB10" s="36" t="s">
        <v>3665</v>
      </c>
      <c r="BC10" s="36" t="s">
        <v>3698</v>
      </c>
      <c r="BD10" s="36" t="s">
        <v>1473</v>
      </c>
      <c r="BE10" s="36" t="s">
        <v>1499</v>
      </c>
      <c r="BF10" s="44" t="s">
        <v>1498</v>
      </c>
      <c r="BG10" s="44" t="s">
        <v>1491</v>
      </c>
      <c r="BH10" s="44" t="s">
        <v>1499</v>
      </c>
      <c r="BI10" s="580" t="s">
        <v>1466</v>
      </c>
      <c r="BJ10" s="36" t="s">
        <v>1382</v>
      </c>
      <c r="BL10" s="36" t="s">
        <v>1373</v>
      </c>
      <c r="BM10" s="36" t="s">
        <v>1368</v>
      </c>
      <c r="BO10" s="36" t="s">
        <v>1373</v>
      </c>
      <c r="BS10" s="581" t="s">
        <v>5272</v>
      </c>
      <c r="BU10" s="41"/>
      <c r="CN10" s="580"/>
      <c r="CO10" s="36" t="s">
        <v>16064</v>
      </c>
      <c r="CP10" s="106" t="s">
        <v>17460</v>
      </c>
      <c r="CQ10" s="580" t="s">
        <v>16482</v>
      </c>
      <c r="CR10" s="36" t="s">
        <v>11660</v>
      </c>
      <c r="CS10" s="85" t="s">
        <v>11545</v>
      </c>
      <c r="CT10" s="581" t="s">
        <v>17419</v>
      </c>
    </row>
    <row r="11" spans="1:98" s="36" customFormat="1">
      <c r="A11" s="581" t="s">
        <v>1347</v>
      </c>
      <c r="B11" s="36" t="s">
        <v>1454</v>
      </c>
      <c r="C11" s="37" t="s">
        <v>1976</v>
      </c>
      <c r="D11" s="36" t="s">
        <v>1977</v>
      </c>
      <c r="E11" s="36" t="s">
        <v>9728</v>
      </c>
      <c r="F11" s="580" t="s">
        <v>1442</v>
      </c>
      <c r="G11" s="44" t="s">
        <v>1421</v>
      </c>
      <c r="H11" s="44" t="s">
        <v>646</v>
      </c>
      <c r="I11" s="44" t="s">
        <v>666</v>
      </c>
      <c r="J11" s="44" t="s">
        <v>695</v>
      </c>
      <c r="K11" s="44" t="s">
        <v>1403</v>
      </c>
      <c r="L11" s="44" t="s">
        <v>1177</v>
      </c>
      <c r="M11" s="44" t="s">
        <v>1197</v>
      </c>
      <c r="N11" s="44" t="s">
        <v>1217</v>
      </c>
      <c r="O11" s="44" t="s">
        <v>1428</v>
      </c>
      <c r="P11" s="44" t="s">
        <v>1402</v>
      </c>
      <c r="Q11" s="36" t="s">
        <v>1207</v>
      </c>
      <c r="R11" s="36" t="s">
        <v>7197</v>
      </c>
      <c r="S11" s="36" t="s">
        <v>15973</v>
      </c>
      <c r="T11" s="36" t="s">
        <v>11732</v>
      </c>
      <c r="U11" s="44" t="s">
        <v>1216</v>
      </c>
      <c r="V11" s="583" t="s">
        <v>1223</v>
      </c>
      <c r="W11" s="36" t="s">
        <v>7155</v>
      </c>
      <c r="X11" s="36" t="s">
        <v>589</v>
      </c>
      <c r="Y11" s="36" t="s">
        <v>601</v>
      </c>
      <c r="Z11" s="36" t="s">
        <v>15976</v>
      </c>
      <c r="AA11" s="36" t="s">
        <v>753</v>
      </c>
      <c r="AB11" s="36" t="s">
        <v>765</v>
      </c>
      <c r="AC11" s="36" t="s">
        <v>9160</v>
      </c>
      <c r="AD11" s="36" t="s">
        <v>7</v>
      </c>
      <c r="AE11" s="36" t="s">
        <v>9030</v>
      </c>
      <c r="AF11" s="106" t="s">
        <v>17300</v>
      </c>
      <c r="AG11" s="36" t="s">
        <v>30</v>
      </c>
      <c r="AH11" s="36" t="s">
        <v>41</v>
      </c>
      <c r="AL11" s="36" t="s">
        <v>16022</v>
      </c>
      <c r="AM11" s="44" t="s">
        <v>9313</v>
      </c>
      <c r="AN11" s="36" t="s">
        <v>15971</v>
      </c>
      <c r="AO11" s="36" t="s">
        <v>1360</v>
      </c>
      <c r="AP11" s="36" t="s">
        <v>1366</v>
      </c>
      <c r="AQ11" s="36" t="s">
        <v>9750</v>
      </c>
      <c r="AR11" s="44" t="s">
        <v>1216</v>
      </c>
      <c r="AS11" s="44" t="s">
        <v>1183</v>
      </c>
      <c r="AT11" s="36" t="s">
        <v>11703</v>
      </c>
      <c r="AU11" s="106" t="s">
        <v>17300</v>
      </c>
      <c r="AV11" s="580" t="s">
        <v>3579</v>
      </c>
      <c r="AW11" s="36" t="s">
        <v>1500</v>
      </c>
      <c r="AX11" s="580" t="s">
        <v>1498</v>
      </c>
      <c r="AY11" s="36" t="s">
        <v>1461</v>
      </c>
      <c r="AZ11" s="36" t="s">
        <v>1478</v>
      </c>
      <c r="BA11" s="36" t="s">
        <v>3640</v>
      </c>
      <c r="BB11" s="36" t="s">
        <v>3666</v>
      </c>
      <c r="BC11" s="36" t="s">
        <v>3699</v>
      </c>
      <c r="BD11" s="85" t="s">
        <v>11776</v>
      </c>
      <c r="BE11" s="106" t="s">
        <v>12236</v>
      </c>
      <c r="BF11" s="44" t="s">
        <v>1501</v>
      </c>
      <c r="BG11" s="44" t="s">
        <v>1495</v>
      </c>
      <c r="BH11" s="44" t="s">
        <v>1500</v>
      </c>
      <c r="BI11" s="580" t="s">
        <v>657</v>
      </c>
      <c r="BJ11" s="36" t="s">
        <v>3604</v>
      </c>
      <c r="BL11" s="36" t="s">
        <v>1374</v>
      </c>
      <c r="BO11" s="36" t="s">
        <v>9689</v>
      </c>
      <c r="BS11" s="581" t="s">
        <v>5267</v>
      </c>
      <c r="BU11" s="41"/>
      <c r="CN11" s="580"/>
      <c r="CO11" s="36" t="s">
        <v>16065</v>
      </c>
      <c r="CP11" s="36" t="s">
        <v>16079</v>
      </c>
      <c r="CQ11" s="580" t="s">
        <v>16090</v>
      </c>
      <c r="CR11" s="337" t="s">
        <v>11578</v>
      </c>
      <c r="CS11" s="36" t="s">
        <v>16394</v>
      </c>
      <c r="CT11" s="580" t="s">
        <v>14643</v>
      </c>
    </row>
    <row r="12" spans="1:98" s="36" customFormat="1">
      <c r="A12" s="581" t="s">
        <v>557</v>
      </c>
      <c r="B12" s="36" t="s">
        <v>1980</v>
      </c>
      <c r="C12" s="36" t="s">
        <v>1977</v>
      </c>
      <c r="D12" s="36" t="s">
        <v>1978</v>
      </c>
      <c r="E12" s="36" t="s">
        <v>9724</v>
      </c>
      <c r="F12" s="580" t="s">
        <v>1443</v>
      </c>
      <c r="G12" s="44" t="s">
        <v>1422</v>
      </c>
      <c r="H12" s="44" t="s">
        <v>647</v>
      </c>
      <c r="I12" s="44" t="s">
        <v>667</v>
      </c>
      <c r="J12" s="44" t="s">
        <v>696</v>
      </c>
      <c r="K12" s="44" t="s">
        <v>1404</v>
      </c>
      <c r="L12" s="44" t="s">
        <v>1178</v>
      </c>
      <c r="M12" s="44" t="s">
        <v>1198</v>
      </c>
      <c r="N12" s="44" t="s">
        <v>1218</v>
      </c>
      <c r="O12" s="36" t="s">
        <v>7164</v>
      </c>
      <c r="P12" s="36" t="s">
        <v>7173</v>
      </c>
      <c r="Q12" s="36" t="s">
        <v>1208</v>
      </c>
      <c r="R12" s="36" t="s">
        <v>3053</v>
      </c>
      <c r="S12" s="36" t="s">
        <v>15965</v>
      </c>
      <c r="T12" s="36" t="s">
        <v>1371</v>
      </c>
      <c r="U12" s="44" t="s">
        <v>1218</v>
      </c>
      <c r="V12" s="583" t="s">
        <v>9245</v>
      </c>
      <c r="W12" s="36" t="s">
        <v>670</v>
      </c>
      <c r="X12" s="36" t="s">
        <v>590</v>
      </c>
      <c r="Y12" s="36" t="s">
        <v>602</v>
      </c>
      <c r="Z12" s="36" t="s">
        <v>742</v>
      </c>
      <c r="AA12" s="36" t="s">
        <v>754</v>
      </c>
      <c r="AB12" s="36" t="s">
        <v>16036</v>
      </c>
      <c r="AC12" s="36" t="s">
        <v>768</v>
      </c>
      <c r="AD12" s="36" t="s">
        <v>8</v>
      </c>
      <c r="AE12" s="36" t="s">
        <v>592</v>
      </c>
      <c r="AF12" s="36" t="s">
        <v>18</v>
      </c>
      <c r="AG12" s="36" t="s">
        <v>31</v>
      </c>
      <c r="AH12" s="36" t="s">
        <v>42</v>
      </c>
      <c r="AL12" s="36" t="s">
        <v>15983</v>
      </c>
      <c r="AM12" s="44" t="s">
        <v>9260</v>
      </c>
      <c r="AQ12" s="36" t="s">
        <v>9752</v>
      </c>
      <c r="AR12" s="44" t="s">
        <v>1218</v>
      </c>
      <c r="AS12" s="44" t="s">
        <v>673</v>
      </c>
      <c r="AT12" s="36" t="s">
        <v>1224</v>
      </c>
      <c r="AU12" s="106" t="s">
        <v>17319</v>
      </c>
      <c r="AV12" s="580"/>
      <c r="AW12" s="106" t="s">
        <v>17428</v>
      </c>
      <c r="AX12" s="582" t="s">
        <v>16462</v>
      </c>
      <c r="AY12" s="36" t="s">
        <v>1468</v>
      </c>
      <c r="AZ12" s="36" t="s">
        <v>1473</v>
      </c>
      <c r="BA12" s="36" t="s">
        <v>3641</v>
      </c>
      <c r="BB12" s="36" t="s">
        <v>3667</v>
      </c>
      <c r="BC12" s="36" t="s">
        <v>3700</v>
      </c>
      <c r="BD12" s="36" t="s">
        <v>3731</v>
      </c>
      <c r="BE12" s="36" t="s">
        <v>11681</v>
      </c>
      <c r="BF12" s="44" t="s">
        <v>1502</v>
      </c>
      <c r="BG12" s="44" t="s">
        <v>1500</v>
      </c>
      <c r="BH12" s="44" t="s">
        <v>1503</v>
      </c>
      <c r="BI12" s="580" t="s">
        <v>1461</v>
      </c>
      <c r="BJ12" s="36" t="s">
        <v>3605</v>
      </c>
      <c r="BO12" s="36" t="s">
        <v>1374</v>
      </c>
      <c r="BS12" s="581" t="s">
        <v>5268</v>
      </c>
      <c r="BU12" s="41"/>
      <c r="CN12" s="580"/>
      <c r="CO12" s="36" t="s">
        <v>16066</v>
      </c>
      <c r="CP12" s="106" t="s">
        <v>16502</v>
      </c>
      <c r="CQ12" s="580" t="s">
        <v>16092</v>
      </c>
      <c r="CR12" s="36" t="s">
        <v>11547</v>
      </c>
      <c r="CS12" s="36" t="s">
        <v>11709</v>
      </c>
      <c r="CT12" s="580" t="s">
        <v>11531</v>
      </c>
    </row>
    <row r="13" spans="1:98" s="36" customFormat="1">
      <c r="A13" s="581" t="s">
        <v>249</v>
      </c>
      <c r="B13" s="36" t="s">
        <v>1976</v>
      </c>
      <c r="C13" s="36" t="s">
        <v>1978</v>
      </c>
      <c r="D13" s="36" t="s">
        <v>1979</v>
      </c>
      <c r="E13" s="36" t="s">
        <v>9732</v>
      </c>
      <c r="F13" s="580" t="s">
        <v>1444</v>
      </c>
      <c r="G13" s="44" t="s">
        <v>15575</v>
      </c>
      <c r="H13" s="44" t="s">
        <v>648</v>
      </c>
      <c r="I13" s="86" t="s">
        <v>9110</v>
      </c>
      <c r="J13" s="44" t="s">
        <v>697</v>
      </c>
      <c r="K13" s="44" t="s">
        <v>1405</v>
      </c>
      <c r="L13" s="44" t="s">
        <v>1179</v>
      </c>
      <c r="M13" s="44" t="s">
        <v>1199</v>
      </c>
      <c r="N13" s="44" t="s">
        <v>1219</v>
      </c>
      <c r="O13" s="36" t="s">
        <v>7160</v>
      </c>
      <c r="P13" s="86" t="s">
        <v>11723</v>
      </c>
      <c r="Q13" s="36" t="s">
        <v>677</v>
      </c>
      <c r="R13" s="36" t="s">
        <v>3054</v>
      </c>
      <c r="S13" s="85" t="s">
        <v>16037</v>
      </c>
      <c r="T13" s="36" t="s">
        <v>1368</v>
      </c>
      <c r="U13" s="44" t="s">
        <v>1419</v>
      </c>
      <c r="V13" s="583" t="s">
        <v>9249</v>
      </c>
      <c r="W13" s="86" t="s">
        <v>9147</v>
      </c>
      <c r="X13" s="36" t="s">
        <v>591</v>
      </c>
      <c r="Y13" s="36" t="s">
        <v>603</v>
      </c>
      <c r="Z13" s="36" t="s">
        <v>743</v>
      </c>
      <c r="AA13" s="36" t="s">
        <v>755</v>
      </c>
      <c r="AB13" s="36" t="s">
        <v>766</v>
      </c>
      <c r="AC13" s="36" t="s">
        <v>9153</v>
      </c>
      <c r="AD13" s="36" t="s">
        <v>9</v>
      </c>
      <c r="AE13" s="36" t="s">
        <v>9032</v>
      </c>
      <c r="AF13" s="36" t="s">
        <v>19</v>
      </c>
      <c r="AG13" s="36" t="s">
        <v>32</v>
      </c>
      <c r="AH13" s="36" t="s">
        <v>43</v>
      </c>
      <c r="AL13" s="36" t="s">
        <v>15960</v>
      </c>
      <c r="AM13" s="44" t="s">
        <v>9254</v>
      </c>
      <c r="AQ13" s="36" t="s">
        <v>9751</v>
      </c>
      <c r="AR13" s="44" t="s">
        <v>1403</v>
      </c>
      <c r="AS13" s="44" t="s">
        <v>3775</v>
      </c>
      <c r="AT13" s="36" t="s">
        <v>1431</v>
      </c>
      <c r="AU13" s="36" t="s">
        <v>5273</v>
      </c>
      <c r="AV13" s="580"/>
      <c r="AW13" s="36" t="s">
        <v>12974</v>
      </c>
      <c r="AX13" s="582" t="s">
        <v>11738</v>
      </c>
      <c r="AZ13" s="36" t="s">
        <v>1471</v>
      </c>
      <c r="BA13" s="36" t="s">
        <v>3642</v>
      </c>
      <c r="BC13" s="36" t="s">
        <v>3701</v>
      </c>
      <c r="BD13" s="36" t="s">
        <v>1472</v>
      </c>
      <c r="BE13" s="36" t="s">
        <v>11777</v>
      </c>
      <c r="BI13" s="580"/>
      <c r="BJ13"/>
      <c r="BO13" s="36" t="s">
        <v>1375</v>
      </c>
      <c r="BS13" s="581"/>
      <c r="BU13" s="41"/>
      <c r="CN13" s="580"/>
      <c r="CO13" s="36" t="s">
        <v>16068</v>
      </c>
      <c r="CP13" s="36" t="s">
        <v>16080</v>
      </c>
      <c r="CQ13" s="580" t="s">
        <v>16088</v>
      </c>
      <c r="CT13" s="580"/>
    </row>
    <row r="14" spans="1:98" s="36" customFormat="1">
      <c r="A14" s="581" t="s">
        <v>1344</v>
      </c>
      <c r="B14" s="36" t="s">
        <v>1977</v>
      </c>
      <c r="C14" s="36" t="s">
        <v>1979</v>
      </c>
      <c r="D14" s="36" t="s">
        <v>15585</v>
      </c>
      <c r="E14" s="36" t="s">
        <v>9741</v>
      </c>
      <c r="F14" s="580" t="s">
        <v>1445</v>
      </c>
      <c r="G14" s="44" t="s">
        <v>1424</v>
      </c>
      <c r="H14" s="44" t="s">
        <v>649</v>
      </c>
      <c r="I14" s="44" t="s">
        <v>668</v>
      </c>
      <c r="J14" s="44" t="s">
        <v>698</v>
      </c>
      <c r="K14" s="44" t="s">
        <v>1401</v>
      </c>
      <c r="L14" s="44" t="s">
        <v>1180</v>
      </c>
      <c r="M14" s="44" t="s">
        <v>1200</v>
      </c>
      <c r="N14" s="44" t="s">
        <v>1220</v>
      </c>
      <c r="S14" s="85"/>
      <c r="U14" s="337" t="s">
        <v>16393</v>
      </c>
      <c r="V14" s="580"/>
      <c r="W14" s="36" t="s">
        <v>45</v>
      </c>
      <c r="X14" s="36" t="s">
        <v>592</v>
      </c>
      <c r="Y14" s="36" t="s">
        <v>604</v>
      </c>
      <c r="Z14" s="36" t="s">
        <v>744</v>
      </c>
      <c r="AA14" s="36" t="s">
        <v>756</v>
      </c>
      <c r="AB14" s="36" t="s">
        <v>767</v>
      </c>
      <c r="AC14" s="36" t="s">
        <v>658</v>
      </c>
      <c r="AD14" s="36" t="s">
        <v>10</v>
      </c>
      <c r="AE14" s="36" t="s">
        <v>9034</v>
      </c>
      <c r="AF14" s="36" t="s">
        <v>20</v>
      </c>
      <c r="AG14" s="36" t="s">
        <v>33</v>
      </c>
      <c r="AH14" s="36" t="s">
        <v>44</v>
      </c>
      <c r="AL14" s="36" t="s">
        <v>16026</v>
      </c>
      <c r="AR14" s="44" t="s">
        <v>1223</v>
      </c>
      <c r="AS14" s="44" t="s">
        <v>796</v>
      </c>
      <c r="AT14" s="36" t="s">
        <v>1187</v>
      </c>
      <c r="AU14" s="36" t="s">
        <v>21</v>
      </c>
      <c r="AV14" s="580"/>
      <c r="AX14" s="679"/>
      <c r="AZ14" s="36" t="s">
        <v>3731</v>
      </c>
      <c r="BD14" s="36" t="s">
        <v>9737</v>
      </c>
      <c r="BI14" s="580"/>
      <c r="BJ14"/>
      <c r="BO14" s="36" t="s">
        <v>9691</v>
      </c>
      <c r="BS14" s="581"/>
      <c r="CN14" s="580"/>
      <c r="CO14" s="36" t="s">
        <v>16069</v>
      </c>
      <c r="CP14" s="36" t="s">
        <v>16081</v>
      </c>
      <c r="CQ14" s="580" t="s">
        <v>16095</v>
      </c>
      <c r="CT14" s="580"/>
    </row>
    <row r="15" spans="1:98" s="36" customFormat="1">
      <c r="A15" s="581" t="s">
        <v>560</v>
      </c>
      <c r="B15" s="36" t="s">
        <v>1978</v>
      </c>
      <c r="C15" s="36" t="s">
        <v>15607</v>
      </c>
      <c r="D15" s="36" t="s">
        <v>1458</v>
      </c>
      <c r="E15" s="36" t="s">
        <v>9742</v>
      </c>
      <c r="F15" s="580" t="s">
        <v>1446</v>
      </c>
      <c r="G15" s="44" t="s">
        <v>1430</v>
      </c>
      <c r="H15" s="44" t="s">
        <v>655</v>
      </c>
      <c r="I15" s="44" t="s">
        <v>674</v>
      </c>
      <c r="J15" s="44" t="s">
        <v>704</v>
      </c>
      <c r="K15" s="44" t="s">
        <v>1406</v>
      </c>
      <c r="L15" s="44" t="s">
        <v>1185</v>
      </c>
      <c r="M15" s="44" t="s">
        <v>1205</v>
      </c>
      <c r="N15" s="44" t="s">
        <v>1225</v>
      </c>
      <c r="U15" s="44" t="s">
        <v>1195</v>
      </c>
      <c r="V15" s="580"/>
      <c r="W15" s="36" t="s">
        <v>677</v>
      </c>
      <c r="X15" s="36" t="s">
        <v>593</v>
      </c>
      <c r="Y15" s="36" t="s">
        <v>605</v>
      </c>
      <c r="Z15" s="36" t="s">
        <v>745</v>
      </c>
      <c r="AA15" s="36" t="s">
        <v>757</v>
      </c>
      <c r="AB15" s="36" t="s">
        <v>768</v>
      </c>
      <c r="AC15" s="36" t="s">
        <v>9155</v>
      </c>
      <c r="AD15" s="36" t="s">
        <v>11</v>
      </c>
      <c r="AE15" s="36" t="s">
        <v>593</v>
      </c>
      <c r="AF15" s="36" t="s">
        <v>21</v>
      </c>
      <c r="AG15" s="85" t="s">
        <v>15970</v>
      </c>
      <c r="AH15" s="36" t="s">
        <v>45</v>
      </c>
      <c r="AL15" s="36" t="s">
        <v>15981</v>
      </c>
      <c r="AR15" s="44" t="s">
        <v>1404</v>
      </c>
      <c r="AV15" s="580"/>
      <c r="AW15"/>
      <c r="AX15" s="580"/>
      <c r="AZ15" s="36" t="s">
        <v>1472</v>
      </c>
      <c r="BD15" s="85" t="s">
        <v>11723</v>
      </c>
      <c r="BI15" s="580"/>
      <c r="BJ15"/>
      <c r="BS15" s="581"/>
      <c r="CN15" s="580"/>
      <c r="CO15" s="36" t="s">
        <v>16493</v>
      </c>
      <c r="CP15" s="36" t="s">
        <v>16082</v>
      </c>
      <c r="CQ15" s="581" t="s">
        <v>16094</v>
      </c>
      <c r="CR15" s="62"/>
      <c r="CS15" s="62"/>
      <c r="CT15" s="580"/>
    </row>
    <row r="16" spans="1:98" s="36" customFormat="1">
      <c r="A16" s="581" t="s">
        <v>558</v>
      </c>
      <c r="B16" s="36" t="s">
        <v>1979</v>
      </c>
      <c r="C16" s="36" t="s">
        <v>1457</v>
      </c>
      <c r="D16" s="36" t="s">
        <v>1459</v>
      </c>
      <c r="E16" s="36" t="s">
        <v>9731</v>
      </c>
      <c r="F16" s="580" t="s">
        <v>1447</v>
      </c>
      <c r="G16" s="44" t="s">
        <v>1425</v>
      </c>
      <c r="H16" s="44" t="s">
        <v>650</v>
      </c>
      <c r="I16" s="44" t="s">
        <v>669</v>
      </c>
      <c r="J16" s="44" t="s">
        <v>699</v>
      </c>
      <c r="K16" s="44" t="s">
        <v>1402</v>
      </c>
      <c r="L16" s="44" t="s">
        <v>1181</v>
      </c>
      <c r="M16" s="44" t="s">
        <v>1201</v>
      </c>
      <c r="N16" s="337" t="s">
        <v>16393</v>
      </c>
      <c r="U16" s="44" t="s">
        <v>1406</v>
      </c>
      <c r="V16" s="580"/>
      <c r="AR16" s="44" t="s">
        <v>1406</v>
      </c>
      <c r="AS16" s="44"/>
      <c r="AV16" s="580"/>
      <c r="AW16"/>
      <c r="AX16" s="679"/>
      <c r="AZ16" s="36" t="s">
        <v>3734</v>
      </c>
      <c r="BD16" s="36" t="s">
        <v>3734</v>
      </c>
      <c r="BI16" s="580"/>
      <c r="BJ16"/>
      <c r="BS16" s="581"/>
      <c r="CN16" s="580"/>
      <c r="CO16" s="36" t="s">
        <v>16070</v>
      </c>
      <c r="CP16" s="36" t="s">
        <v>16109</v>
      </c>
      <c r="CQ16" s="580" t="s">
        <v>16097</v>
      </c>
      <c r="CT16" s="580"/>
    </row>
    <row r="17" spans="1:98" s="36" customFormat="1">
      <c r="A17" s="581" t="s">
        <v>3610</v>
      </c>
      <c r="B17" s="36" t="s">
        <v>15585</v>
      </c>
      <c r="C17" s="36" t="s">
        <v>15585</v>
      </c>
      <c r="D17" s="36" t="s">
        <v>1460</v>
      </c>
      <c r="E17" s="36" t="s">
        <v>9730</v>
      </c>
      <c r="F17" s="580" t="s">
        <v>1448</v>
      </c>
      <c r="G17" s="44" t="s">
        <v>1426</v>
      </c>
      <c r="H17" s="44" t="s">
        <v>651</v>
      </c>
      <c r="I17" s="44" t="s">
        <v>670</v>
      </c>
      <c r="J17" s="44" t="s">
        <v>700</v>
      </c>
      <c r="K17" s="44" t="s">
        <v>1407</v>
      </c>
      <c r="L17" s="44" t="s">
        <v>1182</v>
      </c>
      <c r="M17" s="44" t="s">
        <v>1202</v>
      </c>
      <c r="N17" s="44" t="s">
        <v>1221</v>
      </c>
      <c r="U17" s="44" t="s">
        <v>1223</v>
      </c>
      <c r="V17" s="580"/>
      <c r="AR17" s="44" t="s">
        <v>1222</v>
      </c>
      <c r="AS17" s="44"/>
      <c r="AV17" s="580"/>
      <c r="AW17"/>
      <c r="AX17" s="679"/>
      <c r="AZ17" s="36" t="s">
        <v>3735</v>
      </c>
      <c r="BD17" s="85" t="s">
        <v>11777</v>
      </c>
      <c r="BI17" s="580"/>
      <c r="BJ17"/>
      <c r="BS17" s="582"/>
      <c r="CN17" s="580"/>
      <c r="CO17" s="36" t="s">
        <v>16508</v>
      </c>
      <c r="CP17" s="36" t="s">
        <v>16083</v>
      </c>
      <c r="CQ17" s="580" t="s">
        <v>16096</v>
      </c>
      <c r="CR17" s="62"/>
      <c r="CS17" s="62"/>
      <c r="CT17" s="580"/>
    </row>
    <row r="18" spans="1:98" s="36" customFormat="1">
      <c r="A18" s="581" t="s">
        <v>9532</v>
      </c>
      <c r="B18" s="36" t="s">
        <v>1460</v>
      </c>
      <c r="C18" s="36" t="s">
        <v>1460</v>
      </c>
      <c r="D18" s="36" t="s">
        <v>796</v>
      </c>
      <c r="E18" s="36" t="s">
        <v>9733</v>
      </c>
      <c r="F18" s="580" t="s">
        <v>1449</v>
      </c>
      <c r="G18" s="44" t="s">
        <v>1427</v>
      </c>
      <c r="H18" s="44" t="s">
        <v>652</v>
      </c>
      <c r="I18" s="44" t="s">
        <v>671</v>
      </c>
      <c r="J18" s="44" t="s">
        <v>701</v>
      </c>
      <c r="K18" s="44" t="s">
        <v>1408</v>
      </c>
      <c r="L18" s="44" t="s">
        <v>1183</v>
      </c>
      <c r="M18" s="337" t="s">
        <v>11732</v>
      </c>
      <c r="N18" s="44" t="s">
        <v>1222</v>
      </c>
      <c r="U18" s="44" t="s">
        <v>1225</v>
      </c>
      <c r="V18" s="580"/>
      <c r="AR18" s="44" t="s">
        <v>1427</v>
      </c>
      <c r="AS18" s="44"/>
      <c r="AV18" s="580"/>
      <c r="AW18"/>
      <c r="AX18" s="680"/>
      <c r="AZ18" s="36" t="s">
        <v>1470</v>
      </c>
      <c r="BD18" s="85" t="s">
        <v>11774</v>
      </c>
      <c r="BI18" s="580"/>
      <c r="BJ18"/>
      <c r="BO18" s="85"/>
      <c r="BS18" s="581"/>
      <c r="CN18" s="580"/>
      <c r="CO18" s="36" t="s">
        <v>16071</v>
      </c>
      <c r="CP18" s="36" t="s">
        <v>16084</v>
      </c>
      <c r="CQ18" s="580" t="s">
        <v>16098</v>
      </c>
      <c r="CR18" s="62"/>
      <c r="CS18" s="62"/>
      <c r="CT18" s="580"/>
    </row>
    <row r="19" spans="1:98" s="36" customFormat="1">
      <c r="A19" s="581" t="s">
        <v>559</v>
      </c>
      <c r="E19" s="36" t="s">
        <v>9726</v>
      </c>
      <c r="F19" s="580"/>
      <c r="G19" s="44" t="s">
        <v>1428</v>
      </c>
      <c r="H19" s="44" t="s">
        <v>653</v>
      </c>
      <c r="I19" s="44" t="s">
        <v>672</v>
      </c>
      <c r="J19" s="44" t="s">
        <v>702</v>
      </c>
      <c r="K19" s="44" t="s">
        <v>1409</v>
      </c>
      <c r="L19" s="44" t="s">
        <v>1184</v>
      </c>
      <c r="M19" s="44" t="s">
        <v>1203</v>
      </c>
      <c r="N19" s="44" t="s">
        <v>1223</v>
      </c>
      <c r="U19" s="44" t="s">
        <v>1226</v>
      </c>
      <c r="V19" s="580"/>
      <c r="AR19" s="44" t="s">
        <v>1227</v>
      </c>
      <c r="AV19" s="580"/>
      <c r="AW19"/>
      <c r="AX19" s="580"/>
      <c r="BD19" s="36" t="s">
        <v>3735</v>
      </c>
      <c r="BI19" s="580"/>
      <c r="BJ19"/>
      <c r="BS19" s="581"/>
      <c r="CN19" s="580"/>
      <c r="CO19" s="36" t="s">
        <v>16503</v>
      </c>
      <c r="CP19" s="36" t="s">
        <v>16487</v>
      </c>
      <c r="CQ19" s="580"/>
      <c r="CR19" s="62"/>
      <c r="CS19" s="62"/>
      <c r="CT19" s="580"/>
    </row>
    <row r="20" spans="1:98" s="36" customFormat="1">
      <c r="A20" s="581" t="s">
        <v>4504</v>
      </c>
      <c r="E20" s="36" t="s">
        <v>9738</v>
      </c>
      <c r="F20" s="580"/>
      <c r="G20" s="44" t="s">
        <v>1429</v>
      </c>
      <c r="H20" s="44" t="s">
        <v>654</v>
      </c>
      <c r="I20" s="44" t="s">
        <v>673</v>
      </c>
      <c r="J20" s="44" t="s">
        <v>703</v>
      </c>
      <c r="K20" s="44" t="s">
        <v>1410</v>
      </c>
      <c r="L20" s="36" t="s">
        <v>16391</v>
      </c>
      <c r="M20" s="44" t="s">
        <v>1204</v>
      </c>
      <c r="N20" s="44" t="s">
        <v>1224</v>
      </c>
      <c r="U20" s="44" t="s">
        <v>1427</v>
      </c>
      <c r="V20" s="580"/>
      <c r="AR20" s="44" t="s">
        <v>1429</v>
      </c>
      <c r="AV20" s="580"/>
      <c r="AW20"/>
      <c r="AX20" s="580"/>
      <c r="BD20" s="36" t="s">
        <v>1470</v>
      </c>
      <c r="BI20" s="580"/>
      <c r="BJ20"/>
      <c r="BS20" s="580"/>
      <c r="CN20" s="580"/>
      <c r="CO20" s="36" t="s">
        <v>16500</v>
      </c>
      <c r="CP20" s="36" t="s">
        <v>16085</v>
      </c>
      <c r="CQ20" s="580"/>
      <c r="CR20" s="62"/>
      <c r="CS20" s="62"/>
      <c r="CT20" s="580"/>
    </row>
    <row r="21" spans="1:98" s="36" customFormat="1">
      <c r="A21" s="581" t="s">
        <v>3611</v>
      </c>
      <c r="E21" s="36" t="s">
        <v>9723</v>
      </c>
      <c r="F21" s="580"/>
      <c r="G21" s="44" t="s">
        <v>1431</v>
      </c>
      <c r="H21" s="44" t="s">
        <v>656</v>
      </c>
      <c r="I21" s="44" t="s">
        <v>675</v>
      </c>
      <c r="J21" s="44" t="s">
        <v>705</v>
      </c>
      <c r="K21" s="44" t="s">
        <v>1411</v>
      </c>
      <c r="L21" s="44" t="s">
        <v>1186</v>
      </c>
      <c r="M21" s="44" t="s">
        <v>1206</v>
      </c>
      <c r="N21" s="44" t="s">
        <v>1226</v>
      </c>
      <c r="U21" s="44" t="s">
        <v>1227</v>
      </c>
      <c r="V21" s="580"/>
      <c r="AR21" s="44" t="s">
        <v>1409</v>
      </c>
      <c r="AV21" s="580"/>
      <c r="AX21" s="580"/>
      <c r="BI21" s="580"/>
      <c r="BS21" s="580"/>
      <c r="CN21" s="580"/>
      <c r="CO21" s="36" t="s">
        <v>16498</v>
      </c>
      <c r="CP21" s="36" t="s">
        <v>16086</v>
      </c>
      <c r="CQ21" s="580"/>
      <c r="CR21" s="62"/>
      <c r="CS21" s="62"/>
      <c r="CT21" s="580"/>
    </row>
    <row r="22" spans="1:98" s="36" customFormat="1">
      <c r="A22" s="581" t="s">
        <v>1337</v>
      </c>
      <c r="E22" s="36" t="s">
        <v>9740</v>
      </c>
      <c r="F22" s="580"/>
      <c r="G22" s="44" t="s">
        <v>1432</v>
      </c>
      <c r="H22" s="44" t="s">
        <v>657</v>
      </c>
      <c r="I22" s="44" t="s">
        <v>676</v>
      </c>
      <c r="J22" s="86" t="s">
        <v>11726</v>
      </c>
      <c r="K22" s="44" t="s">
        <v>1412</v>
      </c>
      <c r="L22" s="44" t="s">
        <v>1187</v>
      </c>
      <c r="M22" s="44" t="s">
        <v>1207</v>
      </c>
      <c r="N22" s="44" t="s">
        <v>1227</v>
      </c>
      <c r="U22" s="44" t="s">
        <v>1411</v>
      </c>
      <c r="V22" s="580"/>
      <c r="AR22" s="44" t="s">
        <v>1411</v>
      </c>
      <c r="AV22" s="580"/>
      <c r="AX22" s="580"/>
      <c r="BI22" s="580"/>
      <c r="BS22" s="580"/>
      <c r="CN22" s="580"/>
      <c r="CO22" s="36" t="s">
        <v>16074</v>
      </c>
      <c r="CP22" s="36" t="s">
        <v>16491</v>
      </c>
      <c r="CQ22" s="580"/>
      <c r="CT22" s="580"/>
    </row>
    <row r="23" spans="1:98" s="36" customFormat="1">
      <c r="A23" s="581" t="s">
        <v>1343</v>
      </c>
      <c r="E23" s="106" t="s">
        <v>9737</v>
      </c>
      <c r="F23" s="580"/>
      <c r="G23" s="44" t="s">
        <v>1433</v>
      </c>
      <c r="H23" s="44" t="s">
        <v>658</v>
      </c>
      <c r="I23" s="44" t="s">
        <v>677</v>
      </c>
      <c r="J23" s="44" t="s">
        <v>706</v>
      </c>
      <c r="K23" s="44" t="s">
        <v>1413</v>
      </c>
      <c r="L23" s="44" t="s">
        <v>1188</v>
      </c>
      <c r="M23" s="44" t="s">
        <v>1208</v>
      </c>
      <c r="N23" s="86" t="s">
        <v>1228</v>
      </c>
      <c r="U23" s="36" t="s">
        <v>1228</v>
      </c>
      <c r="V23" s="580"/>
      <c r="AV23" s="580"/>
      <c r="AX23" s="580"/>
      <c r="BI23" s="580"/>
      <c r="BS23" s="580"/>
      <c r="CN23" s="580"/>
      <c r="CO23" s="36" t="s">
        <v>16057</v>
      </c>
      <c r="CP23" s="36" t="s">
        <v>16087</v>
      </c>
      <c r="CQ23" s="580"/>
      <c r="CT23" s="580"/>
    </row>
    <row r="24" spans="1:98" s="36" customFormat="1">
      <c r="A24" s="581" t="s">
        <v>3614</v>
      </c>
      <c r="E24" s="106" t="s">
        <v>16390</v>
      </c>
      <c r="F24" s="580"/>
      <c r="N24" s="86"/>
      <c r="V24" s="580"/>
      <c r="AV24" s="580"/>
      <c r="AX24" s="580"/>
      <c r="BI24" s="580"/>
      <c r="BS24" s="580"/>
      <c r="CN24" s="580"/>
      <c r="CO24" s="106" t="s">
        <v>17455</v>
      </c>
      <c r="CQ24" s="580"/>
      <c r="CT24" s="580"/>
    </row>
    <row r="25" spans="1:98" s="36" customFormat="1">
      <c r="A25" s="581" t="s">
        <v>561</v>
      </c>
      <c r="E25" s="36" t="s">
        <v>9736</v>
      </c>
      <c r="F25" s="580"/>
      <c r="N25" s="86"/>
      <c r="V25" s="580"/>
      <c r="AV25" s="580"/>
      <c r="AX25" s="580"/>
      <c r="BI25" s="580"/>
      <c r="BS25" s="580"/>
      <c r="CN25" s="580"/>
      <c r="CO25" s="36" t="s">
        <v>16511</v>
      </c>
      <c r="CQ25" s="580"/>
      <c r="CT25" s="580"/>
    </row>
    <row r="26" spans="1:98" s="36" customFormat="1">
      <c r="A26" s="581" t="s">
        <v>3617</v>
      </c>
      <c r="F26" s="580"/>
      <c r="N26" s="44"/>
      <c r="V26" s="580"/>
      <c r="AV26" s="580"/>
      <c r="AX26" s="580"/>
      <c r="BI26" s="580"/>
      <c r="BS26" s="580"/>
      <c r="CN26" s="580"/>
      <c r="CO26" s="36" t="s">
        <v>16056</v>
      </c>
      <c r="CQ26" s="580"/>
      <c r="CT26" s="580"/>
    </row>
    <row r="27" spans="1:98" s="36" customFormat="1">
      <c r="A27" s="581" t="s">
        <v>562</v>
      </c>
      <c r="F27" s="580"/>
      <c r="N27" s="44"/>
      <c r="V27" s="580"/>
      <c r="AR27" s="62"/>
      <c r="AV27" s="580"/>
      <c r="AX27" s="580"/>
      <c r="BI27" s="580"/>
      <c r="BS27" s="580"/>
      <c r="CN27" s="580"/>
      <c r="CO27" s="36" t="s">
        <v>16061</v>
      </c>
      <c r="CQ27" s="580"/>
      <c r="CT27" s="580"/>
    </row>
    <row r="28" spans="1:98" s="36" customFormat="1">
      <c r="A28" s="581" t="s">
        <v>3721</v>
      </c>
      <c r="F28" s="580"/>
      <c r="N28" s="44"/>
      <c r="V28" s="580"/>
      <c r="AR28" s="62"/>
      <c r="AV28" s="580"/>
      <c r="AX28" s="580"/>
      <c r="BI28" s="580"/>
      <c r="BS28" s="580"/>
      <c r="CN28" s="580"/>
      <c r="CO28" s="36" t="s">
        <v>16067</v>
      </c>
      <c r="CQ28" s="580"/>
      <c r="CT28" s="580"/>
    </row>
    <row r="29" spans="1:98" s="36" customFormat="1">
      <c r="A29" s="581" t="s">
        <v>3620</v>
      </c>
      <c r="F29" s="580"/>
      <c r="N29" s="44"/>
      <c r="V29" s="580"/>
      <c r="AR29" s="62"/>
      <c r="AV29" s="580"/>
      <c r="AX29" s="580"/>
      <c r="BI29" s="580"/>
      <c r="BS29" s="580"/>
      <c r="CN29" s="580"/>
      <c r="CO29" s="36" t="s">
        <v>16072</v>
      </c>
      <c r="CQ29" s="580"/>
      <c r="CR29" s="62"/>
      <c r="CS29" s="62"/>
      <c r="CT29" s="580"/>
    </row>
    <row r="30" spans="1:98" s="36" customFormat="1">
      <c r="A30" s="581" t="s">
        <v>1342</v>
      </c>
      <c r="F30" s="580"/>
      <c r="N30" s="44"/>
      <c r="V30" s="580"/>
      <c r="AR30" s="62"/>
      <c r="AV30" s="580"/>
      <c r="AX30" s="580"/>
      <c r="BI30" s="580"/>
      <c r="BS30" s="580"/>
      <c r="CN30" s="580"/>
      <c r="CO30" s="36" t="s">
        <v>16073</v>
      </c>
      <c r="CQ30" s="580"/>
      <c r="CR30" s="62"/>
      <c r="CS30" s="62"/>
      <c r="CT30" s="580"/>
    </row>
    <row r="31" spans="1:98" s="36" customFormat="1">
      <c r="A31" s="581" t="s">
        <v>9720</v>
      </c>
      <c r="F31" s="580"/>
      <c r="N31" s="44"/>
      <c r="V31" s="580"/>
      <c r="AR31" s="44"/>
      <c r="AV31" s="580"/>
      <c r="AX31" s="580"/>
      <c r="BI31" s="580"/>
      <c r="BS31" s="580"/>
      <c r="CN31" s="580"/>
      <c r="CO31" s="36" t="s">
        <v>16494</v>
      </c>
      <c r="CQ31" s="580"/>
      <c r="CR31" s="62"/>
      <c r="CS31" s="62"/>
      <c r="CT31" s="580"/>
    </row>
    <row r="32" spans="1:98" s="36" customFormat="1">
      <c r="A32" s="581" t="s">
        <v>3621</v>
      </c>
      <c r="F32" s="580"/>
      <c r="N32" s="44"/>
      <c r="V32" s="580"/>
      <c r="AR32" s="44"/>
      <c r="AV32" s="580"/>
      <c r="AX32" s="580"/>
      <c r="BI32" s="580"/>
      <c r="BS32" s="580"/>
      <c r="CN32" s="580"/>
      <c r="CQ32" s="580"/>
      <c r="CR32" s="62"/>
      <c r="CS32" s="62"/>
      <c r="CT32" s="580"/>
    </row>
    <row r="33" spans="1:98" s="36" customFormat="1">
      <c r="A33" s="581" t="s">
        <v>1348</v>
      </c>
      <c r="F33" s="580"/>
      <c r="N33" s="44"/>
      <c r="V33" s="580"/>
      <c r="AR33" s="44"/>
      <c r="AV33" s="580"/>
      <c r="AX33" s="580"/>
      <c r="BI33" s="580"/>
      <c r="BS33" s="580"/>
      <c r="CN33" s="580"/>
      <c r="CQ33" s="580"/>
      <c r="CR33" s="62"/>
      <c r="CS33" s="62"/>
      <c r="CT33" s="580"/>
    </row>
    <row r="34" spans="1:98" s="36" customFormat="1">
      <c r="A34" s="581" t="s">
        <v>1340</v>
      </c>
      <c r="F34" s="580"/>
      <c r="N34" s="44"/>
      <c r="U34" s="40"/>
      <c r="V34" s="580"/>
      <c r="AR34" s="44"/>
      <c r="AV34" s="580"/>
      <c r="AX34" s="580"/>
      <c r="BI34" s="580"/>
      <c r="BS34" s="580"/>
      <c r="CN34" s="580"/>
      <c r="CQ34" s="580"/>
      <c r="CR34" s="62"/>
      <c r="CS34" s="62"/>
      <c r="CT34" s="580"/>
    </row>
    <row r="35" spans="1:98" s="36" customFormat="1">
      <c r="A35" s="580" t="s">
        <v>563</v>
      </c>
      <c r="F35" s="580"/>
      <c r="N35" s="44"/>
      <c r="U35" s="40"/>
      <c r="V35" s="580"/>
      <c r="AR35" s="44"/>
      <c r="AV35" s="580"/>
      <c r="AX35" s="580"/>
      <c r="CN35" s="580"/>
      <c r="CQ35" s="580"/>
      <c r="CR35" s="62"/>
      <c r="CS35" s="62"/>
      <c r="CT35" s="580"/>
    </row>
    <row r="36" spans="1:98">
      <c r="N36" s="44"/>
      <c r="O36" s="36"/>
      <c r="U36" s="40"/>
      <c r="AR36" s="44"/>
      <c r="CR36"/>
      <c r="CS36"/>
    </row>
    <row r="37" spans="1:98">
      <c r="N37" s="44"/>
      <c r="O37" s="36"/>
      <c r="U37" s="40"/>
      <c r="AR37" s="44"/>
      <c r="CR37"/>
      <c r="CS37"/>
    </row>
    <row r="38" spans="1:98">
      <c r="N38" s="44"/>
      <c r="O38" s="36"/>
      <c r="U38" s="40"/>
      <c r="AR38" s="44"/>
      <c r="CR38"/>
      <c r="CS38"/>
    </row>
    <row r="39" spans="1:98">
      <c r="N39" s="44"/>
      <c r="O39" s="36"/>
      <c r="U39" s="40"/>
      <c r="AR39" s="44"/>
      <c r="CR39"/>
      <c r="CS39"/>
    </row>
    <row r="40" spans="1:98">
      <c r="N40" s="44"/>
      <c r="O40" s="36"/>
      <c r="U40" s="40"/>
      <c r="AR40" s="44"/>
      <c r="CR40"/>
      <c r="CS40"/>
    </row>
    <row r="41" spans="1:98">
      <c r="N41" s="44"/>
      <c r="O41" s="36"/>
      <c r="U41" s="40"/>
      <c r="AR41" s="44"/>
      <c r="CR41"/>
      <c r="CS41"/>
    </row>
    <row r="42" spans="1:98">
      <c r="N42" s="44"/>
      <c r="O42" s="36"/>
      <c r="AR42" s="44"/>
      <c r="CR42"/>
      <c r="CS42"/>
    </row>
    <row r="43" spans="1:98">
      <c r="N43" s="44"/>
      <c r="O43" s="36"/>
      <c r="AR43" s="44"/>
      <c r="CR43"/>
      <c r="CS43"/>
    </row>
    <row r="44" spans="1:98">
      <c r="N44" s="44"/>
      <c r="O44" s="36"/>
      <c r="AR44" s="44"/>
      <c r="CR44"/>
      <c r="CS44"/>
    </row>
    <row r="45" spans="1:98">
      <c r="N45" s="44"/>
      <c r="O45" s="36"/>
      <c r="AR45" s="44"/>
      <c r="CR45"/>
      <c r="CS45"/>
    </row>
    <row r="46" spans="1:98">
      <c r="N46" s="44"/>
      <c r="O46" s="36"/>
      <c r="AR46" s="86"/>
      <c r="CR46"/>
      <c r="CS46"/>
    </row>
    <row r="47" spans="1:98">
      <c r="N47" s="44"/>
      <c r="O47" s="36"/>
      <c r="AR47" s="34"/>
      <c r="CR47"/>
      <c r="CS47"/>
    </row>
    <row r="48" spans="1:98">
      <c r="N48" s="44"/>
      <c r="O48" s="36"/>
      <c r="AR48" s="438"/>
      <c r="CR48"/>
      <c r="CS48"/>
    </row>
    <row r="49" spans="14:97">
      <c r="N49" s="44"/>
      <c r="O49" s="36"/>
      <c r="AR49" s="44"/>
      <c r="CR49"/>
      <c r="CS49"/>
    </row>
    <row r="50" spans="14:97">
      <c r="N50" s="44"/>
      <c r="O50" s="36"/>
      <c r="AR50" s="438"/>
      <c r="CR50"/>
      <c r="CS50"/>
    </row>
    <row r="51" spans="14:97">
      <c r="N51" s="44"/>
      <c r="O51" s="36"/>
      <c r="AR51" s="44"/>
      <c r="CR51"/>
      <c r="CS51"/>
    </row>
    <row r="52" spans="14:97">
      <c r="N52" s="44"/>
      <c r="O52" s="36"/>
      <c r="AR52" s="438"/>
    </row>
    <row r="53" spans="14:97">
      <c r="N53" s="44"/>
      <c r="O53" s="36"/>
      <c r="AR53" s="34"/>
    </row>
    <row r="54" spans="14:97">
      <c r="N54" s="44"/>
      <c r="O54" s="36"/>
      <c r="AR54" s="438"/>
    </row>
    <row r="55" spans="14:97">
      <c r="N55" s="44"/>
      <c r="O55" s="36"/>
      <c r="AR55" s="44"/>
    </row>
    <row r="56" spans="14:97">
      <c r="N56" s="44"/>
      <c r="O56" s="36"/>
      <c r="AR56" s="438"/>
    </row>
    <row r="57" spans="14:97">
      <c r="N57" s="44"/>
      <c r="O57" s="36"/>
      <c r="AR57" s="34"/>
    </row>
    <row r="58" spans="14:97">
      <c r="N58" s="44"/>
      <c r="O58" s="36"/>
      <c r="AR58" s="438"/>
    </row>
    <row r="59" spans="14:97">
      <c r="N59" s="44"/>
      <c r="O59" s="36"/>
      <c r="AR59" s="34"/>
    </row>
    <row r="60" spans="14:97">
      <c r="N60" s="44"/>
      <c r="O60" s="36"/>
      <c r="AR60" s="438"/>
    </row>
    <row r="61" spans="14:97">
      <c r="N61" s="44"/>
      <c r="O61" s="36"/>
      <c r="AR61" s="34"/>
    </row>
    <row r="62" spans="14:97">
      <c r="N62" s="44"/>
      <c r="O62" s="36"/>
      <c r="AR62" s="438"/>
    </row>
  </sheetData>
  <sheetProtection selectLockedCells="1"/>
  <sortState xmlns:xlrd2="http://schemas.microsoft.com/office/spreadsheetml/2017/richdata2" ref="U3:U24">
    <sortCondition ref="U3:U24"/>
  </sortState>
  <mergeCells count="9">
    <mergeCell ref="B1:F1"/>
    <mergeCell ref="CO1:CQ1"/>
    <mergeCell ref="CR1:CT1"/>
    <mergeCell ref="AW1:AX1"/>
    <mergeCell ref="AY1:BI1"/>
    <mergeCell ref="W1:AV1"/>
    <mergeCell ref="G1:V1"/>
    <mergeCell ref="BT1:CN1"/>
    <mergeCell ref="BJ1:BS1"/>
  </mergeCells>
  <phoneticPr fontId="15" type="noConversion"/>
  <pageMargins left="0.78740157499999996" right="0.78740157499999996" top="0.984251969" bottom="0.984251969" header="0.4921259845" footer="0.492125984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theme="4"/>
  </sheetPr>
  <dimension ref="A1:P168"/>
  <sheetViews>
    <sheetView showGridLines="0" showRowColHeaders="0" workbookViewId="0">
      <pane ySplit="1" topLeftCell="A2" activePane="bottomLeft" state="frozen"/>
      <selection pane="bottomLeft"/>
    </sheetView>
  </sheetViews>
  <sheetFormatPr baseColWidth="10" defaultRowHeight="13.2"/>
  <cols>
    <col min="1" max="1" width="31" style="96" customWidth="1"/>
    <col min="2" max="2" width="11.5546875" style="95"/>
    <col min="3" max="3" width="4.88671875" style="95" customWidth="1"/>
    <col min="4" max="4" width="4.6640625" style="95" customWidth="1"/>
    <col min="5" max="5" width="6.33203125" style="95" customWidth="1"/>
    <col min="6" max="6" width="11.5546875" style="97"/>
    <col min="7" max="7" width="13" style="98" customWidth="1"/>
    <col min="8" max="10" width="11.5546875" style="95" customWidth="1"/>
    <col min="11" max="11" width="27.6640625" style="95" customWidth="1"/>
    <col min="12" max="12" width="7.6640625" style="99" customWidth="1"/>
    <col min="13" max="13" width="5.6640625" style="1" customWidth="1"/>
    <col min="14" max="14" width="5.33203125" style="1" customWidth="1"/>
    <col min="15" max="15" width="11.44140625" style="450"/>
    <col min="16" max="16" width="14.6640625" style="450" customWidth="1"/>
  </cols>
  <sheetData>
    <row r="1" spans="1:16" s="82" customFormat="1" ht="13.8" thickBot="1">
      <c r="A1" s="376" t="s">
        <v>162</v>
      </c>
      <c r="B1" s="377" t="s">
        <v>164</v>
      </c>
      <c r="C1" s="377" t="s">
        <v>129</v>
      </c>
      <c r="D1" s="377" t="s">
        <v>130</v>
      </c>
      <c r="E1" s="377" t="s">
        <v>165</v>
      </c>
      <c r="F1" s="377" t="s">
        <v>163</v>
      </c>
      <c r="G1" s="377" t="s">
        <v>2659</v>
      </c>
      <c r="H1" s="377" t="s">
        <v>2467</v>
      </c>
      <c r="I1" s="376" t="s">
        <v>2468</v>
      </c>
      <c r="J1" s="376" t="s">
        <v>2469</v>
      </c>
      <c r="K1" s="376" t="s">
        <v>167</v>
      </c>
      <c r="L1" s="376" t="s">
        <v>4905</v>
      </c>
      <c r="M1" s="376" t="s">
        <v>368</v>
      </c>
      <c r="N1" s="377" t="s">
        <v>3886</v>
      </c>
      <c r="O1" s="446"/>
      <c r="P1" s="446" t="s">
        <v>5321</v>
      </c>
    </row>
    <row r="2" spans="1:16" ht="13.8" thickTop="1">
      <c r="A2" s="907" t="s">
        <v>17477</v>
      </c>
      <c r="B2" s="668" t="s">
        <v>2486</v>
      </c>
      <c r="C2" s="668" t="s">
        <v>2465</v>
      </c>
      <c r="D2" s="668"/>
      <c r="E2" s="669">
        <f>IF('page 1'!$H$30&gt;0,'page 1'!$H$30+1,0)+IF(Gestion!W36&gt;0,1,0)</f>
        <v>0</v>
      </c>
      <c r="F2" s="670" t="s">
        <v>734</v>
      </c>
      <c r="G2" s="671">
        <v>0</v>
      </c>
      <c r="H2" s="668" t="s">
        <v>2475</v>
      </c>
      <c r="I2" s="668" t="s">
        <v>2473</v>
      </c>
      <c r="J2" s="668"/>
      <c r="K2" s="666" t="str">
        <f t="shared" ref="K2:K65" si="0">CONCATENATE(H2," ",I2," ",J2)</f>
        <v xml:space="preserve">Lente Percutante </v>
      </c>
      <c r="L2" s="672">
        <v>350</v>
      </c>
      <c r="M2" s="673">
        <v>250</v>
      </c>
      <c r="N2" s="673" t="s">
        <v>2607</v>
      </c>
      <c r="O2" s="447">
        <v>1</v>
      </c>
      <c r="P2" s="448" t="s">
        <v>2486</v>
      </c>
    </row>
    <row r="3" spans="1:16">
      <c r="A3" s="665" t="s">
        <v>4020</v>
      </c>
      <c r="B3" s="419" t="s">
        <v>2486</v>
      </c>
      <c r="C3" s="674" t="s">
        <v>2465</v>
      </c>
      <c r="D3" s="674"/>
      <c r="E3" s="675">
        <f>IF('page 1'!$H$30&gt;0,'page 1'!$H$30-1,0)+IF(Gestion!W36&gt;0,1,0)</f>
        <v>0</v>
      </c>
      <c r="F3" s="663" t="s">
        <v>734</v>
      </c>
      <c r="G3" s="661">
        <v>0</v>
      </c>
      <c r="H3" s="419" t="s">
        <v>2475</v>
      </c>
      <c r="I3" s="419" t="s">
        <v>2473</v>
      </c>
      <c r="J3" s="419" t="s">
        <v>2483</v>
      </c>
      <c r="K3" s="419" t="str">
        <f t="shared" si="0"/>
        <v>Lente Percutante Peu Fiable</v>
      </c>
      <c r="L3" s="420">
        <v>5</v>
      </c>
      <c r="M3" s="421">
        <v>200</v>
      </c>
      <c r="N3" s="439" t="s">
        <v>2574</v>
      </c>
      <c r="O3" s="447"/>
      <c r="P3" s="448" t="s">
        <v>2487</v>
      </c>
    </row>
    <row r="4" spans="1:16">
      <c r="A4" s="379" t="s">
        <v>2501</v>
      </c>
      <c r="B4" s="380" t="s">
        <v>2486</v>
      </c>
      <c r="C4" s="381" t="s">
        <v>2465</v>
      </c>
      <c r="D4" s="382"/>
      <c r="E4" s="383">
        <f>IF('page 1'!$H$30&gt;0,'page 1'!$H$30,0)+IF(Gestion!W36&gt;0,1,0)</f>
        <v>0</v>
      </c>
      <c r="F4" s="380" t="s">
        <v>734</v>
      </c>
      <c r="G4" s="384">
        <v>0</v>
      </c>
      <c r="H4" s="382" t="s">
        <v>2475</v>
      </c>
      <c r="I4" s="382" t="s">
        <v>2473</v>
      </c>
      <c r="J4" s="382"/>
      <c r="K4" s="419" t="str">
        <f t="shared" si="0"/>
        <v xml:space="preserve">Lente Percutante </v>
      </c>
      <c r="L4" s="386">
        <v>120</v>
      </c>
      <c r="M4" s="387">
        <v>180</v>
      </c>
      <c r="N4" s="387" t="s">
        <v>2607</v>
      </c>
      <c r="O4" s="447">
        <v>2</v>
      </c>
      <c r="P4" s="448" t="s">
        <v>2493</v>
      </c>
    </row>
    <row r="5" spans="1:16">
      <c r="A5" s="388" t="s">
        <v>2567</v>
      </c>
      <c r="B5" s="385" t="s">
        <v>2486</v>
      </c>
      <c r="C5" s="385" t="s">
        <v>2465</v>
      </c>
      <c r="D5" s="385"/>
      <c r="E5" s="385">
        <f>IF('page 1'!$H$30&gt;0,'page 1'!$H$30+1,0)+IF(Gestion!W36&gt;0,1,0)</f>
        <v>0</v>
      </c>
      <c r="F5" s="389" t="s">
        <v>734</v>
      </c>
      <c r="G5" s="390">
        <v>0</v>
      </c>
      <c r="H5" s="385" t="s">
        <v>2473</v>
      </c>
      <c r="I5" s="385" t="s">
        <v>2477</v>
      </c>
      <c r="J5" s="385"/>
      <c r="K5" s="419" t="str">
        <f t="shared" si="0"/>
        <v xml:space="preserve">Percutante Perforante </v>
      </c>
      <c r="L5" s="391">
        <v>1000</v>
      </c>
      <c r="M5" s="392">
        <v>150</v>
      </c>
      <c r="N5" s="392" t="s">
        <v>8801</v>
      </c>
      <c r="O5" s="447">
        <v>3</v>
      </c>
      <c r="P5" s="448" t="s">
        <v>2492</v>
      </c>
    </row>
    <row r="6" spans="1:16">
      <c r="A6" s="388" t="s">
        <v>2502</v>
      </c>
      <c r="B6" s="393" t="s">
        <v>2486</v>
      </c>
      <c r="C6" s="394" t="s">
        <v>2465</v>
      </c>
      <c r="D6" s="385"/>
      <c r="E6" s="395">
        <f>IF('page 1'!$H$30&gt;0,'page 1'!$H$30,0)+IF(Gestion!W36&gt;0,1,0)</f>
        <v>0</v>
      </c>
      <c r="F6" s="393" t="s">
        <v>734</v>
      </c>
      <c r="G6" s="390">
        <v>0</v>
      </c>
      <c r="H6" s="397" t="s">
        <v>17478</v>
      </c>
      <c r="I6" s="385" t="s">
        <v>2473</v>
      </c>
      <c r="J6" s="385" t="s">
        <v>2475</v>
      </c>
      <c r="K6" s="419" t="str">
        <f t="shared" si="0"/>
        <v>Assommante Percutante Lente</v>
      </c>
      <c r="L6" s="391">
        <v>150</v>
      </c>
      <c r="M6" s="392">
        <v>260</v>
      </c>
      <c r="N6" s="392" t="s">
        <v>2608</v>
      </c>
      <c r="O6" s="447">
        <v>4</v>
      </c>
      <c r="P6" s="448" t="s">
        <v>2489</v>
      </c>
    </row>
    <row r="7" spans="1:16">
      <c r="A7" s="396" t="s">
        <v>4576</v>
      </c>
      <c r="B7" s="393" t="s">
        <v>2486</v>
      </c>
      <c r="C7" s="394" t="s">
        <v>2465</v>
      </c>
      <c r="D7" s="385"/>
      <c r="E7" s="395">
        <f>IF('page 1'!$H$30&gt;0,'page 1'!$H$30,0)+IF(Gestion!W36&gt;0,1,0)</f>
        <v>0</v>
      </c>
      <c r="F7" s="393" t="s">
        <v>734</v>
      </c>
      <c r="G7" s="390">
        <v>0</v>
      </c>
      <c r="H7" s="385" t="s">
        <v>2475</v>
      </c>
      <c r="I7" s="385" t="s">
        <v>2477</v>
      </c>
      <c r="J7" s="385" t="s">
        <v>2473</v>
      </c>
      <c r="K7" s="419" t="str">
        <f t="shared" si="0"/>
        <v>Lente Perforante Percutante</v>
      </c>
      <c r="L7" s="391">
        <v>200</v>
      </c>
      <c r="M7" s="392">
        <v>180</v>
      </c>
      <c r="N7" s="392" t="s">
        <v>2608</v>
      </c>
      <c r="O7" s="447">
        <v>5</v>
      </c>
      <c r="P7" s="448" t="s">
        <v>2496</v>
      </c>
    </row>
    <row r="8" spans="1:16">
      <c r="A8" s="388" t="s">
        <v>2500</v>
      </c>
      <c r="B8" s="385" t="s">
        <v>2486</v>
      </c>
      <c r="C8" s="385" t="s">
        <v>2465</v>
      </c>
      <c r="D8" s="385"/>
      <c r="E8" s="395">
        <f>IF('page 1'!$H$30&gt;0,'page 1'!$H$30,0)+IF(Gestion!W36&gt;0,1,0)</f>
        <v>0</v>
      </c>
      <c r="F8" s="389" t="s">
        <v>734</v>
      </c>
      <c r="G8" s="390">
        <v>0</v>
      </c>
      <c r="H8" s="385" t="s">
        <v>2479</v>
      </c>
      <c r="I8" s="385"/>
      <c r="J8" s="385"/>
      <c r="K8" s="419" t="str">
        <f t="shared" si="0"/>
        <v xml:space="preserve">Rapide  </v>
      </c>
      <c r="L8" s="391">
        <v>20</v>
      </c>
      <c r="M8" s="392">
        <v>200</v>
      </c>
      <c r="N8" s="392" t="s">
        <v>2572</v>
      </c>
      <c r="O8" s="447">
        <v>6</v>
      </c>
      <c r="P8" s="448" t="s">
        <v>2491</v>
      </c>
    </row>
    <row r="9" spans="1:16">
      <c r="A9" s="422" t="s">
        <v>9271</v>
      </c>
      <c r="B9" s="385" t="s">
        <v>2486</v>
      </c>
      <c r="C9" s="385" t="s">
        <v>2465</v>
      </c>
      <c r="D9" s="419"/>
      <c r="E9" s="395">
        <f>IF('page 1'!$H$30&gt;0,'page 1'!$H$30,0)+IF(Gestion!W37&gt;0,1,0)</f>
        <v>0</v>
      </c>
      <c r="F9" s="389" t="s">
        <v>734</v>
      </c>
      <c r="G9" s="390">
        <v>0</v>
      </c>
      <c r="H9" s="419" t="s">
        <v>2466</v>
      </c>
      <c r="I9" s="419" t="s">
        <v>2479</v>
      </c>
      <c r="J9" s="419"/>
      <c r="K9" s="419" t="str">
        <f t="shared" si="0"/>
        <v xml:space="preserve">Défensive Rapide </v>
      </c>
      <c r="L9" s="420">
        <v>1200</v>
      </c>
      <c r="M9" s="421">
        <v>100</v>
      </c>
      <c r="N9" s="439" t="s">
        <v>2608</v>
      </c>
      <c r="O9" s="447">
        <v>7</v>
      </c>
      <c r="P9" s="449" t="s">
        <v>2499</v>
      </c>
    </row>
    <row r="10" spans="1:16">
      <c r="A10" s="388" t="s">
        <v>2544</v>
      </c>
      <c r="B10" s="397" t="s">
        <v>2487</v>
      </c>
      <c r="C10" s="385"/>
      <c r="D10" s="385" t="s">
        <v>2465</v>
      </c>
      <c r="E10" s="385">
        <f>4+IF(Gestion!W129&gt;0,1,0)</f>
        <v>4</v>
      </c>
      <c r="F10" s="389" t="s">
        <v>2525</v>
      </c>
      <c r="G10" s="390">
        <f>2-IF(Gestion!W82&gt;0,0.5,0)-IF(Gestion!W99&gt;0,0.5,0)</f>
        <v>2</v>
      </c>
      <c r="H10" s="385" t="s">
        <v>2473</v>
      </c>
      <c r="I10" s="385" t="s">
        <v>2483</v>
      </c>
      <c r="J10" s="385"/>
      <c r="K10" s="419" t="str">
        <f t="shared" si="0"/>
        <v xml:space="preserve">Percutante Peu Fiable </v>
      </c>
      <c r="L10" s="391">
        <v>300</v>
      </c>
      <c r="M10" s="392">
        <v>30</v>
      </c>
      <c r="N10" s="392" t="s">
        <v>2608</v>
      </c>
      <c r="O10" s="447">
        <v>8</v>
      </c>
      <c r="P10" s="448" t="s">
        <v>2498</v>
      </c>
    </row>
    <row r="11" spans="1:16">
      <c r="A11" s="422" t="s">
        <v>9168</v>
      </c>
      <c r="B11" s="423" t="s">
        <v>2487</v>
      </c>
      <c r="C11" s="419"/>
      <c r="D11" s="423" t="s">
        <v>2465</v>
      </c>
      <c r="E11" s="419">
        <f>4+IF(Gestion!W129&gt;0,1,0)</f>
        <v>4</v>
      </c>
      <c r="F11" s="389" t="s">
        <v>2525</v>
      </c>
      <c r="G11" s="390">
        <f>2-IF(Gestion!W83&gt;0,0.5,0)-IF(Gestion!W100&gt;0,0.5,0)</f>
        <v>2</v>
      </c>
      <c r="H11" s="419" t="s">
        <v>2473</v>
      </c>
      <c r="I11" s="419"/>
      <c r="J11" s="419"/>
      <c r="K11" s="419" t="str">
        <f t="shared" si="0"/>
        <v xml:space="preserve">Percutante  </v>
      </c>
      <c r="L11" s="420">
        <v>600</v>
      </c>
      <c r="M11" s="421">
        <v>30</v>
      </c>
      <c r="N11" s="421" t="s">
        <v>8801</v>
      </c>
      <c r="O11" s="447">
        <v>9</v>
      </c>
      <c r="P11" s="448" t="s">
        <v>2490</v>
      </c>
    </row>
    <row r="12" spans="1:16">
      <c r="A12" s="398" t="s">
        <v>4312</v>
      </c>
      <c r="B12" s="399" t="s">
        <v>2487</v>
      </c>
      <c r="C12" s="419"/>
      <c r="D12" s="399" t="s">
        <v>2465</v>
      </c>
      <c r="E12" s="399">
        <f>6+IF(Gestion!W129&gt;0,1,0)</f>
        <v>6</v>
      </c>
      <c r="F12" s="400" t="s">
        <v>4314</v>
      </c>
      <c r="G12" s="401">
        <f>3-IF(Gestion!W82&gt;0,0.5,0)-IF(Gestion!W99&gt;0,0.5,0)</f>
        <v>3</v>
      </c>
      <c r="H12" s="399" t="s">
        <v>2473</v>
      </c>
      <c r="I12" s="399" t="s">
        <v>2483</v>
      </c>
      <c r="J12" s="399"/>
      <c r="K12" s="419" t="str">
        <f t="shared" si="0"/>
        <v xml:space="preserve">Percutante Peu Fiable </v>
      </c>
      <c r="L12" s="391">
        <v>285</v>
      </c>
      <c r="M12" s="392">
        <v>1000</v>
      </c>
      <c r="N12" s="392" t="s">
        <v>2608</v>
      </c>
      <c r="O12" s="447">
        <v>10</v>
      </c>
      <c r="P12" s="448" t="s">
        <v>2495</v>
      </c>
    </row>
    <row r="13" spans="1:16">
      <c r="A13" s="398" t="s">
        <v>4313</v>
      </c>
      <c r="B13" s="399" t="s">
        <v>2487</v>
      </c>
      <c r="C13" s="419"/>
      <c r="D13" s="399" t="s">
        <v>2465</v>
      </c>
      <c r="E13" s="399">
        <f>5+IF(Gestion!W129&gt;0,1,0)</f>
        <v>5</v>
      </c>
      <c r="F13" s="400" t="s">
        <v>4315</v>
      </c>
      <c r="G13" s="401">
        <f>4-IF(Gestion!W82&gt;0,0.5,0)-IF(Gestion!W99&gt;0,0.5,0)</f>
        <v>4</v>
      </c>
      <c r="H13" s="399" t="s">
        <v>2481</v>
      </c>
      <c r="I13" s="399"/>
      <c r="J13" s="399"/>
      <c r="K13" s="419" t="str">
        <f t="shared" si="0"/>
        <v xml:space="preserve">A mitraille  </v>
      </c>
      <c r="L13" s="391">
        <v>285</v>
      </c>
      <c r="M13" s="392">
        <v>1000</v>
      </c>
      <c r="N13" s="392" t="s">
        <v>2608</v>
      </c>
      <c r="O13" s="447">
        <v>11</v>
      </c>
      <c r="P13" s="448" t="s">
        <v>2488</v>
      </c>
    </row>
    <row r="14" spans="1:16">
      <c r="A14" s="403" t="s">
        <v>4846</v>
      </c>
      <c r="B14" s="399" t="s">
        <v>2487</v>
      </c>
      <c r="C14" s="419"/>
      <c r="D14" s="404" t="s">
        <v>2465</v>
      </c>
      <c r="E14" s="399">
        <f>10+IF(Gestion!W129&gt;0,1,0)</f>
        <v>10</v>
      </c>
      <c r="F14" s="405" t="s">
        <v>2562</v>
      </c>
      <c r="G14" s="401">
        <f>20-IF(Gestion!W99&gt;0,0.5,0)</f>
        <v>20</v>
      </c>
      <c r="H14" s="399" t="s">
        <v>2482</v>
      </c>
      <c r="I14" s="399" t="s">
        <v>2480</v>
      </c>
      <c r="J14" s="399"/>
      <c r="K14" s="419" t="str">
        <f t="shared" si="0"/>
        <v xml:space="preserve">Expérimentale Spéciale </v>
      </c>
      <c r="L14" s="391">
        <v>500</v>
      </c>
      <c r="M14" s="406">
        <v>5000</v>
      </c>
      <c r="N14" s="406" t="s">
        <v>2608</v>
      </c>
      <c r="O14" s="447">
        <v>12</v>
      </c>
      <c r="P14" s="448" t="s">
        <v>2497</v>
      </c>
    </row>
    <row r="15" spans="1:16">
      <c r="A15" s="403" t="s">
        <v>4845</v>
      </c>
      <c r="B15" s="399" t="s">
        <v>2487</v>
      </c>
      <c r="C15" s="399"/>
      <c r="D15" s="404" t="s">
        <v>2465</v>
      </c>
      <c r="E15" s="399">
        <f>20+IF(Gestion!W129&gt;0,1,0)</f>
        <v>20</v>
      </c>
      <c r="F15" s="405" t="s">
        <v>4844</v>
      </c>
      <c r="G15" s="401">
        <f>12-IF(Gestion!W99&gt;0,0.5,0)</f>
        <v>12</v>
      </c>
      <c r="H15" s="399" t="s">
        <v>2473</v>
      </c>
      <c r="I15" s="399" t="s">
        <v>2483</v>
      </c>
      <c r="J15" s="399"/>
      <c r="K15" s="419" t="str">
        <f t="shared" si="0"/>
        <v xml:space="preserve">Percutante Peu Fiable </v>
      </c>
      <c r="L15" s="391">
        <v>1500</v>
      </c>
      <c r="M15" s="406">
        <v>5000</v>
      </c>
      <c r="N15" s="406" t="s">
        <v>2608</v>
      </c>
      <c r="O15" s="447">
        <v>13</v>
      </c>
      <c r="P15" s="448" t="s">
        <v>2464</v>
      </c>
    </row>
    <row r="16" spans="1:16">
      <c r="A16" s="388" t="s">
        <v>2548</v>
      </c>
      <c r="B16" s="385" t="s">
        <v>2487</v>
      </c>
      <c r="C16" s="385"/>
      <c r="D16" s="385" t="s">
        <v>2465</v>
      </c>
      <c r="E16" s="385">
        <f>3+IF(Gestion!W129&gt;0,1,0)</f>
        <v>3</v>
      </c>
      <c r="F16" s="389" t="s">
        <v>2549</v>
      </c>
      <c r="G16" s="390">
        <f>2-IF(Gestion!W82&gt;0,0.5,0)-IF(Gestion!W99&gt;0,0.5,0)</f>
        <v>2</v>
      </c>
      <c r="H16" s="385"/>
      <c r="I16" s="385"/>
      <c r="J16" s="397"/>
      <c r="K16" s="419" t="str">
        <f t="shared" si="0"/>
        <v xml:space="preserve">  </v>
      </c>
      <c r="L16" s="391">
        <v>800</v>
      </c>
      <c r="M16" s="392">
        <v>60</v>
      </c>
      <c r="N16" s="392" t="s">
        <v>8801</v>
      </c>
      <c r="O16" s="447">
        <v>14</v>
      </c>
      <c r="P16" s="448" t="s">
        <v>210</v>
      </c>
    </row>
    <row r="17" spans="1:16">
      <c r="A17" s="388" t="s">
        <v>2843</v>
      </c>
      <c r="B17" s="385" t="s">
        <v>2487</v>
      </c>
      <c r="C17" s="385"/>
      <c r="D17" s="385" t="s">
        <v>2465</v>
      </c>
      <c r="E17" s="385">
        <f>5+IF(Gestion!W129&gt;0,1,0)</f>
        <v>5</v>
      </c>
      <c r="F17" s="389" t="s">
        <v>2551</v>
      </c>
      <c r="G17" s="390">
        <f>2-IF(Gestion!W82&gt;0,0.5,0)-IF(Gestion!W99&gt;0,0.5,0)</f>
        <v>2</v>
      </c>
      <c r="H17" s="385" t="s">
        <v>2483</v>
      </c>
      <c r="I17" s="385" t="s">
        <v>2477</v>
      </c>
      <c r="J17" s="385"/>
      <c r="K17" s="419" t="str">
        <f t="shared" si="0"/>
        <v xml:space="preserve">Peu Fiable Perforante </v>
      </c>
      <c r="L17" s="391">
        <v>240</v>
      </c>
      <c r="M17" s="392">
        <v>60</v>
      </c>
      <c r="N17" s="392" t="s">
        <v>2607</v>
      </c>
      <c r="O17" s="447">
        <v>15</v>
      </c>
      <c r="P17" s="448" t="s">
        <v>2494</v>
      </c>
    </row>
    <row r="18" spans="1:16">
      <c r="A18" s="422" t="s">
        <v>14551</v>
      </c>
      <c r="B18" s="385" t="s">
        <v>2487</v>
      </c>
      <c r="C18" s="419"/>
      <c r="D18" s="385" t="s">
        <v>2465</v>
      </c>
      <c r="E18" s="419">
        <f>4+IF(Gestion!W129&gt;0,1,0)</f>
        <v>4</v>
      </c>
      <c r="F18" s="389" t="s">
        <v>2551</v>
      </c>
      <c r="G18" s="390">
        <f>2-IF(Gestion!W82&gt;0,0.5,0)-IF(Gestion!W99&gt;0,0.5,0)</f>
        <v>2</v>
      </c>
      <c r="H18" s="419" t="s">
        <v>2477</v>
      </c>
      <c r="I18" s="419"/>
      <c r="J18" s="419"/>
      <c r="K18" s="419" t="str">
        <f t="shared" si="0"/>
        <v xml:space="preserve">Perforante  </v>
      </c>
      <c r="L18" s="420">
        <v>1</v>
      </c>
      <c r="M18" s="421">
        <v>20</v>
      </c>
      <c r="N18" s="439" t="s">
        <v>2607</v>
      </c>
      <c r="O18" s="447"/>
      <c r="P18" s="450" t="s">
        <v>12767</v>
      </c>
    </row>
    <row r="19" spans="1:16">
      <c r="A19" s="388" t="s">
        <v>2555</v>
      </c>
      <c r="B19" s="385" t="s">
        <v>2487</v>
      </c>
      <c r="C19" s="385"/>
      <c r="D19" s="385" t="s">
        <v>2465</v>
      </c>
      <c r="E19" s="385">
        <f>4+IF(Gestion!W129&gt;0,1,0)</f>
        <v>4</v>
      </c>
      <c r="F19" s="389" t="s">
        <v>2534</v>
      </c>
      <c r="G19" s="390">
        <f>2-IF(Gestion!W82&gt;0,0.5,0)-IF(Gestion!W99&gt;0,0.5,0)</f>
        <v>2</v>
      </c>
      <c r="H19" s="385" t="s">
        <v>2473</v>
      </c>
      <c r="I19" s="385" t="s">
        <v>2483</v>
      </c>
      <c r="J19" s="385"/>
      <c r="K19" s="419" t="str">
        <f t="shared" si="0"/>
        <v xml:space="preserve">Percutante Peu Fiable </v>
      </c>
      <c r="L19" s="391">
        <v>200</v>
      </c>
      <c r="M19" s="392">
        <v>25</v>
      </c>
      <c r="N19" s="392" t="s">
        <v>2608</v>
      </c>
      <c r="O19" s="447">
        <v>16</v>
      </c>
    </row>
    <row r="20" spans="1:16">
      <c r="A20" s="396" t="s">
        <v>16581</v>
      </c>
      <c r="B20" s="385" t="s">
        <v>2487</v>
      </c>
      <c r="C20" s="419"/>
      <c r="D20" s="385" t="s">
        <v>2465</v>
      </c>
      <c r="E20" s="419">
        <f>4+IF(Gestion!W129&gt;0,1,0)</f>
        <v>4</v>
      </c>
      <c r="F20" s="389" t="s">
        <v>2534</v>
      </c>
      <c r="G20" s="661">
        <f>2-IF(Gestion!W82&gt;0,0.5,0)-IF(Gestion!W99&gt;0,0.5,0)</f>
        <v>2</v>
      </c>
      <c r="H20" s="419" t="s">
        <v>2473</v>
      </c>
      <c r="I20" s="419" t="s">
        <v>2478</v>
      </c>
      <c r="J20" s="419"/>
      <c r="K20" s="419" t="str">
        <f t="shared" si="0"/>
        <v xml:space="preserve">Percutante Précise </v>
      </c>
      <c r="L20" s="420">
        <v>400</v>
      </c>
      <c r="M20" s="392">
        <v>25</v>
      </c>
      <c r="N20" s="392" t="s">
        <v>2608</v>
      </c>
      <c r="O20" s="447"/>
    </row>
    <row r="21" spans="1:16">
      <c r="A21" s="388" t="s">
        <v>2847</v>
      </c>
      <c r="B21" s="385" t="s">
        <v>2487</v>
      </c>
      <c r="C21" s="385"/>
      <c r="D21" s="385" t="s">
        <v>2465</v>
      </c>
      <c r="E21" s="385">
        <f>5+IF(Gestion!W129&gt;0,1,0)</f>
        <v>5</v>
      </c>
      <c r="F21" s="389" t="s">
        <v>2848</v>
      </c>
      <c r="G21" s="390">
        <f>2-IF(Gestion!W82&gt;0,0.5,0)-IF(Gestion!W99&gt;0,0.5,0)</f>
        <v>2</v>
      </c>
      <c r="H21" s="385" t="s">
        <v>2483</v>
      </c>
      <c r="I21" s="385" t="s">
        <v>2477</v>
      </c>
      <c r="J21" s="385"/>
      <c r="K21" s="419" t="str">
        <f t="shared" si="0"/>
        <v xml:space="preserve">Peu Fiable Perforante </v>
      </c>
      <c r="L21" s="391">
        <v>200</v>
      </c>
      <c r="M21" s="392">
        <v>25</v>
      </c>
      <c r="N21" s="392" t="s">
        <v>2607</v>
      </c>
    </row>
    <row r="22" spans="1:16">
      <c r="A22" s="388" t="s">
        <v>2556</v>
      </c>
      <c r="B22" s="385" t="s">
        <v>2487</v>
      </c>
      <c r="C22" s="385"/>
      <c r="D22" s="385" t="s">
        <v>2465</v>
      </c>
      <c r="E22" s="385">
        <f>3+IF(Gestion!W129&gt;0,1,0)</f>
        <v>3</v>
      </c>
      <c r="F22" s="389" t="s">
        <v>2553</v>
      </c>
      <c r="G22" s="390">
        <f>3-IF(Gestion!W82&gt;0,0.5,0)-IF(Gestion!W99&gt;0,0.5,0)</f>
        <v>3</v>
      </c>
      <c r="H22" s="385" t="s">
        <v>2481</v>
      </c>
      <c r="I22" s="385" t="s">
        <v>2483</v>
      </c>
      <c r="J22" s="385"/>
      <c r="K22" s="419" t="str">
        <f t="shared" si="0"/>
        <v xml:space="preserve">A mitraille Peu Fiable </v>
      </c>
      <c r="L22" s="391">
        <v>70</v>
      </c>
      <c r="M22" s="392">
        <v>50</v>
      </c>
      <c r="N22" s="392" t="s">
        <v>2608</v>
      </c>
    </row>
    <row r="23" spans="1:16">
      <c r="A23" s="396" t="s">
        <v>2493</v>
      </c>
      <c r="B23" s="397" t="s">
        <v>2493</v>
      </c>
      <c r="C23" s="385"/>
      <c r="D23" s="397" t="s">
        <v>2465</v>
      </c>
      <c r="E23" s="385">
        <f>4+IF(Gestion!W128&gt;0,1,0)</f>
        <v>4</v>
      </c>
      <c r="F23" s="407" t="s">
        <v>2520</v>
      </c>
      <c r="G23" s="390">
        <f>1-IF(Gestion!W99&gt;0,0.5,0)</f>
        <v>1</v>
      </c>
      <c r="H23" s="385"/>
      <c r="I23" s="385"/>
      <c r="J23" s="397"/>
      <c r="K23" s="419" t="str">
        <f t="shared" si="0"/>
        <v xml:space="preserve">  </v>
      </c>
      <c r="L23" s="391">
        <v>25</v>
      </c>
      <c r="M23" s="392">
        <v>120</v>
      </c>
      <c r="N23" s="392" t="s">
        <v>2572</v>
      </c>
      <c r="O23" s="451"/>
      <c r="P23" s="448"/>
    </row>
    <row r="24" spans="1:16">
      <c r="A24" s="396" t="s">
        <v>7654</v>
      </c>
      <c r="B24" s="397" t="s">
        <v>2493</v>
      </c>
      <c r="C24" s="385"/>
      <c r="D24" s="397" t="s">
        <v>2465</v>
      </c>
      <c r="E24" s="385">
        <v>4</v>
      </c>
      <c r="F24" s="407" t="s">
        <v>2529</v>
      </c>
      <c r="G24" s="390">
        <f>2-IF(Gestion!W100&gt;0,0.5,0)</f>
        <v>2</v>
      </c>
      <c r="H24" s="385" t="s">
        <v>2473</v>
      </c>
      <c r="I24" s="385" t="s">
        <v>2477</v>
      </c>
      <c r="J24" s="385"/>
      <c r="K24" s="419" t="str">
        <f t="shared" si="0"/>
        <v xml:space="preserve">Percutante Perforante </v>
      </c>
      <c r="L24" s="391">
        <v>40</v>
      </c>
      <c r="M24" s="392">
        <v>80</v>
      </c>
      <c r="N24" s="406" t="s">
        <v>2578</v>
      </c>
      <c r="O24" s="447"/>
      <c r="P24" s="447"/>
    </row>
    <row r="25" spans="1:16">
      <c r="A25" s="388" t="s">
        <v>2521</v>
      </c>
      <c r="B25" s="385" t="s">
        <v>2493</v>
      </c>
      <c r="C25" s="385"/>
      <c r="D25" s="385" t="s">
        <v>2465</v>
      </c>
      <c r="E25" s="385">
        <f>2+IF(Gestion!W129&gt;0,1,0)</f>
        <v>2</v>
      </c>
      <c r="F25" s="389" t="s">
        <v>2522</v>
      </c>
      <c r="G25" s="390">
        <v>0</v>
      </c>
      <c r="H25" s="385" t="s">
        <v>2480</v>
      </c>
      <c r="I25" s="385"/>
      <c r="J25" s="385"/>
      <c r="K25" s="419" t="str">
        <f t="shared" si="0"/>
        <v xml:space="preserve">Spéciale  </v>
      </c>
      <c r="L25" s="391">
        <v>100</v>
      </c>
      <c r="M25" s="392">
        <v>150</v>
      </c>
      <c r="N25" s="392" t="s">
        <v>2608</v>
      </c>
      <c r="O25" s="447"/>
      <c r="P25" s="447"/>
    </row>
    <row r="26" spans="1:16">
      <c r="A26" s="388" t="s">
        <v>2523</v>
      </c>
      <c r="B26" s="397" t="s">
        <v>2493</v>
      </c>
      <c r="C26" s="385"/>
      <c r="D26" s="385" t="s">
        <v>2465</v>
      </c>
      <c r="E26" s="385">
        <f>2+IF(Gestion!W129&gt;0,1,0)</f>
        <v>2</v>
      </c>
      <c r="F26" s="389" t="s">
        <v>2534</v>
      </c>
      <c r="G26" s="390">
        <f>1-IF(Gestion!W99&gt;0,0.5,0)</f>
        <v>1</v>
      </c>
      <c r="H26" s="385"/>
      <c r="I26" s="385"/>
      <c r="J26" s="385"/>
      <c r="K26" s="419" t="str">
        <f t="shared" si="0"/>
        <v xml:space="preserve">  </v>
      </c>
      <c r="L26" s="391">
        <v>35</v>
      </c>
      <c r="M26" s="392">
        <v>25</v>
      </c>
      <c r="N26" s="392" t="s">
        <v>2607</v>
      </c>
      <c r="O26" s="447"/>
      <c r="P26" s="447"/>
    </row>
    <row r="27" spans="1:16">
      <c r="A27" s="388" t="s">
        <v>2527</v>
      </c>
      <c r="B27" s="385" t="s">
        <v>2492</v>
      </c>
      <c r="C27" s="385"/>
      <c r="D27" s="385" t="s">
        <v>2465</v>
      </c>
      <c r="E27" s="385">
        <f>3+IF(Gestion!W129&gt;0,1,0)</f>
        <v>3</v>
      </c>
      <c r="F27" s="389" t="s">
        <v>2529</v>
      </c>
      <c r="G27" s="390">
        <f>0.5-IF(Gestion!$W$99&gt;0,0.5,0)</f>
        <v>0.5</v>
      </c>
      <c r="H27" s="385" t="s">
        <v>2477</v>
      </c>
      <c r="I27" s="385"/>
      <c r="J27" s="385"/>
      <c r="K27" s="419" t="str">
        <f t="shared" si="0"/>
        <v xml:space="preserve">Perforante  </v>
      </c>
      <c r="L27" s="391">
        <v>70</v>
      </c>
      <c r="M27" s="392">
        <v>75</v>
      </c>
      <c r="N27" s="392" t="s">
        <v>2608</v>
      </c>
      <c r="O27" s="447"/>
      <c r="P27" s="447"/>
    </row>
    <row r="28" spans="1:16">
      <c r="A28" s="388" t="s">
        <v>2528</v>
      </c>
      <c r="B28" s="385" t="s">
        <v>2492</v>
      </c>
      <c r="C28" s="385"/>
      <c r="D28" s="385" t="s">
        <v>2465</v>
      </c>
      <c r="E28" s="385">
        <f>3+IF(Gestion!W129&gt;0,1,0)</f>
        <v>3</v>
      </c>
      <c r="F28" s="389" t="s">
        <v>2520</v>
      </c>
      <c r="G28" s="390">
        <f>0.5-IF(Gestion!$W$99&gt;0,0.5,0)</f>
        <v>0.5</v>
      </c>
      <c r="H28" s="385" t="s">
        <v>2477</v>
      </c>
      <c r="I28" s="385"/>
      <c r="J28" s="385"/>
      <c r="K28" s="419" t="str">
        <f t="shared" si="0"/>
        <v xml:space="preserve">Perforante  </v>
      </c>
      <c r="L28" s="391">
        <v>15</v>
      </c>
      <c r="M28" s="392">
        <v>90</v>
      </c>
      <c r="N28" s="392" t="s">
        <v>2572</v>
      </c>
      <c r="O28" s="447"/>
      <c r="P28" s="447"/>
    </row>
    <row r="29" spans="1:16">
      <c r="A29" s="388" t="s">
        <v>2509</v>
      </c>
      <c r="B29" s="385" t="s">
        <v>2489</v>
      </c>
      <c r="C29" s="385" t="s">
        <v>2465</v>
      </c>
      <c r="D29" s="385"/>
      <c r="E29" s="395">
        <f>IF('page 1'!$H$30&gt;0,'page 1'!$H$30,0)+IF(Gestion!W36&gt;0,1,0)</f>
        <v>0</v>
      </c>
      <c r="F29" s="389" t="s">
        <v>734</v>
      </c>
      <c r="G29" s="390">
        <v>0</v>
      </c>
      <c r="H29" s="397" t="s">
        <v>16682</v>
      </c>
      <c r="I29" s="385" t="s">
        <v>2473</v>
      </c>
      <c r="J29" s="385" t="s">
        <v>2479</v>
      </c>
      <c r="K29" s="419" t="str">
        <f t="shared" si="0"/>
        <v>Épuisante Percutante Rapide</v>
      </c>
      <c r="L29" s="391">
        <v>20</v>
      </c>
      <c r="M29" s="392">
        <v>75</v>
      </c>
      <c r="N29" s="392" t="s">
        <v>2574</v>
      </c>
      <c r="O29" s="447"/>
      <c r="P29" s="447"/>
    </row>
    <row r="30" spans="1:16">
      <c r="A30" s="388" t="s">
        <v>2514</v>
      </c>
      <c r="B30" s="385" t="s">
        <v>2489</v>
      </c>
      <c r="C30" s="385" t="s">
        <v>2465</v>
      </c>
      <c r="D30" s="385"/>
      <c r="E30" s="395">
        <f>IF('page 1'!$H$30&gt;0,'page 1'!$H$30+1,0)+IF(Gestion!W36&gt;0,1,0)</f>
        <v>0</v>
      </c>
      <c r="F30" s="389" t="s">
        <v>734</v>
      </c>
      <c r="G30" s="390">
        <v>0</v>
      </c>
      <c r="H30" s="397" t="s">
        <v>16682</v>
      </c>
      <c r="I30" s="385" t="s">
        <v>2473</v>
      </c>
      <c r="J30" s="385" t="s">
        <v>2479</v>
      </c>
      <c r="K30" s="419" t="str">
        <f t="shared" si="0"/>
        <v>Épuisante Percutante Rapide</v>
      </c>
      <c r="L30" s="391">
        <v>40</v>
      </c>
      <c r="M30" s="392">
        <v>100</v>
      </c>
      <c r="N30" s="392" t="s">
        <v>2607</v>
      </c>
      <c r="O30" s="447"/>
      <c r="P30" s="447"/>
    </row>
    <row r="31" spans="1:16">
      <c r="A31" s="388" t="str">
        <f>IF(Pays="Nippon","Shuriken","Dague/étoile de jet")</f>
        <v>Dague/étoile de jet</v>
      </c>
      <c r="B31" s="385" t="s">
        <v>2496</v>
      </c>
      <c r="C31" s="385"/>
      <c r="D31" s="385" t="s">
        <v>2465</v>
      </c>
      <c r="E31" s="385">
        <f>IF('page 1'!$H$30&gt;3,'page 1'!$H$30-3,0)+IF(Gestion!W129&gt;0,1,0)</f>
        <v>0</v>
      </c>
      <c r="F31" s="389" t="s">
        <v>2535</v>
      </c>
      <c r="G31" s="390">
        <f>0.5-IF(Gestion!W99&gt;0,0.5,0)</f>
        <v>0.5</v>
      </c>
      <c r="H31" s="385"/>
      <c r="I31" s="385"/>
      <c r="J31" s="385"/>
      <c r="K31" s="419" t="str">
        <f t="shared" si="0"/>
        <v xml:space="preserve">  </v>
      </c>
      <c r="L31" s="391">
        <v>3</v>
      </c>
      <c r="M31" s="392">
        <v>10</v>
      </c>
      <c r="N31" s="392" t="s">
        <v>2574</v>
      </c>
      <c r="O31" s="447"/>
      <c r="P31" s="447"/>
    </row>
    <row r="32" spans="1:16">
      <c r="A32" s="422" t="s">
        <v>14970</v>
      </c>
      <c r="B32" s="423" t="s">
        <v>2496</v>
      </c>
      <c r="C32" s="419"/>
      <c r="D32" s="423" t="s">
        <v>2465</v>
      </c>
      <c r="E32" s="419">
        <f>IF('page 1'!$H$30&gt;0,'page 1'!$H$30-3,0)+IF(Gestion!W129&gt;0,1,0)</f>
        <v>0</v>
      </c>
      <c r="F32" s="662" t="s">
        <v>2546</v>
      </c>
      <c r="G32" s="390">
        <f>0.5-IF(Gestion!W100&gt;0,0.5,0)</f>
        <v>0.5</v>
      </c>
      <c r="H32" s="419"/>
      <c r="I32" s="419"/>
      <c r="J32" s="419"/>
      <c r="K32" s="419"/>
      <c r="L32" s="420">
        <v>0</v>
      </c>
      <c r="M32" s="421">
        <v>1</v>
      </c>
      <c r="N32" s="439" t="s">
        <v>141</v>
      </c>
      <c r="O32" s="447"/>
      <c r="P32" s="447"/>
    </row>
    <row r="33" spans="1:16">
      <c r="A33" s="388" t="s">
        <v>2840</v>
      </c>
      <c r="B33" s="385" t="s">
        <v>2496</v>
      </c>
      <c r="C33" s="385"/>
      <c r="D33" s="385" t="s">
        <v>2465</v>
      </c>
      <c r="E33" s="385">
        <v>0</v>
      </c>
      <c r="F33" s="389" t="s">
        <v>2546</v>
      </c>
      <c r="G33" s="390">
        <f>1-IF(Gestion!W99&gt;0,0.5,0)</f>
        <v>1</v>
      </c>
      <c r="H33" s="385" t="s">
        <v>2480</v>
      </c>
      <c r="I33" s="385"/>
      <c r="J33" s="385"/>
      <c r="K33" s="419" t="str">
        <f t="shared" si="0"/>
        <v xml:space="preserve">Spéciale  </v>
      </c>
      <c r="L33" s="391">
        <v>60</v>
      </c>
      <c r="M33" s="392">
        <v>5</v>
      </c>
      <c r="N33" s="392" t="s">
        <v>2578</v>
      </c>
      <c r="O33" s="447"/>
      <c r="P33" s="447"/>
    </row>
    <row r="34" spans="1:16">
      <c r="A34" s="388" t="s">
        <v>2841</v>
      </c>
      <c r="B34" s="385" t="s">
        <v>2496</v>
      </c>
      <c r="C34" s="385"/>
      <c r="D34" s="385" t="s">
        <v>2465</v>
      </c>
      <c r="E34" s="385" t="s">
        <v>2842</v>
      </c>
      <c r="F34" s="389" t="s">
        <v>2546</v>
      </c>
      <c r="G34" s="390">
        <f>1-IF(Gestion!W99&gt;0,0.5,0)</f>
        <v>1</v>
      </c>
      <c r="H34" s="385" t="s">
        <v>2480</v>
      </c>
      <c r="I34" s="385"/>
      <c r="J34" s="385"/>
      <c r="K34" s="419" t="str">
        <f t="shared" si="0"/>
        <v xml:space="preserve">Spéciale  </v>
      </c>
      <c r="L34" s="391">
        <v>120</v>
      </c>
      <c r="M34" s="392">
        <v>5</v>
      </c>
      <c r="N34" s="392" t="s">
        <v>2578</v>
      </c>
      <c r="O34" s="447"/>
      <c r="P34" s="447"/>
    </row>
    <row r="35" spans="1:16">
      <c r="A35" s="388" t="s">
        <v>2540</v>
      </c>
      <c r="B35" s="385" t="s">
        <v>2496</v>
      </c>
      <c r="C35" s="385"/>
      <c r="D35" s="385" t="s">
        <v>2465</v>
      </c>
      <c r="E35" s="385">
        <f>IF('page 1'!$H$30&gt;0,'page 1'!$H$30-2,0)+IF(Gestion!W129&gt;0,1,0)</f>
        <v>0</v>
      </c>
      <c r="F35" s="389" t="s">
        <v>2541</v>
      </c>
      <c r="G35" s="390">
        <f>0.5-IF(Gestion!W99&gt;0,0.5,0)</f>
        <v>0.5</v>
      </c>
      <c r="H35" s="385"/>
      <c r="I35" s="385"/>
      <c r="J35" s="385"/>
      <c r="K35" s="419" t="str">
        <f t="shared" si="0"/>
        <v xml:space="preserve">  </v>
      </c>
      <c r="L35" s="391">
        <v>5</v>
      </c>
      <c r="M35" s="392">
        <v>40</v>
      </c>
      <c r="N35" s="392" t="s">
        <v>2572</v>
      </c>
      <c r="O35" s="447"/>
      <c r="P35" s="447"/>
    </row>
    <row r="36" spans="1:16">
      <c r="A36" s="403" t="s">
        <v>17479</v>
      </c>
      <c r="B36" s="399" t="s">
        <v>2491</v>
      </c>
      <c r="C36" s="399" t="s">
        <v>2465</v>
      </c>
      <c r="D36" s="399"/>
      <c r="E36" s="399">
        <f>IF('page 1'!$H$30&gt;4,'page 1'!$H$30+1,-1)+IF(Gestion!W37&gt;0,1,0)</f>
        <v>-1</v>
      </c>
      <c r="F36" s="400" t="s">
        <v>734</v>
      </c>
      <c r="G36" s="408">
        <v>0</v>
      </c>
      <c r="H36" s="399" t="s">
        <v>2478</v>
      </c>
      <c r="I36" s="399"/>
      <c r="J36" s="399"/>
      <c r="K36" s="419" t="str">
        <f t="shared" si="0"/>
        <v xml:space="preserve">Précise  </v>
      </c>
      <c r="L36" s="391">
        <v>24</v>
      </c>
      <c r="M36" s="392">
        <v>30</v>
      </c>
      <c r="N36" s="392" t="s">
        <v>2578</v>
      </c>
      <c r="O36" s="447"/>
      <c r="P36" s="447"/>
    </row>
    <row r="37" spans="1:16">
      <c r="A37" s="388" t="s">
        <v>2511</v>
      </c>
      <c r="B37" s="385" t="s">
        <v>2491</v>
      </c>
      <c r="C37" s="385" t="s">
        <v>2465</v>
      </c>
      <c r="D37" s="385"/>
      <c r="E37" s="395">
        <f>IF('page 1'!$H$30&gt;2,'page 1'!$H$30-2,0)+IF(Gestion!W36&gt;0,1,0)</f>
        <v>0</v>
      </c>
      <c r="F37" s="389" t="s">
        <v>734</v>
      </c>
      <c r="G37" s="390">
        <v>0</v>
      </c>
      <c r="H37" s="385" t="s">
        <v>2478</v>
      </c>
      <c r="I37" s="385" t="s">
        <v>2479</v>
      </c>
      <c r="J37" s="385"/>
      <c r="K37" s="419" t="str">
        <f t="shared" si="0"/>
        <v xml:space="preserve">Précise Rapide </v>
      </c>
      <c r="L37" s="391">
        <v>18</v>
      </c>
      <c r="M37" s="392">
        <v>40</v>
      </c>
      <c r="N37" s="392" t="s">
        <v>2607</v>
      </c>
      <c r="O37" s="447"/>
      <c r="P37" s="447"/>
    </row>
    <row r="38" spans="1:16">
      <c r="A38" s="422" t="s">
        <v>9797</v>
      </c>
      <c r="B38" s="385" t="s">
        <v>2491</v>
      </c>
      <c r="C38" s="423" t="s">
        <v>2465</v>
      </c>
      <c r="D38" s="419"/>
      <c r="E38" s="395">
        <f>IF('page 1'!$H$30&gt;2,'page 1'!$H$30-2,0)+IF(Gestion!W37&gt;0,1,0)</f>
        <v>0</v>
      </c>
      <c r="F38" s="389" t="s">
        <v>734</v>
      </c>
      <c r="G38" s="390">
        <v>0</v>
      </c>
      <c r="H38" s="419" t="s">
        <v>2477</v>
      </c>
      <c r="I38" s="419"/>
      <c r="J38" s="419"/>
      <c r="K38" s="419" t="str">
        <f t="shared" si="0"/>
        <v xml:space="preserve">Perforante  </v>
      </c>
      <c r="L38" s="420">
        <v>60</v>
      </c>
      <c r="M38" s="421">
        <v>45</v>
      </c>
      <c r="N38" s="439" t="s">
        <v>2607</v>
      </c>
      <c r="O38" s="447"/>
      <c r="P38" s="447"/>
    </row>
    <row r="39" spans="1:16">
      <c r="A39" s="388" t="s">
        <v>2518</v>
      </c>
      <c r="B39" s="385" t="s">
        <v>2491</v>
      </c>
      <c r="C39" s="385" t="s">
        <v>2465</v>
      </c>
      <c r="D39" s="385"/>
      <c r="E39" s="395">
        <f>IF('page 1'!$H$30&gt;1,'page 1'!$H$30-1,0)+IF(Gestion!W36&gt;0,1,0)</f>
        <v>0</v>
      </c>
      <c r="F39" s="389" t="s">
        <v>734</v>
      </c>
      <c r="G39" s="390">
        <v>0</v>
      </c>
      <c r="H39" s="385" t="s">
        <v>2479</v>
      </c>
      <c r="I39" s="385"/>
      <c r="J39" s="385"/>
      <c r="K39" s="419" t="str">
        <f t="shared" si="0"/>
        <v xml:space="preserve">Rapide  </v>
      </c>
      <c r="L39" s="391">
        <v>18</v>
      </c>
      <c r="M39" s="392">
        <v>40</v>
      </c>
      <c r="N39" s="392" t="s">
        <v>2578</v>
      </c>
      <c r="O39" s="447"/>
      <c r="P39" s="447"/>
    </row>
    <row r="40" spans="1:16">
      <c r="A40" s="396" t="s">
        <v>7651</v>
      </c>
      <c r="B40" s="385" t="s">
        <v>2491</v>
      </c>
      <c r="C40" s="397" t="s">
        <v>2465</v>
      </c>
      <c r="D40" s="385"/>
      <c r="E40" s="395">
        <f>IF('page 1'!$H$30&gt;4,'page 1'!$H$30-4,0)+IF(Gestion!W37&gt;0,1,0)</f>
        <v>0</v>
      </c>
      <c r="F40" s="407" t="s">
        <v>734</v>
      </c>
      <c r="G40" s="390">
        <v>0</v>
      </c>
      <c r="H40" s="385" t="s">
        <v>2478</v>
      </c>
      <c r="I40" s="385" t="s">
        <v>2479</v>
      </c>
      <c r="J40" s="385"/>
      <c r="K40" s="419" t="str">
        <f t="shared" si="0"/>
        <v xml:space="preserve">Précise Rapide </v>
      </c>
      <c r="L40" s="391">
        <v>24</v>
      </c>
      <c r="M40" s="392">
        <v>30</v>
      </c>
      <c r="N40" s="392" t="s">
        <v>2607</v>
      </c>
      <c r="O40" s="447"/>
      <c r="P40" s="447"/>
    </row>
    <row r="41" spans="1:16">
      <c r="A41" s="422" t="s">
        <v>12887</v>
      </c>
      <c r="B41" s="399" t="s">
        <v>2499</v>
      </c>
      <c r="C41" s="397" t="s">
        <v>2465</v>
      </c>
      <c r="D41" s="385"/>
      <c r="E41" s="399">
        <f>IF('page 1'!$H$30&gt;4,'page 1'!$H$30+1,0)+IF(Gestion!W35&gt;0,1,0)</f>
        <v>0</v>
      </c>
      <c r="F41" s="407" t="s">
        <v>734</v>
      </c>
      <c r="G41" s="390">
        <v>0</v>
      </c>
      <c r="H41" s="419"/>
      <c r="I41" s="419"/>
      <c r="J41" s="419"/>
      <c r="K41" s="419" t="str">
        <f t="shared" si="0"/>
        <v xml:space="preserve">  </v>
      </c>
      <c r="L41" s="420">
        <v>10</v>
      </c>
      <c r="M41" s="421">
        <v>150</v>
      </c>
      <c r="N41" s="439" t="s">
        <v>2607</v>
      </c>
      <c r="O41" s="447"/>
      <c r="P41" s="447"/>
    </row>
    <row r="42" spans="1:16">
      <c r="A42" s="403" t="s">
        <v>17480</v>
      </c>
      <c r="B42" s="399" t="s">
        <v>2499</v>
      </c>
      <c r="C42" s="399" t="s">
        <v>2465</v>
      </c>
      <c r="D42" s="399"/>
      <c r="E42" s="399">
        <f>IF('page 1'!$H$30&gt;4,'page 1'!$H$30+1,0)+IF(Gestion!W36&gt;0,1,0)</f>
        <v>0</v>
      </c>
      <c r="F42" s="400" t="s">
        <v>734</v>
      </c>
      <c r="G42" s="408">
        <v>0</v>
      </c>
      <c r="H42" s="399" t="s">
        <v>2477</v>
      </c>
      <c r="I42" s="399" t="s">
        <v>2478</v>
      </c>
      <c r="J42" s="399" t="s">
        <v>2479</v>
      </c>
      <c r="K42" s="419" t="str">
        <f t="shared" si="0"/>
        <v>Perforante Précise Rapide</v>
      </c>
      <c r="L42" s="391">
        <v>500</v>
      </c>
      <c r="M42" s="392">
        <v>50</v>
      </c>
      <c r="N42" s="392" t="s">
        <v>2608</v>
      </c>
      <c r="O42" s="447"/>
      <c r="P42" s="447"/>
    </row>
    <row r="43" spans="1:16">
      <c r="A43" s="422" t="s">
        <v>12883</v>
      </c>
      <c r="B43" s="399" t="s">
        <v>2499</v>
      </c>
      <c r="C43" s="394" t="s">
        <v>2465</v>
      </c>
      <c r="D43" s="419"/>
      <c r="E43" s="395">
        <f>IF('page 1'!$H$30&gt;0,'page 1'!$H$30-3,0)+IF(Gestion!W36&gt;0,1,0)</f>
        <v>0</v>
      </c>
      <c r="F43" s="393" t="s">
        <v>734</v>
      </c>
      <c r="G43" s="390">
        <v>0</v>
      </c>
      <c r="H43" s="419" t="s">
        <v>2466</v>
      </c>
      <c r="I43" s="423" t="s">
        <v>16689</v>
      </c>
      <c r="J43" s="419"/>
      <c r="K43" s="419" t="str">
        <f t="shared" si="0"/>
        <v xml:space="preserve">Défensive Équilibrée </v>
      </c>
      <c r="L43" s="420">
        <v>400</v>
      </c>
      <c r="M43" s="421">
        <v>10</v>
      </c>
      <c r="N43" s="439" t="s">
        <v>2608</v>
      </c>
      <c r="O43" s="447"/>
      <c r="P43" s="447"/>
    </row>
    <row r="44" spans="1:16">
      <c r="A44" s="388" t="s">
        <v>2504</v>
      </c>
      <c r="B44" s="399" t="s">
        <v>2499</v>
      </c>
      <c r="C44" s="385" t="s">
        <v>2465</v>
      </c>
      <c r="D44" s="385"/>
      <c r="E44" s="395">
        <f>IF('page 1'!$H$30&gt;0,'page 1'!$H$30+1,0)+IF(Gestion!W36&gt;0,1,0)</f>
        <v>0</v>
      </c>
      <c r="F44" s="389" t="s">
        <v>734</v>
      </c>
      <c r="G44" s="390">
        <v>0</v>
      </c>
      <c r="H44" s="385" t="s">
        <v>2480</v>
      </c>
      <c r="I44" s="385"/>
      <c r="J44" s="385"/>
      <c r="K44" s="419" t="str">
        <f t="shared" si="0"/>
        <v xml:space="preserve">Spéciale  </v>
      </c>
      <c r="L44" s="391">
        <v>80</v>
      </c>
      <c r="M44" s="392">
        <v>150</v>
      </c>
      <c r="N44" s="392" t="s">
        <v>2607</v>
      </c>
      <c r="O44" s="447"/>
      <c r="P44" s="447"/>
    </row>
    <row r="45" spans="1:16">
      <c r="A45" s="660" t="s">
        <v>2566</v>
      </c>
      <c r="B45" s="399" t="s">
        <v>2499</v>
      </c>
      <c r="C45" s="385" t="s">
        <v>2465</v>
      </c>
      <c r="D45" s="419"/>
      <c r="E45" s="385">
        <f>IF('page 1'!$H$30&gt;0,'page 1'!$H$30,0)+IF(Gestion!W36&gt;0,1,0)</f>
        <v>0</v>
      </c>
      <c r="F45" s="389" t="s">
        <v>734</v>
      </c>
      <c r="G45" s="390">
        <v>0</v>
      </c>
      <c r="H45" s="419" t="s">
        <v>2475</v>
      </c>
      <c r="I45" s="419"/>
      <c r="J45" s="419"/>
      <c r="K45" s="419" t="str">
        <f t="shared" si="0"/>
        <v xml:space="preserve">Lente  </v>
      </c>
      <c r="L45" s="420">
        <v>100</v>
      </c>
      <c r="M45" s="421">
        <v>50</v>
      </c>
      <c r="N45" s="421" t="s">
        <v>2607</v>
      </c>
      <c r="O45" s="447"/>
      <c r="P45" s="447"/>
    </row>
    <row r="46" spans="1:16">
      <c r="A46" s="396" t="s">
        <v>12881</v>
      </c>
      <c r="B46" s="399" t="s">
        <v>2499</v>
      </c>
      <c r="C46" s="385" t="s">
        <v>2465</v>
      </c>
      <c r="D46" s="385"/>
      <c r="E46" s="385">
        <f>IF('page 1'!$H$30&gt;0,'page 1'!$H$30-3,0)+IF(Gestion!W36&gt;0,1,0)</f>
        <v>0</v>
      </c>
      <c r="F46" s="389" t="s">
        <v>734</v>
      </c>
      <c r="G46" s="390">
        <v>0</v>
      </c>
      <c r="H46" s="385" t="s">
        <v>2478</v>
      </c>
      <c r="I46" s="385"/>
      <c r="J46" s="385"/>
      <c r="K46" s="419" t="str">
        <f t="shared" si="0"/>
        <v xml:space="preserve">Précise  </v>
      </c>
      <c r="L46" s="391">
        <v>100</v>
      </c>
      <c r="M46" s="392">
        <v>20</v>
      </c>
      <c r="N46" s="406" t="s">
        <v>2607</v>
      </c>
      <c r="O46" s="447"/>
      <c r="P46" s="447"/>
    </row>
    <row r="47" spans="1:16">
      <c r="A47" s="422" t="s">
        <v>12892</v>
      </c>
      <c r="B47" s="399" t="s">
        <v>2499</v>
      </c>
      <c r="C47" s="385" t="s">
        <v>2465</v>
      </c>
      <c r="D47" s="385"/>
      <c r="E47" s="385">
        <f>IF('page 1'!$H$30&gt;0,'page 1'!$H$30-1,0)+IF(Gestion!W36&gt;0,1,0)</f>
        <v>0</v>
      </c>
      <c r="F47" s="389" t="s">
        <v>734</v>
      </c>
      <c r="G47" s="390">
        <v>0</v>
      </c>
      <c r="H47" s="397" t="s">
        <v>17481</v>
      </c>
      <c r="I47" s="385"/>
      <c r="J47" s="419"/>
      <c r="K47" s="419" t="str">
        <f t="shared" si="0"/>
        <v xml:space="preserve">Immobilisant  </v>
      </c>
      <c r="L47" s="420">
        <v>300</v>
      </c>
      <c r="M47" s="421">
        <v>55</v>
      </c>
      <c r="N47" s="439" t="s">
        <v>2608</v>
      </c>
      <c r="O47" s="447"/>
      <c r="P47" s="447"/>
    </row>
    <row r="48" spans="1:16">
      <c r="A48" s="388" t="s">
        <v>2839</v>
      </c>
      <c r="B48" s="385" t="s">
        <v>2499</v>
      </c>
      <c r="C48" s="385" t="s">
        <v>2465</v>
      </c>
      <c r="D48" s="385"/>
      <c r="E48" s="385">
        <f>IF('page 1'!$H$30&gt;4,'page 1'!$H$30-2,0)+IF(Gestion!W36&gt;0,1,0)</f>
        <v>0</v>
      </c>
      <c r="F48" s="389" t="s">
        <v>734</v>
      </c>
      <c r="G48" s="390">
        <v>0</v>
      </c>
      <c r="H48" s="385" t="s">
        <v>2479</v>
      </c>
      <c r="I48" s="385" t="s">
        <v>2480</v>
      </c>
      <c r="J48" s="385"/>
      <c r="K48" s="419" t="str">
        <f t="shared" si="0"/>
        <v xml:space="preserve">Rapide Spéciale </v>
      </c>
      <c r="L48" s="391">
        <v>40</v>
      </c>
      <c r="M48" s="392">
        <v>5</v>
      </c>
      <c r="N48" s="392" t="s">
        <v>2574</v>
      </c>
      <c r="O48" s="447"/>
      <c r="P48" s="447"/>
    </row>
    <row r="49" spans="1:16">
      <c r="A49" s="396" t="s">
        <v>4809</v>
      </c>
      <c r="B49" s="385" t="s">
        <v>2499</v>
      </c>
      <c r="C49" s="397" t="s">
        <v>2465</v>
      </c>
      <c r="D49" s="385"/>
      <c r="E49" s="395">
        <f>IF('page 1'!$H$30&gt;0,'page 1'!$H$30+1,0)+IF(Gestion!W48&gt;0,1,0)</f>
        <v>0</v>
      </c>
      <c r="F49" s="389" t="s">
        <v>734</v>
      </c>
      <c r="G49" s="390">
        <v>0</v>
      </c>
      <c r="H49" s="385" t="s">
        <v>2480</v>
      </c>
      <c r="I49" s="385"/>
      <c r="J49" s="385"/>
      <c r="K49" s="419" t="str">
        <f t="shared" si="0"/>
        <v xml:space="preserve">Spéciale  </v>
      </c>
      <c r="L49" s="391">
        <v>3000</v>
      </c>
      <c r="M49" s="392">
        <v>50</v>
      </c>
      <c r="N49" s="392" t="s">
        <v>2608</v>
      </c>
      <c r="O49" s="447"/>
      <c r="P49" s="447"/>
    </row>
    <row r="50" spans="1:16">
      <c r="A50" s="396" t="s">
        <v>9336</v>
      </c>
      <c r="B50" s="385" t="s">
        <v>2499</v>
      </c>
      <c r="C50" s="385" t="s">
        <v>2465</v>
      </c>
      <c r="D50" s="385"/>
      <c r="E50" s="395">
        <f>IF('page 1'!$H$30&gt;0,'page 1'!$H$30+1,0)+IF(Gestion!W36&gt;0,1,0)</f>
        <v>0</v>
      </c>
      <c r="F50" s="389" t="s">
        <v>734</v>
      </c>
      <c r="G50" s="390">
        <v>0</v>
      </c>
      <c r="H50" s="397" t="s">
        <v>16682</v>
      </c>
      <c r="I50" s="385"/>
      <c r="J50" s="385"/>
      <c r="K50" s="419" t="str">
        <f t="shared" si="0"/>
        <v xml:space="preserve">Épuisante  </v>
      </c>
      <c r="L50" s="391">
        <v>50</v>
      </c>
      <c r="M50" s="392">
        <v>300</v>
      </c>
      <c r="N50" s="392" t="s">
        <v>2608</v>
      </c>
      <c r="O50" s="447"/>
      <c r="P50" s="447"/>
    </row>
    <row r="51" spans="1:16">
      <c r="A51" s="388" t="s">
        <v>2503</v>
      </c>
      <c r="B51" s="385" t="s">
        <v>2499</v>
      </c>
      <c r="C51" s="385" t="s">
        <v>2465</v>
      </c>
      <c r="D51" s="385"/>
      <c r="E51" s="395">
        <f>IF('page 1'!$H$30&gt;0,'page 1'!$H$30,0)+IF(Gestion!W36&gt;0,1,0)</f>
        <v>0</v>
      </c>
      <c r="F51" s="389" t="s">
        <v>734</v>
      </c>
      <c r="G51" s="390">
        <v>0</v>
      </c>
      <c r="H51" s="397" t="s">
        <v>16682</v>
      </c>
      <c r="I51" s="385"/>
      <c r="J51" s="385"/>
      <c r="K51" s="419" t="str">
        <f t="shared" si="0"/>
        <v xml:space="preserve">Épuisante  </v>
      </c>
      <c r="L51" s="391">
        <v>40</v>
      </c>
      <c r="M51" s="392">
        <v>300</v>
      </c>
      <c r="N51" s="392" t="s">
        <v>2607</v>
      </c>
      <c r="O51" s="447"/>
      <c r="P51" s="447"/>
    </row>
    <row r="52" spans="1:16">
      <c r="A52" s="388" t="s">
        <v>2568</v>
      </c>
      <c r="B52" s="385" t="s">
        <v>2499</v>
      </c>
      <c r="C52" s="385" t="s">
        <v>2465</v>
      </c>
      <c r="D52" s="385"/>
      <c r="E52" s="395">
        <f>IF('page 1'!$H$30&gt;3,'page 1'!$H$30-3,0)+IF(Gestion!W36&gt;0,1,0)</f>
        <v>0</v>
      </c>
      <c r="F52" s="389" t="s">
        <v>734</v>
      </c>
      <c r="G52" s="390">
        <v>0</v>
      </c>
      <c r="H52" s="385" t="s">
        <v>2466</v>
      </c>
      <c r="I52" s="385"/>
      <c r="J52" s="385"/>
      <c r="K52" s="419" t="str">
        <f t="shared" si="0"/>
        <v xml:space="preserve">Défensive  </v>
      </c>
      <c r="L52" s="391">
        <v>50</v>
      </c>
      <c r="M52" s="392">
        <v>120</v>
      </c>
      <c r="N52" s="392" t="s">
        <v>2578</v>
      </c>
      <c r="O52" s="447"/>
      <c r="P52" s="447"/>
    </row>
    <row r="53" spans="1:16">
      <c r="A53" s="388" t="s">
        <v>2796</v>
      </c>
      <c r="B53" s="385" t="s">
        <v>2499</v>
      </c>
      <c r="C53" s="385"/>
      <c r="D53" s="385" t="s">
        <v>2465</v>
      </c>
      <c r="E53" s="385">
        <v>0</v>
      </c>
      <c r="F53" s="389" t="s">
        <v>2534</v>
      </c>
      <c r="G53" s="390">
        <f>0.5-IF(Gestion!W99&gt;0,0.5,0)</f>
        <v>0.5</v>
      </c>
      <c r="H53" s="385" t="s">
        <v>2480</v>
      </c>
      <c r="I53" s="385"/>
      <c r="J53" s="385"/>
      <c r="K53" s="419" t="str">
        <f t="shared" si="0"/>
        <v xml:space="preserve">Spéciale  </v>
      </c>
      <c r="L53" s="391">
        <v>40</v>
      </c>
      <c r="M53" s="392">
        <v>10</v>
      </c>
      <c r="N53" s="392" t="s">
        <v>2608</v>
      </c>
      <c r="O53" s="447"/>
      <c r="P53" s="447"/>
    </row>
    <row r="54" spans="1:16">
      <c r="A54" s="388" t="s">
        <v>2545</v>
      </c>
      <c r="B54" s="385" t="s">
        <v>2498</v>
      </c>
      <c r="C54" s="385"/>
      <c r="D54" s="385" t="s">
        <v>2465</v>
      </c>
      <c r="E54" s="385">
        <f>6+IF(Gestion!W129&gt;0,1,0)</f>
        <v>6</v>
      </c>
      <c r="F54" s="389" t="s">
        <v>2546</v>
      </c>
      <c r="G54" s="390">
        <v>0</v>
      </c>
      <c r="H54" s="385" t="s">
        <v>2481</v>
      </c>
      <c r="I54" s="385" t="s">
        <v>2483</v>
      </c>
      <c r="J54" s="385"/>
      <c r="K54" s="419" t="str">
        <f t="shared" si="0"/>
        <v xml:space="preserve">A mitraille Peu Fiable </v>
      </c>
      <c r="L54" s="391">
        <v>75</v>
      </c>
      <c r="M54" s="392">
        <v>20</v>
      </c>
      <c r="N54" s="392" t="s">
        <v>2608</v>
      </c>
      <c r="O54" s="447"/>
      <c r="P54" s="447"/>
    </row>
    <row r="55" spans="1:16">
      <c r="A55" s="388" t="s">
        <v>2547</v>
      </c>
      <c r="B55" s="385" t="s">
        <v>2498</v>
      </c>
      <c r="C55" s="385"/>
      <c r="D55" s="385" t="s">
        <v>2465</v>
      </c>
      <c r="E55" s="385">
        <f>4+IF(Gestion!W129&gt;0,1,0)</f>
        <v>4</v>
      </c>
      <c r="F55" s="389" t="s">
        <v>2546</v>
      </c>
      <c r="G55" s="390">
        <f>1.5-IF(Gestion!W99&gt;0,0.5,0)</f>
        <v>1.5</v>
      </c>
      <c r="H55" s="385" t="s">
        <v>2480</v>
      </c>
      <c r="I55" s="385"/>
      <c r="J55" s="385"/>
      <c r="K55" s="419" t="str">
        <f t="shared" si="0"/>
        <v xml:space="preserve">Spéciale  </v>
      </c>
      <c r="L55" s="391">
        <v>5</v>
      </c>
      <c r="M55" s="392">
        <v>20</v>
      </c>
      <c r="N55" s="392" t="s">
        <v>2578</v>
      </c>
      <c r="O55" s="447"/>
      <c r="P55" s="447"/>
    </row>
    <row r="56" spans="1:16">
      <c r="A56" s="422" t="s">
        <v>12885</v>
      </c>
      <c r="B56" s="397" t="s">
        <v>2490</v>
      </c>
      <c r="C56" s="385" t="s">
        <v>2465</v>
      </c>
      <c r="D56" s="385"/>
      <c r="E56" s="385">
        <f>IF('page 1'!$H$30&gt;4,'page 1'!$H$30+1,0)+IF(Gestion!W35&gt;0,1,0)</f>
        <v>0</v>
      </c>
      <c r="F56" s="389" t="s">
        <v>734</v>
      </c>
      <c r="G56" s="390">
        <v>0</v>
      </c>
      <c r="H56" s="404" t="s">
        <v>17478</v>
      </c>
      <c r="I56" s="397" t="s">
        <v>16682</v>
      </c>
      <c r="J56" s="385" t="s">
        <v>2473</v>
      </c>
      <c r="K56" s="419" t="str">
        <f t="shared" si="0"/>
        <v>Assommante Épuisante Percutante</v>
      </c>
      <c r="L56" s="420">
        <v>15</v>
      </c>
      <c r="M56" s="421">
        <v>75</v>
      </c>
      <c r="N56" s="439" t="s">
        <v>2578</v>
      </c>
      <c r="O56" s="447"/>
      <c r="P56" s="447"/>
    </row>
    <row r="57" spans="1:16">
      <c r="A57" s="388" t="s">
        <v>2837</v>
      </c>
      <c r="B57" s="397" t="s">
        <v>2490</v>
      </c>
      <c r="C57" s="385" t="s">
        <v>2465</v>
      </c>
      <c r="D57" s="385"/>
      <c r="E57" s="385">
        <f>IF('page 1'!$H$30&gt;4,'page 1'!$H$30+1,0)+IF(Gestion!W36&gt;0,1,0)</f>
        <v>0</v>
      </c>
      <c r="F57" s="389" t="s">
        <v>734</v>
      </c>
      <c r="G57" s="390">
        <v>0</v>
      </c>
      <c r="H57" s="404" t="s">
        <v>16682</v>
      </c>
      <c r="I57" s="385" t="s">
        <v>2473</v>
      </c>
      <c r="J57" s="385" t="s">
        <v>2480</v>
      </c>
      <c r="K57" s="419" t="str">
        <f t="shared" si="0"/>
        <v>Épuisante Percutante Spéciale</v>
      </c>
      <c r="L57" s="391">
        <v>200</v>
      </c>
      <c r="M57" s="392">
        <v>85</v>
      </c>
      <c r="N57" s="392" t="s">
        <v>2607</v>
      </c>
      <c r="O57" s="447"/>
      <c r="P57" s="447"/>
    </row>
    <row r="58" spans="1:16">
      <c r="A58" s="398" t="s">
        <v>3807</v>
      </c>
      <c r="B58" s="399" t="s">
        <v>2490</v>
      </c>
      <c r="C58" s="399" t="s">
        <v>2465</v>
      </c>
      <c r="D58" s="399"/>
      <c r="E58" s="399">
        <f>IF('page 1'!$H$30&gt;0,'page 1'!$H$30+1,0)+IF(Gestion!W36&gt;0,1,0)</f>
        <v>0</v>
      </c>
      <c r="F58" s="400" t="s">
        <v>734</v>
      </c>
      <c r="G58" s="401">
        <v>0</v>
      </c>
      <c r="H58" s="404" t="s">
        <v>16682</v>
      </c>
      <c r="I58" s="399" t="s">
        <v>2482</v>
      </c>
      <c r="J58" s="399" t="s">
        <v>2480</v>
      </c>
      <c r="K58" s="419" t="str">
        <f t="shared" si="0"/>
        <v>Épuisante Expérimentale Spéciale</v>
      </c>
      <c r="L58" s="391">
        <v>20</v>
      </c>
      <c r="M58" s="392">
        <v>95</v>
      </c>
      <c r="N58" s="406" t="s">
        <v>2607</v>
      </c>
      <c r="O58" s="447"/>
      <c r="P58" s="447"/>
    </row>
    <row r="59" spans="1:16">
      <c r="A59" s="388" t="s">
        <v>2510</v>
      </c>
      <c r="B59" s="385" t="s">
        <v>2490</v>
      </c>
      <c r="C59" s="385" t="s">
        <v>2465</v>
      </c>
      <c r="D59" s="385"/>
      <c r="E59" s="395">
        <f>IF('page 1'!$H$30&gt;0,'page 1'!$H$30+1,0)+IF(Gestion!W36&gt;0,1,0)</f>
        <v>0</v>
      </c>
      <c r="F59" s="389" t="s">
        <v>734</v>
      </c>
      <c r="G59" s="390">
        <v>0</v>
      </c>
      <c r="H59" s="397" t="s">
        <v>16682</v>
      </c>
      <c r="I59" s="385" t="s">
        <v>2473</v>
      </c>
      <c r="J59" s="385"/>
      <c r="K59" s="419" t="str">
        <f t="shared" si="0"/>
        <v xml:space="preserve">Épuisante Percutante </v>
      </c>
      <c r="L59" s="391">
        <v>15</v>
      </c>
      <c r="M59" s="392">
        <v>95</v>
      </c>
      <c r="N59" s="392" t="s">
        <v>2578</v>
      </c>
      <c r="O59" s="447"/>
      <c r="P59" s="447"/>
    </row>
    <row r="60" spans="1:16">
      <c r="A60" s="396" t="s">
        <v>4098</v>
      </c>
      <c r="B60" s="385" t="s">
        <v>2490</v>
      </c>
      <c r="C60" s="397" t="s">
        <v>2465</v>
      </c>
      <c r="D60" s="385"/>
      <c r="E60" s="385">
        <f>IF('page 1'!$H$30&gt;0,'page 1'!$H$30,2)+IF(Gestion!W36&gt;0,1,0)</f>
        <v>2</v>
      </c>
      <c r="F60" s="407" t="s">
        <v>734</v>
      </c>
      <c r="G60" s="390">
        <v>0</v>
      </c>
      <c r="H60" s="397" t="s">
        <v>16682</v>
      </c>
      <c r="I60" s="385" t="s">
        <v>2473</v>
      </c>
      <c r="J60" s="385" t="s">
        <v>2477</v>
      </c>
      <c r="K60" s="419" t="str">
        <f t="shared" si="0"/>
        <v>Épuisante Percutante Perforante</v>
      </c>
      <c r="L60" s="391">
        <v>46</v>
      </c>
      <c r="M60" s="392">
        <v>90</v>
      </c>
      <c r="N60" s="392" t="s">
        <v>2607</v>
      </c>
      <c r="O60" s="447"/>
      <c r="P60" s="447"/>
    </row>
    <row r="61" spans="1:16">
      <c r="A61" s="388" t="s">
        <v>2517</v>
      </c>
      <c r="B61" s="385" t="s">
        <v>2490</v>
      </c>
      <c r="C61" s="385" t="s">
        <v>2465</v>
      </c>
      <c r="D61" s="385"/>
      <c r="E61" s="395">
        <f>IF('page 1'!$H$30&gt;0,'page 1'!$H$30,0)+IF(Gestion!W36&gt;0,1,0)</f>
        <v>0</v>
      </c>
      <c r="F61" s="389" t="s">
        <v>734</v>
      </c>
      <c r="G61" s="390">
        <v>0</v>
      </c>
      <c r="H61" s="397" t="s">
        <v>16682</v>
      </c>
      <c r="I61" s="385" t="s">
        <v>2473</v>
      </c>
      <c r="J61" s="385"/>
      <c r="K61" s="419" t="str">
        <f t="shared" si="0"/>
        <v xml:space="preserve">Épuisante Percutante </v>
      </c>
      <c r="L61" s="391">
        <v>15</v>
      </c>
      <c r="M61" s="392">
        <v>60</v>
      </c>
      <c r="N61" s="392" t="s">
        <v>2578</v>
      </c>
      <c r="O61" s="447"/>
      <c r="P61" s="447"/>
    </row>
    <row r="62" spans="1:16">
      <c r="A62" s="396" t="s">
        <v>12886</v>
      </c>
      <c r="B62" s="385" t="s">
        <v>2490</v>
      </c>
      <c r="C62" s="385" t="s">
        <v>2465</v>
      </c>
      <c r="D62" s="385"/>
      <c r="E62" s="395">
        <f>IF('page 1'!$H$30&gt;0,'page 1'!$H$30-1,0)+IF(Gestion!W36&gt;0,1,0)</f>
        <v>0</v>
      </c>
      <c r="F62" s="389" t="s">
        <v>734</v>
      </c>
      <c r="G62" s="390">
        <v>0</v>
      </c>
      <c r="H62" s="385" t="s">
        <v>2466</v>
      </c>
      <c r="I62" s="385"/>
      <c r="J62" s="385"/>
      <c r="K62" s="419" t="str">
        <f t="shared" si="0"/>
        <v xml:space="preserve">Défensive  </v>
      </c>
      <c r="L62" s="391">
        <v>30</v>
      </c>
      <c r="M62" s="392">
        <v>30</v>
      </c>
      <c r="N62" s="406" t="s">
        <v>2608</v>
      </c>
      <c r="O62" s="447"/>
      <c r="P62" s="447"/>
    </row>
    <row r="63" spans="1:16">
      <c r="A63" s="388" t="s">
        <v>2539</v>
      </c>
      <c r="B63" s="385" t="s">
        <v>2495</v>
      </c>
      <c r="C63" s="385"/>
      <c r="D63" s="385" t="s">
        <v>2465</v>
      </c>
      <c r="E63" s="385">
        <f>3+IF(Gestion!W129&gt;0,1,0)</f>
        <v>3</v>
      </c>
      <c r="F63" s="389" t="s">
        <v>2522</v>
      </c>
      <c r="G63" s="390">
        <f>0.5-IF(Gestion!W99&gt;0,0.5,0)</f>
        <v>0.5</v>
      </c>
      <c r="H63" s="385"/>
      <c r="I63" s="385"/>
      <c r="J63" s="385"/>
      <c r="K63" s="419" t="str">
        <f t="shared" si="0"/>
        <v xml:space="preserve">  </v>
      </c>
      <c r="L63" s="391">
        <v>4</v>
      </c>
      <c r="M63" s="392">
        <v>10</v>
      </c>
      <c r="N63" s="392" t="s">
        <v>2574</v>
      </c>
      <c r="O63" s="447"/>
      <c r="P63" s="447"/>
    </row>
    <row r="64" spans="1:16">
      <c r="A64" s="396" t="s">
        <v>4911</v>
      </c>
      <c r="B64" s="385" t="s">
        <v>2495</v>
      </c>
      <c r="C64" s="385"/>
      <c r="D64" s="397" t="s">
        <v>2465</v>
      </c>
      <c r="E64" s="385">
        <f>4+IF(Gestion!W129&gt;0,1,0)</f>
        <v>4</v>
      </c>
      <c r="F64" s="407" t="s">
        <v>2525</v>
      </c>
      <c r="G64" s="390">
        <f>1-IF(Gestion!W99&gt;0,0.5,0)</f>
        <v>1</v>
      </c>
      <c r="H64" s="385"/>
      <c r="I64" s="385"/>
      <c r="J64" s="385"/>
      <c r="K64" s="419" t="str">
        <f t="shared" si="0"/>
        <v xml:space="preserve">  </v>
      </c>
      <c r="L64" s="391">
        <v>6</v>
      </c>
      <c r="M64" s="392">
        <v>50</v>
      </c>
      <c r="N64" s="392" t="s">
        <v>2607</v>
      </c>
      <c r="O64" s="447"/>
      <c r="P64" s="447"/>
    </row>
    <row r="65" spans="1:16">
      <c r="A65" s="388" t="s">
        <v>2835</v>
      </c>
      <c r="B65" s="385" t="s">
        <v>2488</v>
      </c>
      <c r="C65" s="385" t="s">
        <v>2465</v>
      </c>
      <c r="D65" s="385"/>
      <c r="E65" s="385">
        <f>IF('page 1'!$H$30&gt;4,'page 1'!$H$30+1,0)+IF(Gestion!W36&gt;0,1,0)</f>
        <v>0</v>
      </c>
      <c r="F65" s="389" t="s">
        <v>734</v>
      </c>
      <c r="G65" s="390">
        <v>0</v>
      </c>
      <c r="H65" s="397" t="s">
        <v>17481</v>
      </c>
      <c r="I65" s="385"/>
      <c r="J65" s="385"/>
      <c r="K65" s="419" t="str">
        <f t="shared" si="0"/>
        <v xml:space="preserve">Immobilisant  </v>
      </c>
      <c r="L65" s="391">
        <v>260</v>
      </c>
      <c r="M65" s="392">
        <v>170</v>
      </c>
      <c r="N65" s="392" t="s">
        <v>2578</v>
      </c>
      <c r="O65" s="447"/>
      <c r="P65" s="447"/>
    </row>
    <row r="66" spans="1:16">
      <c r="A66" s="409" t="s">
        <v>2892</v>
      </c>
      <c r="B66" s="399" t="s">
        <v>2488</v>
      </c>
      <c r="C66" s="410" t="s">
        <v>2465</v>
      </c>
      <c r="D66" s="399"/>
      <c r="E66" s="399">
        <f>IF('page 1'!$H$30&gt;1,'page 1'!$H$30-1,0)+IF(Gestion!W36&gt;0,1,0)</f>
        <v>0</v>
      </c>
      <c r="F66" s="411" t="s">
        <v>734</v>
      </c>
      <c r="G66" s="408">
        <v>0</v>
      </c>
      <c r="H66" s="399" t="s">
        <v>2466</v>
      </c>
      <c r="I66" s="399" t="s">
        <v>2475</v>
      </c>
      <c r="J66" s="399" t="s">
        <v>2473</v>
      </c>
      <c r="K66" s="419" t="str">
        <f t="shared" ref="K66:K131" si="1">CONCATENATE(H66," ",I66," ",J66)</f>
        <v>Défensive Lente Percutante</v>
      </c>
      <c r="L66" s="391">
        <v>10</v>
      </c>
      <c r="M66" s="392">
        <v>60</v>
      </c>
      <c r="N66" s="406" t="s">
        <v>2607</v>
      </c>
      <c r="O66" s="447"/>
      <c r="P66" s="447"/>
    </row>
    <row r="67" spans="1:16">
      <c r="A67" s="440" t="s">
        <v>12888</v>
      </c>
      <c r="B67" s="399" t="s">
        <v>2488</v>
      </c>
      <c r="C67" s="410" t="s">
        <v>2465</v>
      </c>
      <c r="D67" s="399"/>
      <c r="E67" s="399">
        <f>IF('page 1'!$H$30&gt;1,'page 1'!$H$30+1,0)+IF(Gestion!W36&gt;0,1,0)</f>
        <v>0</v>
      </c>
      <c r="F67" s="411" t="s">
        <v>734</v>
      </c>
      <c r="G67" s="390">
        <v>0</v>
      </c>
      <c r="H67" s="425" t="s">
        <v>2475</v>
      </c>
      <c r="I67" s="385" t="s">
        <v>2480</v>
      </c>
      <c r="J67" s="425"/>
      <c r="K67" s="419" t="str">
        <f t="shared" si="1"/>
        <v xml:space="preserve">Lente Spéciale </v>
      </c>
      <c r="L67" s="420">
        <v>20</v>
      </c>
      <c r="M67" s="421">
        <v>150</v>
      </c>
      <c r="N67" s="439" t="s">
        <v>2572</v>
      </c>
      <c r="O67" s="447"/>
      <c r="P67" s="447"/>
    </row>
    <row r="68" spans="1:16">
      <c r="A68" s="396" t="s">
        <v>12889</v>
      </c>
      <c r="B68" s="385" t="s">
        <v>2488</v>
      </c>
      <c r="C68" s="385" t="s">
        <v>2465</v>
      </c>
      <c r="D68" s="385"/>
      <c r="E68" s="385">
        <f>IF('page 1'!$H$30&gt;0,'page 1'!$H$30,0)+IF(Gestion!W36&gt;0,1,0)</f>
        <v>0</v>
      </c>
      <c r="F68" s="389" t="s">
        <v>734</v>
      </c>
      <c r="G68" s="390">
        <v>0</v>
      </c>
      <c r="H68" s="397" t="s">
        <v>16682</v>
      </c>
      <c r="I68" s="385" t="s">
        <v>2473</v>
      </c>
      <c r="J68" s="385" t="s">
        <v>2479</v>
      </c>
      <c r="K68" s="419" t="str">
        <f t="shared" si="1"/>
        <v>Épuisante Percutante Rapide</v>
      </c>
      <c r="L68" s="391">
        <v>20</v>
      </c>
      <c r="M68" s="392">
        <v>100</v>
      </c>
      <c r="N68" s="406" t="s">
        <v>2578</v>
      </c>
      <c r="O68" s="447"/>
      <c r="P68" s="447"/>
    </row>
    <row r="69" spans="1:16">
      <c r="A69" s="396" t="s">
        <v>9493</v>
      </c>
      <c r="B69" s="385" t="s">
        <v>2488</v>
      </c>
      <c r="C69" s="385" t="s">
        <v>2465</v>
      </c>
      <c r="D69" s="385"/>
      <c r="E69" s="395">
        <f>IF('page 1'!$H$30&gt;0,'page 1'!$H$30,0)+IF(Gestion!W36&gt;0,1,0)</f>
        <v>0</v>
      </c>
      <c r="F69" s="389" t="s">
        <v>734</v>
      </c>
      <c r="G69" s="390">
        <v>0</v>
      </c>
      <c r="H69" s="385" t="s">
        <v>2475</v>
      </c>
      <c r="I69" s="385" t="s">
        <v>2473</v>
      </c>
      <c r="J69" s="385"/>
      <c r="K69" s="419" t="str">
        <f t="shared" si="1"/>
        <v xml:space="preserve">Lente Percutante </v>
      </c>
      <c r="L69" s="391">
        <v>30</v>
      </c>
      <c r="M69" s="392">
        <v>150</v>
      </c>
      <c r="N69" s="392" t="s">
        <v>2578</v>
      </c>
      <c r="O69" s="447"/>
      <c r="P69" s="447"/>
    </row>
    <row r="70" spans="1:16">
      <c r="A70" s="398" t="s">
        <v>7652</v>
      </c>
      <c r="B70" s="399" t="s">
        <v>2488</v>
      </c>
      <c r="C70" s="399" t="s">
        <v>2465</v>
      </c>
      <c r="D70" s="399"/>
      <c r="E70" s="399">
        <f>IF('page 1'!$H$30&gt;4,'page 1'!$H$30+1,2)+IF(Gestion!W38&gt;0,1,0)</f>
        <v>2</v>
      </c>
      <c r="F70" s="400" t="s">
        <v>734</v>
      </c>
      <c r="G70" s="408">
        <v>0</v>
      </c>
      <c r="H70" s="399" t="s">
        <v>2475</v>
      </c>
      <c r="I70" s="399" t="s">
        <v>2473</v>
      </c>
      <c r="J70" s="385"/>
      <c r="K70" s="419" t="str">
        <f t="shared" si="1"/>
        <v xml:space="preserve">Lente Percutante </v>
      </c>
      <c r="L70" s="391">
        <v>580</v>
      </c>
      <c r="M70" s="392">
        <v>140</v>
      </c>
      <c r="N70" s="392" t="s">
        <v>2607</v>
      </c>
      <c r="O70" s="447"/>
      <c r="P70" s="447"/>
    </row>
    <row r="71" spans="1:16">
      <c r="A71" s="424" t="s">
        <v>9169</v>
      </c>
      <c r="B71" s="399" t="s">
        <v>2488</v>
      </c>
      <c r="C71" s="399" t="s">
        <v>2465</v>
      </c>
      <c r="D71" s="425"/>
      <c r="E71" s="399">
        <f>IF('page 1'!$H$30&gt;4,'page 1'!$H$30+2,2)+IF(Gestion!W40&gt;0,1,0)</f>
        <v>2</v>
      </c>
      <c r="F71" s="400" t="s">
        <v>734</v>
      </c>
      <c r="G71" s="408">
        <v>0</v>
      </c>
      <c r="H71" s="425" t="s">
        <v>2466</v>
      </c>
      <c r="I71" s="425" t="s">
        <v>2473</v>
      </c>
      <c r="J71" s="385"/>
      <c r="K71" s="419" t="str">
        <f t="shared" si="1"/>
        <v xml:space="preserve">Défensive Percutante </v>
      </c>
      <c r="L71" s="420">
        <v>650</v>
      </c>
      <c r="M71" s="392">
        <v>140</v>
      </c>
      <c r="N71" s="421" t="s">
        <v>2608</v>
      </c>
      <c r="O71" s="447"/>
      <c r="P71" s="447"/>
    </row>
    <row r="72" spans="1:16">
      <c r="A72" s="424" t="s">
        <v>9170</v>
      </c>
      <c r="B72" s="399" t="s">
        <v>2488</v>
      </c>
      <c r="C72" s="399" t="s">
        <v>2465</v>
      </c>
      <c r="D72" s="425"/>
      <c r="E72" s="399">
        <f>IF('page 1'!$H$30&gt;4,'page 1'!$H$30+2,2)+IF(Gestion!W41&gt;0,1,0)</f>
        <v>2</v>
      </c>
      <c r="F72" s="400" t="s">
        <v>734</v>
      </c>
      <c r="G72" s="408">
        <v>0</v>
      </c>
      <c r="H72" s="425" t="s">
        <v>2473</v>
      </c>
      <c r="I72" s="425" t="s">
        <v>2477</v>
      </c>
      <c r="J72" s="385"/>
      <c r="K72" s="419" t="str">
        <f t="shared" si="1"/>
        <v xml:space="preserve">Percutante Perforante </v>
      </c>
      <c r="L72" s="420">
        <v>650</v>
      </c>
      <c r="M72" s="392">
        <v>140</v>
      </c>
      <c r="N72" s="421" t="s">
        <v>2608</v>
      </c>
      <c r="O72" s="447"/>
      <c r="P72" s="447"/>
    </row>
    <row r="73" spans="1:16">
      <c r="A73" s="396" t="s">
        <v>9494</v>
      </c>
      <c r="B73" s="385" t="s">
        <v>2488</v>
      </c>
      <c r="C73" s="385" t="s">
        <v>2465</v>
      </c>
      <c r="D73" s="385"/>
      <c r="E73" s="395">
        <f>IF('page 1'!$H$30&gt;0,'page 1'!$H$30,0)+IF(Gestion!W35&gt;0,1,0)</f>
        <v>0</v>
      </c>
      <c r="F73" s="389" t="s">
        <v>734</v>
      </c>
      <c r="G73" s="390">
        <v>0</v>
      </c>
      <c r="H73" s="385" t="s">
        <v>2479</v>
      </c>
      <c r="I73" s="385"/>
      <c r="J73" s="385"/>
      <c r="K73" s="419" t="str">
        <f t="shared" si="1"/>
        <v xml:space="preserve">Rapide  </v>
      </c>
      <c r="L73" s="391">
        <v>15</v>
      </c>
      <c r="M73" s="392">
        <v>175</v>
      </c>
      <c r="N73" s="406" t="s">
        <v>2572</v>
      </c>
      <c r="O73" s="447"/>
      <c r="P73" s="447"/>
    </row>
    <row r="74" spans="1:16">
      <c r="A74" s="388" t="s">
        <v>2513</v>
      </c>
      <c r="B74" s="385" t="s">
        <v>2488</v>
      </c>
      <c r="C74" s="385" t="s">
        <v>2465</v>
      </c>
      <c r="D74" s="385"/>
      <c r="E74" s="395">
        <f>IF('page 1'!$H$30&gt;0,'page 1'!$H$30,0)+IF(Gestion!W36&gt;0,1,0)</f>
        <v>0</v>
      </c>
      <c r="F74" s="389" t="s">
        <v>734</v>
      </c>
      <c r="G74" s="390">
        <v>0</v>
      </c>
      <c r="H74" s="385" t="s">
        <v>2480</v>
      </c>
      <c r="I74" s="385"/>
      <c r="J74" s="385"/>
      <c r="K74" s="419" t="str">
        <f t="shared" si="1"/>
        <v xml:space="preserve">Spéciale  </v>
      </c>
      <c r="L74" s="391">
        <v>15</v>
      </c>
      <c r="M74" s="392">
        <v>175</v>
      </c>
      <c r="N74" s="392" t="s">
        <v>2574</v>
      </c>
      <c r="O74" s="447"/>
      <c r="P74" s="447"/>
    </row>
    <row r="75" spans="1:16">
      <c r="A75" s="422" t="s">
        <v>9495</v>
      </c>
      <c r="B75" s="385" t="s">
        <v>2488</v>
      </c>
      <c r="C75" s="385" t="s">
        <v>2465</v>
      </c>
      <c r="D75" s="385"/>
      <c r="E75" s="395">
        <f>IF('page 1'!$H$30&gt;0,'page 1'!$H$30+2,0)+IF(Gestion!W37&gt;0,1,0)</f>
        <v>0</v>
      </c>
      <c r="F75" s="389" t="s">
        <v>734</v>
      </c>
      <c r="G75" s="390">
        <v>0</v>
      </c>
      <c r="H75" s="385" t="s">
        <v>2477</v>
      </c>
      <c r="I75" s="385" t="s">
        <v>2479</v>
      </c>
      <c r="J75" s="385"/>
      <c r="K75" s="419" t="str">
        <f t="shared" si="1"/>
        <v xml:space="preserve">Perforante Rapide </v>
      </c>
      <c r="L75" s="391">
        <v>15</v>
      </c>
      <c r="M75" s="392">
        <v>175</v>
      </c>
      <c r="N75" s="392" t="s">
        <v>2574</v>
      </c>
      <c r="O75" s="447"/>
      <c r="P75" s="447"/>
    </row>
    <row r="76" spans="1:16">
      <c r="A76" s="388" t="s">
        <v>2543</v>
      </c>
      <c r="B76" s="385" t="s">
        <v>2497</v>
      </c>
      <c r="C76" s="385"/>
      <c r="D76" s="385" t="s">
        <v>2465</v>
      </c>
      <c r="E76" s="385">
        <f>4+IF(Gestion!W129&gt;0,1,0)</f>
        <v>4</v>
      </c>
      <c r="F76" s="389" t="s">
        <v>2525</v>
      </c>
      <c r="G76" s="390">
        <v>0</v>
      </c>
      <c r="H76" s="385" t="s">
        <v>2482</v>
      </c>
      <c r="I76" s="385" t="s">
        <v>2480</v>
      </c>
      <c r="J76" s="385"/>
      <c r="K76" s="419" t="str">
        <f t="shared" si="1"/>
        <v xml:space="preserve">Expérimentale Spéciale </v>
      </c>
      <c r="L76" s="391">
        <v>600</v>
      </c>
      <c r="M76" s="392">
        <v>30</v>
      </c>
      <c r="N76" s="392" t="s">
        <v>2608</v>
      </c>
      <c r="O76" s="447"/>
      <c r="P76" s="447"/>
    </row>
    <row r="77" spans="1:16">
      <c r="A77" s="388" t="s">
        <v>2844</v>
      </c>
      <c r="B77" s="385" t="s">
        <v>2497</v>
      </c>
      <c r="C77" s="385"/>
      <c r="D77" s="385" t="s">
        <v>2465</v>
      </c>
      <c r="E77" s="385">
        <f>5+IF(Gestion!W129&gt;0,1,0)</f>
        <v>5</v>
      </c>
      <c r="F77" s="407" t="s">
        <v>4838</v>
      </c>
      <c r="G77" s="390">
        <f>10-IF(Gestion!W99&gt;0,0.5,0)</f>
        <v>10</v>
      </c>
      <c r="H77" s="385" t="s">
        <v>2482</v>
      </c>
      <c r="I77" s="385" t="s">
        <v>2480</v>
      </c>
      <c r="J77" s="385"/>
      <c r="K77" s="419" t="str">
        <f t="shared" si="1"/>
        <v xml:space="preserve">Expérimentale Spéciale </v>
      </c>
      <c r="L77" s="391">
        <v>200</v>
      </c>
      <c r="M77" s="392">
        <v>0</v>
      </c>
      <c r="N77" s="392" t="s">
        <v>2608</v>
      </c>
      <c r="O77" s="447"/>
      <c r="P77" s="447"/>
    </row>
    <row r="78" spans="1:16">
      <c r="A78" s="388" t="s">
        <v>2550</v>
      </c>
      <c r="B78" s="385" t="s">
        <v>2497</v>
      </c>
      <c r="C78" s="385"/>
      <c r="D78" s="385" t="s">
        <v>2465</v>
      </c>
      <c r="E78" s="385">
        <f>4+IF(Gestion!W129&gt;0,1,0)</f>
        <v>4</v>
      </c>
      <c r="F78" s="389" t="s">
        <v>2551</v>
      </c>
      <c r="G78" s="390">
        <f>2-IF(Gestion!W99&gt;0,0.5,0)-IF(Gestion!W82&gt;0,0.5,0)</f>
        <v>2</v>
      </c>
      <c r="H78" s="385" t="s">
        <v>2473</v>
      </c>
      <c r="I78" s="385" t="s">
        <v>2483</v>
      </c>
      <c r="J78" s="385"/>
      <c r="K78" s="419" t="str">
        <f t="shared" si="1"/>
        <v xml:space="preserve">Percutante Peu Fiable </v>
      </c>
      <c r="L78" s="391">
        <v>450</v>
      </c>
      <c r="M78" s="392">
        <v>70</v>
      </c>
      <c r="N78" s="392" t="s">
        <v>2608</v>
      </c>
      <c r="O78" s="447"/>
      <c r="P78" s="447"/>
    </row>
    <row r="79" spans="1:16">
      <c r="A79" s="388" t="s">
        <v>2845</v>
      </c>
      <c r="B79" s="385" t="s">
        <v>2497</v>
      </c>
      <c r="C79" s="385"/>
      <c r="D79" s="385" t="s">
        <v>2465</v>
      </c>
      <c r="E79" s="385">
        <f>3+IF(Gestion!W129&gt;0,1,0)</f>
        <v>3</v>
      </c>
      <c r="F79" s="389" t="s">
        <v>2846</v>
      </c>
      <c r="G79" s="390">
        <f>10-IF(Gestion!W99&gt;0,0.5,0)</f>
        <v>10</v>
      </c>
      <c r="H79" s="385" t="s">
        <v>2481</v>
      </c>
      <c r="I79" s="385" t="s">
        <v>2482</v>
      </c>
      <c r="J79" s="385"/>
      <c r="K79" s="419" t="str">
        <f t="shared" si="1"/>
        <v xml:space="preserve">A mitraille Expérimentale </v>
      </c>
      <c r="L79" s="391">
        <v>160</v>
      </c>
      <c r="M79" s="392">
        <v>10</v>
      </c>
      <c r="N79" s="392" t="s">
        <v>2608</v>
      </c>
      <c r="O79" s="447"/>
      <c r="P79" s="447"/>
    </row>
    <row r="80" spans="1:16">
      <c r="A80" s="388" t="s">
        <v>2552</v>
      </c>
      <c r="B80" s="385" t="s">
        <v>2497</v>
      </c>
      <c r="C80" s="385"/>
      <c r="D80" s="385" t="s">
        <v>2465</v>
      </c>
      <c r="E80" s="385">
        <f>3+IF(Gestion!W129&gt;0,1,0)</f>
        <v>3</v>
      </c>
      <c r="F80" s="389" t="s">
        <v>2553</v>
      </c>
      <c r="G80" s="390">
        <f>4-IF(Gestion!W82&gt;0,0.5,0)-IF(Gestion!W99&gt;0,0.5,0)</f>
        <v>4</v>
      </c>
      <c r="H80" s="385" t="s">
        <v>2482</v>
      </c>
      <c r="I80" s="385" t="s">
        <v>2480</v>
      </c>
      <c r="J80" s="385"/>
      <c r="K80" s="419" t="str">
        <f t="shared" si="1"/>
        <v xml:space="preserve">Expérimentale Spéciale </v>
      </c>
      <c r="L80" s="391">
        <v>500</v>
      </c>
      <c r="M80" s="392">
        <v>30</v>
      </c>
      <c r="N80" s="392" t="s">
        <v>2608</v>
      </c>
      <c r="O80" s="447"/>
      <c r="P80" s="447"/>
    </row>
    <row r="81" spans="1:16">
      <c r="A81" s="388" t="s">
        <v>2554</v>
      </c>
      <c r="B81" s="385" t="s">
        <v>2497</v>
      </c>
      <c r="C81" s="385"/>
      <c r="D81" s="385" t="s">
        <v>2465</v>
      </c>
      <c r="E81" s="385">
        <f>4+IF(Gestion!W129&gt;0,1,0)</f>
        <v>4</v>
      </c>
      <c r="F81" s="389" t="s">
        <v>2534</v>
      </c>
      <c r="G81" s="390">
        <v>0</v>
      </c>
      <c r="H81" s="385" t="s">
        <v>2482</v>
      </c>
      <c r="I81" s="385" t="s">
        <v>2480</v>
      </c>
      <c r="J81" s="385"/>
      <c r="K81" s="419" t="str">
        <f t="shared" si="1"/>
        <v xml:space="preserve">Expérimentale Spéciale </v>
      </c>
      <c r="L81" s="391">
        <v>400</v>
      </c>
      <c r="M81" s="392">
        <v>25</v>
      </c>
      <c r="N81" s="392" t="s">
        <v>2608</v>
      </c>
      <c r="O81" s="447"/>
      <c r="P81" s="447"/>
    </row>
    <row r="82" spans="1:16">
      <c r="A82" s="388" t="s">
        <v>2524</v>
      </c>
      <c r="B82" s="385" t="s">
        <v>2464</v>
      </c>
      <c r="C82" s="385"/>
      <c r="D82" s="385" t="s">
        <v>2465</v>
      </c>
      <c r="E82" s="385">
        <f>3+IF(Gestion!W129&gt;0,1,0)</f>
        <v>3</v>
      </c>
      <c r="F82" s="389" t="s">
        <v>2525</v>
      </c>
      <c r="G82" s="390">
        <f>0.5-IF(Gestion!$W$99&gt;0,0.5,0)</f>
        <v>0.5</v>
      </c>
      <c r="H82" s="385"/>
      <c r="I82" s="385"/>
      <c r="J82" s="385"/>
      <c r="K82" s="419" t="str">
        <f t="shared" si="1"/>
        <v xml:space="preserve">  </v>
      </c>
      <c r="L82" s="391">
        <v>10</v>
      </c>
      <c r="M82" s="392">
        <v>80</v>
      </c>
      <c r="N82" s="392" t="s">
        <v>2574</v>
      </c>
      <c r="O82" s="447"/>
      <c r="P82" s="447"/>
    </row>
    <row r="83" spans="1:16">
      <c r="A83" s="396" t="s">
        <v>9488</v>
      </c>
      <c r="B83" s="385" t="s">
        <v>2464</v>
      </c>
      <c r="C83" s="385"/>
      <c r="D83" s="385" t="s">
        <v>2465</v>
      </c>
      <c r="E83" s="385">
        <f>3+IF(Gestion!W129&gt;0,1,0)</f>
        <v>3</v>
      </c>
      <c r="F83" s="389" t="s">
        <v>2565</v>
      </c>
      <c r="G83" s="390">
        <f>0.5-IF(Gestion!$W$99&gt;0,0.5,0)</f>
        <v>0.5</v>
      </c>
      <c r="H83" s="385"/>
      <c r="I83" s="385"/>
      <c r="J83" s="385"/>
      <c r="K83" s="419" t="str">
        <f t="shared" si="1"/>
        <v xml:space="preserve">  </v>
      </c>
      <c r="L83" s="391">
        <v>20</v>
      </c>
      <c r="M83" s="392">
        <v>75</v>
      </c>
      <c r="N83" s="406" t="s">
        <v>2578</v>
      </c>
      <c r="O83" s="447"/>
      <c r="P83" s="447"/>
    </row>
    <row r="84" spans="1:16">
      <c r="A84" s="388" t="s">
        <v>2526</v>
      </c>
      <c r="B84" s="385" t="s">
        <v>2464</v>
      </c>
      <c r="C84" s="385"/>
      <c r="D84" s="385" t="s">
        <v>2465</v>
      </c>
      <c r="E84" s="385">
        <f>3+IF(Gestion!W129&gt;0,1,0)</f>
        <v>3</v>
      </c>
      <c r="F84" s="389" t="s">
        <v>2522</v>
      </c>
      <c r="G84" s="390">
        <f>0.5-IF(Gestion!$W$99&gt;0,0.5,0)</f>
        <v>0.5</v>
      </c>
      <c r="H84" s="385"/>
      <c r="I84" s="385"/>
      <c r="J84" s="385"/>
      <c r="K84" s="419" t="str">
        <f t="shared" si="1"/>
        <v xml:space="preserve">  </v>
      </c>
      <c r="L84" s="391">
        <v>7</v>
      </c>
      <c r="M84" s="392">
        <v>75</v>
      </c>
      <c r="N84" s="392" t="s">
        <v>2574</v>
      </c>
      <c r="O84" s="447"/>
      <c r="P84" s="447"/>
    </row>
    <row r="85" spans="1:16">
      <c r="A85" s="388" t="s">
        <v>2902</v>
      </c>
      <c r="B85" s="385" t="s">
        <v>2464</v>
      </c>
      <c r="C85" s="385"/>
      <c r="D85" s="385" t="s">
        <v>2465</v>
      </c>
      <c r="E85" s="385">
        <f>3+IF(Gestion!W129&gt;0,1,0)</f>
        <v>3</v>
      </c>
      <c r="F85" s="389" t="s">
        <v>2522</v>
      </c>
      <c r="G85" s="390">
        <f>0.5-IF(Gestion!$W$99&gt;0,0.5,0)</f>
        <v>0.5</v>
      </c>
      <c r="H85" s="385" t="s">
        <v>2478</v>
      </c>
      <c r="I85" s="385"/>
      <c r="J85" s="385"/>
      <c r="K85" s="419" t="str">
        <f t="shared" si="1"/>
        <v xml:space="preserve">Précise  </v>
      </c>
      <c r="L85" s="391">
        <v>10</v>
      </c>
      <c r="M85" s="392">
        <v>65</v>
      </c>
      <c r="N85" s="406" t="s">
        <v>2607</v>
      </c>
      <c r="O85" s="447"/>
      <c r="P85" s="447"/>
    </row>
    <row r="86" spans="1:16">
      <c r="A86" s="388" t="s">
        <v>2557</v>
      </c>
      <c r="B86" s="385" t="s">
        <v>2464</v>
      </c>
      <c r="C86" s="385"/>
      <c r="D86" s="385" t="s">
        <v>2465</v>
      </c>
      <c r="E86" s="385">
        <f>5+IF(Gestion!W129&gt;0,1,0)</f>
        <v>5</v>
      </c>
      <c r="F86" s="389" t="s">
        <v>2561</v>
      </c>
      <c r="G86" s="390">
        <f>6-IF(Gestion!W99&gt;0,0.5,0)</f>
        <v>6</v>
      </c>
      <c r="H86" s="385"/>
      <c r="I86" s="385"/>
      <c r="J86" s="385"/>
      <c r="K86" s="419" t="str">
        <f t="shared" si="1"/>
        <v xml:space="preserve">  </v>
      </c>
      <c r="L86" s="391">
        <v>150</v>
      </c>
      <c r="M86" s="392">
        <v>200</v>
      </c>
      <c r="N86" s="392" t="s">
        <v>2607</v>
      </c>
      <c r="O86" s="447"/>
      <c r="P86" s="447"/>
    </row>
    <row r="87" spans="1:16">
      <c r="A87" s="388" t="s">
        <v>2530</v>
      </c>
      <c r="B87" s="385" t="s">
        <v>2464</v>
      </c>
      <c r="C87" s="385"/>
      <c r="D87" s="385" t="s">
        <v>2465</v>
      </c>
      <c r="E87" s="385">
        <f>IF('page 1'!$H$30&gt;4,'page 1'!$H$30-4,0)+IF(Gestion!W129&gt;0,1,0)</f>
        <v>0</v>
      </c>
      <c r="F87" s="389" t="s">
        <v>2531</v>
      </c>
      <c r="G87" s="390">
        <f>0.5-IF(Gestion!W99&gt;0,0.5,0)</f>
        <v>0.5</v>
      </c>
      <c r="H87" s="385"/>
      <c r="I87" s="385"/>
      <c r="J87" s="385"/>
      <c r="K87" s="419" t="str">
        <f t="shared" si="1"/>
        <v xml:space="preserve">  </v>
      </c>
      <c r="L87" s="391">
        <v>0</v>
      </c>
      <c r="M87" s="392">
        <v>10</v>
      </c>
      <c r="N87" s="392" t="s">
        <v>2572</v>
      </c>
      <c r="O87" s="447"/>
      <c r="P87" s="447"/>
    </row>
    <row r="88" spans="1:16">
      <c r="A88" s="388" t="s">
        <v>2505</v>
      </c>
      <c r="B88" s="385" t="s">
        <v>2464</v>
      </c>
      <c r="C88" s="385" t="s">
        <v>2465</v>
      </c>
      <c r="D88" s="385"/>
      <c r="E88" s="395">
        <f>IF('page 1'!$H$30&gt;4,'page 1'!$H$30-4,0)+IF(Gestion!W36&gt;0,1,0)</f>
        <v>0</v>
      </c>
      <c r="F88" s="389" t="s">
        <v>734</v>
      </c>
      <c r="G88" s="390">
        <v>0</v>
      </c>
      <c r="H88" s="385"/>
      <c r="I88" s="385"/>
      <c r="J88" s="385"/>
      <c r="K88" s="419" t="str">
        <f t="shared" si="1"/>
        <v xml:space="preserve">  </v>
      </c>
      <c r="L88" s="391">
        <v>0</v>
      </c>
      <c r="M88" s="392">
        <v>35</v>
      </c>
      <c r="N88" s="392" t="s">
        <v>2572</v>
      </c>
      <c r="O88" s="447"/>
      <c r="P88" s="447"/>
    </row>
    <row r="89" spans="1:16">
      <c r="A89" s="388" t="s">
        <v>2558</v>
      </c>
      <c r="B89" s="385" t="s">
        <v>2464</v>
      </c>
      <c r="C89" s="385"/>
      <c r="D89" s="385" t="s">
        <v>2465</v>
      </c>
      <c r="E89" s="385">
        <f>12+IF(Gestion!W129&gt;0,1,0)</f>
        <v>12</v>
      </c>
      <c r="F89" s="389" t="s">
        <v>2562</v>
      </c>
      <c r="G89" s="390">
        <f>15-IF(Gestion!W99&gt;0,0.5,0)</f>
        <v>15</v>
      </c>
      <c r="H89" s="385" t="s">
        <v>2477</v>
      </c>
      <c r="I89" s="385"/>
      <c r="J89" s="385"/>
      <c r="K89" s="419" t="str">
        <f t="shared" si="1"/>
        <v xml:space="preserve">Perforante  </v>
      </c>
      <c r="L89" s="391">
        <v>750</v>
      </c>
      <c r="M89" s="392">
        <v>6000</v>
      </c>
      <c r="N89" s="392" t="s">
        <v>2607</v>
      </c>
      <c r="O89" s="447"/>
      <c r="P89" s="447"/>
    </row>
    <row r="90" spans="1:16">
      <c r="A90" s="396" t="s">
        <v>15425</v>
      </c>
      <c r="B90" s="385" t="s">
        <v>2464</v>
      </c>
      <c r="C90" s="385" t="s">
        <v>2465</v>
      </c>
      <c r="D90" s="385"/>
      <c r="E90" s="395">
        <f>IF('page 1'!$H$30&gt;2,'page 1'!$H$30-2,0)+IF(Gestion!W36&gt;0,1,0)</f>
        <v>0</v>
      </c>
      <c r="F90" s="389" t="s">
        <v>734</v>
      </c>
      <c r="G90" s="390">
        <v>0</v>
      </c>
      <c r="H90" s="397" t="s">
        <v>17478</v>
      </c>
      <c r="I90" s="385" t="s">
        <v>2466</v>
      </c>
      <c r="J90" s="385"/>
      <c r="K90" s="419" t="str">
        <f t="shared" si="1"/>
        <v xml:space="preserve">Assommante Défensive </v>
      </c>
      <c r="L90" s="391">
        <v>0.3</v>
      </c>
      <c r="M90" s="392">
        <v>50</v>
      </c>
      <c r="N90" s="392" t="s">
        <v>3877</v>
      </c>
      <c r="O90" s="447"/>
      <c r="P90" s="447"/>
    </row>
    <row r="91" spans="1:16">
      <c r="A91" s="388" t="s">
        <v>2506</v>
      </c>
      <c r="B91" s="385" t="s">
        <v>2464</v>
      </c>
      <c r="C91" s="385" t="s">
        <v>2465</v>
      </c>
      <c r="D91" s="385"/>
      <c r="E91" s="395">
        <f>IF('page 1'!$H$30&gt;2,'page 1'!$H$30-2,0)+IF(Gestion!W36&gt;0,1,0)</f>
        <v>0</v>
      </c>
      <c r="F91" s="389" t="s">
        <v>734</v>
      </c>
      <c r="G91" s="390">
        <v>0</v>
      </c>
      <c r="H91" s="385" t="s">
        <v>2466</v>
      </c>
      <c r="I91" s="385"/>
      <c r="J91" s="385"/>
      <c r="K91" s="419" t="str">
        <f t="shared" si="1"/>
        <v xml:space="preserve">Défensive  </v>
      </c>
      <c r="L91" s="391">
        <v>10</v>
      </c>
      <c r="M91" s="392">
        <v>50</v>
      </c>
      <c r="N91" s="392" t="s">
        <v>2574</v>
      </c>
      <c r="O91" s="447"/>
      <c r="P91" s="447"/>
    </row>
    <row r="92" spans="1:16">
      <c r="A92" s="398" t="s">
        <v>3806</v>
      </c>
      <c r="B92" s="399" t="s">
        <v>2464</v>
      </c>
      <c r="C92" s="399" t="s">
        <v>2465</v>
      </c>
      <c r="D92" s="399"/>
      <c r="E92" s="399">
        <f>IF('page 1'!$H$30&gt;2,'page 1'!$H$30-2,0)+IF(Gestion!W36&gt;0,1,0)</f>
        <v>0</v>
      </c>
      <c r="F92" s="400" t="s">
        <v>734</v>
      </c>
      <c r="G92" s="401">
        <v>0</v>
      </c>
      <c r="H92" s="399" t="s">
        <v>2480</v>
      </c>
      <c r="I92" s="399"/>
      <c r="J92" s="385"/>
      <c r="K92" s="419" t="str">
        <f t="shared" si="1"/>
        <v xml:space="preserve">Spéciale  </v>
      </c>
      <c r="L92" s="391">
        <v>20</v>
      </c>
      <c r="M92" s="392">
        <v>50</v>
      </c>
      <c r="N92" s="406" t="s">
        <v>2578</v>
      </c>
      <c r="O92" s="447"/>
      <c r="P92" s="447"/>
    </row>
    <row r="93" spans="1:16">
      <c r="A93" s="396" t="str">
        <f>IF(Pays="Inja","Tulwar","Cimeterre")</f>
        <v>Cimeterre</v>
      </c>
      <c r="B93" s="399" t="s">
        <v>2464</v>
      </c>
      <c r="C93" s="397" t="s">
        <v>2465</v>
      </c>
      <c r="D93" s="385"/>
      <c r="E93" s="399">
        <f>IF('page 1'!$H$30&gt;4,'page 1'!$H$30-1,0)+IF(Gestion!W36&gt;0,1,0)</f>
        <v>0</v>
      </c>
      <c r="F93" s="407" t="s">
        <v>734</v>
      </c>
      <c r="G93" s="390">
        <v>0</v>
      </c>
      <c r="H93" s="385" t="s">
        <v>2479</v>
      </c>
      <c r="I93" s="385"/>
      <c r="J93" s="385"/>
      <c r="K93" s="419" t="str">
        <f>CONCATENATE(H93," ",I93," ",J93)</f>
        <v xml:space="preserve">Rapide  </v>
      </c>
      <c r="L93" s="391">
        <v>15</v>
      </c>
      <c r="M93" s="392">
        <v>40</v>
      </c>
      <c r="N93" s="392" t="s">
        <v>2607</v>
      </c>
      <c r="O93" s="447"/>
      <c r="P93" s="447"/>
    </row>
    <row r="94" spans="1:16">
      <c r="A94" s="440" t="s">
        <v>9335</v>
      </c>
      <c r="B94" s="399" t="s">
        <v>2464</v>
      </c>
      <c r="C94" s="399" t="s">
        <v>2465</v>
      </c>
      <c r="D94" s="425"/>
      <c r="E94" s="399">
        <f>IF('page 1'!$H$30&gt;2,'page 1'!$H$30-1,0)+IF(Gestion!W36&gt;0,1,0)</f>
        <v>0</v>
      </c>
      <c r="F94" s="400" t="s">
        <v>734</v>
      </c>
      <c r="G94" s="401">
        <v>0</v>
      </c>
      <c r="H94" s="425" t="s">
        <v>2479</v>
      </c>
      <c r="I94" s="425"/>
      <c r="J94" s="385"/>
      <c r="K94" s="419" t="str">
        <f t="shared" si="1"/>
        <v xml:space="preserve">Rapide  </v>
      </c>
      <c r="L94" s="420">
        <v>300</v>
      </c>
      <c r="M94" s="421">
        <v>30</v>
      </c>
      <c r="N94" s="439" t="s">
        <v>2607</v>
      </c>
      <c r="O94" s="447"/>
      <c r="P94" s="447"/>
    </row>
    <row r="95" spans="1:16">
      <c r="A95" s="388" t="s">
        <v>2508</v>
      </c>
      <c r="B95" s="399" t="s">
        <v>2464</v>
      </c>
      <c r="C95" s="385" t="s">
        <v>2465</v>
      </c>
      <c r="D95" s="385"/>
      <c r="E95" s="395">
        <f>IF('page 1'!$H$30&gt;3,'page 1'!$H$30-3,0)+IF(Gestion!W36&gt;0,1,0)</f>
        <v>0</v>
      </c>
      <c r="F95" s="389" t="s">
        <v>734</v>
      </c>
      <c r="G95" s="390">
        <v>0</v>
      </c>
      <c r="H95" s="385"/>
      <c r="I95" s="385"/>
      <c r="J95" s="385"/>
      <c r="K95" s="419" t="str">
        <f t="shared" si="1"/>
        <v xml:space="preserve">  </v>
      </c>
      <c r="L95" s="391">
        <v>1</v>
      </c>
      <c r="M95" s="392">
        <v>10</v>
      </c>
      <c r="N95" s="392" t="s">
        <v>2574</v>
      </c>
      <c r="O95" s="447"/>
      <c r="P95" s="447"/>
    </row>
    <row r="96" spans="1:16">
      <c r="A96" s="388" t="s">
        <v>2836</v>
      </c>
      <c r="B96" s="399" t="s">
        <v>2464</v>
      </c>
      <c r="C96" s="385" t="s">
        <v>2465</v>
      </c>
      <c r="D96" s="385"/>
      <c r="E96" s="385">
        <f>IF('page 1'!$H$30&gt;4,'page 1'!$H$2911,0)+IF(Gestion!W36&gt;0,1,0)</f>
        <v>0</v>
      </c>
      <c r="F96" s="389" t="s">
        <v>734</v>
      </c>
      <c r="G96" s="390">
        <v>0</v>
      </c>
      <c r="H96" s="385" t="s">
        <v>2466</v>
      </c>
      <c r="I96" s="397" t="s">
        <v>16689</v>
      </c>
      <c r="J96" s="385"/>
      <c r="K96" s="419" t="str">
        <f t="shared" si="1"/>
        <v xml:space="preserve">Défensive Équilibrée </v>
      </c>
      <c r="L96" s="391">
        <v>20</v>
      </c>
      <c r="M96" s="392">
        <v>15</v>
      </c>
      <c r="N96" s="392" t="s">
        <v>2572</v>
      </c>
      <c r="O96" s="447"/>
      <c r="P96" s="447"/>
    </row>
    <row r="97" spans="1:16">
      <c r="A97" s="656" t="s">
        <v>17482</v>
      </c>
      <c r="B97" s="399" t="s">
        <v>2464</v>
      </c>
      <c r="C97" s="394" t="s">
        <v>2465</v>
      </c>
      <c r="D97" s="394"/>
      <c r="E97" s="395">
        <f>IF('page 1'!$H$30&gt;0,'page 1'!$H$30,0)+IF(Gestion!W36&gt;0,1,0)</f>
        <v>0</v>
      </c>
      <c r="F97" s="393" t="s">
        <v>734</v>
      </c>
      <c r="G97" s="390">
        <v>0</v>
      </c>
      <c r="H97" s="393"/>
      <c r="I97" s="385"/>
      <c r="J97" s="385"/>
      <c r="K97" s="419" t="str">
        <f t="shared" si="1"/>
        <v xml:space="preserve">  </v>
      </c>
      <c r="L97" s="391">
        <v>10</v>
      </c>
      <c r="M97" s="392">
        <v>50</v>
      </c>
      <c r="N97" s="392" t="s">
        <v>2578</v>
      </c>
      <c r="O97" s="447"/>
      <c r="P97" s="447"/>
    </row>
    <row r="98" spans="1:16">
      <c r="A98" s="664" t="s">
        <v>12884</v>
      </c>
      <c r="B98" s="399" t="s">
        <v>2464</v>
      </c>
      <c r="C98" s="394" t="s">
        <v>2465</v>
      </c>
      <c r="D98" s="394"/>
      <c r="E98" s="395">
        <f>IF('page 1'!$H$30&gt;0,'page 1'!$H$30+1,0)+IF(Gestion!W36&gt;0,1,0)</f>
        <v>0</v>
      </c>
      <c r="F98" s="393" t="s">
        <v>734</v>
      </c>
      <c r="G98" s="390">
        <v>0</v>
      </c>
      <c r="H98" s="663" t="s">
        <v>2475</v>
      </c>
      <c r="I98" s="419"/>
      <c r="J98" s="419"/>
      <c r="K98" s="419" t="str">
        <f t="shared" si="1"/>
        <v xml:space="preserve">Lente  </v>
      </c>
      <c r="L98" s="420">
        <v>14</v>
      </c>
      <c r="M98" s="421">
        <v>80</v>
      </c>
      <c r="N98" s="439" t="s">
        <v>2572</v>
      </c>
      <c r="O98" s="447"/>
      <c r="P98" s="447"/>
    </row>
    <row r="99" spans="1:16">
      <c r="A99" s="665" t="s">
        <v>12893</v>
      </c>
      <c r="B99" s="399" t="s">
        <v>2464</v>
      </c>
      <c r="C99" s="394" t="s">
        <v>2465</v>
      </c>
      <c r="D99" s="394"/>
      <c r="E99" s="395">
        <f>IF('page 1'!$H$30&gt;0,'page 1'!$H$30-2,0)+IF(Gestion!W36&gt;0,1,0)</f>
        <v>0</v>
      </c>
      <c r="F99" s="393" t="s">
        <v>734</v>
      </c>
      <c r="G99" s="390">
        <v>0</v>
      </c>
      <c r="H99" s="666" t="s">
        <v>2475</v>
      </c>
      <c r="I99" s="666" t="s">
        <v>2483</v>
      </c>
      <c r="J99" s="666"/>
      <c r="K99" s="419" t="str">
        <f t="shared" si="1"/>
        <v xml:space="preserve">Lente Peu Fiable </v>
      </c>
      <c r="L99" s="420">
        <v>1</v>
      </c>
      <c r="M99" s="421">
        <v>25</v>
      </c>
      <c r="N99" s="439" t="s">
        <v>2574</v>
      </c>
      <c r="O99" s="447"/>
      <c r="P99" s="447"/>
    </row>
    <row r="100" spans="1:16">
      <c r="A100" s="664" t="s">
        <v>12890</v>
      </c>
      <c r="B100" s="399" t="s">
        <v>2464</v>
      </c>
      <c r="C100" s="394" t="s">
        <v>2465</v>
      </c>
      <c r="D100" s="394"/>
      <c r="E100" s="395">
        <f>IF('page 1'!$H$30&gt;0,'page 1'!$H$30+1,0)+IF(Gestion!W37&gt;0,1,0)</f>
        <v>0</v>
      </c>
      <c r="F100" s="393" t="s">
        <v>734</v>
      </c>
      <c r="G100" s="390">
        <v>0</v>
      </c>
      <c r="H100" s="663" t="s">
        <v>2475</v>
      </c>
      <c r="I100" s="419" t="s">
        <v>2473</v>
      </c>
      <c r="J100" s="419"/>
      <c r="K100" s="419" t="str">
        <f t="shared" si="1"/>
        <v xml:space="preserve">Lente Percutante </v>
      </c>
      <c r="L100" s="420">
        <v>20</v>
      </c>
      <c r="M100" s="421">
        <v>80</v>
      </c>
      <c r="N100" s="439" t="s">
        <v>2572</v>
      </c>
      <c r="O100" s="447"/>
      <c r="P100" s="447"/>
    </row>
    <row r="101" spans="1:16">
      <c r="A101" s="388" t="s">
        <v>2512</v>
      </c>
      <c r="B101" s="399" t="s">
        <v>2464</v>
      </c>
      <c r="C101" s="385" t="s">
        <v>2465</v>
      </c>
      <c r="D101" s="385"/>
      <c r="E101" s="395">
        <f>IF('page 1'!$H$30&gt;3,'page 1'!$H$30-3,0)+IF(Gestion!W36&gt;0,1,0)</f>
        <v>0</v>
      </c>
      <c r="F101" s="389" t="s">
        <v>734</v>
      </c>
      <c r="G101" s="390">
        <v>0</v>
      </c>
      <c r="H101" s="397" t="s">
        <v>17478</v>
      </c>
      <c r="I101" s="385"/>
      <c r="J101" s="385"/>
      <c r="K101" s="419" t="str">
        <f t="shared" si="1"/>
        <v xml:space="preserve">Assommante  </v>
      </c>
      <c r="L101" s="391">
        <v>1</v>
      </c>
      <c r="M101" s="392">
        <v>1</v>
      </c>
      <c r="N101" s="392" t="s">
        <v>2574</v>
      </c>
      <c r="O101" s="447"/>
      <c r="P101" s="447"/>
    </row>
    <row r="102" spans="1:16">
      <c r="A102" s="396" t="s">
        <v>4910</v>
      </c>
      <c r="B102" s="399" t="s">
        <v>2464</v>
      </c>
      <c r="C102" s="397" t="s">
        <v>2465</v>
      </c>
      <c r="D102" s="385"/>
      <c r="E102" s="395">
        <f>IF('page 1'!$H$30&gt;3,'page 1'!$H$30-3,0)+IF(Gestion!W36&gt;0,1,0)</f>
        <v>0</v>
      </c>
      <c r="F102" s="407" t="s">
        <v>734</v>
      </c>
      <c r="G102" s="390">
        <v>0</v>
      </c>
      <c r="H102" s="385"/>
      <c r="I102" s="385"/>
      <c r="J102" s="397"/>
      <c r="K102" s="419" t="str">
        <f t="shared" si="1"/>
        <v xml:space="preserve">  </v>
      </c>
      <c r="L102" s="391">
        <v>1</v>
      </c>
      <c r="M102" s="392">
        <v>1</v>
      </c>
      <c r="N102" s="392" t="s">
        <v>2607</v>
      </c>
      <c r="O102" s="447"/>
      <c r="P102" s="447"/>
    </row>
    <row r="103" spans="1:16">
      <c r="A103" s="388" t="s">
        <v>2838</v>
      </c>
      <c r="B103" s="399" t="s">
        <v>2464</v>
      </c>
      <c r="C103" s="385" t="s">
        <v>2465</v>
      </c>
      <c r="D103" s="385"/>
      <c r="E103" s="385">
        <f>IF('page 1'!$H$30&gt;4,'page 1'!$H$30-3,0)+IF(Gestion!W36&gt;0,1,0)</f>
        <v>0</v>
      </c>
      <c r="F103" s="389" t="s">
        <v>734</v>
      </c>
      <c r="G103" s="390">
        <v>0</v>
      </c>
      <c r="H103" s="385" t="s">
        <v>2480</v>
      </c>
      <c r="I103" s="385"/>
      <c r="J103" s="385"/>
      <c r="K103" s="419" t="str">
        <f t="shared" si="1"/>
        <v xml:space="preserve">Spéciale  </v>
      </c>
      <c r="L103" s="391">
        <v>40</v>
      </c>
      <c r="M103" s="392">
        <v>10</v>
      </c>
      <c r="N103" s="392" t="s">
        <v>2578</v>
      </c>
      <c r="O103" s="447"/>
      <c r="P103" s="447"/>
    </row>
    <row r="104" spans="1:16">
      <c r="A104" s="388" t="s">
        <v>2470</v>
      </c>
      <c r="B104" s="399" t="s">
        <v>2464</v>
      </c>
      <c r="C104" s="394" t="s">
        <v>2465</v>
      </c>
      <c r="D104" s="385"/>
      <c r="E104" s="395">
        <f>IF('page 1'!$H$30&gt;0,'page 1'!$H$30,0)+IF(Gestion!W36&gt;0,1,0)</f>
        <v>0</v>
      </c>
      <c r="F104" s="393" t="s">
        <v>734</v>
      </c>
      <c r="G104" s="390">
        <v>0</v>
      </c>
      <c r="H104" s="385" t="s">
        <v>2473</v>
      </c>
      <c r="I104" s="385"/>
      <c r="J104" s="385"/>
      <c r="K104" s="419" t="str">
        <f t="shared" si="1"/>
        <v xml:space="preserve">Percutante  </v>
      </c>
      <c r="L104" s="391">
        <v>60</v>
      </c>
      <c r="M104" s="392">
        <v>45</v>
      </c>
      <c r="N104" s="392" t="s">
        <v>2578</v>
      </c>
      <c r="O104" s="447"/>
      <c r="P104" s="447"/>
    </row>
    <row r="105" spans="1:16">
      <c r="A105" s="396" t="s">
        <v>4663</v>
      </c>
      <c r="B105" s="399" t="s">
        <v>2464</v>
      </c>
      <c r="C105" s="385"/>
      <c r="D105" s="385" t="s">
        <v>2465</v>
      </c>
      <c r="E105" s="385">
        <f>IF('page 1'!$H$31&gt;1,'page 1'!$H$31-1,0)+IF(Gestion!W129&gt;0,1,0)</f>
        <v>0</v>
      </c>
      <c r="F105" s="389" t="s">
        <v>2534</v>
      </c>
      <c r="G105" s="390">
        <f>0.5-IF(Gestion!W99&gt;0,0.5,0)</f>
        <v>0.5</v>
      </c>
      <c r="H105" s="385"/>
      <c r="I105" s="385"/>
      <c r="J105" s="385"/>
      <c r="K105" s="419" t="str">
        <f t="shared" si="1"/>
        <v xml:space="preserve">  </v>
      </c>
      <c r="L105" s="391">
        <v>2.5</v>
      </c>
      <c r="M105" s="392">
        <v>30</v>
      </c>
      <c r="N105" s="392" t="s">
        <v>2572</v>
      </c>
      <c r="O105" s="447"/>
      <c r="P105" s="447"/>
    </row>
    <row r="106" spans="1:16">
      <c r="A106" s="656" t="s">
        <v>12762</v>
      </c>
      <c r="B106" s="399" t="s">
        <v>2464</v>
      </c>
      <c r="C106" s="394" t="s">
        <v>2465</v>
      </c>
      <c r="D106" s="394"/>
      <c r="E106" s="395">
        <f>IF('page 1'!$H$30&gt;0,'page 1'!$H$30+1,0)+IF(Gestion!W36&gt;0,1,0)</f>
        <v>0</v>
      </c>
      <c r="F106" s="393" t="s">
        <v>734</v>
      </c>
      <c r="G106" s="390">
        <v>0</v>
      </c>
      <c r="H106" s="413" t="s">
        <v>16689</v>
      </c>
      <c r="I106" s="385" t="s">
        <v>2477</v>
      </c>
      <c r="J106" s="385"/>
      <c r="K106" s="419" t="str">
        <f>CONCATENATE(H106," ",I106," ",J106)</f>
        <v xml:space="preserve">Équilibrée Perforante </v>
      </c>
      <c r="L106" s="391">
        <v>500</v>
      </c>
      <c r="M106" s="392">
        <v>45</v>
      </c>
      <c r="N106" s="406" t="s">
        <v>2608</v>
      </c>
      <c r="O106" s="447"/>
      <c r="P106" s="447"/>
    </row>
    <row r="107" spans="1:16">
      <c r="A107" s="388" t="s">
        <v>2515</v>
      </c>
      <c r="B107" s="385" t="s">
        <v>2464</v>
      </c>
      <c r="C107" s="385" t="s">
        <v>2465</v>
      </c>
      <c r="D107" s="385"/>
      <c r="E107" s="395">
        <f>IF('page 1'!$H$30&gt;0,'page 1'!$H$30,0)+IF(Gestion!W36&gt;0,1,0)</f>
        <v>0</v>
      </c>
      <c r="F107" s="389" t="s">
        <v>734</v>
      </c>
      <c r="G107" s="390">
        <v>0</v>
      </c>
      <c r="H107" s="385" t="s">
        <v>2479</v>
      </c>
      <c r="I107" s="385"/>
      <c r="J107" s="385"/>
      <c r="K107" s="419" t="str">
        <f t="shared" si="1"/>
        <v xml:space="preserve">Rapide  </v>
      </c>
      <c r="L107" s="391">
        <v>10</v>
      </c>
      <c r="M107" s="392">
        <v>50</v>
      </c>
      <c r="N107" s="392" t="s">
        <v>2574</v>
      </c>
      <c r="O107" s="447"/>
      <c r="P107" s="447"/>
    </row>
    <row r="108" spans="1:16">
      <c r="A108" s="388" t="s">
        <v>2484</v>
      </c>
      <c r="B108" s="385" t="s">
        <v>2464</v>
      </c>
      <c r="C108" s="385" t="s">
        <v>2465</v>
      </c>
      <c r="D108" s="385"/>
      <c r="E108" s="395">
        <f>IF('page 1'!$H$30&gt;0,'page 1'!$H$30+1,0)+IF(Gestion!W36&gt;0,1,0)</f>
        <v>0</v>
      </c>
      <c r="F108" s="389" t="s">
        <v>734</v>
      </c>
      <c r="G108" s="390">
        <v>0</v>
      </c>
      <c r="H108" s="385" t="s">
        <v>2479</v>
      </c>
      <c r="I108" s="385"/>
      <c r="J108" s="385"/>
      <c r="K108" s="419" t="str">
        <f t="shared" si="1"/>
        <v xml:space="preserve">Rapide  </v>
      </c>
      <c r="L108" s="391">
        <v>1000</v>
      </c>
      <c r="M108" s="392">
        <v>50</v>
      </c>
      <c r="N108" s="406" t="s">
        <v>8801</v>
      </c>
      <c r="O108" s="447"/>
      <c r="P108" s="447"/>
    </row>
    <row r="109" spans="1:16">
      <c r="A109" s="396" t="s">
        <v>4912</v>
      </c>
      <c r="B109" s="385" t="s">
        <v>2464</v>
      </c>
      <c r="C109" s="385"/>
      <c r="D109" s="385" t="s">
        <v>2465</v>
      </c>
      <c r="E109" s="385">
        <f>IF('page 1'!$H$30&gt;0,'page 1'!$H$31,0)+IF(Gestion!W129&gt;0,1,0)</f>
        <v>0</v>
      </c>
      <c r="F109" s="389" t="s">
        <v>2541</v>
      </c>
      <c r="G109" s="390">
        <f>0.5-IF(Gestion!W99&gt;0,0.5,0)</f>
        <v>0.5</v>
      </c>
      <c r="H109" s="385"/>
      <c r="I109" s="385"/>
      <c r="J109" s="385"/>
      <c r="K109" s="419" t="str">
        <f t="shared" si="1"/>
        <v xml:space="preserve">  </v>
      </c>
      <c r="L109" s="391">
        <v>10</v>
      </c>
      <c r="M109" s="392">
        <v>50</v>
      </c>
      <c r="N109" s="392" t="s">
        <v>2574</v>
      </c>
      <c r="O109" s="447"/>
      <c r="P109" s="447"/>
    </row>
    <row r="110" spans="1:16">
      <c r="A110" s="388" t="s">
        <v>2633</v>
      </c>
      <c r="B110" s="385" t="s">
        <v>2464</v>
      </c>
      <c r="C110" s="385" t="s">
        <v>2465</v>
      </c>
      <c r="D110" s="385"/>
      <c r="E110" s="385">
        <f>IF('page 1'!$H$30&gt;4,'page 1'!$H$30-4,0)+IF(Gestion!W36&gt;0,1,0)+IF(Gestion!W14&gt;0,1,0)</f>
        <v>0</v>
      </c>
      <c r="F110" s="389" t="s">
        <v>734</v>
      </c>
      <c r="G110" s="390">
        <v>0</v>
      </c>
      <c r="H110" s="385" t="s">
        <v>2480</v>
      </c>
      <c r="I110" s="385"/>
      <c r="J110" s="385"/>
      <c r="K110" s="419" t="str">
        <f t="shared" si="1"/>
        <v xml:space="preserve">Spéciale  </v>
      </c>
      <c r="L110" s="391">
        <v>0</v>
      </c>
      <c r="M110" s="392">
        <v>0</v>
      </c>
      <c r="N110" s="392" t="s">
        <v>141</v>
      </c>
      <c r="O110" s="447"/>
      <c r="P110" s="447"/>
    </row>
    <row r="111" spans="1:16">
      <c r="A111" s="388" t="s">
        <v>2471</v>
      </c>
      <c r="B111" s="393" t="s">
        <v>2464</v>
      </c>
      <c r="C111" s="394" t="s">
        <v>2465</v>
      </c>
      <c r="D111" s="385"/>
      <c r="E111" s="395">
        <f>IF('page 1'!$H$30&gt;0,'page 1'!$H$30,0)+IF(Gestion!W36&gt;0,1,0)</f>
        <v>0</v>
      </c>
      <c r="F111" s="393" t="s">
        <v>734</v>
      </c>
      <c r="G111" s="390">
        <v>0</v>
      </c>
      <c r="H111" s="397" t="s">
        <v>17478</v>
      </c>
      <c r="I111" s="385"/>
      <c r="J111" s="385"/>
      <c r="K111" s="419" t="str">
        <f t="shared" si="1"/>
        <v xml:space="preserve">Assommante  </v>
      </c>
      <c r="L111" s="391">
        <v>70</v>
      </c>
      <c r="M111" s="392">
        <v>65</v>
      </c>
      <c r="N111" s="392" t="s">
        <v>2578</v>
      </c>
      <c r="O111" s="447"/>
      <c r="P111" s="447"/>
    </row>
    <row r="112" spans="1:16">
      <c r="A112" s="396" t="s">
        <v>7648</v>
      </c>
      <c r="B112" s="393" t="s">
        <v>2464</v>
      </c>
      <c r="C112" s="412" t="s">
        <v>2465</v>
      </c>
      <c r="D112" s="385"/>
      <c r="E112" s="395">
        <f>IF('page 1'!$H$30&gt;0,'page 1'!$H$30,-1)+IF(Gestion!W36&gt;0,1,0)</f>
        <v>-1</v>
      </c>
      <c r="F112" s="393" t="s">
        <v>734</v>
      </c>
      <c r="G112" s="390">
        <v>0</v>
      </c>
      <c r="H112" s="397" t="s">
        <v>17478</v>
      </c>
      <c r="I112" s="385"/>
      <c r="J112" s="385"/>
      <c r="K112" s="419" t="str">
        <f t="shared" si="1"/>
        <v xml:space="preserve">Assommante  </v>
      </c>
      <c r="L112" s="391">
        <v>3</v>
      </c>
      <c r="M112" s="392">
        <v>30</v>
      </c>
      <c r="N112" s="392" t="s">
        <v>141</v>
      </c>
      <c r="O112" s="447"/>
      <c r="P112" s="447"/>
    </row>
    <row r="113" spans="1:16">
      <c r="A113" s="396" t="s">
        <v>7649</v>
      </c>
      <c r="B113" s="393" t="s">
        <v>2464</v>
      </c>
      <c r="C113" s="412" t="s">
        <v>2465</v>
      </c>
      <c r="D113" s="385"/>
      <c r="E113" s="395">
        <f>IF('page 1'!$H$30&gt;0,'page 1'!$H$30,-1)+IF(Gestion!W36&gt;0,1,0)</f>
        <v>-1</v>
      </c>
      <c r="F113" s="393" t="s">
        <v>734</v>
      </c>
      <c r="G113" s="390">
        <v>0</v>
      </c>
      <c r="H113" s="385" t="s">
        <v>2477</v>
      </c>
      <c r="I113" s="385"/>
      <c r="J113" s="385"/>
      <c r="K113" s="419" t="str">
        <f t="shared" si="1"/>
        <v xml:space="preserve">Perforante  </v>
      </c>
      <c r="L113" s="391">
        <v>4</v>
      </c>
      <c r="M113" s="392">
        <v>30</v>
      </c>
      <c r="N113" s="392" t="s">
        <v>2574</v>
      </c>
      <c r="O113" s="447"/>
      <c r="P113" s="447"/>
    </row>
    <row r="114" spans="1:16">
      <c r="A114" s="396" t="s">
        <v>7650</v>
      </c>
      <c r="B114" s="393" t="s">
        <v>2464</v>
      </c>
      <c r="C114" s="412" t="s">
        <v>2465</v>
      </c>
      <c r="D114" s="385"/>
      <c r="E114" s="395">
        <f>IF('page 1'!$H$30&gt;0,'page 1'!$H$30,-1)+IF(Gestion!W36&gt;0,1,0)</f>
        <v>-1</v>
      </c>
      <c r="F114" s="413" t="s">
        <v>734</v>
      </c>
      <c r="G114" s="390">
        <v>0</v>
      </c>
      <c r="H114" s="385" t="s">
        <v>2478</v>
      </c>
      <c r="I114" s="385" t="s">
        <v>2479</v>
      </c>
      <c r="J114" s="385"/>
      <c r="K114" s="419" t="str">
        <f t="shared" si="1"/>
        <v xml:space="preserve">Précise Rapide </v>
      </c>
      <c r="L114" s="391">
        <v>16</v>
      </c>
      <c r="M114" s="392">
        <v>10</v>
      </c>
      <c r="N114" s="392" t="s">
        <v>2607</v>
      </c>
      <c r="O114" s="447"/>
      <c r="P114" s="447"/>
    </row>
    <row r="115" spans="1:16">
      <c r="A115" s="388" t="s">
        <v>2559</v>
      </c>
      <c r="B115" s="385" t="s">
        <v>2464</v>
      </c>
      <c r="C115" s="385"/>
      <c r="D115" s="385" t="s">
        <v>2465</v>
      </c>
      <c r="E115" s="385">
        <f>10+IF(Gestion!W129&gt;0,1,0)</f>
        <v>10</v>
      </c>
      <c r="F115" s="389" t="s">
        <v>2563</v>
      </c>
      <c r="G115" s="390">
        <f>12-IF(Gestion!W99&gt;0,0.5,0)</f>
        <v>12</v>
      </c>
      <c r="H115" s="385"/>
      <c r="I115" s="385"/>
      <c r="J115" s="385"/>
      <c r="K115" s="419" t="str">
        <f t="shared" si="1"/>
        <v xml:space="preserve">  </v>
      </c>
      <c r="L115" s="391">
        <v>550</v>
      </c>
      <c r="M115" s="392">
        <v>4500</v>
      </c>
      <c r="N115" s="392" t="s">
        <v>2608</v>
      </c>
      <c r="O115" s="447"/>
      <c r="P115" s="447"/>
    </row>
    <row r="116" spans="1:16">
      <c r="A116" s="396" t="s">
        <v>7653</v>
      </c>
      <c r="B116" s="385" t="s">
        <v>2464</v>
      </c>
      <c r="C116" s="397" t="s">
        <v>2465</v>
      </c>
      <c r="D116" s="385"/>
      <c r="E116" s="395">
        <f>IF('page 1'!$H$30&gt;3,'page 1'!$H$30-3,0)+IF(Gestion!W3&gt;0,1,0)</f>
        <v>0</v>
      </c>
      <c r="F116" s="407" t="s">
        <v>734</v>
      </c>
      <c r="G116" s="390">
        <v>0</v>
      </c>
      <c r="H116" s="385" t="s">
        <v>2466</v>
      </c>
      <c r="I116" s="385" t="s">
        <v>2477</v>
      </c>
      <c r="J116" s="385"/>
      <c r="K116" s="419" t="str">
        <f t="shared" si="1"/>
        <v xml:space="preserve">Défensive Perforante </v>
      </c>
      <c r="L116" s="391">
        <v>15</v>
      </c>
      <c r="M116" s="392">
        <v>60</v>
      </c>
      <c r="N116" s="392" t="s">
        <v>2572</v>
      </c>
      <c r="O116" s="447"/>
      <c r="P116" s="447"/>
    </row>
    <row r="117" spans="1:16">
      <c r="A117" s="388" t="s">
        <v>2472</v>
      </c>
      <c r="B117" s="393" t="s">
        <v>2464</v>
      </c>
      <c r="C117" s="394" t="s">
        <v>2465</v>
      </c>
      <c r="D117" s="385"/>
      <c r="E117" s="395">
        <f>IF('page 1'!$H$30&gt;0,'page 1'!$H$30,0)+IF(Gestion!W36&gt;0,1,0)</f>
        <v>0</v>
      </c>
      <c r="F117" s="393" t="s">
        <v>734</v>
      </c>
      <c r="G117" s="390">
        <v>0</v>
      </c>
      <c r="H117" s="385" t="s">
        <v>2475</v>
      </c>
      <c r="I117" s="385" t="s">
        <v>2477</v>
      </c>
      <c r="J117" s="385"/>
      <c r="K117" s="419" t="str">
        <f t="shared" si="1"/>
        <v xml:space="preserve">Lente Perforante </v>
      </c>
      <c r="L117" s="391">
        <v>90</v>
      </c>
      <c r="M117" s="392">
        <v>60</v>
      </c>
      <c r="N117" s="392" t="s">
        <v>2608</v>
      </c>
      <c r="O117" s="447"/>
      <c r="P117" s="447"/>
    </row>
    <row r="118" spans="1:16">
      <c r="A118" s="396" t="s">
        <v>4600</v>
      </c>
      <c r="B118" s="385" t="s">
        <v>2464</v>
      </c>
      <c r="C118" s="385" t="s">
        <v>2465</v>
      </c>
      <c r="D118" s="385"/>
      <c r="E118" s="395">
        <f>IF('page 1'!$H$30&gt;3,'page 1'!$H$30-3,0)+IF(Gestion!W74&gt;0,1,0)</f>
        <v>0</v>
      </c>
      <c r="F118" s="389" t="s">
        <v>734</v>
      </c>
      <c r="G118" s="390">
        <v>0</v>
      </c>
      <c r="H118" s="385"/>
      <c r="I118" s="385"/>
      <c r="J118" s="385"/>
      <c r="K118" s="419" t="str">
        <f t="shared" si="1"/>
        <v xml:space="preserve">  </v>
      </c>
      <c r="L118" s="391">
        <v>1</v>
      </c>
      <c r="M118" s="392">
        <v>5</v>
      </c>
      <c r="N118" s="392" t="s">
        <v>141</v>
      </c>
      <c r="O118" s="447"/>
      <c r="P118" s="447"/>
    </row>
    <row r="119" spans="1:16">
      <c r="A119" s="388" t="s">
        <v>2560</v>
      </c>
      <c r="B119" s="385" t="s">
        <v>2464</v>
      </c>
      <c r="C119" s="385"/>
      <c r="D119" s="385" t="s">
        <v>2465</v>
      </c>
      <c r="E119" s="385">
        <f>8+IF(Gestion!W129&gt;0,1,0)</f>
        <v>8</v>
      </c>
      <c r="F119" s="389" t="s">
        <v>2564</v>
      </c>
      <c r="G119" s="390">
        <f>10-IF(Gestion!W99&gt;0,0.5,0)</f>
        <v>10</v>
      </c>
      <c r="H119" s="385"/>
      <c r="I119" s="385"/>
      <c r="J119" s="385"/>
      <c r="K119" s="419" t="str">
        <f t="shared" si="1"/>
        <v xml:space="preserve">  </v>
      </c>
      <c r="L119" s="391">
        <v>375</v>
      </c>
      <c r="M119" s="392">
        <v>450</v>
      </c>
      <c r="N119" s="392" t="s">
        <v>2578</v>
      </c>
      <c r="O119" s="447"/>
      <c r="P119" s="447"/>
    </row>
    <row r="120" spans="1:16">
      <c r="A120" s="422" t="s">
        <v>12882</v>
      </c>
      <c r="B120" s="385" t="s">
        <v>2464</v>
      </c>
      <c r="C120" s="385" t="s">
        <v>2465</v>
      </c>
      <c r="D120" s="419"/>
      <c r="E120" s="395">
        <f>IF('page 1'!$H$30&gt;3,'page 1'!$H$30-3,0)+IF(Gestion!W35&gt;0,1,0)</f>
        <v>0</v>
      </c>
      <c r="F120" s="662" t="s">
        <v>734</v>
      </c>
      <c r="G120" s="661">
        <v>0</v>
      </c>
      <c r="H120" s="419"/>
      <c r="I120" s="419"/>
      <c r="J120" s="419"/>
      <c r="K120" s="419" t="str">
        <f>CONCATENATE(H120," ",I120," ",J120)</f>
        <v xml:space="preserve">  </v>
      </c>
      <c r="L120" s="420">
        <v>300</v>
      </c>
      <c r="M120" s="421">
        <v>25</v>
      </c>
      <c r="N120" s="439" t="s">
        <v>2608</v>
      </c>
      <c r="O120" s="447"/>
      <c r="P120" s="447"/>
    </row>
    <row r="121" spans="1:16">
      <c r="A121" s="388" t="s">
        <v>2507</v>
      </c>
      <c r="B121" s="385" t="s">
        <v>210</v>
      </c>
      <c r="C121" s="385" t="s">
        <v>2465</v>
      </c>
      <c r="D121" s="385"/>
      <c r="E121" s="395">
        <f>IF('page 1'!$H$30&gt;3,'page 1'!$H$30-3,0)+IF(Gestion!W36&gt;0,1,0)</f>
        <v>0</v>
      </c>
      <c r="F121" s="389" t="s">
        <v>734</v>
      </c>
      <c r="G121" s="390">
        <v>0</v>
      </c>
      <c r="H121" s="385" t="s">
        <v>2480</v>
      </c>
      <c r="I121" s="385"/>
      <c r="J121" s="385"/>
      <c r="K121" s="419" t="str">
        <f t="shared" si="1"/>
        <v xml:space="preserve">Spéciale  </v>
      </c>
      <c r="L121" s="391">
        <v>5</v>
      </c>
      <c r="M121" s="392">
        <v>40</v>
      </c>
      <c r="N121" s="392" t="s">
        <v>2578</v>
      </c>
      <c r="O121" s="447"/>
      <c r="P121" s="447"/>
    </row>
    <row r="122" spans="1:16">
      <c r="A122" s="388" t="s">
        <v>2516</v>
      </c>
      <c r="B122" s="385" t="s">
        <v>210</v>
      </c>
      <c r="C122" s="385" t="s">
        <v>2465</v>
      </c>
      <c r="D122" s="385"/>
      <c r="E122" s="395">
        <f>IF('page 1'!$H$30&gt;3,'page 1'!$H$30-3,0)+IF(Gestion!W36&gt;0,1,0)</f>
        <v>0</v>
      </c>
      <c r="F122" s="389" t="s">
        <v>734</v>
      </c>
      <c r="G122" s="390">
        <v>0</v>
      </c>
      <c r="H122" s="385" t="s">
        <v>2466</v>
      </c>
      <c r="I122" s="385"/>
      <c r="J122" s="385"/>
      <c r="K122" s="419" t="str">
        <f t="shared" si="1"/>
        <v xml:space="preserve">Défensive  </v>
      </c>
      <c r="L122" s="391">
        <v>4</v>
      </c>
      <c r="M122" s="392">
        <v>15</v>
      </c>
      <c r="N122" s="392" t="s">
        <v>2607</v>
      </c>
      <c r="O122" s="447"/>
      <c r="P122" s="447"/>
    </row>
    <row r="123" spans="1:16">
      <c r="A123" s="388" t="s">
        <v>2519</v>
      </c>
      <c r="B123" s="385" t="s">
        <v>210</v>
      </c>
      <c r="C123" s="385" t="s">
        <v>2465</v>
      </c>
      <c r="D123" s="385"/>
      <c r="E123" s="395">
        <f>IF('page 1'!$H$30&gt;4,'page 1'!$H$30-4,0)+IF(Gestion!W36&gt;0,1,0)</f>
        <v>0</v>
      </c>
      <c r="F123" s="389" t="s">
        <v>734</v>
      </c>
      <c r="G123" s="390">
        <v>0</v>
      </c>
      <c r="H123" s="397" t="s">
        <v>17478</v>
      </c>
      <c r="I123" s="385" t="s">
        <v>2466</v>
      </c>
      <c r="J123" s="385"/>
      <c r="K123" s="419" t="str">
        <f t="shared" si="1"/>
        <v xml:space="preserve">Assommante Défensive </v>
      </c>
      <c r="L123" s="391">
        <v>2</v>
      </c>
      <c r="M123" s="392">
        <v>10</v>
      </c>
      <c r="N123" s="392" t="s">
        <v>2572</v>
      </c>
      <c r="O123" s="447"/>
      <c r="P123" s="447"/>
    </row>
    <row r="124" spans="1:16">
      <c r="A124" s="388" t="s">
        <v>2532</v>
      </c>
      <c r="B124" s="385" t="s">
        <v>2494</v>
      </c>
      <c r="C124" s="385"/>
      <c r="D124" s="385" t="s">
        <v>2465</v>
      </c>
      <c r="E124" s="385">
        <f>1+IF(Gestion!W129&gt;0,1,0)</f>
        <v>1</v>
      </c>
      <c r="F124" s="389" t="s">
        <v>2534</v>
      </c>
      <c r="G124" s="390">
        <f>0.5-IF(Gestion!W99&gt;0,0.5,0)</f>
        <v>0.5</v>
      </c>
      <c r="H124" s="397" t="s">
        <v>17481</v>
      </c>
      <c r="I124" s="385"/>
      <c r="J124" s="385"/>
      <c r="K124" s="419" t="str">
        <f t="shared" si="1"/>
        <v xml:space="preserve">Immobilisant  </v>
      </c>
      <c r="L124" s="391">
        <v>0.7</v>
      </c>
      <c r="M124" s="392">
        <v>20</v>
      </c>
      <c r="N124" s="392" t="s">
        <v>2578</v>
      </c>
      <c r="O124" s="447"/>
      <c r="P124" s="447"/>
    </row>
    <row r="125" spans="1:16">
      <c r="A125" s="388" t="s">
        <v>2533</v>
      </c>
      <c r="B125" s="385" t="s">
        <v>2494</v>
      </c>
      <c r="C125" s="385"/>
      <c r="D125" s="385" t="s">
        <v>2465</v>
      </c>
      <c r="E125" s="385">
        <v>0</v>
      </c>
      <c r="F125" s="389" t="s">
        <v>2536</v>
      </c>
      <c r="G125" s="390">
        <f>1-IF(Gestion!W99&gt;0,0.5,0)</f>
        <v>1</v>
      </c>
      <c r="H125" s="397" t="s">
        <v>17481</v>
      </c>
      <c r="I125" s="385"/>
      <c r="J125" s="385"/>
      <c r="K125" s="419" t="str">
        <f t="shared" si="1"/>
        <v xml:space="preserve">Immobilisant  </v>
      </c>
      <c r="L125" s="391">
        <v>3</v>
      </c>
      <c r="M125" s="392">
        <v>60</v>
      </c>
      <c r="N125" s="392" t="s">
        <v>3877</v>
      </c>
      <c r="O125" s="447"/>
      <c r="P125" s="447"/>
    </row>
    <row r="126" spans="1:16">
      <c r="A126" s="388" t="s">
        <v>2537</v>
      </c>
      <c r="B126" s="385" t="s">
        <v>2494</v>
      </c>
      <c r="C126" s="385"/>
      <c r="D126" s="385" t="s">
        <v>2465</v>
      </c>
      <c r="E126" s="385">
        <f>IF('page 1'!$H$30&gt;4,'page 1'!$H$30-4,0)+IF(Gestion!W129&gt;0,1,0)</f>
        <v>0</v>
      </c>
      <c r="F126" s="389" t="s">
        <v>2538</v>
      </c>
      <c r="G126" s="390">
        <f>0.5-IF(Gestion!W99&gt;0,0.5,0)</f>
        <v>0.5</v>
      </c>
      <c r="H126" s="397" t="s">
        <v>17481</v>
      </c>
      <c r="I126" s="385" t="s">
        <v>2537</v>
      </c>
      <c r="J126" s="385" t="s">
        <v>2479</v>
      </c>
      <c r="K126" s="419" t="str">
        <f t="shared" si="1"/>
        <v>Immobilisant Fouet Rapide</v>
      </c>
      <c r="L126" s="391">
        <v>2</v>
      </c>
      <c r="M126" s="392">
        <v>40</v>
      </c>
      <c r="N126" s="392" t="s">
        <v>2572</v>
      </c>
      <c r="O126" s="447"/>
      <c r="P126" s="447"/>
    </row>
    <row r="127" spans="1:16">
      <c r="A127" s="396" t="s">
        <v>12891</v>
      </c>
      <c r="B127" s="385" t="s">
        <v>2494</v>
      </c>
      <c r="C127" s="385"/>
      <c r="D127" s="385" t="s">
        <v>2465</v>
      </c>
      <c r="E127" s="385">
        <f>IF('page 1'!$H$30&gt;4,'page 1'!$H$30-2,0)+IF(Gestion!W129&gt;0,1,0)</f>
        <v>0</v>
      </c>
      <c r="F127" s="389" t="s">
        <v>2538</v>
      </c>
      <c r="G127" s="390">
        <f>0.5-IF(Gestion!W99&gt;0,0.5,0)</f>
        <v>0.5</v>
      </c>
      <c r="H127" s="397" t="s">
        <v>17481</v>
      </c>
      <c r="I127" s="385" t="s">
        <v>2537</v>
      </c>
      <c r="J127" s="385"/>
      <c r="K127" s="419" t="str">
        <f t="shared" si="1"/>
        <v xml:space="preserve">Immobilisant Fouet </v>
      </c>
      <c r="L127" s="391">
        <v>3</v>
      </c>
      <c r="M127" s="392">
        <v>50</v>
      </c>
      <c r="N127" s="406" t="s">
        <v>2572</v>
      </c>
      <c r="O127" s="447"/>
      <c r="P127" s="447"/>
    </row>
    <row r="128" spans="1:16">
      <c r="A128" s="388" t="s">
        <v>2542</v>
      </c>
      <c r="B128" s="385" t="s">
        <v>2494</v>
      </c>
      <c r="C128" s="385"/>
      <c r="D128" s="385" t="s">
        <v>2465</v>
      </c>
      <c r="E128" s="385">
        <v>0</v>
      </c>
      <c r="F128" s="389" t="s">
        <v>2541</v>
      </c>
      <c r="G128" s="390">
        <f>0.5-IF(Gestion!$W$99&gt;0,0.5,0)</f>
        <v>0.5</v>
      </c>
      <c r="H128" s="397" t="s">
        <v>17481</v>
      </c>
      <c r="I128" s="385"/>
      <c r="J128" s="385"/>
      <c r="K128" s="419" t="str">
        <f t="shared" si="1"/>
        <v xml:space="preserve">Immobilisant  </v>
      </c>
      <c r="L128" s="391">
        <v>1</v>
      </c>
      <c r="M128" s="392">
        <v>10</v>
      </c>
      <c r="N128" s="392" t="s">
        <v>3877</v>
      </c>
      <c r="O128" s="447"/>
      <c r="P128" s="447"/>
    </row>
    <row r="129" spans="1:16">
      <c r="A129" s="657" t="s">
        <v>12763</v>
      </c>
      <c r="B129" s="658"/>
      <c r="C129" s="658"/>
      <c r="D129" s="658"/>
      <c r="E129" s="658"/>
      <c r="F129" s="658"/>
      <c r="G129" s="658"/>
      <c r="H129" s="658"/>
      <c r="I129" s="658"/>
      <c r="J129" s="658"/>
      <c r="K129" s="419" t="str">
        <f t="shared" si="1"/>
        <v xml:space="preserve">  </v>
      </c>
      <c r="L129" s="658"/>
      <c r="M129" s="658"/>
      <c r="N129" s="658"/>
      <c r="O129" s="447"/>
      <c r="P129" s="447"/>
    </row>
    <row r="130" spans="1:16">
      <c r="A130" s="657" t="s">
        <v>12764</v>
      </c>
      <c r="B130" s="658"/>
      <c r="C130" s="658"/>
      <c r="D130" s="658"/>
      <c r="E130" s="658"/>
      <c r="F130" s="658"/>
      <c r="G130" s="658"/>
      <c r="H130" s="658"/>
      <c r="I130" s="658"/>
      <c r="J130" s="658"/>
      <c r="K130" s="419" t="str">
        <f t="shared" si="1"/>
        <v xml:space="preserve">  </v>
      </c>
      <c r="L130" s="658"/>
      <c r="M130" s="658"/>
      <c r="N130" s="658"/>
      <c r="O130" s="447"/>
      <c r="P130" s="447"/>
    </row>
    <row r="131" spans="1:16">
      <c r="A131" s="657" t="s">
        <v>12765</v>
      </c>
      <c r="B131" s="658"/>
      <c r="C131" s="658"/>
      <c r="D131" s="658"/>
      <c r="E131" s="658"/>
      <c r="F131" s="658"/>
      <c r="G131" s="658"/>
      <c r="H131" s="658"/>
      <c r="I131" s="658"/>
      <c r="J131" s="658"/>
      <c r="K131" s="419" t="str">
        <f t="shared" si="1"/>
        <v xml:space="preserve">  </v>
      </c>
      <c r="L131" s="658"/>
      <c r="M131" s="658"/>
      <c r="N131" s="658"/>
      <c r="O131" s="447"/>
      <c r="P131" s="447"/>
    </row>
    <row r="132" spans="1:16">
      <c r="A132" s="378"/>
      <c r="B132" s="378"/>
      <c r="C132" s="378"/>
      <c r="D132" s="378"/>
      <c r="E132" s="378"/>
      <c r="F132" s="378"/>
      <c r="G132" s="378"/>
      <c r="H132" s="378"/>
      <c r="I132" s="378"/>
      <c r="J132" s="378"/>
      <c r="K132" s="402" t="str">
        <f t="shared" ref="K132:K168" si="2">CONCATENATE(H132,I132,J132)</f>
        <v/>
      </c>
      <c r="L132" s="378"/>
      <c r="M132" s="378"/>
      <c r="N132" s="378"/>
      <c r="O132" s="447"/>
      <c r="P132" s="447"/>
    </row>
    <row r="133" spans="1:16">
      <c r="A133" s="378"/>
      <c r="B133" s="378"/>
      <c r="C133" s="378"/>
      <c r="D133" s="378"/>
      <c r="E133" s="378"/>
      <c r="F133" s="378"/>
      <c r="G133" s="378"/>
      <c r="H133" s="378"/>
      <c r="I133" s="378"/>
      <c r="J133" s="378"/>
      <c r="K133" s="402" t="str">
        <f t="shared" si="2"/>
        <v/>
      </c>
      <c r="L133" s="378"/>
      <c r="M133" s="378"/>
      <c r="N133" s="378"/>
      <c r="O133" s="447"/>
      <c r="P133" s="447"/>
    </row>
    <row r="134" spans="1:16">
      <c r="A134" s="378"/>
      <c r="B134" s="378"/>
      <c r="C134" s="378"/>
      <c r="D134" s="378"/>
      <c r="E134" s="378"/>
      <c r="F134" s="378"/>
      <c r="G134" s="378"/>
      <c r="H134" s="378"/>
      <c r="I134" s="378"/>
      <c r="J134" s="378"/>
      <c r="K134" s="402" t="str">
        <f t="shared" si="2"/>
        <v/>
      </c>
      <c r="L134" s="378"/>
      <c r="M134" s="378"/>
      <c r="N134" s="378"/>
      <c r="O134" s="447"/>
      <c r="P134" s="447"/>
    </row>
    <row r="135" spans="1:16">
      <c r="A135" s="378"/>
      <c r="B135" s="378"/>
      <c r="C135" s="378"/>
      <c r="D135" s="378"/>
      <c r="E135" s="378"/>
      <c r="F135" s="378"/>
      <c r="G135" s="378"/>
      <c r="H135" s="378"/>
      <c r="I135" s="378"/>
      <c r="J135" s="378"/>
      <c r="K135" s="402" t="str">
        <f t="shared" si="2"/>
        <v/>
      </c>
      <c r="L135" s="378"/>
      <c r="M135" s="378"/>
      <c r="N135" s="378"/>
      <c r="O135" s="447"/>
      <c r="P135" s="447"/>
    </row>
    <row r="136" spans="1:16">
      <c r="A136" s="378"/>
      <c r="B136" s="378"/>
      <c r="C136" s="378"/>
      <c r="D136" s="378"/>
      <c r="E136" s="378"/>
      <c r="F136" s="378"/>
      <c r="G136" s="378"/>
      <c r="H136" s="378"/>
      <c r="I136" s="378"/>
      <c r="J136" s="378"/>
      <c r="K136" s="402" t="str">
        <f t="shared" si="2"/>
        <v/>
      </c>
      <c r="L136" s="378"/>
      <c r="M136" s="378"/>
      <c r="N136" s="378"/>
      <c r="O136" s="447"/>
      <c r="P136" s="447"/>
    </row>
    <row r="137" spans="1:16">
      <c r="A137" s="378"/>
      <c r="B137" s="378"/>
      <c r="C137" s="378"/>
      <c r="D137" s="378"/>
      <c r="E137" s="378"/>
      <c r="F137" s="378"/>
      <c r="G137" s="378"/>
      <c r="H137" s="378"/>
      <c r="I137" s="378"/>
      <c r="J137" s="378"/>
      <c r="K137" s="402" t="str">
        <f t="shared" si="2"/>
        <v/>
      </c>
      <c r="L137" s="378"/>
      <c r="M137" s="378"/>
      <c r="N137" s="378"/>
      <c r="O137" s="447"/>
      <c r="P137" s="447"/>
    </row>
    <row r="138" spans="1:16">
      <c r="A138" s="378"/>
      <c r="B138" s="378"/>
      <c r="C138" s="378"/>
      <c r="D138" s="378"/>
      <c r="E138" s="378"/>
      <c r="F138" s="378"/>
      <c r="G138" s="378"/>
      <c r="H138" s="378"/>
      <c r="I138" s="378"/>
      <c r="J138" s="378"/>
      <c r="K138" s="402" t="str">
        <f t="shared" si="2"/>
        <v/>
      </c>
      <c r="L138" s="378"/>
      <c r="M138" s="378"/>
      <c r="N138" s="378"/>
      <c r="O138" s="447"/>
      <c r="P138" s="447"/>
    </row>
    <row r="139" spans="1:16">
      <c r="A139" s="378"/>
      <c r="B139" s="378"/>
      <c r="C139" s="378"/>
      <c r="D139" s="378"/>
      <c r="E139" s="378"/>
      <c r="F139" s="378"/>
      <c r="G139" s="378"/>
      <c r="H139" s="378"/>
      <c r="I139" s="378"/>
      <c r="J139" s="378"/>
      <c r="K139" s="402" t="str">
        <f t="shared" si="2"/>
        <v/>
      </c>
      <c r="L139" s="378"/>
      <c r="M139" s="378"/>
      <c r="N139" s="378"/>
      <c r="O139" s="447"/>
      <c r="P139" s="447"/>
    </row>
    <row r="140" spans="1:16">
      <c r="A140" s="378"/>
      <c r="B140" s="378"/>
      <c r="C140" s="378"/>
      <c r="D140" s="378"/>
      <c r="E140" s="378"/>
      <c r="F140" s="378"/>
      <c r="G140" s="378"/>
      <c r="H140" s="378"/>
      <c r="I140" s="378"/>
      <c r="J140" s="378"/>
      <c r="K140" s="402" t="str">
        <f t="shared" si="2"/>
        <v/>
      </c>
      <c r="L140" s="378"/>
      <c r="M140" s="378"/>
      <c r="N140" s="378"/>
      <c r="O140" s="447"/>
      <c r="P140" s="447"/>
    </row>
    <row r="141" spans="1:16">
      <c r="A141" s="378"/>
      <c r="B141" s="378"/>
      <c r="C141" s="378"/>
      <c r="D141" s="378"/>
      <c r="E141" s="378"/>
      <c r="F141" s="378"/>
      <c r="G141" s="378"/>
      <c r="H141" s="378"/>
      <c r="I141" s="378"/>
      <c r="J141" s="378"/>
      <c r="K141" s="402" t="str">
        <f t="shared" si="2"/>
        <v/>
      </c>
      <c r="L141" s="378"/>
      <c r="M141" s="378"/>
      <c r="N141" s="378"/>
      <c r="O141" s="447"/>
      <c r="P141" s="447"/>
    </row>
    <row r="142" spans="1:16">
      <c r="A142" s="378"/>
      <c r="B142" s="378"/>
      <c r="C142" s="378"/>
      <c r="D142" s="378"/>
      <c r="E142" s="378"/>
      <c r="F142" s="378"/>
      <c r="G142" s="378"/>
      <c r="H142" s="378"/>
      <c r="I142" s="378"/>
      <c r="J142" s="378"/>
      <c r="K142" s="402" t="str">
        <f t="shared" si="2"/>
        <v/>
      </c>
      <c r="L142" s="378"/>
      <c r="M142" s="378"/>
      <c r="N142" s="378"/>
      <c r="O142" s="447"/>
      <c r="P142" s="447"/>
    </row>
    <row r="143" spans="1:16">
      <c r="A143" s="378"/>
      <c r="B143" s="378"/>
      <c r="C143" s="378"/>
      <c r="D143" s="378"/>
      <c r="E143" s="378"/>
      <c r="F143" s="378"/>
      <c r="G143" s="378"/>
      <c r="H143" s="378"/>
      <c r="I143" s="378"/>
      <c r="J143" s="378"/>
      <c r="K143" s="402" t="str">
        <f t="shared" si="2"/>
        <v/>
      </c>
      <c r="L143" s="378"/>
      <c r="M143" s="378"/>
      <c r="N143" s="378"/>
      <c r="O143" s="447"/>
      <c r="P143" s="447"/>
    </row>
    <row r="144" spans="1:16">
      <c r="A144" s="378"/>
      <c r="B144" s="378"/>
      <c r="C144" s="378"/>
      <c r="D144" s="378"/>
      <c r="E144" s="378"/>
      <c r="F144" s="378"/>
      <c r="G144" s="378"/>
      <c r="H144" s="378"/>
      <c r="I144" s="378"/>
      <c r="J144" s="378"/>
      <c r="K144" s="402" t="str">
        <f t="shared" si="2"/>
        <v/>
      </c>
      <c r="L144" s="378"/>
      <c r="M144" s="378"/>
      <c r="N144" s="378"/>
      <c r="O144" s="447"/>
      <c r="P144" s="447"/>
    </row>
    <row r="145" spans="1:16">
      <c r="A145" s="378"/>
      <c r="B145" s="378"/>
      <c r="C145" s="378"/>
      <c r="D145" s="378"/>
      <c r="E145" s="378"/>
      <c r="F145" s="378"/>
      <c r="G145" s="378"/>
      <c r="H145" s="378"/>
      <c r="I145" s="378"/>
      <c r="J145" s="378"/>
      <c r="K145" s="402" t="str">
        <f t="shared" si="2"/>
        <v/>
      </c>
      <c r="L145" s="378"/>
      <c r="M145" s="378"/>
      <c r="N145" s="378"/>
      <c r="O145" s="447"/>
      <c r="P145" s="447"/>
    </row>
    <row r="146" spans="1:16">
      <c r="A146" s="378"/>
      <c r="B146" s="378"/>
      <c r="C146" s="378"/>
      <c r="D146" s="378"/>
      <c r="E146" s="378"/>
      <c r="F146" s="378"/>
      <c r="G146" s="378"/>
      <c r="H146" s="378"/>
      <c r="I146" s="378"/>
      <c r="J146" s="378"/>
      <c r="K146" s="402" t="str">
        <f t="shared" si="2"/>
        <v/>
      </c>
      <c r="L146" s="378"/>
      <c r="M146" s="378"/>
      <c r="N146" s="378"/>
      <c r="O146" s="447"/>
      <c r="P146" s="447"/>
    </row>
    <row r="147" spans="1:16">
      <c r="A147" s="378"/>
      <c r="B147" s="378"/>
      <c r="C147" s="378"/>
      <c r="D147" s="378"/>
      <c r="E147" s="378"/>
      <c r="F147" s="378"/>
      <c r="G147" s="378"/>
      <c r="H147" s="378"/>
      <c r="I147" s="378"/>
      <c r="J147" s="378"/>
      <c r="K147" s="402" t="str">
        <f t="shared" si="2"/>
        <v/>
      </c>
      <c r="L147" s="378"/>
      <c r="M147" s="378"/>
      <c r="N147" s="378"/>
      <c r="O147" s="447"/>
      <c r="P147" s="447"/>
    </row>
    <row r="148" spans="1:16">
      <c r="A148" s="378"/>
      <c r="B148" s="378"/>
      <c r="C148" s="378"/>
      <c r="D148" s="378"/>
      <c r="E148" s="378"/>
      <c r="F148" s="378"/>
      <c r="G148" s="378"/>
      <c r="H148" s="378"/>
      <c r="I148" s="378"/>
      <c r="J148" s="378"/>
      <c r="K148" s="402" t="str">
        <f t="shared" si="2"/>
        <v/>
      </c>
      <c r="L148" s="378"/>
      <c r="M148" s="378"/>
      <c r="N148" s="378"/>
      <c r="O148" s="447"/>
      <c r="P148" s="447"/>
    </row>
    <row r="149" spans="1:16">
      <c r="A149" s="378"/>
      <c r="B149" s="378"/>
      <c r="C149" s="378"/>
      <c r="D149" s="378"/>
      <c r="E149" s="378"/>
      <c r="F149" s="378"/>
      <c r="G149" s="378"/>
      <c r="H149" s="378"/>
      <c r="I149" s="378"/>
      <c r="J149" s="378"/>
      <c r="K149" s="402" t="str">
        <f t="shared" si="2"/>
        <v/>
      </c>
      <c r="L149" s="378"/>
      <c r="M149" s="378"/>
      <c r="N149" s="378"/>
      <c r="O149" s="447"/>
      <c r="P149" s="447"/>
    </row>
    <row r="150" spans="1:16">
      <c r="A150" s="378"/>
      <c r="B150" s="378"/>
      <c r="C150" s="378"/>
      <c r="D150" s="378"/>
      <c r="E150" s="378"/>
      <c r="F150" s="378"/>
      <c r="G150" s="378"/>
      <c r="H150" s="378"/>
      <c r="I150" s="378"/>
      <c r="J150" s="378"/>
      <c r="K150" s="402" t="str">
        <f t="shared" si="2"/>
        <v/>
      </c>
      <c r="L150" s="378"/>
      <c r="M150" s="378"/>
      <c r="N150" s="378"/>
      <c r="O150" s="447"/>
      <c r="P150" s="447"/>
    </row>
    <row r="151" spans="1:16">
      <c r="A151" s="378"/>
      <c r="B151" s="378"/>
      <c r="C151" s="378"/>
      <c r="D151" s="378"/>
      <c r="E151" s="378"/>
      <c r="F151" s="378"/>
      <c r="G151" s="378"/>
      <c r="H151" s="378"/>
      <c r="I151" s="378"/>
      <c r="J151" s="378"/>
      <c r="K151" s="402" t="str">
        <f t="shared" si="2"/>
        <v/>
      </c>
      <c r="L151" s="378"/>
      <c r="M151" s="378"/>
      <c r="N151" s="378"/>
      <c r="O151" s="447"/>
      <c r="P151" s="447"/>
    </row>
    <row r="152" spans="1:16">
      <c r="A152" s="378"/>
      <c r="B152" s="378"/>
      <c r="C152" s="378"/>
      <c r="D152" s="378"/>
      <c r="E152" s="378"/>
      <c r="F152" s="378"/>
      <c r="G152" s="378"/>
      <c r="H152" s="378"/>
      <c r="I152" s="378"/>
      <c r="J152" s="378"/>
      <c r="K152" s="402" t="str">
        <f t="shared" si="2"/>
        <v/>
      </c>
      <c r="L152" s="378"/>
      <c r="M152" s="378"/>
      <c r="N152" s="378"/>
      <c r="O152" s="447"/>
      <c r="P152" s="447"/>
    </row>
    <row r="153" spans="1:16">
      <c r="A153" s="378"/>
      <c r="B153" s="378"/>
      <c r="C153" s="378"/>
      <c r="D153" s="378"/>
      <c r="E153" s="378"/>
      <c r="F153" s="378"/>
      <c r="G153" s="378"/>
      <c r="H153" s="378"/>
      <c r="I153" s="378"/>
      <c r="J153" s="378"/>
      <c r="K153" s="402" t="str">
        <f t="shared" si="2"/>
        <v/>
      </c>
      <c r="L153" s="378"/>
      <c r="M153" s="378"/>
      <c r="N153" s="378"/>
      <c r="O153" s="447"/>
      <c r="P153" s="447"/>
    </row>
    <row r="154" spans="1:16">
      <c r="A154" s="378"/>
      <c r="B154" s="378"/>
      <c r="C154" s="378"/>
      <c r="D154" s="378"/>
      <c r="E154" s="378"/>
      <c r="F154" s="378"/>
      <c r="G154" s="378"/>
      <c r="H154" s="378"/>
      <c r="I154" s="378"/>
      <c r="J154" s="378"/>
      <c r="K154" s="402" t="str">
        <f t="shared" si="2"/>
        <v/>
      </c>
      <c r="L154" s="378"/>
      <c r="M154" s="378"/>
      <c r="N154" s="378"/>
      <c r="O154" s="447"/>
      <c r="P154" s="447"/>
    </row>
    <row r="155" spans="1:16">
      <c r="A155" s="378"/>
      <c r="B155" s="378"/>
      <c r="C155" s="378"/>
      <c r="D155" s="378"/>
      <c r="E155" s="378"/>
      <c r="F155" s="378"/>
      <c r="G155" s="378"/>
      <c r="H155" s="378"/>
      <c r="I155" s="378"/>
      <c r="J155" s="378"/>
      <c r="K155" s="402" t="str">
        <f t="shared" si="2"/>
        <v/>
      </c>
      <c r="L155" s="378"/>
      <c r="M155" s="378"/>
      <c r="N155" s="378"/>
      <c r="O155" s="447"/>
      <c r="P155" s="447"/>
    </row>
    <row r="156" spans="1:16">
      <c r="A156" s="378"/>
      <c r="B156" s="378"/>
      <c r="C156" s="378"/>
      <c r="D156" s="378"/>
      <c r="E156" s="378"/>
      <c r="F156" s="378"/>
      <c r="G156" s="378"/>
      <c r="H156" s="378"/>
      <c r="I156" s="378"/>
      <c r="J156" s="378"/>
      <c r="K156" s="402" t="str">
        <f t="shared" si="2"/>
        <v/>
      </c>
      <c r="L156" s="378"/>
      <c r="M156" s="378"/>
      <c r="N156" s="378"/>
      <c r="O156" s="447"/>
      <c r="P156" s="447"/>
    </row>
    <row r="157" spans="1:16">
      <c r="A157" s="378"/>
      <c r="B157" s="378"/>
      <c r="C157" s="378"/>
      <c r="D157" s="378"/>
      <c r="E157" s="378"/>
      <c r="F157" s="378"/>
      <c r="G157" s="378"/>
      <c r="H157" s="378"/>
      <c r="I157" s="378"/>
      <c r="J157" s="378"/>
      <c r="K157" s="402" t="str">
        <f t="shared" si="2"/>
        <v/>
      </c>
      <c r="L157" s="378"/>
      <c r="M157" s="378"/>
      <c r="N157" s="378"/>
      <c r="O157" s="447"/>
      <c r="P157" s="447"/>
    </row>
    <row r="158" spans="1:16">
      <c r="A158" s="378"/>
      <c r="B158" s="378"/>
      <c r="C158" s="378"/>
      <c r="D158" s="378"/>
      <c r="E158" s="378"/>
      <c r="F158" s="378"/>
      <c r="G158" s="378"/>
      <c r="H158" s="378"/>
      <c r="I158" s="378"/>
      <c r="J158" s="378"/>
      <c r="K158" s="402" t="str">
        <f t="shared" si="2"/>
        <v/>
      </c>
      <c r="L158" s="378"/>
      <c r="M158" s="378"/>
      <c r="N158" s="378"/>
      <c r="O158" s="447"/>
      <c r="P158" s="447"/>
    </row>
    <row r="159" spans="1:16">
      <c r="A159" s="378"/>
      <c r="B159" s="378"/>
      <c r="C159" s="378"/>
      <c r="D159" s="378"/>
      <c r="E159" s="378"/>
      <c r="F159" s="378"/>
      <c r="G159" s="378"/>
      <c r="H159" s="378"/>
      <c r="I159" s="378"/>
      <c r="J159" s="378"/>
      <c r="K159" s="402" t="str">
        <f t="shared" si="2"/>
        <v/>
      </c>
      <c r="L159" s="378"/>
      <c r="M159" s="378"/>
      <c r="N159" s="378"/>
      <c r="O159" s="447"/>
      <c r="P159" s="447"/>
    </row>
    <row r="160" spans="1:16">
      <c r="A160" s="378"/>
      <c r="B160" s="378"/>
      <c r="C160" s="378"/>
      <c r="D160" s="378"/>
      <c r="E160" s="378"/>
      <c r="F160" s="378"/>
      <c r="G160" s="378"/>
      <c r="H160" s="378"/>
      <c r="I160" s="378"/>
      <c r="J160" s="378"/>
      <c r="K160" s="402" t="str">
        <f t="shared" si="2"/>
        <v/>
      </c>
      <c r="L160" s="378"/>
      <c r="M160" s="378"/>
      <c r="N160" s="378"/>
      <c r="O160" s="447"/>
      <c r="P160" s="447"/>
    </row>
    <row r="161" spans="1:16">
      <c r="A161" s="378"/>
      <c r="B161" s="378"/>
      <c r="C161" s="378"/>
      <c r="D161" s="378"/>
      <c r="E161" s="378"/>
      <c r="F161" s="378"/>
      <c r="G161" s="378"/>
      <c r="H161" s="378"/>
      <c r="I161" s="378"/>
      <c r="J161" s="378"/>
      <c r="K161" s="402" t="str">
        <f t="shared" si="2"/>
        <v/>
      </c>
      <c r="L161" s="378"/>
      <c r="M161" s="378"/>
      <c r="N161" s="378"/>
      <c r="O161" s="447"/>
      <c r="P161" s="447"/>
    </row>
    <row r="162" spans="1:16">
      <c r="A162" s="378"/>
      <c r="B162" s="378"/>
      <c r="C162" s="378"/>
      <c r="D162" s="378"/>
      <c r="E162" s="378"/>
      <c r="F162" s="378"/>
      <c r="G162" s="378"/>
      <c r="H162" s="378"/>
      <c r="I162" s="378"/>
      <c r="J162" s="378"/>
      <c r="K162" s="402" t="str">
        <f t="shared" si="2"/>
        <v/>
      </c>
      <c r="L162" s="378"/>
      <c r="M162" s="378"/>
      <c r="N162" s="378"/>
      <c r="O162" s="447"/>
      <c r="P162" s="447"/>
    </row>
    <row r="163" spans="1:16">
      <c r="A163" s="378"/>
      <c r="B163" s="378"/>
      <c r="C163" s="378"/>
      <c r="D163" s="378"/>
      <c r="E163" s="378"/>
      <c r="F163" s="378"/>
      <c r="G163" s="378"/>
      <c r="H163" s="378"/>
      <c r="I163" s="378"/>
      <c r="J163" s="378"/>
      <c r="K163" s="402" t="str">
        <f t="shared" si="2"/>
        <v/>
      </c>
      <c r="L163" s="378"/>
      <c r="M163" s="378"/>
      <c r="N163" s="378"/>
      <c r="O163" s="447"/>
      <c r="P163" s="447"/>
    </row>
    <row r="164" spans="1:16">
      <c r="A164" s="378"/>
      <c r="B164" s="378"/>
      <c r="C164" s="378"/>
      <c r="D164" s="378"/>
      <c r="E164" s="378"/>
      <c r="F164" s="378"/>
      <c r="G164" s="378"/>
      <c r="H164" s="378"/>
      <c r="I164" s="378"/>
      <c r="J164" s="378"/>
      <c r="K164" s="402" t="str">
        <f t="shared" si="2"/>
        <v/>
      </c>
      <c r="L164" s="378"/>
      <c r="M164" s="378"/>
      <c r="N164" s="378"/>
      <c r="O164" s="447"/>
      <c r="P164" s="447"/>
    </row>
    <row r="165" spans="1:16">
      <c r="A165" s="378"/>
      <c r="B165" s="378"/>
      <c r="C165" s="378"/>
      <c r="D165" s="378"/>
      <c r="E165" s="378"/>
      <c r="F165" s="378"/>
      <c r="G165" s="378"/>
      <c r="H165" s="378"/>
      <c r="I165" s="378"/>
      <c r="J165" s="378"/>
      <c r="K165" s="402" t="str">
        <f t="shared" si="2"/>
        <v/>
      </c>
      <c r="L165" s="378"/>
      <c r="M165" s="378"/>
      <c r="N165" s="378"/>
      <c r="O165" s="447"/>
      <c r="P165" s="447"/>
    </row>
    <row r="166" spans="1:16">
      <c r="A166" s="378"/>
      <c r="B166" s="378"/>
      <c r="C166" s="378"/>
      <c r="D166" s="378"/>
      <c r="E166" s="378"/>
      <c r="F166" s="378"/>
      <c r="G166" s="378"/>
      <c r="H166" s="378"/>
      <c r="I166" s="378"/>
      <c r="J166" s="378"/>
      <c r="K166" s="402" t="str">
        <f t="shared" si="2"/>
        <v/>
      </c>
      <c r="L166" s="378"/>
      <c r="M166" s="378"/>
      <c r="N166" s="378"/>
      <c r="O166" s="447"/>
      <c r="P166" s="447"/>
    </row>
    <row r="167" spans="1:16">
      <c r="A167" s="378"/>
      <c r="B167" s="378"/>
      <c r="C167" s="378"/>
      <c r="D167" s="378"/>
      <c r="E167" s="378"/>
      <c r="F167" s="378"/>
      <c r="G167" s="378"/>
      <c r="H167" s="378"/>
      <c r="I167" s="378"/>
      <c r="J167" s="378"/>
      <c r="K167" s="402" t="str">
        <f t="shared" si="2"/>
        <v/>
      </c>
      <c r="L167" s="378"/>
      <c r="M167" s="378"/>
      <c r="N167" s="378"/>
      <c r="O167" s="447"/>
      <c r="P167" s="447"/>
    </row>
    <row r="168" spans="1:16">
      <c r="A168" s="378"/>
      <c r="B168" s="378"/>
      <c r="C168" s="378"/>
      <c r="D168" s="378"/>
      <c r="E168" s="378"/>
      <c r="F168" s="378"/>
      <c r="G168" s="378"/>
      <c r="H168" s="378"/>
      <c r="I168" s="378"/>
      <c r="J168" s="378"/>
      <c r="K168" s="402" t="str">
        <f t="shared" si="2"/>
        <v/>
      </c>
      <c r="L168" s="378"/>
      <c r="M168" s="378"/>
      <c r="N168" s="378"/>
      <c r="O168" s="447"/>
      <c r="P168" s="447"/>
    </row>
  </sheetData>
  <sheetProtection selectLockedCells="1"/>
  <sortState xmlns:xlrd2="http://schemas.microsoft.com/office/spreadsheetml/2017/richdata2" ref="P2:P18">
    <sortCondition ref="P18"/>
  </sortState>
  <conditionalFormatting sqref="E2:G4 F5:F6 G4:G10 E5:E39 G48 B2:C6 G106 E41:G41 G12:G17 E92:G94 G19:G46">
    <cfRule type="expression" dxfId="42" priority="47" stopIfTrue="1">
      <formula>B2&lt;&gt;""</formula>
    </cfRule>
    <cfRule type="expression" dxfId="41" priority="48" stopIfTrue="1">
      <formula>B2=""</formula>
    </cfRule>
  </conditionalFormatting>
  <conditionalFormatting sqref="F2:G4 A2:A4 C2:C6 F5:F6 G4:G10 G48 G106 F41:G41 G12:G17 F92:G94 G19:G46">
    <cfRule type="cellIs" dxfId="40" priority="49" stopIfTrue="1" operator="equal">
      <formula>0</formula>
    </cfRule>
  </conditionalFormatting>
  <conditionalFormatting sqref="B12:B14 F12:F14">
    <cfRule type="expression" dxfId="39" priority="44" stopIfTrue="1">
      <formula>B12&lt;&gt;""</formula>
    </cfRule>
    <cfRule type="expression" dxfId="38" priority="45" stopIfTrue="1">
      <formula>B12=""</formula>
    </cfRule>
  </conditionalFormatting>
  <conditionalFormatting sqref="F12:F14">
    <cfRule type="cellIs" dxfId="37" priority="46" stopIfTrue="1" operator="equal">
      <formula>0</formula>
    </cfRule>
  </conditionalFormatting>
  <conditionalFormatting sqref="E96:G96">
    <cfRule type="expression" dxfId="36" priority="38" stopIfTrue="1">
      <formula>E96&lt;&gt;""</formula>
    </cfRule>
    <cfRule type="expression" dxfId="35" priority="39" stopIfTrue="1">
      <formula>E96=""</formula>
    </cfRule>
  </conditionalFormatting>
  <conditionalFormatting sqref="F96:G96">
    <cfRule type="cellIs" dxfId="34" priority="40" stopIfTrue="1" operator="equal">
      <formula>0</formula>
    </cfRule>
  </conditionalFormatting>
  <conditionalFormatting sqref="B62:C62 F62">
    <cfRule type="expression" dxfId="33" priority="32" stopIfTrue="1">
      <formula>B62&lt;&gt;""</formula>
    </cfRule>
    <cfRule type="expression" dxfId="32" priority="33" stopIfTrue="1">
      <formula>B62=""</formula>
    </cfRule>
  </conditionalFormatting>
  <conditionalFormatting sqref="E62 G62">
    <cfRule type="expression" dxfId="31" priority="35" stopIfTrue="1">
      <formula>E62&lt;&gt;""</formula>
    </cfRule>
    <cfRule type="expression" dxfId="30" priority="36" stopIfTrue="1">
      <formula>E62=""</formula>
    </cfRule>
  </conditionalFormatting>
  <conditionalFormatting sqref="G62">
    <cfRule type="cellIs" dxfId="29" priority="37" stopIfTrue="1" operator="equal">
      <formula>0</formula>
    </cfRule>
  </conditionalFormatting>
  <conditionalFormatting sqref="C62 F62">
    <cfRule type="cellIs" dxfId="28" priority="34" stopIfTrue="1" operator="equal">
      <formula>0</formula>
    </cfRule>
  </conditionalFormatting>
  <conditionalFormatting sqref="E49 G49">
    <cfRule type="expression" dxfId="27" priority="29" stopIfTrue="1">
      <formula>E49&lt;&gt;""</formula>
    </cfRule>
    <cfRule type="expression" dxfId="26" priority="30" stopIfTrue="1">
      <formula>E49=""</formula>
    </cfRule>
  </conditionalFormatting>
  <conditionalFormatting sqref="G49">
    <cfRule type="cellIs" dxfId="25" priority="31" stopIfTrue="1" operator="equal">
      <formula>0</formula>
    </cfRule>
  </conditionalFormatting>
  <conditionalFormatting sqref="P2">
    <cfRule type="expression" dxfId="24" priority="27" stopIfTrue="1">
      <formula>P2&lt;&gt;""</formula>
    </cfRule>
    <cfRule type="expression" dxfId="23" priority="28" stopIfTrue="1">
      <formula>P2=""</formula>
    </cfRule>
  </conditionalFormatting>
  <conditionalFormatting sqref="P12">
    <cfRule type="expression" dxfId="22" priority="25" stopIfTrue="1">
      <formula>P12&lt;&gt;""</formula>
    </cfRule>
    <cfRule type="expression" dxfId="21" priority="26" stopIfTrue="1">
      <formula>P12=""</formula>
    </cfRule>
  </conditionalFormatting>
  <conditionalFormatting sqref="G11">
    <cfRule type="expression" dxfId="20" priority="22" stopIfTrue="1">
      <formula>G11&lt;&gt;""</formula>
    </cfRule>
    <cfRule type="expression" dxfId="19" priority="23" stopIfTrue="1">
      <formula>G11=""</formula>
    </cfRule>
  </conditionalFormatting>
  <conditionalFormatting sqref="G11">
    <cfRule type="cellIs" dxfId="18" priority="24" stopIfTrue="1" operator="equal">
      <formula>0</formula>
    </cfRule>
  </conditionalFormatting>
  <conditionalFormatting sqref="B129:J131 L129:N131">
    <cfRule type="cellIs" dxfId="17" priority="18" operator="equal">
      <formula>""</formula>
    </cfRule>
  </conditionalFormatting>
  <conditionalFormatting sqref="B61:C61 F61">
    <cfRule type="expression" dxfId="16" priority="12" stopIfTrue="1">
      <formula>B61&lt;&gt;""</formula>
    </cfRule>
    <cfRule type="expression" dxfId="15" priority="13" stopIfTrue="1">
      <formula>B61=""</formula>
    </cfRule>
  </conditionalFormatting>
  <conditionalFormatting sqref="E61 G61">
    <cfRule type="expression" dxfId="14" priority="15" stopIfTrue="1">
      <formula>E61&lt;&gt;""</formula>
    </cfRule>
    <cfRule type="expression" dxfId="13" priority="16" stopIfTrue="1">
      <formula>E61=""</formula>
    </cfRule>
  </conditionalFormatting>
  <conditionalFormatting sqref="G61">
    <cfRule type="cellIs" dxfId="12" priority="17" stopIfTrue="1" operator="equal">
      <formula>0</formula>
    </cfRule>
  </conditionalFormatting>
  <conditionalFormatting sqref="C61 F61">
    <cfRule type="cellIs" dxfId="11" priority="14" stopIfTrue="1" operator="equal">
      <formula>0</formula>
    </cfRule>
  </conditionalFormatting>
  <conditionalFormatting sqref="G47">
    <cfRule type="expression" dxfId="10" priority="9" stopIfTrue="1">
      <formula>G47&lt;&gt;""</formula>
    </cfRule>
    <cfRule type="expression" dxfId="9" priority="10" stopIfTrue="1">
      <formula>G47=""</formula>
    </cfRule>
  </conditionalFormatting>
  <conditionalFormatting sqref="G47">
    <cfRule type="cellIs" dxfId="8" priority="11" stopIfTrue="1" operator="equal">
      <formula>0</formula>
    </cfRule>
  </conditionalFormatting>
  <conditionalFormatting sqref="F99:G99 C99">
    <cfRule type="expression" dxfId="7" priority="6" stopIfTrue="1">
      <formula>C99&lt;&gt;""</formula>
    </cfRule>
    <cfRule type="expression" dxfId="6" priority="7" stopIfTrue="1">
      <formula>C99=""</formula>
    </cfRule>
  </conditionalFormatting>
  <conditionalFormatting sqref="F99:G99 A99 C99">
    <cfRule type="cellIs" dxfId="5" priority="8" stopIfTrue="1" operator="equal">
      <formula>0</formula>
    </cfRule>
  </conditionalFormatting>
  <conditionalFormatting sqref="G18">
    <cfRule type="expression" dxfId="4" priority="1" stopIfTrue="1">
      <formula>G18&lt;&gt;""</formula>
    </cfRule>
    <cfRule type="expression" dxfId="3" priority="2" stopIfTrue="1">
      <formula>G18=""</formula>
    </cfRule>
  </conditionalFormatting>
  <conditionalFormatting sqref="G18">
    <cfRule type="cellIs" dxfId="2" priority="3" stopIfTrue="1" operator="equal">
      <formula>0</formula>
    </cfRule>
  </conditionalFormatting>
  <dataValidations count="4">
    <dataValidation type="list" allowBlank="1" showInputMessage="1" showErrorMessage="1" sqref="J2:J35 I3:J3 H121:H122 I121:I1048576 J121:J128 I4:I35 H2:H35 I1:I2 H36:J120" xr:uid="{00000000-0002-0000-0C00-000001000000}">
      <formula1>Attributs</formula1>
    </dataValidation>
    <dataValidation type="list" allowBlank="1" showInputMessage="1" showErrorMessage="1" sqref="J129:J1048576" xr:uid="{00000000-0002-0000-0C00-000000000000}">
      <formula1>$CK$2:$CK$15</formula1>
    </dataValidation>
    <dataValidation type="list" allowBlank="1" showInputMessage="1" showErrorMessage="1" sqref="C2:D131" xr:uid="{EF3FE601-2DE5-473E-A673-6A2CB90670BC}">
      <formula1>X</formula1>
    </dataValidation>
    <dataValidation type="list" allowBlank="1" showInputMessage="1" showErrorMessage="1" sqref="N1:N1048576" xr:uid="{2F367E88-DA1D-4C49-9CB3-FE309A0C907B}">
      <formula1>disponibilité</formula1>
    </dataValidation>
  </dataValidations>
  <pageMargins left="0.7" right="0.7" top="0.75" bottom="0.75" header="0.3" footer="0.3"/>
  <pageSetup paperSize="9" orientation="portrait" r:id="rId1"/>
  <ignoredErrors>
    <ignoredError sqref="E22:F25 E21 E26 E76:G76 E77:E81 G77:G81 E105 G125 E70:G70 E4:E5 E74:G74" formula="1"/>
    <ignoredError sqref="F21 F26 F77:F81 F105 F19" twoDigitTextYear="1" formula="1"/>
    <ignoredError sqref="F33:F34 F54:F55 F124 F53"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3000000}">
          <x14:formula1>
            <xm:f>tableaux!$DC$2:$DC$16</xm:f>
          </x14:formula1>
          <xm:sqref>B2:B1048576</xm:sqref>
        </x14:dataValidation>
        <x14:dataValidation type="list" allowBlank="1" showInputMessage="1" showErrorMessage="1" xr:uid="{00000000-0002-0000-0C00-000002000000}">
          <x14:formula1>
            <xm:f>tableaux!$DA$2:$DA$12</xm:f>
          </x14:formula1>
          <xm:sqref>H123:H1048576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theme="4"/>
  </sheetPr>
  <dimension ref="A1:L52"/>
  <sheetViews>
    <sheetView showGridLines="0" showRowColHeaders="0" workbookViewId="0">
      <pane ySplit="1" topLeftCell="A2" activePane="bottomLeft" state="frozen"/>
      <selection pane="bottomLeft"/>
    </sheetView>
  </sheetViews>
  <sheetFormatPr baseColWidth="10" defaultRowHeight="13.2"/>
  <cols>
    <col min="1" max="1" width="35.109375" customWidth="1"/>
    <col min="2" max="2" width="6.5546875" customWidth="1"/>
    <col min="3" max="4" width="5.5546875" hidden="1" customWidth="1"/>
    <col min="5" max="5" width="4.44140625" customWidth="1"/>
    <col min="6" max="9" width="5.6640625" customWidth="1"/>
    <col min="10" max="10" width="2.88671875" customWidth="1"/>
    <col min="11" max="11" width="9.5546875" customWidth="1"/>
    <col min="12" max="12" width="16.6640625" customWidth="1"/>
  </cols>
  <sheetData>
    <row r="1" spans="1:12" ht="13.8" thickBot="1">
      <c r="A1" s="145" t="s">
        <v>162</v>
      </c>
      <c r="B1" s="145" t="s">
        <v>2570</v>
      </c>
      <c r="C1" s="145" t="s">
        <v>2569</v>
      </c>
      <c r="D1" s="145" t="s">
        <v>9220</v>
      </c>
      <c r="E1" s="145" t="s">
        <v>368</v>
      </c>
      <c r="F1" s="480" t="s">
        <v>390</v>
      </c>
      <c r="G1" s="480" t="s">
        <v>389</v>
      </c>
      <c r="H1" s="480" t="s">
        <v>388</v>
      </c>
      <c r="I1" s="480" t="s">
        <v>387</v>
      </c>
      <c r="J1" s="480" t="s">
        <v>2569</v>
      </c>
      <c r="K1" s="480" t="s">
        <v>2571</v>
      </c>
      <c r="L1" s="480" t="s">
        <v>4942</v>
      </c>
    </row>
    <row r="2" spans="1:12" ht="13.8" thickTop="1">
      <c r="A2" s="152" t="s">
        <v>7359</v>
      </c>
      <c r="B2" s="152">
        <v>400</v>
      </c>
      <c r="C2" s="342">
        <v>0</v>
      </c>
      <c r="D2" s="342">
        <v>0</v>
      </c>
      <c r="E2" s="152">
        <v>210</v>
      </c>
      <c r="F2" s="152">
        <v>2</v>
      </c>
      <c r="G2" s="152">
        <v>2</v>
      </c>
      <c r="H2" s="152">
        <v>2</v>
      </c>
      <c r="I2" s="152">
        <v>2</v>
      </c>
      <c r="J2" s="152">
        <f>MAX(F2:I2)</f>
        <v>2</v>
      </c>
      <c r="K2" s="168" t="s">
        <v>2607</v>
      </c>
      <c r="L2" s="152"/>
    </row>
    <row r="3" spans="1:12">
      <c r="A3" s="152" t="s">
        <v>3809</v>
      </c>
      <c r="B3" s="153">
        <v>25</v>
      </c>
      <c r="C3" s="342">
        <v>0</v>
      </c>
      <c r="D3" s="342">
        <v>0</v>
      </c>
      <c r="E3" s="153">
        <v>80</v>
      </c>
      <c r="F3" s="153">
        <v>1</v>
      </c>
      <c r="G3" s="153">
        <v>1</v>
      </c>
      <c r="H3" s="153">
        <v>1</v>
      </c>
      <c r="I3" s="153">
        <v>1</v>
      </c>
      <c r="J3" s="152">
        <f t="shared" ref="J3:J52" si="0">MAX(F3:I3)</f>
        <v>1</v>
      </c>
      <c r="K3" s="152" t="s">
        <v>2572</v>
      </c>
      <c r="L3" s="153" t="s">
        <v>5302</v>
      </c>
    </row>
    <row r="4" spans="1:12">
      <c r="A4" s="147" t="s">
        <v>3808</v>
      </c>
      <c r="B4" s="148">
        <v>300</v>
      </c>
      <c r="C4" s="342">
        <v>0</v>
      </c>
      <c r="D4" s="342">
        <v>0</v>
      </c>
      <c r="E4" s="148">
        <v>210</v>
      </c>
      <c r="F4" s="148">
        <v>2</v>
      </c>
      <c r="G4" s="148">
        <v>2</v>
      </c>
      <c r="H4" s="148">
        <v>2</v>
      </c>
      <c r="I4" s="148">
        <v>2</v>
      </c>
      <c r="J4" s="152">
        <f t="shared" si="0"/>
        <v>2</v>
      </c>
      <c r="K4" s="149" t="s">
        <v>2608</v>
      </c>
      <c r="L4" s="148" t="s">
        <v>5303</v>
      </c>
    </row>
    <row r="5" spans="1:12">
      <c r="A5" s="150" t="s">
        <v>5306</v>
      </c>
      <c r="B5" s="148">
        <v>90</v>
      </c>
      <c r="C5" s="342">
        <v>0</v>
      </c>
      <c r="D5" s="342">
        <v>0</v>
      </c>
      <c r="E5" s="148">
        <v>210</v>
      </c>
      <c r="F5" s="148">
        <v>2</v>
      </c>
      <c r="G5" s="148">
        <v>2</v>
      </c>
      <c r="H5" s="148">
        <v>2</v>
      </c>
      <c r="I5" s="148">
        <v>2</v>
      </c>
      <c r="J5" s="152">
        <f t="shared" si="0"/>
        <v>2</v>
      </c>
      <c r="K5" s="151" t="s">
        <v>2578</v>
      </c>
      <c r="L5" s="148" t="s">
        <v>5303</v>
      </c>
    </row>
    <row r="6" spans="1:12">
      <c r="A6" s="147" t="s">
        <v>3810</v>
      </c>
      <c r="B6" s="148">
        <v>170</v>
      </c>
      <c r="C6" s="342">
        <v>0</v>
      </c>
      <c r="D6" s="342">
        <v>0</v>
      </c>
      <c r="E6" s="148">
        <v>210</v>
      </c>
      <c r="F6" s="148">
        <v>3</v>
      </c>
      <c r="G6" s="148">
        <v>3</v>
      </c>
      <c r="H6" s="148">
        <v>3</v>
      </c>
      <c r="I6" s="148">
        <v>3</v>
      </c>
      <c r="J6" s="152">
        <f t="shared" si="0"/>
        <v>3</v>
      </c>
      <c r="K6" s="151" t="s">
        <v>2578</v>
      </c>
      <c r="L6" s="148" t="s">
        <v>5304</v>
      </c>
    </row>
    <row r="7" spans="1:12">
      <c r="A7" s="147" t="s">
        <v>3811</v>
      </c>
      <c r="B7" s="148">
        <v>6000</v>
      </c>
      <c r="C7" s="342">
        <v>0</v>
      </c>
      <c r="D7" s="342">
        <v>0</v>
      </c>
      <c r="E7" s="148">
        <v>210</v>
      </c>
      <c r="F7" s="148">
        <v>4</v>
      </c>
      <c r="G7" s="148">
        <v>4</v>
      </c>
      <c r="H7" s="148">
        <v>4</v>
      </c>
      <c r="I7" s="148">
        <v>4</v>
      </c>
      <c r="J7" s="152">
        <f t="shared" si="0"/>
        <v>4</v>
      </c>
      <c r="K7" s="151" t="s">
        <v>8801</v>
      </c>
      <c r="L7" s="148" t="s">
        <v>5305</v>
      </c>
    </row>
    <row r="8" spans="1:12">
      <c r="A8" s="147" t="s">
        <v>3816</v>
      </c>
      <c r="B8" s="148">
        <v>500</v>
      </c>
      <c r="C8" s="342">
        <v>0</v>
      </c>
      <c r="D8" s="342">
        <v>0</v>
      </c>
      <c r="E8" s="148">
        <v>450</v>
      </c>
      <c r="F8" s="148">
        <v>5</v>
      </c>
      <c r="G8" s="148">
        <v>5</v>
      </c>
      <c r="H8" s="148">
        <v>5</v>
      </c>
      <c r="I8" s="148">
        <v>5</v>
      </c>
      <c r="J8" s="152">
        <f t="shared" si="0"/>
        <v>5</v>
      </c>
      <c r="K8" s="151" t="s">
        <v>2608</v>
      </c>
      <c r="L8" s="148" t="s">
        <v>5307</v>
      </c>
    </row>
    <row r="9" spans="1:12">
      <c r="A9" s="147" t="s">
        <v>3812</v>
      </c>
      <c r="B9" s="148">
        <v>30</v>
      </c>
      <c r="C9" s="342">
        <v>0</v>
      </c>
      <c r="D9" s="342">
        <v>0</v>
      </c>
      <c r="E9" s="148">
        <v>80</v>
      </c>
      <c r="F9" s="148">
        <v>0</v>
      </c>
      <c r="G9" s="148">
        <v>2</v>
      </c>
      <c r="H9" s="148">
        <v>2</v>
      </c>
      <c r="I9" s="148">
        <v>2</v>
      </c>
      <c r="J9" s="152">
        <f t="shared" si="0"/>
        <v>2</v>
      </c>
      <c r="K9" s="147" t="s">
        <v>2607</v>
      </c>
      <c r="L9" s="148" t="s">
        <v>5303</v>
      </c>
    </row>
    <row r="10" spans="1:12">
      <c r="A10" s="147" t="s">
        <v>3813</v>
      </c>
      <c r="B10" s="148">
        <v>400</v>
      </c>
      <c r="C10" s="342">
        <v>0</v>
      </c>
      <c r="D10" s="342">
        <v>0</v>
      </c>
      <c r="E10" s="148">
        <v>400</v>
      </c>
      <c r="F10" s="148">
        <v>5</v>
      </c>
      <c r="G10" s="148">
        <v>5</v>
      </c>
      <c r="H10" s="148">
        <v>5</v>
      </c>
      <c r="I10" s="148">
        <v>5</v>
      </c>
      <c r="J10" s="152">
        <f t="shared" si="0"/>
        <v>5</v>
      </c>
      <c r="K10" s="151" t="s">
        <v>2608</v>
      </c>
      <c r="L10" s="148" t="s">
        <v>5305</v>
      </c>
    </row>
    <row r="11" spans="1:12">
      <c r="A11" s="147" t="s">
        <v>3814</v>
      </c>
      <c r="B11" s="148">
        <v>8000</v>
      </c>
      <c r="C11" s="342">
        <v>0</v>
      </c>
      <c r="D11" s="342">
        <v>0</v>
      </c>
      <c r="E11" s="148">
        <v>400</v>
      </c>
      <c r="F11" s="148">
        <v>6</v>
      </c>
      <c r="G11" s="148">
        <v>6</v>
      </c>
      <c r="H11" s="148">
        <v>6</v>
      </c>
      <c r="I11" s="148">
        <v>6</v>
      </c>
      <c r="J11" s="152">
        <f t="shared" si="0"/>
        <v>6</v>
      </c>
      <c r="K11" s="151" t="s">
        <v>8801</v>
      </c>
      <c r="L11" s="148" t="s">
        <v>5304</v>
      </c>
    </row>
    <row r="12" spans="1:12">
      <c r="A12" s="147" t="s">
        <v>3815</v>
      </c>
      <c r="B12" s="148">
        <v>360</v>
      </c>
      <c r="C12" s="342">
        <v>0</v>
      </c>
      <c r="D12" s="342">
        <v>0</v>
      </c>
      <c r="E12" s="148">
        <v>600</v>
      </c>
      <c r="F12" s="148">
        <v>4</v>
      </c>
      <c r="G12" s="148">
        <v>4</v>
      </c>
      <c r="H12" s="148">
        <v>4</v>
      </c>
      <c r="I12" s="148">
        <v>4</v>
      </c>
      <c r="J12" s="152">
        <f t="shared" si="0"/>
        <v>4</v>
      </c>
      <c r="K12" s="151" t="s">
        <v>2607</v>
      </c>
      <c r="L12" s="148" t="s">
        <v>5305</v>
      </c>
    </row>
    <row r="13" spans="1:12">
      <c r="A13" s="147" t="s">
        <v>2595</v>
      </c>
      <c r="B13" s="148">
        <v>60</v>
      </c>
      <c r="C13" s="342">
        <v>0</v>
      </c>
      <c r="D13" s="342">
        <v>0</v>
      </c>
      <c r="E13" s="148">
        <v>30</v>
      </c>
      <c r="F13" s="148">
        <v>0</v>
      </c>
      <c r="G13" s="148">
        <v>2</v>
      </c>
      <c r="H13" s="148">
        <v>0</v>
      </c>
      <c r="I13" s="148">
        <v>0</v>
      </c>
      <c r="J13" s="152">
        <f t="shared" si="0"/>
        <v>2</v>
      </c>
      <c r="K13" s="151" t="s">
        <v>2607</v>
      </c>
      <c r="L13" s="148"/>
    </row>
    <row r="14" spans="1:12">
      <c r="A14" s="147" t="s">
        <v>2609</v>
      </c>
      <c r="B14" s="148">
        <v>600</v>
      </c>
      <c r="C14" s="342">
        <v>0</v>
      </c>
      <c r="D14" s="342">
        <v>0</v>
      </c>
      <c r="E14" s="148">
        <v>30</v>
      </c>
      <c r="F14" s="148">
        <v>0</v>
      </c>
      <c r="G14" s="148">
        <v>3</v>
      </c>
      <c r="H14" s="148">
        <v>0</v>
      </c>
      <c r="I14" s="148">
        <v>0</v>
      </c>
      <c r="J14" s="152">
        <f t="shared" si="0"/>
        <v>3</v>
      </c>
      <c r="K14" s="151" t="s">
        <v>8801</v>
      </c>
      <c r="L14" s="148" t="s">
        <v>5305</v>
      </c>
    </row>
    <row r="15" spans="1:12">
      <c r="A15" s="147" t="s">
        <v>2583</v>
      </c>
      <c r="B15" s="148">
        <v>20</v>
      </c>
      <c r="C15" s="342">
        <v>0</v>
      </c>
      <c r="D15" s="342">
        <v>0</v>
      </c>
      <c r="E15" s="148">
        <v>30</v>
      </c>
      <c r="F15" s="148">
        <v>2</v>
      </c>
      <c r="G15" s="148">
        <v>0</v>
      </c>
      <c r="H15" s="148">
        <v>0</v>
      </c>
      <c r="I15" s="148">
        <v>0</v>
      </c>
      <c r="J15" s="152">
        <f t="shared" si="0"/>
        <v>2</v>
      </c>
      <c r="K15" s="151" t="s">
        <v>2572</v>
      </c>
      <c r="L15" s="148" t="s">
        <v>5304</v>
      </c>
    </row>
    <row r="16" spans="1:12">
      <c r="A16" s="147" t="s">
        <v>2599</v>
      </c>
      <c r="B16" s="148">
        <v>200</v>
      </c>
      <c r="C16" s="342">
        <v>0</v>
      </c>
      <c r="D16" s="342">
        <v>0</v>
      </c>
      <c r="E16" s="148">
        <v>10</v>
      </c>
      <c r="F16" s="148">
        <v>3</v>
      </c>
      <c r="G16" s="148">
        <v>0</v>
      </c>
      <c r="H16" s="148">
        <v>0</v>
      </c>
      <c r="I16" s="148">
        <v>0</v>
      </c>
      <c r="J16" s="152">
        <f t="shared" si="0"/>
        <v>3</v>
      </c>
      <c r="K16" s="151" t="s">
        <v>8801</v>
      </c>
      <c r="L16" s="148" t="s">
        <v>5304</v>
      </c>
    </row>
    <row r="17" spans="1:12">
      <c r="A17" s="147" t="s">
        <v>2589</v>
      </c>
      <c r="B17" s="148">
        <v>30</v>
      </c>
      <c r="C17" s="342">
        <v>0</v>
      </c>
      <c r="D17" s="342">
        <v>0</v>
      </c>
      <c r="E17" s="148">
        <v>50</v>
      </c>
      <c r="F17" s="148">
        <v>3</v>
      </c>
      <c r="G17" s="148">
        <v>0</v>
      </c>
      <c r="H17" s="148">
        <v>0</v>
      </c>
      <c r="I17" s="148">
        <v>0</v>
      </c>
      <c r="J17" s="152">
        <f t="shared" si="0"/>
        <v>3</v>
      </c>
      <c r="K17" s="151" t="s">
        <v>2578</v>
      </c>
      <c r="L17" s="148" t="s">
        <v>5305</v>
      </c>
    </row>
    <row r="18" spans="1:12">
      <c r="A18" s="147" t="s">
        <v>2573</v>
      </c>
      <c r="B18" s="148">
        <v>3</v>
      </c>
      <c r="C18" s="342">
        <v>0</v>
      </c>
      <c r="D18" s="342">
        <v>0</v>
      </c>
      <c r="E18" s="148">
        <v>10</v>
      </c>
      <c r="F18" s="148">
        <v>1</v>
      </c>
      <c r="G18" s="148">
        <v>0</v>
      </c>
      <c r="H18" s="148">
        <v>0</v>
      </c>
      <c r="I18" s="148">
        <v>0</v>
      </c>
      <c r="J18" s="152">
        <f t="shared" si="0"/>
        <v>1</v>
      </c>
      <c r="K18" s="147" t="s">
        <v>2574</v>
      </c>
      <c r="L18" s="148" t="s">
        <v>5303</v>
      </c>
    </row>
    <row r="19" spans="1:12">
      <c r="A19" s="147" t="s">
        <v>2579</v>
      </c>
      <c r="B19" s="148">
        <v>10</v>
      </c>
      <c r="C19" s="342">
        <v>0</v>
      </c>
      <c r="D19" s="342">
        <v>0</v>
      </c>
      <c r="E19" s="148">
        <v>10</v>
      </c>
      <c r="F19" s="148">
        <v>2</v>
      </c>
      <c r="G19" s="148">
        <v>0</v>
      </c>
      <c r="H19" s="148">
        <v>0</v>
      </c>
      <c r="I19" s="148">
        <v>0</v>
      </c>
      <c r="J19" s="152">
        <f t="shared" si="0"/>
        <v>2</v>
      </c>
      <c r="K19" s="151" t="s">
        <v>2572</v>
      </c>
      <c r="L19" s="148" t="s">
        <v>5303</v>
      </c>
    </row>
    <row r="20" spans="1:12">
      <c r="A20" s="357" t="s">
        <v>9357</v>
      </c>
      <c r="B20" s="349">
        <v>700</v>
      </c>
      <c r="C20" s="342">
        <v>0</v>
      </c>
      <c r="D20" s="342">
        <v>0</v>
      </c>
      <c r="E20" s="349">
        <v>100</v>
      </c>
      <c r="F20" s="349">
        <v>0</v>
      </c>
      <c r="G20" s="349">
        <v>0</v>
      </c>
      <c r="H20" s="349">
        <v>2</v>
      </c>
      <c r="I20" s="349">
        <v>0</v>
      </c>
      <c r="J20" s="152">
        <f t="shared" si="0"/>
        <v>2</v>
      </c>
      <c r="K20" s="452" t="s">
        <v>2608</v>
      </c>
      <c r="L20" s="357" t="s">
        <v>12896</v>
      </c>
    </row>
    <row r="21" spans="1:12">
      <c r="A21" s="147" t="s">
        <v>2596</v>
      </c>
      <c r="B21" s="148">
        <v>30</v>
      </c>
      <c r="C21" s="342">
        <v>0</v>
      </c>
      <c r="D21" s="342">
        <v>0</v>
      </c>
      <c r="E21" s="148">
        <v>40</v>
      </c>
      <c r="F21" s="148">
        <v>2</v>
      </c>
      <c r="G21" s="148">
        <v>0</v>
      </c>
      <c r="H21" s="148">
        <v>0</v>
      </c>
      <c r="I21" s="148">
        <v>0</v>
      </c>
      <c r="J21" s="152">
        <f t="shared" si="0"/>
        <v>2</v>
      </c>
      <c r="K21" s="151" t="s">
        <v>2607</v>
      </c>
      <c r="L21" s="148" t="s">
        <v>5305</v>
      </c>
    </row>
    <row r="22" spans="1:12">
      <c r="A22" s="147" t="s">
        <v>2605</v>
      </c>
      <c r="B22" s="148">
        <v>0</v>
      </c>
      <c r="C22" s="342">
        <v>0</v>
      </c>
      <c r="D22" s="342">
        <v>0</v>
      </c>
      <c r="E22" s="148">
        <v>40</v>
      </c>
      <c r="F22" s="148">
        <v>3</v>
      </c>
      <c r="G22" s="148">
        <v>0</v>
      </c>
      <c r="H22" s="148">
        <v>0</v>
      </c>
      <c r="I22" s="148">
        <v>0</v>
      </c>
      <c r="J22" s="152">
        <f t="shared" si="0"/>
        <v>3</v>
      </c>
      <c r="K22" s="151" t="s">
        <v>8801</v>
      </c>
      <c r="L22" s="148" t="s">
        <v>5305</v>
      </c>
    </row>
    <row r="23" spans="1:12">
      <c r="A23" s="147" t="s">
        <v>2584</v>
      </c>
      <c r="B23" s="148">
        <v>95</v>
      </c>
      <c r="C23" s="342">
        <v>0</v>
      </c>
      <c r="D23" s="342">
        <v>0</v>
      </c>
      <c r="E23" s="148">
        <v>80</v>
      </c>
      <c r="F23" s="148">
        <v>0</v>
      </c>
      <c r="G23" s="148">
        <v>2</v>
      </c>
      <c r="H23" s="148">
        <v>2</v>
      </c>
      <c r="I23" s="148">
        <v>0</v>
      </c>
      <c r="J23" s="152">
        <f t="shared" si="0"/>
        <v>2</v>
      </c>
      <c r="K23" s="151" t="s">
        <v>2572</v>
      </c>
      <c r="L23" s="148" t="s">
        <v>5304</v>
      </c>
    </row>
    <row r="24" spans="1:12">
      <c r="A24" s="147" t="s">
        <v>2600</v>
      </c>
      <c r="B24" s="148">
        <v>950</v>
      </c>
      <c r="C24" s="342">
        <v>0</v>
      </c>
      <c r="D24" s="342">
        <v>0</v>
      </c>
      <c r="E24" s="148">
        <v>30</v>
      </c>
      <c r="F24" s="148">
        <v>0</v>
      </c>
      <c r="G24" s="148">
        <v>3</v>
      </c>
      <c r="H24" s="148">
        <v>3</v>
      </c>
      <c r="I24" s="148">
        <v>0</v>
      </c>
      <c r="J24" s="152">
        <f t="shared" si="0"/>
        <v>3</v>
      </c>
      <c r="K24" s="151" t="s">
        <v>8801</v>
      </c>
      <c r="L24" s="148" t="s">
        <v>5304</v>
      </c>
    </row>
    <row r="25" spans="1:12">
      <c r="A25" s="147" t="s">
        <v>2590</v>
      </c>
      <c r="B25" s="148">
        <v>225</v>
      </c>
      <c r="C25" s="342">
        <v>0</v>
      </c>
      <c r="D25" s="342">
        <v>0</v>
      </c>
      <c r="E25" s="148">
        <v>340</v>
      </c>
      <c r="F25" s="148">
        <v>0</v>
      </c>
      <c r="G25" s="148">
        <v>3</v>
      </c>
      <c r="H25" s="148">
        <v>3</v>
      </c>
      <c r="I25" s="148">
        <v>0</v>
      </c>
      <c r="J25" s="152">
        <f t="shared" si="0"/>
        <v>3</v>
      </c>
      <c r="K25" s="151" t="s">
        <v>2578</v>
      </c>
      <c r="L25" s="148" t="s">
        <v>5303</v>
      </c>
    </row>
    <row r="26" spans="1:12">
      <c r="A26" s="147" t="s">
        <v>2575</v>
      </c>
      <c r="B26" s="148">
        <v>6</v>
      </c>
      <c r="C26" s="342">
        <v>0</v>
      </c>
      <c r="D26" s="342">
        <v>0</v>
      </c>
      <c r="E26" s="148">
        <v>40</v>
      </c>
      <c r="F26" s="148">
        <v>0</v>
      </c>
      <c r="G26" s="148">
        <v>0</v>
      </c>
      <c r="H26" s="148">
        <v>1</v>
      </c>
      <c r="I26" s="148">
        <v>0</v>
      </c>
      <c r="J26" s="152">
        <f t="shared" si="0"/>
        <v>1</v>
      </c>
      <c r="K26" s="147" t="s">
        <v>2574</v>
      </c>
      <c r="L26" s="148" t="s">
        <v>5302</v>
      </c>
    </row>
    <row r="27" spans="1:12">
      <c r="A27" s="147" t="s">
        <v>2580</v>
      </c>
      <c r="B27" s="148">
        <v>20</v>
      </c>
      <c r="C27" s="342">
        <v>0</v>
      </c>
      <c r="D27" s="342">
        <v>0</v>
      </c>
      <c r="E27" s="148">
        <v>40</v>
      </c>
      <c r="F27" s="148">
        <v>0</v>
      </c>
      <c r="G27" s="148">
        <v>0</v>
      </c>
      <c r="H27" s="148">
        <v>2</v>
      </c>
      <c r="I27" s="148">
        <v>0</v>
      </c>
      <c r="J27" s="152">
        <f t="shared" si="0"/>
        <v>2</v>
      </c>
      <c r="K27" s="151" t="s">
        <v>2572</v>
      </c>
      <c r="L27" s="148" t="s">
        <v>5303</v>
      </c>
    </row>
    <row r="28" spans="1:12">
      <c r="A28" s="147" t="s">
        <v>2585</v>
      </c>
      <c r="B28" s="148">
        <v>60</v>
      </c>
      <c r="C28" s="342">
        <v>0</v>
      </c>
      <c r="D28" s="342">
        <v>0</v>
      </c>
      <c r="E28" s="148">
        <v>60</v>
      </c>
      <c r="F28" s="148">
        <v>0</v>
      </c>
      <c r="G28" s="148">
        <v>0</v>
      </c>
      <c r="H28" s="148">
        <v>2</v>
      </c>
      <c r="I28" s="148">
        <v>0</v>
      </c>
      <c r="J28" s="152">
        <f t="shared" si="0"/>
        <v>2</v>
      </c>
      <c r="K28" s="151" t="s">
        <v>2572</v>
      </c>
      <c r="L28" s="148" t="s">
        <v>5304</v>
      </c>
    </row>
    <row r="29" spans="1:12">
      <c r="A29" s="147" t="s">
        <v>2601</v>
      </c>
      <c r="B29" s="148">
        <v>600</v>
      </c>
      <c r="C29" s="342">
        <v>0</v>
      </c>
      <c r="D29" s="342">
        <v>0</v>
      </c>
      <c r="E29" s="148">
        <v>20</v>
      </c>
      <c r="F29" s="148">
        <v>0</v>
      </c>
      <c r="G29" s="148">
        <v>0</v>
      </c>
      <c r="H29" s="148">
        <v>3</v>
      </c>
      <c r="I29" s="148">
        <v>0</v>
      </c>
      <c r="J29" s="152">
        <f t="shared" si="0"/>
        <v>3</v>
      </c>
      <c r="K29" s="151" t="s">
        <v>8801</v>
      </c>
      <c r="L29" s="148" t="s">
        <v>5304</v>
      </c>
    </row>
    <row r="30" spans="1:12">
      <c r="A30" s="147" t="s">
        <v>2591</v>
      </c>
      <c r="B30" s="148">
        <v>150</v>
      </c>
      <c r="C30" s="342">
        <v>0</v>
      </c>
      <c r="D30" s="342">
        <v>0</v>
      </c>
      <c r="E30" s="148">
        <v>260</v>
      </c>
      <c r="F30" s="148">
        <v>0</v>
      </c>
      <c r="G30" s="148">
        <v>0</v>
      </c>
      <c r="H30" s="148">
        <v>3</v>
      </c>
      <c r="I30" s="148">
        <v>0</v>
      </c>
      <c r="J30" s="152">
        <f t="shared" si="0"/>
        <v>3</v>
      </c>
      <c r="K30" s="151" t="s">
        <v>2578</v>
      </c>
      <c r="L30" s="148" t="s">
        <v>5305</v>
      </c>
    </row>
    <row r="31" spans="1:12">
      <c r="A31" s="147" t="s">
        <v>2597</v>
      </c>
      <c r="B31" s="148">
        <v>70</v>
      </c>
      <c r="C31" s="342">
        <v>0</v>
      </c>
      <c r="D31" s="342">
        <v>0</v>
      </c>
      <c r="E31" s="148">
        <v>40</v>
      </c>
      <c r="F31" s="148">
        <v>0</v>
      </c>
      <c r="G31" s="148">
        <v>0</v>
      </c>
      <c r="H31" s="148">
        <v>0</v>
      </c>
      <c r="I31" s="148">
        <v>2</v>
      </c>
      <c r="J31" s="152">
        <f t="shared" si="0"/>
        <v>2</v>
      </c>
      <c r="K31" s="151" t="s">
        <v>2607</v>
      </c>
      <c r="L31" s="148"/>
    </row>
    <row r="32" spans="1:12">
      <c r="A32" s="147" t="s">
        <v>2577</v>
      </c>
      <c r="B32" s="148">
        <v>10</v>
      </c>
      <c r="C32" s="342">
        <v>0</v>
      </c>
      <c r="D32" s="342">
        <v>0</v>
      </c>
      <c r="E32" s="148">
        <v>20</v>
      </c>
      <c r="F32" s="148">
        <v>0</v>
      </c>
      <c r="G32" s="148">
        <v>0</v>
      </c>
      <c r="H32" s="148">
        <v>0</v>
      </c>
      <c r="I32" s="148">
        <v>1</v>
      </c>
      <c r="J32" s="152">
        <f t="shared" si="0"/>
        <v>1</v>
      </c>
      <c r="K32" s="151" t="s">
        <v>2574</v>
      </c>
      <c r="L32" s="148" t="s">
        <v>5303</v>
      </c>
    </row>
    <row r="33" spans="1:12">
      <c r="A33" s="147" t="s">
        <v>2582</v>
      </c>
      <c r="B33" s="148">
        <v>20</v>
      </c>
      <c r="C33" s="342">
        <v>0</v>
      </c>
      <c r="D33" s="342">
        <v>0</v>
      </c>
      <c r="E33" s="148">
        <v>20</v>
      </c>
      <c r="F33" s="148">
        <v>0</v>
      </c>
      <c r="G33" s="148">
        <v>0</v>
      </c>
      <c r="H33" s="148">
        <v>0</v>
      </c>
      <c r="I33" s="148">
        <v>2</v>
      </c>
      <c r="J33" s="152">
        <f t="shared" si="0"/>
        <v>2</v>
      </c>
      <c r="K33" s="151" t="s">
        <v>2572</v>
      </c>
      <c r="L33" s="148" t="s">
        <v>5303</v>
      </c>
    </row>
    <row r="34" spans="1:12">
      <c r="A34" s="147" t="s">
        <v>2610</v>
      </c>
      <c r="B34" s="148">
        <v>200</v>
      </c>
      <c r="C34" s="342">
        <v>0</v>
      </c>
      <c r="D34" s="342">
        <v>0</v>
      </c>
      <c r="E34" s="148">
        <v>40</v>
      </c>
      <c r="F34" s="148">
        <v>0</v>
      </c>
      <c r="G34" s="148">
        <v>0</v>
      </c>
      <c r="H34" s="148">
        <v>0</v>
      </c>
      <c r="I34" s="148">
        <v>3</v>
      </c>
      <c r="J34" s="152">
        <f t="shared" si="0"/>
        <v>3</v>
      </c>
      <c r="K34" s="151" t="s">
        <v>8801</v>
      </c>
      <c r="L34" s="148" t="s">
        <v>5304</v>
      </c>
    </row>
    <row r="35" spans="1:12">
      <c r="A35" s="147" t="s">
        <v>2586</v>
      </c>
      <c r="B35" s="148">
        <v>20</v>
      </c>
      <c r="C35" s="342">
        <v>0</v>
      </c>
      <c r="D35" s="342">
        <v>0</v>
      </c>
      <c r="E35" s="148">
        <v>40</v>
      </c>
      <c r="F35" s="148">
        <v>0</v>
      </c>
      <c r="G35" s="148">
        <v>0</v>
      </c>
      <c r="H35" s="148">
        <v>0</v>
      </c>
      <c r="I35" s="148">
        <v>2</v>
      </c>
      <c r="J35" s="152">
        <f t="shared" si="0"/>
        <v>2</v>
      </c>
      <c r="K35" s="151" t="s">
        <v>2578</v>
      </c>
      <c r="L35" s="148" t="s">
        <v>5304</v>
      </c>
    </row>
    <row r="36" spans="1:12">
      <c r="A36" s="147" t="s">
        <v>2602</v>
      </c>
      <c r="B36" s="148">
        <v>200</v>
      </c>
      <c r="C36" s="342">
        <v>0</v>
      </c>
      <c r="D36" s="342">
        <v>0</v>
      </c>
      <c r="E36" s="148">
        <v>20</v>
      </c>
      <c r="F36" s="148">
        <v>0</v>
      </c>
      <c r="G36" s="148">
        <v>0</v>
      </c>
      <c r="H36" s="148">
        <v>0</v>
      </c>
      <c r="I36" s="148">
        <v>3</v>
      </c>
      <c r="J36" s="152">
        <f t="shared" si="0"/>
        <v>3</v>
      </c>
      <c r="K36" s="151" t="s">
        <v>8801</v>
      </c>
      <c r="L36" s="148" t="s">
        <v>5304</v>
      </c>
    </row>
    <row r="37" spans="1:12">
      <c r="A37" s="147" t="s">
        <v>2592</v>
      </c>
      <c r="B37" s="148">
        <v>75</v>
      </c>
      <c r="C37" s="342">
        <v>0</v>
      </c>
      <c r="D37" s="342">
        <v>0</v>
      </c>
      <c r="E37" s="148">
        <v>130</v>
      </c>
      <c r="F37" s="148">
        <v>0</v>
      </c>
      <c r="G37" s="148">
        <v>0</v>
      </c>
      <c r="H37" s="148">
        <v>0</v>
      </c>
      <c r="I37" s="148">
        <v>3</v>
      </c>
      <c r="J37" s="152">
        <f t="shared" si="0"/>
        <v>3</v>
      </c>
      <c r="K37" s="151" t="s">
        <v>2607</v>
      </c>
      <c r="L37" s="148" t="s">
        <v>5305</v>
      </c>
    </row>
    <row r="38" spans="1:12">
      <c r="A38" s="147" t="s">
        <v>3817</v>
      </c>
      <c r="B38" s="148">
        <v>10</v>
      </c>
      <c r="C38" s="342">
        <v>0</v>
      </c>
      <c r="D38" s="342">
        <v>0</v>
      </c>
      <c r="E38" s="148">
        <v>20</v>
      </c>
      <c r="F38" s="148">
        <v>1</v>
      </c>
      <c r="G38" s="148">
        <v>0</v>
      </c>
      <c r="H38" s="148">
        <v>1</v>
      </c>
      <c r="I38" s="148">
        <v>0</v>
      </c>
      <c r="J38" s="152">
        <f t="shared" si="0"/>
        <v>1</v>
      </c>
      <c r="K38" s="151" t="s">
        <v>2572</v>
      </c>
      <c r="L38" s="148"/>
    </row>
    <row r="39" spans="1:12">
      <c r="A39" s="147" t="s">
        <v>2587</v>
      </c>
      <c r="B39" s="148">
        <v>75</v>
      </c>
      <c r="C39" s="342">
        <v>0</v>
      </c>
      <c r="D39" s="342">
        <v>0</v>
      </c>
      <c r="E39" s="148">
        <v>80</v>
      </c>
      <c r="F39" s="148">
        <v>0</v>
      </c>
      <c r="G39" s="148">
        <v>0</v>
      </c>
      <c r="H39" s="148">
        <v>2</v>
      </c>
      <c r="I39" s="148">
        <v>2</v>
      </c>
      <c r="J39" s="152">
        <f t="shared" si="0"/>
        <v>2</v>
      </c>
      <c r="K39" s="151" t="s">
        <v>2572</v>
      </c>
      <c r="L39" s="148" t="s">
        <v>5304</v>
      </c>
    </row>
    <row r="40" spans="1:12">
      <c r="A40" s="147" t="s">
        <v>2588</v>
      </c>
      <c r="B40" s="148">
        <v>130</v>
      </c>
      <c r="C40" s="342">
        <v>0</v>
      </c>
      <c r="D40" s="342">
        <v>0</v>
      </c>
      <c r="E40" s="148">
        <v>100</v>
      </c>
      <c r="F40" s="148">
        <v>0</v>
      </c>
      <c r="G40" s="148">
        <v>2</v>
      </c>
      <c r="H40" s="148">
        <v>2</v>
      </c>
      <c r="I40" s="148">
        <v>2</v>
      </c>
      <c r="J40" s="152">
        <f t="shared" si="0"/>
        <v>2</v>
      </c>
      <c r="K40" s="151" t="s">
        <v>2572</v>
      </c>
      <c r="L40" s="148" t="s">
        <v>5304</v>
      </c>
    </row>
    <row r="41" spans="1:12">
      <c r="A41" s="147" t="s">
        <v>2603</v>
      </c>
      <c r="B41" s="148">
        <v>1300</v>
      </c>
      <c r="C41" s="342">
        <v>0</v>
      </c>
      <c r="D41" s="342">
        <v>0</v>
      </c>
      <c r="E41" s="148">
        <v>30</v>
      </c>
      <c r="F41" s="148">
        <v>0</v>
      </c>
      <c r="G41" s="148">
        <v>0</v>
      </c>
      <c r="H41" s="148">
        <v>3</v>
      </c>
      <c r="I41" s="148">
        <v>3</v>
      </c>
      <c r="J41" s="152">
        <f t="shared" si="0"/>
        <v>3</v>
      </c>
      <c r="K41" s="151" t="s">
        <v>8801</v>
      </c>
      <c r="L41" s="148" t="s">
        <v>5304</v>
      </c>
    </row>
    <row r="42" spans="1:12">
      <c r="A42" s="147" t="s">
        <v>2604</v>
      </c>
      <c r="B42" s="148">
        <v>1500</v>
      </c>
      <c r="C42" s="342">
        <v>0</v>
      </c>
      <c r="D42" s="342">
        <v>0</v>
      </c>
      <c r="E42" s="148">
        <v>60</v>
      </c>
      <c r="F42" s="148">
        <v>0</v>
      </c>
      <c r="G42" s="148">
        <v>3</v>
      </c>
      <c r="H42" s="148">
        <v>3</v>
      </c>
      <c r="I42" s="148">
        <v>3</v>
      </c>
      <c r="J42" s="152">
        <f t="shared" si="0"/>
        <v>3</v>
      </c>
      <c r="K42" s="151" t="s">
        <v>8801</v>
      </c>
      <c r="L42" s="148" t="s">
        <v>5304</v>
      </c>
    </row>
    <row r="43" spans="1:12">
      <c r="A43" s="147" t="s">
        <v>2593</v>
      </c>
      <c r="B43" s="148">
        <v>225</v>
      </c>
      <c r="C43" s="342">
        <v>0</v>
      </c>
      <c r="D43" s="342">
        <v>0</v>
      </c>
      <c r="E43" s="148">
        <v>400</v>
      </c>
      <c r="F43" s="148">
        <v>0</v>
      </c>
      <c r="G43" s="148">
        <v>0</v>
      </c>
      <c r="H43" s="148">
        <v>3</v>
      </c>
      <c r="I43" s="148">
        <v>3</v>
      </c>
      <c r="J43" s="152">
        <f t="shared" si="0"/>
        <v>3</v>
      </c>
      <c r="K43" s="151" t="s">
        <v>2578</v>
      </c>
      <c r="L43" s="148" t="s">
        <v>5305</v>
      </c>
    </row>
    <row r="44" spans="1:12">
      <c r="A44" s="147" t="s">
        <v>2594</v>
      </c>
      <c r="B44" s="148">
        <v>300</v>
      </c>
      <c r="C44" s="342">
        <v>0</v>
      </c>
      <c r="D44" s="342">
        <v>0</v>
      </c>
      <c r="E44" s="148">
        <v>470</v>
      </c>
      <c r="F44" s="148">
        <v>0</v>
      </c>
      <c r="G44" s="148">
        <v>3</v>
      </c>
      <c r="H44" s="148">
        <v>3</v>
      </c>
      <c r="I44" s="148">
        <v>3</v>
      </c>
      <c r="J44" s="152">
        <f t="shared" si="0"/>
        <v>3</v>
      </c>
      <c r="K44" s="151" t="s">
        <v>2578</v>
      </c>
      <c r="L44" s="148" t="s">
        <v>5305</v>
      </c>
    </row>
    <row r="45" spans="1:12">
      <c r="A45" s="147" t="s">
        <v>2598</v>
      </c>
      <c r="B45" s="148">
        <v>70</v>
      </c>
      <c r="C45" s="342">
        <v>0</v>
      </c>
      <c r="D45" s="342">
        <v>0</v>
      </c>
      <c r="E45" s="148">
        <v>75</v>
      </c>
      <c r="F45" s="148">
        <v>0</v>
      </c>
      <c r="G45" s="148">
        <v>0</v>
      </c>
      <c r="H45" s="148">
        <v>2</v>
      </c>
      <c r="I45" s="148">
        <v>0</v>
      </c>
      <c r="J45" s="152">
        <f t="shared" si="0"/>
        <v>2</v>
      </c>
      <c r="K45" s="151" t="s">
        <v>2607</v>
      </c>
      <c r="L45" s="148" t="s">
        <v>5305</v>
      </c>
    </row>
    <row r="46" spans="1:12">
      <c r="A46" s="147" t="s">
        <v>2606</v>
      </c>
      <c r="B46" s="148">
        <v>700</v>
      </c>
      <c r="C46" s="342">
        <v>0</v>
      </c>
      <c r="D46" s="342">
        <v>0</v>
      </c>
      <c r="E46" s="148">
        <v>75</v>
      </c>
      <c r="F46" s="148">
        <v>0</v>
      </c>
      <c r="G46" s="148">
        <v>0</v>
      </c>
      <c r="H46" s="148">
        <v>3</v>
      </c>
      <c r="I46" s="148">
        <v>0</v>
      </c>
      <c r="J46" s="152">
        <f t="shared" si="0"/>
        <v>3</v>
      </c>
      <c r="K46" s="151" t="s">
        <v>8801</v>
      </c>
      <c r="L46" s="148" t="s">
        <v>5305</v>
      </c>
    </row>
    <row r="47" spans="1:12">
      <c r="A47" s="357" t="s">
        <v>11281</v>
      </c>
      <c r="B47" s="349">
        <v>30</v>
      </c>
      <c r="C47" s="342">
        <v>0</v>
      </c>
      <c r="D47" s="342">
        <v>0</v>
      </c>
      <c r="E47" s="349">
        <v>20</v>
      </c>
      <c r="F47" s="349">
        <v>0</v>
      </c>
      <c r="G47" s="349">
        <v>0</v>
      </c>
      <c r="H47" s="349">
        <v>0</v>
      </c>
      <c r="I47" s="349">
        <v>0.5</v>
      </c>
      <c r="J47" s="152">
        <f t="shared" si="0"/>
        <v>0.5</v>
      </c>
      <c r="K47" s="452" t="s">
        <v>2607</v>
      </c>
      <c r="L47" s="349"/>
    </row>
    <row r="48" spans="1:12">
      <c r="A48" s="147" t="s">
        <v>2576</v>
      </c>
      <c r="B48" s="148">
        <v>12</v>
      </c>
      <c r="C48" s="342">
        <v>0</v>
      </c>
      <c r="D48" s="342">
        <v>0</v>
      </c>
      <c r="E48" s="148">
        <v>50</v>
      </c>
      <c r="F48" s="148">
        <v>0</v>
      </c>
      <c r="G48" s="148">
        <v>1</v>
      </c>
      <c r="H48" s="148">
        <v>1</v>
      </c>
      <c r="I48" s="148">
        <v>0</v>
      </c>
      <c r="J48" s="152">
        <f t="shared" si="0"/>
        <v>1</v>
      </c>
      <c r="K48" s="151" t="s">
        <v>2574</v>
      </c>
      <c r="L48" s="148" t="s">
        <v>5303</v>
      </c>
    </row>
    <row r="49" spans="1:12">
      <c r="A49" s="147" t="s">
        <v>2581</v>
      </c>
      <c r="B49" s="148">
        <v>30</v>
      </c>
      <c r="C49" s="342">
        <v>0</v>
      </c>
      <c r="D49" s="342">
        <v>0</v>
      </c>
      <c r="E49" s="148">
        <v>50</v>
      </c>
      <c r="F49" s="148">
        <v>0</v>
      </c>
      <c r="G49" s="148">
        <v>2</v>
      </c>
      <c r="H49" s="148">
        <v>2</v>
      </c>
      <c r="I49" s="148">
        <v>0</v>
      </c>
      <c r="J49" s="152">
        <f t="shared" si="0"/>
        <v>2</v>
      </c>
      <c r="K49" s="151" t="s">
        <v>2572</v>
      </c>
      <c r="L49" s="148" t="s">
        <v>5304</v>
      </c>
    </row>
    <row r="50" spans="1:12">
      <c r="A50" s="657" t="s">
        <v>12763</v>
      </c>
      <c r="B50" s="658"/>
      <c r="C50" s="342">
        <v>0</v>
      </c>
      <c r="D50" s="342">
        <v>0</v>
      </c>
      <c r="E50" s="658"/>
      <c r="F50" s="658"/>
      <c r="G50" s="658"/>
      <c r="H50" s="658"/>
      <c r="I50" s="658"/>
      <c r="J50" s="152">
        <f t="shared" si="0"/>
        <v>0</v>
      </c>
      <c r="K50" s="658"/>
      <c r="L50" s="658"/>
    </row>
    <row r="51" spans="1:12">
      <c r="A51" s="657" t="s">
        <v>12764</v>
      </c>
      <c r="B51" s="658"/>
      <c r="C51" s="342">
        <v>0</v>
      </c>
      <c r="D51" s="342">
        <v>0</v>
      </c>
      <c r="E51" s="658"/>
      <c r="F51" s="658"/>
      <c r="G51" s="658"/>
      <c r="H51" s="658"/>
      <c r="I51" s="658"/>
      <c r="J51" s="152">
        <f t="shared" si="0"/>
        <v>0</v>
      </c>
      <c r="K51" s="658"/>
      <c r="L51" s="658"/>
    </row>
    <row r="52" spans="1:12">
      <c r="A52" s="657" t="s">
        <v>12765</v>
      </c>
      <c r="B52" s="658"/>
      <c r="C52" s="342">
        <v>0</v>
      </c>
      <c r="D52" s="342">
        <v>0</v>
      </c>
      <c r="E52" s="658"/>
      <c r="F52" s="658"/>
      <c r="G52" s="658"/>
      <c r="H52" s="658"/>
      <c r="I52" s="658"/>
      <c r="J52" s="152">
        <f t="shared" si="0"/>
        <v>0</v>
      </c>
      <c r="K52" s="658"/>
      <c r="L52" s="658"/>
    </row>
  </sheetData>
  <sheetProtection selectLockedCells="1"/>
  <sortState xmlns:xlrd2="http://schemas.microsoft.com/office/spreadsheetml/2017/richdata2" ref="A2:I43">
    <sortCondition ref="A2:A43"/>
  </sortState>
  <conditionalFormatting sqref="B50:B52 E50:I52">
    <cfRule type="cellIs" dxfId="1" priority="2" operator="equal">
      <formula>""</formula>
    </cfRule>
  </conditionalFormatting>
  <conditionalFormatting sqref="K50:L52">
    <cfRule type="cellIs" dxfId="0" priority="1" operator="equal">
      <formula>""</formula>
    </cfRule>
  </conditionalFormatting>
  <dataValidations count="1">
    <dataValidation type="list" allowBlank="1" showInputMessage="1" showErrorMessage="1" sqref="K1:K1048576" xr:uid="{E8852444-3488-40F0-B28A-B22E016A9B7F}">
      <formula1>disponibilité</formula1>
    </dataValidation>
  </dataValidations>
  <pageMargins left="0.7" right="0.7" top="0.75" bottom="0.75" header="0.3" footer="0.3"/>
  <pageSetup paperSize="9" orientation="portrait" r:id="rId1"/>
  <ignoredErrors>
    <ignoredError sqref="J2 J3:J49"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theme="3" tint="0.39997558519241921"/>
  </sheetPr>
  <dimension ref="A1:S1358"/>
  <sheetViews>
    <sheetView showGridLines="0" showRowColHeaders="0" workbookViewId="0">
      <pane ySplit="2" topLeftCell="A3" activePane="bottomLeft" state="frozen"/>
      <selection pane="bottomLeft" sqref="A1:A2"/>
    </sheetView>
  </sheetViews>
  <sheetFormatPr baseColWidth="10" defaultRowHeight="13.2"/>
  <cols>
    <col min="1" max="1" width="43.5546875" customWidth="1"/>
    <col min="2" max="2" width="6" style="78" customWidth="1"/>
    <col min="3" max="3" width="4" style="80" customWidth="1"/>
    <col min="4" max="4" width="4.33203125" style="81" customWidth="1"/>
    <col min="5" max="5" width="7" style="79" customWidth="1"/>
    <col min="6" max="6" width="4.6640625" style="77" customWidth="1"/>
    <col min="7" max="7" width="21.44140625" customWidth="1"/>
    <col min="8" max="8" width="32.33203125" style="638" customWidth="1"/>
    <col min="9" max="9" width="19.88671875" style="450" customWidth="1"/>
    <col min="10" max="10" width="23.44140625" style="454" customWidth="1"/>
    <col min="11" max="11" width="9" style="762" customWidth="1"/>
    <col min="12" max="12" width="21" style="62" customWidth="1"/>
    <col min="13" max="13" width="6.33203125" style="62" customWidth="1"/>
    <col min="14" max="17" width="3.44140625" style="62" customWidth="1"/>
    <col min="18" max="19" width="11.5546875" style="62"/>
  </cols>
  <sheetData>
    <row r="1" spans="1:12" ht="14.4" thickTop="1" thickBot="1">
      <c r="A1" s="1503" t="s">
        <v>162</v>
      </c>
      <c r="B1" s="1508" t="s">
        <v>2570</v>
      </c>
      <c r="C1" s="1508"/>
      <c r="D1" s="1508"/>
      <c r="E1" s="1509" t="s">
        <v>368</v>
      </c>
      <c r="F1" s="1505" t="s">
        <v>3886</v>
      </c>
      <c r="G1" s="1505" t="s">
        <v>201</v>
      </c>
      <c r="H1" s="1503" t="s">
        <v>4942</v>
      </c>
      <c r="J1" s="1507" t="s">
        <v>5320</v>
      </c>
      <c r="K1" s="1502" t="s">
        <v>15377</v>
      </c>
    </row>
    <row r="2" spans="1:12" ht="13.8" thickTop="1">
      <c r="A2" s="1504"/>
      <c r="B2" s="686" t="s">
        <v>3874</v>
      </c>
      <c r="C2" s="687" t="s">
        <v>3875</v>
      </c>
      <c r="D2" s="688" t="s">
        <v>3876</v>
      </c>
      <c r="E2" s="1510"/>
      <c r="F2" s="1506"/>
      <c r="G2" s="1506"/>
      <c r="H2" s="1504"/>
      <c r="J2" s="1507"/>
      <c r="K2" s="1502"/>
    </row>
    <row r="3" spans="1:12">
      <c r="A3" s="357" t="s">
        <v>13200</v>
      </c>
      <c r="B3" s="434">
        <v>8</v>
      </c>
      <c r="C3" s="435">
        <v>0</v>
      </c>
      <c r="D3" s="436">
        <v>0</v>
      </c>
      <c r="E3" s="349">
        <v>0</v>
      </c>
      <c r="F3" s="357" t="s">
        <v>2578</v>
      </c>
      <c r="G3" s="535" t="s">
        <v>4109</v>
      </c>
      <c r="H3" s="635" t="s">
        <v>13152</v>
      </c>
      <c r="J3" s="368" t="s">
        <v>4109</v>
      </c>
      <c r="K3" s="762" t="s">
        <v>15521</v>
      </c>
      <c r="L3" s="106"/>
    </row>
    <row r="4" spans="1:12">
      <c r="A4" s="349" t="s">
        <v>13092</v>
      </c>
      <c r="B4" s="434">
        <v>80</v>
      </c>
      <c r="C4" s="435">
        <v>0</v>
      </c>
      <c r="D4" s="436">
        <v>0</v>
      </c>
      <c r="E4" s="349">
        <v>0</v>
      </c>
      <c r="F4" s="357" t="s">
        <v>2608</v>
      </c>
      <c r="G4" s="535" t="s">
        <v>4109</v>
      </c>
      <c r="H4" s="357" t="s">
        <v>13153</v>
      </c>
      <c r="J4" s="368" t="s">
        <v>11981</v>
      </c>
      <c r="K4" s="762" t="s">
        <v>15522</v>
      </c>
      <c r="L4" s="85"/>
    </row>
    <row r="5" spans="1:12">
      <c r="A5" s="349" t="s">
        <v>13081</v>
      </c>
      <c r="B5" s="434">
        <v>800</v>
      </c>
      <c r="C5" s="435">
        <v>0</v>
      </c>
      <c r="D5" s="436">
        <v>0</v>
      </c>
      <c r="E5" s="349">
        <v>0</v>
      </c>
      <c r="F5" s="357" t="s">
        <v>2574</v>
      </c>
      <c r="G5" s="535" t="s">
        <v>4109</v>
      </c>
      <c r="H5" s="357" t="s">
        <v>13160</v>
      </c>
      <c r="J5" s="368" t="s">
        <v>11979</v>
      </c>
      <c r="K5" s="762" t="s">
        <v>9776</v>
      </c>
      <c r="L5" s="85"/>
    </row>
    <row r="6" spans="1:12">
      <c r="A6" s="357" t="s">
        <v>13270</v>
      </c>
      <c r="B6" s="434">
        <v>8000</v>
      </c>
      <c r="C6" s="435">
        <v>0</v>
      </c>
      <c r="D6" s="436">
        <v>0</v>
      </c>
      <c r="E6" s="349">
        <v>0</v>
      </c>
      <c r="F6" s="357" t="s">
        <v>8801</v>
      </c>
      <c r="G6" s="357" t="s">
        <v>4109</v>
      </c>
      <c r="H6" s="357" t="s">
        <v>13265</v>
      </c>
      <c r="J6" s="368" t="s">
        <v>3941</v>
      </c>
      <c r="K6" s="762" t="s">
        <v>12490</v>
      </c>
      <c r="L6" s="85"/>
    </row>
    <row r="7" spans="1:12">
      <c r="A7" s="357" t="s">
        <v>13280</v>
      </c>
      <c r="B7" s="434">
        <v>1</v>
      </c>
      <c r="C7" s="435">
        <v>0</v>
      </c>
      <c r="D7" s="436">
        <v>0</v>
      </c>
      <c r="E7" s="349">
        <v>0</v>
      </c>
      <c r="F7" s="349" t="s">
        <v>2578</v>
      </c>
      <c r="G7" s="535" t="s">
        <v>4109</v>
      </c>
      <c r="H7" s="635" t="s">
        <v>7258</v>
      </c>
      <c r="J7" s="368" t="s">
        <v>3992</v>
      </c>
      <c r="K7" s="762" t="s">
        <v>15378</v>
      </c>
      <c r="L7" s="85"/>
    </row>
    <row r="8" spans="1:12">
      <c r="A8" s="349" t="s">
        <v>13044</v>
      </c>
      <c r="B8" s="434">
        <v>0</v>
      </c>
      <c r="C8" s="435">
        <v>15</v>
      </c>
      <c r="D8" s="436">
        <v>0</v>
      </c>
      <c r="E8" s="349">
        <v>0</v>
      </c>
      <c r="F8" s="349" t="s">
        <v>2572</v>
      </c>
      <c r="G8" s="535" t="s">
        <v>4109</v>
      </c>
      <c r="H8" s="452" t="s">
        <v>13161</v>
      </c>
      <c r="J8" s="368" t="s">
        <v>4114</v>
      </c>
      <c r="K8" s="762" t="s">
        <v>12049</v>
      </c>
      <c r="L8" s="85"/>
    </row>
    <row r="9" spans="1:12">
      <c r="A9" s="349" t="s">
        <v>10160</v>
      </c>
      <c r="B9" s="434">
        <v>30</v>
      </c>
      <c r="C9" s="435">
        <v>0</v>
      </c>
      <c r="D9" s="436">
        <v>0</v>
      </c>
      <c r="E9" s="349">
        <v>0</v>
      </c>
      <c r="F9" s="349" t="s">
        <v>3877</v>
      </c>
      <c r="G9" s="535" t="s">
        <v>4109</v>
      </c>
      <c r="H9" s="635" t="s">
        <v>9397</v>
      </c>
      <c r="I9" s="450">
        <v>20</v>
      </c>
      <c r="J9" s="368" t="s">
        <v>7119</v>
      </c>
      <c r="K9" s="762" t="s">
        <v>12017</v>
      </c>
      <c r="L9" s="85"/>
    </row>
    <row r="10" spans="1:12">
      <c r="A10" s="349" t="s">
        <v>10161</v>
      </c>
      <c r="B10" s="434">
        <v>100</v>
      </c>
      <c r="C10" s="435">
        <v>0</v>
      </c>
      <c r="D10" s="436">
        <v>0</v>
      </c>
      <c r="E10" s="349">
        <v>0</v>
      </c>
      <c r="F10" s="357" t="s">
        <v>2578</v>
      </c>
      <c r="G10" s="535" t="s">
        <v>4109</v>
      </c>
      <c r="H10" s="635" t="s">
        <v>13152</v>
      </c>
      <c r="I10" s="450">
        <v>5</v>
      </c>
      <c r="J10" s="368" t="s">
        <v>4327</v>
      </c>
      <c r="K10" s="762" t="s">
        <v>11987</v>
      </c>
      <c r="L10" s="85"/>
    </row>
    <row r="11" spans="1:12">
      <c r="A11" s="349" t="s">
        <v>4317</v>
      </c>
      <c r="B11" s="434">
        <v>12</v>
      </c>
      <c r="C11" s="435">
        <v>0</v>
      </c>
      <c r="D11" s="436">
        <v>0</v>
      </c>
      <c r="E11" s="349">
        <v>0</v>
      </c>
      <c r="F11" s="349" t="s">
        <v>2572</v>
      </c>
      <c r="G11" s="535" t="s">
        <v>4109</v>
      </c>
      <c r="H11" s="635"/>
      <c r="I11" s="450">
        <v>6</v>
      </c>
      <c r="J11" s="856" t="s">
        <v>3957</v>
      </c>
      <c r="K11" s="762" t="s">
        <v>12030</v>
      </c>
      <c r="L11" s="85"/>
    </row>
    <row r="12" spans="1:12">
      <c r="A12" s="349" t="s">
        <v>13037</v>
      </c>
      <c r="B12" s="434">
        <v>3</v>
      </c>
      <c r="C12" s="435">
        <v>0</v>
      </c>
      <c r="D12" s="436">
        <v>0</v>
      </c>
      <c r="E12" s="349">
        <v>0</v>
      </c>
      <c r="F12" s="349" t="s">
        <v>3877</v>
      </c>
      <c r="G12" s="535" t="s">
        <v>4109</v>
      </c>
      <c r="H12" s="635"/>
      <c r="I12" s="450">
        <v>7</v>
      </c>
      <c r="J12" s="368" t="s">
        <v>3979</v>
      </c>
      <c r="K12" s="762" t="s">
        <v>3929</v>
      </c>
      <c r="L12" s="85"/>
    </row>
    <row r="13" spans="1:12">
      <c r="A13" s="349" t="s">
        <v>13017</v>
      </c>
      <c r="B13" s="434">
        <v>280</v>
      </c>
      <c r="C13" s="435">
        <v>0</v>
      </c>
      <c r="D13" s="436">
        <v>0</v>
      </c>
      <c r="E13" s="349">
        <v>0</v>
      </c>
      <c r="F13" s="349" t="s">
        <v>2578</v>
      </c>
      <c r="G13" s="535" t="s">
        <v>4109</v>
      </c>
      <c r="H13" s="635"/>
      <c r="I13" s="450">
        <v>8</v>
      </c>
      <c r="J13" s="368" t="s">
        <v>4003</v>
      </c>
      <c r="K13" s="762" t="s">
        <v>15380</v>
      </c>
      <c r="L13" s="85"/>
    </row>
    <row r="14" spans="1:12">
      <c r="A14" s="349" t="s">
        <v>13018</v>
      </c>
      <c r="B14" s="434">
        <v>30</v>
      </c>
      <c r="C14" s="435">
        <v>0</v>
      </c>
      <c r="D14" s="436">
        <v>0</v>
      </c>
      <c r="E14" s="349">
        <v>0</v>
      </c>
      <c r="F14" s="349" t="s">
        <v>2607</v>
      </c>
      <c r="G14" s="535" t="s">
        <v>4109</v>
      </c>
      <c r="H14" s="635" t="s">
        <v>9394</v>
      </c>
      <c r="I14" s="450">
        <v>9</v>
      </c>
      <c r="J14" s="368" t="s">
        <v>15381</v>
      </c>
      <c r="K14" s="762" t="s">
        <v>15379</v>
      </c>
    </row>
    <row r="15" spans="1:12">
      <c r="A15" s="349" t="s">
        <v>13015</v>
      </c>
      <c r="B15" s="434">
        <v>3</v>
      </c>
      <c r="C15" s="435">
        <v>0</v>
      </c>
      <c r="D15" s="436">
        <v>0</v>
      </c>
      <c r="E15" s="349">
        <v>0</v>
      </c>
      <c r="F15" s="349" t="s">
        <v>3877</v>
      </c>
      <c r="G15" s="535" t="s">
        <v>4109</v>
      </c>
      <c r="H15" s="635"/>
      <c r="I15" s="450">
        <v>10</v>
      </c>
      <c r="J15" s="368" t="s">
        <v>4088</v>
      </c>
      <c r="K15" s="762" t="s">
        <v>12489</v>
      </c>
    </row>
    <row r="16" spans="1:12">
      <c r="A16" s="357" t="s">
        <v>13149</v>
      </c>
      <c r="B16" s="434">
        <v>30</v>
      </c>
      <c r="C16" s="435">
        <v>0</v>
      </c>
      <c r="D16" s="436">
        <v>0</v>
      </c>
      <c r="E16" s="349">
        <v>0</v>
      </c>
      <c r="F16" s="357" t="s">
        <v>2607</v>
      </c>
      <c r="G16" s="535" t="s">
        <v>4109</v>
      </c>
      <c r="H16" s="635" t="s">
        <v>11955</v>
      </c>
      <c r="I16" s="450">
        <v>11</v>
      </c>
      <c r="J16" s="368" t="s">
        <v>4107</v>
      </c>
      <c r="K16" s="762" t="s">
        <v>15523</v>
      </c>
    </row>
    <row r="17" spans="1:10">
      <c r="A17" s="357" t="s">
        <v>13148</v>
      </c>
      <c r="B17" s="434">
        <v>1</v>
      </c>
      <c r="C17" s="435">
        <v>0</v>
      </c>
      <c r="D17" s="436">
        <v>0</v>
      </c>
      <c r="E17" s="349">
        <v>0</v>
      </c>
      <c r="F17" s="452" t="s">
        <v>2608</v>
      </c>
      <c r="G17" s="535" t="s">
        <v>4109</v>
      </c>
      <c r="H17" s="349"/>
      <c r="I17" s="450">
        <v>12</v>
      </c>
      <c r="J17" s="368" t="s">
        <v>3915</v>
      </c>
    </row>
    <row r="18" spans="1:10">
      <c r="A18" s="349" t="s">
        <v>13088</v>
      </c>
      <c r="B18" s="434">
        <v>1500</v>
      </c>
      <c r="C18" s="435">
        <v>0</v>
      </c>
      <c r="D18" s="436">
        <v>0</v>
      </c>
      <c r="E18" s="349">
        <v>0</v>
      </c>
      <c r="F18" s="452" t="s">
        <v>2608</v>
      </c>
      <c r="G18" s="535" t="s">
        <v>4109</v>
      </c>
      <c r="H18" s="357" t="s">
        <v>9356</v>
      </c>
      <c r="J18" s="368" t="s">
        <v>4096</v>
      </c>
    </row>
    <row r="19" spans="1:10">
      <c r="A19" s="349" t="s">
        <v>13019</v>
      </c>
      <c r="B19" s="434">
        <v>150</v>
      </c>
      <c r="C19" s="435">
        <v>0</v>
      </c>
      <c r="D19" s="436">
        <v>0</v>
      </c>
      <c r="E19" s="349">
        <v>0</v>
      </c>
      <c r="F19" s="357" t="s">
        <v>2607</v>
      </c>
      <c r="G19" s="535" t="s">
        <v>4109</v>
      </c>
      <c r="H19" s="357"/>
      <c r="I19" s="450">
        <v>13</v>
      </c>
      <c r="J19" s="368" t="s">
        <v>261</v>
      </c>
    </row>
    <row r="20" spans="1:10">
      <c r="A20" s="349" t="s">
        <v>13016</v>
      </c>
      <c r="B20" s="434">
        <v>1</v>
      </c>
      <c r="C20" s="435">
        <v>0</v>
      </c>
      <c r="D20" s="436">
        <v>0</v>
      </c>
      <c r="E20" s="349">
        <v>0</v>
      </c>
      <c r="F20" s="357" t="s">
        <v>3877</v>
      </c>
      <c r="G20" s="535" t="s">
        <v>4109</v>
      </c>
      <c r="H20" s="635"/>
      <c r="I20" s="450">
        <v>14</v>
      </c>
      <c r="J20" s="368" t="s">
        <v>4132</v>
      </c>
    </row>
    <row r="21" spans="1:10">
      <c r="A21" s="349" t="s">
        <v>13014</v>
      </c>
      <c r="B21" s="434">
        <v>15</v>
      </c>
      <c r="C21" s="435">
        <v>0</v>
      </c>
      <c r="D21" s="436">
        <v>0</v>
      </c>
      <c r="E21" s="349">
        <v>0</v>
      </c>
      <c r="F21" s="452" t="s">
        <v>141</v>
      </c>
      <c r="G21" s="535" t="s">
        <v>4109</v>
      </c>
      <c r="H21" s="357" t="s">
        <v>13162</v>
      </c>
      <c r="I21" s="450">
        <v>15</v>
      </c>
      <c r="J21" s="368" t="s">
        <v>4133</v>
      </c>
    </row>
    <row r="22" spans="1:10">
      <c r="A22" s="349" t="s">
        <v>13045</v>
      </c>
      <c r="B22" s="434">
        <v>0</v>
      </c>
      <c r="C22" s="435">
        <v>30</v>
      </c>
      <c r="D22" s="436">
        <v>0</v>
      </c>
      <c r="E22" s="349">
        <v>0</v>
      </c>
      <c r="F22" s="452" t="s">
        <v>141</v>
      </c>
      <c r="G22" s="535" t="s">
        <v>4109</v>
      </c>
      <c r="H22" s="357" t="s">
        <v>13161</v>
      </c>
      <c r="I22" s="450">
        <v>16</v>
      </c>
      <c r="J22" s="368" t="s">
        <v>3878</v>
      </c>
    </row>
    <row r="23" spans="1:10">
      <c r="A23" s="349" t="s">
        <v>13035</v>
      </c>
      <c r="B23" s="434">
        <v>50</v>
      </c>
      <c r="C23" s="435">
        <v>0</v>
      </c>
      <c r="D23" s="436">
        <v>0</v>
      </c>
      <c r="E23" s="349">
        <v>0</v>
      </c>
      <c r="F23" s="357" t="s">
        <v>2572</v>
      </c>
      <c r="G23" s="535" t="s">
        <v>4109</v>
      </c>
      <c r="H23" s="635" t="s">
        <v>11955</v>
      </c>
      <c r="I23" s="450">
        <v>17</v>
      </c>
      <c r="J23" s="368"/>
    </row>
    <row r="24" spans="1:10">
      <c r="A24" s="349" t="s">
        <v>4108</v>
      </c>
      <c r="B24" s="434">
        <v>0</v>
      </c>
      <c r="C24" s="435">
        <v>1</v>
      </c>
      <c r="D24" s="436">
        <v>0</v>
      </c>
      <c r="E24" s="349">
        <v>0</v>
      </c>
      <c r="F24" s="349" t="s">
        <v>3877</v>
      </c>
      <c r="G24" s="535" t="s">
        <v>4109</v>
      </c>
      <c r="H24" s="635" t="s">
        <v>7258</v>
      </c>
      <c r="I24" s="450">
        <v>18</v>
      </c>
      <c r="J24" s="368"/>
    </row>
    <row r="25" spans="1:10">
      <c r="A25" s="349" t="s">
        <v>4349</v>
      </c>
      <c r="B25" s="434">
        <v>1</v>
      </c>
      <c r="C25" s="435">
        <v>0</v>
      </c>
      <c r="D25" s="436">
        <v>0</v>
      </c>
      <c r="E25" s="349">
        <v>0</v>
      </c>
      <c r="F25" s="349" t="s">
        <v>2607</v>
      </c>
      <c r="G25" s="535" t="s">
        <v>4109</v>
      </c>
      <c r="H25" s="635" t="s">
        <v>7258</v>
      </c>
      <c r="I25" s="450">
        <v>19</v>
      </c>
      <c r="J25" s="368"/>
    </row>
    <row r="26" spans="1:10">
      <c r="A26" s="357" t="s">
        <v>13150</v>
      </c>
      <c r="B26" s="434">
        <v>15</v>
      </c>
      <c r="C26" s="435">
        <v>0</v>
      </c>
      <c r="D26" s="436">
        <v>0</v>
      </c>
      <c r="E26" s="349">
        <v>0</v>
      </c>
      <c r="F26" s="349" t="s">
        <v>3877</v>
      </c>
      <c r="G26" s="535" t="s">
        <v>4109</v>
      </c>
      <c r="H26" s="349" t="s">
        <v>9397</v>
      </c>
      <c r="J26" s="368"/>
    </row>
    <row r="27" spans="1:10">
      <c r="A27" s="349" t="s">
        <v>7271</v>
      </c>
      <c r="B27" s="434">
        <v>900</v>
      </c>
      <c r="C27" s="435">
        <v>0</v>
      </c>
      <c r="D27" s="436">
        <v>0</v>
      </c>
      <c r="E27" s="349">
        <v>0</v>
      </c>
      <c r="F27" s="357" t="s">
        <v>2607</v>
      </c>
      <c r="G27" s="535" t="s">
        <v>4109</v>
      </c>
      <c r="H27" s="635" t="s">
        <v>7272</v>
      </c>
      <c r="J27" s="368"/>
    </row>
    <row r="28" spans="1:10">
      <c r="A28" s="349" t="s">
        <v>7244</v>
      </c>
      <c r="B28" s="434">
        <v>1000</v>
      </c>
      <c r="C28" s="435">
        <v>0</v>
      </c>
      <c r="D28" s="436">
        <v>0</v>
      </c>
      <c r="E28" s="349">
        <v>0</v>
      </c>
      <c r="F28" s="349" t="s">
        <v>2608</v>
      </c>
      <c r="G28" s="535" t="s">
        <v>4109</v>
      </c>
      <c r="H28" s="635"/>
      <c r="J28" s="368"/>
    </row>
    <row r="29" spans="1:10">
      <c r="A29" s="349" t="s">
        <v>13038</v>
      </c>
      <c r="B29" s="434">
        <v>300</v>
      </c>
      <c r="C29" s="435">
        <v>0</v>
      </c>
      <c r="D29" s="436">
        <v>0</v>
      </c>
      <c r="E29" s="349">
        <v>0</v>
      </c>
      <c r="F29" s="349" t="s">
        <v>2574</v>
      </c>
      <c r="G29" s="535" t="s">
        <v>4109</v>
      </c>
      <c r="H29" s="635" t="s">
        <v>9395</v>
      </c>
      <c r="J29" s="368"/>
    </row>
    <row r="30" spans="1:10">
      <c r="A30" s="349" t="s">
        <v>13039</v>
      </c>
      <c r="B30" s="434">
        <v>80</v>
      </c>
      <c r="C30" s="435">
        <v>0</v>
      </c>
      <c r="D30" s="436">
        <v>0</v>
      </c>
      <c r="E30" s="349">
        <v>0</v>
      </c>
      <c r="F30" s="349" t="s">
        <v>2574</v>
      </c>
      <c r="G30" s="535" t="s">
        <v>4109</v>
      </c>
      <c r="H30" s="635" t="s">
        <v>7269</v>
      </c>
      <c r="J30" s="368"/>
    </row>
    <row r="31" spans="1:10">
      <c r="A31" s="357" t="s">
        <v>13143</v>
      </c>
      <c r="B31" s="434">
        <v>40</v>
      </c>
      <c r="C31" s="435">
        <v>0</v>
      </c>
      <c r="D31" s="436">
        <v>0</v>
      </c>
      <c r="E31" s="349">
        <v>0</v>
      </c>
      <c r="F31" s="349" t="s">
        <v>3877</v>
      </c>
      <c r="G31" s="535" t="s">
        <v>4109</v>
      </c>
      <c r="H31" s="635" t="s">
        <v>9397</v>
      </c>
      <c r="J31" s="368"/>
    </row>
    <row r="32" spans="1:10">
      <c r="A32" s="357" t="s">
        <v>13144</v>
      </c>
      <c r="B32" s="434">
        <v>25</v>
      </c>
      <c r="C32" s="435">
        <v>0</v>
      </c>
      <c r="D32" s="436">
        <v>0</v>
      </c>
      <c r="E32" s="349">
        <v>0</v>
      </c>
      <c r="F32" s="349" t="s">
        <v>3877</v>
      </c>
      <c r="G32" s="535" t="s">
        <v>4109</v>
      </c>
      <c r="H32" s="635" t="s">
        <v>9397</v>
      </c>
      <c r="J32" s="368"/>
    </row>
    <row r="33" spans="1:10">
      <c r="A33" s="357" t="s">
        <v>17483</v>
      </c>
      <c r="B33" s="434">
        <v>750</v>
      </c>
      <c r="C33" s="435">
        <v>0</v>
      </c>
      <c r="D33" s="436">
        <v>0</v>
      </c>
      <c r="E33" s="349">
        <v>0</v>
      </c>
      <c r="F33" s="349" t="s">
        <v>2607</v>
      </c>
      <c r="G33" s="535" t="s">
        <v>4109</v>
      </c>
      <c r="H33" s="635"/>
      <c r="J33" s="368"/>
    </row>
    <row r="34" spans="1:10">
      <c r="A34" s="349" t="s">
        <v>4110</v>
      </c>
      <c r="B34" s="434">
        <v>750</v>
      </c>
      <c r="C34" s="435">
        <v>0</v>
      </c>
      <c r="D34" s="436">
        <v>0</v>
      </c>
      <c r="E34" s="349">
        <v>0</v>
      </c>
      <c r="F34" s="349" t="s">
        <v>2607</v>
      </c>
      <c r="G34" s="535" t="s">
        <v>4109</v>
      </c>
      <c r="H34" s="635"/>
      <c r="J34" s="368"/>
    </row>
    <row r="35" spans="1:10">
      <c r="A35" s="349" t="s">
        <v>7268</v>
      </c>
      <c r="B35" s="434">
        <v>800</v>
      </c>
      <c r="C35" s="435">
        <v>0</v>
      </c>
      <c r="D35" s="436">
        <v>0</v>
      </c>
      <c r="E35" s="349">
        <v>0</v>
      </c>
      <c r="F35" s="357" t="s">
        <v>2607</v>
      </c>
      <c r="G35" s="535" t="s">
        <v>4109</v>
      </c>
      <c r="H35" s="635" t="s">
        <v>9395</v>
      </c>
      <c r="J35" s="368"/>
    </row>
    <row r="36" spans="1:10">
      <c r="A36" s="357" t="s">
        <v>9769</v>
      </c>
      <c r="B36" s="434">
        <v>150</v>
      </c>
      <c r="C36" s="435">
        <v>0</v>
      </c>
      <c r="D36" s="436">
        <v>0</v>
      </c>
      <c r="E36" s="349">
        <v>0</v>
      </c>
      <c r="F36" s="357" t="s">
        <v>2572</v>
      </c>
      <c r="G36" s="535" t="s">
        <v>4109</v>
      </c>
      <c r="H36" s="635" t="s">
        <v>11955</v>
      </c>
      <c r="J36" s="368"/>
    </row>
    <row r="37" spans="1:10">
      <c r="A37" s="349" t="s">
        <v>7229</v>
      </c>
      <c r="B37" s="434">
        <v>70</v>
      </c>
      <c r="C37" s="435">
        <v>0</v>
      </c>
      <c r="D37" s="436">
        <v>0</v>
      </c>
      <c r="E37" s="349">
        <v>0</v>
      </c>
      <c r="F37" s="349" t="s">
        <v>2574</v>
      </c>
      <c r="G37" s="535" t="s">
        <v>4109</v>
      </c>
      <c r="H37" s="635" t="s">
        <v>13151</v>
      </c>
      <c r="J37" s="368"/>
    </row>
    <row r="38" spans="1:10">
      <c r="A38" s="349" t="s">
        <v>9353</v>
      </c>
      <c r="B38" s="434">
        <v>1500</v>
      </c>
      <c r="C38" s="435">
        <v>0</v>
      </c>
      <c r="D38" s="436">
        <v>0</v>
      </c>
      <c r="E38" s="349">
        <v>0</v>
      </c>
      <c r="F38" s="349" t="s">
        <v>2608</v>
      </c>
      <c r="G38" s="535" t="s">
        <v>4109</v>
      </c>
      <c r="H38" s="635" t="s">
        <v>9356</v>
      </c>
      <c r="J38" s="368"/>
    </row>
    <row r="39" spans="1:10">
      <c r="A39" s="349" t="s">
        <v>7266</v>
      </c>
      <c r="B39" s="434">
        <v>900</v>
      </c>
      <c r="C39" s="435">
        <v>0</v>
      </c>
      <c r="D39" s="436">
        <v>0</v>
      </c>
      <c r="E39" s="349">
        <v>0</v>
      </c>
      <c r="F39" s="357" t="s">
        <v>2607</v>
      </c>
      <c r="G39" s="535" t="s">
        <v>4109</v>
      </c>
      <c r="H39" s="635" t="s">
        <v>7269</v>
      </c>
      <c r="J39" s="368"/>
    </row>
    <row r="40" spans="1:10">
      <c r="A40" s="357" t="s">
        <v>13196</v>
      </c>
      <c r="B40" s="434">
        <v>20</v>
      </c>
      <c r="C40" s="435">
        <v>0</v>
      </c>
      <c r="D40" s="436">
        <v>0</v>
      </c>
      <c r="E40" s="349">
        <v>0</v>
      </c>
      <c r="F40" s="349" t="s">
        <v>3877</v>
      </c>
      <c r="G40" s="535" t="s">
        <v>4109</v>
      </c>
      <c r="H40" s="349" t="s">
        <v>9397</v>
      </c>
      <c r="J40" s="368"/>
    </row>
    <row r="41" spans="1:10">
      <c r="A41" s="349" t="s">
        <v>13087</v>
      </c>
      <c r="B41" s="434">
        <v>950</v>
      </c>
      <c r="C41" s="435">
        <v>0</v>
      </c>
      <c r="D41" s="436">
        <v>0</v>
      </c>
      <c r="E41" s="349">
        <v>0</v>
      </c>
      <c r="F41" s="349" t="s">
        <v>2608</v>
      </c>
      <c r="G41" s="535" t="s">
        <v>4109</v>
      </c>
      <c r="H41" s="689" t="s">
        <v>13189</v>
      </c>
      <c r="J41" s="368"/>
    </row>
    <row r="42" spans="1:10">
      <c r="A42" s="349" t="s">
        <v>13086</v>
      </c>
      <c r="B42" s="434">
        <v>1000</v>
      </c>
      <c r="C42" s="435">
        <v>0</v>
      </c>
      <c r="D42" s="436">
        <v>0</v>
      </c>
      <c r="E42" s="349">
        <v>0</v>
      </c>
      <c r="F42" s="349" t="s">
        <v>2608</v>
      </c>
      <c r="G42" s="535" t="s">
        <v>4109</v>
      </c>
      <c r="H42" s="635" t="s">
        <v>13198</v>
      </c>
      <c r="J42" s="368"/>
    </row>
    <row r="43" spans="1:10">
      <c r="A43" s="349" t="s">
        <v>13041</v>
      </c>
      <c r="B43" s="434">
        <v>190</v>
      </c>
      <c r="C43" s="435">
        <v>0</v>
      </c>
      <c r="D43" s="436">
        <v>0</v>
      </c>
      <c r="E43" s="349">
        <v>0</v>
      </c>
      <c r="F43" s="357" t="s">
        <v>2607</v>
      </c>
      <c r="G43" s="535" t="s">
        <v>4109</v>
      </c>
      <c r="H43" s="635"/>
      <c r="J43" s="368"/>
    </row>
    <row r="44" spans="1:10">
      <c r="A44" s="349" t="s">
        <v>13040</v>
      </c>
      <c r="B44" s="434">
        <v>50</v>
      </c>
      <c r="C44" s="435">
        <v>0</v>
      </c>
      <c r="D44" s="436">
        <v>0</v>
      </c>
      <c r="E44" s="349">
        <v>0</v>
      </c>
      <c r="F44" s="349" t="s">
        <v>2574</v>
      </c>
      <c r="G44" s="535" t="s">
        <v>4109</v>
      </c>
      <c r="H44" s="635" t="s">
        <v>7270</v>
      </c>
      <c r="J44" s="368"/>
    </row>
    <row r="45" spans="1:10">
      <c r="A45" s="357" t="s">
        <v>13146</v>
      </c>
      <c r="B45" s="434">
        <v>150</v>
      </c>
      <c r="C45" s="435">
        <v>0</v>
      </c>
      <c r="D45" s="436">
        <v>0</v>
      </c>
      <c r="E45" s="349">
        <v>0</v>
      </c>
      <c r="F45" s="357" t="s">
        <v>2572</v>
      </c>
      <c r="G45" s="535" t="s">
        <v>4109</v>
      </c>
      <c r="H45" s="635" t="s">
        <v>11955</v>
      </c>
      <c r="J45" s="368"/>
    </row>
    <row r="46" spans="1:10">
      <c r="A46" s="349" t="s">
        <v>13199</v>
      </c>
      <c r="B46" s="434">
        <v>2</v>
      </c>
      <c r="C46" s="435">
        <v>0</v>
      </c>
      <c r="D46" s="436">
        <v>0</v>
      </c>
      <c r="E46" s="349">
        <v>0</v>
      </c>
      <c r="F46" s="349" t="s">
        <v>3877</v>
      </c>
      <c r="G46" s="535" t="s">
        <v>4109</v>
      </c>
      <c r="H46" s="635" t="s">
        <v>9397</v>
      </c>
      <c r="J46" s="368"/>
    </row>
    <row r="47" spans="1:10">
      <c r="A47" s="357" t="s">
        <v>13282</v>
      </c>
      <c r="B47" s="434">
        <v>5000</v>
      </c>
      <c r="C47" s="435">
        <v>0</v>
      </c>
      <c r="D47" s="436">
        <v>0</v>
      </c>
      <c r="E47" s="349">
        <v>0</v>
      </c>
      <c r="F47" s="357" t="s">
        <v>8801</v>
      </c>
      <c r="G47" s="357" t="s">
        <v>4109</v>
      </c>
      <c r="H47" s="635" t="s">
        <v>13283</v>
      </c>
      <c r="J47" s="368"/>
    </row>
    <row r="48" spans="1:10">
      <c r="A48" s="357" t="s">
        <v>16223</v>
      </c>
      <c r="B48" s="434">
        <v>6000</v>
      </c>
      <c r="C48" s="435">
        <v>0</v>
      </c>
      <c r="D48" s="436">
        <v>0</v>
      </c>
      <c r="E48" s="349">
        <v>0</v>
      </c>
      <c r="F48" s="357" t="s">
        <v>8801</v>
      </c>
      <c r="G48" s="357" t="s">
        <v>4109</v>
      </c>
      <c r="H48" s="634" t="s">
        <v>4551</v>
      </c>
      <c r="J48" s="368"/>
    </row>
    <row r="49" spans="1:10">
      <c r="A49" s="357" t="s">
        <v>13147</v>
      </c>
      <c r="B49" s="434">
        <v>3</v>
      </c>
      <c r="C49" s="435">
        <v>0</v>
      </c>
      <c r="D49" s="436">
        <v>0</v>
      </c>
      <c r="E49" s="349">
        <v>0</v>
      </c>
      <c r="F49" s="349" t="s">
        <v>3877</v>
      </c>
      <c r="G49" s="535" t="s">
        <v>4109</v>
      </c>
      <c r="H49" s="635" t="s">
        <v>9397</v>
      </c>
      <c r="J49" s="368"/>
    </row>
    <row r="50" spans="1:10">
      <c r="A50" s="349" t="s">
        <v>9939</v>
      </c>
      <c r="B50" s="434">
        <v>180</v>
      </c>
      <c r="C50" s="435">
        <v>0</v>
      </c>
      <c r="D50" s="436">
        <v>0</v>
      </c>
      <c r="E50" s="349">
        <v>0</v>
      </c>
      <c r="F50" s="690" t="s">
        <v>2608</v>
      </c>
      <c r="G50" s="535" t="s">
        <v>4109</v>
      </c>
      <c r="H50" s="452" t="s">
        <v>13194</v>
      </c>
      <c r="J50" s="368"/>
    </row>
    <row r="51" spans="1:10">
      <c r="A51" s="690" t="s">
        <v>13202</v>
      </c>
      <c r="B51" s="434">
        <v>5</v>
      </c>
      <c r="C51" s="435">
        <v>0</v>
      </c>
      <c r="D51" s="436">
        <v>0</v>
      </c>
      <c r="E51" s="349">
        <v>0</v>
      </c>
      <c r="F51" s="690" t="s">
        <v>2578</v>
      </c>
      <c r="G51" s="535" t="s">
        <v>4109</v>
      </c>
      <c r="H51" s="689" t="s">
        <v>13201</v>
      </c>
      <c r="J51" s="368"/>
    </row>
    <row r="52" spans="1:10">
      <c r="A52" s="349" t="s">
        <v>13058</v>
      </c>
      <c r="B52" s="434">
        <v>1500</v>
      </c>
      <c r="C52" s="435">
        <v>0</v>
      </c>
      <c r="D52" s="436">
        <v>0</v>
      </c>
      <c r="E52" s="349">
        <v>0</v>
      </c>
      <c r="F52" s="349" t="s">
        <v>2607</v>
      </c>
      <c r="G52" s="535" t="s">
        <v>4109</v>
      </c>
      <c r="H52" s="689" t="s">
        <v>13163</v>
      </c>
      <c r="J52" s="368"/>
    </row>
    <row r="53" spans="1:10">
      <c r="A53" s="357" t="s">
        <v>13083</v>
      </c>
      <c r="B53" s="434">
        <v>15000</v>
      </c>
      <c r="C53" s="435">
        <v>0</v>
      </c>
      <c r="D53" s="436">
        <v>0</v>
      </c>
      <c r="E53" s="349">
        <v>0</v>
      </c>
      <c r="F53" s="690" t="s">
        <v>8801</v>
      </c>
      <c r="G53" s="535" t="s">
        <v>4109</v>
      </c>
      <c r="H53" s="689" t="s">
        <v>13154</v>
      </c>
      <c r="J53" s="368"/>
    </row>
    <row r="54" spans="1:10">
      <c r="A54" s="357" t="s">
        <v>16929</v>
      </c>
      <c r="B54" s="434">
        <v>3500</v>
      </c>
      <c r="C54" s="435">
        <v>0</v>
      </c>
      <c r="D54" s="436">
        <v>0</v>
      </c>
      <c r="E54" s="349">
        <v>0</v>
      </c>
      <c r="F54" s="357" t="s">
        <v>8801</v>
      </c>
      <c r="G54" s="535" t="s">
        <v>4109</v>
      </c>
      <c r="H54" s="635" t="s">
        <v>11955</v>
      </c>
      <c r="J54" s="368"/>
    </row>
    <row r="55" spans="1:10">
      <c r="A55" s="690" t="s">
        <v>13183</v>
      </c>
      <c r="B55" s="434">
        <v>10</v>
      </c>
      <c r="C55" s="435">
        <v>0</v>
      </c>
      <c r="D55" s="436">
        <v>0</v>
      </c>
      <c r="E55" s="349">
        <v>0</v>
      </c>
      <c r="F55" s="452" t="s">
        <v>8801</v>
      </c>
      <c r="G55" s="535" t="s">
        <v>4109</v>
      </c>
      <c r="H55" s="689" t="s">
        <v>13185</v>
      </c>
      <c r="J55" s="368"/>
    </row>
    <row r="56" spans="1:10">
      <c r="A56" s="349" t="s">
        <v>9786</v>
      </c>
      <c r="B56" s="434">
        <v>10</v>
      </c>
      <c r="C56" s="435">
        <v>0</v>
      </c>
      <c r="D56" s="436">
        <v>0</v>
      </c>
      <c r="E56" s="349">
        <v>0</v>
      </c>
      <c r="F56" s="349" t="s">
        <v>2578</v>
      </c>
      <c r="G56" s="535" t="s">
        <v>4109</v>
      </c>
      <c r="H56" s="635" t="s">
        <v>12112</v>
      </c>
      <c r="J56" s="368"/>
    </row>
    <row r="57" spans="1:10">
      <c r="A57" s="349" t="s">
        <v>9787</v>
      </c>
      <c r="B57" s="434">
        <v>5</v>
      </c>
      <c r="C57" s="435">
        <v>0</v>
      </c>
      <c r="D57" s="436">
        <v>0</v>
      </c>
      <c r="E57" s="349">
        <v>0</v>
      </c>
      <c r="F57" s="349" t="s">
        <v>2578</v>
      </c>
      <c r="G57" s="535" t="s">
        <v>4109</v>
      </c>
      <c r="H57" s="635" t="s">
        <v>12112</v>
      </c>
      <c r="J57" s="368"/>
    </row>
    <row r="58" spans="1:10">
      <c r="A58" s="349" t="s">
        <v>9788</v>
      </c>
      <c r="B58" s="434">
        <v>1</v>
      </c>
      <c r="C58" s="435">
        <v>0</v>
      </c>
      <c r="D58" s="436">
        <v>0</v>
      </c>
      <c r="E58" s="349">
        <v>0</v>
      </c>
      <c r="F58" s="349" t="s">
        <v>2578</v>
      </c>
      <c r="G58" s="535" t="s">
        <v>4109</v>
      </c>
      <c r="H58" s="635" t="s">
        <v>12112</v>
      </c>
      <c r="J58" s="368"/>
    </row>
    <row r="59" spans="1:10">
      <c r="A59" s="349" t="s">
        <v>13020</v>
      </c>
      <c r="B59" s="434">
        <v>0</v>
      </c>
      <c r="C59" s="435">
        <v>1</v>
      </c>
      <c r="D59" s="436">
        <v>0</v>
      </c>
      <c r="E59" s="349">
        <v>0</v>
      </c>
      <c r="F59" s="349" t="s">
        <v>3877</v>
      </c>
      <c r="G59" s="535" t="s">
        <v>4109</v>
      </c>
      <c r="H59" s="635" t="s">
        <v>7258</v>
      </c>
      <c r="J59" s="368"/>
    </row>
    <row r="60" spans="1:10">
      <c r="A60" s="349" t="s">
        <v>13021</v>
      </c>
      <c r="B60" s="434">
        <v>100</v>
      </c>
      <c r="C60" s="435">
        <v>0</v>
      </c>
      <c r="D60" s="436">
        <v>0</v>
      </c>
      <c r="E60" s="349">
        <v>0</v>
      </c>
      <c r="F60" s="690" t="s">
        <v>2607</v>
      </c>
      <c r="G60" s="535" t="s">
        <v>4109</v>
      </c>
      <c r="H60" s="689" t="s">
        <v>13192</v>
      </c>
      <c r="J60" s="368"/>
    </row>
    <row r="61" spans="1:10">
      <c r="A61" s="357" t="s">
        <v>16222</v>
      </c>
      <c r="B61" s="434">
        <v>1500</v>
      </c>
      <c r="C61" s="435">
        <v>0</v>
      </c>
      <c r="D61" s="436">
        <v>0</v>
      </c>
      <c r="E61" s="349">
        <v>0</v>
      </c>
      <c r="F61" s="690" t="s">
        <v>8801</v>
      </c>
      <c r="G61" s="535" t="s">
        <v>4109</v>
      </c>
      <c r="H61" s="641" t="s">
        <v>4551</v>
      </c>
      <c r="J61" s="368"/>
    </row>
    <row r="62" spans="1:10">
      <c r="A62" s="349" t="s">
        <v>13034</v>
      </c>
      <c r="B62" s="434">
        <v>1500</v>
      </c>
      <c r="C62" s="435">
        <v>0</v>
      </c>
      <c r="D62" s="436">
        <v>0</v>
      </c>
      <c r="E62" s="349">
        <v>0</v>
      </c>
      <c r="F62" s="690" t="s">
        <v>8801</v>
      </c>
      <c r="G62" s="535" t="s">
        <v>4109</v>
      </c>
      <c r="H62" s="689" t="s">
        <v>13190</v>
      </c>
      <c r="J62" s="368"/>
    </row>
    <row r="63" spans="1:10">
      <c r="A63" s="349" t="s">
        <v>13022</v>
      </c>
      <c r="B63" s="434">
        <v>150</v>
      </c>
      <c r="C63" s="435">
        <v>0</v>
      </c>
      <c r="D63" s="436">
        <v>0</v>
      </c>
      <c r="E63" s="349">
        <v>0</v>
      </c>
      <c r="F63" s="690" t="s">
        <v>2607</v>
      </c>
      <c r="G63" s="535" t="s">
        <v>4109</v>
      </c>
      <c r="H63" s="689" t="s">
        <v>13191</v>
      </c>
      <c r="J63" s="368"/>
    </row>
    <row r="64" spans="1:10">
      <c r="A64" s="349" t="s">
        <v>13023</v>
      </c>
      <c r="B64" s="434">
        <v>1</v>
      </c>
      <c r="C64" s="435">
        <v>0</v>
      </c>
      <c r="D64" s="436">
        <v>0</v>
      </c>
      <c r="E64" s="349">
        <v>0</v>
      </c>
      <c r="F64" s="690" t="s">
        <v>2578</v>
      </c>
      <c r="G64" s="535" t="s">
        <v>4109</v>
      </c>
      <c r="H64" s="689" t="s">
        <v>13164</v>
      </c>
      <c r="J64" s="368"/>
    </row>
    <row r="65" spans="1:10">
      <c r="A65" s="357" t="s">
        <v>13203</v>
      </c>
      <c r="B65" s="434">
        <v>40</v>
      </c>
      <c r="C65" s="435">
        <v>0</v>
      </c>
      <c r="D65" s="436">
        <v>0</v>
      </c>
      <c r="E65" s="349">
        <v>0</v>
      </c>
      <c r="F65" s="349" t="s">
        <v>2607</v>
      </c>
      <c r="G65" s="535" t="s">
        <v>4109</v>
      </c>
      <c r="H65" s="689" t="s">
        <v>13190</v>
      </c>
      <c r="J65" s="368"/>
    </row>
    <row r="66" spans="1:10">
      <c r="A66" s="349" t="s">
        <v>13033</v>
      </c>
      <c r="B66" s="434">
        <v>0</v>
      </c>
      <c r="C66" s="435">
        <v>0</v>
      </c>
      <c r="D66" s="436">
        <v>30</v>
      </c>
      <c r="E66" s="349">
        <v>0</v>
      </c>
      <c r="F66" s="349" t="s">
        <v>2574</v>
      </c>
      <c r="G66" s="535" t="s">
        <v>4109</v>
      </c>
      <c r="H66" s="635" t="s">
        <v>7258</v>
      </c>
      <c r="J66" s="368"/>
    </row>
    <row r="67" spans="1:10">
      <c r="A67" s="357" t="s">
        <v>13181</v>
      </c>
      <c r="B67" s="434">
        <v>800</v>
      </c>
      <c r="C67" s="435">
        <v>0</v>
      </c>
      <c r="D67" s="436">
        <v>0</v>
      </c>
      <c r="E67" s="349">
        <v>0</v>
      </c>
      <c r="F67" s="357" t="s">
        <v>2608</v>
      </c>
      <c r="G67" s="535" t="s">
        <v>4109</v>
      </c>
      <c r="H67" s="689" t="s">
        <v>13182</v>
      </c>
      <c r="J67" s="368"/>
    </row>
    <row r="68" spans="1:10">
      <c r="A68" s="357" t="s">
        <v>9360</v>
      </c>
      <c r="B68" s="434">
        <v>1200</v>
      </c>
      <c r="C68" s="435">
        <v>0</v>
      </c>
      <c r="D68" s="436">
        <v>0</v>
      </c>
      <c r="E68" s="349">
        <v>0</v>
      </c>
      <c r="F68" s="349" t="s">
        <v>2608</v>
      </c>
      <c r="G68" s="535" t="s">
        <v>4109</v>
      </c>
      <c r="H68" s="635" t="s">
        <v>9361</v>
      </c>
      <c r="J68" s="368"/>
    </row>
    <row r="69" spans="1:10">
      <c r="A69" s="357" t="s">
        <v>13268</v>
      </c>
      <c r="B69" s="434">
        <v>3000</v>
      </c>
      <c r="C69" s="435">
        <v>0</v>
      </c>
      <c r="D69" s="436">
        <v>0</v>
      </c>
      <c r="E69" s="349">
        <v>0</v>
      </c>
      <c r="F69" s="357" t="s">
        <v>2608</v>
      </c>
      <c r="G69" s="357" t="s">
        <v>4109</v>
      </c>
      <c r="H69" s="635" t="s">
        <v>13269</v>
      </c>
      <c r="J69" s="368"/>
    </row>
    <row r="70" spans="1:10">
      <c r="A70" s="357" t="s">
        <v>7248</v>
      </c>
      <c r="B70" s="434">
        <v>1200</v>
      </c>
      <c r="C70" s="435">
        <v>0</v>
      </c>
      <c r="D70" s="436">
        <v>0</v>
      </c>
      <c r="E70" s="349">
        <v>0</v>
      </c>
      <c r="F70" s="349" t="s">
        <v>2608</v>
      </c>
      <c r="G70" s="535" t="s">
        <v>4109</v>
      </c>
      <c r="H70" s="635" t="s">
        <v>13155</v>
      </c>
      <c r="J70" s="368"/>
    </row>
    <row r="71" spans="1:10">
      <c r="A71" s="349" t="s">
        <v>9771</v>
      </c>
      <c r="B71" s="434">
        <v>700</v>
      </c>
      <c r="C71" s="435">
        <v>0</v>
      </c>
      <c r="D71" s="436">
        <v>0</v>
      </c>
      <c r="E71" s="349">
        <v>0</v>
      </c>
      <c r="F71" s="357" t="s">
        <v>2607</v>
      </c>
      <c r="G71" s="535" t="s">
        <v>4109</v>
      </c>
      <c r="H71" s="635" t="s">
        <v>11955</v>
      </c>
      <c r="J71" s="368"/>
    </row>
    <row r="72" spans="1:10">
      <c r="A72" s="349" t="s">
        <v>9770</v>
      </c>
      <c r="B72" s="434">
        <v>1000</v>
      </c>
      <c r="C72" s="435">
        <v>0</v>
      </c>
      <c r="D72" s="436">
        <v>0</v>
      </c>
      <c r="E72" s="349">
        <v>0</v>
      </c>
      <c r="F72" s="357" t="s">
        <v>8801</v>
      </c>
      <c r="G72" s="535" t="s">
        <v>4109</v>
      </c>
      <c r="H72" s="635" t="s">
        <v>11955</v>
      </c>
      <c r="J72" s="368"/>
    </row>
    <row r="73" spans="1:10">
      <c r="A73" s="349" t="s">
        <v>7247</v>
      </c>
      <c r="B73" s="434">
        <v>0</v>
      </c>
      <c r="C73" s="435">
        <v>1</v>
      </c>
      <c r="D73" s="436">
        <v>0</v>
      </c>
      <c r="E73" s="349">
        <v>0</v>
      </c>
      <c r="F73" s="349" t="s">
        <v>2574</v>
      </c>
      <c r="G73" s="535" t="s">
        <v>4109</v>
      </c>
      <c r="H73" s="635"/>
      <c r="J73" s="368"/>
    </row>
    <row r="74" spans="1:10">
      <c r="A74" s="357" t="s">
        <v>16243</v>
      </c>
      <c r="B74" s="434">
        <v>1</v>
      </c>
      <c r="C74" s="435">
        <v>0</v>
      </c>
      <c r="D74" s="436">
        <v>0</v>
      </c>
      <c r="E74" s="349">
        <v>0</v>
      </c>
      <c r="F74" s="357" t="s">
        <v>2578</v>
      </c>
      <c r="G74" s="535" t="s">
        <v>4109</v>
      </c>
      <c r="H74" s="634" t="s">
        <v>4551</v>
      </c>
      <c r="J74" s="368"/>
    </row>
    <row r="75" spans="1:10">
      <c r="A75" s="349" t="s">
        <v>12984</v>
      </c>
      <c r="B75" s="434">
        <v>2</v>
      </c>
      <c r="C75" s="435">
        <v>0</v>
      </c>
      <c r="D75" s="436">
        <v>0</v>
      </c>
      <c r="E75" s="349">
        <v>0</v>
      </c>
      <c r="F75" s="349" t="s">
        <v>2607</v>
      </c>
      <c r="G75" s="535" t="s">
        <v>4109</v>
      </c>
      <c r="H75" s="635" t="s">
        <v>7258</v>
      </c>
      <c r="J75" s="368"/>
    </row>
    <row r="76" spans="1:10">
      <c r="A76" s="357" t="s">
        <v>4810</v>
      </c>
      <c r="B76" s="434">
        <v>2</v>
      </c>
      <c r="C76" s="435">
        <v>0</v>
      </c>
      <c r="D76" s="436">
        <v>0</v>
      </c>
      <c r="E76" s="349">
        <v>0</v>
      </c>
      <c r="F76" s="357" t="s">
        <v>2608</v>
      </c>
      <c r="G76" s="535" t="s">
        <v>4109</v>
      </c>
      <c r="H76" s="635" t="s">
        <v>10162</v>
      </c>
      <c r="J76" s="368"/>
    </row>
    <row r="77" spans="1:10">
      <c r="A77" s="357" t="s">
        <v>16221</v>
      </c>
      <c r="B77" s="434">
        <v>0</v>
      </c>
      <c r="C77" s="435">
        <v>30</v>
      </c>
      <c r="D77" s="436"/>
      <c r="E77" s="349">
        <v>0</v>
      </c>
      <c r="F77" s="357" t="s">
        <v>2607</v>
      </c>
      <c r="G77" s="535" t="s">
        <v>4109</v>
      </c>
      <c r="H77" s="854" t="s">
        <v>4551</v>
      </c>
      <c r="J77" s="368"/>
    </row>
    <row r="78" spans="1:10">
      <c r="A78" s="357" t="s">
        <v>13091</v>
      </c>
      <c r="B78" s="434">
        <v>5000</v>
      </c>
      <c r="C78" s="435">
        <v>0</v>
      </c>
      <c r="D78" s="436">
        <v>0</v>
      </c>
      <c r="E78" s="349">
        <v>0</v>
      </c>
      <c r="F78" s="452" t="s">
        <v>8801</v>
      </c>
      <c r="G78" s="535" t="s">
        <v>4109</v>
      </c>
      <c r="H78" s="689" t="s">
        <v>13156</v>
      </c>
      <c r="J78" s="368"/>
    </row>
    <row r="79" spans="1:10">
      <c r="A79" s="349" t="s">
        <v>13055</v>
      </c>
      <c r="B79" s="434">
        <v>0</v>
      </c>
      <c r="C79" s="435">
        <v>1</v>
      </c>
      <c r="D79" s="436">
        <v>0</v>
      </c>
      <c r="E79" s="349">
        <v>0</v>
      </c>
      <c r="F79" s="452" t="s">
        <v>3877</v>
      </c>
      <c r="G79" s="535" t="s">
        <v>4109</v>
      </c>
      <c r="H79" s="689" t="s">
        <v>13160</v>
      </c>
      <c r="J79" s="368"/>
    </row>
    <row r="80" spans="1:10">
      <c r="A80" s="349" t="s">
        <v>13065</v>
      </c>
      <c r="B80" s="434">
        <v>6</v>
      </c>
      <c r="C80" s="435">
        <v>0</v>
      </c>
      <c r="D80" s="436">
        <v>0</v>
      </c>
      <c r="E80" s="349">
        <v>0</v>
      </c>
      <c r="F80" s="452" t="s">
        <v>2572</v>
      </c>
      <c r="G80" s="535" t="s">
        <v>4109</v>
      </c>
      <c r="H80" s="689" t="s">
        <v>13165</v>
      </c>
      <c r="J80" s="368"/>
    </row>
    <row r="81" spans="1:10">
      <c r="A81" s="349" t="s">
        <v>4125</v>
      </c>
      <c r="B81" s="434">
        <v>20</v>
      </c>
      <c r="C81" s="435">
        <v>0</v>
      </c>
      <c r="D81" s="436">
        <v>0</v>
      </c>
      <c r="E81" s="349">
        <v>0</v>
      </c>
      <c r="F81" s="349" t="s">
        <v>3877</v>
      </c>
      <c r="G81" s="535" t="s">
        <v>4109</v>
      </c>
      <c r="H81" s="635" t="s">
        <v>9397</v>
      </c>
      <c r="J81" s="368"/>
    </row>
    <row r="82" spans="1:10">
      <c r="A82" s="349" t="s">
        <v>13036</v>
      </c>
      <c r="B82" s="434">
        <v>1000</v>
      </c>
      <c r="C82" s="435">
        <v>0</v>
      </c>
      <c r="D82" s="436">
        <v>0</v>
      </c>
      <c r="E82" s="349">
        <v>0</v>
      </c>
      <c r="F82" s="349" t="s">
        <v>2608</v>
      </c>
      <c r="G82" s="535" t="s">
        <v>4109</v>
      </c>
      <c r="H82" s="349" t="s">
        <v>9361</v>
      </c>
      <c r="J82" s="368"/>
    </row>
    <row r="83" spans="1:10">
      <c r="A83" s="349" t="s">
        <v>13095</v>
      </c>
      <c r="B83" s="434">
        <v>1000</v>
      </c>
      <c r="C83" s="435">
        <v>0</v>
      </c>
      <c r="D83" s="436">
        <v>0</v>
      </c>
      <c r="E83" s="349">
        <v>0</v>
      </c>
      <c r="F83" s="690" t="s">
        <v>2608</v>
      </c>
      <c r="G83" s="535" t="s">
        <v>4109</v>
      </c>
      <c r="H83" s="452" t="s">
        <v>13180</v>
      </c>
      <c r="J83" s="368"/>
    </row>
    <row r="84" spans="1:10">
      <c r="A84" s="349" t="s">
        <v>12989</v>
      </c>
      <c r="B84" s="434">
        <v>0</v>
      </c>
      <c r="C84" s="435">
        <v>10</v>
      </c>
      <c r="D84" s="436">
        <v>0</v>
      </c>
      <c r="E84" s="349">
        <v>0</v>
      </c>
      <c r="F84" s="349" t="s">
        <v>2574</v>
      </c>
      <c r="G84" s="535" t="s">
        <v>4109</v>
      </c>
      <c r="H84" s="452" t="s">
        <v>13166</v>
      </c>
      <c r="J84" s="368"/>
    </row>
    <row r="85" spans="1:10">
      <c r="A85" s="357" t="s">
        <v>16806</v>
      </c>
      <c r="B85" s="434">
        <v>10</v>
      </c>
      <c r="C85" s="435">
        <v>0</v>
      </c>
      <c r="D85" s="436">
        <v>0</v>
      </c>
      <c r="E85" s="349">
        <v>0</v>
      </c>
      <c r="F85" s="349" t="s">
        <v>2607</v>
      </c>
      <c r="G85" s="535" t="s">
        <v>4109</v>
      </c>
      <c r="H85" s="635" t="s">
        <v>9394</v>
      </c>
      <c r="J85" s="368"/>
    </row>
    <row r="86" spans="1:10">
      <c r="A86" s="349" t="s">
        <v>13094</v>
      </c>
      <c r="B86" s="434">
        <v>1500</v>
      </c>
      <c r="C86" s="435">
        <v>0</v>
      </c>
      <c r="D86" s="436">
        <v>0</v>
      </c>
      <c r="E86" s="349">
        <v>0</v>
      </c>
      <c r="F86" s="349" t="s">
        <v>2608</v>
      </c>
      <c r="G86" s="535" t="s">
        <v>4109</v>
      </c>
      <c r="H86" s="635" t="s">
        <v>9358</v>
      </c>
      <c r="J86" s="368"/>
    </row>
    <row r="87" spans="1:10">
      <c r="A87" s="357" t="s">
        <v>16808</v>
      </c>
      <c r="B87" s="434">
        <v>0</v>
      </c>
      <c r="C87" s="435">
        <v>20</v>
      </c>
      <c r="D87" s="436">
        <v>0</v>
      </c>
      <c r="E87" s="349">
        <v>0</v>
      </c>
      <c r="F87" s="349" t="s">
        <v>2578</v>
      </c>
      <c r="G87" s="535" t="s">
        <v>4109</v>
      </c>
      <c r="H87" s="452" t="s">
        <v>13167</v>
      </c>
      <c r="J87" s="368"/>
    </row>
    <row r="88" spans="1:10">
      <c r="A88" s="357" t="s">
        <v>16810</v>
      </c>
      <c r="B88" s="434">
        <v>150</v>
      </c>
      <c r="C88" s="435">
        <v>0</v>
      </c>
      <c r="D88" s="436">
        <v>0</v>
      </c>
      <c r="E88" s="349">
        <v>0</v>
      </c>
      <c r="F88" s="357" t="s">
        <v>2608</v>
      </c>
      <c r="G88" s="535" t="s">
        <v>4109</v>
      </c>
      <c r="H88" s="690" t="s">
        <v>9395</v>
      </c>
      <c r="J88" s="368"/>
    </row>
    <row r="89" spans="1:10">
      <c r="A89" s="349" t="s">
        <v>12992</v>
      </c>
      <c r="B89" s="434">
        <v>1</v>
      </c>
      <c r="C89" s="435">
        <v>0</v>
      </c>
      <c r="D89" s="436">
        <v>0</v>
      </c>
      <c r="E89" s="349">
        <v>0</v>
      </c>
      <c r="F89" s="349" t="s">
        <v>2572</v>
      </c>
      <c r="G89" s="535" t="s">
        <v>4109</v>
      </c>
      <c r="H89" s="635" t="s">
        <v>13145</v>
      </c>
      <c r="J89" s="368"/>
    </row>
    <row r="90" spans="1:10">
      <c r="A90" s="349" t="s">
        <v>12988</v>
      </c>
      <c r="B90" s="434">
        <v>0</v>
      </c>
      <c r="C90" s="435">
        <v>0</v>
      </c>
      <c r="D90" s="436">
        <v>5</v>
      </c>
      <c r="E90" s="349">
        <v>0</v>
      </c>
      <c r="F90" s="349" t="s">
        <v>3877</v>
      </c>
      <c r="G90" s="535" t="s">
        <v>4109</v>
      </c>
      <c r="H90" s="635" t="s">
        <v>9397</v>
      </c>
      <c r="J90" s="368"/>
    </row>
    <row r="91" spans="1:10">
      <c r="A91" s="349" t="s">
        <v>9944</v>
      </c>
      <c r="B91" s="434">
        <v>1500</v>
      </c>
      <c r="C91" s="435">
        <v>0</v>
      </c>
      <c r="D91" s="436">
        <v>0</v>
      </c>
      <c r="E91" s="349">
        <v>0</v>
      </c>
      <c r="F91" s="690" t="s">
        <v>2608</v>
      </c>
      <c r="G91" s="535" t="s">
        <v>4109</v>
      </c>
      <c r="H91" s="689" t="s">
        <v>13195</v>
      </c>
      <c r="J91" s="368"/>
    </row>
    <row r="92" spans="1:10">
      <c r="A92" s="349" t="s">
        <v>9943</v>
      </c>
      <c r="B92" s="434">
        <v>150</v>
      </c>
      <c r="C92" s="435">
        <v>0</v>
      </c>
      <c r="D92" s="436">
        <v>0</v>
      </c>
      <c r="E92" s="349">
        <v>0</v>
      </c>
      <c r="F92" s="690" t="s">
        <v>2607</v>
      </c>
      <c r="G92" s="535" t="s">
        <v>4109</v>
      </c>
      <c r="H92" s="689" t="s">
        <v>13195</v>
      </c>
      <c r="J92" s="368"/>
    </row>
    <row r="93" spans="1:10">
      <c r="A93" s="349" t="s">
        <v>7260</v>
      </c>
      <c r="B93" s="434">
        <v>80</v>
      </c>
      <c r="C93" s="435">
        <v>0</v>
      </c>
      <c r="D93" s="436">
        <v>0</v>
      </c>
      <c r="E93" s="349">
        <v>0</v>
      </c>
      <c r="F93" s="349" t="s">
        <v>2607</v>
      </c>
      <c r="G93" s="535" t="s">
        <v>4109</v>
      </c>
      <c r="H93" s="635" t="s">
        <v>7259</v>
      </c>
      <c r="J93" s="368"/>
    </row>
    <row r="94" spans="1:10">
      <c r="A94" s="349" t="s">
        <v>7261</v>
      </c>
      <c r="B94" s="434">
        <v>100</v>
      </c>
      <c r="C94" s="435">
        <v>0</v>
      </c>
      <c r="D94" s="436">
        <v>0</v>
      </c>
      <c r="E94" s="349">
        <v>0</v>
      </c>
      <c r="F94" s="349" t="s">
        <v>2607</v>
      </c>
      <c r="G94" s="535" t="s">
        <v>4109</v>
      </c>
      <c r="H94" s="635" t="s">
        <v>7259</v>
      </c>
      <c r="J94" s="368"/>
    </row>
    <row r="95" spans="1:10">
      <c r="A95" s="349" t="s">
        <v>13067</v>
      </c>
      <c r="B95" s="434">
        <v>1000</v>
      </c>
      <c r="C95" s="435">
        <v>0</v>
      </c>
      <c r="D95" s="436">
        <v>0</v>
      </c>
      <c r="E95" s="349">
        <v>0</v>
      </c>
      <c r="F95" s="690" t="s">
        <v>8801</v>
      </c>
      <c r="G95" s="535" t="s">
        <v>4109</v>
      </c>
      <c r="H95" s="689" t="s">
        <v>13160</v>
      </c>
      <c r="J95" s="368"/>
    </row>
    <row r="96" spans="1:10">
      <c r="A96" s="349" t="s">
        <v>9418</v>
      </c>
      <c r="B96" s="434">
        <v>400</v>
      </c>
      <c r="C96" s="435">
        <v>0</v>
      </c>
      <c r="D96" s="436">
        <v>0</v>
      </c>
      <c r="E96" s="349">
        <v>0</v>
      </c>
      <c r="F96" s="349" t="s">
        <v>2578</v>
      </c>
      <c r="G96" s="535" t="s">
        <v>4109</v>
      </c>
      <c r="H96" s="635" t="s">
        <v>7234</v>
      </c>
      <c r="J96" s="368"/>
    </row>
    <row r="97" spans="1:10">
      <c r="A97" s="349" t="s">
        <v>7232</v>
      </c>
      <c r="B97" s="434">
        <v>500</v>
      </c>
      <c r="C97" s="435">
        <v>0</v>
      </c>
      <c r="D97" s="436">
        <v>0</v>
      </c>
      <c r="E97" s="349">
        <v>0</v>
      </c>
      <c r="F97" s="349" t="s">
        <v>2607</v>
      </c>
      <c r="G97" s="535" t="s">
        <v>4109</v>
      </c>
      <c r="H97" s="635" t="s">
        <v>7234</v>
      </c>
      <c r="J97" s="368"/>
    </row>
    <row r="98" spans="1:10">
      <c r="A98" s="349" t="s">
        <v>7233</v>
      </c>
      <c r="B98" s="434">
        <v>800</v>
      </c>
      <c r="C98" s="435">
        <v>0</v>
      </c>
      <c r="D98" s="436">
        <v>0</v>
      </c>
      <c r="E98" s="349">
        <v>0</v>
      </c>
      <c r="F98" s="349" t="s">
        <v>2608</v>
      </c>
      <c r="G98" s="535" t="s">
        <v>4109</v>
      </c>
      <c r="H98" s="635" t="s">
        <v>7234</v>
      </c>
      <c r="J98" s="368"/>
    </row>
    <row r="99" spans="1:10">
      <c r="A99" s="349" t="s">
        <v>13047</v>
      </c>
      <c r="B99" s="434">
        <v>0</v>
      </c>
      <c r="C99" s="435">
        <v>1</v>
      </c>
      <c r="D99" s="436">
        <v>0</v>
      </c>
      <c r="E99" s="349">
        <v>0</v>
      </c>
      <c r="F99" s="349" t="s">
        <v>3877</v>
      </c>
      <c r="G99" s="535" t="s">
        <v>4109</v>
      </c>
      <c r="H99" s="689" t="s">
        <v>13168</v>
      </c>
      <c r="J99" s="368"/>
    </row>
    <row r="100" spans="1:10">
      <c r="A100" s="357" t="s">
        <v>13032</v>
      </c>
      <c r="B100" s="434">
        <v>8500</v>
      </c>
      <c r="C100" s="435">
        <v>0</v>
      </c>
      <c r="D100" s="436">
        <v>0</v>
      </c>
      <c r="E100" s="349">
        <v>0</v>
      </c>
      <c r="F100" s="690" t="s">
        <v>8801</v>
      </c>
      <c r="G100" s="535" t="s">
        <v>4109</v>
      </c>
      <c r="H100" s="689" t="s">
        <v>13169</v>
      </c>
      <c r="J100" s="368"/>
    </row>
    <row r="101" spans="1:10">
      <c r="A101" s="357" t="s">
        <v>16823</v>
      </c>
      <c r="B101" s="434">
        <v>1</v>
      </c>
      <c r="C101" s="435">
        <v>0</v>
      </c>
      <c r="D101" s="436">
        <v>0</v>
      </c>
      <c r="E101" s="349">
        <v>0</v>
      </c>
      <c r="F101" s="349" t="s">
        <v>2578</v>
      </c>
      <c r="G101" s="535" t="s">
        <v>4109</v>
      </c>
      <c r="H101" s="635" t="s">
        <v>7258</v>
      </c>
      <c r="J101" s="368"/>
    </row>
    <row r="102" spans="1:10">
      <c r="A102" s="349" t="s">
        <v>4350</v>
      </c>
      <c r="B102" s="434">
        <v>0</v>
      </c>
      <c r="C102" s="435">
        <v>0</v>
      </c>
      <c r="D102" s="436">
        <v>30</v>
      </c>
      <c r="E102" s="349">
        <v>0</v>
      </c>
      <c r="F102" s="349" t="s">
        <v>141</v>
      </c>
      <c r="G102" s="535" t="s">
        <v>4109</v>
      </c>
      <c r="H102" s="357" t="s">
        <v>7259</v>
      </c>
      <c r="J102" s="368"/>
    </row>
    <row r="103" spans="1:10">
      <c r="A103" s="349" t="s">
        <v>13011</v>
      </c>
      <c r="B103" s="434">
        <v>0</v>
      </c>
      <c r="C103" s="435">
        <v>30</v>
      </c>
      <c r="D103" s="436">
        <v>0</v>
      </c>
      <c r="E103" s="349">
        <v>0</v>
      </c>
      <c r="F103" s="357" t="s">
        <v>2578</v>
      </c>
      <c r="G103" s="535" t="s">
        <v>4109</v>
      </c>
      <c r="H103" s="357" t="s">
        <v>13170</v>
      </c>
      <c r="J103" s="368"/>
    </row>
    <row r="104" spans="1:10">
      <c r="A104" s="349" t="s">
        <v>12452</v>
      </c>
      <c r="B104" s="434">
        <v>1</v>
      </c>
      <c r="C104" s="435">
        <v>0</v>
      </c>
      <c r="D104" s="436">
        <v>0</v>
      </c>
      <c r="E104" s="349">
        <v>0</v>
      </c>
      <c r="F104" s="349" t="s">
        <v>2572</v>
      </c>
      <c r="G104" s="535" t="s">
        <v>4109</v>
      </c>
      <c r="H104" s="357" t="s">
        <v>13171</v>
      </c>
      <c r="J104" s="368"/>
    </row>
    <row r="105" spans="1:10">
      <c r="A105" s="349" t="s">
        <v>13031</v>
      </c>
      <c r="B105" s="434">
        <v>500</v>
      </c>
      <c r="C105" s="435">
        <v>0</v>
      </c>
      <c r="D105" s="436">
        <v>0</v>
      </c>
      <c r="E105" s="349">
        <v>0</v>
      </c>
      <c r="F105" s="357" t="s">
        <v>8801</v>
      </c>
      <c r="G105" s="535" t="s">
        <v>4109</v>
      </c>
      <c r="H105" s="452" t="s">
        <v>13180</v>
      </c>
      <c r="J105" s="368"/>
    </row>
    <row r="106" spans="1:10">
      <c r="A106" s="357" t="s">
        <v>14660</v>
      </c>
      <c r="B106" s="434">
        <v>0</v>
      </c>
      <c r="C106" s="435">
        <v>0</v>
      </c>
      <c r="D106" s="436">
        <v>30</v>
      </c>
      <c r="E106" s="349">
        <v>0</v>
      </c>
      <c r="F106" s="349" t="s">
        <v>2574</v>
      </c>
      <c r="G106" s="535" t="s">
        <v>4109</v>
      </c>
      <c r="H106" s="452" t="s">
        <v>17484</v>
      </c>
      <c r="J106" s="368"/>
    </row>
    <row r="107" spans="1:10">
      <c r="A107" s="357" t="s">
        <v>13197</v>
      </c>
      <c r="B107" s="434">
        <v>6</v>
      </c>
      <c r="C107" s="435">
        <v>0</v>
      </c>
      <c r="D107" s="436">
        <v>0</v>
      </c>
      <c r="E107" s="349">
        <v>0</v>
      </c>
      <c r="F107" s="357" t="s">
        <v>2574</v>
      </c>
      <c r="G107" s="535" t="s">
        <v>4109</v>
      </c>
      <c r="H107" s="357" t="s">
        <v>13157</v>
      </c>
      <c r="J107" s="368"/>
    </row>
    <row r="108" spans="1:10">
      <c r="A108" s="357" t="s">
        <v>13275</v>
      </c>
      <c r="B108" s="434">
        <v>200</v>
      </c>
      <c r="C108" s="435">
        <v>0</v>
      </c>
      <c r="D108" s="436">
        <v>0</v>
      </c>
      <c r="E108" s="349">
        <v>0</v>
      </c>
      <c r="F108" s="357" t="s">
        <v>8801</v>
      </c>
      <c r="G108" s="535" t="s">
        <v>4109</v>
      </c>
      <c r="H108" s="357" t="s">
        <v>13277</v>
      </c>
      <c r="J108" s="368"/>
    </row>
    <row r="109" spans="1:10">
      <c r="A109" s="349" t="s">
        <v>13024</v>
      </c>
      <c r="B109" s="434">
        <v>15</v>
      </c>
      <c r="C109" s="435">
        <v>0</v>
      </c>
      <c r="D109" s="436">
        <v>0</v>
      </c>
      <c r="E109" s="349">
        <v>0</v>
      </c>
      <c r="F109" s="357" t="s">
        <v>2607</v>
      </c>
      <c r="G109" s="535" t="s">
        <v>4109</v>
      </c>
      <c r="H109" s="452" t="s">
        <v>13193</v>
      </c>
      <c r="J109" s="368"/>
    </row>
    <row r="110" spans="1:10">
      <c r="A110" s="690" t="s">
        <v>13178</v>
      </c>
      <c r="B110" s="434">
        <v>300</v>
      </c>
      <c r="C110" s="435">
        <v>0</v>
      </c>
      <c r="D110" s="436">
        <v>0</v>
      </c>
      <c r="E110" s="349">
        <v>0</v>
      </c>
      <c r="F110" s="357" t="s">
        <v>8801</v>
      </c>
      <c r="G110" s="535" t="s">
        <v>4109</v>
      </c>
      <c r="H110" s="690" t="s">
        <v>13179</v>
      </c>
      <c r="J110" s="368"/>
    </row>
    <row r="111" spans="1:10">
      <c r="A111" s="349" t="s">
        <v>13025</v>
      </c>
      <c r="B111" s="434">
        <v>150</v>
      </c>
      <c r="C111" s="435">
        <v>0</v>
      </c>
      <c r="D111" s="436">
        <v>0</v>
      </c>
      <c r="E111" s="349">
        <v>0</v>
      </c>
      <c r="F111" s="357" t="s">
        <v>8801</v>
      </c>
      <c r="G111" s="535" t="s">
        <v>4109</v>
      </c>
      <c r="H111" s="452" t="s">
        <v>13193</v>
      </c>
      <c r="J111" s="368"/>
    </row>
    <row r="112" spans="1:10">
      <c r="A112" s="349" t="s">
        <v>13026</v>
      </c>
      <c r="B112" s="434">
        <v>200</v>
      </c>
      <c r="C112" s="435">
        <v>0</v>
      </c>
      <c r="D112" s="436">
        <v>0</v>
      </c>
      <c r="E112" s="349">
        <v>0</v>
      </c>
      <c r="F112" s="357" t="s">
        <v>8801</v>
      </c>
      <c r="G112" s="535" t="s">
        <v>4109</v>
      </c>
      <c r="H112" s="452" t="s">
        <v>13193</v>
      </c>
      <c r="J112" s="368"/>
    </row>
    <row r="113" spans="1:10">
      <c r="A113" s="349" t="s">
        <v>13027</v>
      </c>
      <c r="B113" s="434">
        <v>20</v>
      </c>
      <c r="C113" s="435">
        <v>0</v>
      </c>
      <c r="D113" s="436">
        <v>0</v>
      </c>
      <c r="E113" s="349">
        <v>0</v>
      </c>
      <c r="F113" s="349" t="s">
        <v>2607</v>
      </c>
      <c r="G113" s="535" t="s">
        <v>4109</v>
      </c>
      <c r="H113" s="349"/>
      <c r="J113" s="368"/>
    </row>
    <row r="114" spans="1:10">
      <c r="A114" s="349" t="s">
        <v>13028</v>
      </c>
      <c r="B114" s="434">
        <v>20</v>
      </c>
      <c r="C114" s="435">
        <v>0</v>
      </c>
      <c r="D114" s="436">
        <v>0</v>
      </c>
      <c r="E114" s="349">
        <v>0</v>
      </c>
      <c r="F114" s="349" t="s">
        <v>2607</v>
      </c>
      <c r="G114" s="535" t="s">
        <v>4109</v>
      </c>
      <c r="H114" s="452" t="s">
        <v>13193</v>
      </c>
      <c r="J114" s="368"/>
    </row>
    <row r="115" spans="1:10">
      <c r="A115" s="349" t="s">
        <v>13051</v>
      </c>
      <c r="B115" s="434">
        <v>20</v>
      </c>
      <c r="C115" s="435">
        <v>0</v>
      </c>
      <c r="D115" s="436">
        <v>0</v>
      </c>
      <c r="E115" s="349">
        <v>0</v>
      </c>
      <c r="F115" s="349" t="s">
        <v>2607</v>
      </c>
      <c r="G115" s="535" t="s">
        <v>4109</v>
      </c>
      <c r="H115" s="357" t="s">
        <v>13172</v>
      </c>
      <c r="J115" s="368"/>
    </row>
    <row r="116" spans="1:10">
      <c r="A116" s="349" t="s">
        <v>13054</v>
      </c>
      <c r="B116" s="434">
        <v>150</v>
      </c>
      <c r="C116" s="435">
        <v>0</v>
      </c>
      <c r="D116" s="436">
        <v>0</v>
      </c>
      <c r="E116" s="349">
        <v>0</v>
      </c>
      <c r="F116" s="349" t="s">
        <v>2608</v>
      </c>
      <c r="G116" s="535" t="s">
        <v>4109</v>
      </c>
      <c r="H116" s="452" t="s">
        <v>13193</v>
      </c>
      <c r="J116" s="368"/>
    </row>
    <row r="117" spans="1:10">
      <c r="A117" s="349" t="s">
        <v>13029</v>
      </c>
      <c r="B117" s="434">
        <v>40</v>
      </c>
      <c r="C117" s="435">
        <v>0</v>
      </c>
      <c r="D117" s="436">
        <v>0</v>
      </c>
      <c r="E117" s="349">
        <v>0</v>
      </c>
      <c r="F117" s="349" t="s">
        <v>2607</v>
      </c>
      <c r="G117" s="535" t="s">
        <v>4109</v>
      </c>
      <c r="H117" s="635" t="s">
        <v>9395</v>
      </c>
      <c r="J117" s="368"/>
    </row>
    <row r="118" spans="1:10">
      <c r="A118" s="349" t="s">
        <v>13030</v>
      </c>
      <c r="B118" s="434">
        <v>100</v>
      </c>
      <c r="C118" s="435">
        <v>0</v>
      </c>
      <c r="D118" s="436">
        <v>0</v>
      </c>
      <c r="E118" s="349">
        <v>0</v>
      </c>
      <c r="F118" s="690" t="s">
        <v>2608</v>
      </c>
      <c r="G118" s="535" t="s">
        <v>4109</v>
      </c>
      <c r="H118" s="349"/>
      <c r="J118" s="368"/>
    </row>
    <row r="119" spans="1:10">
      <c r="A119" s="349" t="s">
        <v>12981</v>
      </c>
      <c r="B119" s="434">
        <v>0</v>
      </c>
      <c r="C119" s="435">
        <v>0</v>
      </c>
      <c r="D119" s="436">
        <v>1</v>
      </c>
      <c r="E119" s="349">
        <v>0</v>
      </c>
      <c r="F119" s="690" t="s">
        <v>141</v>
      </c>
      <c r="G119" s="535" t="s">
        <v>4109</v>
      </c>
      <c r="H119" s="357" t="s">
        <v>13158</v>
      </c>
      <c r="J119" s="368"/>
    </row>
    <row r="120" spans="1:10">
      <c r="A120" s="349" t="s">
        <v>12209</v>
      </c>
      <c r="B120" s="434">
        <v>4000</v>
      </c>
      <c r="C120" s="435">
        <v>0</v>
      </c>
      <c r="D120" s="436">
        <v>0</v>
      </c>
      <c r="E120" s="349">
        <v>0</v>
      </c>
      <c r="F120" s="690" t="s">
        <v>8801</v>
      </c>
      <c r="G120" s="535" t="s">
        <v>4109</v>
      </c>
      <c r="H120" s="452"/>
      <c r="J120" s="368"/>
    </row>
    <row r="121" spans="1:10">
      <c r="A121" s="349" t="s">
        <v>11346</v>
      </c>
      <c r="B121" s="434">
        <v>1500</v>
      </c>
      <c r="C121" s="435">
        <v>0</v>
      </c>
      <c r="D121" s="436">
        <v>0</v>
      </c>
      <c r="E121" s="349">
        <v>0</v>
      </c>
      <c r="F121" s="357" t="s">
        <v>8801</v>
      </c>
      <c r="G121" s="535" t="s">
        <v>4109</v>
      </c>
      <c r="H121" s="452" t="s">
        <v>13182</v>
      </c>
      <c r="J121" s="368"/>
    </row>
    <row r="122" spans="1:10">
      <c r="A122" s="349" t="s">
        <v>12451</v>
      </c>
      <c r="B122" s="434">
        <v>3000</v>
      </c>
      <c r="C122" s="435">
        <v>0</v>
      </c>
      <c r="D122" s="436">
        <v>0</v>
      </c>
      <c r="E122" s="349">
        <v>0</v>
      </c>
      <c r="F122" s="357" t="s">
        <v>2607</v>
      </c>
      <c r="G122" s="535" t="s">
        <v>4109</v>
      </c>
      <c r="H122" s="349"/>
      <c r="J122" s="368"/>
    </row>
    <row r="123" spans="1:10">
      <c r="A123" s="349" t="s">
        <v>4126</v>
      </c>
      <c r="B123" s="434">
        <v>10</v>
      </c>
      <c r="C123" s="435">
        <v>0</v>
      </c>
      <c r="D123" s="436">
        <v>0</v>
      </c>
      <c r="E123" s="349">
        <v>0</v>
      </c>
      <c r="F123" s="349" t="s">
        <v>3877</v>
      </c>
      <c r="G123" s="535" t="s">
        <v>4109</v>
      </c>
      <c r="H123" s="635" t="s">
        <v>9397</v>
      </c>
      <c r="J123" s="368"/>
    </row>
    <row r="124" spans="1:10">
      <c r="A124" s="357" t="s">
        <v>13098</v>
      </c>
      <c r="B124" s="434">
        <v>3000</v>
      </c>
      <c r="C124" s="435">
        <v>0</v>
      </c>
      <c r="D124" s="436">
        <v>0</v>
      </c>
      <c r="E124" s="349">
        <v>0</v>
      </c>
      <c r="F124" s="357" t="s">
        <v>8801</v>
      </c>
      <c r="G124" s="535" t="s">
        <v>4109</v>
      </c>
      <c r="H124" s="452" t="s">
        <v>13159</v>
      </c>
      <c r="J124" s="368"/>
    </row>
    <row r="125" spans="1:10">
      <c r="A125" s="147" t="s">
        <v>3930</v>
      </c>
      <c r="B125" s="154">
        <v>0</v>
      </c>
      <c r="C125" s="155">
        <v>0</v>
      </c>
      <c r="D125" s="156">
        <v>1</v>
      </c>
      <c r="E125" s="157">
        <v>0</v>
      </c>
      <c r="F125" s="147" t="s">
        <v>2574</v>
      </c>
      <c r="G125" s="147" t="s">
        <v>3941</v>
      </c>
      <c r="H125" s="636" t="s">
        <v>9377</v>
      </c>
      <c r="J125" s="368"/>
    </row>
    <row r="126" spans="1:10">
      <c r="A126" s="147" t="s">
        <v>3931</v>
      </c>
      <c r="B126" s="154">
        <v>0</v>
      </c>
      <c r="C126" s="155">
        <v>2</v>
      </c>
      <c r="D126" s="156">
        <v>0</v>
      </c>
      <c r="E126" s="157">
        <v>5</v>
      </c>
      <c r="F126" s="147" t="s">
        <v>3877</v>
      </c>
      <c r="G126" s="147" t="s">
        <v>3941</v>
      </c>
      <c r="H126" s="636" t="s">
        <v>9377</v>
      </c>
      <c r="J126" s="368"/>
    </row>
    <row r="127" spans="1:10">
      <c r="A127" s="147" t="s">
        <v>3932</v>
      </c>
      <c r="B127" s="154">
        <v>0</v>
      </c>
      <c r="C127" s="155">
        <v>6</v>
      </c>
      <c r="D127" s="156">
        <v>0</v>
      </c>
      <c r="E127" s="157">
        <v>5</v>
      </c>
      <c r="F127" s="147" t="s">
        <v>2572</v>
      </c>
      <c r="G127" s="147" t="s">
        <v>3941</v>
      </c>
      <c r="H127" s="636" t="s">
        <v>9377</v>
      </c>
      <c r="J127" s="368"/>
    </row>
    <row r="128" spans="1:10">
      <c r="A128" s="147" t="s">
        <v>3933</v>
      </c>
      <c r="B128" s="154">
        <v>0</v>
      </c>
      <c r="C128" s="155">
        <v>3</v>
      </c>
      <c r="D128" s="156">
        <v>0</v>
      </c>
      <c r="E128" s="157">
        <v>5</v>
      </c>
      <c r="F128" s="147" t="s">
        <v>3877</v>
      </c>
      <c r="G128" s="147" t="s">
        <v>3941</v>
      </c>
      <c r="H128" s="636" t="s">
        <v>9377</v>
      </c>
      <c r="J128" s="368"/>
    </row>
    <row r="129" spans="1:10">
      <c r="A129" s="357" t="s">
        <v>9272</v>
      </c>
      <c r="B129" s="434">
        <v>1</v>
      </c>
      <c r="C129" s="435">
        <v>0</v>
      </c>
      <c r="D129" s="436">
        <v>0</v>
      </c>
      <c r="E129" s="437">
        <v>1</v>
      </c>
      <c r="F129" s="357" t="s">
        <v>2607</v>
      </c>
      <c r="G129" s="147" t="s">
        <v>3941</v>
      </c>
      <c r="H129" s="635"/>
      <c r="J129" s="368"/>
    </row>
    <row r="130" spans="1:10">
      <c r="A130" s="147" t="s">
        <v>3934</v>
      </c>
      <c r="B130" s="154">
        <v>0</v>
      </c>
      <c r="C130" s="155">
        <v>1</v>
      </c>
      <c r="D130" s="156">
        <v>0</v>
      </c>
      <c r="E130" s="157">
        <v>10</v>
      </c>
      <c r="F130" s="147" t="s">
        <v>2574</v>
      </c>
      <c r="G130" s="147" t="s">
        <v>3941</v>
      </c>
      <c r="H130" s="636" t="s">
        <v>9377</v>
      </c>
      <c r="J130" s="368"/>
    </row>
    <row r="131" spans="1:10">
      <c r="A131" s="147" t="s">
        <v>3935</v>
      </c>
      <c r="B131" s="154">
        <v>0</v>
      </c>
      <c r="C131" s="155">
        <v>5</v>
      </c>
      <c r="D131" s="156">
        <v>0</v>
      </c>
      <c r="E131" s="157">
        <v>5</v>
      </c>
      <c r="F131" s="147" t="s">
        <v>3877</v>
      </c>
      <c r="G131" s="147" t="s">
        <v>3941</v>
      </c>
      <c r="H131" s="636" t="s">
        <v>9378</v>
      </c>
      <c r="J131" s="368"/>
    </row>
    <row r="132" spans="1:10">
      <c r="A132" s="147" t="s">
        <v>3936</v>
      </c>
      <c r="B132" s="154">
        <v>0</v>
      </c>
      <c r="C132" s="155">
        <v>5</v>
      </c>
      <c r="D132" s="156">
        <v>0</v>
      </c>
      <c r="E132" s="157">
        <v>20</v>
      </c>
      <c r="F132" s="147" t="s">
        <v>3877</v>
      </c>
      <c r="G132" s="147" t="s">
        <v>3941</v>
      </c>
      <c r="H132" s="636" t="s">
        <v>9378</v>
      </c>
      <c r="J132" s="368"/>
    </row>
    <row r="133" spans="1:10">
      <c r="A133" s="147" t="s">
        <v>3937</v>
      </c>
      <c r="B133" s="154">
        <v>12</v>
      </c>
      <c r="C133" s="155">
        <v>0</v>
      </c>
      <c r="D133" s="156">
        <v>0</v>
      </c>
      <c r="E133" s="157">
        <v>30</v>
      </c>
      <c r="F133" s="147" t="s">
        <v>2578</v>
      </c>
      <c r="G133" s="147" t="s">
        <v>3941</v>
      </c>
      <c r="H133" s="636" t="s">
        <v>9378</v>
      </c>
      <c r="J133" s="368"/>
    </row>
    <row r="134" spans="1:10">
      <c r="A134" s="147" t="s">
        <v>3938</v>
      </c>
      <c r="B134" s="154">
        <v>5</v>
      </c>
      <c r="C134" s="155">
        <v>0</v>
      </c>
      <c r="D134" s="156">
        <v>0</v>
      </c>
      <c r="E134" s="157">
        <v>20</v>
      </c>
      <c r="F134" s="147" t="s">
        <v>2572</v>
      </c>
      <c r="G134" s="147" t="s">
        <v>3941</v>
      </c>
      <c r="H134" s="636" t="s">
        <v>9378</v>
      </c>
      <c r="J134" s="368"/>
    </row>
    <row r="135" spans="1:10">
      <c r="A135" s="357" t="s">
        <v>9409</v>
      </c>
      <c r="B135" s="434">
        <v>0</v>
      </c>
      <c r="C135" s="435">
        <v>20</v>
      </c>
      <c r="D135" s="436">
        <v>0</v>
      </c>
      <c r="E135" s="437">
        <v>10</v>
      </c>
      <c r="F135" s="357" t="s">
        <v>2574</v>
      </c>
      <c r="G135" s="147" t="s">
        <v>3941</v>
      </c>
      <c r="H135" s="635"/>
      <c r="J135" s="368"/>
    </row>
    <row r="136" spans="1:10">
      <c r="A136" s="147" t="s">
        <v>3939</v>
      </c>
      <c r="B136" s="154">
        <v>0</v>
      </c>
      <c r="C136" s="155">
        <v>0</v>
      </c>
      <c r="D136" s="156">
        <v>5</v>
      </c>
      <c r="E136" s="157">
        <v>5</v>
      </c>
      <c r="F136" s="147" t="s">
        <v>3877</v>
      </c>
      <c r="G136" s="147" t="s">
        <v>3941</v>
      </c>
      <c r="H136" s="636" t="s">
        <v>9378</v>
      </c>
      <c r="J136" s="368"/>
    </row>
    <row r="137" spans="1:10">
      <c r="A137" s="147" t="s">
        <v>3940</v>
      </c>
      <c r="B137" s="154">
        <v>0</v>
      </c>
      <c r="C137" s="155">
        <v>0</v>
      </c>
      <c r="D137" s="156">
        <v>10</v>
      </c>
      <c r="E137" s="157">
        <v>5</v>
      </c>
      <c r="F137" s="147" t="s">
        <v>2574</v>
      </c>
      <c r="G137" s="147" t="s">
        <v>3941</v>
      </c>
      <c r="H137" s="636" t="s">
        <v>9378</v>
      </c>
      <c r="J137" s="368"/>
    </row>
    <row r="138" spans="1:10">
      <c r="A138" s="150" t="s">
        <v>4569</v>
      </c>
      <c r="B138" s="154">
        <v>10</v>
      </c>
      <c r="C138" s="155">
        <v>0</v>
      </c>
      <c r="D138" s="156">
        <v>0</v>
      </c>
      <c r="E138" s="157">
        <v>5</v>
      </c>
      <c r="F138" s="147" t="s">
        <v>2572</v>
      </c>
      <c r="G138" s="147" t="s">
        <v>3992</v>
      </c>
      <c r="H138" s="636" t="s">
        <v>9381</v>
      </c>
      <c r="J138" s="368"/>
    </row>
    <row r="139" spans="1:10">
      <c r="A139" s="147" t="s">
        <v>3990</v>
      </c>
      <c r="B139" s="154">
        <v>0</v>
      </c>
      <c r="C139" s="155">
        <v>2</v>
      </c>
      <c r="D139" s="156">
        <v>0</v>
      </c>
      <c r="E139" s="157">
        <v>1</v>
      </c>
      <c r="F139" s="147" t="s">
        <v>2574</v>
      </c>
      <c r="G139" s="147" t="s">
        <v>3992</v>
      </c>
      <c r="H139" s="636" t="s">
        <v>9381</v>
      </c>
      <c r="J139" s="368"/>
    </row>
    <row r="140" spans="1:10">
      <c r="A140" s="147" t="s">
        <v>3991</v>
      </c>
      <c r="B140" s="154">
        <v>0</v>
      </c>
      <c r="C140" s="155">
        <v>1</v>
      </c>
      <c r="D140" s="156">
        <v>0</v>
      </c>
      <c r="E140" s="157">
        <v>1</v>
      </c>
      <c r="F140" s="147" t="s">
        <v>2574</v>
      </c>
      <c r="G140" s="147" t="s">
        <v>3992</v>
      </c>
      <c r="H140" s="636" t="s">
        <v>9381</v>
      </c>
      <c r="J140" s="368"/>
    </row>
    <row r="141" spans="1:10">
      <c r="A141" s="147" t="s">
        <v>3993</v>
      </c>
      <c r="B141" s="154">
        <v>10</v>
      </c>
      <c r="C141" s="155">
        <v>0</v>
      </c>
      <c r="D141" s="156">
        <v>0</v>
      </c>
      <c r="E141" s="157">
        <v>1</v>
      </c>
      <c r="F141" s="147" t="s">
        <v>2578</v>
      </c>
      <c r="G141" s="147" t="s">
        <v>3992</v>
      </c>
      <c r="H141" s="636" t="s">
        <v>9381</v>
      </c>
      <c r="J141" s="368"/>
    </row>
    <row r="142" spans="1:10">
      <c r="A142" s="147" t="s">
        <v>3994</v>
      </c>
      <c r="B142" s="154">
        <v>5</v>
      </c>
      <c r="C142" s="155">
        <v>0</v>
      </c>
      <c r="D142" s="156">
        <v>0</v>
      </c>
      <c r="E142" s="157">
        <v>1</v>
      </c>
      <c r="F142" s="147" t="s">
        <v>2572</v>
      </c>
      <c r="G142" s="147" t="s">
        <v>3992</v>
      </c>
      <c r="H142" s="636" t="s">
        <v>9381</v>
      </c>
      <c r="J142" s="368"/>
    </row>
    <row r="143" spans="1:10">
      <c r="A143" s="147" t="s">
        <v>3995</v>
      </c>
      <c r="B143" s="154">
        <v>50</v>
      </c>
      <c r="C143" s="155">
        <v>0</v>
      </c>
      <c r="D143" s="156">
        <v>0</v>
      </c>
      <c r="E143" s="157">
        <v>1</v>
      </c>
      <c r="F143" s="147" t="s">
        <v>2608</v>
      </c>
      <c r="G143" s="147" t="s">
        <v>3992</v>
      </c>
      <c r="H143" s="636" t="s">
        <v>9381</v>
      </c>
      <c r="J143" s="368"/>
    </row>
    <row r="144" spans="1:10">
      <c r="A144" s="147" t="s">
        <v>3996</v>
      </c>
      <c r="B144" s="154">
        <v>45</v>
      </c>
      <c r="C144" s="155">
        <v>0</v>
      </c>
      <c r="D144" s="156">
        <v>0</v>
      </c>
      <c r="E144" s="157">
        <v>50</v>
      </c>
      <c r="F144" s="147" t="s">
        <v>2608</v>
      </c>
      <c r="G144" s="147" t="s">
        <v>3992</v>
      </c>
      <c r="H144" s="636" t="s">
        <v>9381</v>
      </c>
      <c r="J144" s="368"/>
    </row>
    <row r="145" spans="1:10">
      <c r="A145" s="150" t="s">
        <v>9416</v>
      </c>
      <c r="B145" s="154">
        <v>50</v>
      </c>
      <c r="C145" s="155">
        <v>0</v>
      </c>
      <c r="D145" s="156">
        <v>0</v>
      </c>
      <c r="E145" s="157">
        <v>20</v>
      </c>
      <c r="F145" s="147" t="s">
        <v>2607</v>
      </c>
      <c r="G145" s="147" t="s">
        <v>3992</v>
      </c>
      <c r="H145" s="636" t="s">
        <v>9381</v>
      </c>
      <c r="J145" s="368"/>
    </row>
    <row r="146" spans="1:10">
      <c r="A146" s="147" t="s">
        <v>3998</v>
      </c>
      <c r="B146" s="154">
        <v>0</v>
      </c>
      <c r="C146" s="155">
        <v>5</v>
      </c>
      <c r="D146" s="156">
        <v>0</v>
      </c>
      <c r="E146" s="157">
        <v>0</v>
      </c>
      <c r="F146" s="147" t="s">
        <v>2608</v>
      </c>
      <c r="G146" s="147" t="s">
        <v>3992</v>
      </c>
      <c r="H146" s="636" t="s">
        <v>9381</v>
      </c>
      <c r="J146" s="368"/>
    </row>
    <row r="147" spans="1:10">
      <c r="A147" s="150" t="s">
        <v>3999</v>
      </c>
      <c r="B147" s="154">
        <v>0</v>
      </c>
      <c r="C147" s="155">
        <v>1</v>
      </c>
      <c r="D147" s="156">
        <v>0</v>
      </c>
      <c r="E147" s="157">
        <v>0</v>
      </c>
      <c r="F147" s="147" t="s">
        <v>2607</v>
      </c>
      <c r="G147" s="147" t="s">
        <v>3992</v>
      </c>
      <c r="H147" s="636" t="s">
        <v>9381</v>
      </c>
      <c r="J147" s="368"/>
    </row>
    <row r="148" spans="1:10">
      <c r="A148" s="147" t="s">
        <v>4000</v>
      </c>
      <c r="B148" s="154">
        <v>2</v>
      </c>
      <c r="C148" s="155">
        <v>0</v>
      </c>
      <c r="D148" s="156">
        <v>0</v>
      </c>
      <c r="E148" s="157">
        <v>0</v>
      </c>
      <c r="F148" s="147" t="s">
        <v>2572</v>
      </c>
      <c r="G148" s="147" t="s">
        <v>3992</v>
      </c>
      <c r="H148" s="636" t="s">
        <v>9381</v>
      </c>
      <c r="J148" s="368"/>
    </row>
    <row r="149" spans="1:10">
      <c r="A149" s="147" t="s">
        <v>4001</v>
      </c>
      <c r="B149" s="154">
        <v>1</v>
      </c>
      <c r="C149" s="155">
        <v>0</v>
      </c>
      <c r="D149" s="156">
        <v>0</v>
      </c>
      <c r="E149" s="157">
        <v>0</v>
      </c>
      <c r="F149" s="147" t="s">
        <v>2578</v>
      </c>
      <c r="G149" s="147" t="s">
        <v>3992</v>
      </c>
      <c r="H149" s="636" t="s">
        <v>9381</v>
      </c>
      <c r="J149" s="368"/>
    </row>
    <row r="150" spans="1:10">
      <c r="A150" s="148" t="s">
        <v>4116</v>
      </c>
      <c r="B150" s="154">
        <v>75</v>
      </c>
      <c r="C150" s="155">
        <v>0</v>
      </c>
      <c r="D150" s="156">
        <v>0</v>
      </c>
      <c r="E150" s="157">
        <v>240</v>
      </c>
      <c r="F150" s="148" t="s">
        <v>2578</v>
      </c>
      <c r="G150" s="147" t="s">
        <v>4114</v>
      </c>
      <c r="H150" s="636" t="s">
        <v>9396</v>
      </c>
      <c r="J150" s="368"/>
    </row>
    <row r="151" spans="1:10">
      <c r="A151" s="148" t="s">
        <v>4118</v>
      </c>
      <c r="B151" s="154">
        <v>270</v>
      </c>
      <c r="C151" s="155">
        <v>0</v>
      </c>
      <c r="D151" s="156">
        <v>0</v>
      </c>
      <c r="E151" s="157">
        <v>480</v>
      </c>
      <c r="F151" s="148" t="s">
        <v>2607</v>
      </c>
      <c r="G151" s="147" t="s">
        <v>4114</v>
      </c>
      <c r="H151" s="636" t="s">
        <v>9396</v>
      </c>
      <c r="J151" s="368"/>
    </row>
    <row r="152" spans="1:10">
      <c r="A152" s="148" t="s">
        <v>4115</v>
      </c>
      <c r="B152" s="154">
        <v>50</v>
      </c>
      <c r="C152" s="155">
        <v>0</v>
      </c>
      <c r="D152" s="156">
        <v>0</v>
      </c>
      <c r="E152" s="157">
        <v>120</v>
      </c>
      <c r="F152" s="148" t="s">
        <v>2578</v>
      </c>
      <c r="G152" s="147" t="s">
        <v>4114</v>
      </c>
      <c r="H152" s="636" t="s">
        <v>9396</v>
      </c>
      <c r="J152" s="368"/>
    </row>
    <row r="153" spans="1:10">
      <c r="A153" s="148" t="s">
        <v>4117</v>
      </c>
      <c r="B153" s="154">
        <v>135</v>
      </c>
      <c r="C153" s="155">
        <v>0</v>
      </c>
      <c r="D153" s="156">
        <v>0</v>
      </c>
      <c r="E153" s="157">
        <v>240</v>
      </c>
      <c r="F153" s="148" t="s">
        <v>2607</v>
      </c>
      <c r="G153" s="147" t="s">
        <v>4114</v>
      </c>
      <c r="H153" s="636" t="s">
        <v>9396</v>
      </c>
      <c r="J153" s="368"/>
    </row>
    <row r="154" spans="1:10">
      <c r="A154" s="148" t="s">
        <v>4121</v>
      </c>
      <c r="B154" s="154">
        <v>540</v>
      </c>
      <c r="C154" s="155">
        <v>0</v>
      </c>
      <c r="D154" s="156">
        <v>0</v>
      </c>
      <c r="E154" s="157">
        <v>900</v>
      </c>
      <c r="F154" s="148" t="s">
        <v>2607</v>
      </c>
      <c r="G154" s="147" t="s">
        <v>4114</v>
      </c>
      <c r="H154" s="636" t="s">
        <v>9396</v>
      </c>
      <c r="J154" s="368"/>
    </row>
    <row r="155" spans="1:10">
      <c r="A155" s="148" t="s">
        <v>4119</v>
      </c>
      <c r="B155" s="154">
        <v>225</v>
      </c>
      <c r="C155" s="155">
        <v>0</v>
      </c>
      <c r="D155" s="156">
        <v>0</v>
      </c>
      <c r="E155" s="157">
        <v>315</v>
      </c>
      <c r="F155" s="148" t="s">
        <v>2607</v>
      </c>
      <c r="G155" s="147" t="s">
        <v>4114</v>
      </c>
      <c r="H155" s="636" t="s">
        <v>9396</v>
      </c>
      <c r="J155" s="368"/>
    </row>
    <row r="156" spans="1:10">
      <c r="A156" s="148" t="s">
        <v>4123</v>
      </c>
      <c r="B156" s="154">
        <v>600</v>
      </c>
      <c r="C156" s="155">
        <v>0</v>
      </c>
      <c r="D156" s="156">
        <v>0</v>
      </c>
      <c r="E156" s="157">
        <v>600</v>
      </c>
      <c r="F156" s="148" t="s">
        <v>2608</v>
      </c>
      <c r="G156" s="147" t="s">
        <v>4114</v>
      </c>
      <c r="H156" s="636" t="s">
        <v>9396</v>
      </c>
      <c r="J156" s="368"/>
    </row>
    <row r="157" spans="1:10">
      <c r="A157" s="148" t="s">
        <v>4120</v>
      </c>
      <c r="B157" s="154">
        <v>510</v>
      </c>
      <c r="C157" s="155">
        <v>0</v>
      </c>
      <c r="D157" s="156">
        <v>0</v>
      </c>
      <c r="E157" s="157">
        <v>360</v>
      </c>
      <c r="F157" s="148" t="s">
        <v>2607</v>
      </c>
      <c r="G157" s="147" t="s">
        <v>4114</v>
      </c>
      <c r="H157" s="636" t="s">
        <v>9396</v>
      </c>
      <c r="J157" s="368"/>
    </row>
    <row r="158" spans="1:10">
      <c r="A158" s="148" t="s">
        <v>4124</v>
      </c>
      <c r="B158" s="154">
        <v>1200</v>
      </c>
      <c r="C158" s="155">
        <v>0</v>
      </c>
      <c r="D158" s="156">
        <v>0</v>
      </c>
      <c r="E158" s="157">
        <v>1200</v>
      </c>
      <c r="F158" s="148" t="s">
        <v>2608</v>
      </c>
      <c r="G158" s="147" t="s">
        <v>4114</v>
      </c>
      <c r="H158" s="636" t="s">
        <v>9396</v>
      </c>
      <c r="J158" s="368"/>
    </row>
    <row r="159" spans="1:10">
      <c r="A159" s="148" t="s">
        <v>4122</v>
      </c>
      <c r="B159" s="154">
        <v>1080</v>
      </c>
      <c r="C159" s="155">
        <v>0</v>
      </c>
      <c r="D159" s="156">
        <v>0</v>
      </c>
      <c r="E159" s="157">
        <v>1800</v>
      </c>
      <c r="F159" s="148" t="s">
        <v>2607</v>
      </c>
      <c r="G159" s="147" t="s">
        <v>4114</v>
      </c>
      <c r="H159" s="636" t="s">
        <v>9396</v>
      </c>
      <c r="J159" s="368"/>
    </row>
    <row r="160" spans="1:10">
      <c r="A160" s="147" t="s">
        <v>3882</v>
      </c>
      <c r="B160" s="154">
        <v>1</v>
      </c>
      <c r="C160" s="155">
        <v>0</v>
      </c>
      <c r="D160" s="156">
        <v>0</v>
      </c>
      <c r="E160" s="157">
        <v>500</v>
      </c>
      <c r="F160" s="147" t="s">
        <v>2572</v>
      </c>
      <c r="G160" s="147" t="s">
        <v>4114</v>
      </c>
      <c r="H160" s="636" t="s">
        <v>9372</v>
      </c>
      <c r="J160" s="368"/>
    </row>
    <row r="161" spans="1:10">
      <c r="A161" s="147" t="s">
        <v>3883</v>
      </c>
      <c r="B161" s="154">
        <v>0</v>
      </c>
      <c r="C161" s="155">
        <v>5</v>
      </c>
      <c r="D161" s="156">
        <v>0</v>
      </c>
      <c r="E161" s="157">
        <v>300</v>
      </c>
      <c r="F161" s="147" t="s">
        <v>2572</v>
      </c>
      <c r="G161" s="147" t="s">
        <v>4114</v>
      </c>
      <c r="H161" s="636" t="s">
        <v>9372</v>
      </c>
      <c r="J161" s="368"/>
    </row>
    <row r="162" spans="1:10">
      <c r="A162" s="357" t="s">
        <v>17485</v>
      </c>
      <c r="B162" s="434">
        <v>1500</v>
      </c>
      <c r="C162" s="435">
        <v>0</v>
      </c>
      <c r="D162" s="436">
        <v>0</v>
      </c>
      <c r="E162" s="437">
        <v>100</v>
      </c>
      <c r="F162" s="357" t="s">
        <v>2608</v>
      </c>
      <c r="G162" s="147" t="s">
        <v>4114</v>
      </c>
      <c r="H162" s="634" t="s">
        <v>4551</v>
      </c>
      <c r="J162" s="368"/>
    </row>
    <row r="163" spans="1:10">
      <c r="A163" s="148" t="s">
        <v>4111</v>
      </c>
      <c r="B163" s="154">
        <v>2</v>
      </c>
      <c r="C163" s="155">
        <v>0</v>
      </c>
      <c r="D163" s="156">
        <v>0</v>
      </c>
      <c r="E163" s="157">
        <v>5</v>
      </c>
      <c r="F163" s="148" t="s">
        <v>2572</v>
      </c>
      <c r="G163" s="147" t="s">
        <v>4114</v>
      </c>
      <c r="H163" s="636" t="s">
        <v>9396</v>
      </c>
      <c r="J163" s="368"/>
    </row>
    <row r="164" spans="1:10">
      <c r="A164" s="148" t="s">
        <v>4328</v>
      </c>
      <c r="B164" s="154">
        <v>0</v>
      </c>
      <c r="C164" s="155">
        <v>0</v>
      </c>
      <c r="D164" s="156">
        <v>5</v>
      </c>
      <c r="E164" s="157">
        <v>50</v>
      </c>
      <c r="F164" s="148" t="s">
        <v>3877</v>
      </c>
      <c r="G164" s="147" t="s">
        <v>4114</v>
      </c>
      <c r="H164" s="636" t="s">
        <v>9396</v>
      </c>
      <c r="J164" s="368"/>
    </row>
    <row r="165" spans="1:10">
      <c r="A165" s="148" t="s">
        <v>4112</v>
      </c>
      <c r="B165" s="154">
        <v>1</v>
      </c>
      <c r="C165" s="155">
        <v>0</v>
      </c>
      <c r="D165" s="156">
        <v>0</v>
      </c>
      <c r="E165" s="157">
        <v>20</v>
      </c>
      <c r="F165" s="148" t="s">
        <v>2574</v>
      </c>
      <c r="G165" s="147" t="s">
        <v>4114</v>
      </c>
      <c r="H165" s="636" t="s">
        <v>9396</v>
      </c>
      <c r="J165" s="368"/>
    </row>
    <row r="166" spans="1:10">
      <c r="A166" s="357" t="s">
        <v>11954</v>
      </c>
      <c r="B166" s="434">
        <v>10</v>
      </c>
      <c r="C166" s="435">
        <v>0</v>
      </c>
      <c r="D166" s="436">
        <v>0</v>
      </c>
      <c r="E166" s="437">
        <v>50</v>
      </c>
      <c r="F166" s="357" t="s">
        <v>2572</v>
      </c>
      <c r="G166" s="147" t="s">
        <v>4114</v>
      </c>
      <c r="H166" s="635" t="s">
        <v>11955</v>
      </c>
      <c r="J166" s="368"/>
    </row>
    <row r="167" spans="1:10">
      <c r="A167" s="150" t="s">
        <v>9417</v>
      </c>
      <c r="B167" s="154">
        <v>5</v>
      </c>
      <c r="C167" s="155">
        <v>0</v>
      </c>
      <c r="D167" s="156">
        <v>0</v>
      </c>
      <c r="E167" s="157">
        <v>30</v>
      </c>
      <c r="F167" s="148" t="s">
        <v>2574</v>
      </c>
      <c r="G167" s="147" t="s">
        <v>4114</v>
      </c>
      <c r="H167" s="636" t="s">
        <v>9396</v>
      </c>
      <c r="J167" s="368"/>
    </row>
    <row r="168" spans="1:10">
      <c r="A168" s="150" t="s">
        <v>5511</v>
      </c>
      <c r="B168" s="154">
        <v>0</v>
      </c>
      <c r="C168" s="155">
        <v>1</v>
      </c>
      <c r="D168" s="156">
        <v>0</v>
      </c>
      <c r="E168" s="157">
        <v>1</v>
      </c>
      <c r="F168" s="148" t="s">
        <v>2574</v>
      </c>
      <c r="G168" s="147" t="s">
        <v>4114</v>
      </c>
      <c r="H168" s="636"/>
      <c r="J168" s="368"/>
    </row>
    <row r="169" spans="1:10">
      <c r="A169" s="148" t="s">
        <v>4113</v>
      </c>
      <c r="B169" s="154">
        <v>5</v>
      </c>
      <c r="C169" s="155">
        <v>0</v>
      </c>
      <c r="D169" s="156">
        <v>0</v>
      </c>
      <c r="E169" s="157">
        <v>50</v>
      </c>
      <c r="F169" s="148" t="s">
        <v>2574</v>
      </c>
      <c r="G169" s="147" t="s">
        <v>4114</v>
      </c>
      <c r="H169" s="636" t="s">
        <v>9396</v>
      </c>
      <c r="J169" s="368"/>
    </row>
    <row r="170" spans="1:10">
      <c r="A170" s="150" t="s">
        <v>4284</v>
      </c>
      <c r="B170" s="154">
        <v>0</v>
      </c>
      <c r="C170" s="155">
        <v>25</v>
      </c>
      <c r="D170" s="156">
        <v>0</v>
      </c>
      <c r="E170" s="157">
        <v>20</v>
      </c>
      <c r="F170" s="148" t="s">
        <v>2572</v>
      </c>
      <c r="G170" s="150" t="s">
        <v>4327</v>
      </c>
      <c r="H170" s="636"/>
      <c r="J170" s="368"/>
    </row>
    <row r="171" spans="1:10">
      <c r="A171" s="357" t="s">
        <v>9540</v>
      </c>
      <c r="B171" s="434">
        <v>7</v>
      </c>
      <c r="C171" s="435">
        <v>0</v>
      </c>
      <c r="D171" s="436">
        <v>0</v>
      </c>
      <c r="E171" s="437">
        <v>10</v>
      </c>
      <c r="F171" s="357" t="s">
        <v>2578</v>
      </c>
      <c r="G171" s="150" t="s">
        <v>4327</v>
      </c>
      <c r="H171" s="635"/>
      <c r="J171" s="368"/>
    </row>
    <row r="172" spans="1:10">
      <c r="A172" s="148" t="s">
        <v>4233</v>
      </c>
      <c r="B172" s="154">
        <v>3</v>
      </c>
      <c r="C172" s="155">
        <v>0</v>
      </c>
      <c r="D172" s="156">
        <v>0</v>
      </c>
      <c r="E172" s="157">
        <v>20</v>
      </c>
      <c r="F172" s="148" t="s">
        <v>2578</v>
      </c>
      <c r="G172" s="147" t="s">
        <v>4327</v>
      </c>
      <c r="H172" s="636" t="s">
        <v>11966</v>
      </c>
      <c r="J172" s="368"/>
    </row>
    <row r="173" spans="1:10">
      <c r="A173" s="150" t="s">
        <v>17486</v>
      </c>
      <c r="B173" s="154">
        <v>0</v>
      </c>
      <c r="C173" s="155">
        <v>0</v>
      </c>
      <c r="D173" s="156">
        <v>8</v>
      </c>
      <c r="E173" s="157">
        <v>20</v>
      </c>
      <c r="F173" s="148" t="s">
        <v>141</v>
      </c>
      <c r="G173" s="147" t="s">
        <v>4327</v>
      </c>
      <c r="H173" s="636" t="s">
        <v>11966</v>
      </c>
      <c r="J173" s="368"/>
    </row>
    <row r="174" spans="1:10">
      <c r="A174" s="148" t="s">
        <v>4234</v>
      </c>
      <c r="B174" s="154">
        <v>1</v>
      </c>
      <c r="C174" s="155">
        <v>0</v>
      </c>
      <c r="D174" s="156">
        <v>0</v>
      </c>
      <c r="E174" s="157">
        <v>20</v>
      </c>
      <c r="F174" s="148" t="s">
        <v>2578</v>
      </c>
      <c r="G174" s="147" t="s">
        <v>4327</v>
      </c>
      <c r="H174" s="636" t="s">
        <v>11966</v>
      </c>
      <c r="J174" s="368"/>
    </row>
    <row r="175" spans="1:10">
      <c r="A175" s="349" t="s">
        <v>9405</v>
      </c>
      <c r="B175" s="434">
        <v>1</v>
      </c>
      <c r="C175" s="435">
        <v>0</v>
      </c>
      <c r="D175" s="436">
        <v>0</v>
      </c>
      <c r="E175" s="437">
        <v>3</v>
      </c>
      <c r="F175" s="349" t="s">
        <v>2574</v>
      </c>
      <c r="G175" s="147" t="s">
        <v>4327</v>
      </c>
      <c r="H175" s="635"/>
      <c r="J175" s="368"/>
    </row>
    <row r="176" spans="1:10">
      <c r="A176" s="357" t="s">
        <v>11967</v>
      </c>
      <c r="B176" s="434">
        <v>0</v>
      </c>
      <c r="C176" s="435">
        <v>3</v>
      </c>
      <c r="D176" s="436">
        <v>0</v>
      </c>
      <c r="E176" s="437">
        <v>20</v>
      </c>
      <c r="F176" s="357" t="s">
        <v>2574</v>
      </c>
      <c r="G176" s="147" t="s">
        <v>4327</v>
      </c>
      <c r="H176" s="635" t="s">
        <v>11968</v>
      </c>
      <c r="J176" s="368"/>
    </row>
    <row r="177" spans="1:10">
      <c r="A177" s="148" t="s">
        <v>4238</v>
      </c>
      <c r="B177" s="154">
        <v>0</v>
      </c>
      <c r="C177" s="155">
        <v>10</v>
      </c>
      <c r="D177" s="156">
        <v>0</v>
      </c>
      <c r="E177" s="157">
        <v>20</v>
      </c>
      <c r="F177" s="148" t="s">
        <v>2572</v>
      </c>
      <c r="G177" s="147" t="s">
        <v>4327</v>
      </c>
      <c r="H177" s="636" t="s">
        <v>11966</v>
      </c>
      <c r="J177" s="368"/>
    </row>
    <row r="178" spans="1:10">
      <c r="A178" s="148" t="s">
        <v>4239</v>
      </c>
      <c r="B178" s="154">
        <v>2</v>
      </c>
      <c r="C178" s="155">
        <v>0</v>
      </c>
      <c r="D178" s="156">
        <v>0</v>
      </c>
      <c r="E178" s="157">
        <v>50</v>
      </c>
      <c r="F178" s="148" t="s">
        <v>2578</v>
      </c>
      <c r="G178" s="147" t="s">
        <v>4327</v>
      </c>
      <c r="H178" s="636" t="s">
        <v>11966</v>
      </c>
      <c r="J178" s="368"/>
    </row>
    <row r="179" spans="1:10">
      <c r="A179" s="357" t="s">
        <v>9202</v>
      </c>
      <c r="B179" s="434">
        <v>150</v>
      </c>
      <c r="C179" s="435">
        <v>0</v>
      </c>
      <c r="D179" s="436">
        <v>0</v>
      </c>
      <c r="E179" s="437">
        <v>80</v>
      </c>
      <c r="F179" s="357" t="s">
        <v>2608</v>
      </c>
      <c r="G179" s="147" t="s">
        <v>4327</v>
      </c>
      <c r="H179" s="635" t="s">
        <v>11968</v>
      </c>
      <c r="J179" s="368"/>
    </row>
    <row r="180" spans="1:10">
      <c r="A180" s="148" t="s">
        <v>4240</v>
      </c>
      <c r="B180" s="154">
        <v>0</v>
      </c>
      <c r="C180" s="155">
        <v>50</v>
      </c>
      <c r="D180" s="156">
        <v>0</v>
      </c>
      <c r="E180" s="157">
        <v>50</v>
      </c>
      <c r="F180" s="148" t="s">
        <v>2572</v>
      </c>
      <c r="G180" s="147" t="s">
        <v>4327</v>
      </c>
      <c r="H180" s="636" t="s">
        <v>9784</v>
      </c>
      <c r="J180" s="368"/>
    </row>
    <row r="181" spans="1:10">
      <c r="A181" s="357" t="s">
        <v>11971</v>
      </c>
      <c r="B181" s="434">
        <v>3</v>
      </c>
      <c r="C181" s="435">
        <v>0</v>
      </c>
      <c r="D181" s="436">
        <v>0</v>
      </c>
      <c r="E181" s="437">
        <v>35</v>
      </c>
      <c r="F181" s="357" t="s">
        <v>2578</v>
      </c>
      <c r="G181" s="147" t="s">
        <v>4327</v>
      </c>
      <c r="H181" s="635" t="s">
        <v>9768</v>
      </c>
      <c r="J181" s="368"/>
    </row>
    <row r="182" spans="1:10">
      <c r="A182" s="357" t="s">
        <v>9785</v>
      </c>
      <c r="B182" s="434">
        <v>10</v>
      </c>
      <c r="C182" s="435">
        <v>0</v>
      </c>
      <c r="D182" s="436">
        <v>0</v>
      </c>
      <c r="E182" s="437">
        <v>20</v>
      </c>
      <c r="F182" s="357" t="s">
        <v>2608</v>
      </c>
      <c r="G182" s="147" t="s">
        <v>4327</v>
      </c>
      <c r="H182" s="635" t="s">
        <v>9768</v>
      </c>
      <c r="J182" s="368"/>
    </row>
    <row r="183" spans="1:10">
      <c r="A183" s="148" t="s">
        <v>4241</v>
      </c>
      <c r="B183" s="154">
        <v>14</v>
      </c>
      <c r="C183" s="155">
        <v>0</v>
      </c>
      <c r="D183" s="156">
        <v>0</v>
      </c>
      <c r="E183" s="157">
        <v>50</v>
      </c>
      <c r="F183" s="148" t="s">
        <v>2607</v>
      </c>
      <c r="G183" s="147" t="s">
        <v>4327</v>
      </c>
      <c r="H183" s="636" t="s">
        <v>11966</v>
      </c>
      <c r="J183" s="368"/>
    </row>
    <row r="184" spans="1:10">
      <c r="A184" s="148" t="s">
        <v>4242</v>
      </c>
      <c r="B184" s="154">
        <v>15</v>
      </c>
      <c r="C184" s="155">
        <v>0</v>
      </c>
      <c r="D184" s="156">
        <v>0</v>
      </c>
      <c r="E184" s="157">
        <v>50</v>
      </c>
      <c r="F184" s="148" t="s">
        <v>2607</v>
      </c>
      <c r="G184" s="147" t="s">
        <v>4327</v>
      </c>
      <c r="H184" s="636" t="s">
        <v>11966</v>
      </c>
      <c r="J184" s="368"/>
    </row>
    <row r="185" spans="1:10">
      <c r="A185" s="150" t="s">
        <v>11972</v>
      </c>
      <c r="B185" s="434">
        <v>300</v>
      </c>
      <c r="C185" s="435">
        <v>0</v>
      </c>
      <c r="D185" s="436">
        <v>0</v>
      </c>
      <c r="E185" s="437">
        <v>65</v>
      </c>
      <c r="F185" s="357" t="s">
        <v>8801</v>
      </c>
      <c r="G185" s="147" t="s">
        <v>4327</v>
      </c>
      <c r="H185" s="635" t="s">
        <v>11968</v>
      </c>
      <c r="J185" s="368"/>
    </row>
    <row r="186" spans="1:10">
      <c r="A186" s="148" t="s">
        <v>4243</v>
      </c>
      <c r="B186" s="154">
        <v>5</v>
      </c>
      <c r="C186" s="155">
        <v>0</v>
      </c>
      <c r="D186" s="156">
        <v>0</v>
      </c>
      <c r="E186" s="157">
        <v>50</v>
      </c>
      <c r="F186" s="148" t="s">
        <v>2578</v>
      </c>
      <c r="G186" s="147" t="s">
        <v>4327</v>
      </c>
      <c r="H186" s="636" t="s">
        <v>11966</v>
      </c>
      <c r="J186" s="368"/>
    </row>
    <row r="187" spans="1:10">
      <c r="A187" s="148" t="s">
        <v>4244</v>
      </c>
      <c r="B187" s="154">
        <v>5</v>
      </c>
      <c r="C187" s="155">
        <v>0</v>
      </c>
      <c r="D187" s="156">
        <v>0</v>
      </c>
      <c r="E187" s="157">
        <v>50</v>
      </c>
      <c r="F187" s="148" t="s">
        <v>2578</v>
      </c>
      <c r="G187" s="147" t="s">
        <v>4327</v>
      </c>
      <c r="H187" s="636" t="s">
        <v>11966</v>
      </c>
      <c r="J187" s="368"/>
    </row>
    <row r="188" spans="1:10">
      <c r="A188" s="150" t="s">
        <v>11973</v>
      </c>
      <c r="B188" s="154">
        <v>4</v>
      </c>
      <c r="C188" s="155">
        <v>0</v>
      </c>
      <c r="D188" s="156">
        <v>0</v>
      </c>
      <c r="E188" s="157">
        <v>50</v>
      </c>
      <c r="F188" s="148" t="s">
        <v>2578</v>
      </c>
      <c r="G188" s="147" t="s">
        <v>4327</v>
      </c>
      <c r="H188" s="636" t="s">
        <v>11966</v>
      </c>
      <c r="J188" s="368"/>
    </row>
    <row r="189" spans="1:10">
      <c r="A189" s="357" t="s">
        <v>9783</v>
      </c>
      <c r="B189" s="434">
        <v>4</v>
      </c>
      <c r="C189" s="435">
        <v>0</v>
      </c>
      <c r="D189" s="436">
        <v>0</v>
      </c>
      <c r="E189" s="437">
        <v>25</v>
      </c>
      <c r="F189" s="357" t="s">
        <v>2608</v>
      </c>
      <c r="G189" s="147" t="s">
        <v>4327</v>
      </c>
      <c r="H189" s="636" t="s">
        <v>11968</v>
      </c>
      <c r="J189" s="368"/>
    </row>
    <row r="190" spans="1:10">
      <c r="A190" s="148" t="s">
        <v>4246</v>
      </c>
      <c r="B190" s="154">
        <v>0</v>
      </c>
      <c r="C190" s="155">
        <v>10</v>
      </c>
      <c r="D190" s="156">
        <v>0</v>
      </c>
      <c r="E190" s="157">
        <v>50</v>
      </c>
      <c r="F190" s="148" t="s">
        <v>2572</v>
      </c>
      <c r="G190" s="147" t="s">
        <v>4327</v>
      </c>
      <c r="H190" s="636" t="s">
        <v>11966</v>
      </c>
      <c r="J190" s="368"/>
    </row>
    <row r="191" spans="1:10">
      <c r="A191" s="148" t="s">
        <v>4247</v>
      </c>
      <c r="B191" s="154">
        <v>11</v>
      </c>
      <c r="C191" s="155">
        <v>0</v>
      </c>
      <c r="D191" s="156">
        <v>0</v>
      </c>
      <c r="E191" s="157">
        <v>50</v>
      </c>
      <c r="F191" s="148" t="s">
        <v>2607</v>
      </c>
      <c r="G191" s="147" t="s">
        <v>4327</v>
      </c>
      <c r="H191" s="636" t="s">
        <v>11966</v>
      </c>
      <c r="J191" s="368"/>
    </row>
    <row r="192" spans="1:10">
      <c r="A192" s="148" t="s">
        <v>4248</v>
      </c>
      <c r="B192" s="154">
        <v>9</v>
      </c>
      <c r="C192" s="155">
        <v>0</v>
      </c>
      <c r="D192" s="156">
        <v>0</v>
      </c>
      <c r="E192" s="157">
        <v>50</v>
      </c>
      <c r="F192" s="148" t="s">
        <v>2578</v>
      </c>
      <c r="G192" s="147" t="s">
        <v>4327</v>
      </c>
      <c r="H192" s="636" t="s">
        <v>11966</v>
      </c>
      <c r="J192" s="368"/>
    </row>
    <row r="193" spans="1:10">
      <c r="A193" s="357" t="s">
        <v>11349</v>
      </c>
      <c r="B193" s="434">
        <v>15</v>
      </c>
      <c r="C193" s="435">
        <v>0</v>
      </c>
      <c r="D193" s="436">
        <v>0</v>
      </c>
      <c r="E193" s="437">
        <v>20</v>
      </c>
      <c r="F193" s="357" t="s">
        <v>2608</v>
      </c>
      <c r="G193" s="147" t="s">
        <v>4327</v>
      </c>
      <c r="H193" s="635" t="s">
        <v>11347</v>
      </c>
      <c r="J193" s="368"/>
    </row>
    <row r="194" spans="1:10">
      <c r="A194" s="150" t="s">
        <v>11970</v>
      </c>
      <c r="B194" s="154">
        <v>1</v>
      </c>
      <c r="C194" s="155">
        <v>0</v>
      </c>
      <c r="D194" s="156">
        <v>0</v>
      </c>
      <c r="E194" s="157">
        <v>50</v>
      </c>
      <c r="F194" s="148" t="s">
        <v>2578</v>
      </c>
      <c r="G194" s="147" t="s">
        <v>4327</v>
      </c>
      <c r="H194" s="636" t="s">
        <v>9784</v>
      </c>
      <c r="J194" s="368"/>
    </row>
    <row r="195" spans="1:10">
      <c r="A195" s="148" t="s">
        <v>4249</v>
      </c>
      <c r="B195" s="154">
        <v>6</v>
      </c>
      <c r="C195" s="155">
        <v>0</v>
      </c>
      <c r="D195" s="156">
        <v>0</v>
      </c>
      <c r="E195" s="157">
        <v>50</v>
      </c>
      <c r="F195" s="148" t="s">
        <v>2578</v>
      </c>
      <c r="G195" s="147" t="s">
        <v>4327</v>
      </c>
      <c r="H195" s="636" t="s">
        <v>11966</v>
      </c>
      <c r="J195" s="368"/>
    </row>
    <row r="196" spans="1:10">
      <c r="A196" s="148" t="s">
        <v>4250</v>
      </c>
      <c r="B196" s="154">
        <v>7</v>
      </c>
      <c r="C196" s="155">
        <v>0</v>
      </c>
      <c r="D196" s="156">
        <v>0</v>
      </c>
      <c r="E196" s="157">
        <v>50</v>
      </c>
      <c r="F196" s="148" t="s">
        <v>2578</v>
      </c>
      <c r="G196" s="147" t="s">
        <v>4327</v>
      </c>
      <c r="H196" s="636" t="s">
        <v>11966</v>
      </c>
      <c r="J196" s="368"/>
    </row>
    <row r="197" spans="1:10">
      <c r="A197" s="148" t="s">
        <v>4245</v>
      </c>
      <c r="B197" s="154">
        <v>3</v>
      </c>
      <c r="C197" s="155">
        <v>0</v>
      </c>
      <c r="D197" s="156">
        <v>0</v>
      </c>
      <c r="E197" s="157">
        <v>50</v>
      </c>
      <c r="F197" s="148" t="s">
        <v>2578</v>
      </c>
      <c r="G197" s="147" t="s">
        <v>4327</v>
      </c>
      <c r="H197" s="636" t="s">
        <v>11966</v>
      </c>
      <c r="J197" s="368"/>
    </row>
    <row r="198" spans="1:10">
      <c r="A198" s="150" t="s">
        <v>11969</v>
      </c>
      <c r="B198" s="434">
        <v>6</v>
      </c>
      <c r="C198" s="435">
        <v>0</v>
      </c>
      <c r="D198" s="436">
        <v>0</v>
      </c>
      <c r="E198" s="437">
        <v>20</v>
      </c>
      <c r="F198" s="357" t="s">
        <v>2607</v>
      </c>
      <c r="G198" s="147" t="s">
        <v>4327</v>
      </c>
      <c r="H198" s="635" t="s">
        <v>9768</v>
      </c>
      <c r="J198" s="368"/>
    </row>
    <row r="199" spans="1:10">
      <c r="A199" s="148" t="s">
        <v>4235</v>
      </c>
      <c r="B199" s="154">
        <v>5</v>
      </c>
      <c r="C199" s="155">
        <v>0</v>
      </c>
      <c r="D199" s="156">
        <v>0</v>
      </c>
      <c r="E199" s="157">
        <v>20</v>
      </c>
      <c r="F199" s="148" t="s">
        <v>2578</v>
      </c>
      <c r="G199" s="147" t="s">
        <v>4327</v>
      </c>
      <c r="H199" s="636" t="s">
        <v>9784</v>
      </c>
      <c r="J199" s="368"/>
    </row>
    <row r="200" spans="1:10">
      <c r="A200" s="148" t="s">
        <v>4251</v>
      </c>
      <c r="B200" s="154">
        <v>0</v>
      </c>
      <c r="C200" s="155">
        <v>33</v>
      </c>
      <c r="D200" s="156">
        <v>0</v>
      </c>
      <c r="E200" s="157">
        <v>3</v>
      </c>
      <c r="F200" s="148" t="s">
        <v>2572</v>
      </c>
      <c r="G200" s="147" t="s">
        <v>4327</v>
      </c>
      <c r="H200" s="636" t="s">
        <v>9784</v>
      </c>
      <c r="J200" s="368"/>
    </row>
    <row r="201" spans="1:10">
      <c r="A201" s="148" t="s">
        <v>4252</v>
      </c>
      <c r="B201" s="154">
        <v>0</v>
      </c>
      <c r="C201" s="155">
        <v>39</v>
      </c>
      <c r="D201" s="156">
        <v>0</v>
      </c>
      <c r="E201" s="157">
        <v>3</v>
      </c>
      <c r="F201" s="148" t="s">
        <v>2572</v>
      </c>
      <c r="G201" s="147" t="s">
        <v>4327</v>
      </c>
      <c r="H201" s="636" t="s">
        <v>9784</v>
      </c>
      <c r="J201" s="368"/>
    </row>
    <row r="202" spans="1:10">
      <c r="A202" s="148" t="s">
        <v>4253</v>
      </c>
      <c r="B202" s="154">
        <v>0</v>
      </c>
      <c r="C202" s="155">
        <v>15</v>
      </c>
      <c r="D202" s="156">
        <v>0</v>
      </c>
      <c r="E202" s="157">
        <v>3</v>
      </c>
      <c r="F202" s="148" t="s">
        <v>2572</v>
      </c>
      <c r="G202" s="147" t="s">
        <v>4327</v>
      </c>
      <c r="H202" s="636" t="s">
        <v>9784</v>
      </c>
      <c r="J202" s="368"/>
    </row>
    <row r="203" spans="1:10">
      <c r="A203" s="150" t="s">
        <v>11983</v>
      </c>
      <c r="B203" s="434">
        <v>70</v>
      </c>
      <c r="C203" s="435">
        <v>0</v>
      </c>
      <c r="D203" s="436">
        <v>0</v>
      </c>
      <c r="E203" s="437">
        <v>3</v>
      </c>
      <c r="F203" s="357" t="s">
        <v>2608</v>
      </c>
      <c r="G203" s="147" t="s">
        <v>4327</v>
      </c>
      <c r="H203" s="635" t="s">
        <v>9768</v>
      </c>
      <c r="J203" s="368"/>
    </row>
    <row r="204" spans="1:10">
      <c r="A204" s="148" t="s">
        <v>4254</v>
      </c>
      <c r="B204" s="154">
        <v>0</v>
      </c>
      <c r="C204" s="155">
        <v>9</v>
      </c>
      <c r="D204" s="156">
        <v>0</v>
      </c>
      <c r="E204" s="157">
        <v>3</v>
      </c>
      <c r="F204" s="148" t="s">
        <v>2572</v>
      </c>
      <c r="G204" s="147" t="s">
        <v>4327</v>
      </c>
      <c r="H204" s="636" t="s">
        <v>9784</v>
      </c>
      <c r="J204" s="368"/>
    </row>
    <row r="205" spans="1:10">
      <c r="A205" s="148" t="s">
        <v>4255</v>
      </c>
      <c r="B205" s="154">
        <v>0</v>
      </c>
      <c r="C205" s="155">
        <v>45</v>
      </c>
      <c r="D205" s="156">
        <v>0</v>
      </c>
      <c r="E205" s="157">
        <v>3</v>
      </c>
      <c r="F205" s="148" t="s">
        <v>2572</v>
      </c>
      <c r="G205" s="147" t="s">
        <v>4327</v>
      </c>
      <c r="H205" s="636" t="s">
        <v>9784</v>
      </c>
      <c r="J205" s="368"/>
    </row>
    <row r="206" spans="1:10">
      <c r="A206" s="148" t="s">
        <v>4285</v>
      </c>
      <c r="B206" s="154">
        <v>6</v>
      </c>
      <c r="C206" s="155">
        <v>0</v>
      </c>
      <c r="D206" s="156">
        <v>0</v>
      </c>
      <c r="E206" s="157">
        <v>3</v>
      </c>
      <c r="F206" s="148" t="s">
        <v>2607</v>
      </c>
      <c r="G206" s="147" t="s">
        <v>4327</v>
      </c>
      <c r="H206" s="636" t="s">
        <v>9784</v>
      </c>
      <c r="J206" s="368"/>
    </row>
    <row r="207" spans="1:10">
      <c r="A207" s="148" t="s">
        <v>4256</v>
      </c>
      <c r="B207" s="154">
        <v>0</v>
      </c>
      <c r="C207" s="155">
        <v>18</v>
      </c>
      <c r="D207" s="156">
        <v>0</v>
      </c>
      <c r="E207" s="157">
        <v>3</v>
      </c>
      <c r="F207" s="148" t="s">
        <v>2572</v>
      </c>
      <c r="G207" s="147" t="s">
        <v>4327</v>
      </c>
      <c r="H207" s="636" t="s">
        <v>9784</v>
      </c>
      <c r="J207" s="368"/>
    </row>
    <row r="208" spans="1:10">
      <c r="A208" s="148" t="s">
        <v>4283</v>
      </c>
      <c r="B208" s="154">
        <v>0</v>
      </c>
      <c r="C208" s="155">
        <v>0</v>
      </c>
      <c r="D208" s="156">
        <v>0</v>
      </c>
      <c r="E208" s="157">
        <v>3</v>
      </c>
      <c r="F208" s="148" t="s">
        <v>2578</v>
      </c>
      <c r="G208" s="147" t="s">
        <v>4327</v>
      </c>
      <c r="H208" s="636" t="s">
        <v>9784</v>
      </c>
      <c r="J208" s="368"/>
    </row>
    <row r="209" spans="1:10">
      <c r="A209" s="148" t="s">
        <v>4257</v>
      </c>
      <c r="B209" s="154">
        <v>3</v>
      </c>
      <c r="C209" s="155">
        <v>0</v>
      </c>
      <c r="D209" s="156">
        <v>0</v>
      </c>
      <c r="E209" s="157">
        <v>3</v>
      </c>
      <c r="F209" s="148" t="s">
        <v>2607</v>
      </c>
      <c r="G209" s="147" t="s">
        <v>4327</v>
      </c>
      <c r="H209" s="636" t="s">
        <v>9784</v>
      </c>
      <c r="J209" s="368"/>
    </row>
    <row r="210" spans="1:10">
      <c r="A210" s="148" t="s">
        <v>4258</v>
      </c>
      <c r="B210" s="154">
        <v>0</v>
      </c>
      <c r="C210" s="155">
        <v>33</v>
      </c>
      <c r="D210" s="156">
        <v>0</v>
      </c>
      <c r="E210" s="157">
        <v>3</v>
      </c>
      <c r="F210" s="148" t="s">
        <v>2572</v>
      </c>
      <c r="G210" s="147" t="s">
        <v>4327</v>
      </c>
      <c r="H210" s="636" t="s">
        <v>9784</v>
      </c>
      <c r="J210" s="368"/>
    </row>
    <row r="211" spans="1:10">
      <c r="A211" s="148" t="s">
        <v>4259</v>
      </c>
      <c r="B211" s="154">
        <v>6</v>
      </c>
      <c r="C211" s="155">
        <v>0</v>
      </c>
      <c r="D211" s="156">
        <v>0</v>
      </c>
      <c r="E211" s="157">
        <v>3</v>
      </c>
      <c r="F211" s="148" t="s">
        <v>2578</v>
      </c>
      <c r="G211" s="147" t="s">
        <v>4327</v>
      </c>
      <c r="H211" s="636" t="s">
        <v>9784</v>
      </c>
      <c r="J211" s="368"/>
    </row>
    <row r="212" spans="1:10">
      <c r="A212" s="148" t="s">
        <v>4236</v>
      </c>
      <c r="B212" s="154">
        <v>0</v>
      </c>
      <c r="C212" s="155">
        <v>2</v>
      </c>
      <c r="D212" s="156">
        <v>0</v>
      </c>
      <c r="E212" s="157">
        <v>20</v>
      </c>
      <c r="F212" s="148" t="s">
        <v>2574</v>
      </c>
      <c r="G212" s="147" t="s">
        <v>4327</v>
      </c>
      <c r="H212" s="636" t="s">
        <v>9784</v>
      </c>
      <c r="J212" s="368"/>
    </row>
    <row r="213" spans="1:10">
      <c r="A213" s="349" t="s">
        <v>9406</v>
      </c>
      <c r="B213" s="434">
        <v>0</v>
      </c>
      <c r="C213" s="435">
        <v>30</v>
      </c>
      <c r="D213" s="436">
        <v>0</v>
      </c>
      <c r="E213" s="437">
        <v>1</v>
      </c>
      <c r="F213" s="349" t="s">
        <v>2578</v>
      </c>
      <c r="G213" s="147" t="s">
        <v>4327</v>
      </c>
      <c r="H213" s="635"/>
      <c r="J213" s="368"/>
    </row>
    <row r="214" spans="1:10">
      <c r="A214" s="148" t="s">
        <v>4237</v>
      </c>
      <c r="B214" s="154">
        <v>2</v>
      </c>
      <c r="C214" s="155">
        <v>0</v>
      </c>
      <c r="D214" s="156">
        <v>0</v>
      </c>
      <c r="E214" s="157">
        <v>20</v>
      </c>
      <c r="F214" s="148" t="s">
        <v>2578</v>
      </c>
      <c r="G214" s="147" t="s">
        <v>4327</v>
      </c>
      <c r="H214" s="636" t="s">
        <v>9784</v>
      </c>
      <c r="J214" s="368"/>
    </row>
    <row r="215" spans="1:10">
      <c r="A215" s="147" t="s">
        <v>3942</v>
      </c>
      <c r="B215" s="154">
        <v>50</v>
      </c>
      <c r="C215" s="155">
        <v>0</v>
      </c>
      <c r="D215" s="156">
        <v>0</v>
      </c>
      <c r="E215" s="157">
        <v>800</v>
      </c>
      <c r="F215" s="147" t="s">
        <v>2572</v>
      </c>
      <c r="G215" s="147" t="s">
        <v>3957</v>
      </c>
      <c r="H215" s="636" t="s">
        <v>9379</v>
      </c>
      <c r="J215" s="368"/>
    </row>
    <row r="216" spans="1:10">
      <c r="A216" s="357" t="s">
        <v>9542</v>
      </c>
      <c r="B216" s="434">
        <v>10</v>
      </c>
      <c r="C216" s="435">
        <v>0</v>
      </c>
      <c r="D216" s="436">
        <v>0</v>
      </c>
      <c r="E216" s="437">
        <v>400</v>
      </c>
      <c r="F216" s="357" t="s">
        <v>2574</v>
      </c>
      <c r="G216" s="147" t="s">
        <v>3957</v>
      </c>
      <c r="H216" s="635"/>
      <c r="J216" s="368"/>
    </row>
    <row r="217" spans="1:10">
      <c r="A217" s="357" t="s">
        <v>9543</v>
      </c>
      <c r="B217" s="434">
        <v>6</v>
      </c>
      <c r="C217" s="435">
        <v>0</v>
      </c>
      <c r="D217" s="436">
        <v>0</v>
      </c>
      <c r="E217" s="437">
        <v>150</v>
      </c>
      <c r="F217" s="357" t="s">
        <v>141</v>
      </c>
      <c r="G217" s="357" t="s">
        <v>3957</v>
      </c>
      <c r="H217" s="635"/>
      <c r="J217" s="368"/>
    </row>
    <row r="218" spans="1:10">
      <c r="A218" s="147" t="s">
        <v>3945</v>
      </c>
      <c r="B218" s="154">
        <v>75</v>
      </c>
      <c r="C218" s="155">
        <v>0</v>
      </c>
      <c r="D218" s="156">
        <v>0</v>
      </c>
      <c r="E218" s="157">
        <v>650</v>
      </c>
      <c r="F218" s="147" t="s">
        <v>2578</v>
      </c>
      <c r="G218" s="147" t="s">
        <v>3957</v>
      </c>
      <c r="H218" s="636" t="s">
        <v>9378</v>
      </c>
      <c r="J218" s="368"/>
    </row>
    <row r="219" spans="1:10">
      <c r="A219" s="147" t="s">
        <v>3948</v>
      </c>
      <c r="B219" s="154">
        <v>50</v>
      </c>
      <c r="C219" s="155">
        <v>0</v>
      </c>
      <c r="D219" s="156">
        <v>0</v>
      </c>
      <c r="E219" s="157">
        <v>1000</v>
      </c>
      <c r="F219" s="147" t="s">
        <v>2578</v>
      </c>
      <c r="G219" s="147" t="s">
        <v>3957</v>
      </c>
      <c r="H219" s="636" t="s">
        <v>9378</v>
      </c>
      <c r="J219" s="368"/>
    </row>
    <row r="220" spans="1:10">
      <c r="A220" s="147" t="s">
        <v>3949</v>
      </c>
      <c r="B220" s="154">
        <v>30</v>
      </c>
      <c r="C220" s="155">
        <v>0</v>
      </c>
      <c r="D220" s="156">
        <v>0</v>
      </c>
      <c r="E220" s="157">
        <v>1200</v>
      </c>
      <c r="F220" s="147" t="s">
        <v>2578</v>
      </c>
      <c r="G220" s="147" t="s">
        <v>3957</v>
      </c>
      <c r="H220" s="636" t="s">
        <v>9378</v>
      </c>
      <c r="J220" s="368"/>
    </row>
    <row r="221" spans="1:10">
      <c r="A221" s="147" t="s">
        <v>4302</v>
      </c>
      <c r="B221" s="154">
        <v>1</v>
      </c>
      <c r="C221" s="155">
        <v>0</v>
      </c>
      <c r="D221" s="156">
        <v>0</v>
      </c>
      <c r="E221" s="157">
        <v>50</v>
      </c>
      <c r="F221" s="147" t="s">
        <v>2572</v>
      </c>
      <c r="G221" s="147" t="s">
        <v>3957</v>
      </c>
      <c r="H221" s="636"/>
      <c r="J221" s="368"/>
    </row>
    <row r="222" spans="1:10">
      <c r="A222" s="147" t="s">
        <v>3950</v>
      </c>
      <c r="B222" s="154">
        <v>3</v>
      </c>
      <c r="C222" s="155">
        <v>0</v>
      </c>
      <c r="D222" s="156">
        <v>0</v>
      </c>
      <c r="E222" s="157">
        <v>300</v>
      </c>
      <c r="F222" s="147" t="s">
        <v>2574</v>
      </c>
      <c r="G222" s="147" t="s">
        <v>3957</v>
      </c>
      <c r="H222" s="636" t="s">
        <v>9378</v>
      </c>
      <c r="J222" s="368"/>
    </row>
    <row r="223" spans="1:10">
      <c r="A223" s="357" t="s">
        <v>9544</v>
      </c>
      <c r="B223" s="434">
        <v>15</v>
      </c>
      <c r="C223" s="435">
        <v>0</v>
      </c>
      <c r="D223" s="436">
        <v>0</v>
      </c>
      <c r="E223" s="437">
        <v>600</v>
      </c>
      <c r="F223" s="357" t="s">
        <v>141</v>
      </c>
      <c r="G223" s="147" t="s">
        <v>3957</v>
      </c>
      <c r="H223" s="635"/>
      <c r="J223" s="368"/>
    </row>
    <row r="224" spans="1:10">
      <c r="A224" s="357" t="s">
        <v>14762</v>
      </c>
      <c r="B224" s="434">
        <v>90</v>
      </c>
      <c r="C224" s="435">
        <v>0</v>
      </c>
      <c r="D224" s="436">
        <v>0</v>
      </c>
      <c r="E224" s="437">
        <v>2500</v>
      </c>
      <c r="F224" s="357" t="s">
        <v>2578</v>
      </c>
      <c r="G224" s="147" t="s">
        <v>3957</v>
      </c>
      <c r="H224" s="635"/>
      <c r="J224" s="368"/>
    </row>
    <row r="225" spans="1:10">
      <c r="A225" s="357" t="s">
        <v>9545</v>
      </c>
      <c r="B225" s="434">
        <v>6</v>
      </c>
      <c r="C225" s="435">
        <v>0</v>
      </c>
      <c r="D225" s="436">
        <v>0</v>
      </c>
      <c r="E225" s="437">
        <v>150</v>
      </c>
      <c r="F225" s="357" t="s">
        <v>2574</v>
      </c>
      <c r="G225" s="147" t="s">
        <v>3957</v>
      </c>
      <c r="H225" s="635"/>
      <c r="J225" s="368"/>
    </row>
    <row r="226" spans="1:10">
      <c r="A226" s="357" t="s">
        <v>9546</v>
      </c>
      <c r="B226" s="434">
        <v>15</v>
      </c>
      <c r="C226" s="435">
        <v>0</v>
      </c>
      <c r="D226" s="436">
        <v>0</v>
      </c>
      <c r="E226" s="461">
        <v>700</v>
      </c>
      <c r="F226" s="357" t="s">
        <v>2572</v>
      </c>
      <c r="G226" s="147" t="s">
        <v>3957</v>
      </c>
      <c r="H226" s="635"/>
      <c r="J226" s="368"/>
    </row>
    <row r="227" spans="1:10">
      <c r="A227" s="147" t="s">
        <v>3963</v>
      </c>
      <c r="B227" s="154">
        <v>8</v>
      </c>
      <c r="C227" s="155">
        <v>0</v>
      </c>
      <c r="D227" s="156">
        <v>0</v>
      </c>
      <c r="E227" s="157">
        <v>400</v>
      </c>
      <c r="F227" s="147" t="s">
        <v>2572</v>
      </c>
      <c r="G227" s="147" t="s">
        <v>3957</v>
      </c>
      <c r="H227" s="636" t="s">
        <v>9379</v>
      </c>
      <c r="J227" s="368"/>
    </row>
    <row r="228" spans="1:10">
      <c r="A228" s="147" t="s">
        <v>3964</v>
      </c>
      <c r="B228" s="154">
        <v>12</v>
      </c>
      <c r="C228" s="155">
        <v>0</v>
      </c>
      <c r="D228" s="156">
        <v>0</v>
      </c>
      <c r="E228" s="157">
        <v>350</v>
      </c>
      <c r="F228" s="147" t="s">
        <v>2578</v>
      </c>
      <c r="G228" s="147" t="s">
        <v>3957</v>
      </c>
      <c r="H228" s="636" t="s">
        <v>9379</v>
      </c>
      <c r="J228" s="368"/>
    </row>
    <row r="229" spans="1:10">
      <c r="A229" s="357" t="s">
        <v>9547</v>
      </c>
      <c r="B229" s="434">
        <v>15</v>
      </c>
      <c r="C229" s="435">
        <v>0</v>
      </c>
      <c r="D229" s="436">
        <v>0</v>
      </c>
      <c r="E229" s="437">
        <v>150</v>
      </c>
      <c r="F229" s="357" t="s">
        <v>2574</v>
      </c>
      <c r="G229" s="147" t="s">
        <v>3957</v>
      </c>
      <c r="H229" s="635"/>
      <c r="J229" s="368"/>
    </row>
    <row r="230" spans="1:10">
      <c r="A230" s="147" t="s">
        <v>3971</v>
      </c>
      <c r="B230" s="154">
        <v>8</v>
      </c>
      <c r="C230" s="155">
        <v>0</v>
      </c>
      <c r="D230" s="156">
        <v>0</v>
      </c>
      <c r="E230" s="157">
        <v>1600</v>
      </c>
      <c r="F230" s="147" t="s">
        <v>2572</v>
      </c>
      <c r="G230" s="147" t="s">
        <v>3957</v>
      </c>
      <c r="H230" s="636" t="s">
        <v>9380</v>
      </c>
      <c r="J230" s="368"/>
    </row>
    <row r="231" spans="1:10">
      <c r="A231" s="535" t="s">
        <v>3973</v>
      </c>
      <c r="B231" s="434">
        <v>8</v>
      </c>
      <c r="C231" s="435">
        <v>0</v>
      </c>
      <c r="D231" s="436">
        <v>0</v>
      </c>
      <c r="E231" s="437">
        <v>1500</v>
      </c>
      <c r="F231" s="535" t="s">
        <v>2574</v>
      </c>
      <c r="G231" s="147" t="s">
        <v>3957</v>
      </c>
      <c r="H231" s="635" t="s">
        <v>9380</v>
      </c>
      <c r="J231" s="368"/>
    </row>
    <row r="232" spans="1:10">
      <c r="A232" s="147" t="s">
        <v>3974</v>
      </c>
      <c r="B232" s="154">
        <v>1</v>
      </c>
      <c r="C232" s="155">
        <v>0</v>
      </c>
      <c r="D232" s="156">
        <v>0</v>
      </c>
      <c r="E232" s="157">
        <v>50</v>
      </c>
      <c r="F232" s="147" t="s">
        <v>2572</v>
      </c>
      <c r="G232" s="147" t="s">
        <v>3957</v>
      </c>
      <c r="H232" s="636" t="s">
        <v>9380</v>
      </c>
      <c r="J232" s="368"/>
    </row>
    <row r="233" spans="1:10">
      <c r="A233" s="150" t="s">
        <v>11154</v>
      </c>
      <c r="B233" s="154">
        <v>500</v>
      </c>
      <c r="C233" s="155">
        <v>0</v>
      </c>
      <c r="D233" s="156">
        <v>0</v>
      </c>
      <c r="E233" s="157">
        <v>100</v>
      </c>
      <c r="F233" s="150" t="s">
        <v>2607</v>
      </c>
      <c r="G233" s="147" t="s">
        <v>3957</v>
      </c>
      <c r="H233" s="636"/>
      <c r="J233" s="368"/>
    </row>
    <row r="234" spans="1:10">
      <c r="A234" s="150" t="s">
        <v>11269</v>
      </c>
      <c r="B234" s="434">
        <v>200</v>
      </c>
      <c r="C234" s="435">
        <v>0</v>
      </c>
      <c r="D234" s="436">
        <v>0</v>
      </c>
      <c r="E234" s="437">
        <v>50</v>
      </c>
      <c r="F234" s="357" t="s">
        <v>2607</v>
      </c>
      <c r="G234" s="147" t="s">
        <v>3957</v>
      </c>
      <c r="H234" s="635" t="s">
        <v>11264</v>
      </c>
      <c r="J234" s="368"/>
    </row>
    <row r="235" spans="1:10">
      <c r="A235" s="357" t="s">
        <v>12081</v>
      </c>
      <c r="B235" s="434">
        <v>200</v>
      </c>
      <c r="C235" s="155">
        <v>0</v>
      </c>
      <c r="D235" s="156">
        <v>0</v>
      </c>
      <c r="E235" s="437">
        <v>25</v>
      </c>
      <c r="F235" s="357" t="s">
        <v>2607</v>
      </c>
      <c r="G235" s="147" t="s">
        <v>3979</v>
      </c>
      <c r="H235" s="636" t="s">
        <v>12080</v>
      </c>
      <c r="J235" s="368"/>
    </row>
    <row r="236" spans="1:10">
      <c r="A236" s="150" t="s">
        <v>12088</v>
      </c>
      <c r="B236" s="154">
        <v>1</v>
      </c>
      <c r="C236" s="155">
        <v>0</v>
      </c>
      <c r="D236" s="156">
        <v>0</v>
      </c>
      <c r="E236" s="157"/>
      <c r="F236" s="150" t="s">
        <v>2578</v>
      </c>
      <c r="G236" s="147" t="s">
        <v>3979</v>
      </c>
      <c r="H236" s="636"/>
      <c r="J236" s="368"/>
    </row>
    <row r="237" spans="1:10">
      <c r="A237" s="535" t="s">
        <v>3978</v>
      </c>
      <c r="B237" s="434">
        <v>250</v>
      </c>
      <c r="C237" s="435">
        <v>0</v>
      </c>
      <c r="D237" s="436">
        <v>0</v>
      </c>
      <c r="E237" s="437">
        <v>1500</v>
      </c>
      <c r="F237" s="147" t="s">
        <v>2607</v>
      </c>
      <c r="G237" s="147" t="s">
        <v>3979</v>
      </c>
      <c r="H237" s="636" t="s">
        <v>9380</v>
      </c>
      <c r="J237" s="368"/>
    </row>
    <row r="238" spans="1:10">
      <c r="A238" s="535" t="s">
        <v>3980</v>
      </c>
      <c r="B238" s="434">
        <v>10</v>
      </c>
      <c r="C238" s="435">
        <v>0</v>
      </c>
      <c r="D238" s="436">
        <v>0</v>
      </c>
      <c r="E238" s="437">
        <v>30</v>
      </c>
      <c r="F238" s="535" t="s">
        <v>2572</v>
      </c>
      <c r="G238" s="147" t="s">
        <v>3979</v>
      </c>
      <c r="H238" s="635" t="s">
        <v>9380</v>
      </c>
      <c r="J238" s="368"/>
    </row>
    <row r="239" spans="1:10">
      <c r="A239" s="150" t="s">
        <v>9552</v>
      </c>
      <c r="B239" s="154">
        <v>60</v>
      </c>
      <c r="C239" s="155">
        <v>0</v>
      </c>
      <c r="D239" s="156">
        <v>0</v>
      </c>
      <c r="E239" s="157">
        <v>30</v>
      </c>
      <c r="F239" s="150" t="s">
        <v>2578</v>
      </c>
      <c r="G239" s="147" t="s">
        <v>3979</v>
      </c>
      <c r="H239" s="636"/>
      <c r="J239" s="368"/>
    </row>
    <row r="240" spans="1:10">
      <c r="A240" s="357" t="s">
        <v>12089</v>
      </c>
      <c r="B240" s="434">
        <v>5000</v>
      </c>
      <c r="C240" s="155">
        <v>0</v>
      </c>
      <c r="D240" s="156">
        <v>0</v>
      </c>
      <c r="E240" s="437"/>
      <c r="F240" s="150" t="s">
        <v>8801</v>
      </c>
      <c r="G240" s="147" t="s">
        <v>3979</v>
      </c>
      <c r="H240" s="636"/>
      <c r="J240" s="368"/>
    </row>
    <row r="241" spans="1:10">
      <c r="A241" s="150" t="s">
        <v>12083</v>
      </c>
      <c r="B241" s="154">
        <v>1</v>
      </c>
      <c r="C241" s="435">
        <v>0</v>
      </c>
      <c r="D241" s="436">
        <v>0</v>
      </c>
      <c r="E241" s="157">
        <v>3</v>
      </c>
      <c r="F241" s="150" t="s">
        <v>2578</v>
      </c>
      <c r="G241" s="147" t="s">
        <v>3979</v>
      </c>
      <c r="H241" s="636" t="s">
        <v>12080</v>
      </c>
      <c r="J241" s="368"/>
    </row>
    <row r="242" spans="1:10">
      <c r="A242" s="357" t="s">
        <v>12084</v>
      </c>
      <c r="B242" s="434">
        <v>4</v>
      </c>
      <c r="C242" s="155">
        <v>0</v>
      </c>
      <c r="D242" s="156">
        <v>0</v>
      </c>
      <c r="E242" s="437">
        <v>50</v>
      </c>
      <c r="F242" s="357" t="s">
        <v>2578</v>
      </c>
      <c r="G242" s="147" t="s">
        <v>3979</v>
      </c>
      <c r="H242" s="636" t="s">
        <v>12080</v>
      </c>
      <c r="J242" s="368"/>
    </row>
    <row r="243" spans="1:10">
      <c r="A243" s="150" t="s">
        <v>12082</v>
      </c>
      <c r="B243" s="154">
        <v>20</v>
      </c>
      <c r="C243" s="155">
        <v>0</v>
      </c>
      <c r="D243" s="156">
        <v>0</v>
      </c>
      <c r="E243" s="157">
        <v>50</v>
      </c>
      <c r="F243" s="150" t="s">
        <v>2578</v>
      </c>
      <c r="G243" s="147" t="s">
        <v>3979</v>
      </c>
      <c r="H243" s="636" t="s">
        <v>12080</v>
      </c>
      <c r="J243" s="368"/>
    </row>
    <row r="244" spans="1:10">
      <c r="A244" s="535" t="s">
        <v>3981</v>
      </c>
      <c r="B244" s="434">
        <v>3</v>
      </c>
      <c r="C244" s="435">
        <v>0</v>
      </c>
      <c r="D244" s="436">
        <v>0</v>
      </c>
      <c r="E244" s="437">
        <v>5</v>
      </c>
      <c r="F244" s="535" t="s">
        <v>2572</v>
      </c>
      <c r="G244" s="147" t="s">
        <v>3979</v>
      </c>
      <c r="H244" s="635" t="s">
        <v>9380</v>
      </c>
      <c r="J244" s="368"/>
    </row>
    <row r="245" spans="1:10">
      <c r="A245" s="357" t="s">
        <v>16144</v>
      </c>
      <c r="B245" s="434">
        <v>15</v>
      </c>
      <c r="C245" s="435">
        <v>0</v>
      </c>
      <c r="D245" s="436">
        <v>0</v>
      </c>
      <c r="E245" s="437">
        <v>50</v>
      </c>
      <c r="F245" s="357" t="s">
        <v>2607</v>
      </c>
      <c r="G245" s="147" t="s">
        <v>3979</v>
      </c>
      <c r="H245" s="635" t="s">
        <v>17484</v>
      </c>
      <c r="J245" s="368"/>
    </row>
    <row r="246" spans="1:10">
      <c r="A246" s="535" t="s">
        <v>3982</v>
      </c>
      <c r="B246" s="434">
        <v>20</v>
      </c>
      <c r="C246" s="435">
        <v>0</v>
      </c>
      <c r="D246" s="436">
        <v>0</v>
      </c>
      <c r="E246" s="437">
        <v>10</v>
      </c>
      <c r="F246" s="535" t="s">
        <v>2607</v>
      </c>
      <c r="G246" s="147" t="s">
        <v>3979</v>
      </c>
      <c r="H246" s="635" t="s">
        <v>9380</v>
      </c>
      <c r="J246" s="368"/>
    </row>
    <row r="247" spans="1:10">
      <c r="A247" s="535" t="s">
        <v>3983</v>
      </c>
      <c r="B247" s="434">
        <v>0</v>
      </c>
      <c r="C247" s="435">
        <v>8</v>
      </c>
      <c r="D247" s="436">
        <v>0</v>
      </c>
      <c r="E247" s="437">
        <v>1</v>
      </c>
      <c r="F247" s="535" t="s">
        <v>2572</v>
      </c>
      <c r="G247" s="147" t="s">
        <v>3979</v>
      </c>
      <c r="H247" s="636" t="s">
        <v>9380</v>
      </c>
      <c r="J247" s="368"/>
    </row>
    <row r="248" spans="1:10">
      <c r="A248" s="147" t="s">
        <v>3984</v>
      </c>
      <c r="B248" s="154">
        <v>80</v>
      </c>
      <c r="C248" s="155">
        <v>0</v>
      </c>
      <c r="D248" s="156">
        <v>0</v>
      </c>
      <c r="E248" s="157">
        <v>30</v>
      </c>
      <c r="F248" s="147" t="s">
        <v>2578</v>
      </c>
      <c r="G248" s="147" t="s">
        <v>3979</v>
      </c>
      <c r="H248" s="636" t="s">
        <v>9380</v>
      </c>
      <c r="J248" s="368"/>
    </row>
    <row r="249" spans="1:10">
      <c r="A249" s="147" t="s">
        <v>3985</v>
      </c>
      <c r="B249" s="154">
        <v>23</v>
      </c>
      <c r="C249" s="155">
        <v>0</v>
      </c>
      <c r="D249" s="156">
        <v>0</v>
      </c>
      <c r="E249" s="157">
        <v>15</v>
      </c>
      <c r="F249" s="147" t="s">
        <v>2578</v>
      </c>
      <c r="G249" s="147" t="s">
        <v>3979</v>
      </c>
      <c r="H249" s="636" t="s">
        <v>9380</v>
      </c>
      <c r="J249" s="368"/>
    </row>
    <row r="250" spans="1:10">
      <c r="A250" s="150" t="s">
        <v>17487</v>
      </c>
      <c r="B250" s="154">
        <v>300</v>
      </c>
      <c r="C250" s="155">
        <v>0</v>
      </c>
      <c r="D250" s="156">
        <v>0</v>
      </c>
      <c r="E250" s="157">
        <v>60</v>
      </c>
      <c r="F250" s="150" t="s">
        <v>2607</v>
      </c>
      <c r="G250" s="147" t="s">
        <v>3979</v>
      </c>
      <c r="H250" s="636" t="s">
        <v>12080</v>
      </c>
      <c r="J250" s="368"/>
    </row>
    <row r="251" spans="1:10">
      <c r="A251" s="357" t="s">
        <v>17488</v>
      </c>
      <c r="B251" s="434">
        <v>10</v>
      </c>
      <c r="C251" s="435">
        <v>0</v>
      </c>
      <c r="D251" s="436">
        <v>0</v>
      </c>
      <c r="E251" s="437">
        <v>5</v>
      </c>
      <c r="F251" s="357" t="s">
        <v>2578</v>
      </c>
      <c r="G251" s="147" t="s">
        <v>3979</v>
      </c>
      <c r="H251" s="635" t="s">
        <v>12080</v>
      </c>
      <c r="J251" s="368"/>
    </row>
    <row r="252" spans="1:10">
      <c r="A252" s="150" t="s">
        <v>17489</v>
      </c>
      <c r="B252" s="154">
        <v>1500</v>
      </c>
      <c r="C252" s="155">
        <v>0</v>
      </c>
      <c r="D252" s="156">
        <v>0</v>
      </c>
      <c r="E252" s="157">
        <v>70</v>
      </c>
      <c r="F252" s="150" t="s">
        <v>8801</v>
      </c>
      <c r="G252" s="147" t="s">
        <v>3979</v>
      </c>
      <c r="H252" s="636" t="s">
        <v>12080</v>
      </c>
      <c r="J252" s="368"/>
    </row>
    <row r="253" spans="1:10">
      <c r="A253" s="150" t="s">
        <v>12086</v>
      </c>
      <c r="B253" s="154">
        <v>10</v>
      </c>
      <c r="C253" s="155">
        <v>0</v>
      </c>
      <c r="D253" s="156">
        <v>0</v>
      </c>
      <c r="E253" s="157">
        <v>5</v>
      </c>
      <c r="F253" s="150" t="s">
        <v>2578</v>
      </c>
      <c r="G253" s="147" t="s">
        <v>3979</v>
      </c>
      <c r="H253" s="636" t="s">
        <v>12080</v>
      </c>
      <c r="J253" s="368"/>
    </row>
    <row r="254" spans="1:10">
      <c r="A254" s="150" t="s">
        <v>12087</v>
      </c>
      <c r="B254" s="154">
        <v>4</v>
      </c>
      <c r="C254" s="155">
        <v>0</v>
      </c>
      <c r="D254" s="156">
        <v>0</v>
      </c>
      <c r="E254" s="157">
        <v>1</v>
      </c>
      <c r="F254" s="150" t="s">
        <v>2578</v>
      </c>
      <c r="G254" s="147" t="s">
        <v>3979</v>
      </c>
      <c r="H254" s="636" t="s">
        <v>12080</v>
      </c>
      <c r="J254" s="368"/>
    </row>
    <row r="255" spans="1:10">
      <c r="A255" s="147" t="s">
        <v>3986</v>
      </c>
      <c r="B255" s="154">
        <v>0</v>
      </c>
      <c r="C255" s="155">
        <v>6</v>
      </c>
      <c r="D255" s="156">
        <v>0</v>
      </c>
      <c r="E255" s="157">
        <v>1</v>
      </c>
      <c r="F255" s="147" t="s">
        <v>2572</v>
      </c>
      <c r="G255" s="147" t="s">
        <v>3979</v>
      </c>
      <c r="H255" s="636" t="s">
        <v>9380</v>
      </c>
      <c r="J255" s="368"/>
    </row>
    <row r="256" spans="1:10">
      <c r="A256" s="150" t="s">
        <v>12085</v>
      </c>
      <c r="B256" s="154">
        <v>25</v>
      </c>
      <c r="C256" s="155">
        <v>0</v>
      </c>
      <c r="D256" s="156">
        <v>0</v>
      </c>
      <c r="E256" s="157">
        <v>50</v>
      </c>
      <c r="F256" s="150" t="s">
        <v>2607</v>
      </c>
      <c r="G256" s="147" t="s">
        <v>3979</v>
      </c>
      <c r="H256" s="636"/>
      <c r="J256" s="368"/>
    </row>
    <row r="257" spans="1:10">
      <c r="A257" s="147" t="s">
        <v>3987</v>
      </c>
      <c r="B257" s="154">
        <v>0</v>
      </c>
      <c r="C257" s="155">
        <v>30</v>
      </c>
      <c r="D257" s="156">
        <v>0</v>
      </c>
      <c r="E257" s="157">
        <v>50</v>
      </c>
      <c r="F257" s="147" t="s">
        <v>2572</v>
      </c>
      <c r="G257" s="147" t="s">
        <v>3979</v>
      </c>
      <c r="H257" s="636" t="s">
        <v>9380</v>
      </c>
      <c r="J257" s="368"/>
    </row>
    <row r="258" spans="1:10">
      <c r="A258" s="147" t="s">
        <v>3988</v>
      </c>
      <c r="B258" s="154">
        <v>1</v>
      </c>
      <c r="C258" s="155">
        <v>0</v>
      </c>
      <c r="D258" s="156">
        <v>0</v>
      </c>
      <c r="E258" s="157">
        <v>5</v>
      </c>
      <c r="F258" s="147" t="s">
        <v>2572</v>
      </c>
      <c r="G258" s="147" t="s">
        <v>3979</v>
      </c>
      <c r="H258" s="636" t="s">
        <v>9380</v>
      </c>
      <c r="J258" s="368"/>
    </row>
    <row r="259" spans="1:10">
      <c r="A259" s="147" t="s">
        <v>3989</v>
      </c>
      <c r="B259" s="154">
        <v>25</v>
      </c>
      <c r="C259" s="155">
        <v>0</v>
      </c>
      <c r="D259" s="156">
        <v>0</v>
      </c>
      <c r="E259" s="157">
        <v>30</v>
      </c>
      <c r="F259" s="147" t="s">
        <v>2572</v>
      </c>
      <c r="G259" s="147" t="s">
        <v>3979</v>
      </c>
      <c r="H259" s="636" t="s">
        <v>9380</v>
      </c>
      <c r="J259" s="368"/>
    </row>
    <row r="260" spans="1:10">
      <c r="A260" s="150" t="s">
        <v>17490</v>
      </c>
      <c r="B260" s="154">
        <v>50</v>
      </c>
      <c r="C260" s="155">
        <v>0</v>
      </c>
      <c r="D260" s="156">
        <v>0</v>
      </c>
      <c r="E260" s="157">
        <v>10</v>
      </c>
      <c r="F260" s="150" t="s">
        <v>2607</v>
      </c>
      <c r="G260" s="147" t="s">
        <v>3979</v>
      </c>
      <c r="H260" s="636" t="s">
        <v>12080</v>
      </c>
      <c r="J260" s="368"/>
    </row>
    <row r="261" spans="1:10">
      <c r="A261" s="150" t="s">
        <v>12123</v>
      </c>
      <c r="B261" s="154">
        <v>0</v>
      </c>
      <c r="C261" s="155">
        <v>6</v>
      </c>
      <c r="D261" s="156">
        <v>0</v>
      </c>
      <c r="E261" s="157">
        <v>5</v>
      </c>
      <c r="F261" s="150" t="s">
        <v>2578</v>
      </c>
      <c r="G261" s="150" t="s">
        <v>15521</v>
      </c>
      <c r="H261" s="636" t="s">
        <v>12135</v>
      </c>
      <c r="J261" s="368"/>
    </row>
    <row r="262" spans="1:10">
      <c r="A262" s="150" t="s">
        <v>12125</v>
      </c>
      <c r="B262" s="434">
        <v>0</v>
      </c>
      <c r="C262" s="435">
        <v>5</v>
      </c>
      <c r="D262" s="436">
        <v>0</v>
      </c>
      <c r="E262" s="157">
        <v>10</v>
      </c>
      <c r="F262" s="357" t="s">
        <v>2578</v>
      </c>
      <c r="G262" s="150" t="s">
        <v>15521</v>
      </c>
      <c r="H262" s="635" t="s">
        <v>12135</v>
      </c>
      <c r="J262" s="368"/>
    </row>
    <row r="263" spans="1:10">
      <c r="A263" s="150" t="s">
        <v>14778</v>
      </c>
      <c r="B263" s="434">
        <v>200</v>
      </c>
      <c r="C263" s="435">
        <v>0</v>
      </c>
      <c r="D263" s="436">
        <v>0</v>
      </c>
      <c r="E263" s="437">
        <v>3</v>
      </c>
      <c r="F263" s="357" t="s">
        <v>2608</v>
      </c>
      <c r="G263" s="150" t="s">
        <v>15521</v>
      </c>
      <c r="H263" s="635" t="s">
        <v>12135</v>
      </c>
      <c r="J263" s="368"/>
    </row>
    <row r="264" spans="1:10">
      <c r="A264" s="150" t="s">
        <v>12126</v>
      </c>
      <c r="B264" s="154">
        <v>0</v>
      </c>
      <c r="C264" s="155">
        <v>7</v>
      </c>
      <c r="D264" s="156">
        <v>0</v>
      </c>
      <c r="E264" s="157">
        <v>4</v>
      </c>
      <c r="F264" s="150" t="s">
        <v>2578</v>
      </c>
      <c r="G264" s="150" t="s">
        <v>15521</v>
      </c>
      <c r="H264" s="636" t="s">
        <v>12135</v>
      </c>
      <c r="J264" s="368"/>
    </row>
    <row r="265" spans="1:10">
      <c r="A265" s="150" t="s">
        <v>12136</v>
      </c>
      <c r="B265" s="154">
        <v>0</v>
      </c>
      <c r="C265" s="155">
        <v>1</v>
      </c>
      <c r="D265" s="156">
        <v>0</v>
      </c>
      <c r="E265" s="157">
        <v>2</v>
      </c>
      <c r="F265" s="147" t="s">
        <v>2572</v>
      </c>
      <c r="G265" s="150" t="s">
        <v>15521</v>
      </c>
      <c r="H265" s="636" t="s">
        <v>9373</v>
      </c>
      <c r="J265" s="368"/>
    </row>
    <row r="266" spans="1:10">
      <c r="A266" s="150" t="s">
        <v>15499</v>
      </c>
      <c r="B266" s="154">
        <v>1</v>
      </c>
      <c r="C266" s="155">
        <v>0</v>
      </c>
      <c r="D266" s="156">
        <v>0</v>
      </c>
      <c r="E266" s="157">
        <v>2</v>
      </c>
      <c r="F266" s="150" t="s">
        <v>2572</v>
      </c>
      <c r="G266" s="149" t="s">
        <v>15521</v>
      </c>
      <c r="H266" s="639" t="s">
        <v>4551</v>
      </c>
      <c r="J266" s="368"/>
    </row>
    <row r="267" spans="1:10">
      <c r="A267" s="357" t="s">
        <v>11268</v>
      </c>
      <c r="B267" s="434">
        <v>120</v>
      </c>
      <c r="C267" s="435">
        <v>0</v>
      </c>
      <c r="D267" s="436">
        <v>0</v>
      </c>
      <c r="E267" s="437">
        <v>2</v>
      </c>
      <c r="F267" s="357" t="s">
        <v>2608</v>
      </c>
      <c r="G267" s="150" t="s">
        <v>15521</v>
      </c>
      <c r="H267" s="635" t="s">
        <v>11267</v>
      </c>
      <c r="J267" s="368"/>
    </row>
    <row r="268" spans="1:10">
      <c r="A268" s="150" t="s">
        <v>12133</v>
      </c>
      <c r="B268" s="154">
        <v>0</v>
      </c>
      <c r="C268" s="155">
        <v>13</v>
      </c>
      <c r="D268" s="156">
        <v>0</v>
      </c>
      <c r="E268" s="157">
        <v>2</v>
      </c>
      <c r="F268" s="147" t="s">
        <v>2572</v>
      </c>
      <c r="G268" s="150" t="s">
        <v>15521</v>
      </c>
      <c r="H268" s="636" t="s">
        <v>9374</v>
      </c>
      <c r="J268" s="368"/>
    </row>
    <row r="269" spans="1:10">
      <c r="A269" s="150" t="s">
        <v>14775</v>
      </c>
      <c r="B269" s="434">
        <v>0</v>
      </c>
      <c r="C269" s="435">
        <v>7</v>
      </c>
      <c r="D269" s="436">
        <v>0</v>
      </c>
      <c r="E269" s="437">
        <v>2</v>
      </c>
      <c r="F269" s="357" t="s">
        <v>2578</v>
      </c>
      <c r="G269" s="150" t="s">
        <v>15521</v>
      </c>
      <c r="H269" s="634" t="s">
        <v>4551</v>
      </c>
      <c r="J269" s="368"/>
    </row>
    <row r="270" spans="1:10">
      <c r="A270" s="150" t="s">
        <v>12134</v>
      </c>
      <c r="B270" s="154">
        <v>0</v>
      </c>
      <c r="C270" s="155">
        <v>10</v>
      </c>
      <c r="D270" s="156">
        <v>0</v>
      </c>
      <c r="E270" s="157">
        <v>2</v>
      </c>
      <c r="F270" s="147" t="s">
        <v>2572</v>
      </c>
      <c r="G270" s="150" t="s">
        <v>15521</v>
      </c>
      <c r="H270" s="636" t="s">
        <v>11275</v>
      </c>
      <c r="J270" s="368"/>
    </row>
    <row r="271" spans="1:10">
      <c r="A271" s="357" t="s">
        <v>12132</v>
      </c>
      <c r="B271" s="434">
        <v>10</v>
      </c>
      <c r="C271" s="435">
        <v>0</v>
      </c>
      <c r="D271" s="436">
        <v>0</v>
      </c>
      <c r="E271" s="437">
        <v>2</v>
      </c>
      <c r="F271" s="357" t="s">
        <v>2607</v>
      </c>
      <c r="G271" s="150" t="s">
        <v>15521</v>
      </c>
      <c r="H271" s="635" t="s">
        <v>12135</v>
      </c>
      <c r="J271" s="368"/>
    </row>
    <row r="272" spans="1:10">
      <c r="A272" s="150" t="s">
        <v>15495</v>
      </c>
      <c r="B272" s="154">
        <v>0</v>
      </c>
      <c r="C272" s="155">
        <v>0</v>
      </c>
      <c r="D272" s="156">
        <v>5</v>
      </c>
      <c r="E272" s="157">
        <v>0</v>
      </c>
      <c r="F272" s="150"/>
      <c r="G272" s="150" t="s">
        <v>15521</v>
      </c>
      <c r="H272" s="634" t="s">
        <v>4551</v>
      </c>
      <c r="J272" s="368"/>
    </row>
    <row r="273" spans="1:10">
      <c r="A273" s="357" t="s">
        <v>14776</v>
      </c>
      <c r="B273" s="434">
        <v>2</v>
      </c>
      <c r="C273" s="435">
        <v>0</v>
      </c>
      <c r="D273" s="156">
        <v>0</v>
      </c>
      <c r="E273" s="437">
        <v>2</v>
      </c>
      <c r="F273" s="357" t="s">
        <v>2607</v>
      </c>
      <c r="G273" s="149" t="s">
        <v>15521</v>
      </c>
      <c r="H273" s="634" t="s">
        <v>4551</v>
      </c>
      <c r="J273" s="368"/>
    </row>
    <row r="274" spans="1:10">
      <c r="A274" s="357" t="s">
        <v>12130</v>
      </c>
      <c r="B274" s="434">
        <v>0</v>
      </c>
      <c r="C274" s="435">
        <v>1</v>
      </c>
      <c r="D274" s="156">
        <v>0</v>
      </c>
      <c r="E274" s="437">
        <v>5</v>
      </c>
      <c r="F274" s="357" t="s">
        <v>2578</v>
      </c>
      <c r="G274" s="149" t="s">
        <v>15521</v>
      </c>
      <c r="H274" s="635" t="s">
        <v>12135</v>
      </c>
      <c r="J274" s="368"/>
    </row>
    <row r="275" spans="1:10">
      <c r="A275" s="150" t="s">
        <v>12128</v>
      </c>
      <c r="B275" s="154">
        <v>0</v>
      </c>
      <c r="C275" s="155">
        <v>10</v>
      </c>
      <c r="D275" s="156">
        <v>0</v>
      </c>
      <c r="E275" s="157">
        <v>0</v>
      </c>
      <c r="F275" s="150" t="s">
        <v>2572</v>
      </c>
      <c r="G275" s="149" t="s">
        <v>15521</v>
      </c>
      <c r="H275" s="636" t="s">
        <v>12127</v>
      </c>
      <c r="J275" s="368"/>
    </row>
    <row r="276" spans="1:10">
      <c r="A276" s="150" t="s">
        <v>12131</v>
      </c>
      <c r="B276" s="154">
        <v>15</v>
      </c>
      <c r="C276" s="155">
        <v>0</v>
      </c>
      <c r="D276" s="156">
        <v>0</v>
      </c>
      <c r="E276" s="157">
        <v>2</v>
      </c>
      <c r="F276" s="150" t="s">
        <v>2607</v>
      </c>
      <c r="G276" s="149" t="s">
        <v>15521</v>
      </c>
      <c r="H276" s="636" t="s">
        <v>12135</v>
      </c>
      <c r="J276" s="368"/>
    </row>
    <row r="277" spans="1:10">
      <c r="A277" s="357" t="s">
        <v>15517</v>
      </c>
      <c r="B277" s="434">
        <v>16</v>
      </c>
      <c r="C277" s="435">
        <v>0</v>
      </c>
      <c r="D277" s="436">
        <v>0</v>
      </c>
      <c r="E277" s="437">
        <v>2</v>
      </c>
      <c r="F277" s="535" t="s">
        <v>2607</v>
      </c>
      <c r="G277" s="150" t="s">
        <v>15521</v>
      </c>
      <c r="H277" s="634" t="s">
        <v>4551</v>
      </c>
      <c r="J277" s="368"/>
    </row>
    <row r="278" spans="1:10">
      <c r="A278" s="150" t="s">
        <v>15516</v>
      </c>
      <c r="B278" s="154">
        <v>1</v>
      </c>
      <c r="C278" s="155">
        <v>0</v>
      </c>
      <c r="D278" s="156">
        <v>0</v>
      </c>
      <c r="E278" s="157">
        <v>2</v>
      </c>
      <c r="F278" s="147" t="s">
        <v>2578</v>
      </c>
      <c r="G278" s="150" t="s">
        <v>15521</v>
      </c>
      <c r="H278" s="636" t="s">
        <v>11275</v>
      </c>
      <c r="J278" s="368"/>
    </row>
    <row r="279" spans="1:10">
      <c r="A279" s="357" t="s">
        <v>16193</v>
      </c>
      <c r="B279" s="434">
        <v>1</v>
      </c>
      <c r="C279" s="435">
        <v>0</v>
      </c>
      <c r="D279" s="436">
        <v>0</v>
      </c>
      <c r="E279" s="437">
        <v>2</v>
      </c>
      <c r="F279" s="357" t="s">
        <v>2574</v>
      </c>
      <c r="G279" s="150" t="s">
        <v>15521</v>
      </c>
      <c r="H279" s="635" t="s">
        <v>17484</v>
      </c>
      <c r="J279" s="368"/>
    </row>
    <row r="280" spans="1:10">
      <c r="A280" s="357" t="s">
        <v>9775</v>
      </c>
      <c r="B280" s="434">
        <v>0</v>
      </c>
      <c r="C280" s="435">
        <v>0</v>
      </c>
      <c r="D280" s="436">
        <v>4</v>
      </c>
      <c r="E280" s="437">
        <v>2</v>
      </c>
      <c r="F280" s="535" t="s">
        <v>3877</v>
      </c>
      <c r="G280" s="150" t="s">
        <v>15521</v>
      </c>
      <c r="H280" s="635" t="s">
        <v>9376</v>
      </c>
      <c r="J280" s="368"/>
    </row>
    <row r="281" spans="1:10">
      <c r="A281" s="357" t="s">
        <v>14777</v>
      </c>
      <c r="B281" s="434">
        <v>10</v>
      </c>
      <c r="C281" s="435">
        <v>7</v>
      </c>
      <c r="D281" s="436">
        <v>0</v>
      </c>
      <c r="E281" s="437">
        <v>2</v>
      </c>
      <c r="F281" s="357" t="s">
        <v>2608</v>
      </c>
      <c r="G281" s="452" t="s">
        <v>15521</v>
      </c>
      <c r="H281" s="634" t="s">
        <v>4551</v>
      </c>
      <c r="J281" s="368"/>
    </row>
    <row r="282" spans="1:10">
      <c r="A282" s="150" t="s">
        <v>15520</v>
      </c>
      <c r="B282" s="434">
        <v>0</v>
      </c>
      <c r="C282" s="435">
        <v>10</v>
      </c>
      <c r="D282" s="436">
        <v>0</v>
      </c>
      <c r="E282" s="437">
        <v>2</v>
      </c>
      <c r="F282" s="357" t="s">
        <v>2572</v>
      </c>
      <c r="G282" s="150" t="s">
        <v>15521</v>
      </c>
      <c r="H282" s="634" t="s">
        <v>4551</v>
      </c>
      <c r="J282" s="368"/>
    </row>
    <row r="283" spans="1:10">
      <c r="A283" s="357" t="s">
        <v>15518</v>
      </c>
      <c r="B283" s="434">
        <v>0</v>
      </c>
      <c r="C283" s="435">
        <v>0</v>
      </c>
      <c r="D283" s="436">
        <v>10</v>
      </c>
      <c r="E283" s="437">
        <v>3</v>
      </c>
      <c r="F283" s="357" t="s">
        <v>141</v>
      </c>
      <c r="G283" s="150" t="s">
        <v>15521</v>
      </c>
      <c r="H283" s="635" t="s">
        <v>11276</v>
      </c>
      <c r="J283" s="368"/>
    </row>
    <row r="284" spans="1:10">
      <c r="A284" s="357" t="s">
        <v>15519</v>
      </c>
      <c r="B284" s="434">
        <v>0</v>
      </c>
      <c r="C284" s="435">
        <v>2</v>
      </c>
      <c r="D284" s="156">
        <v>0</v>
      </c>
      <c r="E284" s="437">
        <v>2</v>
      </c>
      <c r="F284" s="357" t="s">
        <v>2574</v>
      </c>
      <c r="G284" s="150" t="s">
        <v>15521</v>
      </c>
      <c r="H284" s="634" t="s">
        <v>4551</v>
      </c>
      <c r="J284" s="368"/>
    </row>
    <row r="285" spans="1:10">
      <c r="A285" s="535" t="s">
        <v>3916</v>
      </c>
      <c r="B285" s="434">
        <v>0</v>
      </c>
      <c r="C285" s="435">
        <v>0</v>
      </c>
      <c r="D285" s="436">
        <v>2</v>
      </c>
      <c r="E285" s="437">
        <v>2</v>
      </c>
      <c r="F285" s="535" t="s">
        <v>3877</v>
      </c>
      <c r="G285" s="357" t="s">
        <v>15522</v>
      </c>
      <c r="H285" s="635" t="s">
        <v>9373</v>
      </c>
      <c r="J285" s="368"/>
    </row>
    <row r="286" spans="1:10">
      <c r="A286" s="535" t="s">
        <v>4326</v>
      </c>
      <c r="B286" s="434">
        <v>0</v>
      </c>
      <c r="C286" s="435">
        <v>3</v>
      </c>
      <c r="D286" s="436">
        <v>0</v>
      </c>
      <c r="E286" s="437">
        <v>30</v>
      </c>
      <c r="F286" s="535" t="s">
        <v>141</v>
      </c>
      <c r="G286" s="357" t="s">
        <v>15522</v>
      </c>
      <c r="H286" s="635"/>
      <c r="J286" s="368"/>
    </row>
    <row r="287" spans="1:10">
      <c r="A287" s="357" t="s">
        <v>14779</v>
      </c>
      <c r="B287" s="434">
        <v>0</v>
      </c>
      <c r="C287" s="435">
        <v>6</v>
      </c>
      <c r="D287" s="436">
        <v>0</v>
      </c>
      <c r="E287" s="437">
        <v>2</v>
      </c>
      <c r="F287" s="357" t="s">
        <v>2578</v>
      </c>
      <c r="G287" s="357" t="s">
        <v>15522</v>
      </c>
      <c r="H287" s="634" t="s">
        <v>4551</v>
      </c>
      <c r="J287" s="368"/>
    </row>
    <row r="288" spans="1:10">
      <c r="A288" s="535" t="s">
        <v>3918</v>
      </c>
      <c r="B288" s="434">
        <v>0</v>
      </c>
      <c r="C288" s="435">
        <v>0</v>
      </c>
      <c r="D288" s="436">
        <v>1</v>
      </c>
      <c r="E288" s="437">
        <v>2</v>
      </c>
      <c r="F288" s="535" t="s">
        <v>141</v>
      </c>
      <c r="G288" s="357" t="s">
        <v>15522</v>
      </c>
      <c r="H288" s="635" t="s">
        <v>9374</v>
      </c>
      <c r="J288" s="368"/>
    </row>
    <row r="289" spans="1:10">
      <c r="A289" s="357" t="s">
        <v>15507</v>
      </c>
      <c r="B289" s="434">
        <v>5</v>
      </c>
      <c r="C289" s="435">
        <v>0</v>
      </c>
      <c r="D289" s="156">
        <v>0</v>
      </c>
      <c r="E289" s="437">
        <v>2</v>
      </c>
      <c r="F289" s="357" t="s">
        <v>2607</v>
      </c>
      <c r="G289" s="150" t="s">
        <v>15522</v>
      </c>
      <c r="H289" s="634"/>
      <c r="J289" s="368"/>
    </row>
    <row r="290" spans="1:10">
      <c r="A290" s="357" t="s">
        <v>11804</v>
      </c>
      <c r="B290" s="434">
        <v>0</v>
      </c>
      <c r="C290" s="435">
        <v>1</v>
      </c>
      <c r="D290" s="156">
        <v>0</v>
      </c>
      <c r="E290" s="437">
        <v>30</v>
      </c>
      <c r="F290" s="535" t="s">
        <v>141</v>
      </c>
      <c r="G290" s="150" t="s">
        <v>15522</v>
      </c>
      <c r="H290" s="634"/>
      <c r="J290" s="368"/>
    </row>
    <row r="291" spans="1:10">
      <c r="A291" s="357" t="s">
        <v>15506</v>
      </c>
      <c r="B291" s="434">
        <v>2</v>
      </c>
      <c r="C291" s="435">
        <v>0</v>
      </c>
      <c r="D291" s="156">
        <v>0</v>
      </c>
      <c r="E291" s="437">
        <v>2</v>
      </c>
      <c r="F291" s="357" t="s">
        <v>2578</v>
      </c>
      <c r="G291" s="150" t="s">
        <v>15522</v>
      </c>
      <c r="H291" s="634" t="s">
        <v>4551</v>
      </c>
      <c r="J291" s="368"/>
    </row>
    <row r="292" spans="1:10">
      <c r="A292" s="357" t="s">
        <v>15496</v>
      </c>
      <c r="B292" s="434">
        <v>20</v>
      </c>
      <c r="C292" s="435">
        <v>0</v>
      </c>
      <c r="D292" s="156">
        <v>0</v>
      </c>
      <c r="E292" s="437">
        <v>2</v>
      </c>
      <c r="F292" s="357" t="s">
        <v>2607</v>
      </c>
      <c r="G292" s="150" t="s">
        <v>15522</v>
      </c>
      <c r="H292" s="634" t="s">
        <v>4551</v>
      </c>
      <c r="J292" s="368"/>
    </row>
    <row r="293" spans="1:10">
      <c r="A293" s="150" t="s">
        <v>9774</v>
      </c>
      <c r="B293" s="154">
        <v>0</v>
      </c>
      <c r="C293" s="155">
        <v>0</v>
      </c>
      <c r="D293" s="156">
        <v>5</v>
      </c>
      <c r="E293" s="437">
        <v>0</v>
      </c>
      <c r="F293" s="150" t="s">
        <v>2572</v>
      </c>
      <c r="G293" s="150" t="s">
        <v>15522</v>
      </c>
      <c r="H293" s="636" t="s">
        <v>9768</v>
      </c>
      <c r="J293" s="368"/>
    </row>
    <row r="294" spans="1:10">
      <c r="A294" s="357" t="s">
        <v>15514</v>
      </c>
      <c r="B294" s="434">
        <v>1</v>
      </c>
      <c r="C294" s="435">
        <v>0</v>
      </c>
      <c r="D294" s="436">
        <v>0</v>
      </c>
      <c r="E294" s="437">
        <v>2</v>
      </c>
      <c r="F294" s="357" t="s">
        <v>2578</v>
      </c>
      <c r="G294" s="150" t="s">
        <v>15522</v>
      </c>
      <c r="H294" s="635" t="s">
        <v>12135</v>
      </c>
      <c r="J294" s="368"/>
    </row>
    <row r="295" spans="1:10">
      <c r="A295" s="150" t="s">
        <v>11805</v>
      </c>
      <c r="B295" s="154">
        <v>0</v>
      </c>
      <c r="C295" s="155">
        <v>1</v>
      </c>
      <c r="D295" s="156">
        <v>0</v>
      </c>
      <c r="E295" s="157">
        <v>2</v>
      </c>
      <c r="F295" s="150" t="s">
        <v>2574</v>
      </c>
      <c r="G295" s="150" t="s">
        <v>15522</v>
      </c>
      <c r="H295" s="636" t="s">
        <v>11806</v>
      </c>
      <c r="J295" s="368"/>
    </row>
    <row r="296" spans="1:10">
      <c r="A296" s="150" t="s">
        <v>15515</v>
      </c>
      <c r="B296" s="154">
        <v>0</v>
      </c>
      <c r="C296" s="155">
        <v>0</v>
      </c>
      <c r="D296" s="156">
        <v>6</v>
      </c>
      <c r="E296" s="157">
        <v>2</v>
      </c>
      <c r="F296" s="150" t="s">
        <v>141</v>
      </c>
      <c r="G296" s="150" t="s">
        <v>15522</v>
      </c>
      <c r="H296" s="639" t="s">
        <v>4551</v>
      </c>
      <c r="J296" s="368"/>
    </row>
    <row r="297" spans="1:10">
      <c r="A297" s="357" t="s">
        <v>15508</v>
      </c>
      <c r="B297" s="434">
        <v>15</v>
      </c>
      <c r="C297" s="435">
        <v>0</v>
      </c>
      <c r="D297" s="436">
        <v>0</v>
      </c>
      <c r="E297" s="437">
        <v>2</v>
      </c>
      <c r="F297" s="357" t="s">
        <v>2608</v>
      </c>
      <c r="G297" s="150" t="s">
        <v>15522</v>
      </c>
      <c r="H297" s="634" t="s">
        <v>4551</v>
      </c>
      <c r="J297" s="368"/>
    </row>
    <row r="298" spans="1:10">
      <c r="A298" s="150" t="s">
        <v>15497</v>
      </c>
      <c r="B298" s="154">
        <v>2</v>
      </c>
      <c r="C298" s="155">
        <v>0</v>
      </c>
      <c r="D298" s="156">
        <v>0</v>
      </c>
      <c r="E298" s="157">
        <v>2</v>
      </c>
      <c r="F298" s="150" t="s">
        <v>2578</v>
      </c>
      <c r="G298" s="150" t="s">
        <v>15522</v>
      </c>
      <c r="H298" s="639" t="s">
        <v>4551</v>
      </c>
      <c r="J298" s="368"/>
    </row>
    <row r="299" spans="1:10">
      <c r="A299" s="150" t="s">
        <v>12122</v>
      </c>
      <c r="B299" s="154">
        <v>0</v>
      </c>
      <c r="C299" s="155">
        <v>2</v>
      </c>
      <c r="D299" s="156">
        <v>0</v>
      </c>
      <c r="E299" s="157">
        <v>2</v>
      </c>
      <c r="F299" s="150" t="s">
        <v>2572</v>
      </c>
      <c r="G299" s="150" t="s">
        <v>15522</v>
      </c>
      <c r="H299" s="636" t="s">
        <v>12135</v>
      </c>
      <c r="J299" s="368"/>
    </row>
    <row r="300" spans="1:10">
      <c r="A300" s="535" t="s">
        <v>3920</v>
      </c>
      <c r="B300" s="434">
        <v>0</v>
      </c>
      <c r="C300" s="435">
        <v>0</v>
      </c>
      <c r="D300" s="436">
        <v>3</v>
      </c>
      <c r="E300" s="437">
        <v>2</v>
      </c>
      <c r="F300" s="535" t="s">
        <v>2572</v>
      </c>
      <c r="G300" s="357" t="s">
        <v>15522</v>
      </c>
      <c r="H300" s="635" t="s">
        <v>9374</v>
      </c>
      <c r="J300" s="368"/>
    </row>
    <row r="301" spans="1:10">
      <c r="A301" s="357" t="s">
        <v>12119</v>
      </c>
      <c r="B301" s="434">
        <v>2</v>
      </c>
      <c r="C301" s="435">
        <v>0</v>
      </c>
      <c r="D301" s="436">
        <v>0</v>
      </c>
      <c r="E301" s="437">
        <v>2</v>
      </c>
      <c r="F301" s="357" t="s">
        <v>2607</v>
      </c>
      <c r="G301" s="452" t="s">
        <v>9776</v>
      </c>
      <c r="H301" s="635" t="s">
        <v>12135</v>
      </c>
      <c r="J301" s="368"/>
    </row>
    <row r="302" spans="1:10">
      <c r="A302" s="357" t="s">
        <v>14781</v>
      </c>
      <c r="B302" s="78">
        <v>0</v>
      </c>
      <c r="C302" s="80">
        <v>0</v>
      </c>
      <c r="D302" s="81">
        <v>10</v>
      </c>
      <c r="E302" s="79">
        <v>2</v>
      </c>
      <c r="F302" s="481" t="s">
        <v>141</v>
      </c>
      <c r="G302" s="452" t="s">
        <v>9776</v>
      </c>
      <c r="H302" s="635"/>
      <c r="J302" s="368"/>
    </row>
    <row r="303" spans="1:10">
      <c r="A303" s="357" t="s">
        <v>12121</v>
      </c>
      <c r="B303" s="434">
        <v>0</v>
      </c>
      <c r="C303" s="435">
        <v>8</v>
      </c>
      <c r="D303" s="436">
        <v>0</v>
      </c>
      <c r="E303" s="437">
        <v>2</v>
      </c>
      <c r="F303" s="357" t="s">
        <v>2578</v>
      </c>
      <c r="G303" s="452" t="s">
        <v>9776</v>
      </c>
      <c r="H303" s="635" t="s">
        <v>12135</v>
      </c>
      <c r="J303" s="368"/>
    </row>
    <row r="304" spans="1:10">
      <c r="A304" s="357" t="s">
        <v>12120</v>
      </c>
      <c r="B304" s="434">
        <v>0</v>
      </c>
      <c r="C304" s="435">
        <v>1</v>
      </c>
      <c r="D304" s="436">
        <v>0</v>
      </c>
      <c r="E304" s="437">
        <v>5</v>
      </c>
      <c r="F304" s="357" t="s">
        <v>2572</v>
      </c>
      <c r="G304" s="452" t="s">
        <v>9776</v>
      </c>
      <c r="H304" s="635" t="s">
        <v>12135</v>
      </c>
      <c r="J304" s="368"/>
    </row>
    <row r="305" spans="1:10">
      <c r="A305" s="357" t="s">
        <v>12124</v>
      </c>
      <c r="B305" s="434">
        <v>5</v>
      </c>
      <c r="C305" s="435">
        <v>0</v>
      </c>
      <c r="D305" s="436">
        <v>0</v>
      </c>
      <c r="E305" s="437">
        <v>4</v>
      </c>
      <c r="F305" s="357" t="s">
        <v>8801</v>
      </c>
      <c r="G305" s="452" t="s">
        <v>9776</v>
      </c>
      <c r="H305" s="635" t="s">
        <v>12135</v>
      </c>
      <c r="J305" s="368"/>
    </row>
    <row r="306" spans="1:10">
      <c r="A306" s="535" t="s">
        <v>3921</v>
      </c>
      <c r="B306" s="78">
        <v>0</v>
      </c>
      <c r="C306" s="80">
        <v>2</v>
      </c>
      <c r="D306" s="81">
        <v>0</v>
      </c>
      <c r="E306" s="79">
        <v>2</v>
      </c>
      <c r="F306" s="629" t="s">
        <v>3877</v>
      </c>
      <c r="G306" s="357" t="s">
        <v>9776</v>
      </c>
      <c r="H306" s="635" t="s">
        <v>9375</v>
      </c>
      <c r="J306" s="368"/>
    </row>
    <row r="307" spans="1:10">
      <c r="A307" s="357" t="s">
        <v>4686</v>
      </c>
      <c r="B307" s="434">
        <v>0</v>
      </c>
      <c r="C307" s="435">
        <v>1</v>
      </c>
      <c r="D307" s="436">
        <v>0</v>
      </c>
      <c r="E307" s="437">
        <v>2</v>
      </c>
      <c r="F307" s="357" t="s">
        <v>2607</v>
      </c>
      <c r="G307" s="357" t="s">
        <v>9776</v>
      </c>
      <c r="H307" s="635"/>
      <c r="J307" s="368"/>
    </row>
    <row r="308" spans="1:10">
      <c r="A308" s="357" t="s">
        <v>12129</v>
      </c>
      <c r="B308" s="434">
        <v>0</v>
      </c>
      <c r="C308" s="435">
        <v>1</v>
      </c>
      <c r="D308" s="436">
        <v>0</v>
      </c>
      <c r="E308" s="437">
        <v>0</v>
      </c>
      <c r="F308" s="357" t="s">
        <v>2572</v>
      </c>
      <c r="G308" s="357" t="s">
        <v>9776</v>
      </c>
      <c r="H308" s="635" t="s">
        <v>12127</v>
      </c>
      <c r="J308" s="368"/>
    </row>
    <row r="309" spans="1:10">
      <c r="A309" s="535" t="s">
        <v>3926</v>
      </c>
      <c r="B309" s="434">
        <v>0</v>
      </c>
      <c r="C309" s="435">
        <v>0</v>
      </c>
      <c r="D309" s="436">
        <v>1</v>
      </c>
      <c r="E309" s="437">
        <v>1</v>
      </c>
      <c r="F309" s="535" t="s">
        <v>141</v>
      </c>
      <c r="G309" s="357" t="s">
        <v>9776</v>
      </c>
      <c r="H309" s="635" t="s">
        <v>9375</v>
      </c>
      <c r="J309" s="368"/>
    </row>
    <row r="310" spans="1:10">
      <c r="A310" s="349" t="s">
        <v>4282</v>
      </c>
      <c r="B310" s="78">
        <v>2</v>
      </c>
      <c r="C310" s="80">
        <v>0</v>
      </c>
      <c r="D310" s="81">
        <v>0</v>
      </c>
      <c r="E310" s="79">
        <v>2</v>
      </c>
      <c r="F310" s="77" t="s">
        <v>2578</v>
      </c>
      <c r="G310" s="357" t="s">
        <v>9776</v>
      </c>
      <c r="H310" s="635" t="s">
        <v>9366</v>
      </c>
      <c r="J310" s="368"/>
    </row>
    <row r="311" spans="1:10">
      <c r="A311" s="357" t="s">
        <v>15501</v>
      </c>
      <c r="B311" s="434">
        <v>15</v>
      </c>
      <c r="C311" s="435">
        <v>0</v>
      </c>
      <c r="D311" s="436">
        <v>0</v>
      </c>
      <c r="E311" s="437">
        <v>2</v>
      </c>
      <c r="F311" s="357" t="s">
        <v>2608</v>
      </c>
      <c r="G311" s="452" t="s">
        <v>15523</v>
      </c>
      <c r="H311" s="634" t="s">
        <v>4551</v>
      </c>
      <c r="J311" s="368"/>
    </row>
    <row r="312" spans="1:10">
      <c r="A312" s="357" t="s">
        <v>15502</v>
      </c>
      <c r="B312" s="434">
        <v>10</v>
      </c>
      <c r="C312" s="435">
        <v>0</v>
      </c>
      <c r="D312" s="436">
        <v>0</v>
      </c>
      <c r="E312" s="437">
        <v>2</v>
      </c>
      <c r="F312" s="357" t="s">
        <v>2608</v>
      </c>
      <c r="G312" s="452" t="s">
        <v>15523</v>
      </c>
      <c r="H312" s="634" t="s">
        <v>4551</v>
      </c>
      <c r="J312" s="368"/>
    </row>
    <row r="313" spans="1:10">
      <c r="A313" s="357" t="s">
        <v>15498</v>
      </c>
      <c r="B313" s="434">
        <v>0</v>
      </c>
      <c r="C313" s="435">
        <v>5</v>
      </c>
      <c r="D313" s="436">
        <v>0</v>
      </c>
      <c r="E313" s="437">
        <v>2</v>
      </c>
      <c r="F313" s="357" t="s">
        <v>2572</v>
      </c>
      <c r="G313" s="452" t="s">
        <v>15523</v>
      </c>
      <c r="H313" s="634" t="s">
        <v>4551</v>
      </c>
      <c r="J313" s="368"/>
    </row>
    <row r="314" spans="1:10">
      <c r="A314" s="357" t="s">
        <v>15504</v>
      </c>
      <c r="B314" s="434">
        <v>6</v>
      </c>
      <c r="C314" s="435">
        <v>0</v>
      </c>
      <c r="D314" s="436">
        <v>0</v>
      </c>
      <c r="E314" s="437">
        <v>2</v>
      </c>
      <c r="F314" s="357" t="s">
        <v>2607</v>
      </c>
      <c r="G314" s="452" t="s">
        <v>15523</v>
      </c>
      <c r="H314" s="634" t="s">
        <v>4551</v>
      </c>
      <c r="J314" s="368"/>
    </row>
    <row r="315" spans="1:10">
      <c r="A315" s="357" t="s">
        <v>15500</v>
      </c>
      <c r="B315" s="434">
        <v>5</v>
      </c>
      <c r="C315" s="435">
        <v>0</v>
      </c>
      <c r="D315" s="436">
        <v>0</v>
      </c>
      <c r="E315" s="437">
        <v>2</v>
      </c>
      <c r="F315" s="357" t="s">
        <v>2607</v>
      </c>
      <c r="G315" s="452" t="s">
        <v>15523</v>
      </c>
      <c r="H315" s="634" t="s">
        <v>4551</v>
      </c>
      <c r="J315" s="368"/>
    </row>
    <row r="316" spans="1:10">
      <c r="A316" s="357" t="s">
        <v>14780</v>
      </c>
      <c r="B316" s="434">
        <v>7</v>
      </c>
      <c r="C316" s="435">
        <v>0</v>
      </c>
      <c r="D316" s="436">
        <v>0</v>
      </c>
      <c r="E316" s="437">
        <v>2</v>
      </c>
      <c r="F316" s="349" t="s">
        <v>2607</v>
      </c>
      <c r="G316" s="452" t="s">
        <v>15523</v>
      </c>
      <c r="H316" s="635" t="s">
        <v>9367</v>
      </c>
      <c r="J316" s="368"/>
    </row>
    <row r="317" spans="1:10">
      <c r="A317" s="357" t="s">
        <v>15505</v>
      </c>
      <c r="B317" s="434">
        <v>8</v>
      </c>
      <c r="C317" s="435">
        <v>0</v>
      </c>
      <c r="D317" s="436">
        <v>0</v>
      </c>
      <c r="E317" s="437">
        <v>2</v>
      </c>
      <c r="F317" s="357" t="s">
        <v>2607</v>
      </c>
      <c r="G317" s="452" t="s">
        <v>15523</v>
      </c>
      <c r="H317" s="634" t="s">
        <v>4551</v>
      </c>
      <c r="J317" s="368"/>
    </row>
    <row r="318" spans="1:10">
      <c r="A318" s="357" t="s">
        <v>11323</v>
      </c>
      <c r="B318" s="434">
        <v>0</v>
      </c>
      <c r="C318" s="435">
        <v>15</v>
      </c>
      <c r="D318" s="436">
        <v>0</v>
      </c>
      <c r="E318" s="437">
        <v>2</v>
      </c>
      <c r="F318" s="535" t="s">
        <v>2572</v>
      </c>
      <c r="G318" s="452" t="s">
        <v>15523</v>
      </c>
      <c r="H318" s="635" t="s">
        <v>9376</v>
      </c>
      <c r="J318" s="368"/>
    </row>
    <row r="319" spans="1:10">
      <c r="A319" s="150" t="s">
        <v>11318</v>
      </c>
      <c r="B319" s="434">
        <v>30</v>
      </c>
      <c r="C319" s="435">
        <v>0</v>
      </c>
      <c r="D319" s="436">
        <v>0</v>
      </c>
      <c r="E319" s="437">
        <v>2</v>
      </c>
      <c r="F319" s="357" t="s">
        <v>2578</v>
      </c>
      <c r="G319" s="452" t="s">
        <v>15523</v>
      </c>
      <c r="H319" s="635" t="s">
        <v>11325</v>
      </c>
      <c r="J319" s="368"/>
    </row>
    <row r="320" spans="1:10">
      <c r="A320" s="150" t="s">
        <v>11319</v>
      </c>
      <c r="B320" s="434">
        <v>10</v>
      </c>
      <c r="C320" s="435">
        <v>0</v>
      </c>
      <c r="D320" s="436">
        <v>0</v>
      </c>
      <c r="E320" s="437">
        <v>2</v>
      </c>
      <c r="F320" s="357" t="s">
        <v>2578</v>
      </c>
      <c r="G320" s="452" t="s">
        <v>15523</v>
      </c>
      <c r="H320" s="635" t="s">
        <v>11325</v>
      </c>
      <c r="J320" s="368"/>
    </row>
    <row r="321" spans="1:10">
      <c r="A321" s="150" t="s">
        <v>15513</v>
      </c>
      <c r="B321" s="434">
        <v>0</v>
      </c>
      <c r="C321" s="435">
        <v>15</v>
      </c>
      <c r="D321" s="436"/>
      <c r="E321" s="437"/>
      <c r="F321" s="357" t="s">
        <v>2574</v>
      </c>
      <c r="G321" s="452" t="s">
        <v>15523</v>
      </c>
      <c r="H321" s="634" t="s">
        <v>4551</v>
      </c>
      <c r="J321" s="368"/>
    </row>
    <row r="322" spans="1:10">
      <c r="A322" s="150" t="s">
        <v>11324</v>
      </c>
      <c r="B322" s="434">
        <v>5</v>
      </c>
      <c r="C322" s="435">
        <v>0</v>
      </c>
      <c r="D322" s="436">
        <v>0</v>
      </c>
      <c r="E322" s="437">
        <v>2</v>
      </c>
      <c r="F322" s="357" t="s">
        <v>2578</v>
      </c>
      <c r="G322" s="452" t="s">
        <v>15523</v>
      </c>
      <c r="H322" s="635" t="s">
        <v>11325</v>
      </c>
      <c r="J322" s="368"/>
    </row>
    <row r="323" spans="1:10">
      <c r="A323" s="150" t="s">
        <v>11329</v>
      </c>
      <c r="B323" s="434">
        <v>25</v>
      </c>
      <c r="C323" s="435">
        <v>0</v>
      </c>
      <c r="D323" s="436">
        <v>0</v>
      </c>
      <c r="E323" s="437">
        <v>2</v>
      </c>
      <c r="F323" s="357" t="s">
        <v>2578</v>
      </c>
      <c r="G323" s="452" t="s">
        <v>15523</v>
      </c>
      <c r="H323" s="635" t="s">
        <v>11325</v>
      </c>
      <c r="J323" s="368"/>
    </row>
    <row r="324" spans="1:10">
      <c r="A324" s="150" t="s">
        <v>4325</v>
      </c>
      <c r="B324" s="434">
        <v>0</v>
      </c>
      <c r="C324" s="435">
        <v>1</v>
      </c>
      <c r="D324" s="436">
        <v>0</v>
      </c>
      <c r="E324" s="437">
        <v>2</v>
      </c>
      <c r="F324" s="535" t="s">
        <v>2574</v>
      </c>
      <c r="G324" s="452" t="s">
        <v>15523</v>
      </c>
      <c r="H324" s="635"/>
      <c r="J324" s="368"/>
    </row>
    <row r="325" spans="1:10">
      <c r="A325" s="357" t="s">
        <v>15503</v>
      </c>
      <c r="B325" s="434">
        <v>0</v>
      </c>
      <c r="C325" s="435">
        <v>2</v>
      </c>
      <c r="D325" s="436">
        <v>0</v>
      </c>
      <c r="E325" s="437">
        <v>2</v>
      </c>
      <c r="F325" s="357" t="s">
        <v>2574</v>
      </c>
      <c r="G325" s="452" t="s">
        <v>15523</v>
      </c>
      <c r="H325" s="634" t="s">
        <v>4551</v>
      </c>
      <c r="J325" s="368"/>
    </row>
    <row r="326" spans="1:10">
      <c r="A326" s="357" t="s">
        <v>11327</v>
      </c>
      <c r="B326" s="434">
        <v>40</v>
      </c>
      <c r="C326" s="435">
        <v>0</v>
      </c>
      <c r="D326" s="436">
        <v>0</v>
      </c>
      <c r="E326" s="437">
        <v>2</v>
      </c>
      <c r="F326" s="357" t="s">
        <v>2608</v>
      </c>
      <c r="G326" s="452" t="s">
        <v>15523</v>
      </c>
      <c r="H326" s="635" t="s">
        <v>11326</v>
      </c>
      <c r="J326" s="368"/>
    </row>
    <row r="327" spans="1:10">
      <c r="A327" s="150" t="s">
        <v>11320</v>
      </c>
      <c r="B327" s="154">
        <v>15</v>
      </c>
      <c r="C327" s="155">
        <v>0</v>
      </c>
      <c r="D327" s="156">
        <v>0</v>
      </c>
      <c r="E327" s="437">
        <v>2</v>
      </c>
      <c r="F327" s="150" t="s">
        <v>2578</v>
      </c>
      <c r="G327" s="452" t="s">
        <v>15523</v>
      </c>
      <c r="H327" s="636" t="s">
        <v>11325</v>
      </c>
      <c r="J327" s="368"/>
    </row>
    <row r="328" spans="1:10">
      <c r="A328" s="150" t="s">
        <v>11328</v>
      </c>
      <c r="B328" s="154">
        <v>550</v>
      </c>
      <c r="C328" s="155">
        <v>0</v>
      </c>
      <c r="D328" s="156">
        <v>0</v>
      </c>
      <c r="E328" s="437">
        <v>2</v>
      </c>
      <c r="F328" s="150" t="s">
        <v>2608</v>
      </c>
      <c r="G328" s="452" t="s">
        <v>15523</v>
      </c>
      <c r="H328" s="636" t="s">
        <v>11326</v>
      </c>
      <c r="J328" s="368"/>
    </row>
    <row r="329" spans="1:10">
      <c r="A329" s="150" t="s">
        <v>15493</v>
      </c>
      <c r="B329" s="154">
        <v>2500</v>
      </c>
      <c r="C329" s="155">
        <v>0</v>
      </c>
      <c r="D329" s="156">
        <v>0</v>
      </c>
      <c r="E329" s="437">
        <v>2</v>
      </c>
      <c r="F329" s="150" t="s">
        <v>8801</v>
      </c>
      <c r="G329" s="452" t="s">
        <v>15523</v>
      </c>
      <c r="H329" s="639" t="s">
        <v>4551</v>
      </c>
      <c r="J329" s="368"/>
    </row>
    <row r="330" spans="1:10">
      <c r="A330" s="357" t="s">
        <v>11322</v>
      </c>
      <c r="B330" s="434">
        <v>0</v>
      </c>
      <c r="C330" s="435">
        <v>10</v>
      </c>
      <c r="D330" s="436">
        <v>0</v>
      </c>
      <c r="E330" s="437">
        <v>2</v>
      </c>
      <c r="F330" s="535" t="s">
        <v>2572</v>
      </c>
      <c r="G330" s="452" t="s">
        <v>15523</v>
      </c>
      <c r="H330" s="635" t="s">
        <v>9376</v>
      </c>
      <c r="J330" s="368"/>
    </row>
    <row r="331" spans="1:10">
      <c r="A331" s="150" t="s">
        <v>11321</v>
      </c>
      <c r="B331" s="434">
        <v>30</v>
      </c>
      <c r="C331" s="435">
        <v>0</v>
      </c>
      <c r="D331" s="436">
        <v>0</v>
      </c>
      <c r="E331" s="437">
        <v>2</v>
      </c>
      <c r="F331" s="357" t="s">
        <v>2578</v>
      </c>
      <c r="G331" s="149" t="s">
        <v>15523</v>
      </c>
      <c r="H331" s="635" t="s">
        <v>11325</v>
      </c>
      <c r="J331" s="368"/>
    </row>
    <row r="332" spans="1:10">
      <c r="A332" s="150" t="s">
        <v>15494</v>
      </c>
      <c r="B332" s="434">
        <v>4</v>
      </c>
      <c r="C332" s="435">
        <v>0</v>
      </c>
      <c r="D332" s="436">
        <v>0</v>
      </c>
      <c r="E332" s="437">
        <v>2</v>
      </c>
      <c r="F332" s="357" t="s">
        <v>2578</v>
      </c>
      <c r="G332" s="149" t="s">
        <v>15523</v>
      </c>
      <c r="H332" s="634" t="s">
        <v>4551</v>
      </c>
      <c r="J332" s="368"/>
    </row>
    <row r="333" spans="1:10">
      <c r="A333" s="150" t="s">
        <v>11317</v>
      </c>
      <c r="B333" s="154">
        <v>90</v>
      </c>
      <c r="C333" s="155">
        <v>0</v>
      </c>
      <c r="D333" s="156">
        <v>0</v>
      </c>
      <c r="E333" s="157">
        <v>2</v>
      </c>
      <c r="F333" s="150" t="s">
        <v>2607</v>
      </c>
      <c r="G333" s="149" t="s">
        <v>15523</v>
      </c>
      <c r="H333" s="636" t="s">
        <v>15529</v>
      </c>
      <c r="J333" s="368"/>
    </row>
    <row r="334" spans="1:10">
      <c r="A334" s="150" t="s">
        <v>15530</v>
      </c>
      <c r="B334" s="154">
        <v>2000</v>
      </c>
      <c r="C334" s="155">
        <v>0</v>
      </c>
      <c r="D334" s="156">
        <v>0</v>
      </c>
      <c r="E334" s="157">
        <v>2</v>
      </c>
      <c r="F334" s="150" t="s">
        <v>8801</v>
      </c>
      <c r="G334" s="149" t="s">
        <v>15523</v>
      </c>
      <c r="H334" s="636" t="s">
        <v>15531</v>
      </c>
      <c r="J334" s="368"/>
    </row>
    <row r="335" spans="1:10">
      <c r="A335" s="150" t="s">
        <v>12059</v>
      </c>
      <c r="B335" s="154">
        <v>5</v>
      </c>
      <c r="C335" s="155">
        <v>0</v>
      </c>
      <c r="D335" s="156">
        <v>0</v>
      </c>
      <c r="E335" s="157">
        <v>2</v>
      </c>
      <c r="F335" s="150" t="s">
        <v>2607</v>
      </c>
      <c r="G335" s="150" t="s">
        <v>12028</v>
      </c>
      <c r="H335" s="636" t="s">
        <v>12029</v>
      </c>
      <c r="J335" s="368"/>
    </row>
    <row r="336" spans="1:10">
      <c r="A336" s="150" t="s">
        <v>12060</v>
      </c>
      <c r="B336" s="154">
        <v>10</v>
      </c>
      <c r="C336" s="155">
        <v>0</v>
      </c>
      <c r="D336" s="156">
        <v>0</v>
      </c>
      <c r="E336" s="157">
        <v>2</v>
      </c>
      <c r="F336" s="150" t="s">
        <v>2578</v>
      </c>
      <c r="G336" s="150" t="s">
        <v>12028</v>
      </c>
      <c r="H336" s="636" t="s">
        <v>12029</v>
      </c>
      <c r="J336" s="368"/>
    </row>
    <row r="337" spans="1:10">
      <c r="A337" s="148" t="s">
        <v>4270</v>
      </c>
      <c r="B337" s="154">
        <v>0</v>
      </c>
      <c r="C337" s="155">
        <v>8</v>
      </c>
      <c r="D337" s="156">
        <v>0</v>
      </c>
      <c r="E337" s="157">
        <v>2</v>
      </c>
      <c r="F337" s="148" t="s">
        <v>2574</v>
      </c>
      <c r="G337" s="150" t="s">
        <v>12028</v>
      </c>
      <c r="H337" s="636" t="s">
        <v>9366</v>
      </c>
      <c r="J337" s="368"/>
    </row>
    <row r="338" spans="1:10">
      <c r="A338" s="150" t="s">
        <v>12061</v>
      </c>
      <c r="B338" s="154">
        <v>600</v>
      </c>
      <c r="C338" s="155">
        <v>0</v>
      </c>
      <c r="D338" s="156">
        <v>0</v>
      </c>
      <c r="E338" s="157">
        <v>2</v>
      </c>
      <c r="F338" s="150" t="s">
        <v>2608</v>
      </c>
      <c r="G338" s="150" t="s">
        <v>12028</v>
      </c>
      <c r="H338" s="636" t="s">
        <v>12029</v>
      </c>
      <c r="J338" s="368"/>
    </row>
    <row r="339" spans="1:10">
      <c r="A339" s="349" t="s">
        <v>4286</v>
      </c>
      <c r="B339" s="434">
        <v>1</v>
      </c>
      <c r="C339" s="435">
        <v>0</v>
      </c>
      <c r="D339" s="436">
        <v>0</v>
      </c>
      <c r="E339" s="437">
        <v>2</v>
      </c>
      <c r="F339" s="349" t="s">
        <v>2578</v>
      </c>
      <c r="G339" s="150" t="s">
        <v>12028</v>
      </c>
      <c r="H339" s="636" t="s">
        <v>9366</v>
      </c>
      <c r="J339" s="368"/>
    </row>
    <row r="340" spans="1:10">
      <c r="A340" s="150" t="s">
        <v>12078</v>
      </c>
      <c r="B340" s="154">
        <v>1</v>
      </c>
      <c r="C340" s="155">
        <v>0</v>
      </c>
      <c r="D340" s="156">
        <v>0</v>
      </c>
      <c r="E340" s="157">
        <v>2</v>
      </c>
      <c r="F340" s="150" t="s">
        <v>2578</v>
      </c>
      <c r="G340" s="150" t="s">
        <v>12028</v>
      </c>
      <c r="H340" s="636"/>
      <c r="J340" s="368"/>
    </row>
    <row r="341" spans="1:10">
      <c r="A341" s="150" t="s">
        <v>12062</v>
      </c>
      <c r="B341" s="154">
        <v>20</v>
      </c>
      <c r="C341" s="155">
        <v>0</v>
      </c>
      <c r="D341" s="156">
        <v>0</v>
      </c>
      <c r="E341" s="157">
        <v>2</v>
      </c>
      <c r="F341" s="150" t="s">
        <v>2607</v>
      </c>
      <c r="G341" s="150" t="s">
        <v>12028</v>
      </c>
      <c r="H341" s="636" t="s">
        <v>12029</v>
      </c>
      <c r="J341" s="368"/>
    </row>
    <row r="342" spans="1:10">
      <c r="A342" s="150" t="s">
        <v>12063</v>
      </c>
      <c r="B342" s="154">
        <v>350</v>
      </c>
      <c r="C342" s="155">
        <v>0</v>
      </c>
      <c r="D342" s="156">
        <v>0</v>
      </c>
      <c r="E342" s="157">
        <v>2</v>
      </c>
      <c r="F342" s="150" t="s">
        <v>2608</v>
      </c>
      <c r="G342" s="150" t="s">
        <v>12028</v>
      </c>
      <c r="H342" s="636" t="s">
        <v>12029</v>
      </c>
      <c r="J342" s="368"/>
    </row>
    <row r="343" spans="1:10">
      <c r="A343" s="357" t="s">
        <v>12799</v>
      </c>
      <c r="B343" s="434">
        <v>10</v>
      </c>
      <c r="C343" s="435">
        <v>0</v>
      </c>
      <c r="D343" s="436">
        <v>0</v>
      </c>
      <c r="E343" s="437">
        <v>1</v>
      </c>
      <c r="F343" s="357" t="s">
        <v>2607</v>
      </c>
      <c r="G343" s="150" t="s">
        <v>12028</v>
      </c>
      <c r="H343" s="635" t="s">
        <v>12798</v>
      </c>
      <c r="J343" s="368"/>
    </row>
    <row r="344" spans="1:10">
      <c r="A344" s="150" t="s">
        <v>12064</v>
      </c>
      <c r="B344" s="154">
        <v>400</v>
      </c>
      <c r="C344" s="155">
        <v>0</v>
      </c>
      <c r="D344" s="156">
        <v>0</v>
      </c>
      <c r="E344" s="157">
        <v>2</v>
      </c>
      <c r="F344" s="150" t="s">
        <v>8801</v>
      </c>
      <c r="G344" s="150" t="s">
        <v>12028</v>
      </c>
      <c r="H344" s="636" t="s">
        <v>12029</v>
      </c>
      <c r="J344" s="368"/>
    </row>
    <row r="345" spans="1:10">
      <c r="A345" s="150" t="s">
        <v>12065</v>
      </c>
      <c r="B345" s="154">
        <v>10</v>
      </c>
      <c r="C345" s="155">
        <v>0</v>
      </c>
      <c r="D345" s="156">
        <v>0</v>
      </c>
      <c r="E345" s="157">
        <v>2</v>
      </c>
      <c r="F345" s="150" t="s">
        <v>2607</v>
      </c>
      <c r="G345" s="150" t="s">
        <v>12028</v>
      </c>
      <c r="H345" s="636" t="s">
        <v>12029</v>
      </c>
      <c r="J345" s="368"/>
    </row>
    <row r="346" spans="1:10">
      <c r="A346" s="148" t="s">
        <v>4271</v>
      </c>
      <c r="B346" s="154">
        <v>1</v>
      </c>
      <c r="C346" s="155">
        <v>0</v>
      </c>
      <c r="D346" s="156">
        <v>0</v>
      </c>
      <c r="E346" s="157">
        <v>2</v>
      </c>
      <c r="F346" s="148" t="s">
        <v>2578</v>
      </c>
      <c r="G346" s="150" t="s">
        <v>12028</v>
      </c>
      <c r="H346" s="636" t="s">
        <v>9366</v>
      </c>
      <c r="J346" s="368"/>
    </row>
    <row r="347" spans="1:10">
      <c r="A347" s="150" t="s">
        <v>12066</v>
      </c>
      <c r="B347" s="154">
        <v>410</v>
      </c>
      <c r="C347" s="155">
        <v>0</v>
      </c>
      <c r="D347" s="156">
        <v>0</v>
      </c>
      <c r="E347" s="157">
        <v>2</v>
      </c>
      <c r="F347" s="150" t="s">
        <v>2608</v>
      </c>
      <c r="G347" s="150" t="s">
        <v>12028</v>
      </c>
      <c r="H347" s="636" t="s">
        <v>12029</v>
      </c>
      <c r="J347" s="368"/>
    </row>
    <row r="348" spans="1:10">
      <c r="A348" s="357" t="s">
        <v>12067</v>
      </c>
      <c r="B348" s="434">
        <v>420</v>
      </c>
      <c r="C348" s="435">
        <v>0</v>
      </c>
      <c r="D348" s="436">
        <v>0</v>
      </c>
      <c r="E348" s="437">
        <v>2</v>
      </c>
      <c r="F348" s="357" t="s">
        <v>2608</v>
      </c>
      <c r="G348" s="150" t="s">
        <v>12028</v>
      </c>
      <c r="H348" s="635" t="s">
        <v>12029</v>
      </c>
      <c r="J348" s="368"/>
    </row>
    <row r="349" spans="1:10">
      <c r="A349" s="148" t="s">
        <v>4267</v>
      </c>
      <c r="B349" s="154">
        <v>0</v>
      </c>
      <c r="C349" s="155">
        <v>10</v>
      </c>
      <c r="D349" s="156">
        <v>0</v>
      </c>
      <c r="E349" s="157">
        <v>2</v>
      </c>
      <c r="F349" s="148" t="s">
        <v>2572</v>
      </c>
      <c r="G349" s="150" t="s">
        <v>12028</v>
      </c>
      <c r="H349" s="636" t="s">
        <v>12113</v>
      </c>
      <c r="J349" s="368"/>
    </row>
    <row r="350" spans="1:10">
      <c r="A350" s="148" t="s">
        <v>4272</v>
      </c>
      <c r="B350" s="154">
        <v>0</v>
      </c>
      <c r="C350" s="155">
        <v>8</v>
      </c>
      <c r="D350" s="156">
        <v>0</v>
      </c>
      <c r="E350" s="157">
        <v>2</v>
      </c>
      <c r="F350" s="148" t="s">
        <v>2574</v>
      </c>
      <c r="G350" s="150" t="s">
        <v>12028</v>
      </c>
      <c r="H350" s="636" t="s">
        <v>9366</v>
      </c>
      <c r="J350" s="368"/>
    </row>
    <row r="351" spans="1:10">
      <c r="A351" s="150" t="s">
        <v>12068</v>
      </c>
      <c r="B351" s="154">
        <v>120</v>
      </c>
      <c r="C351" s="155">
        <v>0</v>
      </c>
      <c r="D351" s="156">
        <v>0</v>
      </c>
      <c r="E351" s="157">
        <v>2</v>
      </c>
      <c r="F351" s="150" t="s">
        <v>2607</v>
      </c>
      <c r="G351" s="150" t="s">
        <v>12028</v>
      </c>
      <c r="H351" s="636" t="s">
        <v>12029</v>
      </c>
      <c r="J351" s="368"/>
    </row>
    <row r="352" spans="1:10">
      <c r="A352" s="148" t="s">
        <v>4287</v>
      </c>
      <c r="B352" s="154">
        <v>0</v>
      </c>
      <c r="C352" s="155">
        <v>13</v>
      </c>
      <c r="D352" s="156">
        <v>0</v>
      </c>
      <c r="E352" s="157">
        <v>2</v>
      </c>
      <c r="F352" s="148" t="s">
        <v>2574</v>
      </c>
      <c r="G352" s="150" t="s">
        <v>12028</v>
      </c>
      <c r="H352" s="636" t="s">
        <v>9366</v>
      </c>
      <c r="J352" s="368"/>
    </row>
    <row r="353" spans="1:10">
      <c r="A353" s="150" t="s">
        <v>12076</v>
      </c>
      <c r="B353" s="154">
        <v>0</v>
      </c>
      <c r="C353" s="155">
        <v>30</v>
      </c>
      <c r="D353" s="156">
        <v>0</v>
      </c>
      <c r="E353" s="157">
        <v>2</v>
      </c>
      <c r="F353" s="150" t="s">
        <v>2572</v>
      </c>
      <c r="G353" s="150" t="s">
        <v>12028</v>
      </c>
      <c r="H353" s="636"/>
      <c r="J353" s="368"/>
    </row>
    <row r="354" spans="1:10">
      <c r="A354" s="148" t="s">
        <v>4288</v>
      </c>
      <c r="B354" s="154">
        <v>67</v>
      </c>
      <c r="C354" s="155">
        <v>0</v>
      </c>
      <c r="D354" s="156">
        <v>0</v>
      </c>
      <c r="E354" s="157">
        <v>2</v>
      </c>
      <c r="F354" s="148" t="s">
        <v>2607</v>
      </c>
      <c r="G354" s="150" t="s">
        <v>12028</v>
      </c>
      <c r="H354" s="636"/>
      <c r="J354" s="368"/>
    </row>
    <row r="355" spans="1:10">
      <c r="A355" s="148" t="s">
        <v>4281</v>
      </c>
      <c r="B355" s="154">
        <v>67</v>
      </c>
      <c r="C355" s="155">
        <v>0</v>
      </c>
      <c r="D355" s="156">
        <v>0</v>
      </c>
      <c r="E355" s="157">
        <v>2</v>
      </c>
      <c r="F355" s="148" t="s">
        <v>2607</v>
      </c>
      <c r="G355" s="150" t="s">
        <v>12028</v>
      </c>
      <c r="H355" s="636" t="s">
        <v>12113</v>
      </c>
      <c r="J355" s="368"/>
    </row>
    <row r="356" spans="1:10">
      <c r="A356" s="349" t="s">
        <v>4273</v>
      </c>
      <c r="B356" s="434">
        <v>2</v>
      </c>
      <c r="C356" s="435">
        <v>0</v>
      </c>
      <c r="D356" s="436">
        <v>0</v>
      </c>
      <c r="E356" s="437">
        <v>2</v>
      </c>
      <c r="F356" s="349" t="s">
        <v>2578</v>
      </c>
      <c r="G356" s="150" t="s">
        <v>12028</v>
      </c>
      <c r="H356" s="635" t="s">
        <v>9366</v>
      </c>
      <c r="J356" s="368"/>
    </row>
    <row r="357" spans="1:10">
      <c r="A357" s="150" t="s">
        <v>12069</v>
      </c>
      <c r="B357" s="154">
        <v>5</v>
      </c>
      <c r="C357" s="155">
        <v>0</v>
      </c>
      <c r="D357" s="156">
        <v>0</v>
      </c>
      <c r="E357" s="157">
        <v>2</v>
      </c>
      <c r="F357" s="150" t="s">
        <v>2572</v>
      </c>
      <c r="G357" s="150" t="s">
        <v>12028</v>
      </c>
      <c r="H357" s="636" t="s">
        <v>12029</v>
      </c>
      <c r="J357" s="368"/>
    </row>
    <row r="358" spans="1:10">
      <c r="A358" s="150" t="s">
        <v>12070</v>
      </c>
      <c r="B358" s="154">
        <v>100</v>
      </c>
      <c r="C358" s="155">
        <v>0</v>
      </c>
      <c r="D358" s="156">
        <v>0</v>
      </c>
      <c r="E358" s="157">
        <v>2</v>
      </c>
      <c r="F358" s="150" t="s">
        <v>2607</v>
      </c>
      <c r="G358" s="150" t="s">
        <v>12028</v>
      </c>
      <c r="H358" s="636" t="s">
        <v>12029</v>
      </c>
      <c r="J358" s="368"/>
    </row>
    <row r="359" spans="1:10">
      <c r="A359" s="150" t="s">
        <v>12071</v>
      </c>
      <c r="B359" s="434">
        <v>8</v>
      </c>
      <c r="C359" s="435">
        <v>0</v>
      </c>
      <c r="D359" s="436">
        <v>0</v>
      </c>
      <c r="E359" s="437">
        <v>2</v>
      </c>
      <c r="F359" s="357" t="s">
        <v>2572</v>
      </c>
      <c r="G359" s="150" t="s">
        <v>12028</v>
      </c>
      <c r="H359" s="636" t="s">
        <v>12029</v>
      </c>
      <c r="J359" s="368"/>
    </row>
    <row r="360" spans="1:10">
      <c r="A360" s="150" t="s">
        <v>12072</v>
      </c>
      <c r="B360" s="154">
        <v>580</v>
      </c>
      <c r="C360" s="155">
        <v>0</v>
      </c>
      <c r="D360" s="156">
        <v>0</v>
      </c>
      <c r="E360" s="157">
        <v>2</v>
      </c>
      <c r="F360" s="150" t="s">
        <v>2608</v>
      </c>
      <c r="G360" s="150" t="s">
        <v>12028</v>
      </c>
      <c r="H360" s="636" t="s">
        <v>12029</v>
      </c>
      <c r="J360" s="368"/>
    </row>
    <row r="361" spans="1:10">
      <c r="A361" s="148" t="s">
        <v>4274</v>
      </c>
      <c r="B361" s="154">
        <v>3</v>
      </c>
      <c r="C361" s="155">
        <v>0</v>
      </c>
      <c r="D361" s="156">
        <v>0</v>
      </c>
      <c r="E361" s="157">
        <v>2</v>
      </c>
      <c r="F361" s="148" t="s">
        <v>2578</v>
      </c>
      <c r="G361" s="150" t="s">
        <v>12028</v>
      </c>
      <c r="H361" s="636" t="s">
        <v>9366</v>
      </c>
      <c r="J361" s="368"/>
    </row>
    <row r="362" spans="1:10">
      <c r="A362" s="150" t="s">
        <v>12079</v>
      </c>
      <c r="B362" s="154">
        <v>0</v>
      </c>
      <c r="C362" s="155">
        <v>30</v>
      </c>
      <c r="D362" s="156">
        <v>0</v>
      </c>
      <c r="E362" s="157">
        <v>2</v>
      </c>
      <c r="F362" s="150" t="s">
        <v>2572</v>
      </c>
      <c r="G362" s="150" t="s">
        <v>12028</v>
      </c>
      <c r="H362" s="636"/>
      <c r="J362" s="368"/>
    </row>
    <row r="363" spans="1:10">
      <c r="A363" s="148" t="s">
        <v>4275</v>
      </c>
      <c r="B363" s="154">
        <v>0</v>
      </c>
      <c r="C363" s="155">
        <v>6</v>
      </c>
      <c r="D363" s="156">
        <v>0</v>
      </c>
      <c r="E363" s="157">
        <v>2</v>
      </c>
      <c r="F363" s="148" t="s">
        <v>2574</v>
      </c>
      <c r="G363" s="150" t="s">
        <v>12028</v>
      </c>
      <c r="H363" s="636" t="s">
        <v>9366</v>
      </c>
      <c r="J363" s="368"/>
    </row>
    <row r="364" spans="1:10">
      <c r="A364" s="150" t="s">
        <v>4276</v>
      </c>
      <c r="B364" s="154">
        <v>0</v>
      </c>
      <c r="C364" s="155">
        <v>8</v>
      </c>
      <c r="D364" s="156">
        <v>0</v>
      </c>
      <c r="E364" s="157">
        <v>2</v>
      </c>
      <c r="F364" s="148" t="s">
        <v>2574</v>
      </c>
      <c r="G364" s="150" t="s">
        <v>12028</v>
      </c>
      <c r="H364" s="636" t="s">
        <v>9366</v>
      </c>
      <c r="J364" s="368"/>
    </row>
    <row r="365" spans="1:10">
      <c r="A365" s="148" t="s">
        <v>4295</v>
      </c>
      <c r="B365" s="154">
        <v>0</v>
      </c>
      <c r="C365" s="155">
        <v>50</v>
      </c>
      <c r="D365" s="156">
        <v>0</v>
      </c>
      <c r="E365" s="157">
        <v>2</v>
      </c>
      <c r="F365" s="148" t="s">
        <v>2572</v>
      </c>
      <c r="G365" s="150" t="s">
        <v>12028</v>
      </c>
      <c r="H365" s="636" t="s">
        <v>9366</v>
      </c>
      <c r="J365" s="368"/>
    </row>
    <row r="366" spans="1:10">
      <c r="A366" s="148" t="s">
        <v>4294</v>
      </c>
      <c r="B366" s="154">
        <v>1</v>
      </c>
      <c r="C366" s="155">
        <v>0</v>
      </c>
      <c r="D366" s="156">
        <v>0</v>
      </c>
      <c r="E366" s="157">
        <v>2</v>
      </c>
      <c r="F366" s="148" t="s">
        <v>2572</v>
      </c>
      <c r="G366" s="150" t="s">
        <v>12028</v>
      </c>
      <c r="H366" s="636" t="s">
        <v>9366</v>
      </c>
      <c r="J366" s="368"/>
    </row>
    <row r="367" spans="1:10">
      <c r="A367" s="148" t="s">
        <v>4268</v>
      </c>
      <c r="B367" s="154">
        <v>0</v>
      </c>
      <c r="C367" s="155">
        <v>12</v>
      </c>
      <c r="D367" s="156">
        <v>0</v>
      </c>
      <c r="E367" s="157">
        <v>2</v>
      </c>
      <c r="F367" s="148" t="s">
        <v>2572</v>
      </c>
      <c r="G367" s="150" t="s">
        <v>12028</v>
      </c>
      <c r="H367" s="636" t="s">
        <v>12113</v>
      </c>
      <c r="J367" s="368"/>
    </row>
    <row r="368" spans="1:10">
      <c r="A368" s="148" t="s">
        <v>4269</v>
      </c>
      <c r="B368" s="154">
        <v>2</v>
      </c>
      <c r="C368" s="155">
        <v>0</v>
      </c>
      <c r="D368" s="156">
        <v>0</v>
      </c>
      <c r="E368" s="157">
        <v>2</v>
      </c>
      <c r="F368" s="148" t="s">
        <v>2578</v>
      </c>
      <c r="G368" s="150" t="s">
        <v>12028</v>
      </c>
      <c r="H368" s="636" t="s">
        <v>12113</v>
      </c>
      <c r="J368" s="368"/>
    </row>
    <row r="369" spans="1:10">
      <c r="A369" s="150" t="s">
        <v>12073</v>
      </c>
      <c r="B369" s="154">
        <v>1</v>
      </c>
      <c r="C369" s="155">
        <v>0</v>
      </c>
      <c r="D369" s="156">
        <v>0</v>
      </c>
      <c r="E369" s="157">
        <v>2</v>
      </c>
      <c r="F369" s="150" t="s">
        <v>2607</v>
      </c>
      <c r="G369" s="150" t="s">
        <v>12028</v>
      </c>
      <c r="H369" s="636" t="s">
        <v>12029</v>
      </c>
      <c r="J369" s="368"/>
    </row>
    <row r="370" spans="1:10">
      <c r="A370" s="150" t="s">
        <v>12077</v>
      </c>
      <c r="B370" s="154">
        <v>0</v>
      </c>
      <c r="C370" s="155">
        <v>20</v>
      </c>
      <c r="D370" s="156">
        <v>0</v>
      </c>
      <c r="E370" s="157">
        <v>2</v>
      </c>
      <c r="F370" s="150" t="s">
        <v>2572</v>
      </c>
      <c r="G370" s="150" t="s">
        <v>12028</v>
      </c>
      <c r="H370" s="636"/>
      <c r="J370" s="368"/>
    </row>
    <row r="371" spans="1:10">
      <c r="A371" s="150" t="s">
        <v>12074</v>
      </c>
      <c r="B371" s="154">
        <v>10</v>
      </c>
      <c r="C371" s="155">
        <v>0</v>
      </c>
      <c r="D371" s="156">
        <v>0</v>
      </c>
      <c r="E371" s="157">
        <v>2</v>
      </c>
      <c r="F371" s="150" t="s">
        <v>2607</v>
      </c>
      <c r="G371" s="150" t="s">
        <v>12028</v>
      </c>
      <c r="H371" s="636"/>
      <c r="J371" s="368"/>
    </row>
    <row r="372" spans="1:10">
      <c r="A372" s="150" t="s">
        <v>12075</v>
      </c>
      <c r="B372" s="154">
        <v>540</v>
      </c>
      <c r="C372" s="155">
        <v>0</v>
      </c>
      <c r="D372" s="156">
        <v>0</v>
      </c>
      <c r="E372" s="157">
        <v>2</v>
      </c>
      <c r="F372" s="150" t="s">
        <v>2608</v>
      </c>
      <c r="G372" s="150" t="s">
        <v>12028</v>
      </c>
      <c r="H372" s="636" t="s">
        <v>12029</v>
      </c>
      <c r="J372" s="368"/>
    </row>
    <row r="373" spans="1:10">
      <c r="A373" s="150" t="s">
        <v>12050</v>
      </c>
      <c r="B373" s="154">
        <v>60</v>
      </c>
      <c r="C373" s="155">
        <v>0</v>
      </c>
      <c r="D373" s="156">
        <v>0</v>
      </c>
      <c r="E373" s="157">
        <v>2</v>
      </c>
      <c r="F373" s="150" t="s">
        <v>2607</v>
      </c>
      <c r="G373" s="150" t="s">
        <v>12049</v>
      </c>
      <c r="H373" s="636" t="s">
        <v>12029</v>
      </c>
      <c r="J373" s="368"/>
    </row>
    <row r="374" spans="1:10">
      <c r="A374" s="148" t="s">
        <v>4277</v>
      </c>
      <c r="B374" s="154">
        <v>2</v>
      </c>
      <c r="C374" s="155">
        <v>0</v>
      </c>
      <c r="D374" s="156">
        <v>0</v>
      </c>
      <c r="E374" s="157">
        <v>2</v>
      </c>
      <c r="F374" s="148" t="s">
        <v>2578</v>
      </c>
      <c r="G374" s="150" t="s">
        <v>12049</v>
      </c>
      <c r="H374" s="636" t="s">
        <v>12029</v>
      </c>
      <c r="J374" s="368"/>
    </row>
    <row r="375" spans="1:10">
      <c r="A375" s="150" t="s">
        <v>12053</v>
      </c>
      <c r="B375" s="154">
        <v>20</v>
      </c>
      <c r="C375" s="155">
        <v>0</v>
      </c>
      <c r="D375" s="156">
        <v>0</v>
      </c>
      <c r="E375" s="157">
        <v>2</v>
      </c>
      <c r="F375" s="150" t="s">
        <v>2608</v>
      </c>
      <c r="G375" s="150" t="s">
        <v>12049</v>
      </c>
      <c r="H375" s="636" t="s">
        <v>12052</v>
      </c>
      <c r="J375" s="368"/>
    </row>
    <row r="376" spans="1:10">
      <c r="A376" s="150" t="s">
        <v>12055</v>
      </c>
      <c r="B376" s="154">
        <v>3</v>
      </c>
      <c r="C376" s="155">
        <v>0</v>
      </c>
      <c r="D376" s="156">
        <v>0</v>
      </c>
      <c r="E376" s="157">
        <v>2</v>
      </c>
      <c r="F376" s="150" t="s">
        <v>2607</v>
      </c>
      <c r="G376" s="150" t="s">
        <v>12049</v>
      </c>
      <c r="H376" s="636" t="s">
        <v>12029</v>
      </c>
      <c r="J376" s="368"/>
    </row>
    <row r="377" spans="1:10">
      <c r="A377" s="150" t="s">
        <v>12054</v>
      </c>
      <c r="B377" s="154">
        <v>0</v>
      </c>
      <c r="C377" s="155">
        <v>0</v>
      </c>
      <c r="D377" s="156">
        <v>0</v>
      </c>
      <c r="E377" s="157">
        <v>10</v>
      </c>
      <c r="F377" s="150" t="s">
        <v>141</v>
      </c>
      <c r="G377" s="150" t="s">
        <v>12049</v>
      </c>
      <c r="H377" s="636" t="s">
        <v>12029</v>
      </c>
      <c r="J377" s="368"/>
    </row>
    <row r="378" spans="1:10">
      <c r="A378" s="357" t="s">
        <v>12057</v>
      </c>
      <c r="B378" s="434">
        <v>0</v>
      </c>
      <c r="C378" s="435">
        <v>0</v>
      </c>
      <c r="D378" s="436">
        <v>3</v>
      </c>
      <c r="E378" s="437">
        <v>2</v>
      </c>
      <c r="F378" s="357" t="s">
        <v>141</v>
      </c>
      <c r="G378" s="150" t="s">
        <v>12049</v>
      </c>
      <c r="H378" s="635" t="s">
        <v>12029</v>
      </c>
      <c r="J378" s="368"/>
    </row>
    <row r="379" spans="1:10">
      <c r="A379" s="148" t="s">
        <v>9419</v>
      </c>
      <c r="B379" s="154">
        <v>0</v>
      </c>
      <c r="C379" s="155">
        <v>13</v>
      </c>
      <c r="D379" s="156">
        <v>0</v>
      </c>
      <c r="E379" s="157">
        <v>2</v>
      </c>
      <c r="F379" s="148" t="s">
        <v>2574</v>
      </c>
      <c r="G379" s="150" t="s">
        <v>12049</v>
      </c>
      <c r="H379" s="636" t="s">
        <v>12052</v>
      </c>
      <c r="J379" s="368"/>
    </row>
    <row r="380" spans="1:10">
      <c r="A380" s="148" t="s">
        <v>4279</v>
      </c>
      <c r="B380" s="154">
        <v>0</v>
      </c>
      <c r="C380" s="155">
        <v>18</v>
      </c>
      <c r="D380" s="156">
        <v>0</v>
      </c>
      <c r="E380" s="157">
        <v>2</v>
      </c>
      <c r="F380" s="148" t="s">
        <v>2574</v>
      </c>
      <c r="G380" s="150" t="s">
        <v>12049</v>
      </c>
      <c r="H380" s="636" t="s">
        <v>12052</v>
      </c>
      <c r="J380" s="368"/>
    </row>
    <row r="381" spans="1:10">
      <c r="A381" s="150" t="s">
        <v>12058</v>
      </c>
      <c r="B381" s="154">
        <v>1</v>
      </c>
      <c r="C381" s="155">
        <v>0</v>
      </c>
      <c r="D381" s="156">
        <v>0</v>
      </c>
      <c r="E381" s="157">
        <v>2</v>
      </c>
      <c r="F381" s="148" t="s">
        <v>2578</v>
      </c>
      <c r="G381" s="150" t="s">
        <v>12049</v>
      </c>
      <c r="H381" s="636" t="s">
        <v>12029</v>
      </c>
      <c r="J381" s="368"/>
    </row>
    <row r="382" spans="1:10">
      <c r="A382" s="150" t="s">
        <v>12056</v>
      </c>
      <c r="B382" s="154">
        <v>1</v>
      </c>
      <c r="C382" s="155">
        <v>0</v>
      </c>
      <c r="D382" s="156">
        <v>0</v>
      </c>
      <c r="E382" s="157">
        <v>2</v>
      </c>
      <c r="F382" s="150" t="s">
        <v>2607</v>
      </c>
      <c r="G382" s="150" t="s">
        <v>12049</v>
      </c>
      <c r="H382" s="636" t="s">
        <v>12029</v>
      </c>
      <c r="J382" s="368"/>
    </row>
    <row r="383" spans="1:10">
      <c r="A383" s="150" t="s">
        <v>4278</v>
      </c>
      <c r="B383" s="154">
        <v>2</v>
      </c>
      <c r="C383" s="155">
        <v>0</v>
      </c>
      <c r="D383" s="156">
        <v>0</v>
      </c>
      <c r="E383" s="157">
        <v>2</v>
      </c>
      <c r="F383" s="150" t="s">
        <v>2572</v>
      </c>
      <c r="G383" s="150" t="s">
        <v>12049</v>
      </c>
      <c r="H383" s="636" t="s">
        <v>12029</v>
      </c>
      <c r="J383" s="368"/>
    </row>
    <row r="384" spans="1:10">
      <c r="A384" s="148" t="s">
        <v>4278</v>
      </c>
      <c r="B384" s="154">
        <v>0</v>
      </c>
      <c r="C384" s="155">
        <v>26</v>
      </c>
      <c r="D384" s="156">
        <v>0</v>
      </c>
      <c r="E384" s="157">
        <v>2</v>
      </c>
      <c r="F384" s="148" t="s">
        <v>2574</v>
      </c>
      <c r="G384" s="150" t="s">
        <v>12049</v>
      </c>
      <c r="H384" s="636" t="s">
        <v>9366</v>
      </c>
      <c r="J384" s="368"/>
    </row>
    <row r="385" spans="1:10">
      <c r="A385" s="150" t="s">
        <v>12019</v>
      </c>
      <c r="B385" s="154">
        <v>0</v>
      </c>
      <c r="C385" s="155">
        <v>1</v>
      </c>
      <c r="D385" s="156">
        <v>0</v>
      </c>
      <c r="E385" s="157">
        <v>5</v>
      </c>
      <c r="F385" s="150" t="s">
        <v>2572</v>
      </c>
      <c r="G385" s="150" t="s">
        <v>12017</v>
      </c>
      <c r="H385" s="636"/>
      <c r="J385" s="368"/>
    </row>
    <row r="386" spans="1:10">
      <c r="A386" s="150" t="s">
        <v>12002</v>
      </c>
      <c r="B386" s="154">
        <v>20</v>
      </c>
      <c r="C386" s="155">
        <v>0</v>
      </c>
      <c r="D386" s="156">
        <v>0</v>
      </c>
      <c r="E386" s="157">
        <v>8</v>
      </c>
      <c r="F386" s="150" t="s">
        <v>2574</v>
      </c>
      <c r="G386" s="150" t="s">
        <v>12017</v>
      </c>
      <c r="H386" s="636" t="s">
        <v>12051</v>
      </c>
      <c r="J386" s="368"/>
    </row>
    <row r="387" spans="1:10">
      <c r="A387" s="150" t="s">
        <v>12025</v>
      </c>
      <c r="B387" s="154">
        <v>800</v>
      </c>
      <c r="C387" s="155">
        <v>0</v>
      </c>
      <c r="D387" s="156">
        <v>0</v>
      </c>
      <c r="E387" s="157">
        <v>25</v>
      </c>
      <c r="F387" s="150" t="s">
        <v>8801</v>
      </c>
      <c r="G387" s="150" t="s">
        <v>12017</v>
      </c>
      <c r="H387" s="636"/>
      <c r="J387" s="368"/>
    </row>
    <row r="388" spans="1:10">
      <c r="A388" s="150" t="s">
        <v>12001</v>
      </c>
      <c r="B388" s="154">
        <v>1</v>
      </c>
      <c r="C388" s="155">
        <v>0</v>
      </c>
      <c r="D388" s="156">
        <v>0</v>
      </c>
      <c r="E388" s="157">
        <v>2</v>
      </c>
      <c r="F388" s="150" t="s">
        <v>2607</v>
      </c>
      <c r="G388" s="150" t="s">
        <v>12017</v>
      </c>
      <c r="H388" s="636" t="s">
        <v>11263</v>
      </c>
      <c r="J388" s="368"/>
    </row>
    <row r="389" spans="1:10">
      <c r="A389" s="150" t="s">
        <v>12003</v>
      </c>
      <c r="B389" s="154">
        <v>10</v>
      </c>
      <c r="C389" s="155">
        <v>0</v>
      </c>
      <c r="D389" s="156">
        <v>0</v>
      </c>
      <c r="E389" s="157">
        <v>8</v>
      </c>
      <c r="F389" s="150" t="s">
        <v>2578</v>
      </c>
      <c r="G389" s="150" t="s">
        <v>12017</v>
      </c>
      <c r="H389" s="636" t="s">
        <v>12051</v>
      </c>
      <c r="J389" s="368"/>
    </row>
    <row r="390" spans="1:10">
      <c r="A390" s="150" t="s">
        <v>12004</v>
      </c>
      <c r="B390" s="154">
        <v>0</v>
      </c>
      <c r="C390" s="155">
        <v>5</v>
      </c>
      <c r="D390" s="156">
        <v>0</v>
      </c>
      <c r="E390" s="157">
        <v>20</v>
      </c>
      <c r="F390" s="150" t="s">
        <v>2607</v>
      </c>
      <c r="G390" s="150" t="s">
        <v>12017</v>
      </c>
      <c r="H390" s="636" t="s">
        <v>12051</v>
      </c>
      <c r="J390" s="368"/>
    </row>
    <row r="391" spans="1:10">
      <c r="A391" s="150" t="s">
        <v>12016</v>
      </c>
      <c r="B391" s="154">
        <v>0</v>
      </c>
      <c r="C391" s="155">
        <v>2</v>
      </c>
      <c r="D391" s="156">
        <v>0</v>
      </c>
      <c r="E391" s="157">
        <v>2</v>
      </c>
      <c r="F391" s="150" t="s">
        <v>2574</v>
      </c>
      <c r="G391" s="150" t="s">
        <v>12017</v>
      </c>
      <c r="H391" s="636"/>
      <c r="J391" s="368"/>
    </row>
    <row r="392" spans="1:10">
      <c r="A392" s="357" t="s">
        <v>12022</v>
      </c>
      <c r="B392" s="434">
        <v>2</v>
      </c>
      <c r="C392" s="435">
        <v>0</v>
      </c>
      <c r="D392" s="436">
        <v>0</v>
      </c>
      <c r="E392" s="437">
        <v>10</v>
      </c>
      <c r="F392" s="357" t="s">
        <v>2578</v>
      </c>
      <c r="G392" s="150" t="s">
        <v>12017</v>
      </c>
      <c r="H392" s="636"/>
      <c r="J392" s="368"/>
    </row>
    <row r="393" spans="1:10">
      <c r="A393" s="150" t="s">
        <v>12006</v>
      </c>
      <c r="B393" s="154">
        <v>0</v>
      </c>
      <c r="C393" s="155">
        <v>2</v>
      </c>
      <c r="D393" s="156">
        <v>0</v>
      </c>
      <c r="E393" s="157">
        <v>20</v>
      </c>
      <c r="F393" s="150" t="s">
        <v>2572</v>
      </c>
      <c r="G393" s="150" t="s">
        <v>12017</v>
      </c>
      <c r="H393" s="636" t="s">
        <v>12051</v>
      </c>
      <c r="J393" s="368"/>
    </row>
    <row r="394" spans="1:10">
      <c r="A394" s="150" t="s">
        <v>12005</v>
      </c>
      <c r="B394" s="154">
        <v>200</v>
      </c>
      <c r="C394" s="155">
        <v>2</v>
      </c>
      <c r="D394" s="156">
        <v>0</v>
      </c>
      <c r="E394" s="157">
        <v>10</v>
      </c>
      <c r="F394" s="150" t="s">
        <v>2578</v>
      </c>
      <c r="G394" s="150" t="s">
        <v>12017</v>
      </c>
      <c r="H394" s="636" t="s">
        <v>12051</v>
      </c>
      <c r="J394" s="368"/>
    </row>
    <row r="395" spans="1:10">
      <c r="A395" s="150" t="s">
        <v>12007</v>
      </c>
      <c r="B395" s="154">
        <v>0</v>
      </c>
      <c r="C395" s="155">
        <v>3</v>
      </c>
      <c r="D395" s="156">
        <v>0</v>
      </c>
      <c r="E395" s="157">
        <v>25</v>
      </c>
      <c r="F395" s="150" t="s">
        <v>2607</v>
      </c>
      <c r="G395" s="150" t="s">
        <v>12017</v>
      </c>
      <c r="H395" s="636" t="s">
        <v>12051</v>
      </c>
      <c r="J395" s="368"/>
    </row>
    <row r="396" spans="1:10">
      <c r="A396" s="150" t="s">
        <v>12026</v>
      </c>
      <c r="B396" s="154">
        <v>0</v>
      </c>
      <c r="C396" s="155">
        <v>0</v>
      </c>
      <c r="D396" s="156">
        <v>30</v>
      </c>
      <c r="E396" s="157">
        <v>2</v>
      </c>
      <c r="F396" s="150" t="s">
        <v>2572</v>
      </c>
      <c r="G396" s="150" t="s">
        <v>12017</v>
      </c>
      <c r="H396" s="636"/>
      <c r="J396" s="368"/>
    </row>
    <row r="397" spans="1:10">
      <c r="A397" s="357" t="s">
        <v>12008</v>
      </c>
      <c r="B397" s="434">
        <v>20</v>
      </c>
      <c r="C397" s="435">
        <v>0</v>
      </c>
      <c r="D397" s="436">
        <v>0</v>
      </c>
      <c r="E397" s="437">
        <v>30</v>
      </c>
      <c r="F397" s="357" t="s">
        <v>2608</v>
      </c>
      <c r="G397" s="150" t="s">
        <v>12017</v>
      </c>
      <c r="H397" s="635" t="s">
        <v>12051</v>
      </c>
      <c r="J397" s="368"/>
    </row>
    <row r="398" spans="1:10">
      <c r="A398" s="150" t="s">
        <v>12009</v>
      </c>
      <c r="B398" s="154">
        <v>10</v>
      </c>
      <c r="C398" s="155">
        <v>2</v>
      </c>
      <c r="D398" s="156">
        <v>0</v>
      </c>
      <c r="E398" s="157">
        <v>20</v>
      </c>
      <c r="F398" s="150" t="s">
        <v>2607</v>
      </c>
      <c r="G398" s="150" t="s">
        <v>12017</v>
      </c>
      <c r="H398" s="636" t="s">
        <v>12051</v>
      </c>
      <c r="J398" s="368"/>
    </row>
    <row r="399" spans="1:10">
      <c r="A399" s="150" t="s">
        <v>12018</v>
      </c>
      <c r="B399" s="154">
        <v>8</v>
      </c>
      <c r="C399" s="155">
        <v>0</v>
      </c>
      <c r="D399" s="156">
        <v>0</v>
      </c>
      <c r="E399" s="157">
        <v>15</v>
      </c>
      <c r="F399" s="150" t="s">
        <v>2607</v>
      </c>
      <c r="G399" s="150" t="s">
        <v>12017</v>
      </c>
      <c r="H399" s="636"/>
      <c r="J399" s="368"/>
    </row>
    <row r="400" spans="1:10">
      <c r="A400" s="357" t="s">
        <v>12027</v>
      </c>
      <c r="B400" s="434">
        <v>0</v>
      </c>
      <c r="C400" s="435">
        <v>0</v>
      </c>
      <c r="D400" s="436">
        <v>8</v>
      </c>
      <c r="E400" s="437"/>
      <c r="F400" s="357" t="s">
        <v>141</v>
      </c>
      <c r="G400" s="150" t="s">
        <v>12017</v>
      </c>
      <c r="H400" s="635"/>
      <c r="J400" s="368"/>
    </row>
    <row r="401" spans="1:10">
      <c r="A401" s="150" t="s">
        <v>12010</v>
      </c>
      <c r="B401" s="78">
        <v>4</v>
      </c>
      <c r="C401" s="80">
        <v>0</v>
      </c>
      <c r="D401" s="81">
        <v>0</v>
      </c>
      <c r="E401" s="79">
        <v>20</v>
      </c>
      <c r="F401" s="481" t="s">
        <v>2607</v>
      </c>
      <c r="G401" s="150" t="s">
        <v>12017</v>
      </c>
      <c r="H401" s="635" t="s">
        <v>12051</v>
      </c>
      <c r="J401" s="368"/>
    </row>
    <row r="402" spans="1:10">
      <c r="A402" s="150" t="s">
        <v>12011</v>
      </c>
      <c r="B402" s="154">
        <v>0</v>
      </c>
      <c r="C402" s="155">
        <v>1</v>
      </c>
      <c r="D402" s="156">
        <v>0</v>
      </c>
      <c r="E402" s="157">
        <v>25</v>
      </c>
      <c r="F402" s="150" t="s">
        <v>2578</v>
      </c>
      <c r="G402" s="150" t="s">
        <v>12017</v>
      </c>
      <c r="H402" s="635" t="s">
        <v>12051</v>
      </c>
      <c r="J402" s="368"/>
    </row>
    <row r="403" spans="1:10">
      <c r="A403" s="357" t="s">
        <v>12023</v>
      </c>
      <c r="B403" s="434">
        <v>0</v>
      </c>
      <c r="C403" s="435">
        <v>2</v>
      </c>
      <c r="D403" s="436">
        <v>0</v>
      </c>
      <c r="E403" s="437">
        <v>10</v>
      </c>
      <c r="F403" s="357" t="s">
        <v>2578</v>
      </c>
      <c r="G403" s="150" t="s">
        <v>12017</v>
      </c>
      <c r="H403" s="635" t="s">
        <v>12051</v>
      </c>
      <c r="J403" s="368"/>
    </row>
    <row r="404" spans="1:10">
      <c r="A404" s="357" t="s">
        <v>12015</v>
      </c>
      <c r="B404" s="434">
        <v>0</v>
      </c>
      <c r="C404" s="435">
        <v>0</v>
      </c>
      <c r="D404" s="436">
        <v>8</v>
      </c>
      <c r="E404" s="437">
        <v>5</v>
      </c>
      <c r="F404" s="357" t="s">
        <v>141</v>
      </c>
      <c r="G404" s="150" t="s">
        <v>12017</v>
      </c>
      <c r="H404" s="635"/>
      <c r="J404" s="368"/>
    </row>
    <row r="405" spans="1:10">
      <c r="A405" s="357" t="s">
        <v>12020</v>
      </c>
      <c r="B405" s="434">
        <v>0</v>
      </c>
      <c r="C405" s="435">
        <v>1</v>
      </c>
      <c r="D405" s="436">
        <v>0</v>
      </c>
      <c r="E405" s="437">
        <v>7</v>
      </c>
      <c r="F405" s="357" t="s">
        <v>2574</v>
      </c>
      <c r="G405" s="150" t="s">
        <v>12017</v>
      </c>
      <c r="H405" s="635"/>
      <c r="J405" s="368"/>
    </row>
    <row r="406" spans="1:10">
      <c r="A406" s="357" t="s">
        <v>12024</v>
      </c>
      <c r="B406" s="434">
        <v>0</v>
      </c>
      <c r="C406" s="435">
        <v>0</v>
      </c>
      <c r="D406" s="436">
        <v>10</v>
      </c>
      <c r="E406" s="437">
        <v>2</v>
      </c>
      <c r="F406" s="357" t="s">
        <v>141</v>
      </c>
      <c r="G406" s="150" t="s">
        <v>12017</v>
      </c>
      <c r="H406" s="635"/>
      <c r="J406" s="368"/>
    </row>
    <row r="407" spans="1:10">
      <c r="A407" s="357" t="s">
        <v>12021</v>
      </c>
      <c r="B407" s="434">
        <v>0</v>
      </c>
      <c r="C407" s="435">
        <v>0</v>
      </c>
      <c r="D407" s="436">
        <v>5</v>
      </c>
      <c r="E407" s="437">
        <v>10</v>
      </c>
      <c r="F407" s="357" t="s">
        <v>141</v>
      </c>
      <c r="G407" s="150" t="s">
        <v>12017</v>
      </c>
      <c r="H407" s="635"/>
      <c r="J407" s="368"/>
    </row>
    <row r="408" spans="1:10">
      <c r="A408" s="357" t="s">
        <v>12012</v>
      </c>
      <c r="B408" s="434">
        <v>10</v>
      </c>
      <c r="C408" s="435">
        <v>2</v>
      </c>
      <c r="D408" s="436">
        <v>0</v>
      </c>
      <c r="E408" s="437">
        <v>15</v>
      </c>
      <c r="F408" s="357" t="s">
        <v>2607</v>
      </c>
      <c r="G408" s="150" t="s">
        <v>12017</v>
      </c>
      <c r="H408" s="635" t="s">
        <v>12051</v>
      </c>
      <c r="J408" s="368"/>
    </row>
    <row r="409" spans="1:10">
      <c r="A409" s="357" t="s">
        <v>12013</v>
      </c>
      <c r="B409" s="434">
        <v>3</v>
      </c>
      <c r="C409" s="435">
        <v>2</v>
      </c>
      <c r="D409" s="436">
        <v>0</v>
      </c>
      <c r="E409" s="437">
        <v>16</v>
      </c>
      <c r="F409" s="357" t="s">
        <v>2607</v>
      </c>
      <c r="G409" s="150" t="s">
        <v>12017</v>
      </c>
      <c r="H409" s="635" t="s">
        <v>12051</v>
      </c>
      <c r="J409" s="368"/>
    </row>
    <row r="410" spans="1:10">
      <c r="A410" s="357" t="s">
        <v>11265</v>
      </c>
      <c r="B410" s="434">
        <v>40</v>
      </c>
      <c r="C410" s="435">
        <v>0</v>
      </c>
      <c r="D410" s="436">
        <v>0</v>
      </c>
      <c r="E410" s="437">
        <v>0</v>
      </c>
      <c r="F410" s="357" t="s">
        <v>2607</v>
      </c>
      <c r="G410" s="357" t="s">
        <v>12017</v>
      </c>
      <c r="H410" s="635" t="s">
        <v>11266</v>
      </c>
      <c r="J410" s="368"/>
    </row>
    <row r="411" spans="1:10">
      <c r="A411" s="349" t="s">
        <v>4260</v>
      </c>
      <c r="B411" s="434">
        <v>2</v>
      </c>
      <c r="C411" s="435">
        <v>0</v>
      </c>
      <c r="D411" s="436">
        <v>0</v>
      </c>
      <c r="E411" s="437">
        <v>3</v>
      </c>
      <c r="F411" s="349" t="s">
        <v>2578</v>
      </c>
      <c r="G411" s="150" t="s">
        <v>11987</v>
      </c>
      <c r="H411" s="635" t="s">
        <v>11966</v>
      </c>
      <c r="J411" s="368"/>
    </row>
    <row r="412" spans="1:10">
      <c r="A412" s="357" t="s">
        <v>11985</v>
      </c>
      <c r="B412" s="434">
        <v>1</v>
      </c>
      <c r="C412" s="435">
        <v>0</v>
      </c>
      <c r="D412" s="436">
        <v>0</v>
      </c>
      <c r="E412" s="437">
        <v>3</v>
      </c>
      <c r="F412" s="357" t="s">
        <v>2607</v>
      </c>
      <c r="G412" s="150" t="s">
        <v>11987</v>
      </c>
      <c r="H412" s="635" t="s">
        <v>9768</v>
      </c>
      <c r="J412" s="368"/>
    </row>
    <row r="413" spans="1:10">
      <c r="A413" s="357" t="s">
        <v>11984</v>
      </c>
      <c r="B413" s="434">
        <v>50</v>
      </c>
      <c r="C413" s="435">
        <v>0</v>
      </c>
      <c r="D413" s="436">
        <v>0</v>
      </c>
      <c r="E413" s="437">
        <v>3</v>
      </c>
      <c r="F413" s="357" t="s">
        <v>2608</v>
      </c>
      <c r="G413" s="150" t="s">
        <v>11987</v>
      </c>
      <c r="H413" s="635" t="s">
        <v>9768</v>
      </c>
      <c r="J413" s="368"/>
    </row>
    <row r="414" spans="1:10">
      <c r="A414" s="349" t="s">
        <v>4261</v>
      </c>
      <c r="B414" s="434">
        <v>0</v>
      </c>
      <c r="C414" s="435">
        <v>0</v>
      </c>
      <c r="D414" s="436">
        <v>8</v>
      </c>
      <c r="E414" s="437">
        <v>3</v>
      </c>
      <c r="F414" s="349" t="s">
        <v>141</v>
      </c>
      <c r="G414" s="357" t="s">
        <v>11987</v>
      </c>
      <c r="H414" s="635" t="s">
        <v>11966</v>
      </c>
      <c r="J414" s="368"/>
    </row>
    <row r="415" spans="1:10">
      <c r="A415" s="349" t="s">
        <v>4262</v>
      </c>
      <c r="B415" s="434">
        <v>0</v>
      </c>
      <c r="C415" s="435">
        <v>6</v>
      </c>
      <c r="D415" s="436">
        <v>0</v>
      </c>
      <c r="E415" s="437">
        <v>3</v>
      </c>
      <c r="F415" s="349" t="s">
        <v>2574</v>
      </c>
      <c r="G415" s="150" t="s">
        <v>11987</v>
      </c>
      <c r="H415" s="635" t="s">
        <v>11966</v>
      </c>
      <c r="J415" s="368"/>
    </row>
    <row r="416" spans="1:10">
      <c r="A416" s="349" t="s">
        <v>4263</v>
      </c>
      <c r="B416" s="434">
        <v>0</v>
      </c>
      <c r="C416" s="435">
        <v>3</v>
      </c>
      <c r="D416" s="436">
        <v>0</v>
      </c>
      <c r="E416" s="437">
        <v>3</v>
      </c>
      <c r="F416" s="349" t="s">
        <v>2574</v>
      </c>
      <c r="G416" s="150" t="s">
        <v>11987</v>
      </c>
      <c r="H416" s="635" t="s">
        <v>11966</v>
      </c>
      <c r="J416" s="368"/>
    </row>
    <row r="417" spans="1:10">
      <c r="A417" s="357" t="s">
        <v>11986</v>
      </c>
      <c r="B417" s="434">
        <v>1</v>
      </c>
      <c r="C417" s="435">
        <v>80</v>
      </c>
      <c r="D417" s="436">
        <v>0</v>
      </c>
      <c r="E417" s="437">
        <v>3</v>
      </c>
      <c r="F417" s="357" t="s">
        <v>2574</v>
      </c>
      <c r="G417" s="150" t="s">
        <v>11987</v>
      </c>
      <c r="H417" s="635" t="s">
        <v>9768</v>
      </c>
      <c r="J417" s="368"/>
    </row>
    <row r="418" spans="1:10">
      <c r="A418" s="349" t="s">
        <v>4265</v>
      </c>
      <c r="B418" s="434">
        <v>2</v>
      </c>
      <c r="C418" s="435">
        <v>0</v>
      </c>
      <c r="D418" s="436">
        <v>0</v>
      </c>
      <c r="E418" s="437">
        <v>3</v>
      </c>
      <c r="F418" s="349" t="s">
        <v>2578</v>
      </c>
      <c r="G418" s="150" t="s">
        <v>11987</v>
      </c>
      <c r="H418" s="635" t="s">
        <v>9366</v>
      </c>
      <c r="J418" s="368"/>
    </row>
    <row r="419" spans="1:10">
      <c r="A419" s="357" t="s">
        <v>4265</v>
      </c>
      <c r="B419" s="434">
        <v>6</v>
      </c>
      <c r="C419" s="435">
        <v>0</v>
      </c>
      <c r="D419" s="436">
        <v>0</v>
      </c>
      <c r="E419" s="437">
        <v>3</v>
      </c>
      <c r="F419" s="357" t="s">
        <v>2574</v>
      </c>
      <c r="G419" s="150" t="s">
        <v>11987</v>
      </c>
      <c r="H419" s="635" t="s">
        <v>9768</v>
      </c>
      <c r="J419" s="368"/>
    </row>
    <row r="420" spans="1:10">
      <c r="A420" s="349" t="s">
        <v>4266</v>
      </c>
      <c r="B420" s="434">
        <v>0</v>
      </c>
      <c r="C420" s="435">
        <v>2</v>
      </c>
      <c r="D420" s="436">
        <v>0</v>
      </c>
      <c r="E420" s="437">
        <v>3</v>
      </c>
      <c r="F420" s="349" t="s">
        <v>2574</v>
      </c>
      <c r="G420" s="150" t="s">
        <v>11987</v>
      </c>
      <c r="H420" s="635" t="s">
        <v>9366</v>
      </c>
      <c r="J420" s="368"/>
    </row>
    <row r="421" spans="1:10">
      <c r="A421" s="357" t="s">
        <v>4266</v>
      </c>
      <c r="B421" s="434">
        <v>1</v>
      </c>
      <c r="C421" s="435">
        <v>0</v>
      </c>
      <c r="D421" s="436">
        <v>0</v>
      </c>
      <c r="E421" s="437">
        <v>3</v>
      </c>
      <c r="F421" s="349" t="s">
        <v>2578</v>
      </c>
      <c r="G421" s="150" t="s">
        <v>11987</v>
      </c>
      <c r="H421" s="635" t="s">
        <v>11968</v>
      </c>
      <c r="J421" s="368"/>
    </row>
    <row r="422" spans="1:10">
      <c r="A422" s="349" t="s">
        <v>4264</v>
      </c>
      <c r="B422" s="434">
        <v>1</v>
      </c>
      <c r="C422" s="435">
        <v>0</v>
      </c>
      <c r="D422" s="436">
        <v>0</v>
      </c>
      <c r="E422" s="437">
        <v>3</v>
      </c>
      <c r="F422" s="349" t="s">
        <v>2578</v>
      </c>
      <c r="G422" s="150" t="s">
        <v>11987</v>
      </c>
      <c r="H422" s="635" t="s">
        <v>9366</v>
      </c>
      <c r="J422" s="368"/>
    </row>
    <row r="423" spans="1:10">
      <c r="A423" s="535" t="s">
        <v>4077</v>
      </c>
      <c r="B423" s="434">
        <v>0</v>
      </c>
      <c r="C423" s="435">
        <v>0</v>
      </c>
      <c r="D423" s="436">
        <v>7</v>
      </c>
      <c r="E423" s="437">
        <v>0</v>
      </c>
      <c r="F423" s="535" t="s">
        <v>2574</v>
      </c>
      <c r="G423" s="150" t="s">
        <v>12030</v>
      </c>
      <c r="H423" s="635" t="s">
        <v>12114</v>
      </c>
      <c r="J423" s="368"/>
    </row>
    <row r="424" spans="1:10">
      <c r="A424" s="357" t="s">
        <v>12046</v>
      </c>
      <c r="B424" s="434">
        <v>0</v>
      </c>
      <c r="C424" s="435">
        <v>0</v>
      </c>
      <c r="D424" s="436">
        <v>8</v>
      </c>
      <c r="E424" s="437">
        <v>5</v>
      </c>
      <c r="F424" s="357" t="s">
        <v>2574</v>
      </c>
      <c r="G424" s="150" t="s">
        <v>12030</v>
      </c>
      <c r="H424" s="635"/>
      <c r="J424" s="368"/>
    </row>
    <row r="425" spans="1:10">
      <c r="A425" s="357" t="s">
        <v>12031</v>
      </c>
      <c r="B425" s="434">
        <v>0</v>
      </c>
      <c r="C425" s="435">
        <v>1</v>
      </c>
      <c r="D425" s="436">
        <v>0</v>
      </c>
      <c r="E425" s="437">
        <v>5</v>
      </c>
      <c r="F425" s="357" t="s">
        <v>2572</v>
      </c>
      <c r="G425" s="150" t="s">
        <v>12030</v>
      </c>
      <c r="H425" s="635" t="s">
        <v>12051</v>
      </c>
      <c r="J425" s="368"/>
    </row>
    <row r="426" spans="1:10">
      <c r="A426" s="357" t="s">
        <v>12032</v>
      </c>
      <c r="B426" s="434">
        <v>0</v>
      </c>
      <c r="C426" s="435">
        <v>1</v>
      </c>
      <c r="D426" s="436">
        <v>0</v>
      </c>
      <c r="E426" s="437">
        <v>5</v>
      </c>
      <c r="F426" s="357" t="s">
        <v>2578</v>
      </c>
      <c r="G426" s="150" t="s">
        <v>12030</v>
      </c>
      <c r="H426" s="635" t="s">
        <v>12051</v>
      </c>
      <c r="J426" s="368"/>
    </row>
    <row r="427" spans="1:10">
      <c r="A427" s="357" t="s">
        <v>17491</v>
      </c>
      <c r="B427" s="434">
        <v>0</v>
      </c>
      <c r="C427" s="435">
        <v>10</v>
      </c>
      <c r="D427" s="436">
        <v>0</v>
      </c>
      <c r="E427" s="437">
        <v>5</v>
      </c>
      <c r="F427" s="357" t="s">
        <v>2607</v>
      </c>
      <c r="G427" s="150" t="s">
        <v>12030</v>
      </c>
      <c r="H427" s="635" t="s">
        <v>12051</v>
      </c>
      <c r="J427" s="368"/>
    </row>
    <row r="428" spans="1:10">
      <c r="A428" s="357" t="s">
        <v>12048</v>
      </c>
      <c r="B428" s="434">
        <v>0</v>
      </c>
      <c r="C428" s="435">
        <v>1</v>
      </c>
      <c r="D428" s="436">
        <v>0</v>
      </c>
      <c r="E428" s="437">
        <v>5</v>
      </c>
      <c r="F428" s="357" t="s">
        <v>2572</v>
      </c>
      <c r="G428" s="150" t="s">
        <v>12030</v>
      </c>
      <c r="H428" s="635"/>
      <c r="J428" s="368"/>
    </row>
    <row r="429" spans="1:10">
      <c r="A429" s="357" t="s">
        <v>12044</v>
      </c>
      <c r="B429" s="434">
        <v>0</v>
      </c>
      <c r="C429" s="435">
        <v>0</v>
      </c>
      <c r="D429" s="436">
        <v>6</v>
      </c>
      <c r="E429" s="437">
        <v>5</v>
      </c>
      <c r="F429" s="357" t="s">
        <v>141</v>
      </c>
      <c r="G429" s="150" t="s">
        <v>12030</v>
      </c>
      <c r="H429" s="635" t="s">
        <v>12051</v>
      </c>
      <c r="J429" s="368"/>
    </row>
    <row r="430" spans="1:10">
      <c r="A430" s="357" t="s">
        <v>12033</v>
      </c>
      <c r="B430" s="434">
        <v>0</v>
      </c>
      <c r="C430" s="435">
        <v>0</v>
      </c>
      <c r="D430" s="436">
        <v>10</v>
      </c>
      <c r="E430" s="437">
        <v>5</v>
      </c>
      <c r="F430" s="357" t="s">
        <v>141</v>
      </c>
      <c r="G430" s="150" t="s">
        <v>12030</v>
      </c>
      <c r="H430" s="635" t="s">
        <v>12051</v>
      </c>
      <c r="J430" s="368"/>
    </row>
    <row r="431" spans="1:10">
      <c r="A431" s="357" t="s">
        <v>12034</v>
      </c>
      <c r="B431" s="434">
        <v>0</v>
      </c>
      <c r="C431" s="435">
        <v>2</v>
      </c>
      <c r="D431" s="436">
        <v>0</v>
      </c>
      <c r="E431" s="437">
        <v>5</v>
      </c>
      <c r="F431" s="357" t="s">
        <v>2578</v>
      </c>
      <c r="G431" s="150" t="s">
        <v>12030</v>
      </c>
      <c r="H431" s="635" t="s">
        <v>12051</v>
      </c>
      <c r="J431" s="368"/>
    </row>
    <row r="432" spans="1:10">
      <c r="A432" s="357" t="s">
        <v>12035</v>
      </c>
      <c r="B432" s="434">
        <v>0</v>
      </c>
      <c r="C432" s="435">
        <v>0</v>
      </c>
      <c r="D432" s="436">
        <v>20</v>
      </c>
      <c r="E432" s="437">
        <v>5</v>
      </c>
      <c r="F432" s="357" t="s">
        <v>2574</v>
      </c>
      <c r="G432" s="150" t="s">
        <v>12030</v>
      </c>
      <c r="H432" s="635" t="s">
        <v>12051</v>
      </c>
      <c r="J432" s="368"/>
    </row>
    <row r="433" spans="1:10">
      <c r="A433" s="357" t="s">
        <v>12047</v>
      </c>
      <c r="B433" s="434">
        <v>0</v>
      </c>
      <c r="C433" s="435">
        <v>1</v>
      </c>
      <c r="D433" s="436">
        <v>0</v>
      </c>
      <c r="E433" s="437">
        <v>5</v>
      </c>
      <c r="F433" s="357" t="s">
        <v>2572</v>
      </c>
      <c r="G433" s="150" t="s">
        <v>12030</v>
      </c>
      <c r="H433" s="635"/>
      <c r="J433" s="368"/>
    </row>
    <row r="434" spans="1:10">
      <c r="A434" s="357" t="s">
        <v>12036</v>
      </c>
      <c r="B434" s="434">
        <v>0</v>
      </c>
      <c r="C434" s="435">
        <v>10</v>
      </c>
      <c r="D434" s="436">
        <v>0</v>
      </c>
      <c r="E434" s="437">
        <v>5</v>
      </c>
      <c r="F434" s="357" t="s">
        <v>2578</v>
      </c>
      <c r="G434" s="150" t="s">
        <v>12030</v>
      </c>
      <c r="H434" s="635" t="s">
        <v>12051</v>
      </c>
      <c r="J434" s="368"/>
    </row>
    <row r="435" spans="1:10">
      <c r="A435" s="357" t="s">
        <v>12037</v>
      </c>
      <c r="B435" s="434">
        <v>0</v>
      </c>
      <c r="C435" s="435">
        <v>7</v>
      </c>
      <c r="D435" s="436">
        <v>0</v>
      </c>
      <c r="E435" s="437">
        <v>5</v>
      </c>
      <c r="F435" s="357" t="s">
        <v>2578</v>
      </c>
      <c r="G435" s="150" t="s">
        <v>12030</v>
      </c>
      <c r="H435" s="635" t="s">
        <v>12051</v>
      </c>
      <c r="J435" s="368"/>
    </row>
    <row r="436" spans="1:10">
      <c r="A436" s="357" t="s">
        <v>12038</v>
      </c>
      <c r="B436" s="434">
        <v>0</v>
      </c>
      <c r="C436" s="435">
        <v>0</v>
      </c>
      <c r="D436" s="436">
        <v>3</v>
      </c>
      <c r="E436" s="437">
        <v>5</v>
      </c>
      <c r="F436" s="357" t="s">
        <v>141</v>
      </c>
      <c r="G436" s="150" t="s">
        <v>12030</v>
      </c>
      <c r="H436" s="635" t="s">
        <v>12051</v>
      </c>
      <c r="J436" s="368"/>
    </row>
    <row r="437" spans="1:10">
      <c r="A437" s="357" t="s">
        <v>12039</v>
      </c>
      <c r="B437" s="434">
        <v>0</v>
      </c>
      <c r="C437" s="435">
        <v>0</v>
      </c>
      <c r="D437" s="436">
        <v>5</v>
      </c>
      <c r="E437" s="437">
        <v>5</v>
      </c>
      <c r="F437" s="357" t="s">
        <v>141</v>
      </c>
      <c r="G437" s="150" t="s">
        <v>12030</v>
      </c>
      <c r="H437" s="635" t="s">
        <v>12051</v>
      </c>
      <c r="J437" s="368"/>
    </row>
    <row r="438" spans="1:10">
      <c r="A438" s="357" t="s">
        <v>12045</v>
      </c>
      <c r="B438" s="434">
        <v>0</v>
      </c>
      <c r="C438" s="435">
        <v>0</v>
      </c>
      <c r="D438" s="436">
        <v>5</v>
      </c>
      <c r="E438" s="437">
        <v>5</v>
      </c>
      <c r="F438" s="357" t="s">
        <v>141</v>
      </c>
      <c r="G438" s="150" t="s">
        <v>12030</v>
      </c>
      <c r="H438" s="635"/>
      <c r="J438" s="368"/>
    </row>
    <row r="439" spans="1:10">
      <c r="A439" s="357" t="s">
        <v>12040</v>
      </c>
      <c r="B439" s="434">
        <v>1</v>
      </c>
      <c r="C439" s="435">
        <v>0</v>
      </c>
      <c r="D439" s="436">
        <v>0</v>
      </c>
      <c r="E439" s="437">
        <v>5</v>
      </c>
      <c r="F439" s="357" t="s">
        <v>2578</v>
      </c>
      <c r="G439" s="357" t="s">
        <v>12030</v>
      </c>
      <c r="H439" s="635" t="s">
        <v>12051</v>
      </c>
      <c r="J439" s="368"/>
    </row>
    <row r="440" spans="1:10">
      <c r="A440" s="357" t="s">
        <v>12041</v>
      </c>
      <c r="B440" s="434">
        <v>1</v>
      </c>
      <c r="C440" s="435">
        <v>0</v>
      </c>
      <c r="D440" s="436">
        <v>0</v>
      </c>
      <c r="E440" s="437">
        <v>5</v>
      </c>
      <c r="F440" s="357" t="s">
        <v>2578</v>
      </c>
      <c r="G440" s="357" t="s">
        <v>12030</v>
      </c>
      <c r="H440" s="635" t="s">
        <v>12051</v>
      </c>
      <c r="J440" s="368"/>
    </row>
    <row r="441" spans="1:10">
      <c r="A441" s="357" t="s">
        <v>12042</v>
      </c>
      <c r="B441" s="434">
        <v>1</v>
      </c>
      <c r="C441" s="435">
        <v>1</v>
      </c>
      <c r="D441" s="436">
        <v>1</v>
      </c>
      <c r="E441" s="437">
        <v>5</v>
      </c>
      <c r="F441" s="357" t="s">
        <v>2578</v>
      </c>
      <c r="G441" s="357" t="s">
        <v>12030</v>
      </c>
      <c r="H441" s="635" t="s">
        <v>12051</v>
      </c>
      <c r="J441" s="368"/>
    </row>
    <row r="442" spans="1:10">
      <c r="A442" s="357" t="s">
        <v>12043</v>
      </c>
      <c r="B442" s="434">
        <v>0</v>
      </c>
      <c r="C442" s="435">
        <v>6</v>
      </c>
      <c r="D442" s="436">
        <v>0</v>
      </c>
      <c r="E442" s="437">
        <v>5</v>
      </c>
      <c r="F442" s="357" t="s">
        <v>2578</v>
      </c>
      <c r="G442" s="357" t="s">
        <v>12030</v>
      </c>
      <c r="H442" s="635" t="s">
        <v>12051</v>
      </c>
      <c r="J442" s="368"/>
    </row>
    <row r="443" spans="1:10">
      <c r="A443" s="357" t="s">
        <v>12014</v>
      </c>
      <c r="B443" s="434">
        <v>2</v>
      </c>
      <c r="C443" s="435">
        <v>0</v>
      </c>
      <c r="D443" s="436">
        <v>0</v>
      </c>
      <c r="E443" s="437">
        <v>20</v>
      </c>
      <c r="F443" s="357" t="s">
        <v>2607</v>
      </c>
      <c r="G443" s="357" t="s">
        <v>12030</v>
      </c>
      <c r="H443" s="635" t="s">
        <v>9768</v>
      </c>
      <c r="J443" s="368"/>
    </row>
    <row r="444" spans="1:10">
      <c r="A444" s="349" t="s">
        <v>12090</v>
      </c>
      <c r="B444" s="434">
        <v>0</v>
      </c>
      <c r="C444" s="435">
        <v>1</v>
      </c>
      <c r="D444" s="436">
        <v>0</v>
      </c>
      <c r="E444" s="437">
        <v>1</v>
      </c>
      <c r="F444" s="357" t="s">
        <v>2578</v>
      </c>
      <c r="G444" s="535" t="s">
        <v>3929</v>
      </c>
      <c r="H444" s="635" t="s">
        <v>12109</v>
      </c>
      <c r="J444" s="368"/>
    </row>
    <row r="445" spans="1:10">
      <c r="A445" s="357" t="s">
        <v>12117</v>
      </c>
      <c r="B445" s="434">
        <v>0</v>
      </c>
      <c r="C445" s="435">
        <v>6</v>
      </c>
      <c r="D445" s="436">
        <v>0</v>
      </c>
      <c r="E445" s="437">
        <v>5</v>
      </c>
      <c r="F445" s="357" t="s">
        <v>2578</v>
      </c>
      <c r="G445" s="535" t="s">
        <v>3929</v>
      </c>
      <c r="H445" s="635" t="s">
        <v>12109</v>
      </c>
      <c r="J445" s="368"/>
    </row>
    <row r="446" spans="1:10">
      <c r="A446" s="349" t="s">
        <v>12091</v>
      </c>
      <c r="B446" s="434">
        <v>0</v>
      </c>
      <c r="C446" s="435">
        <v>2</v>
      </c>
      <c r="D446" s="436">
        <v>0</v>
      </c>
      <c r="E446" s="437">
        <v>3</v>
      </c>
      <c r="F446" s="357" t="s">
        <v>2578</v>
      </c>
      <c r="G446" s="535" t="s">
        <v>3929</v>
      </c>
      <c r="H446" s="635" t="s">
        <v>12109</v>
      </c>
      <c r="J446" s="368"/>
    </row>
    <row r="447" spans="1:10">
      <c r="A447" s="349" t="s">
        <v>12092</v>
      </c>
      <c r="B447" s="434">
        <v>0</v>
      </c>
      <c r="C447" s="435">
        <v>7</v>
      </c>
      <c r="D447" s="436">
        <v>0</v>
      </c>
      <c r="E447" s="437">
        <v>5</v>
      </c>
      <c r="F447" s="357" t="s">
        <v>2578</v>
      </c>
      <c r="G447" s="535" t="s">
        <v>3929</v>
      </c>
      <c r="H447" s="635" t="s">
        <v>12109</v>
      </c>
      <c r="J447" s="368"/>
    </row>
    <row r="448" spans="1:10">
      <c r="A448" s="535" t="s">
        <v>3917</v>
      </c>
      <c r="B448" s="434">
        <v>0</v>
      </c>
      <c r="C448" s="435">
        <v>0</v>
      </c>
      <c r="D448" s="436">
        <v>30</v>
      </c>
      <c r="E448" s="437">
        <v>1</v>
      </c>
      <c r="F448" s="535" t="s">
        <v>3877</v>
      </c>
      <c r="G448" s="535" t="s">
        <v>3929</v>
      </c>
      <c r="H448" s="635" t="s">
        <v>9374</v>
      </c>
      <c r="J448" s="368"/>
    </row>
    <row r="449" spans="1:10">
      <c r="A449" s="349" t="s">
        <v>12093</v>
      </c>
      <c r="B449" s="434">
        <v>0</v>
      </c>
      <c r="C449" s="435">
        <v>3</v>
      </c>
      <c r="D449" s="436">
        <v>0</v>
      </c>
      <c r="E449" s="437">
        <v>5</v>
      </c>
      <c r="F449" s="357" t="s">
        <v>2578</v>
      </c>
      <c r="G449" s="535" t="s">
        <v>3929</v>
      </c>
      <c r="H449" s="635" t="s">
        <v>12109</v>
      </c>
      <c r="J449" s="368"/>
    </row>
    <row r="450" spans="1:10">
      <c r="A450" s="357" t="s">
        <v>12107</v>
      </c>
      <c r="B450" s="434">
        <v>0</v>
      </c>
      <c r="C450" s="435">
        <v>0</v>
      </c>
      <c r="D450" s="436">
        <v>30</v>
      </c>
      <c r="E450" s="437">
        <v>5</v>
      </c>
      <c r="F450" s="357" t="s">
        <v>2574</v>
      </c>
      <c r="G450" s="535" t="s">
        <v>3929</v>
      </c>
      <c r="H450" s="635" t="s">
        <v>12109</v>
      </c>
      <c r="J450" s="368"/>
    </row>
    <row r="451" spans="1:10">
      <c r="A451" s="349" t="s">
        <v>4280</v>
      </c>
      <c r="B451" s="434">
        <v>67</v>
      </c>
      <c r="C451" s="435">
        <v>0</v>
      </c>
      <c r="D451" s="436">
        <v>0</v>
      </c>
      <c r="E451" s="437">
        <v>2</v>
      </c>
      <c r="F451" s="349" t="s">
        <v>2607</v>
      </c>
      <c r="G451" s="535" t="s">
        <v>3929</v>
      </c>
      <c r="H451" s="635" t="s">
        <v>9366</v>
      </c>
      <c r="J451" s="368"/>
    </row>
    <row r="452" spans="1:10">
      <c r="A452" s="349" t="s">
        <v>12094</v>
      </c>
      <c r="B452" s="434">
        <v>0</v>
      </c>
      <c r="C452" s="435">
        <v>10</v>
      </c>
      <c r="D452" s="436">
        <v>0</v>
      </c>
      <c r="E452" s="437">
        <v>51</v>
      </c>
      <c r="F452" s="357" t="s">
        <v>2578</v>
      </c>
      <c r="G452" s="535" t="s">
        <v>3929</v>
      </c>
      <c r="H452" s="635" t="s">
        <v>12109</v>
      </c>
      <c r="J452" s="368"/>
    </row>
    <row r="453" spans="1:10">
      <c r="A453" s="357" t="s">
        <v>17492</v>
      </c>
      <c r="B453" s="434">
        <v>0</v>
      </c>
      <c r="C453" s="435">
        <v>0</v>
      </c>
      <c r="D453" s="436">
        <v>20</v>
      </c>
      <c r="E453" s="437">
        <v>5</v>
      </c>
      <c r="F453" s="357" t="s">
        <v>141</v>
      </c>
      <c r="G453" s="535" t="s">
        <v>3929</v>
      </c>
      <c r="H453" s="635" t="s">
        <v>12109</v>
      </c>
      <c r="J453" s="368"/>
    </row>
    <row r="454" spans="1:10">
      <c r="A454" s="357" t="s">
        <v>9778</v>
      </c>
      <c r="B454" s="434">
        <v>0</v>
      </c>
      <c r="C454" s="435">
        <v>12</v>
      </c>
      <c r="D454" s="436">
        <v>0</v>
      </c>
      <c r="E454" s="461">
        <v>0</v>
      </c>
      <c r="F454" s="357" t="s">
        <v>2578</v>
      </c>
      <c r="G454" s="535" t="s">
        <v>3929</v>
      </c>
      <c r="H454" s="635" t="s">
        <v>12135</v>
      </c>
      <c r="J454" s="368"/>
    </row>
    <row r="455" spans="1:10">
      <c r="A455" s="349" t="s">
        <v>4296</v>
      </c>
      <c r="B455" s="434">
        <v>0</v>
      </c>
      <c r="C455" s="435">
        <v>40</v>
      </c>
      <c r="D455" s="436">
        <v>0</v>
      </c>
      <c r="E455" s="437">
        <v>2</v>
      </c>
      <c r="F455" s="349" t="s">
        <v>2572</v>
      </c>
      <c r="G455" s="535" t="s">
        <v>3929</v>
      </c>
      <c r="H455" s="635"/>
      <c r="J455" s="368"/>
    </row>
    <row r="456" spans="1:10">
      <c r="A456" s="357" t="s">
        <v>9777</v>
      </c>
      <c r="B456" s="434">
        <v>0</v>
      </c>
      <c r="C456" s="435">
        <v>0</v>
      </c>
      <c r="D456" s="436">
        <v>8</v>
      </c>
      <c r="E456" s="437">
        <v>0</v>
      </c>
      <c r="F456" s="357" t="s">
        <v>2572</v>
      </c>
      <c r="G456" s="535" t="s">
        <v>3929</v>
      </c>
      <c r="H456" s="635" t="s">
        <v>12109</v>
      </c>
      <c r="J456" s="368"/>
    </row>
    <row r="457" spans="1:10">
      <c r="A457" s="349" t="s">
        <v>12095</v>
      </c>
      <c r="B457" s="434">
        <v>0</v>
      </c>
      <c r="C457" s="435">
        <v>3</v>
      </c>
      <c r="D457" s="436">
        <v>0</v>
      </c>
      <c r="E457" s="437">
        <v>3</v>
      </c>
      <c r="F457" s="357" t="s">
        <v>2578</v>
      </c>
      <c r="G457" s="535" t="s">
        <v>3929</v>
      </c>
      <c r="H457" s="635" t="s">
        <v>12109</v>
      </c>
      <c r="J457" s="368"/>
    </row>
    <row r="458" spans="1:10">
      <c r="A458" s="535" t="s">
        <v>3919</v>
      </c>
      <c r="B458" s="434">
        <v>0</v>
      </c>
      <c r="C458" s="435">
        <v>0</v>
      </c>
      <c r="D458" s="436">
        <v>50</v>
      </c>
      <c r="E458" s="437">
        <v>1</v>
      </c>
      <c r="F458" s="535" t="s">
        <v>2574</v>
      </c>
      <c r="G458" s="357" t="s">
        <v>3929</v>
      </c>
      <c r="H458" s="635" t="s">
        <v>9374</v>
      </c>
      <c r="J458" s="368"/>
    </row>
    <row r="459" spans="1:10">
      <c r="A459" s="349" t="s">
        <v>12096</v>
      </c>
      <c r="B459" s="434">
        <v>0</v>
      </c>
      <c r="C459" s="435">
        <v>1</v>
      </c>
      <c r="D459" s="436">
        <v>0</v>
      </c>
      <c r="E459" s="437">
        <v>2</v>
      </c>
      <c r="F459" s="357" t="s">
        <v>2578</v>
      </c>
      <c r="G459" s="535" t="s">
        <v>3929</v>
      </c>
      <c r="H459" s="635" t="s">
        <v>12109</v>
      </c>
      <c r="J459" s="368"/>
    </row>
    <row r="460" spans="1:10">
      <c r="A460" s="349" t="s">
        <v>12097</v>
      </c>
      <c r="B460" s="434">
        <v>0</v>
      </c>
      <c r="C460" s="435">
        <v>3</v>
      </c>
      <c r="D460" s="436">
        <v>0</v>
      </c>
      <c r="E460" s="437">
        <v>4</v>
      </c>
      <c r="F460" s="357" t="s">
        <v>2578</v>
      </c>
      <c r="G460" s="535" t="s">
        <v>3929</v>
      </c>
      <c r="H460" s="635" t="s">
        <v>12109</v>
      </c>
      <c r="J460" s="368"/>
    </row>
    <row r="461" spans="1:10">
      <c r="A461" s="349" t="s">
        <v>12099</v>
      </c>
      <c r="B461" s="434">
        <v>0</v>
      </c>
      <c r="C461" s="435">
        <v>4</v>
      </c>
      <c r="D461" s="436">
        <v>0</v>
      </c>
      <c r="E461" s="437">
        <v>5</v>
      </c>
      <c r="F461" s="357" t="s">
        <v>2578</v>
      </c>
      <c r="G461" s="535" t="s">
        <v>3929</v>
      </c>
      <c r="H461" s="635" t="s">
        <v>12109</v>
      </c>
      <c r="J461" s="368"/>
    </row>
    <row r="462" spans="1:10">
      <c r="A462" s="349" t="s">
        <v>12098</v>
      </c>
      <c r="B462" s="434">
        <v>0</v>
      </c>
      <c r="C462" s="435">
        <v>5</v>
      </c>
      <c r="D462" s="436">
        <v>0</v>
      </c>
      <c r="E462" s="437">
        <v>2</v>
      </c>
      <c r="F462" s="357" t="s">
        <v>2578</v>
      </c>
      <c r="G462" s="535" t="s">
        <v>3929</v>
      </c>
      <c r="H462" s="635" t="s">
        <v>12109</v>
      </c>
      <c r="J462" s="368"/>
    </row>
    <row r="463" spans="1:10">
      <c r="A463" s="349" t="s">
        <v>12100</v>
      </c>
      <c r="B463" s="434">
        <v>0</v>
      </c>
      <c r="C463" s="435">
        <v>3</v>
      </c>
      <c r="D463" s="436">
        <v>0</v>
      </c>
      <c r="E463" s="437">
        <v>4</v>
      </c>
      <c r="F463" s="357" t="s">
        <v>2578</v>
      </c>
      <c r="G463" s="535" t="s">
        <v>3929</v>
      </c>
      <c r="H463" s="635" t="s">
        <v>12109</v>
      </c>
      <c r="J463" s="368"/>
    </row>
    <row r="464" spans="1:10">
      <c r="A464" s="349" t="s">
        <v>12101</v>
      </c>
      <c r="B464" s="434">
        <v>0</v>
      </c>
      <c r="C464" s="435">
        <v>3</v>
      </c>
      <c r="D464" s="436">
        <v>0</v>
      </c>
      <c r="E464" s="437">
        <v>2</v>
      </c>
      <c r="F464" s="357" t="s">
        <v>2578</v>
      </c>
      <c r="G464" s="535" t="s">
        <v>3929</v>
      </c>
      <c r="H464" s="635" t="s">
        <v>12109</v>
      </c>
      <c r="J464" s="368"/>
    </row>
    <row r="465" spans="1:10">
      <c r="A465" s="535" t="s">
        <v>3922</v>
      </c>
      <c r="B465" s="434">
        <v>0</v>
      </c>
      <c r="C465" s="435">
        <v>0</v>
      </c>
      <c r="D465" s="436">
        <v>3</v>
      </c>
      <c r="E465" s="437">
        <v>30</v>
      </c>
      <c r="F465" s="535" t="s">
        <v>2578</v>
      </c>
      <c r="G465" s="535" t="s">
        <v>3929</v>
      </c>
      <c r="H465" s="635" t="s">
        <v>9375</v>
      </c>
      <c r="J465" s="368"/>
    </row>
    <row r="466" spans="1:10">
      <c r="A466" s="349" t="s">
        <v>12102</v>
      </c>
      <c r="B466" s="434">
        <v>1</v>
      </c>
      <c r="C466" s="435">
        <v>0</v>
      </c>
      <c r="D466" s="436">
        <v>0</v>
      </c>
      <c r="E466" s="437">
        <v>8</v>
      </c>
      <c r="F466" s="357" t="s">
        <v>2607</v>
      </c>
      <c r="G466" s="535" t="s">
        <v>3929</v>
      </c>
      <c r="H466" s="635" t="s">
        <v>12109</v>
      </c>
      <c r="J466" s="368"/>
    </row>
    <row r="467" spans="1:10">
      <c r="A467" s="349" t="s">
        <v>12103</v>
      </c>
      <c r="B467" s="434">
        <v>0</v>
      </c>
      <c r="C467" s="435">
        <v>2</v>
      </c>
      <c r="D467" s="436">
        <v>0</v>
      </c>
      <c r="E467" s="437">
        <v>2</v>
      </c>
      <c r="F467" s="357" t="s">
        <v>8801</v>
      </c>
      <c r="G467" s="535" t="s">
        <v>3929</v>
      </c>
      <c r="H467" s="635" t="s">
        <v>12109</v>
      </c>
      <c r="J467" s="368"/>
    </row>
    <row r="468" spans="1:10">
      <c r="A468" s="535" t="s">
        <v>3923</v>
      </c>
      <c r="B468" s="434">
        <v>0</v>
      </c>
      <c r="C468" s="435">
        <v>0</v>
      </c>
      <c r="D468" s="436">
        <v>10</v>
      </c>
      <c r="E468" s="437">
        <v>10</v>
      </c>
      <c r="F468" s="535" t="s">
        <v>2574</v>
      </c>
      <c r="G468" s="535" t="s">
        <v>3929</v>
      </c>
      <c r="H468" s="635" t="s">
        <v>9375</v>
      </c>
      <c r="J468" s="368"/>
    </row>
    <row r="469" spans="1:10">
      <c r="A469" s="535" t="s">
        <v>3924</v>
      </c>
      <c r="B469" s="434">
        <v>0</v>
      </c>
      <c r="C469" s="435">
        <v>0</v>
      </c>
      <c r="D469" s="436">
        <v>15</v>
      </c>
      <c r="E469" s="437">
        <v>1</v>
      </c>
      <c r="F469" s="535" t="s">
        <v>3877</v>
      </c>
      <c r="G469" s="535" t="s">
        <v>3929</v>
      </c>
      <c r="H469" s="635" t="s">
        <v>9375</v>
      </c>
      <c r="J469" s="368"/>
    </row>
    <row r="470" spans="1:10">
      <c r="A470" s="535" t="s">
        <v>4329</v>
      </c>
      <c r="B470" s="434">
        <v>0</v>
      </c>
      <c r="C470" s="435">
        <v>0</v>
      </c>
      <c r="D470" s="436">
        <v>2</v>
      </c>
      <c r="E470" s="437">
        <v>3</v>
      </c>
      <c r="F470" s="535" t="s">
        <v>141</v>
      </c>
      <c r="G470" s="535" t="s">
        <v>3929</v>
      </c>
      <c r="H470" s="635"/>
      <c r="J470" s="368"/>
    </row>
    <row r="471" spans="1:10">
      <c r="A471" s="357" t="s">
        <v>12154</v>
      </c>
      <c r="B471" s="434">
        <v>0</v>
      </c>
      <c r="C471" s="435">
        <v>1</v>
      </c>
      <c r="D471" s="436">
        <v>0</v>
      </c>
      <c r="E471" s="437">
        <v>5</v>
      </c>
      <c r="F471" s="357" t="s">
        <v>2578</v>
      </c>
      <c r="G471" s="535" t="s">
        <v>3929</v>
      </c>
      <c r="H471" s="635" t="s">
        <v>12109</v>
      </c>
      <c r="J471" s="368"/>
    </row>
    <row r="472" spans="1:10">
      <c r="A472" s="357" t="s">
        <v>12110</v>
      </c>
      <c r="B472" s="434">
        <v>1</v>
      </c>
      <c r="C472" s="435">
        <v>0</v>
      </c>
      <c r="D472" s="436">
        <v>0</v>
      </c>
      <c r="E472" s="437">
        <v>5</v>
      </c>
      <c r="F472" s="357" t="s">
        <v>8801</v>
      </c>
      <c r="G472" s="535" t="s">
        <v>3929</v>
      </c>
      <c r="H472" s="635" t="s">
        <v>12109</v>
      </c>
      <c r="J472" s="368"/>
    </row>
    <row r="473" spans="1:10">
      <c r="A473" s="357" t="s">
        <v>12111</v>
      </c>
      <c r="B473" s="434">
        <v>2</v>
      </c>
      <c r="C473" s="435">
        <v>0</v>
      </c>
      <c r="D473" s="436">
        <v>0</v>
      </c>
      <c r="E473" s="437">
        <v>5</v>
      </c>
      <c r="F473" s="357" t="s">
        <v>8801</v>
      </c>
      <c r="G473" s="535" t="s">
        <v>3929</v>
      </c>
      <c r="H473" s="635" t="s">
        <v>12109</v>
      </c>
      <c r="J473" s="368"/>
    </row>
    <row r="474" spans="1:10">
      <c r="A474" s="535" t="s">
        <v>4293</v>
      </c>
      <c r="B474" s="434">
        <v>0</v>
      </c>
      <c r="C474" s="435">
        <v>0</v>
      </c>
      <c r="D474" s="436">
        <v>2</v>
      </c>
      <c r="E474" s="437">
        <v>2</v>
      </c>
      <c r="F474" s="535" t="s">
        <v>3877</v>
      </c>
      <c r="G474" s="535" t="s">
        <v>3929</v>
      </c>
      <c r="H474" s="635" t="s">
        <v>9375</v>
      </c>
      <c r="J474" s="368"/>
    </row>
    <row r="475" spans="1:10">
      <c r="A475" s="535" t="s">
        <v>4290</v>
      </c>
      <c r="B475" s="434">
        <v>0</v>
      </c>
      <c r="C475" s="435">
        <v>0</v>
      </c>
      <c r="D475" s="436">
        <v>4</v>
      </c>
      <c r="E475" s="437">
        <v>1</v>
      </c>
      <c r="F475" s="535" t="s">
        <v>3877</v>
      </c>
      <c r="G475" s="535" t="s">
        <v>3929</v>
      </c>
      <c r="H475" s="635"/>
      <c r="J475" s="368"/>
    </row>
    <row r="476" spans="1:10">
      <c r="A476" s="535" t="s">
        <v>4297</v>
      </c>
      <c r="B476" s="434">
        <v>0</v>
      </c>
      <c r="C476" s="435">
        <v>1</v>
      </c>
      <c r="D476" s="436">
        <v>0</v>
      </c>
      <c r="E476" s="437">
        <v>3</v>
      </c>
      <c r="F476" s="535" t="s">
        <v>2578</v>
      </c>
      <c r="G476" s="535" t="s">
        <v>3929</v>
      </c>
      <c r="H476" s="635"/>
      <c r="J476" s="368"/>
    </row>
    <row r="477" spans="1:10">
      <c r="A477" s="535" t="s">
        <v>4291</v>
      </c>
      <c r="B477" s="434">
        <v>0</v>
      </c>
      <c r="C477" s="435">
        <v>0</v>
      </c>
      <c r="D477" s="436">
        <v>5</v>
      </c>
      <c r="E477" s="437">
        <v>1</v>
      </c>
      <c r="F477" s="535" t="s">
        <v>3877</v>
      </c>
      <c r="G477" s="535" t="s">
        <v>3929</v>
      </c>
      <c r="H477" s="635"/>
      <c r="J477" s="368"/>
    </row>
    <row r="478" spans="1:10">
      <c r="A478" s="535" t="s">
        <v>4298</v>
      </c>
      <c r="B478" s="434">
        <v>0</v>
      </c>
      <c r="C478" s="435">
        <v>2</v>
      </c>
      <c r="D478" s="436">
        <v>0</v>
      </c>
      <c r="E478" s="437">
        <v>1</v>
      </c>
      <c r="F478" s="535" t="s">
        <v>2578</v>
      </c>
      <c r="G478" s="535" t="s">
        <v>3929</v>
      </c>
      <c r="H478" s="635"/>
      <c r="J478" s="368"/>
    </row>
    <row r="479" spans="1:10">
      <c r="A479" s="535" t="s">
        <v>4292</v>
      </c>
      <c r="B479" s="434">
        <v>0</v>
      </c>
      <c r="C479" s="435">
        <v>0</v>
      </c>
      <c r="D479" s="436">
        <v>1</v>
      </c>
      <c r="E479" s="437">
        <v>1</v>
      </c>
      <c r="F479" s="535" t="s">
        <v>3877</v>
      </c>
      <c r="G479" s="535" t="s">
        <v>3929</v>
      </c>
      <c r="H479" s="635"/>
      <c r="J479" s="368"/>
    </row>
    <row r="480" spans="1:10">
      <c r="A480" s="535" t="s">
        <v>3925</v>
      </c>
      <c r="B480" s="434">
        <v>0</v>
      </c>
      <c r="C480" s="435">
        <v>0</v>
      </c>
      <c r="D480" s="436">
        <v>3</v>
      </c>
      <c r="E480" s="437">
        <v>20</v>
      </c>
      <c r="F480" s="535" t="s">
        <v>2574</v>
      </c>
      <c r="G480" s="535" t="s">
        <v>3929</v>
      </c>
      <c r="H480" s="635" t="s">
        <v>9376</v>
      </c>
      <c r="J480" s="368"/>
    </row>
    <row r="481" spans="1:10">
      <c r="A481" s="357" t="s">
        <v>4591</v>
      </c>
      <c r="B481" s="434">
        <v>0</v>
      </c>
      <c r="C481" s="435">
        <v>6</v>
      </c>
      <c r="D481" s="436">
        <v>0</v>
      </c>
      <c r="E481" s="437">
        <v>5</v>
      </c>
      <c r="F481" s="535" t="s">
        <v>2574</v>
      </c>
      <c r="G481" s="535" t="s">
        <v>3929</v>
      </c>
      <c r="H481" s="635" t="s">
        <v>9375</v>
      </c>
      <c r="J481" s="368"/>
    </row>
    <row r="482" spans="1:10">
      <c r="A482" s="357" t="s">
        <v>12108</v>
      </c>
      <c r="B482" s="434">
        <v>0</v>
      </c>
      <c r="C482" s="435">
        <v>1</v>
      </c>
      <c r="D482" s="436">
        <v>0</v>
      </c>
      <c r="E482" s="437">
        <v>2</v>
      </c>
      <c r="F482" s="357" t="s">
        <v>141</v>
      </c>
      <c r="G482" s="535" t="s">
        <v>3929</v>
      </c>
      <c r="H482" s="635" t="s">
        <v>12109</v>
      </c>
      <c r="J482" s="368"/>
    </row>
    <row r="483" spans="1:10">
      <c r="A483" s="349" t="s">
        <v>12104</v>
      </c>
      <c r="B483" s="434">
        <v>0</v>
      </c>
      <c r="C483" s="435">
        <v>2</v>
      </c>
      <c r="D483" s="436">
        <v>0</v>
      </c>
      <c r="E483" s="437">
        <v>2</v>
      </c>
      <c r="F483" s="357" t="s">
        <v>2578</v>
      </c>
      <c r="G483" s="535" t="s">
        <v>3929</v>
      </c>
      <c r="H483" s="635" t="s">
        <v>12109</v>
      </c>
      <c r="J483" s="368"/>
    </row>
    <row r="484" spans="1:10">
      <c r="A484" s="349" t="s">
        <v>12105</v>
      </c>
      <c r="B484" s="434">
        <v>0</v>
      </c>
      <c r="C484" s="435">
        <v>1</v>
      </c>
      <c r="D484" s="436">
        <v>0</v>
      </c>
      <c r="E484" s="437">
        <v>2</v>
      </c>
      <c r="F484" s="357" t="s">
        <v>2578</v>
      </c>
      <c r="G484" s="535" t="s">
        <v>3929</v>
      </c>
      <c r="H484" s="635" t="s">
        <v>12109</v>
      </c>
      <c r="J484" s="368"/>
    </row>
    <row r="485" spans="1:10">
      <c r="A485" s="349" t="s">
        <v>12106</v>
      </c>
      <c r="B485" s="434">
        <v>0</v>
      </c>
      <c r="C485" s="435">
        <v>2</v>
      </c>
      <c r="D485" s="436">
        <v>0</v>
      </c>
      <c r="E485" s="437">
        <v>2</v>
      </c>
      <c r="F485" s="357" t="s">
        <v>2578</v>
      </c>
      <c r="G485" s="535" t="s">
        <v>3929</v>
      </c>
      <c r="H485" s="635" t="s">
        <v>12109</v>
      </c>
      <c r="J485" s="368"/>
    </row>
    <row r="486" spans="1:10">
      <c r="A486" s="535" t="s">
        <v>3927</v>
      </c>
      <c r="B486" s="434">
        <v>0</v>
      </c>
      <c r="C486" s="435">
        <v>0</v>
      </c>
      <c r="D486" s="436">
        <v>2</v>
      </c>
      <c r="E486" s="437">
        <v>2</v>
      </c>
      <c r="F486" s="535" t="s">
        <v>2574</v>
      </c>
      <c r="G486" s="535" t="s">
        <v>3929</v>
      </c>
      <c r="H486" s="635" t="s">
        <v>9376</v>
      </c>
      <c r="J486" s="368"/>
    </row>
    <row r="487" spans="1:10">
      <c r="A487" s="357" t="s">
        <v>4570</v>
      </c>
      <c r="B487" s="434">
        <v>1</v>
      </c>
      <c r="C487" s="435">
        <v>0</v>
      </c>
      <c r="D487" s="436">
        <v>0</v>
      </c>
      <c r="E487" s="437">
        <v>10</v>
      </c>
      <c r="F487" s="349" t="s">
        <v>2607</v>
      </c>
      <c r="G487" s="357" t="s">
        <v>3929</v>
      </c>
      <c r="H487" s="635"/>
      <c r="J487" s="368"/>
    </row>
    <row r="488" spans="1:10">
      <c r="A488" s="535" t="s">
        <v>3928</v>
      </c>
      <c r="B488" s="434">
        <v>0</v>
      </c>
      <c r="C488" s="435">
        <v>1</v>
      </c>
      <c r="D488" s="436">
        <v>0</v>
      </c>
      <c r="E488" s="437">
        <v>10</v>
      </c>
      <c r="F488" s="535" t="s">
        <v>2572</v>
      </c>
      <c r="G488" s="535" t="s">
        <v>3929</v>
      </c>
      <c r="H488" s="635" t="s">
        <v>9375</v>
      </c>
      <c r="J488" s="368"/>
    </row>
    <row r="489" spans="1:10">
      <c r="A489" s="357" t="s">
        <v>12118</v>
      </c>
      <c r="B489" s="434">
        <v>15</v>
      </c>
      <c r="C489" s="435">
        <v>0</v>
      </c>
      <c r="D489" s="436">
        <v>0</v>
      </c>
      <c r="E489" s="437">
        <v>10</v>
      </c>
      <c r="F489" s="357" t="s">
        <v>2607</v>
      </c>
      <c r="G489" s="535" t="s">
        <v>3929</v>
      </c>
      <c r="H489" s="635" t="s">
        <v>12109</v>
      </c>
      <c r="J489" s="368"/>
    </row>
    <row r="490" spans="1:10">
      <c r="A490" s="147" t="s">
        <v>4299</v>
      </c>
      <c r="B490" s="434">
        <v>0</v>
      </c>
      <c r="C490" s="435">
        <v>1</v>
      </c>
      <c r="D490" s="436">
        <v>0</v>
      </c>
      <c r="E490" s="437">
        <v>1</v>
      </c>
      <c r="F490" s="535" t="s">
        <v>2572</v>
      </c>
      <c r="G490" s="535" t="s">
        <v>3929</v>
      </c>
      <c r="H490" s="636"/>
      <c r="J490" s="368"/>
    </row>
    <row r="491" spans="1:10">
      <c r="A491" s="357" t="s">
        <v>9772</v>
      </c>
      <c r="B491" s="434">
        <v>100</v>
      </c>
      <c r="C491" s="435">
        <v>0</v>
      </c>
      <c r="D491" s="436">
        <v>0</v>
      </c>
      <c r="E491" s="437">
        <v>10</v>
      </c>
      <c r="F491" s="357" t="s">
        <v>2607</v>
      </c>
      <c r="G491" s="535" t="s">
        <v>4003</v>
      </c>
      <c r="H491" s="635" t="s">
        <v>11955</v>
      </c>
      <c r="J491" s="368"/>
    </row>
    <row r="492" spans="1:10">
      <c r="A492" s="147" t="s">
        <v>4002</v>
      </c>
      <c r="B492" s="434">
        <v>5</v>
      </c>
      <c r="C492" s="435">
        <v>0</v>
      </c>
      <c r="D492" s="436">
        <v>0</v>
      </c>
      <c r="E492" s="437">
        <v>10</v>
      </c>
      <c r="F492" s="535" t="s">
        <v>2578</v>
      </c>
      <c r="G492" s="535" t="s">
        <v>4003</v>
      </c>
      <c r="H492" s="636" t="s">
        <v>14978</v>
      </c>
      <c r="J492" s="368"/>
    </row>
    <row r="493" spans="1:10">
      <c r="A493" s="147" t="s">
        <v>4004</v>
      </c>
      <c r="B493" s="154">
        <v>0</v>
      </c>
      <c r="C493" s="155">
        <v>8</v>
      </c>
      <c r="D493" s="156">
        <v>0</v>
      </c>
      <c r="E493" s="157">
        <v>0</v>
      </c>
      <c r="F493" s="147" t="s">
        <v>3877</v>
      </c>
      <c r="G493" s="147" t="s">
        <v>4003</v>
      </c>
      <c r="H493" s="636" t="s">
        <v>9382</v>
      </c>
      <c r="J493" s="368"/>
    </row>
    <row r="494" spans="1:10">
      <c r="A494" s="357" t="s">
        <v>9548</v>
      </c>
      <c r="B494" s="434">
        <v>15</v>
      </c>
      <c r="C494" s="435">
        <v>0</v>
      </c>
      <c r="D494" s="436">
        <v>0</v>
      </c>
      <c r="E494" s="437">
        <v>10</v>
      </c>
      <c r="F494" s="357" t="s">
        <v>2607</v>
      </c>
      <c r="G494" s="147" t="s">
        <v>4003</v>
      </c>
      <c r="H494" s="635"/>
      <c r="J494" s="368"/>
    </row>
    <row r="495" spans="1:10">
      <c r="A495" s="147" t="s">
        <v>4005</v>
      </c>
      <c r="B495" s="154">
        <v>0</v>
      </c>
      <c r="C495" s="155">
        <v>25</v>
      </c>
      <c r="D495" s="156">
        <v>0</v>
      </c>
      <c r="E495" s="157">
        <v>0</v>
      </c>
      <c r="F495" s="147" t="s">
        <v>2574</v>
      </c>
      <c r="G495" s="147" t="s">
        <v>4003</v>
      </c>
      <c r="H495" s="636" t="s">
        <v>9382</v>
      </c>
      <c r="J495" s="368"/>
    </row>
    <row r="496" spans="1:10">
      <c r="A496" s="357" t="s">
        <v>9773</v>
      </c>
      <c r="B496" s="434">
        <v>500</v>
      </c>
      <c r="C496" s="435">
        <v>0</v>
      </c>
      <c r="D496" s="436">
        <v>0</v>
      </c>
      <c r="E496" s="437">
        <v>5</v>
      </c>
      <c r="F496" s="357" t="s">
        <v>2607</v>
      </c>
      <c r="G496" s="147" t="s">
        <v>4003</v>
      </c>
      <c r="H496" s="635" t="s">
        <v>11955</v>
      </c>
      <c r="J496" s="368"/>
    </row>
    <row r="497" spans="1:10">
      <c r="A497" s="147" t="s">
        <v>4007</v>
      </c>
      <c r="B497" s="154">
        <v>20</v>
      </c>
      <c r="C497" s="155">
        <v>0</v>
      </c>
      <c r="D497" s="156">
        <v>0</v>
      </c>
      <c r="E497" s="157">
        <v>75</v>
      </c>
      <c r="F497" s="147" t="s">
        <v>2578</v>
      </c>
      <c r="G497" s="147" t="s">
        <v>4003</v>
      </c>
      <c r="H497" s="636" t="s">
        <v>9382</v>
      </c>
      <c r="J497" s="368"/>
    </row>
    <row r="498" spans="1:10">
      <c r="A498" s="357" t="s">
        <v>15426</v>
      </c>
      <c r="B498" s="434">
        <v>0</v>
      </c>
      <c r="C498" s="435">
        <v>10</v>
      </c>
      <c r="D498" s="436">
        <v>0</v>
      </c>
      <c r="E498" s="437">
        <v>5</v>
      </c>
      <c r="F498" s="357" t="s">
        <v>2572</v>
      </c>
      <c r="G498" s="357" t="s">
        <v>4003</v>
      </c>
      <c r="H498" s="634" t="s">
        <v>4551</v>
      </c>
      <c r="J498" s="368"/>
    </row>
    <row r="499" spans="1:10">
      <c r="A499" s="147" t="s">
        <v>4008</v>
      </c>
      <c r="B499" s="154">
        <v>2</v>
      </c>
      <c r="C499" s="155">
        <v>0</v>
      </c>
      <c r="D499" s="156">
        <v>0</v>
      </c>
      <c r="E499" s="157">
        <v>10</v>
      </c>
      <c r="F499" s="147" t="s">
        <v>3877</v>
      </c>
      <c r="G499" s="147" t="s">
        <v>4003</v>
      </c>
      <c r="H499" s="636" t="s">
        <v>9382</v>
      </c>
      <c r="J499" s="368"/>
    </row>
    <row r="500" spans="1:10">
      <c r="A500" s="357" t="s">
        <v>9549</v>
      </c>
      <c r="B500" s="434">
        <v>100</v>
      </c>
      <c r="C500" s="435">
        <v>0</v>
      </c>
      <c r="D500" s="436">
        <v>0</v>
      </c>
      <c r="E500" s="437">
        <v>35</v>
      </c>
      <c r="F500" s="357" t="s">
        <v>2607</v>
      </c>
      <c r="G500" s="147" t="s">
        <v>4003</v>
      </c>
      <c r="H500" s="635"/>
      <c r="J500" s="368"/>
    </row>
    <row r="501" spans="1:10">
      <c r="A501" s="147" t="s">
        <v>4009</v>
      </c>
      <c r="B501" s="154">
        <v>10</v>
      </c>
      <c r="C501" s="155">
        <v>0</v>
      </c>
      <c r="D501" s="156">
        <v>0</v>
      </c>
      <c r="E501" s="157">
        <v>5</v>
      </c>
      <c r="F501" s="147" t="s">
        <v>2607</v>
      </c>
      <c r="G501" s="147" t="s">
        <v>4003</v>
      </c>
      <c r="H501" s="636" t="s">
        <v>9382</v>
      </c>
      <c r="J501" s="368"/>
    </row>
    <row r="502" spans="1:10">
      <c r="A502" s="150" t="s">
        <v>4715</v>
      </c>
      <c r="B502" s="154">
        <v>0</v>
      </c>
      <c r="C502" s="155">
        <v>10</v>
      </c>
      <c r="D502" s="156">
        <v>0</v>
      </c>
      <c r="E502" s="157">
        <v>10</v>
      </c>
      <c r="F502" s="150" t="s">
        <v>141</v>
      </c>
      <c r="G502" s="147" t="s">
        <v>4003</v>
      </c>
      <c r="H502" s="636"/>
      <c r="J502" s="368"/>
    </row>
    <row r="503" spans="1:10">
      <c r="A503" s="147" t="s">
        <v>4010</v>
      </c>
      <c r="B503" s="154">
        <v>10</v>
      </c>
      <c r="C503" s="155">
        <v>0</v>
      </c>
      <c r="D503" s="156">
        <v>0</v>
      </c>
      <c r="E503" s="157">
        <v>70</v>
      </c>
      <c r="F503" s="147" t="s">
        <v>2574</v>
      </c>
      <c r="G503" s="147" t="s">
        <v>4003</v>
      </c>
      <c r="H503" s="636" t="s">
        <v>9382</v>
      </c>
      <c r="J503" s="368"/>
    </row>
    <row r="504" spans="1:10">
      <c r="A504" s="147" t="s">
        <v>4011</v>
      </c>
      <c r="B504" s="154">
        <v>0</v>
      </c>
      <c r="C504" s="155">
        <v>0</v>
      </c>
      <c r="D504" s="156">
        <v>8</v>
      </c>
      <c r="E504" s="157">
        <v>2</v>
      </c>
      <c r="F504" s="147" t="s">
        <v>3877</v>
      </c>
      <c r="G504" s="147" t="s">
        <v>4003</v>
      </c>
      <c r="H504" s="636" t="s">
        <v>9382</v>
      </c>
      <c r="J504" s="368"/>
    </row>
    <row r="505" spans="1:10">
      <c r="A505" s="150" t="s">
        <v>4730</v>
      </c>
      <c r="B505" s="154">
        <v>25</v>
      </c>
      <c r="C505" s="155">
        <v>0</v>
      </c>
      <c r="D505" s="156">
        <v>0</v>
      </c>
      <c r="E505" s="157">
        <v>5</v>
      </c>
      <c r="F505" s="147" t="s">
        <v>2607</v>
      </c>
      <c r="G505" s="147" t="s">
        <v>4003</v>
      </c>
      <c r="H505" s="636" t="s">
        <v>9382</v>
      </c>
      <c r="J505" s="368"/>
    </row>
    <row r="506" spans="1:10">
      <c r="A506" s="147" t="s">
        <v>4012</v>
      </c>
      <c r="B506" s="154">
        <v>0</v>
      </c>
      <c r="C506" s="155">
        <v>30</v>
      </c>
      <c r="D506" s="156">
        <v>0</v>
      </c>
      <c r="E506" s="157">
        <v>5</v>
      </c>
      <c r="F506" s="147" t="s">
        <v>2607</v>
      </c>
      <c r="G506" s="147" t="s">
        <v>4003</v>
      </c>
      <c r="H506" s="636" t="s">
        <v>9382</v>
      </c>
      <c r="J506" s="368"/>
    </row>
    <row r="507" spans="1:10">
      <c r="A507" s="147" t="s">
        <v>4013</v>
      </c>
      <c r="B507" s="154">
        <v>0</v>
      </c>
      <c r="C507" s="155">
        <v>12</v>
      </c>
      <c r="D507" s="156">
        <v>0</v>
      </c>
      <c r="E507" s="157">
        <v>2</v>
      </c>
      <c r="F507" s="147" t="s">
        <v>2572</v>
      </c>
      <c r="G507" s="147" t="s">
        <v>4003</v>
      </c>
      <c r="H507" s="636" t="s">
        <v>9382</v>
      </c>
      <c r="J507" s="368"/>
    </row>
    <row r="508" spans="1:10">
      <c r="A508" s="147" t="s">
        <v>4014</v>
      </c>
      <c r="B508" s="154">
        <v>10</v>
      </c>
      <c r="C508" s="155">
        <v>0</v>
      </c>
      <c r="D508" s="156">
        <v>0</v>
      </c>
      <c r="E508" s="157">
        <v>150</v>
      </c>
      <c r="F508" s="147" t="s">
        <v>2574</v>
      </c>
      <c r="G508" s="147" t="s">
        <v>4003</v>
      </c>
      <c r="H508" s="636" t="s">
        <v>9382</v>
      </c>
      <c r="J508" s="368"/>
    </row>
    <row r="509" spans="1:10">
      <c r="A509" s="357" t="s">
        <v>9341</v>
      </c>
      <c r="B509" s="434">
        <v>80</v>
      </c>
      <c r="C509" s="435">
        <v>0</v>
      </c>
      <c r="D509" s="436">
        <v>0</v>
      </c>
      <c r="E509" s="437">
        <v>100</v>
      </c>
      <c r="F509" s="357" t="s">
        <v>2607</v>
      </c>
      <c r="G509" s="147" t="s">
        <v>4003</v>
      </c>
      <c r="H509" s="635" t="s">
        <v>9130</v>
      </c>
      <c r="J509" s="368"/>
    </row>
    <row r="510" spans="1:10">
      <c r="A510" s="147" t="s">
        <v>4015</v>
      </c>
      <c r="B510" s="154">
        <v>1</v>
      </c>
      <c r="C510" s="155">
        <v>0</v>
      </c>
      <c r="D510" s="156">
        <v>0</v>
      </c>
      <c r="E510" s="157">
        <v>1</v>
      </c>
      <c r="F510" s="147" t="s">
        <v>2574</v>
      </c>
      <c r="G510" s="147" t="s">
        <v>4003</v>
      </c>
      <c r="H510" s="636" t="s">
        <v>9383</v>
      </c>
      <c r="J510" s="368"/>
    </row>
    <row r="511" spans="1:10">
      <c r="A511" s="147" t="s">
        <v>4016</v>
      </c>
      <c r="B511" s="154">
        <v>0</v>
      </c>
      <c r="C511" s="155">
        <v>0</v>
      </c>
      <c r="D511" s="156">
        <v>1</v>
      </c>
      <c r="E511" s="157">
        <v>1</v>
      </c>
      <c r="F511" s="147" t="s">
        <v>3877</v>
      </c>
      <c r="G511" s="147" t="s">
        <v>4003</v>
      </c>
      <c r="H511" s="636" t="s">
        <v>9383</v>
      </c>
      <c r="J511" s="368"/>
    </row>
    <row r="512" spans="1:10">
      <c r="A512" s="147" t="s">
        <v>4017</v>
      </c>
      <c r="B512" s="154">
        <v>10</v>
      </c>
      <c r="C512" s="155">
        <v>0</v>
      </c>
      <c r="D512" s="156">
        <v>0</v>
      </c>
      <c r="E512" s="157">
        <v>5</v>
      </c>
      <c r="F512" s="147" t="s">
        <v>2607</v>
      </c>
      <c r="G512" s="147" t="s">
        <v>4003</v>
      </c>
      <c r="H512" s="636" t="s">
        <v>9383</v>
      </c>
      <c r="J512" s="368"/>
    </row>
    <row r="513" spans="1:10">
      <c r="A513" s="147" t="s">
        <v>4018</v>
      </c>
      <c r="B513" s="154">
        <v>1</v>
      </c>
      <c r="C513" s="155">
        <v>0</v>
      </c>
      <c r="D513" s="156">
        <v>0</v>
      </c>
      <c r="E513" s="157">
        <v>1</v>
      </c>
      <c r="F513" s="147" t="s">
        <v>2574</v>
      </c>
      <c r="G513" s="147" t="s">
        <v>4003</v>
      </c>
      <c r="H513" s="636" t="s">
        <v>9383</v>
      </c>
      <c r="J513" s="368"/>
    </row>
    <row r="514" spans="1:10">
      <c r="A514" s="147" t="s">
        <v>4333</v>
      </c>
      <c r="B514" s="154">
        <v>0</v>
      </c>
      <c r="C514" s="155">
        <v>1</v>
      </c>
      <c r="D514" s="156">
        <v>0</v>
      </c>
      <c r="E514" s="157">
        <v>2</v>
      </c>
      <c r="F514" s="147" t="s">
        <v>2574</v>
      </c>
      <c r="G514" s="147" t="s">
        <v>4003</v>
      </c>
      <c r="H514" s="636"/>
      <c r="J514" s="368"/>
    </row>
    <row r="515" spans="1:10">
      <c r="A515" s="147" t="s">
        <v>4019</v>
      </c>
      <c r="B515" s="154">
        <v>65</v>
      </c>
      <c r="C515" s="155">
        <v>0</v>
      </c>
      <c r="D515" s="156">
        <v>0</v>
      </c>
      <c r="E515" s="157">
        <v>300</v>
      </c>
      <c r="F515" s="147" t="s">
        <v>2607</v>
      </c>
      <c r="G515" s="147" t="s">
        <v>4003</v>
      </c>
      <c r="H515" s="636" t="s">
        <v>9383</v>
      </c>
      <c r="J515" s="368"/>
    </row>
    <row r="516" spans="1:10">
      <c r="A516" s="357" t="s">
        <v>9414</v>
      </c>
      <c r="B516" s="434">
        <v>0</v>
      </c>
      <c r="C516" s="435">
        <v>15</v>
      </c>
      <c r="D516" s="436">
        <v>0</v>
      </c>
      <c r="E516" s="437">
        <v>1</v>
      </c>
      <c r="F516" s="357" t="s">
        <v>2578</v>
      </c>
      <c r="G516" s="147" t="s">
        <v>4003</v>
      </c>
      <c r="H516" s="635"/>
      <c r="J516" s="368"/>
    </row>
    <row r="517" spans="1:10">
      <c r="A517" s="158" t="s">
        <v>4020</v>
      </c>
      <c r="B517" s="154">
        <v>5</v>
      </c>
      <c r="C517" s="155">
        <v>0</v>
      </c>
      <c r="D517" s="156">
        <v>0</v>
      </c>
      <c r="E517" s="157">
        <v>20</v>
      </c>
      <c r="F517" s="147" t="s">
        <v>2574</v>
      </c>
      <c r="G517" s="147" t="s">
        <v>4003</v>
      </c>
      <c r="H517" s="636" t="s">
        <v>9383</v>
      </c>
      <c r="J517" s="368"/>
    </row>
    <row r="518" spans="1:10">
      <c r="A518" s="147" t="s">
        <v>4021</v>
      </c>
      <c r="B518" s="154">
        <v>5</v>
      </c>
      <c r="C518" s="155">
        <v>0</v>
      </c>
      <c r="D518" s="156">
        <v>0</v>
      </c>
      <c r="E518" s="157">
        <v>10</v>
      </c>
      <c r="F518" s="147" t="s">
        <v>2574</v>
      </c>
      <c r="G518" s="147" t="s">
        <v>4003</v>
      </c>
      <c r="H518" s="636" t="s">
        <v>9383</v>
      </c>
      <c r="J518" s="368"/>
    </row>
    <row r="519" spans="1:10">
      <c r="A519" s="147" t="s">
        <v>4022</v>
      </c>
      <c r="B519" s="154">
        <v>0</v>
      </c>
      <c r="C519" s="155">
        <v>0</v>
      </c>
      <c r="D519" s="156">
        <v>8</v>
      </c>
      <c r="E519" s="157">
        <v>1</v>
      </c>
      <c r="F519" s="147" t="s">
        <v>141</v>
      </c>
      <c r="G519" s="147" t="s">
        <v>4003</v>
      </c>
      <c r="H519" s="636" t="s">
        <v>9383</v>
      </c>
      <c r="J519" s="368"/>
    </row>
    <row r="520" spans="1:10">
      <c r="A520" s="147" t="s">
        <v>4023</v>
      </c>
      <c r="B520" s="154">
        <v>0</v>
      </c>
      <c r="C520" s="155">
        <v>18</v>
      </c>
      <c r="D520" s="156">
        <v>0</v>
      </c>
      <c r="E520" s="157">
        <v>30</v>
      </c>
      <c r="F520" s="147" t="s">
        <v>3877</v>
      </c>
      <c r="G520" s="147" t="s">
        <v>4003</v>
      </c>
      <c r="H520" s="636" t="s">
        <v>9383</v>
      </c>
      <c r="J520" s="368"/>
    </row>
    <row r="521" spans="1:10">
      <c r="A521" s="147" t="s">
        <v>4024</v>
      </c>
      <c r="B521" s="154">
        <v>1200</v>
      </c>
      <c r="C521" s="155">
        <v>0</v>
      </c>
      <c r="D521" s="156">
        <v>0</v>
      </c>
      <c r="E521" s="157">
        <v>5000</v>
      </c>
      <c r="F521" s="147" t="s">
        <v>2572</v>
      </c>
      <c r="G521" s="147" t="s">
        <v>4003</v>
      </c>
      <c r="H521" s="636" t="s">
        <v>9383</v>
      </c>
      <c r="J521" s="368"/>
    </row>
    <row r="522" spans="1:10">
      <c r="A522" s="147" t="s">
        <v>4025</v>
      </c>
      <c r="B522" s="154">
        <v>1</v>
      </c>
      <c r="C522" s="155">
        <v>0</v>
      </c>
      <c r="D522" s="156">
        <v>0</v>
      </c>
      <c r="E522" s="157">
        <v>10</v>
      </c>
      <c r="F522" s="147" t="s">
        <v>3877</v>
      </c>
      <c r="G522" s="147" t="s">
        <v>4003</v>
      </c>
      <c r="H522" s="636" t="s">
        <v>9383</v>
      </c>
      <c r="J522" s="368"/>
    </row>
    <row r="523" spans="1:10">
      <c r="A523" s="150" t="s">
        <v>4026</v>
      </c>
      <c r="B523" s="154">
        <v>0</v>
      </c>
      <c r="C523" s="155">
        <v>3</v>
      </c>
      <c r="D523" s="156">
        <v>0</v>
      </c>
      <c r="E523" s="157">
        <v>2</v>
      </c>
      <c r="F523" s="147" t="s">
        <v>2574</v>
      </c>
      <c r="G523" s="147" t="s">
        <v>4003</v>
      </c>
      <c r="H523" s="636" t="s">
        <v>9383</v>
      </c>
      <c r="J523" s="368"/>
    </row>
    <row r="524" spans="1:10">
      <c r="A524" s="150" t="s">
        <v>4006</v>
      </c>
      <c r="B524" s="154">
        <v>6</v>
      </c>
      <c r="C524" s="155">
        <v>0</v>
      </c>
      <c r="D524" s="156">
        <v>0</v>
      </c>
      <c r="E524" s="157">
        <v>5</v>
      </c>
      <c r="F524" s="147" t="s">
        <v>2572</v>
      </c>
      <c r="G524" s="147" t="s">
        <v>4003</v>
      </c>
      <c r="H524" s="636" t="s">
        <v>9382</v>
      </c>
      <c r="J524" s="368"/>
    </row>
    <row r="525" spans="1:10">
      <c r="A525" s="147" t="s">
        <v>4303</v>
      </c>
      <c r="B525" s="154">
        <v>0</v>
      </c>
      <c r="C525" s="155">
        <v>25</v>
      </c>
      <c r="D525" s="156">
        <v>0</v>
      </c>
      <c r="E525" s="157">
        <v>20</v>
      </c>
      <c r="F525" s="147" t="s">
        <v>2578</v>
      </c>
      <c r="G525" s="147" t="s">
        <v>4003</v>
      </c>
      <c r="H525" s="636" t="s">
        <v>9383</v>
      </c>
      <c r="J525" s="368"/>
    </row>
    <row r="526" spans="1:10">
      <c r="A526" s="147" t="s">
        <v>4305</v>
      </c>
      <c r="B526" s="154">
        <v>0</v>
      </c>
      <c r="C526" s="155">
        <v>12</v>
      </c>
      <c r="D526" s="156">
        <v>0</v>
      </c>
      <c r="E526" s="157">
        <v>20</v>
      </c>
      <c r="F526" s="147" t="s">
        <v>2572</v>
      </c>
      <c r="G526" s="147" t="s">
        <v>4003</v>
      </c>
      <c r="H526" s="636" t="s">
        <v>9383</v>
      </c>
      <c r="J526" s="368"/>
    </row>
    <row r="527" spans="1:10">
      <c r="A527" s="147" t="s">
        <v>4306</v>
      </c>
      <c r="B527" s="154">
        <v>0</v>
      </c>
      <c r="C527" s="155">
        <v>5</v>
      </c>
      <c r="D527" s="156">
        <v>0</v>
      </c>
      <c r="E527" s="157">
        <v>20</v>
      </c>
      <c r="F527" s="147" t="s">
        <v>2574</v>
      </c>
      <c r="G527" s="147" t="s">
        <v>4003</v>
      </c>
      <c r="H527" s="636" t="s">
        <v>9383</v>
      </c>
      <c r="J527" s="368"/>
    </row>
    <row r="528" spans="1:10">
      <c r="A528" s="147" t="s">
        <v>4304</v>
      </c>
      <c r="B528" s="154">
        <v>0</v>
      </c>
      <c r="C528" s="155">
        <v>12</v>
      </c>
      <c r="D528" s="156">
        <v>0</v>
      </c>
      <c r="E528" s="157">
        <v>20</v>
      </c>
      <c r="F528" s="147" t="s">
        <v>2572</v>
      </c>
      <c r="G528" s="147" t="s">
        <v>4003</v>
      </c>
      <c r="H528" s="636" t="s">
        <v>9383</v>
      </c>
      <c r="J528" s="368"/>
    </row>
    <row r="529" spans="1:10">
      <c r="A529" s="147" t="s">
        <v>4027</v>
      </c>
      <c r="B529" s="154">
        <v>100</v>
      </c>
      <c r="C529" s="155">
        <v>0</v>
      </c>
      <c r="D529" s="156">
        <v>0</v>
      </c>
      <c r="E529" s="157">
        <v>5</v>
      </c>
      <c r="F529" s="147" t="s">
        <v>2607</v>
      </c>
      <c r="G529" s="147" t="s">
        <v>4003</v>
      </c>
      <c r="H529" s="636" t="s">
        <v>9383</v>
      </c>
      <c r="J529" s="368"/>
    </row>
    <row r="530" spans="1:10">
      <c r="A530" s="147" t="s">
        <v>4028</v>
      </c>
      <c r="B530" s="154">
        <v>75</v>
      </c>
      <c r="C530" s="155">
        <v>0</v>
      </c>
      <c r="D530" s="156">
        <v>0</v>
      </c>
      <c r="E530" s="157">
        <v>5</v>
      </c>
      <c r="F530" s="147" t="s">
        <v>2608</v>
      </c>
      <c r="G530" s="147" t="s">
        <v>4003</v>
      </c>
      <c r="H530" s="636" t="s">
        <v>9384</v>
      </c>
      <c r="J530" s="368"/>
    </row>
    <row r="531" spans="1:10">
      <c r="A531" s="147" t="s">
        <v>4029</v>
      </c>
      <c r="B531" s="154">
        <v>2</v>
      </c>
      <c r="C531" s="155">
        <v>0</v>
      </c>
      <c r="D531" s="156">
        <v>0</v>
      </c>
      <c r="E531" s="157">
        <v>5</v>
      </c>
      <c r="F531" s="147" t="s">
        <v>2574</v>
      </c>
      <c r="G531" s="147" t="s">
        <v>4003</v>
      </c>
      <c r="H531" s="636" t="s">
        <v>9384</v>
      </c>
      <c r="J531" s="368"/>
    </row>
    <row r="532" spans="1:10">
      <c r="A532" s="147" t="s">
        <v>4030</v>
      </c>
      <c r="B532" s="154">
        <v>1</v>
      </c>
      <c r="C532" s="155">
        <v>0</v>
      </c>
      <c r="D532" s="156">
        <v>0</v>
      </c>
      <c r="E532" s="157">
        <v>40</v>
      </c>
      <c r="F532" s="147" t="s">
        <v>2574</v>
      </c>
      <c r="G532" s="147" t="s">
        <v>4003</v>
      </c>
      <c r="H532" s="636" t="s">
        <v>9384</v>
      </c>
      <c r="J532" s="368"/>
    </row>
    <row r="533" spans="1:10">
      <c r="A533" s="147" t="s">
        <v>4031</v>
      </c>
      <c r="B533" s="154">
        <v>0</v>
      </c>
      <c r="C533" s="155">
        <v>1</v>
      </c>
      <c r="D533" s="156">
        <v>0</v>
      </c>
      <c r="E533" s="157">
        <v>0</v>
      </c>
      <c r="F533" s="147" t="s">
        <v>2578</v>
      </c>
      <c r="G533" s="147" t="s">
        <v>4003</v>
      </c>
      <c r="H533" s="636" t="s">
        <v>9384</v>
      </c>
      <c r="J533" s="368"/>
    </row>
    <row r="534" spans="1:10">
      <c r="A534" s="147" t="s">
        <v>4032</v>
      </c>
      <c r="B534" s="154">
        <v>5</v>
      </c>
      <c r="C534" s="155">
        <v>0</v>
      </c>
      <c r="D534" s="156">
        <v>0</v>
      </c>
      <c r="E534" s="157">
        <v>20</v>
      </c>
      <c r="F534" s="147" t="s">
        <v>2572</v>
      </c>
      <c r="G534" s="147" t="s">
        <v>4003</v>
      </c>
      <c r="H534" s="636" t="s">
        <v>9384</v>
      </c>
      <c r="J534" s="368"/>
    </row>
    <row r="535" spans="1:10">
      <c r="A535" s="150" t="s">
        <v>9420</v>
      </c>
      <c r="B535" s="154">
        <v>8</v>
      </c>
      <c r="C535" s="155">
        <v>0</v>
      </c>
      <c r="D535" s="156">
        <v>0</v>
      </c>
      <c r="E535" s="157">
        <v>5</v>
      </c>
      <c r="F535" s="147" t="s">
        <v>2574</v>
      </c>
      <c r="G535" s="147" t="s">
        <v>4003</v>
      </c>
      <c r="H535" s="636" t="s">
        <v>9384</v>
      </c>
      <c r="J535" s="368"/>
    </row>
    <row r="536" spans="1:10">
      <c r="A536" s="147" t="s">
        <v>4616</v>
      </c>
      <c r="B536" s="154">
        <v>50</v>
      </c>
      <c r="C536" s="155">
        <v>0</v>
      </c>
      <c r="D536" s="156">
        <v>0</v>
      </c>
      <c r="E536" s="157">
        <v>20</v>
      </c>
      <c r="F536" s="150" t="s">
        <v>2578</v>
      </c>
      <c r="G536" s="147" t="s">
        <v>4003</v>
      </c>
      <c r="H536" s="636" t="s">
        <v>9384</v>
      </c>
      <c r="J536" s="368"/>
    </row>
    <row r="537" spans="1:10">
      <c r="A537" s="147" t="s">
        <v>4033</v>
      </c>
      <c r="B537" s="154">
        <v>50</v>
      </c>
      <c r="C537" s="155">
        <v>0</v>
      </c>
      <c r="D537" s="156">
        <v>0</v>
      </c>
      <c r="E537" s="157">
        <v>50</v>
      </c>
      <c r="F537" s="147" t="s">
        <v>2572</v>
      </c>
      <c r="G537" s="147" t="s">
        <v>4003</v>
      </c>
      <c r="H537" s="636" t="s">
        <v>9384</v>
      </c>
      <c r="J537" s="368"/>
    </row>
    <row r="538" spans="1:10">
      <c r="A538" s="147" t="s">
        <v>4034</v>
      </c>
      <c r="B538" s="154">
        <v>50</v>
      </c>
      <c r="C538" s="155">
        <v>0</v>
      </c>
      <c r="D538" s="156">
        <v>0</v>
      </c>
      <c r="E538" s="157">
        <v>300</v>
      </c>
      <c r="F538" s="147" t="s">
        <v>2607</v>
      </c>
      <c r="G538" s="147" t="s">
        <v>4003</v>
      </c>
      <c r="H538" s="636" t="s">
        <v>9384</v>
      </c>
      <c r="J538" s="368"/>
    </row>
    <row r="539" spans="1:10">
      <c r="A539" s="150" t="s">
        <v>4035</v>
      </c>
      <c r="B539" s="154">
        <v>50</v>
      </c>
      <c r="C539" s="155">
        <v>0</v>
      </c>
      <c r="D539" s="156">
        <v>0</v>
      </c>
      <c r="E539" s="157">
        <v>20</v>
      </c>
      <c r="F539" s="147" t="s">
        <v>2607</v>
      </c>
      <c r="G539" s="147" t="s">
        <v>4003</v>
      </c>
      <c r="H539" s="636" t="s">
        <v>9384</v>
      </c>
      <c r="J539" s="368"/>
    </row>
    <row r="540" spans="1:10">
      <c r="A540" s="150" t="s">
        <v>4612</v>
      </c>
      <c r="B540" s="154">
        <v>50</v>
      </c>
      <c r="C540" s="155">
        <v>0</v>
      </c>
      <c r="D540" s="156">
        <v>0</v>
      </c>
      <c r="E540" s="157">
        <v>20</v>
      </c>
      <c r="F540" s="150" t="s">
        <v>2607</v>
      </c>
      <c r="G540" s="147" t="s">
        <v>4003</v>
      </c>
      <c r="H540" s="636" t="s">
        <v>9384</v>
      </c>
      <c r="J540" s="368"/>
    </row>
    <row r="541" spans="1:10">
      <c r="A541" s="147" t="s">
        <v>4036</v>
      </c>
      <c r="B541" s="154">
        <v>50</v>
      </c>
      <c r="C541" s="155">
        <v>0</v>
      </c>
      <c r="D541" s="156">
        <v>0</v>
      </c>
      <c r="E541" s="157">
        <v>40</v>
      </c>
      <c r="F541" s="147" t="s">
        <v>2607</v>
      </c>
      <c r="G541" s="147" t="s">
        <v>4003</v>
      </c>
      <c r="H541" s="636" t="s">
        <v>9384</v>
      </c>
      <c r="J541" s="368"/>
    </row>
    <row r="542" spans="1:10">
      <c r="A542" s="147" t="s">
        <v>4037</v>
      </c>
      <c r="B542" s="154">
        <v>50</v>
      </c>
      <c r="C542" s="155">
        <v>0</v>
      </c>
      <c r="D542" s="156">
        <v>0</v>
      </c>
      <c r="E542" s="157">
        <v>50</v>
      </c>
      <c r="F542" s="147" t="s">
        <v>2607</v>
      </c>
      <c r="G542" s="147" t="s">
        <v>4003</v>
      </c>
      <c r="H542" s="636" t="s">
        <v>9384</v>
      </c>
      <c r="J542" s="368"/>
    </row>
    <row r="543" spans="1:10">
      <c r="A543" s="150" t="s">
        <v>4038</v>
      </c>
      <c r="B543" s="154">
        <v>50</v>
      </c>
      <c r="C543" s="155">
        <v>0</v>
      </c>
      <c r="D543" s="156">
        <v>0</v>
      </c>
      <c r="E543" s="157">
        <v>20</v>
      </c>
      <c r="F543" s="147" t="s">
        <v>2607</v>
      </c>
      <c r="G543" s="147" t="s">
        <v>4003</v>
      </c>
      <c r="H543" s="636" t="s">
        <v>9384</v>
      </c>
      <c r="J543" s="368"/>
    </row>
    <row r="544" spans="1:10">
      <c r="A544" s="147" t="s">
        <v>4039</v>
      </c>
      <c r="B544" s="154">
        <v>13</v>
      </c>
      <c r="C544" s="155">
        <v>0</v>
      </c>
      <c r="D544" s="156">
        <v>0</v>
      </c>
      <c r="E544" s="157">
        <v>20</v>
      </c>
      <c r="F544" s="147" t="s">
        <v>2574</v>
      </c>
      <c r="G544" s="147" t="s">
        <v>4003</v>
      </c>
      <c r="H544" s="636" t="s">
        <v>9384</v>
      </c>
      <c r="J544" s="368"/>
    </row>
    <row r="545" spans="1:10">
      <c r="A545" s="150" t="s">
        <v>4040</v>
      </c>
      <c r="B545" s="154">
        <v>10</v>
      </c>
      <c r="C545" s="155">
        <v>0</v>
      </c>
      <c r="D545" s="156">
        <v>0</v>
      </c>
      <c r="E545" s="157">
        <v>20</v>
      </c>
      <c r="F545" s="147" t="s">
        <v>2572</v>
      </c>
      <c r="G545" s="147" t="s">
        <v>4003</v>
      </c>
      <c r="H545" s="636" t="s">
        <v>14977</v>
      </c>
      <c r="J545" s="368"/>
    </row>
    <row r="546" spans="1:10">
      <c r="A546" s="147" t="s">
        <v>4041</v>
      </c>
      <c r="B546" s="154">
        <v>0</v>
      </c>
      <c r="C546" s="155">
        <v>25</v>
      </c>
      <c r="D546" s="156">
        <v>0</v>
      </c>
      <c r="E546" s="157">
        <v>20</v>
      </c>
      <c r="F546" s="147" t="s">
        <v>2574</v>
      </c>
      <c r="G546" s="147" t="s">
        <v>4003</v>
      </c>
      <c r="H546" s="636" t="s">
        <v>14981</v>
      </c>
      <c r="J546" s="368"/>
    </row>
    <row r="547" spans="1:10">
      <c r="A547" s="147" t="s">
        <v>4042</v>
      </c>
      <c r="B547" s="154">
        <v>0</v>
      </c>
      <c r="C547" s="155">
        <v>10</v>
      </c>
      <c r="D547" s="156">
        <v>0</v>
      </c>
      <c r="E547" s="157">
        <v>10</v>
      </c>
      <c r="F547" s="147" t="s">
        <v>2574</v>
      </c>
      <c r="G547" s="147" t="s">
        <v>4003</v>
      </c>
      <c r="H547" s="636" t="s">
        <v>14977</v>
      </c>
      <c r="J547" s="368"/>
    </row>
    <row r="548" spans="1:10">
      <c r="A548" s="150" t="s">
        <v>4043</v>
      </c>
      <c r="B548" s="154">
        <v>2</v>
      </c>
      <c r="C548" s="155">
        <v>0</v>
      </c>
      <c r="D548" s="156">
        <v>0</v>
      </c>
      <c r="E548" s="157">
        <v>20</v>
      </c>
      <c r="F548" s="147" t="s">
        <v>2574</v>
      </c>
      <c r="G548" s="147" t="s">
        <v>4003</v>
      </c>
      <c r="H548" s="636" t="s">
        <v>9384</v>
      </c>
      <c r="J548" s="368"/>
    </row>
    <row r="549" spans="1:10">
      <c r="A549" s="147" t="s">
        <v>4044</v>
      </c>
      <c r="B549" s="154">
        <v>4</v>
      </c>
      <c r="C549" s="155">
        <v>0</v>
      </c>
      <c r="D549" s="156">
        <v>0</v>
      </c>
      <c r="E549" s="157">
        <v>40</v>
      </c>
      <c r="F549" s="147" t="s">
        <v>2574</v>
      </c>
      <c r="G549" s="147" t="s">
        <v>4003</v>
      </c>
      <c r="H549" s="636" t="s">
        <v>9384</v>
      </c>
      <c r="J549" s="368"/>
    </row>
    <row r="550" spans="1:10">
      <c r="A550" s="147" t="s">
        <v>4045</v>
      </c>
      <c r="B550" s="154">
        <v>1</v>
      </c>
      <c r="C550" s="155">
        <v>0</v>
      </c>
      <c r="D550" s="156">
        <v>0</v>
      </c>
      <c r="E550" s="157">
        <v>1</v>
      </c>
      <c r="F550" s="147" t="s">
        <v>2574</v>
      </c>
      <c r="G550" s="147" t="s">
        <v>4003</v>
      </c>
      <c r="H550" s="636" t="s">
        <v>9384</v>
      </c>
      <c r="J550" s="368"/>
    </row>
    <row r="551" spans="1:10">
      <c r="A551" s="147" t="s">
        <v>4046</v>
      </c>
      <c r="B551" s="154">
        <v>4</v>
      </c>
      <c r="C551" s="155">
        <v>0</v>
      </c>
      <c r="D551" s="156">
        <v>0</v>
      </c>
      <c r="E551" s="157">
        <v>50</v>
      </c>
      <c r="F551" s="147" t="s">
        <v>2574</v>
      </c>
      <c r="G551" s="147" t="s">
        <v>4003</v>
      </c>
      <c r="H551" s="636" t="s">
        <v>9384</v>
      </c>
      <c r="J551" s="368"/>
    </row>
    <row r="552" spans="1:10">
      <c r="A552" s="147" t="s">
        <v>4048</v>
      </c>
      <c r="B552" s="154">
        <v>0</v>
      </c>
      <c r="C552" s="155">
        <v>25</v>
      </c>
      <c r="D552" s="156">
        <v>0</v>
      </c>
      <c r="E552" s="157">
        <v>20</v>
      </c>
      <c r="F552" s="147" t="s">
        <v>2572</v>
      </c>
      <c r="G552" s="147" t="s">
        <v>4003</v>
      </c>
      <c r="H552" s="636" t="s">
        <v>9384</v>
      </c>
      <c r="J552" s="368"/>
    </row>
    <row r="553" spans="1:10">
      <c r="A553" s="150" t="s">
        <v>4047</v>
      </c>
      <c r="B553" s="154">
        <v>2</v>
      </c>
      <c r="C553" s="155">
        <v>0</v>
      </c>
      <c r="D553" s="156">
        <v>0</v>
      </c>
      <c r="E553" s="157">
        <v>10</v>
      </c>
      <c r="F553" s="147" t="s">
        <v>2578</v>
      </c>
      <c r="G553" s="147" t="s">
        <v>4003</v>
      </c>
      <c r="H553" s="636" t="s">
        <v>9384</v>
      </c>
      <c r="J553" s="368"/>
    </row>
    <row r="554" spans="1:10">
      <c r="A554" s="147" t="s">
        <v>4049</v>
      </c>
      <c r="B554" s="154">
        <v>0</v>
      </c>
      <c r="C554" s="155">
        <v>2</v>
      </c>
      <c r="D554" s="156">
        <v>0</v>
      </c>
      <c r="E554" s="157">
        <v>2</v>
      </c>
      <c r="F554" s="147" t="s">
        <v>2574</v>
      </c>
      <c r="G554" s="147" t="s">
        <v>4003</v>
      </c>
      <c r="H554" s="636" t="s">
        <v>9384</v>
      </c>
      <c r="J554" s="368"/>
    </row>
    <row r="555" spans="1:10">
      <c r="A555" s="147" t="s">
        <v>4050</v>
      </c>
      <c r="B555" s="154">
        <v>0</v>
      </c>
      <c r="C555" s="155">
        <v>5</v>
      </c>
      <c r="D555" s="156">
        <v>0</v>
      </c>
      <c r="E555" s="157">
        <v>5</v>
      </c>
      <c r="F555" s="147" t="s">
        <v>2574</v>
      </c>
      <c r="G555" s="147" t="s">
        <v>4003</v>
      </c>
      <c r="H555" s="636" t="s">
        <v>14977</v>
      </c>
      <c r="J555" s="368"/>
    </row>
    <row r="556" spans="1:10">
      <c r="A556" s="150" t="s">
        <v>4776</v>
      </c>
      <c r="B556" s="154">
        <v>500</v>
      </c>
      <c r="C556" s="155">
        <v>0</v>
      </c>
      <c r="D556" s="156">
        <v>0</v>
      </c>
      <c r="E556" s="157">
        <v>3000</v>
      </c>
      <c r="F556" s="150" t="s">
        <v>2607</v>
      </c>
      <c r="G556" s="147" t="s">
        <v>4003</v>
      </c>
      <c r="H556" s="636"/>
      <c r="J556" s="368"/>
    </row>
    <row r="557" spans="1:10">
      <c r="A557" s="357" t="s">
        <v>9550</v>
      </c>
      <c r="B557" s="434">
        <v>10</v>
      </c>
      <c r="C557" s="435">
        <v>0</v>
      </c>
      <c r="D557" s="436">
        <v>0</v>
      </c>
      <c r="E557" s="437">
        <v>2</v>
      </c>
      <c r="F557" s="150" t="s">
        <v>2607</v>
      </c>
      <c r="G557" s="147" t="s">
        <v>4003</v>
      </c>
      <c r="H557" s="635"/>
      <c r="J557" s="368"/>
    </row>
    <row r="558" spans="1:10">
      <c r="A558" s="147" t="s">
        <v>4051</v>
      </c>
      <c r="B558" s="154">
        <v>5</v>
      </c>
      <c r="C558" s="155">
        <v>0</v>
      </c>
      <c r="D558" s="156">
        <v>0</v>
      </c>
      <c r="E558" s="157">
        <v>5</v>
      </c>
      <c r="F558" s="147" t="s">
        <v>2607</v>
      </c>
      <c r="G558" s="147" t="s">
        <v>4003</v>
      </c>
      <c r="H558" s="636" t="s">
        <v>9384</v>
      </c>
      <c r="J558" s="368"/>
    </row>
    <row r="559" spans="1:10">
      <c r="A559" s="147" t="s">
        <v>4052</v>
      </c>
      <c r="B559" s="154">
        <v>7</v>
      </c>
      <c r="C559" s="155">
        <v>0</v>
      </c>
      <c r="D559" s="156">
        <v>0</v>
      </c>
      <c r="E559" s="157">
        <v>10</v>
      </c>
      <c r="F559" s="147" t="s">
        <v>2574</v>
      </c>
      <c r="G559" s="147" t="s">
        <v>4003</v>
      </c>
      <c r="H559" s="636" t="s">
        <v>9384</v>
      </c>
      <c r="J559" s="368"/>
    </row>
    <row r="560" spans="1:10">
      <c r="A560" s="147" t="s">
        <v>4053</v>
      </c>
      <c r="B560" s="154">
        <v>5</v>
      </c>
      <c r="C560" s="155">
        <v>0</v>
      </c>
      <c r="D560" s="156">
        <v>0</v>
      </c>
      <c r="E560" s="157">
        <v>5</v>
      </c>
      <c r="F560" s="147" t="s">
        <v>2574</v>
      </c>
      <c r="G560" s="147" t="s">
        <v>4003</v>
      </c>
      <c r="H560" s="636" t="s">
        <v>9384</v>
      </c>
      <c r="J560" s="368"/>
    </row>
    <row r="561" spans="1:10">
      <c r="A561" s="535" t="s">
        <v>4054</v>
      </c>
      <c r="B561" s="434">
        <v>6</v>
      </c>
      <c r="C561" s="155">
        <v>0</v>
      </c>
      <c r="D561" s="156">
        <v>0</v>
      </c>
      <c r="E561" s="157">
        <v>10</v>
      </c>
      <c r="F561" s="147" t="s">
        <v>2574</v>
      </c>
      <c r="G561" s="147" t="s">
        <v>4003</v>
      </c>
      <c r="H561" s="636" t="s">
        <v>9384</v>
      </c>
      <c r="J561" s="368"/>
    </row>
    <row r="562" spans="1:10">
      <c r="A562" s="150" t="s">
        <v>13260</v>
      </c>
      <c r="B562" s="154">
        <v>30</v>
      </c>
      <c r="C562" s="155">
        <v>0</v>
      </c>
      <c r="D562" s="156">
        <v>0</v>
      </c>
      <c r="E562" s="157">
        <v>1</v>
      </c>
      <c r="F562" s="150" t="s">
        <v>2578</v>
      </c>
      <c r="G562" s="150" t="s">
        <v>15476</v>
      </c>
      <c r="H562" s="636" t="s">
        <v>13261</v>
      </c>
      <c r="J562" s="368"/>
    </row>
    <row r="563" spans="1:10">
      <c r="A563" s="357" t="s">
        <v>15479</v>
      </c>
      <c r="B563" s="434">
        <v>0</v>
      </c>
      <c r="C563" s="435">
        <v>50</v>
      </c>
      <c r="D563" s="436">
        <v>0</v>
      </c>
      <c r="E563" s="461">
        <v>1</v>
      </c>
      <c r="F563" s="461" t="s">
        <v>2572</v>
      </c>
      <c r="G563" s="150" t="s">
        <v>15486</v>
      </c>
      <c r="H563" s="634" t="s">
        <v>4551</v>
      </c>
      <c r="J563" s="368"/>
    </row>
    <row r="564" spans="1:10">
      <c r="A564" s="150" t="s">
        <v>12935</v>
      </c>
      <c r="B564" s="154">
        <v>10</v>
      </c>
      <c r="C564" s="155">
        <v>0</v>
      </c>
      <c r="D564" s="156">
        <v>0</v>
      </c>
      <c r="E564" s="163">
        <v>1</v>
      </c>
      <c r="F564" s="163" t="s">
        <v>2607</v>
      </c>
      <c r="G564" s="150" t="s">
        <v>15476</v>
      </c>
      <c r="H564" s="636" t="s">
        <v>12934</v>
      </c>
      <c r="J564" s="368"/>
    </row>
    <row r="565" spans="1:10">
      <c r="A565" s="357" t="s">
        <v>12936</v>
      </c>
      <c r="B565" s="434">
        <v>0</v>
      </c>
      <c r="C565" s="435">
        <v>0</v>
      </c>
      <c r="D565" s="436">
        <v>10</v>
      </c>
      <c r="E565" s="461">
        <v>1</v>
      </c>
      <c r="F565" s="461" t="s">
        <v>2578</v>
      </c>
      <c r="G565" s="150" t="s">
        <v>15476</v>
      </c>
      <c r="H565" s="636" t="s">
        <v>12934</v>
      </c>
      <c r="J565" s="368"/>
    </row>
    <row r="566" spans="1:10">
      <c r="A566" s="357" t="s">
        <v>12933</v>
      </c>
      <c r="B566" s="434">
        <v>20</v>
      </c>
      <c r="C566" s="435">
        <v>0</v>
      </c>
      <c r="D566" s="436">
        <v>0</v>
      </c>
      <c r="E566" s="461">
        <v>1</v>
      </c>
      <c r="F566" s="461" t="s">
        <v>2608</v>
      </c>
      <c r="G566" s="150" t="s">
        <v>15476</v>
      </c>
      <c r="H566" s="636" t="s">
        <v>12932</v>
      </c>
      <c r="J566" s="368"/>
    </row>
    <row r="567" spans="1:10">
      <c r="A567" s="357" t="s">
        <v>14881</v>
      </c>
      <c r="B567" s="434">
        <v>0</v>
      </c>
      <c r="C567" s="435">
        <v>0</v>
      </c>
      <c r="D567" s="436">
        <v>10</v>
      </c>
      <c r="E567" s="461">
        <v>1</v>
      </c>
      <c r="F567" s="461" t="s">
        <v>2578</v>
      </c>
      <c r="G567" s="150" t="s">
        <v>15486</v>
      </c>
      <c r="H567" s="636" t="s">
        <v>12934</v>
      </c>
      <c r="J567" s="368"/>
    </row>
    <row r="568" spans="1:10">
      <c r="A568" s="357" t="s">
        <v>14882</v>
      </c>
      <c r="B568" s="434">
        <v>10</v>
      </c>
      <c r="C568" s="435">
        <v>0</v>
      </c>
      <c r="D568" s="436">
        <v>0</v>
      </c>
      <c r="E568" s="461">
        <v>1</v>
      </c>
      <c r="F568" s="461" t="s">
        <v>2608</v>
      </c>
      <c r="G568" s="150" t="s">
        <v>15488</v>
      </c>
      <c r="H568" s="636" t="s">
        <v>12934</v>
      </c>
      <c r="J568" s="368"/>
    </row>
    <row r="569" spans="1:10">
      <c r="A569" s="357" t="s">
        <v>15478</v>
      </c>
      <c r="B569" s="434">
        <v>60</v>
      </c>
      <c r="C569" s="435">
        <v>0</v>
      </c>
      <c r="D569" s="436">
        <v>0</v>
      </c>
      <c r="E569" s="437">
        <v>0</v>
      </c>
      <c r="F569" s="357" t="s">
        <v>2607</v>
      </c>
      <c r="G569" s="150" t="s">
        <v>15489</v>
      </c>
      <c r="H569" s="636" t="s">
        <v>11595</v>
      </c>
      <c r="J569" s="368"/>
    </row>
    <row r="570" spans="1:10">
      <c r="A570" s="357" t="s">
        <v>15477</v>
      </c>
      <c r="B570" s="434">
        <v>15</v>
      </c>
      <c r="C570" s="435">
        <v>0</v>
      </c>
      <c r="D570" s="436">
        <v>0</v>
      </c>
      <c r="E570" s="437">
        <v>1</v>
      </c>
      <c r="F570" s="357" t="s">
        <v>2572</v>
      </c>
      <c r="G570" s="150" t="s">
        <v>15476</v>
      </c>
      <c r="H570" s="635" t="s">
        <v>11279</v>
      </c>
      <c r="J570" s="368"/>
    </row>
    <row r="571" spans="1:10">
      <c r="A571" s="150" t="s">
        <v>9421</v>
      </c>
      <c r="B571" s="154">
        <v>1</v>
      </c>
      <c r="C571" s="155">
        <v>0</v>
      </c>
      <c r="D571" s="156">
        <v>0</v>
      </c>
      <c r="E571" s="157">
        <v>2</v>
      </c>
      <c r="F571" s="150" t="s">
        <v>2572</v>
      </c>
      <c r="G571" s="150" t="s">
        <v>17493</v>
      </c>
      <c r="H571" s="636"/>
      <c r="J571" s="368"/>
    </row>
    <row r="572" spans="1:10">
      <c r="A572" s="357" t="s">
        <v>15480</v>
      </c>
      <c r="B572" s="434">
        <v>100</v>
      </c>
      <c r="C572" s="435">
        <v>0</v>
      </c>
      <c r="D572" s="436">
        <v>0</v>
      </c>
      <c r="E572" s="437">
        <v>0</v>
      </c>
      <c r="F572" s="357" t="s">
        <v>8801</v>
      </c>
      <c r="G572" s="150" t="s">
        <v>15476</v>
      </c>
      <c r="H572" s="635" t="s">
        <v>4551</v>
      </c>
      <c r="J572" s="368"/>
    </row>
    <row r="573" spans="1:10">
      <c r="A573" s="150" t="s">
        <v>15484</v>
      </c>
      <c r="B573" s="154">
        <v>60</v>
      </c>
      <c r="C573" s="155">
        <v>0</v>
      </c>
      <c r="D573" s="156">
        <v>0</v>
      </c>
      <c r="E573" s="157">
        <v>3</v>
      </c>
      <c r="F573" s="150" t="s">
        <v>2608</v>
      </c>
      <c r="G573" s="150" t="s">
        <v>15476</v>
      </c>
      <c r="H573" s="636" t="s">
        <v>12135</v>
      </c>
      <c r="J573" s="368"/>
    </row>
    <row r="574" spans="1:10">
      <c r="A574" s="150" t="s">
        <v>15483</v>
      </c>
      <c r="B574" s="154">
        <v>1</v>
      </c>
      <c r="C574" s="155">
        <v>0</v>
      </c>
      <c r="D574" s="156">
        <v>0</v>
      </c>
      <c r="E574" s="157">
        <v>0</v>
      </c>
      <c r="F574" s="150" t="s">
        <v>2578</v>
      </c>
      <c r="G574" s="150" t="s">
        <v>17493</v>
      </c>
      <c r="H574" s="639" t="s">
        <v>4551</v>
      </c>
      <c r="J574" s="368"/>
    </row>
    <row r="575" spans="1:10">
      <c r="A575" s="357" t="s">
        <v>15481</v>
      </c>
      <c r="B575" s="434">
        <v>25</v>
      </c>
      <c r="C575" s="155">
        <v>0</v>
      </c>
      <c r="D575" s="156">
        <v>0</v>
      </c>
      <c r="E575" s="437">
        <v>1</v>
      </c>
      <c r="F575" s="357" t="s">
        <v>2578</v>
      </c>
      <c r="G575" s="150" t="s">
        <v>15486</v>
      </c>
      <c r="H575" s="635" t="s">
        <v>11279</v>
      </c>
      <c r="J575" s="368"/>
    </row>
    <row r="576" spans="1:10">
      <c r="A576" s="357" t="s">
        <v>12141</v>
      </c>
      <c r="B576" s="434">
        <v>80</v>
      </c>
      <c r="C576" s="435">
        <v>0</v>
      </c>
      <c r="D576" s="436">
        <v>0</v>
      </c>
      <c r="E576" s="437">
        <v>2</v>
      </c>
      <c r="F576" s="357" t="s">
        <v>2607</v>
      </c>
      <c r="G576" s="150" t="s">
        <v>17493</v>
      </c>
      <c r="H576" s="635" t="s">
        <v>12135</v>
      </c>
      <c r="J576" s="368"/>
    </row>
    <row r="577" spans="1:10">
      <c r="A577" s="357" t="s">
        <v>16287</v>
      </c>
      <c r="B577" s="434">
        <v>90</v>
      </c>
      <c r="C577" s="435">
        <v>0</v>
      </c>
      <c r="D577" s="436">
        <v>0</v>
      </c>
      <c r="E577" s="437">
        <v>3</v>
      </c>
      <c r="F577" s="357" t="s">
        <v>2608</v>
      </c>
      <c r="G577" s="150" t="s">
        <v>15476</v>
      </c>
      <c r="H577" s="634" t="s">
        <v>4551</v>
      </c>
      <c r="J577" s="368"/>
    </row>
    <row r="578" spans="1:10">
      <c r="A578" s="150" t="s">
        <v>14884</v>
      </c>
      <c r="B578" s="154">
        <v>0</v>
      </c>
      <c r="C578" s="155">
        <v>1</v>
      </c>
      <c r="D578" s="156">
        <v>0</v>
      </c>
      <c r="E578" s="163">
        <v>1</v>
      </c>
      <c r="F578" s="163" t="s">
        <v>2607</v>
      </c>
      <c r="G578" s="150" t="s">
        <v>15476</v>
      </c>
      <c r="H578" s="636" t="s">
        <v>14883</v>
      </c>
      <c r="J578" s="368"/>
    </row>
    <row r="579" spans="1:10">
      <c r="A579" s="150" t="s">
        <v>12146</v>
      </c>
      <c r="B579" s="154">
        <v>2</v>
      </c>
      <c r="C579" s="155">
        <v>0</v>
      </c>
      <c r="D579" s="156">
        <v>0</v>
      </c>
      <c r="E579" s="157">
        <v>4</v>
      </c>
      <c r="F579" s="150" t="s">
        <v>2578</v>
      </c>
      <c r="G579" s="150" t="s">
        <v>15476</v>
      </c>
      <c r="H579" s="636" t="s">
        <v>12135</v>
      </c>
      <c r="J579" s="368"/>
    </row>
    <row r="580" spans="1:10">
      <c r="A580" s="357" t="s">
        <v>16288</v>
      </c>
      <c r="B580" s="434">
        <v>35</v>
      </c>
      <c r="C580" s="435">
        <v>0</v>
      </c>
      <c r="D580" s="436">
        <v>0</v>
      </c>
      <c r="E580" s="437">
        <v>0</v>
      </c>
      <c r="F580" s="535" t="s">
        <v>2608</v>
      </c>
      <c r="G580" s="150" t="s">
        <v>15476</v>
      </c>
      <c r="H580" s="635" t="s">
        <v>16578</v>
      </c>
      <c r="J580" s="368"/>
    </row>
    <row r="581" spans="1:10">
      <c r="A581" s="150" t="s">
        <v>12147</v>
      </c>
      <c r="B581" s="154">
        <v>50</v>
      </c>
      <c r="C581" s="155">
        <v>0</v>
      </c>
      <c r="D581" s="156">
        <v>0</v>
      </c>
      <c r="E581" s="157">
        <v>3</v>
      </c>
      <c r="F581" s="150" t="s">
        <v>2607</v>
      </c>
      <c r="G581" s="150" t="s">
        <v>17493</v>
      </c>
      <c r="H581" s="636" t="s">
        <v>12135</v>
      </c>
      <c r="J581" s="368"/>
    </row>
    <row r="582" spans="1:10">
      <c r="A582" s="357" t="s">
        <v>15485</v>
      </c>
      <c r="B582" s="434">
        <v>0</v>
      </c>
      <c r="C582" s="435">
        <v>5</v>
      </c>
      <c r="D582" s="436">
        <v>0</v>
      </c>
      <c r="E582" s="437">
        <v>0</v>
      </c>
      <c r="F582" s="357" t="s">
        <v>2572</v>
      </c>
      <c r="G582" s="150" t="s">
        <v>17493</v>
      </c>
      <c r="H582" s="634" t="s">
        <v>4551</v>
      </c>
      <c r="J582" s="368"/>
    </row>
    <row r="583" spans="1:10">
      <c r="A583" s="357" t="s">
        <v>15482</v>
      </c>
      <c r="B583" s="434">
        <v>60</v>
      </c>
      <c r="C583" s="435">
        <v>0</v>
      </c>
      <c r="D583" s="436">
        <v>0</v>
      </c>
      <c r="E583" s="437">
        <v>1</v>
      </c>
      <c r="F583" s="357" t="s">
        <v>2608</v>
      </c>
      <c r="G583" s="150" t="s">
        <v>15476</v>
      </c>
      <c r="H583" s="635" t="s">
        <v>12800</v>
      </c>
      <c r="J583" s="368"/>
    </row>
    <row r="584" spans="1:10">
      <c r="A584" s="150" t="s">
        <v>15487</v>
      </c>
      <c r="B584" s="154">
        <v>10</v>
      </c>
      <c r="C584" s="155">
        <v>0</v>
      </c>
      <c r="D584" s="156">
        <v>0</v>
      </c>
      <c r="E584" s="157">
        <v>0</v>
      </c>
      <c r="F584" s="150" t="s">
        <v>2607</v>
      </c>
      <c r="G584" s="150" t="s">
        <v>15486</v>
      </c>
      <c r="H584" s="639" t="s">
        <v>4551</v>
      </c>
      <c r="J584" s="368"/>
    </row>
    <row r="585" spans="1:10">
      <c r="A585" s="150" t="s">
        <v>11280</v>
      </c>
      <c r="B585" s="154">
        <v>25</v>
      </c>
      <c r="C585" s="155">
        <v>0</v>
      </c>
      <c r="D585" s="156">
        <v>0</v>
      </c>
      <c r="E585" s="157">
        <v>0</v>
      </c>
      <c r="F585" s="147" t="s">
        <v>2608</v>
      </c>
      <c r="G585" s="150" t="s">
        <v>15488</v>
      </c>
      <c r="H585" s="636" t="s">
        <v>14975</v>
      </c>
      <c r="J585" s="368"/>
    </row>
    <row r="586" spans="1:10">
      <c r="A586" s="357" t="s">
        <v>12797</v>
      </c>
      <c r="B586" s="434">
        <v>10</v>
      </c>
      <c r="C586" s="155">
        <v>0</v>
      </c>
      <c r="D586" s="156">
        <v>0</v>
      </c>
      <c r="E586" s="157"/>
      <c r="F586" s="150" t="s">
        <v>2607</v>
      </c>
      <c r="G586" s="150" t="s">
        <v>15476</v>
      </c>
      <c r="H586" s="636" t="s">
        <v>12798</v>
      </c>
      <c r="J586" s="368"/>
    </row>
    <row r="587" spans="1:10">
      <c r="A587" s="150" t="s">
        <v>12142</v>
      </c>
      <c r="B587" s="154">
        <v>100</v>
      </c>
      <c r="C587" s="155">
        <v>0</v>
      </c>
      <c r="D587" s="156">
        <v>0</v>
      </c>
      <c r="E587" s="157">
        <v>2</v>
      </c>
      <c r="F587" s="150" t="s">
        <v>2608</v>
      </c>
      <c r="G587" s="150" t="s">
        <v>15489</v>
      </c>
      <c r="H587" s="636" t="s">
        <v>12135</v>
      </c>
      <c r="J587" s="368"/>
    </row>
    <row r="588" spans="1:10">
      <c r="A588" s="150" t="s">
        <v>15492</v>
      </c>
      <c r="B588" s="154">
        <v>4</v>
      </c>
      <c r="C588" s="155">
        <v>0</v>
      </c>
      <c r="D588" s="156">
        <v>0</v>
      </c>
      <c r="E588" s="157">
        <v>1</v>
      </c>
      <c r="F588" s="150" t="s">
        <v>2578</v>
      </c>
      <c r="G588" s="150" t="s">
        <v>15486</v>
      </c>
      <c r="H588" s="636" t="s">
        <v>15452</v>
      </c>
      <c r="J588" s="368"/>
    </row>
    <row r="589" spans="1:10">
      <c r="A589" s="357" t="s">
        <v>12802</v>
      </c>
      <c r="B589" s="434">
        <v>25</v>
      </c>
      <c r="C589" s="155">
        <v>0</v>
      </c>
      <c r="D589" s="156">
        <v>0</v>
      </c>
      <c r="E589" s="437">
        <v>1</v>
      </c>
      <c r="F589" s="357" t="s">
        <v>2608</v>
      </c>
      <c r="G589" s="150" t="s">
        <v>15476</v>
      </c>
      <c r="H589" s="635" t="s">
        <v>12804</v>
      </c>
      <c r="J589" s="368"/>
    </row>
    <row r="590" spans="1:10">
      <c r="A590" s="357" t="s">
        <v>16262</v>
      </c>
      <c r="B590" s="434">
        <v>550</v>
      </c>
      <c r="C590" s="155">
        <v>0</v>
      </c>
      <c r="D590" s="156">
        <v>0</v>
      </c>
      <c r="E590" s="437">
        <v>1</v>
      </c>
      <c r="F590" s="357" t="s">
        <v>2608</v>
      </c>
      <c r="G590" s="150" t="s">
        <v>4067</v>
      </c>
      <c r="H590" s="634" t="s">
        <v>4551</v>
      </c>
      <c r="J590" s="368"/>
    </row>
    <row r="591" spans="1:10">
      <c r="A591" s="535" t="s">
        <v>4066</v>
      </c>
      <c r="B591" s="434">
        <v>10</v>
      </c>
      <c r="C591" s="435">
        <v>0</v>
      </c>
      <c r="D591" s="436">
        <v>0</v>
      </c>
      <c r="E591" s="437">
        <v>1</v>
      </c>
      <c r="F591" s="535" t="s">
        <v>2578</v>
      </c>
      <c r="G591" s="150" t="s">
        <v>4067</v>
      </c>
      <c r="H591" s="635" t="s">
        <v>9387</v>
      </c>
      <c r="J591" s="368"/>
    </row>
    <row r="592" spans="1:10">
      <c r="A592" s="150" t="s">
        <v>16254</v>
      </c>
      <c r="B592" s="154">
        <v>120</v>
      </c>
      <c r="C592" s="155">
        <v>0</v>
      </c>
      <c r="D592" s="156">
        <v>0</v>
      </c>
      <c r="E592" s="157">
        <v>1</v>
      </c>
      <c r="F592" s="147" t="s">
        <v>2608</v>
      </c>
      <c r="G592" s="150" t="s">
        <v>4067</v>
      </c>
      <c r="H592" s="636" t="s">
        <v>9388</v>
      </c>
      <c r="J592" s="368"/>
    </row>
    <row r="593" spans="1:10">
      <c r="A593" s="535" t="s">
        <v>4068</v>
      </c>
      <c r="B593" s="434">
        <v>35</v>
      </c>
      <c r="C593" s="435">
        <v>0</v>
      </c>
      <c r="D593" s="436">
        <v>0</v>
      </c>
      <c r="E593" s="437">
        <v>1</v>
      </c>
      <c r="F593" s="535" t="s">
        <v>2607</v>
      </c>
      <c r="G593" s="150" t="s">
        <v>4067</v>
      </c>
      <c r="H593" s="635" t="s">
        <v>9387</v>
      </c>
      <c r="J593" s="368"/>
    </row>
    <row r="594" spans="1:10">
      <c r="A594" s="150" t="s">
        <v>11588</v>
      </c>
      <c r="B594" s="154">
        <v>0</v>
      </c>
      <c r="C594" s="155">
        <v>0</v>
      </c>
      <c r="D594" s="156">
        <v>3</v>
      </c>
      <c r="E594" s="437">
        <v>1</v>
      </c>
      <c r="F594" s="150" t="s">
        <v>2572</v>
      </c>
      <c r="G594" s="150" t="s">
        <v>4067</v>
      </c>
      <c r="H594" s="636" t="s">
        <v>11594</v>
      </c>
      <c r="J594" s="368"/>
    </row>
    <row r="595" spans="1:10">
      <c r="A595" s="150" t="s">
        <v>12488</v>
      </c>
      <c r="B595" s="154">
        <v>15</v>
      </c>
      <c r="C595" s="155">
        <v>0</v>
      </c>
      <c r="D595" s="156">
        <v>0</v>
      </c>
      <c r="E595" s="157">
        <v>1</v>
      </c>
      <c r="F595" s="147" t="s">
        <v>2607</v>
      </c>
      <c r="G595" s="150" t="s">
        <v>4067</v>
      </c>
      <c r="H595" s="636" t="s">
        <v>9387</v>
      </c>
      <c r="J595" s="368"/>
    </row>
    <row r="596" spans="1:10">
      <c r="A596" s="150" t="s">
        <v>17494</v>
      </c>
      <c r="B596" s="154">
        <v>800</v>
      </c>
      <c r="C596" s="155">
        <v>0</v>
      </c>
      <c r="D596" s="156">
        <v>0</v>
      </c>
      <c r="E596" s="437">
        <v>1</v>
      </c>
      <c r="F596" s="147" t="s">
        <v>2608</v>
      </c>
      <c r="G596" s="150" t="s">
        <v>4067</v>
      </c>
      <c r="H596" s="636" t="s">
        <v>11654</v>
      </c>
      <c r="J596" s="368"/>
    </row>
    <row r="597" spans="1:10">
      <c r="A597" s="147" t="s">
        <v>4069</v>
      </c>
      <c r="B597" s="154">
        <v>350</v>
      </c>
      <c r="C597" s="155">
        <v>0</v>
      </c>
      <c r="D597" s="156">
        <v>0</v>
      </c>
      <c r="E597" s="437">
        <v>1</v>
      </c>
      <c r="F597" s="147" t="s">
        <v>2608</v>
      </c>
      <c r="G597" s="150" t="s">
        <v>4067</v>
      </c>
      <c r="H597" s="636" t="s">
        <v>9388</v>
      </c>
      <c r="J597" s="368"/>
    </row>
    <row r="598" spans="1:10">
      <c r="A598" s="150" t="s">
        <v>4069</v>
      </c>
      <c r="B598" s="154">
        <v>30</v>
      </c>
      <c r="C598" s="155">
        <v>0</v>
      </c>
      <c r="D598" s="156">
        <v>0</v>
      </c>
      <c r="E598" s="157">
        <v>1</v>
      </c>
      <c r="F598" s="150" t="s">
        <v>2607</v>
      </c>
      <c r="G598" s="150" t="s">
        <v>4067</v>
      </c>
      <c r="H598" s="636" t="s">
        <v>9971</v>
      </c>
      <c r="J598" s="368"/>
    </row>
    <row r="599" spans="1:10">
      <c r="A599" s="147" t="s">
        <v>4079</v>
      </c>
      <c r="B599" s="154">
        <v>0</v>
      </c>
      <c r="C599" s="155">
        <v>0</v>
      </c>
      <c r="D599" s="156">
        <v>5</v>
      </c>
      <c r="E599" s="437">
        <v>1</v>
      </c>
      <c r="F599" s="147" t="s">
        <v>2574</v>
      </c>
      <c r="G599" s="150" t="s">
        <v>4067</v>
      </c>
      <c r="H599" s="636" t="s">
        <v>14979</v>
      </c>
      <c r="I599"/>
      <c r="J599" s="368"/>
    </row>
    <row r="600" spans="1:10">
      <c r="A600" s="150" t="s">
        <v>15065</v>
      </c>
      <c r="B600" s="154">
        <v>20</v>
      </c>
      <c r="C600" s="155">
        <v>0</v>
      </c>
      <c r="D600" s="156">
        <v>0</v>
      </c>
      <c r="E600" s="437">
        <v>1</v>
      </c>
      <c r="F600" s="148" t="s">
        <v>2578</v>
      </c>
      <c r="G600" s="150" t="s">
        <v>4067</v>
      </c>
      <c r="H600" s="636" t="s">
        <v>4837</v>
      </c>
      <c r="J600" s="368"/>
    </row>
    <row r="601" spans="1:10">
      <c r="A601" s="150" t="s">
        <v>15066</v>
      </c>
      <c r="B601" s="154">
        <v>30</v>
      </c>
      <c r="C601" s="155">
        <v>0</v>
      </c>
      <c r="D601" s="156">
        <v>0</v>
      </c>
      <c r="E601" s="157">
        <v>1</v>
      </c>
      <c r="F601" s="147" t="s">
        <v>2608</v>
      </c>
      <c r="G601" s="150" t="s">
        <v>4067</v>
      </c>
      <c r="H601" s="636" t="s">
        <v>15490</v>
      </c>
      <c r="J601" s="368"/>
    </row>
    <row r="602" spans="1:10">
      <c r="A602" s="357" t="s">
        <v>16257</v>
      </c>
      <c r="B602" s="434">
        <v>0</v>
      </c>
      <c r="C602" s="155">
        <v>0</v>
      </c>
      <c r="D602" s="156">
        <v>5</v>
      </c>
      <c r="E602" s="437">
        <v>1</v>
      </c>
      <c r="F602" s="150" t="s">
        <v>2572</v>
      </c>
      <c r="G602" s="150" t="s">
        <v>4067</v>
      </c>
      <c r="H602" s="639" t="s">
        <v>4551</v>
      </c>
      <c r="J602" s="368"/>
    </row>
    <row r="603" spans="1:10">
      <c r="A603" s="357" t="s">
        <v>4786</v>
      </c>
      <c r="B603" s="434">
        <v>15</v>
      </c>
      <c r="C603" s="435">
        <v>0</v>
      </c>
      <c r="D603" s="436">
        <v>0</v>
      </c>
      <c r="E603" s="437">
        <v>1</v>
      </c>
      <c r="F603" s="357" t="s">
        <v>2607</v>
      </c>
      <c r="G603" s="150" t="s">
        <v>4067</v>
      </c>
      <c r="H603" s="635" t="s">
        <v>4788</v>
      </c>
      <c r="J603" s="368"/>
    </row>
    <row r="604" spans="1:10">
      <c r="A604" s="147" t="s">
        <v>4070</v>
      </c>
      <c r="B604" s="434">
        <v>30</v>
      </c>
      <c r="C604" s="435">
        <v>0</v>
      </c>
      <c r="D604" s="436">
        <v>0</v>
      </c>
      <c r="E604" s="157">
        <v>1</v>
      </c>
      <c r="F604" s="535" t="s">
        <v>2608</v>
      </c>
      <c r="G604" s="150" t="s">
        <v>4067</v>
      </c>
      <c r="H604" s="635" t="s">
        <v>9388</v>
      </c>
      <c r="J604" s="368"/>
    </row>
    <row r="605" spans="1:10">
      <c r="A605" s="357" t="s">
        <v>17495</v>
      </c>
      <c r="B605" s="434">
        <v>7560</v>
      </c>
      <c r="C605" s="435">
        <v>0</v>
      </c>
      <c r="D605" s="436">
        <v>0</v>
      </c>
      <c r="E605" s="437">
        <v>1</v>
      </c>
      <c r="F605" s="357" t="s">
        <v>8801</v>
      </c>
      <c r="G605" s="150" t="s">
        <v>4067</v>
      </c>
      <c r="H605" s="634" t="s">
        <v>4551</v>
      </c>
      <c r="J605" s="368"/>
    </row>
    <row r="606" spans="1:10">
      <c r="A606" s="150" t="s">
        <v>15270</v>
      </c>
      <c r="B606" s="154">
        <v>40</v>
      </c>
      <c r="C606" s="155">
        <v>0</v>
      </c>
      <c r="D606" s="156">
        <v>0</v>
      </c>
      <c r="E606" s="437">
        <v>1</v>
      </c>
      <c r="F606" s="150" t="s">
        <v>2607</v>
      </c>
      <c r="G606" s="150" t="s">
        <v>4067</v>
      </c>
      <c r="H606" s="636" t="s">
        <v>15275</v>
      </c>
      <c r="J606" s="368"/>
    </row>
    <row r="607" spans="1:10">
      <c r="A607" s="357" t="s">
        <v>16258</v>
      </c>
      <c r="B607" s="434">
        <v>75</v>
      </c>
      <c r="C607" s="435">
        <v>0</v>
      </c>
      <c r="D607" s="436">
        <v>0</v>
      </c>
      <c r="E607" s="157">
        <v>1</v>
      </c>
      <c r="F607" s="357" t="s">
        <v>2608</v>
      </c>
      <c r="G607" s="150" t="s">
        <v>4067</v>
      </c>
      <c r="H607" s="634" t="s">
        <v>4551</v>
      </c>
      <c r="J607" s="368"/>
    </row>
    <row r="608" spans="1:10">
      <c r="A608" s="147" t="s">
        <v>4071</v>
      </c>
      <c r="B608" s="154">
        <v>65</v>
      </c>
      <c r="C608" s="155">
        <v>0</v>
      </c>
      <c r="D608" s="156">
        <v>0</v>
      </c>
      <c r="E608" s="437">
        <v>1</v>
      </c>
      <c r="F608" s="147" t="s">
        <v>2608</v>
      </c>
      <c r="G608" s="150" t="s">
        <v>4067</v>
      </c>
      <c r="H608" s="636" t="s">
        <v>11654</v>
      </c>
      <c r="J608" s="368"/>
    </row>
    <row r="609" spans="1:10">
      <c r="A609" s="147" t="s">
        <v>4072</v>
      </c>
      <c r="B609" s="154">
        <v>50</v>
      </c>
      <c r="C609" s="155">
        <v>0</v>
      </c>
      <c r="D609" s="156">
        <v>0</v>
      </c>
      <c r="E609" s="437">
        <v>1</v>
      </c>
      <c r="F609" s="147" t="s">
        <v>2578</v>
      </c>
      <c r="G609" s="150" t="s">
        <v>4067</v>
      </c>
      <c r="H609" s="636" t="s">
        <v>9388</v>
      </c>
      <c r="J609" s="368"/>
    </row>
    <row r="610" spans="1:10">
      <c r="A610" s="357" t="s">
        <v>16306</v>
      </c>
      <c r="B610" s="434">
        <v>12000</v>
      </c>
      <c r="C610" s="435">
        <v>0</v>
      </c>
      <c r="D610" s="436">
        <v>0</v>
      </c>
      <c r="E610" s="437">
        <v>1</v>
      </c>
      <c r="F610" s="357" t="s">
        <v>8801</v>
      </c>
      <c r="G610" s="150" t="s">
        <v>4067</v>
      </c>
      <c r="H610" s="634" t="s">
        <v>4551</v>
      </c>
      <c r="J610" s="368"/>
    </row>
    <row r="611" spans="1:10">
      <c r="A611" s="150" t="s">
        <v>4785</v>
      </c>
      <c r="B611" s="154">
        <v>30</v>
      </c>
      <c r="C611" s="155">
        <v>0</v>
      </c>
      <c r="D611" s="156">
        <v>0</v>
      </c>
      <c r="E611" s="157">
        <v>1</v>
      </c>
      <c r="F611" s="150" t="s">
        <v>2578</v>
      </c>
      <c r="G611" s="150" t="s">
        <v>4067</v>
      </c>
      <c r="H611" s="636" t="s">
        <v>4788</v>
      </c>
      <c r="J611" s="368"/>
    </row>
    <row r="612" spans="1:10">
      <c r="A612" s="357" t="s">
        <v>16259</v>
      </c>
      <c r="B612" s="434">
        <v>50</v>
      </c>
      <c r="C612" s="435">
        <v>0</v>
      </c>
      <c r="D612" s="436">
        <v>0</v>
      </c>
      <c r="E612" s="437">
        <v>1</v>
      </c>
      <c r="F612" s="357" t="s">
        <v>2608</v>
      </c>
      <c r="G612" s="150" t="s">
        <v>4067</v>
      </c>
      <c r="H612" s="634" t="s">
        <v>4551</v>
      </c>
      <c r="J612" s="368"/>
    </row>
    <row r="613" spans="1:10">
      <c r="A613" s="535" t="s">
        <v>4073</v>
      </c>
      <c r="B613" s="434">
        <v>20</v>
      </c>
      <c r="C613" s="435">
        <v>0</v>
      </c>
      <c r="D613" s="436">
        <v>0</v>
      </c>
      <c r="E613" s="437">
        <v>1</v>
      </c>
      <c r="F613" s="535" t="s">
        <v>2608</v>
      </c>
      <c r="G613" s="150" t="s">
        <v>4067</v>
      </c>
      <c r="H613" s="635" t="s">
        <v>14976</v>
      </c>
      <c r="J613" s="368"/>
    </row>
    <row r="614" spans="1:10">
      <c r="A614" s="357" t="s">
        <v>4787</v>
      </c>
      <c r="B614" s="434">
        <v>30</v>
      </c>
      <c r="C614" s="435">
        <v>0</v>
      </c>
      <c r="D614" s="436">
        <v>0</v>
      </c>
      <c r="E614" s="157">
        <v>1</v>
      </c>
      <c r="F614" s="357" t="s">
        <v>2608</v>
      </c>
      <c r="G614" s="357" t="s">
        <v>4067</v>
      </c>
      <c r="H614" s="635" t="s">
        <v>4788</v>
      </c>
      <c r="J614" s="368"/>
    </row>
    <row r="615" spans="1:10">
      <c r="A615" s="357" t="s">
        <v>15001</v>
      </c>
      <c r="B615" s="434">
        <v>50</v>
      </c>
      <c r="C615" s="435">
        <v>0</v>
      </c>
      <c r="D615" s="436">
        <v>0</v>
      </c>
      <c r="E615" s="437">
        <v>1</v>
      </c>
      <c r="F615" s="357" t="s">
        <v>2608</v>
      </c>
      <c r="G615" s="150" t="s">
        <v>4067</v>
      </c>
      <c r="H615" s="635" t="s">
        <v>15002</v>
      </c>
      <c r="J615" s="368"/>
    </row>
    <row r="616" spans="1:10">
      <c r="A616" s="357" t="s">
        <v>15000</v>
      </c>
      <c r="B616" s="434">
        <v>20</v>
      </c>
      <c r="C616" s="435">
        <v>0</v>
      </c>
      <c r="D616" s="436">
        <v>0</v>
      </c>
      <c r="E616" s="437">
        <v>1</v>
      </c>
      <c r="F616" s="535" t="s">
        <v>2607</v>
      </c>
      <c r="G616" s="150" t="s">
        <v>4067</v>
      </c>
      <c r="H616" s="635" t="s">
        <v>9388</v>
      </c>
      <c r="J616" s="368"/>
    </row>
    <row r="617" spans="1:10">
      <c r="A617" s="357" t="s">
        <v>15004</v>
      </c>
      <c r="B617" s="434">
        <v>10</v>
      </c>
      <c r="C617" s="435">
        <v>0</v>
      </c>
      <c r="D617" s="436">
        <v>0</v>
      </c>
      <c r="E617" s="157">
        <v>1</v>
      </c>
      <c r="F617" s="357" t="s">
        <v>2572</v>
      </c>
      <c r="G617" s="150" t="s">
        <v>4067</v>
      </c>
      <c r="H617" s="635" t="s">
        <v>13274</v>
      </c>
      <c r="J617" s="368"/>
    </row>
    <row r="618" spans="1:10">
      <c r="A618" s="357" t="s">
        <v>17496</v>
      </c>
      <c r="B618" s="434">
        <v>15</v>
      </c>
      <c r="C618" s="435">
        <v>0</v>
      </c>
      <c r="D618" s="436">
        <v>0</v>
      </c>
      <c r="E618" s="437">
        <v>1</v>
      </c>
      <c r="F618" s="357" t="s">
        <v>2608</v>
      </c>
      <c r="G618" s="150" t="s">
        <v>4067</v>
      </c>
      <c r="H618" s="635" t="s">
        <v>12798</v>
      </c>
      <c r="J618" s="368"/>
    </row>
    <row r="619" spans="1:10">
      <c r="A619" s="535" t="s">
        <v>4074</v>
      </c>
      <c r="B619" s="434">
        <v>10</v>
      </c>
      <c r="C619" s="435">
        <v>0</v>
      </c>
      <c r="D619" s="436">
        <v>0</v>
      </c>
      <c r="E619" s="437">
        <v>1</v>
      </c>
      <c r="F619" s="535" t="s">
        <v>2578</v>
      </c>
      <c r="G619" s="150" t="s">
        <v>4067</v>
      </c>
      <c r="H619" s="635" t="s">
        <v>9388</v>
      </c>
      <c r="J619" s="368"/>
    </row>
    <row r="620" spans="1:10">
      <c r="A620" s="357" t="s">
        <v>11652</v>
      </c>
      <c r="B620" s="434">
        <v>15</v>
      </c>
      <c r="C620" s="435">
        <v>0</v>
      </c>
      <c r="D620" s="436">
        <v>0</v>
      </c>
      <c r="E620" s="157">
        <v>1</v>
      </c>
      <c r="F620" s="357" t="s">
        <v>2578</v>
      </c>
      <c r="G620" s="150" t="s">
        <v>4067</v>
      </c>
      <c r="H620" s="635" t="s">
        <v>11651</v>
      </c>
      <c r="J620" s="368"/>
    </row>
    <row r="621" spans="1:10">
      <c r="A621" s="147" t="s">
        <v>4075</v>
      </c>
      <c r="B621" s="154">
        <v>150</v>
      </c>
      <c r="C621" s="155">
        <v>0</v>
      </c>
      <c r="D621" s="156">
        <v>0</v>
      </c>
      <c r="E621" s="437">
        <v>1</v>
      </c>
      <c r="F621" s="147" t="s">
        <v>2608</v>
      </c>
      <c r="G621" s="150" t="s">
        <v>4067</v>
      </c>
      <c r="H621" s="636" t="s">
        <v>14974</v>
      </c>
      <c r="J621" s="368"/>
    </row>
    <row r="622" spans="1:10">
      <c r="A622" s="357" t="s">
        <v>12894</v>
      </c>
      <c r="B622" s="434">
        <v>20</v>
      </c>
      <c r="C622" s="435">
        <v>0</v>
      </c>
      <c r="D622" s="436">
        <v>0</v>
      </c>
      <c r="E622" s="437">
        <v>1</v>
      </c>
      <c r="F622" s="357" t="s">
        <v>2608</v>
      </c>
      <c r="G622" s="150" t="s">
        <v>4067</v>
      </c>
      <c r="H622" s="635" t="s">
        <v>12895</v>
      </c>
      <c r="J622" s="368"/>
    </row>
    <row r="623" spans="1:10">
      <c r="A623" s="357" t="s">
        <v>16133</v>
      </c>
      <c r="B623" s="434">
        <v>9500</v>
      </c>
      <c r="C623" s="435">
        <v>0</v>
      </c>
      <c r="D623" s="436">
        <v>0</v>
      </c>
      <c r="E623" s="157">
        <v>1</v>
      </c>
      <c r="F623" s="357" t="s">
        <v>8801</v>
      </c>
      <c r="G623" s="150" t="s">
        <v>4067</v>
      </c>
      <c r="H623" s="635" t="s">
        <v>17484</v>
      </c>
      <c r="J623" s="368"/>
    </row>
    <row r="624" spans="1:10">
      <c r="A624" s="357" t="s">
        <v>16261</v>
      </c>
      <c r="B624" s="434">
        <v>80</v>
      </c>
      <c r="C624" s="435">
        <v>0</v>
      </c>
      <c r="D624" s="436">
        <v>0</v>
      </c>
      <c r="E624" s="437">
        <v>1</v>
      </c>
      <c r="F624" s="535" t="s">
        <v>2607</v>
      </c>
      <c r="G624" s="150" t="s">
        <v>4067</v>
      </c>
      <c r="H624" s="635" t="s">
        <v>9389</v>
      </c>
      <c r="J624" s="368"/>
    </row>
    <row r="625" spans="1:10">
      <c r="A625" s="357" t="s">
        <v>16134</v>
      </c>
      <c r="B625" s="434">
        <v>8000</v>
      </c>
      <c r="C625" s="435">
        <v>0</v>
      </c>
      <c r="D625" s="436">
        <v>0</v>
      </c>
      <c r="E625" s="437">
        <v>1</v>
      </c>
      <c r="F625" s="357" t="s">
        <v>8801</v>
      </c>
      <c r="G625" s="150" t="s">
        <v>4067</v>
      </c>
      <c r="H625" s="635" t="s">
        <v>17484</v>
      </c>
      <c r="J625" s="368"/>
    </row>
    <row r="626" spans="1:10">
      <c r="A626" s="357" t="s">
        <v>12801</v>
      </c>
      <c r="B626" s="434">
        <v>150</v>
      </c>
      <c r="C626" s="155">
        <v>0</v>
      </c>
      <c r="D626" s="156">
        <v>0</v>
      </c>
      <c r="E626" s="157">
        <v>1</v>
      </c>
      <c r="F626" s="535" t="s">
        <v>2607</v>
      </c>
      <c r="G626" s="150" t="s">
        <v>4067</v>
      </c>
      <c r="H626" s="635" t="s">
        <v>9389</v>
      </c>
      <c r="J626" s="368"/>
    </row>
    <row r="627" spans="1:10">
      <c r="A627" s="357" t="s">
        <v>11650</v>
      </c>
      <c r="B627" s="434">
        <v>15</v>
      </c>
      <c r="C627" s="435">
        <v>0</v>
      </c>
      <c r="D627" s="436">
        <v>0</v>
      </c>
      <c r="E627" s="437">
        <v>1</v>
      </c>
      <c r="F627" s="357" t="s">
        <v>2578</v>
      </c>
      <c r="G627" s="150" t="s">
        <v>4067</v>
      </c>
      <c r="H627" s="635" t="s">
        <v>11651</v>
      </c>
      <c r="J627" s="368"/>
    </row>
    <row r="628" spans="1:10">
      <c r="A628" s="357" t="s">
        <v>12803</v>
      </c>
      <c r="B628" s="434">
        <v>30</v>
      </c>
      <c r="C628" s="435">
        <v>0</v>
      </c>
      <c r="D628" s="436">
        <v>0</v>
      </c>
      <c r="E628" s="437">
        <v>1</v>
      </c>
      <c r="F628" s="357" t="s">
        <v>2607</v>
      </c>
      <c r="G628" s="150" t="s">
        <v>4067</v>
      </c>
      <c r="H628" s="635" t="s">
        <v>12804</v>
      </c>
      <c r="J628" s="368"/>
    </row>
    <row r="629" spans="1:10">
      <c r="A629" s="357" t="s">
        <v>9972</v>
      </c>
      <c r="B629" s="434">
        <v>60</v>
      </c>
      <c r="C629" s="435">
        <v>0</v>
      </c>
      <c r="D629" s="436">
        <v>0</v>
      </c>
      <c r="E629" s="157">
        <v>1</v>
      </c>
      <c r="F629" s="357" t="s">
        <v>2607</v>
      </c>
      <c r="G629" s="150" t="s">
        <v>4067</v>
      </c>
      <c r="H629" s="635" t="s">
        <v>9971</v>
      </c>
      <c r="J629" s="368"/>
    </row>
    <row r="630" spans="1:10">
      <c r="A630" s="357" t="s">
        <v>13272</v>
      </c>
      <c r="B630" s="434">
        <v>5000</v>
      </c>
      <c r="C630" s="435">
        <v>0</v>
      </c>
      <c r="D630" s="436">
        <v>0</v>
      </c>
      <c r="E630" s="437">
        <v>1</v>
      </c>
      <c r="F630" s="357" t="s">
        <v>8801</v>
      </c>
      <c r="G630" s="150" t="s">
        <v>4067</v>
      </c>
      <c r="H630" s="635" t="s">
        <v>13273</v>
      </c>
      <c r="J630" s="368"/>
    </row>
    <row r="631" spans="1:10">
      <c r="A631" s="357" t="s">
        <v>13271</v>
      </c>
      <c r="B631" s="434">
        <v>8000</v>
      </c>
      <c r="C631" s="435">
        <v>0</v>
      </c>
      <c r="D631" s="436">
        <v>0</v>
      </c>
      <c r="E631" s="437">
        <v>1</v>
      </c>
      <c r="F631" s="357" t="s">
        <v>8801</v>
      </c>
      <c r="G631" s="150" t="s">
        <v>4067</v>
      </c>
      <c r="H631" s="635" t="s">
        <v>13179</v>
      </c>
      <c r="J631" s="368"/>
    </row>
    <row r="632" spans="1:10">
      <c r="A632" s="357" t="s">
        <v>9968</v>
      </c>
      <c r="B632" s="434">
        <v>150</v>
      </c>
      <c r="C632" s="435">
        <v>0</v>
      </c>
      <c r="D632" s="436">
        <v>0</v>
      </c>
      <c r="E632" s="157">
        <v>1</v>
      </c>
      <c r="F632" s="357" t="s">
        <v>2608</v>
      </c>
      <c r="G632" s="150" t="s">
        <v>4067</v>
      </c>
      <c r="H632" s="635" t="s">
        <v>9971</v>
      </c>
      <c r="J632" s="368"/>
    </row>
    <row r="633" spans="1:10">
      <c r="A633" s="357" t="s">
        <v>9974</v>
      </c>
      <c r="B633" s="434">
        <v>60</v>
      </c>
      <c r="C633" s="155">
        <v>0</v>
      </c>
      <c r="D633" s="156">
        <v>0</v>
      </c>
      <c r="E633" s="437">
        <v>1</v>
      </c>
      <c r="F633" s="357" t="s">
        <v>2607</v>
      </c>
      <c r="G633" s="150" t="s">
        <v>4067</v>
      </c>
      <c r="H633" s="635" t="s">
        <v>9973</v>
      </c>
      <c r="J633" s="368"/>
    </row>
    <row r="634" spans="1:10">
      <c r="A634" s="357" t="s">
        <v>16227</v>
      </c>
      <c r="B634" s="434">
        <v>7500</v>
      </c>
      <c r="C634" s="435">
        <v>0</v>
      </c>
      <c r="D634" s="436">
        <v>0</v>
      </c>
      <c r="E634" s="437">
        <v>1</v>
      </c>
      <c r="F634" s="357" t="s">
        <v>8801</v>
      </c>
      <c r="G634" s="150" t="s">
        <v>4067</v>
      </c>
      <c r="H634" s="635" t="s">
        <v>16228</v>
      </c>
      <c r="J634" s="368"/>
    </row>
    <row r="635" spans="1:10">
      <c r="A635" s="357" t="s">
        <v>16296</v>
      </c>
      <c r="B635" s="434">
        <v>9666</v>
      </c>
      <c r="C635" s="435">
        <v>0</v>
      </c>
      <c r="D635" s="436">
        <v>0</v>
      </c>
      <c r="E635" s="157">
        <v>1</v>
      </c>
      <c r="F635" s="357" t="s">
        <v>8801</v>
      </c>
      <c r="G635" s="150" t="s">
        <v>4067</v>
      </c>
      <c r="H635" s="634" t="s">
        <v>4551</v>
      </c>
      <c r="J635" s="368"/>
    </row>
    <row r="636" spans="1:10">
      <c r="A636" s="357" t="s">
        <v>16260</v>
      </c>
      <c r="B636" s="434">
        <v>67</v>
      </c>
      <c r="C636" s="435">
        <v>0</v>
      </c>
      <c r="D636" s="436">
        <v>0</v>
      </c>
      <c r="E636" s="437">
        <v>1</v>
      </c>
      <c r="F636" s="357" t="s">
        <v>2608</v>
      </c>
      <c r="G636" s="150" t="s">
        <v>4067</v>
      </c>
      <c r="H636" s="634" t="s">
        <v>4551</v>
      </c>
      <c r="J636" s="368"/>
    </row>
    <row r="637" spans="1:10">
      <c r="A637" s="357" t="s">
        <v>9969</v>
      </c>
      <c r="B637" s="434">
        <v>72</v>
      </c>
      <c r="C637" s="435">
        <v>0</v>
      </c>
      <c r="D637" s="436">
        <v>0</v>
      </c>
      <c r="E637" s="437">
        <v>1</v>
      </c>
      <c r="F637" s="357" t="s">
        <v>2608</v>
      </c>
      <c r="G637" s="150" t="s">
        <v>4067</v>
      </c>
      <c r="H637" s="635" t="s">
        <v>9970</v>
      </c>
      <c r="J637" s="368"/>
    </row>
    <row r="638" spans="1:10">
      <c r="A638" s="535" t="s">
        <v>4076</v>
      </c>
      <c r="B638" s="434">
        <v>100</v>
      </c>
      <c r="C638" s="435">
        <v>0</v>
      </c>
      <c r="D638" s="436">
        <v>0</v>
      </c>
      <c r="E638" s="157">
        <v>1</v>
      </c>
      <c r="F638" s="535" t="s">
        <v>2608</v>
      </c>
      <c r="G638" s="150" t="s">
        <v>4067</v>
      </c>
      <c r="H638" s="635" t="s">
        <v>9389</v>
      </c>
      <c r="J638" s="368"/>
    </row>
    <row r="639" spans="1:10">
      <c r="A639" s="357" t="s">
        <v>15005</v>
      </c>
      <c r="B639" s="434">
        <v>200</v>
      </c>
      <c r="C639" s="435">
        <v>0</v>
      </c>
      <c r="D639" s="436">
        <v>0</v>
      </c>
      <c r="E639" s="437">
        <v>1</v>
      </c>
      <c r="F639" s="357" t="s">
        <v>2608</v>
      </c>
      <c r="G639" s="150" t="s">
        <v>4067</v>
      </c>
      <c r="H639" s="635" t="s">
        <v>15002</v>
      </c>
      <c r="J639" s="368"/>
    </row>
    <row r="640" spans="1:10">
      <c r="A640" s="357" t="s">
        <v>13284</v>
      </c>
      <c r="B640" s="434">
        <v>80</v>
      </c>
      <c r="C640" s="435">
        <v>0</v>
      </c>
      <c r="D640" s="436">
        <v>0</v>
      </c>
      <c r="E640" s="437">
        <v>1</v>
      </c>
      <c r="F640" s="357" t="s">
        <v>2607</v>
      </c>
      <c r="G640" s="150" t="s">
        <v>4067</v>
      </c>
      <c r="H640" s="635" t="s">
        <v>13285</v>
      </c>
      <c r="J640" s="368"/>
    </row>
    <row r="641" spans="1:10">
      <c r="A641" s="357" t="s">
        <v>16263</v>
      </c>
      <c r="B641" s="434">
        <v>60</v>
      </c>
      <c r="C641" s="155">
        <v>0</v>
      </c>
      <c r="D641" s="156">
        <v>0</v>
      </c>
      <c r="E641" s="157">
        <v>1</v>
      </c>
      <c r="F641" s="357" t="s">
        <v>2608</v>
      </c>
      <c r="G641" s="150" t="s">
        <v>4067</v>
      </c>
      <c r="H641" s="635" t="s">
        <v>16577</v>
      </c>
      <c r="J641" s="368"/>
    </row>
    <row r="642" spans="1:10">
      <c r="A642" s="357" t="s">
        <v>16256</v>
      </c>
      <c r="B642" s="434">
        <v>30</v>
      </c>
      <c r="C642" s="155">
        <v>0</v>
      </c>
      <c r="D642" s="156">
        <v>0</v>
      </c>
      <c r="E642" s="437">
        <v>1</v>
      </c>
      <c r="F642" s="535" t="s">
        <v>2608</v>
      </c>
      <c r="G642" s="150" t="s">
        <v>4067</v>
      </c>
      <c r="H642" s="635" t="s">
        <v>11655</v>
      </c>
      <c r="J642" s="368"/>
    </row>
    <row r="643" spans="1:10">
      <c r="A643" s="357" t="s">
        <v>12144</v>
      </c>
      <c r="B643" s="434">
        <v>13</v>
      </c>
      <c r="C643" s="155">
        <v>0</v>
      </c>
      <c r="D643" s="156">
        <v>0</v>
      </c>
      <c r="E643" s="437">
        <v>4</v>
      </c>
      <c r="F643" s="357" t="s">
        <v>2572</v>
      </c>
      <c r="G643" s="150" t="s">
        <v>12489</v>
      </c>
      <c r="H643" s="635" t="s">
        <v>12135</v>
      </c>
      <c r="J643" s="368"/>
    </row>
    <row r="644" spans="1:10">
      <c r="A644" s="357" t="s">
        <v>12148</v>
      </c>
      <c r="B644" s="434">
        <v>50</v>
      </c>
      <c r="C644" s="155">
        <v>0</v>
      </c>
      <c r="D644" s="156">
        <v>0</v>
      </c>
      <c r="E644" s="437">
        <v>3</v>
      </c>
      <c r="F644" s="357" t="s">
        <v>2607</v>
      </c>
      <c r="G644" s="150" t="s">
        <v>12489</v>
      </c>
      <c r="H644" s="635" t="s">
        <v>12135</v>
      </c>
      <c r="J644" s="368"/>
    </row>
    <row r="645" spans="1:10">
      <c r="A645" s="357" t="s">
        <v>15510</v>
      </c>
      <c r="B645" s="434">
        <v>1</v>
      </c>
      <c r="C645" s="155">
        <v>0</v>
      </c>
      <c r="D645" s="156">
        <v>0</v>
      </c>
      <c r="E645" s="437">
        <v>3</v>
      </c>
      <c r="F645" s="357" t="s">
        <v>2572</v>
      </c>
      <c r="G645" s="150" t="s">
        <v>12489</v>
      </c>
      <c r="H645" s="634" t="s">
        <v>4551</v>
      </c>
      <c r="J645" s="368"/>
    </row>
    <row r="646" spans="1:10">
      <c r="A646" s="357" t="s">
        <v>12138</v>
      </c>
      <c r="B646" s="434">
        <v>800</v>
      </c>
      <c r="C646" s="155">
        <v>0</v>
      </c>
      <c r="D646" s="156">
        <v>0</v>
      </c>
      <c r="E646" s="437">
        <v>1</v>
      </c>
      <c r="F646" s="357" t="s">
        <v>8801</v>
      </c>
      <c r="G646" s="150" t="s">
        <v>12489</v>
      </c>
      <c r="H646" s="635" t="s">
        <v>12135</v>
      </c>
      <c r="J646" s="368"/>
    </row>
    <row r="647" spans="1:10">
      <c r="A647" s="357" t="s">
        <v>12140</v>
      </c>
      <c r="B647" s="434">
        <v>12</v>
      </c>
      <c r="C647" s="435">
        <v>0</v>
      </c>
      <c r="D647" s="436">
        <v>0</v>
      </c>
      <c r="E647" s="437">
        <v>3</v>
      </c>
      <c r="F647" s="357" t="s">
        <v>2578</v>
      </c>
      <c r="G647" s="150" t="s">
        <v>12489</v>
      </c>
      <c r="H647" s="635" t="s">
        <v>12135</v>
      </c>
      <c r="J647" s="368"/>
    </row>
    <row r="648" spans="1:10">
      <c r="A648" s="349" t="s">
        <v>4289</v>
      </c>
      <c r="B648" s="434">
        <v>10</v>
      </c>
      <c r="C648" s="435">
        <v>0</v>
      </c>
      <c r="D648" s="436">
        <v>0</v>
      </c>
      <c r="E648" s="437">
        <v>2</v>
      </c>
      <c r="F648" s="349" t="s">
        <v>2578</v>
      </c>
      <c r="G648" s="150" t="s">
        <v>12489</v>
      </c>
      <c r="H648" s="635" t="s">
        <v>9366</v>
      </c>
      <c r="J648" s="368"/>
    </row>
    <row r="649" spans="1:10">
      <c r="A649" s="357" t="s">
        <v>12143</v>
      </c>
      <c r="B649" s="434">
        <v>20</v>
      </c>
      <c r="C649" s="435">
        <v>0</v>
      </c>
      <c r="D649" s="436">
        <v>0</v>
      </c>
      <c r="E649" s="437">
        <v>4</v>
      </c>
      <c r="F649" s="357" t="s">
        <v>2572</v>
      </c>
      <c r="G649" s="150" t="s">
        <v>12489</v>
      </c>
      <c r="H649" s="635" t="s">
        <v>12135</v>
      </c>
      <c r="J649" s="368"/>
    </row>
    <row r="650" spans="1:10">
      <c r="A650" s="357" t="s">
        <v>15509</v>
      </c>
      <c r="B650" s="434">
        <v>100</v>
      </c>
      <c r="C650" s="435">
        <v>0</v>
      </c>
      <c r="D650" s="436">
        <v>0</v>
      </c>
      <c r="E650" s="437">
        <v>3</v>
      </c>
      <c r="F650" s="357" t="s">
        <v>2608</v>
      </c>
      <c r="G650" s="150" t="s">
        <v>12489</v>
      </c>
      <c r="H650" s="634" t="s">
        <v>4551</v>
      </c>
      <c r="J650" s="368"/>
    </row>
    <row r="651" spans="1:10">
      <c r="A651" s="357" t="s">
        <v>15511</v>
      </c>
      <c r="B651" s="434">
        <v>6</v>
      </c>
      <c r="C651" s="435">
        <v>0</v>
      </c>
      <c r="D651" s="436">
        <v>0</v>
      </c>
      <c r="E651" s="437">
        <v>2</v>
      </c>
      <c r="F651" s="349" t="s">
        <v>2572</v>
      </c>
      <c r="G651" s="150" t="s">
        <v>12489</v>
      </c>
      <c r="H651" s="634" t="s">
        <v>4551</v>
      </c>
      <c r="J651" s="368"/>
    </row>
    <row r="652" spans="1:10">
      <c r="A652" s="357" t="s">
        <v>15512</v>
      </c>
      <c r="B652" s="434">
        <v>0</v>
      </c>
      <c r="C652" s="435">
        <v>30</v>
      </c>
      <c r="D652" s="436">
        <v>0</v>
      </c>
      <c r="E652" s="437">
        <v>1</v>
      </c>
      <c r="F652" s="357" t="s">
        <v>3877</v>
      </c>
      <c r="G652" s="150" t="s">
        <v>12489</v>
      </c>
      <c r="H652" s="634" t="s">
        <v>4551</v>
      </c>
      <c r="J652" s="368"/>
    </row>
    <row r="653" spans="1:10">
      <c r="A653" s="357" t="s">
        <v>12145</v>
      </c>
      <c r="B653" s="434">
        <v>4</v>
      </c>
      <c r="C653" s="155">
        <v>0</v>
      </c>
      <c r="D653" s="156">
        <v>0</v>
      </c>
      <c r="E653" s="437">
        <v>10</v>
      </c>
      <c r="F653" s="357" t="s">
        <v>2572</v>
      </c>
      <c r="G653" s="150" t="s">
        <v>12489</v>
      </c>
      <c r="H653" s="635" t="s">
        <v>12135</v>
      </c>
      <c r="J653" s="368"/>
    </row>
    <row r="654" spans="1:10">
      <c r="A654" s="357" t="s">
        <v>12139</v>
      </c>
      <c r="B654" s="434">
        <v>9</v>
      </c>
      <c r="C654" s="435">
        <v>0</v>
      </c>
      <c r="D654" s="436">
        <v>0</v>
      </c>
      <c r="E654" s="437">
        <v>4</v>
      </c>
      <c r="F654" s="357" t="s">
        <v>2578</v>
      </c>
      <c r="G654" s="150" t="s">
        <v>12489</v>
      </c>
      <c r="H654" s="635" t="s">
        <v>12135</v>
      </c>
      <c r="J654" s="368"/>
    </row>
    <row r="655" spans="1:10">
      <c r="A655" s="150" t="s">
        <v>12137</v>
      </c>
      <c r="B655" s="154">
        <v>40</v>
      </c>
      <c r="C655" s="155">
        <v>0</v>
      </c>
      <c r="D655" s="156">
        <v>0</v>
      </c>
      <c r="E655" s="157">
        <v>3</v>
      </c>
      <c r="F655" s="150" t="s">
        <v>2578</v>
      </c>
      <c r="G655" s="150" t="s">
        <v>12489</v>
      </c>
      <c r="H655" s="636" t="s">
        <v>12135</v>
      </c>
      <c r="J655" s="368"/>
    </row>
    <row r="656" spans="1:10">
      <c r="A656" s="147" t="s">
        <v>4078</v>
      </c>
      <c r="B656" s="154">
        <v>0</v>
      </c>
      <c r="C656" s="155">
        <v>0</v>
      </c>
      <c r="D656" s="156">
        <v>2</v>
      </c>
      <c r="E656" s="157">
        <v>0</v>
      </c>
      <c r="F656" s="147" t="s">
        <v>2574</v>
      </c>
      <c r="G656" s="150" t="s">
        <v>4088</v>
      </c>
      <c r="H656" s="636" t="s">
        <v>9389</v>
      </c>
      <c r="J656" s="368"/>
    </row>
    <row r="657" spans="1:10">
      <c r="A657" s="150" t="s">
        <v>5872</v>
      </c>
      <c r="B657" s="154">
        <v>25</v>
      </c>
      <c r="C657" s="155">
        <v>0</v>
      </c>
      <c r="D657" s="156">
        <v>0</v>
      </c>
      <c r="E657" s="157">
        <v>0</v>
      </c>
      <c r="F657" s="150" t="s">
        <v>2607</v>
      </c>
      <c r="G657" s="147" t="s">
        <v>4088</v>
      </c>
      <c r="H657" s="636" t="s">
        <v>5860</v>
      </c>
      <c r="J657" s="368"/>
    </row>
    <row r="658" spans="1:10">
      <c r="A658" s="357" t="s">
        <v>12207</v>
      </c>
      <c r="B658" s="434">
        <v>1000</v>
      </c>
      <c r="C658" s="435">
        <v>0</v>
      </c>
      <c r="D658" s="436">
        <v>0</v>
      </c>
      <c r="E658" s="437">
        <v>0</v>
      </c>
      <c r="F658" s="357" t="s">
        <v>8801</v>
      </c>
      <c r="G658" s="147" t="s">
        <v>4088</v>
      </c>
      <c r="H658" s="637" t="s">
        <v>4551</v>
      </c>
      <c r="J658" s="368"/>
    </row>
    <row r="659" spans="1:10">
      <c r="A659" s="357" t="s">
        <v>11472</v>
      </c>
      <c r="B659" s="434">
        <v>20</v>
      </c>
      <c r="C659" s="435">
        <v>0</v>
      </c>
      <c r="D659" s="436">
        <v>0</v>
      </c>
      <c r="E659" s="437">
        <v>0</v>
      </c>
      <c r="F659" s="150" t="s">
        <v>2607</v>
      </c>
      <c r="G659" s="147" t="s">
        <v>4088</v>
      </c>
      <c r="H659" s="637" t="s">
        <v>4551</v>
      </c>
      <c r="J659" s="368"/>
    </row>
    <row r="660" spans="1:10">
      <c r="A660" s="150" t="s">
        <v>4935</v>
      </c>
      <c r="B660" s="154">
        <v>10</v>
      </c>
      <c r="C660" s="155">
        <v>0</v>
      </c>
      <c r="D660" s="156">
        <v>0</v>
      </c>
      <c r="E660" s="157">
        <v>25</v>
      </c>
      <c r="F660" s="150" t="s">
        <v>2572</v>
      </c>
      <c r="G660" s="147" t="s">
        <v>4088</v>
      </c>
      <c r="H660" s="636" t="s">
        <v>4941</v>
      </c>
      <c r="J660" s="368"/>
    </row>
    <row r="661" spans="1:10">
      <c r="A661" s="150" t="s">
        <v>5865</v>
      </c>
      <c r="B661" s="154">
        <v>35</v>
      </c>
      <c r="C661" s="155">
        <v>0</v>
      </c>
      <c r="D661" s="156">
        <v>0</v>
      </c>
      <c r="E661" s="157">
        <v>55</v>
      </c>
      <c r="F661" s="150" t="s">
        <v>2608</v>
      </c>
      <c r="G661" s="147" t="s">
        <v>4088</v>
      </c>
      <c r="H661" s="636" t="s">
        <v>5860</v>
      </c>
      <c r="J661" s="368"/>
    </row>
    <row r="662" spans="1:10">
      <c r="A662" s="150" t="s">
        <v>5866</v>
      </c>
      <c r="B662" s="154">
        <v>0</v>
      </c>
      <c r="C662" s="155">
        <v>12</v>
      </c>
      <c r="D662" s="156">
        <v>0</v>
      </c>
      <c r="E662" s="157">
        <v>0</v>
      </c>
      <c r="F662" s="150" t="s">
        <v>2607</v>
      </c>
      <c r="G662" s="147" t="s">
        <v>4088</v>
      </c>
      <c r="H662" s="636" t="s">
        <v>5860</v>
      </c>
      <c r="J662" s="368"/>
    </row>
    <row r="663" spans="1:10">
      <c r="A663" s="150" t="s">
        <v>5868</v>
      </c>
      <c r="B663" s="154">
        <v>0</v>
      </c>
      <c r="C663" s="155">
        <v>0</v>
      </c>
      <c r="D663" s="156">
        <v>7</v>
      </c>
      <c r="E663" s="157">
        <v>0</v>
      </c>
      <c r="F663" s="150" t="s">
        <v>2607</v>
      </c>
      <c r="G663" s="147" t="s">
        <v>4088</v>
      </c>
      <c r="H663" s="636" t="s">
        <v>5860</v>
      </c>
      <c r="J663" s="368"/>
    </row>
    <row r="664" spans="1:10">
      <c r="A664" s="150" t="s">
        <v>5870</v>
      </c>
      <c r="B664" s="154">
        <v>5</v>
      </c>
      <c r="C664" s="155">
        <v>0</v>
      </c>
      <c r="D664" s="156">
        <v>0</v>
      </c>
      <c r="E664" s="157">
        <v>5</v>
      </c>
      <c r="F664" s="150" t="s">
        <v>2607</v>
      </c>
      <c r="G664" s="147" t="s">
        <v>4088</v>
      </c>
      <c r="H664" s="636" t="s">
        <v>5860</v>
      </c>
      <c r="J664" s="368"/>
    </row>
    <row r="665" spans="1:10">
      <c r="A665" s="357" t="s">
        <v>11295</v>
      </c>
      <c r="B665" s="434">
        <v>1</v>
      </c>
      <c r="C665" s="435">
        <v>0</v>
      </c>
      <c r="D665" s="436">
        <v>0</v>
      </c>
      <c r="E665" s="437">
        <v>0</v>
      </c>
      <c r="F665" s="357" t="s">
        <v>2608</v>
      </c>
      <c r="G665" s="147" t="s">
        <v>4088</v>
      </c>
      <c r="H665" s="637" t="s">
        <v>4551</v>
      </c>
      <c r="J665" s="368"/>
    </row>
    <row r="666" spans="1:10">
      <c r="A666" s="357" t="s">
        <v>11549</v>
      </c>
      <c r="B666" s="434">
        <v>0</v>
      </c>
      <c r="C666" s="435">
        <v>0</v>
      </c>
      <c r="D666" s="436">
        <v>5</v>
      </c>
      <c r="E666" s="437">
        <v>0</v>
      </c>
      <c r="F666" s="357" t="s">
        <v>2607</v>
      </c>
      <c r="G666" s="147" t="s">
        <v>4088</v>
      </c>
      <c r="H666" s="635"/>
      <c r="J666" s="368"/>
    </row>
    <row r="667" spans="1:10">
      <c r="A667" s="150" t="s">
        <v>5862</v>
      </c>
      <c r="B667" s="154">
        <v>1</v>
      </c>
      <c r="C667" s="155">
        <v>0</v>
      </c>
      <c r="D667" s="156">
        <v>0</v>
      </c>
      <c r="E667" s="157">
        <v>0</v>
      </c>
      <c r="F667" s="150" t="s">
        <v>2608</v>
      </c>
      <c r="G667" s="147" t="s">
        <v>4088</v>
      </c>
      <c r="H667" s="636" t="s">
        <v>5860</v>
      </c>
      <c r="J667" s="368"/>
    </row>
    <row r="668" spans="1:10">
      <c r="A668" s="150" t="s">
        <v>5867</v>
      </c>
      <c r="B668" s="154">
        <v>25</v>
      </c>
      <c r="C668" s="155">
        <v>0</v>
      </c>
      <c r="D668" s="156">
        <v>0</v>
      </c>
      <c r="E668" s="157">
        <v>0</v>
      </c>
      <c r="F668" s="150" t="s">
        <v>2607</v>
      </c>
      <c r="G668" s="147" t="s">
        <v>4088</v>
      </c>
      <c r="H668" s="636" t="s">
        <v>5860</v>
      </c>
      <c r="J668" s="368"/>
    </row>
    <row r="669" spans="1:10">
      <c r="A669" s="150" t="s">
        <v>4081</v>
      </c>
      <c r="B669" s="154">
        <v>10</v>
      </c>
      <c r="C669" s="155">
        <v>0</v>
      </c>
      <c r="D669" s="156">
        <v>0</v>
      </c>
      <c r="E669" s="157">
        <v>0</v>
      </c>
      <c r="F669" s="147" t="s">
        <v>2578</v>
      </c>
      <c r="G669" s="147" t="s">
        <v>4088</v>
      </c>
      <c r="H669" s="636" t="s">
        <v>9390</v>
      </c>
      <c r="J669" s="368"/>
    </row>
    <row r="670" spans="1:10">
      <c r="A670" s="357" t="s">
        <v>12224</v>
      </c>
      <c r="B670" s="434">
        <v>1</v>
      </c>
      <c r="C670" s="435">
        <v>0</v>
      </c>
      <c r="D670" s="436">
        <v>0</v>
      </c>
      <c r="E670" s="437">
        <v>0</v>
      </c>
      <c r="F670" s="357" t="s">
        <v>2607</v>
      </c>
      <c r="G670" s="147" t="s">
        <v>4088</v>
      </c>
      <c r="H670" s="634" t="s">
        <v>4551</v>
      </c>
      <c r="J670" s="368"/>
    </row>
    <row r="671" spans="1:10">
      <c r="A671" s="150" t="s">
        <v>4939</v>
      </c>
      <c r="B671" s="154">
        <v>50</v>
      </c>
      <c r="C671" s="155">
        <v>0</v>
      </c>
      <c r="D671" s="156">
        <v>0</v>
      </c>
      <c r="E671" s="157">
        <v>1</v>
      </c>
      <c r="F671" s="150" t="s">
        <v>2607</v>
      </c>
      <c r="G671" s="147" t="s">
        <v>4088</v>
      </c>
      <c r="H671" s="636" t="s">
        <v>4941</v>
      </c>
      <c r="J671" s="368"/>
    </row>
    <row r="672" spans="1:10">
      <c r="A672" s="357" t="s">
        <v>11336</v>
      </c>
      <c r="B672" s="434">
        <v>10</v>
      </c>
      <c r="C672" s="435">
        <v>0</v>
      </c>
      <c r="D672" s="436">
        <v>0</v>
      </c>
      <c r="E672" s="437">
        <v>0</v>
      </c>
      <c r="F672" s="357" t="s">
        <v>2607</v>
      </c>
      <c r="G672" s="147" t="s">
        <v>4088</v>
      </c>
      <c r="H672" s="635"/>
      <c r="J672" s="368"/>
    </row>
    <row r="673" spans="1:10">
      <c r="A673" s="150" t="s">
        <v>5864</v>
      </c>
      <c r="B673" s="154">
        <v>1</v>
      </c>
      <c r="C673" s="155">
        <v>0</v>
      </c>
      <c r="D673" s="156">
        <v>0</v>
      </c>
      <c r="E673" s="157">
        <v>0</v>
      </c>
      <c r="F673" s="150" t="s">
        <v>2578</v>
      </c>
      <c r="G673" s="147" t="s">
        <v>4088</v>
      </c>
      <c r="H673" s="636" t="s">
        <v>5860</v>
      </c>
      <c r="J673" s="368"/>
    </row>
    <row r="674" spans="1:10">
      <c r="A674" s="150" t="s">
        <v>15202</v>
      </c>
      <c r="B674" s="154">
        <v>5</v>
      </c>
      <c r="C674" s="155">
        <v>0</v>
      </c>
      <c r="D674" s="156">
        <v>0</v>
      </c>
      <c r="E674" s="157">
        <v>1</v>
      </c>
      <c r="F674" s="150" t="s">
        <v>2572</v>
      </c>
      <c r="G674" s="147" t="s">
        <v>4088</v>
      </c>
      <c r="H674" s="636" t="s">
        <v>5860</v>
      </c>
      <c r="J674" s="368"/>
    </row>
    <row r="675" spans="1:10">
      <c r="A675" s="147" t="s">
        <v>4083</v>
      </c>
      <c r="B675" s="154">
        <v>1</v>
      </c>
      <c r="C675" s="155">
        <v>0</v>
      </c>
      <c r="D675" s="156">
        <v>0</v>
      </c>
      <c r="E675" s="157">
        <v>0</v>
      </c>
      <c r="F675" s="147" t="s">
        <v>2574</v>
      </c>
      <c r="G675" s="147" t="s">
        <v>4088</v>
      </c>
      <c r="H675" s="636" t="s">
        <v>9390</v>
      </c>
      <c r="J675" s="368"/>
    </row>
    <row r="676" spans="1:10">
      <c r="A676" s="150" t="s">
        <v>9026</v>
      </c>
      <c r="B676" s="154">
        <v>10</v>
      </c>
      <c r="C676" s="155">
        <v>0</v>
      </c>
      <c r="D676" s="156">
        <v>0</v>
      </c>
      <c r="E676" s="157">
        <v>0</v>
      </c>
      <c r="F676" s="150" t="s">
        <v>2572</v>
      </c>
      <c r="G676" s="147" t="s">
        <v>4088</v>
      </c>
      <c r="H676" s="636" t="s">
        <v>5860</v>
      </c>
      <c r="J676" s="368"/>
    </row>
    <row r="677" spans="1:10">
      <c r="A677" s="150" t="s">
        <v>4937</v>
      </c>
      <c r="B677" s="154">
        <v>20</v>
      </c>
      <c r="C677" s="155">
        <v>0</v>
      </c>
      <c r="D677" s="156">
        <v>0</v>
      </c>
      <c r="E677" s="157">
        <v>1</v>
      </c>
      <c r="F677" s="150" t="s">
        <v>2574</v>
      </c>
      <c r="G677" s="147" t="s">
        <v>4088</v>
      </c>
      <c r="H677" s="636" t="s">
        <v>4941</v>
      </c>
      <c r="J677" s="368"/>
    </row>
    <row r="678" spans="1:10">
      <c r="A678" s="150" t="s">
        <v>5863</v>
      </c>
      <c r="B678" s="154">
        <v>0</v>
      </c>
      <c r="C678" s="155">
        <v>0</v>
      </c>
      <c r="D678" s="156">
        <v>0</v>
      </c>
      <c r="E678" s="157">
        <v>0</v>
      </c>
      <c r="F678" s="150" t="s">
        <v>2572</v>
      </c>
      <c r="G678" s="147" t="s">
        <v>4088</v>
      </c>
      <c r="H678" s="636" t="s">
        <v>5860</v>
      </c>
      <c r="J678" s="368"/>
    </row>
    <row r="679" spans="1:10">
      <c r="A679" s="357" t="s">
        <v>12218</v>
      </c>
      <c r="B679" s="434">
        <v>1</v>
      </c>
      <c r="C679" s="435">
        <v>0</v>
      </c>
      <c r="D679" s="436">
        <v>0</v>
      </c>
      <c r="E679" s="437">
        <v>0</v>
      </c>
      <c r="F679" s="357" t="s">
        <v>2607</v>
      </c>
      <c r="G679" s="147" t="s">
        <v>4088</v>
      </c>
      <c r="H679" s="637" t="s">
        <v>4551</v>
      </c>
      <c r="J679" s="368"/>
    </row>
    <row r="680" spans="1:10">
      <c r="A680" s="357" t="s">
        <v>14964</v>
      </c>
      <c r="B680" s="434">
        <v>1</v>
      </c>
      <c r="C680" s="435">
        <v>0</v>
      </c>
      <c r="D680" s="436">
        <v>0</v>
      </c>
      <c r="E680" s="437">
        <v>0</v>
      </c>
      <c r="F680" s="357" t="s">
        <v>2607</v>
      </c>
      <c r="G680" s="147" t="s">
        <v>4088</v>
      </c>
      <c r="H680" s="636" t="s">
        <v>14966</v>
      </c>
      <c r="J680" s="368"/>
    </row>
    <row r="681" spans="1:10">
      <c r="A681" s="150" t="s">
        <v>4938</v>
      </c>
      <c r="B681" s="154">
        <v>35</v>
      </c>
      <c r="C681" s="155">
        <v>0</v>
      </c>
      <c r="D681" s="156">
        <v>0</v>
      </c>
      <c r="E681" s="157">
        <v>1</v>
      </c>
      <c r="F681" s="150" t="s">
        <v>2578</v>
      </c>
      <c r="G681" s="147" t="s">
        <v>4088</v>
      </c>
      <c r="H681" s="636" t="s">
        <v>4941</v>
      </c>
      <c r="J681" s="368"/>
    </row>
    <row r="682" spans="1:10">
      <c r="A682" s="150" t="s">
        <v>5861</v>
      </c>
      <c r="B682" s="154">
        <v>0</v>
      </c>
      <c r="C682" s="155">
        <v>12</v>
      </c>
      <c r="D682" s="156">
        <v>0</v>
      </c>
      <c r="E682" s="157">
        <v>5</v>
      </c>
      <c r="F682" s="150" t="s">
        <v>2607</v>
      </c>
      <c r="G682" s="147" t="s">
        <v>4088</v>
      </c>
      <c r="H682" s="636" t="s">
        <v>5860</v>
      </c>
      <c r="J682" s="368"/>
    </row>
    <row r="683" spans="1:10">
      <c r="A683" s="147" t="s">
        <v>4088</v>
      </c>
      <c r="B683" s="154">
        <v>15</v>
      </c>
      <c r="C683" s="155">
        <v>0</v>
      </c>
      <c r="D683" s="156">
        <v>0</v>
      </c>
      <c r="E683" s="157">
        <v>0</v>
      </c>
      <c r="F683" s="147" t="s">
        <v>2572</v>
      </c>
      <c r="G683" s="150" t="s">
        <v>4088</v>
      </c>
      <c r="H683" s="636" t="s">
        <v>9390</v>
      </c>
      <c r="J683" s="368"/>
    </row>
    <row r="684" spans="1:10">
      <c r="A684" s="357" t="s">
        <v>10874</v>
      </c>
      <c r="B684" s="434">
        <v>3000</v>
      </c>
      <c r="C684" s="435">
        <v>0</v>
      </c>
      <c r="D684" s="436">
        <v>0</v>
      </c>
      <c r="E684" s="437">
        <v>1</v>
      </c>
      <c r="F684" s="357" t="s">
        <v>8801</v>
      </c>
      <c r="G684" s="150" t="s">
        <v>4088</v>
      </c>
      <c r="H684" s="637" t="s">
        <v>4551</v>
      </c>
      <c r="J684" s="368"/>
    </row>
    <row r="685" spans="1:10">
      <c r="A685" s="150" t="s">
        <v>4936</v>
      </c>
      <c r="B685" s="154">
        <v>15</v>
      </c>
      <c r="C685" s="155">
        <v>0</v>
      </c>
      <c r="D685" s="156">
        <v>0</v>
      </c>
      <c r="E685" s="157">
        <v>10</v>
      </c>
      <c r="F685" s="150" t="s">
        <v>2572</v>
      </c>
      <c r="G685" s="147" t="s">
        <v>4088</v>
      </c>
      <c r="H685" s="636" t="s">
        <v>4941</v>
      </c>
      <c r="J685" s="368"/>
    </row>
    <row r="686" spans="1:10">
      <c r="A686" s="150" t="s">
        <v>5869</v>
      </c>
      <c r="B686" s="154">
        <v>15</v>
      </c>
      <c r="C686" s="155">
        <v>0</v>
      </c>
      <c r="D686" s="156">
        <v>0</v>
      </c>
      <c r="E686" s="157">
        <v>0</v>
      </c>
      <c r="F686" s="150" t="s">
        <v>2572</v>
      </c>
      <c r="G686" s="147" t="s">
        <v>4088</v>
      </c>
      <c r="H686" s="636" t="s">
        <v>5860</v>
      </c>
      <c r="J686" s="368"/>
    </row>
    <row r="687" spans="1:10">
      <c r="A687" s="357" t="s">
        <v>15203</v>
      </c>
      <c r="B687" s="434">
        <v>1</v>
      </c>
      <c r="C687" s="435">
        <v>0</v>
      </c>
      <c r="D687" s="436">
        <v>0</v>
      </c>
      <c r="E687" s="437">
        <v>0</v>
      </c>
      <c r="F687" s="357" t="s">
        <v>2578</v>
      </c>
      <c r="G687" s="147" t="s">
        <v>4088</v>
      </c>
      <c r="H687" s="635" t="s">
        <v>15271</v>
      </c>
      <c r="J687" s="368"/>
    </row>
    <row r="688" spans="1:10">
      <c r="A688" s="147" t="s">
        <v>4086</v>
      </c>
      <c r="B688" s="154">
        <v>8</v>
      </c>
      <c r="C688" s="155">
        <v>0</v>
      </c>
      <c r="D688" s="156">
        <v>0</v>
      </c>
      <c r="E688" s="157">
        <v>0</v>
      </c>
      <c r="F688" s="147" t="s">
        <v>2572</v>
      </c>
      <c r="G688" s="150" t="s">
        <v>4088</v>
      </c>
      <c r="H688" s="636" t="s">
        <v>9390</v>
      </c>
      <c r="J688" s="368"/>
    </row>
    <row r="689" spans="1:10">
      <c r="A689" s="147" t="s">
        <v>3738</v>
      </c>
      <c r="B689" s="154">
        <v>0</v>
      </c>
      <c r="C689" s="155">
        <v>0</v>
      </c>
      <c r="D689" s="156">
        <v>2</v>
      </c>
      <c r="E689" s="157">
        <v>0</v>
      </c>
      <c r="F689" s="147" t="s">
        <v>2574</v>
      </c>
      <c r="G689" s="150" t="s">
        <v>4088</v>
      </c>
      <c r="H689" s="636"/>
      <c r="J689" s="368"/>
    </row>
    <row r="690" spans="1:10">
      <c r="A690" s="150" t="s">
        <v>10778</v>
      </c>
      <c r="B690" s="434">
        <v>50</v>
      </c>
      <c r="C690" s="435">
        <v>0</v>
      </c>
      <c r="D690" s="436">
        <v>0</v>
      </c>
      <c r="E690" s="437">
        <v>0</v>
      </c>
      <c r="F690" s="357" t="s">
        <v>2608</v>
      </c>
      <c r="G690" s="150" t="s">
        <v>4088</v>
      </c>
      <c r="H690" s="635" t="s">
        <v>10780</v>
      </c>
      <c r="J690" s="368"/>
    </row>
    <row r="691" spans="1:10">
      <c r="A691" s="150" t="s">
        <v>5871</v>
      </c>
      <c r="B691" s="154">
        <v>10</v>
      </c>
      <c r="C691" s="155">
        <v>0</v>
      </c>
      <c r="D691" s="156">
        <v>0</v>
      </c>
      <c r="E691" s="157">
        <v>0</v>
      </c>
      <c r="F691" s="150" t="s">
        <v>2572</v>
      </c>
      <c r="G691" s="147" t="s">
        <v>4088</v>
      </c>
      <c r="H691" s="636" t="s">
        <v>5860</v>
      </c>
      <c r="J691" s="368"/>
    </row>
    <row r="692" spans="1:10">
      <c r="A692" s="357" t="s">
        <v>10825</v>
      </c>
      <c r="B692" s="434">
        <v>50</v>
      </c>
      <c r="C692" s="435">
        <v>0</v>
      </c>
      <c r="D692" s="436">
        <v>0</v>
      </c>
      <c r="E692" s="157">
        <v>0</v>
      </c>
      <c r="F692" s="357" t="s">
        <v>2608</v>
      </c>
      <c r="G692" s="147" t="s">
        <v>4088</v>
      </c>
      <c r="H692" s="635"/>
      <c r="J692" s="368"/>
    </row>
    <row r="693" spans="1:10">
      <c r="A693" s="148" t="s">
        <v>4336</v>
      </c>
      <c r="B693" s="154">
        <v>50</v>
      </c>
      <c r="C693" s="155">
        <v>0</v>
      </c>
      <c r="D693" s="156">
        <v>0</v>
      </c>
      <c r="E693" s="157">
        <v>0</v>
      </c>
      <c r="F693" s="148" t="s">
        <v>2572</v>
      </c>
      <c r="G693" s="147" t="s">
        <v>4056</v>
      </c>
      <c r="H693" s="636" t="s">
        <v>11331</v>
      </c>
      <c r="J693" s="368"/>
    </row>
    <row r="694" spans="1:10">
      <c r="A694" s="147" t="s">
        <v>4055</v>
      </c>
      <c r="B694" s="154">
        <v>25</v>
      </c>
      <c r="C694" s="155">
        <v>0</v>
      </c>
      <c r="D694" s="156">
        <v>0</v>
      </c>
      <c r="E694" s="157">
        <v>0</v>
      </c>
      <c r="F694" s="147" t="s">
        <v>2608</v>
      </c>
      <c r="G694" s="147" t="s">
        <v>4056</v>
      </c>
      <c r="H694" s="636" t="s">
        <v>9385</v>
      </c>
      <c r="J694" s="368"/>
    </row>
    <row r="695" spans="1:10">
      <c r="A695" s="147" t="s">
        <v>4057</v>
      </c>
      <c r="B695" s="154">
        <v>50</v>
      </c>
      <c r="C695" s="155">
        <v>0</v>
      </c>
      <c r="D695" s="156">
        <v>0</v>
      </c>
      <c r="E695" s="157">
        <v>5</v>
      </c>
      <c r="F695" s="147" t="s">
        <v>2608</v>
      </c>
      <c r="G695" s="147" t="s">
        <v>4056</v>
      </c>
      <c r="H695" s="636" t="s">
        <v>11653</v>
      </c>
      <c r="J695" s="368"/>
    </row>
    <row r="696" spans="1:10">
      <c r="A696" s="357" t="s">
        <v>9913</v>
      </c>
      <c r="B696" s="434">
        <v>0</v>
      </c>
      <c r="C696" s="435">
        <v>10</v>
      </c>
      <c r="D696" s="436">
        <v>0</v>
      </c>
      <c r="E696" s="437">
        <v>2</v>
      </c>
      <c r="F696" s="357" t="s">
        <v>2608</v>
      </c>
      <c r="G696" s="147" t="s">
        <v>4056</v>
      </c>
      <c r="H696" s="635" t="s">
        <v>9904</v>
      </c>
      <c r="J696" s="368"/>
    </row>
    <row r="697" spans="1:10">
      <c r="A697" s="147" t="s">
        <v>4058</v>
      </c>
      <c r="B697" s="154">
        <v>10</v>
      </c>
      <c r="C697" s="155">
        <v>0</v>
      </c>
      <c r="D697" s="156">
        <v>0</v>
      </c>
      <c r="E697" s="157">
        <v>0</v>
      </c>
      <c r="F697" s="147" t="s">
        <v>2578</v>
      </c>
      <c r="G697" s="147" t="s">
        <v>4056</v>
      </c>
      <c r="H697" s="636" t="s">
        <v>9385</v>
      </c>
      <c r="J697" s="368"/>
    </row>
    <row r="698" spans="1:10">
      <c r="A698" s="148" t="str">
        <f>IF(Pays="Inja","Amrita, Nectar des dieux","Crachat des dieux")</f>
        <v>Crachat des dieux</v>
      </c>
      <c r="B698" s="154">
        <v>100</v>
      </c>
      <c r="C698" s="155">
        <v>0</v>
      </c>
      <c r="D698" s="156">
        <v>0</v>
      </c>
      <c r="E698" s="157">
        <v>0</v>
      </c>
      <c r="F698" s="148" t="s">
        <v>2578</v>
      </c>
      <c r="G698" s="147" t="s">
        <v>4056</v>
      </c>
      <c r="H698" s="636" t="s">
        <v>12223</v>
      </c>
      <c r="J698" s="368"/>
    </row>
    <row r="699" spans="1:10">
      <c r="A699" s="349" t="s">
        <v>12215</v>
      </c>
      <c r="B699" s="434">
        <v>1000</v>
      </c>
      <c r="C699" s="435">
        <v>0</v>
      </c>
      <c r="D699" s="436">
        <v>0</v>
      </c>
      <c r="E699" s="437">
        <v>0</v>
      </c>
      <c r="F699" s="349" t="s">
        <v>8801</v>
      </c>
      <c r="G699" s="147" t="s">
        <v>4056</v>
      </c>
      <c r="H699" s="636" t="s">
        <v>4551</v>
      </c>
      <c r="J699" s="368"/>
    </row>
    <row r="700" spans="1:10">
      <c r="A700" s="147" t="s">
        <v>4059</v>
      </c>
      <c r="B700" s="154">
        <v>30</v>
      </c>
      <c r="C700" s="155">
        <v>0</v>
      </c>
      <c r="D700" s="156">
        <v>0</v>
      </c>
      <c r="E700" s="157">
        <v>0</v>
      </c>
      <c r="F700" s="147" t="s">
        <v>2607</v>
      </c>
      <c r="G700" s="147" t="s">
        <v>4056</v>
      </c>
      <c r="H700" s="636" t="s">
        <v>11653</v>
      </c>
      <c r="J700" s="368"/>
    </row>
    <row r="701" spans="1:10">
      <c r="A701" s="150" t="s">
        <v>17497</v>
      </c>
      <c r="B701" s="154">
        <v>0</v>
      </c>
      <c r="C701" s="155">
        <v>18</v>
      </c>
      <c r="D701" s="156">
        <v>0</v>
      </c>
      <c r="E701" s="157">
        <v>0</v>
      </c>
      <c r="F701" s="147" t="s">
        <v>2574</v>
      </c>
      <c r="G701" s="147" t="s">
        <v>4056</v>
      </c>
      <c r="H701" s="636" t="s">
        <v>9385</v>
      </c>
      <c r="J701" s="368"/>
    </row>
    <row r="702" spans="1:10">
      <c r="A702" s="357" t="s">
        <v>17498</v>
      </c>
      <c r="B702" s="434">
        <v>80000</v>
      </c>
      <c r="C702" s="435">
        <v>0</v>
      </c>
      <c r="D702" s="436">
        <v>0</v>
      </c>
      <c r="E702" s="437">
        <v>0</v>
      </c>
      <c r="F702" s="357" t="s">
        <v>8801</v>
      </c>
      <c r="G702" s="147" t="s">
        <v>4056</v>
      </c>
      <c r="H702" s="637" t="s">
        <v>4551</v>
      </c>
      <c r="J702" s="368"/>
    </row>
    <row r="703" spans="1:10">
      <c r="A703" s="147" t="s">
        <v>4060</v>
      </c>
      <c r="B703" s="154">
        <v>225</v>
      </c>
      <c r="C703" s="155">
        <v>0</v>
      </c>
      <c r="D703" s="156">
        <v>0</v>
      </c>
      <c r="E703" s="157">
        <v>0</v>
      </c>
      <c r="F703" s="147" t="s">
        <v>2608</v>
      </c>
      <c r="G703" s="147" t="s">
        <v>4056</v>
      </c>
      <c r="H703" s="636"/>
      <c r="J703" s="368"/>
    </row>
    <row r="704" spans="1:10">
      <c r="A704" s="147" t="s">
        <v>4061</v>
      </c>
      <c r="B704" s="154">
        <v>0</v>
      </c>
      <c r="C704" s="155">
        <v>25</v>
      </c>
      <c r="D704" s="156">
        <v>0</v>
      </c>
      <c r="E704" s="157">
        <v>0</v>
      </c>
      <c r="F704" s="147" t="s">
        <v>2578</v>
      </c>
      <c r="G704" s="147" t="s">
        <v>4056</v>
      </c>
      <c r="H704" s="636" t="s">
        <v>9386</v>
      </c>
      <c r="J704" s="368"/>
    </row>
    <row r="705" spans="1:10">
      <c r="A705" s="147" t="s">
        <v>4062</v>
      </c>
      <c r="B705" s="154">
        <v>50</v>
      </c>
      <c r="C705" s="155">
        <v>0</v>
      </c>
      <c r="D705" s="156">
        <v>0</v>
      </c>
      <c r="E705" s="157">
        <v>0</v>
      </c>
      <c r="F705" s="147" t="s">
        <v>2578</v>
      </c>
      <c r="G705" s="147" t="s">
        <v>4056</v>
      </c>
      <c r="H705" s="636" t="s">
        <v>9386</v>
      </c>
      <c r="J705" s="368"/>
    </row>
    <row r="706" spans="1:10">
      <c r="A706" s="357" t="s">
        <v>17499</v>
      </c>
      <c r="B706" s="434">
        <v>30</v>
      </c>
      <c r="C706" s="155">
        <v>0</v>
      </c>
      <c r="D706" s="156">
        <v>0</v>
      </c>
      <c r="E706" s="437"/>
      <c r="F706" s="357" t="s">
        <v>2578</v>
      </c>
      <c r="G706" s="147" t="s">
        <v>4056</v>
      </c>
      <c r="H706" s="635" t="s">
        <v>16580</v>
      </c>
      <c r="J706" s="368"/>
    </row>
    <row r="707" spans="1:10">
      <c r="A707" s="148" t="s">
        <v>4337</v>
      </c>
      <c r="B707" s="154">
        <v>200</v>
      </c>
      <c r="C707" s="155">
        <v>0</v>
      </c>
      <c r="D707" s="156">
        <v>0</v>
      </c>
      <c r="E707" s="157">
        <v>0</v>
      </c>
      <c r="F707" s="148" t="s">
        <v>2607</v>
      </c>
      <c r="G707" s="147" t="s">
        <v>4056</v>
      </c>
      <c r="H707" s="636" t="s">
        <v>11331</v>
      </c>
      <c r="J707" s="368"/>
    </row>
    <row r="708" spans="1:10">
      <c r="A708" s="150" t="s">
        <v>11589</v>
      </c>
      <c r="B708" s="434">
        <v>800</v>
      </c>
      <c r="C708" s="435">
        <v>0</v>
      </c>
      <c r="D708" s="436">
        <v>0</v>
      </c>
      <c r="E708" s="437">
        <v>0</v>
      </c>
      <c r="F708" s="357" t="s">
        <v>8801</v>
      </c>
      <c r="G708" s="147" t="s">
        <v>4056</v>
      </c>
      <c r="H708" s="635" t="s">
        <v>11594</v>
      </c>
      <c r="J708" s="368"/>
    </row>
    <row r="709" spans="1:10">
      <c r="A709" s="148" t="s">
        <v>4338</v>
      </c>
      <c r="B709" s="154">
        <v>50</v>
      </c>
      <c r="C709" s="155">
        <v>0</v>
      </c>
      <c r="D709" s="156">
        <v>0</v>
      </c>
      <c r="E709" s="157">
        <v>0</v>
      </c>
      <c r="F709" s="148" t="s">
        <v>2572</v>
      </c>
      <c r="G709" s="147" t="s">
        <v>4056</v>
      </c>
      <c r="H709" s="636" t="s">
        <v>11331</v>
      </c>
      <c r="J709" s="368"/>
    </row>
    <row r="710" spans="1:10">
      <c r="A710" s="357" t="s">
        <v>12903</v>
      </c>
      <c r="B710" s="434">
        <v>2</v>
      </c>
      <c r="C710" s="435">
        <v>2</v>
      </c>
      <c r="D710" s="436">
        <v>2</v>
      </c>
      <c r="E710" s="437">
        <v>0</v>
      </c>
      <c r="F710" s="357" t="s">
        <v>2608</v>
      </c>
      <c r="G710" s="147" t="s">
        <v>4056</v>
      </c>
      <c r="H710" s="635" t="s">
        <v>12895</v>
      </c>
      <c r="J710" s="368"/>
    </row>
    <row r="711" spans="1:10">
      <c r="A711" s="147" t="s">
        <v>4063</v>
      </c>
      <c r="B711" s="154">
        <v>300</v>
      </c>
      <c r="C711" s="155">
        <v>0</v>
      </c>
      <c r="D711" s="156">
        <v>0</v>
      </c>
      <c r="E711" s="157">
        <v>0</v>
      </c>
      <c r="F711" s="147" t="s">
        <v>2608</v>
      </c>
      <c r="G711" s="147" t="s">
        <v>4056</v>
      </c>
      <c r="H711" s="636" t="s">
        <v>9386</v>
      </c>
      <c r="J711" s="368"/>
    </row>
    <row r="712" spans="1:10">
      <c r="A712" s="148" t="s">
        <v>4339</v>
      </c>
      <c r="B712" s="154">
        <v>110</v>
      </c>
      <c r="C712" s="155">
        <v>0</v>
      </c>
      <c r="D712" s="156">
        <v>0</v>
      </c>
      <c r="E712" s="157">
        <v>0</v>
      </c>
      <c r="F712" s="148" t="s">
        <v>2607</v>
      </c>
      <c r="G712" s="147" t="s">
        <v>4056</v>
      </c>
      <c r="H712" s="636" t="s">
        <v>11332</v>
      </c>
      <c r="J712" s="368"/>
    </row>
    <row r="713" spans="1:10">
      <c r="A713" s="147" t="s">
        <v>4064</v>
      </c>
      <c r="B713" s="154">
        <v>11</v>
      </c>
      <c r="C713" s="155">
        <v>0</v>
      </c>
      <c r="D713" s="156">
        <v>0</v>
      </c>
      <c r="E713" s="157">
        <v>0</v>
      </c>
      <c r="F713" s="147" t="s">
        <v>2574</v>
      </c>
      <c r="G713" s="147" t="s">
        <v>4056</v>
      </c>
      <c r="H713" s="636" t="s">
        <v>9386</v>
      </c>
      <c r="J713" s="368"/>
    </row>
    <row r="714" spans="1:10">
      <c r="A714" s="148" t="s">
        <v>4340</v>
      </c>
      <c r="B714" s="154">
        <v>750</v>
      </c>
      <c r="C714" s="155">
        <v>0</v>
      </c>
      <c r="D714" s="156">
        <v>0</v>
      </c>
      <c r="E714" s="157">
        <v>0</v>
      </c>
      <c r="F714" s="148" t="s">
        <v>2608</v>
      </c>
      <c r="G714" s="147" t="s">
        <v>4056</v>
      </c>
      <c r="H714" s="636" t="s">
        <v>11332</v>
      </c>
      <c r="J714" s="368"/>
    </row>
    <row r="715" spans="1:10">
      <c r="A715" s="148" t="s">
        <v>4341</v>
      </c>
      <c r="B715" s="154">
        <v>70</v>
      </c>
      <c r="C715" s="155">
        <v>0</v>
      </c>
      <c r="D715" s="156">
        <v>0</v>
      </c>
      <c r="E715" s="157">
        <v>0</v>
      </c>
      <c r="F715" s="148" t="s">
        <v>2572</v>
      </c>
      <c r="G715" s="147" t="s">
        <v>4056</v>
      </c>
      <c r="H715" s="636" t="s">
        <v>11332</v>
      </c>
      <c r="J715" s="368"/>
    </row>
    <row r="716" spans="1:10">
      <c r="A716" s="148" t="s">
        <v>4342</v>
      </c>
      <c r="B716" s="154">
        <v>300</v>
      </c>
      <c r="C716" s="155">
        <v>0</v>
      </c>
      <c r="D716" s="156">
        <v>0</v>
      </c>
      <c r="E716" s="157">
        <v>0</v>
      </c>
      <c r="F716" s="148" t="s">
        <v>2607</v>
      </c>
      <c r="G716" s="147" t="s">
        <v>4056</v>
      </c>
      <c r="H716" s="636" t="s">
        <v>11332</v>
      </c>
      <c r="J716" s="368"/>
    </row>
    <row r="717" spans="1:10">
      <c r="A717" s="148" t="s">
        <v>4343</v>
      </c>
      <c r="B717" s="154">
        <v>300</v>
      </c>
      <c r="C717" s="155">
        <v>0</v>
      </c>
      <c r="D717" s="156">
        <v>0</v>
      </c>
      <c r="E717" s="157">
        <v>0</v>
      </c>
      <c r="F717" s="148" t="s">
        <v>2607</v>
      </c>
      <c r="G717" s="147" t="s">
        <v>4056</v>
      </c>
      <c r="H717" s="636" t="s">
        <v>11332</v>
      </c>
      <c r="J717" s="368"/>
    </row>
    <row r="718" spans="1:10">
      <c r="A718" s="148" t="s">
        <v>4344</v>
      </c>
      <c r="B718" s="154">
        <v>500</v>
      </c>
      <c r="C718" s="155">
        <v>0</v>
      </c>
      <c r="D718" s="156">
        <v>0</v>
      </c>
      <c r="E718" s="157">
        <v>0</v>
      </c>
      <c r="F718" s="148" t="s">
        <v>2608</v>
      </c>
      <c r="G718" s="147" t="s">
        <v>4056</v>
      </c>
      <c r="H718" s="636" t="s">
        <v>11332</v>
      </c>
      <c r="J718" s="368"/>
    </row>
    <row r="719" spans="1:10">
      <c r="A719" s="150" t="s">
        <v>11333</v>
      </c>
      <c r="B719" s="154">
        <v>175</v>
      </c>
      <c r="C719" s="155">
        <v>0</v>
      </c>
      <c r="D719" s="156">
        <v>0</v>
      </c>
      <c r="E719" s="157">
        <v>0</v>
      </c>
      <c r="F719" s="148" t="s">
        <v>2607</v>
      </c>
      <c r="G719" s="147" t="s">
        <v>4056</v>
      </c>
      <c r="H719" s="636" t="s">
        <v>11332</v>
      </c>
      <c r="J719" s="368"/>
    </row>
    <row r="720" spans="1:10">
      <c r="A720" s="148" t="s">
        <v>4345</v>
      </c>
      <c r="B720" s="154">
        <v>550</v>
      </c>
      <c r="C720" s="155">
        <v>0</v>
      </c>
      <c r="D720" s="156">
        <v>0</v>
      </c>
      <c r="E720" s="157">
        <v>0</v>
      </c>
      <c r="F720" s="148" t="s">
        <v>2608</v>
      </c>
      <c r="G720" s="147" t="s">
        <v>4056</v>
      </c>
      <c r="H720" s="636" t="s">
        <v>11334</v>
      </c>
      <c r="J720" s="368"/>
    </row>
    <row r="721" spans="1:10">
      <c r="A721" s="147" t="s">
        <v>4065</v>
      </c>
      <c r="B721" s="154">
        <v>5</v>
      </c>
      <c r="C721" s="155">
        <v>0</v>
      </c>
      <c r="D721" s="156">
        <v>0</v>
      </c>
      <c r="E721" s="157">
        <v>0</v>
      </c>
      <c r="F721" s="147" t="s">
        <v>2572</v>
      </c>
      <c r="G721" s="147" t="s">
        <v>4056</v>
      </c>
      <c r="H721" s="636" t="s">
        <v>14980</v>
      </c>
      <c r="J721" s="368"/>
    </row>
    <row r="722" spans="1:10">
      <c r="A722" s="148" t="s">
        <v>4346</v>
      </c>
      <c r="B722" s="154">
        <v>250</v>
      </c>
      <c r="C722" s="155">
        <v>0</v>
      </c>
      <c r="D722" s="156">
        <v>0</v>
      </c>
      <c r="E722" s="157">
        <v>0</v>
      </c>
      <c r="F722" s="148" t="s">
        <v>2607</v>
      </c>
      <c r="G722" s="147" t="s">
        <v>4056</v>
      </c>
      <c r="H722" s="636" t="s">
        <v>11334</v>
      </c>
      <c r="J722" s="368"/>
    </row>
    <row r="723" spans="1:10">
      <c r="A723" s="148" t="s">
        <v>4347</v>
      </c>
      <c r="B723" s="154">
        <v>75</v>
      </c>
      <c r="C723" s="155">
        <v>0</v>
      </c>
      <c r="D723" s="156">
        <v>0</v>
      </c>
      <c r="E723" s="157">
        <v>0</v>
      </c>
      <c r="F723" s="148" t="s">
        <v>2578</v>
      </c>
      <c r="G723" s="147" t="s">
        <v>4056</v>
      </c>
      <c r="H723" s="636" t="s">
        <v>11334</v>
      </c>
      <c r="J723" s="368"/>
    </row>
    <row r="724" spans="1:10">
      <c r="A724" s="148" t="s">
        <v>4348</v>
      </c>
      <c r="B724" s="154">
        <v>175</v>
      </c>
      <c r="C724" s="155">
        <v>0</v>
      </c>
      <c r="D724" s="156">
        <v>0</v>
      </c>
      <c r="E724" s="157">
        <v>0</v>
      </c>
      <c r="F724" s="148" t="s">
        <v>2607</v>
      </c>
      <c r="G724" s="147" t="s">
        <v>4056</v>
      </c>
      <c r="H724" s="636" t="s">
        <v>11334</v>
      </c>
      <c r="J724" s="368"/>
    </row>
    <row r="725" spans="1:10">
      <c r="A725" s="150" t="s">
        <v>9352</v>
      </c>
      <c r="B725" s="154">
        <v>1</v>
      </c>
      <c r="C725" s="155">
        <v>0</v>
      </c>
      <c r="D725" s="156">
        <v>0</v>
      </c>
      <c r="E725" s="157">
        <v>5</v>
      </c>
      <c r="F725" s="150" t="s">
        <v>2607</v>
      </c>
      <c r="G725" s="147" t="s">
        <v>4056</v>
      </c>
      <c r="H725" s="635" t="s">
        <v>11314</v>
      </c>
      <c r="J725" s="368"/>
    </row>
    <row r="726" spans="1:10">
      <c r="A726" s="150" t="s">
        <v>17500</v>
      </c>
      <c r="B726" s="154">
        <v>0</v>
      </c>
      <c r="C726" s="155">
        <v>0</v>
      </c>
      <c r="D726" s="156">
        <v>6</v>
      </c>
      <c r="E726" s="157">
        <v>0</v>
      </c>
      <c r="F726" s="148" t="s">
        <v>2574</v>
      </c>
      <c r="G726" s="147" t="s">
        <v>4107</v>
      </c>
      <c r="H726" s="636" t="s">
        <v>9392</v>
      </c>
      <c r="J726" s="368"/>
    </row>
    <row r="727" spans="1:10">
      <c r="A727" s="150" t="s">
        <v>17501</v>
      </c>
      <c r="B727" s="154">
        <v>0</v>
      </c>
      <c r="C727" s="155">
        <v>0</v>
      </c>
      <c r="D727" s="156">
        <v>5</v>
      </c>
      <c r="E727" s="157">
        <v>0</v>
      </c>
      <c r="F727" s="148" t="s">
        <v>2574</v>
      </c>
      <c r="G727" s="147" t="s">
        <v>4107</v>
      </c>
      <c r="H727" s="636" t="s">
        <v>9392</v>
      </c>
      <c r="J727" s="368"/>
    </row>
    <row r="728" spans="1:10">
      <c r="A728" s="148" t="s">
        <v>4099</v>
      </c>
      <c r="B728" s="154">
        <v>0</v>
      </c>
      <c r="C728" s="155">
        <v>10</v>
      </c>
      <c r="D728" s="156">
        <v>0</v>
      </c>
      <c r="E728" s="157">
        <v>0</v>
      </c>
      <c r="F728" s="148" t="s">
        <v>2572</v>
      </c>
      <c r="G728" s="147" t="s">
        <v>4107</v>
      </c>
      <c r="H728" s="636" t="s">
        <v>9392</v>
      </c>
      <c r="J728" s="368"/>
    </row>
    <row r="729" spans="1:10">
      <c r="A729" s="148" t="s">
        <v>4100</v>
      </c>
      <c r="B729" s="154">
        <v>0</v>
      </c>
      <c r="C729" s="155">
        <v>10</v>
      </c>
      <c r="D729" s="156">
        <v>0</v>
      </c>
      <c r="E729" s="157">
        <v>0</v>
      </c>
      <c r="F729" s="148" t="s">
        <v>2572</v>
      </c>
      <c r="G729" s="147" t="s">
        <v>4107</v>
      </c>
      <c r="H729" s="636" t="s">
        <v>9393</v>
      </c>
      <c r="J729" s="368"/>
    </row>
    <row r="730" spans="1:10">
      <c r="A730" s="148" t="s">
        <v>4101</v>
      </c>
      <c r="B730" s="154">
        <v>0</v>
      </c>
      <c r="C730" s="155">
        <v>3</v>
      </c>
      <c r="D730" s="156">
        <v>0</v>
      </c>
      <c r="E730" s="157">
        <v>0</v>
      </c>
      <c r="F730" s="148" t="s">
        <v>2572</v>
      </c>
      <c r="G730" s="147" t="s">
        <v>4107</v>
      </c>
      <c r="H730" s="636" t="s">
        <v>9393</v>
      </c>
      <c r="J730" s="368"/>
    </row>
    <row r="731" spans="1:10">
      <c r="A731" s="148" t="s">
        <v>4102</v>
      </c>
      <c r="B731" s="154">
        <v>0</v>
      </c>
      <c r="C731" s="155">
        <v>6</v>
      </c>
      <c r="D731" s="156">
        <v>0</v>
      </c>
      <c r="E731" s="157">
        <v>0</v>
      </c>
      <c r="F731" s="148" t="s">
        <v>2572</v>
      </c>
      <c r="G731" s="147" t="s">
        <v>4107</v>
      </c>
      <c r="H731" s="636" t="s">
        <v>9393</v>
      </c>
      <c r="J731" s="368"/>
    </row>
    <row r="732" spans="1:10">
      <c r="A732" s="148" t="s">
        <v>4103</v>
      </c>
      <c r="B732" s="154">
        <v>60</v>
      </c>
      <c r="C732" s="155">
        <v>0</v>
      </c>
      <c r="D732" s="156">
        <v>0</v>
      </c>
      <c r="E732" s="157">
        <v>0</v>
      </c>
      <c r="F732" s="148" t="s">
        <v>2607</v>
      </c>
      <c r="G732" s="147" t="s">
        <v>4107</v>
      </c>
      <c r="H732" s="636" t="s">
        <v>9393</v>
      </c>
      <c r="J732" s="368"/>
    </row>
    <row r="733" spans="1:10">
      <c r="A733" s="148" t="s">
        <v>4104</v>
      </c>
      <c r="B733" s="154">
        <v>0</v>
      </c>
      <c r="C733" s="155">
        <v>6</v>
      </c>
      <c r="D733" s="156">
        <v>0</v>
      </c>
      <c r="E733" s="157">
        <v>0</v>
      </c>
      <c r="F733" s="148" t="s">
        <v>2578</v>
      </c>
      <c r="G733" s="147" t="s">
        <v>4107</v>
      </c>
      <c r="H733" s="636" t="s">
        <v>9393</v>
      </c>
      <c r="J733" s="368"/>
    </row>
    <row r="734" spans="1:10">
      <c r="A734" s="148" t="s">
        <v>9422</v>
      </c>
      <c r="B734" s="154">
        <v>0</v>
      </c>
      <c r="C734" s="155">
        <v>1</v>
      </c>
      <c r="D734" s="156">
        <v>0</v>
      </c>
      <c r="E734" s="157">
        <v>0</v>
      </c>
      <c r="F734" s="148" t="s">
        <v>2572</v>
      </c>
      <c r="G734" s="147" t="s">
        <v>4107</v>
      </c>
      <c r="H734" s="636" t="s">
        <v>9393</v>
      </c>
      <c r="I734"/>
      <c r="J734" s="368"/>
    </row>
    <row r="735" spans="1:10">
      <c r="A735" s="148" t="s">
        <v>4105</v>
      </c>
      <c r="B735" s="154">
        <v>0</v>
      </c>
      <c r="C735" s="155">
        <v>0</v>
      </c>
      <c r="D735" s="156">
        <v>5</v>
      </c>
      <c r="E735" s="157">
        <v>10</v>
      </c>
      <c r="F735" s="148" t="s">
        <v>2574</v>
      </c>
      <c r="G735" s="147" t="s">
        <v>4107</v>
      </c>
      <c r="H735" s="636" t="s">
        <v>9393</v>
      </c>
      <c r="I735"/>
      <c r="J735" s="368"/>
    </row>
    <row r="736" spans="1:10">
      <c r="A736" s="148" t="s">
        <v>4106</v>
      </c>
      <c r="B736" s="154">
        <v>0</v>
      </c>
      <c r="C736" s="155">
        <v>1</v>
      </c>
      <c r="D736" s="156">
        <v>0</v>
      </c>
      <c r="E736" s="157">
        <v>0</v>
      </c>
      <c r="F736" s="148" t="s">
        <v>2572</v>
      </c>
      <c r="G736" s="147" t="s">
        <v>4107</v>
      </c>
      <c r="H736" s="636" t="s">
        <v>9393</v>
      </c>
      <c r="I736"/>
      <c r="J736" s="368"/>
    </row>
    <row r="737" spans="1:10">
      <c r="A737" s="148" t="s">
        <v>325</v>
      </c>
      <c r="B737" s="154">
        <v>0</v>
      </c>
      <c r="C737" s="155">
        <v>3</v>
      </c>
      <c r="D737" s="156">
        <v>0</v>
      </c>
      <c r="E737" s="157">
        <v>0</v>
      </c>
      <c r="F737" s="148" t="s">
        <v>2572</v>
      </c>
      <c r="G737" s="147" t="s">
        <v>4107</v>
      </c>
      <c r="H737" s="636" t="s">
        <v>9393</v>
      </c>
      <c r="I737"/>
      <c r="J737" s="368"/>
    </row>
    <row r="738" spans="1:10">
      <c r="A738" s="349" t="s">
        <v>9423</v>
      </c>
      <c r="B738" s="154">
        <v>0</v>
      </c>
      <c r="C738" s="155">
        <v>1</v>
      </c>
      <c r="D738" s="156">
        <v>0</v>
      </c>
      <c r="E738" s="157">
        <v>1</v>
      </c>
      <c r="F738" s="150" t="s">
        <v>2574</v>
      </c>
      <c r="G738" s="147" t="s">
        <v>3915</v>
      </c>
      <c r="H738" s="636"/>
      <c r="I738"/>
      <c r="J738" s="368"/>
    </row>
    <row r="739" spans="1:10">
      <c r="A739" s="148" t="s">
        <v>4330</v>
      </c>
      <c r="B739" s="154">
        <v>0</v>
      </c>
      <c r="C739" s="155">
        <v>5</v>
      </c>
      <c r="D739" s="156">
        <v>0</v>
      </c>
      <c r="E739" s="157">
        <v>7</v>
      </c>
      <c r="F739" s="148" t="s">
        <v>3877</v>
      </c>
      <c r="G739" s="147" t="s">
        <v>3915</v>
      </c>
      <c r="H739" s="636"/>
      <c r="I739"/>
      <c r="J739" s="368"/>
    </row>
    <row r="740" spans="1:10">
      <c r="A740" s="150" t="s">
        <v>3879</v>
      </c>
      <c r="B740" s="154">
        <v>0</v>
      </c>
      <c r="C740" s="155">
        <v>30</v>
      </c>
      <c r="D740" s="156">
        <v>0</v>
      </c>
      <c r="E740" s="157">
        <v>10</v>
      </c>
      <c r="F740" s="147" t="s">
        <v>3877</v>
      </c>
      <c r="G740" s="147" t="s">
        <v>3915</v>
      </c>
      <c r="H740" s="636" t="s">
        <v>9372</v>
      </c>
      <c r="I740"/>
      <c r="J740" s="368"/>
    </row>
    <row r="741" spans="1:10">
      <c r="A741" s="147" t="s">
        <v>3880</v>
      </c>
      <c r="B741" s="154">
        <v>0</v>
      </c>
      <c r="C741" s="155">
        <v>1</v>
      </c>
      <c r="D741" s="156">
        <v>0</v>
      </c>
      <c r="E741" s="157">
        <v>1</v>
      </c>
      <c r="F741" s="147" t="s">
        <v>3877</v>
      </c>
      <c r="G741" s="147" t="s">
        <v>3915</v>
      </c>
      <c r="H741" s="636" t="s">
        <v>9372</v>
      </c>
      <c r="I741"/>
      <c r="J741" s="368"/>
    </row>
    <row r="742" spans="1:10">
      <c r="A742" s="147" t="s">
        <v>3881</v>
      </c>
      <c r="B742" s="154">
        <v>0</v>
      </c>
      <c r="C742" s="155">
        <v>0</v>
      </c>
      <c r="D742" s="156">
        <v>3</v>
      </c>
      <c r="E742" s="157">
        <v>2</v>
      </c>
      <c r="F742" s="147" t="s">
        <v>2572</v>
      </c>
      <c r="G742" s="147" t="s">
        <v>3915</v>
      </c>
      <c r="H742" s="636" t="s">
        <v>9372</v>
      </c>
      <c r="I742"/>
      <c r="J742" s="368"/>
    </row>
    <row r="743" spans="1:10">
      <c r="A743" s="147" t="s">
        <v>3884</v>
      </c>
      <c r="B743" s="154">
        <v>0</v>
      </c>
      <c r="C743" s="155">
        <v>10</v>
      </c>
      <c r="D743" s="156">
        <v>0</v>
      </c>
      <c r="E743" s="157">
        <v>300</v>
      </c>
      <c r="F743" s="147" t="s">
        <v>2574</v>
      </c>
      <c r="G743" s="147" t="s">
        <v>3915</v>
      </c>
      <c r="H743" s="636" t="s">
        <v>9372</v>
      </c>
      <c r="I743"/>
      <c r="J743" s="368"/>
    </row>
    <row r="744" spans="1:10">
      <c r="A744" s="147" t="s">
        <v>3885</v>
      </c>
      <c r="B744" s="154">
        <v>1</v>
      </c>
      <c r="C744" s="155">
        <v>0</v>
      </c>
      <c r="D744" s="156">
        <v>0</v>
      </c>
      <c r="E744" s="157">
        <v>150</v>
      </c>
      <c r="F744" s="147" t="s">
        <v>3877</v>
      </c>
      <c r="G744" s="147" t="s">
        <v>3915</v>
      </c>
      <c r="H744" s="636" t="s">
        <v>9372</v>
      </c>
      <c r="I744"/>
      <c r="J744" s="368"/>
    </row>
    <row r="745" spans="1:10">
      <c r="A745" s="147" t="s">
        <v>3887</v>
      </c>
      <c r="B745" s="154">
        <v>0</v>
      </c>
      <c r="C745" s="155">
        <v>10</v>
      </c>
      <c r="D745" s="156">
        <v>0</v>
      </c>
      <c r="E745" s="157">
        <v>5</v>
      </c>
      <c r="F745" s="147" t="s">
        <v>3877</v>
      </c>
      <c r="G745" s="147" t="s">
        <v>3915</v>
      </c>
      <c r="H745" s="636" t="s">
        <v>9372</v>
      </c>
      <c r="I745"/>
      <c r="J745" s="368"/>
    </row>
    <row r="746" spans="1:10">
      <c r="A746" s="147" t="s">
        <v>3888</v>
      </c>
      <c r="B746" s="154">
        <v>5</v>
      </c>
      <c r="C746" s="155">
        <v>0</v>
      </c>
      <c r="D746" s="156">
        <v>0</v>
      </c>
      <c r="E746" s="157">
        <v>300</v>
      </c>
      <c r="F746" s="147" t="s">
        <v>2572</v>
      </c>
      <c r="G746" s="147" t="s">
        <v>3915</v>
      </c>
      <c r="H746" s="636" t="s">
        <v>9372</v>
      </c>
      <c r="I746"/>
      <c r="J746" s="368"/>
    </row>
    <row r="747" spans="1:10">
      <c r="A747" s="147" t="s">
        <v>3889</v>
      </c>
      <c r="B747" s="154">
        <v>2</v>
      </c>
      <c r="C747" s="155">
        <v>0</v>
      </c>
      <c r="D747" s="156">
        <v>0</v>
      </c>
      <c r="E747" s="157">
        <v>175</v>
      </c>
      <c r="F747" s="147" t="s">
        <v>2574</v>
      </c>
      <c r="G747" s="147" t="s">
        <v>3915</v>
      </c>
      <c r="H747" s="636" t="s">
        <v>9372</v>
      </c>
      <c r="I747"/>
      <c r="J747" s="368"/>
    </row>
    <row r="748" spans="1:10">
      <c r="A748" s="147" t="s">
        <v>3890</v>
      </c>
      <c r="B748" s="154">
        <v>0</v>
      </c>
      <c r="C748" s="155">
        <v>10</v>
      </c>
      <c r="D748" s="156">
        <v>0</v>
      </c>
      <c r="E748" s="157">
        <v>20</v>
      </c>
      <c r="F748" s="147" t="s">
        <v>3877</v>
      </c>
      <c r="G748" s="147" t="s">
        <v>3915</v>
      </c>
      <c r="H748" s="636" t="s">
        <v>9372</v>
      </c>
      <c r="I748"/>
      <c r="J748" s="368"/>
    </row>
    <row r="749" spans="1:10">
      <c r="A749" s="147" t="s">
        <v>3891</v>
      </c>
      <c r="B749" s="154">
        <v>0</v>
      </c>
      <c r="C749" s="155">
        <v>4</v>
      </c>
      <c r="D749" s="156">
        <v>0</v>
      </c>
      <c r="E749" s="157">
        <v>5</v>
      </c>
      <c r="F749" s="147" t="s">
        <v>3877</v>
      </c>
      <c r="G749" s="147" t="s">
        <v>3915</v>
      </c>
      <c r="H749" s="636" t="s">
        <v>9372</v>
      </c>
      <c r="I749"/>
      <c r="J749" s="368"/>
    </row>
    <row r="750" spans="1:10">
      <c r="A750" s="150" t="s">
        <v>17502</v>
      </c>
      <c r="B750" s="154">
        <v>1</v>
      </c>
      <c r="C750" s="155">
        <v>0</v>
      </c>
      <c r="D750" s="156">
        <v>0</v>
      </c>
      <c r="E750" s="157">
        <v>2</v>
      </c>
      <c r="F750" s="147" t="s">
        <v>2578</v>
      </c>
      <c r="G750" s="147" t="s">
        <v>3915</v>
      </c>
      <c r="H750" s="636" t="s">
        <v>9372</v>
      </c>
      <c r="I750"/>
      <c r="J750" s="368"/>
    </row>
    <row r="751" spans="1:10">
      <c r="A751" s="357" t="s">
        <v>17503</v>
      </c>
      <c r="B751" s="434">
        <v>1</v>
      </c>
      <c r="C751" s="435">
        <v>0</v>
      </c>
      <c r="D751" s="436">
        <v>0</v>
      </c>
      <c r="E751" s="437">
        <v>3</v>
      </c>
      <c r="F751" s="147" t="s">
        <v>2578</v>
      </c>
      <c r="G751" s="147" t="s">
        <v>3915</v>
      </c>
      <c r="H751" s="635"/>
      <c r="I751"/>
      <c r="J751" s="368"/>
    </row>
    <row r="752" spans="1:10">
      <c r="A752" s="150" t="s">
        <v>9411</v>
      </c>
      <c r="B752" s="154">
        <v>0</v>
      </c>
      <c r="C752" s="155">
        <v>0</v>
      </c>
      <c r="D752" s="156">
        <v>5</v>
      </c>
      <c r="E752" s="157">
        <v>0</v>
      </c>
      <c r="F752" s="150" t="s">
        <v>3877</v>
      </c>
      <c r="G752" s="147" t="s">
        <v>3915</v>
      </c>
      <c r="H752" s="636"/>
      <c r="I752"/>
      <c r="J752" s="368"/>
    </row>
    <row r="753" spans="1:10">
      <c r="A753" s="150" t="s">
        <v>9410</v>
      </c>
      <c r="B753" s="154">
        <v>0</v>
      </c>
      <c r="C753" s="155">
        <v>0</v>
      </c>
      <c r="D753" s="156">
        <v>10</v>
      </c>
      <c r="E753" s="157">
        <v>0</v>
      </c>
      <c r="F753" s="147" t="s">
        <v>2574</v>
      </c>
      <c r="G753" s="147" t="s">
        <v>3915</v>
      </c>
      <c r="H753" s="636" t="s">
        <v>9372</v>
      </c>
      <c r="I753"/>
      <c r="J753" s="368"/>
    </row>
    <row r="754" spans="1:10">
      <c r="A754" s="147" t="s">
        <v>3892</v>
      </c>
      <c r="B754" s="154">
        <v>0</v>
      </c>
      <c r="C754" s="155">
        <v>15</v>
      </c>
      <c r="D754" s="156">
        <v>0</v>
      </c>
      <c r="E754" s="157">
        <v>5</v>
      </c>
      <c r="F754" s="147" t="s">
        <v>2572</v>
      </c>
      <c r="G754" s="147" t="s">
        <v>3915</v>
      </c>
      <c r="H754" s="636" t="s">
        <v>14983</v>
      </c>
      <c r="I754"/>
      <c r="J754" s="368"/>
    </row>
    <row r="755" spans="1:10">
      <c r="A755" s="147" t="s">
        <v>3893</v>
      </c>
      <c r="B755" s="154">
        <v>2</v>
      </c>
      <c r="C755" s="155">
        <v>0</v>
      </c>
      <c r="D755" s="156">
        <v>0</v>
      </c>
      <c r="E755" s="157">
        <v>15</v>
      </c>
      <c r="F755" s="147" t="s">
        <v>2578</v>
      </c>
      <c r="G755" s="147" t="s">
        <v>3915</v>
      </c>
      <c r="H755" s="636" t="s">
        <v>9372</v>
      </c>
      <c r="I755"/>
      <c r="J755" s="368"/>
    </row>
    <row r="756" spans="1:10">
      <c r="A756" s="147" t="s">
        <v>3894</v>
      </c>
      <c r="B756" s="154">
        <v>2</v>
      </c>
      <c r="C756" s="155">
        <v>0</v>
      </c>
      <c r="D756" s="156">
        <v>0</v>
      </c>
      <c r="E756" s="157">
        <v>5</v>
      </c>
      <c r="F756" s="147" t="s">
        <v>2572</v>
      </c>
      <c r="G756" s="147" t="s">
        <v>3915</v>
      </c>
      <c r="H756" s="636" t="s">
        <v>14983</v>
      </c>
      <c r="I756"/>
      <c r="J756" s="368"/>
    </row>
    <row r="757" spans="1:10">
      <c r="A757" s="147" t="s">
        <v>3895</v>
      </c>
      <c r="B757" s="154">
        <v>0</v>
      </c>
      <c r="C757" s="155">
        <v>3</v>
      </c>
      <c r="D757" s="156">
        <v>0</v>
      </c>
      <c r="E757" s="157">
        <v>2</v>
      </c>
      <c r="F757" s="147" t="s">
        <v>2574</v>
      </c>
      <c r="G757" s="147" t="s">
        <v>3915</v>
      </c>
      <c r="H757" s="636" t="s">
        <v>9372</v>
      </c>
      <c r="I757"/>
      <c r="J757" s="368"/>
    </row>
    <row r="758" spans="1:10">
      <c r="A758" s="147" t="s">
        <v>3896</v>
      </c>
      <c r="B758" s="154">
        <v>0</v>
      </c>
      <c r="C758" s="155">
        <v>0</v>
      </c>
      <c r="D758" s="156">
        <v>8</v>
      </c>
      <c r="E758" s="157">
        <v>0</v>
      </c>
      <c r="F758" s="147" t="s">
        <v>141</v>
      </c>
      <c r="G758" s="147" t="s">
        <v>3915</v>
      </c>
      <c r="H758" s="636" t="s">
        <v>9372</v>
      </c>
      <c r="I758"/>
      <c r="J758" s="368"/>
    </row>
    <row r="759" spans="1:10">
      <c r="A759" s="357" t="s">
        <v>9551</v>
      </c>
      <c r="B759" s="434">
        <v>2</v>
      </c>
      <c r="C759" s="435">
        <v>0</v>
      </c>
      <c r="D759" s="436">
        <v>0</v>
      </c>
      <c r="E759" s="437">
        <v>12</v>
      </c>
      <c r="F759" s="357" t="s">
        <v>141</v>
      </c>
      <c r="G759" s="147" t="s">
        <v>3915</v>
      </c>
      <c r="H759" s="635"/>
      <c r="I759"/>
      <c r="J759" s="368"/>
    </row>
    <row r="760" spans="1:10">
      <c r="A760" s="147" t="s">
        <v>3897</v>
      </c>
      <c r="B760" s="154">
        <v>3</v>
      </c>
      <c r="C760" s="155">
        <v>0</v>
      </c>
      <c r="D760" s="156">
        <v>0</v>
      </c>
      <c r="E760" s="157">
        <v>400</v>
      </c>
      <c r="F760" s="147" t="s">
        <v>2572</v>
      </c>
      <c r="G760" s="147" t="s">
        <v>3915</v>
      </c>
      <c r="H760" s="636" t="s">
        <v>9373</v>
      </c>
      <c r="I760"/>
      <c r="J760" s="368"/>
    </row>
    <row r="761" spans="1:10">
      <c r="A761" s="147" t="s">
        <v>3898</v>
      </c>
      <c r="B761" s="154">
        <v>0</v>
      </c>
      <c r="C761" s="155">
        <v>16</v>
      </c>
      <c r="D761" s="156">
        <v>0</v>
      </c>
      <c r="E761" s="157">
        <v>275</v>
      </c>
      <c r="F761" s="147" t="s">
        <v>2574</v>
      </c>
      <c r="G761" s="147" t="s">
        <v>3915</v>
      </c>
      <c r="H761" s="636" t="s">
        <v>9373</v>
      </c>
      <c r="I761"/>
      <c r="J761" s="368"/>
    </row>
    <row r="762" spans="1:10">
      <c r="A762" s="147" t="s">
        <v>3899</v>
      </c>
      <c r="B762" s="154">
        <v>0</v>
      </c>
      <c r="C762" s="155">
        <v>2</v>
      </c>
      <c r="D762" s="156">
        <v>0</v>
      </c>
      <c r="E762" s="157">
        <v>60</v>
      </c>
      <c r="F762" s="147" t="s">
        <v>141</v>
      </c>
      <c r="G762" s="147" t="s">
        <v>3915</v>
      </c>
      <c r="H762" s="636" t="s">
        <v>9373</v>
      </c>
      <c r="I762"/>
      <c r="J762" s="368"/>
    </row>
    <row r="763" spans="1:10">
      <c r="A763" s="150" t="s">
        <v>3900</v>
      </c>
      <c r="B763" s="154">
        <v>1</v>
      </c>
      <c r="C763" s="155">
        <v>0</v>
      </c>
      <c r="D763" s="156">
        <v>0</v>
      </c>
      <c r="E763" s="157">
        <v>90</v>
      </c>
      <c r="F763" s="147" t="s">
        <v>3877</v>
      </c>
      <c r="G763" s="147" t="s">
        <v>3915</v>
      </c>
      <c r="H763" s="636" t="s">
        <v>9373</v>
      </c>
      <c r="I763"/>
      <c r="J763" s="368"/>
    </row>
    <row r="764" spans="1:10">
      <c r="A764" s="147" t="s">
        <v>3901</v>
      </c>
      <c r="B764" s="154">
        <v>0</v>
      </c>
      <c r="C764" s="155">
        <v>8</v>
      </c>
      <c r="D764" s="156">
        <v>0</v>
      </c>
      <c r="E764" s="157">
        <v>1</v>
      </c>
      <c r="F764" s="147" t="s">
        <v>3877</v>
      </c>
      <c r="G764" s="147" t="s">
        <v>3915</v>
      </c>
      <c r="H764" s="636" t="s">
        <v>9373</v>
      </c>
      <c r="I764"/>
      <c r="J764" s="368"/>
    </row>
    <row r="765" spans="1:10">
      <c r="A765" s="147" t="s">
        <v>3902</v>
      </c>
      <c r="B765" s="154">
        <v>0</v>
      </c>
      <c r="C765" s="155">
        <v>2</v>
      </c>
      <c r="D765" s="156">
        <v>0</v>
      </c>
      <c r="E765" s="157">
        <v>8</v>
      </c>
      <c r="F765" s="147" t="s">
        <v>141</v>
      </c>
      <c r="G765" s="147" t="s">
        <v>3915</v>
      </c>
      <c r="H765" s="636" t="s">
        <v>9373</v>
      </c>
      <c r="I765"/>
      <c r="J765" s="368"/>
    </row>
    <row r="766" spans="1:10">
      <c r="A766" s="147" t="s">
        <v>3903</v>
      </c>
      <c r="B766" s="154">
        <v>0</v>
      </c>
      <c r="C766" s="155">
        <v>2</v>
      </c>
      <c r="D766" s="156">
        <v>0</v>
      </c>
      <c r="E766" s="157">
        <v>10</v>
      </c>
      <c r="F766" s="147" t="s">
        <v>141</v>
      </c>
      <c r="G766" s="147" t="s">
        <v>3915</v>
      </c>
      <c r="H766" s="636" t="s">
        <v>9373</v>
      </c>
      <c r="I766"/>
      <c r="J766" s="368"/>
    </row>
    <row r="767" spans="1:10">
      <c r="A767" s="357" t="s">
        <v>9426</v>
      </c>
      <c r="B767" s="434">
        <v>0</v>
      </c>
      <c r="C767" s="435">
        <v>15</v>
      </c>
      <c r="D767" s="436">
        <v>0</v>
      </c>
      <c r="E767" s="437">
        <v>3</v>
      </c>
      <c r="F767" s="357" t="s">
        <v>2572</v>
      </c>
      <c r="G767" s="147" t="s">
        <v>3915</v>
      </c>
      <c r="H767" s="635"/>
      <c r="I767"/>
      <c r="J767" s="368"/>
    </row>
    <row r="768" spans="1:10">
      <c r="A768" s="147" t="s">
        <v>3905</v>
      </c>
      <c r="B768" s="154">
        <v>0</v>
      </c>
      <c r="C768" s="155">
        <v>5</v>
      </c>
      <c r="D768" s="156">
        <v>0</v>
      </c>
      <c r="E768" s="157">
        <v>4</v>
      </c>
      <c r="F768" s="147" t="s">
        <v>3877</v>
      </c>
      <c r="G768" s="147" t="s">
        <v>3915</v>
      </c>
      <c r="H768" s="636" t="s">
        <v>14982</v>
      </c>
      <c r="I768"/>
      <c r="J768" s="368"/>
    </row>
    <row r="769" spans="1:10">
      <c r="A769" s="147" t="s">
        <v>3904</v>
      </c>
      <c r="B769" s="154">
        <v>0</v>
      </c>
      <c r="C769" s="155">
        <v>0</v>
      </c>
      <c r="D769" s="156">
        <v>30</v>
      </c>
      <c r="E769" s="157">
        <v>7</v>
      </c>
      <c r="F769" s="147" t="s">
        <v>3877</v>
      </c>
      <c r="G769" s="147" t="s">
        <v>3915</v>
      </c>
      <c r="H769" s="636" t="s">
        <v>14982</v>
      </c>
      <c r="I769"/>
      <c r="J769" s="368"/>
    </row>
    <row r="770" spans="1:10">
      <c r="A770" s="147" t="s">
        <v>3906</v>
      </c>
      <c r="B770" s="154">
        <v>0</v>
      </c>
      <c r="C770" s="155">
        <v>30</v>
      </c>
      <c r="D770" s="156">
        <v>0</v>
      </c>
      <c r="E770" s="157">
        <v>20</v>
      </c>
      <c r="F770" s="147" t="s">
        <v>3877</v>
      </c>
      <c r="G770" s="147" t="s">
        <v>3915</v>
      </c>
      <c r="H770" s="636" t="s">
        <v>9373</v>
      </c>
      <c r="I770"/>
      <c r="J770" s="368"/>
    </row>
    <row r="771" spans="1:10">
      <c r="A771" s="147" t="s">
        <v>3908</v>
      </c>
      <c r="B771" s="154">
        <v>0</v>
      </c>
      <c r="C771" s="155">
        <v>5</v>
      </c>
      <c r="D771" s="156">
        <v>0</v>
      </c>
      <c r="E771" s="157">
        <v>1</v>
      </c>
      <c r="F771" s="147" t="s">
        <v>3877</v>
      </c>
      <c r="G771" s="147" t="s">
        <v>3915</v>
      </c>
      <c r="H771" s="636" t="s">
        <v>14982</v>
      </c>
      <c r="I771"/>
      <c r="J771" s="368"/>
    </row>
    <row r="772" spans="1:10">
      <c r="A772" s="147" t="s">
        <v>3907</v>
      </c>
      <c r="B772" s="154">
        <v>0</v>
      </c>
      <c r="C772" s="155">
        <v>2</v>
      </c>
      <c r="D772" s="156">
        <v>0</v>
      </c>
      <c r="E772" s="157">
        <v>0</v>
      </c>
      <c r="F772" s="147" t="s">
        <v>3877</v>
      </c>
      <c r="G772" s="147" t="s">
        <v>3915</v>
      </c>
      <c r="H772" s="636" t="s">
        <v>14982</v>
      </c>
      <c r="I772"/>
      <c r="J772" s="368"/>
    </row>
    <row r="773" spans="1:10">
      <c r="A773" s="147" t="s">
        <v>3909</v>
      </c>
      <c r="B773" s="154">
        <v>0</v>
      </c>
      <c r="C773" s="155">
        <v>3</v>
      </c>
      <c r="D773" s="156">
        <v>0</v>
      </c>
      <c r="E773" s="157">
        <v>20</v>
      </c>
      <c r="F773" s="147" t="s">
        <v>141</v>
      </c>
      <c r="G773" s="147" t="s">
        <v>3915</v>
      </c>
      <c r="H773" s="636" t="s">
        <v>9373</v>
      </c>
      <c r="I773"/>
      <c r="J773" s="368"/>
    </row>
    <row r="774" spans="1:10">
      <c r="A774" s="147" t="s">
        <v>3910</v>
      </c>
      <c r="B774" s="154">
        <v>0</v>
      </c>
      <c r="C774" s="155">
        <v>5</v>
      </c>
      <c r="D774" s="156">
        <v>0</v>
      </c>
      <c r="E774" s="157">
        <v>30</v>
      </c>
      <c r="F774" s="147" t="s">
        <v>3877</v>
      </c>
      <c r="G774" s="147" t="s">
        <v>3915</v>
      </c>
      <c r="H774" s="636" t="s">
        <v>9373</v>
      </c>
      <c r="I774"/>
      <c r="J774" s="368"/>
    </row>
    <row r="775" spans="1:10">
      <c r="A775" s="147" t="s">
        <v>3911</v>
      </c>
      <c r="B775" s="154">
        <v>1</v>
      </c>
      <c r="C775" s="155">
        <v>0</v>
      </c>
      <c r="D775" s="156">
        <v>0</v>
      </c>
      <c r="E775" s="157">
        <v>1250</v>
      </c>
      <c r="F775" s="147" t="s">
        <v>2574</v>
      </c>
      <c r="G775" s="147" t="s">
        <v>3915</v>
      </c>
      <c r="H775" s="636" t="s">
        <v>9373</v>
      </c>
      <c r="I775"/>
      <c r="J775" s="368"/>
    </row>
    <row r="776" spans="1:10">
      <c r="A776" s="147" t="s">
        <v>3913</v>
      </c>
      <c r="B776" s="154">
        <v>0</v>
      </c>
      <c r="C776" s="155">
        <v>8</v>
      </c>
      <c r="D776" s="156">
        <v>0</v>
      </c>
      <c r="E776" s="157">
        <v>200</v>
      </c>
      <c r="F776" s="147" t="s">
        <v>2574</v>
      </c>
      <c r="G776" s="147" t="s">
        <v>3915</v>
      </c>
      <c r="H776" s="636" t="s">
        <v>9373</v>
      </c>
      <c r="I776"/>
      <c r="J776" s="368"/>
    </row>
    <row r="777" spans="1:10">
      <c r="A777" s="147" t="s">
        <v>3912</v>
      </c>
      <c r="B777" s="154">
        <v>0</v>
      </c>
      <c r="C777" s="155">
        <v>12</v>
      </c>
      <c r="D777" s="156">
        <v>0</v>
      </c>
      <c r="E777" s="157">
        <v>500</v>
      </c>
      <c r="F777" s="147" t="s">
        <v>2574</v>
      </c>
      <c r="G777" s="147" t="s">
        <v>3915</v>
      </c>
      <c r="H777" s="636" t="s">
        <v>9373</v>
      </c>
      <c r="I777"/>
      <c r="J777" s="368"/>
    </row>
    <row r="778" spans="1:10">
      <c r="A778" s="150" t="s">
        <v>4726</v>
      </c>
      <c r="B778" s="154">
        <v>1</v>
      </c>
      <c r="C778" s="155">
        <v>0</v>
      </c>
      <c r="D778" s="156">
        <v>0</v>
      </c>
      <c r="E778" s="157">
        <v>100</v>
      </c>
      <c r="F778" s="150" t="s">
        <v>2578</v>
      </c>
      <c r="G778" s="147" t="s">
        <v>3915</v>
      </c>
      <c r="H778" s="636"/>
      <c r="I778"/>
      <c r="J778" s="368"/>
    </row>
    <row r="779" spans="1:10">
      <c r="A779" s="147" t="s">
        <v>3914</v>
      </c>
      <c r="B779" s="154">
        <v>0</v>
      </c>
      <c r="C779" s="155">
        <v>2</v>
      </c>
      <c r="D779" s="156">
        <v>0</v>
      </c>
      <c r="E779" s="157">
        <v>1</v>
      </c>
      <c r="F779" s="147" t="s">
        <v>2572</v>
      </c>
      <c r="G779" s="147" t="s">
        <v>3915</v>
      </c>
      <c r="H779" s="636" t="s">
        <v>9373</v>
      </c>
      <c r="I779"/>
      <c r="J779" s="368"/>
    </row>
    <row r="780" spans="1:10">
      <c r="A780" s="147" t="s">
        <v>4089</v>
      </c>
      <c r="B780" s="154">
        <v>50</v>
      </c>
      <c r="C780" s="155">
        <v>0</v>
      </c>
      <c r="D780" s="156">
        <v>0</v>
      </c>
      <c r="E780" s="157">
        <v>50</v>
      </c>
      <c r="F780" s="147" t="s">
        <v>2572</v>
      </c>
      <c r="G780" s="147" t="s">
        <v>4096</v>
      </c>
      <c r="H780" s="636" t="s">
        <v>9392</v>
      </c>
      <c r="I780"/>
      <c r="J780" s="368"/>
    </row>
    <row r="781" spans="1:10">
      <c r="A781" s="147" t="s">
        <v>4090</v>
      </c>
      <c r="B781" s="154">
        <v>20</v>
      </c>
      <c r="C781" s="155">
        <v>0</v>
      </c>
      <c r="D781" s="156">
        <v>0</v>
      </c>
      <c r="E781" s="157">
        <v>30</v>
      </c>
      <c r="F781" s="147" t="s">
        <v>2572</v>
      </c>
      <c r="G781" s="147" t="s">
        <v>4096</v>
      </c>
      <c r="H781" s="636" t="s">
        <v>9392</v>
      </c>
      <c r="I781"/>
      <c r="J781" s="368"/>
    </row>
    <row r="782" spans="1:10">
      <c r="A782" s="147" t="s">
        <v>4091</v>
      </c>
      <c r="B782" s="154">
        <v>10</v>
      </c>
      <c r="C782" s="155">
        <v>0</v>
      </c>
      <c r="D782" s="156">
        <v>0</v>
      </c>
      <c r="E782" s="157">
        <v>15</v>
      </c>
      <c r="F782" s="147" t="s">
        <v>2574</v>
      </c>
      <c r="G782" s="147" t="s">
        <v>4096</v>
      </c>
      <c r="H782" s="636" t="s">
        <v>9392</v>
      </c>
      <c r="I782"/>
      <c r="J782" s="368"/>
    </row>
    <row r="783" spans="1:10">
      <c r="A783" s="147" t="s">
        <v>4095</v>
      </c>
      <c r="B783" s="154">
        <v>15</v>
      </c>
      <c r="C783" s="155">
        <v>0</v>
      </c>
      <c r="D783" s="156">
        <v>0</v>
      </c>
      <c r="E783" s="157">
        <v>10</v>
      </c>
      <c r="F783" s="147" t="s">
        <v>2572</v>
      </c>
      <c r="G783" s="147" t="s">
        <v>4096</v>
      </c>
      <c r="H783" s="636" t="s">
        <v>9392</v>
      </c>
      <c r="I783"/>
      <c r="J783" s="368"/>
    </row>
    <row r="784" spans="1:10">
      <c r="A784" s="147" t="s">
        <v>4092</v>
      </c>
      <c r="B784" s="154">
        <v>6</v>
      </c>
      <c r="C784" s="155">
        <v>0</v>
      </c>
      <c r="D784" s="156">
        <v>0</v>
      </c>
      <c r="E784" s="157">
        <v>5</v>
      </c>
      <c r="F784" s="147" t="s">
        <v>2574</v>
      </c>
      <c r="G784" s="147" t="s">
        <v>4096</v>
      </c>
      <c r="H784" s="636" t="s">
        <v>9392</v>
      </c>
      <c r="I784"/>
      <c r="J784" s="368"/>
    </row>
    <row r="785" spans="1:10">
      <c r="A785" s="147" t="s">
        <v>4093</v>
      </c>
      <c r="B785" s="154">
        <v>1</v>
      </c>
      <c r="C785" s="155">
        <v>0</v>
      </c>
      <c r="D785" s="156">
        <v>0</v>
      </c>
      <c r="E785" s="157">
        <v>1</v>
      </c>
      <c r="F785" s="147" t="s">
        <v>2574</v>
      </c>
      <c r="G785" s="147" t="s">
        <v>4096</v>
      </c>
      <c r="H785" s="636" t="s">
        <v>9392</v>
      </c>
      <c r="I785"/>
      <c r="J785" s="368"/>
    </row>
    <row r="786" spans="1:10">
      <c r="A786" s="357" t="s">
        <v>9441</v>
      </c>
      <c r="B786" s="434">
        <v>1</v>
      </c>
      <c r="C786" s="435">
        <v>0</v>
      </c>
      <c r="D786" s="436">
        <v>0</v>
      </c>
      <c r="E786" s="437">
        <v>2</v>
      </c>
      <c r="F786" s="357" t="s">
        <v>2578</v>
      </c>
      <c r="G786" s="147" t="s">
        <v>4096</v>
      </c>
      <c r="H786" s="635"/>
      <c r="I786"/>
      <c r="J786" s="368"/>
    </row>
    <row r="787" spans="1:10">
      <c r="A787" s="147" t="s">
        <v>4094</v>
      </c>
      <c r="B787" s="154">
        <v>1</v>
      </c>
      <c r="C787" s="155">
        <v>0</v>
      </c>
      <c r="D787" s="156">
        <v>0</v>
      </c>
      <c r="E787" s="157">
        <v>0</v>
      </c>
      <c r="F787" s="147" t="s">
        <v>2574</v>
      </c>
      <c r="G787" s="147" t="s">
        <v>4096</v>
      </c>
      <c r="H787" s="636" t="s">
        <v>9392</v>
      </c>
      <c r="I787"/>
      <c r="J787" s="368"/>
    </row>
    <row r="788" spans="1:10">
      <c r="A788" s="147" t="s">
        <v>4097</v>
      </c>
      <c r="B788" s="154">
        <v>2</v>
      </c>
      <c r="C788" s="155">
        <v>0</v>
      </c>
      <c r="D788" s="156">
        <v>0</v>
      </c>
      <c r="E788" s="157">
        <v>25</v>
      </c>
      <c r="F788" s="147" t="s">
        <v>2572</v>
      </c>
      <c r="G788" s="147" t="s">
        <v>4096</v>
      </c>
      <c r="H788" s="636" t="s">
        <v>9392</v>
      </c>
      <c r="I788"/>
      <c r="J788" s="368"/>
    </row>
    <row r="789" spans="1:10">
      <c r="A789" s="147" t="s">
        <v>4098</v>
      </c>
      <c r="B789" s="154">
        <v>30</v>
      </c>
      <c r="C789" s="155">
        <v>0</v>
      </c>
      <c r="D789" s="156">
        <v>0</v>
      </c>
      <c r="E789" s="157">
        <v>10</v>
      </c>
      <c r="F789" s="147" t="s">
        <v>2572</v>
      </c>
      <c r="G789" s="147" t="s">
        <v>4096</v>
      </c>
      <c r="H789" s="636" t="s">
        <v>9392</v>
      </c>
      <c r="I789"/>
      <c r="J789" s="368"/>
    </row>
    <row r="790" spans="1:10">
      <c r="A790" s="147" t="s">
        <v>4311</v>
      </c>
      <c r="B790" s="154">
        <v>6</v>
      </c>
      <c r="C790" s="155">
        <v>0</v>
      </c>
      <c r="D790" s="156">
        <v>0</v>
      </c>
      <c r="E790" s="157">
        <v>1</v>
      </c>
      <c r="F790" s="147" t="s">
        <v>2578</v>
      </c>
      <c r="G790" s="147" t="s">
        <v>4096</v>
      </c>
      <c r="H790" s="636" t="s">
        <v>11277</v>
      </c>
      <c r="I790"/>
      <c r="J790" s="368"/>
    </row>
    <row r="791" spans="1:10">
      <c r="A791" s="147" t="s">
        <v>4310</v>
      </c>
      <c r="B791" s="154">
        <v>10</v>
      </c>
      <c r="C791" s="155">
        <v>0</v>
      </c>
      <c r="D791" s="156">
        <v>0</v>
      </c>
      <c r="E791" s="157">
        <v>1</v>
      </c>
      <c r="F791" s="147" t="s">
        <v>2607</v>
      </c>
      <c r="G791" s="147" t="s">
        <v>4096</v>
      </c>
      <c r="H791" s="636" t="s">
        <v>11277</v>
      </c>
      <c r="I791"/>
      <c r="J791" s="368"/>
    </row>
    <row r="792" spans="1:10">
      <c r="A792" s="150" t="s">
        <v>9427</v>
      </c>
      <c r="B792" s="154">
        <v>3</v>
      </c>
      <c r="C792" s="155">
        <v>0</v>
      </c>
      <c r="D792" s="156">
        <v>0</v>
      </c>
      <c r="E792" s="157">
        <v>10</v>
      </c>
      <c r="F792" s="147" t="s">
        <v>2572</v>
      </c>
      <c r="G792" s="147" t="s">
        <v>4096</v>
      </c>
      <c r="H792" s="636" t="s">
        <v>9392</v>
      </c>
      <c r="I792"/>
      <c r="J792" s="368"/>
    </row>
    <row r="793" spans="1:10">
      <c r="A793" s="147" t="s">
        <v>4085</v>
      </c>
      <c r="B793" s="159">
        <v>10</v>
      </c>
      <c r="C793" s="155">
        <v>0</v>
      </c>
      <c r="D793" s="156">
        <v>0</v>
      </c>
      <c r="E793" s="157">
        <v>1</v>
      </c>
      <c r="F793" s="147" t="s">
        <v>2607</v>
      </c>
      <c r="G793" s="150" t="s">
        <v>4096</v>
      </c>
      <c r="H793" s="636" t="s">
        <v>14979</v>
      </c>
      <c r="J793" s="368"/>
    </row>
    <row r="794" spans="1:10">
      <c r="A794" s="150" t="s">
        <v>4331</v>
      </c>
      <c r="B794" s="154">
        <v>1</v>
      </c>
      <c r="C794" s="155">
        <v>0</v>
      </c>
      <c r="D794" s="156">
        <v>0</v>
      </c>
      <c r="E794" s="157">
        <v>5</v>
      </c>
      <c r="F794" s="147" t="s">
        <v>2574</v>
      </c>
      <c r="G794" s="147" t="s">
        <v>4096</v>
      </c>
      <c r="H794" s="636"/>
      <c r="I794"/>
      <c r="J794" s="368"/>
    </row>
    <row r="795" spans="1:10">
      <c r="A795" s="564" t="s">
        <v>15656</v>
      </c>
      <c r="B795" s="78">
        <v>0</v>
      </c>
      <c r="C795" s="80">
        <v>1</v>
      </c>
      <c r="D795" s="81">
        <v>0</v>
      </c>
      <c r="E795" s="79">
        <v>1</v>
      </c>
      <c r="F795" s="481" t="s">
        <v>2574</v>
      </c>
      <c r="G795" s="564" t="s">
        <v>261</v>
      </c>
      <c r="I795"/>
      <c r="J795" s="368"/>
    </row>
    <row r="796" spans="1:10">
      <c r="A796" s="147" t="s">
        <v>3943</v>
      </c>
      <c r="B796" s="154">
        <v>0</v>
      </c>
      <c r="C796" s="155">
        <v>5</v>
      </c>
      <c r="D796" s="156">
        <v>0</v>
      </c>
      <c r="E796" s="157">
        <v>20</v>
      </c>
      <c r="F796" s="147" t="s">
        <v>2574</v>
      </c>
      <c r="G796" s="147" t="s">
        <v>261</v>
      </c>
      <c r="H796" s="636" t="s">
        <v>9378</v>
      </c>
      <c r="I796"/>
      <c r="J796" s="368"/>
    </row>
    <row r="797" spans="1:10">
      <c r="A797" s="147" t="s">
        <v>3944</v>
      </c>
      <c r="B797" s="154">
        <v>10</v>
      </c>
      <c r="C797" s="155">
        <v>0</v>
      </c>
      <c r="D797" s="156">
        <v>0</v>
      </c>
      <c r="E797" s="157">
        <v>50</v>
      </c>
      <c r="F797" s="147" t="s">
        <v>2574</v>
      </c>
      <c r="G797" s="147" t="s">
        <v>261</v>
      </c>
      <c r="H797" s="636" t="s">
        <v>9378</v>
      </c>
      <c r="I797"/>
      <c r="J797" s="368"/>
    </row>
    <row r="798" spans="1:10">
      <c r="A798" s="150" t="s">
        <v>9027</v>
      </c>
      <c r="B798" s="154">
        <v>30</v>
      </c>
      <c r="C798" s="155">
        <v>0</v>
      </c>
      <c r="D798" s="156">
        <v>0</v>
      </c>
      <c r="E798" s="157">
        <v>0</v>
      </c>
      <c r="F798" s="147" t="s">
        <v>2607</v>
      </c>
      <c r="G798" s="147" t="s">
        <v>261</v>
      </c>
      <c r="H798" s="636" t="s">
        <v>9390</v>
      </c>
      <c r="I798"/>
      <c r="J798" s="368"/>
    </row>
    <row r="799" spans="1:10">
      <c r="A799" s="147" t="s">
        <v>3946</v>
      </c>
      <c r="B799" s="154">
        <v>0</v>
      </c>
      <c r="C799" s="155">
        <v>1</v>
      </c>
      <c r="D799" s="156">
        <v>0</v>
      </c>
      <c r="E799" s="157">
        <v>0</v>
      </c>
      <c r="F799" s="147" t="s">
        <v>2572</v>
      </c>
      <c r="G799" s="147" t="s">
        <v>261</v>
      </c>
      <c r="H799" s="636" t="s">
        <v>9378</v>
      </c>
      <c r="I799"/>
      <c r="J799" s="368"/>
    </row>
    <row r="800" spans="1:10">
      <c r="A800" s="147" t="s">
        <v>3947</v>
      </c>
      <c r="B800" s="154">
        <v>0</v>
      </c>
      <c r="C800" s="155">
        <v>30</v>
      </c>
      <c r="D800" s="156">
        <v>0</v>
      </c>
      <c r="E800" s="157">
        <v>5</v>
      </c>
      <c r="F800" s="147" t="s">
        <v>3877</v>
      </c>
      <c r="G800" s="147" t="s">
        <v>261</v>
      </c>
      <c r="H800" s="636" t="s">
        <v>14988</v>
      </c>
      <c r="I800"/>
      <c r="J800" s="368"/>
    </row>
    <row r="801" spans="1:10">
      <c r="A801" s="150" t="s">
        <v>5402</v>
      </c>
      <c r="B801" s="154">
        <v>0</v>
      </c>
      <c r="C801" s="155">
        <v>2</v>
      </c>
      <c r="D801" s="156">
        <v>0</v>
      </c>
      <c r="E801" s="157">
        <v>2</v>
      </c>
      <c r="F801" s="150" t="s">
        <v>3877</v>
      </c>
      <c r="G801" s="147" t="s">
        <v>261</v>
      </c>
      <c r="H801" s="636"/>
      <c r="I801"/>
      <c r="J801" s="368"/>
    </row>
    <row r="802" spans="1:10">
      <c r="A802" s="150" t="s">
        <v>4714</v>
      </c>
      <c r="B802" s="154">
        <v>0</v>
      </c>
      <c r="C802" s="155">
        <v>0</v>
      </c>
      <c r="D802" s="156">
        <v>15</v>
      </c>
      <c r="E802" s="157">
        <v>1</v>
      </c>
      <c r="F802" s="147" t="s">
        <v>3877</v>
      </c>
      <c r="G802" s="147" t="s">
        <v>261</v>
      </c>
      <c r="H802" s="636" t="s">
        <v>9378</v>
      </c>
      <c r="I802"/>
      <c r="J802" s="368"/>
    </row>
    <row r="803" spans="1:10">
      <c r="A803" s="150" t="s">
        <v>4945</v>
      </c>
      <c r="B803" s="154">
        <v>1</v>
      </c>
      <c r="C803" s="155">
        <v>0</v>
      </c>
      <c r="D803" s="156">
        <v>0</v>
      </c>
      <c r="E803" s="157">
        <v>5</v>
      </c>
      <c r="F803" s="147" t="s">
        <v>2574</v>
      </c>
      <c r="G803" s="147" t="s">
        <v>261</v>
      </c>
      <c r="H803" s="636" t="s">
        <v>14988</v>
      </c>
      <c r="I803"/>
      <c r="J803" s="368"/>
    </row>
    <row r="804" spans="1:10">
      <c r="A804" s="349" t="s">
        <v>9439</v>
      </c>
      <c r="B804" s="434">
        <v>0</v>
      </c>
      <c r="C804" s="435">
        <v>0</v>
      </c>
      <c r="D804" s="436">
        <v>15</v>
      </c>
      <c r="E804" s="437">
        <v>2</v>
      </c>
      <c r="F804" s="349" t="s">
        <v>2578</v>
      </c>
      <c r="G804" s="147" t="s">
        <v>261</v>
      </c>
      <c r="H804" s="635"/>
      <c r="I804"/>
      <c r="J804" s="368"/>
    </row>
    <row r="805" spans="1:10">
      <c r="A805" s="147" t="s">
        <v>3951</v>
      </c>
      <c r="B805" s="154">
        <v>0</v>
      </c>
      <c r="C805" s="155">
        <v>25</v>
      </c>
      <c r="D805" s="156">
        <v>0</v>
      </c>
      <c r="E805" s="157">
        <v>2</v>
      </c>
      <c r="F805" s="147" t="s">
        <v>2574</v>
      </c>
      <c r="G805" s="147" t="s">
        <v>261</v>
      </c>
      <c r="H805" s="636" t="s">
        <v>9379</v>
      </c>
      <c r="I805"/>
      <c r="J805" s="368"/>
    </row>
    <row r="806" spans="1:10">
      <c r="A806" s="147" t="s">
        <v>3952</v>
      </c>
      <c r="B806" s="154">
        <v>0</v>
      </c>
      <c r="C806" s="155">
        <v>1</v>
      </c>
      <c r="D806" s="156">
        <v>0</v>
      </c>
      <c r="E806" s="157">
        <v>3</v>
      </c>
      <c r="F806" s="147" t="s">
        <v>2574</v>
      </c>
      <c r="G806" s="147" t="s">
        <v>261</v>
      </c>
      <c r="H806" s="636" t="s">
        <v>14989</v>
      </c>
      <c r="I806"/>
      <c r="J806" s="368"/>
    </row>
    <row r="807" spans="1:10">
      <c r="A807" s="147" t="s">
        <v>3953</v>
      </c>
      <c r="B807" s="154">
        <v>15</v>
      </c>
      <c r="C807" s="155">
        <v>0</v>
      </c>
      <c r="D807" s="156">
        <v>0</v>
      </c>
      <c r="E807" s="157">
        <v>20</v>
      </c>
      <c r="F807" s="147" t="s">
        <v>3877</v>
      </c>
      <c r="G807" s="147" t="s">
        <v>261</v>
      </c>
      <c r="H807" s="636" t="s">
        <v>9379</v>
      </c>
      <c r="I807"/>
      <c r="J807" s="368"/>
    </row>
    <row r="808" spans="1:10">
      <c r="A808" s="147" t="s">
        <v>3956</v>
      </c>
      <c r="B808" s="154">
        <v>15</v>
      </c>
      <c r="C808" s="155">
        <v>0</v>
      </c>
      <c r="D808" s="156">
        <v>0</v>
      </c>
      <c r="E808" s="157">
        <v>3</v>
      </c>
      <c r="F808" s="147" t="s">
        <v>2578</v>
      </c>
      <c r="G808" s="147" t="s">
        <v>261</v>
      </c>
      <c r="H808" s="636" t="s">
        <v>9379</v>
      </c>
      <c r="I808"/>
      <c r="J808" s="368"/>
    </row>
    <row r="809" spans="1:10">
      <c r="A809" s="147" t="s">
        <v>3954</v>
      </c>
      <c r="B809" s="154">
        <v>0</v>
      </c>
      <c r="C809" s="155">
        <v>5</v>
      </c>
      <c r="D809" s="156">
        <v>0</v>
      </c>
      <c r="E809" s="157">
        <v>2</v>
      </c>
      <c r="F809" s="147" t="s">
        <v>3877</v>
      </c>
      <c r="G809" s="147" t="s">
        <v>261</v>
      </c>
      <c r="H809" s="636" t="s">
        <v>9379</v>
      </c>
      <c r="I809"/>
      <c r="J809" s="368"/>
    </row>
    <row r="810" spans="1:10">
      <c r="A810" s="150" t="s">
        <v>3955</v>
      </c>
      <c r="B810" s="154">
        <v>3</v>
      </c>
      <c r="C810" s="155">
        <v>0</v>
      </c>
      <c r="D810" s="156">
        <v>0</v>
      </c>
      <c r="E810" s="157">
        <v>4</v>
      </c>
      <c r="F810" s="147" t="s">
        <v>2574</v>
      </c>
      <c r="G810" s="147" t="s">
        <v>261</v>
      </c>
      <c r="H810" s="636" t="s">
        <v>9379</v>
      </c>
      <c r="I810"/>
      <c r="J810" s="368"/>
    </row>
    <row r="811" spans="1:10">
      <c r="A811" s="147" t="s">
        <v>3958</v>
      </c>
      <c r="B811" s="154">
        <v>0</v>
      </c>
      <c r="C811" s="155">
        <v>25</v>
      </c>
      <c r="D811" s="156">
        <v>0</v>
      </c>
      <c r="E811" s="157">
        <v>10</v>
      </c>
      <c r="F811" s="147" t="s">
        <v>3877</v>
      </c>
      <c r="G811" s="147" t="s">
        <v>261</v>
      </c>
      <c r="H811" s="636" t="s">
        <v>9379</v>
      </c>
      <c r="I811"/>
      <c r="J811" s="368"/>
    </row>
    <row r="812" spans="1:10">
      <c r="A812" s="147" t="s">
        <v>4080</v>
      </c>
      <c r="B812" s="154">
        <v>40</v>
      </c>
      <c r="C812" s="155">
        <v>0</v>
      </c>
      <c r="D812" s="156">
        <v>0</v>
      </c>
      <c r="E812" s="157">
        <v>0</v>
      </c>
      <c r="F812" s="147" t="s">
        <v>2608</v>
      </c>
      <c r="G812" s="147" t="s">
        <v>261</v>
      </c>
      <c r="H812" s="636" t="s">
        <v>9390</v>
      </c>
      <c r="I812"/>
      <c r="J812" s="368"/>
    </row>
    <row r="813" spans="1:10">
      <c r="A813" s="147" t="s">
        <v>3960</v>
      </c>
      <c r="B813" s="154">
        <v>0</v>
      </c>
      <c r="C813" s="155">
        <v>6</v>
      </c>
      <c r="D813" s="156">
        <v>0</v>
      </c>
      <c r="E813" s="157">
        <v>0</v>
      </c>
      <c r="F813" s="147" t="s">
        <v>3877</v>
      </c>
      <c r="G813" s="147" t="s">
        <v>261</v>
      </c>
      <c r="H813" s="636" t="s">
        <v>9379</v>
      </c>
      <c r="I813"/>
      <c r="J813" s="368"/>
    </row>
    <row r="814" spans="1:10">
      <c r="A814" s="147" t="s">
        <v>3959</v>
      </c>
      <c r="B814" s="154">
        <v>5</v>
      </c>
      <c r="C814" s="155">
        <v>0</v>
      </c>
      <c r="D814" s="156">
        <v>0</v>
      </c>
      <c r="E814" s="157">
        <v>0</v>
      </c>
      <c r="F814" s="147" t="s">
        <v>2578</v>
      </c>
      <c r="G814" s="147" t="s">
        <v>261</v>
      </c>
      <c r="H814" s="636" t="s">
        <v>14986</v>
      </c>
      <c r="I814"/>
      <c r="J814" s="368"/>
    </row>
    <row r="815" spans="1:10">
      <c r="A815" s="150" t="s">
        <v>17504</v>
      </c>
      <c r="B815" s="154">
        <v>0</v>
      </c>
      <c r="C815" s="155">
        <v>10</v>
      </c>
      <c r="D815" s="156">
        <v>0</v>
      </c>
      <c r="E815" s="157">
        <v>50</v>
      </c>
      <c r="F815" s="147" t="s">
        <v>2574</v>
      </c>
      <c r="G815" s="147" t="s">
        <v>261</v>
      </c>
      <c r="H815" s="636" t="s">
        <v>9379</v>
      </c>
      <c r="I815"/>
      <c r="J815" s="368"/>
    </row>
    <row r="816" spans="1:10">
      <c r="A816" s="150" t="s">
        <v>17505</v>
      </c>
      <c r="B816" s="154">
        <v>3</v>
      </c>
      <c r="C816" s="155">
        <v>0</v>
      </c>
      <c r="D816" s="156">
        <v>0</v>
      </c>
      <c r="E816" s="157">
        <v>20</v>
      </c>
      <c r="F816" s="147" t="s">
        <v>2572</v>
      </c>
      <c r="G816" s="147" t="s">
        <v>261</v>
      </c>
      <c r="H816" s="636" t="s">
        <v>9379</v>
      </c>
      <c r="I816"/>
      <c r="J816" s="368"/>
    </row>
    <row r="817" spans="1:10">
      <c r="A817" s="356" t="s">
        <v>17506</v>
      </c>
      <c r="B817" s="434">
        <v>0</v>
      </c>
      <c r="C817" s="435">
        <v>10</v>
      </c>
      <c r="D817" s="436">
        <v>0</v>
      </c>
      <c r="E817" s="437">
        <v>3</v>
      </c>
      <c r="F817" s="357" t="s">
        <v>2572</v>
      </c>
      <c r="G817" s="147" t="s">
        <v>261</v>
      </c>
      <c r="H817" s="635"/>
      <c r="I817"/>
      <c r="J817" s="368"/>
    </row>
    <row r="818" spans="1:10">
      <c r="A818" s="357" t="s">
        <v>17507</v>
      </c>
      <c r="B818" s="434">
        <v>0</v>
      </c>
      <c r="C818" s="435">
        <v>15</v>
      </c>
      <c r="D818" s="436">
        <v>0</v>
      </c>
      <c r="E818" s="437">
        <v>5</v>
      </c>
      <c r="F818" s="357" t="s">
        <v>2578</v>
      </c>
      <c r="G818" s="147" t="s">
        <v>261</v>
      </c>
      <c r="H818" s="635"/>
      <c r="I818"/>
      <c r="J818" s="368"/>
    </row>
    <row r="819" spans="1:10">
      <c r="A819" s="150" t="s">
        <v>17508</v>
      </c>
      <c r="B819" s="154">
        <v>9</v>
      </c>
      <c r="C819" s="155">
        <v>6</v>
      </c>
      <c r="D819" s="156">
        <v>0</v>
      </c>
      <c r="E819" s="157">
        <v>48</v>
      </c>
      <c r="F819" s="150" t="s">
        <v>3877</v>
      </c>
      <c r="G819" s="147" t="s">
        <v>261</v>
      </c>
      <c r="H819" s="636"/>
      <c r="I819"/>
      <c r="J819" s="368"/>
    </row>
    <row r="820" spans="1:10">
      <c r="A820" s="357" t="s">
        <v>17509</v>
      </c>
      <c r="B820" s="434">
        <v>1</v>
      </c>
      <c r="C820" s="435">
        <v>0</v>
      </c>
      <c r="D820" s="436">
        <v>0</v>
      </c>
      <c r="E820" s="437">
        <v>0</v>
      </c>
      <c r="F820" s="357" t="s">
        <v>2607</v>
      </c>
      <c r="G820" s="147" t="s">
        <v>261</v>
      </c>
      <c r="H820" s="635"/>
      <c r="I820"/>
      <c r="J820" s="368"/>
    </row>
    <row r="821" spans="1:10">
      <c r="A821" s="147" t="s">
        <v>4332</v>
      </c>
      <c r="B821" s="154">
        <v>1</v>
      </c>
      <c r="C821" s="155">
        <v>0</v>
      </c>
      <c r="D821" s="156">
        <v>0</v>
      </c>
      <c r="E821" s="157">
        <v>20</v>
      </c>
      <c r="F821" s="147" t="s">
        <v>3877</v>
      </c>
      <c r="G821" s="147" t="s">
        <v>261</v>
      </c>
      <c r="H821" s="636"/>
      <c r="I821"/>
      <c r="J821" s="368"/>
    </row>
    <row r="822" spans="1:10">
      <c r="A822" s="147" t="s">
        <v>3961</v>
      </c>
      <c r="B822" s="154">
        <v>4</v>
      </c>
      <c r="C822" s="155">
        <v>0</v>
      </c>
      <c r="D822" s="156">
        <v>0</v>
      </c>
      <c r="E822" s="157">
        <v>20</v>
      </c>
      <c r="F822" s="147" t="s">
        <v>2572</v>
      </c>
      <c r="G822" s="147" t="s">
        <v>261</v>
      </c>
      <c r="H822" s="636" t="s">
        <v>9379</v>
      </c>
      <c r="I822"/>
      <c r="J822" s="368"/>
    </row>
    <row r="823" spans="1:10">
      <c r="A823" s="357" t="s">
        <v>9438</v>
      </c>
      <c r="B823" s="434">
        <v>0</v>
      </c>
      <c r="C823" s="435">
        <v>0</v>
      </c>
      <c r="D823" s="436">
        <v>5</v>
      </c>
      <c r="E823" s="437">
        <v>2</v>
      </c>
      <c r="F823" s="357" t="s">
        <v>2574</v>
      </c>
      <c r="G823" s="147" t="s">
        <v>261</v>
      </c>
      <c r="H823" s="635"/>
      <c r="I823"/>
      <c r="J823" s="368"/>
    </row>
    <row r="824" spans="1:10">
      <c r="A824" s="147" t="s">
        <v>4301</v>
      </c>
      <c r="B824" s="154">
        <v>2</v>
      </c>
      <c r="C824" s="155">
        <v>0</v>
      </c>
      <c r="D824" s="156">
        <v>0</v>
      </c>
      <c r="E824" s="157">
        <v>150</v>
      </c>
      <c r="F824" s="147" t="s">
        <v>2574</v>
      </c>
      <c r="G824" s="147" t="s">
        <v>261</v>
      </c>
      <c r="H824" s="636"/>
      <c r="I824"/>
      <c r="J824" s="368"/>
    </row>
    <row r="825" spans="1:10">
      <c r="A825" s="147" t="s">
        <v>3962</v>
      </c>
      <c r="B825" s="154">
        <v>0</v>
      </c>
      <c r="C825" s="155">
        <v>10</v>
      </c>
      <c r="D825" s="156">
        <v>0</v>
      </c>
      <c r="E825" s="157">
        <v>1</v>
      </c>
      <c r="F825" s="147" t="s">
        <v>2574</v>
      </c>
      <c r="G825" s="147" t="s">
        <v>261</v>
      </c>
      <c r="H825" s="636" t="s">
        <v>9379</v>
      </c>
      <c r="I825"/>
      <c r="J825" s="368"/>
    </row>
    <row r="826" spans="1:10">
      <c r="A826" s="349" t="s">
        <v>9412</v>
      </c>
      <c r="B826" s="434">
        <v>0</v>
      </c>
      <c r="C826" s="435">
        <v>20</v>
      </c>
      <c r="D826" s="436">
        <v>0</v>
      </c>
      <c r="E826" s="437">
        <v>6</v>
      </c>
      <c r="F826" s="357" t="s">
        <v>2572</v>
      </c>
      <c r="G826" s="147" t="s">
        <v>261</v>
      </c>
      <c r="H826" s="635"/>
      <c r="I826"/>
      <c r="J826" s="368"/>
    </row>
    <row r="827" spans="1:10">
      <c r="A827" s="341" t="s">
        <v>9413</v>
      </c>
      <c r="B827" s="434">
        <v>0</v>
      </c>
      <c r="C827" s="435">
        <v>35</v>
      </c>
      <c r="D827" s="436">
        <v>0</v>
      </c>
      <c r="E827" s="437">
        <v>10</v>
      </c>
      <c r="F827" s="357" t="s">
        <v>2578</v>
      </c>
      <c r="G827" s="147" t="s">
        <v>261</v>
      </c>
      <c r="H827" s="635"/>
      <c r="I827"/>
      <c r="J827" s="368"/>
    </row>
    <row r="828" spans="1:10">
      <c r="A828" s="150" t="s">
        <v>4818</v>
      </c>
      <c r="B828" s="154">
        <v>100</v>
      </c>
      <c r="C828" s="155">
        <v>0</v>
      </c>
      <c r="D828" s="156">
        <v>0</v>
      </c>
      <c r="E828" s="157">
        <v>5</v>
      </c>
      <c r="F828" s="150" t="s">
        <v>2608</v>
      </c>
      <c r="G828" s="147" t="s">
        <v>261</v>
      </c>
      <c r="H828" s="636"/>
      <c r="I828"/>
      <c r="J828" s="368"/>
    </row>
    <row r="829" spans="1:10">
      <c r="A829" s="147" t="s">
        <v>3965</v>
      </c>
      <c r="B829" s="154">
        <v>10</v>
      </c>
      <c r="C829" s="155">
        <v>0</v>
      </c>
      <c r="D829" s="156">
        <v>0</v>
      </c>
      <c r="E829" s="157">
        <v>10</v>
      </c>
      <c r="F829" s="147" t="s">
        <v>2607</v>
      </c>
      <c r="G829" s="148" t="s">
        <v>261</v>
      </c>
      <c r="H829" s="636" t="s">
        <v>9379</v>
      </c>
      <c r="I829"/>
      <c r="J829" s="368"/>
    </row>
    <row r="830" spans="1:10">
      <c r="A830" s="147" t="s">
        <v>3966</v>
      </c>
      <c r="B830" s="154">
        <v>20</v>
      </c>
      <c r="C830" s="155">
        <v>0</v>
      </c>
      <c r="D830" s="156">
        <v>0</v>
      </c>
      <c r="E830" s="157">
        <v>2</v>
      </c>
      <c r="F830" s="147" t="s">
        <v>2608</v>
      </c>
      <c r="G830" s="147" t="s">
        <v>261</v>
      </c>
      <c r="H830" s="636" t="s">
        <v>9379</v>
      </c>
      <c r="I830"/>
      <c r="J830" s="368"/>
    </row>
    <row r="831" spans="1:10">
      <c r="A831" s="357" t="s">
        <v>9779</v>
      </c>
      <c r="B831" s="434">
        <v>30</v>
      </c>
      <c r="C831" s="435">
        <v>0</v>
      </c>
      <c r="D831" s="436">
        <v>0</v>
      </c>
      <c r="E831" s="437">
        <v>20</v>
      </c>
      <c r="F831" s="357" t="s">
        <v>2578</v>
      </c>
      <c r="G831" s="147" t="s">
        <v>261</v>
      </c>
      <c r="H831" s="635" t="s">
        <v>11955</v>
      </c>
      <c r="I831"/>
      <c r="J831" s="368"/>
    </row>
    <row r="832" spans="1:10">
      <c r="A832" s="147" t="s">
        <v>9424</v>
      </c>
      <c r="B832" s="154">
        <v>3</v>
      </c>
      <c r="C832" s="155">
        <v>0</v>
      </c>
      <c r="D832" s="156">
        <v>0</v>
      </c>
      <c r="E832" s="157">
        <v>1</v>
      </c>
      <c r="F832" s="147" t="s">
        <v>2578</v>
      </c>
      <c r="G832" s="147" t="s">
        <v>261</v>
      </c>
      <c r="H832" s="636" t="s">
        <v>14979</v>
      </c>
      <c r="I832"/>
      <c r="J832" s="368"/>
    </row>
    <row r="833" spans="1:10">
      <c r="A833" s="147" t="s">
        <v>9425</v>
      </c>
      <c r="B833" s="154">
        <v>3</v>
      </c>
      <c r="C833" s="155">
        <v>0</v>
      </c>
      <c r="D833" s="156">
        <v>0</v>
      </c>
      <c r="E833" s="157">
        <v>2</v>
      </c>
      <c r="F833" s="147" t="s">
        <v>2572</v>
      </c>
      <c r="G833" s="147" t="s">
        <v>261</v>
      </c>
      <c r="H833" s="636" t="s">
        <v>9379</v>
      </c>
      <c r="I833"/>
      <c r="J833" s="368"/>
    </row>
    <row r="834" spans="1:10">
      <c r="A834" s="147" t="s">
        <v>3967</v>
      </c>
      <c r="B834" s="154">
        <v>1</v>
      </c>
      <c r="C834" s="155">
        <v>0</v>
      </c>
      <c r="D834" s="156">
        <v>0</v>
      </c>
      <c r="E834" s="157">
        <v>1</v>
      </c>
      <c r="F834" s="147" t="s">
        <v>3877</v>
      </c>
      <c r="G834" s="147" t="s">
        <v>261</v>
      </c>
      <c r="H834" s="636" t="s">
        <v>9379</v>
      </c>
      <c r="I834"/>
      <c r="J834" s="368"/>
    </row>
    <row r="835" spans="1:10">
      <c r="A835" s="150" t="s">
        <v>14987</v>
      </c>
      <c r="B835" s="434">
        <v>10</v>
      </c>
      <c r="C835" s="435">
        <v>0</v>
      </c>
      <c r="D835" s="436">
        <v>0</v>
      </c>
      <c r="E835" s="437">
        <v>1</v>
      </c>
      <c r="F835" s="357" t="s">
        <v>2607</v>
      </c>
      <c r="G835" s="357" t="s">
        <v>261</v>
      </c>
      <c r="H835" s="635" t="s">
        <v>14986</v>
      </c>
      <c r="I835"/>
      <c r="J835" s="368"/>
    </row>
    <row r="836" spans="1:10">
      <c r="A836" s="150" t="s">
        <v>4592</v>
      </c>
      <c r="B836" s="154">
        <v>1</v>
      </c>
      <c r="C836" s="155">
        <v>0</v>
      </c>
      <c r="D836" s="156">
        <v>0</v>
      </c>
      <c r="E836" s="157">
        <v>1</v>
      </c>
      <c r="F836" s="147" t="s">
        <v>2574</v>
      </c>
      <c r="G836" s="147" t="s">
        <v>261</v>
      </c>
      <c r="H836" s="636" t="s">
        <v>9379</v>
      </c>
      <c r="I836"/>
      <c r="J836" s="368"/>
    </row>
    <row r="837" spans="1:10">
      <c r="A837" s="147" t="s">
        <v>3968</v>
      </c>
      <c r="B837" s="154">
        <v>0</v>
      </c>
      <c r="C837" s="155">
        <v>1</v>
      </c>
      <c r="D837" s="156">
        <v>0</v>
      </c>
      <c r="E837" s="157">
        <v>10</v>
      </c>
      <c r="F837" s="147" t="s">
        <v>3877</v>
      </c>
      <c r="G837" s="147" t="s">
        <v>261</v>
      </c>
      <c r="H837" s="636" t="s">
        <v>9380</v>
      </c>
      <c r="I837"/>
      <c r="J837" s="368"/>
    </row>
    <row r="838" spans="1:10">
      <c r="A838" s="147" t="s">
        <v>3969</v>
      </c>
      <c r="B838" s="154">
        <v>0</v>
      </c>
      <c r="C838" s="155">
        <v>1</v>
      </c>
      <c r="D838" s="156">
        <v>0</v>
      </c>
      <c r="E838" s="157">
        <v>2</v>
      </c>
      <c r="F838" s="147" t="s">
        <v>2574</v>
      </c>
      <c r="G838" s="147" t="s">
        <v>261</v>
      </c>
      <c r="H838" s="636" t="s">
        <v>9380</v>
      </c>
      <c r="I838"/>
      <c r="J838" s="368"/>
    </row>
    <row r="839" spans="1:10">
      <c r="A839" s="150" t="s">
        <v>4664</v>
      </c>
      <c r="B839" s="154">
        <v>0</v>
      </c>
      <c r="C839" s="155">
        <v>7</v>
      </c>
      <c r="D839" s="156">
        <v>0</v>
      </c>
      <c r="E839" s="157">
        <v>1</v>
      </c>
      <c r="F839" s="150" t="s">
        <v>2574</v>
      </c>
      <c r="G839" s="147" t="s">
        <v>261</v>
      </c>
      <c r="H839" s="636"/>
      <c r="I839"/>
      <c r="J839" s="368"/>
    </row>
    <row r="840" spans="1:10">
      <c r="A840" s="147" t="s">
        <v>4084</v>
      </c>
      <c r="B840" s="154">
        <v>100</v>
      </c>
      <c r="C840" s="155">
        <v>0</v>
      </c>
      <c r="D840" s="156">
        <v>0</v>
      </c>
      <c r="E840" s="157">
        <v>1</v>
      </c>
      <c r="F840" s="147" t="s">
        <v>2607</v>
      </c>
      <c r="G840" s="147" t="s">
        <v>261</v>
      </c>
      <c r="H840" s="636" t="s">
        <v>9390</v>
      </c>
      <c r="I840"/>
      <c r="J840" s="368"/>
    </row>
    <row r="841" spans="1:10">
      <c r="A841" s="147" t="s">
        <v>3970</v>
      </c>
      <c r="B841" s="154">
        <v>0</v>
      </c>
      <c r="C841" s="155">
        <v>0</v>
      </c>
      <c r="D841" s="156">
        <v>2</v>
      </c>
      <c r="E841" s="157">
        <v>3</v>
      </c>
      <c r="F841" s="147" t="s">
        <v>2574</v>
      </c>
      <c r="G841" s="147" t="s">
        <v>261</v>
      </c>
      <c r="H841" s="636" t="s">
        <v>9380</v>
      </c>
      <c r="I841"/>
      <c r="J841" s="368"/>
    </row>
    <row r="842" spans="1:10">
      <c r="A842" s="147" t="s">
        <v>3972</v>
      </c>
      <c r="B842" s="154">
        <v>2</v>
      </c>
      <c r="C842" s="155">
        <v>0</v>
      </c>
      <c r="D842" s="156">
        <v>0</v>
      </c>
      <c r="E842" s="157">
        <v>1</v>
      </c>
      <c r="F842" s="147" t="s">
        <v>2572</v>
      </c>
      <c r="G842" s="147" t="s">
        <v>261</v>
      </c>
      <c r="H842" s="636" t="s">
        <v>9380</v>
      </c>
      <c r="I842"/>
      <c r="J842" s="368"/>
    </row>
    <row r="843" spans="1:10">
      <c r="A843" s="357" t="s">
        <v>11956</v>
      </c>
      <c r="B843" s="434">
        <v>0</v>
      </c>
      <c r="C843" s="435">
        <v>50</v>
      </c>
      <c r="D843" s="436">
        <v>0</v>
      </c>
      <c r="E843" s="437">
        <v>15</v>
      </c>
      <c r="F843" s="357" t="s">
        <v>141</v>
      </c>
      <c r="G843" s="147" t="s">
        <v>261</v>
      </c>
      <c r="H843" s="635" t="s">
        <v>11955</v>
      </c>
      <c r="I843"/>
      <c r="J843" s="368"/>
    </row>
    <row r="844" spans="1:10">
      <c r="A844" s="150" t="s">
        <v>9780</v>
      </c>
      <c r="B844" s="434">
        <v>10</v>
      </c>
      <c r="C844" s="435">
        <v>0</v>
      </c>
      <c r="D844" s="436">
        <v>0</v>
      </c>
      <c r="E844" s="437">
        <v>300</v>
      </c>
      <c r="F844" s="357" t="s">
        <v>2578</v>
      </c>
      <c r="G844" s="147" t="s">
        <v>261</v>
      </c>
      <c r="H844" s="635" t="s">
        <v>11955</v>
      </c>
      <c r="I844"/>
      <c r="J844" s="368"/>
    </row>
    <row r="845" spans="1:10">
      <c r="A845" s="150" t="s">
        <v>3975</v>
      </c>
      <c r="B845" s="154">
        <v>2</v>
      </c>
      <c r="C845" s="155">
        <v>0</v>
      </c>
      <c r="D845" s="156">
        <v>0</v>
      </c>
      <c r="E845" s="157">
        <v>20</v>
      </c>
      <c r="F845" s="147" t="s">
        <v>2572</v>
      </c>
      <c r="G845" s="147" t="s">
        <v>261</v>
      </c>
      <c r="H845" s="636" t="s">
        <v>9380</v>
      </c>
      <c r="I845"/>
      <c r="J845" s="368"/>
    </row>
    <row r="846" spans="1:10">
      <c r="A846" s="147" t="s">
        <v>3976</v>
      </c>
      <c r="B846" s="154">
        <v>10</v>
      </c>
      <c r="C846" s="155">
        <v>0</v>
      </c>
      <c r="D846" s="156">
        <v>0</v>
      </c>
      <c r="E846" s="157">
        <v>30</v>
      </c>
      <c r="F846" s="147" t="s">
        <v>2572</v>
      </c>
      <c r="G846" s="147" t="s">
        <v>261</v>
      </c>
      <c r="H846" s="636" t="s">
        <v>9380</v>
      </c>
      <c r="I846"/>
      <c r="J846" s="368"/>
    </row>
    <row r="847" spans="1:10">
      <c r="A847" s="147" t="s">
        <v>3977</v>
      </c>
      <c r="B847" s="154">
        <v>0</v>
      </c>
      <c r="C847" s="155">
        <v>15</v>
      </c>
      <c r="D847" s="156">
        <v>0</v>
      </c>
      <c r="E847" s="157">
        <v>10</v>
      </c>
      <c r="F847" s="147" t="s">
        <v>2574</v>
      </c>
      <c r="G847" s="147" t="s">
        <v>261</v>
      </c>
      <c r="H847" s="636" t="s">
        <v>9380</v>
      </c>
      <c r="I847"/>
      <c r="J847" s="368"/>
    </row>
    <row r="848" spans="1:10">
      <c r="A848" s="147" t="s">
        <v>4087</v>
      </c>
      <c r="B848" s="154">
        <v>40</v>
      </c>
      <c r="C848" s="155">
        <v>0</v>
      </c>
      <c r="D848" s="156">
        <v>0</v>
      </c>
      <c r="E848" s="157">
        <v>2</v>
      </c>
      <c r="F848" s="147" t="s">
        <v>2607</v>
      </c>
      <c r="G848" s="147" t="s">
        <v>261</v>
      </c>
      <c r="H848" s="636" t="s">
        <v>9391</v>
      </c>
      <c r="I848"/>
      <c r="J848" s="368"/>
    </row>
    <row r="849" spans="1:10">
      <c r="A849" s="147" t="s">
        <v>4300</v>
      </c>
      <c r="B849" s="154">
        <v>0</v>
      </c>
      <c r="C849" s="155">
        <v>10</v>
      </c>
      <c r="D849" s="156">
        <v>0</v>
      </c>
      <c r="E849" s="157">
        <v>30</v>
      </c>
      <c r="F849" s="147" t="s">
        <v>2574</v>
      </c>
      <c r="G849" s="147" t="s">
        <v>261</v>
      </c>
      <c r="H849" s="636"/>
      <c r="I849"/>
      <c r="J849" s="368"/>
    </row>
    <row r="850" spans="1:10">
      <c r="A850" s="357" t="s">
        <v>11957</v>
      </c>
      <c r="B850" s="434">
        <v>1</v>
      </c>
      <c r="C850" s="435">
        <v>0</v>
      </c>
      <c r="D850" s="436">
        <v>0</v>
      </c>
      <c r="E850" s="437">
        <v>6</v>
      </c>
      <c r="F850" s="357" t="s">
        <v>2572</v>
      </c>
      <c r="G850" s="147" t="s">
        <v>261</v>
      </c>
      <c r="H850" s="635" t="s">
        <v>11955</v>
      </c>
      <c r="I850"/>
      <c r="J850" s="368"/>
    </row>
    <row r="851" spans="1:10">
      <c r="A851" s="148" t="s">
        <v>4127</v>
      </c>
      <c r="B851" s="154">
        <v>1200</v>
      </c>
      <c r="C851" s="155">
        <v>0</v>
      </c>
      <c r="D851" s="156">
        <v>0</v>
      </c>
      <c r="E851" s="157">
        <v>0</v>
      </c>
      <c r="F851" s="148" t="s">
        <v>2607</v>
      </c>
      <c r="G851" s="147" t="s">
        <v>4132</v>
      </c>
      <c r="H851" s="636" t="s">
        <v>9398</v>
      </c>
      <c r="I851"/>
      <c r="J851" s="368"/>
    </row>
    <row r="852" spans="1:10">
      <c r="A852" s="150" t="s">
        <v>9193</v>
      </c>
      <c r="B852" s="154">
        <v>90</v>
      </c>
      <c r="C852" s="155">
        <v>0</v>
      </c>
      <c r="D852" s="156">
        <v>0</v>
      </c>
      <c r="E852" s="157">
        <v>900</v>
      </c>
      <c r="F852" s="148" t="s">
        <v>2572</v>
      </c>
      <c r="G852" s="147" t="s">
        <v>4132</v>
      </c>
      <c r="H852" s="636" t="s">
        <v>9399</v>
      </c>
      <c r="I852"/>
      <c r="J852" s="368"/>
    </row>
    <row r="853" spans="1:10">
      <c r="A853" s="148" t="s">
        <v>4128</v>
      </c>
      <c r="B853" s="154">
        <v>50</v>
      </c>
      <c r="C853" s="155">
        <v>0</v>
      </c>
      <c r="D853" s="156">
        <v>0</v>
      </c>
      <c r="E853" s="157">
        <v>0</v>
      </c>
      <c r="F853" s="148" t="s">
        <v>2574</v>
      </c>
      <c r="G853" s="147" t="s">
        <v>4132</v>
      </c>
      <c r="H853" s="636" t="s">
        <v>9398</v>
      </c>
      <c r="I853"/>
      <c r="J853" s="368"/>
    </row>
    <row r="854" spans="1:10">
      <c r="A854" s="148" t="s">
        <v>4129</v>
      </c>
      <c r="B854" s="154">
        <v>600</v>
      </c>
      <c r="C854" s="155">
        <v>0</v>
      </c>
      <c r="D854" s="156">
        <v>0</v>
      </c>
      <c r="E854" s="157">
        <v>0</v>
      </c>
      <c r="F854" s="148" t="s">
        <v>2607</v>
      </c>
      <c r="G854" s="147" t="s">
        <v>4132</v>
      </c>
      <c r="H854" s="636" t="s">
        <v>9399</v>
      </c>
      <c r="I854"/>
      <c r="J854" s="368"/>
    </row>
    <row r="855" spans="1:10">
      <c r="A855" s="148" t="s">
        <v>4130</v>
      </c>
      <c r="B855" s="154">
        <v>90</v>
      </c>
      <c r="C855" s="155">
        <v>0</v>
      </c>
      <c r="D855" s="156">
        <v>0</v>
      </c>
      <c r="E855" s="157">
        <v>0</v>
      </c>
      <c r="F855" s="148" t="s">
        <v>2574</v>
      </c>
      <c r="G855" s="147" t="s">
        <v>4132</v>
      </c>
      <c r="H855" s="636" t="s">
        <v>9398</v>
      </c>
      <c r="I855"/>
      <c r="J855" s="368"/>
    </row>
    <row r="856" spans="1:10">
      <c r="A856" s="147" t="s">
        <v>4334</v>
      </c>
      <c r="B856" s="154">
        <v>500</v>
      </c>
      <c r="C856" s="155">
        <v>0</v>
      </c>
      <c r="D856" s="156">
        <v>0</v>
      </c>
      <c r="E856" s="157">
        <v>0</v>
      </c>
      <c r="F856" s="148" t="s">
        <v>2607</v>
      </c>
      <c r="G856" s="147" t="s">
        <v>4132</v>
      </c>
      <c r="H856" s="636" t="s">
        <v>9398</v>
      </c>
      <c r="I856"/>
      <c r="J856" s="368"/>
    </row>
    <row r="857" spans="1:10">
      <c r="A857" s="357" t="s">
        <v>11270</v>
      </c>
      <c r="B857" s="434">
        <v>900</v>
      </c>
      <c r="C857" s="435">
        <v>0</v>
      </c>
      <c r="D857" s="436">
        <v>0</v>
      </c>
      <c r="E857" s="437">
        <v>0</v>
      </c>
      <c r="F857" s="357" t="s">
        <v>2572</v>
      </c>
      <c r="G857" s="147" t="s">
        <v>4132</v>
      </c>
      <c r="H857" s="635" t="s">
        <v>11271</v>
      </c>
      <c r="I857"/>
      <c r="J857" s="368"/>
    </row>
    <row r="858" spans="1:10">
      <c r="A858" s="148" t="s">
        <v>4316</v>
      </c>
      <c r="B858" s="154">
        <v>60</v>
      </c>
      <c r="C858" s="155">
        <v>0</v>
      </c>
      <c r="D858" s="156">
        <v>0</v>
      </c>
      <c r="E858" s="157">
        <v>3000</v>
      </c>
      <c r="F858" s="148" t="s">
        <v>2572</v>
      </c>
      <c r="G858" s="147" t="s">
        <v>4132</v>
      </c>
      <c r="H858" s="636"/>
      <c r="I858"/>
      <c r="J858" s="368"/>
    </row>
    <row r="859" spans="1:10">
      <c r="A859" s="148" t="s">
        <v>5533</v>
      </c>
      <c r="B859" s="154">
        <v>280</v>
      </c>
      <c r="C859" s="155">
        <v>0</v>
      </c>
      <c r="D859" s="156">
        <v>0</v>
      </c>
      <c r="E859" s="157">
        <v>100</v>
      </c>
      <c r="F859" s="148" t="s">
        <v>2608</v>
      </c>
      <c r="G859" s="147" t="s">
        <v>4132</v>
      </c>
      <c r="H859" s="636" t="s">
        <v>16380</v>
      </c>
      <c r="I859"/>
      <c r="J859" s="368"/>
    </row>
    <row r="860" spans="1:10">
      <c r="A860" s="148" t="s">
        <v>5523</v>
      </c>
      <c r="B860" s="154">
        <v>40</v>
      </c>
      <c r="C860" s="155">
        <v>0</v>
      </c>
      <c r="D860" s="156">
        <v>0</v>
      </c>
      <c r="E860" s="157">
        <v>0</v>
      </c>
      <c r="F860" s="148" t="s">
        <v>2607</v>
      </c>
      <c r="G860" s="147" t="s">
        <v>4132</v>
      </c>
      <c r="H860" s="636"/>
      <c r="I860"/>
      <c r="J860" s="368"/>
    </row>
    <row r="861" spans="1:10">
      <c r="A861" s="148" t="s">
        <v>4131</v>
      </c>
      <c r="B861" s="154">
        <v>12000</v>
      </c>
      <c r="C861" s="155">
        <v>0</v>
      </c>
      <c r="D861" s="156">
        <v>0</v>
      </c>
      <c r="E861" s="157">
        <v>0</v>
      </c>
      <c r="F861" s="148" t="s">
        <v>2578</v>
      </c>
      <c r="G861" s="147" t="s">
        <v>4132</v>
      </c>
      <c r="H861" s="636" t="s">
        <v>9399</v>
      </c>
      <c r="I861"/>
      <c r="J861" s="368"/>
    </row>
    <row r="862" spans="1:10">
      <c r="A862" s="357" t="s">
        <v>11272</v>
      </c>
      <c r="B862" s="434">
        <v>1800</v>
      </c>
      <c r="C862" s="435">
        <v>0</v>
      </c>
      <c r="D862" s="436">
        <v>0</v>
      </c>
      <c r="E862" s="437">
        <v>0</v>
      </c>
      <c r="F862" s="357" t="s">
        <v>2578</v>
      </c>
      <c r="G862" s="147" t="s">
        <v>4132</v>
      </c>
      <c r="H862" s="635" t="s">
        <v>11271</v>
      </c>
      <c r="I862"/>
      <c r="J862" s="368"/>
    </row>
    <row r="863" spans="1:10">
      <c r="A863" s="357" t="s">
        <v>11306</v>
      </c>
      <c r="B863" s="434">
        <v>500</v>
      </c>
      <c r="C863" s="435">
        <v>0</v>
      </c>
      <c r="D863" s="436">
        <v>0</v>
      </c>
      <c r="E863" s="437">
        <v>0</v>
      </c>
      <c r="F863" s="357" t="s">
        <v>2574</v>
      </c>
      <c r="G863" s="357" t="s">
        <v>4132</v>
      </c>
      <c r="H863" s="635" t="s">
        <v>11307</v>
      </c>
      <c r="I863"/>
      <c r="J863" s="368"/>
    </row>
    <row r="864" spans="1:10">
      <c r="A864" s="357" t="s">
        <v>9767</v>
      </c>
      <c r="B864" s="434">
        <v>50</v>
      </c>
      <c r="C864" s="435">
        <v>0</v>
      </c>
      <c r="D864" s="436">
        <v>0</v>
      </c>
      <c r="E864" s="437">
        <v>0</v>
      </c>
      <c r="F864" s="357" t="s">
        <v>2574</v>
      </c>
      <c r="G864" s="357" t="s">
        <v>4132</v>
      </c>
      <c r="H864" s="635" t="s">
        <v>9768</v>
      </c>
      <c r="I864"/>
      <c r="J864" s="368"/>
    </row>
    <row r="865" spans="1:10">
      <c r="A865" s="148" t="s">
        <v>4199</v>
      </c>
      <c r="B865" s="154">
        <v>40</v>
      </c>
      <c r="C865" s="155">
        <v>0</v>
      </c>
      <c r="D865" s="156">
        <v>0</v>
      </c>
      <c r="E865" s="157">
        <v>0</v>
      </c>
      <c r="F865" s="148" t="s">
        <v>2607</v>
      </c>
      <c r="G865" s="150" t="s">
        <v>11981</v>
      </c>
      <c r="H865" s="636" t="s">
        <v>9403</v>
      </c>
      <c r="I865"/>
      <c r="J865" s="368"/>
    </row>
    <row r="866" spans="1:10">
      <c r="A866" s="148" t="s">
        <v>4213</v>
      </c>
      <c r="B866" s="154">
        <v>60</v>
      </c>
      <c r="C866" s="155">
        <v>0</v>
      </c>
      <c r="D866" s="156">
        <v>0</v>
      </c>
      <c r="E866" s="157">
        <v>0</v>
      </c>
      <c r="F866" s="148" t="s">
        <v>2607</v>
      </c>
      <c r="G866" s="150" t="s">
        <v>11981</v>
      </c>
      <c r="H866" s="636" t="s">
        <v>9403</v>
      </c>
      <c r="I866"/>
      <c r="J866" s="368"/>
    </row>
    <row r="867" spans="1:10">
      <c r="A867" s="148" t="s">
        <v>4220</v>
      </c>
      <c r="B867" s="154">
        <v>120</v>
      </c>
      <c r="C867" s="155">
        <v>0</v>
      </c>
      <c r="D867" s="156">
        <v>0</v>
      </c>
      <c r="E867" s="157">
        <v>0</v>
      </c>
      <c r="F867" s="148" t="s">
        <v>2608</v>
      </c>
      <c r="G867" s="150" t="s">
        <v>11981</v>
      </c>
      <c r="H867" s="636" t="s">
        <v>9403</v>
      </c>
      <c r="I867"/>
      <c r="J867" s="368"/>
    </row>
    <row r="868" spans="1:10">
      <c r="A868" s="148" t="s">
        <v>4207</v>
      </c>
      <c r="B868" s="154">
        <v>20</v>
      </c>
      <c r="C868" s="155">
        <v>0</v>
      </c>
      <c r="D868" s="156">
        <v>0</v>
      </c>
      <c r="E868" s="157">
        <v>0</v>
      </c>
      <c r="F868" s="148" t="s">
        <v>2607</v>
      </c>
      <c r="G868" s="150" t="s">
        <v>11981</v>
      </c>
      <c r="H868" s="636" t="s">
        <v>9403</v>
      </c>
      <c r="I868"/>
      <c r="J868" s="368"/>
    </row>
    <row r="869" spans="1:10">
      <c r="A869" s="357" t="s">
        <v>15171</v>
      </c>
      <c r="B869" s="434">
        <v>240</v>
      </c>
      <c r="C869" s="435">
        <v>0</v>
      </c>
      <c r="D869" s="436">
        <v>0</v>
      </c>
      <c r="E869" s="437">
        <v>0</v>
      </c>
      <c r="F869" s="349" t="s">
        <v>2608</v>
      </c>
      <c r="G869" s="150" t="s">
        <v>11981</v>
      </c>
      <c r="H869" s="635" t="s">
        <v>9403</v>
      </c>
      <c r="I869"/>
      <c r="J869" s="368"/>
    </row>
    <row r="870" spans="1:10">
      <c r="A870" s="150" t="s">
        <v>15172</v>
      </c>
      <c r="B870" s="154">
        <v>25</v>
      </c>
      <c r="C870" s="155">
        <v>0</v>
      </c>
      <c r="D870" s="156">
        <v>0</v>
      </c>
      <c r="E870" s="157">
        <v>0</v>
      </c>
      <c r="F870" s="150" t="s">
        <v>2607</v>
      </c>
      <c r="G870" s="150" t="s">
        <v>11981</v>
      </c>
      <c r="H870" s="636" t="s">
        <v>15272</v>
      </c>
      <c r="I870"/>
      <c r="J870" s="368"/>
    </row>
    <row r="871" spans="1:10">
      <c r="A871" s="148" t="s">
        <v>4200</v>
      </c>
      <c r="B871" s="434">
        <v>36</v>
      </c>
      <c r="C871" s="435">
        <v>0</v>
      </c>
      <c r="D871" s="436">
        <v>0</v>
      </c>
      <c r="E871" s="437">
        <v>0</v>
      </c>
      <c r="F871" s="349" t="s">
        <v>2607</v>
      </c>
      <c r="G871" s="357" t="s">
        <v>11981</v>
      </c>
      <c r="H871" s="635" t="s">
        <v>9403</v>
      </c>
      <c r="I871"/>
      <c r="J871" s="368"/>
    </row>
    <row r="872" spans="1:10">
      <c r="A872" s="148" t="s">
        <v>4214</v>
      </c>
      <c r="B872" s="434">
        <v>54</v>
      </c>
      <c r="C872" s="435">
        <v>0</v>
      </c>
      <c r="D872" s="436">
        <v>0</v>
      </c>
      <c r="E872" s="437">
        <v>0</v>
      </c>
      <c r="F872" s="349" t="s">
        <v>2607</v>
      </c>
      <c r="G872" s="357" t="s">
        <v>11981</v>
      </c>
      <c r="H872" s="635" t="s">
        <v>9403</v>
      </c>
      <c r="I872"/>
      <c r="J872" s="368"/>
    </row>
    <row r="873" spans="1:10">
      <c r="A873" s="148" t="s">
        <v>4221</v>
      </c>
      <c r="B873" s="154">
        <v>108</v>
      </c>
      <c r="C873" s="155">
        <v>0</v>
      </c>
      <c r="D873" s="156">
        <v>0</v>
      </c>
      <c r="E873" s="157">
        <v>0</v>
      </c>
      <c r="F873" s="148" t="s">
        <v>2608</v>
      </c>
      <c r="G873" s="357" t="s">
        <v>11981</v>
      </c>
      <c r="H873" s="636" t="s">
        <v>9403</v>
      </c>
      <c r="I873"/>
      <c r="J873" s="368"/>
    </row>
    <row r="874" spans="1:10">
      <c r="A874" s="148" t="s">
        <v>4206</v>
      </c>
      <c r="B874" s="154">
        <v>18</v>
      </c>
      <c r="C874" s="155">
        <v>0</v>
      </c>
      <c r="D874" s="156">
        <v>0</v>
      </c>
      <c r="E874" s="157">
        <v>0</v>
      </c>
      <c r="F874" s="148" t="s">
        <v>2607</v>
      </c>
      <c r="G874" s="357" t="s">
        <v>11981</v>
      </c>
      <c r="H874" s="636" t="s">
        <v>9403</v>
      </c>
      <c r="I874"/>
      <c r="J874" s="368"/>
    </row>
    <row r="875" spans="1:10">
      <c r="A875" s="148" t="s">
        <v>4227</v>
      </c>
      <c r="B875" s="434">
        <v>216</v>
      </c>
      <c r="C875" s="435">
        <v>0</v>
      </c>
      <c r="D875" s="436">
        <v>0</v>
      </c>
      <c r="E875" s="437">
        <v>0</v>
      </c>
      <c r="F875" s="349" t="s">
        <v>2608</v>
      </c>
      <c r="G875" s="357" t="s">
        <v>11981</v>
      </c>
      <c r="H875" s="635" t="s">
        <v>9403</v>
      </c>
      <c r="I875"/>
      <c r="J875" s="368"/>
    </row>
    <row r="876" spans="1:10">
      <c r="A876" s="148" t="s">
        <v>4201</v>
      </c>
      <c r="B876" s="434">
        <v>16</v>
      </c>
      <c r="C876" s="435">
        <v>0</v>
      </c>
      <c r="D876" s="436">
        <v>0</v>
      </c>
      <c r="E876" s="437">
        <v>0</v>
      </c>
      <c r="F876" s="349" t="s">
        <v>2607</v>
      </c>
      <c r="G876" s="357" t="s">
        <v>11981</v>
      </c>
      <c r="H876" s="635" t="s">
        <v>9403</v>
      </c>
      <c r="I876"/>
      <c r="J876" s="368"/>
    </row>
    <row r="877" spans="1:10">
      <c r="A877" s="349" t="s">
        <v>4215</v>
      </c>
      <c r="B877" s="434">
        <v>24</v>
      </c>
      <c r="C877" s="435">
        <v>0</v>
      </c>
      <c r="D877" s="436">
        <v>0</v>
      </c>
      <c r="E877" s="437">
        <v>0</v>
      </c>
      <c r="F877" s="349" t="s">
        <v>2607</v>
      </c>
      <c r="G877" s="357" t="s">
        <v>11981</v>
      </c>
      <c r="H877" s="635" t="s">
        <v>9403</v>
      </c>
      <c r="I877"/>
      <c r="J877" s="368"/>
    </row>
    <row r="878" spans="1:10">
      <c r="A878" s="349" t="s">
        <v>4222</v>
      </c>
      <c r="B878" s="434">
        <v>48</v>
      </c>
      <c r="C878" s="435">
        <v>0</v>
      </c>
      <c r="D878" s="436">
        <v>0</v>
      </c>
      <c r="E878" s="437">
        <v>0</v>
      </c>
      <c r="F878" s="349" t="s">
        <v>2607</v>
      </c>
      <c r="G878" s="357" t="s">
        <v>11981</v>
      </c>
      <c r="H878" s="635" t="s">
        <v>9403</v>
      </c>
      <c r="I878"/>
      <c r="J878" s="368"/>
    </row>
    <row r="879" spans="1:10">
      <c r="A879" s="148" t="s">
        <v>4208</v>
      </c>
      <c r="B879" s="154">
        <v>8</v>
      </c>
      <c r="C879" s="155">
        <v>0</v>
      </c>
      <c r="D879" s="156">
        <v>0</v>
      </c>
      <c r="E879" s="157">
        <v>0</v>
      </c>
      <c r="F879" s="148" t="s">
        <v>2578</v>
      </c>
      <c r="G879" s="357" t="s">
        <v>11981</v>
      </c>
      <c r="H879" s="636" t="s">
        <v>9403</v>
      </c>
      <c r="I879"/>
      <c r="J879" s="368"/>
    </row>
    <row r="880" spans="1:10">
      <c r="A880" s="349" t="s">
        <v>4228</v>
      </c>
      <c r="B880" s="434">
        <v>96</v>
      </c>
      <c r="C880" s="435">
        <v>0</v>
      </c>
      <c r="D880" s="436">
        <v>0</v>
      </c>
      <c r="E880" s="437">
        <v>0</v>
      </c>
      <c r="F880" s="349" t="s">
        <v>2607</v>
      </c>
      <c r="G880" s="357" t="s">
        <v>11981</v>
      </c>
      <c r="H880" s="635" t="s">
        <v>9403</v>
      </c>
      <c r="I880"/>
      <c r="J880" s="368"/>
    </row>
    <row r="881" spans="1:10">
      <c r="A881" s="150" t="s">
        <v>17510</v>
      </c>
      <c r="B881" s="154">
        <v>50</v>
      </c>
      <c r="C881" s="155">
        <v>0</v>
      </c>
      <c r="D881" s="156">
        <v>0</v>
      </c>
      <c r="E881" s="157">
        <v>0</v>
      </c>
      <c r="F881" s="148" t="s">
        <v>2607</v>
      </c>
      <c r="G881" s="357" t="s">
        <v>11981</v>
      </c>
      <c r="H881" s="636" t="s">
        <v>9403</v>
      </c>
      <c r="I881"/>
      <c r="J881" s="368"/>
    </row>
    <row r="882" spans="1:10">
      <c r="A882" s="150" t="s">
        <v>17511</v>
      </c>
      <c r="B882" s="154">
        <v>75</v>
      </c>
      <c r="C882" s="155">
        <v>0</v>
      </c>
      <c r="D882" s="156">
        <v>0</v>
      </c>
      <c r="E882" s="157">
        <v>0</v>
      </c>
      <c r="F882" s="148" t="s">
        <v>2607</v>
      </c>
      <c r="G882" s="357" t="s">
        <v>11981</v>
      </c>
      <c r="H882" s="636" t="s">
        <v>9403</v>
      </c>
      <c r="I882"/>
      <c r="J882" s="368"/>
    </row>
    <row r="883" spans="1:10">
      <c r="A883" s="150" t="s">
        <v>17512</v>
      </c>
      <c r="B883" s="154">
        <v>150</v>
      </c>
      <c r="C883" s="155">
        <v>0</v>
      </c>
      <c r="D883" s="156">
        <v>0</v>
      </c>
      <c r="E883" s="157">
        <v>0</v>
      </c>
      <c r="F883" s="148" t="s">
        <v>2608</v>
      </c>
      <c r="G883" s="357" t="s">
        <v>11981</v>
      </c>
      <c r="H883" s="636" t="s">
        <v>9403</v>
      </c>
      <c r="I883"/>
      <c r="J883" s="368"/>
    </row>
    <row r="884" spans="1:10">
      <c r="A884" s="150" t="s">
        <v>17513</v>
      </c>
      <c r="B884" s="154">
        <v>25</v>
      </c>
      <c r="C884" s="155">
        <v>0</v>
      </c>
      <c r="D884" s="156">
        <v>0</v>
      </c>
      <c r="E884" s="157">
        <v>0</v>
      </c>
      <c r="F884" s="148" t="s">
        <v>2607</v>
      </c>
      <c r="G884" s="357" t="s">
        <v>11981</v>
      </c>
      <c r="H884" s="636" t="s">
        <v>9403</v>
      </c>
      <c r="I884"/>
      <c r="J884" s="368"/>
    </row>
    <row r="885" spans="1:10">
      <c r="A885" s="150" t="s">
        <v>17514</v>
      </c>
      <c r="B885" s="434">
        <v>300</v>
      </c>
      <c r="C885" s="435">
        <v>0</v>
      </c>
      <c r="D885" s="436">
        <v>0</v>
      </c>
      <c r="E885" s="437">
        <v>0</v>
      </c>
      <c r="F885" s="349" t="s">
        <v>2608</v>
      </c>
      <c r="G885" s="357" t="s">
        <v>11981</v>
      </c>
      <c r="H885" s="635" t="s">
        <v>9403</v>
      </c>
      <c r="I885"/>
      <c r="J885" s="368"/>
    </row>
    <row r="886" spans="1:10">
      <c r="A886" s="148" t="s">
        <v>4202</v>
      </c>
      <c r="B886" s="154">
        <v>40</v>
      </c>
      <c r="C886" s="155">
        <v>0</v>
      </c>
      <c r="D886" s="156">
        <v>0</v>
      </c>
      <c r="E886" s="157">
        <v>0</v>
      </c>
      <c r="F886" s="148" t="s">
        <v>2607</v>
      </c>
      <c r="G886" s="150" t="s">
        <v>11981</v>
      </c>
      <c r="H886" s="636" t="s">
        <v>9403</v>
      </c>
      <c r="I886"/>
      <c r="J886" s="368"/>
    </row>
    <row r="887" spans="1:10">
      <c r="A887" s="148" t="s">
        <v>4216</v>
      </c>
      <c r="B887" s="154">
        <v>60</v>
      </c>
      <c r="C887" s="155">
        <v>0</v>
      </c>
      <c r="D887" s="156">
        <v>0</v>
      </c>
      <c r="E887" s="157">
        <v>0</v>
      </c>
      <c r="F887" s="148" t="s">
        <v>2607</v>
      </c>
      <c r="G887" s="150" t="s">
        <v>11981</v>
      </c>
      <c r="H887" s="636" t="s">
        <v>9403</v>
      </c>
      <c r="I887"/>
      <c r="J887" s="368"/>
    </row>
    <row r="888" spans="1:10">
      <c r="A888" s="148" t="s">
        <v>4223</v>
      </c>
      <c r="B888" s="154">
        <v>120</v>
      </c>
      <c r="C888" s="155">
        <v>0</v>
      </c>
      <c r="D888" s="156">
        <v>0</v>
      </c>
      <c r="E888" s="157">
        <v>0</v>
      </c>
      <c r="F888" s="148" t="s">
        <v>2608</v>
      </c>
      <c r="G888" s="150" t="s">
        <v>11981</v>
      </c>
      <c r="H888" s="636" t="s">
        <v>9403</v>
      </c>
      <c r="I888"/>
      <c r="J888" s="368"/>
    </row>
    <row r="889" spans="1:10">
      <c r="A889" s="148" t="s">
        <v>4209</v>
      </c>
      <c r="B889" s="154">
        <v>20</v>
      </c>
      <c r="C889" s="155">
        <v>0</v>
      </c>
      <c r="D889" s="156">
        <v>0</v>
      </c>
      <c r="E889" s="157">
        <v>0</v>
      </c>
      <c r="F889" s="148" t="s">
        <v>2607</v>
      </c>
      <c r="G889" s="150" t="s">
        <v>11981</v>
      </c>
      <c r="H889" s="636" t="s">
        <v>9403</v>
      </c>
      <c r="I889"/>
      <c r="J889" s="368"/>
    </row>
    <row r="890" spans="1:10">
      <c r="A890" s="148" t="s">
        <v>4229</v>
      </c>
      <c r="B890" s="154">
        <v>240</v>
      </c>
      <c r="C890" s="155">
        <v>0</v>
      </c>
      <c r="D890" s="156">
        <v>0</v>
      </c>
      <c r="E890" s="157">
        <v>0</v>
      </c>
      <c r="F890" s="148" t="s">
        <v>2608</v>
      </c>
      <c r="G890" s="150" t="s">
        <v>11981</v>
      </c>
      <c r="H890" s="636" t="s">
        <v>9403</v>
      </c>
      <c r="I890"/>
      <c r="J890" s="368"/>
    </row>
    <row r="891" spans="1:10">
      <c r="A891" s="148" t="s">
        <v>4203</v>
      </c>
      <c r="B891" s="154">
        <v>60</v>
      </c>
      <c r="C891" s="155">
        <v>0</v>
      </c>
      <c r="D891" s="156">
        <v>0</v>
      </c>
      <c r="E891" s="157">
        <v>0</v>
      </c>
      <c r="F891" s="148" t="s">
        <v>2607</v>
      </c>
      <c r="G891" s="150" t="s">
        <v>11981</v>
      </c>
      <c r="H891" s="636" t="s">
        <v>9403</v>
      </c>
      <c r="I891"/>
      <c r="J891" s="368"/>
    </row>
    <row r="892" spans="1:10">
      <c r="A892" s="148" t="s">
        <v>4217</v>
      </c>
      <c r="B892" s="154">
        <v>90</v>
      </c>
      <c r="C892" s="155">
        <v>0</v>
      </c>
      <c r="D892" s="156">
        <v>0</v>
      </c>
      <c r="E892" s="157">
        <v>0</v>
      </c>
      <c r="F892" s="148" t="s">
        <v>2607</v>
      </c>
      <c r="G892" s="150" t="s">
        <v>11981</v>
      </c>
      <c r="H892" s="636" t="s">
        <v>9403</v>
      </c>
      <c r="I892"/>
      <c r="J892" s="368"/>
    </row>
    <row r="893" spans="1:10">
      <c r="A893" s="148" t="s">
        <v>4224</v>
      </c>
      <c r="B893" s="154">
        <v>180</v>
      </c>
      <c r="C893" s="155">
        <v>0</v>
      </c>
      <c r="D893" s="156">
        <v>0</v>
      </c>
      <c r="E893" s="157">
        <v>0</v>
      </c>
      <c r="F893" s="148" t="s">
        <v>2608</v>
      </c>
      <c r="G893" s="150" t="s">
        <v>11981</v>
      </c>
      <c r="H893" s="636" t="s">
        <v>9403</v>
      </c>
      <c r="I893"/>
      <c r="J893" s="368"/>
    </row>
    <row r="894" spans="1:10">
      <c r="A894" s="148" t="s">
        <v>4210</v>
      </c>
      <c r="B894" s="154">
        <v>30</v>
      </c>
      <c r="C894" s="155">
        <v>0</v>
      </c>
      <c r="D894" s="156">
        <v>0</v>
      </c>
      <c r="E894" s="157">
        <v>0</v>
      </c>
      <c r="F894" s="148" t="s">
        <v>2607</v>
      </c>
      <c r="G894" s="150" t="s">
        <v>11981</v>
      </c>
      <c r="H894" s="636" t="s">
        <v>9403</v>
      </c>
      <c r="I894"/>
      <c r="J894" s="368"/>
    </row>
    <row r="895" spans="1:10">
      <c r="A895" s="148" t="s">
        <v>4230</v>
      </c>
      <c r="B895" s="154">
        <v>360</v>
      </c>
      <c r="C895" s="155">
        <v>0</v>
      </c>
      <c r="D895" s="156">
        <v>0</v>
      </c>
      <c r="E895" s="157">
        <v>0</v>
      </c>
      <c r="F895" s="148" t="s">
        <v>2608</v>
      </c>
      <c r="G895" s="150" t="s">
        <v>11981</v>
      </c>
      <c r="H895" s="636" t="s">
        <v>9403</v>
      </c>
      <c r="I895"/>
      <c r="J895" s="368"/>
    </row>
    <row r="896" spans="1:10">
      <c r="A896" s="148" t="s">
        <v>4204</v>
      </c>
      <c r="B896" s="154">
        <v>30</v>
      </c>
      <c r="C896" s="155">
        <v>0</v>
      </c>
      <c r="D896" s="156">
        <v>0</v>
      </c>
      <c r="E896" s="157">
        <v>0</v>
      </c>
      <c r="F896" s="148" t="s">
        <v>2607</v>
      </c>
      <c r="G896" s="150" t="s">
        <v>11981</v>
      </c>
      <c r="H896" s="636" t="s">
        <v>9403</v>
      </c>
      <c r="I896"/>
      <c r="J896" s="368"/>
    </row>
    <row r="897" spans="1:10">
      <c r="A897" s="148" t="s">
        <v>4218</v>
      </c>
      <c r="B897" s="154">
        <v>45</v>
      </c>
      <c r="C897" s="155">
        <v>0</v>
      </c>
      <c r="D897" s="156">
        <v>0</v>
      </c>
      <c r="E897" s="157">
        <v>0</v>
      </c>
      <c r="F897" s="148" t="s">
        <v>2607</v>
      </c>
      <c r="G897" s="150" t="s">
        <v>11981</v>
      </c>
      <c r="H897" s="636" t="s">
        <v>9403</v>
      </c>
      <c r="I897"/>
      <c r="J897" s="368"/>
    </row>
    <row r="898" spans="1:10">
      <c r="A898" s="148" t="s">
        <v>4225</v>
      </c>
      <c r="B898" s="154">
        <v>90</v>
      </c>
      <c r="C898" s="155">
        <v>0</v>
      </c>
      <c r="D898" s="156">
        <v>0</v>
      </c>
      <c r="E898" s="157">
        <v>0</v>
      </c>
      <c r="F898" s="148" t="s">
        <v>2607</v>
      </c>
      <c r="G898" s="150" t="s">
        <v>11981</v>
      </c>
      <c r="H898" s="636" t="s">
        <v>9403</v>
      </c>
      <c r="I898"/>
      <c r="J898" s="368"/>
    </row>
    <row r="899" spans="1:10">
      <c r="A899" s="148" t="s">
        <v>4211</v>
      </c>
      <c r="B899" s="154">
        <v>15</v>
      </c>
      <c r="C899" s="155">
        <v>0</v>
      </c>
      <c r="D899" s="156">
        <v>0</v>
      </c>
      <c r="E899" s="157">
        <v>0</v>
      </c>
      <c r="F899" s="148" t="s">
        <v>2607</v>
      </c>
      <c r="G899" s="150" t="s">
        <v>11981</v>
      </c>
      <c r="H899" s="636" t="s">
        <v>9403</v>
      </c>
      <c r="I899"/>
      <c r="J899" s="368"/>
    </row>
    <row r="900" spans="1:10">
      <c r="A900" s="148" t="s">
        <v>4231</v>
      </c>
      <c r="B900" s="154">
        <v>180</v>
      </c>
      <c r="C900" s="155">
        <v>0</v>
      </c>
      <c r="D900" s="156">
        <v>0</v>
      </c>
      <c r="E900" s="157">
        <v>0</v>
      </c>
      <c r="F900" s="148" t="s">
        <v>2608</v>
      </c>
      <c r="G900" s="150" t="s">
        <v>11981</v>
      </c>
      <c r="H900" s="636" t="s">
        <v>9403</v>
      </c>
      <c r="I900"/>
      <c r="J900" s="368"/>
    </row>
    <row r="901" spans="1:10">
      <c r="A901" s="150" t="s">
        <v>9430</v>
      </c>
      <c r="B901" s="154">
        <v>0</v>
      </c>
      <c r="C901" s="155">
        <v>0</v>
      </c>
      <c r="D901" s="156">
        <v>10</v>
      </c>
      <c r="E901" s="157">
        <v>0</v>
      </c>
      <c r="F901" s="150" t="s">
        <v>2578</v>
      </c>
      <c r="G901" s="150" t="s">
        <v>11981</v>
      </c>
      <c r="H901" s="636"/>
      <c r="I901"/>
      <c r="J901" s="368"/>
    </row>
    <row r="902" spans="1:10">
      <c r="A902" s="148" t="s">
        <v>4205</v>
      </c>
      <c r="B902" s="154">
        <v>70</v>
      </c>
      <c r="C902" s="155">
        <v>0</v>
      </c>
      <c r="D902" s="156">
        <v>0</v>
      </c>
      <c r="E902" s="157">
        <v>0</v>
      </c>
      <c r="F902" s="148" t="s">
        <v>2607</v>
      </c>
      <c r="G902" s="150" t="s">
        <v>11981</v>
      </c>
      <c r="H902" s="636" t="s">
        <v>9403</v>
      </c>
      <c r="I902"/>
      <c r="J902" s="368"/>
    </row>
    <row r="903" spans="1:10">
      <c r="A903" s="148" t="s">
        <v>4219</v>
      </c>
      <c r="B903" s="154">
        <v>105</v>
      </c>
      <c r="C903" s="155">
        <v>0</v>
      </c>
      <c r="D903" s="156">
        <v>0</v>
      </c>
      <c r="E903" s="157">
        <v>0</v>
      </c>
      <c r="F903" s="148" t="s">
        <v>2608</v>
      </c>
      <c r="G903" s="150" t="s">
        <v>11981</v>
      </c>
      <c r="H903" s="636" t="s">
        <v>9403</v>
      </c>
      <c r="I903"/>
      <c r="J903" s="368"/>
    </row>
    <row r="904" spans="1:10">
      <c r="A904" s="148" t="s">
        <v>4226</v>
      </c>
      <c r="B904" s="154">
        <v>210</v>
      </c>
      <c r="C904" s="155">
        <v>0</v>
      </c>
      <c r="D904" s="156">
        <v>0</v>
      </c>
      <c r="E904" s="157">
        <v>0</v>
      </c>
      <c r="F904" s="148" t="s">
        <v>2608</v>
      </c>
      <c r="G904" s="150" t="s">
        <v>11981</v>
      </c>
      <c r="H904" s="636" t="s">
        <v>9403</v>
      </c>
      <c r="I904"/>
      <c r="J904" s="368"/>
    </row>
    <row r="905" spans="1:10">
      <c r="A905" s="148" t="s">
        <v>4212</v>
      </c>
      <c r="B905" s="154">
        <v>35</v>
      </c>
      <c r="C905" s="155">
        <v>0</v>
      </c>
      <c r="D905" s="156">
        <v>0</v>
      </c>
      <c r="E905" s="157">
        <v>0</v>
      </c>
      <c r="F905" s="148" t="s">
        <v>2607</v>
      </c>
      <c r="G905" s="150" t="s">
        <v>11981</v>
      </c>
      <c r="H905" s="636" t="s">
        <v>9403</v>
      </c>
      <c r="I905"/>
      <c r="J905" s="368"/>
    </row>
    <row r="906" spans="1:10">
      <c r="A906" s="148" t="s">
        <v>4232</v>
      </c>
      <c r="B906" s="154">
        <v>420</v>
      </c>
      <c r="C906" s="155">
        <v>0</v>
      </c>
      <c r="D906" s="156">
        <v>0</v>
      </c>
      <c r="E906" s="157">
        <v>0</v>
      </c>
      <c r="F906" s="148" t="s">
        <v>2608</v>
      </c>
      <c r="G906" s="150" t="s">
        <v>11981</v>
      </c>
      <c r="H906" s="636" t="s">
        <v>9403</v>
      </c>
      <c r="I906"/>
      <c r="J906" s="368"/>
    </row>
    <row r="907" spans="1:10">
      <c r="A907" s="150" t="s">
        <v>11994</v>
      </c>
      <c r="B907" s="154">
        <v>15</v>
      </c>
      <c r="C907" s="155">
        <v>0</v>
      </c>
      <c r="D907" s="156">
        <v>0</v>
      </c>
      <c r="E907" s="157">
        <v>300</v>
      </c>
      <c r="F907" s="150" t="s">
        <v>2578</v>
      </c>
      <c r="G907" s="150" t="s">
        <v>11995</v>
      </c>
      <c r="H907" s="636"/>
      <c r="I907"/>
      <c r="J907" s="368"/>
    </row>
    <row r="908" spans="1:10">
      <c r="A908" s="150" t="s">
        <v>11996</v>
      </c>
      <c r="B908" s="154">
        <v>30</v>
      </c>
      <c r="C908" s="155">
        <v>0</v>
      </c>
      <c r="D908" s="156">
        <v>0</v>
      </c>
      <c r="E908" s="157">
        <v>300</v>
      </c>
      <c r="F908" s="150" t="s">
        <v>2578</v>
      </c>
      <c r="G908" s="150" t="s">
        <v>11995</v>
      </c>
      <c r="H908" s="636"/>
      <c r="I908"/>
      <c r="J908" s="368"/>
    </row>
    <row r="909" spans="1:10">
      <c r="A909" s="150" t="s">
        <v>11989</v>
      </c>
      <c r="B909" s="154">
        <v>300</v>
      </c>
      <c r="C909" s="155">
        <v>0</v>
      </c>
      <c r="D909" s="156">
        <v>0</v>
      </c>
      <c r="E909" s="157">
        <v>300</v>
      </c>
      <c r="F909" s="150" t="s">
        <v>2608</v>
      </c>
      <c r="G909" s="150" t="s">
        <v>11995</v>
      </c>
      <c r="H909" s="636" t="s">
        <v>9768</v>
      </c>
      <c r="I909"/>
      <c r="J909" s="368"/>
    </row>
    <row r="910" spans="1:10">
      <c r="A910" s="150" t="s">
        <v>17515</v>
      </c>
      <c r="B910" s="154">
        <v>20</v>
      </c>
      <c r="C910" s="155">
        <v>0</v>
      </c>
      <c r="D910" s="156">
        <v>0</v>
      </c>
      <c r="E910" s="157">
        <v>300</v>
      </c>
      <c r="F910" s="150" t="s">
        <v>2578</v>
      </c>
      <c r="G910" s="150" t="s">
        <v>11995</v>
      </c>
      <c r="H910" s="636"/>
      <c r="I910"/>
      <c r="J910" s="368"/>
    </row>
    <row r="911" spans="1:10">
      <c r="A911" s="150" t="s">
        <v>11988</v>
      </c>
      <c r="B911" s="154">
        <v>60</v>
      </c>
      <c r="C911" s="155">
        <v>0</v>
      </c>
      <c r="D911" s="156">
        <v>0</v>
      </c>
      <c r="E911" s="157">
        <v>300</v>
      </c>
      <c r="F911" s="150" t="s">
        <v>2574</v>
      </c>
      <c r="G911" s="150" t="s">
        <v>11995</v>
      </c>
      <c r="H911" s="636" t="s">
        <v>9768</v>
      </c>
      <c r="I911"/>
      <c r="J911" s="368"/>
    </row>
    <row r="912" spans="1:10">
      <c r="A912" s="150" t="s">
        <v>11990</v>
      </c>
      <c r="B912" s="154">
        <v>0</v>
      </c>
      <c r="C912" s="155">
        <v>32</v>
      </c>
      <c r="D912" s="156">
        <v>0</v>
      </c>
      <c r="E912" s="157">
        <v>300</v>
      </c>
      <c r="F912" s="150" t="s">
        <v>2574</v>
      </c>
      <c r="G912" s="150" t="s">
        <v>11995</v>
      </c>
      <c r="H912" s="636" t="s">
        <v>9768</v>
      </c>
      <c r="I912"/>
      <c r="J912" s="368"/>
    </row>
    <row r="913" spans="1:10">
      <c r="A913" s="357" t="s">
        <v>11991</v>
      </c>
      <c r="B913" s="434">
        <v>10</v>
      </c>
      <c r="C913" s="435">
        <v>0</v>
      </c>
      <c r="D913" s="436">
        <v>0</v>
      </c>
      <c r="E913" s="437">
        <v>300</v>
      </c>
      <c r="F913" s="357" t="s">
        <v>2608</v>
      </c>
      <c r="G913" s="357" t="s">
        <v>11995</v>
      </c>
      <c r="H913" s="635" t="s">
        <v>9768</v>
      </c>
      <c r="I913"/>
      <c r="J913" s="368"/>
    </row>
    <row r="914" spans="1:10">
      <c r="A914" s="150" t="s">
        <v>11999</v>
      </c>
      <c r="B914" s="154">
        <v>8000</v>
      </c>
      <c r="C914" s="155">
        <v>0</v>
      </c>
      <c r="D914" s="156">
        <v>0</v>
      </c>
      <c r="E914" s="157">
        <v>300</v>
      </c>
      <c r="F914" s="150" t="s">
        <v>8801</v>
      </c>
      <c r="G914" s="150" t="s">
        <v>11995</v>
      </c>
      <c r="H914" s="636"/>
      <c r="I914"/>
      <c r="J914" s="368"/>
    </row>
    <row r="915" spans="1:10">
      <c r="A915" s="150" t="s">
        <v>11992</v>
      </c>
      <c r="B915" s="154">
        <v>700</v>
      </c>
      <c r="C915" s="155">
        <v>0</v>
      </c>
      <c r="D915" s="156">
        <v>0</v>
      </c>
      <c r="E915" s="157">
        <v>300</v>
      </c>
      <c r="F915" s="150" t="s">
        <v>2608</v>
      </c>
      <c r="G915" s="150" t="s">
        <v>11995</v>
      </c>
      <c r="H915" s="636" t="s">
        <v>9768</v>
      </c>
      <c r="I915"/>
      <c r="J915" s="368"/>
    </row>
    <row r="916" spans="1:10">
      <c r="A916" s="150" t="s">
        <v>11993</v>
      </c>
      <c r="B916" s="154">
        <v>0</v>
      </c>
      <c r="C916" s="155">
        <v>22</v>
      </c>
      <c r="D916" s="156">
        <v>0</v>
      </c>
      <c r="E916" s="157">
        <v>300</v>
      </c>
      <c r="F916" s="150" t="s">
        <v>2574</v>
      </c>
      <c r="G916" s="150" t="s">
        <v>11995</v>
      </c>
      <c r="H916" s="636" t="s">
        <v>9768</v>
      </c>
      <c r="I916"/>
      <c r="J916" s="368"/>
    </row>
    <row r="917" spans="1:10">
      <c r="A917" s="150" t="s">
        <v>11998</v>
      </c>
      <c r="B917" s="154">
        <v>2</v>
      </c>
      <c r="C917" s="155">
        <v>0</v>
      </c>
      <c r="D917" s="156">
        <v>0</v>
      </c>
      <c r="E917" s="157">
        <v>300</v>
      </c>
      <c r="F917" s="150" t="s">
        <v>2607</v>
      </c>
      <c r="G917" s="150" t="s">
        <v>11995</v>
      </c>
      <c r="H917" s="636" t="s">
        <v>9768</v>
      </c>
      <c r="I917"/>
      <c r="J917" s="368"/>
    </row>
    <row r="918" spans="1:10">
      <c r="A918" s="150" t="s">
        <v>12000</v>
      </c>
      <c r="B918" s="154">
        <v>1</v>
      </c>
      <c r="C918" s="155">
        <v>0</v>
      </c>
      <c r="D918" s="156">
        <v>0</v>
      </c>
      <c r="E918" s="157">
        <v>300</v>
      </c>
      <c r="F918" s="150" t="s">
        <v>2607</v>
      </c>
      <c r="G918" s="150" t="s">
        <v>11995</v>
      </c>
      <c r="H918" s="636"/>
      <c r="I918"/>
      <c r="J918" s="368"/>
    </row>
    <row r="919" spans="1:10">
      <c r="A919" s="150" t="s">
        <v>17516</v>
      </c>
      <c r="B919" s="154">
        <v>3000</v>
      </c>
      <c r="C919" s="155">
        <v>0</v>
      </c>
      <c r="D919" s="156">
        <v>0</v>
      </c>
      <c r="E919" s="157">
        <v>300</v>
      </c>
      <c r="F919" s="150" t="s">
        <v>8801</v>
      </c>
      <c r="G919" s="150" t="s">
        <v>11995</v>
      </c>
      <c r="H919" s="636"/>
      <c r="I919"/>
      <c r="J919" s="368"/>
    </row>
    <row r="920" spans="1:10">
      <c r="A920" s="150" t="s">
        <v>17517</v>
      </c>
      <c r="B920" s="154">
        <v>1</v>
      </c>
      <c r="C920" s="155">
        <v>0</v>
      </c>
      <c r="D920" s="156">
        <v>0</v>
      </c>
      <c r="E920" s="157">
        <v>300</v>
      </c>
      <c r="F920" s="150" t="s">
        <v>2607</v>
      </c>
      <c r="G920" s="150" t="s">
        <v>11995</v>
      </c>
      <c r="H920" s="636"/>
      <c r="I920"/>
      <c r="J920" s="368"/>
    </row>
    <row r="921" spans="1:10">
      <c r="A921" s="150" t="s">
        <v>11997</v>
      </c>
      <c r="B921" s="154">
        <v>5000</v>
      </c>
      <c r="C921" s="155">
        <v>0</v>
      </c>
      <c r="D921" s="156">
        <v>0</v>
      </c>
      <c r="E921" s="157">
        <v>300</v>
      </c>
      <c r="F921" s="150" t="s">
        <v>8801</v>
      </c>
      <c r="G921" s="150" t="s">
        <v>11995</v>
      </c>
      <c r="H921" s="636"/>
      <c r="I921"/>
      <c r="J921" s="368"/>
    </row>
    <row r="922" spans="1:10">
      <c r="A922" s="150" t="s">
        <v>11974</v>
      </c>
      <c r="B922" s="154">
        <v>0</v>
      </c>
      <c r="C922" s="155">
        <v>36</v>
      </c>
      <c r="D922" s="156">
        <v>0</v>
      </c>
      <c r="E922" s="157">
        <v>10</v>
      </c>
      <c r="F922" s="150" t="s">
        <v>2607</v>
      </c>
      <c r="G922" s="150" t="s">
        <v>11979</v>
      </c>
      <c r="H922" s="636" t="s">
        <v>11968</v>
      </c>
      <c r="I922"/>
      <c r="J922" s="368"/>
    </row>
    <row r="923" spans="1:10">
      <c r="A923" s="150" t="s">
        <v>11975</v>
      </c>
      <c r="B923" s="154">
        <v>0</v>
      </c>
      <c r="C923" s="155">
        <v>25</v>
      </c>
      <c r="D923" s="156">
        <v>0</v>
      </c>
      <c r="E923" s="157">
        <v>10</v>
      </c>
      <c r="F923" s="150" t="s">
        <v>2574</v>
      </c>
      <c r="G923" s="150" t="s">
        <v>11979</v>
      </c>
      <c r="H923" s="636" t="s">
        <v>11968</v>
      </c>
      <c r="I923"/>
      <c r="J923" s="368"/>
    </row>
    <row r="924" spans="1:10">
      <c r="A924" s="150" t="s">
        <v>11976</v>
      </c>
      <c r="B924" s="154">
        <v>10</v>
      </c>
      <c r="C924" s="155">
        <v>0</v>
      </c>
      <c r="D924" s="156">
        <v>0</v>
      </c>
      <c r="E924" s="157">
        <v>10</v>
      </c>
      <c r="F924" s="150" t="s">
        <v>2578</v>
      </c>
      <c r="G924" s="150" t="s">
        <v>11979</v>
      </c>
      <c r="H924" s="636" t="s">
        <v>11968</v>
      </c>
      <c r="I924"/>
      <c r="J924" s="368"/>
    </row>
    <row r="925" spans="1:10">
      <c r="A925" s="150" t="s">
        <v>11977</v>
      </c>
      <c r="B925" s="154">
        <v>30</v>
      </c>
      <c r="C925" s="155">
        <v>0</v>
      </c>
      <c r="D925" s="156">
        <v>0</v>
      </c>
      <c r="E925" s="157">
        <v>10</v>
      </c>
      <c r="F925" s="150" t="s">
        <v>2607</v>
      </c>
      <c r="G925" s="150" t="s">
        <v>11979</v>
      </c>
      <c r="H925" s="636" t="s">
        <v>11968</v>
      </c>
      <c r="I925"/>
      <c r="J925" s="368"/>
    </row>
    <row r="926" spans="1:10">
      <c r="A926" s="150" t="s">
        <v>11978</v>
      </c>
      <c r="B926" s="154">
        <v>0</v>
      </c>
      <c r="C926" s="155">
        <v>0</v>
      </c>
      <c r="D926" s="156">
        <v>50</v>
      </c>
      <c r="E926" s="157">
        <v>10</v>
      </c>
      <c r="F926" s="150" t="s">
        <v>141</v>
      </c>
      <c r="G926" s="150" t="s">
        <v>11979</v>
      </c>
      <c r="H926" s="636" t="s">
        <v>9768</v>
      </c>
      <c r="I926"/>
      <c r="J926" s="368"/>
    </row>
    <row r="927" spans="1:10">
      <c r="A927" s="148" t="s">
        <v>4144</v>
      </c>
      <c r="B927" s="154">
        <v>0</v>
      </c>
      <c r="C927" s="155">
        <v>9</v>
      </c>
      <c r="D927" s="156">
        <v>0</v>
      </c>
      <c r="E927" s="157">
        <v>0</v>
      </c>
      <c r="F927" s="148" t="s">
        <v>2572</v>
      </c>
      <c r="G927" s="150" t="s">
        <v>11980</v>
      </c>
      <c r="H927" s="636" t="s">
        <v>9402</v>
      </c>
      <c r="I927"/>
      <c r="J927" s="368"/>
    </row>
    <row r="928" spans="1:10">
      <c r="A928" s="148" t="s">
        <v>4171</v>
      </c>
      <c r="B928" s="154">
        <v>5</v>
      </c>
      <c r="C928" s="155">
        <v>0</v>
      </c>
      <c r="D928" s="156">
        <v>0</v>
      </c>
      <c r="E928" s="157">
        <v>0</v>
      </c>
      <c r="F928" s="148" t="s">
        <v>2578</v>
      </c>
      <c r="G928" s="150" t="s">
        <v>11980</v>
      </c>
      <c r="H928" s="636" t="s">
        <v>9402</v>
      </c>
      <c r="I928"/>
      <c r="J928" s="368"/>
    </row>
    <row r="929" spans="1:10">
      <c r="A929" s="148" t="s">
        <v>4308</v>
      </c>
      <c r="B929" s="154">
        <v>50</v>
      </c>
      <c r="C929" s="155">
        <v>0</v>
      </c>
      <c r="D929" s="156">
        <v>0</v>
      </c>
      <c r="E929" s="157">
        <v>200</v>
      </c>
      <c r="F929" s="148" t="s">
        <v>2607</v>
      </c>
      <c r="G929" s="150" t="s">
        <v>11980</v>
      </c>
      <c r="H929" s="636"/>
      <c r="I929"/>
      <c r="J929" s="368"/>
    </row>
    <row r="930" spans="1:10">
      <c r="A930" s="148" t="s">
        <v>4148</v>
      </c>
      <c r="B930" s="154">
        <v>5</v>
      </c>
      <c r="C930" s="155">
        <v>0</v>
      </c>
      <c r="D930" s="156">
        <v>0</v>
      </c>
      <c r="E930" s="157">
        <v>0</v>
      </c>
      <c r="F930" s="148" t="s">
        <v>2578</v>
      </c>
      <c r="G930" s="150" t="s">
        <v>11980</v>
      </c>
      <c r="H930" s="636" t="s">
        <v>9402</v>
      </c>
      <c r="I930"/>
      <c r="J930" s="368"/>
    </row>
    <row r="931" spans="1:10">
      <c r="A931" s="349" t="s">
        <v>4307</v>
      </c>
      <c r="B931" s="434">
        <v>200</v>
      </c>
      <c r="C931" s="435">
        <v>0</v>
      </c>
      <c r="D931" s="436">
        <v>0</v>
      </c>
      <c r="E931" s="437">
        <v>200</v>
      </c>
      <c r="F931" s="349" t="s">
        <v>2608</v>
      </c>
      <c r="G931" s="357" t="s">
        <v>11980</v>
      </c>
      <c r="H931" s="635"/>
      <c r="I931"/>
      <c r="J931" s="368"/>
    </row>
    <row r="932" spans="1:10">
      <c r="A932" s="148" t="s">
        <v>4172</v>
      </c>
      <c r="B932" s="154">
        <v>50</v>
      </c>
      <c r="C932" s="155">
        <v>0</v>
      </c>
      <c r="D932" s="156">
        <v>0</v>
      </c>
      <c r="E932" s="157">
        <v>0</v>
      </c>
      <c r="F932" s="148" t="s">
        <v>2607</v>
      </c>
      <c r="G932" s="150" t="s">
        <v>11980</v>
      </c>
      <c r="H932" s="636" t="s">
        <v>9402</v>
      </c>
      <c r="I932"/>
      <c r="J932" s="368"/>
    </row>
    <row r="933" spans="1:10">
      <c r="A933" s="148" t="s">
        <v>4147</v>
      </c>
      <c r="B933" s="154">
        <v>5</v>
      </c>
      <c r="C933" s="155">
        <v>0</v>
      </c>
      <c r="D933" s="156">
        <v>0</v>
      </c>
      <c r="E933" s="157">
        <v>0</v>
      </c>
      <c r="F933" s="148" t="s">
        <v>2578</v>
      </c>
      <c r="G933" s="150" t="s">
        <v>11980</v>
      </c>
      <c r="H933" s="636" t="s">
        <v>9402</v>
      </c>
      <c r="I933"/>
      <c r="J933" s="368"/>
    </row>
    <row r="934" spans="1:10">
      <c r="A934" s="349" t="s">
        <v>4173</v>
      </c>
      <c r="B934" s="434">
        <v>50</v>
      </c>
      <c r="C934" s="435">
        <v>0</v>
      </c>
      <c r="D934" s="436">
        <v>0</v>
      </c>
      <c r="E934" s="437">
        <v>0</v>
      </c>
      <c r="F934" s="349" t="s">
        <v>2607</v>
      </c>
      <c r="G934" s="357" t="s">
        <v>11980</v>
      </c>
      <c r="H934" s="635" t="s">
        <v>9402</v>
      </c>
      <c r="I934"/>
      <c r="J934" s="368"/>
    </row>
    <row r="935" spans="1:10">
      <c r="A935" s="150" t="s">
        <v>11982</v>
      </c>
      <c r="B935" s="154">
        <v>3</v>
      </c>
      <c r="C935" s="155">
        <v>0</v>
      </c>
      <c r="D935" s="156">
        <v>0</v>
      </c>
      <c r="E935" s="157">
        <v>0</v>
      </c>
      <c r="F935" s="148" t="s">
        <v>2578</v>
      </c>
      <c r="G935" s="150" t="s">
        <v>11980</v>
      </c>
      <c r="H935" s="636" t="s">
        <v>9402</v>
      </c>
      <c r="I935"/>
      <c r="J935" s="368"/>
    </row>
    <row r="936" spans="1:10">
      <c r="A936" s="148" t="s">
        <v>4175</v>
      </c>
      <c r="B936" s="154">
        <v>25</v>
      </c>
      <c r="C936" s="155">
        <v>0</v>
      </c>
      <c r="D936" s="156">
        <v>0</v>
      </c>
      <c r="E936" s="157">
        <v>0</v>
      </c>
      <c r="F936" s="148" t="s">
        <v>2607</v>
      </c>
      <c r="G936" s="150" t="s">
        <v>11980</v>
      </c>
      <c r="H936" s="636" t="s">
        <v>9402</v>
      </c>
      <c r="I936"/>
      <c r="J936" s="368"/>
    </row>
    <row r="937" spans="1:10">
      <c r="A937" s="148" t="s">
        <v>4146</v>
      </c>
      <c r="B937" s="154">
        <v>5</v>
      </c>
      <c r="C937" s="155">
        <v>0</v>
      </c>
      <c r="D937" s="156">
        <v>0</v>
      </c>
      <c r="E937" s="157">
        <v>0</v>
      </c>
      <c r="F937" s="148" t="s">
        <v>2578</v>
      </c>
      <c r="G937" s="150" t="s">
        <v>11980</v>
      </c>
      <c r="H937" s="636" t="s">
        <v>9402</v>
      </c>
      <c r="I937"/>
      <c r="J937" s="368"/>
    </row>
    <row r="938" spans="1:10">
      <c r="A938" s="148" t="s">
        <v>4174</v>
      </c>
      <c r="B938" s="154">
        <v>50</v>
      </c>
      <c r="C938" s="155">
        <v>0</v>
      </c>
      <c r="D938" s="156">
        <v>0</v>
      </c>
      <c r="E938" s="157">
        <v>0</v>
      </c>
      <c r="F938" s="148" t="s">
        <v>2607</v>
      </c>
      <c r="G938" s="150" t="s">
        <v>11980</v>
      </c>
      <c r="H938" s="636" t="s">
        <v>9402</v>
      </c>
      <c r="I938"/>
      <c r="J938" s="368"/>
    </row>
    <row r="939" spans="1:10">
      <c r="A939" s="148" t="s">
        <v>4145</v>
      </c>
      <c r="B939" s="154">
        <v>1</v>
      </c>
      <c r="C939" s="155">
        <v>0</v>
      </c>
      <c r="D939" s="156">
        <v>0</v>
      </c>
      <c r="E939" s="157">
        <v>0</v>
      </c>
      <c r="F939" s="148" t="s">
        <v>2578</v>
      </c>
      <c r="G939" s="150" t="s">
        <v>11980</v>
      </c>
      <c r="H939" s="636" t="s">
        <v>9402</v>
      </c>
      <c r="I939"/>
      <c r="J939" s="368"/>
    </row>
    <row r="940" spans="1:10">
      <c r="A940" s="148" t="s">
        <v>4176</v>
      </c>
      <c r="B940" s="154">
        <v>10</v>
      </c>
      <c r="C940" s="155">
        <v>0</v>
      </c>
      <c r="D940" s="156">
        <v>0</v>
      </c>
      <c r="E940" s="157">
        <v>0</v>
      </c>
      <c r="F940" s="148" t="s">
        <v>2607</v>
      </c>
      <c r="G940" s="150" t="s">
        <v>11980</v>
      </c>
      <c r="H940" s="636" t="s">
        <v>9402</v>
      </c>
      <c r="I940"/>
      <c r="J940" s="368"/>
    </row>
    <row r="941" spans="1:10">
      <c r="A941" s="148" t="s">
        <v>4149</v>
      </c>
      <c r="B941" s="154">
        <v>250</v>
      </c>
      <c r="C941" s="155">
        <v>0</v>
      </c>
      <c r="D941" s="156">
        <v>0</v>
      </c>
      <c r="E941" s="157">
        <v>0</v>
      </c>
      <c r="F941" s="148" t="s">
        <v>2607</v>
      </c>
      <c r="G941" s="150" t="s">
        <v>11980</v>
      </c>
      <c r="H941" s="636" t="s">
        <v>9402</v>
      </c>
      <c r="I941"/>
      <c r="J941" s="368"/>
    </row>
    <row r="942" spans="1:10">
      <c r="A942" s="148" t="s">
        <v>4177</v>
      </c>
      <c r="B942" s="154">
        <v>2500</v>
      </c>
      <c r="C942" s="155">
        <v>0</v>
      </c>
      <c r="D942" s="156">
        <v>0</v>
      </c>
      <c r="E942" s="157">
        <v>0</v>
      </c>
      <c r="F942" s="148" t="s">
        <v>2608</v>
      </c>
      <c r="G942" s="150" t="s">
        <v>11980</v>
      </c>
      <c r="H942" s="636" t="s">
        <v>9402</v>
      </c>
      <c r="I942"/>
      <c r="J942" s="368"/>
    </row>
    <row r="943" spans="1:10">
      <c r="A943" s="150" t="s">
        <v>17518</v>
      </c>
      <c r="B943" s="154">
        <v>50</v>
      </c>
      <c r="C943" s="155">
        <v>0</v>
      </c>
      <c r="D943" s="156">
        <v>0</v>
      </c>
      <c r="E943" s="157">
        <v>0</v>
      </c>
      <c r="F943" s="148" t="s">
        <v>2607</v>
      </c>
      <c r="G943" s="150" t="s">
        <v>11980</v>
      </c>
      <c r="H943" s="636" t="s">
        <v>9402</v>
      </c>
      <c r="I943"/>
      <c r="J943" s="368"/>
    </row>
    <row r="944" spans="1:10">
      <c r="A944" s="150" t="s">
        <v>17519</v>
      </c>
      <c r="B944" s="154">
        <v>500</v>
      </c>
      <c r="C944" s="155">
        <v>0</v>
      </c>
      <c r="D944" s="156">
        <v>0</v>
      </c>
      <c r="E944" s="157">
        <v>0</v>
      </c>
      <c r="F944" s="148" t="s">
        <v>2608</v>
      </c>
      <c r="G944" s="150" t="s">
        <v>11980</v>
      </c>
      <c r="H944" s="636" t="s">
        <v>9402</v>
      </c>
      <c r="I944"/>
      <c r="J944" s="368"/>
    </row>
    <row r="945" spans="1:10">
      <c r="A945" s="148" t="s">
        <v>4150</v>
      </c>
      <c r="B945" s="154">
        <v>10</v>
      </c>
      <c r="C945" s="155">
        <v>0</v>
      </c>
      <c r="D945" s="156">
        <v>0</v>
      </c>
      <c r="E945" s="157">
        <v>0</v>
      </c>
      <c r="F945" s="148" t="s">
        <v>2607</v>
      </c>
      <c r="G945" s="150" t="s">
        <v>11980</v>
      </c>
      <c r="H945" s="636" t="s">
        <v>9402</v>
      </c>
      <c r="I945"/>
      <c r="J945" s="368"/>
    </row>
    <row r="946" spans="1:10">
      <c r="A946" s="148" t="s">
        <v>4178</v>
      </c>
      <c r="B946" s="154">
        <v>100</v>
      </c>
      <c r="C946" s="155">
        <v>0</v>
      </c>
      <c r="D946" s="156">
        <v>0</v>
      </c>
      <c r="E946" s="157">
        <v>0</v>
      </c>
      <c r="F946" s="148" t="s">
        <v>2608</v>
      </c>
      <c r="G946" s="150" t="s">
        <v>11980</v>
      </c>
      <c r="H946" s="636" t="s">
        <v>9402</v>
      </c>
      <c r="I946"/>
      <c r="J946" s="368"/>
    </row>
    <row r="947" spans="1:10">
      <c r="A947" s="148" t="s">
        <v>4151</v>
      </c>
      <c r="B947" s="154">
        <v>0</v>
      </c>
      <c r="C947" s="155">
        <v>9</v>
      </c>
      <c r="D947" s="156">
        <v>0</v>
      </c>
      <c r="E947" s="157">
        <v>0</v>
      </c>
      <c r="F947" s="148" t="s">
        <v>2572</v>
      </c>
      <c r="G947" s="150" t="s">
        <v>11980</v>
      </c>
      <c r="H947" s="636" t="s">
        <v>9402</v>
      </c>
      <c r="I947"/>
      <c r="J947" s="368"/>
    </row>
    <row r="948" spans="1:10">
      <c r="A948" s="148" t="s">
        <v>4179</v>
      </c>
      <c r="B948" s="154">
        <v>5</v>
      </c>
      <c r="C948" s="155">
        <v>0</v>
      </c>
      <c r="D948" s="156">
        <v>0</v>
      </c>
      <c r="E948" s="157">
        <v>0</v>
      </c>
      <c r="F948" s="148" t="s">
        <v>2607</v>
      </c>
      <c r="G948" s="150" t="s">
        <v>11980</v>
      </c>
      <c r="H948" s="636" t="s">
        <v>9402</v>
      </c>
      <c r="I948"/>
      <c r="J948" s="368"/>
    </row>
    <row r="949" spans="1:10">
      <c r="A949" s="148" t="s">
        <v>4152</v>
      </c>
      <c r="B949" s="154">
        <v>250</v>
      </c>
      <c r="C949" s="155">
        <v>0</v>
      </c>
      <c r="D949" s="156">
        <v>0</v>
      </c>
      <c r="E949" s="157">
        <v>0</v>
      </c>
      <c r="F949" s="148" t="s">
        <v>2607</v>
      </c>
      <c r="G949" s="150" t="s">
        <v>11980</v>
      </c>
      <c r="H949" s="636" t="s">
        <v>9402</v>
      </c>
      <c r="I949"/>
      <c r="J949" s="368"/>
    </row>
    <row r="950" spans="1:10">
      <c r="A950" s="349" t="s">
        <v>4180</v>
      </c>
      <c r="B950" s="434">
        <v>2500</v>
      </c>
      <c r="C950" s="435">
        <v>0</v>
      </c>
      <c r="D950" s="436">
        <v>0</v>
      </c>
      <c r="E950" s="437">
        <v>0</v>
      </c>
      <c r="F950" s="349" t="s">
        <v>2608</v>
      </c>
      <c r="G950" s="150" t="s">
        <v>11980</v>
      </c>
      <c r="H950" s="635" t="s">
        <v>9402</v>
      </c>
      <c r="J950" s="368"/>
    </row>
    <row r="951" spans="1:10">
      <c r="A951" s="349" t="s">
        <v>4309</v>
      </c>
      <c r="B951" s="434">
        <v>4</v>
      </c>
      <c r="C951" s="155">
        <v>0</v>
      </c>
      <c r="D951" s="156">
        <v>0</v>
      </c>
      <c r="E951" s="437">
        <v>2</v>
      </c>
      <c r="F951" s="349" t="s">
        <v>2608</v>
      </c>
      <c r="G951" s="150" t="s">
        <v>11980</v>
      </c>
      <c r="H951" s="635"/>
      <c r="J951" s="368"/>
    </row>
    <row r="952" spans="1:10">
      <c r="A952" s="148" t="s">
        <v>4153</v>
      </c>
      <c r="B952" s="154">
        <v>10</v>
      </c>
      <c r="C952" s="155">
        <v>0</v>
      </c>
      <c r="D952" s="156">
        <v>0</v>
      </c>
      <c r="E952" s="157">
        <v>0</v>
      </c>
      <c r="F952" s="148" t="s">
        <v>2607</v>
      </c>
      <c r="G952" s="150" t="s">
        <v>11980</v>
      </c>
      <c r="H952" s="636" t="s">
        <v>9402</v>
      </c>
      <c r="J952" s="368"/>
    </row>
    <row r="953" spans="1:10">
      <c r="A953" s="148" t="s">
        <v>4181</v>
      </c>
      <c r="B953" s="154">
        <v>200</v>
      </c>
      <c r="C953" s="155">
        <v>0</v>
      </c>
      <c r="D953" s="156">
        <v>0</v>
      </c>
      <c r="E953" s="157">
        <v>0</v>
      </c>
      <c r="F953" s="148" t="s">
        <v>2608</v>
      </c>
      <c r="G953" s="150" t="s">
        <v>11980</v>
      </c>
      <c r="H953" s="636" t="s">
        <v>9402</v>
      </c>
      <c r="J953" s="368"/>
    </row>
    <row r="954" spans="1:10">
      <c r="A954" s="148" t="s">
        <v>4154</v>
      </c>
      <c r="B954" s="154">
        <v>10</v>
      </c>
      <c r="C954" s="155">
        <v>0</v>
      </c>
      <c r="D954" s="156">
        <v>0</v>
      </c>
      <c r="E954" s="157">
        <v>0</v>
      </c>
      <c r="F954" s="148" t="s">
        <v>2607</v>
      </c>
      <c r="G954" s="150" t="s">
        <v>11980</v>
      </c>
      <c r="H954" s="636" t="s">
        <v>9402</v>
      </c>
      <c r="J954" s="368"/>
    </row>
    <row r="955" spans="1:10">
      <c r="A955" s="148" t="s">
        <v>4182</v>
      </c>
      <c r="B955" s="154">
        <v>100</v>
      </c>
      <c r="C955" s="155">
        <v>0</v>
      </c>
      <c r="D955" s="156">
        <v>0</v>
      </c>
      <c r="E955" s="157">
        <v>0</v>
      </c>
      <c r="F955" s="148" t="s">
        <v>2608</v>
      </c>
      <c r="G955" s="150" t="s">
        <v>11980</v>
      </c>
      <c r="H955" s="636" t="s">
        <v>9402</v>
      </c>
      <c r="J955" s="368"/>
    </row>
    <row r="956" spans="1:10">
      <c r="A956" s="148" t="s">
        <v>4155</v>
      </c>
      <c r="B956" s="154">
        <v>1</v>
      </c>
      <c r="C956" s="155">
        <v>0</v>
      </c>
      <c r="D956" s="156">
        <v>0</v>
      </c>
      <c r="E956" s="157">
        <v>0</v>
      </c>
      <c r="F956" s="148" t="s">
        <v>2578</v>
      </c>
      <c r="G956" s="150" t="s">
        <v>11980</v>
      </c>
      <c r="H956" s="636" t="s">
        <v>9402</v>
      </c>
      <c r="J956" s="368"/>
    </row>
    <row r="957" spans="1:10">
      <c r="A957" s="148" t="s">
        <v>4183</v>
      </c>
      <c r="B957" s="154">
        <v>10</v>
      </c>
      <c r="C957" s="155">
        <v>0</v>
      </c>
      <c r="D957" s="156">
        <v>0</v>
      </c>
      <c r="E957" s="157">
        <v>0</v>
      </c>
      <c r="F957" s="148" t="s">
        <v>2607</v>
      </c>
      <c r="G957" s="150" t="s">
        <v>11980</v>
      </c>
      <c r="H957" s="636" t="s">
        <v>9402</v>
      </c>
      <c r="J957" s="368"/>
    </row>
    <row r="958" spans="1:10">
      <c r="A958" s="148" t="s">
        <v>4156</v>
      </c>
      <c r="B958" s="154">
        <v>1</v>
      </c>
      <c r="C958" s="155">
        <v>0</v>
      </c>
      <c r="D958" s="156">
        <v>0</v>
      </c>
      <c r="E958" s="157">
        <v>0</v>
      </c>
      <c r="F958" s="148" t="s">
        <v>2578</v>
      </c>
      <c r="G958" s="150" t="s">
        <v>11980</v>
      </c>
      <c r="H958" s="636" t="s">
        <v>9402</v>
      </c>
      <c r="J958" s="368"/>
    </row>
    <row r="959" spans="1:10">
      <c r="A959" s="148" t="s">
        <v>4184</v>
      </c>
      <c r="B959" s="154">
        <v>10</v>
      </c>
      <c r="C959" s="155">
        <v>0</v>
      </c>
      <c r="D959" s="156">
        <v>0</v>
      </c>
      <c r="E959" s="157">
        <v>0</v>
      </c>
      <c r="F959" s="148" t="s">
        <v>2607</v>
      </c>
      <c r="G959" s="150" t="s">
        <v>11980</v>
      </c>
      <c r="H959" s="636" t="s">
        <v>9402</v>
      </c>
      <c r="J959" s="368"/>
    </row>
    <row r="960" spans="1:10">
      <c r="A960" s="150" t="s">
        <v>4927</v>
      </c>
      <c r="B960" s="154">
        <v>20</v>
      </c>
      <c r="C960" s="155">
        <v>0</v>
      </c>
      <c r="D960" s="156">
        <v>0</v>
      </c>
      <c r="E960" s="157">
        <v>1</v>
      </c>
      <c r="F960" s="148" t="s">
        <v>2607</v>
      </c>
      <c r="G960" s="150" t="s">
        <v>11980</v>
      </c>
      <c r="H960" s="636"/>
      <c r="J960" s="368"/>
    </row>
    <row r="961" spans="1:10">
      <c r="A961" s="148" t="s">
        <v>4926</v>
      </c>
      <c r="B961" s="154">
        <v>2000</v>
      </c>
      <c r="C961" s="155">
        <v>0</v>
      </c>
      <c r="D961" s="156">
        <v>0</v>
      </c>
      <c r="E961" s="157">
        <v>1</v>
      </c>
      <c r="F961" s="148" t="s">
        <v>2608</v>
      </c>
      <c r="G961" s="150" t="s">
        <v>11980</v>
      </c>
      <c r="H961" s="636"/>
      <c r="J961" s="368"/>
    </row>
    <row r="962" spans="1:10" ht="12.6" customHeight="1">
      <c r="A962" s="150" t="s">
        <v>10777</v>
      </c>
      <c r="B962" s="154">
        <v>10000</v>
      </c>
      <c r="C962" s="155">
        <v>0</v>
      </c>
      <c r="D962" s="156">
        <v>0</v>
      </c>
      <c r="E962" s="157">
        <v>150</v>
      </c>
      <c r="F962" s="150" t="s">
        <v>9065</v>
      </c>
      <c r="G962" s="150" t="s">
        <v>11980</v>
      </c>
      <c r="H962" s="636" t="s">
        <v>12115</v>
      </c>
      <c r="J962" s="368"/>
    </row>
    <row r="963" spans="1:10">
      <c r="A963" s="148" t="s">
        <v>4157</v>
      </c>
      <c r="B963" s="154">
        <v>0</v>
      </c>
      <c r="C963" s="155">
        <v>9</v>
      </c>
      <c r="D963" s="156">
        <v>0</v>
      </c>
      <c r="E963" s="157">
        <v>0</v>
      </c>
      <c r="F963" s="148" t="s">
        <v>2572</v>
      </c>
      <c r="G963" s="150" t="s">
        <v>11980</v>
      </c>
      <c r="H963" s="636" t="s">
        <v>9402</v>
      </c>
      <c r="J963" s="368"/>
    </row>
    <row r="964" spans="1:10">
      <c r="A964" s="148" t="s">
        <v>4185</v>
      </c>
      <c r="B964" s="154">
        <v>5</v>
      </c>
      <c r="C964" s="155">
        <v>0</v>
      </c>
      <c r="D964" s="156">
        <v>0</v>
      </c>
      <c r="E964" s="157">
        <v>0</v>
      </c>
      <c r="F964" s="148" t="s">
        <v>2607</v>
      </c>
      <c r="G964" s="150" t="s">
        <v>11980</v>
      </c>
      <c r="H964" s="636" t="s">
        <v>9402</v>
      </c>
      <c r="J964" s="368"/>
    </row>
    <row r="965" spans="1:10">
      <c r="A965" s="150" t="s">
        <v>10060</v>
      </c>
      <c r="B965" s="154">
        <v>7500</v>
      </c>
      <c r="C965" s="155">
        <v>0</v>
      </c>
      <c r="D965" s="156">
        <v>0</v>
      </c>
      <c r="E965" s="157">
        <v>0</v>
      </c>
      <c r="F965" s="150" t="s">
        <v>9065</v>
      </c>
      <c r="G965" s="150" t="s">
        <v>11980</v>
      </c>
      <c r="H965" s="636" t="s">
        <v>10061</v>
      </c>
      <c r="J965" s="368"/>
    </row>
    <row r="966" spans="1:10">
      <c r="A966" s="148" t="s">
        <v>9428</v>
      </c>
      <c r="B966" s="154">
        <v>0</v>
      </c>
      <c r="C966" s="155">
        <v>16</v>
      </c>
      <c r="D966" s="156">
        <v>0</v>
      </c>
      <c r="E966" s="157">
        <v>0</v>
      </c>
      <c r="F966" s="148" t="s">
        <v>2572</v>
      </c>
      <c r="G966" s="150" t="s">
        <v>11980</v>
      </c>
      <c r="H966" s="636" t="s">
        <v>9402</v>
      </c>
      <c r="J966" s="368"/>
    </row>
    <row r="967" spans="1:10">
      <c r="A967" s="349" t="s">
        <v>9429</v>
      </c>
      <c r="B967" s="434">
        <v>8</v>
      </c>
      <c r="C967" s="435">
        <v>0</v>
      </c>
      <c r="D967" s="436">
        <v>0</v>
      </c>
      <c r="E967" s="437">
        <v>0</v>
      </c>
      <c r="F967" s="349" t="s">
        <v>2607</v>
      </c>
      <c r="G967" s="150" t="s">
        <v>11980</v>
      </c>
      <c r="H967" s="635" t="s">
        <v>9402</v>
      </c>
      <c r="J967" s="368"/>
    </row>
    <row r="968" spans="1:10">
      <c r="A968" s="148" t="s">
        <v>4158</v>
      </c>
      <c r="B968" s="154">
        <v>3</v>
      </c>
      <c r="C968" s="155">
        <v>0</v>
      </c>
      <c r="D968" s="156">
        <v>0</v>
      </c>
      <c r="E968" s="157">
        <v>0</v>
      </c>
      <c r="F968" s="148" t="s">
        <v>2578</v>
      </c>
      <c r="G968" s="150" t="s">
        <v>11980</v>
      </c>
      <c r="H968" s="636" t="s">
        <v>9402</v>
      </c>
      <c r="J968" s="368"/>
    </row>
    <row r="969" spans="1:10">
      <c r="A969" s="148" t="s">
        <v>4186</v>
      </c>
      <c r="B969" s="154">
        <v>30</v>
      </c>
      <c r="C969" s="155">
        <v>0</v>
      </c>
      <c r="D969" s="156">
        <v>0</v>
      </c>
      <c r="E969" s="157">
        <v>0</v>
      </c>
      <c r="F969" s="148" t="s">
        <v>2607</v>
      </c>
      <c r="G969" s="150" t="s">
        <v>11980</v>
      </c>
      <c r="H969" s="636" t="s">
        <v>9402</v>
      </c>
      <c r="J969" s="368"/>
    </row>
    <row r="970" spans="1:10">
      <c r="A970" s="148" t="s">
        <v>4159</v>
      </c>
      <c r="B970" s="154">
        <v>100</v>
      </c>
      <c r="C970" s="155">
        <v>0</v>
      </c>
      <c r="D970" s="156">
        <v>0</v>
      </c>
      <c r="E970" s="157">
        <v>0</v>
      </c>
      <c r="F970" s="148" t="s">
        <v>2607</v>
      </c>
      <c r="G970" s="150" t="s">
        <v>11980</v>
      </c>
      <c r="H970" s="636" t="s">
        <v>9402</v>
      </c>
      <c r="J970" s="368"/>
    </row>
    <row r="971" spans="1:10">
      <c r="A971" s="148" t="s">
        <v>4187</v>
      </c>
      <c r="B971" s="154">
        <v>1000</v>
      </c>
      <c r="C971" s="155">
        <v>0</v>
      </c>
      <c r="D971" s="156">
        <v>0</v>
      </c>
      <c r="E971" s="157">
        <v>0</v>
      </c>
      <c r="F971" s="148" t="s">
        <v>2608</v>
      </c>
      <c r="G971" s="150" t="s">
        <v>11980</v>
      </c>
      <c r="H971" s="636" t="s">
        <v>9402</v>
      </c>
      <c r="J971" s="368"/>
    </row>
    <row r="972" spans="1:10">
      <c r="A972" s="148" t="s">
        <v>4160</v>
      </c>
      <c r="B972" s="154">
        <v>300</v>
      </c>
      <c r="C972" s="155">
        <v>0</v>
      </c>
      <c r="D972" s="156">
        <v>0</v>
      </c>
      <c r="E972" s="157">
        <v>0</v>
      </c>
      <c r="F972" s="148" t="s">
        <v>2607</v>
      </c>
      <c r="G972" s="150" t="s">
        <v>11980</v>
      </c>
      <c r="H972" s="636" t="s">
        <v>9402</v>
      </c>
      <c r="J972" s="368"/>
    </row>
    <row r="973" spans="1:10">
      <c r="A973" s="148" t="s">
        <v>4188</v>
      </c>
      <c r="B973" s="154">
        <v>3000</v>
      </c>
      <c r="C973" s="155">
        <v>0</v>
      </c>
      <c r="D973" s="156">
        <v>0</v>
      </c>
      <c r="E973" s="157">
        <v>0</v>
      </c>
      <c r="F973" s="148" t="s">
        <v>2608</v>
      </c>
      <c r="G973" s="150" t="s">
        <v>11980</v>
      </c>
      <c r="H973" s="636" t="s">
        <v>9402</v>
      </c>
      <c r="J973" s="368"/>
    </row>
    <row r="974" spans="1:10">
      <c r="A974" s="148" t="s">
        <v>4161</v>
      </c>
      <c r="B974" s="154">
        <v>75</v>
      </c>
      <c r="C974" s="155">
        <v>0</v>
      </c>
      <c r="D974" s="156">
        <v>0</v>
      </c>
      <c r="E974" s="157">
        <v>0</v>
      </c>
      <c r="F974" s="148" t="s">
        <v>2607</v>
      </c>
      <c r="G974" s="150" t="s">
        <v>11980</v>
      </c>
      <c r="H974" s="636" t="s">
        <v>9402</v>
      </c>
      <c r="J974" s="368"/>
    </row>
    <row r="975" spans="1:10">
      <c r="A975" s="148" t="s">
        <v>4189</v>
      </c>
      <c r="B975" s="154">
        <v>750</v>
      </c>
      <c r="C975" s="155">
        <v>0</v>
      </c>
      <c r="D975" s="156">
        <v>0</v>
      </c>
      <c r="E975" s="157">
        <v>0</v>
      </c>
      <c r="F975" s="148" t="s">
        <v>2608</v>
      </c>
      <c r="G975" s="150" t="s">
        <v>11980</v>
      </c>
      <c r="H975" s="636" t="s">
        <v>9402</v>
      </c>
      <c r="J975" s="368"/>
    </row>
    <row r="976" spans="1:10">
      <c r="A976" s="148" t="s">
        <v>4142</v>
      </c>
      <c r="B976" s="154">
        <v>400</v>
      </c>
      <c r="C976" s="155">
        <v>0</v>
      </c>
      <c r="D976" s="156">
        <v>0</v>
      </c>
      <c r="E976" s="157">
        <v>0</v>
      </c>
      <c r="F976" s="148" t="s">
        <v>2608</v>
      </c>
      <c r="G976" s="150" t="s">
        <v>11980</v>
      </c>
      <c r="H976" s="636" t="s">
        <v>9402</v>
      </c>
      <c r="J976" s="368"/>
    </row>
    <row r="977" spans="1:10">
      <c r="A977" s="148" t="s">
        <v>4143</v>
      </c>
      <c r="B977" s="154">
        <v>100</v>
      </c>
      <c r="C977" s="155">
        <v>0</v>
      </c>
      <c r="D977" s="156">
        <v>0</v>
      </c>
      <c r="E977" s="157">
        <v>0</v>
      </c>
      <c r="F977" s="148" t="s">
        <v>2608</v>
      </c>
      <c r="G977" s="150" t="s">
        <v>11980</v>
      </c>
      <c r="H977" s="636" t="s">
        <v>9402</v>
      </c>
      <c r="J977" s="368"/>
    </row>
    <row r="978" spans="1:10">
      <c r="A978" s="148" t="s">
        <v>4162</v>
      </c>
      <c r="B978" s="154">
        <v>15</v>
      </c>
      <c r="C978" s="155">
        <v>0</v>
      </c>
      <c r="D978" s="156">
        <v>0</v>
      </c>
      <c r="E978" s="157">
        <v>0</v>
      </c>
      <c r="F978" s="148" t="s">
        <v>2607</v>
      </c>
      <c r="G978" s="150" t="s">
        <v>11980</v>
      </c>
      <c r="H978" s="636" t="s">
        <v>9402</v>
      </c>
      <c r="J978" s="368"/>
    </row>
    <row r="979" spans="1:10">
      <c r="A979" s="148" t="s">
        <v>4190</v>
      </c>
      <c r="B979" s="154">
        <v>150</v>
      </c>
      <c r="C979" s="155">
        <v>0</v>
      </c>
      <c r="D979" s="156">
        <v>0</v>
      </c>
      <c r="E979" s="157">
        <v>0</v>
      </c>
      <c r="F979" s="148" t="s">
        <v>2608</v>
      </c>
      <c r="G979" s="150" t="s">
        <v>11980</v>
      </c>
      <c r="H979" s="636" t="s">
        <v>9402</v>
      </c>
      <c r="J979" s="368"/>
    </row>
    <row r="980" spans="1:10">
      <c r="A980" s="148" t="s">
        <v>4163</v>
      </c>
      <c r="B980" s="154">
        <v>0</v>
      </c>
      <c r="C980" s="155">
        <v>8</v>
      </c>
      <c r="D980" s="156">
        <v>0</v>
      </c>
      <c r="E980" s="157">
        <v>0</v>
      </c>
      <c r="F980" s="148" t="s">
        <v>2572</v>
      </c>
      <c r="G980" s="150" t="s">
        <v>11980</v>
      </c>
      <c r="H980" s="636" t="s">
        <v>9402</v>
      </c>
      <c r="J980" s="368"/>
    </row>
    <row r="981" spans="1:10">
      <c r="A981" s="148" t="s">
        <v>4191</v>
      </c>
      <c r="B981" s="154">
        <v>4</v>
      </c>
      <c r="C981" s="155">
        <v>0</v>
      </c>
      <c r="D981" s="156">
        <v>0</v>
      </c>
      <c r="E981" s="157">
        <v>0</v>
      </c>
      <c r="F981" s="148" t="s">
        <v>2607</v>
      </c>
      <c r="G981" s="150" t="s">
        <v>11980</v>
      </c>
      <c r="H981" s="636" t="s">
        <v>9402</v>
      </c>
      <c r="J981" s="368"/>
    </row>
    <row r="982" spans="1:10">
      <c r="A982" s="349" t="s">
        <v>4164</v>
      </c>
      <c r="B982" s="434">
        <v>500</v>
      </c>
      <c r="C982" s="435">
        <v>0</v>
      </c>
      <c r="D982" s="436">
        <v>0</v>
      </c>
      <c r="E982" s="437">
        <v>0</v>
      </c>
      <c r="F982" s="349" t="s">
        <v>2607</v>
      </c>
      <c r="G982" s="357" t="s">
        <v>11980</v>
      </c>
      <c r="H982" s="635" t="s">
        <v>9402</v>
      </c>
      <c r="J982" s="368"/>
    </row>
    <row r="983" spans="1:10">
      <c r="A983" s="349" t="s">
        <v>4192</v>
      </c>
      <c r="B983" s="434">
        <v>5000</v>
      </c>
      <c r="C983" s="435">
        <v>0</v>
      </c>
      <c r="D983" s="436">
        <v>0</v>
      </c>
      <c r="E983" s="437">
        <v>0</v>
      </c>
      <c r="F983" s="349" t="s">
        <v>2608</v>
      </c>
      <c r="G983" s="150" t="s">
        <v>11980</v>
      </c>
      <c r="H983" s="635" t="s">
        <v>9402</v>
      </c>
      <c r="J983" s="368"/>
    </row>
    <row r="984" spans="1:10">
      <c r="A984" s="349" t="s">
        <v>4165</v>
      </c>
      <c r="B984" s="434">
        <v>80</v>
      </c>
      <c r="C984" s="435">
        <v>0</v>
      </c>
      <c r="D984" s="436">
        <v>0</v>
      </c>
      <c r="E984" s="437">
        <v>0</v>
      </c>
      <c r="F984" s="349" t="s">
        <v>2607</v>
      </c>
      <c r="G984" s="150" t="s">
        <v>11980</v>
      </c>
      <c r="H984" s="635" t="s">
        <v>9402</v>
      </c>
      <c r="J984" s="368"/>
    </row>
    <row r="985" spans="1:10">
      <c r="A985" s="148" t="s">
        <v>4193</v>
      </c>
      <c r="B985" s="154">
        <v>1000</v>
      </c>
      <c r="C985" s="155">
        <v>0</v>
      </c>
      <c r="D985" s="156">
        <v>0</v>
      </c>
      <c r="E985" s="157">
        <v>0</v>
      </c>
      <c r="F985" s="148" t="s">
        <v>2608</v>
      </c>
      <c r="G985" s="150" t="s">
        <v>11980</v>
      </c>
      <c r="H985" s="636" t="s">
        <v>9402</v>
      </c>
      <c r="J985" s="368"/>
    </row>
    <row r="986" spans="1:10">
      <c r="A986" s="357" t="s">
        <v>16417</v>
      </c>
      <c r="B986" s="434">
        <v>10</v>
      </c>
      <c r="C986" s="435">
        <v>0</v>
      </c>
      <c r="D986" s="436">
        <v>0</v>
      </c>
      <c r="E986" s="437">
        <v>0</v>
      </c>
      <c r="F986" s="357" t="s">
        <v>2607</v>
      </c>
      <c r="G986" s="150" t="s">
        <v>11980</v>
      </c>
      <c r="H986" s="635" t="s">
        <v>16418</v>
      </c>
      <c r="J986" s="368"/>
    </row>
    <row r="987" spans="1:10">
      <c r="A987" s="357" t="s">
        <v>16419</v>
      </c>
      <c r="B987" s="434">
        <v>100</v>
      </c>
      <c r="C987" s="435">
        <v>0</v>
      </c>
      <c r="D987" s="436">
        <v>0</v>
      </c>
      <c r="E987" s="437">
        <v>0</v>
      </c>
      <c r="F987" s="357" t="s">
        <v>2608</v>
      </c>
      <c r="G987" s="150" t="s">
        <v>11980</v>
      </c>
      <c r="H987" s="635" t="s">
        <v>16418</v>
      </c>
      <c r="J987" s="368"/>
    </row>
    <row r="988" spans="1:10">
      <c r="A988" s="148" t="s">
        <v>4166</v>
      </c>
      <c r="B988" s="154">
        <v>25</v>
      </c>
      <c r="C988" s="155">
        <v>0</v>
      </c>
      <c r="D988" s="156">
        <v>0</v>
      </c>
      <c r="E988" s="157">
        <v>0</v>
      </c>
      <c r="F988" s="148" t="s">
        <v>2607</v>
      </c>
      <c r="G988" s="150" t="s">
        <v>11980</v>
      </c>
      <c r="H988" s="636" t="s">
        <v>9402</v>
      </c>
      <c r="J988" s="368"/>
    </row>
    <row r="989" spans="1:10">
      <c r="A989" s="148" t="s">
        <v>4194</v>
      </c>
      <c r="B989" s="154">
        <v>250</v>
      </c>
      <c r="C989" s="155">
        <v>0</v>
      </c>
      <c r="D989" s="156">
        <v>0</v>
      </c>
      <c r="E989" s="157">
        <v>0</v>
      </c>
      <c r="F989" s="148" t="s">
        <v>2608</v>
      </c>
      <c r="G989" s="150" t="s">
        <v>11980</v>
      </c>
      <c r="H989" s="636" t="s">
        <v>9402</v>
      </c>
      <c r="J989" s="368"/>
    </row>
    <row r="990" spans="1:10">
      <c r="A990" s="148" t="s">
        <v>4167</v>
      </c>
      <c r="B990" s="154">
        <v>5</v>
      </c>
      <c r="C990" s="155">
        <v>0</v>
      </c>
      <c r="D990" s="156">
        <v>0</v>
      </c>
      <c r="E990" s="157">
        <v>0</v>
      </c>
      <c r="F990" s="148" t="s">
        <v>2578</v>
      </c>
      <c r="G990" s="150" t="s">
        <v>11980</v>
      </c>
      <c r="H990" s="636" t="s">
        <v>9402</v>
      </c>
      <c r="J990" s="368"/>
    </row>
    <row r="991" spans="1:10">
      <c r="A991" s="148" t="s">
        <v>4195</v>
      </c>
      <c r="B991" s="154">
        <v>50</v>
      </c>
      <c r="C991" s="155">
        <v>0</v>
      </c>
      <c r="D991" s="156">
        <v>0</v>
      </c>
      <c r="E991" s="157">
        <v>0</v>
      </c>
      <c r="F991" s="148" t="s">
        <v>2608</v>
      </c>
      <c r="G991" s="150" t="s">
        <v>11980</v>
      </c>
      <c r="H991" s="636" t="s">
        <v>9402</v>
      </c>
      <c r="J991" s="368"/>
    </row>
    <row r="992" spans="1:10">
      <c r="A992" s="148" t="s">
        <v>4168</v>
      </c>
      <c r="B992" s="154">
        <v>40</v>
      </c>
      <c r="C992" s="155">
        <v>0</v>
      </c>
      <c r="D992" s="156">
        <v>0</v>
      </c>
      <c r="E992" s="157">
        <v>0</v>
      </c>
      <c r="F992" s="148" t="s">
        <v>2607</v>
      </c>
      <c r="G992" s="150" t="s">
        <v>11980</v>
      </c>
      <c r="H992" s="636" t="s">
        <v>9402</v>
      </c>
      <c r="J992" s="368"/>
    </row>
    <row r="993" spans="1:10">
      <c r="A993" s="148" t="s">
        <v>4196</v>
      </c>
      <c r="B993" s="154">
        <v>400</v>
      </c>
      <c r="C993" s="155">
        <v>0</v>
      </c>
      <c r="D993" s="156">
        <v>0</v>
      </c>
      <c r="E993" s="157">
        <v>0</v>
      </c>
      <c r="F993" s="148" t="s">
        <v>2608</v>
      </c>
      <c r="G993" s="150" t="s">
        <v>11980</v>
      </c>
      <c r="H993" s="636" t="s">
        <v>9402</v>
      </c>
      <c r="J993" s="368"/>
    </row>
    <row r="994" spans="1:10">
      <c r="A994" s="148" t="s">
        <v>4169</v>
      </c>
      <c r="B994" s="154">
        <v>6</v>
      </c>
      <c r="C994" s="155">
        <v>0</v>
      </c>
      <c r="D994" s="156">
        <v>0</v>
      </c>
      <c r="E994" s="157">
        <v>0</v>
      </c>
      <c r="F994" s="148" t="s">
        <v>2578</v>
      </c>
      <c r="G994" s="150" t="s">
        <v>11980</v>
      </c>
      <c r="H994" s="636" t="s">
        <v>9402</v>
      </c>
      <c r="J994" s="368"/>
    </row>
    <row r="995" spans="1:10">
      <c r="A995" s="148" t="s">
        <v>4197</v>
      </c>
      <c r="B995" s="154">
        <v>60</v>
      </c>
      <c r="C995" s="155">
        <v>0</v>
      </c>
      <c r="D995" s="156">
        <v>0</v>
      </c>
      <c r="E995" s="157">
        <v>0</v>
      </c>
      <c r="F995" s="148" t="s">
        <v>2607</v>
      </c>
      <c r="G995" s="150" t="s">
        <v>11980</v>
      </c>
      <c r="H995" s="636" t="s">
        <v>9402</v>
      </c>
      <c r="J995" s="368"/>
    </row>
    <row r="996" spans="1:10">
      <c r="A996" s="148" t="s">
        <v>4170</v>
      </c>
      <c r="B996" s="154">
        <v>5</v>
      </c>
      <c r="C996" s="155">
        <v>0</v>
      </c>
      <c r="D996" s="156">
        <v>0</v>
      </c>
      <c r="E996" s="157">
        <v>0</v>
      </c>
      <c r="F996" s="148" t="s">
        <v>2578</v>
      </c>
      <c r="G996" s="150" t="s">
        <v>11980</v>
      </c>
      <c r="H996" s="636" t="s">
        <v>9402</v>
      </c>
      <c r="J996" s="368"/>
    </row>
    <row r="997" spans="1:10">
      <c r="A997" s="148" t="s">
        <v>4198</v>
      </c>
      <c r="B997" s="154">
        <v>50</v>
      </c>
      <c r="C997" s="155">
        <v>0</v>
      </c>
      <c r="D997" s="156">
        <v>0</v>
      </c>
      <c r="E997" s="157">
        <v>0</v>
      </c>
      <c r="F997" s="148" t="s">
        <v>2607</v>
      </c>
      <c r="G997" s="150" t="s">
        <v>11980</v>
      </c>
      <c r="H997" s="636" t="s">
        <v>9402</v>
      </c>
      <c r="J997" s="368"/>
    </row>
    <row r="998" spans="1:10">
      <c r="A998" s="357" t="s">
        <v>14783</v>
      </c>
      <c r="B998" s="154">
        <v>75</v>
      </c>
      <c r="C998" s="155">
        <v>0</v>
      </c>
      <c r="D998" s="156">
        <v>0</v>
      </c>
      <c r="E998" s="157">
        <v>80</v>
      </c>
      <c r="F998" s="150" t="s">
        <v>2607</v>
      </c>
      <c r="G998" s="150" t="s">
        <v>4133</v>
      </c>
      <c r="H998" s="634" t="s">
        <v>4551</v>
      </c>
      <c r="I998"/>
      <c r="J998" s="368"/>
    </row>
    <row r="999" spans="1:10">
      <c r="A999" s="357" t="s">
        <v>11262</v>
      </c>
      <c r="B999" s="434">
        <v>50</v>
      </c>
      <c r="C999" s="435">
        <v>0</v>
      </c>
      <c r="D999" s="436">
        <v>0</v>
      </c>
      <c r="E999" s="437">
        <v>5</v>
      </c>
      <c r="F999" s="357" t="s">
        <v>2608</v>
      </c>
      <c r="G999" s="150" t="s">
        <v>4133</v>
      </c>
      <c r="H999" s="635" t="s">
        <v>11264</v>
      </c>
      <c r="I999"/>
      <c r="J999" s="368"/>
    </row>
    <row r="1000" spans="1:10">
      <c r="A1000" s="357" t="s">
        <v>4684</v>
      </c>
      <c r="B1000" s="434">
        <v>0</v>
      </c>
      <c r="C1000" s="435">
        <v>0</v>
      </c>
      <c r="D1000" s="436">
        <v>20</v>
      </c>
      <c r="E1000" s="437">
        <v>5</v>
      </c>
      <c r="F1000" s="357" t="s">
        <v>2607</v>
      </c>
      <c r="G1000" s="150" t="s">
        <v>4133</v>
      </c>
      <c r="H1000" s="634" t="s">
        <v>4551</v>
      </c>
      <c r="I1000"/>
      <c r="J1000" s="368"/>
    </row>
    <row r="1001" spans="1:10">
      <c r="A1001" s="357" t="s">
        <v>14787</v>
      </c>
      <c r="B1001" s="434">
        <v>20</v>
      </c>
      <c r="C1001" s="435">
        <v>0</v>
      </c>
      <c r="D1001" s="436">
        <v>0</v>
      </c>
      <c r="E1001" s="437">
        <v>150</v>
      </c>
      <c r="F1001" s="357" t="s">
        <v>2578</v>
      </c>
      <c r="G1001" s="150" t="s">
        <v>4133</v>
      </c>
      <c r="H1001" s="634" t="s">
        <v>4551</v>
      </c>
      <c r="I1001"/>
      <c r="J1001" s="368"/>
    </row>
    <row r="1002" spans="1:10">
      <c r="A1002" s="357" t="s">
        <v>14786</v>
      </c>
      <c r="B1002" s="434">
        <v>22</v>
      </c>
      <c r="C1002" s="435">
        <v>0</v>
      </c>
      <c r="D1002" s="436">
        <v>0</v>
      </c>
      <c r="E1002" s="437">
        <v>120</v>
      </c>
      <c r="F1002" s="357" t="s">
        <v>2572</v>
      </c>
      <c r="G1002" s="150" t="s">
        <v>4133</v>
      </c>
      <c r="H1002" s="634" t="s">
        <v>4551</v>
      </c>
      <c r="I1002"/>
      <c r="J1002" s="368"/>
    </row>
    <row r="1003" spans="1:10">
      <c r="A1003" s="349" t="s">
        <v>4140</v>
      </c>
      <c r="B1003" s="434">
        <v>250</v>
      </c>
      <c r="C1003" s="435">
        <v>0</v>
      </c>
      <c r="D1003" s="436">
        <v>0</v>
      </c>
      <c r="E1003" s="437">
        <v>0</v>
      </c>
      <c r="F1003" s="349" t="s">
        <v>2608</v>
      </c>
      <c r="G1003" s="150" t="s">
        <v>4133</v>
      </c>
      <c r="H1003" s="635" t="s">
        <v>9401</v>
      </c>
      <c r="J1003" s="368"/>
    </row>
    <row r="1004" spans="1:10">
      <c r="A1004" s="349" t="s">
        <v>4138</v>
      </c>
      <c r="B1004" s="434">
        <v>25</v>
      </c>
      <c r="C1004" s="435">
        <v>0</v>
      </c>
      <c r="D1004" s="436">
        <v>0</v>
      </c>
      <c r="E1004" s="437">
        <v>0</v>
      </c>
      <c r="F1004" s="349" t="s">
        <v>2608</v>
      </c>
      <c r="G1004" s="150" t="s">
        <v>4133</v>
      </c>
      <c r="H1004" s="635" t="s">
        <v>9401</v>
      </c>
      <c r="J1004" s="368"/>
    </row>
    <row r="1005" spans="1:10">
      <c r="A1005" s="148" t="s">
        <v>4139</v>
      </c>
      <c r="B1005" s="154">
        <v>10</v>
      </c>
      <c r="C1005" s="155">
        <v>0</v>
      </c>
      <c r="D1005" s="156">
        <v>0</v>
      </c>
      <c r="E1005" s="157">
        <v>0</v>
      </c>
      <c r="F1005" s="148" t="s">
        <v>2607</v>
      </c>
      <c r="G1005" s="150" t="s">
        <v>4133</v>
      </c>
      <c r="H1005" s="635" t="s">
        <v>9401</v>
      </c>
      <c r="J1005" s="368"/>
    </row>
    <row r="1006" spans="1:10">
      <c r="A1006" s="148" t="s">
        <v>4141</v>
      </c>
      <c r="B1006" s="154">
        <v>15</v>
      </c>
      <c r="C1006" s="155">
        <v>0</v>
      </c>
      <c r="D1006" s="156">
        <v>0</v>
      </c>
      <c r="E1006" s="157">
        <v>0</v>
      </c>
      <c r="F1006" s="148" t="s">
        <v>2607</v>
      </c>
      <c r="G1006" s="150" t="s">
        <v>4133</v>
      </c>
      <c r="H1006" s="636" t="s">
        <v>9401</v>
      </c>
      <c r="J1006" s="368"/>
    </row>
    <row r="1007" spans="1:10">
      <c r="A1007" s="148" t="s">
        <v>4136</v>
      </c>
      <c r="B1007" s="154">
        <v>2</v>
      </c>
      <c r="C1007" s="155">
        <v>0</v>
      </c>
      <c r="D1007" s="156">
        <v>0</v>
      </c>
      <c r="E1007" s="157">
        <v>0</v>
      </c>
      <c r="F1007" s="148" t="s">
        <v>2607</v>
      </c>
      <c r="G1007" s="150" t="s">
        <v>4133</v>
      </c>
      <c r="H1007" s="636" t="s">
        <v>9401</v>
      </c>
      <c r="J1007" s="368"/>
    </row>
    <row r="1008" spans="1:10">
      <c r="A1008" s="148" t="s">
        <v>4134</v>
      </c>
      <c r="B1008" s="154">
        <v>0</v>
      </c>
      <c r="C1008" s="155">
        <v>0</v>
      </c>
      <c r="D1008" s="156">
        <v>5</v>
      </c>
      <c r="E1008" s="157">
        <v>0</v>
      </c>
      <c r="F1008" s="148" t="s">
        <v>2578</v>
      </c>
      <c r="G1008" s="150" t="s">
        <v>4133</v>
      </c>
      <c r="H1008" s="636" t="s">
        <v>9401</v>
      </c>
      <c r="J1008" s="368"/>
    </row>
    <row r="1009" spans="1:10">
      <c r="A1009" s="148" t="s">
        <v>4137</v>
      </c>
      <c r="B1009" s="154">
        <v>0</v>
      </c>
      <c r="C1009" s="155">
        <v>10</v>
      </c>
      <c r="D1009" s="156">
        <v>0</v>
      </c>
      <c r="E1009" s="157">
        <v>0</v>
      </c>
      <c r="F1009" s="148" t="s">
        <v>2607</v>
      </c>
      <c r="G1009" s="150" t="s">
        <v>4133</v>
      </c>
      <c r="H1009" s="636" t="s">
        <v>9401</v>
      </c>
      <c r="J1009" s="368"/>
    </row>
    <row r="1010" spans="1:10">
      <c r="A1010" s="148" t="s">
        <v>4135</v>
      </c>
      <c r="B1010" s="154">
        <v>5</v>
      </c>
      <c r="C1010" s="155">
        <v>0</v>
      </c>
      <c r="D1010" s="156">
        <v>0</v>
      </c>
      <c r="E1010" s="157">
        <v>0</v>
      </c>
      <c r="F1010" s="148" t="s">
        <v>2608</v>
      </c>
      <c r="G1010" s="150" t="s">
        <v>4133</v>
      </c>
      <c r="H1010" s="636" t="s">
        <v>9401</v>
      </c>
      <c r="J1010" s="368"/>
    </row>
    <row r="1011" spans="1:10">
      <c r="A1011" s="150" t="s">
        <v>14785</v>
      </c>
      <c r="B1011" s="154">
        <v>100</v>
      </c>
      <c r="C1011" s="155">
        <v>0</v>
      </c>
      <c r="D1011" s="156">
        <v>0</v>
      </c>
      <c r="E1011" s="157">
        <v>100</v>
      </c>
      <c r="F1011" s="150" t="s">
        <v>2607</v>
      </c>
      <c r="G1011" s="150" t="s">
        <v>4133</v>
      </c>
      <c r="H1011" s="639" t="s">
        <v>4551</v>
      </c>
      <c r="I1011"/>
      <c r="J1011" s="368"/>
    </row>
    <row r="1012" spans="1:10">
      <c r="A1012" s="150" t="s">
        <v>11158</v>
      </c>
      <c r="B1012" s="154">
        <v>8000</v>
      </c>
      <c r="C1012" s="155">
        <v>0</v>
      </c>
      <c r="D1012" s="156">
        <v>0</v>
      </c>
      <c r="E1012" s="157">
        <v>5</v>
      </c>
      <c r="F1012" s="150" t="s">
        <v>2608</v>
      </c>
      <c r="G1012" s="150" t="s">
        <v>4133</v>
      </c>
      <c r="H1012" s="740" t="s">
        <v>4551</v>
      </c>
      <c r="J1012" s="368"/>
    </row>
    <row r="1013" spans="1:10">
      <c r="A1013" s="150" t="s">
        <v>14784</v>
      </c>
      <c r="B1013" s="154">
        <v>25</v>
      </c>
      <c r="C1013" s="155">
        <v>0</v>
      </c>
      <c r="D1013" s="156">
        <v>0</v>
      </c>
      <c r="E1013" s="157">
        <v>120</v>
      </c>
      <c r="F1013" s="150" t="s">
        <v>2607</v>
      </c>
      <c r="G1013" s="150" t="s">
        <v>4133</v>
      </c>
      <c r="H1013" s="639" t="s">
        <v>4551</v>
      </c>
      <c r="I1013"/>
      <c r="J1013" s="368"/>
    </row>
    <row r="1014" spans="1:10">
      <c r="A1014" s="150" t="s">
        <v>14782</v>
      </c>
      <c r="B1014" s="154">
        <v>6</v>
      </c>
      <c r="C1014" s="155">
        <v>0</v>
      </c>
      <c r="D1014" s="156">
        <v>0</v>
      </c>
      <c r="E1014" s="157">
        <v>100</v>
      </c>
      <c r="F1014" s="150" t="s">
        <v>2608</v>
      </c>
      <c r="G1014" s="150" t="s">
        <v>4133</v>
      </c>
      <c r="H1014" s="639" t="s">
        <v>4551</v>
      </c>
      <c r="I1014"/>
      <c r="J1014" s="368"/>
    </row>
    <row r="1015" spans="1:10">
      <c r="A1015" s="456" t="s">
        <v>15306</v>
      </c>
      <c r="B1015" s="434">
        <v>18000</v>
      </c>
      <c r="C1015" s="435">
        <v>0</v>
      </c>
      <c r="D1015" s="523">
        <v>0</v>
      </c>
      <c r="E1015" s="437">
        <v>300</v>
      </c>
      <c r="F1015" s="357" t="s">
        <v>9065</v>
      </c>
      <c r="G1015" s="150" t="s">
        <v>4133</v>
      </c>
      <c r="H1015" s="636" t="s">
        <v>15302</v>
      </c>
      <c r="I1015"/>
      <c r="J1015" s="368"/>
    </row>
    <row r="1016" spans="1:10">
      <c r="A1016" s="160" t="s">
        <v>10779</v>
      </c>
      <c r="B1016" s="154">
        <v>50</v>
      </c>
      <c r="C1016" s="155">
        <v>0</v>
      </c>
      <c r="D1016" s="156">
        <v>0</v>
      </c>
      <c r="E1016" s="157">
        <v>0</v>
      </c>
      <c r="F1016" s="148" t="s">
        <v>2608</v>
      </c>
      <c r="G1016" s="150" t="s">
        <v>4133</v>
      </c>
      <c r="H1016" s="636" t="s">
        <v>10780</v>
      </c>
      <c r="J1016" s="368"/>
    </row>
    <row r="1017" spans="1:10">
      <c r="A1017" s="150" t="s">
        <v>4320</v>
      </c>
      <c r="B1017" s="154">
        <v>10</v>
      </c>
      <c r="C1017" s="155">
        <v>0</v>
      </c>
      <c r="D1017" s="156">
        <v>0</v>
      </c>
      <c r="E1017" s="157">
        <v>20</v>
      </c>
      <c r="F1017" s="147" t="s">
        <v>2572</v>
      </c>
      <c r="G1017" s="147" t="s">
        <v>3878</v>
      </c>
      <c r="H1017" s="636"/>
      <c r="J1017" s="368"/>
    </row>
    <row r="1018" spans="1:10">
      <c r="A1018" s="150" t="s">
        <v>9431</v>
      </c>
      <c r="B1018" s="154">
        <v>50</v>
      </c>
      <c r="C1018" s="155">
        <v>0</v>
      </c>
      <c r="D1018" s="156">
        <v>0</v>
      </c>
      <c r="E1018" s="157">
        <v>30</v>
      </c>
      <c r="F1018" s="147" t="s">
        <v>2607</v>
      </c>
      <c r="G1018" s="147" t="s">
        <v>3878</v>
      </c>
      <c r="H1018" s="636"/>
      <c r="J1018" s="368"/>
    </row>
    <row r="1019" spans="1:10">
      <c r="A1019" s="150" t="s">
        <v>4318</v>
      </c>
      <c r="B1019" s="154">
        <v>100</v>
      </c>
      <c r="C1019" s="155">
        <v>0</v>
      </c>
      <c r="D1019" s="156">
        <v>0</v>
      </c>
      <c r="E1019" s="157">
        <v>50</v>
      </c>
      <c r="F1019" s="147" t="s">
        <v>2607</v>
      </c>
      <c r="G1019" s="147" t="s">
        <v>3878</v>
      </c>
      <c r="H1019" s="636"/>
      <c r="J1019" s="368"/>
    </row>
    <row r="1020" spans="1:10">
      <c r="A1020" s="148" t="s">
        <v>3840</v>
      </c>
      <c r="B1020" s="159">
        <v>0</v>
      </c>
      <c r="C1020" s="155">
        <v>0</v>
      </c>
      <c r="D1020" s="156">
        <v>30</v>
      </c>
      <c r="E1020" s="157">
        <v>1</v>
      </c>
      <c r="F1020" s="147" t="s">
        <v>2572</v>
      </c>
      <c r="G1020" s="147" t="s">
        <v>3878</v>
      </c>
      <c r="H1020" s="636" t="s">
        <v>9368</v>
      </c>
      <c r="J1020" s="368"/>
    </row>
    <row r="1021" spans="1:10">
      <c r="A1021" s="349" t="s">
        <v>9408</v>
      </c>
      <c r="B1021" s="455">
        <v>3</v>
      </c>
      <c r="C1021" s="435">
        <v>0</v>
      </c>
      <c r="D1021" s="436">
        <v>0</v>
      </c>
      <c r="E1021" s="437">
        <v>0</v>
      </c>
      <c r="F1021" s="357" t="s">
        <v>2608</v>
      </c>
      <c r="G1021" s="147" t="s">
        <v>3878</v>
      </c>
      <c r="H1021" s="635"/>
      <c r="J1021" s="368"/>
    </row>
    <row r="1022" spans="1:10">
      <c r="A1022" s="349" t="s">
        <v>9407</v>
      </c>
      <c r="B1022" s="455">
        <v>0</v>
      </c>
      <c r="C1022" s="435">
        <v>30</v>
      </c>
      <c r="D1022" s="436">
        <v>0</v>
      </c>
      <c r="E1022" s="437">
        <v>0</v>
      </c>
      <c r="F1022" s="357" t="s">
        <v>2578</v>
      </c>
      <c r="G1022" s="147" t="s">
        <v>3878</v>
      </c>
      <c r="H1022" s="635"/>
      <c r="J1022" s="368"/>
    </row>
    <row r="1023" spans="1:10">
      <c r="A1023" s="349" t="s">
        <v>9432</v>
      </c>
      <c r="B1023" s="455">
        <v>3</v>
      </c>
      <c r="C1023" s="435">
        <v>0</v>
      </c>
      <c r="D1023" s="436">
        <v>0</v>
      </c>
      <c r="E1023" s="437">
        <v>3</v>
      </c>
      <c r="F1023" s="357" t="s">
        <v>2607</v>
      </c>
      <c r="G1023" s="147" t="s">
        <v>3878</v>
      </c>
      <c r="H1023" s="635"/>
      <c r="J1023" s="368"/>
    </row>
    <row r="1024" spans="1:10">
      <c r="A1024" s="148" t="s">
        <v>3841</v>
      </c>
      <c r="B1024" s="154">
        <v>0</v>
      </c>
      <c r="C1024" s="155">
        <v>18</v>
      </c>
      <c r="D1024" s="156">
        <v>0</v>
      </c>
      <c r="E1024" s="157">
        <v>5</v>
      </c>
      <c r="F1024" s="147" t="s">
        <v>3877</v>
      </c>
      <c r="G1024" s="147" t="s">
        <v>3878</v>
      </c>
      <c r="H1024" s="636" t="s">
        <v>9368</v>
      </c>
      <c r="J1024" s="368"/>
    </row>
    <row r="1025" spans="1:10">
      <c r="A1025" s="148" t="s">
        <v>3842</v>
      </c>
      <c r="B1025" s="154">
        <v>30</v>
      </c>
      <c r="C1025" s="155">
        <v>0</v>
      </c>
      <c r="D1025" s="156">
        <v>0</v>
      </c>
      <c r="E1025" s="157">
        <v>30</v>
      </c>
      <c r="F1025" s="147" t="s">
        <v>2607</v>
      </c>
      <c r="G1025" s="147" t="s">
        <v>3878</v>
      </c>
      <c r="H1025" s="636"/>
      <c r="J1025" s="368"/>
    </row>
    <row r="1026" spans="1:10">
      <c r="A1026" s="148" t="s">
        <v>3843</v>
      </c>
      <c r="B1026" s="154">
        <v>3</v>
      </c>
      <c r="C1026" s="155">
        <v>0</v>
      </c>
      <c r="D1026" s="156">
        <v>0</v>
      </c>
      <c r="E1026" s="157">
        <v>10</v>
      </c>
      <c r="F1026" s="147" t="s">
        <v>3877</v>
      </c>
      <c r="G1026" s="147" t="s">
        <v>3878</v>
      </c>
      <c r="H1026" s="636" t="s">
        <v>9368</v>
      </c>
      <c r="J1026" s="368"/>
    </row>
    <row r="1027" spans="1:10">
      <c r="A1027" s="148" t="s">
        <v>3844</v>
      </c>
      <c r="B1027" s="154">
        <v>8</v>
      </c>
      <c r="C1027" s="155">
        <v>0</v>
      </c>
      <c r="D1027" s="156">
        <v>0</v>
      </c>
      <c r="E1027" s="157">
        <v>15</v>
      </c>
      <c r="F1027" s="147" t="s">
        <v>2572</v>
      </c>
      <c r="G1027" s="147" t="s">
        <v>3878</v>
      </c>
      <c r="H1027" s="636" t="s">
        <v>9368</v>
      </c>
      <c r="J1027" s="368"/>
    </row>
    <row r="1028" spans="1:10">
      <c r="A1028" s="148" t="s">
        <v>3845</v>
      </c>
      <c r="B1028" s="154">
        <v>0</v>
      </c>
      <c r="C1028" s="155">
        <v>15</v>
      </c>
      <c r="D1028" s="156">
        <v>0</v>
      </c>
      <c r="E1028" s="157">
        <v>4</v>
      </c>
      <c r="F1028" s="147" t="s">
        <v>3877</v>
      </c>
      <c r="G1028" s="147" t="s">
        <v>3878</v>
      </c>
      <c r="H1028" s="636" t="s">
        <v>9369</v>
      </c>
      <c r="J1028" s="368"/>
    </row>
    <row r="1029" spans="1:10">
      <c r="A1029" s="148" t="s">
        <v>3846</v>
      </c>
      <c r="B1029" s="154">
        <v>4</v>
      </c>
      <c r="C1029" s="155">
        <v>0</v>
      </c>
      <c r="D1029" s="156">
        <v>0</v>
      </c>
      <c r="E1029" s="157">
        <v>0</v>
      </c>
      <c r="F1029" s="147" t="s">
        <v>2574</v>
      </c>
      <c r="G1029" s="147" t="s">
        <v>3878</v>
      </c>
      <c r="H1029" s="636" t="s">
        <v>9369</v>
      </c>
      <c r="J1029" s="368"/>
    </row>
    <row r="1030" spans="1:10">
      <c r="A1030" s="357" t="s">
        <v>11965</v>
      </c>
      <c r="B1030" s="434">
        <v>0</v>
      </c>
      <c r="C1030" s="435">
        <v>32</v>
      </c>
      <c r="D1030" s="436">
        <v>0</v>
      </c>
      <c r="E1030" s="437">
        <v>5</v>
      </c>
      <c r="F1030" s="357" t="s">
        <v>141</v>
      </c>
      <c r="G1030" s="147" t="s">
        <v>3878</v>
      </c>
      <c r="H1030" s="635" t="s">
        <v>11955</v>
      </c>
      <c r="J1030" s="368"/>
    </row>
    <row r="1031" spans="1:10">
      <c r="A1031" s="357" t="s">
        <v>11961</v>
      </c>
      <c r="B1031" s="434">
        <v>4</v>
      </c>
      <c r="C1031" s="435">
        <v>0</v>
      </c>
      <c r="D1031" s="436">
        <v>0</v>
      </c>
      <c r="E1031" s="437">
        <v>10</v>
      </c>
      <c r="F1031" s="357" t="s">
        <v>2572</v>
      </c>
      <c r="G1031" s="147" t="s">
        <v>3878</v>
      </c>
      <c r="H1031" s="635" t="s">
        <v>12116</v>
      </c>
      <c r="J1031" s="368"/>
    </row>
    <row r="1032" spans="1:10">
      <c r="A1032" s="150" t="s">
        <v>4633</v>
      </c>
      <c r="B1032" s="154">
        <v>0</v>
      </c>
      <c r="C1032" s="155">
        <v>10</v>
      </c>
      <c r="D1032" s="156">
        <v>0</v>
      </c>
      <c r="E1032" s="157">
        <v>1</v>
      </c>
      <c r="F1032" s="147" t="s">
        <v>3877</v>
      </c>
      <c r="G1032" s="147" t="s">
        <v>3878</v>
      </c>
      <c r="H1032" s="636" t="s">
        <v>9369</v>
      </c>
      <c r="J1032" s="368"/>
    </row>
    <row r="1033" spans="1:10">
      <c r="A1033" s="148" t="s">
        <v>3847</v>
      </c>
      <c r="B1033" s="154">
        <v>6</v>
      </c>
      <c r="C1033" s="155">
        <v>0</v>
      </c>
      <c r="D1033" s="156">
        <v>0</v>
      </c>
      <c r="E1033" s="157">
        <v>3</v>
      </c>
      <c r="F1033" s="147" t="s">
        <v>2574</v>
      </c>
      <c r="G1033" s="147" t="s">
        <v>3878</v>
      </c>
      <c r="H1033" s="636" t="s">
        <v>9369</v>
      </c>
      <c r="J1033" s="368"/>
    </row>
    <row r="1034" spans="1:10">
      <c r="A1034" s="148" t="s">
        <v>3848</v>
      </c>
      <c r="B1034" s="154">
        <v>0</v>
      </c>
      <c r="C1034" s="155">
        <v>5</v>
      </c>
      <c r="D1034" s="156">
        <v>0</v>
      </c>
      <c r="E1034" s="157">
        <v>5</v>
      </c>
      <c r="F1034" s="147" t="s">
        <v>2574</v>
      </c>
      <c r="G1034" s="147" t="s">
        <v>3878</v>
      </c>
      <c r="H1034" s="636" t="s">
        <v>14984</v>
      </c>
      <c r="J1034" s="368"/>
    </row>
    <row r="1035" spans="1:10">
      <c r="A1035" s="148" t="s">
        <v>3849</v>
      </c>
      <c r="B1035" s="154">
        <v>0</v>
      </c>
      <c r="C1035" s="155">
        <v>9</v>
      </c>
      <c r="D1035" s="156">
        <v>0</v>
      </c>
      <c r="E1035" s="157">
        <v>7</v>
      </c>
      <c r="F1035" s="147" t="s">
        <v>2574</v>
      </c>
      <c r="G1035" s="147" t="s">
        <v>3878</v>
      </c>
      <c r="H1035" s="636" t="s">
        <v>9369</v>
      </c>
      <c r="J1035" s="368"/>
    </row>
    <row r="1036" spans="1:10">
      <c r="A1036" s="150" t="s">
        <v>4322</v>
      </c>
      <c r="B1036" s="154">
        <v>0</v>
      </c>
      <c r="C1036" s="155">
        <v>10</v>
      </c>
      <c r="D1036" s="156">
        <v>0</v>
      </c>
      <c r="E1036" s="157">
        <v>5</v>
      </c>
      <c r="F1036" s="147" t="s">
        <v>3877</v>
      </c>
      <c r="G1036" s="147" t="s">
        <v>3878</v>
      </c>
      <c r="H1036" s="636" t="s">
        <v>14986</v>
      </c>
      <c r="J1036" s="368"/>
    </row>
    <row r="1037" spans="1:10">
      <c r="A1037" s="349" t="s">
        <v>9342</v>
      </c>
      <c r="B1037" s="434">
        <v>2</v>
      </c>
      <c r="C1037" s="435">
        <v>0</v>
      </c>
      <c r="D1037" s="436">
        <v>0</v>
      </c>
      <c r="E1037" s="437">
        <v>20</v>
      </c>
      <c r="F1037" s="357" t="s">
        <v>2572</v>
      </c>
      <c r="G1037" s="147" t="s">
        <v>3878</v>
      </c>
      <c r="H1037" s="635" t="s">
        <v>9404</v>
      </c>
      <c r="J1037" s="368"/>
    </row>
    <row r="1038" spans="1:10">
      <c r="A1038" s="349" t="s">
        <v>9343</v>
      </c>
      <c r="B1038" s="434">
        <v>10</v>
      </c>
      <c r="C1038" s="435">
        <v>0</v>
      </c>
      <c r="D1038" s="436">
        <v>0</v>
      </c>
      <c r="E1038" s="437">
        <v>30</v>
      </c>
      <c r="F1038" s="357" t="s">
        <v>2572</v>
      </c>
      <c r="G1038" s="147" t="s">
        <v>3878</v>
      </c>
      <c r="H1038" s="635" t="s">
        <v>9404</v>
      </c>
      <c r="J1038" s="368"/>
    </row>
    <row r="1039" spans="1:10">
      <c r="A1039" s="148" t="s">
        <v>3850</v>
      </c>
      <c r="B1039" s="154">
        <v>0</v>
      </c>
      <c r="C1039" s="155">
        <v>3</v>
      </c>
      <c r="D1039" s="156">
        <v>0</v>
      </c>
      <c r="E1039" s="157">
        <v>1</v>
      </c>
      <c r="F1039" s="147" t="s">
        <v>3877</v>
      </c>
      <c r="G1039" s="147" t="s">
        <v>3878</v>
      </c>
      <c r="H1039" s="636" t="s">
        <v>9369</v>
      </c>
      <c r="J1039" s="368"/>
    </row>
    <row r="1040" spans="1:10">
      <c r="A1040" s="148" t="s">
        <v>3851</v>
      </c>
      <c r="B1040" s="154">
        <v>4</v>
      </c>
      <c r="C1040" s="155">
        <v>0</v>
      </c>
      <c r="D1040" s="156">
        <v>0</v>
      </c>
      <c r="E1040" s="157">
        <v>1</v>
      </c>
      <c r="F1040" s="147" t="s">
        <v>3877</v>
      </c>
      <c r="G1040" s="147" t="s">
        <v>3878</v>
      </c>
      <c r="H1040" s="636" t="s">
        <v>9369</v>
      </c>
      <c r="J1040" s="368"/>
    </row>
    <row r="1041" spans="1:10">
      <c r="A1041" s="150" t="s">
        <v>3852</v>
      </c>
      <c r="B1041" s="154">
        <v>1</v>
      </c>
      <c r="C1041" s="155">
        <v>0</v>
      </c>
      <c r="D1041" s="156">
        <v>0</v>
      </c>
      <c r="E1041" s="157">
        <v>5</v>
      </c>
      <c r="F1041" s="147" t="s">
        <v>3877</v>
      </c>
      <c r="G1041" s="147" t="s">
        <v>3878</v>
      </c>
      <c r="H1041" s="636" t="s">
        <v>9369</v>
      </c>
      <c r="J1041" s="368"/>
    </row>
    <row r="1042" spans="1:10">
      <c r="A1042" s="148" t="s">
        <v>4323</v>
      </c>
      <c r="B1042" s="154">
        <v>0</v>
      </c>
      <c r="C1042" s="155">
        <v>10</v>
      </c>
      <c r="D1042" s="156">
        <v>0</v>
      </c>
      <c r="E1042" s="157">
        <v>1</v>
      </c>
      <c r="F1042" s="147" t="s">
        <v>3877</v>
      </c>
      <c r="G1042" s="147" t="s">
        <v>3878</v>
      </c>
      <c r="H1042" s="636" t="s">
        <v>9369</v>
      </c>
      <c r="J1042" s="368"/>
    </row>
    <row r="1043" spans="1:10">
      <c r="A1043" s="148" t="s">
        <v>3853</v>
      </c>
      <c r="B1043" s="154">
        <v>0</v>
      </c>
      <c r="C1043" s="155">
        <v>5</v>
      </c>
      <c r="D1043" s="156">
        <v>0</v>
      </c>
      <c r="E1043" s="157">
        <v>2</v>
      </c>
      <c r="F1043" s="147" t="s">
        <v>2574</v>
      </c>
      <c r="G1043" s="147" t="s">
        <v>3878</v>
      </c>
      <c r="H1043" s="636" t="s">
        <v>9370</v>
      </c>
      <c r="J1043" s="368"/>
    </row>
    <row r="1044" spans="1:10">
      <c r="A1044" s="148" t="s">
        <v>3854</v>
      </c>
      <c r="B1044" s="154">
        <v>15</v>
      </c>
      <c r="C1044" s="155">
        <v>0</v>
      </c>
      <c r="D1044" s="156">
        <v>0</v>
      </c>
      <c r="E1044" s="157">
        <v>25</v>
      </c>
      <c r="F1044" s="147" t="s">
        <v>2572</v>
      </c>
      <c r="G1044" s="147" t="s">
        <v>3878</v>
      </c>
      <c r="H1044" s="636" t="s">
        <v>9370</v>
      </c>
      <c r="J1044" s="368"/>
    </row>
    <row r="1045" spans="1:10">
      <c r="A1045" s="148" t="s">
        <v>3855</v>
      </c>
      <c r="B1045" s="154">
        <v>0</v>
      </c>
      <c r="C1045" s="155">
        <v>26</v>
      </c>
      <c r="D1045" s="156">
        <v>0</v>
      </c>
      <c r="E1045" s="157">
        <v>0</v>
      </c>
      <c r="F1045" s="147" t="s">
        <v>2574</v>
      </c>
      <c r="G1045" s="147" t="s">
        <v>3878</v>
      </c>
      <c r="H1045" s="636" t="s">
        <v>9370</v>
      </c>
      <c r="J1045" s="368"/>
    </row>
    <row r="1046" spans="1:10">
      <c r="A1046" s="148" t="s">
        <v>3856</v>
      </c>
      <c r="B1046" s="154">
        <v>0</v>
      </c>
      <c r="C1046" s="155">
        <v>10</v>
      </c>
      <c r="D1046" s="156">
        <v>0</v>
      </c>
      <c r="E1046" s="157">
        <v>5</v>
      </c>
      <c r="F1046" s="147" t="s">
        <v>3877</v>
      </c>
      <c r="G1046" s="147" t="s">
        <v>3878</v>
      </c>
      <c r="H1046" s="636" t="s">
        <v>9370</v>
      </c>
      <c r="J1046" s="368"/>
    </row>
    <row r="1047" spans="1:10">
      <c r="A1047" s="357" t="s">
        <v>11964</v>
      </c>
      <c r="B1047" s="434">
        <v>1</v>
      </c>
      <c r="C1047" s="435">
        <v>0</v>
      </c>
      <c r="D1047" s="436">
        <v>0</v>
      </c>
      <c r="E1047" s="437">
        <v>0</v>
      </c>
      <c r="F1047" s="357" t="s">
        <v>3877</v>
      </c>
      <c r="G1047" s="147" t="s">
        <v>3878</v>
      </c>
      <c r="H1047" s="635" t="s">
        <v>12116</v>
      </c>
      <c r="J1047" s="368"/>
    </row>
    <row r="1048" spans="1:10">
      <c r="A1048" s="148" t="s">
        <v>3857</v>
      </c>
      <c r="B1048" s="154">
        <v>2</v>
      </c>
      <c r="C1048" s="155">
        <v>0</v>
      </c>
      <c r="D1048" s="156">
        <v>0</v>
      </c>
      <c r="E1048" s="157">
        <v>1</v>
      </c>
      <c r="F1048" s="147" t="s">
        <v>2607</v>
      </c>
      <c r="G1048" s="147" t="s">
        <v>3878</v>
      </c>
      <c r="H1048" s="636" t="s">
        <v>9370</v>
      </c>
      <c r="J1048" s="368"/>
    </row>
    <row r="1049" spans="1:10">
      <c r="A1049" s="148" t="s">
        <v>4940</v>
      </c>
      <c r="B1049" s="154">
        <v>1</v>
      </c>
      <c r="C1049" s="155">
        <v>0</v>
      </c>
      <c r="D1049" s="156">
        <v>0</v>
      </c>
      <c r="E1049" s="157">
        <v>4</v>
      </c>
      <c r="F1049" s="147" t="s">
        <v>3877</v>
      </c>
      <c r="G1049" s="147" t="s">
        <v>3878</v>
      </c>
      <c r="H1049" s="636" t="s">
        <v>9370</v>
      </c>
      <c r="J1049" s="368"/>
    </row>
    <row r="1050" spans="1:10">
      <c r="A1050" s="148" t="s">
        <v>3858</v>
      </c>
      <c r="B1050" s="154">
        <v>3</v>
      </c>
      <c r="C1050" s="155">
        <v>0</v>
      </c>
      <c r="D1050" s="156">
        <v>0</v>
      </c>
      <c r="E1050" s="157">
        <v>2</v>
      </c>
      <c r="F1050" s="147" t="s">
        <v>2574</v>
      </c>
      <c r="G1050" s="147" t="s">
        <v>3878</v>
      </c>
      <c r="H1050" s="636" t="s">
        <v>9370</v>
      </c>
      <c r="J1050" s="368"/>
    </row>
    <row r="1051" spans="1:10">
      <c r="A1051" s="150" t="s">
        <v>3859</v>
      </c>
      <c r="B1051" s="154">
        <v>5</v>
      </c>
      <c r="C1051" s="155">
        <v>0</v>
      </c>
      <c r="D1051" s="156">
        <v>0</v>
      </c>
      <c r="E1051" s="157">
        <v>10</v>
      </c>
      <c r="F1051" s="147" t="s">
        <v>2574</v>
      </c>
      <c r="G1051" s="147" t="s">
        <v>3878</v>
      </c>
      <c r="H1051" s="636" t="s">
        <v>9370</v>
      </c>
      <c r="J1051" s="368"/>
    </row>
    <row r="1052" spans="1:10">
      <c r="A1052" s="357" t="s">
        <v>11958</v>
      </c>
      <c r="B1052" s="434">
        <v>2</v>
      </c>
      <c r="C1052" s="435">
        <v>0</v>
      </c>
      <c r="D1052" s="436">
        <v>0</v>
      </c>
      <c r="E1052" s="437">
        <v>4</v>
      </c>
      <c r="F1052" s="357" t="s">
        <v>2574</v>
      </c>
      <c r="G1052" s="147" t="s">
        <v>3878</v>
      </c>
      <c r="H1052" s="635" t="s">
        <v>12116</v>
      </c>
      <c r="J1052" s="368"/>
    </row>
    <row r="1053" spans="1:10">
      <c r="A1053" s="148" t="s">
        <v>3860</v>
      </c>
      <c r="B1053" s="154">
        <v>10</v>
      </c>
      <c r="C1053" s="155">
        <v>0</v>
      </c>
      <c r="D1053" s="156">
        <v>0</v>
      </c>
      <c r="E1053" s="157">
        <v>2</v>
      </c>
      <c r="F1053" s="147" t="s">
        <v>3877</v>
      </c>
      <c r="G1053" s="147" t="s">
        <v>3878</v>
      </c>
      <c r="H1053" s="636" t="s">
        <v>9370</v>
      </c>
      <c r="J1053" s="368"/>
    </row>
    <row r="1054" spans="1:10">
      <c r="A1054" s="148" t="s">
        <v>3861</v>
      </c>
      <c r="B1054" s="154">
        <v>0</v>
      </c>
      <c r="C1054" s="155">
        <v>0</v>
      </c>
      <c r="D1054" s="156">
        <v>15</v>
      </c>
      <c r="E1054" s="157">
        <v>0</v>
      </c>
      <c r="F1054" s="147" t="s">
        <v>3877</v>
      </c>
      <c r="G1054" s="147" t="s">
        <v>3878</v>
      </c>
      <c r="H1054" s="636" t="s">
        <v>9370</v>
      </c>
      <c r="J1054" s="368"/>
    </row>
    <row r="1055" spans="1:10">
      <c r="A1055" s="357" t="s">
        <v>11963</v>
      </c>
      <c r="B1055" s="434">
        <v>0</v>
      </c>
      <c r="C1055" s="435">
        <v>10</v>
      </c>
      <c r="D1055" s="436">
        <v>0</v>
      </c>
      <c r="E1055" s="437">
        <v>2</v>
      </c>
      <c r="F1055" s="357" t="s">
        <v>2572</v>
      </c>
      <c r="G1055" s="147" t="s">
        <v>3878</v>
      </c>
      <c r="H1055" s="635" t="s">
        <v>12116</v>
      </c>
      <c r="J1055" s="368"/>
    </row>
    <row r="1056" spans="1:10">
      <c r="A1056" s="150" t="s">
        <v>9538</v>
      </c>
      <c r="B1056" s="154">
        <v>3</v>
      </c>
      <c r="C1056" s="155">
        <v>0</v>
      </c>
      <c r="D1056" s="156">
        <v>0</v>
      </c>
      <c r="E1056" s="157">
        <v>0</v>
      </c>
      <c r="F1056" s="147" t="s">
        <v>2574</v>
      </c>
      <c r="G1056" s="147" t="s">
        <v>3878</v>
      </c>
      <c r="H1056" s="636" t="s">
        <v>9370</v>
      </c>
      <c r="J1056" s="368"/>
    </row>
    <row r="1057" spans="1:10">
      <c r="A1057" s="150" t="s">
        <v>9539</v>
      </c>
      <c r="B1057" s="434">
        <v>0</v>
      </c>
      <c r="C1057" s="435">
        <v>10</v>
      </c>
      <c r="D1057" s="436">
        <v>0</v>
      </c>
      <c r="E1057" s="437">
        <v>0</v>
      </c>
      <c r="F1057" s="357" t="s">
        <v>141</v>
      </c>
      <c r="G1057" s="147" t="s">
        <v>3878</v>
      </c>
      <c r="H1057" s="635"/>
      <c r="J1057" s="368"/>
    </row>
    <row r="1058" spans="1:10">
      <c r="A1058" s="148" t="s">
        <v>3862</v>
      </c>
      <c r="B1058" s="154">
        <v>0</v>
      </c>
      <c r="C1058" s="155">
        <v>10</v>
      </c>
      <c r="D1058" s="156">
        <v>0</v>
      </c>
      <c r="E1058" s="157">
        <v>4</v>
      </c>
      <c r="F1058" s="147" t="s">
        <v>3877</v>
      </c>
      <c r="G1058" s="147" t="s">
        <v>3878</v>
      </c>
      <c r="H1058" s="636" t="s">
        <v>9371</v>
      </c>
      <c r="J1058" s="368"/>
    </row>
    <row r="1059" spans="1:10">
      <c r="A1059" s="357" t="s">
        <v>11959</v>
      </c>
      <c r="B1059" s="434">
        <v>0</v>
      </c>
      <c r="C1059" s="435">
        <v>5</v>
      </c>
      <c r="D1059" s="436">
        <v>0</v>
      </c>
      <c r="E1059" s="437">
        <v>0</v>
      </c>
      <c r="F1059" s="357" t="s">
        <v>2572</v>
      </c>
      <c r="G1059" s="147" t="s">
        <v>3878</v>
      </c>
      <c r="H1059" s="635" t="s">
        <v>12116</v>
      </c>
      <c r="J1059" s="368"/>
    </row>
    <row r="1060" spans="1:10">
      <c r="A1060" s="148" t="s">
        <v>3863</v>
      </c>
      <c r="B1060" s="154">
        <v>0</v>
      </c>
      <c r="C1060" s="155">
        <v>0</v>
      </c>
      <c r="D1060" s="156">
        <v>1</v>
      </c>
      <c r="E1060" s="157">
        <v>5</v>
      </c>
      <c r="F1060" s="147" t="s">
        <v>141</v>
      </c>
      <c r="G1060" s="147" t="s">
        <v>3878</v>
      </c>
      <c r="H1060" s="636" t="s">
        <v>9371</v>
      </c>
      <c r="J1060" s="368"/>
    </row>
    <row r="1061" spans="1:10">
      <c r="A1061" s="357" t="s">
        <v>11962</v>
      </c>
      <c r="B1061" s="434">
        <v>0</v>
      </c>
      <c r="C1061" s="435">
        <v>28</v>
      </c>
      <c r="D1061" s="436">
        <v>0</v>
      </c>
      <c r="E1061" s="437">
        <v>5</v>
      </c>
      <c r="F1061" s="357" t="s">
        <v>2578</v>
      </c>
      <c r="G1061" s="147" t="s">
        <v>3878</v>
      </c>
      <c r="H1061" s="635" t="s">
        <v>12116</v>
      </c>
      <c r="J1061" s="368"/>
    </row>
    <row r="1062" spans="1:10">
      <c r="A1062" s="148" t="s">
        <v>3864</v>
      </c>
      <c r="B1062" s="154">
        <v>0</v>
      </c>
      <c r="C1062" s="155">
        <v>12</v>
      </c>
      <c r="D1062" s="156">
        <v>0</v>
      </c>
      <c r="E1062" s="157">
        <v>3</v>
      </c>
      <c r="F1062" s="147" t="s">
        <v>2574</v>
      </c>
      <c r="G1062" s="147" t="s">
        <v>3878</v>
      </c>
      <c r="H1062" s="636"/>
      <c r="J1062" s="368"/>
    </row>
    <row r="1063" spans="1:10">
      <c r="A1063" s="148" t="s">
        <v>3865</v>
      </c>
      <c r="B1063" s="154">
        <v>3</v>
      </c>
      <c r="C1063" s="155">
        <v>0</v>
      </c>
      <c r="D1063" s="156">
        <v>0</v>
      </c>
      <c r="E1063" s="157">
        <v>5</v>
      </c>
      <c r="F1063" s="147" t="s">
        <v>3877</v>
      </c>
      <c r="G1063" s="147" t="s">
        <v>3878</v>
      </c>
      <c r="H1063" s="636" t="s">
        <v>9371</v>
      </c>
      <c r="J1063" s="368"/>
    </row>
    <row r="1064" spans="1:10">
      <c r="A1064" s="148" t="s">
        <v>3866</v>
      </c>
      <c r="B1064" s="154">
        <v>5</v>
      </c>
      <c r="C1064" s="155">
        <v>0</v>
      </c>
      <c r="D1064" s="156">
        <v>0</v>
      </c>
      <c r="E1064" s="157">
        <v>10</v>
      </c>
      <c r="F1064" s="147" t="s">
        <v>3877</v>
      </c>
      <c r="G1064" s="147" t="s">
        <v>3878</v>
      </c>
      <c r="H1064" s="636" t="s">
        <v>9371</v>
      </c>
      <c r="J1064" s="368"/>
    </row>
    <row r="1065" spans="1:10">
      <c r="A1065" s="148" t="s">
        <v>3867</v>
      </c>
      <c r="B1065" s="154">
        <v>0</v>
      </c>
      <c r="C1065" s="155">
        <v>10</v>
      </c>
      <c r="D1065" s="156">
        <v>0</v>
      </c>
      <c r="E1065" s="157">
        <v>2</v>
      </c>
      <c r="F1065" s="147" t="s">
        <v>2574</v>
      </c>
      <c r="G1065" s="147" t="s">
        <v>3878</v>
      </c>
      <c r="H1065" s="636" t="s">
        <v>9371</v>
      </c>
    </row>
    <row r="1066" spans="1:10">
      <c r="A1066" s="148" t="s">
        <v>3868</v>
      </c>
      <c r="B1066" s="154">
        <v>0</v>
      </c>
      <c r="C1066" s="155">
        <v>0</v>
      </c>
      <c r="D1066" s="156">
        <v>6</v>
      </c>
      <c r="E1066" s="157">
        <v>0</v>
      </c>
      <c r="F1066" s="147" t="s">
        <v>2574</v>
      </c>
      <c r="G1066" s="147" t="s">
        <v>3878</v>
      </c>
      <c r="H1066" s="636" t="s">
        <v>9371</v>
      </c>
    </row>
    <row r="1067" spans="1:10">
      <c r="A1067" s="148" t="s">
        <v>3869</v>
      </c>
      <c r="B1067" s="154">
        <v>0</v>
      </c>
      <c r="C1067" s="155">
        <v>4</v>
      </c>
      <c r="D1067" s="156">
        <v>0</v>
      </c>
      <c r="E1067" s="157">
        <v>1</v>
      </c>
      <c r="F1067" s="147" t="s">
        <v>141</v>
      </c>
      <c r="G1067" s="147" t="s">
        <v>3878</v>
      </c>
      <c r="H1067" s="636" t="s">
        <v>9371</v>
      </c>
    </row>
    <row r="1068" spans="1:10">
      <c r="A1068" s="148" t="s">
        <v>3870</v>
      </c>
      <c r="B1068" s="154">
        <v>10</v>
      </c>
      <c r="C1068" s="155">
        <v>0</v>
      </c>
      <c r="D1068" s="156">
        <v>0</v>
      </c>
      <c r="E1068" s="157">
        <v>15</v>
      </c>
      <c r="F1068" s="147" t="s">
        <v>3877</v>
      </c>
      <c r="G1068" s="147" t="s">
        <v>3878</v>
      </c>
      <c r="H1068" s="636" t="s">
        <v>9371</v>
      </c>
    </row>
    <row r="1069" spans="1:10">
      <c r="A1069" s="148" t="s">
        <v>3871</v>
      </c>
      <c r="B1069" s="154">
        <v>5</v>
      </c>
      <c r="C1069" s="155">
        <v>0</v>
      </c>
      <c r="D1069" s="156">
        <v>0</v>
      </c>
      <c r="E1069" s="157">
        <v>10</v>
      </c>
      <c r="F1069" s="147" t="s">
        <v>3877</v>
      </c>
      <c r="G1069" s="147" t="s">
        <v>3878</v>
      </c>
      <c r="H1069" s="636" t="s">
        <v>9369</v>
      </c>
    </row>
    <row r="1070" spans="1:10">
      <c r="A1070" s="148" t="s">
        <v>4324</v>
      </c>
      <c r="B1070" s="154">
        <v>1</v>
      </c>
      <c r="C1070" s="155">
        <v>0</v>
      </c>
      <c r="D1070" s="156">
        <v>0</v>
      </c>
      <c r="E1070" s="157">
        <v>15</v>
      </c>
      <c r="F1070" s="147" t="s">
        <v>3877</v>
      </c>
      <c r="G1070" s="147" t="s">
        <v>3878</v>
      </c>
      <c r="H1070" s="636" t="s">
        <v>9371</v>
      </c>
    </row>
    <row r="1071" spans="1:10">
      <c r="A1071" s="148" t="s">
        <v>5512</v>
      </c>
      <c r="B1071" s="154">
        <v>15</v>
      </c>
      <c r="C1071" s="155">
        <v>0</v>
      </c>
      <c r="D1071" s="156">
        <v>0</v>
      </c>
      <c r="E1071" s="157">
        <v>25</v>
      </c>
      <c r="F1071" s="147" t="s">
        <v>2572</v>
      </c>
      <c r="G1071" s="147" t="s">
        <v>3878</v>
      </c>
      <c r="H1071" s="636"/>
    </row>
    <row r="1072" spans="1:10">
      <c r="A1072" s="148" t="s">
        <v>3872</v>
      </c>
      <c r="B1072" s="154">
        <v>0</v>
      </c>
      <c r="C1072" s="155">
        <v>2</v>
      </c>
      <c r="D1072" s="156">
        <v>0</v>
      </c>
      <c r="E1072" s="157">
        <v>2</v>
      </c>
      <c r="F1072" s="147" t="s">
        <v>2574</v>
      </c>
      <c r="G1072" s="147" t="s">
        <v>3878</v>
      </c>
      <c r="H1072" s="636" t="s">
        <v>9372</v>
      </c>
    </row>
    <row r="1073" spans="1:11">
      <c r="A1073" s="357" t="s">
        <v>11960</v>
      </c>
      <c r="B1073" s="434">
        <v>1</v>
      </c>
      <c r="C1073" s="435">
        <v>0</v>
      </c>
      <c r="D1073" s="436">
        <v>0</v>
      </c>
      <c r="E1073" s="437"/>
      <c r="F1073" s="357" t="s">
        <v>2572</v>
      </c>
      <c r="G1073" s="147" t="s">
        <v>3878</v>
      </c>
      <c r="H1073" s="635" t="s">
        <v>12116</v>
      </c>
    </row>
    <row r="1074" spans="1:11">
      <c r="A1074" s="148" t="s">
        <v>4335</v>
      </c>
      <c r="B1074" s="154">
        <v>5</v>
      </c>
      <c r="C1074" s="155">
        <v>0</v>
      </c>
      <c r="D1074" s="156">
        <v>0</v>
      </c>
      <c r="E1074" s="157">
        <v>10</v>
      </c>
      <c r="F1074" s="147" t="s">
        <v>2572</v>
      </c>
      <c r="G1074" s="147" t="s">
        <v>3878</v>
      </c>
      <c r="H1074" s="636"/>
    </row>
    <row r="1075" spans="1:11">
      <c r="A1075" s="148" t="s">
        <v>3873</v>
      </c>
      <c r="B1075" s="154">
        <v>0</v>
      </c>
      <c r="C1075" s="155">
        <v>0</v>
      </c>
      <c r="D1075" s="156">
        <v>5</v>
      </c>
      <c r="E1075" s="157">
        <v>2</v>
      </c>
      <c r="F1075" s="147" t="s">
        <v>3877</v>
      </c>
      <c r="G1075" s="147" t="s">
        <v>3878</v>
      </c>
      <c r="H1075" s="636"/>
    </row>
    <row r="1076" spans="1:11">
      <c r="A1076" s="357" t="s">
        <v>9781</v>
      </c>
      <c r="B1076" s="434">
        <v>3</v>
      </c>
      <c r="C1076" s="435">
        <v>0</v>
      </c>
      <c r="D1076" s="436">
        <v>0</v>
      </c>
      <c r="E1076" s="437">
        <v>15</v>
      </c>
      <c r="F1076" s="357" t="s">
        <v>3877</v>
      </c>
      <c r="G1076" s="147" t="s">
        <v>3878</v>
      </c>
      <c r="H1076" s="635" t="s">
        <v>12116</v>
      </c>
    </row>
    <row r="1077" spans="1:11">
      <c r="A1077" s="357" t="s">
        <v>9782</v>
      </c>
      <c r="B1077" s="434">
        <v>0</v>
      </c>
      <c r="C1077" s="435">
        <v>0</v>
      </c>
      <c r="D1077" s="436">
        <v>20</v>
      </c>
      <c r="E1077" s="437">
        <v>2</v>
      </c>
      <c r="F1077" s="357" t="s">
        <v>141</v>
      </c>
      <c r="G1077" s="357" t="s">
        <v>3878</v>
      </c>
      <c r="H1077" s="635" t="s">
        <v>12116</v>
      </c>
    </row>
    <row r="1078" spans="1:11">
      <c r="A1078" s="150" t="s">
        <v>4321</v>
      </c>
      <c r="B1078" s="154">
        <v>15</v>
      </c>
      <c r="C1078" s="155">
        <v>0</v>
      </c>
      <c r="D1078" s="156">
        <v>0</v>
      </c>
      <c r="E1078" s="157">
        <v>15</v>
      </c>
      <c r="F1078" s="147" t="s">
        <v>2578</v>
      </c>
      <c r="G1078" s="147" t="s">
        <v>3878</v>
      </c>
      <c r="H1078" s="636" t="s">
        <v>9372</v>
      </c>
    </row>
    <row r="1079" spans="1:11">
      <c r="A1079" s="150" t="s">
        <v>4558</v>
      </c>
      <c r="B1079" s="154">
        <v>1</v>
      </c>
      <c r="C1079" s="155">
        <v>0</v>
      </c>
      <c r="D1079" s="156">
        <v>0</v>
      </c>
      <c r="E1079" s="157">
        <v>15</v>
      </c>
      <c r="F1079" s="150" t="s">
        <v>3877</v>
      </c>
      <c r="G1079" s="147" t="s">
        <v>3878</v>
      </c>
      <c r="H1079" s="636"/>
    </row>
    <row r="1080" spans="1:11">
      <c r="A1080" s="150" t="s">
        <v>4557</v>
      </c>
      <c r="B1080" s="154">
        <v>3</v>
      </c>
      <c r="C1080" s="155">
        <v>0</v>
      </c>
      <c r="D1080" s="156">
        <v>0</v>
      </c>
      <c r="E1080" s="157">
        <v>15</v>
      </c>
      <c r="F1080" s="150" t="s">
        <v>2574</v>
      </c>
      <c r="G1080" s="147" t="s">
        <v>3878</v>
      </c>
      <c r="H1080" s="636"/>
    </row>
    <row r="1081" spans="1:11">
      <c r="A1081" s="150" t="s">
        <v>4560</v>
      </c>
      <c r="B1081" s="154">
        <v>10</v>
      </c>
      <c r="C1081" s="155">
        <v>0</v>
      </c>
      <c r="D1081" s="156">
        <v>0</v>
      </c>
      <c r="E1081" s="157">
        <v>45</v>
      </c>
      <c r="F1081" s="147" t="s">
        <v>3877</v>
      </c>
      <c r="G1081" s="147" t="s">
        <v>3878</v>
      </c>
      <c r="H1081" s="636"/>
    </row>
    <row r="1082" spans="1:11" ht="13.8" thickBot="1">
      <c r="A1082" s="150" t="s">
        <v>4559</v>
      </c>
      <c r="B1082" s="154">
        <v>0</v>
      </c>
      <c r="C1082" s="155">
        <v>10</v>
      </c>
      <c r="D1082" s="156">
        <v>0</v>
      </c>
      <c r="E1082" s="157">
        <v>10</v>
      </c>
      <c r="F1082" s="150" t="s">
        <v>141</v>
      </c>
      <c r="G1082" s="147" t="s">
        <v>3878</v>
      </c>
      <c r="H1082" s="636"/>
    </row>
    <row r="1083" spans="1:11" ht="13.8" thickBot="1">
      <c r="A1083" s="150" t="s">
        <v>4561</v>
      </c>
      <c r="B1083" s="154">
        <v>13</v>
      </c>
      <c r="C1083" s="155">
        <v>0</v>
      </c>
      <c r="D1083" s="156">
        <v>0</v>
      </c>
      <c r="E1083" s="157">
        <v>20</v>
      </c>
      <c r="F1083" s="147" t="s">
        <v>2572</v>
      </c>
      <c r="G1083" s="147" t="s">
        <v>3878</v>
      </c>
      <c r="H1083" s="855" t="s">
        <v>9372</v>
      </c>
      <c r="I1083" s="857" t="s">
        <v>7121</v>
      </c>
      <c r="J1083" s="857" t="s">
        <v>16309</v>
      </c>
      <c r="K1083" s="857" t="s">
        <v>7120</v>
      </c>
    </row>
    <row r="1084" spans="1:11">
      <c r="A1084" s="160" t="s">
        <v>7027</v>
      </c>
      <c r="B1084" s="521">
        <f>ROUNDUP((IF(F1084="ER",E1084*20,IF(F1084="TR",E1084*10,IF(F1084="R",E1084*5,IF(F1084="I",E1084*3,IF(F1084="AC",E1084*2,IF(F1084="C",E1084*1,IF(F1084="B",E1084/3,IF(F1084="TC",E1084/2))))))))),0)</f>
        <v>26</v>
      </c>
      <c r="C1084" s="161">
        <v>0</v>
      </c>
      <c r="D1084" s="162">
        <v>0</v>
      </c>
      <c r="E1084" s="150">
        <v>51</v>
      </c>
      <c r="F1084" s="150" t="s">
        <v>3877</v>
      </c>
      <c r="G1084" s="150" t="s">
        <v>7119</v>
      </c>
      <c r="H1084" s="636" t="s">
        <v>7028</v>
      </c>
      <c r="I1084" s="453" t="s">
        <v>2731</v>
      </c>
      <c r="J1084" s="454" t="s">
        <v>16310</v>
      </c>
      <c r="K1084" s="454" t="s">
        <v>7056</v>
      </c>
    </row>
    <row r="1085" spans="1:11">
      <c r="A1085" s="149" t="s">
        <v>14749</v>
      </c>
      <c r="B1085" s="521">
        <f t="shared" ref="B1085:B1152" si="0">ROUNDUP((IF(F1085="U",E1085*50,IF(F1085="ER",E1085*20,IF(F1085="TR",E1085*10,IF(F1085="R",E1085*5,IF(F1085="I",E1085*3,IF(F1085="AC",E1085*2,IF(F1085="C",E1085*1,IF(F1085="B",E1085/3,IF(F1085="TC",E1085/2)))))))))),0)</f>
        <v>90</v>
      </c>
      <c r="C1085" s="161">
        <v>0</v>
      </c>
      <c r="D1085" s="162">
        <v>0</v>
      </c>
      <c r="E1085" s="150">
        <v>30</v>
      </c>
      <c r="F1085" s="150" t="s">
        <v>2578</v>
      </c>
      <c r="G1085" s="150" t="s">
        <v>7119</v>
      </c>
      <c r="H1085" s="636" t="s">
        <v>17484</v>
      </c>
      <c r="I1085" s="453" t="s">
        <v>12242</v>
      </c>
      <c r="J1085" s="454" t="s">
        <v>2750</v>
      </c>
      <c r="K1085" s="454" t="s">
        <v>7056</v>
      </c>
    </row>
    <row r="1086" spans="1:11">
      <c r="A1086" s="357" t="s">
        <v>7042</v>
      </c>
      <c r="B1086" s="521">
        <f t="shared" si="0"/>
        <v>350</v>
      </c>
      <c r="C1086" s="161">
        <v>0</v>
      </c>
      <c r="D1086" s="162">
        <v>0</v>
      </c>
      <c r="E1086" s="461">
        <v>35</v>
      </c>
      <c r="F1086" s="357" t="s">
        <v>2608</v>
      </c>
      <c r="G1086" s="357" t="s">
        <v>7119</v>
      </c>
      <c r="H1086" s="636" t="s">
        <v>17484</v>
      </c>
      <c r="I1086" s="453" t="s">
        <v>2720</v>
      </c>
      <c r="J1086" s="454" t="s">
        <v>2720</v>
      </c>
      <c r="K1086" s="454" t="s">
        <v>7056</v>
      </c>
    </row>
    <row r="1087" spans="1:11">
      <c r="A1087" s="160" t="s">
        <v>9764</v>
      </c>
      <c r="B1087" s="521">
        <f t="shared" si="0"/>
        <v>96</v>
      </c>
      <c r="C1087" s="161">
        <v>0</v>
      </c>
      <c r="D1087" s="162">
        <v>0</v>
      </c>
      <c r="E1087" s="163">
        <v>32</v>
      </c>
      <c r="F1087" s="150" t="s">
        <v>2578</v>
      </c>
      <c r="G1087" s="150" t="s">
        <v>7119</v>
      </c>
      <c r="H1087" s="636" t="s">
        <v>9765</v>
      </c>
      <c r="I1087" s="453" t="s">
        <v>2723</v>
      </c>
      <c r="J1087" s="454" t="s">
        <v>2737</v>
      </c>
      <c r="K1087" s="454" t="s">
        <v>7056</v>
      </c>
    </row>
    <row r="1088" spans="1:11">
      <c r="A1088" s="150" t="s">
        <v>7059</v>
      </c>
      <c r="B1088" s="521">
        <f t="shared" si="0"/>
        <v>280</v>
      </c>
      <c r="C1088" s="161">
        <v>0</v>
      </c>
      <c r="D1088" s="162">
        <v>0</v>
      </c>
      <c r="E1088" s="150">
        <v>56</v>
      </c>
      <c r="F1088" s="150" t="s">
        <v>2607</v>
      </c>
      <c r="G1088" s="150" t="s">
        <v>7119</v>
      </c>
      <c r="H1088" s="636" t="s">
        <v>17484</v>
      </c>
      <c r="I1088" s="453" t="s">
        <v>2725</v>
      </c>
      <c r="J1088" s="454" t="s">
        <v>2725</v>
      </c>
      <c r="K1088" s="454" t="s">
        <v>7056</v>
      </c>
    </row>
    <row r="1089" spans="1:11">
      <c r="A1089" s="150" t="s">
        <v>16264</v>
      </c>
      <c r="B1089" s="521">
        <f t="shared" si="0"/>
        <v>117</v>
      </c>
      <c r="C1089" s="161">
        <v>0</v>
      </c>
      <c r="D1089" s="162">
        <v>0</v>
      </c>
      <c r="E1089" s="150">
        <v>39</v>
      </c>
      <c r="F1089" s="150" t="s">
        <v>2578</v>
      </c>
      <c r="G1089" s="150" t="s">
        <v>7119</v>
      </c>
      <c r="H1089" s="636" t="s">
        <v>17484</v>
      </c>
      <c r="I1089" s="453" t="s">
        <v>2725</v>
      </c>
      <c r="J1089" s="454" t="s">
        <v>2725</v>
      </c>
      <c r="K1089" s="454" t="s">
        <v>7056</v>
      </c>
    </row>
    <row r="1090" spans="1:11">
      <c r="A1090" s="150" t="s">
        <v>7058</v>
      </c>
      <c r="B1090" s="521">
        <f t="shared" si="0"/>
        <v>174</v>
      </c>
      <c r="C1090" s="161">
        <v>0</v>
      </c>
      <c r="D1090" s="162">
        <v>0</v>
      </c>
      <c r="E1090" s="150">
        <v>58</v>
      </c>
      <c r="F1090" s="150" t="s">
        <v>2578</v>
      </c>
      <c r="G1090" s="150" t="s">
        <v>7119</v>
      </c>
      <c r="H1090" s="636" t="s">
        <v>17484</v>
      </c>
      <c r="I1090" s="453" t="s">
        <v>2725</v>
      </c>
      <c r="J1090" s="454" t="s">
        <v>2725</v>
      </c>
      <c r="K1090" s="454" t="s">
        <v>7056</v>
      </c>
    </row>
    <row r="1091" spans="1:11">
      <c r="A1091" s="150" t="s">
        <v>7060</v>
      </c>
      <c r="B1091" s="521">
        <f t="shared" si="0"/>
        <v>215</v>
      </c>
      <c r="C1091" s="161">
        <v>0</v>
      </c>
      <c r="D1091" s="162">
        <v>0</v>
      </c>
      <c r="E1091" s="150">
        <v>43</v>
      </c>
      <c r="F1091" s="150" t="s">
        <v>2607</v>
      </c>
      <c r="G1091" s="150" t="s">
        <v>7119</v>
      </c>
      <c r="H1091" s="636" t="s">
        <v>17484</v>
      </c>
      <c r="I1091" s="453" t="s">
        <v>2725</v>
      </c>
      <c r="J1091" s="454" t="s">
        <v>2725</v>
      </c>
      <c r="K1091" s="454" t="s">
        <v>7056</v>
      </c>
    </row>
    <row r="1092" spans="1:11">
      <c r="A1092" s="150" t="s">
        <v>7057</v>
      </c>
      <c r="B1092" s="521">
        <f t="shared" si="0"/>
        <v>132</v>
      </c>
      <c r="C1092" s="161">
        <v>0</v>
      </c>
      <c r="D1092" s="162">
        <v>0</v>
      </c>
      <c r="E1092" s="150">
        <v>44</v>
      </c>
      <c r="F1092" s="150" t="s">
        <v>2578</v>
      </c>
      <c r="G1092" s="150" t="s">
        <v>7119</v>
      </c>
      <c r="H1092" s="636" t="s">
        <v>17484</v>
      </c>
      <c r="I1092" s="453" t="s">
        <v>2725</v>
      </c>
      <c r="J1092" s="454" t="s">
        <v>2725</v>
      </c>
      <c r="K1092" s="454" t="s">
        <v>7056</v>
      </c>
    </row>
    <row r="1093" spans="1:11">
      <c r="A1093" s="160" t="s">
        <v>7020</v>
      </c>
      <c r="B1093" s="521">
        <f t="shared" si="0"/>
        <v>37</v>
      </c>
      <c r="C1093" s="161">
        <v>0</v>
      </c>
      <c r="D1093" s="162">
        <v>0</v>
      </c>
      <c r="E1093" s="163">
        <v>37</v>
      </c>
      <c r="F1093" s="150" t="s">
        <v>2574</v>
      </c>
      <c r="G1093" s="150" t="s">
        <v>7119</v>
      </c>
      <c r="H1093" s="636" t="s">
        <v>7019</v>
      </c>
      <c r="I1093" s="453" t="s">
        <v>2731</v>
      </c>
      <c r="J1093" s="454" t="s">
        <v>16311</v>
      </c>
      <c r="K1093" s="454" t="s">
        <v>7056</v>
      </c>
    </row>
    <row r="1094" spans="1:11">
      <c r="A1094" s="160" t="s">
        <v>16278</v>
      </c>
      <c r="B1094" s="521">
        <f t="shared" si="0"/>
        <v>90</v>
      </c>
      <c r="C1094" s="161">
        <v>0</v>
      </c>
      <c r="D1094" s="162">
        <v>0</v>
      </c>
      <c r="E1094" s="150">
        <v>45</v>
      </c>
      <c r="F1094" s="150" t="s">
        <v>2572</v>
      </c>
      <c r="G1094" s="150" t="s">
        <v>7119</v>
      </c>
      <c r="H1094" s="636" t="s">
        <v>7019</v>
      </c>
      <c r="I1094" s="453" t="s">
        <v>2730</v>
      </c>
      <c r="J1094" s="454" t="s">
        <v>2730</v>
      </c>
      <c r="K1094" s="454" t="s">
        <v>7056</v>
      </c>
    </row>
    <row r="1095" spans="1:11">
      <c r="A1095" s="357" t="s">
        <v>15182</v>
      </c>
      <c r="B1095" s="521">
        <f t="shared" si="0"/>
        <v>40</v>
      </c>
      <c r="C1095" s="522">
        <v>0</v>
      </c>
      <c r="D1095" s="523">
        <v>0</v>
      </c>
      <c r="E1095" s="357">
        <v>20</v>
      </c>
      <c r="F1095" s="357" t="s">
        <v>2572</v>
      </c>
      <c r="G1095" s="150" t="s">
        <v>7119</v>
      </c>
      <c r="H1095" s="635" t="s">
        <v>15273</v>
      </c>
      <c r="I1095" s="453" t="s">
        <v>7062</v>
      </c>
      <c r="J1095" s="454" t="s">
        <v>16322</v>
      </c>
      <c r="K1095" s="454" t="s">
        <v>7056</v>
      </c>
    </row>
    <row r="1096" spans="1:11">
      <c r="A1096" s="357" t="s">
        <v>15186</v>
      </c>
      <c r="B1096" s="521">
        <f t="shared" si="0"/>
        <v>250</v>
      </c>
      <c r="C1096" s="522">
        <v>0</v>
      </c>
      <c r="D1096" s="523">
        <v>0</v>
      </c>
      <c r="E1096" s="357">
        <v>25</v>
      </c>
      <c r="F1096" s="357" t="s">
        <v>2608</v>
      </c>
      <c r="G1096" s="150" t="s">
        <v>7119</v>
      </c>
      <c r="H1096" s="635" t="s">
        <v>17484</v>
      </c>
      <c r="I1096" s="453" t="s">
        <v>7062</v>
      </c>
      <c r="J1096" s="454" t="s">
        <v>16322</v>
      </c>
      <c r="K1096" s="454" t="s">
        <v>7056</v>
      </c>
    </row>
    <row r="1097" spans="1:11">
      <c r="A1097" s="357" t="s">
        <v>15184</v>
      </c>
      <c r="B1097" s="521">
        <f t="shared" si="0"/>
        <v>290</v>
      </c>
      <c r="C1097" s="522">
        <v>0</v>
      </c>
      <c r="D1097" s="523">
        <v>0</v>
      </c>
      <c r="E1097" s="357">
        <v>29</v>
      </c>
      <c r="F1097" s="357" t="s">
        <v>2608</v>
      </c>
      <c r="G1097" s="150" t="s">
        <v>7119</v>
      </c>
      <c r="H1097" s="635" t="s">
        <v>17484</v>
      </c>
      <c r="I1097" s="453" t="s">
        <v>7062</v>
      </c>
      <c r="J1097" s="454" t="s">
        <v>16322</v>
      </c>
      <c r="K1097" s="454" t="s">
        <v>7056</v>
      </c>
    </row>
    <row r="1098" spans="1:11">
      <c r="A1098" s="357" t="s">
        <v>15185</v>
      </c>
      <c r="B1098" s="521">
        <f t="shared" si="0"/>
        <v>500</v>
      </c>
      <c r="C1098" s="522">
        <v>0</v>
      </c>
      <c r="D1098" s="523">
        <v>0</v>
      </c>
      <c r="E1098" s="357">
        <v>25</v>
      </c>
      <c r="F1098" s="357" t="s">
        <v>8801</v>
      </c>
      <c r="G1098" s="150" t="s">
        <v>7119</v>
      </c>
      <c r="H1098" s="635" t="s">
        <v>17484</v>
      </c>
      <c r="I1098" s="453" t="s">
        <v>7062</v>
      </c>
      <c r="J1098" s="454" t="s">
        <v>16322</v>
      </c>
      <c r="K1098" s="454" t="s">
        <v>7056</v>
      </c>
    </row>
    <row r="1099" spans="1:11">
      <c r="A1099" s="357" t="s">
        <v>15187</v>
      </c>
      <c r="B1099" s="521">
        <f t="shared" si="0"/>
        <v>280</v>
      </c>
      <c r="C1099" s="522">
        <v>0</v>
      </c>
      <c r="D1099" s="523">
        <v>0</v>
      </c>
      <c r="E1099" s="357">
        <v>28</v>
      </c>
      <c r="F1099" s="357" t="s">
        <v>2608</v>
      </c>
      <c r="G1099" s="150" t="s">
        <v>7119</v>
      </c>
      <c r="H1099" s="635" t="s">
        <v>17484</v>
      </c>
      <c r="I1099" s="453" t="s">
        <v>7062</v>
      </c>
      <c r="J1099" s="454" t="s">
        <v>16322</v>
      </c>
      <c r="K1099" s="454" t="s">
        <v>7056</v>
      </c>
    </row>
    <row r="1100" spans="1:11">
      <c r="A1100" s="357" t="s">
        <v>15183</v>
      </c>
      <c r="B1100" s="521">
        <f t="shared" si="0"/>
        <v>90</v>
      </c>
      <c r="C1100" s="522">
        <v>0</v>
      </c>
      <c r="D1100" s="523">
        <v>0</v>
      </c>
      <c r="E1100" s="357">
        <v>30</v>
      </c>
      <c r="F1100" s="357" t="s">
        <v>2578</v>
      </c>
      <c r="G1100" s="150" t="s">
        <v>7119</v>
      </c>
      <c r="H1100" s="635" t="s">
        <v>17484</v>
      </c>
      <c r="I1100" s="453" t="s">
        <v>7062</v>
      </c>
      <c r="J1100" s="454" t="s">
        <v>16322</v>
      </c>
      <c r="K1100" s="454" t="s">
        <v>7056</v>
      </c>
    </row>
    <row r="1101" spans="1:11">
      <c r="A1101" s="357" t="s">
        <v>15188</v>
      </c>
      <c r="B1101" s="521">
        <f t="shared" si="0"/>
        <v>155</v>
      </c>
      <c r="C1101" s="522">
        <v>0</v>
      </c>
      <c r="D1101" s="523">
        <v>0</v>
      </c>
      <c r="E1101" s="357">
        <v>31</v>
      </c>
      <c r="F1101" s="357" t="s">
        <v>2607</v>
      </c>
      <c r="G1101" s="150" t="s">
        <v>7119</v>
      </c>
      <c r="H1101" s="635" t="s">
        <v>17484</v>
      </c>
      <c r="I1101" s="453" t="s">
        <v>7062</v>
      </c>
      <c r="J1101" s="454" t="s">
        <v>16322</v>
      </c>
      <c r="K1101" s="454" t="s">
        <v>7056</v>
      </c>
    </row>
    <row r="1102" spans="1:11">
      <c r="A1102" s="357" t="s">
        <v>7207</v>
      </c>
      <c r="B1102" s="521">
        <f t="shared" si="0"/>
        <v>96</v>
      </c>
      <c r="C1102" s="522">
        <v>0</v>
      </c>
      <c r="D1102" s="523">
        <v>0</v>
      </c>
      <c r="E1102" s="357">
        <v>48</v>
      </c>
      <c r="F1102" s="357" t="s">
        <v>2572</v>
      </c>
      <c r="G1102" s="150" t="s">
        <v>7119</v>
      </c>
      <c r="H1102" s="635" t="s">
        <v>17484</v>
      </c>
      <c r="I1102" s="453" t="s">
        <v>2722</v>
      </c>
      <c r="J1102" s="454" t="s">
        <v>2737</v>
      </c>
      <c r="K1102" s="454" t="s">
        <v>7056</v>
      </c>
    </row>
    <row r="1103" spans="1:11">
      <c r="A1103" s="160" t="s">
        <v>7105</v>
      </c>
      <c r="B1103" s="521">
        <f t="shared" si="0"/>
        <v>60</v>
      </c>
      <c r="C1103" s="161">
        <v>20</v>
      </c>
      <c r="D1103" s="162">
        <v>0</v>
      </c>
      <c r="E1103" s="150">
        <v>20</v>
      </c>
      <c r="F1103" s="150" t="s">
        <v>2578</v>
      </c>
      <c r="G1103" s="150" t="s">
        <v>7119</v>
      </c>
      <c r="H1103" s="635"/>
      <c r="I1103" s="453" t="s">
        <v>7062</v>
      </c>
      <c r="J1103" s="454" t="s">
        <v>16325</v>
      </c>
      <c r="K1103" s="454" t="s">
        <v>7056</v>
      </c>
    </row>
    <row r="1104" spans="1:11">
      <c r="A1104" s="456" t="s">
        <v>9793</v>
      </c>
      <c r="B1104" s="521">
        <f t="shared" si="0"/>
        <v>90</v>
      </c>
      <c r="C1104" s="522">
        <v>0</v>
      </c>
      <c r="D1104" s="523">
        <v>0</v>
      </c>
      <c r="E1104" s="357">
        <v>18</v>
      </c>
      <c r="F1104" s="357" t="s">
        <v>2607</v>
      </c>
      <c r="G1104" s="150" t="s">
        <v>7119</v>
      </c>
      <c r="H1104" s="635" t="s">
        <v>9789</v>
      </c>
      <c r="I1104" s="453" t="s">
        <v>9794</v>
      </c>
      <c r="J1104" s="454" t="s">
        <v>9794</v>
      </c>
      <c r="K1104" s="454" t="s">
        <v>7055</v>
      </c>
    </row>
    <row r="1105" spans="1:11">
      <c r="A1105" s="160" t="s">
        <v>7045</v>
      </c>
      <c r="B1105" s="521">
        <f t="shared" si="0"/>
        <v>1200</v>
      </c>
      <c r="C1105" s="161">
        <v>0</v>
      </c>
      <c r="D1105" s="162">
        <v>0</v>
      </c>
      <c r="E1105" s="150">
        <v>60</v>
      </c>
      <c r="F1105" s="150" t="s">
        <v>8801</v>
      </c>
      <c r="G1105" s="150" t="s">
        <v>7119</v>
      </c>
      <c r="H1105" s="636" t="s">
        <v>7046</v>
      </c>
      <c r="I1105" s="453" t="s">
        <v>2721</v>
      </c>
      <c r="J1105" s="454" t="s">
        <v>10843</v>
      </c>
      <c r="K1105" s="454" t="s">
        <v>7055</v>
      </c>
    </row>
    <row r="1106" spans="1:11">
      <c r="A1106" s="150" t="s">
        <v>7061</v>
      </c>
      <c r="B1106" s="521">
        <f t="shared" si="0"/>
        <v>70</v>
      </c>
      <c r="C1106" s="161">
        <v>0</v>
      </c>
      <c r="D1106" s="162">
        <v>0</v>
      </c>
      <c r="E1106" s="163">
        <v>35</v>
      </c>
      <c r="F1106" s="150" t="s">
        <v>2572</v>
      </c>
      <c r="G1106" s="150" t="s">
        <v>7119</v>
      </c>
      <c r="H1106" s="636" t="s">
        <v>17484</v>
      </c>
      <c r="I1106" s="453" t="s">
        <v>2719</v>
      </c>
      <c r="J1106" s="454" t="s">
        <v>2719</v>
      </c>
      <c r="K1106" s="454" t="s">
        <v>7056</v>
      </c>
    </row>
    <row r="1107" spans="1:11">
      <c r="A1107" s="150" t="s">
        <v>7117</v>
      </c>
      <c r="B1107" s="521">
        <f t="shared" si="0"/>
        <v>5</v>
      </c>
      <c r="C1107" s="161">
        <v>0</v>
      </c>
      <c r="D1107" s="162">
        <v>0</v>
      </c>
      <c r="E1107" s="150">
        <v>5</v>
      </c>
      <c r="F1107" s="150" t="s">
        <v>2574</v>
      </c>
      <c r="G1107" s="150" t="s">
        <v>7119</v>
      </c>
      <c r="H1107" s="635" t="s">
        <v>17484</v>
      </c>
      <c r="I1107" s="453" t="s">
        <v>2719</v>
      </c>
      <c r="J1107" s="454" t="s">
        <v>2719</v>
      </c>
      <c r="K1107" s="454" t="s">
        <v>7056</v>
      </c>
    </row>
    <row r="1108" spans="1:11">
      <c r="A1108" s="150" t="s">
        <v>7066</v>
      </c>
      <c r="B1108" s="521">
        <f t="shared" si="0"/>
        <v>156</v>
      </c>
      <c r="C1108" s="161">
        <v>0</v>
      </c>
      <c r="D1108" s="162">
        <v>0</v>
      </c>
      <c r="E1108" s="150">
        <v>52</v>
      </c>
      <c r="F1108" s="150" t="s">
        <v>2578</v>
      </c>
      <c r="G1108" s="150" t="s">
        <v>7119</v>
      </c>
      <c r="H1108" s="635" t="s">
        <v>17484</v>
      </c>
      <c r="I1108" s="453" t="s">
        <v>2722</v>
      </c>
      <c r="J1108" s="454" t="s">
        <v>2735</v>
      </c>
      <c r="K1108" s="454" t="s">
        <v>7056</v>
      </c>
    </row>
    <row r="1109" spans="1:11">
      <c r="A1109" s="456" t="s">
        <v>16664</v>
      </c>
      <c r="B1109" s="521">
        <f t="shared" si="0"/>
        <v>122</v>
      </c>
      <c r="C1109" s="161">
        <v>0</v>
      </c>
      <c r="D1109" s="162">
        <v>0</v>
      </c>
      <c r="E1109" s="357">
        <v>61</v>
      </c>
      <c r="F1109" s="357" t="s">
        <v>2572</v>
      </c>
      <c r="G1109" s="150" t="s">
        <v>7119</v>
      </c>
      <c r="H1109" s="634" t="s">
        <v>4551</v>
      </c>
      <c r="I1109" s="453" t="s">
        <v>2723</v>
      </c>
      <c r="J1109" s="454" t="s">
        <v>2737</v>
      </c>
      <c r="K1109" s="454" t="s">
        <v>7056</v>
      </c>
    </row>
    <row r="1110" spans="1:11">
      <c r="A1110" s="160" t="s">
        <v>16308</v>
      </c>
      <c r="B1110" s="521">
        <f t="shared" si="0"/>
        <v>1200</v>
      </c>
      <c r="C1110" s="161">
        <v>0</v>
      </c>
      <c r="D1110" s="162">
        <v>0</v>
      </c>
      <c r="E1110" s="150">
        <v>60</v>
      </c>
      <c r="F1110" s="150" t="s">
        <v>8801</v>
      </c>
      <c r="G1110" s="150" t="s">
        <v>7119</v>
      </c>
      <c r="H1110" s="634" t="s">
        <v>4551</v>
      </c>
      <c r="I1110" s="453" t="s">
        <v>2723</v>
      </c>
      <c r="J1110" s="454" t="s">
        <v>2747</v>
      </c>
      <c r="K1110" s="454" t="s">
        <v>7056</v>
      </c>
    </row>
    <row r="1111" spans="1:11">
      <c r="A1111" s="456" t="s">
        <v>16575</v>
      </c>
      <c r="B1111" s="521">
        <f t="shared" si="0"/>
        <v>20</v>
      </c>
      <c r="C1111" s="161">
        <v>0</v>
      </c>
      <c r="D1111" s="162">
        <v>0</v>
      </c>
      <c r="E1111" s="357">
        <v>20</v>
      </c>
      <c r="F1111" s="357" t="s">
        <v>2574</v>
      </c>
      <c r="G1111" s="150" t="s">
        <v>7119</v>
      </c>
      <c r="H1111" s="634" t="s">
        <v>4551</v>
      </c>
      <c r="I1111" s="453" t="s">
        <v>2723</v>
      </c>
      <c r="J1111" s="454" t="s">
        <v>2737</v>
      </c>
      <c r="K1111" s="454" t="s">
        <v>7056</v>
      </c>
    </row>
    <row r="1112" spans="1:11">
      <c r="A1112" s="456" t="s">
        <v>12233</v>
      </c>
      <c r="B1112" s="521">
        <f t="shared" si="0"/>
        <v>35</v>
      </c>
      <c r="C1112" s="161">
        <v>0</v>
      </c>
      <c r="D1112" s="162">
        <v>0</v>
      </c>
      <c r="E1112" s="357">
        <v>35</v>
      </c>
      <c r="F1112" s="357" t="s">
        <v>2574</v>
      </c>
      <c r="G1112" s="150" t="s">
        <v>7119</v>
      </c>
      <c r="H1112" s="634" t="s">
        <v>4551</v>
      </c>
      <c r="I1112" s="453" t="s">
        <v>2723</v>
      </c>
      <c r="J1112" s="454" t="s">
        <v>3078</v>
      </c>
      <c r="K1112" s="454" t="s">
        <v>7056</v>
      </c>
    </row>
    <row r="1113" spans="1:11">
      <c r="A1113" s="150" t="s">
        <v>16328</v>
      </c>
      <c r="B1113" s="521">
        <f t="shared" si="0"/>
        <v>30</v>
      </c>
      <c r="C1113" s="161">
        <v>0</v>
      </c>
      <c r="D1113" s="162">
        <v>0</v>
      </c>
      <c r="E1113" s="150">
        <v>6</v>
      </c>
      <c r="F1113" s="150" t="s">
        <v>2607</v>
      </c>
      <c r="G1113" s="150" t="s">
        <v>7119</v>
      </c>
      <c r="H1113" s="636" t="s">
        <v>17484</v>
      </c>
      <c r="I1113" s="453" t="s">
        <v>4847</v>
      </c>
      <c r="J1113" s="454" t="s">
        <v>4847</v>
      </c>
      <c r="K1113" s="454" t="s">
        <v>7055</v>
      </c>
    </row>
    <row r="1114" spans="1:11">
      <c r="A1114" s="160" t="s">
        <v>7044</v>
      </c>
      <c r="B1114" s="521">
        <f t="shared" si="0"/>
        <v>1000</v>
      </c>
      <c r="C1114" s="161">
        <v>0</v>
      </c>
      <c r="D1114" s="162">
        <v>0</v>
      </c>
      <c r="E1114" s="150">
        <v>50</v>
      </c>
      <c r="F1114" s="150" t="s">
        <v>8801</v>
      </c>
      <c r="G1114" s="150" t="s">
        <v>7119</v>
      </c>
      <c r="H1114" s="636" t="s">
        <v>4396</v>
      </c>
      <c r="I1114" s="453" t="s">
        <v>2721</v>
      </c>
      <c r="J1114" s="454" t="s">
        <v>10843</v>
      </c>
      <c r="K1114" s="454" t="s">
        <v>7055</v>
      </c>
    </row>
    <row r="1115" spans="1:11">
      <c r="A1115" s="150" t="s">
        <v>7068</v>
      </c>
      <c r="B1115" s="521">
        <f t="shared" si="0"/>
        <v>98</v>
      </c>
      <c r="C1115" s="161">
        <v>0</v>
      </c>
      <c r="D1115" s="162">
        <v>0</v>
      </c>
      <c r="E1115" s="150">
        <v>49</v>
      </c>
      <c r="F1115" s="150" t="s">
        <v>2572</v>
      </c>
      <c r="G1115" s="150" t="s">
        <v>7119</v>
      </c>
      <c r="H1115" s="635" t="s">
        <v>17484</v>
      </c>
      <c r="I1115" s="453" t="s">
        <v>2722</v>
      </c>
      <c r="J1115" s="454" t="s">
        <v>2737</v>
      </c>
      <c r="K1115" s="454" t="s">
        <v>7056</v>
      </c>
    </row>
    <row r="1116" spans="1:11">
      <c r="A1116" s="150" t="s">
        <v>7216</v>
      </c>
      <c r="B1116" s="521">
        <f t="shared" si="0"/>
        <v>175</v>
      </c>
      <c r="C1116" s="161">
        <v>0</v>
      </c>
      <c r="D1116" s="162">
        <v>0</v>
      </c>
      <c r="E1116" s="163">
        <v>35</v>
      </c>
      <c r="F1116" s="150" t="s">
        <v>2607</v>
      </c>
      <c r="G1116" s="150" t="s">
        <v>7119</v>
      </c>
      <c r="H1116" s="635" t="s">
        <v>17484</v>
      </c>
      <c r="I1116" s="453" t="s">
        <v>7062</v>
      </c>
      <c r="J1116" s="454" t="s">
        <v>16312</v>
      </c>
      <c r="K1116" s="454" t="s">
        <v>7056</v>
      </c>
    </row>
    <row r="1117" spans="1:11">
      <c r="A1117" s="160" t="s">
        <v>15289</v>
      </c>
      <c r="B1117" s="521">
        <f t="shared" si="0"/>
        <v>120</v>
      </c>
      <c r="C1117" s="161">
        <v>0</v>
      </c>
      <c r="D1117" s="162">
        <v>0</v>
      </c>
      <c r="E1117" s="150">
        <v>40</v>
      </c>
      <c r="F1117" s="150" t="s">
        <v>2578</v>
      </c>
      <c r="G1117" s="150" t="s">
        <v>7119</v>
      </c>
      <c r="H1117" s="636" t="s">
        <v>15288</v>
      </c>
      <c r="I1117" s="453" t="s">
        <v>2727</v>
      </c>
      <c r="J1117" s="454" t="s">
        <v>2727</v>
      </c>
      <c r="K1117" s="454" t="s">
        <v>7055</v>
      </c>
    </row>
    <row r="1118" spans="1:11">
      <c r="A1118" s="481" t="s">
        <v>7116</v>
      </c>
      <c r="B1118" s="521">
        <f t="shared" si="0"/>
        <v>50</v>
      </c>
      <c r="C1118" s="738">
        <v>0</v>
      </c>
      <c r="D1118" s="739">
        <v>0</v>
      </c>
      <c r="E1118" s="481">
        <v>5</v>
      </c>
      <c r="F1118" s="481" t="s">
        <v>2608</v>
      </c>
      <c r="G1118" s="150" t="s">
        <v>7119</v>
      </c>
      <c r="H1118" s="635" t="s">
        <v>17484</v>
      </c>
      <c r="I1118" s="453" t="s">
        <v>4847</v>
      </c>
      <c r="J1118" s="454" t="s">
        <v>4847</v>
      </c>
      <c r="K1118" s="454" t="s">
        <v>7055</v>
      </c>
    </row>
    <row r="1119" spans="1:11">
      <c r="A1119" s="737" t="s">
        <v>9503</v>
      </c>
      <c r="B1119" s="521">
        <f t="shared" si="0"/>
        <v>170</v>
      </c>
      <c r="C1119" s="155">
        <v>0</v>
      </c>
      <c r="D1119" s="156">
        <v>0</v>
      </c>
      <c r="E1119" s="157">
        <v>34</v>
      </c>
      <c r="F1119" s="150" t="s">
        <v>2607</v>
      </c>
      <c r="G1119" s="150" t="s">
        <v>7119</v>
      </c>
      <c r="H1119" s="740" t="s">
        <v>9504</v>
      </c>
      <c r="I1119" s="453" t="s">
        <v>7062</v>
      </c>
      <c r="J1119" s="454" t="s">
        <v>17520</v>
      </c>
      <c r="K1119" s="454" t="s">
        <v>7056</v>
      </c>
    </row>
    <row r="1120" spans="1:11">
      <c r="A1120" s="761" t="s">
        <v>15164</v>
      </c>
      <c r="B1120" s="521">
        <f t="shared" si="0"/>
        <v>150</v>
      </c>
      <c r="C1120" s="435">
        <v>0</v>
      </c>
      <c r="D1120" s="436">
        <v>0</v>
      </c>
      <c r="E1120" s="437">
        <v>30</v>
      </c>
      <c r="F1120" s="357" t="s">
        <v>2607</v>
      </c>
      <c r="G1120" s="150" t="s">
        <v>7119</v>
      </c>
      <c r="H1120" s="636" t="s">
        <v>15274</v>
      </c>
      <c r="I1120" s="453" t="s">
        <v>2725</v>
      </c>
      <c r="J1120" s="454" t="s">
        <v>2725</v>
      </c>
      <c r="K1120" s="454" t="s">
        <v>7056</v>
      </c>
    </row>
    <row r="1121" spans="1:11">
      <c r="A1121" s="160" t="s">
        <v>16346</v>
      </c>
      <c r="B1121" s="521">
        <f t="shared" si="0"/>
        <v>102</v>
      </c>
      <c r="C1121" s="161">
        <v>0</v>
      </c>
      <c r="D1121" s="162">
        <v>0</v>
      </c>
      <c r="E1121" s="150">
        <v>51</v>
      </c>
      <c r="F1121" s="150" t="s">
        <v>2572</v>
      </c>
      <c r="G1121" s="150" t="s">
        <v>7119</v>
      </c>
      <c r="H1121" s="636" t="s">
        <v>7012</v>
      </c>
      <c r="I1121" s="453" t="s">
        <v>2731</v>
      </c>
      <c r="J1121" s="454" t="s">
        <v>16345</v>
      </c>
      <c r="K1121" s="454" t="s">
        <v>7056</v>
      </c>
    </row>
    <row r="1122" spans="1:11">
      <c r="A1122" s="160" t="s">
        <v>15293</v>
      </c>
      <c r="B1122" s="521">
        <f t="shared" si="0"/>
        <v>90</v>
      </c>
      <c r="C1122" s="161">
        <v>0</v>
      </c>
      <c r="D1122" s="162">
        <v>0</v>
      </c>
      <c r="E1122" s="150">
        <v>45</v>
      </c>
      <c r="F1122" s="150" t="s">
        <v>2572</v>
      </c>
      <c r="G1122" s="150" t="s">
        <v>7119</v>
      </c>
      <c r="H1122" s="636" t="s">
        <v>7007</v>
      </c>
      <c r="I1122" s="453" t="s">
        <v>2728</v>
      </c>
      <c r="J1122" s="454" t="s">
        <v>2728</v>
      </c>
      <c r="K1122" s="454" t="s">
        <v>7056</v>
      </c>
    </row>
    <row r="1123" spans="1:11">
      <c r="A1123" s="160" t="s">
        <v>9087</v>
      </c>
      <c r="B1123" s="521">
        <f t="shared" si="0"/>
        <v>18</v>
      </c>
      <c r="C1123" s="161">
        <v>0</v>
      </c>
      <c r="D1123" s="162">
        <v>0</v>
      </c>
      <c r="E1123" s="150">
        <v>9</v>
      </c>
      <c r="F1123" s="150" t="s">
        <v>2572</v>
      </c>
      <c r="G1123" s="150" t="s">
        <v>7119</v>
      </c>
      <c r="H1123" s="636" t="s">
        <v>9089</v>
      </c>
      <c r="I1123" s="453" t="s">
        <v>2728</v>
      </c>
      <c r="J1123" s="454" t="s">
        <v>2728</v>
      </c>
      <c r="K1123" s="454" t="s">
        <v>7056</v>
      </c>
    </row>
    <row r="1124" spans="1:11">
      <c r="A1124" s="160" t="s">
        <v>7022</v>
      </c>
      <c r="B1124" s="521">
        <f t="shared" si="0"/>
        <v>86</v>
      </c>
      <c r="C1124" s="161">
        <v>0</v>
      </c>
      <c r="D1124" s="162">
        <v>0</v>
      </c>
      <c r="E1124" s="150">
        <v>43</v>
      </c>
      <c r="F1124" s="150" t="s">
        <v>2572</v>
      </c>
      <c r="G1124" s="150" t="s">
        <v>7119</v>
      </c>
      <c r="H1124" s="636" t="s">
        <v>7023</v>
      </c>
      <c r="I1124" s="453" t="s">
        <v>2731</v>
      </c>
      <c r="J1124" s="454" t="s">
        <v>16310</v>
      </c>
      <c r="K1124" s="454" t="s">
        <v>7056</v>
      </c>
    </row>
    <row r="1125" spans="1:11">
      <c r="A1125" s="150" t="s">
        <v>9801</v>
      </c>
      <c r="B1125" s="521">
        <f t="shared" si="0"/>
        <v>45</v>
      </c>
      <c r="C1125" s="161">
        <v>0</v>
      </c>
      <c r="D1125" s="162">
        <v>0</v>
      </c>
      <c r="E1125" s="150">
        <v>15</v>
      </c>
      <c r="F1125" s="150" t="s">
        <v>2578</v>
      </c>
      <c r="G1125" s="150" t="s">
        <v>7119</v>
      </c>
      <c r="H1125" s="635" t="s">
        <v>17484</v>
      </c>
      <c r="I1125" s="453" t="s">
        <v>7109</v>
      </c>
      <c r="J1125" s="454" t="s">
        <v>2750</v>
      </c>
      <c r="K1125" s="454" t="s">
        <v>7056</v>
      </c>
    </row>
    <row r="1126" spans="1:11">
      <c r="A1126" s="150" t="s">
        <v>7110</v>
      </c>
      <c r="B1126" s="521">
        <f t="shared" si="0"/>
        <v>4</v>
      </c>
      <c r="C1126" s="161">
        <v>0</v>
      </c>
      <c r="D1126" s="162">
        <v>0</v>
      </c>
      <c r="E1126" s="150">
        <v>11</v>
      </c>
      <c r="F1126" s="150" t="s">
        <v>141</v>
      </c>
      <c r="G1126" s="150" t="s">
        <v>7119</v>
      </c>
      <c r="H1126" s="635" t="s">
        <v>17484</v>
      </c>
      <c r="I1126" s="453" t="s">
        <v>7109</v>
      </c>
      <c r="J1126" s="454" t="s">
        <v>2735</v>
      </c>
      <c r="K1126" s="454" t="s">
        <v>7056</v>
      </c>
    </row>
    <row r="1127" spans="1:11">
      <c r="A1127" s="150" t="s">
        <v>7113</v>
      </c>
      <c r="B1127" s="521">
        <f t="shared" si="0"/>
        <v>45</v>
      </c>
      <c r="C1127" s="161">
        <v>0</v>
      </c>
      <c r="D1127" s="162">
        <v>0</v>
      </c>
      <c r="E1127" s="150">
        <v>15</v>
      </c>
      <c r="F1127" s="150" t="s">
        <v>2578</v>
      </c>
      <c r="G1127" s="150" t="s">
        <v>7119</v>
      </c>
      <c r="H1127" s="635" t="s">
        <v>17484</v>
      </c>
      <c r="I1127" s="453" t="s">
        <v>7109</v>
      </c>
      <c r="J1127" s="454" t="s">
        <v>9064</v>
      </c>
      <c r="K1127" s="454" t="s">
        <v>7056</v>
      </c>
    </row>
    <row r="1128" spans="1:11">
      <c r="A1128" s="150" t="s">
        <v>7111</v>
      </c>
      <c r="B1128" s="521">
        <f t="shared" si="0"/>
        <v>18</v>
      </c>
      <c r="C1128" s="161">
        <v>0</v>
      </c>
      <c r="D1128" s="162">
        <v>0</v>
      </c>
      <c r="E1128" s="150">
        <v>6</v>
      </c>
      <c r="F1128" s="150" t="s">
        <v>2578</v>
      </c>
      <c r="G1128" s="150" t="s">
        <v>7119</v>
      </c>
      <c r="H1128" s="635" t="s">
        <v>17484</v>
      </c>
      <c r="I1128" s="453" t="s">
        <v>7109</v>
      </c>
      <c r="J1128" s="454" t="s">
        <v>2738</v>
      </c>
      <c r="K1128" s="454" t="s">
        <v>7056</v>
      </c>
    </row>
    <row r="1129" spans="1:11">
      <c r="A1129" s="150" t="s">
        <v>7115</v>
      </c>
      <c r="B1129" s="521">
        <f t="shared" si="0"/>
        <v>21</v>
      </c>
      <c r="C1129" s="161">
        <v>0</v>
      </c>
      <c r="D1129" s="162">
        <v>0</v>
      </c>
      <c r="E1129" s="150">
        <v>7</v>
      </c>
      <c r="F1129" s="150" t="s">
        <v>2578</v>
      </c>
      <c r="G1129" s="150" t="s">
        <v>7119</v>
      </c>
      <c r="H1129" s="635" t="s">
        <v>17484</v>
      </c>
      <c r="I1129" s="453" t="s">
        <v>7109</v>
      </c>
      <c r="J1129" s="454" t="s">
        <v>16340</v>
      </c>
      <c r="K1129" s="454" t="s">
        <v>7056</v>
      </c>
    </row>
    <row r="1130" spans="1:11">
      <c r="A1130" s="150" t="s">
        <v>7114</v>
      </c>
      <c r="B1130" s="521">
        <f t="shared" si="0"/>
        <v>10</v>
      </c>
      <c r="C1130" s="161">
        <v>0</v>
      </c>
      <c r="D1130" s="162">
        <v>0</v>
      </c>
      <c r="E1130" s="150">
        <v>10</v>
      </c>
      <c r="F1130" s="150" t="s">
        <v>2574</v>
      </c>
      <c r="G1130" s="150" t="s">
        <v>7119</v>
      </c>
      <c r="H1130" s="635" t="s">
        <v>17484</v>
      </c>
      <c r="I1130" s="453" t="s">
        <v>7109</v>
      </c>
      <c r="J1130" s="454" t="s">
        <v>2740</v>
      </c>
      <c r="K1130" s="454" t="s">
        <v>7056</v>
      </c>
    </row>
    <row r="1131" spans="1:11">
      <c r="A1131" s="357" t="s">
        <v>7112</v>
      </c>
      <c r="B1131" s="521">
        <f t="shared" si="0"/>
        <v>8</v>
      </c>
      <c r="C1131" s="161">
        <v>0</v>
      </c>
      <c r="D1131" s="162">
        <v>0</v>
      </c>
      <c r="E1131" s="357">
        <v>8</v>
      </c>
      <c r="F1131" s="357" t="s">
        <v>2574</v>
      </c>
      <c r="G1131" s="357" t="s">
        <v>7119</v>
      </c>
      <c r="H1131" s="635" t="s">
        <v>17484</v>
      </c>
      <c r="I1131" s="453" t="s">
        <v>7109</v>
      </c>
      <c r="J1131" s="454" t="s">
        <v>3078</v>
      </c>
      <c r="K1131" s="454" t="s">
        <v>7056</v>
      </c>
    </row>
    <row r="1132" spans="1:11">
      <c r="A1132" s="160" t="s">
        <v>7214</v>
      </c>
      <c r="B1132" s="521">
        <f t="shared" si="0"/>
        <v>12</v>
      </c>
      <c r="C1132" s="161">
        <v>0</v>
      </c>
      <c r="D1132" s="162">
        <v>0</v>
      </c>
      <c r="E1132" s="150">
        <v>12</v>
      </c>
      <c r="F1132" s="150" t="s">
        <v>2574</v>
      </c>
      <c r="G1132" s="150" t="s">
        <v>7119</v>
      </c>
      <c r="H1132" s="636" t="s">
        <v>7215</v>
      </c>
      <c r="I1132" s="453" t="s">
        <v>7054</v>
      </c>
      <c r="J1132" s="454" t="s">
        <v>7054</v>
      </c>
      <c r="K1132" s="454" t="s">
        <v>7056</v>
      </c>
    </row>
    <row r="1133" spans="1:11">
      <c r="A1133" s="160" t="s">
        <v>12313</v>
      </c>
      <c r="B1133" s="521">
        <f t="shared" si="0"/>
        <v>27</v>
      </c>
      <c r="C1133" s="161">
        <v>0</v>
      </c>
      <c r="D1133" s="162">
        <v>0</v>
      </c>
      <c r="E1133" s="150">
        <v>9</v>
      </c>
      <c r="F1133" s="150" t="s">
        <v>2578</v>
      </c>
      <c r="G1133" s="150" t="s">
        <v>7119</v>
      </c>
      <c r="H1133" s="639" t="s">
        <v>4551</v>
      </c>
      <c r="I1133" s="453" t="s">
        <v>7054</v>
      </c>
      <c r="J1133" s="454" t="s">
        <v>7054</v>
      </c>
      <c r="K1133" s="454" t="s">
        <v>7056</v>
      </c>
    </row>
    <row r="1134" spans="1:11">
      <c r="A1134" s="160" t="s">
        <v>16611</v>
      </c>
      <c r="B1134" s="521">
        <f t="shared" si="0"/>
        <v>350</v>
      </c>
      <c r="C1134" s="161">
        <v>0</v>
      </c>
      <c r="D1134" s="162">
        <v>0</v>
      </c>
      <c r="E1134" s="163">
        <v>35</v>
      </c>
      <c r="F1134" s="150" t="s">
        <v>2608</v>
      </c>
      <c r="G1134" s="150" t="s">
        <v>7119</v>
      </c>
      <c r="H1134" s="634" t="s">
        <v>4551</v>
      </c>
      <c r="I1134" s="453" t="s">
        <v>2723</v>
      </c>
      <c r="J1134" s="454" t="s">
        <v>17520</v>
      </c>
      <c r="K1134" s="454" t="s">
        <v>7055</v>
      </c>
    </row>
    <row r="1135" spans="1:11">
      <c r="A1135" s="150" t="s">
        <v>7206</v>
      </c>
      <c r="B1135" s="521">
        <f t="shared" si="0"/>
        <v>144</v>
      </c>
      <c r="C1135" s="161">
        <v>0</v>
      </c>
      <c r="D1135" s="162">
        <v>0</v>
      </c>
      <c r="E1135" s="150">
        <v>48</v>
      </c>
      <c r="F1135" s="150" t="s">
        <v>2578</v>
      </c>
      <c r="G1135" s="150" t="s">
        <v>7119</v>
      </c>
      <c r="H1135" s="635" t="s">
        <v>17484</v>
      </c>
      <c r="I1135" s="453" t="s">
        <v>2722</v>
      </c>
      <c r="J1135" s="454" t="s">
        <v>3078</v>
      </c>
      <c r="K1135" s="454" t="s">
        <v>7056</v>
      </c>
    </row>
    <row r="1136" spans="1:11">
      <c r="A1136" s="357" t="s">
        <v>7069</v>
      </c>
      <c r="B1136" s="521">
        <f t="shared" si="0"/>
        <v>135</v>
      </c>
      <c r="C1136" s="522">
        <v>0</v>
      </c>
      <c r="D1136" s="523">
        <v>0</v>
      </c>
      <c r="E1136" s="357">
        <v>45</v>
      </c>
      <c r="F1136" s="357" t="s">
        <v>2578</v>
      </c>
      <c r="G1136" s="150" t="s">
        <v>7119</v>
      </c>
      <c r="H1136" s="635" t="s">
        <v>17484</v>
      </c>
      <c r="I1136" s="453" t="s">
        <v>2722</v>
      </c>
      <c r="J1136" s="454" t="s">
        <v>2738</v>
      </c>
      <c r="K1136" s="454" t="s">
        <v>7056</v>
      </c>
    </row>
    <row r="1137" spans="1:11">
      <c r="A1137" s="160" t="s">
        <v>9766</v>
      </c>
      <c r="B1137" s="521">
        <f t="shared" si="0"/>
        <v>10</v>
      </c>
      <c r="C1137" s="161">
        <v>0</v>
      </c>
      <c r="D1137" s="162">
        <v>0</v>
      </c>
      <c r="E1137" s="150">
        <v>10</v>
      </c>
      <c r="F1137" s="150" t="s">
        <v>2574</v>
      </c>
      <c r="G1137" s="150" t="s">
        <v>7119</v>
      </c>
      <c r="H1137" s="636" t="s">
        <v>15267</v>
      </c>
      <c r="I1137" s="453" t="s">
        <v>11156</v>
      </c>
      <c r="J1137" s="454" t="s">
        <v>11156</v>
      </c>
      <c r="K1137" s="454" t="s">
        <v>7056</v>
      </c>
    </row>
    <row r="1138" spans="1:11">
      <c r="A1138" s="357" t="s">
        <v>17521</v>
      </c>
      <c r="B1138" s="521">
        <f t="shared" si="0"/>
        <v>10</v>
      </c>
      <c r="C1138" s="161">
        <v>0</v>
      </c>
      <c r="D1138" s="162">
        <v>0</v>
      </c>
      <c r="E1138" s="357">
        <v>5</v>
      </c>
      <c r="F1138" s="357" t="s">
        <v>2572</v>
      </c>
      <c r="G1138" s="150" t="s">
        <v>7119</v>
      </c>
      <c r="H1138" s="635" t="s">
        <v>17484</v>
      </c>
      <c r="I1138" s="453" t="s">
        <v>7062</v>
      </c>
      <c r="J1138" s="454" t="s">
        <v>17522</v>
      </c>
      <c r="K1138" s="454" t="s">
        <v>7056</v>
      </c>
    </row>
    <row r="1139" spans="1:11">
      <c r="A1139" s="456" t="s">
        <v>16624</v>
      </c>
      <c r="B1139" s="521">
        <f t="shared" ref="B1139" si="1">ROUNDUP((IF(F1139="U",E1139*50,IF(F1139="ER",E1139*20,IF(F1139="TR",E1139*10,IF(F1139="R",E1139*5,IF(F1139="I",E1139*3,IF(F1139="AC",E1139*2,IF(F1139="C",E1139*1,IF(F1139="B",E1139/3,IF(F1139="TC",E1139/2)))))))))),0)</f>
        <v>3450</v>
      </c>
      <c r="C1139" s="161">
        <v>0</v>
      </c>
      <c r="D1139" s="162">
        <v>0</v>
      </c>
      <c r="E1139" s="357">
        <v>69</v>
      </c>
      <c r="F1139" s="357" t="s">
        <v>9065</v>
      </c>
      <c r="G1139" s="150" t="s">
        <v>7119</v>
      </c>
      <c r="H1139" s="634" t="s">
        <v>4551</v>
      </c>
      <c r="I1139" s="453" t="s">
        <v>2726</v>
      </c>
      <c r="J1139" s="454" t="s">
        <v>2726</v>
      </c>
      <c r="K1139" s="454" t="s">
        <v>7055</v>
      </c>
    </row>
    <row r="1140" spans="1:11">
      <c r="A1140" s="456" t="s">
        <v>15294</v>
      </c>
      <c r="B1140" s="521">
        <f t="shared" si="0"/>
        <v>400</v>
      </c>
      <c r="C1140" s="161">
        <v>0</v>
      </c>
      <c r="D1140" s="162">
        <v>0</v>
      </c>
      <c r="E1140" s="357">
        <v>20</v>
      </c>
      <c r="F1140" s="357" t="s">
        <v>8801</v>
      </c>
      <c r="G1140" s="150" t="s">
        <v>7119</v>
      </c>
      <c r="H1140" s="635" t="s">
        <v>15295</v>
      </c>
      <c r="I1140" s="453" t="s">
        <v>2727</v>
      </c>
      <c r="J1140" s="454" t="s">
        <v>2727</v>
      </c>
      <c r="K1140" s="454" t="s">
        <v>7055</v>
      </c>
    </row>
    <row r="1141" spans="1:11">
      <c r="A1141" s="160" t="s">
        <v>11155</v>
      </c>
      <c r="B1141" s="521">
        <f t="shared" si="0"/>
        <v>110</v>
      </c>
      <c r="C1141" s="161">
        <v>0</v>
      </c>
      <c r="D1141" s="162">
        <v>0</v>
      </c>
      <c r="E1141" s="150">
        <v>22</v>
      </c>
      <c r="F1141" s="150" t="s">
        <v>2607</v>
      </c>
      <c r="G1141" s="150" t="s">
        <v>7119</v>
      </c>
      <c r="H1141" s="740" t="s">
        <v>4551</v>
      </c>
      <c r="I1141" s="453" t="s">
        <v>11156</v>
      </c>
      <c r="J1141" s="454" t="s">
        <v>11156</v>
      </c>
      <c r="K1141" s="454" t="s">
        <v>7056</v>
      </c>
    </row>
    <row r="1142" spans="1:11">
      <c r="A1142" s="456" t="s">
        <v>17523</v>
      </c>
      <c r="B1142" s="521">
        <f t="shared" si="0"/>
        <v>4</v>
      </c>
      <c r="C1142" s="161">
        <v>0</v>
      </c>
      <c r="D1142" s="162">
        <v>0</v>
      </c>
      <c r="E1142" s="357">
        <v>10</v>
      </c>
      <c r="F1142" s="357" t="s">
        <v>141</v>
      </c>
      <c r="G1142" s="150" t="s">
        <v>7119</v>
      </c>
      <c r="H1142" s="635" t="s">
        <v>16579</v>
      </c>
      <c r="I1142" s="453" t="s">
        <v>2731</v>
      </c>
      <c r="J1142" s="454" t="s">
        <v>16310</v>
      </c>
      <c r="K1142" s="454" t="s">
        <v>7056</v>
      </c>
    </row>
    <row r="1143" spans="1:11">
      <c r="A1143" s="150" t="s">
        <v>7064</v>
      </c>
      <c r="B1143" s="521">
        <f t="shared" si="0"/>
        <v>75</v>
      </c>
      <c r="C1143" s="161">
        <v>0</v>
      </c>
      <c r="D1143" s="162">
        <v>0</v>
      </c>
      <c r="E1143" s="150">
        <v>15</v>
      </c>
      <c r="F1143" s="150" t="s">
        <v>2607</v>
      </c>
      <c r="G1143" s="150" t="s">
        <v>7119</v>
      </c>
      <c r="H1143" s="635" t="s">
        <v>17484</v>
      </c>
      <c r="I1143" s="453" t="s">
        <v>16271</v>
      </c>
      <c r="J1143" s="454" t="s">
        <v>16271</v>
      </c>
      <c r="K1143" s="454" t="s">
        <v>7055</v>
      </c>
    </row>
    <row r="1144" spans="1:11">
      <c r="A1144" s="160" t="s">
        <v>17524</v>
      </c>
      <c r="B1144" s="521">
        <f t="shared" si="0"/>
        <v>114</v>
      </c>
      <c r="C1144" s="161">
        <v>0</v>
      </c>
      <c r="D1144" s="162">
        <v>0</v>
      </c>
      <c r="E1144" s="150">
        <v>38</v>
      </c>
      <c r="F1144" s="150" t="s">
        <v>2578</v>
      </c>
      <c r="G1144" s="150" t="s">
        <v>7119</v>
      </c>
      <c r="H1144" s="636" t="s">
        <v>7011</v>
      </c>
      <c r="I1144" s="453" t="s">
        <v>2731</v>
      </c>
      <c r="K1144" s="454" t="s">
        <v>7056</v>
      </c>
    </row>
    <row r="1145" spans="1:11">
      <c r="A1145" s="357" t="s">
        <v>7070</v>
      </c>
      <c r="B1145" s="521">
        <f t="shared" si="0"/>
        <v>72</v>
      </c>
      <c r="C1145" s="161">
        <v>0</v>
      </c>
      <c r="D1145" s="162">
        <v>0</v>
      </c>
      <c r="E1145" s="357">
        <v>36</v>
      </c>
      <c r="F1145" s="357" t="s">
        <v>2572</v>
      </c>
      <c r="G1145" s="150" t="s">
        <v>7119</v>
      </c>
      <c r="H1145" s="635" t="s">
        <v>17484</v>
      </c>
      <c r="I1145" s="453" t="s">
        <v>7062</v>
      </c>
      <c r="J1145" s="454" t="s">
        <v>16321</v>
      </c>
      <c r="K1145" s="454" t="s">
        <v>7056</v>
      </c>
    </row>
    <row r="1146" spans="1:11">
      <c r="A1146" s="456" t="s">
        <v>16334</v>
      </c>
      <c r="B1146" s="521">
        <f t="shared" si="0"/>
        <v>250</v>
      </c>
      <c r="C1146" s="161">
        <v>0</v>
      </c>
      <c r="D1146" s="162">
        <v>0</v>
      </c>
      <c r="E1146" s="150">
        <v>50</v>
      </c>
      <c r="F1146" s="357" t="s">
        <v>2607</v>
      </c>
      <c r="G1146" s="150" t="s">
        <v>7119</v>
      </c>
      <c r="H1146" s="740" t="s">
        <v>4551</v>
      </c>
      <c r="I1146" s="453" t="s">
        <v>2721</v>
      </c>
      <c r="J1146" s="454" t="s">
        <v>10843</v>
      </c>
      <c r="K1146" s="454" t="s">
        <v>7055</v>
      </c>
    </row>
    <row r="1147" spans="1:11">
      <c r="A1147" s="150" t="s">
        <v>9206</v>
      </c>
      <c r="B1147" s="521">
        <f t="shared" si="0"/>
        <v>250</v>
      </c>
      <c r="C1147" s="161">
        <v>0</v>
      </c>
      <c r="D1147" s="162">
        <v>0</v>
      </c>
      <c r="E1147" s="163">
        <v>50</v>
      </c>
      <c r="F1147" s="357" t="s">
        <v>2607</v>
      </c>
      <c r="G1147" s="150" t="s">
        <v>7119</v>
      </c>
      <c r="H1147" s="635" t="s">
        <v>16379</v>
      </c>
      <c r="I1147" s="453" t="s">
        <v>2726</v>
      </c>
      <c r="J1147" s="454" t="s">
        <v>2726</v>
      </c>
      <c r="K1147" s="454" t="s">
        <v>7056</v>
      </c>
    </row>
    <row r="1148" spans="1:11">
      <c r="A1148" s="150" t="s">
        <v>9207</v>
      </c>
      <c r="B1148" s="521">
        <f t="shared" si="0"/>
        <v>250</v>
      </c>
      <c r="C1148" s="161">
        <v>0</v>
      </c>
      <c r="D1148" s="162">
        <v>0</v>
      </c>
      <c r="E1148" s="163">
        <v>50</v>
      </c>
      <c r="F1148" s="357" t="s">
        <v>2607</v>
      </c>
      <c r="G1148" s="150" t="s">
        <v>7119</v>
      </c>
      <c r="H1148" s="635" t="s">
        <v>16379</v>
      </c>
      <c r="I1148" s="453" t="s">
        <v>2726</v>
      </c>
      <c r="J1148" s="454" t="s">
        <v>2726</v>
      </c>
      <c r="K1148" s="454" t="s">
        <v>7056</v>
      </c>
    </row>
    <row r="1149" spans="1:11">
      <c r="A1149" s="150" t="s">
        <v>9204</v>
      </c>
      <c r="B1149" s="521">
        <f t="shared" si="0"/>
        <v>250</v>
      </c>
      <c r="C1149" s="161">
        <v>0</v>
      </c>
      <c r="D1149" s="162">
        <v>0</v>
      </c>
      <c r="E1149" s="163">
        <v>50</v>
      </c>
      <c r="F1149" s="357" t="s">
        <v>2607</v>
      </c>
      <c r="G1149" s="150" t="s">
        <v>7119</v>
      </c>
      <c r="H1149" s="635" t="s">
        <v>16379</v>
      </c>
      <c r="I1149" s="453" t="s">
        <v>2726</v>
      </c>
      <c r="J1149" s="454" t="s">
        <v>2726</v>
      </c>
      <c r="K1149" s="454" t="s">
        <v>7056</v>
      </c>
    </row>
    <row r="1150" spans="1:11">
      <c r="A1150" s="150" t="s">
        <v>9209</v>
      </c>
      <c r="B1150" s="521">
        <f t="shared" si="0"/>
        <v>250</v>
      </c>
      <c r="C1150" s="161">
        <v>0</v>
      </c>
      <c r="D1150" s="162">
        <v>0</v>
      </c>
      <c r="E1150" s="163">
        <v>50</v>
      </c>
      <c r="F1150" s="357" t="s">
        <v>2607</v>
      </c>
      <c r="G1150" s="150" t="s">
        <v>7119</v>
      </c>
      <c r="H1150" s="635" t="s">
        <v>16379</v>
      </c>
      <c r="I1150" s="453" t="s">
        <v>2726</v>
      </c>
      <c r="J1150" s="454" t="s">
        <v>2726</v>
      </c>
      <c r="K1150" s="454" t="s">
        <v>7056</v>
      </c>
    </row>
    <row r="1151" spans="1:11">
      <c r="A1151" s="150" t="s">
        <v>9212</v>
      </c>
      <c r="B1151" s="521">
        <f t="shared" si="0"/>
        <v>250</v>
      </c>
      <c r="C1151" s="161">
        <v>0</v>
      </c>
      <c r="D1151" s="162">
        <v>0</v>
      </c>
      <c r="E1151" s="163">
        <v>50</v>
      </c>
      <c r="F1151" s="357" t="s">
        <v>2607</v>
      </c>
      <c r="G1151" s="150" t="s">
        <v>7119</v>
      </c>
      <c r="H1151" s="635" t="s">
        <v>16379</v>
      </c>
      <c r="I1151" s="453" t="s">
        <v>2726</v>
      </c>
      <c r="J1151" s="454" t="s">
        <v>2726</v>
      </c>
      <c r="K1151" s="454" t="s">
        <v>7056</v>
      </c>
    </row>
    <row r="1152" spans="1:11">
      <c r="A1152" s="150" t="s">
        <v>9214</v>
      </c>
      <c r="B1152" s="521">
        <f t="shared" si="0"/>
        <v>250</v>
      </c>
      <c r="C1152" s="161">
        <v>0</v>
      </c>
      <c r="D1152" s="162">
        <v>0</v>
      </c>
      <c r="E1152" s="163">
        <v>50</v>
      </c>
      <c r="F1152" s="357" t="s">
        <v>2607</v>
      </c>
      <c r="G1152" s="150" t="s">
        <v>7119</v>
      </c>
      <c r="H1152" s="635" t="s">
        <v>16379</v>
      </c>
      <c r="I1152" s="453" t="s">
        <v>2726</v>
      </c>
      <c r="J1152" s="454" t="s">
        <v>2726</v>
      </c>
      <c r="K1152" s="454" t="s">
        <v>7056</v>
      </c>
    </row>
    <row r="1153" spans="1:11">
      <c r="A1153" s="150" t="s">
        <v>9216</v>
      </c>
      <c r="B1153" s="521">
        <f t="shared" ref="B1153:B1218" si="2">ROUNDUP((IF(F1153="U",E1153*50,IF(F1153="ER",E1153*20,IF(F1153="TR",E1153*10,IF(F1153="R",E1153*5,IF(F1153="I",E1153*3,IF(F1153="AC",E1153*2,IF(F1153="C",E1153*1,IF(F1153="B",E1153/3,IF(F1153="TC",E1153/2)))))))))),0)</f>
        <v>250</v>
      </c>
      <c r="C1153" s="161">
        <v>0</v>
      </c>
      <c r="D1153" s="162">
        <v>0</v>
      </c>
      <c r="E1153" s="163">
        <v>50</v>
      </c>
      <c r="F1153" s="357" t="s">
        <v>2607</v>
      </c>
      <c r="G1153" s="150" t="s">
        <v>7119</v>
      </c>
      <c r="H1153" s="635" t="s">
        <v>16379</v>
      </c>
      <c r="I1153" s="453" t="s">
        <v>2726</v>
      </c>
      <c r="J1153" s="454" t="s">
        <v>2726</v>
      </c>
      <c r="K1153" s="454" t="s">
        <v>7056</v>
      </c>
    </row>
    <row r="1154" spans="1:11">
      <c r="A1154" s="150" t="s">
        <v>9218</v>
      </c>
      <c r="B1154" s="521">
        <f t="shared" si="2"/>
        <v>250</v>
      </c>
      <c r="C1154" s="161">
        <v>0</v>
      </c>
      <c r="D1154" s="162">
        <v>0</v>
      </c>
      <c r="E1154" s="163">
        <v>50</v>
      </c>
      <c r="F1154" s="357" t="s">
        <v>2607</v>
      </c>
      <c r="G1154" s="150" t="s">
        <v>7119</v>
      </c>
      <c r="H1154" s="635" t="s">
        <v>16379</v>
      </c>
      <c r="I1154" s="453" t="s">
        <v>2726</v>
      </c>
      <c r="J1154" s="454" t="s">
        <v>2726</v>
      </c>
      <c r="K1154" s="454" t="s">
        <v>7056</v>
      </c>
    </row>
    <row r="1155" spans="1:11">
      <c r="A1155" s="160" t="s">
        <v>10098</v>
      </c>
      <c r="B1155" s="521">
        <f t="shared" si="2"/>
        <v>250</v>
      </c>
      <c r="C1155" s="161">
        <v>0</v>
      </c>
      <c r="D1155" s="162">
        <v>0</v>
      </c>
      <c r="E1155" s="163">
        <v>50</v>
      </c>
      <c r="F1155" s="357" t="s">
        <v>2607</v>
      </c>
      <c r="G1155" s="150" t="s">
        <v>7119</v>
      </c>
      <c r="H1155" s="635" t="s">
        <v>16379</v>
      </c>
      <c r="I1155" s="453" t="s">
        <v>2726</v>
      </c>
      <c r="J1155" s="454" t="s">
        <v>2726</v>
      </c>
      <c r="K1155" s="454" t="s">
        <v>7056</v>
      </c>
    </row>
    <row r="1156" spans="1:11">
      <c r="A1156" s="456" t="s">
        <v>16475</v>
      </c>
      <c r="B1156" s="521">
        <f t="shared" si="2"/>
        <v>500</v>
      </c>
      <c r="C1156" s="161">
        <v>0</v>
      </c>
      <c r="D1156" s="162">
        <v>0</v>
      </c>
      <c r="E1156" s="163">
        <v>50</v>
      </c>
      <c r="F1156" s="357" t="s">
        <v>2608</v>
      </c>
      <c r="G1156" s="150" t="s">
        <v>7119</v>
      </c>
      <c r="H1156" s="634" t="s">
        <v>4551</v>
      </c>
      <c r="I1156" s="453" t="s">
        <v>2731</v>
      </c>
      <c r="J1156" s="454" t="s">
        <v>9064</v>
      </c>
      <c r="K1156" s="454" t="s">
        <v>7056</v>
      </c>
    </row>
    <row r="1157" spans="1:11">
      <c r="A1157" s="357" t="s">
        <v>7043</v>
      </c>
      <c r="B1157" s="521">
        <f t="shared" si="2"/>
        <v>500</v>
      </c>
      <c r="C1157" s="522">
        <v>0</v>
      </c>
      <c r="D1157" s="523">
        <v>0</v>
      </c>
      <c r="E1157" s="461">
        <v>50</v>
      </c>
      <c r="F1157" s="357" t="s">
        <v>2608</v>
      </c>
      <c r="G1157" s="150" t="s">
        <v>7119</v>
      </c>
      <c r="H1157" s="635" t="s">
        <v>16379</v>
      </c>
      <c r="I1157" s="453" t="s">
        <v>2726</v>
      </c>
      <c r="J1157" s="454" t="s">
        <v>2726</v>
      </c>
      <c r="K1157" s="454" t="s">
        <v>7056</v>
      </c>
    </row>
    <row r="1158" spans="1:11">
      <c r="A1158" s="456" t="s">
        <v>16622</v>
      </c>
      <c r="B1158" s="521">
        <f t="shared" si="2"/>
        <v>1000</v>
      </c>
      <c r="C1158" s="522">
        <v>0</v>
      </c>
      <c r="D1158" s="523">
        <v>0</v>
      </c>
      <c r="E1158" s="461">
        <v>50</v>
      </c>
      <c r="F1158" s="357" t="s">
        <v>8801</v>
      </c>
      <c r="G1158" s="150" t="s">
        <v>7119</v>
      </c>
      <c r="H1158" s="634" t="s">
        <v>4551</v>
      </c>
      <c r="I1158" s="453" t="s">
        <v>2721</v>
      </c>
      <c r="J1158" s="454" t="s">
        <v>10843</v>
      </c>
      <c r="K1158" s="454" t="s">
        <v>7055</v>
      </c>
    </row>
    <row r="1159" spans="1:11">
      <c r="A1159" s="357" t="s">
        <v>17525</v>
      </c>
      <c r="B1159" s="521">
        <f t="shared" si="2"/>
        <v>250</v>
      </c>
      <c r="C1159" s="522">
        <v>0</v>
      </c>
      <c r="D1159" s="523">
        <v>0</v>
      </c>
      <c r="E1159" s="461">
        <v>50</v>
      </c>
      <c r="F1159" s="357" t="s">
        <v>2607</v>
      </c>
      <c r="G1159" s="150" t="s">
        <v>7119</v>
      </c>
      <c r="H1159" s="635" t="s">
        <v>16379</v>
      </c>
      <c r="I1159" s="453" t="s">
        <v>2726</v>
      </c>
      <c r="J1159" s="454" t="s">
        <v>2726</v>
      </c>
      <c r="K1159" s="454" t="s">
        <v>7056</v>
      </c>
    </row>
    <row r="1160" spans="1:11">
      <c r="A1160" s="150" t="s">
        <v>17526</v>
      </c>
      <c r="B1160" s="521">
        <f t="shared" si="2"/>
        <v>250</v>
      </c>
      <c r="C1160" s="161">
        <v>0</v>
      </c>
      <c r="D1160" s="162">
        <v>0</v>
      </c>
      <c r="E1160" s="163">
        <v>50</v>
      </c>
      <c r="F1160" s="357" t="s">
        <v>2607</v>
      </c>
      <c r="G1160" s="150" t="s">
        <v>7119</v>
      </c>
      <c r="H1160" s="635" t="s">
        <v>16379</v>
      </c>
      <c r="I1160" s="453" t="s">
        <v>2726</v>
      </c>
      <c r="J1160" s="454" t="s">
        <v>2726</v>
      </c>
      <c r="K1160" s="454" t="s">
        <v>7056</v>
      </c>
    </row>
    <row r="1161" spans="1:11">
      <c r="A1161" s="150" t="s">
        <v>17527</v>
      </c>
      <c r="B1161" s="521">
        <f t="shared" si="2"/>
        <v>250</v>
      </c>
      <c r="C1161" s="161">
        <v>0</v>
      </c>
      <c r="D1161" s="162">
        <v>0</v>
      </c>
      <c r="E1161" s="163">
        <v>50</v>
      </c>
      <c r="F1161" s="357" t="s">
        <v>2607</v>
      </c>
      <c r="G1161" s="150" t="s">
        <v>7119</v>
      </c>
      <c r="H1161" s="635" t="s">
        <v>16379</v>
      </c>
      <c r="I1161" s="453" t="s">
        <v>2726</v>
      </c>
      <c r="J1161" s="454" t="s">
        <v>2726</v>
      </c>
      <c r="K1161" s="454" t="s">
        <v>7056</v>
      </c>
    </row>
    <row r="1162" spans="1:11">
      <c r="A1162" s="150" t="s">
        <v>17528</v>
      </c>
      <c r="B1162" s="521">
        <f t="shared" si="2"/>
        <v>250</v>
      </c>
      <c r="C1162" s="161">
        <v>0</v>
      </c>
      <c r="D1162" s="162">
        <v>0</v>
      </c>
      <c r="E1162" s="163">
        <v>50</v>
      </c>
      <c r="F1162" s="357" t="s">
        <v>2607</v>
      </c>
      <c r="G1162" s="150" t="s">
        <v>7119</v>
      </c>
      <c r="H1162" s="635" t="s">
        <v>16379</v>
      </c>
      <c r="I1162" s="453" t="s">
        <v>2726</v>
      </c>
      <c r="J1162" s="454" t="s">
        <v>2726</v>
      </c>
      <c r="K1162" s="454" t="s">
        <v>7056</v>
      </c>
    </row>
    <row r="1163" spans="1:11">
      <c r="A1163" s="150" t="s">
        <v>17529</v>
      </c>
      <c r="B1163" s="521">
        <f t="shared" si="2"/>
        <v>250</v>
      </c>
      <c r="C1163" s="161">
        <v>0</v>
      </c>
      <c r="D1163" s="162">
        <v>0</v>
      </c>
      <c r="E1163" s="163">
        <v>50</v>
      </c>
      <c r="F1163" s="357" t="s">
        <v>2607</v>
      </c>
      <c r="G1163" s="150" t="s">
        <v>7119</v>
      </c>
      <c r="H1163" s="635" t="s">
        <v>16379</v>
      </c>
      <c r="I1163" s="453" t="s">
        <v>2726</v>
      </c>
      <c r="J1163" s="454" t="s">
        <v>2726</v>
      </c>
      <c r="K1163" s="454" t="s">
        <v>7056</v>
      </c>
    </row>
    <row r="1164" spans="1:11">
      <c r="A1164" s="150" t="s">
        <v>17530</v>
      </c>
      <c r="B1164" s="521">
        <f t="shared" si="2"/>
        <v>250</v>
      </c>
      <c r="C1164" s="161">
        <v>0</v>
      </c>
      <c r="D1164" s="162">
        <v>0</v>
      </c>
      <c r="E1164" s="163">
        <v>50</v>
      </c>
      <c r="F1164" s="357" t="s">
        <v>2607</v>
      </c>
      <c r="G1164" s="150" t="s">
        <v>7119</v>
      </c>
      <c r="H1164" s="635" t="s">
        <v>16379</v>
      </c>
      <c r="I1164" s="453" t="s">
        <v>2726</v>
      </c>
      <c r="J1164" s="454" t="s">
        <v>2726</v>
      </c>
      <c r="K1164" s="454" t="s">
        <v>7056</v>
      </c>
    </row>
    <row r="1165" spans="1:11">
      <c r="A1165" s="150" t="s">
        <v>17531</v>
      </c>
      <c r="B1165" s="521">
        <f t="shared" si="2"/>
        <v>250</v>
      </c>
      <c r="C1165" s="161">
        <v>0</v>
      </c>
      <c r="D1165" s="162">
        <v>0</v>
      </c>
      <c r="E1165" s="163">
        <v>50</v>
      </c>
      <c r="F1165" s="357" t="s">
        <v>2607</v>
      </c>
      <c r="G1165" s="150" t="s">
        <v>7119</v>
      </c>
      <c r="H1165" s="635" t="s">
        <v>16379</v>
      </c>
      <c r="I1165" s="453" t="s">
        <v>2726</v>
      </c>
      <c r="J1165" s="454" t="s">
        <v>2726</v>
      </c>
      <c r="K1165" s="454" t="s">
        <v>7056</v>
      </c>
    </row>
    <row r="1166" spans="1:11">
      <c r="A1166" s="150" t="s">
        <v>9205</v>
      </c>
      <c r="B1166" s="521">
        <f t="shared" si="2"/>
        <v>250</v>
      </c>
      <c r="C1166" s="161">
        <v>0</v>
      </c>
      <c r="D1166" s="162">
        <v>0</v>
      </c>
      <c r="E1166" s="163">
        <v>50</v>
      </c>
      <c r="F1166" s="357" t="s">
        <v>2607</v>
      </c>
      <c r="G1166" s="150" t="s">
        <v>7119</v>
      </c>
      <c r="H1166" s="635" t="s">
        <v>16379</v>
      </c>
      <c r="I1166" s="453" t="s">
        <v>2726</v>
      </c>
      <c r="J1166" s="454" t="s">
        <v>2726</v>
      </c>
      <c r="K1166" s="454" t="s">
        <v>7056</v>
      </c>
    </row>
    <row r="1167" spans="1:11">
      <c r="A1167" s="150" t="s">
        <v>9205</v>
      </c>
      <c r="B1167" s="521">
        <f t="shared" si="2"/>
        <v>250</v>
      </c>
      <c r="C1167" s="161">
        <v>0</v>
      </c>
      <c r="D1167" s="162">
        <v>0</v>
      </c>
      <c r="E1167" s="163">
        <v>50</v>
      </c>
      <c r="F1167" s="357" t="s">
        <v>2607</v>
      </c>
      <c r="G1167" s="150" t="s">
        <v>7119</v>
      </c>
      <c r="H1167" s="635" t="s">
        <v>16379</v>
      </c>
      <c r="I1167" s="453" t="s">
        <v>2726</v>
      </c>
      <c r="J1167" s="454" t="s">
        <v>2726</v>
      </c>
      <c r="K1167" s="454" t="s">
        <v>7056</v>
      </c>
    </row>
    <row r="1168" spans="1:11">
      <c r="A1168" s="150" t="s">
        <v>9208</v>
      </c>
      <c r="B1168" s="521">
        <f t="shared" si="2"/>
        <v>250</v>
      </c>
      <c r="C1168" s="161">
        <v>0</v>
      </c>
      <c r="D1168" s="162">
        <v>0</v>
      </c>
      <c r="E1168" s="163">
        <v>50</v>
      </c>
      <c r="F1168" s="357" t="s">
        <v>2607</v>
      </c>
      <c r="G1168" s="150" t="s">
        <v>7119</v>
      </c>
      <c r="H1168" s="635" t="s">
        <v>16379</v>
      </c>
      <c r="I1168" s="453" t="s">
        <v>2726</v>
      </c>
      <c r="J1168" s="454" t="s">
        <v>2726</v>
      </c>
      <c r="K1168" s="454" t="s">
        <v>7056</v>
      </c>
    </row>
    <row r="1169" spans="1:11">
      <c r="A1169" s="150" t="s">
        <v>9203</v>
      </c>
      <c r="B1169" s="521">
        <f t="shared" si="2"/>
        <v>250</v>
      </c>
      <c r="C1169" s="161">
        <v>0</v>
      </c>
      <c r="D1169" s="162">
        <v>0</v>
      </c>
      <c r="E1169" s="163">
        <v>50</v>
      </c>
      <c r="F1169" s="357" t="s">
        <v>2607</v>
      </c>
      <c r="G1169" s="150" t="s">
        <v>7119</v>
      </c>
      <c r="H1169" s="635" t="s">
        <v>16379</v>
      </c>
      <c r="I1169" s="453" t="s">
        <v>2726</v>
      </c>
      <c r="J1169" s="454" t="s">
        <v>2726</v>
      </c>
      <c r="K1169" s="454" t="s">
        <v>7056</v>
      </c>
    </row>
    <row r="1170" spans="1:11">
      <c r="A1170" s="150" t="s">
        <v>9210</v>
      </c>
      <c r="B1170" s="521">
        <f t="shared" si="2"/>
        <v>250</v>
      </c>
      <c r="C1170" s="161">
        <v>0</v>
      </c>
      <c r="D1170" s="162">
        <v>0</v>
      </c>
      <c r="E1170" s="163">
        <v>50</v>
      </c>
      <c r="F1170" s="357" t="s">
        <v>2607</v>
      </c>
      <c r="G1170" s="150" t="s">
        <v>7119</v>
      </c>
      <c r="H1170" s="635" t="s">
        <v>16379</v>
      </c>
      <c r="I1170" s="453" t="s">
        <v>2726</v>
      </c>
      <c r="J1170" s="454" t="s">
        <v>2726</v>
      </c>
      <c r="K1170" s="454" t="s">
        <v>7056</v>
      </c>
    </row>
    <row r="1171" spans="1:11">
      <c r="A1171" s="150" t="s">
        <v>9211</v>
      </c>
      <c r="B1171" s="521">
        <f t="shared" si="2"/>
        <v>250</v>
      </c>
      <c r="C1171" s="161">
        <v>0</v>
      </c>
      <c r="D1171" s="162">
        <v>0</v>
      </c>
      <c r="E1171" s="163">
        <v>50</v>
      </c>
      <c r="F1171" s="357" t="s">
        <v>2607</v>
      </c>
      <c r="G1171" s="150" t="s">
        <v>7119</v>
      </c>
      <c r="H1171" s="635" t="s">
        <v>16379</v>
      </c>
      <c r="I1171" s="453" t="s">
        <v>2726</v>
      </c>
      <c r="J1171" s="454" t="s">
        <v>2726</v>
      </c>
      <c r="K1171" s="454" t="s">
        <v>7056</v>
      </c>
    </row>
    <row r="1172" spans="1:11">
      <c r="A1172" s="150" t="s">
        <v>9213</v>
      </c>
      <c r="B1172" s="521">
        <f t="shared" si="2"/>
        <v>250</v>
      </c>
      <c r="C1172" s="161">
        <v>0</v>
      </c>
      <c r="D1172" s="162">
        <v>0</v>
      </c>
      <c r="E1172" s="163">
        <v>50</v>
      </c>
      <c r="F1172" s="357" t="s">
        <v>2607</v>
      </c>
      <c r="G1172" s="150" t="s">
        <v>7119</v>
      </c>
      <c r="H1172" s="635" t="s">
        <v>16379</v>
      </c>
      <c r="I1172" s="453" t="s">
        <v>2726</v>
      </c>
      <c r="J1172" s="454" t="s">
        <v>2726</v>
      </c>
      <c r="K1172" s="454" t="s">
        <v>7056</v>
      </c>
    </row>
    <row r="1173" spans="1:11">
      <c r="A1173" s="150" t="s">
        <v>9215</v>
      </c>
      <c r="B1173" s="521">
        <f t="shared" si="2"/>
        <v>250</v>
      </c>
      <c r="C1173" s="161">
        <v>0</v>
      </c>
      <c r="D1173" s="162">
        <v>0</v>
      </c>
      <c r="E1173" s="163">
        <v>50</v>
      </c>
      <c r="F1173" s="357" t="s">
        <v>2607</v>
      </c>
      <c r="G1173" s="150" t="s">
        <v>7119</v>
      </c>
      <c r="H1173" s="635" t="s">
        <v>16379</v>
      </c>
      <c r="I1173" s="453" t="s">
        <v>2726</v>
      </c>
      <c r="J1173" s="454" t="s">
        <v>2726</v>
      </c>
      <c r="K1173" s="454" t="s">
        <v>7056</v>
      </c>
    </row>
    <row r="1174" spans="1:11">
      <c r="A1174" s="150" t="s">
        <v>9217</v>
      </c>
      <c r="B1174" s="521">
        <f t="shared" si="2"/>
        <v>250</v>
      </c>
      <c r="C1174" s="161">
        <v>0</v>
      </c>
      <c r="D1174" s="162">
        <v>0</v>
      </c>
      <c r="E1174" s="163">
        <v>50</v>
      </c>
      <c r="F1174" s="357" t="s">
        <v>2607</v>
      </c>
      <c r="G1174" s="150" t="s">
        <v>7119</v>
      </c>
      <c r="H1174" s="635" t="s">
        <v>16379</v>
      </c>
      <c r="I1174" s="453" t="s">
        <v>2726</v>
      </c>
      <c r="J1174" s="454" t="s">
        <v>2726</v>
      </c>
      <c r="K1174" s="454" t="s">
        <v>7056</v>
      </c>
    </row>
    <row r="1175" spans="1:11">
      <c r="A1175" s="160" t="s">
        <v>16347</v>
      </c>
      <c r="B1175" s="521">
        <f t="shared" si="2"/>
        <v>175</v>
      </c>
      <c r="C1175" s="161">
        <v>0</v>
      </c>
      <c r="D1175" s="162">
        <v>0</v>
      </c>
      <c r="E1175" s="150">
        <v>35</v>
      </c>
      <c r="F1175" s="357" t="s">
        <v>2607</v>
      </c>
      <c r="G1175" s="150" t="s">
        <v>7119</v>
      </c>
      <c r="H1175" s="637" t="s">
        <v>4551</v>
      </c>
      <c r="I1175" s="453" t="s">
        <v>2731</v>
      </c>
      <c r="J1175" s="454" t="s">
        <v>16329</v>
      </c>
      <c r="K1175" s="454" t="s">
        <v>7055</v>
      </c>
    </row>
    <row r="1176" spans="1:11">
      <c r="A1176" s="452" t="s">
        <v>14751</v>
      </c>
      <c r="B1176" s="521">
        <f t="shared" si="2"/>
        <v>26</v>
      </c>
      <c r="C1176" s="522">
        <v>0</v>
      </c>
      <c r="D1176" s="523">
        <v>0</v>
      </c>
      <c r="E1176" s="357">
        <v>26</v>
      </c>
      <c r="F1176" s="357" t="s">
        <v>2574</v>
      </c>
      <c r="G1176" s="150" t="s">
        <v>7119</v>
      </c>
      <c r="H1176" s="635" t="s">
        <v>17484</v>
      </c>
      <c r="I1176" s="453" t="s">
        <v>12242</v>
      </c>
      <c r="K1176" s="454" t="s">
        <v>7056</v>
      </c>
    </row>
    <row r="1177" spans="1:11">
      <c r="A1177" s="150" t="s">
        <v>7071</v>
      </c>
      <c r="B1177" s="521">
        <f t="shared" si="2"/>
        <v>102</v>
      </c>
      <c r="C1177" s="161">
        <v>0</v>
      </c>
      <c r="D1177" s="162">
        <v>0</v>
      </c>
      <c r="E1177" s="150">
        <v>51</v>
      </c>
      <c r="F1177" s="150" t="s">
        <v>2572</v>
      </c>
      <c r="G1177" s="150" t="s">
        <v>7119</v>
      </c>
      <c r="H1177" s="636" t="s">
        <v>17484</v>
      </c>
      <c r="I1177" s="453" t="s">
        <v>7062</v>
      </c>
      <c r="J1177" s="454" t="s">
        <v>16321</v>
      </c>
      <c r="K1177" s="454" t="s">
        <v>7056</v>
      </c>
    </row>
    <row r="1178" spans="1:11">
      <c r="A1178" s="456" t="s">
        <v>12301</v>
      </c>
      <c r="B1178" s="521">
        <f t="shared" si="2"/>
        <v>45</v>
      </c>
      <c r="C1178" s="161">
        <v>0</v>
      </c>
      <c r="D1178" s="162">
        <v>0</v>
      </c>
      <c r="E1178" s="357">
        <v>45</v>
      </c>
      <c r="F1178" s="357" t="s">
        <v>2574</v>
      </c>
      <c r="G1178" s="150" t="s">
        <v>7119</v>
      </c>
      <c r="H1178" s="635" t="s">
        <v>12302</v>
      </c>
      <c r="I1178" s="453" t="s">
        <v>2723</v>
      </c>
      <c r="J1178" s="454" t="s">
        <v>2737</v>
      </c>
      <c r="K1178" s="454" t="s">
        <v>7056</v>
      </c>
    </row>
    <row r="1179" spans="1:11">
      <c r="A1179" s="150" t="s">
        <v>7051</v>
      </c>
      <c r="B1179" s="521">
        <f t="shared" si="2"/>
        <v>120</v>
      </c>
      <c r="C1179" s="161">
        <v>0</v>
      </c>
      <c r="D1179" s="162">
        <v>0</v>
      </c>
      <c r="E1179" s="150">
        <v>40</v>
      </c>
      <c r="F1179" s="150" t="s">
        <v>2578</v>
      </c>
      <c r="G1179" s="150" t="s">
        <v>7119</v>
      </c>
      <c r="H1179" s="636" t="s">
        <v>17484</v>
      </c>
      <c r="I1179" s="453" t="s">
        <v>2723</v>
      </c>
      <c r="J1179" s="454" t="s">
        <v>2738</v>
      </c>
      <c r="K1179" s="454" t="s">
        <v>7056</v>
      </c>
    </row>
    <row r="1180" spans="1:11">
      <c r="A1180" s="150" t="s">
        <v>7052</v>
      </c>
      <c r="B1180" s="521">
        <f t="shared" si="2"/>
        <v>105</v>
      </c>
      <c r="C1180" s="161">
        <v>0</v>
      </c>
      <c r="D1180" s="162">
        <v>0</v>
      </c>
      <c r="E1180" s="150">
        <v>35</v>
      </c>
      <c r="F1180" s="150" t="s">
        <v>2578</v>
      </c>
      <c r="G1180" s="150" t="s">
        <v>7119</v>
      </c>
      <c r="H1180" s="636" t="s">
        <v>17484</v>
      </c>
      <c r="I1180" s="453" t="s">
        <v>2723</v>
      </c>
      <c r="J1180" s="454" t="s">
        <v>2735</v>
      </c>
      <c r="K1180" s="454" t="s">
        <v>7056</v>
      </c>
    </row>
    <row r="1181" spans="1:11">
      <c r="A1181" s="150" t="s">
        <v>9759</v>
      </c>
      <c r="B1181" s="521">
        <f t="shared" si="2"/>
        <v>168</v>
      </c>
      <c r="C1181" s="161">
        <v>0</v>
      </c>
      <c r="D1181" s="162">
        <v>0</v>
      </c>
      <c r="E1181" s="150">
        <v>56</v>
      </c>
      <c r="F1181" s="150" t="s">
        <v>2578</v>
      </c>
      <c r="G1181" s="150" t="s">
        <v>7119</v>
      </c>
      <c r="H1181" s="636" t="s">
        <v>17484</v>
      </c>
      <c r="I1181" s="453" t="s">
        <v>2723</v>
      </c>
      <c r="J1181" s="454" t="s">
        <v>2750</v>
      </c>
      <c r="K1181" s="454" t="s">
        <v>7056</v>
      </c>
    </row>
    <row r="1182" spans="1:11">
      <c r="A1182" s="150" t="s">
        <v>7053</v>
      </c>
      <c r="B1182" s="521">
        <f t="shared" si="2"/>
        <v>40</v>
      </c>
      <c r="C1182" s="161">
        <v>0</v>
      </c>
      <c r="D1182" s="162">
        <v>0</v>
      </c>
      <c r="E1182" s="150">
        <v>40</v>
      </c>
      <c r="F1182" s="150" t="s">
        <v>2574</v>
      </c>
      <c r="G1182" s="150" t="s">
        <v>7119</v>
      </c>
      <c r="H1182" s="636" t="s">
        <v>17484</v>
      </c>
      <c r="I1182" s="453" t="s">
        <v>2723</v>
      </c>
      <c r="J1182" s="454" t="s">
        <v>2740</v>
      </c>
      <c r="K1182" s="454" t="s">
        <v>7056</v>
      </c>
    </row>
    <row r="1183" spans="1:11">
      <c r="A1183" s="456" t="s">
        <v>16627</v>
      </c>
      <c r="B1183" s="521">
        <f t="shared" ref="B1183" si="3">ROUNDUP((IF(F1183="U",E1183*50,IF(F1183="ER",E1183*20,IF(F1183="TR",E1183*10,IF(F1183="R",E1183*5,IF(F1183="I",E1183*3,IF(F1183="AC",E1183*2,IF(F1183="C",E1183*1,IF(F1183="B",E1183/3,IF(F1183="TC",E1183/2)))))))))),0)</f>
        <v>200</v>
      </c>
      <c r="C1183" s="161">
        <v>0</v>
      </c>
      <c r="D1183" s="162">
        <v>0</v>
      </c>
      <c r="E1183" s="357">
        <v>100</v>
      </c>
      <c r="F1183" s="357" t="s">
        <v>2572</v>
      </c>
      <c r="G1183" s="150" t="s">
        <v>7119</v>
      </c>
      <c r="H1183" s="634" t="s">
        <v>4551</v>
      </c>
      <c r="I1183" s="453" t="s">
        <v>2726</v>
      </c>
      <c r="J1183" s="454" t="s">
        <v>2726</v>
      </c>
      <c r="K1183" s="454" t="s">
        <v>7056</v>
      </c>
    </row>
    <row r="1184" spans="1:11">
      <c r="A1184" s="160" t="s">
        <v>15282</v>
      </c>
      <c r="B1184" s="521">
        <f t="shared" si="2"/>
        <v>150</v>
      </c>
      <c r="C1184" s="161">
        <v>0</v>
      </c>
      <c r="D1184" s="162">
        <v>0</v>
      </c>
      <c r="E1184" s="150">
        <v>15</v>
      </c>
      <c r="F1184" s="150" t="s">
        <v>2608</v>
      </c>
      <c r="G1184" s="150" t="s">
        <v>7119</v>
      </c>
      <c r="H1184" s="636" t="s">
        <v>15287</v>
      </c>
      <c r="I1184" s="453" t="s">
        <v>9800</v>
      </c>
      <c r="J1184" s="454" t="s">
        <v>9800</v>
      </c>
      <c r="K1184" s="454" t="s">
        <v>7055</v>
      </c>
    </row>
    <row r="1185" spans="1:11">
      <c r="A1185" s="456" t="s">
        <v>9798</v>
      </c>
      <c r="B1185" s="521">
        <f t="shared" si="2"/>
        <v>120</v>
      </c>
      <c r="C1185" s="161">
        <v>0</v>
      </c>
      <c r="D1185" s="162">
        <v>0</v>
      </c>
      <c r="E1185" s="357">
        <v>24</v>
      </c>
      <c r="F1185" s="357" t="s">
        <v>2607</v>
      </c>
      <c r="G1185" s="150" t="s">
        <v>7119</v>
      </c>
      <c r="H1185" s="636" t="s">
        <v>9799</v>
      </c>
      <c r="I1185" s="453" t="s">
        <v>7062</v>
      </c>
      <c r="J1185" s="454" t="s">
        <v>17520</v>
      </c>
      <c r="K1185" s="454" t="s">
        <v>7055</v>
      </c>
    </row>
    <row r="1186" spans="1:11">
      <c r="A1186" s="456" t="s">
        <v>13287</v>
      </c>
      <c r="B1186" s="521">
        <f t="shared" si="2"/>
        <v>6</v>
      </c>
      <c r="C1186" s="161">
        <v>0</v>
      </c>
      <c r="D1186" s="162">
        <v>0</v>
      </c>
      <c r="E1186" s="357">
        <v>11</v>
      </c>
      <c r="F1186" s="357" t="s">
        <v>3877</v>
      </c>
      <c r="G1186" s="150" t="s">
        <v>7119</v>
      </c>
      <c r="H1186" s="635" t="s">
        <v>4551</v>
      </c>
      <c r="I1186" s="453" t="s">
        <v>7062</v>
      </c>
      <c r="J1186" s="454" t="s">
        <v>16325</v>
      </c>
      <c r="K1186" s="454" t="s">
        <v>7056</v>
      </c>
    </row>
    <row r="1187" spans="1:11">
      <c r="A1187" s="456" t="s">
        <v>16375</v>
      </c>
      <c r="B1187" s="521">
        <f t="shared" si="2"/>
        <v>36</v>
      </c>
      <c r="C1187" s="522">
        <v>0</v>
      </c>
      <c r="D1187" s="523">
        <v>0</v>
      </c>
      <c r="E1187" s="357">
        <v>18</v>
      </c>
      <c r="F1187" s="357" t="s">
        <v>2572</v>
      </c>
      <c r="G1187" s="150" t="s">
        <v>7119</v>
      </c>
      <c r="H1187" s="634" t="s">
        <v>4551</v>
      </c>
      <c r="I1187" s="453" t="s">
        <v>7062</v>
      </c>
      <c r="J1187" s="454" t="s">
        <v>16325</v>
      </c>
      <c r="K1187" s="454" t="s">
        <v>7056</v>
      </c>
    </row>
    <row r="1188" spans="1:11">
      <c r="A1188" s="456" t="s">
        <v>7084</v>
      </c>
      <c r="B1188" s="521">
        <f t="shared" si="2"/>
        <v>46</v>
      </c>
      <c r="C1188" s="522">
        <v>0</v>
      </c>
      <c r="D1188" s="523">
        <v>0</v>
      </c>
      <c r="E1188" s="357">
        <v>23</v>
      </c>
      <c r="F1188" s="357" t="s">
        <v>2572</v>
      </c>
      <c r="G1188" s="150" t="s">
        <v>7119</v>
      </c>
      <c r="H1188" s="635" t="s">
        <v>7085</v>
      </c>
      <c r="I1188" s="453" t="s">
        <v>7062</v>
      </c>
      <c r="J1188" s="454" t="s">
        <v>16325</v>
      </c>
      <c r="K1188" s="454" t="s">
        <v>7055</v>
      </c>
    </row>
    <row r="1189" spans="1:11">
      <c r="A1189" s="160" t="s">
        <v>7125</v>
      </c>
      <c r="B1189" s="521">
        <f t="shared" si="2"/>
        <v>10</v>
      </c>
      <c r="C1189" s="161">
        <v>0</v>
      </c>
      <c r="D1189" s="162">
        <v>0</v>
      </c>
      <c r="E1189" s="150">
        <v>10</v>
      </c>
      <c r="F1189" s="150" t="s">
        <v>2574</v>
      </c>
      <c r="G1189" s="150" t="s">
        <v>7119</v>
      </c>
      <c r="H1189" s="635" t="s">
        <v>7016</v>
      </c>
      <c r="I1189" s="453" t="s">
        <v>7062</v>
      </c>
      <c r="J1189" s="454" t="s">
        <v>16325</v>
      </c>
      <c r="K1189" s="454" t="s">
        <v>7056</v>
      </c>
    </row>
    <row r="1190" spans="1:11">
      <c r="A1190" s="160" t="s">
        <v>16477</v>
      </c>
      <c r="B1190" s="521">
        <f t="shared" si="2"/>
        <v>150</v>
      </c>
      <c r="C1190" s="161">
        <v>0</v>
      </c>
      <c r="D1190" s="162">
        <v>0</v>
      </c>
      <c r="E1190" s="163">
        <v>50</v>
      </c>
      <c r="F1190" s="150" t="s">
        <v>2578</v>
      </c>
      <c r="G1190" s="150" t="s">
        <v>7119</v>
      </c>
      <c r="H1190" s="639" t="s">
        <v>4551</v>
      </c>
      <c r="I1190" s="453" t="s">
        <v>2731</v>
      </c>
      <c r="J1190" s="454" t="s">
        <v>9064</v>
      </c>
      <c r="K1190" s="454" t="s">
        <v>7056</v>
      </c>
    </row>
    <row r="1191" spans="1:11">
      <c r="A1191" s="456" t="s">
        <v>16279</v>
      </c>
      <c r="B1191" s="521">
        <f t="shared" si="2"/>
        <v>66</v>
      </c>
      <c r="C1191" s="161">
        <v>0</v>
      </c>
      <c r="D1191" s="162">
        <v>0</v>
      </c>
      <c r="E1191" s="357">
        <v>33</v>
      </c>
      <c r="F1191" s="357" t="s">
        <v>2572</v>
      </c>
      <c r="G1191" s="150" t="s">
        <v>7119</v>
      </c>
      <c r="H1191" s="635" t="s">
        <v>7019</v>
      </c>
      <c r="I1191" s="453" t="s">
        <v>2730</v>
      </c>
      <c r="J1191" s="454" t="s">
        <v>2730</v>
      </c>
      <c r="K1191" s="454" t="s">
        <v>7056</v>
      </c>
    </row>
    <row r="1192" spans="1:11">
      <c r="A1192" s="456" t="s">
        <v>9645</v>
      </c>
      <c r="B1192" s="521">
        <f t="shared" si="2"/>
        <v>210</v>
      </c>
      <c r="C1192" s="522">
        <v>0</v>
      </c>
      <c r="D1192" s="523">
        <v>0</v>
      </c>
      <c r="E1192" s="357">
        <v>42</v>
      </c>
      <c r="F1192" s="357" t="s">
        <v>2607</v>
      </c>
      <c r="G1192" s="150" t="s">
        <v>7119</v>
      </c>
      <c r="H1192" s="635" t="s">
        <v>9646</v>
      </c>
      <c r="I1192" s="453" t="s">
        <v>2731</v>
      </c>
      <c r="K1192" s="454" t="s">
        <v>7055</v>
      </c>
    </row>
    <row r="1193" spans="1:11">
      <c r="A1193" s="160" t="s">
        <v>9791</v>
      </c>
      <c r="B1193" s="521">
        <f t="shared" si="2"/>
        <v>200</v>
      </c>
      <c r="C1193" s="161">
        <v>0</v>
      </c>
      <c r="D1193" s="162">
        <v>0</v>
      </c>
      <c r="E1193" s="150">
        <v>40</v>
      </c>
      <c r="F1193" s="150" t="s">
        <v>2607</v>
      </c>
      <c r="G1193" s="150" t="s">
        <v>7119</v>
      </c>
      <c r="H1193" s="636" t="s">
        <v>9648</v>
      </c>
      <c r="I1193" s="453" t="s">
        <v>2726</v>
      </c>
      <c r="J1193" s="454" t="s">
        <v>2726</v>
      </c>
      <c r="K1193" s="454" t="s">
        <v>7056</v>
      </c>
    </row>
    <row r="1194" spans="1:11">
      <c r="A1194" s="456" t="s">
        <v>7008</v>
      </c>
      <c r="B1194" s="521">
        <f t="shared" si="2"/>
        <v>380</v>
      </c>
      <c r="C1194" s="161">
        <v>0</v>
      </c>
      <c r="D1194" s="162">
        <v>0</v>
      </c>
      <c r="E1194" s="357">
        <v>38</v>
      </c>
      <c r="F1194" s="357" t="s">
        <v>2608</v>
      </c>
      <c r="G1194" s="150" t="s">
        <v>7119</v>
      </c>
      <c r="H1194" s="635" t="s">
        <v>7007</v>
      </c>
      <c r="I1194" s="453" t="s">
        <v>2727</v>
      </c>
      <c r="J1194" s="454" t="s">
        <v>2727</v>
      </c>
      <c r="K1194" s="454" t="s">
        <v>7055</v>
      </c>
    </row>
    <row r="1195" spans="1:11">
      <c r="A1195" s="456" t="s">
        <v>15383</v>
      </c>
      <c r="B1195" s="521">
        <f t="shared" si="2"/>
        <v>280</v>
      </c>
      <c r="C1195" s="161">
        <v>0</v>
      </c>
      <c r="D1195" s="162">
        <v>0</v>
      </c>
      <c r="E1195" s="357">
        <v>28</v>
      </c>
      <c r="F1195" s="357" t="s">
        <v>2608</v>
      </c>
      <c r="G1195" s="150" t="s">
        <v>7119</v>
      </c>
      <c r="H1195" s="634" t="s">
        <v>4551</v>
      </c>
      <c r="I1195" s="453" t="s">
        <v>2723</v>
      </c>
      <c r="J1195" s="454" t="s">
        <v>3078</v>
      </c>
      <c r="K1195" s="454" t="s">
        <v>7055</v>
      </c>
    </row>
    <row r="1196" spans="1:11">
      <c r="A1196" s="160" t="s">
        <v>16280</v>
      </c>
      <c r="B1196" s="521">
        <f t="shared" si="2"/>
        <v>90</v>
      </c>
      <c r="C1196" s="161">
        <v>0</v>
      </c>
      <c r="D1196" s="162">
        <v>0</v>
      </c>
      <c r="E1196" s="150">
        <v>30</v>
      </c>
      <c r="F1196" s="150" t="s">
        <v>2578</v>
      </c>
      <c r="G1196" s="150" t="s">
        <v>7119</v>
      </c>
      <c r="H1196" s="740" t="s">
        <v>4551</v>
      </c>
      <c r="I1196" s="453" t="s">
        <v>7062</v>
      </c>
      <c r="J1196" s="454" t="s">
        <v>16312</v>
      </c>
      <c r="K1196" s="454" t="s">
        <v>7055</v>
      </c>
    </row>
    <row r="1197" spans="1:11">
      <c r="A1197" s="160" t="s">
        <v>7127</v>
      </c>
      <c r="B1197" s="521">
        <f t="shared" si="2"/>
        <v>5</v>
      </c>
      <c r="C1197" s="161">
        <v>0</v>
      </c>
      <c r="D1197" s="162">
        <v>0</v>
      </c>
      <c r="E1197" s="150">
        <v>5</v>
      </c>
      <c r="F1197" s="150" t="s">
        <v>2574</v>
      </c>
      <c r="G1197" s="150" t="s">
        <v>7119</v>
      </c>
      <c r="H1197" s="636" t="s">
        <v>7083</v>
      </c>
      <c r="I1197" s="453" t="s">
        <v>2722</v>
      </c>
      <c r="J1197" s="454" t="s">
        <v>2737</v>
      </c>
      <c r="K1197" s="454" t="s">
        <v>7056</v>
      </c>
    </row>
    <row r="1198" spans="1:11">
      <c r="A1198" s="160" t="s">
        <v>16335</v>
      </c>
      <c r="B1198" s="521">
        <f t="shared" si="2"/>
        <v>150</v>
      </c>
      <c r="C1198" s="161">
        <v>0</v>
      </c>
      <c r="D1198" s="162">
        <v>0</v>
      </c>
      <c r="E1198" s="150">
        <v>30</v>
      </c>
      <c r="F1198" s="150" t="s">
        <v>2607</v>
      </c>
      <c r="G1198" s="150" t="s">
        <v>7119</v>
      </c>
      <c r="H1198" s="740" t="s">
        <v>4551</v>
      </c>
      <c r="I1198" s="453" t="s">
        <v>2731</v>
      </c>
      <c r="J1198" s="454" t="s">
        <v>16329</v>
      </c>
      <c r="K1198" s="454" t="s">
        <v>7055</v>
      </c>
    </row>
    <row r="1199" spans="1:11">
      <c r="A1199" s="160" t="s">
        <v>16476</v>
      </c>
      <c r="B1199" s="521">
        <f t="shared" si="2"/>
        <v>250</v>
      </c>
      <c r="C1199" s="161">
        <v>0</v>
      </c>
      <c r="D1199" s="162">
        <v>0</v>
      </c>
      <c r="E1199" s="163">
        <v>50</v>
      </c>
      <c r="F1199" s="150" t="s">
        <v>2607</v>
      </c>
      <c r="G1199" s="150" t="s">
        <v>7119</v>
      </c>
      <c r="H1199" s="639" t="s">
        <v>4551</v>
      </c>
      <c r="I1199" s="453" t="s">
        <v>2731</v>
      </c>
      <c r="J1199" s="454" t="s">
        <v>9064</v>
      </c>
      <c r="K1199" s="454" t="s">
        <v>7056</v>
      </c>
    </row>
    <row r="1200" spans="1:11">
      <c r="A1200" s="160" t="s">
        <v>7217</v>
      </c>
      <c r="B1200" s="521">
        <f t="shared" si="2"/>
        <v>360</v>
      </c>
      <c r="C1200" s="161">
        <v>0</v>
      </c>
      <c r="D1200" s="162">
        <v>0</v>
      </c>
      <c r="E1200" s="150">
        <v>36</v>
      </c>
      <c r="F1200" s="150" t="s">
        <v>2608</v>
      </c>
      <c r="G1200" s="150" t="s">
        <v>7119</v>
      </c>
      <c r="H1200" s="636"/>
      <c r="I1200" s="453" t="s">
        <v>2725</v>
      </c>
      <c r="J1200" s="454" t="s">
        <v>2725</v>
      </c>
      <c r="K1200" s="454" t="s">
        <v>7055</v>
      </c>
    </row>
    <row r="1201" spans="1:11">
      <c r="A1201" s="149" t="s">
        <v>14746</v>
      </c>
      <c r="B1201" s="521">
        <f t="shared" si="2"/>
        <v>25</v>
      </c>
      <c r="C1201" s="161">
        <v>0</v>
      </c>
      <c r="D1201" s="162">
        <v>0</v>
      </c>
      <c r="E1201" s="150">
        <v>50</v>
      </c>
      <c r="F1201" s="150" t="s">
        <v>3877</v>
      </c>
      <c r="G1201" s="150" t="s">
        <v>7119</v>
      </c>
      <c r="H1201" s="636" t="s">
        <v>17484</v>
      </c>
      <c r="I1201" s="453" t="s">
        <v>12242</v>
      </c>
      <c r="J1201" s="454" t="s">
        <v>2735</v>
      </c>
      <c r="K1201" s="454" t="s">
        <v>7056</v>
      </c>
    </row>
    <row r="1202" spans="1:11">
      <c r="A1202" s="160" t="s">
        <v>7074</v>
      </c>
      <c r="B1202" s="521">
        <f t="shared" si="2"/>
        <v>6</v>
      </c>
      <c r="C1202" s="161">
        <v>0</v>
      </c>
      <c r="D1202" s="162">
        <v>0</v>
      </c>
      <c r="E1202" s="150">
        <v>6</v>
      </c>
      <c r="F1202" s="150" t="s">
        <v>2574</v>
      </c>
      <c r="G1202" s="150" t="s">
        <v>7119</v>
      </c>
      <c r="H1202" s="636" t="s">
        <v>7075</v>
      </c>
      <c r="I1202" s="453" t="s">
        <v>2723</v>
      </c>
      <c r="J1202" s="454" t="s">
        <v>2735</v>
      </c>
      <c r="K1202" s="454" t="s">
        <v>7056</v>
      </c>
    </row>
    <row r="1203" spans="1:11">
      <c r="A1203" s="456" t="s">
        <v>7090</v>
      </c>
      <c r="B1203" s="521">
        <f t="shared" si="2"/>
        <v>940</v>
      </c>
      <c r="C1203" s="161">
        <v>0</v>
      </c>
      <c r="D1203" s="162">
        <v>0</v>
      </c>
      <c r="E1203" s="357">
        <v>47</v>
      </c>
      <c r="F1203" s="357" t="s">
        <v>8801</v>
      </c>
      <c r="G1203" s="150" t="s">
        <v>7119</v>
      </c>
      <c r="H1203" s="635" t="s">
        <v>7091</v>
      </c>
      <c r="I1203" s="453" t="s">
        <v>2727</v>
      </c>
      <c r="J1203" s="454" t="s">
        <v>2727</v>
      </c>
      <c r="K1203" s="454" t="s">
        <v>7055</v>
      </c>
    </row>
    <row r="1204" spans="1:11">
      <c r="A1204" s="160" t="s">
        <v>7097</v>
      </c>
      <c r="B1204" s="521">
        <f t="shared" si="2"/>
        <v>20</v>
      </c>
      <c r="C1204" s="161">
        <v>0</v>
      </c>
      <c r="D1204" s="162">
        <v>0</v>
      </c>
      <c r="E1204" s="150">
        <v>20</v>
      </c>
      <c r="F1204" s="150" t="s">
        <v>2574</v>
      </c>
      <c r="G1204" s="150" t="s">
        <v>7119</v>
      </c>
      <c r="H1204" s="636" t="s">
        <v>7098</v>
      </c>
      <c r="I1204" s="453" t="s">
        <v>16271</v>
      </c>
      <c r="J1204" s="454" t="s">
        <v>16271</v>
      </c>
      <c r="K1204" s="454" t="s">
        <v>7056</v>
      </c>
    </row>
    <row r="1205" spans="1:11">
      <c r="A1205" s="160" t="s">
        <v>7072</v>
      </c>
      <c r="B1205" s="521">
        <f t="shared" si="2"/>
        <v>6</v>
      </c>
      <c r="C1205" s="161">
        <v>0</v>
      </c>
      <c r="D1205" s="162">
        <v>0</v>
      </c>
      <c r="E1205" s="150">
        <v>6</v>
      </c>
      <c r="F1205" s="150" t="s">
        <v>2574</v>
      </c>
      <c r="G1205" s="150" t="s">
        <v>7119</v>
      </c>
      <c r="H1205" s="636" t="s">
        <v>7073</v>
      </c>
      <c r="I1205" s="453" t="s">
        <v>7054</v>
      </c>
      <c r="J1205" s="454" t="s">
        <v>7054</v>
      </c>
      <c r="K1205" s="454" t="s">
        <v>7056</v>
      </c>
    </row>
    <row r="1206" spans="1:11">
      <c r="A1206" s="160" t="s">
        <v>12377</v>
      </c>
      <c r="B1206" s="521">
        <f t="shared" si="2"/>
        <v>22</v>
      </c>
      <c r="C1206" s="161">
        <v>0</v>
      </c>
      <c r="D1206" s="162">
        <v>0</v>
      </c>
      <c r="E1206" s="150">
        <v>11</v>
      </c>
      <c r="F1206" s="150" t="s">
        <v>2572</v>
      </c>
      <c r="G1206" s="150" t="s">
        <v>7119</v>
      </c>
      <c r="H1206" s="639" t="s">
        <v>4551</v>
      </c>
      <c r="I1206" s="453" t="s">
        <v>12378</v>
      </c>
      <c r="J1206" s="454" t="s">
        <v>12378</v>
      </c>
      <c r="K1206" s="454" t="s">
        <v>7056</v>
      </c>
    </row>
    <row r="1207" spans="1:11">
      <c r="A1207" s="160" t="s">
        <v>7220</v>
      </c>
      <c r="B1207" s="521">
        <f t="shared" si="2"/>
        <v>33</v>
      </c>
      <c r="C1207" s="161">
        <v>0</v>
      </c>
      <c r="D1207" s="162">
        <v>0</v>
      </c>
      <c r="E1207" s="150">
        <v>11</v>
      </c>
      <c r="F1207" s="150" t="s">
        <v>2578</v>
      </c>
      <c r="G1207" s="150" t="s">
        <v>7119</v>
      </c>
      <c r="H1207" s="636" t="s">
        <v>7221</v>
      </c>
      <c r="I1207" s="453" t="s">
        <v>7054</v>
      </c>
      <c r="J1207" s="454" t="s">
        <v>7054</v>
      </c>
      <c r="K1207" s="454" t="s">
        <v>7055</v>
      </c>
    </row>
    <row r="1208" spans="1:11">
      <c r="A1208" s="456" t="s">
        <v>12232</v>
      </c>
      <c r="B1208" s="521">
        <f t="shared" si="2"/>
        <v>44</v>
      </c>
      <c r="C1208" s="522">
        <v>0</v>
      </c>
      <c r="D1208" s="523">
        <v>0</v>
      </c>
      <c r="E1208" s="357">
        <v>22</v>
      </c>
      <c r="F1208" s="357" t="s">
        <v>2572</v>
      </c>
      <c r="G1208" s="150" t="s">
        <v>7119</v>
      </c>
      <c r="H1208" s="634" t="s">
        <v>4551</v>
      </c>
      <c r="I1208" s="453" t="s">
        <v>7062</v>
      </c>
      <c r="J1208" s="454" t="s">
        <v>16325</v>
      </c>
      <c r="K1208" s="454" t="s">
        <v>7056</v>
      </c>
    </row>
    <row r="1209" spans="1:11">
      <c r="A1209" s="160" t="s">
        <v>7213</v>
      </c>
      <c r="B1209" s="521">
        <f t="shared" si="2"/>
        <v>48</v>
      </c>
      <c r="C1209" s="161">
        <v>0</v>
      </c>
      <c r="D1209" s="162">
        <v>0</v>
      </c>
      <c r="E1209" s="150">
        <v>24</v>
      </c>
      <c r="F1209" s="150" t="s">
        <v>2572</v>
      </c>
      <c r="G1209" s="150" t="s">
        <v>7119</v>
      </c>
      <c r="H1209" s="636"/>
      <c r="I1209" s="453" t="s">
        <v>2730</v>
      </c>
      <c r="J1209" s="454" t="s">
        <v>2730</v>
      </c>
      <c r="K1209" s="454" t="s">
        <v>7056</v>
      </c>
    </row>
    <row r="1210" spans="1:11">
      <c r="A1210" s="160" t="s">
        <v>16349</v>
      </c>
      <c r="B1210" s="521">
        <f t="shared" si="2"/>
        <v>96</v>
      </c>
      <c r="C1210" s="161">
        <v>0</v>
      </c>
      <c r="D1210" s="162">
        <v>0</v>
      </c>
      <c r="E1210" s="150">
        <v>48</v>
      </c>
      <c r="F1210" s="150" t="s">
        <v>2572</v>
      </c>
      <c r="G1210" s="150" t="s">
        <v>7119</v>
      </c>
      <c r="H1210" s="636" t="s">
        <v>7021</v>
      </c>
      <c r="I1210" s="453" t="s">
        <v>2731</v>
      </c>
      <c r="J1210" s="454" t="s">
        <v>16348</v>
      </c>
      <c r="K1210" s="454" t="s">
        <v>7056</v>
      </c>
    </row>
    <row r="1211" spans="1:11">
      <c r="A1211" s="456" t="s">
        <v>7030</v>
      </c>
      <c r="B1211" s="521">
        <f t="shared" si="2"/>
        <v>92</v>
      </c>
      <c r="C1211" s="161">
        <v>0</v>
      </c>
      <c r="D1211" s="162">
        <v>0</v>
      </c>
      <c r="E1211" s="357">
        <v>46</v>
      </c>
      <c r="F1211" s="357" t="s">
        <v>2572</v>
      </c>
      <c r="G1211" s="357" t="s">
        <v>7119</v>
      </c>
      <c r="H1211" s="635" t="s">
        <v>7029</v>
      </c>
      <c r="I1211" s="453" t="s">
        <v>2731</v>
      </c>
      <c r="J1211" s="454" t="s">
        <v>16350</v>
      </c>
      <c r="K1211" s="454" t="s">
        <v>7056</v>
      </c>
    </row>
    <row r="1212" spans="1:11">
      <c r="A1212" s="456" t="s">
        <v>7218</v>
      </c>
      <c r="B1212" s="521">
        <f t="shared" si="2"/>
        <v>45</v>
      </c>
      <c r="C1212" s="161">
        <v>0</v>
      </c>
      <c r="D1212" s="162">
        <v>0</v>
      </c>
      <c r="E1212" s="357">
        <v>15</v>
      </c>
      <c r="F1212" s="357" t="s">
        <v>2578</v>
      </c>
      <c r="G1212" s="150" t="s">
        <v>7119</v>
      </c>
      <c r="H1212" s="635" t="s">
        <v>7219</v>
      </c>
      <c r="I1212" s="453" t="s">
        <v>2723</v>
      </c>
      <c r="J1212" s="454" t="s">
        <v>2747</v>
      </c>
      <c r="K1212" s="454" t="s">
        <v>7056</v>
      </c>
    </row>
    <row r="1213" spans="1:11">
      <c r="A1213" s="456" t="s">
        <v>16351</v>
      </c>
      <c r="B1213" s="521">
        <f t="shared" si="2"/>
        <v>102</v>
      </c>
      <c r="C1213" s="161">
        <v>0</v>
      </c>
      <c r="D1213" s="162">
        <v>0</v>
      </c>
      <c r="E1213" s="357">
        <v>51</v>
      </c>
      <c r="F1213" s="357" t="s">
        <v>2572</v>
      </c>
      <c r="G1213" s="357" t="s">
        <v>7119</v>
      </c>
      <c r="H1213" s="635" t="s">
        <v>7023</v>
      </c>
      <c r="I1213" s="453" t="s">
        <v>2731</v>
      </c>
      <c r="J1213" s="454" t="s">
        <v>16310</v>
      </c>
      <c r="K1213" s="454" t="s">
        <v>7056</v>
      </c>
    </row>
    <row r="1214" spans="1:11">
      <c r="A1214" s="357" t="s">
        <v>16341</v>
      </c>
      <c r="B1214" s="521">
        <f t="shared" si="2"/>
        <v>500</v>
      </c>
      <c r="C1214" s="522">
        <v>0</v>
      </c>
      <c r="D1214" s="523">
        <v>0</v>
      </c>
      <c r="E1214" s="461">
        <v>50</v>
      </c>
      <c r="F1214" s="357" t="s">
        <v>2608</v>
      </c>
      <c r="G1214" s="357" t="s">
        <v>7119</v>
      </c>
      <c r="H1214" s="635" t="s">
        <v>17484</v>
      </c>
      <c r="I1214" s="453" t="s">
        <v>5418</v>
      </c>
      <c r="J1214" s="454" t="s">
        <v>5418</v>
      </c>
      <c r="K1214" s="454" t="s">
        <v>7055</v>
      </c>
    </row>
    <row r="1215" spans="1:11">
      <c r="A1215" s="456" t="s">
        <v>16104</v>
      </c>
      <c r="B1215" s="521">
        <f t="shared" si="2"/>
        <v>680</v>
      </c>
      <c r="C1215" s="522">
        <v>0</v>
      </c>
      <c r="D1215" s="523">
        <v>0</v>
      </c>
      <c r="E1215" s="357">
        <v>34</v>
      </c>
      <c r="F1215" s="357" t="str">
        <f>IF(SelectRace="Nain","R","ER")</f>
        <v>ER</v>
      </c>
      <c r="G1215" s="357" t="s">
        <v>7119</v>
      </c>
      <c r="H1215" s="635" t="s">
        <v>16106</v>
      </c>
      <c r="I1215" s="453" t="s">
        <v>2729</v>
      </c>
      <c r="J1215" s="454" t="s">
        <v>2729</v>
      </c>
      <c r="K1215" s="454" t="s">
        <v>7056</v>
      </c>
    </row>
    <row r="1216" spans="1:11">
      <c r="A1216" s="456" t="s">
        <v>7024</v>
      </c>
      <c r="B1216" s="521">
        <f t="shared" si="2"/>
        <v>110</v>
      </c>
      <c r="C1216" s="522">
        <v>0</v>
      </c>
      <c r="D1216" s="523">
        <v>0</v>
      </c>
      <c r="E1216" s="357">
        <v>55</v>
      </c>
      <c r="F1216" s="357" t="s">
        <v>2572</v>
      </c>
      <c r="G1216" s="357" t="s">
        <v>7119</v>
      </c>
      <c r="H1216" s="635" t="s">
        <v>7023</v>
      </c>
      <c r="I1216" s="453" t="s">
        <v>2731</v>
      </c>
      <c r="J1216" s="454" t="s">
        <v>16310</v>
      </c>
      <c r="K1216" s="454" t="s">
        <v>7056</v>
      </c>
    </row>
    <row r="1217" spans="1:11">
      <c r="A1217" s="456" t="s">
        <v>16149</v>
      </c>
      <c r="B1217" s="521">
        <f t="shared" si="2"/>
        <v>258</v>
      </c>
      <c r="C1217" s="522">
        <v>0</v>
      </c>
      <c r="D1217" s="523">
        <v>0</v>
      </c>
      <c r="E1217" s="357">
        <v>86</v>
      </c>
      <c r="F1217" s="357" t="s">
        <v>2578</v>
      </c>
      <c r="G1217" s="357" t="s">
        <v>7119</v>
      </c>
      <c r="H1217" s="634" t="s">
        <v>4551</v>
      </c>
      <c r="I1217" s="453" t="s">
        <v>2723</v>
      </c>
      <c r="J1217" s="454" t="s">
        <v>16340</v>
      </c>
      <c r="K1217" s="454" t="s">
        <v>7056</v>
      </c>
    </row>
    <row r="1218" spans="1:11">
      <c r="A1218" s="456" t="s">
        <v>9415</v>
      </c>
      <c r="B1218" s="521">
        <f t="shared" si="2"/>
        <v>150</v>
      </c>
      <c r="C1218" s="522">
        <v>0</v>
      </c>
      <c r="D1218" s="523">
        <v>0</v>
      </c>
      <c r="E1218" s="357">
        <v>30</v>
      </c>
      <c r="F1218" s="357" t="s">
        <v>2607</v>
      </c>
      <c r="G1218" s="357" t="s">
        <v>7119</v>
      </c>
      <c r="H1218" s="635"/>
      <c r="I1218" s="453" t="s">
        <v>2720</v>
      </c>
      <c r="J1218" s="454" t="s">
        <v>2720</v>
      </c>
      <c r="K1218" s="454" t="s">
        <v>7056</v>
      </c>
    </row>
    <row r="1219" spans="1:11">
      <c r="A1219" s="456" t="s">
        <v>10857</v>
      </c>
      <c r="B1219" s="521">
        <f t="shared" ref="B1219:B1286" si="4">ROUNDUP((IF(F1219="U",E1219*50,IF(F1219="ER",E1219*20,IF(F1219="TR",E1219*10,IF(F1219="R",E1219*5,IF(F1219="I",E1219*3,IF(F1219="AC",E1219*2,IF(F1219="C",E1219*1,IF(F1219="B",E1219/3,IF(F1219="TC",E1219/2)))))))))),0)</f>
        <v>100</v>
      </c>
      <c r="C1219" s="522">
        <v>0</v>
      </c>
      <c r="D1219" s="523">
        <v>0</v>
      </c>
      <c r="E1219" s="357">
        <v>20</v>
      </c>
      <c r="F1219" s="357" t="s">
        <v>2607</v>
      </c>
      <c r="G1219" s="357" t="s">
        <v>7119</v>
      </c>
      <c r="H1219" s="637" t="s">
        <v>4551</v>
      </c>
      <c r="I1219" s="453" t="s">
        <v>2723</v>
      </c>
      <c r="J1219" s="454" t="s">
        <v>2737</v>
      </c>
      <c r="K1219" s="454" t="s">
        <v>7056</v>
      </c>
    </row>
    <row r="1220" spans="1:11">
      <c r="A1220" s="456" t="s">
        <v>16353</v>
      </c>
      <c r="B1220" s="521">
        <f t="shared" si="4"/>
        <v>210</v>
      </c>
      <c r="C1220" s="522">
        <v>0</v>
      </c>
      <c r="D1220" s="523">
        <v>0</v>
      </c>
      <c r="E1220" s="357">
        <v>42</v>
      </c>
      <c r="F1220" s="357" t="s">
        <v>2607</v>
      </c>
      <c r="G1220" s="357" t="s">
        <v>7119</v>
      </c>
      <c r="H1220" s="634" t="s">
        <v>4551</v>
      </c>
      <c r="I1220" s="453" t="s">
        <v>2731</v>
      </c>
      <c r="J1220" s="454" t="s">
        <v>16352</v>
      </c>
      <c r="K1220" s="454" t="s">
        <v>7056</v>
      </c>
    </row>
    <row r="1221" spans="1:11">
      <c r="A1221" s="456" t="s">
        <v>16355</v>
      </c>
      <c r="B1221" s="521">
        <f t="shared" si="4"/>
        <v>86</v>
      </c>
      <c r="C1221" s="522">
        <v>0</v>
      </c>
      <c r="D1221" s="523">
        <v>0</v>
      </c>
      <c r="E1221" s="357">
        <v>43</v>
      </c>
      <c r="F1221" s="357" t="s">
        <v>2572</v>
      </c>
      <c r="G1221" s="357" t="s">
        <v>7119</v>
      </c>
      <c r="H1221" s="635" t="s">
        <v>7017</v>
      </c>
      <c r="I1221" s="453" t="s">
        <v>2731</v>
      </c>
      <c r="J1221" s="454" t="s">
        <v>16354</v>
      </c>
      <c r="K1221" s="454" t="s">
        <v>7056</v>
      </c>
    </row>
    <row r="1222" spans="1:11">
      <c r="A1222" s="456" t="s">
        <v>16357</v>
      </c>
      <c r="B1222" s="521">
        <f t="shared" si="4"/>
        <v>88</v>
      </c>
      <c r="C1222" s="522">
        <v>0</v>
      </c>
      <c r="D1222" s="523">
        <v>0</v>
      </c>
      <c r="E1222" s="357">
        <v>44</v>
      </c>
      <c r="F1222" s="357" t="s">
        <v>2572</v>
      </c>
      <c r="G1222" s="357" t="s">
        <v>7119</v>
      </c>
      <c r="H1222" s="635" t="s">
        <v>7010</v>
      </c>
      <c r="I1222" s="453" t="s">
        <v>2731</v>
      </c>
      <c r="J1222" s="454" t="s">
        <v>16356</v>
      </c>
      <c r="K1222" s="454" t="s">
        <v>7056</v>
      </c>
    </row>
    <row r="1223" spans="1:11">
      <c r="A1223" s="456" t="s">
        <v>9792</v>
      </c>
      <c r="B1223" s="521">
        <f t="shared" si="4"/>
        <v>100</v>
      </c>
      <c r="C1223" s="522">
        <v>0</v>
      </c>
      <c r="D1223" s="523">
        <v>0</v>
      </c>
      <c r="E1223" s="357">
        <v>20</v>
      </c>
      <c r="F1223" s="357" t="s">
        <v>2607</v>
      </c>
      <c r="G1223" s="357" t="s">
        <v>7119</v>
      </c>
      <c r="H1223" s="635" t="s">
        <v>9648</v>
      </c>
      <c r="I1223" s="453" t="s">
        <v>7054</v>
      </c>
      <c r="J1223" s="454" t="s">
        <v>7054</v>
      </c>
      <c r="K1223" s="454" t="s">
        <v>7055</v>
      </c>
    </row>
    <row r="1224" spans="1:11">
      <c r="A1224" s="456" t="s">
        <v>16277</v>
      </c>
      <c r="B1224" s="521">
        <f t="shared" si="4"/>
        <v>440</v>
      </c>
      <c r="C1224" s="522">
        <v>0</v>
      </c>
      <c r="D1224" s="523">
        <v>0</v>
      </c>
      <c r="E1224" s="357">
        <v>22</v>
      </c>
      <c r="F1224" s="357" t="s">
        <v>8801</v>
      </c>
      <c r="G1224" s="150" t="s">
        <v>7119</v>
      </c>
      <c r="H1224" s="634" t="s">
        <v>4551</v>
      </c>
      <c r="I1224" s="453" t="s">
        <v>2727</v>
      </c>
      <c r="J1224" s="454" t="s">
        <v>2727</v>
      </c>
      <c r="K1224" s="454" t="s">
        <v>7055</v>
      </c>
    </row>
    <row r="1225" spans="1:11">
      <c r="A1225" s="456" t="s">
        <v>16358</v>
      </c>
      <c r="B1225" s="521">
        <f t="shared" si="4"/>
        <v>80</v>
      </c>
      <c r="C1225" s="522">
        <v>0</v>
      </c>
      <c r="D1225" s="523">
        <v>0</v>
      </c>
      <c r="E1225" s="357">
        <v>40</v>
      </c>
      <c r="F1225" s="357" t="s">
        <v>2572</v>
      </c>
      <c r="G1225" s="150" t="s">
        <v>7119</v>
      </c>
      <c r="H1225" s="635" t="s">
        <v>7021</v>
      </c>
      <c r="I1225" s="453" t="s">
        <v>2731</v>
      </c>
      <c r="J1225" s="454" t="s">
        <v>16348</v>
      </c>
      <c r="K1225" s="454" t="s">
        <v>7056</v>
      </c>
    </row>
    <row r="1226" spans="1:11">
      <c r="A1226" s="456" t="s">
        <v>7076</v>
      </c>
      <c r="B1226" s="521">
        <f t="shared" si="4"/>
        <v>36</v>
      </c>
      <c r="C1226" s="522">
        <v>0</v>
      </c>
      <c r="D1226" s="523">
        <v>0</v>
      </c>
      <c r="E1226" s="357">
        <v>12</v>
      </c>
      <c r="F1226" s="357" t="s">
        <v>2578</v>
      </c>
      <c r="G1226" s="150" t="s">
        <v>7119</v>
      </c>
      <c r="H1226" s="635" t="s">
        <v>7077</v>
      </c>
      <c r="I1226" s="453" t="s">
        <v>7054</v>
      </c>
      <c r="J1226" s="454" t="s">
        <v>7054</v>
      </c>
      <c r="K1226" s="454" t="s">
        <v>7056</v>
      </c>
    </row>
    <row r="1227" spans="1:11">
      <c r="A1227" s="160" t="s">
        <v>16344</v>
      </c>
      <c r="B1227" s="521">
        <f t="shared" si="4"/>
        <v>150</v>
      </c>
      <c r="C1227" s="161">
        <v>0</v>
      </c>
      <c r="D1227" s="162">
        <v>0</v>
      </c>
      <c r="E1227" s="150">
        <v>30</v>
      </c>
      <c r="F1227" s="150" t="s">
        <v>2607</v>
      </c>
      <c r="G1227" s="150" t="s">
        <v>7119</v>
      </c>
      <c r="H1227" s="740" t="s">
        <v>4551</v>
      </c>
      <c r="I1227" s="453" t="s">
        <v>2731</v>
      </c>
      <c r="J1227" s="454" t="s">
        <v>16329</v>
      </c>
      <c r="K1227" s="454" t="s">
        <v>7056</v>
      </c>
    </row>
    <row r="1228" spans="1:11">
      <c r="A1228" s="456" t="s">
        <v>9090</v>
      </c>
      <c r="B1228" s="521">
        <f t="shared" si="4"/>
        <v>220</v>
      </c>
      <c r="C1228" s="161">
        <v>0</v>
      </c>
      <c r="D1228" s="162">
        <v>0</v>
      </c>
      <c r="E1228" s="357">
        <v>44</v>
      </c>
      <c r="F1228" s="357" t="s">
        <v>2607</v>
      </c>
      <c r="G1228" s="150" t="s">
        <v>7119</v>
      </c>
      <c r="H1228" s="635" t="s">
        <v>4866</v>
      </c>
      <c r="I1228" s="453" t="s">
        <v>2721</v>
      </c>
      <c r="J1228" s="454" t="s">
        <v>10843</v>
      </c>
      <c r="K1228" s="454" t="s">
        <v>7055</v>
      </c>
    </row>
    <row r="1229" spans="1:11">
      <c r="A1229" s="456" t="s">
        <v>9649</v>
      </c>
      <c r="B1229" s="521">
        <f t="shared" si="4"/>
        <v>110</v>
      </c>
      <c r="C1229" s="522">
        <v>0</v>
      </c>
      <c r="D1229" s="523">
        <v>0</v>
      </c>
      <c r="E1229" s="357">
        <v>55</v>
      </c>
      <c r="F1229" s="357" t="s">
        <v>2572</v>
      </c>
      <c r="G1229" s="150" t="s">
        <v>7119</v>
      </c>
      <c r="H1229" s="635" t="s">
        <v>9648</v>
      </c>
      <c r="I1229" s="453" t="s">
        <v>2731</v>
      </c>
      <c r="J1229" s="454" t="s">
        <v>16373</v>
      </c>
      <c r="K1229" s="454" t="s">
        <v>7056</v>
      </c>
    </row>
    <row r="1230" spans="1:11">
      <c r="A1230" s="160" t="s">
        <v>9967</v>
      </c>
      <c r="B1230" s="521">
        <f t="shared" si="4"/>
        <v>57</v>
      </c>
      <c r="C1230" s="161">
        <v>0</v>
      </c>
      <c r="D1230" s="162">
        <v>0</v>
      </c>
      <c r="E1230" s="150">
        <v>19</v>
      </c>
      <c r="F1230" s="150" t="s">
        <v>2578</v>
      </c>
      <c r="G1230" s="150" t="s">
        <v>7119</v>
      </c>
      <c r="H1230" s="637" t="s">
        <v>11157</v>
      </c>
      <c r="I1230" s="453" t="s">
        <v>7062</v>
      </c>
      <c r="J1230" s="454" t="s">
        <v>16325</v>
      </c>
      <c r="K1230" s="454" t="s">
        <v>7056</v>
      </c>
    </row>
    <row r="1231" spans="1:11">
      <c r="A1231" s="456" t="s">
        <v>16359</v>
      </c>
      <c r="B1231" s="521">
        <f t="shared" si="4"/>
        <v>86</v>
      </c>
      <c r="C1231" s="522">
        <v>0</v>
      </c>
      <c r="D1231" s="523">
        <v>0</v>
      </c>
      <c r="E1231" s="357">
        <v>43</v>
      </c>
      <c r="F1231" s="357" t="s">
        <v>2572</v>
      </c>
      <c r="G1231" s="150" t="s">
        <v>7119</v>
      </c>
      <c r="H1231" s="635" t="s">
        <v>7012</v>
      </c>
      <c r="I1231" s="453" t="s">
        <v>2731</v>
      </c>
      <c r="J1231" s="454" t="s">
        <v>16345</v>
      </c>
      <c r="K1231" s="454" t="s">
        <v>7056</v>
      </c>
    </row>
    <row r="1232" spans="1:11">
      <c r="A1232" s="150" t="s">
        <v>16237</v>
      </c>
      <c r="B1232" s="521">
        <f t="shared" si="4"/>
        <v>30</v>
      </c>
      <c r="C1232" s="161">
        <v>0</v>
      </c>
      <c r="D1232" s="162">
        <v>0</v>
      </c>
      <c r="E1232" s="150">
        <v>15</v>
      </c>
      <c r="F1232" s="150" t="s">
        <v>2572</v>
      </c>
      <c r="G1232" s="150" t="s">
        <v>7119</v>
      </c>
      <c r="H1232" s="636" t="s">
        <v>17484</v>
      </c>
      <c r="I1232" s="453" t="s">
        <v>12242</v>
      </c>
      <c r="J1232" s="454" t="s">
        <v>2737</v>
      </c>
      <c r="K1232" s="454" t="s">
        <v>7056</v>
      </c>
    </row>
    <row r="1233" spans="1:11">
      <c r="A1233" s="160" t="s">
        <v>12199</v>
      </c>
      <c r="B1233" s="521">
        <f t="shared" si="4"/>
        <v>20</v>
      </c>
      <c r="C1233" s="161">
        <v>0</v>
      </c>
      <c r="D1233" s="162">
        <v>0</v>
      </c>
      <c r="E1233" s="150">
        <v>10</v>
      </c>
      <c r="F1233" s="150" t="s">
        <v>2572</v>
      </c>
      <c r="G1233" s="150" t="s">
        <v>7119</v>
      </c>
      <c r="H1233" s="740" t="s">
        <v>4551</v>
      </c>
      <c r="I1233" s="453" t="s">
        <v>2723</v>
      </c>
      <c r="J1233" s="454" t="s">
        <v>2747</v>
      </c>
      <c r="K1233" s="454" t="s">
        <v>7056</v>
      </c>
    </row>
    <row r="1234" spans="1:11">
      <c r="A1234" s="160" t="s">
        <v>12200</v>
      </c>
      <c r="B1234" s="521">
        <f t="shared" si="4"/>
        <v>30</v>
      </c>
      <c r="C1234" s="161">
        <v>0</v>
      </c>
      <c r="D1234" s="162">
        <v>0</v>
      </c>
      <c r="E1234" s="150">
        <v>10</v>
      </c>
      <c r="F1234" s="150" t="s">
        <v>2578</v>
      </c>
      <c r="G1234" s="150" t="s">
        <v>7119</v>
      </c>
      <c r="H1234" s="740" t="s">
        <v>4551</v>
      </c>
      <c r="I1234" s="453" t="s">
        <v>2723</v>
      </c>
      <c r="J1234" s="454" t="s">
        <v>2747</v>
      </c>
      <c r="K1234" s="454" t="s">
        <v>7056</v>
      </c>
    </row>
    <row r="1235" spans="1:11">
      <c r="A1235" s="150" t="s">
        <v>16238</v>
      </c>
      <c r="B1235" s="521">
        <f t="shared" si="4"/>
        <v>38</v>
      </c>
      <c r="C1235" s="161">
        <v>0</v>
      </c>
      <c r="D1235" s="162">
        <v>0</v>
      </c>
      <c r="E1235" s="150">
        <v>19</v>
      </c>
      <c r="F1235" s="150" t="s">
        <v>2572</v>
      </c>
      <c r="G1235" s="150" t="s">
        <v>7119</v>
      </c>
      <c r="H1235" s="636" t="s">
        <v>16585</v>
      </c>
      <c r="I1235" s="453" t="s">
        <v>12242</v>
      </c>
      <c r="J1235" s="454" t="s">
        <v>2737</v>
      </c>
      <c r="K1235" s="454" t="s">
        <v>7056</v>
      </c>
    </row>
    <row r="1236" spans="1:11">
      <c r="A1236" s="456" t="s">
        <v>7126</v>
      </c>
      <c r="B1236" s="521">
        <f t="shared" si="4"/>
        <v>8</v>
      </c>
      <c r="C1236" s="522">
        <v>0</v>
      </c>
      <c r="D1236" s="523">
        <v>0</v>
      </c>
      <c r="E1236" s="357">
        <v>8</v>
      </c>
      <c r="F1236" s="357" t="s">
        <v>2574</v>
      </c>
      <c r="G1236" s="150" t="s">
        <v>7119</v>
      </c>
      <c r="H1236" s="635" t="s">
        <v>7082</v>
      </c>
      <c r="I1236" s="453" t="s">
        <v>2723</v>
      </c>
      <c r="J1236" s="454" t="s">
        <v>2737</v>
      </c>
      <c r="K1236" s="454" t="s">
        <v>7056</v>
      </c>
    </row>
    <row r="1237" spans="1:11">
      <c r="A1237" s="160" t="s">
        <v>9440</v>
      </c>
      <c r="B1237" s="521">
        <f t="shared" si="4"/>
        <v>50</v>
      </c>
      <c r="C1237" s="161">
        <v>0</v>
      </c>
      <c r="D1237" s="162">
        <v>0</v>
      </c>
      <c r="E1237" s="150">
        <v>25</v>
      </c>
      <c r="F1237" s="150" t="s">
        <v>2572</v>
      </c>
      <c r="G1237" s="150" t="s">
        <v>7119</v>
      </c>
      <c r="H1237" s="636" t="s">
        <v>17484</v>
      </c>
      <c r="I1237" s="453" t="s">
        <v>7062</v>
      </c>
      <c r="J1237" s="454" t="s">
        <v>16342</v>
      </c>
      <c r="K1237" s="454" t="s">
        <v>7056</v>
      </c>
    </row>
    <row r="1238" spans="1:11">
      <c r="A1238" s="456" t="s">
        <v>7080</v>
      </c>
      <c r="B1238" s="521">
        <f t="shared" si="4"/>
        <v>55</v>
      </c>
      <c r="C1238" s="522">
        <v>0</v>
      </c>
      <c r="D1238" s="523">
        <v>0</v>
      </c>
      <c r="E1238" s="357">
        <v>11</v>
      </c>
      <c r="F1238" s="357" t="s">
        <v>2607</v>
      </c>
      <c r="G1238" s="150" t="s">
        <v>7119</v>
      </c>
      <c r="H1238" s="635" t="s">
        <v>7081</v>
      </c>
      <c r="I1238" s="453" t="s">
        <v>7054</v>
      </c>
      <c r="J1238" s="454" t="s">
        <v>7054</v>
      </c>
      <c r="K1238" s="454" t="s">
        <v>7055</v>
      </c>
    </row>
    <row r="1239" spans="1:11">
      <c r="A1239" s="160" t="s">
        <v>7096</v>
      </c>
      <c r="B1239" s="521">
        <f t="shared" si="4"/>
        <v>1400</v>
      </c>
      <c r="C1239" s="161">
        <v>0</v>
      </c>
      <c r="D1239" s="162">
        <v>0</v>
      </c>
      <c r="E1239" s="150">
        <v>70</v>
      </c>
      <c r="F1239" s="150" t="s">
        <v>8801</v>
      </c>
      <c r="G1239" s="150" t="s">
        <v>7119</v>
      </c>
      <c r="H1239" s="636" t="s">
        <v>7095</v>
      </c>
      <c r="I1239" s="453" t="s">
        <v>2727</v>
      </c>
      <c r="J1239" s="454" t="s">
        <v>2727</v>
      </c>
      <c r="K1239" s="454" t="s">
        <v>7055</v>
      </c>
    </row>
    <row r="1240" spans="1:11">
      <c r="A1240" s="456" t="s">
        <v>9086</v>
      </c>
      <c r="B1240" s="521">
        <f t="shared" si="4"/>
        <v>10</v>
      </c>
      <c r="C1240" s="522">
        <v>0</v>
      </c>
      <c r="D1240" s="523">
        <v>0</v>
      </c>
      <c r="E1240" s="357">
        <v>10</v>
      </c>
      <c r="F1240" s="357" t="s">
        <v>2574</v>
      </c>
      <c r="G1240" s="150" t="s">
        <v>7119</v>
      </c>
      <c r="H1240" s="635" t="s">
        <v>9088</v>
      </c>
      <c r="I1240" s="453" t="s">
        <v>2728</v>
      </c>
      <c r="J1240" s="454" t="s">
        <v>2728</v>
      </c>
      <c r="K1240" s="454" t="s">
        <v>7056</v>
      </c>
    </row>
    <row r="1241" spans="1:11">
      <c r="A1241" s="456" t="s">
        <v>9760</v>
      </c>
      <c r="B1241" s="521">
        <f t="shared" si="4"/>
        <v>110</v>
      </c>
      <c r="C1241" s="522">
        <v>0</v>
      </c>
      <c r="D1241" s="523">
        <v>0</v>
      </c>
      <c r="E1241" s="357">
        <v>55</v>
      </c>
      <c r="F1241" s="357" t="s">
        <v>2572</v>
      </c>
      <c r="G1241" s="150" t="s">
        <v>7119</v>
      </c>
      <c r="H1241" s="635" t="s">
        <v>9761</v>
      </c>
      <c r="I1241" s="453" t="s">
        <v>2723</v>
      </c>
      <c r="J1241" s="454" t="s">
        <v>2750</v>
      </c>
      <c r="K1241" s="454" t="s">
        <v>7056</v>
      </c>
    </row>
    <row r="1242" spans="1:11">
      <c r="A1242" s="160" t="s">
        <v>16360</v>
      </c>
      <c r="B1242" s="521">
        <f t="shared" si="4"/>
        <v>162</v>
      </c>
      <c r="C1242" s="161">
        <v>0</v>
      </c>
      <c r="D1242" s="162">
        <v>0</v>
      </c>
      <c r="E1242" s="150">
        <v>54</v>
      </c>
      <c r="F1242" s="150" t="s">
        <v>2578</v>
      </c>
      <c r="G1242" s="150" t="s">
        <v>7119</v>
      </c>
      <c r="H1242" s="636" t="s">
        <v>7018</v>
      </c>
      <c r="I1242" s="453" t="s">
        <v>2731</v>
      </c>
      <c r="J1242" s="454" t="s">
        <v>6351</v>
      </c>
      <c r="K1242" s="454" t="s">
        <v>7056</v>
      </c>
    </row>
    <row r="1243" spans="1:11">
      <c r="A1243" s="456" t="s">
        <v>16474</v>
      </c>
      <c r="B1243" s="521">
        <f t="shared" si="4"/>
        <v>162</v>
      </c>
      <c r="C1243" s="522">
        <v>0</v>
      </c>
      <c r="D1243" s="523">
        <v>0</v>
      </c>
      <c r="E1243" s="357">
        <v>54</v>
      </c>
      <c r="F1243" s="357" t="s">
        <v>2578</v>
      </c>
      <c r="G1243" s="150" t="s">
        <v>7119</v>
      </c>
      <c r="H1243" s="634" t="s">
        <v>4551</v>
      </c>
      <c r="I1243" s="453" t="s">
        <v>2723</v>
      </c>
      <c r="J1243" s="454" t="s">
        <v>2747</v>
      </c>
      <c r="K1243" s="454" t="s">
        <v>7056</v>
      </c>
    </row>
    <row r="1244" spans="1:11">
      <c r="A1244" s="456" t="s">
        <v>16361</v>
      </c>
      <c r="B1244" s="521">
        <f t="shared" si="4"/>
        <v>92</v>
      </c>
      <c r="C1244" s="161">
        <v>0</v>
      </c>
      <c r="D1244" s="162">
        <v>0</v>
      </c>
      <c r="E1244" s="357">
        <v>46</v>
      </c>
      <c r="F1244" s="357" t="s">
        <v>2572</v>
      </c>
      <c r="G1244" s="150" t="s">
        <v>7119</v>
      </c>
      <c r="H1244" s="635" t="s">
        <v>7017</v>
      </c>
      <c r="I1244" s="453" t="s">
        <v>2731</v>
      </c>
      <c r="J1244" s="454" t="s">
        <v>16354</v>
      </c>
      <c r="K1244" s="454" t="s">
        <v>7056</v>
      </c>
    </row>
    <row r="1245" spans="1:11">
      <c r="A1245" s="160" t="s">
        <v>16628</v>
      </c>
      <c r="B1245" s="521">
        <f t="shared" si="4"/>
        <v>30</v>
      </c>
      <c r="C1245" s="161">
        <v>0</v>
      </c>
      <c r="D1245" s="162">
        <v>0</v>
      </c>
      <c r="E1245" s="150">
        <v>10</v>
      </c>
      <c r="F1245" s="150" t="s">
        <v>2578</v>
      </c>
      <c r="G1245" s="150" t="s">
        <v>7119</v>
      </c>
      <c r="H1245" s="636" t="s">
        <v>7035</v>
      </c>
      <c r="I1245" s="453" t="s">
        <v>2723</v>
      </c>
      <c r="K1245" s="454" t="s">
        <v>7056</v>
      </c>
    </row>
    <row r="1246" spans="1:11">
      <c r="A1246" s="160" t="s">
        <v>16363</v>
      </c>
      <c r="B1246" s="521">
        <f t="shared" si="4"/>
        <v>94</v>
      </c>
      <c r="C1246" s="161">
        <v>0</v>
      </c>
      <c r="D1246" s="162">
        <v>0</v>
      </c>
      <c r="E1246" s="150">
        <v>47</v>
      </c>
      <c r="F1246" s="150" t="s">
        <v>2572</v>
      </c>
      <c r="G1246" s="150" t="s">
        <v>7119</v>
      </c>
      <c r="H1246" s="636" t="s">
        <v>7010</v>
      </c>
      <c r="I1246" s="453" t="s">
        <v>2731</v>
      </c>
      <c r="J1246" s="454" t="s">
        <v>16362</v>
      </c>
      <c r="K1246" s="454" t="s">
        <v>7056</v>
      </c>
    </row>
    <row r="1247" spans="1:11">
      <c r="A1247" s="149" t="s">
        <v>14750</v>
      </c>
      <c r="B1247" s="521">
        <f t="shared" si="4"/>
        <v>38</v>
      </c>
      <c r="C1247" s="161">
        <v>0</v>
      </c>
      <c r="D1247" s="162">
        <v>0</v>
      </c>
      <c r="E1247" s="150">
        <v>19</v>
      </c>
      <c r="F1247" s="150" t="s">
        <v>2572</v>
      </c>
      <c r="G1247" s="150" t="s">
        <v>7119</v>
      </c>
      <c r="H1247" s="636" t="s">
        <v>17484</v>
      </c>
      <c r="I1247" s="453" t="s">
        <v>12242</v>
      </c>
      <c r="J1247" s="454" t="s">
        <v>2738</v>
      </c>
      <c r="K1247" s="454" t="s">
        <v>7056</v>
      </c>
    </row>
    <row r="1248" spans="1:11">
      <c r="A1248" s="456" t="s">
        <v>16364</v>
      </c>
      <c r="B1248" s="521">
        <f t="shared" si="4"/>
        <v>96</v>
      </c>
      <c r="C1248" s="522">
        <v>0</v>
      </c>
      <c r="D1248" s="523">
        <v>0</v>
      </c>
      <c r="E1248" s="357">
        <v>48</v>
      </c>
      <c r="F1248" s="357" t="s">
        <v>2572</v>
      </c>
      <c r="G1248" s="150" t="s">
        <v>7119</v>
      </c>
      <c r="H1248" s="635" t="s">
        <v>7010</v>
      </c>
      <c r="I1248" s="453" t="s">
        <v>2731</v>
      </c>
      <c r="J1248" s="454" t="s">
        <v>16356</v>
      </c>
      <c r="K1248" s="454" t="s">
        <v>7056</v>
      </c>
    </row>
    <row r="1249" spans="1:11">
      <c r="A1249" s="160" t="s">
        <v>9949</v>
      </c>
      <c r="B1249" s="521">
        <f t="shared" si="4"/>
        <v>30</v>
      </c>
      <c r="C1249" s="161">
        <v>0</v>
      </c>
      <c r="D1249" s="162">
        <v>0</v>
      </c>
      <c r="E1249" s="150">
        <v>30</v>
      </c>
      <c r="F1249" s="150" t="s">
        <v>2574</v>
      </c>
      <c r="G1249" s="150" t="s">
        <v>7119</v>
      </c>
      <c r="H1249" s="636" t="s">
        <v>9950</v>
      </c>
      <c r="I1249" s="453" t="s">
        <v>7054</v>
      </c>
      <c r="J1249" s="454" t="s">
        <v>7054</v>
      </c>
      <c r="K1249" s="454" t="s">
        <v>7056</v>
      </c>
    </row>
    <row r="1250" spans="1:11">
      <c r="A1250" s="456" t="s">
        <v>7103</v>
      </c>
      <c r="B1250" s="521">
        <f t="shared" si="4"/>
        <v>120</v>
      </c>
      <c r="C1250" s="161">
        <v>0</v>
      </c>
      <c r="D1250" s="162">
        <v>0</v>
      </c>
      <c r="E1250" s="357">
        <v>24</v>
      </c>
      <c r="F1250" s="357" t="s">
        <v>2607</v>
      </c>
      <c r="G1250" s="150" t="s">
        <v>7119</v>
      </c>
      <c r="H1250" s="635" t="s">
        <v>7104</v>
      </c>
      <c r="I1250" s="453" t="s">
        <v>7062</v>
      </c>
      <c r="J1250" s="454" t="s">
        <v>16325</v>
      </c>
      <c r="K1250" s="454" t="s">
        <v>7055</v>
      </c>
    </row>
    <row r="1251" spans="1:11">
      <c r="A1251" s="160" t="s">
        <v>7208</v>
      </c>
      <c r="B1251" s="521">
        <f t="shared" si="4"/>
        <v>90</v>
      </c>
      <c r="C1251" s="161">
        <v>0</v>
      </c>
      <c r="D1251" s="162">
        <v>0</v>
      </c>
      <c r="E1251" s="150">
        <v>18</v>
      </c>
      <c r="F1251" s="150" t="s">
        <v>2607</v>
      </c>
      <c r="G1251" s="150" t="s">
        <v>7119</v>
      </c>
      <c r="H1251" s="636" t="s">
        <v>7209</v>
      </c>
      <c r="I1251" s="453" t="s">
        <v>16271</v>
      </c>
      <c r="J1251" s="454" t="s">
        <v>16271</v>
      </c>
      <c r="K1251" s="454" t="s">
        <v>7055</v>
      </c>
    </row>
    <row r="1252" spans="1:11">
      <c r="A1252" s="160" t="s">
        <v>15291</v>
      </c>
      <c r="B1252" s="521">
        <f t="shared" si="4"/>
        <v>110</v>
      </c>
      <c r="C1252" s="161">
        <v>0</v>
      </c>
      <c r="D1252" s="162">
        <v>0</v>
      </c>
      <c r="E1252" s="150">
        <v>22</v>
      </c>
      <c r="F1252" s="150" t="s">
        <v>2607</v>
      </c>
      <c r="G1252" s="150" t="s">
        <v>7119</v>
      </c>
      <c r="H1252" s="636" t="s">
        <v>15290</v>
      </c>
      <c r="I1252" s="453" t="s">
        <v>2725</v>
      </c>
      <c r="J1252" s="454" t="s">
        <v>2725</v>
      </c>
      <c r="K1252" s="454" t="s">
        <v>7055</v>
      </c>
    </row>
    <row r="1253" spans="1:11">
      <c r="A1253" s="456" t="s">
        <v>16612</v>
      </c>
      <c r="B1253" s="521">
        <f t="shared" si="4"/>
        <v>165</v>
      </c>
      <c r="C1253" s="161">
        <v>0</v>
      </c>
      <c r="D1253" s="162">
        <v>0</v>
      </c>
      <c r="E1253" s="357">
        <v>33</v>
      </c>
      <c r="F1253" s="357" t="s">
        <v>2607</v>
      </c>
      <c r="G1253" s="150" t="s">
        <v>7119</v>
      </c>
      <c r="H1253" s="634" t="s">
        <v>4551</v>
      </c>
      <c r="I1253" s="453" t="s">
        <v>2731</v>
      </c>
      <c r="J1253" s="454" t="s">
        <v>16614</v>
      </c>
      <c r="K1253" s="454" t="s">
        <v>7055</v>
      </c>
    </row>
    <row r="1254" spans="1:11">
      <c r="A1254" s="160" t="s">
        <v>16336</v>
      </c>
      <c r="B1254" s="521">
        <f t="shared" si="4"/>
        <v>350</v>
      </c>
      <c r="C1254" s="161">
        <v>0</v>
      </c>
      <c r="D1254" s="162">
        <v>0</v>
      </c>
      <c r="E1254" s="150">
        <v>35</v>
      </c>
      <c r="F1254" s="150" t="s">
        <v>2608</v>
      </c>
      <c r="G1254" s="150" t="s">
        <v>7119</v>
      </c>
      <c r="H1254" s="740" t="s">
        <v>4551</v>
      </c>
      <c r="I1254" s="453" t="s">
        <v>2731</v>
      </c>
      <c r="J1254" s="454" t="s">
        <v>16330</v>
      </c>
      <c r="K1254" s="454" t="s">
        <v>7055</v>
      </c>
    </row>
    <row r="1255" spans="1:11">
      <c r="A1255" s="160" t="s">
        <v>7038</v>
      </c>
      <c r="B1255" s="521">
        <f t="shared" si="4"/>
        <v>560</v>
      </c>
      <c r="C1255" s="161">
        <v>0</v>
      </c>
      <c r="D1255" s="162">
        <v>0</v>
      </c>
      <c r="E1255" s="163">
        <v>56</v>
      </c>
      <c r="F1255" s="150" t="s">
        <v>2608</v>
      </c>
      <c r="G1255" s="150" t="s">
        <v>7119</v>
      </c>
      <c r="H1255" s="636" t="s">
        <v>7039</v>
      </c>
      <c r="I1255" s="453" t="s">
        <v>2726</v>
      </c>
      <c r="J1255" s="454" t="s">
        <v>2726</v>
      </c>
      <c r="K1255" s="454" t="s">
        <v>7055</v>
      </c>
    </row>
    <row r="1256" spans="1:11">
      <c r="A1256" s="160" t="s">
        <v>16337</v>
      </c>
      <c r="B1256" s="521">
        <f t="shared" si="4"/>
        <v>450</v>
      </c>
      <c r="C1256" s="161">
        <v>0</v>
      </c>
      <c r="D1256" s="162">
        <v>0</v>
      </c>
      <c r="E1256" s="150">
        <v>45</v>
      </c>
      <c r="F1256" s="150" t="s">
        <v>2608</v>
      </c>
      <c r="G1256" s="150" t="s">
        <v>7119</v>
      </c>
      <c r="H1256" s="740" t="s">
        <v>4551</v>
      </c>
      <c r="I1256" s="453" t="s">
        <v>2731</v>
      </c>
      <c r="J1256" s="454" t="s">
        <v>16331</v>
      </c>
      <c r="K1256" s="454" t="s">
        <v>7055</v>
      </c>
    </row>
    <row r="1257" spans="1:11">
      <c r="A1257" s="456" t="s">
        <v>16365</v>
      </c>
      <c r="B1257" s="521">
        <f t="shared" si="4"/>
        <v>98</v>
      </c>
      <c r="C1257" s="522">
        <v>0</v>
      </c>
      <c r="D1257" s="523">
        <v>0</v>
      </c>
      <c r="E1257" s="357">
        <v>49</v>
      </c>
      <c r="F1257" s="150" t="s">
        <v>2572</v>
      </c>
      <c r="G1257" s="150" t="s">
        <v>7119</v>
      </c>
      <c r="H1257" s="635" t="s">
        <v>7029</v>
      </c>
      <c r="I1257" s="453" t="s">
        <v>2731</v>
      </c>
      <c r="J1257" s="454" t="s">
        <v>16350</v>
      </c>
      <c r="K1257" s="454" t="s">
        <v>7056</v>
      </c>
    </row>
    <row r="1258" spans="1:11">
      <c r="A1258" s="160" t="s">
        <v>16620</v>
      </c>
      <c r="B1258" s="521">
        <f t="shared" si="4"/>
        <v>800</v>
      </c>
      <c r="C1258" s="161">
        <v>0</v>
      </c>
      <c r="D1258" s="162">
        <v>0</v>
      </c>
      <c r="E1258" s="150">
        <v>80</v>
      </c>
      <c r="F1258" s="150" t="s">
        <v>2608</v>
      </c>
      <c r="G1258" s="150" t="s">
        <v>7119</v>
      </c>
      <c r="H1258" s="636" t="s">
        <v>4398</v>
      </c>
      <c r="I1258" s="453" t="s">
        <v>5484</v>
      </c>
      <c r="J1258" s="454" t="s">
        <v>16327</v>
      </c>
      <c r="K1258" s="454" t="s">
        <v>7055</v>
      </c>
    </row>
    <row r="1259" spans="1:11">
      <c r="A1259" s="160" t="s">
        <v>7013</v>
      </c>
      <c r="B1259" s="521">
        <f t="shared" si="4"/>
        <v>104</v>
      </c>
      <c r="C1259" s="161">
        <v>0</v>
      </c>
      <c r="D1259" s="162">
        <v>0</v>
      </c>
      <c r="E1259" s="150">
        <v>52</v>
      </c>
      <c r="F1259" s="150" t="s">
        <v>2572</v>
      </c>
      <c r="G1259" s="150" t="s">
        <v>7119</v>
      </c>
      <c r="H1259" s="636" t="s">
        <v>7012</v>
      </c>
      <c r="I1259" s="453" t="s">
        <v>2731</v>
      </c>
      <c r="J1259" s="454" t="s">
        <v>16345</v>
      </c>
      <c r="K1259" s="454" t="s">
        <v>7056</v>
      </c>
    </row>
    <row r="1260" spans="1:11">
      <c r="A1260" s="456" t="s">
        <v>16619</v>
      </c>
      <c r="B1260" s="521">
        <f t="shared" si="4"/>
        <v>800</v>
      </c>
      <c r="C1260" s="161">
        <v>0</v>
      </c>
      <c r="D1260" s="162">
        <v>0</v>
      </c>
      <c r="E1260" s="357">
        <v>40</v>
      </c>
      <c r="F1260" s="357" t="s">
        <v>8801</v>
      </c>
      <c r="G1260" s="150" t="s">
        <v>7119</v>
      </c>
      <c r="H1260" s="634" t="s">
        <v>4551</v>
      </c>
      <c r="I1260" s="453" t="s">
        <v>2727</v>
      </c>
      <c r="J1260" s="454" t="s">
        <v>2727</v>
      </c>
      <c r="K1260" s="454" t="s">
        <v>7055</v>
      </c>
    </row>
    <row r="1261" spans="1:11">
      <c r="A1261" s="456" t="s">
        <v>16621</v>
      </c>
      <c r="B1261" s="521">
        <f t="shared" si="4"/>
        <v>510</v>
      </c>
      <c r="C1261" s="522">
        <v>0</v>
      </c>
      <c r="D1261" s="523">
        <v>0</v>
      </c>
      <c r="E1261" s="357">
        <v>51</v>
      </c>
      <c r="F1261" s="357" t="s">
        <v>2608</v>
      </c>
      <c r="G1261" s="150" t="s">
        <v>7119</v>
      </c>
      <c r="H1261" s="634" t="s">
        <v>4551</v>
      </c>
      <c r="I1261" s="453" t="s">
        <v>2721</v>
      </c>
      <c r="J1261" s="454" t="s">
        <v>10843</v>
      </c>
      <c r="K1261" s="454" t="s">
        <v>7055</v>
      </c>
    </row>
    <row r="1262" spans="1:11">
      <c r="A1262" s="160" t="s">
        <v>16338</v>
      </c>
      <c r="B1262" s="521">
        <f t="shared" si="4"/>
        <v>500</v>
      </c>
      <c r="C1262" s="161">
        <v>0</v>
      </c>
      <c r="D1262" s="162">
        <v>0</v>
      </c>
      <c r="E1262" s="150">
        <v>50</v>
      </c>
      <c r="F1262" s="150" t="s">
        <v>2608</v>
      </c>
      <c r="G1262" s="150" t="s">
        <v>7119</v>
      </c>
      <c r="H1262" s="740" t="s">
        <v>4551</v>
      </c>
      <c r="I1262" s="453" t="s">
        <v>2731</v>
      </c>
      <c r="J1262" s="454" t="s">
        <v>16332</v>
      </c>
      <c r="K1262" s="454" t="s">
        <v>7055</v>
      </c>
    </row>
    <row r="1263" spans="1:11">
      <c r="A1263" s="160" t="s">
        <v>16339</v>
      </c>
      <c r="B1263" s="521">
        <f t="shared" si="4"/>
        <v>450</v>
      </c>
      <c r="C1263" s="161">
        <v>0</v>
      </c>
      <c r="D1263" s="162">
        <v>0</v>
      </c>
      <c r="E1263" s="150">
        <v>45</v>
      </c>
      <c r="F1263" s="150" t="s">
        <v>2608</v>
      </c>
      <c r="G1263" s="150" t="s">
        <v>7119</v>
      </c>
      <c r="H1263" s="740" t="s">
        <v>4551</v>
      </c>
      <c r="I1263" s="453" t="s">
        <v>2731</v>
      </c>
      <c r="J1263" s="454" t="s">
        <v>16333</v>
      </c>
      <c r="K1263" s="454" t="s">
        <v>7055</v>
      </c>
    </row>
    <row r="1264" spans="1:11">
      <c r="A1264" s="456" t="s">
        <v>16366</v>
      </c>
      <c r="B1264" s="521">
        <f t="shared" si="4"/>
        <v>300</v>
      </c>
      <c r="C1264" s="161">
        <v>0</v>
      </c>
      <c r="D1264" s="162">
        <v>0</v>
      </c>
      <c r="E1264" s="357">
        <v>30</v>
      </c>
      <c r="F1264" s="357" t="s">
        <v>2608</v>
      </c>
      <c r="G1264" s="150" t="s">
        <v>7119</v>
      </c>
      <c r="H1264" s="637" t="s">
        <v>4551</v>
      </c>
      <c r="I1264" s="453" t="s">
        <v>2731</v>
      </c>
      <c r="J1264" s="454" t="s">
        <v>16329</v>
      </c>
      <c r="K1264" s="454" t="s">
        <v>7055</v>
      </c>
    </row>
    <row r="1265" spans="1:11">
      <c r="A1265" s="456" t="s">
        <v>7108</v>
      </c>
      <c r="B1265" s="521">
        <f t="shared" si="4"/>
        <v>215</v>
      </c>
      <c r="C1265" s="161">
        <v>0</v>
      </c>
      <c r="D1265" s="162">
        <v>0</v>
      </c>
      <c r="E1265" s="150">
        <v>43</v>
      </c>
      <c r="F1265" s="150" t="s">
        <v>2607</v>
      </c>
      <c r="G1265" s="150" t="s">
        <v>7119</v>
      </c>
      <c r="H1265" s="635" t="s">
        <v>17484</v>
      </c>
      <c r="I1265" s="453" t="s">
        <v>2731</v>
      </c>
      <c r="J1265" s="454" t="s">
        <v>16367</v>
      </c>
      <c r="K1265" s="454" t="s">
        <v>7055</v>
      </c>
    </row>
    <row r="1266" spans="1:11">
      <c r="A1266" s="160" t="s">
        <v>16150</v>
      </c>
      <c r="B1266" s="521">
        <f t="shared" si="4"/>
        <v>220</v>
      </c>
      <c r="C1266" s="161">
        <v>0</v>
      </c>
      <c r="D1266" s="162">
        <v>0</v>
      </c>
      <c r="E1266" s="150">
        <v>22</v>
      </c>
      <c r="F1266" s="150" t="s">
        <v>2608</v>
      </c>
      <c r="G1266" s="150" t="s">
        <v>7119</v>
      </c>
      <c r="H1266" s="636" t="s">
        <v>16151</v>
      </c>
      <c r="I1266" s="453" t="s">
        <v>7054</v>
      </c>
      <c r="J1266" s="454" t="s">
        <v>7054</v>
      </c>
      <c r="K1266" s="454" t="s">
        <v>7056</v>
      </c>
    </row>
    <row r="1267" spans="1:11">
      <c r="A1267" s="456" t="s">
        <v>16368</v>
      </c>
      <c r="B1267" s="521">
        <f t="shared" si="4"/>
        <v>80</v>
      </c>
      <c r="C1267" s="161">
        <v>0</v>
      </c>
      <c r="D1267" s="162">
        <v>0</v>
      </c>
      <c r="E1267" s="150">
        <v>40</v>
      </c>
      <c r="F1267" s="150" t="s">
        <v>2572</v>
      </c>
      <c r="G1267" s="150" t="s">
        <v>7119</v>
      </c>
      <c r="H1267" s="634" t="s">
        <v>4551</v>
      </c>
      <c r="I1267" s="453" t="s">
        <v>2731</v>
      </c>
      <c r="J1267" s="454" t="s">
        <v>16332</v>
      </c>
      <c r="K1267" s="454" t="s">
        <v>7055</v>
      </c>
    </row>
    <row r="1268" spans="1:11">
      <c r="A1268" s="160" t="s">
        <v>9790</v>
      </c>
      <c r="B1268" s="521">
        <f t="shared" si="4"/>
        <v>210</v>
      </c>
      <c r="C1268" s="161">
        <v>0</v>
      </c>
      <c r="D1268" s="162">
        <v>0</v>
      </c>
      <c r="E1268" s="150">
        <v>21</v>
      </c>
      <c r="F1268" s="150" t="s">
        <v>2608</v>
      </c>
      <c r="G1268" s="150" t="s">
        <v>7119</v>
      </c>
      <c r="H1268" s="636" t="s">
        <v>9789</v>
      </c>
      <c r="I1268" s="453" t="s">
        <v>2727</v>
      </c>
      <c r="J1268" s="454" t="s">
        <v>2727</v>
      </c>
      <c r="K1268" s="454" t="s">
        <v>7055</v>
      </c>
    </row>
    <row r="1269" spans="1:11">
      <c r="A1269" s="150" t="s">
        <v>4780</v>
      </c>
      <c r="B1269" s="521">
        <f t="shared" si="4"/>
        <v>350</v>
      </c>
      <c r="C1269" s="155">
        <v>0</v>
      </c>
      <c r="D1269" s="156">
        <v>0</v>
      </c>
      <c r="E1269" s="157">
        <v>35</v>
      </c>
      <c r="F1269" s="147" t="s">
        <v>2608</v>
      </c>
      <c r="G1269" s="150" t="s">
        <v>7119</v>
      </c>
      <c r="H1269" s="636" t="s">
        <v>9381</v>
      </c>
      <c r="I1269" s="453"/>
      <c r="K1269" s="454"/>
    </row>
    <row r="1270" spans="1:11">
      <c r="A1270" s="357" t="s">
        <v>4781</v>
      </c>
      <c r="B1270" s="521">
        <f t="shared" si="4"/>
        <v>200</v>
      </c>
      <c r="C1270" s="155">
        <v>0</v>
      </c>
      <c r="D1270" s="156">
        <v>0</v>
      </c>
      <c r="E1270" s="157">
        <v>20</v>
      </c>
      <c r="F1270" s="535" t="s">
        <v>2608</v>
      </c>
      <c r="G1270" s="150" t="s">
        <v>7119</v>
      </c>
      <c r="H1270" s="635" t="s">
        <v>9381</v>
      </c>
      <c r="I1270" s="453"/>
      <c r="K1270" s="454"/>
    </row>
    <row r="1271" spans="1:11">
      <c r="A1271" s="150" t="s">
        <v>7118</v>
      </c>
      <c r="B1271" s="521">
        <f t="shared" si="4"/>
        <v>10</v>
      </c>
      <c r="C1271" s="161">
        <v>0</v>
      </c>
      <c r="D1271" s="162">
        <v>0</v>
      </c>
      <c r="E1271" s="150">
        <v>10</v>
      </c>
      <c r="F1271" s="150" t="s">
        <v>2574</v>
      </c>
      <c r="G1271" s="150" t="s">
        <v>7119</v>
      </c>
      <c r="H1271" s="636" t="s">
        <v>17484</v>
      </c>
      <c r="I1271" s="453" t="s">
        <v>12242</v>
      </c>
      <c r="J1271" s="454" t="s">
        <v>2737</v>
      </c>
      <c r="K1271" s="454" t="s">
        <v>7056</v>
      </c>
    </row>
    <row r="1272" spans="1:11">
      <c r="A1272" s="456" t="s">
        <v>16596</v>
      </c>
      <c r="B1272" s="521">
        <f t="shared" ref="B1272" si="5">ROUNDUP((IF(F1272="U",E1272*50,IF(F1272="ER",E1272*20,IF(F1272="TR",E1272*10,IF(F1272="R",E1272*5,IF(F1272="I",E1272*3,IF(F1272="AC",E1272*2,IF(F1272="C",E1272*1,IF(F1272="B",E1272/3,IF(F1272="TC",E1272/2)))))))))),0)</f>
        <v>330</v>
      </c>
      <c r="C1272" s="161">
        <v>0</v>
      </c>
      <c r="D1272" s="162">
        <v>0</v>
      </c>
      <c r="E1272" s="150">
        <v>33</v>
      </c>
      <c r="F1272" s="357" t="s">
        <v>2608</v>
      </c>
      <c r="G1272" s="150" t="s">
        <v>7119</v>
      </c>
      <c r="H1272" s="634" t="s">
        <v>4551</v>
      </c>
      <c r="I1272" s="453" t="s">
        <v>2731</v>
      </c>
      <c r="J1272" s="454" t="s">
        <v>16597</v>
      </c>
      <c r="K1272" s="454" t="s">
        <v>7055</v>
      </c>
    </row>
    <row r="1273" spans="1:11">
      <c r="A1273" s="456" t="s">
        <v>7106</v>
      </c>
      <c r="B1273" s="521">
        <f t="shared" si="4"/>
        <v>36</v>
      </c>
      <c r="C1273" s="161">
        <v>0</v>
      </c>
      <c r="D1273" s="162">
        <v>0</v>
      </c>
      <c r="E1273" s="150">
        <v>18</v>
      </c>
      <c r="F1273" s="150" t="s">
        <v>2572</v>
      </c>
      <c r="G1273" s="150" t="s">
        <v>7119</v>
      </c>
      <c r="H1273" s="635"/>
      <c r="I1273" s="453" t="s">
        <v>7062</v>
      </c>
      <c r="J1273" s="454" t="s">
        <v>16317</v>
      </c>
      <c r="K1273" s="454" t="s">
        <v>7056</v>
      </c>
    </row>
    <row r="1274" spans="1:11">
      <c r="A1274" s="357" t="s">
        <v>7092</v>
      </c>
      <c r="B1274" s="521">
        <f t="shared" si="4"/>
        <v>500</v>
      </c>
      <c r="C1274" s="161">
        <v>0</v>
      </c>
      <c r="D1274" s="162">
        <v>0</v>
      </c>
      <c r="E1274" s="357">
        <v>100</v>
      </c>
      <c r="F1274" s="150" t="s">
        <v>2607</v>
      </c>
      <c r="G1274" s="150" t="s">
        <v>7119</v>
      </c>
      <c r="H1274" s="636" t="s">
        <v>17484</v>
      </c>
      <c r="I1274" s="453" t="s">
        <v>2722</v>
      </c>
      <c r="J1274" s="454" t="s">
        <v>16340</v>
      </c>
      <c r="K1274" s="454" t="s">
        <v>7056</v>
      </c>
    </row>
    <row r="1275" spans="1:11">
      <c r="A1275" s="535" t="s">
        <v>3997</v>
      </c>
      <c r="B1275" s="521">
        <f t="shared" si="4"/>
        <v>350</v>
      </c>
      <c r="C1275" s="435">
        <v>0</v>
      </c>
      <c r="D1275" s="436">
        <v>0</v>
      </c>
      <c r="E1275" s="437">
        <v>35</v>
      </c>
      <c r="F1275" s="535" t="s">
        <v>2608</v>
      </c>
      <c r="G1275" s="150" t="s">
        <v>7119</v>
      </c>
      <c r="H1275" s="635" t="s">
        <v>9381</v>
      </c>
      <c r="I1275" s="453"/>
      <c r="K1275" s="454"/>
    </row>
    <row r="1276" spans="1:11">
      <c r="A1276" s="160" t="s">
        <v>7049</v>
      </c>
      <c r="B1276" s="521">
        <f t="shared" si="4"/>
        <v>500</v>
      </c>
      <c r="C1276" s="161">
        <v>0</v>
      </c>
      <c r="D1276" s="162">
        <v>0</v>
      </c>
      <c r="E1276" s="163">
        <v>50</v>
      </c>
      <c r="F1276" s="150" t="s">
        <v>2608</v>
      </c>
      <c r="G1276" s="150" t="s">
        <v>7119</v>
      </c>
      <c r="H1276" s="636" t="s">
        <v>7050</v>
      </c>
      <c r="I1276" s="453" t="s">
        <v>2726</v>
      </c>
      <c r="J1276" s="454" t="s">
        <v>2726</v>
      </c>
      <c r="K1276" s="454" t="s">
        <v>7055</v>
      </c>
    </row>
    <row r="1277" spans="1:11">
      <c r="A1277" s="150" t="s">
        <v>7067</v>
      </c>
      <c r="B1277" s="521">
        <f t="shared" si="4"/>
        <v>141</v>
      </c>
      <c r="C1277" s="161">
        <v>0</v>
      </c>
      <c r="D1277" s="162">
        <v>0</v>
      </c>
      <c r="E1277" s="150">
        <v>47</v>
      </c>
      <c r="F1277" s="150" t="s">
        <v>2578</v>
      </c>
      <c r="G1277" s="150" t="s">
        <v>7119</v>
      </c>
      <c r="H1277" s="636" t="s">
        <v>17484</v>
      </c>
      <c r="I1277" s="453" t="s">
        <v>2722</v>
      </c>
      <c r="J1277" s="454" t="s">
        <v>2740</v>
      </c>
      <c r="K1277" s="454" t="s">
        <v>7056</v>
      </c>
    </row>
    <row r="1278" spans="1:11">
      <c r="A1278" s="456" t="s">
        <v>16107</v>
      </c>
      <c r="B1278" s="521">
        <f t="shared" si="4"/>
        <v>680</v>
      </c>
      <c r="C1278" s="161">
        <v>0</v>
      </c>
      <c r="D1278" s="162">
        <v>0</v>
      </c>
      <c r="E1278" s="150">
        <v>34</v>
      </c>
      <c r="F1278" s="357" t="str">
        <f>IF(SelectRace="Nain","R","ER")</f>
        <v>ER</v>
      </c>
      <c r="G1278" s="150" t="s">
        <v>7119</v>
      </c>
      <c r="H1278" s="635" t="s">
        <v>16106</v>
      </c>
      <c r="I1278" s="453" t="s">
        <v>2729</v>
      </c>
      <c r="J1278" s="454" t="s">
        <v>2729</v>
      </c>
      <c r="K1278" s="454" t="s">
        <v>7055</v>
      </c>
    </row>
    <row r="1279" spans="1:11">
      <c r="A1279" s="456" t="s">
        <v>11250</v>
      </c>
      <c r="B1279" s="521">
        <f t="shared" si="4"/>
        <v>600</v>
      </c>
      <c r="C1279" s="522">
        <v>0</v>
      </c>
      <c r="D1279" s="523">
        <v>0</v>
      </c>
      <c r="E1279" s="357">
        <v>60</v>
      </c>
      <c r="F1279" s="357" t="s">
        <v>2608</v>
      </c>
      <c r="G1279" s="150" t="s">
        <v>7119</v>
      </c>
      <c r="H1279" s="637" t="s">
        <v>4551</v>
      </c>
      <c r="I1279" s="453" t="s">
        <v>2724</v>
      </c>
      <c r="J1279" s="454" t="s">
        <v>2724</v>
      </c>
      <c r="K1279" s="454" t="s">
        <v>7056</v>
      </c>
    </row>
    <row r="1280" spans="1:11">
      <c r="A1280" s="150" t="s">
        <v>7128</v>
      </c>
      <c r="B1280" s="521">
        <f t="shared" si="4"/>
        <v>45</v>
      </c>
      <c r="C1280" s="161">
        <v>0</v>
      </c>
      <c r="D1280" s="162">
        <v>0</v>
      </c>
      <c r="E1280" s="150">
        <v>15</v>
      </c>
      <c r="F1280" s="150" t="s">
        <v>2578</v>
      </c>
      <c r="G1280" s="150" t="s">
        <v>7119</v>
      </c>
      <c r="H1280" s="636"/>
      <c r="I1280" s="453" t="s">
        <v>7062</v>
      </c>
      <c r="J1280" s="454" t="s">
        <v>16319</v>
      </c>
      <c r="K1280" s="454" t="s">
        <v>7056</v>
      </c>
    </row>
    <row r="1281" spans="1:11">
      <c r="A1281" s="160" t="s">
        <v>7025</v>
      </c>
      <c r="B1281" s="521">
        <f t="shared" si="4"/>
        <v>30</v>
      </c>
      <c r="C1281" s="161">
        <v>0</v>
      </c>
      <c r="D1281" s="162">
        <v>0</v>
      </c>
      <c r="E1281" s="150">
        <v>30</v>
      </c>
      <c r="F1281" s="150" t="s">
        <v>2574</v>
      </c>
      <c r="G1281" s="150" t="s">
        <v>7119</v>
      </c>
      <c r="H1281" s="636" t="s">
        <v>7026</v>
      </c>
      <c r="I1281" s="453" t="s">
        <v>2731</v>
      </c>
      <c r="J1281" s="454" t="s">
        <v>16310</v>
      </c>
      <c r="K1281" s="454" t="s">
        <v>7056</v>
      </c>
    </row>
    <row r="1282" spans="1:11">
      <c r="A1282" s="160" t="s">
        <v>9795</v>
      </c>
      <c r="B1282" s="521">
        <f t="shared" si="4"/>
        <v>100</v>
      </c>
      <c r="C1282" s="161">
        <v>0</v>
      </c>
      <c r="D1282" s="162">
        <v>0</v>
      </c>
      <c r="E1282" s="150">
        <v>20</v>
      </c>
      <c r="F1282" s="150" t="s">
        <v>2607</v>
      </c>
      <c r="G1282" s="150" t="s">
        <v>7119</v>
      </c>
      <c r="H1282" s="636" t="s">
        <v>9789</v>
      </c>
      <c r="I1282" s="453" t="s">
        <v>7062</v>
      </c>
      <c r="J1282" s="454" t="s">
        <v>4024</v>
      </c>
      <c r="K1282" s="454" t="s">
        <v>7056</v>
      </c>
    </row>
    <row r="1283" spans="1:11">
      <c r="A1283" s="160" t="s">
        <v>9757</v>
      </c>
      <c r="B1283" s="521">
        <f t="shared" si="4"/>
        <v>5</v>
      </c>
      <c r="C1283" s="161">
        <v>0</v>
      </c>
      <c r="D1283" s="162">
        <v>0</v>
      </c>
      <c r="E1283" s="150">
        <v>5</v>
      </c>
      <c r="F1283" s="150" t="s">
        <v>2574</v>
      </c>
      <c r="G1283" s="150" t="s">
        <v>7119</v>
      </c>
      <c r="H1283" s="636" t="s">
        <v>9758</v>
      </c>
      <c r="I1283" s="453" t="s">
        <v>7054</v>
      </c>
      <c r="J1283" s="454" t="s">
        <v>7054</v>
      </c>
      <c r="K1283" s="454" t="s">
        <v>7056</v>
      </c>
    </row>
    <row r="1284" spans="1:11">
      <c r="A1284" s="160" t="s">
        <v>16374</v>
      </c>
      <c r="B1284" s="521">
        <f t="shared" si="4"/>
        <v>22</v>
      </c>
      <c r="C1284" s="161">
        <v>0</v>
      </c>
      <c r="D1284" s="162">
        <v>0</v>
      </c>
      <c r="E1284" s="150">
        <v>22</v>
      </c>
      <c r="F1284" s="150" t="s">
        <v>2574</v>
      </c>
      <c r="G1284" s="150" t="s">
        <v>7119</v>
      </c>
      <c r="H1284" s="639" t="s">
        <v>4551</v>
      </c>
      <c r="I1284" s="453" t="s">
        <v>7062</v>
      </c>
      <c r="J1284" s="454" t="s">
        <v>16325</v>
      </c>
      <c r="K1284" s="454" t="s">
        <v>7056</v>
      </c>
    </row>
    <row r="1285" spans="1:11">
      <c r="A1285" s="160" t="s">
        <v>14797</v>
      </c>
      <c r="B1285" s="521">
        <f t="shared" si="4"/>
        <v>40</v>
      </c>
      <c r="C1285" s="161">
        <v>0</v>
      </c>
      <c r="D1285" s="162">
        <v>0</v>
      </c>
      <c r="E1285" s="157">
        <v>8</v>
      </c>
      <c r="F1285" s="150" t="s">
        <v>2607</v>
      </c>
      <c r="G1285" s="150" t="s">
        <v>7119</v>
      </c>
      <c r="H1285" s="639" t="s">
        <v>4551</v>
      </c>
      <c r="I1285" s="453" t="s">
        <v>7054</v>
      </c>
      <c r="J1285" s="454" t="s">
        <v>7054</v>
      </c>
      <c r="K1285" s="454" t="s">
        <v>7056</v>
      </c>
    </row>
    <row r="1286" spans="1:11">
      <c r="A1286" s="160" t="s">
        <v>16369</v>
      </c>
      <c r="B1286" s="521">
        <f t="shared" si="4"/>
        <v>120</v>
      </c>
      <c r="C1286" s="161">
        <v>0</v>
      </c>
      <c r="D1286" s="162">
        <v>0</v>
      </c>
      <c r="E1286" s="150">
        <v>40</v>
      </c>
      <c r="F1286" s="150" t="s">
        <v>2578</v>
      </c>
      <c r="G1286" s="150" t="s">
        <v>7119</v>
      </c>
      <c r="H1286" s="636" t="s">
        <v>7018</v>
      </c>
      <c r="I1286" s="453" t="s">
        <v>2731</v>
      </c>
      <c r="J1286" s="454" t="s">
        <v>6351</v>
      </c>
      <c r="K1286" s="454" t="s">
        <v>7056</v>
      </c>
    </row>
    <row r="1287" spans="1:11">
      <c r="A1287" s="160" t="s">
        <v>14796</v>
      </c>
      <c r="B1287" s="521">
        <f t="shared" ref="B1287:B1336" si="6">ROUNDUP((IF(F1287="U",E1287*50,IF(F1287="ER",E1287*20,IF(F1287="TR",E1287*10,IF(F1287="R",E1287*5,IF(F1287="I",E1287*3,IF(F1287="AC",E1287*2,IF(F1287="C",E1287*1,IF(F1287="B",E1287/3,IF(F1287="TC",E1287/2)))))))))),0)</f>
        <v>50</v>
      </c>
      <c r="C1287" s="161">
        <v>0</v>
      </c>
      <c r="D1287" s="162">
        <v>0</v>
      </c>
      <c r="E1287" s="157">
        <v>10</v>
      </c>
      <c r="F1287" s="150" t="s">
        <v>2607</v>
      </c>
      <c r="G1287" s="150" t="s">
        <v>7119</v>
      </c>
      <c r="H1287" s="639" t="s">
        <v>4551</v>
      </c>
      <c r="I1287" s="453" t="s">
        <v>7054</v>
      </c>
      <c r="J1287" s="454" t="s">
        <v>7054</v>
      </c>
      <c r="K1287" s="454" t="s">
        <v>7056</v>
      </c>
    </row>
    <row r="1288" spans="1:11">
      <c r="A1288" s="160" t="s">
        <v>12311</v>
      </c>
      <c r="B1288" s="521">
        <f t="shared" si="6"/>
        <v>115</v>
      </c>
      <c r="C1288" s="161">
        <v>0</v>
      </c>
      <c r="D1288" s="162">
        <v>0</v>
      </c>
      <c r="E1288" s="150">
        <v>23</v>
      </c>
      <c r="F1288" s="150" t="s">
        <v>2607</v>
      </c>
      <c r="G1288" s="150" t="s">
        <v>7119</v>
      </c>
      <c r="H1288" s="639" t="s">
        <v>4551</v>
      </c>
      <c r="I1288" s="453" t="s">
        <v>4453</v>
      </c>
      <c r="J1288" s="454" t="s">
        <v>4453</v>
      </c>
      <c r="K1288" s="454" t="s">
        <v>7055</v>
      </c>
    </row>
    <row r="1289" spans="1:11">
      <c r="A1289" s="456" t="s">
        <v>7079</v>
      </c>
      <c r="B1289" s="521">
        <f t="shared" si="6"/>
        <v>48</v>
      </c>
      <c r="C1289" s="161">
        <v>0</v>
      </c>
      <c r="D1289" s="162">
        <v>0</v>
      </c>
      <c r="E1289" s="357">
        <v>48</v>
      </c>
      <c r="F1289" s="357" t="s">
        <v>2574</v>
      </c>
      <c r="G1289" s="150" t="s">
        <v>7119</v>
      </c>
      <c r="H1289" s="636" t="s">
        <v>17484</v>
      </c>
      <c r="I1289" s="453" t="s">
        <v>2723</v>
      </c>
      <c r="K1289" s="454" t="s">
        <v>7056</v>
      </c>
    </row>
    <row r="1290" spans="1:11">
      <c r="A1290" s="150" t="s">
        <v>7124</v>
      </c>
      <c r="B1290" s="521">
        <f t="shared" si="6"/>
        <v>5</v>
      </c>
      <c r="C1290" s="161">
        <v>0</v>
      </c>
      <c r="D1290" s="162">
        <v>0</v>
      </c>
      <c r="E1290" s="150">
        <v>5</v>
      </c>
      <c r="F1290" s="150" t="s">
        <v>2574</v>
      </c>
      <c r="G1290" s="150" t="s">
        <v>7119</v>
      </c>
      <c r="H1290" s="636" t="s">
        <v>17484</v>
      </c>
      <c r="I1290" s="453" t="s">
        <v>7109</v>
      </c>
      <c r="K1290" s="454" t="s">
        <v>7056</v>
      </c>
    </row>
    <row r="1291" spans="1:11">
      <c r="A1291" s="160" t="s">
        <v>7014</v>
      </c>
      <c r="B1291" s="521">
        <f t="shared" si="6"/>
        <v>104</v>
      </c>
      <c r="C1291" s="161">
        <v>0</v>
      </c>
      <c r="D1291" s="162">
        <v>0</v>
      </c>
      <c r="E1291" s="150">
        <v>52</v>
      </c>
      <c r="F1291" s="150" t="s">
        <v>2572</v>
      </c>
      <c r="G1291" s="150" t="s">
        <v>7119</v>
      </c>
      <c r="H1291" s="636" t="s">
        <v>7015</v>
      </c>
      <c r="I1291" s="453" t="s">
        <v>2731</v>
      </c>
      <c r="J1291" s="454" t="s">
        <v>16370</v>
      </c>
      <c r="K1291" s="454" t="s">
        <v>7056</v>
      </c>
    </row>
    <row r="1292" spans="1:11">
      <c r="A1292" s="160" t="s">
        <v>7040</v>
      </c>
      <c r="B1292" s="521">
        <f t="shared" si="6"/>
        <v>10</v>
      </c>
      <c r="C1292" s="161">
        <v>0</v>
      </c>
      <c r="D1292" s="162">
        <v>0</v>
      </c>
      <c r="E1292" s="150">
        <v>5</v>
      </c>
      <c r="F1292" s="150" t="s">
        <v>2572</v>
      </c>
      <c r="G1292" s="150" t="s">
        <v>7119</v>
      </c>
      <c r="H1292" s="636" t="s">
        <v>7041</v>
      </c>
      <c r="I1292" s="453" t="s">
        <v>2722</v>
      </c>
      <c r="J1292" s="454" t="s">
        <v>2737</v>
      </c>
      <c r="K1292" s="454" t="s">
        <v>7056</v>
      </c>
    </row>
    <row r="1293" spans="1:11">
      <c r="A1293" s="456" t="s">
        <v>16598</v>
      </c>
      <c r="B1293" s="521">
        <f t="shared" ref="B1293" si="7">ROUNDUP((IF(F1293="U",E1293*50,IF(F1293="ER",E1293*20,IF(F1293="TR",E1293*10,IF(F1293="R",E1293*5,IF(F1293="I",E1293*3,IF(F1293="AC",E1293*2,IF(F1293="C",E1293*1,IF(F1293="B",E1293/3,IF(F1293="TC",E1293/2)))))))))),0)</f>
        <v>300</v>
      </c>
      <c r="C1293" s="161">
        <v>0</v>
      </c>
      <c r="D1293" s="162">
        <v>0</v>
      </c>
      <c r="E1293" s="357">
        <v>15</v>
      </c>
      <c r="F1293" s="357" t="s">
        <v>8801</v>
      </c>
      <c r="G1293" s="150" t="s">
        <v>7119</v>
      </c>
      <c r="H1293" s="634" t="s">
        <v>4551</v>
      </c>
      <c r="I1293" s="453" t="s">
        <v>2731</v>
      </c>
      <c r="J1293" s="454" t="s">
        <v>16599</v>
      </c>
      <c r="K1293" s="454" t="s">
        <v>7055</v>
      </c>
    </row>
    <row r="1294" spans="1:11">
      <c r="A1294" s="456" t="s">
        <v>7031</v>
      </c>
      <c r="B1294" s="521">
        <f t="shared" si="6"/>
        <v>135</v>
      </c>
      <c r="C1294" s="161">
        <v>0</v>
      </c>
      <c r="D1294" s="162">
        <v>0</v>
      </c>
      <c r="E1294" s="357">
        <v>27</v>
      </c>
      <c r="F1294" s="357" t="s">
        <v>2607</v>
      </c>
      <c r="G1294" s="150" t="s">
        <v>7119</v>
      </c>
      <c r="H1294" s="636" t="s">
        <v>7032</v>
      </c>
      <c r="I1294" s="453" t="s">
        <v>2731</v>
      </c>
      <c r="K1294" s="454" t="s">
        <v>7056</v>
      </c>
    </row>
    <row r="1295" spans="1:11">
      <c r="A1295" s="456" t="s">
        <v>16623</v>
      </c>
      <c r="B1295" s="521">
        <f t="shared" si="6"/>
        <v>760</v>
      </c>
      <c r="C1295" s="522">
        <v>0</v>
      </c>
      <c r="D1295" s="523">
        <v>0</v>
      </c>
      <c r="E1295" s="461">
        <v>38</v>
      </c>
      <c r="F1295" s="357" t="s">
        <v>8801</v>
      </c>
      <c r="G1295" s="150" t="s">
        <v>7119</v>
      </c>
      <c r="H1295" s="634" t="s">
        <v>4551</v>
      </c>
      <c r="I1295" s="453" t="s">
        <v>2721</v>
      </c>
      <c r="J1295" s="454" t="s">
        <v>10843</v>
      </c>
      <c r="K1295" s="454" t="s">
        <v>7055</v>
      </c>
    </row>
    <row r="1296" spans="1:11">
      <c r="A1296" s="456" t="s">
        <v>16265</v>
      </c>
      <c r="B1296" s="521">
        <f t="shared" si="6"/>
        <v>75</v>
      </c>
      <c r="C1296" s="522">
        <v>0</v>
      </c>
      <c r="D1296" s="523">
        <v>0</v>
      </c>
      <c r="E1296" s="357">
        <v>25</v>
      </c>
      <c r="F1296" s="357" t="s">
        <v>2578</v>
      </c>
      <c r="G1296" s="150" t="s">
        <v>7119</v>
      </c>
      <c r="H1296" s="636" t="s">
        <v>17484</v>
      </c>
      <c r="I1296" s="453" t="s">
        <v>16271</v>
      </c>
      <c r="J1296" s="454" t="s">
        <v>16271</v>
      </c>
      <c r="K1296" s="454" t="s">
        <v>7055</v>
      </c>
    </row>
    <row r="1297" spans="1:11">
      <c r="A1297" s="357" t="s">
        <v>16343</v>
      </c>
      <c r="B1297" s="521">
        <f t="shared" si="6"/>
        <v>76</v>
      </c>
      <c r="C1297" s="161">
        <v>0</v>
      </c>
      <c r="D1297" s="162">
        <v>0</v>
      </c>
      <c r="E1297" s="357">
        <v>38</v>
      </c>
      <c r="F1297" s="357" t="s">
        <v>2572</v>
      </c>
      <c r="G1297" s="150" t="s">
        <v>7119</v>
      </c>
      <c r="H1297" s="635" t="s">
        <v>17484</v>
      </c>
      <c r="I1297" s="453" t="s">
        <v>5484</v>
      </c>
      <c r="J1297" s="454" t="s">
        <v>2737</v>
      </c>
      <c r="K1297" s="454" t="s">
        <v>7056</v>
      </c>
    </row>
    <row r="1298" spans="1:11">
      <c r="A1298" s="160" t="s">
        <v>13264</v>
      </c>
      <c r="B1298" s="521">
        <f t="shared" si="6"/>
        <v>80</v>
      </c>
      <c r="C1298" s="161">
        <v>0</v>
      </c>
      <c r="D1298" s="162">
        <v>0</v>
      </c>
      <c r="E1298" s="150">
        <v>40</v>
      </c>
      <c r="F1298" s="150" t="s">
        <v>2572</v>
      </c>
      <c r="G1298" s="150" t="s">
        <v>7119</v>
      </c>
      <c r="H1298" s="636" t="s">
        <v>13265</v>
      </c>
      <c r="I1298" s="453" t="s">
        <v>7062</v>
      </c>
      <c r="J1298" s="454" t="s">
        <v>16322</v>
      </c>
      <c r="K1298" s="454" t="s">
        <v>7055</v>
      </c>
    </row>
    <row r="1299" spans="1:11">
      <c r="A1299" s="456" t="s">
        <v>7212</v>
      </c>
      <c r="B1299" s="521">
        <f t="shared" si="6"/>
        <v>165</v>
      </c>
      <c r="C1299" s="161">
        <v>0</v>
      </c>
      <c r="D1299" s="162">
        <v>0</v>
      </c>
      <c r="E1299" s="461">
        <v>55</v>
      </c>
      <c r="F1299" s="357" t="s">
        <v>2578</v>
      </c>
      <c r="G1299" s="150" t="s">
        <v>7119</v>
      </c>
      <c r="H1299" s="635" t="s">
        <v>7209</v>
      </c>
      <c r="I1299" s="453" t="s">
        <v>7062</v>
      </c>
      <c r="J1299" s="454" t="s">
        <v>16321</v>
      </c>
      <c r="K1299" s="454" t="s">
        <v>7056</v>
      </c>
    </row>
    <row r="1300" spans="1:11">
      <c r="A1300" s="160" t="s">
        <v>9647</v>
      </c>
      <c r="B1300" s="521">
        <f t="shared" si="6"/>
        <v>124</v>
      </c>
      <c r="C1300" s="161">
        <v>0</v>
      </c>
      <c r="D1300" s="162">
        <v>0</v>
      </c>
      <c r="E1300" s="163">
        <v>62</v>
      </c>
      <c r="F1300" s="150" t="s">
        <v>2572</v>
      </c>
      <c r="G1300" s="150" t="s">
        <v>7119</v>
      </c>
      <c r="H1300" s="636" t="s">
        <v>9648</v>
      </c>
      <c r="I1300" s="453" t="s">
        <v>2731</v>
      </c>
      <c r="J1300" s="454" t="s">
        <v>16373</v>
      </c>
      <c r="K1300" s="454" t="s">
        <v>7056</v>
      </c>
    </row>
    <row r="1301" spans="1:11">
      <c r="A1301" s="357" t="s">
        <v>16626</v>
      </c>
      <c r="B1301" s="521">
        <f t="shared" si="6"/>
        <v>84</v>
      </c>
      <c r="C1301" s="161">
        <v>0</v>
      </c>
      <c r="D1301" s="162">
        <v>0</v>
      </c>
      <c r="E1301" s="461">
        <v>84</v>
      </c>
      <c r="F1301" s="357" t="s">
        <v>2574</v>
      </c>
      <c r="G1301" s="150" t="s">
        <v>7119</v>
      </c>
      <c r="H1301" s="636" t="s">
        <v>17484</v>
      </c>
      <c r="I1301" s="453" t="s">
        <v>2731</v>
      </c>
      <c r="J1301" s="454" t="s">
        <v>16310</v>
      </c>
      <c r="K1301" s="454" t="s">
        <v>7056</v>
      </c>
    </row>
    <row r="1302" spans="1:11">
      <c r="A1302" s="149" t="s">
        <v>14748</v>
      </c>
      <c r="B1302" s="521">
        <f t="shared" si="6"/>
        <v>250</v>
      </c>
      <c r="C1302" s="161">
        <v>0</v>
      </c>
      <c r="D1302" s="162">
        <v>0</v>
      </c>
      <c r="E1302" s="150">
        <v>50</v>
      </c>
      <c r="F1302" s="150" t="s">
        <v>2607</v>
      </c>
      <c r="G1302" s="150" t="s">
        <v>7119</v>
      </c>
      <c r="H1302" s="636" t="s">
        <v>17484</v>
      </c>
      <c r="I1302" s="453" t="s">
        <v>12242</v>
      </c>
      <c r="J1302" s="454" t="s">
        <v>2749</v>
      </c>
      <c r="K1302" s="454" t="s">
        <v>7056</v>
      </c>
    </row>
    <row r="1303" spans="1:11">
      <c r="A1303" s="150" t="s">
        <v>9437</v>
      </c>
      <c r="B1303" s="521">
        <f t="shared" si="6"/>
        <v>120</v>
      </c>
      <c r="C1303" s="161">
        <v>0</v>
      </c>
      <c r="D1303" s="162">
        <v>0</v>
      </c>
      <c r="E1303" s="150">
        <v>40</v>
      </c>
      <c r="F1303" s="150" t="s">
        <v>2578</v>
      </c>
      <c r="G1303" s="150" t="s">
        <v>7119</v>
      </c>
      <c r="H1303" s="636" t="s">
        <v>17484</v>
      </c>
      <c r="I1303" s="453" t="s">
        <v>2726</v>
      </c>
      <c r="J1303" s="454" t="s">
        <v>2726</v>
      </c>
      <c r="K1303" s="454" t="s">
        <v>7055</v>
      </c>
    </row>
    <row r="1304" spans="1:11">
      <c r="A1304" s="160" t="s">
        <v>16478</v>
      </c>
      <c r="B1304" s="521">
        <f t="shared" si="6"/>
        <v>90</v>
      </c>
      <c r="C1304" s="161">
        <v>0</v>
      </c>
      <c r="D1304" s="162">
        <v>0</v>
      </c>
      <c r="E1304" s="150">
        <v>18</v>
      </c>
      <c r="F1304" s="150" t="s">
        <v>2607</v>
      </c>
      <c r="G1304" s="150" t="s">
        <v>7119</v>
      </c>
      <c r="H1304" s="636" t="s">
        <v>7009</v>
      </c>
      <c r="I1304" s="453" t="s">
        <v>2727</v>
      </c>
      <c r="J1304" s="454" t="s">
        <v>2727</v>
      </c>
      <c r="K1304" s="454" t="s">
        <v>7055</v>
      </c>
    </row>
    <row r="1305" spans="1:11">
      <c r="A1305" s="160" t="s">
        <v>9796</v>
      </c>
      <c r="B1305" s="521">
        <f t="shared" si="6"/>
        <v>190</v>
      </c>
      <c r="C1305" s="161">
        <v>0</v>
      </c>
      <c r="D1305" s="162">
        <v>0</v>
      </c>
      <c r="E1305" s="150">
        <v>19</v>
      </c>
      <c r="F1305" s="150" t="s">
        <v>2608</v>
      </c>
      <c r="G1305" s="150" t="s">
        <v>7119</v>
      </c>
      <c r="H1305" s="636" t="s">
        <v>9789</v>
      </c>
      <c r="I1305" s="453" t="s">
        <v>2728</v>
      </c>
      <c r="J1305" s="454" t="s">
        <v>2728</v>
      </c>
      <c r="K1305" s="454" t="s">
        <v>7055</v>
      </c>
    </row>
    <row r="1306" spans="1:11">
      <c r="A1306" s="456" t="s">
        <v>15301</v>
      </c>
      <c r="B1306" s="521">
        <f t="shared" si="6"/>
        <v>1750</v>
      </c>
      <c r="C1306" s="161">
        <v>0</v>
      </c>
      <c r="D1306" s="162">
        <v>0</v>
      </c>
      <c r="E1306" s="357">
        <v>35</v>
      </c>
      <c r="F1306" s="357" t="s">
        <v>9065</v>
      </c>
      <c r="G1306" s="150" t="s">
        <v>7119</v>
      </c>
      <c r="H1306" s="635" t="s">
        <v>15302</v>
      </c>
      <c r="I1306" s="453" t="s">
        <v>2727</v>
      </c>
      <c r="J1306" s="454" t="s">
        <v>2727</v>
      </c>
      <c r="K1306" s="454" t="s">
        <v>7055</v>
      </c>
    </row>
    <row r="1307" spans="1:11">
      <c r="A1307" s="160" t="s">
        <v>7078</v>
      </c>
      <c r="B1307" s="521">
        <f t="shared" si="6"/>
        <v>100</v>
      </c>
      <c r="C1307" s="161">
        <v>0</v>
      </c>
      <c r="D1307" s="162">
        <v>0</v>
      </c>
      <c r="E1307" s="150">
        <v>20</v>
      </c>
      <c r="F1307" s="150" t="s">
        <v>2607</v>
      </c>
      <c r="G1307" s="150" t="s">
        <v>7119</v>
      </c>
      <c r="H1307" s="636" t="s">
        <v>15546</v>
      </c>
      <c r="I1307" s="453" t="s">
        <v>2723</v>
      </c>
      <c r="J1307" s="454" t="s">
        <v>14755</v>
      </c>
      <c r="K1307" s="454" t="s">
        <v>7055</v>
      </c>
    </row>
    <row r="1308" spans="1:11">
      <c r="A1308" s="160" t="s">
        <v>17532</v>
      </c>
      <c r="B1308" s="521">
        <f t="shared" si="6"/>
        <v>32</v>
      </c>
      <c r="C1308" s="161">
        <v>0</v>
      </c>
      <c r="D1308" s="162">
        <v>0</v>
      </c>
      <c r="E1308" s="157">
        <v>16</v>
      </c>
      <c r="F1308" s="150" t="s">
        <v>2572</v>
      </c>
      <c r="G1308" s="150" t="s">
        <v>7119</v>
      </c>
      <c r="H1308" s="639" t="s">
        <v>4551</v>
      </c>
      <c r="I1308" s="453" t="s">
        <v>2723</v>
      </c>
      <c r="J1308" s="454" t="s">
        <v>2740</v>
      </c>
      <c r="K1308" s="454" t="s">
        <v>7056</v>
      </c>
    </row>
    <row r="1309" spans="1:11">
      <c r="A1309" s="456" t="s">
        <v>7086</v>
      </c>
      <c r="B1309" s="521">
        <f t="shared" si="6"/>
        <v>90</v>
      </c>
      <c r="C1309" s="161">
        <v>0</v>
      </c>
      <c r="D1309" s="162">
        <v>0</v>
      </c>
      <c r="E1309" s="357">
        <v>45</v>
      </c>
      <c r="F1309" s="357" t="s">
        <v>2572</v>
      </c>
      <c r="G1309" s="150" t="s">
        <v>7119</v>
      </c>
      <c r="H1309" s="635" t="s">
        <v>7087</v>
      </c>
      <c r="I1309" s="453" t="s">
        <v>2731</v>
      </c>
      <c r="J1309" s="454" t="s">
        <v>16370</v>
      </c>
      <c r="K1309" s="454" t="s">
        <v>7056</v>
      </c>
    </row>
    <row r="1310" spans="1:11">
      <c r="A1310" s="456" t="s">
        <v>9762</v>
      </c>
      <c r="B1310" s="521">
        <f t="shared" si="6"/>
        <v>42</v>
      </c>
      <c r="C1310" s="161">
        <v>0</v>
      </c>
      <c r="D1310" s="162">
        <v>0</v>
      </c>
      <c r="E1310" s="357">
        <v>21</v>
      </c>
      <c r="F1310" s="357" t="s">
        <v>2572</v>
      </c>
      <c r="G1310" s="150" t="s">
        <v>7119</v>
      </c>
      <c r="H1310" s="635" t="s">
        <v>9763</v>
      </c>
      <c r="I1310" s="453" t="s">
        <v>2723</v>
      </c>
      <c r="J1310" s="454" t="s">
        <v>2737</v>
      </c>
      <c r="K1310" s="454" t="s">
        <v>7056</v>
      </c>
    </row>
    <row r="1311" spans="1:11">
      <c r="A1311" s="149" t="s">
        <v>14747</v>
      </c>
      <c r="B1311" s="521">
        <f t="shared" si="6"/>
        <v>56</v>
      </c>
      <c r="C1311" s="161">
        <v>0</v>
      </c>
      <c r="D1311" s="162">
        <v>0</v>
      </c>
      <c r="E1311" s="150">
        <v>28</v>
      </c>
      <c r="F1311" s="150" t="s">
        <v>2572</v>
      </c>
      <c r="G1311" s="150" t="s">
        <v>7119</v>
      </c>
      <c r="H1311" s="636" t="s">
        <v>17484</v>
      </c>
      <c r="I1311" s="453" t="s">
        <v>12242</v>
      </c>
      <c r="J1311" s="454" t="s">
        <v>3078</v>
      </c>
      <c r="K1311" s="454" t="s">
        <v>7056</v>
      </c>
    </row>
    <row r="1312" spans="1:11">
      <c r="A1312" s="160" t="s">
        <v>7036</v>
      </c>
      <c r="B1312" s="521">
        <f t="shared" si="6"/>
        <v>150</v>
      </c>
      <c r="C1312" s="161">
        <v>0</v>
      </c>
      <c r="D1312" s="162">
        <v>0</v>
      </c>
      <c r="E1312" s="150">
        <v>30</v>
      </c>
      <c r="F1312" s="150" t="s">
        <v>2607</v>
      </c>
      <c r="G1312" s="150" t="s">
        <v>7119</v>
      </c>
      <c r="H1312" s="636" t="s">
        <v>7037</v>
      </c>
      <c r="I1312" s="453" t="s">
        <v>2726</v>
      </c>
      <c r="J1312" s="454" t="s">
        <v>2726</v>
      </c>
      <c r="K1312" s="454" t="s">
        <v>7056</v>
      </c>
    </row>
    <row r="1313" spans="1:11">
      <c r="A1313" s="149" t="s">
        <v>15303</v>
      </c>
      <c r="B1313" s="521">
        <f t="shared" si="6"/>
        <v>4500</v>
      </c>
      <c r="C1313" s="161">
        <v>0</v>
      </c>
      <c r="D1313" s="162">
        <v>0</v>
      </c>
      <c r="E1313" s="150">
        <v>90</v>
      </c>
      <c r="F1313" s="150" t="s">
        <v>9065</v>
      </c>
      <c r="G1313" s="150" t="s">
        <v>7119</v>
      </c>
      <c r="H1313" s="636" t="s">
        <v>15302</v>
      </c>
      <c r="I1313" s="453" t="s">
        <v>2727</v>
      </c>
      <c r="J1313" s="454" t="s">
        <v>2727</v>
      </c>
      <c r="K1313" s="454" t="s">
        <v>7055</v>
      </c>
    </row>
    <row r="1314" spans="1:11">
      <c r="A1314" s="160" t="s">
        <v>16371</v>
      </c>
      <c r="B1314" s="521">
        <f t="shared" si="6"/>
        <v>90</v>
      </c>
      <c r="C1314" s="161">
        <v>0</v>
      </c>
      <c r="D1314" s="162">
        <v>0</v>
      </c>
      <c r="E1314" s="150">
        <v>45</v>
      </c>
      <c r="F1314" s="150" t="s">
        <v>2572</v>
      </c>
      <c r="G1314" s="150" t="s">
        <v>7119</v>
      </c>
      <c r="H1314" s="636" t="s">
        <v>7029</v>
      </c>
      <c r="I1314" s="453" t="s">
        <v>2731</v>
      </c>
      <c r="J1314" s="454" t="s">
        <v>16350</v>
      </c>
      <c r="K1314" s="454" t="s">
        <v>7056</v>
      </c>
    </row>
    <row r="1315" spans="1:11">
      <c r="A1315" s="160" t="s">
        <v>7101</v>
      </c>
      <c r="B1315" s="521">
        <f t="shared" si="6"/>
        <v>90</v>
      </c>
      <c r="C1315" s="161">
        <v>0</v>
      </c>
      <c r="D1315" s="162">
        <v>0</v>
      </c>
      <c r="E1315" s="150">
        <v>30</v>
      </c>
      <c r="F1315" s="150" t="s">
        <v>2578</v>
      </c>
      <c r="G1315" s="150" t="s">
        <v>7119</v>
      </c>
      <c r="H1315" s="636" t="s">
        <v>7102</v>
      </c>
      <c r="I1315" s="453" t="s">
        <v>2722</v>
      </c>
      <c r="J1315" s="454" t="s">
        <v>2737</v>
      </c>
      <c r="K1315" s="454" t="s">
        <v>7056</v>
      </c>
    </row>
    <row r="1316" spans="1:11">
      <c r="A1316" s="456" t="s">
        <v>7047</v>
      </c>
      <c r="B1316" s="521">
        <f t="shared" si="6"/>
        <v>160</v>
      </c>
      <c r="C1316" s="161">
        <v>0</v>
      </c>
      <c r="D1316" s="162">
        <v>0</v>
      </c>
      <c r="E1316" s="357">
        <v>32</v>
      </c>
      <c r="F1316" s="357" t="s">
        <v>2607</v>
      </c>
      <c r="G1316" s="150" t="s">
        <v>7119</v>
      </c>
      <c r="H1316" s="635" t="s">
        <v>7048</v>
      </c>
      <c r="I1316" s="453" t="s">
        <v>2721</v>
      </c>
      <c r="J1316" s="454" t="s">
        <v>10843</v>
      </c>
      <c r="K1316" s="454" t="s">
        <v>7055</v>
      </c>
    </row>
    <row r="1317" spans="1:11">
      <c r="A1317" s="160" t="s">
        <v>7093</v>
      </c>
      <c r="B1317" s="521">
        <f t="shared" si="6"/>
        <v>550</v>
      </c>
      <c r="C1317" s="161">
        <v>0</v>
      </c>
      <c r="D1317" s="162">
        <v>0</v>
      </c>
      <c r="E1317" s="150">
        <v>55</v>
      </c>
      <c r="F1317" s="150" t="s">
        <v>2608</v>
      </c>
      <c r="G1317" s="150" t="s">
        <v>7119</v>
      </c>
      <c r="H1317" s="636" t="s">
        <v>7094</v>
      </c>
      <c r="I1317" s="453" t="s">
        <v>2731</v>
      </c>
      <c r="J1317" s="454" t="s">
        <v>16370</v>
      </c>
      <c r="K1317" s="454" t="s">
        <v>7056</v>
      </c>
    </row>
    <row r="1318" spans="1:11">
      <c r="A1318" s="456" t="s">
        <v>7100</v>
      </c>
      <c r="B1318" s="521">
        <f t="shared" si="6"/>
        <v>105</v>
      </c>
      <c r="C1318" s="161">
        <v>0</v>
      </c>
      <c r="D1318" s="162">
        <v>0</v>
      </c>
      <c r="E1318" s="357">
        <v>35</v>
      </c>
      <c r="F1318" s="357" t="s">
        <v>2578</v>
      </c>
      <c r="G1318" s="150" t="s">
        <v>7119</v>
      </c>
      <c r="H1318" s="635" t="s">
        <v>7099</v>
      </c>
      <c r="I1318" s="453" t="s">
        <v>2722</v>
      </c>
      <c r="J1318" s="454" t="s">
        <v>2737</v>
      </c>
      <c r="K1318" s="454" t="s">
        <v>7056</v>
      </c>
    </row>
    <row r="1319" spans="1:11">
      <c r="A1319" s="149" t="s">
        <v>14744</v>
      </c>
      <c r="B1319" s="521">
        <f t="shared" si="6"/>
        <v>90</v>
      </c>
      <c r="C1319" s="161">
        <v>0</v>
      </c>
      <c r="D1319" s="162">
        <v>0</v>
      </c>
      <c r="E1319" s="150">
        <v>30</v>
      </c>
      <c r="F1319" s="150" t="s">
        <v>2578</v>
      </c>
      <c r="G1319" s="150" t="s">
        <v>7119</v>
      </c>
      <c r="H1319" s="636" t="s">
        <v>17484</v>
      </c>
      <c r="I1319" s="453" t="s">
        <v>12242</v>
      </c>
      <c r="J1319" s="454" t="s">
        <v>13219</v>
      </c>
      <c r="K1319" s="454" t="s">
        <v>7056</v>
      </c>
    </row>
    <row r="1320" spans="1:11">
      <c r="A1320" s="149" t="s">
        <v>14745</v>
      </c>
      <c r="B1320" s="521">
        <f t="shared" si="6"/>
        <v>120</v>
      </c>
      <c r="C1320" s="161">
        <v>0</v>
      </c>
      <c r="D1320" s="162">
        <v>0</v>
      </c>
      <c r="E1320" s="150">
        <v>40</v>
      </c>
      <c r="F1320" s="150" t="s">
        <v>2578</v>
      </c>
      <c r="G1320" s="150" t="s">
        <v>7119</v>
      </c>
      <c r="H1320" s="636" t="s">
        <v>17484</v>
      </c>
      <c r="I1320" s="453" t="s">
        <v>12242</v>
      </c>
      <c r="J1320" s="454" t="s">
        <v>2748</v>
      </c>
      <c r="K1320" s="454" t="s">
        <v>7056</v>
      </c>
    </row>
    <row r="1321" spans="1:11">
      <c r="A1321" s="150" t="s">
        <v>7065</v>
      </c>
      <c r="B1321" s="521">
        <f t="shared" si="6"/>
        <v>60</v>
      </c>
      <c r="C1321" s="161">
        <v>0</v>
      </c>
      <c r="D1321" s="162">
        <v>0</v>
      </c>
      <c r="E1321" s="150">
        <v>30</v>
      </c>
      <c r="F1321" s="150" t="s">
        <v>2572</v>
      </c>
      <c r="G1321" s="150" t="s">
        <v>7119</v>
      </c>
      <c r="H1321" s="636" t="s">
        <v>17484</v>
      </c>
      <c r="I1321" s="453" t="s">
        <v>7062</v>
      </c>
      <c r="J1321" s="454" t="s">
        <v>16316</v>
      </c>
      <c r="K1321" s="454" t="s">
        <v>7056</v>
      </c>
    </row>
    <row r="1322" spans="1:11">
      <c r="A1322" s="456" t="s">
        <v>7063</v>
      </c>
      <c r="B1322" s="521">
        <f t="shared" si="6"/>
        <v>255</v>
      </c>
      <c r="C1322" s="161">
        <v>0</v>
      </c>
      <c r="D1322" s="162">
        <v>0</v>
      </c>
      <c r="E1322" s="357">
        <v>51</v>
      </c>
      <c r="F1322" s="357" t="s">
        <v>2607</v>
      </c>
      <c r="G1322" s="150" t="s">
        <v>7119</v>
      </c>
      <c r="H1322" s="635" t="s">
        <v>17484</v>
      </c>
      <c r="I1322" s="453" t="s">
        <v>16271</v>
      </c>
      <c r="J1322" s="454" t="s">
        <v>16271</v>
      </c>
      <c r="K1322" s="454" t="s">
        <v>7055</v>
      </c>
    </row>
    <row r="1323" spans="1:11">
      <c r="A1323" s="150" t="s">
        <v>9650</v>
      </c>
      <c r="B1323" s="521">
        <f t="shared" si="6"/>
        <v>60</v>
      </c>
      <c r="C1323" s="161">
        <v>0</v>
      </c>
      <c r="D1323" s="162">
        <v>0</v>
      </c>
      <c r="E1323" s="150">
        <v>30</v>
      </c>
      <c r="F1323" s="150" t="s">
        <v>2572</v>
      </c>
      <c r="G1323" s="150" t="s">
        <v>7119</v>
      </c>
      <c r="H1323" s="636" t="s">
        <v>17484</v>
      </c>
      <c r="I1323" s="453" t="s">
        <v>4453</v>
      </c>
      <c r="J1323" s="454" t="s">
        <v>4453</v>
      </c>
      <c r="K1323" s="454" t="s">
        <v>7056</v>
      </c>
    </row>
    <row r="1324" spans="1:11">
      <c r="A1324" s="150" t="s">
        <v>17533</v>
      </c>
      <c r="B1324" s="521">
        <f t="shared" si="6"/>
        <v>120</v>
      </c>
      <c r="C1324" s="161">
        <v>0</v>
      </c>
      <c r="D1324" s="162">
        <v>0</v>
      </c>
      <c r="E1324" s="150">
        <v>40</v>
      </c>
      <c r="F1324" s="150" t="s">
        <v>2578</v>
      </c>
      <c r="G1324" s="150" t="s">
        <v>7119</v>
      </c>
      <c r="H1324" s="636" t="s">
        <v>17484</v>
      </c>
      <c r="I1324" s="453" t="s">
        <v>2725</v>
      </c>
      <c r="J1324" s="454" t="s">
        <v>2725</v>
      </c>
      <c r="K1324" s="454" t="s">
        <v>7056</v>
      </c>
    </row>
    <row r="1325" spans="1:11">
      <c r="A1325" s="150" t="s">
        <v>11149</v>
      </c>
      <c r="B1325" s="521">
        <f t="shared" si="6"/>
        <v>54</v>
      </c>
      <c r="C1325" s="161">
        <v>0</v>
      </c>
      <c r="D1325" s="162">
        <v>0</v>
      </c>
      <c r="E1325" s="150">
        <v>27</v>
      </c>
      <c r="F1325" s="150" t="s">
        <v>2572</v>
      </c>
      <c r="G1325" s="150" t="s">
        <v>7119</v>
      </c>
      <c r="H1325" s="636" t="s">
        <v>17484</v>
      </c>
      <c r="I1325" s="453" t="s">
        <v>7062</v>
      </c>
      <c r="J1325" s="454" t="s">
        <v>16325</v>
      </c>
      <c r="K1325" s="454" t="s">
        <v>7056</v>
      </c>
    </row>
    <row r="1326" spans="1:11">
      <c r="A1326" s="150" t="s">
        <v>7107</v>
      </c>
      <c r="B1326" s="521">
        <f t="shared" si="6"/>
        <v>90</v>
      </c>
      <c r="C1326" s="161">
        <v>0</v>
      </c>
      <c r="D1326" s="162">
        <v>0</v>
      </c>
      <c r="E1326" s="150">
        <v>45</v>
      </c>
      <c r="F1326" s="150" t="s">
        <v>2572</v>
      </c>
      <c r="G1326" s="150" t="s">
        <v>7119</v>
      </c>
      <c r="H1326" s="636" t="s">
        <v>17484</v>
      </c>
      <c r="I1326" s="453" t="s">
        <v>2724</v>
      </c>
      <c r="J1326" s="454" t="s">
        <v>2724</v>
      </c>
      <c r="K1326" s="454" t="s">
        <v>7056</v>
      </c>
    </row>
    <row r="1327" spans="1:11">
      <c r="A1327" s="160" t="s">
        <v>12312</v>
      </c>
      <c r="B1327" s="521">
        <f t="shared" si="6"/>
        <v>760</v>
      </c>
      <c r="C1327" s="161">
        <v>0</v>
      </c>
      <c r="D1327" s="162">
        <v>0</v>
      </c>
      <c r="E1327" s="150">
        <v>38</v>
      </c>
      <c r="F1327" s="150" t="s">
        <v>8801</v>
      </c>
      <c r="G1327" s="150" t="s">
        <v>7119</v>
      </c>
      <c r="H1327" s="639" t="s">
        <v>4551</v>
      </c>
      <c r="I1327" s="453" t="s">
        <v>7062</v>
      </c>
      <c r="J1327" s="454" t="s">
        <v>16325</v>
      </c>
      <c r="K1327" s="454" t="s">
        <v>7055</v>
      </c>
    </row>
    <row r="1328" spans="1:11">
      <c r="A1328" s="160" t="s">
        <v>15292</v>
      </c>
      <c r="B1328" s="521">
        <f t="shared" si="6"/>
        <v>600</v>
      </c>
      <c r="C1328" s="161">
        <v>0</v>
      </c>
      <c r="D1328" s="162">
        <v>0</v>
      </c>
      <c r="E1328" s="150">
        <v>30</v>
      </c>
      <c r="F1328" s="150" t="s">
        <v>8801</v>
      </c>
      <c r="G1328" s="150" t="s">
        <v>7119</v>
      </c>
      <c r="H1328" s="636" t="s">
        <v>15288</v>
      </c>
      <c r="I1328" s="453" t="s">
        <v>2727</v>
      </c>
      <c r="J1328" s="454" t="s">
        <v>2727</v>
      </c>
      <c r="K1328" s="454" t="s">
        <v>7055</v>
      </c>
    </row>
    <row r="1329" spans="1:11">
      <c r="A1329" s="456" t="s">
        <v>7033</v>
      </c>
      <c r="B1329" s="521">
        <f t="shared" si="6"/>
        <v>60</v>
      </c>
      <c r="C1329" s="161">
        <v>0</v>
      </c>
      <c r="D1329" s="162">
        <v>0</v>
      </c>
      <c r="E1329" s="357">
        <v>20</v>
      </c>
      <c r="F1329" s="357" t="s">
        <v>2578</v>
      </c>
      <c r="G1329" s="150" t="s">
        <v>7119</v>
      </c>
      <c r="H1329" s="635" t="s">
        <v>7034</v>
      </c>
      <c r="I1329" s="453" t="s">
        <v>2726</v>
      </c>
      <c r="J1329" s="454" t="s">
        <v>2726</v>
      </c>
      <c r="K1329" s="454" t="s">
        <v>7056</v>
      </c>
    </row>
    <row r="1330" spans="1:11">
      <c r="A1330" s="456" t="s">
        <v>15384</v>
      </c>
      <c r="B1330" s="521">
        <f t="shared" si="6"/>
        <v>21</v>
      </c>
      <c r="C1330" s="161">
        <v>0</v>
      </c>
      <c r="D1330" s="162">
        <v>0</v>
      </c>
      <c r="E1330" s="357">
        <v>21</v>
      </c>
      <c r="F1330" s="357" t="s">
        <v>2574</v>
      </c>
      <c r="G1330" s="150" t="s">
        <v>7119</v>
      </c>
      <c r="H1330" s="634" t="s">
        <v>4551</v>
      </c>
      <c r="I1330" s="453" t="s">
        <v>2723</v>
      </c>
      <c r="J1330" s="454" t="s">
        <v>2737</v>
      </c>
      <c r="K1330" s="454" t="s">
        <v>7056</v>
      </c>
    </row>
    <row r="1331" spans="1:11">
      <c r="A1331" s="456" t="s">
        <v>14549</v>
      </c>
      <c r="B1331" s="521">
        <f t="shared" si="6"/>
        <v>205</v>
      </c>
      <c r="C1331" s="161">
        <v>0</v>
      </c>
      <c r="D1331" s="162">
        <v>0</v>
      </c>
      <c r="E1331" s="357">
        <v>41</v>
      </c>
      <c r="F1331" s="357" t="s">
        <v>2607</v>
      </c>
      <c r="G1331" s="150" t="s">
        <v>7119</v>
      </c>
      <c r="H1331" s="634" t="s">
        <v>4551</v>
      </c>
      <c r="I1331" s="453" t="s">
        <v>16271</v>
      </c>
      <c r="J1331" s="454" t="s">
        <v>16271</v>
      </c>
      <c r="K1331" s="454" t="s">
        <v>7056</v>
      </c>
    </row>
    <row r="1332" spans="1:11">
      <c r="A1332" s="456" t="s">
        <v>7210</v>
      </c>
      <c r="B1332" s="521">
        <f t="shared" si="6"/>
        <v>500</v>
      </c>
      <c r="C1332" s="161">
        <v>0</v>
      </c>
      <c r="D1332" s="162">
        <v>0</v>
      </c>
      <c r="E1332" s="461">
        <v>50</v>
      </c>
      <c r="F1332" s="357" t="s">
        <v>2608</v>
      </c>
      <c r="G1332" s="150" t="s">
        <v>7119</v>
      </c>
      <c r="H1332" s="635" t="s">
        <v>7211</v>
      </c>
      <c r="I1332" s="453" t="s">
        <v>16271</v>
      </c>
      <c r="J1332" s="454" t="s">
        <v>16271</v>
      </c>
      <c r="K1332" s="454" t="s">
        <v>7056</v>
      </c>
    </row>
    <row r="1333" spans="1:11">
      <c r="A1333" s="456" t="s">
        <v>9756</v>
      </c>
      <c r="B1333" s="521">
        <f t="shared" si="6"/>
        <v>30</v>
      </c>
      <c r="C1333" s="161">
        <v>0</v>
      </c>
      <c r="D1333" s="162">
        <v>0</v>
      </c>
      <c r="E1333" s="357">
        <v>15</v>
      </c>
      <c r="F1333" s="357" t="s">
        <v>2572</v>
      </c>
      <c r="G1333" s="150" t="s">
        <v>7119</v>
      </c>
      <c r="H1333" s="635" t="s">
        <v>9755</v>
      </c>
      <c r="I1333" s="453" t="s">
        <v>7054</v>
      </c>
      <c r="J1333" s="454" t="s">
        <v>7054</v>
      </c>
      <c r="K1333" s="454" t="s">
        <v>7056</v>
      </c>
    </row>
    <row r="1334" spans="1:11">
      <c r="A1334" s="456" t="s">
        <v>16372</v>
      </c>
      <c r="B1334" s="521">
        <f t="shared" si="6"/>
        <v>30</v>
      </c>
      <c r="C1334" s="161">
        <v>0</v>
      </c>
      <c r="D1334" s="162">
        <v>0</v>
      </c>
      <c r="E1334" s="357">
        <v>15</v>
      </c>
      <c r="F1334" s="357" t="s">
        <v>2572</v>
      </c>
      <c r="G1334" s="150" t="s">
        <v>7119</v>
      </c>
      <c r="H1334" s="634" t="s">
        <v>4551</v>
      </c>
      <c r="I1334" s="453" t="s">
        <v>2731</v>
      </c>
      <c r="J1334" s="454" t="s">
        <v>16370</v>
      </c>
      <c r="K1334" s="454" t="s">
        <v>7056</v>
      </c>
    </row>
    <row r="1335" spans="1:11">
      <c r="A1335" s="456" t="s">
        <v>16576</v>
      </c>
      <c r="B1335" s="521">
        <f t="shared" si="6"/>
        <v>90</v>
      </c>
      <c r="C1335" s="161">
        <v>0</v>
      </c>
      <c r="D1335" s="162">
        <v>0</v>
      </c>
      <c r="E1335" s="357">
        <v>30</v>
      </c>
      <c r="F1335" s="357" t="s">
        <v>2578</v>
      </c>
      <c r="G1335" s="150" t="s">
        <v>7119</v>
      </c>
      <c r="H1335" s="634" t="s">
        <v>4551</v>
      </c>
      <c r="I1335" s="453" t="s">
        <v>2731</v>
      </c>
      <c r="K1335" s="454" t="s">
        <v>7055</v>
      </c>
    </row>
    <row r="1336" spans="1:11">
      <c r="A1336" s="456" t="s">
        <v>7088</v>
      </c>
      <c r="B1336" s="521">
        <f t="shared" si="6"/>
        <v>120</v>
      </c>
      <c r="C1336" s="161">
        <v>0</v>
      </c>
      <c r="D1336" s="162">
        <v>0</v>
      </c>
      <c r="E1336" s="357">
        <v>40</v>
      </c>
      <c r="F1336" s="357" t="s">
        <v>2578</v>
      </c>
      <c r="G1336" s="150" t="s">
        <v>7119</v>
      </c>
      <c r="H1336" s="635" t="s">
        <v>7089</v>
      </c>
      <c r="I1336" s="453" t="s">
        <v>2731</v>
      </c>
      <c r="J1336" s="454" t="s">
        <v>16310</v>
      </c>
      <c r="K1336" s="454" t="s">
        <v>7055</v>
      </c>
    </row>
    <row r="1337" spans="1:11">
      <c r="A1337" s="456" t="s">
        <v>15279</v>
      </c>
      <c r="B1337" s="521">
        <f t="shared" ref="B1337:B1358" si="8">ROUNDUP((IF(F1337="U",E1337*50,IF(F1337="ER",E1337*20,IF(F1337="TR",E1337*10,IF(F1337="R",E1337*5,IF(F1337="I",E1337*3,IF(F1337="AC",E1337*2,IF(F1337="C",E1337*1,IF(F1337="B",E1337/3,IF(F1337="TC",E1337/2)))))))))),0)</f>
        <v>28</v>
      </c>
      <c r="C1337" s="161">
        <v>0</v>
      </c>
      <c r="D1337" s="162">
        <v>0</v>
      </c>
      <c r="E1337" s="357">
        <v>14</v>
      </c>
      <c r="F1337" s="357" t="s">
        <v>2572</v>
      </c>
      <c r="G1337" s="150" t="s">
        <v>17534</v>
      </c>
      <c r="H1337" s="635" t="s">
        <v>15280</v>
      </c>
      <c r="I1337" s="453" t="s">
        <v>2719</v>
      </c>
      <c r="J1337" s="454" t="s">
        <v>2719</v>
      </c>
      <c r="K1337" s="454" t="s">
        <v>7056</v>
      </c>
    </row>
    <row r="1338" spans="1:11">
      <c r="A1338" s="456" t="s">
        <v>15281</v>
      </c>
      <c r="B1338" s="521">
        <f t="shared" si="8"/>
        <v>24</v>
      </c>
      <c r="C1338" s="161">
        <v>0</v>
      </c>
      <c r="D1338" s="162">
        <v>0</v>
      </c>
      <c r="E1338" s="357">
        <v>12</v>
      </c>
      <c r="F1338" s="357" t="s">
        <v>2572</v>
      </c>
      <c r="G1338" s="150" t="s">
        <v>17534</v>
      </c>
      <c r="H1338" s="635" t="s">
        <v>15280</v>
      </c>
      <c r="I1338" s="453" t="s">
        <v>2719</v>
      </c>
      <c r="J1338" s="454" t="s">
        <v>2719</v>
      </c>
      <c r="K1338" s="454" t="s">
        <v>7056</v>
      </c>
    </row>
    <row r="1339" spans="1:11">
      <c r="A1339" s="456" t="s">
        <v>14790</v>
      </c>
      <c r="B1339" s="521">
        <f t="shared" si="8"/>
        <v>150</v>
      </c>
      <c r="C1339" s="161">
        <v>0</v>
      </c>
      <c r="D1339" s="162">
        <v>0</v>
      </c>
      <c r="E1339" s="357">
        <v>15</v>
      </c>
      <c r="F1339" s="357" t="s">
        <v>2608</v>
      </c>
      <c r="G1339" s="150" t="s">
        <v>17534</v>
      </c>
      <c r="H1339" s="634" t="s">
        <v>4551</v>
      </c>
      <c r="I1339" s="453" t="s">
        <v>2719</v>
      </c>
      <c r="J1339" s="454" t="s">
        <v>2719</v>
      </c>
      <c r="K1339" s="454" t="s">
        <v>7055</v>
      </c>
    </row>
    <row r="1340" spans="1:11">
      <c r="A1340" s="456" t="s">
        <v>15436</v>
      </c>
      <c r="B1340" s="858">
        <f t="shared" si="8"/>
        <v>24</v>
      </c>
      <c r="C1340" s="738">
        <v>0</v>
      </c>
      <c r="D1340" s="739">
        <v>0</v>
      </c>
      <c r="E1340" s="481">
        <v>12</v>
      </c>
      <c r="F1340" s="481" t="s">
        <v>2572</v>
      </c>
      <c r="G1340" s="150" t="s">
        <v>17534</v>
      </c>
      <c r="H1340" s="859" t="s">
        <v>4551</v>
      </c>
      <c r="I1340" s="453" t="s">
        <v>2719</v>
      </c>
      <c r="J1340" s="454" t="s">
        <v>2719</v>
      </c>
      <c r="K1340" s="454" t="s">
        <v>7056</v>
      </c>
    </row>
    <row r="1341" spans="1:11">
      <c r="A1341" s="456" t="s">
        <v>15532</v>
      </c>
      <c r="B1341" s="434">
        <f t="shared" si="8"/>
        <v>40</v>
      </c>
      <c r="C1341" s="155">
        <v>0</v>
      </c>
      <c r="D1341" s="156">
        <v>0</v>
      </c>
      <c r="E1341" s="437">
        <v>20</v>
      </c>
      <c r="F1341" s="357" t="s">
        <v>2572</v>
      </c>
      <c r="G1341" s="150" t="s">
        <v>17534</v>
      </c>
      <c r="H1341" s="635" t="s">
        <v>15533</v>
      </c>
      <c r="I1341" s="453" t="s">
        <v>2719</v>
      </c>
      <c r="J1341" s="454" t="s">
        <v>2719</v>
      </c>
      <c r="K1341" s="454" t="s">
        <v>7056</v>
      </c>
    </row>
    <row r="1342" spans="1:11">
      <c r="A1342" s="160" t="s">
        <v>14799</v>
      </c>
      <c r="B1342" s="521">
        <f t="shared" si="8"/>
        <v>42</v>
      </c>
      <c r="C1342" s="161">
        <v>0</v>
      </c>
      <c r="D1342" s="162">
        <v>0</v>
      </c>
      <c r="E1342" s="157">
        <v>14</v>
      </c>
      <c r="F1342" s="150" t="s">
        <v>2578</v>
      </c>
      <c r="G1342" s="150" t="s">
        <v>17534</v>
      </c>
      <c r="H1342" s="639" t="s">
        <v>4551</v>
      </c>
      <c r="I1342" s="453" t="s">
        <v>2719</v>
      </c>
      <c r="J1342" s="454" t="s">
        <v>2719</v>
      </c>
      <c r="K1342" s="454" t="s">
        <v>7056</v>
      </c>
    </row>
    <row r="1343" spans="1:11">
      <c r="A1343" s="160" t="s">
        <v>14800</v>
      </c>
      <c r="B1343" s="521">
        <f t="shared" si="8"/>
        <v>48</v>
      </c>
      <c r="C1343" s="161">
        <v>0</v>
      </c>
      <c r="D1343" s="162">
        <v>0</v>
      </c>
      <c r="E1343" s="157">
        <v>16</v>
      </c>
      <c r="F1343" s="150" t="s">
        <v>2578</v>
      </c>
      <c r="G1343" s="150" t="s">
        <v>17534</v>
      </c>
      <c r="H1343" s="639" t="s">
        <v>4551</v>
      </c>
      <c r="I1343" s="453" t="s">
        <v>2719</v>
      </c>
      <c r="J1343" s="454" t="s">
        <v>2719</v>
      </c>
      <c r="K1343" s="454" t="s">
        <v>7056</v>
      </c>
    </row>
    <row r="1344" spans="1:11">
      <c r="A1344" s="456" t="s">
        <v>14788</v>
      </c>
      <c r="B1344" s="521">
        <f t="shared" si="8"/>
        <v>3</v>
      </c>
      <c r="C1344" s="522">
        <v>0</v>
      </c>
      <c r="D1344" s="523">
        <v>0</v>
      </c>
      <c r="E1344" s="357">
        <v>8</v>
      </c>
      <c r="F1344" s="357" t="s">
        <v>141</v>
      </c>
      <c r="G1344" s="150" t="s">
        <v>17534</v>
      </c>
      <c r="H1344" s="635" t="s">
        <v>9060</v>
      </c>
      <c r="I1344" s="453" t="s">
        <v>2719</v>
      </c>
      <c r="J1344" s="454" t="s">
        <v>2719</v>
      </c>
      <c r="K1344" s="454" t="s">
        <v>7056</v>
      </c>
    </row>
    <row r="1345" spans="1:11">
      <c r="A1345" s="456" t="s">
        <v>14793</v>
      </c>
      <c r="B1345" s="521">
        <f t="shared" si="8"/>
        <v>30</v>
      </c>
      <c r="C1345" s="522">
        <v>0</v>
      </c>
      <c r="D1345" s="523">
        <v>0</v>
      </c>
      <c r="E1345" s="357">
        <v>10</v>
      </c>
      <c r="F1345" s="357" t="s">
        <v>2578</v>
      </c>
      <c r="G1345" s="150" t="s">
        <v>17534</v>
      </c>
      <c r="H1345" s="634" t="s">
        <v>4551</v>
      </c>
      <c r="I1345" s="453" t="s">
        <v>2719</v>
      </c>
      <c r="J1345" s="454" t="s">
        <v>2719</v>
      </c>
      <c r="K1345" s="454" t="s">
        <v>7056</v>
      </c>
    </row>
    <row r="1346" spans="1:11">
      <c r="A1346" s="456" t="s">
        <v>14789</v>
      </c>
      <c r="B1346" s="521">
        <f t="shared" si="8"/>
        <v>4</v>
      </c>
      <c r="C1346" s="161">
        <v>0</v>
      </c>
      <c r="D1346" s="162">
        <v>0</v>
      </c>
      <c r="E1346" s="357">
        <v>11</v>
      </c>
      <c r="F1346" s="357" t="s">
        <v>141</v>
      </c>
      <c r="G1346" s="150" t="s">
        <v>17534</v>
      </c>
      <c r="H1346" s="635" t="s">
        <v>9061</v>
      </c>
      <c r="I1346" s="453" t="s">
        <v>2719</v>
      </c>
      <c r="J1346" s="454" t="s">
        <v>2719</v>
      </c>
      <c r="K1346" s="454" t="s">
        <v>7056</v>
      </c>
    </row>
    <row r="1347" spans="1:11">
      <c r="A1347" s="456" t="s">
        <v>15545</v>
      </c>
      <c r="B1347" s="521">
        <f t="shared" si="8"/>
        <v>200</v>
      </c>
      <c r="C1347" s="161">
        <v>0</v>
      </c>
      <c r="D1347" s="162">
        <v>0</v>
      </c>
      <c r="E1347" s="357">
        <v>20</v>
      </c>
      <c r="F1347" s="357" t="s">
        <v>2608</v>
      </c>
      <c r="G1347" s="150" t="s">
        <v>17534</v>
      </c>
      <c r="H1347" s="635" t="s">
        <v>15546</v>
      </c>
      <c r="I1347" s="453" t="s">
        <v>2719</v>
      </c>
      <c r="J1347" s="454" t="s">
        <v>2719</v>
      </c>
      <c r="K1347" s="454" t="s">
        <v>7055</v>
      </c>
    </row>
    <row r="1348" spans="1:11">
      <c r="A1348" s="160" t="s">
        <v>14791</v>
      </c>
      <c r="B1348" s="521">
        <f t="shared" si="8"/>
        <v>45</v>
      </c>
      <c r="C1348" s="161">
        <v>0</v>
      </c>
      <c r="D1348" s="162">
        <v>0</v>
      </c>
      <c r="E1348" s="150">
        <v>9</v>
      </c>
      <c r="F1348" s="150" t="s">
        <v>2607</v>
      </c>
      <c r="G1348" s="150" t="s">
        <v>17534</v>
      </c>
      <c r="H1348" s="639" t="s">
        <v>4551</v>
      </c>
      <c r="I1348" s="453" t="s">
        <v>2719</v>
      </c>
      <c r="J1348" s="454" t="s">
        <v>2719</v>
      </c>
      <c r="K1348" s="454" t="s">
        <v>7056</v>
      </c>
    </row>
    <row r="1349" spans="1:11">
      <c r="A1349" s="456" t="s">
        <v>14792</v>
      </c>
      <c r="B1349" s="521">
        <f t="shared" si="8"/>
        <v>21</v>
      </c>
      <c r="C1349" s="522">
        <v>0</v>
      </c>
      <c r="D1349" s="523">
        <v>0</v>
      </c>
      <c r="E1349" s="357">
        <v>7</v>
      </c>
      <c r="F1349" s="357" t="s">
        <v>2578</v>
      </c>
      <c r="G1349" s="150" t="s">
        <v>17534</v>
      </c>
      <c r="H1349" s="634" t="s">
        <v>4551</v>
      </c>
      <c r="I1349" s="453" t="s">
        <v>2719</v>
      </c>
      <c r="J1349" s="454" t="s">
        <v>2719</v>
      </c>
      <c r="K1349" s="454" t="s">
        <v>7056</v>
      </c>
    </row>
    <row r="1350" spans="1:11">
      <c r="A1350" s="160" t="s">
        <v>14798</v>
      </c>
      <c r="B1350" s="521">
        <f t="shared" si="8"/>
        <v>45</v>
      </c>
      <c r="C1350" s="161">
        <v>0</v>
      </c>
      <c r="D1350" s="162">
        <v>0</v>
      </c>
      <c r="E1350" s="157">
        <v>15</v>
      </c>
      <c r="F1350" s="150" t="s">
        <v>2578</v>
      </c>
      <c r="G1350" s="150" t="s">
        <v>17534</v>
      </c>
      <c r="H1350" s="639" t="s">
        <v>4551</v>
      </c>
      <c r="I1350" s="453" t="s">
        <v>2719</v>
      </c>
      <c r="J1350" s="454" t="s">
        <v>2719</v>
      </c>
      <c r="K1350" s="454" t="s">
        <v>7056</v>
      </c>
    </row>
    <row r="1351" spans="1:11">
      <c r="A1351" s="456" t="s">
        <v>9063</v>
      </c>
      <c r="B1351" s="521">
        <f t="shared" si="8"/>
        <v>24</v>
      </c>
      <c r="C1351" s="161">
        <v>0</v>
      </c>
      <c r="D1351" s="162">
        <v>0</v>
      </c>
      <c r="E1351" s="357">
        <v>12</v>
      </c>
      <c r="F1351" s="357" t="s">
        <v>2572</v>
      </c>
      <c r="G1351" s="150" t="s">
        <v>17534</v>
      </c>
      <c r="H1351" s="635" t="s">
        <v>9062</v>
      </c>
      <c r="I1351" s="453" t="s">
        <v>2719</v>
      </c>
      <c r="J1351" s="454" t="s">
        <v>2719</v>
      </c>
      <c r="K1351" s="454" t="s">
        <v>7056</v>
      </c>
    </row>
    <row r="1352" spans="1:11">
      <c r="A1352" s="456" t="s">
        <v>14794</v>
      </c>
      <c r="B1352" s="521">
        <f t="shared" si="8"/>
        <v>12</v>
      </c>
      <c r="C1352" s="161">
        <v>0</v>
      </c>
      <c r="D1352" s="162">
        <v>0</v>
      </c>
      <c r="E1352" s="437">
        <v>12</v>
      </c>
      <c r="F1352" s="357" t="s">
        <v>2574</v>
      </c>
      <c r="G1352" s="150" t="s">
        <v>17534</v>
      </c>
      <c r="H1352" s="634" t="s">
        <v>4551</v>
      </c>
      <c r="I1352" s="453" t="s">
        <v>2719</v>
      </c>
      <c r="J1352" s="454" t="s">
        <v>2719</v>
      </c>
      <c r="K1352" s="454" t="s">
        <v>7056</v>
      </c>
    </row>
    <row r="1353" spans="1:11">
      <c r="A1353" s="150" t="s">
        <v>9433</v>
      </c>
      <c r="B1353" s="521">
        <f t="shared" si="8"/>
        <v>24</v>
      </c>
      <c r="C1353" s="161">
        <v>0</v>
      </c>
      <c r="D1353" s="162">
        <v>0</v>
      </c>
      <c r="E1353" s="150">
        <v>12</v>
      </c>
      <c r="F1353" s="150" t="s">
        <v>2572</v>
      </c>
      <c r="G1353" s="150" t="s">
        <v>17534</v>
      </c>
      <c r="H1353" s="636" t="s">
        <v>17484</v>
      </c>
      <c r="I1353" s="453" t="s">
        <v>2719</v>
      </c>
      <c r="J1353" s="454" t="s">
        <v>2719</v>
      </c>
      <c r="K1353" s="454" t="s">
        <v>7056</v>
      </c>
    </row>
    <row r="1354" spans="1:11">
      <c r="A1354" s="150" t="s">
        <v>9434</v>
      </c>
      <c r="B1354" s="521">
        <f t="shared" si="8"/>
        <v>42</v>
      </c>
      <c r="C1354" s="161">
        <v>0</v>
      </c>
      <c r="D1354" s="162">
        <v>0</v>
      </c>
      <c r="E1354" s="150">
        <v>21</v>
      </c>
      <c r="F1354" s="150" t="s">
        <v>2572</v>
      </c>
      <c r="G1354" s="150" t="s">
        <v>17534</v>
      </c>
      <c r="H1354" s="636" t="s">
        <v>17484</v>
      </c>
      <c r="I1354" s="453" t="s">
        <v>2719</v>
      </c>
      <c r="J1354" s="454" t="s">
        <v>2719</v>
      </c>
      <c r="K1354" s="454" t="s">
        <v>7056</v>
      </c>
    </row>
    <row r="1355" spans="1:11">
      <c r="A1355" s="150" t="s">
        <v>9435</v>
      </c>
      <c r="B1355" s="521">
        <f t="shared" si="8"/>
        <v>70</v>
      </c>
      <c r="C1355" s="161">
        <v>0</v>
      </c>
      <c r="D1355" s="162">
        <v>0</v>
      </c>
      <c r="E1355" s="150">
        <v>35</v>
      </c>
      <c r="F1355" s="150" t="s">
        <v>2572</v>
      </c>
      <c r="G1355" s="150" t="s">
        <v>17534</v>
      </c>
      <c r="H1355" s="636" t="s">
        <v>17484</v>
      </c>
      <c r="I1355" s="453" t="s">
        <v>2719</v>
      </c>
      <c r="J1355" s="454" t="s">
        <v>2719</v>
      </c>
      <c r="K1355" s="454" t="s">
        <v>7056</v>
      </c>
    </row>
    <row r="1356" spans="1:11">
      <c r="A1356" s="150" t="s">
        <v>9436</v>
      </c>
      <c r="B1356" s="521">
        <f t="shared" si="8"/>
        <v>20</v>
      </c>
      <c r="C1356" s="161">
        <v>0</v>
      </c>
      <c r="D1356" s="162">
        <v>0</v>
      </c>
      <c r="E1356" s="150">
        <v>10</v>
      </c>
      <c r="F1356" s="150" t="s">
        <v>2572</v>
      </c>
      <c r="G1356" s="150" t="s">
        <v>17534</v>
      </c>
      <c r="H1356" s="636" t="s">
        <v>17484</v>
      </c>
      <c r="I1356" s="453" t="s">
        <v>2719</v>
      </c>
      <c r="J1356" s="454" t="s">
        <v>2719</v>
      </c>
      <c r="K1356" s="454" t="s">
        <v>7056</v>
      </c>
    </row>
    <row r="1357" spans="1:11">
      <c r="A1357" s="456" t="s">
        <v>17535</v>
      </c>
      <c r="B1357" s="521">
        <f t="shared" si="8"/>
        <v>150</v>
      </c>
      <c r="C1357" s="161">
        <v>0</v>
      </c>
      <c r="D1357" s="162">
        <v>0</v>
      </c>
      <c r="E1357" s="357">
        <v>30</v>
      </c>
      <c r="F1357" s="357" t="s">
        <v>2607</v>
      </c>
      <c r="G1357" s="150" t="s">
        <v>17534</v>
      </c>
      <c r="H1357" s="634" t="s">
        <v>4551</v>
      </c>
      <c r="I1357" s="453" t="s">
        <v>2719</v>
      </c>
      <c r="J1357" s="454" t="s">
        <v>2719</v>
      </c>
      <c r="K1357" s="454" t="s">
        <v>7056</v>
      </c>
    </row>
    <row r="1358" spans="1:11">
      <c r="A1358" s="160" t="s">
        <v>14795</v>
      </c>
      <c r="B1358" s="521">
        <f t="shared" si="8"/>
        <v>24</v>
      </c>
      <c r="C1358" s="161">
        <v>0</v>
      </c>
      <c r="D1358" s="162">
        <v>0</v>
      </c>
      <c r="E1358" s="157">
        <v>8</v>
      </c>
      <c r="F1358" s="150" t="s">
        <v>2578</v>
      </c>
      <c r="G1358" s="150" t="s">
        <v>17534</v>
      </c>
      <c r="H1358" s="639" t="s">
        <v>4551</v>
      </c>
      <c r="I1358" s="453" t="s">
        <v>2719</v>
      </c>
      <c r="J1358" s="454" t="s">
        <v>2719</v>
      </c>
      <c r="K1358" s="454" t="s">
        <v>7056</v>
      </c>
    </row>
  </sheetData>
  <sheetProtection selectLockedCells="1" selectUnlockedCells="1"/>
  <sortState xmlns:xlrd2="http://schemas.microsoft.com/office/spreadsheetml/2017/richdata2" ref="A1085:S1336">
    <sortCondition ref="A1085:A1336"/>
  </sortState>
  <mergeCells count="8">
    <mergeCell ref="K1:K2"/>
    <mergeCell ref="A1:A2"/>
    <mergeCell ref="G1:G2"/>
    <mergeCell ref="J1:J2"/>
    <mergeCell ref="H1:H2"/>
    <mergeCell ref="B1:D1"/>
    <mergeCell ref="F1:F2"/>
    <mergeCell ref="E1:E2"/>
  </mergeCells>
  <phoneticPr fontId="2" type="noConversion"/>
  <dataValidations count="2">
    <dataValidation type="list" allowBlank="1" showInputMessage="1" showErrorMessage="1" sqref="F1341:F1048576 F1:F794 F796:F1292 F1294:F1339" xr:uid="{48ABF994-8E71-4DC2-989C-ACE77C96EEEA}">
      <formula1>disponibilité</formula1>
    </dataValidation>
    <dataValidation type="list" allowBlank="1" showInputMessage="1" showErrorMessage="1" sqref="I1084:I1358" xr:uid="{2DD12DBD-6715-4441-AB5F-764D417CDB73}">
      <formula1>c_a</formula1>
    </dataValidation>
  </dataValidations>
  <hyperlinks>
    <hyperlink ref="H1119" r:id="rId1" display="https://bibliotheque-imperiale.com/index.php/Quetzl" xr:uid="{62AB327C-17B7-4F53-A3B4-9E05055ABBFD}"/>
    <hyperlink ref="H1264" r:id="rId2" xr:uid="{596781FA-5009-4230-AE32-A80B49FD487B}"/>
    <hyperlink ref="H1175" r:id="rId3" xr:uid="{3E53F4BB-01D5-4662-B6E8-F53F1441B9BB}"/>
    <hyperlink ref="H1198" r:id="rId4" xr:uid="{6B88BFCF-2388-414F-86DF-74D977FA6FDC}"/>
    <hyperlink ref="H1227" r:id="rId5" xr:uid="{9C003B11-981B-43FB-9EE4-1740A38AFEAD}"/>
    <hyperlink ref="H1196" r:id="rId6" xr:uid="{A60061C3-9FF7-4CEF-BDA4-7614E26D7A77}"/>
    <hyperlink ref="H1219" r:id="rId7" xr:uid="{D7244B50-E777-4F47-B741-574F529D18AD}"/>
    <hyperlink ref="H684" r:id="rId8" xr:uid="{84EBE098-2E5D-49AD-A7FD-358996014699}"/>
    <hyperlink ref="H1141" r:id="rId9" xr:uid="{70DE09F1-CFCB-4C55-838D-B0BF92C3E9E8}"/>
    <hyperlink ref="H1230" r:id="rId10" xr:uid="{E492783D-E81D-4450-A713-39BCE1673A65}"/>
    <hyperlink ref="H1012" r:id="rId11" xr:uid="{9DCD3309-F7D9-49C5-98C3-00957CA252E8}"/>
    <hyperlink ref="H1279" r:id="rId12" xr:uid="{127AED15-7B44-4221-95AA-A7D94387BF2A}"/>
    <hyperlink ref="H665" r:id="rId13" xr:uid="{9137AD48-5610-425F-BB97-8D7452DB2AF3}"/>
    <hyperlink ref="H1146" r:id="rId14" xr:uid="{11311E3A-71EC-4493-93CC-E1E6CE3E12F4}"/>
    <hyperlink ref="H1262" r:id="rId15" xr:uid="{2287BF66-4C05-4C4C-B847-E9D17B982E52}"/>
    <hyperlink ref="H1256" r:id="rId16" xr:uid="{9DDCB715-1229-4174-BC64-D82424CF2605}"/>
    <hyperlink ref="H1263" r:id="rId17" xr:uid="{075E382C-E2AD-44FD-8B65-CD8E83B437F6}"/>
    <hyperlink ref="H1254" r:id="rId18" xr:uid="{C3C83865-9273-487E-BEA8-50F85CD51F2A}"/>
    <hyperlink ref="H659" r:id="rId19" xr:uid="{7C6FE28E-88C7-45A5-8CDB-76E8FF27B5D8}"/>
    <hyperlink ref="H1233" r:id="rId20" xr:uid="{20FBC854-F87D-4E37-933C-9CD506B42E2B}"/>
    <hyperlink ref="H1234" r:id="rId21" xr:uid="{98C9FCB8-2E39-41B9-923C-208CDB13B1FD}"/>
    <hyperlink ref="H658" r:id="rId22" xr:uid="{8D9BC3C1-5529-49AE-986A-F3EC6C5A135B}"/>
    <hyperlink ref="H699" r:id="rId23" xr:uid="{D58BF734-6084-4C02-A93B-E1681A64D473}"/>
    <hyperlink ref="H702" r:id="rId24" xr:uid="{176AF2F4-5424-4451-91B0-70F63767E630}"/>
    <hyperlink ref="H679" r:id="rId25" xr:uid="{D1838F5E-5E22-484F-94CA-0C46B66F47D9}"/>
    <hyperlink ref="H670" r:id="rId26" xr:uid="{4091DE71-50FE-44CB-BFB1-0ABB6548FCE4}"/>
    <hyperlink ref="H1208" r:id="rId27" xr:uid="{9B3F8206-37AB-41AA-9FEC-A7C9EC64D432}"/>
    <hyperlink ref="H1112" r:id="rId28" xr:uid="{4688F4D6-CC67-404D-A208-6C898995109D}"/>
    <hyperlink ref="H1217" r:id="rId29" xr:uid="{52F3E14E-6775-42E1-AA5C-04C7B6D6DB65}"/>
    <hyperlink ref="H1288" r:id="rId30" xr:uid="{08F53AC1-5752-4D1C-AF23-BBCBA7BC7FE6}"/>
    <hyperlink ref="H1327" r:id="rId31" xr:uid="{C9D33C1B-5EF9-4551-89A1-C3FB5F98D4F9}"/>
    <hyperlink ref="H1133" r:id="rId32" xr:uid="{9315DF10-3C9A-46F4-8FE4-FB7DAB1684DD}"/>
    <hyperlink ref="H1206" r:id="rId33" xr:uid="{5D33DE48-0F9B-456C-B5F4-BFC069A8B86C}"/>
    <hyperlink ref="H1334" r:id="rId34" xr:uid="{5F6AD89F-8AD3-458A-8B0D-1C4BCAF14AFE}"/>
    <hyperlink ref="H563" r:id="rId35" xr:uid="{75E72FE1-CA64-404F-A14A-A36A527F7626}"/>
    <hyperlink ref="H582" r:id="rId36" xr:uid="{1375247B-3658-4680-A38F-5CA5173165EF}"/>
    <hyperlink ref="H584" r:id="rId37" xr:uid="{1BB68A7A-0E28-4627-BF4D-479F8A2F461E}"/>
    <hyperlink ref="H574" r:id="rId38" xr:uid="{FA5B5D44-EF12-485E-B188-BDFD8D15DD30}"/>
    <hyperlink ref="H1220" r:id="rId39" xr:uid="{E1F83AA3-BC52-4B44-B4A8-183B290DDEAD}"/>
    <hyperlink ref="H1331" r:id="rId40" xr:uid="{9EB932BB-A80B-4C80-A1F0-6AC2843BD7B6}"/>
    <hyperlink ref="H162" r:id="rId41" xr:uid="{2C81DB3C-3E62-4759-B083-605189EECFCA}"/>
    <hyperlink ref="H269" r:id="rId42" xr:uid="{D7BC86E6-F881-4A73-B850-AD99268DF2ED}"/>
    <hyperlink ref="H289:H292" r:id="rId43" display="Web" xr:uid="{F1C581F7-8992-4D73-A296-44C86704B7EF}"/>
    <hyperlink ref="H1014" r:id="rId44" xr:uid="{906A9392-6F05-454D-A599-E1116964E036}"/>
    <hyperlink ref="H1000:H1005" r:id="rId45" display="Web" xr:uid="{3A31CA8C-D763-4FB7-A716-3F3CA8807493}"/>
    <hyperlink ref="H1339" r:id="rId46" xr:uid="{FEE63C50-EED0-4EAF-B761-A12887658E75}"/>
    <hyperlink ref="H1216:H1223" r:id="rId47" display="Web" xr:uid="{763BF5AC-F3A8-46ED-83CD-3628E3A68147}"/>
    <hyperlink ref="H1287" r:id="rId48" xr:uid="{F105218F-F231-4274-AA88-567AA43E1281}"/>
    <hyperlink ref="H1225:H1226" r:id="rId49" display="Web" xr:uid="{DA49228B-9F2E-4FBD-ABDB-86974F185D89}"/>
    <hyperlink ref="H1195" r:id="rId50" xr:uid="{7EF72F8E-28EE-4101-9E5F-3827B6BC74DD}"/>
    <hyperlink ref="H1330" r:id="rId51" xr:uid="{05BEDDD5-574D-4FFA-A433-A57F3A8CC395}"/>
    <hyperlink ref="H498" r:id="rId52" xr:uid="{BFC2FBC6-B13E-4F9F-894C-72D13C244974}"/>
    <hyperlink ref="H1340" r:id="rId53" xr:uid="{8D5556A8-D117-4E2D-B89F-7F9CB35B6072}"/>
    <hyperlink ref="H329" r:id="rId54" xr:uid="{1E2B017E-AAF8-4D1E-8571-5EFD06557A9C}"/>
    <hyperlink ref="H272" r:id="rId55" xr:uid="{0A874894-2235-443B-A8C8-2B63BEC1590E}"/>
    <hyperlink ref="H292" r:id="rId56" xr:uid="{5DF87DE2-AC46-401B-8DB8-F47B9C14FB3F}"/>
    <hyperlink ref="H298" r:id="rId57" xr:uid="{868EAF27-2FD0-4BFE-8D25-73EEF08716AB}"/>
    <hyperlink ref="H313" r:id="rId58" xr:uid="{119EC2CE-CDFC-47AC-B17D-48B2113F7EC9}"/>
    <hyperlink ref="H266" r:id="rId59" xr:uid="{B3DD0F20-DDFC-4CC2-A7E1-0C61409188C4}"/>
    <hyperlink ref="H315" r:id="rId60" xr:uid="{403A1FFE-FF5B-4AF3-92EE-E99B4AD8F2D4}"/>
    <hyperlink ref="H311" r:id="rId61" xr:uid="{98CAF76D-7D70-4103-82A2-1EC13477531D}"/>
    <hyperlink ref="H312" r:id="rId62" xr:uid="{10B1604F-9533-44B9-9C01-7E73E0859D71}"/>
    <hyperlink ref="H325" r:id="rId63" xr:uid="{18C8D905-E9C3-47BF-97D1-84EF5A335C8F}"/>
    <hyperlink ref="H314" r:id="rId64" xr:uid="{8F447BE5-F0A3-43A7-8430-1E22800D6460}"/>
    <hyperlink ref="H317" r:id="rId65" xr:uid="{92DBEFBB-53E5-4992-8C59-68B261C2C805}"/>
    <hyperlink ref="H291" r:id="rId66" xr:uid="{B7AD72A6-1F9B-4969-8F0D-CE3B4A9C0F7E}"/>
    <hyperlink ref="H297" r:id="rId67" xr:uid="{2909EBBA-392D-4BE7-94E4-C85FF5A8B4C1}"/>
    <hyperlink ref="H650" r:id="rId68" xr:uid="{2E4D9140-98DA-46E6-8801-C2FA783E408F}"/>
    <hyperlink ref="H651" r:id="rId69" xr:uid="{D3767FF0-2E52-4B03-AB1D-5148D5E0A96E}"/>
    <hyperlink ref="H645" r:id="rId70" xr:uid="{A8715A12-F592-4D8C-811F-962E34894DAE}"/>
    <hyperlink ref="H652" r:id="rId71" xr:uid="{D38661BC-BFF8-4A49-894B-5181C88AC9BE}"/>
    <hyperlink ref="H321" r:id="rId72" xr:uid="{C0BAB8F0-2764-4852-99AF-1CCEFDD9D4CB}"/>
    <hyperlink ref="H296" r:id="rId73" xr:uid="{95F0EB7B-93CA-47A9-B6A7-A8A8337921E2}"/>
    <hyperlink ref="H277" r:id="rId74" xr:uid="{E0FC59D2-3700-4B1F-95E8-C6B18E2B3972}"/>
    <hyperlink ref="H331:H332" r:id="rId75" display="Web" xr:uid="{33950F18-1A0F-4DF9-9926-63B2D7231711}"/>
    <hyperlink ref="H61" r:id="rId76" xr:uid="{5CD7A934-7241-4AF8-8D43-A070FFA2F655}"/>
    <hyperlink ref="H77" r:id="rId77" xr:uid="{8C66E8C0-D740-4331-AFC8-EFDE9A3E6022}"/>
    <hyperlink ref="H48" r:id="rId78" xr:uid="{5DC71761-A14D-4424-B4F2-FB6325F23131}"/>
    <hyperlink ref="H74" r:id="rId79" xr:uid="{1203A425-24D0-45C3-8DE2-C8C73013580A}"/>
    <hyperlink ref="H590" r:id="rId80" xr:uid="{AF0CB247-2738-4CB5-8F16-ED453C735727}"/>
    <hyperlink ref="H637:H640" r:id="rId81" display="Web" xr:uid="{F96C178D-2528-4EA3-A718-50D700E223DE}"/>
    <hyperlink ref="H1224" r:id="rId82" xr:uid="{3A698C52-B264-4B1C-A8DE-781EC1347A4A}"/>
    <hyperlink ref="H605" r:id="rId83" xr:uid="{D57284B6-37A3-4103-A3B0-76BFECD7B1C3}"/>
    <hyperlink ref="H577" r:id="rId84" xr:uid="{6F5396F9-EDC1-433F-9CB8-988ECEB8CAEC}"/>
    <hyperlink ref="H635" r:id="rId85" xr:uid="{1EFC510D-ACC5-4E31-9172-C96789ACD1F6}"/>
    <hyperlink ref="H610" r:id="rId86" xr:uid="{7A8BDA09-5D00-40F8-8B93-02E9EED28A18}"/>
    <hyperlink ref="H1110" r:id="rId87" xr:uid="{3BA9B0EC-85C3-4FE5-AE95-7A32986E8E02}"/>
    <hyperlink ref="H1267" r:id="rId88" xr:uid="{7F7EE4EC-D8EB-443C-88B7-80659C9417A5}"/>
    <hyperlink ref="H1284" r:id="rId89" xr:uid="{CC734742-96DC-4F1E-A110-364663AABA91}"/>
    <hyperlink ref="H1187" r:id="rId90" xr:uid="{AFF5DC05-FD4F-4B22-B0F4-390ECCE2850F}"/>
    <hyperlink ref="H1243" r:id="rId91" xr:uid="{71F5E20E-E4D2-464B-BECF-921EA123112C}"/>
    <hyperlink ref="H1199" r:id="rId92" xr:uid="{97459155-820A-4431-8831-827B9EF9AAFF}"/>
    <hyperlink ref="H1111" r:id="rId93" xr:uid="{B4D6A2A6-A278-42C1-A646-9572EBAB45A5}"/>
    <hyperlink ref="H1335" r:id="rId94" xr:uid="{8F730A73-7B0A-4F52-8214-D32A61DA1FAA}"/>
    <hyperlink ref="H1272" r:id="rId95" xr:uid="{21EB4868-E911-49FF-ABF7-E7EE714F3B82}"/>
    <hyperlink ref="H1293" r:id="rId96" xr:uid="{62938E9B-D5E5-4B66-ACA4-29AF2EC4C135}"/>
    <hyperlink ref="H1134" r:id="rId97" xr:uid="{ED970087-0A09-4203-9DF3-6A03A275490F}"/>
    <hyperlink ref="H1253" r:id="rId98" xr:uid="{7D5A4FA7-1266-4073-A6BE-04995E97DB7F}"/>
    <hyperlink ref="H1260" r:id="rId99" xr:uid="{F45041D0-54DA-4C4D-8B7C-249578A25723}"/>
    <hyperlink ref="H1261" r:id="rId100" xr:uid="{BBD68630-0091-448D-889C-0B8610702FF1}"/>
    <hyperlink ref="H1158" r:id="rId101" xr:uid="{7EA40318-41E0-4479-BCEF-A38DD140C79E}"/>
    <hyperlink ref="H1295" r:id="rId102" xr:uid="{D820B47F-73F4-4C9C-B887-D0F3260194E7}"/>
    <hyperlink ref="H1139" r:id="rId103" xr:uid="{065AC36C-1E76-463E-89EB-17CAB7AD66E5}"/>
    <hyperlink ref="H1183" r:id="rId104" xr:uid="{2A69590D-C56B-4D29-862C-20B05787F65B}"/>
    <hyperlink ref="H1357" r:id="rId105" location="Des_Pestilences_et_des_Rats" xr:uid="{EDA49A0C-B5B2-4867-A4CC-FFCE5B414353}"/>
    <hyperlink ref="H1109" r:id="rId106" location="Des_Pestilences_et_des_Rats" xr:uid="{F8EAD239-2CBC-40B8-A379-29C6434B4044}"/>
  </hyperlinks>
  <pageMargins left="0.7" right="0.7" top="0.75" bottom="0.75" header="0.3" footer="0.3"/>
  <pageSetup paperSize="9" orientation="portrait" r:id="rId107"/>
  <legacyDrawing r:id="rId108"/>
  <extLst>
    <ext xmlns:x14="http://schemas.microsoft.com/office/spreadsheetml/2009/9/main" uri="{CCE6A557-97BC-4b89-ADB6-D9C93CAAB3DF}">
      <x14:dataValidations xmlns:xm="http://schemas.microsoft.com/office/excel/2006/main" count="1">
        <x14:dataValidation type="list" allowBlank="1" showInputMessage="1" showErrorMessage="1" xr:uid="{BFBC96B3-74AD-4482-A924-AC5B5DE90391}">
          <x14:formula1>
            <xm:f>IF(OR(I1084="Théologie",I1084="Démonologie"),OFFSET(tableaux!$ET$2,0,0,COUNT(tableaux!$ES$2:$ES$77)),IF(I1084="Sciences",Sciences,IF(OR(I1084="Gastronomie",I1084="Langues",I1084="Histoire",I1084="Géographie",I1084="Droit"),Eth,I1084)))</xm:f>
          </x14:formula1>
          <xm:sqref>J1084:J1252 J1254:J1358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theme="3" tint="0.39997558519241921"/>
  </sheetPr>
  <dimension ref="A1:K237"/>
  <sheetViews>
    <sheetView showGridLines="0" showRowColHeaders="0" workbookViewId="0">
      <pane ySplit="1" topLeftCell="A2" activePane="bottomLeft" state="frozen"/>
      <selection sqref="A1:AQ1"/>
      <selection pane="bottomLeft"/>
    </sheetView>
  </sheetViews>
  <sheetFormatPr baseColWidth="10" defaultRowHeight="13.2"/>
  <cols>
    <col min="1" max="1" width="36.33203125" style="83" customWidth="1"/>
    <col min="2" max="2" width="5.6640625" style="83" customWidth="1"/>
    <col min="3" max="3" width="19.33203125" customWidth="1"/>
    <col min="4" max="4" width="71.33203125" customWidth="1"/>
    <col min="5" max="5" width="15.6640625" customWidth="1"/>
    <col min="6" max="6" width="4.5546875" customWidth="1"/>
    <col min="7" max="7" width="43" style="83" customWidth="1"/>
  </cols>
  <sheetData>
    <row r="1" spans="1:11" ht="13.8" thickTop="1">
      <c r="A1" s="873" t="s">
        <v>162</v>
      </c>
      <c r="B1" s="873" t="s">
        <v>11153</v>
      </c>
      <c r="C1" s="873" t="s">
        <v>4358</v>
      </c>
      <c r="D1" s="873" t="s">
        <v>4359</v>
      </c>
      <c r="E1" s="873" t="s">
        <v>4352</v>
      </c>
      <c r="G1" s="873" t="s">
        <v>4364</v>
      </c>
      <c r="H1" s="873" t="s">
        <v>4352</v>
      </c>
    </row>
    <row r="2" spans="1:11">
      <c r="A2" s="875" t="s">
        <v>4814</v>
      </c>
      <c r="B2" s="452">
        <v>150</v>
      </c>
      <c r="C2" s="349" t="s">
        <v>2724</v>
      </c>
      <c r="D2" s="357" t="s">
        <v>4815</v>
      </c>
      <c r="E2" s="357" t="s">
        <v>4816</v>
      </c>
      <c r="G2" s="452" t="s">
        <v>4853</v>
      </c>
      <c r="H2" s="452" t="s">
        <v>4469</v>
      </c>
      <c r="J2" s="572"/>
      <c r="K2" s="25"/>
    </row>
    <row r="3" spans="1:11">
      <c r="A3" s="357" t="s">
        <v>12210</v>
      </c>
      <c r="B3" s="357">
        <v>0</v>
      </c>
      <c r="C3" s="349" t="s">
        <v>2731</v>
      </c>
      <c r="D3" s="357" t="s">
        <v>12211</v>
      </c>
      <c r="E3" s="876" t="s">
        <v>4551</v>
      </c>
      <c r="G3" s="452" t="s">
        <v>9905</v>
      </c>
      <c r="H3" s="452" t="s">
        <v>9904</v>
      </c>
      <c r="J3" s="25"/>
      <c r="K3" s="25"/>
    </row>
    <row r="4" spans="1:11">
      <c r="A4" s="452" t="s">
        <v>4402</v>
      </c>
      <c r="B4" s="452">
        <v>0</v>
      </c>
      <c r="C4" s="349" t="s">
        <v>2723</v>
      </c>
      <c r="D4" s="877" t="s">
        <v>4403</v>
      </c>
      <c r="E4" s="357" t="s">
        <v>4404</v>
      </c>
      <c r="G4" s="452" t="s">
        <v>4442</v>
      </c>
      <c r="H4" s="452" t="s">
        <v>4441</v>
      </c>
      <c r="J4" s="25"/>
      <c r="K4" s="25"/>
    </row>
    <row r="5" spans="1:11">
      <c r="A5" s="452" t="s">
        <v>4448</v>
      </c>
      <c r="B5" s="452">
        <v>0</v>
      </c>
      <c r="C5" s="349" t="s">
        <v>2731</v>
      </c>
      <c r="D5" s="357" t="s">
        <v>4887</v>
      </c>
      <c r="E5" s="357" t="s">
        <v>4449</v>
      </c>
      <c r="G5" s="452" t="s">
        <v>4395</v>
      </c>
      <c r="H5" s="452" t="s">
        <v>4396</v>
      </c>
      <c r="J5" s="25"/>
      <c r="K5" s="25"/>
    </row>
    <row r="6" spans="1:11">
      <c r="A6" s="452" t="s">
        <v>4857</v>
      </c>
      <c r="B6" s="452">
        <v>0</v>
      </c>
      <c r="C6" s="349" t="s">
        <v>2726</v>
      </c>
      <c r="D6" s="877" t="s">
        <v>17536</v>
      </c>
      <c r="E6" s="357" t="s">
        <v>4856</v>
      </c>
      <c r="G6" s="452" t="s">
        <v>17537</v>
      </c>
      <c r="H6" s="452" t="s">
        <v>16461</v>
      </c>
      <c r="J6" s="25"/>
      <c r="K6" s="25"/>
    </row>
    <row r="7" spans="1:11">
      <c r="A7" s="452" t="s">
        <v>4828</v>
      </c>
      <c r="B7" s="452">
        <v>0</v>
      </c>
      <c r="C7" s="349" t="s">
        <v>2721</v>
      </c>
      <c r="D7" s="877" t="s">
        <v>4829</v>
      </c>
      <c r="E7" s="357" t="s">
        <v>15594</v>
      </c>
      <c r="G7" s="357" t="s">
        <v>4851</v>
      </c>
      <c r="H7" s="357" t="s">
        <v>4852</v>
      </c>
      <c r="J7" s="25"/>
      <c r="K7" s="25"/>
    </row>
    <row r="8" spans="1:11">
      <c r="A8" s="452" t="s">
        <v>12294</v>
      </c>
      <c r="B8" s="452">
        <v>0</v>
      </c>
      <c r="C8" s="357" t="s">
        <v>2726</v>
      </c>
      <c r="D8" s="357" t="s">
        <v>12295</v>
      </c>
      <c r="E8" s="876" t="s">
        <v>4551</v>
      </c>
      <c r="G8" s="452" t="s">
        <v>4929</v>
      </c>
      <c r="H8" s="452" t="s">
        <v>4928</v>
      </c>
      <c r="J8" s="25"/>
      <c r="K8" s="25"/>
    </row>
    <row r="9" spans="1:11">
      <c r="A9" s="452" t="s">
        <v>4913</v>
      </c>
      <c r="B9" s="452">
        <v>0</v>
      </c>
      <c r="C9" s="349" t="s">
        <v>2726</v>
      </c>
      <c r="D9" s="357" t="s">
        <v>4914</v>
      </c>
      <c r="E9" s="357" t="s">
        <v>4915</v>
      </c>
      <c r="G9" s="452" t="s">
        <v>4474</v>
      </c>
      <c r="H9" s="452" t="s">
        <v>4475</v>
      </c>
      <c r="J9" s="25"/>
      <c r="K9" s="25"/>
    </row>
    <row r="10" spans="1:11">
      <c r="A10" s="452" t="s">
        <v>4405</v>
      </c>
      <c r="B10" s="452">
        <v>0</v>
      </c>
      <c r="C10" s="349" t="s">
        <v>2723</v>
      </c>
      <c r="D10" s="877" t="s">
        <v>4439</v>
      </c>
      <c r="E10" s="357" t="s">
        <v>4404</v>
      </c>
      <c r="G10" s="452" t="s">
        <v>12819</v>
      </c>
      <c r="H10" s="452" t="s">
        <v>12818</v>
      </c>
      <c r="J10" s="25"/>
      <c r="K10" s="25"/>
    </row>
    <row r="11" spans="1:11">
      <c r="A11" s="452" t="s">
        <v>14992</v>
      </c>
      <c r="B11" s="452">
        <v>0</v>
      </c>
      <c r="C11" s="357" t="s">
        <v>2729</v>
      </c>
      <c r="D11" s="877" t="s">
        <v>14993</v>
      </c>
      <c r="E11" s="357" t="s">
        <v>14994</v>
      </c>
      <c r="G11" s="452" t="s">
        <v>4476</v>
      </c>
      <c r="H11" s="452" t="s">
        <v>4478</v>
      </c>
      <c r="J11" s="25"/>
      <c r="K11" s="25"/>
    </row>
    <row r="12" spans="1:11">
      <c r="A12" s="357" t="s">
        <v>4360</v>
      </c>
      <c r="B12" s="452">
        <v>0</v>
      </c>
      <c r="C12" s="349" t="s">
        <v>2723</v>
      </c>
      <c r="D12" s="877" t="s">
        <v>17538</v>
      </c>
      <c r="E12" s="357" t="s">
        <v>4361</v>
      </c>
      <c r="G12" s="452" t="s">
        <v>4862</v>
      </c>
      <c r="H12" s="452" t="s">
        <v>4863</v>
      </c>
      <c r="J12" s="25"/>
      <c r="K12" s="25"/>
    </row>
    <row r="13" spans="1:11">
      <c r="A13" s="357" t="s">
        <v>11341</v>
      </c>
      <c r="B13" s="452">
        <v>0</v>
      </c>
      <c r="C13" s="357" t="s">
        <v>2721</v>
      </c>
      <c r="D13" s="452" t="s">
        <v>15320</v>
      </c>
      <c r="E13" s="357" t="s">
        <v>11340</v>
      </c>
      <c r="G13" s="452" t="s">
        <v>4446</v>
      </c>
      <c r="H13" s="452" t="s">
        <v>4447</v>
      </c>
      <c r="J13" s="25"/>
      <c r="K13" s="25"/>
    </row>
    <row r="14" spans="1:11">
      <c r="A14" s="357" t="s">
        <v>15313</v>
      </c>
      <c r="B14" s="452">
        <v>0</v>
      </c>
      <c r="C14" s="357" t="s">
        <v>2727</v>
      </c>
      <c r="D14" s="357" t="s">
        <v>15329</v>
      </c>
      <c r="E14" s="357" t="s">
        <v>15314</v>
      </c>
      <c r="G14" s="452" t="s">
        <v>4477</v>
      </c>
      <c r="H14" s="452" t="s">
        <v>4478</v>
      </c>
      <c r="J14" s="25"/>
      <c r="K14" s="25"/>
    </row>
    <row r="15" spans="1:11">
      <c r="A15" s="452" t="s">
        <v>4479</v>
      </c>
      <c r="B15" s="452">
        <v>0</v>
      </c>
      <c r="C15" s="349" t="s">
        <v>2723</v>
      </c>
      <c r="D15" s="357" t="s">
        <v>4486</v>
      </c>
      <c r="E15" s="357" t="s">
        <v>4485</v>
      </c>
      <c r="G15" s="357" t="s">
        <v>9906</v>
      </c>
      <c r="H15" s="452" t="s">
        <v>11951</v>
      </c>
      <c r="J15" s="25"/>
      <c r="K15" s="25"/>
    </row>
    <row r="16" spans="1:11">
      <c r="A16" s="452" t="s">
        <v>4406</v>
      </c>
      <c r="B16" s="452">
        <v>0</v>
      </c>
      <c r="C16" s="349" t="s">
        <v>2726</v>
      </c>
      <c r="D16" s="357" t="s">
        <v>4888</v>
      </c>
      <c r="E16" s="357" t="s">
        <v>4404</v>
      </c>
      <c r="G16" s="357" t="s">
        <v>17539</v>
      </c>
      <c r="H16" s="357" t="s">
        <v>4361</v>
      </c>
      <c r="J16" s="25"/>
      <c r="K16" s="25"/>
    </row>
    <row r="17" spans="1:11">
      <c r="A17" s="452" t="s">
        <v>4480</v>
      </c>
      <c r="B17" s="452">
        <v>75</v>
      </c>
      <c r="C17" s="349" t="s">
        <v>2726</v>
      </c>
      <c r="D17" s="357" t="s">
        <v>4889</v>
      </c>
      <c r="E17" s="357" t="s">
        <v>4485</v>
      </c>
      <c r="G17" s="357" t="s">
        <v>4366</v>
      </c>
      <c r="H17" s="357" t="s">
        <v>4367</v>
      </c>
      <c r="J17" s="25"/>
      <c r="K17" s="25"/>
    </row>
    <row r="18" spans="1:11">
      <c r="A18" s="452" t="s">
        <v>9909</v>
      </c>
      <c r="B18" s="452">
        <v>75</v>
      </c>
      <c r="C18" s="349" t="s">
        <v>2723</v>
      </c>
      <c r="D18" s="357" t="s">
        <v>9910</v>
      </c>
      <c r="E18" s="357" t="s">
        <v>11950</v>
      </c>
      <c r="G18" s="357" t="s">
        <v>9908</v>
      </c>
      <c r="H18" s="452" t="s">
        <v>11953</v>
      </c>
      <c r="J18" s="25"/>
      <c r="K18" s="25"/>
    </row>
    <row r="19" spans="1:11">
      <c r="A19" s="452" t="s">
        <v>4824</v>
      </c>
      <c r="B19" s="452">
        <v>180</v>
      </c>
      <c r="C19" s="349" t="s">
        <v>2721</v>
      </c>
      <c r="D19" s="357" t="s">
        <v>4826</v>
      </c>
      <c r="E19" s="357" t="s">
        <v>4827</v>
      </c>
      <c r="G19" s="357" t="s">
        <v>9907</v>
      </c>
      <c r="H19" s="452" t="s">
        <v>11952</v>
      </c>
      <c r="J19" s="25"/>
      <c r="K19" s="25"/>
    </row>
    <row r="20" spans="1:11">
      <c r="A20" s="452" t="s">
        <v>4823</v>
      </c>
      <c r="B20" s="452">
        <v>180</v>
      </c>
      <c r="C20" s="349" t="s">
        <v>2726</v>
      </c>
      <c r="D20" s="357" t="s">
        <v>4825</v>
      </c>
      <c r="E20" s="357" t="s">
        <v>4393</v>
      </c>
      <c r="G20" s="452" t="s">
        <v>4470</v>
      </c>
      <c r="H20" s="452" t="s">
        <v>4401</v>
      </c>
      <c r="J20" s="25"/>
      <c r="K20" s="25"/>
    </row>
    <row r="21" spans="1:11">
      <c r="A21" s="452" t="s">
        <v>12213</v>
      </c>
      <c r="B21" s="452">
        <v>400</v>
      </c>
      <c r="C21" s="349" t="s">
        <v>2726</v>
      </c>
      <c r="D21" s="357" t="s">
        <v>12212</v>
      </c>
      <c r="E21" s="876" t="s">
        <v>4551</v>
      </c>
      <c r="G21" s="452" t="s">
        <v>4471</v>
      </c>
      <c r="H21" s="452" t="s">
        <v>4469</v>
      </c>
      <c r="J21" s="25"/>
      <c r="K21" s="25"/>
    </row>
    <row r="22" spans="1:11">
      <c r="A22" s="452" t="s">
        <v>10877</v>
      </c>
      <c r="B22" s="452">
        <v>400</v>
      </c>
      <c r="C22" s="357" t="s">
        <v>2729</v>
      </c>
      <c r="D22" s="357" t="s">
        <v>17540</v>
      </c>
      <c r="E22" s="876" t="s">
        <v>4551</v>
      </c>
      <c r="G22" s="452" t="s">
        <v>4472</v>
      </c>
      <c r="H22" s="452" t="s">
        <v>4475</v>
      </c>
      <c r="J22" s="25"/>
      <c r="K22" s="25"/>
    </row>
    <row r="23" spans="1:11">
      <c r="A23" s="452" t="s">
        <v>10863</v>
      </c>
      <c r="B23" s="452">
        <v>400</v>
      </c>
      <c r="C23" s="349" t="s">
        <v>2726</v>
      </c>
      <c r="D23" s="357" t="s">
        <v>10864</v>
      </c>
      <c r="E23" s="876" t="s">
        <v>4551</v>
      </c>
      <c r="G23" s="452" t="s">
        <v>4440</v>
      </c>
      <c r="H23" s="452" t="s">
        <v>4441</v>
      </c>
      <c r="J23" s="25"/>
      <c r="K23" s="25"/>
    </row>
    <row r="24" spans="1:11">
      <c r="A24" s="452" t="s">
        <v>11294</v>
      </c>
      <c r="B24" s="452">
        <v>400</v>
      </c>
      <c r="C24" s="357" t="s">
        <v>2721</v>
      </c>
      <c r="D24" s="357" t="s">
        <v>15322</v>
      </c>
      <c r="E24" s="876" t="s">
        <v>4551</v>
      </c>
      <c r="G24" s="452" t="s">
        <v>12817</v>
      </c>
      <c r="H24" s="452" t="s">
        <v>12818</v>
      </c>
      <c r="J24" s="25"/>
      <c r="K24" s="25"/>
    </row>
    <row r="25" spans="1:11">
      <c r="A25" s="452" t="s">
        <v>12234</v>
      </c>
      <c r="B25" s="452">
        <v>400</v>
      </c>
      <c r="C25" s="357" t="s">
        <v>2729</v>
      </c>
      <c r="D25" s="357" t="s">
        <v>12235</v>
      </c>
      <c r="E25" s="876" t="s">
        <v>4551</v>
      </c>
      <c r="G25" s="452" t="s">
        <v>9252</v>
      </c>
      <c r="H25" s="452" t="s">
        <v>9253</v>
      </c>
    </row>
    <row r="26" spans="1:11">
      <c r="A26" s="452" t="s">
        <v>12898</v>
      </c>
      <c r="B26" s="452">
        <v>260</v>
      </c>
      <c r="C26" s="357" t="s">
        <v>2726</v>
      </c>
      <c r="D26" s="357" t="s">
        <v>12901</v>
      </c>
      <c r="E26" s="357" t="s">
        <v>12902</v>
      </c>
      <c r="G26" s="452" t="s">
        <v>4445</v>
      </c>
      <c r="H26" s="452" t="s">
        <v>4447</v>
      </c>
    </row>
    <row r="27" spans="1:11">
      <c r="A27" s="452" t="s">
        <v>4822</v>
      </c>
      <c r="B27" s="452">
        <v>250</v>
      </c>
      <c r="C27" s="349" t="s">
        <v>2726</v>
      </c>
      <c r="D27" s="357" t="s">
        <v>12899</v>
      </c>
      <c r="E27" s="357" t="s">
        <v>4393</v>
      </c>
      <c r="G27" s="452" t="s">
        <v>4399</v>
      </c>
      <c r="H27" s="452" t="s">
        <v>4400</v>
      </c>
    </row>
    <row r="28" spans="1:11">
      <c r="A28" s="357" t="s">
        <v>15307</v>
      </c>
      <c r="B28" s="452">
        <v>40</v>
      </c>
      <c r="C28" s="349" t="s">
        <v>2723</v>
      </c>
      <c r="D28" s="357" t="s">
        <v>12900</v>
      </c>
      <c r="E28" s="357" t="s">
        <v>11950</v>
      </c>
      <c r="G28" s="452" t="s">
        <v>11769</v>
      </c>
      <c r="H28" s="452" t="s">
        <v>11768</v>
      </c>
    </row>
    <row r="29" spans="1:11">
      <c r="A29" s="452" t="s">
        <v>10872</v>
      </c>
      <c r="B29" s="452">
        <v>200</v>
      </c>
      <c r="C29" s="349" t="s">
        <v>2723</v>
      </c>
      <c r="D29" s="357" t="s">
        <v>12678</v>
      </c>
      <c r="E29" s="876" t="s">
        <v>4551</v>
      </c>
      <c r="G29" s="452" t="s">
        <v>4443</v>
      </c>
      <c r="H29" s="452" t="s">
        <v>4441</v>
      </c>
    </row>
    <row r="30" spans="1:11">
      <c r="A30" s="357" t="s">
        <v>9911</v>
      </c>
      <c r="B30" s="452">
        <v>200</v>
      </c>
      <c r="C30" s="349" t="s">
        <v>2726</v>
      </c>
      <c r="D30" s="357" t="s">
        <v>9912</v>
      </c>
      <c r="E30" s="357" t="s">
        <v>11950</v>
      </c>
      <c r="G30" s="452" t="s">
        <v>4397</v>
      </c>
      <c r="H30" s="452" t="s">
        <v>4398</v>
      </c>
    </row>
    <row r="31" spans="1:11">
      <c r="A31" s="357" t="s">
        <v>11140</v>
      </c>
      <c r="B31" s="452">
        <v>5</v>
      </c>
      <c r="C31" s="349" t="s">
        <v>2726</v>
      </c>
      <c r="D31" s="357" t="s">
        <v>11141</v>
      </c>
      <c r="E31" s="876" t="s">
        <v>4551</v>
      </c>
      <c r="G31" s="357" t="s">
        <v>4365</v>
      </c>
      <c r="H31" s="357" t="s">
        <v>4361</v>
      </c>
    </row>
    <row r="32" spans="1:11">
      <c r="A32" s="357" t="s">
        <v>11142</v>
      </c>
      <c r="B32" s="452">
        <v>5</v>
      </c>
      <c r="C32" s="349" t="s">
        <v>2726</v>
      </c>
      <c r="D32" s="357" t="s">
        <v>11143</v>
      </c>
      <c r="E32" s="876" t="s">
        <v>4551</v>
      </c>
      <c r="G32" s="452" t="s">
        <v>4444</v>
      </c>
      <c r="H32" s="452" t="s">
        <v>4441</v>
      </c>
    </row>
    <row r="33" spans="1:8">
      <c r="A33" s="452" t="s">
        <v>4450</v>
      </c>
      <c r="B33" s="452">
        <v>1</v>
      </c>
      <c r="C33" s="349" t="s">
        <v>4453</v>
      </c>
      <c r="D33" s="357" t="s">
        <v>4455</v>
      </c>
      <c r="E33" s="357" t="s">
        <v>4449</v>
      </c>
      <c r="G33" s="452" t="s">
        <v>4860</v>
      </c>
      <c r="H33" s="452" t="s">
        <v>4861</v>
      </c>
    </row>
    <row r="34" spans="1:8">
      <c r="A34" s="452" t="s">
        <v>4499</v>
      </c>
      <c r="B34" s="452">
        <v>0</v>
      </c>
      <c r="C34" s="349" t="s">
        <v>2726</v>
      </c>
      <c r="D34" s="877" t="s">
        <v>4500</v>
      </c>
      <c r="E34" s="357" t="s">
        <v>4498</v>
      </c>
      <c r="G34" s="452" t="s">
        <v>4473</v>
      </c>
      <c r="H34" s="452" t="s">
        <v>4475</v>
      </c>
    </row>
    <row r="35" spans="1:8">
      <c r="A35" s="452" t="s">
        <v>17541</v>
      </c>
      <c r="B35" s="452">
        <v>50</v>
      </c>
      <c r="C35" s="357" t="s">
        <v>2726</v>
      </c>
      <c r="D35" s="357" t="s">
        <v>15409</v>
      </c>
      <c r="E35" s="876" t="s">
        <v>4551</v>
      </c>
      <c r="G35" s="452" t="s">
        <v>15299</v>
      </c>
      <c r="H35" s="452" t="s">
        <v>15300</v>
      </c>
    </row>
    <row r="36" spans="1:8">
      <c r="A36" s="452" t="s">
        <v>17542</v>
      </c>
      <c r="B36" s="452">
        <v>50</v>
      </c>
      <c r="C36" s="357" t="s">
        <v>2726</v>
      </c>
      <c r="D36" s="877" t="s">
        <v>14575</v>
      </c>
      <c r="E36" s="876" t="s">
        <v>4551</v>
      </c>
    </row>
    <row r="37" spans="1:8">
      <c r="A37" s="452" t="str">
        <f>IF(Pays="Tilée","Masque de la mort grimaçante","Banière de Kalad")</f>
        <v>Banière de Kalad</v>
      </c>
      <c r="B37" s="452">
        <v>10</v>
      </c>
      <c r="C37" s="349" t="s">
        <v>4464</v>
      </c>
      <c r="D37" s="357" t="s">
        <v>12403</v>
      </c>
      <c r="E37" s="876" t="s">
        <v>4551</v>
      </c>
    </row>
    <row r="38" spans="1:8">
      <c r="A38" s="452" t="s">
        <v>17543</v>
      </c>
      <c r="B38" s="452">
        <v>50</v>
      </c>
      <c r="C38" s="349" t="s">
        <v>2730</v>
      </c>
      <c r="D38" s="357" t="s">
        <v>4457</v>
      </c>
      <c r="E38" s="357" t="s">
        <v>4449</v>
      </c>
    </row>
    <row r="39" spans="1:8">
      <c r="A39" s="452" t="s">
        <v>17544</v>
      </c>
      <c r="B39" s="452">
        <v>50</v>
      </c>
      <c r="C39" s="349" t="s">
        <v>2730</v>
      </c>
      <c r="D39" s="357" t="s">
        <v>12230</v>
      </c>
      <c r="E39" s="876" t="s">
        <v>4551</v>
      </c>
    </row>
    <row r="40" spans="1:8">
      <c r="A40" s="452" t="s">
        <v>17545</v>
      </c>
      <c r="B40" s="452">
        <v>50</v>
      </c>
      <c r="C40" s="357" t="s">
        <v>2726</v>
      </c>
      <c r="D40" s="357" t="s">
        <v>16615</v>
      </c>
      <c r="E40" s="876" t="s">
        <v>4551</v>
      </c>
    </row>
    <row r="41" spans="1:8">
      <c r="A41" s="452" t="s">
        <v>17546</v>
      </c>
      <c r="B41" s="452">
        <v>50</v>
      </c>
      <c r="C41" s="349" t="s">
        <v>4453</v>
      </c>
      <c r="D41" s="357" t="s">
        <v>17547</v>
      </c>
      <c r="E41" s="876" t="s">
        <v>4551</v>
      </c>
    </row>
    <row r="42" spans="1:8">
      <c r="A42" s="452" t="s">
        <v>12303</v>
      </c>
      <c r="B42" s="452">
        <v>50</v>
      </c>
      <c r="C42" s="357" t="s">
        <v>2727</v>
      </c>
      <c r="D42" s="357" t="s">
        <v>17548</v>
      </c>
      <c r="E42" s="854" t="s">
        <v>4551</v>
      </c>
    </row>
    <row r="43" spans="1:8">
      <c r="A43" s="452" t="s">
        <v>14576</v>
      </c>
      <c r="B43" s="452">
        <v>50</v>
      </c>
      <c r="C43" s="357" t="s">
        <v>2726</v>
      </c>
      <c r="D43" s="357" t="s">
        <v>17549</v>
      </c>
      <c r="E43" s="876" t="s">
        <v>4551</v>
      </c>
    </row>
    <row r="44" spans="1:8">
      <c r="A44" s="452" t="str">
        <f>IF(Pays="Cathay","Bâton à l'orbe blanche de Ciu Dans","Bâton de Fortune Inconsistante")</f>
        <v>Bâton de Fortune Inconsistante</v>
      </c>
      <c r="B44" s="452">
        <v>50</v>
      </c>
      <c r="C44" s="349" t="s">
        <v>2723</v>
      </c>
      <c r="D44" s="357" t="s">
        <v>12225</v>
      </c>
      <c r="E44" s="876" t="s">
        <v>4551</v>
      </c>
    </row>
    <row r="45" spans="1:8">
      <c r="A45" s="452" t="s">
        <v>4407</v>
      </c>
      <c r="B45" s="452">
        <v>50</v>
      </c>
      <c r="C45" s="349" t="s">
        <v>2723</v>
      </c>
      <c r="D45" s="877" t="s">
        <v>17550</v>
      </c>
      <c r="E45" s="357" t="s">
        <v>4404</v>
      </c>
    </row>
    <row r="46" spans="1:8">
      <c r="A46" s="452" t="s">
        <v>4496</v>
      </c>
      <c r="B46" s="452">
        <v>50</v>
      </c>
      <c r="C46" s="349" t="s">
        <v>2726</v>
      </c>
      <c r="D46" s="357" t="s">
        <v>4497</v>
      </c>
      <c r="E46" s="357" t="s">
        <v>4498</v>
      </c>
    </row>
    <row r="47" spans="1:8">
      <c r="A47" s="452" t="s">
        <v>12231</v>
      </c>
      <c r="B47" s="452">
        <v>50</v>
      </c>
      <c r="C47" s="357" t="s">
        <v>2726</v>
      </c>
      <c r="D47" s="357" t="s">
        <v>17551</v>
      </c>
      <c r="E47" s="876" t="s">
        <v>4551</v>
      </c>
    </row>
    <row r="48" spans="1:8">
      <c r="A48" s="357" t="s">
        <v>4843</v>
      </c>
      <c r="B48" s="452">
        <v>50</v>
      </c>
      <c r="C48" s="349" t="s">
        <v>2729</v>
      </c>
      <c r="D48" s="357" t="s">
        <v>4890</v>
      </c>
      <c r="E48" s="357" t="s">
        <v>4841</v>
      </c>
    </row>
    <row r="49" spans="1:5">
      <c r="A49" s="452" t="s">
        <v>4916</v>
      </c>
      <c r="B49" s="452">
        <v>50</v>
      </c>
      <c r="C49" s="349" t="s">
        <v>2726</v>
      </c>
      <c r="D49" s="357" t="s">
        <v>4872</v>
      </c>
      <c r="E49" s="357" t="s">
        <v>4917</v>
      </c>
    </row>
    <row r="50" spans="1:5">
      <c r="A50" s="452" t="s">
        <v>4870</v>
      </c>
      <c r="B50" s="452">
        <v>50</v>
      </c>
      <c r="C50" s="349" t="s">
        <v>2726</v>
      </c>
      <c r="D50" s="357" t="s">
        <v>4872</v>
      </c>
      <c r="E50" s="357" t="s">
        <v>4871</v>
      </c>
    </row>
    <row r="51" spans="1:5">
      <c r="A51" s="452" t="s">
        <v>12206</v>
      </c>
      <c r="B51" s="452">
        <v>50</v>
      </c>
      <c r="C51" s="357" t="s">
        <v>2726</v>
      </c>
      <c r="D51" s="357" t="s">
        <v>12659</v>
      </c>
      <c r="E51" s="876" t="s">
        <v>4551</v>
      </c>
    </row>
    <row r="52" spans="1:5">
      <c r="A52" s="452" t="s">
        <v>10830</v>
      </c>
      <c r="B52" s="452">
        <v>45</v>
      </c>
      <c r="C52" s="357" t="s">
        <v>2723</v>
      </c>
      <c r="D52" s="357" t="s">
        <v>17590</v>
      </c>
      <c r="E52" s="876" t="s">
        <v>4551</v>
      </c>
    </row>
    <row r="53" spans="1:5">
      <c r="A53" s="452" t="str">
        <f>IF(Pays="Ulthuan","Cor d'Isha","Bois du cerf bleu")</f>
        <v>Bois du cerf bleu</v>
      </c>
      <c r="B53" s="452">
        <v>25</v>
      </c>
      <c r="C53" s="349" t="s">
        <v>4453</v>
      </c>
      <c r="D53" s="877" t="s">
        <v>14577</v>
      </c>
      <c r="E53" s="357" t="s">
        <v>4456</v>
      </c>
    </row>
    <row r="54" spans="1:5">
      <c r="A54" s="452" t="s">
        <v>4451</v>
      </c>
      <c r="B54" s="452">
        <v>10</v>
      </c>
      <c r="C54" s="349" t="s">
        <v>4453</v>
      </c>
      <c r="D54" s="357" t="s">
        <v>4458</v>
      </c>
      <c r="E54" s="357" t="s">
        <v>4456</v>
      </c>
    </row>
    <row r="55" spans="1:5">
      <c r="A55" s="452" t="s">
        <v>15304</v>
      </c>
      <c r="B55" s="452">
        <v>10</v>
      </c>
      <c r="C55" s="349" t="s">
        <v>4453</v>
      </c>
      <c r="D55" s="357" t="s">
        <v>15305</v>
      </c>
      <c r="E55" s="357" t="s">
        <v>15302</v>
      </c>
    </row>
    <row r="56" spans="1:5">
      <c r="A56" s="452" t="s">
        <v>4409</v>
      </c>
      <c r="B56" s="452">
        <v>10</v>
      </c>
      <c r="C56" s="349" t="s">
        <v>2723</v>
      </c>
      <c r="D56" s="357" t="s">
        <v>4891</v>
      </c>
      <c r="E56" s="357" t="s">
        <v>4404</v>
      </c>
    </row>
    <row r="57" spans="1:5">
      <c r="A57" s="452" t="s">
        <v>16594</v>
      </c>
      <c r="B57" s="452">
        <v>10</v>
      </c>
      <c r="C57" s="349" t="s">
        <v>2726</v>
      </c>
      <c r="D57" s="357" t="s">
        <v>16595</v>
      </c>
      <c r="E57" s="357" t="s">
        <v>16588</v>
      </c>
    </row>
    <row r="58" spans="1:5">
      <c r="A58" s="452" t="s">
        <v>10878</v>
      </c>
      <c r="B58" s="452">
        <v>50</v>
      </c>
      <c r="C58" s="349" t="s">
        <v>2721</v>
      </c>
      <c r="D58" s="357" t="s">
        <v>12660</v>
      </c>
      <c r="E58" s="876" t="s">
        <v>4551</v>
      </c>
    </row>
    <row r="59" spans="1:5">
      <c r="A59" s="357" t="s">
        <v>9913</v>
      </c>
      <c r="B59" s="452">
        <v>2</v>
      </c>
      <c r="C59" s="349" t="s">
        <v>2726</v>
      </c>
      <c r="D59" s="357" t="s">
        <v>9914</v>
      </c>
      <c r="E59" s="357" t="s">
        <v>11949</v>
      </c>
    </row>
    <row r="60" spans="1:5">
      <c r="A60" s="452" t="str">
        <f>IF(Pays="Inja","Gantelat d'Igni","Briquet de Dazh")</f>
        <v>Briquet de Dazh</v>
      </c>
      <c r="B60" s="452">
        <v>2</v>
      </c>
      <c r="C60" s="349" t="s">
        <v>2723</v>
      </c>
      <c r="D60" s="357" t="s">
        <v>4410</v>
      </c>
      <c r="E60" s="357" t="s">
        <v>4404</v>
      </c>
    </row>
    <row r="61" spans="1:5">
      <c r="A61" s="452" t="s">
        <v>4879</v>
      </c>
      <c r="B61" s="452">
        <v>0</v>
      </c>
      <c r="C61" s="349" t="s">
        <v>2726</v>
      </c>
      <c r="D61" s="877" t="s">
        <v>4880</v>
      </c>
      <c r="E61" s="357" t="s">
        <v>4876</v>
      </c>
    </row>
    <row r="62" spans="1:5">
      <c r="A62" s="452" t="s">
        <v>9091</v>
      </c>
      <c r="B62" s="452">
        <v>15</v>
      </c>
      <c r="C62" s="349" t="s">
        <v>2721</v>
      </c>
      <c r="D62" s="877" t="s">
        <v>9092</v>
      </c>
      <c r="E62" s="357" t="s">
        <v>9093</v>
      </c>
    </row>
    <row r="63" spans="1:5">
      <c r="A63" s="452" t="s">
        <v>4481</v>
      </c>
      <c r="B63" s="452">
        <v>15</v>
      </c>
      <c r="C63" s="349" t="s">
        <v>2726</v>
      </c>
      <c r="D63" s="357" t="s">
        <v>4892</v>
      </c>
      <c r="E63" s="357" t="s">
        <v>4485</v>
      </c>
    </row>
    <row r="64" spans="1:5">
      <c r="A64" s="452" t="s">
        <v>15330</v>
      </c>
      <c r="B64" s="452">
        <v>14</v>
      </c>
      <c r="C64" s="357" t="s">
        <v>2721</v>
      </c>
      <c r="D64" s="357" t="s">
        <v>17552</v>
      </c>
      <c r="E64" s="357" t="s">
        <v>15331</v>
      </c>
    </row>
    <row r="65" spans="1:5">
      <c r="A65" s="452" t="s">
        <v>17553</v>
      </c>
      <c r="B65" s="452">
        <v>7</v>
      </c>
      <c r="C65" s="357" t="s">
        <v>2726</v>
      </c>
      <c r="D65" s="357" t="s">
        <v>11139</v>
      </c>
      <c r="E65" s="357" t="s">
        <v>17554</v>
      </c>
    </row>
    <row r="66" spans="1:5">
      <c r="A66" s="452" t="s">
        <v>4918</v>
      </c>
      <c r="B66" s="452">
        <v>7</v>
      </c>
      <c r="C66" s="349" t="s">
        <v>2726</v>
      </c>
      <c r="D66" s="357" t="s">
        <v>4919</v>
      </c>
      <c r="E66" s="357" t="s">
        <v>4917</v>
      </c>
    </row>
    <row r="67" spans="1:5">
      <c r="A67" s="452" t="s">
        <v>4452</v>
      </c>
      <c r="B67" s="452">
        <v>8</v>
      </c>
      <c r="C67" s="349" t="s">
        <v>4453</v>
      </c>
      <c r="D67" s="357" t="s">
        <v>4893</v>
      </c>
      <c r="E67" s="357" t="s">
        <v>4456</v>
      </c>
    </row>
    <row r="68" spans="1:5">
      <c r="A68" s="452" t="s">
        <v>4411</v>
      </c>
      <c r="B68" s="452">
        <v>7</v>
      </c>
      <c r="C68" s="349" t="s">
        <v>2723</v>
      </c>
      <c r="D68" s="877" t="s">
        <v>4894</v>
      </c>
      <c r="E68" s="357" t="s">
        <v>4408</v>
      </c>
    </row>
    <row r="69" spans="1:5">
      <c r="A69" s="452" t="s">
        <v>10880</v>
      </c>
      <c r="B69" s="452">
        <v>10</v>
      </c>
      <c r="C69" s="357" t="s">
        <v>2729</v>
      </c>
      <c r="D69" s="357" t="s">
        <v>17555</v>
      </c>
      <c r="E69" s="876" t="s">
        <v>4551</v>
      </c>
    </row>
    <row r="70" spans="1:5">
      <c r="A70" s="357" t="s">
        <v>9915</v>
      </c>
      <c r="B70" s="452">
        <v>1</v>
      </c>
      <c r="C70" s="349" t="s">
        <v>2726</v>
      </c>
      <c r="D70" s="357" t="s">
        <v>12661</v>
      </c>
      <c r="E70" s="357" t="s">
        <v>11949</v>
      </c>
    </row>
    <row r="71" spans="1:5">
      <c r="A71" s="452" t="s">
        <v>4412</v>
      </c>
      <c r="B71" s="452">
        <v>0.1</v>
      </c>
      <c r="C71" s="349" t="s">
        <v>2726</v>
      </c>
      <c r="D71" s="877" t="s">
        <v>4413</v>
      </c>
      <c r="E71" s="357" t="s">
        <v>4408</v>
      </c>
    </row>
    <row r="72" spans="1:5">
      <c r="A72" s="452" t="s">
        <v>12219</v>
      </c>
      <c r="B72" s="452">
        <v>0.1</v>
      </c>
      <c r="C72" s="349" t="s">
        <v>2726</v>
      </c>
      <c r="D72" s="357" t="s">
        <v>12220</v>
      </c>
      <c r="E72" s="637" t="s">
        <v>4551</v>
      </c>
    </row>
    <row r="73" spans="1:5">
      <c r="A73" s="452" t="s">
        <v>4416</v>
      </c>
      <c r="B73" s="452">
        <v>0</v>
      </c>
      <c r="C73" s="349" t="s">
        <v>2723</v>
      </c>
      <c r="D73" s="357" t="s">
        <v>4417</v>
      </c>
      <c r="E73" s="357" t="s">
        <v>4408</v>
      </c>
    </row>
    <row r="74" spans="1:5">
      <c r="A74" s="452" t="s">
        <v>4414</v>
      </c>
      <c r="B74" s="452">
        <v>0</v>
      </c>
      <c r="C74" s="349" t="s">
        <v>2726</v>
      </c>
      <c r="D74" s="357" t="s">
        <v>4415</v>
      </c>
      <c r="E74" s="357" t="s">
        <v>4408</v>
      </c>
    </row>
    <row r="75" spans="1:5">
      <c r="A75" s="452" t="s">
        <v>4418</v>
      </c>
      <c r="B75" s="452">
        <v>0</v>
      </c>
      <c r="C75" s="349" t="s">
        <v>2726</v>
      </c>
      <c r="D75" s="357" t="s">
        <v>4895</v>
      </c>
      <c r="E75" s="357" t="s">
        <v>4408</v>
      </c>
    </row>
    <row r="76" spans="1:5">
      <c r="A76" s="452" t="s">
        <v>10828</v>
      </c>
      <c r="B76" s="452">
        <v>90</v>
      </c>
      <c r="C76" s="349" t="s">
        <v>2726</v>
      </c>
      <c r="D76" s="357" t="s">
        <v>10829</v>
      </c>
      <c r="E76" s="876" t="s">
        <v>4551</v>
      </c>
    </row>
    <row r="77" spans="1:5">
      <c r="A77" s="452" t="str">
        <f>IF(Pays="Inka","Fléau de Kali-Ma","Cimeterre de Dakisir")</f>
        <v>Cimeterre de Dakisir</v>
      </c>
      <c r="B77" s="452">
        <v>75</v>
      </c>
      <c r="C77" s="357" t="s">
        <v>2731</v>
      </c>
      <c r="D77" s="877" t="s">
        <v>11527</v>
      </c>
      <c r="E77" s="876" t="s">
        <v>4551</v>
      </c>
    </row>
    <row r="78" spans="1:5">
      <c r="A78" s="452" t="s">
        <v>9056</v>
      </c>
      <c r="B78" s="452">
        <v>0</v>
      </c>
      <c r="C78" s="349" t="s">
        <v>2726</v>
      </c>
      <c r="D78" s="878" t="s">
        <v>9057</v>
      </c>
      <c r="E78" s="357" t="s">
        <v>9059</v>
      </c>
    </row>
    <row r="79" spans="1:5">
      <c r="A79" s="452" t="s">
        <v>16589</v>
      </c>
      <c r="B79" s="452">
        <v>1</v>
      </c>
      <c r="C79" s="349" t="s">
        <v>2721</v>
      </c>
      <c r="D79" s="877" t="s">
        <v>16590</v>
      </c>
      <c r="E79" s="357" t="s">
        <v>15345</v>
      </c>
    </row>
    <row r="80" spans="1:5">
      <c r="A80" s="452" t="s">
        <v>15344</v>
      </c>
      <c r="B80" s="452">
        <v>1</v>
      </c>
      <c r="C80" s="349" t="s">
        <v>2721</v>
      </c>
      <c r="D80" s="877" t="s">
        <v>15346</v>
      </c>
      <c r="E80" s="357" t="s">
        <v>15345</v>
      </c>
    </row>
    <row r="81" spans="1:5">
      <c r="A81" s="452" t="s">
        <v>15343</v>
      </c>
      <c r="B81" s="452">
        <v>1</v>
      </c>
      <c r="C81" s="349" t="s">
        <v>2721</v>
      </c>
      <c r="D81" s="877" t="s">
        <v>16591</v>
      </c>
      <c r="E81" s="357" t="s">
        <v>15345</v>
      </c>
    </row>
    <row r="82" spans="1:5">
      <c r="A82" s="452" t="s">
        <v>15342</v>
      </c>
      <c r="B82" s="452">
        <v>1</v>
      </c>
      <c r="C82" s="349" t="s">
        <v>2721</v>
      </c>
      <c r="D82" s="877" t="s">
        <v>16592</v>
      </c>
      <c r="E82" s="357" t="s">
        <v>15345</v>
      </c>
    </row>
    <row r="83" spans="1:5">
      <c r="A83" s="452" t="s">
        <v>16665</v>
      </c>
      <c r="B83" s="452">
        <v>2</v>
      </c>
      <c r="C83" s="349" t="s">
        <v>2721</v>
      </c>
      <c r="D83" s="877" t="s">
        <v>16666</v>
      </c>
      <c r="E83" s="876" t="s">
        <v>4551</v>
      </c>
    </row>
    <row r="84" spans="1:5">
      <c r="A84" s="452" t="s">
        <v>14566</v>
      </c>
      <c r="B84" s="452">
        <v>0</v>
      </c>
      <c r="C84" s="349" t="s">
        <v>2726</v>
      </c>
      <c r="D84" s="357" t="s">
        <v>14567</v>
      </c>
      <c r="E84" s="876" t="s">
        <v>4551</v>
      </c>
    </row>
    <row r="85" spans="1:5">
      <c r="A85" s="357" t="s">
        <v>4368</v>
      </c>
      <c r="B85" s="452">
        <v>5</v>
      </c>
      <c r="C85" s="349" t="s">
        <v>2721</v>
      </c>
      <c r="D85" s="877" t="s">
        <v>4896</v>
      </c>
      <c r="E85" s="357" t="s">
        <v>4371</v>
      </c>
    </row>
    <row r="86" spans="1:5">
      <c r="A86" s="452" t="s">
        <v>4369</v>
      </c>
      <c r="B86" s="452">
        <v>1</v>
      </c>
      <c r="C86" s="349" t="s">
        <v>2721</v>
      </c>
      <c r="D86" s="877" t="s">
        <v>4370</v>
      </c>
      <c r="E86" s="357" t="s">
        <v>4372</v>
      </c>
    </row>
    <row r="87" spans="1:5">
      <c r="A87" s="452" t="s">
        <v>4817</v>
      </c>
      <c r="B87" s="452">
        <v>100</v>
      </c>
      <c r="C87" s="349" t="s">
        <v>2724</v>
      </c>
      <c r="D87" s="357" t="s">
        <v>4897</v>
      </c>
      <c r="E87" s="357" t="s">
        <v>4816</v>
      </c>
    </row>
    <row r="88" spans="1:5">
      <c r="A88" s="452" t="s">
        <v>12905</v>
      </c>
      <c r="B88" s="452">
        <v>20</v>
      </c>
      <c r="C88" s="349" t="s">
        <v>2723</v>
      </c>
      <c r="D88" s="357" t="s">
        <v>17556</v>
      </c>
      <c r="E88" s="357" t="s">
        <v>12906</v>
      </c>
    </row>
    <row r="89" spans="1:5">
      <c r="A89" s="357" t="s">
        <v>9916</v>
      </c>
      <c r="B89" s="452">
        <v>10</v>
      </c>
      <c r="C89" s="349" t="s">
        <v>2726</v>
      </c>
      <c r="D89" s="357" t="s">
        <v>9917</v>
      </c>
      <c r="E89" s="357" t="s">
        <v>11949</v>
      </c>
    </row>
    <row r="90" spans="1:5">
      <c r="A90" s="357" t="s">
        <v>12228</v>
      </c>
      <c r="B90" s="357">
        <v>0</v>
      </c>
      <c r="C90" s="349" t="s">
        <v>2725</v>
      </c>
      <c r="D90" s="877" t="s">
        <v>12229</v>
      </c>
      <c r="E90" s="876" t="s">
        <v>4551</v>
      </c>
    </row>
    <row r="91" spans="1:5">
      <c r="A91" s="357" t="s">
        <v>10875</v>
      </c>
      <c r="B91" s="452">
        <v>0</v>
      </c>
      <c r="C91" s="349" t="s">
        <v>2725</v>
      </c>
      <c r="D91" s="877" t="s">
        <v>17557</v>
      </c>
      <c r="E91" s="876" t="s">
        <v>4551</v>
      </c>
    </row>
    <row r="92" spans="1:5">
      <c r="A92" s="452" t="s">
        <v>4373</v>
      </c>
      <c r="B92" s="452">
        <v>0</v>
      </c>
      <c r="C92" s="349" t="s">
        <v>2721</v>
      </c>
      <c r="D92" s="452" t="s">
        <v>4898</v>
      </c>
      <c r="E92" s="349" t="s">
        <v>4372</v>
      </c>
    </row>
    <row r="93" spans="1:5">
      <c r="A93" s="452" t="s">
        <v>10865</v>
      </c>
      <c r="B93" s="452">
        <v>0</v>
      </c>
      <c r="C93" s="357" t="s">
        <v>2721</v>
      </c>
      <c r="D93" s="452" t="s">
        <v>10866</v>
      </c>
      <c r="E93" s="876" t="s">
        <v>4551</v>
      </c>
    </row>
    <row r="94" spans="1:5">
      <c r="A94" s="452" t="s">
        <v>14570</v>
      </c>
      <c r="B94" s="452">
        <v>0</v>
      </c>
      <c r="C94" s="357" t="s">
        <v>2726</v>
      </c>
      <c r="D94" s="541" t="s">
        <v>14571</v>
      </c>
      <c r="E94" s="876" t="s">
        <v>4551</v>
      </c>
    </row>
    <row r="95" spans="1:5">
      <c r="A95" s="452" t="s">
        <v>4858</v>
      </c>
      <c r="B95" s="452">
        <v>0</v>
      </c>
      <c r="C95" s="349" t="s">
        <v>2721</v>
      </c>
      <c r="D95" s="357" t="s">
        <v>4885</v>
      </c>
      <c r="E95" s="357" t="s">
        <v>4859</v>
      </c>
    </row>
    <row r="96" spans="1:5">
      <c r="A96" s="452" t="s">
        <v>14586</v>
      </c>
      <c r="B96" s="452">
        <v>0</v>
      </c>
      <c r="C96" s="357" t="s">
        <v>2726</v>
      </c>
      <c r="D96" s="877" t="s">
        <v>14587</v>
      </c>
      <c r="E96" s="876" t="s">
        <v>4551</v>
      </c>
    </row>
    <row r="97" spans="1:5">
      <c r="A97" s="452" t="s">
        <v>4848</v>
      </c>
      <c r="B97" s="452">
        <v>20</v>
      </c>
      <c r="C97" s="349" t="s">
        <v>2721</v>
      </c>
      <c r="D97" s="357" t="s">
        <v>4850</v>
      </c>
      <c r="E97" s="357" t="s">
        <v>4849</v>
      </c>
    </row>
    <row r="98" spans="1:5">
      <c r="A98" s="452" t="s">
        <v>4423</v>
      </c>
      <c r="B98" s="452">
        <v>20</v>
      </c>
      <c r="C98" s="349" t="s">
        <v>2727</v>
      </c>
      <c r="D98" s="877" t="s">
        <v>4419</v>
      </c>
      <c r="E98" s="357" t="s">
        <v>4408</v>
      </c>
    </row>
    <row r="99" spans="1:5">
      <c r="A99" s="452" t="s">
        <v>4425</v>
      </c>
      <c r="B99" s="452">
        <v>20</v>
      </c>
      <c r="C99" s="349" t="s">
        <v>2727</v>
      </c>
      <c r="D99" s="877" t="s">
        <v>4420</v>
      </c>
      <c r="E99" s="357" t="s">
        <v>4408</v>
      </c>
    </row>
    <row r="100" spans="1:5">
      <c r="A100" s="452" t="s">
        <v>4424</v>
      </c>
      <c r="B100" s="452">
        <v>20</v>
      </c>
      <c r="C100" s="349" t="s">
        <v>2727</v>
      </c>
      <c r="D100" s="877" t="s">
        <v>4422</v>
      </c>
      <c r="E100" s="357" t="s">
        <v>4408</v>
      </c>
    </row>
    <row r="101" spans="1:5">
      <c r="A101" s="452" t="s">
        <v>4426</v>
      </c>
      <c r="B101" s="452">
        <v>20</v>
      </c>
      <c r="C101" s="349" t="s">
        <v>2727</v>
      </c>
      <c r="D101" s="877" t="s">
        <v>4421</v>
      </c>
      <c r="E101" s="357" t="s">
        <v>4408</v>
      </c>
    </row>
    <row r="102" spans="1:5">
      <c r="A102" s="452" t="s">
        <v>4427</v>
      </c>
      <c r="B102" s="452">
        <v>20</v>
      </c>
      <c r="C102" s="349" t="s">
        <v>2723</v>
      </c>
      <c r="D102" s="877" t="s">
        <v>4428</v>
      </c>
      <c r="E102" s="357" t="s">
        <v>4408</v>
      </c>
    </row>
    <row r="103" spans="1:5">
      <c r="A103" s="452" t="s">
        <v>12907</v>
      </c>
      <c r="B103" s="452">
        <v>45</v>
      </c>
      <c r="C103" s="349" t="s">
        <v>2721</v>
      </c>
      <c r="D103" s="877" t="s">
        <v>17558</v>
      </c>
      <c r="E103" s="357" t="s">
        <v>12906</v>
      </c>
    </row>
    <row r="104" spans="1:5">
      <c r="A104" s="452" t="s">
        <v>12299</v>
      </c>
      <c r="B104" s="452">
        <v>1</v>
      </c>
      <c r="C104" s="349" t="s">
        <v>2731</v>
      </c>
      <c r="D104" s="877" t="s">
        <v>12300</v>
      </c>
      <c r="E104" s="876" t="s">
        <v>4551</v>
      </c>
    </row>
    <row r="105" spans="1:5">
      <c r="A105" s="452" t="str">
        <f>IF(Pays="Lustrie","Epée Stellaire",IF(Pays="Nippon","Katana Kenku","Croc Runique"))</f>
        <v>Croc Runique</v>
      </c>
      <c r="B105" s="452">
        <v>45</v>
      </c>
      <c r="C105" s="357" t="s">
        <v>4454</v>
      </c>
      <c r="D105" s="357" t="s">
        <v>17559</v>
      </c>
      <c r="E105" s="357" t="s">
        <v>12217</v>
      </c>
    </row>
    <row r="106" spans="1:5">
      <c r="A106" s="452" t="s">
        <v>4482</v>
      </c>
      <c r="B106" s="452">
        <v>10</v>
      </c>
      <c r="C106" s="349" t="s">
        <v>2726</v>
      </c>
      <c r="D106" s="357" t="s">
        <v>4487</v>
      </c>
      <c r="E106" s="357" t="s">
        <v>4485</v>
      </c>
    </row>
    <row r="107" spans="1:5">
      <c r="A107" s="452" t="s">
        <v>12820</v>
      </c>
      <c r="B107" s="452">
        <v>10</v>
      </c>
      <c r="C107" s="357" t="s">
        <v>2727</v>
      </c>
      <c r="D107" s="357" t="s">
        <v>15323</v>
      </c>
      <c r="E107" s="357" t="s">
        <v>12818</v>
      </c>
    </row>
    <row r="108" spans="1:5">
      <c r="A108" s="452" t="s">
        <v>15334</v>
      </c>
      <c r="B108" s="452">
        <v>0</v>
      </c>
      <c r="C108" s="357" t="s">
        <v>2721</v>
      </c>
      <c r="D108" s="357" t="s">
        <v>15335</v>
      </c>
      <c r="E108" s="357" t="s">
        <v>15336</v>
      </c>
    </row>
    <row r="109" spans="1:5">
      <c r="A109" s="452" t="s">
        <v>9055</v>
      </c>
      <c r="B109" s="452">
        <v>0</v>
      </c>
      <c r="C109" s="349" t="s">
        <v>2726</v>
      </c>
      <c r="D109" s="877" t="s">
        <v>9058</v>
      </c>
      <c r="E109" s="357" t="s">
        <v>9059</v>
      </c>
    </row>
    <row r="110" spans="1:5">
      <c r="A110" s="452" t="s">
        <v>14572</v>
      </c>
      <c r="B110" s="452">
        <v>0</v>
      </c>
      <c r="C110" s="349" t="s">
        <v>2726</v>
      </c>
      <c r="D110" s="877" t="s">
        <v>17560</v>
      </c>
      <c r="E110" s="876" t="s">
        <v>4551</v>
      </c>
    </row>
    <row r="111" spans="1:5">
      <c r="A111" s="452" t="s">
        <v>14573</v>
      </c>
      <c r="B111" s="452">
        <v>0</v>
      </c>
      <c r="C111" s="349" t="s">
        <v>2726</v>
      </c>
      <c r="D111" s="877" t="s">
        <v>14574</v>
      </c>
      <c r="E111" s="876" t="s">
        <v>4551</v>
      </c>
    </row>
    <row r="112" spans="1:5">
      <c r="A112" s="452" t="s">
        <v>4459</v>
      </c>
      <c r="B112" s="452">
        <v>10</v>
      </c>
      <c r="C112" s="349" t="s">
        <v>4464</v>
      </c>
      <c r="D112" s="357" t="s">
        <v>10873</v>
      </c>
      <c r="E112" s="357" t="s">
        <v>4465</v>
      </c>
    </row>
    <row r="113" spans="1:5">
      <c r="A113" s="452" t="s">
        <v>15296</v>
      </c>
      <c r="B113" s="452">
        <v>75</v>
      </c>
      <c r="C113" s="357" t="s">
        <v>2726</v>
      </c>
      <c r="D113" s="357" t="s">
        <v>15298</v>
      </c>
      <c r="E113" s="357" t="s">
        <v>15297</v>
      </c>
    </row>
    <row r="114" spans="1:5">
      <c r="A114" s="452" t="s">
        <v>17561</v>
      </c>
      <c r="B114" s="452">
        <v>180</v>
      </c>
      <c r="C114" s="349" t="s">
        <v>2723</v>
      </c>
      <c r="D114" s="357" t="s">
        <v>12912</v>
      </c>
      <c r="E114" s="357" t="s">
        <v>12913</v>
      </c>
    </row>
    <row r="115" spans="1:5">
      <c r="A115" s="452" t="s">
        <v>12221</v>
      </c>
      <c r="B115" s="452">
        <v>5</v>
      </c>
      <c r="C115" s="357" t="s">
        <v>2731</v>
      </c>
      <c r="D115" s="357" t="s">
        <v>12222</v>
      </c>
      <c r="E115" s="876" t="s">
        <v>4551</v>
      </c>
    </row>
    <row r="116" spans="1:5">
      <c r="A116" s="452" t="s">
        <v>17562</v>
      </c>
      <c r="B116" s="452">
        <v>50</v>
      </c>
      <c r="C116" s="357" t="s">
        <v>2723</v>
      </c>
      <c r="D116" s="357" t="s">
        <v>12710</v>
      </c>
      <c r="E116" s="876" t="s">
        <v>4551</v>
      </c>
    </row>
    <row r="117" spans="1:5">
      <c r="A117" s="452" t="s">
        <v>17563</v>
      </c>
      <c r="B117" s="452">
        <v>50</v>
      </c>
      <c r="C117" s="349" t="s">
        <v>2729</v>
      </c>
      <c r="D117" s="877" t="s">
        <v>17564</v>
      </c>
      <c r="E117" s="357" t="s">
        <v>4408</v>
      </c>
    </row>
    <row r="118" spans="1:5">
      <c r="A118" s="452" t="s">
        <v>17565</v>
      </c>
      <c r="B118" s="452">
        <v>50</v>
      </c>
      <c r="C118" s="357" t="s">
        <v>2723</v>
      </c>
      <c r="D118" s="877" t="s">
        <v>17566</v>
      </c>
      <c r="E118" s="876" t="s">
        <v>4551</v>
      </c>
    </row>
    <row r="119" spans="1:5">
      <c r="A119" s="452" t="s">
        <v>17567</v>
      </c>
      <c r="B119" s="452">
        <v>50</v>
      </c>
      <c r="C119" s="357" t="s">
        <v>2726</v>
      </c>
      <c r="D119" s="357" t="s">
        <v>11293</v>
      </c>
      <c r="E119" s="876" t="s">
        <v>4551</v>
      </c>
    </row>
    <row r="120" spans="1:5">
      <c r="A120" s="452" t="s">
        <v>17568</v>
      </c>
      <c r="B120" s="452">
        <v>50</v>
      </c>
      <c r="C120" s="349" t="s">
        <v>2729</v>
      </c>
      <c r="D120" s="357" t="s">
        <v>4430</v>
      </c>
      <c r="E120" s="357" t="s">
        <v>4408</v>
      </c>
    </row>
    <row r="121" spans="1:5">
      <c r="A121" s="452" t="s">
        <v>17569</v>
      </c>
      <c r="B121" s="452">
        <v>50</v>
      </c>
      <c r="C121" s="357" t="s">
        <v>2721</v>
      </c>
      <c r="D121" s="357" t="s">
        <v>17570</v>
      </c>
      <c r="E121" s="357" t="s">
        <v>11806</v>
      </c>
    </row>
    <row r="122" spans="1:5">
      <c r="A122" s="357" t="s">
        <v>17571</v>
      </c>
      <c r="B122" s="452">
        <v>50</v>
      </c>
      <c r="C122" s="357" t="s">
        <v>2726</v>
      </c>
      <c r="D122" s="357" t="s">
        <v>15410</v>
      </c>
      <c r="E122" s="876" t="s">
        <v>4551</v>
      </c>
    </row>
    <row r="123" spans="1:5">
      <c r="A123" s="357" t="str">
        <f>IF(Pays="Lustrie","Cape de Jaguar de Serena","Épée du dieu vengeur")</f>
        <v>Épée du dieu vengeur</v>
      </c>
      <c r="B123" s="452">
        <v>50</v>
      </c>
      <c r="C123" s="349" t="s">
        <v>2723</v>
      </c>
      <c r="D123" s="357" t="s">
        <v>17572</v>
      </c>
      <c r="E123" s="357" t="s">
        <v>12216</v>
      </c>
    </row>
    <row r="124" spans="1:5">
      <c r="A124" s="452" t="s">
        <v>15350</v>
      </c>
      <c r="B124" s="452">
        <v>1</v>
      </c>
      <c r="C124" s="349" t="s">
        <v>2721</v>
      </c>
      <c r="D124" s="877" t="s">
        <v>15351</v>
      </c>
      <c r="E124" s="357" t="s">
        <v>15348</v>
      </c>
    </row>
    <row r="125" spans="1:5">
      <c r="A125" s="452" t="s">
        <v>15353</v>
      </c>
      <c r="B125" s="452">
        <v>1</v>
      </c>
      <c r="C125" s="349" t="s">
        <v>2721</v>
      </c>
      <c r="D125" s="877" t="s">
        <v>15354</v>
      </c>
      <c r="E125" s="357" t="s">
        <v>15345</v>
      </c>
    </row>
    <row r="126" spans="1:5">
      <c r="A126" s="452" t="s">
        <v>15349</v>
      </c>
      <c r="B126" s="452">
        <v>1</v>
      </c>
      <c r="C126" s="349" t="s">
        <v>2721</v>
      </c>
      <c r="D126" s="877" t="s">
        <v>15352</v>
      </c>
      <c r="E126" s="357" t="s">
        <v>15345</v>
      </c>
    </row>
    <row r="127" spans="1:5">
      <c r="A127" s="452" t="s">
        <v>15347</v>
      </c>
      <c r="B127" s="452">
        <v>1</v>
      </c>
      <c r="C127" s="349" t="s">
        <v>2721</v>
      </c>
      <c r="D127" s="877" t="s">
        <v>17573</v>
      </c>
      <c r="E127" s="357" t="s">
        <v>15348</v>
      </c>
    </row>
    <row r="128" spans="1:5">
      <c r="A128" s="452" t="s">
        <v>4460</v>
      </c>
      <c r="B128" s="452">
        <v>5</v>
      </c>
      <c r="C128" s="349" t="s">
        <v>4453</v>
      </c>
      <c r="D128" s="357" t="s">
        <v>4467</v>
      </c>
      <c r="E128" s="357" t="s">
        <v>4465</v>
      </c>
    </row>
    <row r="129" spans="1:5">
      <c r="A129" s="452" t="s">
        <v>11165</v>
      </c>
      <c r="B129" s="452">
        <v>75</v>
      </c>
      <c r="C129" s="349" t="s">
        <v>2723</v>
      </c>
      <c r="D129" s="357" t="s">
        <v>11166</v>
      </c>
      <c r="E129" s="357" t="s">
        <v>11167</v>
      </c>
    </row>
    <row r="130" spans="1:5">
      <c r="A130" s="452" t="s">
        <v>15405</v>
      </c>
      <c r="B130" s="452">
        <v>75</v>
      </c>
      <c r="C130" s="357" t="s">
        <v>2726</v>
      </c>
      <c r="D130" s="357" t="s">
        <v>15406</v>
      </c>
      <c r="E130" s="876" t="s">
        <v>4551</v>
      </c>
    </row>
    <row r="131" spans="1:5">
      <c r="A131" s="452" t="s">
        <v>9320</v>
      </c>
      <c r="B131" s="452">
        <v>1</v>
      </c>
      <c r="C131" s="349" t="s">
        <v>2723</v>
      </c>
      <c r="D131" s="357" t="s">
        <v>9322</v>
      </c>
      <c r="E131" s="357" t="s">
        <v>9321</v>
      </c>
    </row>
    <row r="132" spans="1:5">
      <c r="A132" s="452" t="s">
        <v>4643</v>
      </c>
      <c r="B132" s="452">
        <v>1</v>
      </c>
      <c r="C132" s="349" t="s">
        <v>2730</v>
      </c>
      <c r="D132" s="357" t="s">
        <v>17574</v>
      </c>
      <c r="E132" s="357" t="s">
        <v>4646</v>
      </c>
    </row>
    <row r="133" spans="1:5">
      <c r="A133" s="452" t="s">
        <v>4644</v>
      </c>
      <c r="B133" s="452">
        <v>1</v>
      </c>
      <c r="C133" s="349" t="s">
        <v>2730</v>
      </c>
      <c r="D133" s="357" t="s">
        <v>17575</v>
      </c>
      <c r="E133" s="357" t="s">
        <v>4646</v>
      </c>
    </row>
    <row r="134" spans="1:5">
      <c r="A134" s="452" t="s">
        <v>4645</v>
      </c>
      <c r="B134" s="452">
        <v>1</v>
      </c>
      <c r="C134" s="349" t="s">
        <v>2730</v>
      </c>
      <c r="D134" s="357" t="s">
        <v>4647</v>
      </c>
      <c r="E134" s="357" t="s">
        <v>4646</v>
      </c>
    </row>
    <row r="135" spans="1:5">
      <c r="A135" s="452" t="str">
        <f>IF(SelectRace="Elfe","Gemme de feu solaire","Flèches de puissance")</f>
        <v>Flèches de puissance</v>
      </c>
      <c r="B135" s="452">
        <v>1</v>
      </c>
      <c r="C135" s="349" t="s">
        <v>2723</v>
      </c>
      <c r="D135" s="877" t="s">
        <v>14588</v>
      </c>
      <c r="E135" s="357" t="s">
        <v>4408</v>
      </c>
    </row>
    <row r="136" spans="1:5">
      <c r="A136" s="452" t="s">
        <v>11150</v>
      </c>
      <c r="B136" s="452">
        <v>20</v>
      </c>
      <c r="C136" s="357" t="s">
        <v>2726</v>
      </c>
      <c r="D136" s="357" t="s">
        <v>17576</v>
      </c>
      <c r="E136" s="876" t="s">
        <v>4551</v>
      </c>
    </row>
    <row r="137" spans="1:5">
      <c r="A137" s="452" t="s">
        <v>14580</v>
      </c>
      <c r="B137" s="452">
        <v>20</v>
      </c>
      <c r="C137" s="349" t="s">
        <v>2723</v>
      </c>
      <c r="D137" s="877" t="s">
        <v>14581</v>
      </c>
      <c r="E137" s="876" t="s">
        <v>4551</v>
      </c>
    </row>
    <row r="138" spans="1:5">
      <c r="A138" s="452" t="s">
        <v>4375</v>
      </c>
      <c r="B138" s="452">
        <v>12</v>
      </c>
      <c r="C138" s="349" t="s">
        <v>2723</v>
      </c>
      <c r="D138" s="877" t="s">
        <v>4899</v>
      </c>
      <c r="E138" s="349" t="s">
        <v>4376</v>
      </c>
    </row>
    <row r="139" spans="1:5">
      <c r="A139" s="357" t="s">
        <v>4836</v>
      </c>
      <c r="B139" s="452">
        <v>30</v>
      </c>
      <c r="C139" s="349" t="s">
        <v>2721</v>
      </c>
      <c r="D139" s="357" t="s">
        <v>17577</v>
      </c>
      <c r="E139" s="357" t="s">
        <v>15595</v>
      </c>
    </row>
    <row r="140" spans="1:5">
      <c r="A140" s="452" t="s">
        <v>4854</v>
      </c>
      <c r="B140" s="452">
        <v>0</v>
      </c>
      <c r="C140" s="349" t="s">
        <v>2726</v>
      </c>
      <c r="D140" s="877" t="s">
        <v>4855</v>
      </c>
      <c r="E140" s="357" t="s">
        <v>4856</v>
      </c>
    </row>
    <row r="141" spans="1:5">
      <c r="A141" s="452" t="s">
        <v>11152</v>
      </c>
      <c r="B141" s="452">
        <v>0</v>
      </c>
      <c r="C141" s="357" t="s">
        <v>2726</v>
      </c>
      <c r="D141" s="357" t="s">
        <v>17578</v>
      </c>
      <c r="E141" s="357" t="s">
        <v>17554</v>
      </c>
    </row>
    <row r="142" spans="1:5">
      <c r="A142" s="452" t="s">
        <v>4377</v>
      </c>
      <c r="B142" s="452">
        <v>0</v>
      </c>
      <c r="C142" s="349" t="s">
        <v>2721</v>
      </c>
      <c r="D142" s="877" t="s">
        <v>4380</v>
      </c>
      <c r="E142" s="357" t="s">
        <v>4376</v>
      </c>
    </row>
    <row r="143" spans="1:5">
      <c r="A143" s="452" t="s">
        <v>10861</v>
      </c>
      <c r="B143" s="452">
        <v>0</v>
      </c>
      <c r="C143" s="357" t="s">
        <v>2727</v>
      </c>
      <c r="D143" s="357" t="s">
        <v>10862</v>
      </c>
      <c r="E143" s="876" t="s">
        <v>4551</v>
      </c>
    </row>
    <row r="144" spans="1:5">
      <c r="A144" s="452" t="s">
        <v>12226</v>
      </c>
      <c r="B144" s="452">
        <v>500</v>
      </c>
      <c r="C144" s="349" t="s">
        <v>4453</v>
      </c>
      <c r="D144" s="357" t="s">
        <v>12227</v>
      </c>
      <c r="E144" s="634" t="s">
        <v>4551</v>
      </c>
    </row>
    <row r="145" spans="1:5">
      <c r="A145" s="452" t="s">
        <v>4461</v>
      </c>
      <c r="B145" s="452">
        <v>1</v>
      </c>
      <c r="C145" s="349" t="s">
        <v>4453</v>
      </c>
      <c r="D145" s="357" t="s">
        <v>4468</v>
      </c>
      <c r="E145" s="357" t="s">
        <v>4465</v>
      </c>
    </row>
    <row r="146" spans="1:5">
      <c r="A146" s="452" t="s">
        <v>4379</v>
      </c>
      <c r="B146" s="452">
        <v>60</v>
      </c>
      <c r="C146" s="349" t="s">
        <v>2723</v>
      </c>
      <c r="D146" s="877" t="s">
        <v>12205</v>
      </c>
      <c r="E146" s="357" t="s">
        <v>4376</v>
      </c>
    </row>
    <row r="147" spans="1:5">
      <c r="A147" s="452" t="s">
        <v>12204</v>
      </c>
      <c r="B147" s="452">
        <v>15</v>
      </c>
      <c r="C147" s="349" t="s">
        <v>4453</v>
      </c>
      <c r="D147" s="877" t="s">
        <v>12676</v>
      </c>
      <c r="E147" s="876" t="s">
        <v>4551</v>
      </c>
    </row>
    <row r="148" spans="1:5">
      <c r="A148" s="452" t="s">
        <v>15014</v>
      </c>
      <c r="B148" s="452">
        <v>40</v>
      </c>
      <c r="C148" s="357" t="s">
        <v>2729</v>
      </c>
      <c r="D148" s="452" t="s">
        <v>15015</v>
      </c>
      <c r="E148" s="452" t="s">
        <v>15016</v>
      </c>
    </row>
    <row r="149" spans="1:5">
      <c r="A149" s="452" t="s">
        <v>4381</v>
      </c>
      <c r="B149" s="452">
        <v>90</v>
      </c>
      <c r="C149" s="349" t="s">
        <v>2723</v>
      </c>
      <c r="D149" s="877" t="s">
        <v>4886</v>
      </c>
      <c r="E149" s="357" t="s">
        <v>4376</v>
      </c>
    </row>
    <row r="150" spans="1:5">
      <c r="A150" s="452" t="s">
        <v>11162</v>
      </c>
      <c r="B150" s="452">
        <v>20</v>
      </c>
      <c r="C150" s="349" t="s">
        <v>2723</v>
      </c>
      <c r="D150" s="357" t="s">
        <v>11163</v>
      </c>
      <c r="E150" s="357" t="s">
        <v>11164</v>
      </c>
    </row>
    <row r="151" spans="1:5">
      <c r="A151" s="452" t="s">
        <v>11598</v>
      </c>
      <c r="B151" s="452">
        <v>40</v>
      </c>
      <c r="C151" s="357" t="s">
        <v>2721</v>
      </c>
      <c r="D151" s="877" t="s">
        <v>15324</v>
      </c>
      <c r="E151" s="357" t="s">
        <v>11593</v>
      </c>
    </row>
    <row r="152" spans="1:5">
      <c r="A152" s="452" t="s">
        <v>4382</v>
      </c>
      <c r="B152" s="452">
        <v>40</v>
      </c>
      <c r="C152" s="349" t="s">
        <v>2723</v>
      </c>
      <c r="D152" s="877" t="s">
        <v>4383</v>
      </c>
      <c r="E152" s="357" t="s">
        <v>4376</v>
      </c>
    </row>
    <row r="153" spans="1:5">
      <c r="A153" s="452" t="s">
        <v>15407</v>
      </c>
      <c r="B153" s="452">
        <v>1</v>
      </c>
      <c r="C153" s="357" t="s">
        <v>2726</v>
      </c>
      <c r="D153" s="357" t="s">
        <v>15408</v>
      </c>
      <c r="E153" s="876" t="s">
        <v>4551</v>
      </c>
    </row>
    <row r="154" spans="1:5">
      <c r="A154" s="452" t="s">
        <v>11599</v>
      </c>
      <c r="B154" s="452">
        <v>5</v>
      </c>
      <c r="C154" s="357" t="s">
        <v>2721</v>
      </c>
      <c r="D154" s="357" t="s">
        <v>11600</v>
      </c>
      <c r="E154" s="357" t="s">
        <v>11595</v>
      </c>
    </row>
    <row r="155" spans="1:5">
      <c r="A155" s="452" t="str">
        <f>IF(SelectRace="Nain","Hache de Gotrek","Karaghul/Tueuse de vers")</f>
        <v>Karaghul/Tueuse de vers</v>
      </c>
      <c r="B155" s="452">
        <v>50</v>
      </c>
      <c r="C155" s="349" t="s">
        <v>2729</v>
      </c>
      <c r="D155" s="357" t="s">
        <v>17579</v>
      </c>
      <c r="E155" s="876" t="s">
        <v>4551</v>
      </c>
    </row>
    <row r="156" spans="1:5">
      <c r="A156" s="452" t="s">
        <v>11147</v>
      </c>
      <c r="B156" s="452">
        <v>1</v>
      </c>
      <c r="C156" s="357" t="s">
        <v>2726</v>
      </c>
      <c r="D156" s="357" t="s">
        <v>11151</v>
      </c>
      <c r="E156" s="876" t="s">
        <v>4551</v>
      </c>
    </row>
    <row r="157" spans="1:5">
      <c r="A157" s="452" t="s">
        <v>10876</v>
      </c>
      <c r="B157" s="452">
        <v>250</v>
      </c>
      <c r="C157" s="357" t="s">
        <v>2721</v>
      </c>
      <c r="D157" s="357" t="s">
        <v>17580</v>
      </c>
      <c r="E157" s="876" t="s">
        <v>4551</v>
      </c>
    </row>
    <row r="158" spans="1:5">
      <c r="A158" s="452" t="s">
        <v>4462</v>
      </c>
      <c r="B158" s="452">
        <v>250</v>
      </c>
      <c r="C158" s="349" t="s">
        <v>4453</v>
      </c>
      <c r="D158" s="357" t="s">
        <v>4900</v>
      </c>
      <c r="E158" s="357" t="s">
        <v>4466</v>
      </c>
    </row>
    <row r="159" spans="1:5">
      <c r="A159" s="452" t="s">
        <v>4920</v>
      </c>
      <c r="B159" s="452">
        <v>200</v>
      </c>
      <c r="C159" s="349" t="s">
        <v>2726</v>
      </c>
      <c r="D159" s="357" t="s">
        <v>4921</v>
      </c>
      <c r="E159" s="357" t="s">
        <v>4917</v>
      </c>
    </row>
    <row r="160" spans="1:5">
      <c r="A160" s="452" t="s">
        <v>4922</v>
      </c>
      <c r="B160" s="452">
        <v>200</v>
      </c>
      <c r="C160" s="349" t="s">
        <v>2723</v>
      </c>
      <c r="D160" s="357" t="s">
        <v>4924</v>
      </c>
      <c r="E160" s="357" t="s">
        <v>4917</v>
      </c>
    </row>
    <row r="161" spans="1:5">
      <c r="A161" s="452" t="s">
        <v>4483</v>
      </c>
      <c r="B161" s="452">
        <v>200</v>
      </c>
      <c r="C161" s="349" t="s">
        <v>2727</v>
      </c>
      <c r="D161" s="357" t="s">
        <v>4488</v>
      </c>
      <c r="E161" s="357" t="s">
        <v>4485</v>
      </c>
    </row>
    <row r="162" spans="1:5">
      <c r="A162" s="452" t="s">
        <v>4811</v>
      </c>
      <c r="B162" s="452">
        <v>200</v>
      </c>
      <c r="C162" s="349" t="s">
        <v>2724</v>
      </c>
      <c r="D162" s="357" t="s">
        <v>4812</v>
      </c>
      <c r="E162" s="357" t="s">
        <v>4813</v>
      </c>
    </row>
    <row r="163" spans="1:5">
      <c r="A163" s="357" t="s">
        <v>4832</v>
      </c>
      <c r="B163" s="452">
        <v>200</v>
      </c>
      <c r="C163" s="349" t="s">
        <v>2723</v>
      </c>
      <c r="D163" s="877" t="s">
        <v>4834</v>
      </c>
      <c r="E163" s="357" t="s">
        <v>15596</v>
      </c>
    </row>
    <row r="164" spans="1:5">
      <c r="A164" s="357" t="s">
        <v>9323</v>
      </c>
      <c r="B164" s="452">
        <v>50</v>
      </c>
      <c r="C164" s="349" t="s">
        <v>2723</v>
      </c>
      <c r="D164" s="877" t="s">
        <v>9324</v>
      </c>
      <c r="E164" s="357" t="s">
        <v>9325</v>
      </c>
    </row>
    <row r="165" spans="1:5">
      <c r="A165" s="357" t="s">
        <v>4362</v>
      </c>
      <c r="B165" s="452">
        <v>50</v>
      </c>
      <c r="C165" s="349" t="s">
        <v>2726</v>
      </c>
      <c r="D165" s="357" t="s">
        <v>4901</v>
      </c>
      <c r="E165" s="357" t="s">
        <v>4361</v>
      </c>
    </row>
    <row r="166" spans="1:5">
      <c r="A166" s="357" t="s">
        <v>15206</v>
      </c>
      <c r="B166" s="452">
        <v>30</v>
      </c>
      <c r="C166" s="357" t="s">
        <v>2721</v>
      </c>
      <c r="D166" s="357" t="s">
        <v>15207</v>
      </c>
      <c r="E166" s="357" t="s">
        <v>15208</v>
      </c>
    </row>
    <row r="167" spans="1:5">
      <c r="A167" s="357" t="s">
        <v>11297</v>
      </c>
      <c r="B167" s="452">
        <v>30</v>
      </c>
      <c r="C167" s="357" t="s">
        <v>2727</v>
      </c>
      <c r="D167" s="357" t="s">
        <v>11298</v>
      </c>
      <c r="E167" s="876" t="s">
        <v>4551</v>
      </c>
    </row>
    <row r="168" spans="1:5">
      <c r="A168" s="357" t="s">
        <v>14590</v>
      </c>
      <c r="B168" s="452">
        <v>30</v>
      </c>
      <c r="C168" s="357" t="s">
        <v>2726</v>
      </c>
      <c r="D168" s="357" t="s">
        <v>14591</v>
      </c>
      <c r="E168" s="876" t="s">
        <v>4551</v>
      </c>
    </row>
    <row r="169" spans="1:5">
      <c r="A169" s="357" t="s">
        <v>9918</v>
      </c>
      <c r="B169" s="452">
        <v>30</v>
      </c>
      <c r="C169" s="349" t="s">
        <v>2723</v>
      </c>
      <c r="D169" s="357" t="s">
        <v>9919</v>
      </c>
      <c r="E169" s="357" t="s">
        <v>11949</v>
      </c>
    </row>
    <row r="170" spans="1:5">
      <c r="A170" s="452" t="s">
        <v>4384</v>
      </c>
      <c r="B170" s="452">
        <v>30</v>
      </c>
      <c r="C170" s="349" t="s">
        <v>2726</v>
      </c>
      <c r="D170" s="357" t="s">
        <v>4385</v>
      </c>
      <c r="E170" s="357" t="s">
        <v>4376</v>
      </c>
    </row>
    <row r="171" spans="1:5">
      <c r="A171" s="452" t="s">
        <v>12909</v>
      </c>
      <c r="B171" s="452">
        <v>15</v>
      </c>
      <c r="C171" s="357" t="s">
        <v>4453</v>
      </c>
      <c r="D171" s="357" t="s">
        <v>12911</v>
      </c>
      <c r="E171" s="357" t="s">
        <v>12910</v>
      </c>
    </row>
    <row r="172" spans="1:5">
      <c r="A172" s="452" t="s">
        <v>11144</v>
      </c>
      <c r="B172" s="452">
        <v>5</v>
      </c>
      <c r="C172" s="357" t="s">
        <v>2726</v>
      </c>
      <c r="D172" s="357" t="s">
        <v>11146</v>
      </c>
      <c r="E172" s="876" t="s">
        <v>4551</v>
      </c>
    </row>
    <row r="173" spans="1:5">
      <c r="A173" s="452" t="s">
        <v>12404</v>
      </c>
      <c r="B173" s="452">
        <v>65</v>
      </c>
      <c r="C173" s="357" t="s">
        <v>2726</v>
      </c>
      <c r="D173" s="357" t="s">
        <v>12405</v>
      </c>
      <c r="E173" s="876" t="s">
        <v>4551</v>
      </c>
    </row>
    <row r="174" spans="1:5">
      <c r="A174" s="452" t="s">
        <v>10871</v>
      </c>
      <c r="B174" s="452">
        <v>65</v>
      </c>
      <c r="C174" s="349" t="s">
        <v>2729</v>
      </c>
      <c r="D174" s="357" t="s">
        <v>15325</v>
      </c>
      <c r="E174" s="876" t="s">
        <v>4551</v>
      </c>
    </row>
    <row r="175" spans="1:5">
      <c r="A175" s="357" t="str">
        <f>IF(SelectRace="Elfe","Cape de Barbes","Masque de la Foi")</f>
        <v>Masque de la Foi</v>
      </c>
      <c r="B175" s="452">
        <v>2</v>
      </c>
      <c r="C175" s="349" t="s">
        <v>2731</v>
      </c>
      <c r="D175" s="357" t="s">
        <v>14589</v>
      </c>
      <c r="E175" s="357" t="s">
        <v>11948</v>
      </c>
    </row>
    <row r="176" spans="1:5">
      <c r="A176" s="357" t="s">
        <v>4830</v>
      </c>
      <c r="B176" s="452">
        <v>3</v>
      </c>
      <c r="C176" s="349" t="s">
        <v>2723</v>
      </c>
      <c r="D176" s="877" t="s">
        <v>4831</v>
      </c>
      <c r="E176" s="357" t="s">
        <v>15596</v>
      </c>
    </row>
    <row r="177" spans="1:5">
      <c r="A177" s="357" t="s">
        <v>15403</v>
      </c>
      <c r="B177" s="452">
        <v>65</v>
      </c>
      <c r="C177" s="357" t="s">
        <v>2729</v>
      </c>
      <c r="D177" s="357" t="s">
        <v>15404</v>
      </c>
      <c r="E177" s="876" t="s">
        <v>4551</v>
      </c>
    </row>
    <row r="178" spans="1:5">
      <c r="A178" s="452" t="s">
        <v>4386</v>
      </c>
      <c r="B178" s="452">
        <v>65</v>
      </c>
      <c r="C178" s="349" t="s">
        <v>2723</v>
      </c>
      <c r="D178" s="877" t="s">
        <v>4387</v>
      </c>
      <c r="E178" s="357" t="s">
        <v>4378</v>
      </c>
    </row>
    <row r="179" spans="1:5">
      <c r="A179" s="452" t="str">
        <f>IF(Pays="Cathay","Poing de Fer",IF(SelectRace="Peau-verte","Peau de Wulfag","Mempo d'Honneur"))</f>
        <v>Mempo d'Honneur</v>
      </c>
      <c r="B179" s="452">
        <f>IF(A179="Mempo d'Honneur",2,30)</f>
        <v>2</v>
      </c>
      <c r="C179" s="349" t="s">
        <v>2723</v>
      </c>
      <c r="D179" s="877" t="s">
        <v>17581</v>
      </c>
      <c r="E179" s="876" t="s">
        <v>4551</v>
      </c>
    </row>
    <row r="180" spans="1:5">
      <c r="A180" s="452" t="s">
        <v>17582</v>
      </c>
      <c r="B180" s="452">
        <v>10</v>
      </c>
      <c r="C180" s="349" t="s">
        <v>2723</v>
      </c>
      <c r="D180" s="357" t="s">
        <v>4431</v>
      </c>
      <c r="E180" s="357" t="s">
        <v>4408</v>
      </c>
    </row>
    <row r="181" spans="1:5">
      <c r="A181" s="452" t="s">
        <v>16593</v>
      </c>
      <c r="B181" s="452">
        <v>10</v>
      </c>
      <c r="C181" s="349" t="s">
        <v>2725</v>
      </c>
      <c r="D181" s="357" t="s">
        <v>17583</v>
      </c>
      <c r="E181" s="357" t="s">
        <v>16588</v>
      </c>
    </row>
    <row r="182" spans="1:5">
      <c r="A182" s="452" t="s">
        <v>11591</v>
      </c>
      <c r="B182" s="452">
        <v>0</v>
      </c>
      <c r="C182" s="357" t="s">
        <v>2721</v>
      </c>
      <c r="D182" s="357" t="s">
        <v>11592</v>
      </c>
      <c r="E182" s="357" t="s">
        <v>11593</v>
      </c>
    </row>
    <row r="183" spans="1:5">
      <c r="A183" s="452" t="s">
        <v>10868</v>
      </c>
      <c r="B183" s="452">
        <v>0</v>
      </c>
      <c r="C183" s="357" t="s">
        <v>2726</v>
      </c>
      <c r="D183" s="877" t="s">
        <v>10869</v>
      </c>
      <c r="E183" s="876" t="s">
        <v>4551</v>
      </c>
    </row>
    <row r="184" spans="1:5">
      <c r="A184" s="452" t="s">
        <v>16586</v>
      </c>
      <c r="B184" s="452">
        <v>5</v>
      </c>
      <c r="C184" s="357" t="s">
        <v>2726</v>
      </c>
      <c r="D184" s="877" t="s">
        <v>16587</v>
      </c>
      <c r="E184" s="357" t="s">
        <v>16588</v>
      </c>
    </row>
    <row r="185" spans="1:5">
      <c r="A185" s="452" t="s">
        <v>4432</v>
      </c>
      <c r="B185" s="452">
        <v>5</v>
      </c>
      <c r="C185" s="349" t="s">
        <v>2726</v>
      </c>
      <c r="D185" s="877" t="s">
        <v>4883</v>
      </c>
      <c r="E185" s="357" t="s">
        <v>4429</v>
      </c>
    </row>
    <row r="186" spans="1:5">
      <c r="A186" s="452" t="s">
        <v>10867</v>
      </c>
      <c r="B186" s="452">
        <v>15</v>
      </c>
      <c r="C186" s="357" t="s">
        <v>2723</v>
      </c>
      <c r="D186" s="877" t="s">
        <v>10858</v>
      </c>
      <c r="E186" s="876" t="s">
        <v>4551</v>
      </c>
    </row>
    <row r="187" spans="1:5">
      <c r="A187" s="452" t="s">
        <v>14568</v>
      </c>
      <c r="B187" s="452">
        <v>0</v>
      </c>
      <c r="C187" s="357" t="s">
        <v>2726</v>
      </c>
      <c r="D187" s="357" t="s">
        <v>14569</v>
      </c>
      <c r="E187" s="876" t="s">
        <v>4551</v>
      </c>
    </row>
    <row r="188" spans="1:5">
      <c r="A188" s="452" t="s">
        <v>4433</v>
      </c>
      <c r="B188" s="452">
        <v>0</v>
      </c>
      <c r="C188" s="349" t="s">
        <v>2726</v>
      </c>
      <c r="D188" s="357" t="s">
        <v>4437</v>
      </c>
      <c r="E188" s="357" t="s">
        <v>4429</v>
      </c>
    </row>
    <row r="189" spans="1:5">
      <c r="A189" s="452" t="s">
        <v>4388</v>
      </c>
      <c r="B189" s="452">
        <v>0</v>
      </c>
      <c r="C189" s="349" t="s">
        <v>2721</v>
      </c>
      <c r="D189" s="877" t="s">
        <v>4389</v>
      </c>
      <c r="E189" s="357" t="s">
        <v>4378</v>
      </c>
    </row>
    <row r="190" spans="1:5">
      <c r="A190" s="452" t="s">
        <v>4923</v>
      </c>
      <c r="B190" s="452">
        <v>20</v>
      </c>
      <c r="C190" s="349" t="s">
        <v>2723</v>
      </c>
      <c r="D190" s="357" t="s">
        <v>15326</v>
      </c>
      <c r="E190" s="357" t="s">
        <v>4917</v>
      </c>
    </row>
    <row r="191" spans="1:5">
      <c r="A191" s="452" t="str">
        <f>IF(Pays="Lustrie","Plume magique de Natalina","Pièce chanceuse de Guido")</f>
        <v>Pièce chanceuse de Guido</v>
      </c>
      <c r="B191" s="452">
        <v>0</v>
      </c>
      <c r="C191" s="349" t="s">
        <v>2726</v>
      </c>
      <c r="D191" s="357" t="s">
        <v>12214</v>
      </c>
      <c r="E191" s="876" t="s">
        <v>4551</v>
      </c>
    </row>
    <row r="192" spans="1:5">
      <c r="A192" s="452" t="s">
        <v>4463</v>
      </c>
      <c r="B192" s="452">
        <v>0</v>
      </c>
      <c r="C192" s="349" t="s">
        <v>4453</v>
      </c>
      <c r="D192" s="877" t="s">
        <v>4902</v>
      </c>
      <c r="E192" s="357" t="s">
        <v>4466</v>
      </c>
    </row>
    <row r="193" spans="1:7">
      <c r="A193" s="452" t="s">
        <v>10826</v>
      </c>
      <c r="B193" s="452">
        <v>0</v>
      </c>
      <c r="C193" s="357" t="s">
        <v>2726</v>
      </c>
      <c r="D193" s="357" t="s">
        <v>10827</v>
      </c>
      <c r="E193" s="876" t="s">
        <v>4551</v>
      </c>
    </row>
    <row r="194" spans="1:7">
      <c r="A194" s="452" t="s">
        <v>11168</v>
      </c>
      <c r="B194" s="452">
        <v>0</v>
      </c>
      <c r="C194" s="357" t="s">
        <v>2723</v>
      </c>
      <c r="D194" s="357" t="s">
        <v>11169</v>
      </c>
      <c r="E194" s="452" t="s">
        <v>11170</v>
      </c>
    </row>
    <row r="195" spans="1:7">
      <c r="A195" s="357" t="s">
        <v>11550</v>
      </c>
      <c r="B195" s="452">
        <v>0</v>
      </c>
      <c r="C195" s="349" t="s">
        <v>2726</v>
      </c>
      <c r="D195" s="877" t="s">
        <v>11564</v>
      </c>
      <c r="E195" s="357" t="s">
        <v>4429</v>
      </c>
    </row>
    <row r="196" spans="1:7">
      <c r="A196" s="357" t="s">
        <v>11551</v>
      </c>
      <c r="B196" s="452">
        <v>0</v>
      </c>
      <c r="C196" s="349" t="s">
        <v>2726</v>
      </c>
      <c r="D196" s="877" t="s">
        <v>11577</v>
      </c>
      <c r="E196" s="357" t="s">
        <v>4429</v>
      </c>
    </row>
    <row r="197" spans="1:7">
      <c r="A197" s="357" t="s">
        <v>11552</v>
      </c>
      <c r="B197" s="452">
        <v>0</v>
      </c>
      <c r="C197" s="349" t="s">
        <v>2726</v>
      </c>
      <c r="D197" s="877" t="s">
        <v>11565</v>
      </c>
      <c r="E197" s="357"/>
    </row>
    <row r="198" spans="1:7">
      <c r="A198" s="357" t="s">
        <v>11553</v>
      </c>
      <c r="B198" s="452">
        <v>0</v>
      </c>
      <c r="C198" s="349" t="s">
        <v>2726</v>
      </c>
      <c r="D198" s="877" t="s">
        <v>11566</v>
      </c>
      <c r="E198" s="357" t="s">
        <v>4429</v>
      </c>
    </row>
    <row r="199" spans="1:7">
      <c r="A199" s="357" t="s">
        <v>11554</v>
      </c>
      <c r="B199" s="452">
        <v>0</v>
      </c>
      <c r="C199" s="349" t="s">
        <v>2726</v>
      </c>
      <c r="D199" s="877" t="s">
        <v>11567</v>
      </c>
      <c r="E199" s="357" t="s">
        <v>4429</v>
      </c>
    </row>
    <row r="200" spans="1:7">
      <c r="A200" s="357" t="s">
        <v>11555</v>
      </c>
      <c r="B200" s="452">
        <v>0</v>
      </c>
      <c r="C200" s="349" t="s">
        <v>2726</v>
      </c>
      <c r="D200" s="877" t="s">
        <v>11568</v>
      </c>
      <c r="E200" s="357"/>
    </row>
    <row r="201" spans="1:7">
      <c r="A201" s="357" t="s">
        <v>11556</v>
      </c>
      <c r="B201" s="452">
        <v>0</v>
      </c>
      <c r="C201" s="349" t="s">
        <v>2726</v>
      </c>
      <c r="D201" s="877" t="s">
        <v>11569</v>
      </c>
      <c r="E201" s="357"/>
      <c r="G201"/>
    </row>
    <row r="202" spans="1:7">
      <c r="A202" s="357" t="s">
        <v>11557</v>
      </c>
      <c r="B202" s="452">
        <v>0</v>
      </c>
      <c r="C202" s="349" t="s">
        <v>2726</v>
      </c>
      <c r="D202" s="877" t="s">
        <v>11570</v>
      </c>
      <c r="E202" s="357" t="s">
        <v>4429</v>
      </c>
      <c r="G202"/>
    </row>
    <row r="203" spans="1:7">
      <c r="A203" s="357" t="s">
        <v>11558</v>
      </c>
      <c r="B203" s="452">
        <v>0</v>
      </c>
      <c r="C203" s="349" t="s">
        <v>2726</v>
      </c>
      <c r="D203" s="877" t="s">
        <v>11571</v>
      </c>
      <c r="E203" s="357" t="s">
        <v>4429</v>
      </c>
      <c r="G203"/>
    </row>
    <row r="204" spans="1:7">
      <c r="A204" s="357" t="s">
        <v>11559</v>
      </c>
      <c r="B204" s="452">
        <v>0</v>
      </c>
      <c r="C204" s="349" t="s">
        <v>2726</v>
      </c>
      <c r="D204" s="877" t="s">
        <v>11572</v>
      </c>
      <c r="E204" s="357"/>
      <c r="G204"/>
    </row>
    <row r="205" spans="1:7">
      <c r="A205" s="357" t="s">
        <v>11560</v>
      </c>
      <c r="B205" s="452">
        <v>0</v>
      </c>
      <c r="C205" s="349" t="s">
        <v>2726</v>
      </c>
      <c r="D205" s="877" t="s">
        <v>11573</v>
      </c>
      <c r="E205" s="357"/>
      <c r="G205"/>
    </row>
    <row r="206" spans="1:7">
      <c r="A206" s="357" t="s">
        <v>11561</v>
      </c>
      <c r="B206" s="452">
        <v>0</v>
      </c>
      <c r="C206" s="349" t="s">
        <v>2726</v>
      </c>
      <c r="D206" s="877" t="s">
        <v>11574</v>
      </c>
      <c r="E206" s="357" t="s">
        <v>4429</v>
      </c>
    </row>
    <row r="207" spans="1:7">
      <c r="A207" s="357" t="s">
        <v>11562</v>
      </c>
      <c r="B207" s="452">
        <v>0</v>
      </c>
      <c r="C207" s="349" t="s">
        <v>2726</v>
      </c>
      <c r="D207" s="877" t="s">
        <v>11575</v>
      </c>
      <c r="E207" s="357" t="s">
        <v>4429</v>
      </c>
    </row>
    <row r="208" spans="1:7">
      <c r="A208" s="357" t="s">
        <v>11563</v>
      </c>
      <c r="B208" s="452">
        <v>0</v>
      </c>
      <c r="C208" s="349" t="s">
        <v>2726</v>
      </c>
      <c r="D208" s="877" t="s">
        <v>11576</v>
      </c>
      <c r="E208" s="357" t="s">
        <v>4429</v>
      </c>
    </row>
    <row r="209" spans="1:5">
      <c r="A209" s="452" t="s">
        <v>4884</v>
      </c>
      <c r="B209" s="452">
        <v>0</v>
      </c>
      <c r="C209" s="349" t="s">
        <v>2721</v>
      </c>
      <c r="D209" s="357" t="s">
        <v>4390</v>
      </c>
      <c r="E209" s="357" t="s">
        <v>4378</v>
      </c>
    </row>
    <row r="210" spans="1:5">
      <c r="A210" s="452" t="s">
        <v>4484</v>
      </c>
      <c r="B210" s="452">
        <v>200</v>
      </c>
      <c r="C210" s="349" t="s">
        <v>2720</v>
      </c>
      <c r="D210" s="877" t="s">
        <v>17584</v>
      </c>
      <c r="E210" s="357" t="s">
        <v>4485</v>
      </c>
    </row>
    <row r="211" spans="1:5">
      <c r="A211" s="357" t="s">
        <v>4833</v>
      </c>
      <c r="B211" s="452">
        <v>10</v>
      </c>
      <c r="C211" s="349" t="s">
        <v>2726</v>
      </c>
      <c r="D211" s="357" t="s">
        <v>4835</v>
      </c>
      <c r="E211" s="357" t="s">
        <v>15595</v>
      </c>
    </row>
    <row r="212" spans="1:5">
      <c r="A212" s="357" t="s">
        <v>11548</v>
      </c>
      <c r="B212" s="452">
        <v>1</v>
      </c>
      <c r="C212" s="357" t="s">
        <v>2721</v>
      </c>
      <c r="D212" s="357" t="s">
        <v>15327</v>
      </c>
      <c r="E212" s="357" t="s">
        <v>17554</v>
      </c>
    </row>
    <row r="213" spans="1:5">
      <c r="A213" s="452" t="s">
        <v>4489</v>
      </c>
      <c r="B213" s="452">
        <v>100</v>
      </c>
      <c r="C213" s="349" t="s">
        <v>2719</v>
      </c>
      <c r="D213" s="357" t="s">
        <v>4491</v>
      </c>
      <c r="E213" s="357" t="s">
        <v>4492</v>
      </c>
    </row>
    <row r="214" spans="1:5">
      <c r="A214" s="452" t="s">
        <v>4490</v>
      </c>
      <c r="B214" s="452">
        <v>1</v>
      </c>
      <c r="C214" s="349" t="s">
        <v>2727</v>
      </c>
      <c r="D214" s="357" t="s">
        <v>4493</v>
      </c>
      <c r="E214" s="357" t="s">
        <v>15278</v>
      </c>
    </row>
    <row r="215" spans="1:5">
      <c r="A215" s="452" t="s">
        <v>4881</v>
      </c>
      <c r="B215" s="452">
        <v>15</v>
      </c>
      <c r="C215" s="349" t="s">
        <v>2723</v>
      </c>
      <c r="D215" s="357" t="s">
        <v>4882</v>
      </c>
      <c r="E215" s="357" t="s">
        <v>4876</v>
      </c>
    </row>
    <row r="216" spans="1:5">
      <c r="A216" s="452" t="s">
        <v>17585</v>
      </c>
      <c r="B216" s="452">
        <v>5</v>
      </c>
      <c r="C216" s="357" t="s">
        <v>2731</v>
      </c>
      <c r="D216" s="357" t="s">
        <v>16135</v>
      </c>
      <c r="E216" s="876" t="s">
        <v>4551</v>
      </c>
    </row>
    <row r="217" spans="1:5">
      <c r="A217" s="452" t="s">
        <v>4391</v>
      </c>
      <c r="B217" s="452">
        <v>1</v>
      </c>
      <c r="C217" s="349" t="s">
        <v>2721</v>
      </c>
      <c r="D217" s="357" t="s">
        <v>4394</v>
      </c>
      <c r="E217" s="357" t="s">
        <v>4393</v>
      </c>
    </row>
    <row r="218" spans="1:5">
      <c r="A218" s="452" t="s">
        <v>4434</v>
      </c>
      <c r="B218" s="452">
        <v>0</v>
      </c>
      <c r="C218" s="349" t="s">
        <v>2725</v>
      </c>
      <c r="D218" s="877" t="s">
        <v>4438</v>
      </c>
      <c r="E218" s="357" t="s">
        <v>4429</v>
      </c>
    </row>
    <row r="219" spans="1:5">
      <c r="A219" s="452" t="s">
        <v>11296</v>
      </c>
      <c r="B219" s="452">
        <v>0</v>
      </c>
      <c r="C219" s="349" t="s">
        <v>2726</v>
      </c>
      <c r="D219" s="877" t="s">
        <v>4880</v>
      </c>
      <c r="E219" s="876" t="s">
        <v>4551</v>
      </c>
    </row>
    <row r="220" spans="1:5">
      <c r="A220" s="452" t="s">
        <v>4864</v>
      </c>
      <c r="B220" s="452">
        <v>65</v>
      </c>
      <c r="C220" s="349" t="s">
        <v>2726</v>
      </c>
      <c r="D220" s="357" t="s">
        <v>4865</v>
      </c>
      <c r="E220" s="357" t="s">
        <v>4866</v>
      </c>
    </row>
    <row r="221" spans="1:5">
      <c r="A221" s="357" t="s">
        <v>4839</v>
      </c>
      <c r="B221" s="452">
        <v>65</v>
      </c>
      <c r="C221" s="349" t="s">
        <v>2729</v>
      </c>
      <c r="D221" s="357" t="s">
        <v>4842</v>
      </c>
      <c r="E221" s="357" t="s">
        <v>4840</v>
      </c>
    </row>
    <row r="222" spans="1:5">
      <c r="A222" s="452" t="s">
        <v>4435</v>
      </c>
      <c r="B222" s="452">
        <v>50</v>
      </c>
      <c r="C222" s="349" t="s">
        <v>2725</v>
      </c>
      <c r="D222" s="877" t="s">
        <v>4439</v>
      </c>
      <c r="E222" s="357" t="s">
        <v>4429</v>
      </c>
    </row>
    <row r="223" spans="1:5">
      <c r="A223" s="452" t="s">
        <v>10859</v>
      </c>
      <c r="B223" s="452">
        <v>50</v>
      </c>
      <c r="C223" s="357" t="s">
        <v>2726</v>
      </c>
      <c r="D223" s="357" t="s">
        <v>17586</v>
      </c>
      <c r="E223" s="876" t="s">
        <v>4551</v>
      </c>
    </row>
    <row r="224" spans="1:5">
      <c r="A224" s="452" t="s">
        <v>11528</v>
      </c>
      <c r="B224" s="452">
        <v>200</v>
      </c>
      <c r="C224" s="357" t="s">
        <v>2731</v>
      </c>
      <c r="D224" s="357" t="s">
        <v>11529</v>
      </c>
      <c r="E224" s="876" t="s">
        <v>4551</v>
      </c>
    </row>
    <row r="225" spans="1:5">
      <c r="A225" s="452" t="s">
        <v>9326</v>
      </c>
      <c r="B225" s="452">
        <v>0</v>
      </c>
      <c r="C225" s="349" t="s">
        <v>2723</v>
      </c>
      <c r="D225" s="357" t="s">
        <v>9327</v>
      </c>
      <c r="E225" s="357" t="s">
        <v>9325</v>
      </c>
    </row>
    <row r="226" spans="1:5">
      <c r="A226" s="452" t="s">
        <v>4436</v>
      </c>
      <c r="B226" s="452">
        <v>0</v>
      </c>
      <c r="C226" s="349" t="s">
        <v>2725</v>
      </c>
      <c r="D226" s="357" t="s">
        <v>4903</v>
      </c>
      <c r="E226" s="357" t="s">
        <v>4429</v>
      </c>
    </row>
    <row r="227" spans="1:5">
      <c r="A227" s="452" t="s">
        <v>9077</v>
      </c>
      <c r="B227" s="452">
        <v>0</v>
      </c>
      <c r="C227" s="349" t="s">
        <v>2726</v>
      </c>
      <c r="D227" s="877" t="s">
        <v>4925</v>
      </c>
      <c r="E227" s="357" t="s">
        <v>4917</v>
      </c>
    </row>
    <row r="228" spans="1:5">
      <c r="A228" s="357" t="s">
        <v>9920</v>
      </c>
      <c r="B228" s="452">
        <v>100</v>
      </c>
      <c r="C228" s="357" t="s">
        <v>2726</v>
      </c>
      <c r="D228" s="357" t="s">
        <v>12680</v>
      </c>
      <c r="E228" s="357" t="s">
        <v>11947</v>
      </c>
    </row>
    <row r="229" spans="1:5">
      <c r="A229" s="452" t="s">
        <v>4392</v>
      </c>
      <c r="B229" s="452">
        <v>20</v>
      </c>
      <c r="C229" s="349" t="s">
        <v>2721</v>
      </c>
      <c r="D229" s="357" t="s">
        <v>10879</v>
      </c>
      <c r="E229" s="357" t="s">
        <v>4393</v>
      </c>
    </row>
    <row r="230" spans="1:5">
      <c r="A230" s="452" t="s">
        <v>4875</v>
      </c>
      <c r="B230" s="452">
        <v>0</v>
      </c>
      <c r="C230" s="349" t="s">
        <v>2727</v>
      </c>
      <c r="D230" s="357" t="s">
        <v>4904</v>
      </c>
      <c r="E230" s="357" t="s">
        <v>4876</v>
      </c>
    </row>
    <row r="231" spans="1:5">
      <c r="A231" s="452" t="s">
        <v>4503</v>
      </c>
      <c r="B231" s="452">
        <v>50</v>
      </c>
      <c r="C231" s="349" t="s">
        <v>2723</v>
      </c>
      <c r="D231" s="357" t="s">
        <v>4502</v>
      </c>
      <c r="E231" s="357" t="s">
        <v>4501</v>
      </c>
    </row>
    <row r="232" spans="1:5">
      <c r="A232" s="452" t="s">
        <v>12908</v>
      </c>
      <c r="B232" s="452">
        <v>30</v>
      </c>
      <c r="C232" s="349" t="s">
        <v>2723</v>
      </c>
      <c r="D232" s="357" t="s">
        <v>17587</v>
      </c>
      <c r="E232" s="357" t="s">
        <v>12906</v>
      </c>
    </row>
    <row r="233" spans="1:5">
      <c r="A233" s="452" t="s">
        <v>11148</v>
      </c>
      <c r="B233" s="452">
        <v>2</v>
      </c>
      <c r="C233" s="357" t="s">
        <v>2726</v>
      </c>
      <c r="D233" s="357" t="s">
        <v>15328</v>
      </c>
      <c r="E233" s="876" t="s">
        <v>4551</v>
      </c>
    </row>
    <row r="234" spans="1:5">
      <c r="A234" s="452" t="s">
        <v>10870</v>
      </c>
      <c r="B234" s="452">
        <v>50</v>
      </c>
      <c r="C234" s="357" t="s">
        <v>2721</v>
      </c>
      <c r="D234" s="357" t="s">
        <v>17588</v>
      </c>
      <c r="E234" s="876" t="s">
        <v>4551</v>
      </c>
    </row>
    <row r="235" spans="1:5">
      <c r="A235" s="452" t="s">
        <v>12665</v>
      </c>
      <c r="B235" s="452">
        <v>50</v>
      </c>
      <c r="C235" s="349" t="s">
        <v>2731</v>
      </c>
      <c r="D235" s="357" t="s">
        <v>17589</v>
      </c>
      <c r="E235" s="357" t="s">
        <v>4492</v>
      </c>
    </row>
    <row r="236" spans="1:5">
      <c r="A236" s="452" t="s">
        <v>11278</v>
      </c>
      <c r="B236" s="452">
        <v>50</v>
      </c>
      <c r="C236" s="357" t="s">
        <v>2727</v>
      </c>
      <c r="D236" s="357" t="s">
        <v>11282</v>
      </c>
      <c r="E236" s="357" t="s">
        <v>11279</v>
      </c>
    </row>
    <row r="237" spans="1:5">
      <c r="A237" s="357" t="s">
        <v>15332</v>
      </c>
      <c r="B237" s="357">
        <v>50</v>
      </c>
      <c r="C237" s="349" t="s">
        <v>2721</v>
      </c>
      <c r="D237" s="877" t="s">
        <v>15333</v>
      </c>
      <c r="E237" s="349" t="s">
        <v>15331</v>
      </c>
    </row>
  </sheetData>
  <sheetProtection selectLockedCells="1" selectUnlockedCells="1"/>
  <sortState xmlns:xlrd2="http://schemas.microsoft.com/office/spreadsheetml/2017/richdata2" ref="A2:E237">
    <sortCondition ref="A2:A237"/>
  </sortState>
  <phoneticPr fontId="2" type="noConversion"/>
  <dataValidations count="1">
    <dataValidation type="list" allowBlank="1" showInputMessage="1" showErrorMessage="1" sqref="C42 C99:C110 C1:C10 C166 C113:C116 C15:C25 C12:C13 C216:C1048576 C177:C185 C168:C175 C131:C147 C154:C164 C149:C152 C37:C40 C27:C35 C127:C129 C118:C125 C187:C214 C44:C97" xr:uid="{00000000-0002-0000-0F00-000000000000}">
      <formula1>c_a</formula1>
    </dataValidation>
  </dataValidations>
  <hyperlinks>
    <hyperlink ref="E52" r:id="rId1" location="Art.C3.A9facts" xr:uid="{18D37037-6B1E-4AB0-86F3-10BA43529C7E}"/>
    <hyperlink ref="E76" r:id="rId2" location="Art.C3.A9facts" xr:uid="{A2D36960-5209-4278-AE96-334710336A23}"/>
    <hyperlink ref="E193" r:id="rId3" location="Art.C3.A9facts" xr:uid="{3B1719B6-0411-48F8-932C-57268C6256C6}"/>
    <hyperlink ref="E186" r:id="rId4" xr:uid="{FF55CC58-E771-42E3-B423-ECF43C696EBD}"/>
    <hyperlink ref="E223" r:id="rId5" xr:uid="{55C438F0-6A0A-4CD4-AAEB-BBE7276CED41}"/>
    <hyperlink ref="E143" r:id="rId6" xr:uid="{7DDD0C88-CF12-430F-B319-5ED9A8D91331}"/>
    <hyperlink ref="E23" r:id="rId7" xr:uid="{E4F7C718-8A70-4ECA-8ACC-1E5D54B9DA02}"/>
    <hyperlink ref="E93" r:id="rId8" xr:uid="{2577B7F2-3D66-45E2-A97B-29E48FC244F1}"/>
    <hyperlink ref="E183" r:id="rId9" xr:uid="{94EFF015-3B98-4A69-8545-98493236BE91}"/>
    <hyperlink ref="E234" r:id="rId10" xr:uid="{705EECE0-7161-4C62-A99E-020A0903943F}"/>
    <hyperlink ref="E174" r:id="rId11" xr:uid="{457F61EB-2566-46D7-B7EF-873DC976519A}"/>
    <hyperlink ref="E29" r:id="rId12" xr:uid="{C04C5903-5A09-4097-9FCE-73736C70681C}"/>
    <hyperlink ref="E118" r:id="rId13" xr:uid="{4B3B16AB-1AF2-4209-A54D-DF8F960581AD}"/>
    <hyperlink ref="E91" r:id="rId14" xr:uid="{DE8263D9-2E05-4863-9E39-801A55FC5BA9}"/>
    <hyperlink ref="E157" r:id="rId15" xr:uid="{69B7E2BE-5645-4D71-B564-3645A96B0CEB}"/>
    <hyperlink ref="E22" r:id="rId16" xr:uid="{86C968E9-1CB2-45D5-93FA-68B32EC695B8}"/>
    <hyperlink ref="E58" r:id="rId17" xr:uid="{6E9A4BC2-6DC2-4173-86BE-FE4D490CAD9E}"/>
    <hyperlink ref="E69" r:id="rId18" xr:uid="{3B48A8AF-9058-4B26-B73C-02A58BE1B3E3}"/>
    <hyperlink ref="E116" r:id="rId19" xr:uid="{5C10E902-C5A1-4293-B951-357DEE6C2AFF}"/>
    <hyperlink ref="E155" r:id="rId20" xr:uid="{0056120A-86B7-47A6-9E63-54A7306A4FDD}"/>
    <hyperlink ref="E31" r:id="rId21" xr:uid="{5745550F-FD57-40AD-A724-9E6AFB9A7211}"/>
    <hyperlink ref="E32" r:id="rId22" xr:uid="{49602583-5F4C-441F-B670-AA7AAC1668BD}"/>
    <hyperlink ref="E172" r:id="rId23" xr:uid="{34B77CED-2B07-40BD-9268-90EE457BE514}"/>
    <hyperlink ref="E156" r:id="rId24" xr:uid="{7F0F021F-9FF1-43CF-A987-493FD03017AB}"/>
    <hyperlink ref="E233" r:id="rId25" xr:uid="{4E341581-2A03-41A3-AB08-70E7454EBA3A}"/>
    <hyperlink ref="E136" r:id="rId26" xr:uid="{41E8A9AE-5D13-446E-BE44-447256FEB0A3}"/>
    <hyperlink ref="E119" r:id="rId27" xr:uid="{7A393EEC-BA77-42EA-8B37-EF4A4D31D422}"/>
    <hyperlink ref="E24" r:id="rId28" xr:uid="{B29749D4-04E0-4843-B241-B14BCDB38F1E}"/>
    <hyperlink ref="E219" r:id="rId29" xr:uid="{CBBE7E1B-B1FF-4AFD-9126-EDA6C055DAE1}"/>
    <hyperlink ref="E167" r:id="rId30" xr:uid="{A0B74EC3-EFF1-4EDF-AF0E-C267D70BCA85}"/>
    <hyperlink ref="E224" r:id="rId31" xr:uid="{60283ADB-4C0C-4B60-9F7C-0E051F932191}"/>
    <hyperlink ref="E51" r:id="rId32" xr:uid="{AD033E8F-20EF-47FE-8D09-454E3F338F5F}"/>
    <hyperlink ref="E147" r:id="rId33" xr:uid="{A21A14CC-DF80-451E-A156-412A19FA52E2}"/>
    <hyperlink ref="E3" r:id="rId34" xr:uid="{449326E1-BF42-4BEE-A8D6-BA2ADD418D2A}"/>
    <hyperlink ref="E21" r:id="rId35" xr:uid="{D11D38B7-C6CB-43D6-9320-1EC231F0AC07}"/>
    <hyperlink ref="E191" r:id="rId36" xr:uid="{FA9D9A0A-F993-40FE-A68E-BF92FF270421}"/>
    <hyperlink ref="E179" r:id="rId37" xr:uid="{E7AD20B1-D81A-4AA1-B66E-71999FC75E95}"/>
    <hyperlink ref="E72" r:id="rId38" xr:uid="{E1A8D09E-06E4-44A3-8CA1-5162B3857DC5}"/>
    <hyperlink ref="E77" r:id="rId39" xr:uid="{4A4D9FBE-8E5B-49AD-9A5A-10470AAFE8EB}"/>
    <hyperlink ref="E115" r:id="rId40" xr:uid="{2FED7B3E-6F29-45B8-A52D-43BF240FD32B}"/>
    <hyperlink ref="E44" r:id="rId41" xr:uid="{DCE424B4-EA67-43AA-B6DB-537328A710C2}"/>
    <hyperlink ref="E144" r:id="rId42" xr:uid="{7FD1828B-57D5-43C0-8104-3AF743595309}"/>
    <hyperlink ref="E41" r:id="rId43" xr:uid="{5CDCA78A-EF28-4354-929B-5AB87CDDB678}"/>
    <hyperlink ref="E90" r:id="rId44" xr:uid="{83BDC64B-081D-4BD5-A378-7B7104AFD9CA}"/>
    <hyperlink ref="E47" r:id="rId45" xr:uid="{B0248FBE-2BF8-47C1-8485-3A845007EBD6}"/>
    <hyperlink ref="E25" r:id="rId46" xr:uid="{75B46EB6-B36A-42FF-BDD5-3EE4E829AB74}"/>
    <hyperlink ref="E8" r:id="rId47" xr:uid="{AAB5F645-7A2E-4BD7-BE7E-FA0A3C403023}"/>
    <hyperlink ref="E104" r:id="rId48" xr:uid="{09D1B18D-3B95-4328-8CAA-F54E31416238}"/>
    <hyperlink ref="E42" r:id="rId49" xr:uid="{B0488A48-4D13-413E-9117-F418843F80BC}"/>
    <hyperlink ref="E39" r:id="rId50" xr:uid="{97C1E0B6-78D6-4039-9698-DA98291BCFF3}"/>
    <hyperlink ref="E37" r:id="rId51" xr:uid="{4896EF1C-4552-41D9-BEB3-45B812910A88}"/>
    <hyperlink ref="E173" r:id="rId52" xr:uid="{ADB90F51-3EBA-4343-8466-CCC72ACE429A}"/>
    <hyperlink ref="E84" r:id="rId53" xr:uid="{B1846E60-792D-4A54-A7B2-49316006F24A}"/>
    <hyperlink ref="E187" r:id="rId54" xr:uid="{569E5B12-CBA9-4AD2-89F5-4A9E3FC4D782}"/>
    <hyperlink ref="E94" r:id="rId55" xr:uid="{4B05B4D6-A952-46C0-A214-520A9DBD8186}"/>
    <hyperlink ref="E110" r:id="rId56" xr:uid="{0FF2B038-5670-4721-B947-39EE9078726F}"/>
    <hyperlink ref="E111" r:id="rId57" xr:uid="{5D635DAE-0E48-4D16-AE0E-FFCFDD11701D}"/>
    <hyperlink ref="E36" r:id="rId58" xr:uid="{54259394-F56B-410B-8DF5-C8837FA505EF}"/>
    <hyperlink ref="E43" r:id="rId59" xr:uid="{34D21E67-6DFD-4EE4-8EE3-F69977496BC6}"/>
    <hyperlink ref="E137" r:id="rId60" xr:uid="{21DED132-D922-4A93-B1B0-2318BAE05359}"/>
    <hyperlink ref="E96" r:id="rId61" xr:uid="{C5742C8F-F773-471D-976D-FE962A0BA489}"/>
    <hyperlink ref="E168" r:id="rId62" xr:uid="{EFCA30B6-9B50-419F-92EB-ACBAFAE36A4E}"/>
    <hyperlink ref="E177" r:id="rId63" xr:uid="{CA220518-F603-4780-B754-56EB049925B5}"/>
    <hyperlink ref="E130" r:id="rId64" xr:uid="{994D8FDF-53D9-4672-AF00-7EBF21D7D617}"/>
    <hyperlink ref="E153" r:id="rId65" xr:uid="{6EF6FB15-3CE7-4CC1-B145-616CD69B243A}"/>
    <hyperlink ref="E35" r:id="rId66" xr:uid="{71B1DD32-3545-407C-8F8D-057BA1A9720B}"/>
    <hyperlink ref="E122" r:id="rId67" xr:uid="{2AB81CD6-C754-4AD2-A0A9-E0D6FC431F7A}"/>
    <hyperlink ref="E216" r:id="rId68" xr:uid="{C7228E27-8EB4-4001-B0A2-9FF5EAABB24D}"/>
    <hyperlink ref="E40" r:id="rId69" xr:uid="{FF37B0BA-EDAA-4435-A06E-DE17BF3C26EB}"/>
    <hyperlink ref="E83" r:id="rId70" xr:uid="{82E7C226-F15F-4F0C-9A74-01B6F67BAAE6}"/>
  </hyperlinks>
  <pageMargins left="0.7" right="0.7" top="0.75" bottom="0.75" header="0.3" footer="0.3"/>
  <pageSetup paperSize="9" orientation="landscape" r:id="rId7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CEK1550"/>
  <sheetViews>
    <sheetView topLeftCell="C85" zoomScale="85" zoomScaleNormal="85" workbookViewId="0">
      <selection activeCell="A41" sqref="A41"/>
    </sheetView>
  </sheetViews>
  <sheetFormatPr baseColWidth="10" defaultColWidth="11.5546875" defaultRowHeight="13.2"/>
  <cols>
    <col min="1" max="1" width="22.44140625" style="64" customWidth="1"/>
    <col min="2" max="2" width="56.5546875" style="64" customWidth="1"/>
    <col min="3" max="19" width="9.5546875" style="64" customWidth="1"/>
    <col min="20" max="22" width="9.5546875" style="148" customWidth="1"/>
    <col min="23" max="23" width="4" style="721" customWidth="1"/>
    <col min="24" max="24" width="7.6640625" style="712" customWidth="1"/>
    <col min="25" max="25" width="5.33203125" style="64" customWidth="1"/>
    <col min="26" max="26" width="6.88671875" style="64" customWidth="1"/>
    <col min="27" max="27" width="8" style="64" customWidth="1"/>
    <col min="28" max="28" width="7" style="64" customWidth="1"/>
    <col min="29" max="29" width="5.6640625" style="64" customWidth="1"/>
    <col min="30" max="30" width="6.33203125" style="64" customWidth="1"/>
    <col min="31" max="33" width="8" style="62" customWidth="1"/>
    <col min="34" max="34" width="6.5546875" style="62" customWidth="1"/>
    <col min="35" max="35" width="29.6640625" style="62" customWidth="1"/>
    <col min="36" max="36" width="11.88671875" style="62" customWidth="1"/>
    <col min="37" max="37" width="7.33203125" style="62" customWidth="1"/>
    <col min="38" max="38" width="6.6640625" style="62" customWidth="1"/>
    <col min="39" max="39" width="6.88671875" style="62" customWidth="1"/>
    <col min="40" max="40" width="45.5546875" style="62" customWidth="1"/>
    <col min="41" max="41" width="8" style="62" customWidth="1"/>
    <col min="42" max="43" width="8" style="130" customWidth="1"/>
    <col min="44" max="44" width="25.33203125" style="130" customWidth="1"/>
    <col min="45" max="45" width="8" style="576" customWidth="1"/>
    <col min="46" max="48" width="11.5546875" style="576" customWidth="1"/>
    <col min="49" max="50" width="11.5546875" style="602" customWidth="1"/>
    <col min="51" max="54" width="11.5546875" style="576" customWidth="1"/>
    <col min="55" max="55" width="14" style="576" customWidth="1"/>
    <col min="56" max="70" width="14" style="602" customWidth="1"/>
    <col min="71" max="74" width="11.5546875" style="576" customWidth="1"/>
    <col min="75" max="77" width="11.5546875" style="602" customWidth="1"/>
    <col min="78" max="78" width="11.5546875" style="576" customWidth="1"/>
    <col min="79" max="80" width="11.5546875" style="602" customWidth="1"/>
    <col min="81" max="82" width="11.5546875" style="576" customWidth="1"/>
    <col min="83" max="83" width="11.5546875" style="602" customWidth="1"/>
    <col min="84" max="88" width="11.5546875" style="576" customWidth="1"/>
    <col min="89" max="90" width="11.5546875" style="602" customWidth="1"/>
    <col min="91" max="91" width="13.5546875" style="576" customWidth="1"/>
    <col min="92" max="94" width="13.5546875" style="602" customWidth="1"/>
    <col min="95" max="96" width="11.5546875" style="576" customWidth="1"/>
    <col min="97" max="97" width="11.5546875" style="602" customWidth="1"/>
    <col min="98" max="2169" width="11.5546875" style="88"/>
    <col min="2170" max="16384" width="11.5546875" style="62"/>
  </cols>
  <sheetData>
    <row r="1" spans="1:2169">
      <c r="A1" s="1511" t="s">
        <v>5564</v>
      </c>
      <c r="B1" s="1512"/>
      <c r="C1" s="1512"/>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2"/>
      <c r="AM1" s="1512"/>
      <c r="AN1" s="1512"/>
      <c r="AO1" s="1512"/>
      <c r="AP1" s="1512"/>
      <c r="AQ1" s="1512"/>
      <c r="AS1" s="889"/>
      <c r="AT1" s="889"/>
      <c r="AU1" s="889"/>
      <c r="AV1" s="889"/>
      <c r="AW1" s="606"/>
      <c r="AX1" s="606"/>
      <c r="AY1" s="889"/>
      <c r="AZ1" s="889"/>
      <c r="BA1" s="889"/>
      <c r="BB1" s="889"/>
      <c r="BC1" s="889"/>
      <c r="BD1" s="606"/>
      <c r="BE1" s="606"/>
      <c r="BF1" s="606"/>
      <c r="BG1" s="606"/>
      <c r="BH1" s="606"/>
      <c r="BI1" s="606"/>
      <c r="BJ1" s="606"/>
      <c r="BK1" s="606"/>
      <c r="BL1" s="606"/>
      <c r="BM1" s="606"/>
      <c r="BN1" s="606"/>
      <c r="BO1" s="606"/>
      <c r="BP1" s="606"/>
      <c r="BQ1" s="606"/>
      <c r="BR1" s="606"/>
      <c r="BS1" s="889"/>
      <c r="BT1" s="889"/>
      <c r="BU1" s="889"/>
      <c r="BV1" s="889"/>
      <c r="BW1" s="606"/>
      <c r="BX1" s="606"/>
      <c r="BY1" s="606"/>
      <c r="BZ1" s="889"/>
      <c r="CA1" s="606"/>
      <c r="CB1" s="606"/>
    </row>
    <row r="2" spans="1:2169">
      <c r="C2" s="65" t="s">
        <v>2616</v>
      </c>
      <c r="D2" s="65" t="s">
        <v>2617</v>
      </c>
      <c r="E2" s="65" t="s">
        <v>2618</v>
      </c>
      <c r="F2" s="65" t="s">
        <v>2619</v>
      </c>
      <c r="G2" s="65" t="s">
        <v>2620</v>
      </c>
      <c r="H2" s="65" t="s">
        <v>2621</v>
      </c>
      <c r="I2" s="65" t="s">
        <v>2622</v>
      </c>
      <c r="J2" s="65" t="s">
        <v>2623</v>
      </c>
      <c r="K2" s="65" t="s">
        <v>2624</v>
      </c>
      <c r="L2" s="65" t="s">
        <v>2625</v>
      </c>
      <c r="M2" s="65" t="s">
        <v>2626</v>
      </c>
      <c r="N2" s="65" t="s">
        <v>2627</v>
      </c>
      <c r="O2" s="65" t="s">
        <v>2628</v>
      </c>
      <c r="P2" s="65" t="s">
        <v>2629</v>
      </c>
      <c r="Q2" s="65" t="s">
        <v>2630</v>
      </c>
      <c r="R2" s="65" t="s">
        <v>2631</v>
      </c>
      <c r="S2" s="65" t="s">
        <v>2632</v>
      </c>
      <c r="T2" s="65" t="s">
        <v>7670</v>
      </c>
      <c r="U2" s="65" t="s">
        <v>7671</v>
      </c>
      <c r="V2" s="65" t="s">
        <v>7672</v>
      </c>
      <c r="Y2" s="64" t="s">
        <v>363</v>
      </c>
      <c r="Z2" s="64" t="s">
        <v>3802</v>
      </c>
      <c r="AA2" s="64" t="s">
        <v>5567</v>
      </c>
      <c r="AB2" s="542"/>
      <c r="AC2" s="542"/>
      <c r="AD2" s="542"/>
      <c r="AE2" s="88"/>
      <c r="AS2" s="1513" t="s">
        <v>9458</v>
      </c>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c r="BP2" s="1514"/>
      <c r="BQ2" s="1514"/>
      <c r="BR2" s="1514"/>
      <c r="BS2" s="1514"/>
      <c r="BT2" s="1514"/>
      <c r="BU2" s="1514"/>
      <c r="BV2" s="1514"/>
      <c r="BW2" s="1514"/>
      <c r="BX2" s="1514"/>
      <c r="BY2" s="1514"/>
      <c r="BZ2" s="1514"/>
      <c r="CA2" s="1514"/>
      <c r="CB2" s="1514"/>
      <c r="CC2" s="1514"/>
      <c r="CD2" s="1514"/>
      <c r="CE2" s="1514"/>
      <c r="CF2" s="1514"/>
      <c r="CG2" s="1514"/>
      <c r="CH2" s="1514"/>
      <c r="CI2" s="1514"/>
      <c r="CJ2" s="1514"/>
      <c r="CK2" s="1514"/>
      <c r="CL2" s="1514"/>
      <c r="CM2" s="1514"/>
      <c r="CN2" s="1514"/>
      <c r="CO2" s="1514"/>
      <c r="CP2" s="1514"/>
      <c r="CQ2" s="1514"/>
      <c r="CR2" s="1514"/>
      <c r="CS2" s="1515"/>
    </row>
    <row r="3" spans="1:2169" s="63" customFormat="1">
      <c r="A3" s="66" t="s">
        <v>392</v>
      </c>
      <c r="B3" s="67" t="s">
        <v>2634</v>
      </c>
      <c r="C3" s="68" t="str">
        <f>IF('page 2'!$O$4="","",IF('page 2'!$O$4=Gestion!A3,1,0))</f>
        <v/>
      </c>
      <c r="D3" s="68" t="str">
        <f>IF('page 2'!$O$5="","",IF('page 2'!$O$5=Gestion!A3,1,0))</f>
        <v/>
      </c>
      <c r="E3" s="68" t="str">
        <f>IF('page 2'!$O$6="","",IF('page 2'!$O$6=Gestion!A3,1,0))</f>
        <v/>
      </c>
      <c r="F3" s="68" t="str">
        <f>IF('page 2'!$O$7="","",IF('page 2'!$O$7=Gestion!A3,1,0))</f>
        <v/>
      </c>
      <c r="G3" s="68" t="str">
        <f>IF('page 2'!$O$8="","",IF('page 2'!$O$8=Gestion!A3,1,0))</f>
        <v/>
      </c>
      <c r="H3" s="68" t="str">
        <f>IF('page 2'!$O$9="","",IF('page 2'!$O$9=Gestion!A3,1,0))</f>
        <v/>
      </c>
      <c r="I3" s="68" t="str">
        <f>IF('page 2'!$O$10="","",IF('page 2'!$O$10=Gestion!A3,1,0))</f>
        <v/>
      </c>
      <c r="J3" s="68" t="str">
        <f>IF('page 2'!$O$11="","",IF('page 2'!$O$11=Gestion!A3,1,0))</f>
        <v/>
      </c>
      <c r="K3" s="68" t="str">
        <f>IF('page 2'!$O$12="","",IF('page 2'!$O$12=Gestion!A3,1,0))</f>
        <v/>
      </c>
      <c r="L3" s="68" t="str">
        <f>IF('page 2'!$O$13="","",IF('page 2'!$O$13=Gestion!A3,1,0))</f>
        <v/>
      </c>
      <c r="M3" s="68" t="str">
        <f>IF('page 2'!$O$14="","",IF('page 2'!$O$14=Gestion!A3,1,0))</f>
        <v/>
      </c>
      <c r="N3" s="68" t="str">
        <f>IF('page 2'!$O$15="","",IF('page 2'!$O$15=Gestion!A3,1,0))</f>
        <v/>
      </c>
      <c r="O3" s="68" t="str">
        <f>IF('page 2'!$O$16="","",IF('page 2'!$O$16=Gestion!A3,1,0))</f>
        <v/>
      </c>
      <c r="P3" s="68" t="str">
        <f>IF('page 2'!$O$17="","",IF('page 2'!$O$17=Gestion!A3,1,0))</f>
        <v/>
      </c>
      <c r="Q3" s="68" t="str">
        <f>IF('page 2'!$O$18="","",IF('page 2'!$O$18=Gestion!A3,1,0))</f>
        <v/>
      </c>
      <c r="R3" s="68" t="str">
        <f>IF('page 2'!$O$19="","",IF('page 2'!$O$19=Gestion!A3,1,0))</f>
        <v/>
      </c>
      <c r="S3" s="68" t="str">
        <f>IF('page 2'!$O$20="","",IF('page 2'!$O$20=Gestion!A3,1,0))</f>
        <v/>
      </c>
      <c r="T3" s="68" t="str">
        <f>IF('page 2'!$O$25="","",IF('page 2'!$O$25=Gestion!A3,1,0))</f>
        <v/>
      </c>
      <c r="U3" s="68" t="str">
        <f>IF('page 2'!$O$26="","",IF('page 2'!$O$26=Gestion!A3,1,0))</f>
        <v/>
      </c>
      <c r="V3" s="68" t="str">
        <f>IF('page 2'!$O$27="","",IF('page 2'!$O$27=Gestion!A3,1,0))</f>
        <v/>
      </c>
      <c r="W3" s="722">
        <f>SUM(C3:V3)</f>
        <v>0</v>
      </c>
      <c r="X3" s="714" t="s">
        <v>2616</v>
      </c>
      <c r="Y3" s="68" t="str">
        <f>IF('page 2'!O4="","",'page 2'!O4)</f>
        <v/>
      </c>
      <c r="Z3" s="68" t="str">
        <f>IF(Y3="","",VLOOKUP(Y3,'page 2'!$O$4:$Q$27,3,FALSE))</f>
        <v/>
      </c>
      <c r="AA3" s="68" t="str">
        <f>IF(Y3="","",IF(OR(Y3="Rune",Y3="Rune Majeure",Y3="Science de la Magie",Y3="Tradition de Sorcières",Y3="Maîtrise",Y3="Inspiration Divine",Y3="Magie mineure",Y3="Magie vulgaire",Y3="Savoir-faire Nain",Y3="Sombre Savoir",Y3="Sort Supplémentaire",Y3="Magie commune",Y3="Affinité provinciale"),CONCATENATE(Y3," (",Z3,")"),Y3))</f>
        <v/>
      </c>
      <c r="AB3" s="68"/>
      <c r="AC3" s="68"/>
      <c r="AD3" s="68"/>
      <c r="AP3" s="130"/>
      <c r="AQ3" s="130"/>
      <c r="AR3" s="130"/>
      <c r="AS3" s="602"/>
      <c r="AT3" s="602"/>
      <c r="AU3" s="602"/>
      <c r="AV3" s="602"/>
      <c r="AW3" s="602"/>
      <c r="AX3" s="602"/>
      <c r="AY3" s="602"/>
      <c r="AZ3" s="1518" t="s">
        <v>3087</v>
      </c>
      <c r="BA3" s="1518"/>
      <c r="BB3" s="1518"/>
      <c r="BC3" s="1518" t="s">
        <v>3572</v>
      </c>
      <c r="BD3" s="1518"/>
      <c r="BE3" s="1518"/>
      <c r="BF3" s="1518"/>
      <c r="BG3" s="1518"/>
      <c r="BH3" s="1518"/>
      <c r="BI3" s="1518"/>
      <c r="BJ3" s="1518"/>
      <c r="BK3" s="1518"/>
      <c r="BL3" s="1518"/>
      <c r="BM3" s="1518"/>
      <c r="BN3" s="1518"/>
      <c r="BO3" s="1518"/>
      <c r="BP3" s="1518"/>
      <c r="BQ3" s="1518"/>
      <c r="BR3" s="1518"/>
      <c r="BS3" s="1518"/>
      <c r="BT3" s="1518"/>
      <c r="BU3" s="1518"/>
      <c r="BV3" s="1518"/>
      <c r="BW3" s="1518"/>
      <c r="BX3" s="1518"/>
      <c r="BY3" s="1518"/>
      <c r="BZ3" s="1518"/>
      <c r="CA3" s="699"/>
      <c r="CB3" s="699"/>
      <c r="CC3" s="1519" t="s">
        <v>3066</v>
      </c>
      <c r="CD3" s="1520"/>
      <c r="CE3" s="1520"/>
      <c r="CF3" s="1520"/>
      <c r="CG3" s="1520"/>
      <c r="CH3" s="1520"/>
      <c r="CI3" s="1521"/>
      <c r="CJ3" s="1519" t="s">
        <v>11809</v>
      </c>
      <c r="CK3" s="1520"/>
      <c r="CL3" s="1521"/>
      <c r="CM3" s="1519" t="s">
        <v>11255</v>
      </c>
      <c r="CN3" s="1520"/>
      <c r="CO3" s="1520"/>
      <c r="CP3" s="1521"/>
      <c r="CQ3" s="1519" t="s">
        <v>11608</v>
      </c>
      <c r="CR3" s="1520"/>
      <c r="CS3" s="1521"/>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row>
    <row r="4" spans="1:2169" s="63" customFormat="1">
      <c r="A4" s="68" t="s">
        <v>393</v>
      </c>
      <c r="B4" s="707" t="s">
        <v>14606</v>
      </c>
      <c r="C4" s="68" t="str">
        <f>IF('page 2'!$O$4="","",IF('page 2'!$O$4=Gestion!A4,1,0))</f>
        <v/>
      </c>
      <c r="D4" s="68" t="str">
        <f>IF('page 2'!$O$5="","",IF('page 2'!$O$5=Gestion!A4,1,0))</f>
        <v/>
      </c>
      <c r="E4" s="68" t="str">
        <f>IF('page 2'!$O$6="","",IF('page 2'!$O$6=Gestion!A4,1,0))</f>
        <v/>
      </c>
      <c r="F4" s="68" t="str">
        <f>IF('page 2'!$O$7="","",IF('page 2'!$O$7=Gestion!A4,1,0))</f>
        <v/>
      </c>
      <c r="G4" s="68" t="str">
        <f>IF('page 2'!$O$8="","",IF('page 2'!$O$8=Gestion!A4,1,0))</f>
        <v/>
      </c>
      <c r="H4" s="68" t="str">
        <f>IF('page 2'!$O$9="","",IF('page 2'!$O$9=Gestion!A4,1,0))</f>
        <v/>
      </c>
      <c r="I4" s="68" t="str">
        <f>IF('page 2'!$O$10="","",IF('page 2'!$O$10=Gestion!A4,1,0))</f>
        <v/>
      </c>
      <c r="J4" s="68" t="str">
        <f>IF('page 2'!$O$11="","",IF('page 2'!$O$11=Gestion!A4,1,0))</f>
        <v/>
      </c>
      <c r="K4" s="68" t="str">
        <f>IF('page 2'!$O$12="","",IF('page 2'!$O$12=Gestion!A4,1,0))</f>
        <v/>
      </c>
      <c r="L4" s="68" t="str">
        <f>IF('page 2'!$O$13="","",IF('page 2'!$O$13=Gestion!A4,1,0))</f>
        <v/>
      </c>
      <c r="M4" s="68" t="str">
        <f>IF('page 2'!$O$14="","",IF('page 2'!$O$14=Gestion!A4,1,0))</f>
        <v/>
      </c>
      <c r="N4" s="68" t="str">
        <f>IF('page 2'!$O$15="","",IF('page 2'!$O$15=Gestion!A4,1,0))</f>
        <v/>
      </c>
      <c r="O4" s="68" t="str">
        <f>IF('page 2'!$O$16="","",IF('page 2'!$O$16=Gestion!A4,1,0))</f>
        <v/>
      </c>
      <c r="P4" s="68" t="str">
        <f>IF('page 2'!$O$17="","",IF('page 2'!$O$17=Gestion!A4,1,0))</f>
        <v/>
      </c>
      <c r="Q4" s="68" t="str">
        <f>IF('page 2'!$O$18="","",IF('page 2'!$O$18=Gestion!A4,1,0))</f>
        <v/>
      </c>
      <c r="R4" s="68" t="str">
        <f>IF('page 2'!$O$19="","",IF('page 2'!$O$19=Gestion!A4,1,0))</f>
        <v/>
      </c>
      <c r="S4" s="68" t="str">
        <f>IF('page 2'!$O$20="","",IF('page 2'!$O$20=Gestion!A4,1,0))</f>
        <v/>
      </c>
      <c r="T4" s="68" t="str">
        <f>IF('page 2'!$O$25="","",IF('page 2'!$O$25=Gestion!A4,1,0))</f>
        <v/>
      </c>
      <c r="U4" s="68" t="str">
        <f>IF('page 2'!$O$26="","",IF('page 2'!$O$26=Gestion!A4,1,0))</f>
        <v/>
      </c>
      <c r="V4" s="68" t="str">
        <f>IF('page 2'!$O$27="","",IF('page 2'!$O$27=Gestion!A4,1,0))</f>
        <v/>
      </c>
      <c r="W4" s="722">
        <f t="shared" ref="W4:W79" si="0">SUM(C4:V4)</f>
        <v>0</v>
      </c>
      <c r="X4" s="714" t="s">
        <v>2617</v>
      </c>
      <c r="Y4" s="68" t="str">
        <f>IF('page 2'!O5="","",'page 2'!O5)</f>
        <v/>
      </c>
      <c r="Z4" s="68" t="str">
        <f>IF(Y4="","",VLOOKUP(Y4,'page 2'!$O$4:$Q$27,3,FALSE))</f>
        <v/>
      </c>
      <c r="AA4" s="68" t="str">
        <f t="shared" ref="AA4:AA26" si="1">IF(Y4="","",IF(OR(Y4="Rune",Y4="Rune Majeure",Y4="Science de la Magie",Y4="Tradition de Sorcières",Y4="Maîtrise",Y4="Inspiration Divine",Y4="Magie mineure",Y4="Magie vulgaire",Y4="Savoir-faire Nain",Y4="Sombre Savoir",Y4="Sort Supplémentaire",Y4="Magie commune",Y4="Affinité provinciale"),CONCATENATE(Y4," (",Z4,")"),Y4))</f>
        <v/>
      </c>
      <c r="AB4" s="68"/>
      <c r="AC4" s="68"/>
      <c r="AD4" s="68"/>
      <c r="AP4" s="130"/>
      <c r="AQ4" s="130"/>
      <c r="AR4" s="130"/>
      <c r="AS4" s="602">
        <f ca="1">RANDBETWEEN(1,10)</f>
        <v>5</v>
      </c>
      <c r="AT4" s="602" t="s">
        <v>2455</v>
      </c>
      <c r="AU4" s="602" t="s">
        <v>845</v>
      </c>
      <c r="AV4" s="602" t="s">
        <v>846</v>
      </c>
      <c r="AW4" s="537" t="s">
        <v>9462</v>
      </c>
      <c r="AX4" s="537" t="s">
        <v>10153</v>
      </c>
      <c r="AY4" s="602" t="s">
        <v>847</v>
      </c>
      <c r="AZ4" s="602" t="s">
        <v>5830</v>
      </c>
      <c r="BA4" s="602" t="s">
        <v>5831</v>
      </c>
      <c r="BB4" s="602" t="s">
        <v>5832</v>
      </c>
      <c r="BC4" s="891" t="s">
        <v>13231</v>
      </c>
      <c r="BD4" s="891" t="s">
        <v>13007</v>
      </c>
      <c r="BE4" s="891" t="s">
        <v>13232</v>
      </c>
      <c r="BF4" s="576" t="s">
        <v>13233</v>
      </c>
      <c r="BG4" s="602" t="s">
        <v>13237</v>
      </c>
      <c r="BH4" s="576" t="s">
        <v>13238</v>
      </c>
      <c r="BI4" s="576" t="s">
        <v>13240</v>
      </c>
      <c r="BJ4" s="576" t="s">
        <v>13241</v>
      </c>
      <c r="BK4" s="602" t="s">
        <v>13242</v>
      </c>
      <c r="BL4" s="602" t="s">
        <v>13243</v>
      </c>
      <c r="BM4" s="602" t="s">
        <v>13244</v>
      </c>
      <c r="BN4" s="537" t="s">
        <v>13245</v>
      </c>
      <c r="BO4" s="602" t="s">
        <v>13246</v>
      </c>
      <c r="BP4" s="602" t="s">
        <v>13247</v>
      </c>
      <c r="BQ4" s="537" t="s">
        <v>13250</v>
      </c>
      <c r="BR4" s="602" t="s">
        <v>13248</v>
      </c>
      <c r="BS4" s="537" t="s">
        <v>9454</v>
      </c>
      <c r="BT4" s="537" t="s">
        <v>9455</v>
      </c>
      <c r="BU4" s="537" t="s">
        <v>9283</v>
      </c>
      <c r="BV4" s="537" t="s">
        <v>9456</v>
      </c>
      <c r="BW4" s="576" t="s">
        <v>13234</v>
      </c>
      <c r="BX4" s="537" t="s">
        <v>13235</v>
      </c>
      <c r="BY4" s="576" t="s">
        <v>13236</v>
      </c>
      <c r="BZ4" s="537" t="s">
        <v>9457</v>
      </c>
      <c r="CA4" s="576" t="s">
        <v>13239</v>
      </c>
      <c r="CB4" s="576" t="s">
        <v>13230</v>
      </c>
      <c r="CC4" s="864" t="s">
        <v>9465</v>
      </c>
      <c r="CD4" s="537" t="s">
        <v>9466</v>
      </c>
      <c r="CE4" s="537" t="s">
        <v>9964</v>
      </c>
      <c r="CF4" s="537" t="s">
        <v>9467</v>
      </c>
      <c r="CG4" s="537" t="s">
        <v>9468</v>
      </c>
      <c r="CH4" s="537" t="s">
        <v>9469</v>
      </c>
      <c r="CI4" s="537" t="s">
        <v>7488</v>
      </c>
      <c r="CJ4" s="892" t="s">
        <v>9481</v>
      </c>
      <c r="CK4" s="537" t="s">
        <v>11807</v>
      </c>
      <c r="CL4" s="537" t="s">
        <v>11808</v>
      </c>
      <c r="CM4" s="892" t="s">
        <v>11505</v>
      </c>
      <c r="CN4" s="537" t="s">
        <v>16638</v>
      </c>
      <c r="CO4" s="537" t="s">
        <v>16637</v>
      </c>
      <c r="CP4" s="537" t="s">
        <v>16639</v>
      </c>
      <c r="CQ4" s="892" t="s">
        <v>11601</v>
      </c>
      <c r="CR4" s="892" t="s">
        <v>11602</v>
      </c>
      <c r="CS4" s="537" t="s">
        <v>11603</v>
      </c>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row>
    <row r="5" spans="1:2169" s="63" customFormat="1">
      <c r="A5" s="578" t="s">
        <v>14603</v>
      </c>
      <c r="B5" s="707" t="s">
        <v>14613</v>
      </c>
      <c r="C5" s="68" t="str">
        <f>IF('page 2'!$O$4="","",IF('page 2'!$O$4=Gestion!A5,1,0))</f>
        <v/>
      </c>
      <c r="D5" s="68" t="str">
        <f>IF('page 2'!$O$5="","",IF('page 2'!$O$5=Gestion!A5,1,0))</f>
        <v/>
      </c>
      <c r="E5" s="68" t="str">
        <f>IF('page 2'!$O$6="","",IF('page 2'!$O$6=Gestion!A5,1,0))</f>
        <v/>
      </c>
      <c r="F5" s="68" t="str">
        <f>IF('page 2'!$O$7="","",IF('page 2'!$O$7=Gestion!A5,1,0))</f>
        <v/>
      </c>
      <c r="G5" s="68" t="str">
        <f>IF('page 2'!$O$8="","",IF('page 2'!$O$8=Gestion!A5,1,0))</f>
        <v/>
      </c>
      <c r="H5" s="68" t="str">
        <f>IF('page 2'!$O$9="","",IF('page 2'!$O$9=Gestion!A5,1,0))</f>
        <v/>
      </c>
      <c r="I5" s="68" t="str">
        <f>IF('page 2'!$O$10="","",IF('page 2'!$O$10=Gestion!A5,1,0))</f>
        <v/>
      </c>
      <c r="J5" s="68" t="str">
        <f>IF('page 2'!$O$11="","",IF('page 2'!$O$11=Gestion!A5,1,0))</f>
        <v/>
      </c>
      <c r="K5" s="68" t="str">
        <f>IF('page 2'!$O$12="","",IF('page 2'!$O$12=Gestion!A5,1,0))</f>
        <v/>
      </c>
      <c r="L5" s="68" t="str">
        <f>IF('page 2'!$O$13="","",IF('page 2'!$O$13=Gestion!A5,1,0))</f>
        <v/>
      </c>
      <c r="M5" s="68" t="str">
        <f>IF('page 2'!$O$14="","",IF('page 2'!$O$14=Gestion!A5,1,0))</f>
        <v/>
      </c>
      <c r="N5" s="68" t="str">
        <f>IF('page 2'!$O$15="","",IF('page 2'!$O$15=Gestion!A5,1,0))</f>
        <v/>
      </c>
      <c r="O5" s="68" t="str">
        <f>IF('page 2'!$O$16="","",IF('page 2'!$O$16=Gestion!A5,1,0))</f>
        <v/>
      </c>
      <c r="P5" s="68" t="str">
        <f>IF('page 2'!$O$17="","",IF('page 2'!$O$17=Gestion!A5,1,0))</f>
        <v/>
      </c>
      <c r="Q5" s="68" t="str">
        <f>IF('page 2'!$O$18="","",IF('page 2'!$O$18=Gestion!A5,1,0))</f>
        <v/>
      </c>
      <c r="R5" s="68" t="str">
        <f>IF('page 2'!$O$19="","",IF('page 2'!$O$19=Gestion!A5,1,0))</f>
        <v/>
      </c>
      <c r="S5" s="68" t="str">
        <f>IF('page 2'!$O$20="","",IF('page 2'!$O$20=Gestion!A5,1,0))</f>
        <v/>
      </c>
      <c r="T5" s="68" t="str">
        <f>IF('page 2'!$O$25="","",IF('page 2'!$O$25=Gestion!A5,1,0))</f>
        <v/>
      </c>
      <c r="U5" s="68" t="str">
        <f>IF('page 2'!$O$26="","",IF('page 2'!$O$26=Gestion!A5,1,0))</f>
        <v/>
      </c>
      <c r="V5" s="68" t="str">
        <f>IF('page 2'!$O$27="","",IF('page 2'!$O$27=Gestion!A5,1,0))</f>
        <v/>
      </c>
      <c r="W5" s="722">
        <f t="shared" ref="W5:W7" si="2">SUM(C5:V5)</f>
        <v>0</v>
      </c>
      <c r="X5" s="714" t="s">
        <v>2618</v>
      </c>
      <c r="Y5" s="68" t="str">
        <f>IF('page 2'!O6="","",'page 2'!O6)</f>
        <v/>
      </c>
      <c r="Z5" s="68" t="str">
        <f>IF(Y5="","",VLOOKUP(Y5,'page 2'!$O$4:$Q$27,3,FALSE))</f>
        <v/>
      </c>
      <c r="AA5" s="68" t="str">
        <f t="shared" si="1"/>
        <v/>
      </c>
      <c r="AB5" s="435"/>
      <c r="AC5" s="435"/>
      <c r="AD5" s="435"/>
      <c r="AP5" s="469"/>
      <c r="AQ5" s="469"/>
      <c r="AR5" s="469"/>
      <c r="AS5" s="893" t="s">
        <v>5793</v>
      </c>
      <c r="AT5" s="602">
        <v>9</v>
      </c>
      <c r="AU5" s="602">
        <v>8</v>
      </c>
      <c r="AV5" s="602">
        <v>10</v>
      </c>
      <c r="AW5" s="602">
        <v>11</v>
      </c>
      <c r="AX5" s="602">
        <v>16</v>
      </c>
      <c r="AY5" s="602">
        <v>11</v>
      </c>
      <c r="AZ5" s="602">
        <v>9</v>
      </c>
      <c r="BA5" s="602">
        <v>11</v>
      </c>
      <c r="BB5" s="602">
        <v>8</v>
      </c>
      <c r="BC5" s="602">
        <v>11</v>
      </c>
      <c r="BD5" s="602">
        <v>8</v>
      </c>
      <c r="BE5" s="602">
        <v>11</v>
      </c>
      <c r="BF5" s="602">
        <v>13</v>
      </c>
      <c r="BG5" s="602">
        <v>13</v>
      </c>
      <c r="BH5" s="602">
        <v>10</v>
      </c>
      <c r="BI5" s="602">
        <v>14</v>
      </c>
      <c r="BJ5" s="602">
        <v>14</v>
      </c>
      <c r="BK5" s="602">
        <v>11</v>
      </c>
      <c r="BL5" s="602">
        <v>9</v>
      </c>
      <c r="BM5" s="602">
        <v>8</v>
      </c>
      <c r="BN5" s="602">
        <v>13</v>
      </c>
      <c r="BO5" s="602">
        <v>10</v>
      </c>
      <c r="BP5" s="602">
        <v>12</v>
      </c>
      <c r="BQ5" s="602">
        <v>10</v>
      </c>
      <c r="BR5" s="602">
        <v>14</v>
      </c>
      <c r="BS5" s="602">
        <v>9</v>
      </c>
      <c r="BT5" s="602">
        <v>9</v>
      </c>
      <c r="BU5" s="602">
        <v>12</v>
      </c>
      <c r="BV5" s="602">
        <v>28</v>
      </c>
      <c r="BW5" s="602">
        <v>32</v>
      </c>
      <c r="BX5" s="602">
        <v>36</v>
      </c>
      <c r="BY5" s="602">
        <v>32</v>
      </c>
      <c r="BZ5" s="602">
        <v>12</v>
      </c>
      <c r="CA5" s="602">
        <v>10</v>
      </c>
      <c r="CB5" s="602">
        <v>14</v>
      </c>
      <c r="CC5" s="178">
        <v>18</v>
      </c>
      <c r="CD5" s="602">
        <v>16</v>
      </c>
      <c r="CE5" s="602">
        <v>18</v>
      </c>
      <c r="CF5" s="602">
        <v>18</v>
      </c>
      <c r="CG5" s="602">
        <v>20</v>
      </c>
      <c r="CH5" s="602">
        <v>18</v>
      </c>
      <c r="CI5" s="602">
        <v>18</v>
      </c>
      <c r="CJ5" s="178">
        <v>11</v>
      </c>
      <c r="CK5" s="537">
        <v>8</v>
      </c>
      <c r="CL5" s="537">
        <v>10</v>
      </c>
      <c r="CM5" s="576">
        <v>22</v>
      </c>
      <c r="CN5" s="602">
        <v>20</v>
      </c>
      <c r="CO5" s="602">
        <v>8</v>
      </c>
      <c r="CP5" s="602">
        <v>28</v>
      </c>
      <c r="CQ5" s="576">
        <v>40</v>
      </c>
      <c r="CR5" s="576">
        <v>20</v>
      </c>
      <c r="CS5" s="602">
        <v>26</v>
      </c>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row>
    <row r="6" spans="1:2169" s="63" customFormat="1">
      <c r="A6" s="578" t="s">
        <v>14604</v>
      </c>
      <c r="B6" s="707" t="s">
        <v>14612</v>
      </c>
      <c r="C6" s="68" t="str">
        <f>IF('page 2'!$O$4="","",IF('page 2'!$O$4=Gestion!A6,1,0))</f>
        <v/>
      </c>
      <c r="D6" s="68" t="str">
        <f>IF('page 2'!$O$5="","",IF('page 2'!$O$5=Gestion!A6,1,0))</f>
        <v/>
      </c>
      <c r="E6" s="68" t="str">
        <f>IF('page 2'!$O$6="","",IF('page 2'!$O$6=Gestion!A6,1,0))</f>
        <v/>
      </c>
      <c r="F6" s="68" t="str">
        <f>IF('page 2'!$O$7="","",IF('page 2'!$O$7=Gestion!A6,1,0))</f>
        <v/>
      </c>
      <c r="G6" s="68" t="str">
        <f>IF('page 2'!$O$8="","",IF('page 2'!$O$8=Gestion!A6,1,0))</f>
        <v/>
      </c>
      <c r="H6" s="68" t="str">
        <f>IF('page 2'!$O$9="","",IF('page 2'!$O$9=Gestion!A6,1,0))</f>
        <v/>
      </c>
      <c r="I6" s="68" t="str">
        <f>IF('page 2'!$O$10="","",IF('page 2'!$O$10=Gestion!A6,1,0))</f>
        <v/>
      </c>
      <c r="J6" s="68" t="str">
        <f>IF('page 2'!$O$11="","",IF('page 2'!$O$11=Gestion!A6,1,0))</f>
        <v/>
      </c>
      <c r="K6" s="68" t="str">
        <f>IF('page 2'!$O$12="","",IF('page 2'!$O$12=Gestion!A6,1,0))</f>
        <v/>
      </c>
      <c r="L6" s="68" t="str">
        <f>IF('page 2'!$O$13="","",IF('page 2'!$O$13=Gestion!A6,1,0))</f>
        <v/>
      </c>
      <c r="M6" s="68" t="str">
        <f>IF('page 2'!$O$14="","",IF('page 2'!$O$14=Gestion!A6,1,0))</f>
        <v/>
      </c>
      <c r="N6" s="68" t="str">
        <f>IF('page 2'!$O$15="","",IF('page 2'!$O$15=Gestion!A6,1,0))</f>
        <v/>
      </c>
      <c r="O6" s="68" t="str">
        <f>IF('page 2'!$O$16="","",IF('page 2'!$O$16=Gestion!A6,1,0))</f>
        <v/>
      </c>
      <c r="P6" s="68" t="str">
        <f>IF('page 2'!$O$17="","",IF('page 2'!$O$17=Gestion!A6,1,0))</f>
        <v/>
      </c>
      <c r="Q6" s="68" t="str">
        <f>IF('page 2'!$O$18="","",IF('page 2'!$O$18=Gestion!A6,1,0))</f>
        <v/>
      </c>
      <c r="R6" s="68" t="str">
        <f>IF('page 2'!$O$19="","",IF('page 2'!$O$19=Gestion!A6,1,0))</f>
        <v/>
      </c>
      <c r="S6" s="68" t="str">
        <f>IF('page 2'!$O$20="","",IF('page 2'!$O$20=Gestion!A6,1,0))</f>
        <v/>
      </c>
      <c r="T6" s="68" t="str">
        <f>IF('page 2'!$O$25="","",IF('page 2'!$O$25=Gestion!A6,1,0))</f>
        <v/>
      </c>
      <c r="U6" s="68" t="str">
        <f>IF('page 2'!$O$26="","",IF('page 2'!$O$26=Gestion!A6,1,0))</f>
        <v/>
      </c>
      <c r="V6" s="68" t="str">
        <f>IF('page 2'!$O$27="","",IF('page 2'!$O$27=Gestion!A6,1,0))</f>
        <v/>
      </c>
      <c r="W6" s="722">
        <f t="shared" si="2"/>
        <v>0</v>
      </c>
      <c r="X6" s="714" t="s">
        <v>2619</v>
      </c>
      <c r="Y6" s="68" t="str">
        <f>IF('page 2'!O7="","",'page 2'!O7)</f>
        <v/>
      </c>
      <c r="Z6" s="68" t="str">
        <f>IF(Y6="","",VLOOKUP(Y6,'page 2'!$O$4:$Q$27,3,FALSE))</f>
        <v/>
      </c>
      <c r="AA6" s="68" t="str">
        <f t="shared" si="1"/>
        <v/>
      </c>
      <c r="AB6" s="435"/>
      <c r="AC6" s="435"/>
      <c r="AD6" s="435"/>
      <c r="AP6" s="469"/>
      <c r="AQ6" s="469"/>
      <c r="AR6" s="469"/>
      <c r="AS6" s="894" t="s">
        <v>5824</v>
      </c>
      <c r="AT6" s="602">
        <v>10</v>
      </c>
      <c r="AU6" s="602">
        <v>9</v>
      </c>
      <c r="AV6" s="602">
        <v>11</v>
      </c>
      <c r="AW6" s="602">
        <v>12</v>
      </c>
      <c r="AX6" s="602">
        <v>18</v>
      </c>
      <c r="AY6" s="602">
        <v>12</v>
      </c>
      <c r="AZ6" s="602">
        <v>10</v>
      </c>
      <c r="BA6" s="602">
        <v>12</v>
      </c>
      <c r="BB6" s="602">
        <v>9</v>
      </c>
      <c r="BC6" s="602">
        <v>12</v>
      </c>
      <c r="BD6" s="602">
        <v>9</v>
      </c>
      <c r="BE6" s="602">
        <v>12</v>
      </c>
      <c r="BF6" s="602">
        <v>14</v>
      </c>
      <c r="BG6" s="602">
        <v>14</v>
      </c>
      <c r="BH6" s="602">
        <v>11</v>
      </c>
      <c r="BI6" s="602">
        <v>15</v>
      </c>
      <c r="BJ6" s="602">
        <v>15</v>
      </c>
      <c r="BK6" s="602">
        <v>12</v>
      </c>
      <c r="BL6" s="602">
        <v>10</v>
      </c>
      <c r="BM6" s="602">
        <v>9</v>
      </c>
      <c r="BN6" s="602">
        <v>14</v>
      </c>
      <c r="BO6" s="602">
        <v>11</v>
      </c>
      <c r="BP6" s="602">
        <v>13</v>
      </c>
      <c r="BQ6" s="602">
        <v>11</v>
      </c>
      <c r="BR6" s="602">
        <v>15</v>
      </c>
      <c r="BS6" s="602">
        <v>10</v>
      </c>
      <c r="BT6" s="602">
        <v>10</v>
      </c>
      <c r="BU6" s="602">
        <v>13</v>
      </c>
      <c r="BV6" s="602">
        <v>32</v>
      </c>
      <c r="BW6" s="602">
        <v>36</v>
      </c>
      <c r="BX6" s="602">
        <v>38</v>
      </c>
      <c r="BY6" s="602">
        <v>36</v>
      </c>
      <c r="BZ6" s="602">
        <v>14</v>
      </c>
      <c r="CA6" s="602">
        <v>12</v>
      </c>
      <c r="CB6" s="602">
        <v>16</v>
      </c>
      <c r="CC6" s="178">
        <v>22</v>
      </c>
      <c r="CD6" s="602">
        <v>20</v>
      </c>
      <c r="CE6" s="602">
        <v>20</v>
      </c>
      <c r="CF6" s="602">
        <v>20</v>
      </c>
      <c r="CG6" s="602">
        <v>24</v>
      </c>
      <c r="CH6" s="602">
        <v>21</v>
      </c>
      <c r="CI6" s="602">
        <v>20</v>
      </c>
      <c r="CJ6" s="178">
        <v>12</v>
      </c>
      <c r="CK6" s="537">
        <v>9</v>
      </c>
      <c r="CL6" s="537">
        <v>11</v>
      </c>
      <c r="CM6" s="576">
        <v>26</v>
      </c>
      <c r="CN6" s="602">
        <v>24</v>
      </c>
      <c r="CO6" s="602">
        <v>9</v>
      </c>
      <c r="CP6" s="602">
        <v>32</v>
      </c>
      <c r="CQ6" s="576">
        <v>48</v>
      </c>
      <c r="CR6" s="576">
        <v>24</v>
      </c>
      <c r="CS6" s="602">
        <v>32</v>
      </c>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row>
    <row r="7" spans="1:2169" s="63" customFormat="1">
      <c r="A7" s="578" t="s">
        <v>16201</v>
      </c>
      <c r="B7" s="707" t="s">
        <v>14607</v>
      </c>
      <c r="C7" s="68" t="str">
        <f>IF('page 2'!$O$4="","",IF('page 2'!$O$4=Gestion!A7,1,0))</f>
        <v/>
      </c>
      <c r="D7" s="68" t="str">
        <f>IF('page 2'!$O$5="","",IF('page 2'!$O$5=Gestion!A7,1,0))</f>
        <v/>
      </c>
      <c r="E7" s="68" t="str">
        <f>IF('page 2'!$O$6="","",IF('page 2'!$O$6=Gestion!A7,1,0))</f>
        <v/>
      </c>
      <c r="F7" s="68" t="str">
        <f>IF('page 2'!$O$7="","",IF('page 2'!$O$7=Gestion!A7,1,0))</f>
        <v/>
      </c>
      <c r="G7" s="68" t="str">
        <f>IF('page 2'!$O$8="","",IF('page 2'!$O$8=Gestion!A7,1,0))</f>
        <v/>
      </c>
      <c r="H7" s="68" t="str">
        <f>IF('page 2'!$O$9="","",IF('page 2'!$O$9=Gestion!A7,1,0))</f>
        <v/>
      </c>
      <c r="I7" s="68" t="str">
        <f>IF('page 2'!$O$10="","",IF('page 2'!$O$10=Gestion!A7,1,0))</f>
        <v/>
      </c>
      <c r="J7" s="68" t="str">
        <f>IF('page 2'!$O$11="","",IF('page 2'!$O$11=Gestion!A7,1,0))</f>
        <v/>
      </c>
      <c r="K7" s="68" t="str">
        <f>IF('page 2'!$O$12="","",IF('page 2'!$O$12=Gestion!A7,1,0))</f>
        <v/>
      </c>
      <c r="L7" s="68" t="str">
        <f>IF('page 2'!$O$13="","",IF('page 2'!$O$13=Gestion!A7,1,0))</f>
        <v/>
      </c>
      <c r="M7" s="68" t="str">
        <f>IF('page 2'!$O$14="","",IF('page 2'!$O$14=Gestion!A7,1,0))</f>
        <v/>
      </c>
      <c r="N7" s="68" t="str">
        <f>IF('page 2'!$O$15="","",IF('page 2'!$O$15=Gestion!A7,1,0))</f>
        <v/>
      </c>
      <c r="O7" s="68" t="str">
        <f>IF('page 2'!$O$16="","",IF('page 2'!$O$16=Gestion!A7,1,0))</f>
        <v/>
      </c>
      <c r="P7" s="68" t="str">
        <f>IF('page 2'!$O$17="","",IF('page 2'!$O$17=Gestion!A7,1,0))</f>
        <v/>
      </c>
      <c r="Q7" s="68" t="str">
        <f>IF('page 2'!$O$18="","",IF('page 2'!$O$18=Gestion!A7,1,0))</f>
        <v/>
      </c>
      <c r="R7" s="68" t="str">
        <f>IF('page 2'!$O$19="","",IF('page 2'!$O$19=Gestion!A7,1,0))</f>
        <v/>
      </c>
      <c r="S7" s="68" t="str">
        <f>IF('page 2'!$O$20="","",IF('page 2'!$O$20=Gestion!A7,1,0))</f>
        <v/>
      </c>
      <c r="T7" s="68" t="str">
        <f>IF('page 2'!$O$25="","",IF('page 2'!$O$25=Gestion!A7,1,0))</f>
        <v/>
      </c>
      <c r="U7" s="68" t="str">
        <f>IF('page 2'!$O$26="","",IF('page 2'!$O$26=Gestion!A7,1,0))</f>
        <v/>
      </c>
      <c r="V7" s="68" t="str">
        <f>IF('page 2'!$O$27="","",IF('page 2'!$O$27=Gestion!A7,1,0))</f>
        <v/>
      </c>
      <c r="W7" s="722">
        <f t="shared" si="2"/>
        <v>0</v>
      </c>
      <c r="X7" s="714" t="s">
        <v>2620</v>
      </c>
      <c r="Y7" s="68" t="str">
        <f>IF('page 2'!O8="","",'page 2'!O8)</f>
        <v/>
      </c>
      <c r="Z7" s="68" t="str">
        <f>IF(Y7="","",VLOOKUP(Y7,'page 2'!$O$4:$Q$27,3,FALSE))</f>
        <v/>
      </c>
      <c r="AA7" s="68" t="str">
        <f t="shared" si="1"/>
        <v/>
      </c>
      <c r="AB7" s="435"/>
      <c r="AC7" s="435"/>
      <c r="AD7" s="435"/>
      <c r="AP7" s="469"/>
      <c r="AQ7" s="469"/>
      <c r="AR7" s="469"/>
      <c r="AS7" s="894" t="s">
        <v>5825</v>
      </c>
      <c r="AT7" s="602">
        <v>11</v>
      </c>
      <c r="AU7" s="602">
        <v>10</v>
      </c>
      <c r="AV7" s="602">
        <v>12</v>
      </c>
      <c r="AW7" s="602">
        <v>13</v>
      </c>
      <c r="AX7" s="602">
        <v>20</v>
      </c>
      <c r="AY7" s="602">
        <v>13</v>
      </c>
      <c r="AZ7" s="602">
        <v>11</v>
      </c>
      <c r="BA7" s="602">
        <v>13</v>
      </c>
      <c r="BB7" s="602">
        <v>10</v>
      </c>
      <c r="BC7" s="602">
        <v>13</v>
      </c>
      <c r="BD7" s="602">
        <v>10</v>
      </c>
      <c r="BE7" s="602">
        <v>13</v>
      </c>
      <c r="BF7" s="602">
        <v>15</v>
      </c>
      <c r="BG7" s="602">
        <v>15</v>
      </c>
      <c r="BH7" s="602">
        <v>12</v>
      </c>
      <c r="BI7" s="602">
        <v>16</v>
      </c>
      <c r="BJ7" s="602">
        <v>16</v>
      </c>
      <c r="BK7" s="602">
        <v>13</v>
      </c>
      <c r="BL7" s="602">
        <v>11</v>
      </c>
      <c r="BM7" s="602">
        <v>10</v>
      </c>
      <c r="BN7" s="602">
        <v>15</v>
      </c>
      <c r="BO7" s="602">
        <v>12</v>
      </c>
      <c r="BP7" s="602">
        <v>14</v>
      </c>
      <c r="BQ7" s="602">
        <v>12</v>
      </c>
      <c r="BR7" s="602">
        <v>16</v>
      </c>
      <c r="BS7" s="602">
        <v>11</v>
      </c>
      <c r="BT7" s="602">
        <v>11</v>
      </c>
      <c r="BU7" s="602">
        <v>14</v>
      </c>
      <c r="BV7" s="602">
        <v>36</v>
      </c>
      <c r="BW7" s="602">
        <v>38</v>
      </c>
      <c r="BX7" s="99">
        <v>42</v>
      </c>
      <c r="BY7" s="602">
        <v>38</v>
      </c>
      <c r="BZ7" s="602">
        <v>16</v>
      </c>
      <c r="CA7" s="602">
        <v>14</v>
      </c>
      <c r="CB7" s="602">
        <v>18</v>
      </c>
      <c r="CC7" s="178">
        <v>26</v>
      </c>
      <c r="CD7" s="602">
        <v>24</v>
      </c>
      <c r="CE7" s="602">
        <v>22</v>
      </c>
      <c r="CF7" s="602">
        <v>22</v>
      </c>
      <c r="CG7" s="602">
        <v>28</v>
      </c>
      <c r="CH7" s="602">
        <v>26</v>
      </c>
      <c r="CI7" s="602">
        <v>22</v>
      </c>
      <c r="CJ7" s="178">
        <v>13</v>
      </c>
      <c r="CK7" s="537">
        <v>10</v>
      </c>
      <c r="CL7" s="537">
        <v>12</v>
      </c>
      <c r="CM7" s="576">
        <v>30</v>
      </c>
      <c r="CN7" s="602">
        <v>28</v>
      </c>
      <c r="CO7" s="602">
        <v>10</v>
      </c>
      <c r="CP7" s="602">
        <v>36</v>
      </c>
      <c r="CQ7" s="576">
        <v>56</v>
      </c>
      <c r="CR7" s="576">
        <v>28</v>
      </c>
      <c r="CS7" s="602">
        <v>38</v>
      </c>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row>
    <row r="8" spans="1:2169" s="63" customFormat="1">
      <c r="A8" s="68" t="s">
        <v>394</v>
      </c>
      <c r="B8" s="707" t="s">
        <v>14601</v>
      </c>
      <c r="C8" s="68" t="str">
        <f>IF('page 2'!$O$4="","",IF('page 2'!$O$4=Gestion!A8,1,0))</f>
        <v/>
      </c>
      <c r="D8" s="68" t="str">
        <f>IF('page 2'!$O$5="","",IF('page 2'!$O$5=Gestion!A8,1,0))</f>
        <v/>
      </c>
      <c r="E8" s="68" t="str">
        <f>IF('page 2'!$O$6="","",IF('page 2'!$O$6=Gestion!A8,1,0))</f>
        <v/>
      </c>
      <c r="F8" s="68" t="str">
        <f>IF('page 2'!$O$7="","",IF('page 2'!$O$7=Gestion!A8,1,0))</f>
        <v/>
      </c>
      <c r="G8" s="68" t="str">
        <f>IF('page 2'!$O$8="","",IF('page 2'!$O$8=Gestion!A8,1,0))</f>
        <v/>
      </c>
      <c r="H8" s="68" t="str">
        <f>IF('page 2'!$O$9="","",IF('page 2'!$O$9=Gestion!A8,1,0))</f>
        <v/>
      </c>
      <c r="I8" s="68" t="str">
        <f>IF('page 2'!$O$10="","",IF('page 2'!$O$10=Gestion!A8,1,0))</f>
        <v/>
      </c>
      <c r="J8" s="68" t="str">
        <f>IF('page 2'!$O$11="","",IF('page 2'!$O$11=Gestion!A8,1,0))</f>
        <v/>
      </c>
      <c r="K8" s="68" t="str">
        <f>IF('page 2'!$O$12="","",IF('page 2'!$O$12=Gestion!A8,1,0))</f>
        <v/>
      </c>
      <c r="L8" s="68" t="str">
        <f>IF('page 2'!$O$13="","",IF('page 2'!$O$13=Gestion!A8,1,0))</f>
        <v/>
      </c>
      <c r="M8" s="68" t="str">
        <f>IF('page 2'!$O$14="","",IF('page 2'!$O$14=Gestion!A8,1,0))</f>
        <v/>
      </c>
      <c r="N8" s="68" t="str">
        <f>IF('page 2'!$O$15="","",IF('page 2'!$O$15=Gestion!A8,1,0))</f>
        <v/>
      </c>
      <c r="O8" s="68" t="str">
        <f>IF('page 2'!$O$16="","",IF('page 2'!$O$16=Gestion!A8,1,0))</f>
        <v/>
      </c>
      <c r="P8" s="68" t="str">
        <f>IF('page 2'!$O$17="","",IF('page 2'!$O$17=Gestion!A8,1,0))</f>
        <v/>
      </c>
      <c r="Q8" s="68" t="str">
        <f>IF('page 2'!$O$18="","",IF('page 2'!$O$18=Gestion!A8,1,0))</f>
        <v/>
      </c>
      <c r="R8" s="68" t="str">
        <f>IF('page 2'!$O$19="","",IF('page 2'!$O$19=Gestion!A8,1,0))</f>
        <v/>
      </c>
      <c r="S8" s="68" t="str">
        <f>IF('page 2'!$O$20="","",IF('page 2'!$O$20=Gestion!A8,1,0))</f>
        <v/>
      </c>
      <c r="T8" s="68" t="str">
        <f>IF('page 2'!$O$25="","",IF('page 2'!$O$25=Gestion!A8,1,0))</f>
        <v/>
      </c>
      <c r="U8" s="68" t="str">
        <f>IF('page 2'!$O$26="","",IF('page 2'!$O$26=Gestion!A8,1,0))</f>
        <v/>
      </c>
      <c r="V8" s="68" t="str">
        <f>IF('page 2'!$O$27="","",IF('page 2'!$O$27=Gestion!A8,1,0))</f>
        <v/>
      </c>
      <c r="W8" s="722">
        <f t="shared" si="0"/>
        <v>0</v>
      </c>
      <c r="X8" s="714" t="s">
        <v>2621</v>
      </c>
      <c r="Y8" s="68" t="str">
        <f>IF('page 2'!O9="","",'page 2'!O9)</f>
        <v/>
      </c>
      <c r="Z8" s="68" t="str">
        <f>IF(Y8="","",VLOOKUP(Y8,'page 2'!$O$4:$Q$27,3,FALSE))</f>
        <v/>
      </c>
      <c r="AA8" s="68" t="str">
        <f t="shared" si="1"/>
        <v/>
      </c>
      <c r="AB8" s="68"/>
      <c r="AC8" s="68"/>
      <c r="AD8" s="68"/>
      <c r="AP8" s="130"/>
      <c r="AQ8" s="130"/>
      <c r="AR8" s="130"/>
      <c r="AS8" s="602">
        <v>10</v>
      </c>
      <c r="AT8" s="602">
        <v>12</v>
      </c>
      <c r="AU8" s="602">
        <v>11</v>
      </c>
      <c r="AV8" s="602">
        <v>13</v>
      </c>
      <c r="AW8" s="602">
        <v>14</v>
      </c>
      <c r="AX8" s="602">
        <v>22</v>
      </c>
      <c r="AY8" s="602">
        <v>14</v>
      </c>
      <c r="AZ8" s="602">
        <v>12</v>
      </c>
      <c r="BA8" s="602">
        <v>14</v>
      </c>
      <c r="BB8" s="602">
        <v>11</v>
      </c>
      <c r="BC8" s="602">
        <v>14</v>
      </c>
      <c r="BD8" s="602">
        <v>11</v>
      </c>
      <c r="BE8" s="602">
        <v>14</v>
      </c>
      <c r="BF8" s="602">
        <v>16</v>
      </c>
      <c r="BG8" s="602">
        <v>16</v>
      </c>
      <c r="BH8" s="602">
        <v>13</v>
      </c>
      <c r="BI8" s="602">
        <v>17</v>
      </c>
      <c r="BJ8" s="602">
        <v>17</v>
      </c>
      <c r="BK8" s="602">
        <v>14</v>
      </c>
      <c r="BL8" s="602">
        <v>12</v>
      </c>
      <c r="BM8" s="602">
        <v>11</v>
      </c>
      <c r="BN8" s="602">
        <v>16</v>
      </c>
      <c r="BO8" s="602">
        <v>13</v>
      </c>
      <c r="BP8" s="602">
        <v>15</v>
      </c>
      <c r="BQ8" s="602">
        <v>13</v>
      </c>
      <c r="BR8" s="602">
        <v>17</v>
      </c>
      <c r="BS8" s="602">
        <v>12</v>
      </c>
      <c r="BT8" s="602">
        <v>12</v>
      </c>
      <c r="BU8" s="602">
        <v>15</v>
      </c>
      <c r="BV8" s="602">
        <v>38</v>
      </c>
      <c r="BW8" s="99">
        <v>42</v>
      </c>
      <c r="BX8" s="602">
        <v>46</v>
      </c>
      <c r="BY8" s="99">
        <v>42</v>
      </c>
      <c r="BZ8" s="602">
        <v>18</v>
      </c>
      <c r="CA8" s="602">
        <v>16</v>
      </c>
      <c r="CB8" s="602">
        <v>20</v>
      </c>
      <c r="CC8" s="178">
        <v>30</v>
      </c>
      <c r="CD8" s="602">
        <v>28</v>
      </c>
      <c r="CE8" s="602">
        <v>24</v>
      </c>
      <c r="CF8" s="602">
        <v>24</v>
      </c>
      <c r="CG8" s="602">
        <v>32</v>
      </c>
      <c r="CH8" s="602">
        <v>31</v>
      </c>
      <c r="CI8" s="602">
        <v>24</v>
      </c>
      <c r="CJ8" s="178">
        <v>14</v>
      </c>
      <c r="CK8" s="537">
        <v>11</v>
      </c>
      <c r="CL8" s="537">
        <v>13</v>
      </c>
      <c r="CM8" s="576">
        <v>34</v>
      </c>
      <c r="CN8" s="602">
        <v>32</v>
      </c>
      <c r="CO8" s="602">
        <v>11</v>
      </c>
      <c r="CP8" s="602">
        <v>38</v>
      </c>
      <c r="CQ8" s="576">
        <v>64</v>
      </c>
      <c r="CR8" s="576">
        <v>32</v>
      </c>
      <c r="CS8" s="602">
        <v>42</v>
      </c>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row>
    <row r="9" spans="1:2169" s="63" customFormat="1">
      <c r="A9" s="68" t="s">
        <v>395</v>
      </c>
      <c r="B9" s="71" t="s">
        <v>58</v>
      </c>
      <c r="C9" s="68" t="str">
        <f>IF('page 2'!$O$4="","",IF('page 2'!$O$4=Gestion!A9,1,0))</f>
        <v/>
      </c>
      <c r="D9" s="68" t="str">
        <f>IF('page 2'!$O$5="","",IF('page 2'!$O$5=Gestion!A9,1,0))</f>
        <v/>
      </c>
      <c r="E9" s="68" t="str">
        <f>IF('page 2'!$O$6="","",IF('page 2'!$O$6=Gestion!A9,1,0))</f>
        <v/>
      </c>
      <c r="F9" s="68"/>
      <c r="G9" s="68" t="str">
        <f>IF('page 2'!$O$8="","",IF('page 2'!$O$8=Gestion!A9,1,0))</f>
        <v/>
      </c>
      <c r="H9" s="68" t="str">
        <f>IF('page 2'!$O$9="","",IF('page 2'!$O$9=Gestion!A9,1,0))</f>
        <v/>
      </c>
      <c r="I9" s="68" t="str">
        <f>IF('page 2'!$O$10="","",IF('page 2'!$O$10=Gestion!A9,1,0))</f>
        <v/>
      </c>
      <c r="J9" s="68" t="str">
        <f>IF('page 2'!$O$11="","",IF('page 2'!$O$11=Gestion!A9,1,0))</f>
        <v/>
      </c>
      <c r="K9" s="68" t="str">
        <f>IF('page 2'!$O$12="","",IF('page 2'!$O$12=Gestion!A9,1,0))</f>
        <v/>
      </c>
      <c r="L9" s="68" t="str">
        <f>IF('page 2'!$O$13="","",IF('page 2'!$O$13=Gestion!A9,1,0))</f>
        <v/>
      </c>
      <c r="M9" s="68" t="str">
        <f>IF('page 2'!$O$14="","",IF('page 2'!$O$14=Gestion!A9,1,0))</f>
        <v/>
      </c>
      <c r="N9" s="68" t="str">
        <f>IF('page 2'!$O$15="","",IF('page 2'!$O$15=Gestion!A9,1,0))</f>
        <v/>
      </c>
      <c r="O9" s="68" t="str">
        <f>IF('page 2'!$O$16="","",IF('page 2'!$O$16=Gestion!A9,1,0))</f>
        <v/>
      </c>
      <c r="P9" s="68" t="str">
        <f>IF('page 2'!$O$17="","",IF('page 2'!$O$17=Gestion!A9,1,0))</f>
        <v/>
      </c>
      <c r="Q9" s="68" t="str">
        <f>IF('page 2'!$O$18="","",IF('page 2'!$O$18=Gestion!A9,1,0))</f>
        <v/>
      </c>
      <c r="R9" s="68" t="str">
        <f>IF('page 2'!$O$19="","",IF('page 2'!$O$19=Gestion!A9,1,0))</f>
        <v/>
      </c>
      <c r="S9" s="68" t="str">
        <f>IF('page 2'!$O$20="","",IF('page 2'!$O$20=Gestion!A9,1,0))</f>
        <v/>
      </c>
      <c r="T9" s="68" t="str">
        <f>IF('page 2'!$O$25="","",IF('page 2'!$O$25=Gestion!A9,1,0))</f>
        <v/>
      </c>
      <c r="U9" s="68" t="str">
        <f>IF('page 2'!$O$26="","",IF('page 2'!$O$26=Gestion!A9,1,0))</f>
        <v/>
      </c>
      <c r="V9" s="68" t="str">
        <f>IF('page 2'!$O$27="","",IF('page 2'!$O$27=Gestion!A9,1,0))</f>
        <v/>
      </c>
      <c r="W9" s="722">
        <f t="shared" si="0"/>
        <v>0</v>
      </c>
      <c r="X9" s="714" t="s">
        <v>2622</v>
      </c>
      <c r="Y9" s="68" t="str">
        <f>IF('page 2'!O10="","",'page 2'!O10)</f>
        <v/>
      </c>
      <c r="Z9" s="68" t="str">
        <f>IF(Y9="","",VLOOKUP(Y9,'page 2'!$O$4:$Q$27,3,FALSE))</f>
        <v/>
      </c>
      <c r="AA9" s="68" t="str">
        <f t="shared" si="1"/>
        <v/>
      </c>
      <c r="AB9" s="68"/>
      <c r="AC9" s="68"/>
      <c r="AD9" s="68"/>
      <c r="AP9" s="130"/>
      <c r="AQ9" s="130"/>
      <c r="AR9" s="130"/>
      <c r="AS9" s="895" t="str">
        <f>IF('page 1'!$C$4="Elfe",AT9,IF('page 1'!$C$4="Halfling",AU9,IF(AND('page 1'!$C$4="Humain",'page 1'!$K$4&lt;&gt;"Kurgan"),AV9,IF('page 1'!$K$4="Kurgan",AW9,IF('page 1'!$C$4="Nain",AY9,IF('page 1'!$C$4="Orc",CJ9,IF('page 1'!$K$4="Elu",AZ9,IF('page 1'!$K$4="Puissant",BA9,IF('page 1'!$K$4="Commun",BB9,IF('page 1'!$K$4="Bestigor/Vraigor",BC9,IF('page 1'!$K$4="Ungor",BS9,IF('page 1'!$K$4="Bray",BT9,IF('page 1'!$K$4="Shaman",BU9,IF('page 1'!$K$4="Minautore",BV9,IF('page 1'!$K$4="Centigor",BZ9,IF('page 1'!$K$4="Dragon de sang",CC9,IF('page 1'!$K$4="Lahmiane",CD9,IF('page 1'!$K$4="Nécrarque",CF9,IF('page 1'!$K$4="Stryge",CG9,IF('page 1'!$K$4="Von Carstein",CH9,IF('page 1'!$K$4="Indépendant",CI9,IF('page 1'!$K$4="Mahtmasi",CE9,IF('page 1'!$K$4="Néhékharéen",AX9,IF('page 1'!$C$4="Homme-lézard",CM9,IF('page 1'!$K$4="Géant",CQ9,IF('page 1'!$K$4="Ogre",CR9,IF('page 1'!$K$4="Troll",CS9,IF('page 1'!$K$4="Gobelin",CK9,IF('page 1'!$K$4="Hobgobelin",CL9,IF('page 1'!$K$4="Insectigor",CA9,IF('page 1'!$K$4="Insectigor",CB9,IF('page 1'!$K$4="Cygor",BW9,IF('page 1'!$K$4="Dracogor",BX9,IF('page 1'!$K$4="Amphibien",BD9,IF('page 1'!$K$4="Ghorgon",BY9,IF('page 1'!$K$4="Bovigor",BE9,IF('page 1'!$K$4="Crocogor",BF9,IF('page 1'!$K$4="Gorol",BG9,IF('page 1'!$K$4="Harpie",BH9,IF('page 1'!$K$4="Khorngor",BI9,IF('page 1'!$K$4="Loxogor",BJ9,IF('page 1'!$K$4="Malagor",BK9,IF('page 1'!$K$4="Naga",BL9,IF('page 1'!$K$4="Pestigor",BM9,IF('page 1'!$K$4="Rakshasa",BN9,IF('page 1'!$K$4="Slaangor",BO9,IF('page 1'!$K$4="Squalogor",BP9,IF('page 1'!$K$4="Tzaangor",BQ9,IF('page 1'!$K$4="Ymir",BR9,IF('page 1'!$K$4="Saurus",CN9,IF('page 1'!$K$4="Skink",CO9,IF('page 1'!$K$4="Kroxigor",CP9,""))))))))))))))))))))))))))))))))))))))))))))))))))))</f>
        <v/>
      </c>
      <c r="AT9" s="602">
        <f t="shared" ref="AT9:CS9" ca="1" si="3">IF($AS$4&lt;=3,AT5,IF($AS$4&lt;=6,AT6,IF($AS$4&lt;=9,AT7,AT8)))</f>
        <v>10</v>
      </c>
      <c r="AU9" s="602">
        <f t="shared" ca="1" si="3"/>
        <v>9</v>
      </c>
      <c r="AV9" s="602">
        <f t="shared" ca="1" si="3"/>
        <v>11</v>
      </c>
      <c r="AW9" s="602">
        <f t="shared" ca="1" si="3"/>
        <v>12</v>
      </c>
      <c r="AX9" s="602">
        <f t="shared" ca="1" si="3"/>
        <v>18</v>
      </c>
      <c r="AY9" s="602">
        <f t="shared" ca="1" si="3"/>
        <v>12</v>
      </c>
      <c r="AZ9" s="602">
        <f t="shared" ca="1" si="3"/>
        <v>10</v>
      </c>
      <c r="BA9" s="602">
        <f t="shared" ca="1" si="3"/>
        <v>12</v>
      </c>
      <c r="BB9" s="602">
        <f t="shared" ca="1" si="3"/>
        <v>9</v>
      </c>
      <c r="BC9" s="602">
        <f t="shared" ca="1" si="3"/>
        <v>12</v>
      </c>
      <c r="BD9" s="602">
        <f t="shared" ca="1" si="3"/>
        <v>9</v>
      </c>
      <c r="BE9" s="602">
        <f t="shared" ca="1" si="3"/>
        <v>12</v>
      </c>
      <c r="BF9" s="602">
        <f t="shared" ca="1" si="3"/>
        <v>14</v>
      </c>
      <c r="BG9" s="602">
        <f t="shared" ca="1" si="3"/>
        <v>14</v>
      </c>
      <c r="BH9" s="602">
        <f t="shared" ca="1" si="3"/>
        <v>11</v>
      </c>
      <c r="BI9" s="602">
        <f t="shared" ca="1" si="3"/>
        <v>15</v>
      </c>
      <c r="BJ9" s="602">
        <f t="shared" ca="1" si="3"/>
        <v>15</v>
      </c>
      <c r="BK9" s="602">
        <f t="shared" ca="1" si="3"/>
        <v>12</v>
      </c>
      <c r="BL9" s="602">
        <f t="shared" ca="1" si="3"/>
        <v>10</v>
      </c>
      <c r="BM9" s="602">
        <f t="shared" ca="1" si="3"/>
        <v>9</v>
      </c>
      <c r="BN9" s="602">
        <f t="shared" ca="1" si="3"/>
        <v>14</v>
      </c>
      <c r="BO9" s="602">
        <f t="shared" ca="1" si="3"/>
        <v>11</v>
      </c>
      <c r="BP9" s="602">
        <f t="shared" ca="1" si="3"/>
        <v>13</v>
      </c>
      <c r="BQ9" s="602">
        <f t="shared" ca="1" si="3"/>
        <v>11</v>
      </c>
      <c r="BR9" s="602">
        <f t="shared" ca="1" si="3"/>
        <v>15</v>
      </c>
      <c r="BS9" s="602">
        <f t="shared" ca="1" si="3"/>
        <v>10</v>
      </c>
      <c r="BT9" s="602">
        <f t="shared" ca="1" si="3"/>
        <v>10</v>
      </c>
      <c r="BU9" s="602">
        <f t="shared" ca="1" si="3"/>
        <v>13</v>
      </c>
      <c r="BV9" s="602">
        <f t="shared" ca="1" si="3"/>
        <v>32</v>
      </c>
      <c r="BW9" s="602">
        <f t="shared" ca="1" si="3"/>
        <v>36</v>
      </c>
      <c r="BX9" s="602">
        <f t="shared" ca="1" si="3"/>
        <v>38</v>
      </c>
      <c r="BY9" s="602">
        <f t="shared" ca="1" si="3"/>
        <v>36</v>
      </c>
      <c r="BZ9" s="602">
        <f t="shared" ca="1" si="3"/>
        <v>14</v>
      </c>
      <c r="CA9" s="602">
        <f t="shared" ca="1" si="3"/>
        <v>12</v>
      </c>
      <c r="CB9" s="602">
        <f t="shared" ca="1" si="3"/>
        <v>16</v>
      </c>
      <c r="CC9" s="602">
        <f t="shared" ca="1" si="3"/>
        <v>22</v>
      </c>
      <c r="CD9" s="602">
        <f t="shared" ca="1" si="3"/>
        <v>20</v>
      </c>
      <c r="CE9" s="602">
        <f t="shared" ca="1" si="3"/>
        <v>20</v>
      </c>
      <c r="CF9" s="602">
        <f t="shared" ca="1" si="3"/>
        <v>20</v>
      </c>
      <c r="CG9" s="602">
        <f t="shared" ca="1" si="3"/>
        <v>24</v>
      </c>
      <c r="CH9" s="602">
        <f t="shared" ca="1" si="3"/>
        <v>21</v>
      </c>
      <c r="CI9" s="602">
        <f t="shared" ca="1" si="3"/>
        <v>20</v>
      </c>
      <c r="CJ9" s="602">
        <f t="shared" ca="1" si="3"/>
        <v>12</v>
      </c>
      <c r="CK9" s="602">
        <f t="shared" ca="1" si="3"/>
        <v>9</v>
      </c>
      <c r="CL9" s="602">
        <f t="shared" ca="1" si="3"/>
        <v>11</v>
      </c>
      <c r="CM9" s="602">
        <f t="shared" ca="1" si="3"/>
        <v>26</v>
      </c>
      <c r="CN9" s="602">
        <f t="shared" ca="1" si="3"/>
        <v>24</v>
      </c>
      <c r="CO9" s="602">
        <f t="shared" ca="1" si="3"/>
        <v>9</v>
      </c>
      <c r="CP9" s="602">
        <f t="shared" ca="1" si="3"/>
        <v>32</v>
      </c>
      <c r="CQ9" s="602">
        <f t="shared" ca="1" si="3"/>
        <v>48</v>
      </c>
      <c r="CR9" s="602">
        <f t="shared" ca="1" si="3"/>
        <v>24</v>
      </c>
      <c r="CS9" s="602">
        <f t="shared" ca="1" si="3"/>
        <v>32</v>
      </c>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row>
    <row r="10" spans="1:2169" s="63" customFormat="1">
      <c r="A10" s="73" t="s">
        <v>2780</v>
      </c>
      <c r="B10" s="71" t="s">
        <v>2781</v>
      </c>
      <c r="C10" s="68" t="str">
        <f>IF('page 2'!$O$4="","",IF('page 2'!$O$4=Gestion!A10,1,0))</f>
        <v/>
      </c>
      <c r="D10" s="68" t="str">
        <f>IF('page 2'!$O$5="","",IF('page 2'!$O$5=Gestion!A10,1,0))</f>
        <v/>
      </c>
      <c r="E10" s="68" t="str">
        <f>IF('page 2'!$O$6="","",IF('page 2'!$O$6=Gestion!A10,1,0))</f>
        <v/>
      </c>
      <c r="F10" s="68" t="str">
        <f>IF('page 2'!$O$7="","",IF('page 2'!$O$7=Gestion!A9,1,0))</f>
        <v/>
      </c>
      <c r="G10" s="68" t="str">
        <f>IF('page 2'!$O$8="","",IF('page 2'!$O$8=Gestion!A10,1,0))</f>
        <v/>
      </c>
      <c r="H10" s="68" t="str">
        <f>IF('page 2'!$O$9="","",IF('page 2'!$O$9=Gestion!A10,1,0))</f>
        <v/>
      </c>
      <c r="I10" s="68" t="str">
        <f>IF('page 2'!$O$10="","",IF('page 2'!$O$10=Gestion!A10,1,0))</f>
        <v/>
      </c>
      <c r="J10" s="68" t="str">
        <f>IF('page 2'!$O$11="","",IF('page 2'!$O$11=Gestion!A10,1,0))</f>
        <v/>
      </c>
      <c r="K10" s="68" t="str">
        <f>IF('page 2'!$O$12="","",IF('page 2'!$O$12=Gestion!A10,1,0))</f>
        <v/>
      </c>
      <c r="L10" s="68" t="str">
        <f>IF('page 2'!$O$13="","",IF('page 2'!$O$13=Gestion!A10,1,0))</f>
        <v/>
      </c>
      <c r="M10" s="68" t="str">
        <f>IF('page 2'!$O$14="","",IF('page 2'!$O$14=Gestion!A10,1,0))</f>
        <v/>
      </c>
      <c r="N10" s="68" t="str">
        <f>IF('page 2'!$O$15="","",IF('page 2'!$O$15=Gestion!A10,1,0))</f>
        <v/>
      </c>
      <c r="O10" s="68" t="str">
        <f>IF('page 2'!$O$16="","",IF('page 2'!$O$16=Gestion!A10,1,0))</f>
        <v/>
      </c>
      <c r="P10" s="68" t="str">
        <f>IF('page 2'!$O$17="","",IF('page 2'!$O$17=Gestion!A10,1,0))</f>
        <v/>
      </c>
      <c r="Q10" s="68" t="str">
        <f>IF('page 2'!$O$18="","",IF('page 2'!$O$18=Gestion!A10,1,0))</f>
        <v/>
      </c>
      <c r="R10" s="68" t="str">
        <f>IF('page 2'!$O$19="","",IF('page 2'!$O$19=Gestion!A10,1,0))</f>
        <v/>
      </c>
      <c r="S10" s="68" t="str">
        <f>IF('page 2'!$O$20="","",IF('page 2'!$O$20=Gestion!A10,1,0))</f>
        <v/>
      </c>
      <c r="T10" s="68" t="str">
        <f>IF('page 2'!$O$25="","",IF('page 2'!$O$25=Gestion!A10,1,0))</f>
        <v/>
      </c>
      <c r="U10" s="68" t="str">
        <f>IF('page 2'!$O$26="","",IF('page 2'!$O$26=Gestion!A10,1,0))</f>
        <v/>
      </c>
      <c r="V10" s="68" t="str">
        <f>IF('page 2'!$O$27="","",IF('page 2'!$O$27=Gestion!A10,1,0))</f>
        <v/>
      </c>
      <c r="W10" s="722">
        <f t="shared" si="0"/>
        <v>0</v>
      </c>
      <c r="X10" s="714" t="s">
        <v>2623</v>
      </c>
      <c r="Y10" s="68" t="str">
        <f>IF('page 2'!O11="","",'page 2'!O11)</f>
        <v/>
      </c>
      <c r="Z10" s="68" t="str">
        <f>IF(Y10="","",VLOOKUP(Y10,'page 2'!$O$4:$Q$27,3,FALSE))</f>
        <v/>
      </c>
      <c r="AA10" s="68" t="str">
        <f t="shared" si="1"/>
        <v/>
      </c>
      <c r="AB10" s="68"/>
      <c r="AC10" s="68"/>
      <c r="AD10" s="68"/>
      <c r="AP10" s="130"/>
      <c r="AQ10" s="130"/>
      <c r="AR10" s="130"/>
      <c r="AS10" s="602"/>
      <c r="AT10" s="602"/>
      <c r="AU10" s="602"/>
      <c r="AV10" s="602"/>
      <c r="AW10" s="602"/>
      <c r="AX10" s="602"/>
      <c r="AY10" s="602"/>
      <c r="AZ10" s="602"/>
      <c r="BA10" s="602"/>
      <c r="BB10" s="602"/>
      <c r="BC10" s="602"/>
      <c r="BD10" s="602"/>
      <c r="BE10" s="602"/>
      <c r="BF10" s="602"/>
      <c r="BG10" s="602"/>
      <c r="BH10" s="602"/>
      <c r="BI10" s="602"/>
      <c r="BJ10" s="602"/>
      <c r="BK10" s="602"/>
      <c r="BL10" s="602"/>
      <c r="BM10" s="602"/>
      <c r="BN10" s="602"/>
      <c r="BO10" s="602"/>
      <c r="BP10" s="602"/>
      <c r="BQ10" s="602"/>
      <c r="BR10" s="602"/>
      <c r="BS10" s="602"/>
      <c r="BT10" s="602"/>
      <c r="BU10" s="602"/>
      <c r="BV10" s="602"/>
      <c r="BW10" s="602"/>
      <c r="BX10" s="602"/>
      <c r="BY10" s="602"/>
      <c r="BZ10" s="602"/>
      <c r="CA10" s="602"/>
      <c r="CB10" s="602"/>
      <c r="CC10" s="576"/>
      <c r="CD10" s="576"/>
      <c r="CE10" s="602"/>
      <c r="CF10" s="576"/>
      <c r="CG10" s="576"/>
      <c r="CH10" s="576"/>
      <c r="CI10" s="576"/>
      <c r="CJ10" s="576"/>
      <c r="CK10" s="602"/>
      <c r="CL10" s="602"/>
      <c r="CM10" s="576"/>
      <c r="CN10" s="602"/>
      <c r="CO10" s="602"/>
      <c r="CP10" s="602"/>
      <c r="CQ10" s="576"/>
      <c r="CR10" s="576"/>
      <c r="CS10" s="602"/>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row>
    <row r="11" spans="1:2169" s="51" customFormat="1">
      <c r="A11" s="69" t="s">
        <v>396</v>
      </c>
      <c r="B11" s="72" t="s">
        <v>59</v>
      </c>
      <c r="C11" s="69" t="str">
        <f>IF('page 2'!$O$4="","",IF('page 2'!$O$4=Gestion!A11,1,0))</f>
        <v/>
      </c>
      <c r="D11" s="69" t="str">
        <f>IF('page 2'!$O$5="","",IF('page 2'!$O$5=Gestion!A11,1,0))</f>
        <v/>
      </c>
      <c r="E11" s="69" t="str">
        <f>IF('page 2'!$O$6="","",IF('page 2'!$O$6=Gestion!A11,1,0))</f>
        <v/>
      </c>
      <c r="F11" s="69" t="str">
        <f>IF('page 2'!$O$7="","",IF('page 2'!$O$7=Gestion!A11,1,0))</f>
        <v/>
      </c>
      <c r="G11" s="69" t="str">
        <f>IF('page 2'!$O$8="","",IF('page 2'!$O$8=Gestion!A11,1,0))</f>
        <v/>
      </c>
      <c r="H11" s="69" t="str">
        <f>IF('page 2'!$O$9="","",IF('page 2'!$O$9=Gestion!A11,1,0))</f>
        <v/>
      </c>
      <c r="I11" s="69" t="str">
        <f>IF('page 2'!$O$10="","",IF('page 2'!$O$10=Gestion!A11,1,0))</f>
        <v/>
      </c>
      <c r="J11" s="69" t="str">
        <f>IF('page 2'!$O$11="","",IF('page 2'!$O$11=Gestion!A11,1,0))</f>
        <v/>
      </c>
      <c r="K11" s="69" t="str">
        <f>IF('page 2'!$O$12="","",IF('page 2'!$O$12=Gestion!A11,1,0))</f>
        <v/>
      </c>
      <c r="L11" s="69" t="str">
        <f>IF('page 2'!$O$13="","",IF('page 2'!$O$13=Gestion!A11,1,0))</f>
        <v/>
      </c>
      <c r="M11" s="69" t="str">
        <f>IF('page 2'!$O$14="","",IF('page 2'!$O$14=Gestion!A11,1,0))</f>
        <v/>
      </c>
      <c r="N11" s="69" t="str">
        <f>IF('page 2'!$O$15="","",IF('page 2'!$O$15=Gestion!A11,1,0))</f>
        <v/>
      </c>
      <c r="O11" s="69" t="str">
        <f>IF('page 2'!$O$16="","",IF('page 2'!$O$16=Gestion!A11,1,0))</f>
        <v/>
      </c>
      <c r="P11" s="69" t="str">
        <f>IF('page 2'!$O$17="","",IF('page 2'!$O$17=Gestion!A11,1,0))</f>
        <v/>
      </c>
      <c r="Q11" s="69" t="str">
        <f>IF('page 2'!$O$18="","",IF('page 2'!$O$18=Gestion!A11,1,0))</f>
        <v/>
      </c>
      <c r="R11" s="69" t="str">
        <f>IF('page 2'!$O$19="","",IF('page 2'!$O$19=Gestion!A11,1,0))</f>
        <v/>
      </c>
      <c r="S11" s="69" t="str">
        <f>IF('page 2'!$O$20="","",IF('page 2'!$O$20=Gestion!A11,1,0))</f>
        <v/>
      </c>
      <c r="T11" s="69" t="str">
        <f>IF('page 2'!$O$25="","",IF('page 2'!$O$25=Gestion!A11,1,0))</f>
        <v/>
      </c>
      <c r="U11" s="69" t="str">
        <f>IF('page 2'!$O$26="","",IF('page 2'!$O$26=Gestion!A11,1,0))</f>
        <v/>
      </c>
      <c r="V11" s="69" t="str">
        <f>IF('page 2'!$O$27="","",IF('page 2'!$O$27=Gestion!A11,1,0))</f>
        <v/>
      </c>
      <c r="W11" s="723">
        <f t="shared" si="0"/>
        <v>0</v>
      </c>
      <c r="X11" s="713" t="s">
        <v>2624</v>
      </c>
      <c r="Y11" s="69" t="str">
        <f>IF('page 2'!O12="","",'page 2'!O12)</f>
        <v/>
      </c>
      <c r="Z11" s="69" t="str">
        <f>IF(Y11="","",VLOOKUP(Y11,'page 2'!$O$4:$Q$27,3,FALSE))</f>
        <v/>
      </c>
      <c r="AA11" s="69" t="str">
        <f t="shared" si="1"/>
        <v/>
      </c>
      <c r="AB11" s="542"/>
      <c r="AC11" s="542"/>
      <c r="AD11" s="542"/>
      <c r="AE11" s="88"/>
      <c r="AP11" s="130"/>
      <c r="AQ11" s="130"/>
      <c r="AR11" s="130"/>
      <c r="AS11" s="1513" t="s">
        <v>9459</v>
      </c>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c r="BP11" s="1514"/>
      <c r="BQ11" s="1514"/>
      <c r="BR11" s="1514"/>
      <c r="BS11" s="1514"/>
      <c r="BT11" s="1514"/>
      <c r="BU11" s="1514"/>
      <c r="BV11" s="1514"/>
      <c r="BW11" s="1514"/>
      <c r="BX11" s="1514"/>
      <c r="BY11" s="1514"/>
      <c r="BZ11" s="1514"/>
      <c r="CA11" s="1514"/>
      <c r="CB11" s="1514"/>
      <c r="CC11" s="1514"/>
      <c r="CD11" s="1514"/>
      <c r="CE11" s="1514"/>
      <c r="CF11" s="1514"/>
      <c r="CG11" s="1514"/>
      <c r="CH11" s="1514"/>
      <c r="CI11" s="1514"/>
      <c r="CJ11" s="1514"/>
      <c r="CK11" s="1514"/>
      <c r="CL11" s="1514"/>
      <c r="CM11" s="1514"/>
      <c r="CN11" s="1514"/>
      <c r="CO11" s="1514"/>
      <c r="CP11" s="1514"/>
      <c r="CQ11" s="1514"/>
      <c r="CR11" s="1514"/>
      <c r="CS11" s="1515"/>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row>
    <row r="12" spans="1:2169" s="51" customFormat="1">
      <c r="A12" s="69" t="s">
        <v>2908</v>
      </c>
      <c r="B12" s="72" t="s">
        <v>2909</v>
      </c>
      <c r="C12" s="69" t="str">
        <f>IF('page 2'!$O$4="","",IF('page 2'!$O$4=Gestion!A12,1,0))</f>
        <v/>
      </c>
      <c r="D12" s="69" t="str">
        <f>IF('page 2'!$O$5="","",IF('page 2'!$O$5=Gestion!A12,1,0))</f>
        <v/>
      </c>
      <c r="E12" s="69" t="str">
        <f>IF('page 2'!$O$6="","",IF('page 2'!$O$6=Gestion!A12,1,0))</f>
        <v/>
      </c>
      <c r="F12" s="69" t="str">
        <f>IF('page 2'!$O$7="","",IF('page 2'!$O$7=Gestion!A12,1,0))</f>
        <v/>
      </c>
      <c r="G12" s="69" t="str">
        <f>IF('page 2'!$O$8="","",IF('page 2'!$O$8=Gestion!A12,1,0))</f>
        <v/>
      </c>
      <c r="H12" s="69" t="str">
        <f>IF('page 2'!$O$9="","",IF('page 2'!$O$9=Gestion!A12,1,0))</f>
        <v/>
      </c>
      <c r="I12" s="69" t="str">
        <f>IF('page 2'!$O$10="","",IF('page 2'!$O$10=Gestion!A12,1,0))</f>
        <v/>
      </c>
      <c r="J12" s="69" t="str">
        <f>IF('page 2'!$O$11="","",IF('page 2'!$O$11=Gestion!A12,1,0))</f>
        <v/>
      </c>
      <c r="K12" s="69" t="str">
        <f>IF('page 2'!$O$12="","",IF('page 2'!$O$12=Gestion!A12,1,0))</f>
        <v/>
      </c>
      <c r="L12" s="69" t="str">
        <f>IF('page 2'!$O$13="","",IF('page 2'!$O$13=Gestion!A12,1,0))</f>
        <v/>
      </c>
      <c r="M12" s="69" t="str">
        <f>IF('page 2'!$O$14="","",IF('page 2'!$O$14=Gestion!A12,1,0))</f>
        <v/>
      </c>
      <c r="N12" s="69" t="str">
        <f>IF('page 2'!$O$15="","",IF('page 2'!$O$15=Gestion!A12,1,0))</f>
        <v/>
      </c>
      <c r="O12" s="69" t="str">
        <f>IF('page 2'!$O$16="","",IF('page 2'!$O$16=Gestion!A12,1,0))</f>
        <v/>
      </c>
      <c r="P12" s="69" t="str">
        <f>IF('page 2'!$O$17="","",IF('page 2'!$O$17=Gestion!A12,1,0))</f>
        <v/>
      </c>
      <c r="Q12" s="69" t="str">
        <f>IF('page 2'!$O$18="","",IF('page 2'!$O$18=Gestion!A12,1,0))</f>
        <v/>
      </c>
      <c r="R12" s="69" t="str">
        <f>IF('page 2'!$O$19="","",IF('page 2'!$O$19=Gestion!A12,1,0))</f>
        <v/>
      </c>
      <c r="S12" s="69" t="str">
        <f>IF('page 2'!$O$20="","",IF('page 2'!$O$20=Gestion!A12,1,0))</f>
        <v/>
      </c>
      <c r="T12" s="69" t="str">
        <f>IF('page 2'!$O$25="","",IF('page 2'!$O$25=Gestion!A12,1,0))</f>
        <v/>
      </c>
      <c r="U12" s="69" t="str">
        <f>IF('page 2'!$O$26="","",IF('page 2'!$O$26=Gestion!A12,1,0))</f>
        <v/>
      </c>
      <c r="V12" s="69" t="str">
        <f>IF('page 2'!$O$27="","",IF('page 2'!$O$27=Gestion!A12,1,0))</f>
        <v/>
      </c>
      <c r="W12" s="723">
        <f t="shared" si="0"/>
        <v>0</v>
      </c>
      <c r="X12" s="713" t="s">
        <v>2625</v>
      </c>
      <c r="Y12" s="69" t="str">
        <f>IF('page 2'!O13="","",'page 2'!O13)</f>
        <v/>
      </c>
      <c r="Z12" s="69" t="str">
        <f>IF(Y12="","",VLOOKUP(Y12,'page 2'!$O$4:$Q$27,3,FALSE))</f>
        <v/>
      </c>
      <c r="AA12" s="69" t="str">
        <f t="shared" si="1"/>
        <v/>
      </c>
      <c r="AB12" s="542"/>
      <c r="AC12" s="542"/>
      <c r="AD12" s="542"/>
      <c r="AE12" s="88"/>
      <c r="AP12" s="130"/>
      <c r="AQ12" s="130"/>
      <c r="AR12" s="130"/>
      <c r="AS12" s="602"/>
      <c r="AT12" s="602"/>
      <c r="AU12" s="602"/>
      <c r="AV12" s="602"/>
      <c r="AW12" s="602"/>
      <c r="AX12" s="602"/>
      <c r="AY12" s="602"/>
      <c r="AZ12" s="1518" t="s">
        <v>3087</v>
      </c>
      <c r="BA12" s="1518"/>
      <c r="BB12" s="1518"/>
      <c r="BC12" s="1518" t="s">
        <v>3572</v>
      </c>
      <c r="BD12" s="1518"/>
      <c r="BE12" s="1518"/>
      <c r="BF12" s="1518"/>
      <c r="BG12" s="1518"/>
      <c r="BH12" s="1518"/>
      <c r="BI12" s="1518"/>
      <c r="BJ12" s="1518"/>
      <c r="BK12" s="1518"/>
      <c r="BL12" s="1518"/>
      <c r="BM12" s="1518"/>
      <c r="BN12" s="1518"/>
      <c r="BO12" s="1518"/>
      <c r="BP12" s="1518"/>
      <c r="BQ12" s="1518"/>
      <c r="BR12" s="1518"/>
      <c r="BS12" s="1518"/>
      <c r="BT12" s="1518"/>
      <c r="BU12" s="1518"/>
      <c r="BV12" s="1518"/>
      <c r="BW12" s="1518"/>
      <c r="BX12" s="1518"/>
      <c r="BY12" s="1518"/>
      <c r="BZ12" s="1518"/>
      <c r="CA12" s="699"/>
      <c r="CB12" s="699"/>
      <c r="CC12" s="1519" t="s">
        <v>3066</v>
      </c>
      <c r="CD12" s="1520"/>
      <c r="CE12" s="1520"/>
      <c r="CF12" s="1520"/>
      <c r="CG12" s="1520"/>
      <c r="CH12" s="1520"/>
      <c r="CI12" s="1521"/>
      <c r="CJ12" s="1522"/>
      <c r="CK12" s="1520"/>
      <c r="CL12" s="1521"/>
      <c r="CM12" s="1519" t="s">
        <v>11255</v>
      </c>
      <c r="CN12" s="1520"/>
      <c r="CO12" s="1520"/>
      <c r="CP12" s="1521"/>
      <c r="CQ12" s="1519" t="s">
        <v>11608</v>
      </c>
      <c r="CR12" s="1520"/>
      <c r="CS12" s="1521"/>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row>
    <row r="13" spans="1:2169" s="51" customFormat="1">
      <c r="A13" s="69" t="s">
        <v>397</v>
      </c>
      <c r="B13" s="72" t="s">
        <v>60</v>
      </c>
      <c r="C13" s="69" t="str">
        <f>IF('page 2'!$O$4="","",IF('page 2'!$O$4=Gestion!A13,1,0))</f>
        <v/>
      </c>
      <c r="D13" s="69" t="str">
        <f>IF('page 2'!$O$5="","",IF('page 2'!$O$5=Gestion!A13,1,0))</f>
        <v/>
      </c>
      <c r="E13" s="69" t="str">
        <f>IF('page 2'!$O$6="","",IF('page 2'!$O$6=Gestion!A13,1,0))</f>
        <v/>
      </c>
      <c r="F13" s="69" t="str">
        <f>IF('page 2'!$O$7="","",IF('page 2'!$O$7=Gestion!A13,1,0))</f>
        <v/>
      </c>
      <c r="G13" s="69" t="str">
        <f>IF('page 2'!$O$8="","",IF('page 2'!$O$8=Gestion!A13,1,0))</f>
        <v/>
      </c>
      <c r="H13" s="69" t="str">
        <f>IF('page 2'!$O$9="","",IF('page 2'!$O$9=Gestion!A13,1,0))</f>
        <v/>
      </c>
      <c r="I13" s="69" t="str">
        <f>IF('page 2'!$O$10="","",IF('page 2'!$O$10=Gestion!A13,1,0))</f>
        <v/>
      </c>
      <c r="J13" s="69" t="str">
        <f>IF('page 2'!$O$11="","",IF('page 2'!$O$11=Gestion!A13,1,0))</f>
        <v/>
      </c>
      <c r="K13" s="69" t="str">
        <f>IF('page 2'!$O$12="","",IF('page 2'!$O$12=Gestion!A13,1,0))</f>
        <v/>
      </c>
      <c r="L13" s="69" t="str">
        <f>IF('page 2'!$O$13="","",IF('page 2'!$O$13=Gestion!A13,1,0))</f>
        <v/>
      </c>
      <c r="M13" s="69" t="str">
        <f>IF('page 2'!$O$14="","",IF('page 2'!$O$14=Gestion!A13,1,0))</f>
        <v/>
      </c>
      <c r="N13" s="69" t="str">
        <f>IF('page 2'!$O$15="","",IF('page 2'!$O$15=Gestion!A13,1,0))</f>
        <v/>
      </c>
      <c r="O13" s="69" t="str">
        <f>IF('page 2'!$O$16="","",IF('page 2'!$O$16=Gestion!A13,1,0))</f>
        <v/>
      </c>
      <c r="P13" s="69" t="str">
        <f>IF('page 2'!$O$17="","",IF('page 2'!$O$17=Gestion!A13,1,0))</f>
        <v/>
      </c>
      <c r="Q13" s="69" t="str">
        <f>IF('page 2'!$O$18="","",IF('page 2'!$O$18=Gestion!A13,1,0))</f>
        <v/>
      </c>
      <c r="R13" s="69" t="str">
        <f>IF('page 2'!$O$19="","",IF('page 2'!$O$19=Gestion!A13,1,0))</f>
        <v/>
      </c>
      <c r="S13" s="69" t="str">
        <f>IF('page 2'!$O$20="","",IF('page 2'!$O$20=Gestion!A13,1,0))</f>
        <v/>
      </c>
      <c r="T13" s="69" t="str">
        <f>IF('page 2'!$O$25="","",IF('page 2'!$O$25=Gestion!A13,1,0))</f>
        <v/>
      </c>
      <c r="U13" s="69" t="str">
        <f>IF('page 2'!$O$26="","",IF('page 2'!$O$26=Gestion!A13,1,0))</f>
        <v/>
      </c>
      <c r="V13" s="69" t="str">
        <f>IF('page 2'!$O$27="","",IF('page 2'!$O$27=Gestion!A13,1,0))</f>
        <v/>
      </c>
      <c r="W13" s="723">
        <f t="shared" si="0"/>
        <v>0</v>
      </c>
      <c r="X13" s="713" t="s">
        <v>2626</v>
      </c>
      <c r="Y13" s="69" t="str">
        <f>IF('page 2'!O14="","",'page 2'!O14)</f>
        <v/>
      </c>
      <c r="Z13" s="69" t="str">
        <f>IF(Y13="","",VLOOKUP(Y13,'page 2'!$O$4:$Q$27,3,FALSE))</f>
        <v/>
      </c>
      <c r="AA13" s="69" t="str">
        <f t="shared" si="1"/>
        <v/>
      </c>
      <c r="AB13" s="542"/>
      <c r="AC13" s="542"/>
      <c r="AD13" s="542"/>
      <c r="AE13" s="88"/>
      <c r="AP13" s="130"/>
      <c r="AQ13" s="130"/>
      <c r="AR13" s="130"/>
      <c r="AS13" s="602">
        <f ca="1">RANDBETWEEN(1,10)</f>
        <v>8</v>
      </c>
      <c r="AT13" s="602" t="s">
        <v>2455</v>
      </c>
      <c r="AU13" s="602" t="s">
        <v>845</v>
      </c>
      <c r="AV13" s="602" t="s">
        <v>846</v>
      </c>
      <c r="AW13" s="537" t="s">
        <v>9462</v>
      </c>
      <c r="AX13" s="537" t="s">
        <v>10153</v>
      </c>
      <c r="AY13" s="602" t="s">
        <v>847</v>
      </c>
      <c r="AZ13" s="602" t="s">
        <v>5830</v>
      </c>
      <c r="BA13" s="602" t="s">
        <v>5831</v>
      </c>
      <c r="BB13" s="602" t="s">
        <v>5832</v>
      </c>
      <c r="BC13" s="891" t="s">
        <v>13231</v>
      </c>
      <c r="BD13" s="891" t="s">
        <v>13007</v>
      </c>
      <c r="BE13" s="891" t="s">
        <v>13232</v>
      </c>
      <c r="BF13" s="576" t="s">
        <v>13233</v>
      </c>
      <c r="BG13" s="602" t="s">
        <v>13237</v>
      </c>
      <c r="BH13" s="576" t="s">
        <v>13238</v>
      </c>
      <c r="BI13" s="576" t="s">
        <v>13240</v>
      </c>
      <c r="BJ13" s="576" t="s">
        <v>13241</v>
      </c>
      <c r="BK13" s="602" t="s">
        <v>13242</v>
      </c>
      <c r="BL13" s="602" t="s">
        <v>13243</v>
      </c>
      <c r="BM13" s="602" t="s">
        <v>13244</v>
      </c>
      <c r="BN13" s="602" t="s">
        <v>13245</v>
      </c>
      <c r="BO13" s="602" t="s">
        <v>13246</v>
      </c>
      <c r="BP13" s="602" t="s">
        <v>13247</v>
      </c>
      <c r="BQ13" s="602" t="s">
        <v>13250</v>
      </c>
      <c r="BR13" s="602" t="s">
        <v>13248</v>
      </c>
      <c r="BS13" s="537" t="s">
        <v>9454</v>
      </c>
      <c r="BT13" s="537" t="s">
        <v>9455</v>
      </c>
      <c r="BU13" s="537" t="s">
        <v>9283</v>
      </c>
      <c r="BV13" s="537" t="s">
        <v>9456</v>
      </c>
      <c r="BW13" s="576" t="s">
        <v>13234</v>
      </c>
      <c r="BX13" s="537" t="s">
        <v>13235</v>
      </c>
      <c r="BY13" s="576" t="s">
        <v>13236</v>
      </c>
      <c r="BZ13" s="537" t="s">
        <v>9457</v>
      </c>
      <c r="CA13" s="576" t="s">
        <v>13239</v>
      </c>
      <c r="CB13" s="576" t="s">
        <v>13230</v>
      </c>
      <c r="CC13" s="896" t="s">
        <v>9465</v>
      </c>
      <c r="CD13" s="178" t="s">
        <v>9466</v>
      </c>
      <c r="CE13" s="537" t="s">
        <v>9964</v>
      </c>
      <c r="CF13" s="178" t="s">
        <v>9467</v>
      </c>
      <c r="CG13" s="178" t="s">
        <v>9468</v>
      </c>
      <c r="CH13" s="178" t="s">
        <v>9469</v>
      </c>
      <c r="CI13" s="178" t="s">
        <v>7488</v>
      </c>
      <c r="CJ13" s="892" t="s">
        <v>9481</v>
      </c>
      <c r="CK13" s="537" t="s">
        <v>11807</v>
      </c>
      <c r="CL13" s="537" t="s">
        <v>11808</v>
      </c>
      <c r="CM13" s="892" t="s">
        <v>11505</v>
      </c>
      <c r="CN13" s="537" t="s">
        <v>16638</v>
      </c>
      <c r="CO13" s="537" t="s">
        <v>16637</v>
      </c>
      <c r="CP13" s="537" t="s">
        <v>16639</v>
      </c>
      <c r="CQ13" s="892" t="s">
        <v>11601</v>
      </c>
      <c r="CR13" s="892" t="s">
        <v>11602</v>
      </c>
      <c r="CS13" s="537" t="s">
        <v>11603</v>
      </c>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row>
    <row r="14" spans="1:2169" s="63" customFormat="1">
      <c r="A14" s="73" t="s">
        <v>2849</v>
      </c>
      <c r="B14" s="73" t="s">
        <v>2854</v>
      </c>
      <c r="C14" s="68" t="str">
        <f>IF('page 2'!$O$4="","",IF('page 2'!$O$4=Gestion!A14,1,0))</f>
        <v/>
      </c>
      <c r="D14" s="68" t="str">
        <f>IF('page 2'!$O$5="","",IF('page 2'!$O$5=Gestion!A14,1,0))</f>
        <v/>
      </c>
      <c r="E14" s="68" t="str">
        <f>IF('page 2'!$O$6="","",IF('page 2'!$O$6=Gestion!A14,1,0))</f>
        <v/>
      </c>
      <c r="F14" s="68" t="str">
        <f>IF('page 2'!$O$7="","",IF('page 2'!$O$7=Gestion!A14,1,0))</f>
        <v/>
      </c>
      <c r="G14" s="68" t="str">
        <f>IF('page 2'!$O$8="","",IF('page 2'!$O$8=Gestion!A14,1,0))</f>
        <v/>
      </c>
      <c r="H14" s="68"/>
      <c r="I14" s="68" t="str">
        <f>IF('page 2'!$O$10="","",IF('page 2'!$O$10=Gestion!A14,1,0))</f>
        <v/>
      </c>
      <c r="J14" s="68" t="str">
        <f>IF('page 2'!$O$11="","",IF('page 2'!$O$11=Gestion!A14,1,0))</f>
        <v/>
      </c>
      <c r="K14" s="68" t="str">
        <f>IF('page 2'!$O$12="","",IF('page 2'!$O$12=Gestion!A14,1,0))</f>
        <v/>
      </c>
      <c r="L14" s="68" t="str">
        <f>IF('page 2'!$O$13="","",IF('page 2'!$O$13=Gestion!A14,1,0))</f>
        <v/>
      </c>
      <c r="M14" s="68" t="str">
        <f>IF('page 2'!$O$14="","",IF('page 2'!$O$14=Gestion!A14,1,0))</f>
        <v/>
      </c>
      <c r="N14" s="68" t="str">
        <f>IF('page 2'!$O$15="","",IF('page 2'!$O$15=Gestion!A14,1,0))</f>
        <v/>
      </c>
      <c r="O14" s="68" t="str">
        <f>IF('page 2'!$O$16="","",IF('page 2'!$O$16=Gestion!A14,1,0))</f>
        <v/>
      </c>
      <c r="P14" s="68" t="str">
        <f>IF('page 2'!$O$17="","",IF('page 2'!$O$17=Gestion!A14,1,0))</f>
        <v/>
      </c>
      <c r="Q14" s="68" t="str">
        <f>IF('page 2'!$O$18="","",IF('page 2'!$O$18=Gestion!A14,1,0))</f>
        <v/>
      </c>
      <c r="R14" s="68" t="str">
        <f>IF('page 2'!$O$19="","",IF('page 2'!$O$19=Gestion!A14,1,0))</f>
        <v/>
      </c>
      <c r="S14" s="68"/>
      <c r="T14" s="68" t="str">
        <f>IF('page 2'!$O$25="","",IF('page 2'!$O$25=Gestion!A14,1,0))</f>
        <v/>
      </c>
      <c r="U14" s="68" t="str">
        <f>IF('page 2'!$O$26="","",IF('page 2'!$O$26=Gestion!A14,1,0))</f>
        <v/>
      </c>
      <c r="V14" s="68" t="str">
        <f>IF('page 2'!$O$27="","",IF('page 2'!$O$27=Gestion!A14,1,0))</f>
        <v/>
      </c>
      <c r="W14" s="722">
        <f t="shared" si="0"/>
        <v>0</v>
      </c>
      <c r="X14" s="714" t="s">
        <v>2627</v>
      </c>
      <c r="Y14" s="68" t="str">
        <f>IF('page 2'!O15="","",'page 2'!O15)</f>
        <v/>
      </c>
      <c r="Z14" s="68" t="str">
        <f>IF(Y14="","",VLOOKUP(Y14,'page 2'!$O$4:$Q$27,3,FALSE))</f>
        <v/>
      </c>
      <c r="AA14" s="68" t="str">
        <f t="shared" si="1"/>
        <v/>
      </c>
      <c r="AB14" s="68"/>
      <c r="AC14" s="68"/>
      <c r="AD14" s="68"/>
      <c r="AP14" s="130"/>
      <c r="AQ14" s="130"/>
      <c r="AR14" s="130"/>
      <c r="AS14" s="893" t="s">
        <v>5793</v>
      </c>
      <c r="AT14" s="602">
        <v>1</v>
      </c>
      <c r="AU14" s="602">
        <v>2</v>
      </c>
      <c r="AV14" s="602">
        <v>2</v>
      </c>
      <c r="AW14" s="602">
        <v>0</v>
      </c>
      <c r="AX14" s="602">
        <v>0</v>
      </c>
      <c r="AY14" s="602">
        <v>1</v>
      </c>
      <c r="AZ14" s="602">
        <v>1</v>
      </c>
      <c r="BA14" s="602">
        <v>0</v>
      </c>
      <c r="BB14" s="602">
        <v>0</v>
      </c>
      <c r="BC14" s="602">
        <v>0</v>
      </c>
      <c r="BD14" s="602">
        <v>0</v>
      </c>
      <c r="BE14" s="602">
        <v>0</v>
      </c>
      <c r="BF14" s="602">
        <v>0</v>
      </c>
      <c r="BG14" s="602">
        <v>0</v>
      </c>
      <c r="BH14" s="602">
        <v>0</v>
      </c>
      <c r="BI14" s="602">
        <v>0</v>
      </c>
      <c r="BJ14" s="602">
        <v>0</v>
      </c>
      <c r="BK14" s="602">
        <v>0</v>
      </c>
      <c r="BL14" s="602">
        <v>0</v>
      </c>
      <c r="BM14" s="602">
        <v>0</v>
      </c>
      <c r="BN14" s="602">
        <v>0</v>
      </c>
      <c r="BO14" s="602">
        <v>0</v>
      </c>
      <c r="BP14" s="602">
        <v>0</v>
      </c>
      <c r="BQ14" s="602">
        <v>0</v>
      </c>
      <c r="BR14" s="602">
        <v>0</v>
      </c>
      <c r="BS14" s="602">
        <v>0</v>
      </c>
      <c r="BT14" s="602">
        <v>0</v>
      </c>
      <c r="BU14" s="602">
        <v>1</v>
      </c>
      <c r="BV14" s="602">
        <v>0</v>
      </c>
      <c r="BW14" s="602">
        <v>0</v>
      </c>
      <c r="BX14" s="602">
        <v>0</v>
      </c>
      <c r="BY14" s="602">
        <v>0</v>
      </c>
      <c r="BZ14" s="602">
        <v>0</v>
      </c>
      <c r="CA14" s="602">
        <v>0</v>
      </c>
      <c r="CB14" s="602">
        <v>0</v>
      </c>
      <c r="CC14" s="576">
        <v>0</v>
      </c>
      <c r="CD14" s="576">
        <v>0</v>
      </c>
      <c r="CE14" s="576">
        <v>0</v>
      </c>
      <c r="CF14" s="576">
        <v>0</v>
      </c>
      <c r="CG14" s="576">
        <v>0</v>
      </c>
      <c r="CH14" s="576">
        <v>0</v>
      </c>
      <c r="CI14" s="576">
        <v>0</v>
      </c>
      <c r="CJ14" s="576">
        <v>0</v>
      </c>
      <c r="CK14" s="576">
        <v>0</v>
      </c>
      <c r="CL14" s="576">
        <v>0</v>
      </c>
      <c r="CM14" s="576">
        <v>1</v>
      </c>
      <c r="CN14" s="602">
        <v>0</v>
      </c>
      <c r="CO14" s="602">
        <v>0</v>
      </c>
      <c r="CP14" s="602">
        <v>0</v>
      </c>
      <c r="CQ14" s="576">
        <v>0</v>
      </c>
      <c r="CR14" s="576">
        <v>0</v>
      </c>
      <c r="CS14" s="602">
        <v>0</v>
      </c>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c r="JU14" s="88"/>
      <c r="JV14" s="88"/>
      <c r="JW14" s="88"/>
      <c r="JX14" s="88"/>
      <c r="JY14" s="88"/>
      <c r="JZ14" s="88"/>
      <c r="KA14" s="88"/>
      <c r="KB14" s="88"/>
      <c r="KC14" s="88"/>
      <c r="KD14" s="88"/>
      <c r="KE14" s="88"/>
      <c r="KF14" s="88"/>
      <c r="KG14" s="88"/>
      <c r="KH14" s="88"/>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LM14" s="88"/>
      <c r="LN14" s="88"/>
      <c r="LO14" s="88"/>
      <c r="LP14" s="88"/>
      <c r="LQ14" s="88"/>
      <c r="LR14" s="88"/>
      <c r="LS14" s="88"/>
      <c r="LT14" s="88"/>
      <c r="LU14" s="88"/>
      <c r="LV14" s="88"/>
      <c r="LW14" s="88"/>
      <c r="LX14" s="88"/>
      <c r="LY14" s="88"/>
      <c r="LZ14" s="88"/>
      <c r="MA14" s="88"/>
      <c r="MB14" s="88"/>
      <c r="MC14" s="88"/>
      <c r="MD14" s="88"/>
      <c r="ME14" s="88"/>
      <c r="MF14" s="88"/>
      <c r="MG14" s="88"/>
      <c r="MH14" s="88"/>
      <c r="MI14" s="88"/>
      <c r="MJ14" s="88"/>
      <c r="MK14" s="88"/>
      <c r="ML14" s="88"/>
      <c r="MM14" s="88"/>
      <c r="MN14" s="88"/>
      <c r="MO14" s="88"/>
      <c r="MP14" s="88"/>
      <c r="MQ14" s="88"/>
      <c r="MR14" s="88"/>
      <c r="MS14" s="88"/>
      <c r="MT14" s="88"/>
      <c r="MU14" s="88"/>
      <c r="MV14" s="88"/>
      <c r="MW14" s="88"/>
      <c r="MX14" s="88"/>
      <c r="MY14" s="88"/>
      <c r="MZ14" s="88"/>
      <c r="NA14" s="88"/>
      <c r="NB14" s="88"/>
      <c r="NC14" s="88"/>
      <c r="ND14" s="88"/>
      <c r="NE14" s="88"/>
      <c r="NF14" s="88"/>
      <c r="NG14" s="88"/>
      <c r="NH14" s="88"/>
      <c r="NI14" s="88"/>
      <c r="NJ14" s="88"/>
      <c r="NK14" s="88"/>
      <c r="NL14" s="88"/>
      <c r="NM14" s="88"/>
      <c r="NN14" s="88"/>
      <c r="NO14" s="88"/>
      <c r="NP14" s="88"/>
      <c r="NQ14" s="88"/>
      <c r="NR14" s="88"/>
      <c r="NS14" s="88"/>
      <c r="NT14" s="88"/>
      <c r="NU14" s="88"/>
      <c r="NV14" s="88"/>
      <c r="NW14" s="88"/>
      <c r="NX14" s="88"/>
      <c r="NY14" s="88"/>
      <c r="NZ14" s="88"/>
      <c r="OA14" s="88"/>
      <c r="OB14" s="88"/>
      <c r="OC14" s="88"/>
      <c r="OD14" s="88"/>
      <c r="OE14" s="88"/>
      <c r="OF14" s="88"/>
      <c r="OG14" s="88"/>
      <c r="OH14" s="88"/>
      <c r="OI14" s="88"/>
      <c r="OJ14" s="88"/>
      <c r="OK14" s="88"/>
      <c r="OL14" s="88"/>
      <c r="OM14" s="88"/>
      <c r="ON14" s="88"/>
      <c r="OO14" s="88"/>
      <c r="OP14" s="88"/>
      <c r="OQ14" s="88"/>
      <c r="OR14" s="88"/>
      <c r="OS14" s="88"/>
      <c r="OT14" s="88"/>
      <c r="OU14" s="88"/>
      <c r="OV14" s="88"/>
      <c r="OW14" s="88"/>
      <c r="OX14" s="88"/>
      <c r="OY14" s="88"/>
      <c r="OZ14" s="88"/>
      <c r="PA14" s="88"/>
      <c r="PB14" s="88"/>
      <c r="PC14" s="88"/>
      <c r="PD14" s="88"/>
      <c r="PE14" s="88"/>
      <c r="PF14" s="88"/>
      <c r="PG14" s="88"/>
      <c r="PH14" s="88"/>
      <c r="PI14" s="88"/>
      <c r="PJ14" s="88"/>
      <c r="PK14" s="88"/>
      <c r="PL14" s="88"/>
      <c r="PM14" s="88"/>
      <c r="PN14" s="88"/>
      <c r="PO14" s="88"/>
      <c r="PP14" s="88"/>
      <c r="PQ14" s="88"/>
      <c r="PR14" s="88"/>
      <c r="PS14" s="88"/>
      <c r="PT14" s="88"/>
      <c r="PU14" s="88"/>
      <c r="PV14" s="88"/>
      <c r="PW14" s="88"/>
      <c r="PX14" s="88"/>
      <c r="PY14" s="88"/>
      <c r="PZ14" s="88"/>
      <c r="QA14" s="88"/>
      <c r="QB14" s="88"/>
      <c r="QC14" s="88"/>
      <c r="QD14" s="88"/>
      <c r="QE14" s="88"/>
      <c r="QF14" s="88"/>
      <c r="QG14" s="88"/>
      <c r="QH14" s="88"/>
      <c r="QI14" s="88"/>
      <c r="QJ14" s="88"/>
      <c r="QK14" s="88"/>
      <c r="QL14" s="88"/>
      <c r="QM14" s="88"/>
      <c r="QN14" s="88"/>
      <c r="QO14" s="88"/>
      <c r="QP14" s="88"/>
      <c r="QQ14" s="88"/>
      <c r="QR14" s="88"/>
      <c r="QS14" s="88"/>
      <c r="QT14" s="88"/>
      <c r="QU14" s="88"/>
      <c r="QV14" s="88"/>
      <c r="QW14" s="88"/>
      <c r="QX14" s="88"/>
      <c r="QY14" s="88"/>
      <c r="QZ14" s="88"/>
      <c r="RA14" s="88"/>
      <c r="RB14" s="88"/>
      <c r="RC14" s="88"/>
      <c r="RD14" s="88"/>
      <c r="RE14" s="88"/>
      <c r="RF14" s="88"/>
      <c r="RG14" s="88"/>
      <c r="RH14" s="88"/>
      <c r="RI14" s="88"/>
      <c r="RJ14" s="88"/>
      <c r="RK14" s="88"/>
      <c r="RL14" s="88"/>
      <c r="RM14" s="88"/>
      <c r="RN14" s="88"/>
      <c r="RO14" s="88"/>
      <c r="RP14" s="88"/>
      <c r="RQ14" s="88"/>
      <c r="RR14" s="88"/>
      <c r="RS14" s="88"/>
      <c r="RT14" s="88"/>
      <c r="RU14" s="88"/>
      <c r="RV14" s="88"/>
      <c r="RW14" s="88"/>
      <c r="RX14" s="88"/>
      <c r="RY14" s="88"/>
      <c r="RZ14" s="88"/>
      <c r="SA14" s="88"/>
      <c r="SB14" s="88"/>
      <c r="SC14" s="88"/>
      <c r="SD14" s="88"/>
      <c r="SE14" s="88"/>
      <c r="SF14" s="88"/>
      <c r="SG14" s="88"/>
      <c r="SH14" s="88"/>
      <c r="SI14" s="88"/>
      <c r="SJ14" s="88"/>
      <c r="SK14" s="88"/>
      <c r="SL14" s="88"/>
      <c r="SM14" s="88"/>
      <c r="SN14" s="88"/>
      <c r="SO14" s="88"/>
      <c r="SP14" s="88"/>
      <c r="SQ14" s="88"/>
      <c r="SR14" s="88"/>
      <c r="SS14" s="88"/>
      <c r="ST14" s="88"/>
      <c r="SU14" s="88"/>
      <c r="SV14" s="88"/>
      <c r="SW14" s="88"/>
      <c r="SX14" s="88"/>
      <c r="SY14" s="88"/>
      <c r="SZ14" s="88"/>
      <c r="TA14" s="88"/>
      <c r="TB14" s="88"/>
      <c r="TC14" s="88"/>
      <c r="TD14" s="88"/>
      <c r="TE14" s="88"/>
      <c r="TF14" s="88"/>
      <c r="TG14" s="88"/>
      <c r="TH14" s="88"/>
      <c r="TI14" s="88"/>
      <c r="TJ14" s="88"/>
      <c r="TK14" s="88"/>
      <c r="TL14" s="88"/>
      <c r="TM14" s="88"/>
      <c r="TN14" s="88"/>
      <c r="TO14" s="88"/>
      <c r="TP14" s="88"/>
      <c r="TQ14" s="88"/>
      <c r="TR14" s="88"/>
      <c r="TS14" s="88"/>
      <c r="TT14" s="88"/>
      <c r="TU14" s="88"/>
      <c r="TV14" s="88"/>
      <c r="TW14" s="88"/>
      <c r="TX14" s="88"/>
      <c r="TY14" s="88"/>
      <c r="TZ14" s="88"/>
      <c r="UA14" s="88"/>
      <c r="UB14" s="88"/>
      <c r="UC14" s="88"/>
      <c r="UD14" s="88"/>
      <c r="UE14" s="88"/>
      <c r="UF14" s="88"/>
      <c r="UG14" s="88"/>
      <c r="UH14" s="88"/>
      <c r="UI14" s="88"/>
      <c r="UJ14" s="88"/>
      <c r="UK14" s="88"/>
      <c r="UL14" s="88"/>
      <c r="UM14" s="88"/>
      <c r="UN14" s="88"/>
      <c r="UO14" s="88"/>
      <c r="UP14" s="88"/>
      <c r="UQ14" s="88"/>
      <c r="UR14" s="88"/>
      <c r="US14" s="88"/>
      <c r="UT14" s="88"/>
      <c r="UU14" s="88"/>
      <c r="UV14" s="88"/>
      <c r="UW14" s="88"/>
      <c r="UX14" s="88"/>
      <c r="UY14" s="88"/>
      <c r="UZ14" s="88"/>
      <c r="VA14" s="88"/>
      <c r="VB14" s="88"/>
      <c r="VC14" s="88"/>
      <c r="VD14" s="88"/>
      <c r="VE14" s="88"/>
      <c r="VF14" s="88"/>
      <c r="VG14" s="88"/>
      <c r="VH14" s="88"/>
      <c r="VI14" s="88"/>
      <c r="VJ14" s="88"/>
      <c r="VK14" s="88"/>
      <c r="VL14" s="88"/>
      <c r="VM14" s="88"/>
      <c r="VN14" s="88"/>
      <c r="VO14" s="88"/>
      <c r="VP14" s="88"/>
      <c r="VQ14" s="88"/>
      <c r="VR14" s="88"/>
      <c r="VS14" s="88"/>
      <c r="VT14" s="88"/>
      <c r="VU14" s="88"/>
      <c r="VV14" s="88"/>
      <c r="VW14" s="88"/>
      <c r="VX14" s="88"/>
      <c r="VY14" s="88"/>
      <c r="VZ14" s="88"/>
      <c r="WA14" s="88"/>
      <c r="WB14" s="88"/>
      <c r="WC14" s="88"/>
      <c r="WD14" s="88"/>
      <c r="WE14" s="88"/>
      <c r="WF14" s="88"/>
      <c r="WG14" s="88"/>
      <c r="WH14" s="88"/>
      <c r="WI14" s="88"/>
      <c r="WJ14" s="88"/>
      <c r="WK14" s="88"/>
      <c r="WL14" s="88"/>
      <c r="WM14" s="88"/>
      <c r="WN14" s="88"/>
      <c r="WO14" s="88"/>
      <c r="WP14" s="88"/>
      <c r="WQ14" s="88"/>
      <c r="WR14" s="88"/>
      <c r="WS14" s="88"/>
      <c r="WT14" s="88"/>
      <c r="WU14" s="88"/>
      <c r="WV14" s="88"/>
      <c r="WW14" s="88"/>
      <c r="WX14" s="88"/>
      <c r="WY14" s="88"/>
      <c r="WZ14" s="88"/>
      <c r="XA14" s="88"/>
      <c r="XB14" s="88"/>
      <c r="XC14" s="88"/>
      <c r="XD14" s="88"/>
      <c r="XE14" s="88"/>
      <c r="XF14" s="88"/>
      <c r="XG14" s="88"/>
      <c r="XH14" s="88"/>
      <c r="XI14" s="88"/>
      <c r="XJ14" s="88"/>
      <c r="XK14" s="88"/>
      <c r="XL14" s="88"/>
      <c r="XM14" s="88"/>
      <c r="XN14" s="88"/>
      <c r="XO14" s="88"/>
      <c r="XP14" s="88"/>
      <c r="XQ14" s="88"/>
      <c r="XR14" s="88"/>
      <c r="XS14" s="88"/>
      <c r="XT14" s="88"/>
      <c r="XU14" s="88"/>
      <c r="XV14" s="88"/>
      <c r="XW14" s="88"/>
      <c r="XX14" s="88"/>
      <c r="XY14" s="88"/>
      <c r="XZ14" s="88"/>
      <c r="YA14" s="88"/>
      <c r="YB14" s="88"/>
      <c r="YC14" s="88"/>
      <c r="YD14" s="88"/>
      <c r="YE14" s="88"/>
      <c r="YF14" s="88"/>
      <c r="YG14" s="88"/>
      <c r="YH14" s="88"/>
      <c r="YI14" s="88"/>
      <c r="YJ14" s="88"/>
      <c r="YK14" s="88"/>
      <c r="YL14" s="88"/>
      <c r="YM14" s="88"/>
      <c r="YN14" s="88"/>
      <c r="YO14" s="88"/>
      <c r="YP14" s="88"/>
      <c r="YQ14" s="88"/>
      <c r="YR14" s="88"/>
      <c r="YS14" s="88"/>
      <c r="YT14" s="88"/>
      <c r="YU14" s="88"/>
      <c r="YV14" s="88"/>
      <c r="YW14" s="88"/>
      <c r="YX14" s="88"/>
      <c r="YY14" s="88"/>
      <c r="YZ14" s="88"/>
      <c r="ZA14" s="88"/>
      <c r="ZB14" s="88"/>
      <c r="ZC14" s="88"/>
      <c r="ZD14" s="88"/>
      <c r="ZE14" s="88"/>
      <c r="ZF14" s="88"/>
      <c r="ZG14" s="88"/>
      <c r="ZH14" s="88"/>
      <c r="ZI14" s="88"/>
      <c r="ZJ14" s="88"/>
      <c r="ZK14" s="88"/>
      <c r="ZL14" s="88"/>
      <c r="ZM14" s="88"/>
      <c r="ZN14" s="88"/>
      <c r="ZO14" s="88"/>
      <c r="ZP14" s="88"/>
      <c r="ZQ14" s="88"/>
      <c r="ZR14" s="88"/>
      <c r="ZS14" s="88"/>
      <c r="ZT14" s="88"/>
      <c r="ZU14" s="88"/>
      <c r="ZV14" s="88"/>
      <c r="ZW14" s="88"/>
      <c r="ZX14" s="88"/>
      <c r="ZY14" s="88"/>
      <c r="ZZ14" s="88"/>
      <c r="AAA14" s="88"/>
      <c r="AAB14" s="88"/>
      <c r="AAC14" s="88"/>
      <c r="AAD14" s="88"/>
      <c r="AAE14" s="88"/>
      <c r="AAF14" s="88"/>
      <c r="AAG14" s="88"/>
      <c r="AAH14" s="88"/>
      <c r="AAI14" s="88"/>
      <c r="AAJ14" s="88"/>
      <c r="AAK14" s="88"/>
      <c r="AAL14" s="88"/>
      <c r="AAM14" s="88"/>
      <c r="AAN14" s="88"/>
      <c r="AAO14" s="88"/>
      <c r="AAP14" s="88"/>
      <c r="AAQ14" s="88"/>
      <c r="AAR14" s="88"/>
      <c r="AAS14" s="88"/>
      <c r="AAT14" s="88"/>
      <c r="AAU14" s="88"/>
      <c r="AAV14" s="88"/>
      <c r="AAW14" s="88"/>
      <c r="AAX14" s="88"/>
      <c r="AAY14" s="88"/>
      <c r="AAZ14" s="88"/>
      <c r="ABA14" s="88"/>
      <c r="ABB14" s="88"/>
      <c r="ABC14" s="88"/>
      <c r="ABD14" s="88"/>
      <c r="ABE14" s="88"/>
      <c r="ABF14" s="88"/>
      <c r="ABG14" s="88"/>
      <c r="ABH14" s="88"/>
      <c r="ABI14" s="88"/>
      <c r="ABJ14" s="88"/>
      <c r="ABK14" s="88"/>
      <c r="ABL14" s="88"/>
      <c r="ABM14" s="88"/>
      <c r="ABN14" s="88"/>
      <c r="ABO14" s="88"/>
      <c r="ABP14" s="88"/>
      <c r="ABQ14" s="88"/>
      <c r="ABR14" s="88"/>
      <c r="ABS14" s="88"/>
      <c r="ABT14" s="88"/>
      <c r="ABU14" s="88"/>
      <c r="ABV14" s="88"/>
      <c r="ABW14" s="88"/>
      <c r="ABX14" s="88"/>
      <c r="ABY14" s="88"/>
      <c r="ABZ14" s="88"/>
      <c r="ACA14" s="88"/>
      <c r="ACB14" s="88"/>
      <c r="ACC14" s="88"/>
      <c r="ACD14" s="88"/>
      <c r="ACE14" s="88"/>
      <c r="ACF14" s="88"/>
      <c r="ACG14" s="88"/>
      <c r="ACH14" s="88"/>
      <c r="ACI14" s="88"/>
      <c r="ACJ14" s="88"/>
      <c r="ACK14" s="88"/>
      <c r="ACL14" s="88"/>
      <c r="ACM14" s="88"/>
      <c r="ACN14" s="88"/>
      <c r="ACO14" s="88"/>
      <c r="ACP14" s="88"/>
      <c r="ACQ14" s="88"/>
      <c r="ACR14" s="88"/>
      <c r="ACS14" s="88"/>
      <c r="ACT14" s="88"/>
      <c r="ACU14" s="88"/>
      <c r="ACV14" s="88"/>
      <c r="ACW14" s="88"/>
      <c r="ACX14" s="88"/>
      <c r="ACY14" s="88"/>
      <c r="ACZ14" s="88"/>
      <c r="ADA14" s="88"/>
      <c r="ADB14" s="88"/>
      <c r="ADC14" s="88"/>
      <c r="ADD14" s="88"/>
      <c r="ADE14" s="88"/>
      <c r="ADF14" s="88"/>
      <c r="ADG14" s="88"/>
      <c r="ADH14" s="88"/>
      <c r="ADI14" s="88"/>
      <c r="ADJ14" s="88"/>
      <c r="ADK14" s="88"/>
      <c r="ADL14" s="88"/>
      <c r="ADM14" s="88"/>
      <c r="ADN14" s="88"/>
      <c r="ADO14" s="88"/>
      <c r="ADP14" s="88"/>
      <c r="ADQ14" s="88"/>
      <c r="ADR14" s="88"/>
      <c r="ADS14" s="88"/>
      <c r="ADT14" s="88"/>
      <c r="ADU14" s="88"/>
      <c r="ADV14" s="88"/>
      <c r="ADW14" s="88"/>
      <c r="ADX14" s="88"/>
      <c r="ADY14" s="88"/>
      <c r="ADZ14" s="88"/>
      <c r="AEA14" s="88"/>
      <c r="AEB14" s="88"/>
      <c r="AEC14" s="88"/>
      <c r="AED14" s="88"/>
      <c r="AEE14" s="88"/>
      <c r="AEF14" s="88"/>
      <c r="AEG14" s="88"/>
      <c r="AEH14" s="88"/>
      <c r="AEI14" s="88"/>
      <c r="AEJ14" s="88"/>
      <c r="AEK14" s="88"/>
      <c r="AEL14" s="88"/>
      <c r="AEM14" s="88"/>
      <c r="AEN14" s="88"/>
      <c r="AEO14" s="88"/>
      <c r="AEP14" s="88"/>
      <c r="AEQ14" s="88"/>
      <c r="AER14" s="88"/>
      <c r="AES14" s="88"/>
      <c r="AET14" s="88"/>
      <c r="AEU14" s="88"/>
      <c r="AEV14" s="88"/>
      <c r="AEW14" s="88"/>
      <c r="AEX14" s="88"/>
      <c r="AEY14" s="88"/>
      <c r="AEZ14" s="88"/>
      <c r="AFA14" s="88"/>
      <c r="AFB14" s="88"/>
      <c r="AFC14" s="88"/>
      <c r="AFD14" s="88"/>
      <c r="AFE14" s="88"/>
      <c r="AFF14" s="88"/>
      <c r="AFG14" s="88"/>
      <c r="AFH14" s="88"/>
      <c r="AFI14" s="88"/>
      <c r="AFJ14" s="88"/>
      <c r="AFK14" s="88"/>
      <c r="AFL14" s="88"/>
      <c r="AFM14" s="88"/>
      <c r="AFN14" s="88"/>
      <c r="AFO14" s="88"/>
      <c r="AFP14" s="88"/>
      <c r="AFQ14" s="88"/>
      <c r="AFR14" s="88"/>
      <c r="AFS14" s="88"/>
      <c r="AFT14" s="88"/>
      <c r="AFU14" s="88"/>
      <c r="AFV14" s="88"/>
      <c r="AFW14" s="88"/>
      <c r="AFX14" s="88"/>
      <c r="AFY14" s="88"/>
      <c r="AFZ14" s="88"/>
      <c r="AGA14" s="88"/>
      <c r="AGB14" s="88"/>
      <c r="AGC14" s="88"/>
      <c r="AGD14" s="88"/>
      <c r="AGE14" s="88"/>
      <c r="AGF14" s="88"/>
      <c r="AGG14" s="88"/>
      <c r="AGH14" s="88"/>
      <c r="AGI14" s="88"/>
      <c r="AGJ14" s="88"/>
      <c r="AGK14" s="88"/>
      <c r="AGL14" s="88"/>
      <c r="AGM14" s="88"/>
      <c r="AGN14" s="88"/>
      <c r="AGO14" s="88"/>
      <c r="AGP14" s="88"/>
      <c r="AGQ14" s="88"/>
      <c r="AGR14" s="88"/>
      <c r="AGS14" s="88"/>
      <c r="AGT14" s="88"/>
      <c r="AGU14" s="88"/>
      <c r="AGV14" s="88"/>
      <c r="AGW14" s="88"/>
      <c r="AGX14" s="88"/>
      <c r="AGY14" s="88"/>
      <c r="AGZ14" s="88"/>
      <c r="AHA14" s="88"/>
      <c r="AHB14" s="88"/>
      <c r="AHC14" s="88"/>
      <c r="AHD14" s="88"/>
      <c r="AHE14" s="88"/>
      <c r="AHF14" s="88"/>
      <c r="AHG14" s="88"/>
      <c r="AHH14" s="88"/>
      <c r="AHI14" s="88"/>
      <c r="AHJ14" s="88"/>
      <c r="AHK14" s="88"/>
      <c r="AHL14" s="88"/>
      <c r="AHM14" s="88"/>
      <c r="AHN14" s="88"/>
      <c r="AHO14" s="88"/>
      <c r="AHP14" s="88"/>
      <c r="AHQ14" s="88"/>
      <c r="AHR14" s="88"/>
      <c r="AHS14" s="88"/>
      <c r="AHT14" s="88"/>
      <c r="AHU14" s="88"/>
      <c r="AHV14" s="88"/>
      <c r="AHW14" s="88"/>
      <c r="AHX14" s="88"/>
      <c r="AHY14" s="88"/>
      <c r="AHZ14" s="88"/>
      <c r="AIA14" s="88"/>
      <c r="AIB14" s="88"/>
      <c r="AIC14" s="88"/>
      <c r="AID14" s="88"/>
      <c r="AIE14" s="88"/>
      <c r="AIF14" s="88"/>
      <c r="AIG14" s="88"/>
      <c r="AIH14" s="88"/>
      <c r="AII14" s="88"/>
      <c r="AIJ14" s="88"/>
      <c r="AIK14" s="88"/>
      <c r="AIL14" s="88"/>
      <c r="AIM14" s="88"/>
      <c r="AIN14" s="88"/>
      <c r="AIO14" s="88"/>
      <c r="AIP14" s="88"/>
      <c r="AIQ14" s="88"/>
      <c r="AIR14" s="88"/>
      <c r="AIS14" s="88"/>
      <c r="AIT14" s="88"/>
      <c r="AIU14" s="88"/>
      <c r="AIV14" s="88"/>
      <c r="AIW14" s="88"/>
      <c r="AIX14" s="88"/>
      <c r="AIY14" s="88"/>
      <c r="AIZ14" s="88"/>
      <c r="AJA14" s="88"/>
      <c r="AJB14" s="88"/>
      <c r="AJC14" s="88"/>
      <c r="AJD14" s="88"/>
      <c r="AJE14" s="88"/>
      <c r="AJF14" s="88"/>
      <c r="AJG14" s="88"/>
      <c r="AJH14" s="88"/>
      <c r="AJI14" s="88"/>
      <c r="AJJ14" s="88"/>
      <c r="AJK14" s="88"/>
      <c r="AJL14" s="88"/>
      <c r="AJM14" s="88"/>
      <c r="AJN14" s="88"/>
      <c r="AJO14" s="88"/>
      <c r="AJP14" s="88"/>
      <c r="AJQ14" s="88"/>
      <c r="AJR14" s="88"/>
      <c r="AJS14" s="88"/>
      <c r="AJT14" s="88"/>
      <c r="AJU14" s="88"/>
      <c r="AJV14" s="88"/>
      <c r="AJW14" s="88"/>
      <c r="AJX14" s="88"/>
      <c r="AJY14" s="88"/>
      <c r="AJZ14" s="88"/>
      <c r="AKA14" s="88"/>
      <c r="AKB14" s="88"/>
      <c r="AKC14" s="88"/>
      <c r="AKD14" s="88"/>
      <c r="AKE14" s="88"/>
      <c r="AKF14" s="88"/>
      <c r="AKG14" s="88"/>
      <c r="AKH14" s="88"/>
      <c r="AKI14" s="88"/>
      <c r="AKJ14" s="88"/>
      <c r="AKK14" s="88"/>
      <c r="AKL14" s="88"/>
      <c r="AKM14" s="88"/>
      <c r="AKN14" s="88"/>
      <c r="AKO14" s="88"/>
      <c r="AKP14" s="88"/>
      <c r="AKQ14" s="88"/>
      <c r="AKR14" s="88"/>
      <c r="AKS14" s="88"/>
      <c r="AKT14" s="88"/>
      <c r="AKU14" s="88"/>
      <c r="AKV14" s="88"/>
      <c r="AKW14" s="88"/>
      <c r="AKX14" s="88"/>
      <c r="AKY14" s="88"/>
      <c r="AKZ14" s="88"/>
      <c r="ALA14" s="88"/>
      <c r="ALB14" s="88"/>
      <c r="ALC14" s="88"/>
      <c r="ALD14" s="88"/>
      <c r="ALE14" s="88"/>
      <c r="ALF14" s="88"/>
      <c r="ALG14" s="88"/>
      <c r="ALH14" s="88"/>
      <c r="ALI14" s="88"/>
      <c r="ALJ14" s="88"/>
      <c r="ALK14" s="88"/>
      <c r="ALL14" s="88"/>
      <c r="ALM14" s="88"/>
      <c r="ALN14" s="88"/>
      <c r="ALO14" s="88"/>
      <c r="ALP14" s="88"/>
      <c r="ALQ14" s="88"/>
      <c r="ALR14" s="88"/>
      <c r="ALS14" s="88"/>
      <c r="ALT14" s="88"/>
      <c r="ALU14" s="88"/>
      <c r="ALV14" s="88"/>
      <c r="ALW14" s="88"/>
      <c r="ALX14" s="88"/>
      <c r="ALY14" s="88"/>
      <c r="ALZ14" s="88"/>
      <c r="AMA14" s="88"/>
      <c r="AMB14" s="88"/>
      <c r="AMC14" s="88"/>
      <c r="AMD14" s="88"/>
      <c r="AME14" s="88"/>
      <c r="AMF14" s="88"/>
      <c r="AMG14" s="88"/>
      <c r="AMH14" s="88"/>
      <c r="AMI14" s="88"/>
      <c r="AMJ14" s="88"/>
      <c r="AMK14" s="88"/>
      <c r="AML14" s="88"/>
      <c r="AMM14" s="88"/>
      <c r="AMN14" s="88"/>
      <c r="AMO14" s="88"/>
      <c r="AMP14" s="88"/>
      <c r="AMQ14" s="88"/>
      <c r="AMR14" s="88"/>
      <c r="AMS14" s="88"/>
      <c r="AMT14" s="88"/>
      <c r="AMU14" s="88"/>
      <c r="AMV14" s="88"/>
      <c r="AMW14" s="88"/>
      <c r="AMX14" s="88"/>
      <c r="AMY14" s="88"/>
      <c r="AMZ14" s="88"/>
      <c r="ANA14" s="88"/>
      <c r="ANB14" s="88"/>
      <c r="ANC14" s="88"/>
      <c r="AND14" s="88"/>
      <c r="ANE14" s="88"/>
      <c r="ANF14" s="88"/>
      <c r="ANG14" s="88"/>
      <c r="ANH14" s="88"/>
      <c r="ANI14" s="88"/>
      <c r="ANJ14" s="88"/>
      <c r="ANK14" s="88"/>
      <c r="ANL14" s="88"/>
      <c r="ANM14" s="88"/>
      <c r="ANN14" s="88"/>
      <c r="ANO14" s="88"/>
      <c r="ANP14" s="88"/>
      <c r="ANQ14" s="88"/>
      <c r="ANR14" s="88"/>
      <c r="ANS14" s="88"/>
      <c r="ANT14" s="88"/>
      <c r="ANU14" s="88"/>
      <c r="ANV14" s="88"/>
      <c r="ANW14" s="88"/>
      <c r="ANX14" s="88"/>
      <c r="ANY14" s="88"/>
      <c r="ANZ14" s="88"/>
      <c r="AOA14" s="88"/>
      <c r="AOB14" s="88"/>
      <c r="AOC14" s="88"/>
      <c r="AOD14" s="88"/>
      <c r="AOE14" s="88"/>
      <c r="AOF14" s="88"/>
      <c r="AOG14" s="88"/>
      <c r="AOH14" s="88"/>
      <c r="AOI14" s="88"/>
      <c r="AOJ14" s="88"/>
      <c r="AOK14" s="88"/>
      <c r="AOL14" s="88"/>
      <c r="AOM14" s="88"/>
      <c r="AON14" s="88"/>
      <c r="AOO14" s="88"/>
      <c r="AOP14" s="88"/>
      <c r="AOQ14" s="88"/>
      <c r="AOR14" s="88"/>
      <c r="AOS14" s="88"/>
      <c r="AOT14" s="88"/>
      <c r="AOU14" s="88"/>
      <c r="AOV14" s="88"/>
      <c r="AOW14" s="88"/>
      <c r="AOX14" s="88"/>
      <c r="AOY14" s="88"/>
      <c r="AOZ14" s="88"/>
      <c r="APA14" s="88"/>
      <c r="APB14" s="88"/>
      <c r="APC14" s="88"/>
      <c r="APD14" s="88"/>
      <c r="APE14" s="88"/>
      <c r="APF14" s="88"/>
      <c r="APG14" s="88"/>
      <c r="APH14" s="88"/>
      <c r="API14" s="88"/>
      <c r="APJ14" s="88"/>
      <c r="APK14" s="88"/>
      <c r="APL14" s="88"/>
      <c r="APM14" s="88"/>
      <c r="APN14" s="88"/>
      <c r="APO14" s="88"/>
      <c r="APP14" s="88"/>
      <c r="APQ14" s="88"/>
      <c r="APR14" s="88"/>
      <c r="APS14" s="88"/>
      <c r="APT14" s="88"/>
      <c r="APU14" s="88"/>
      <c r="APV14" s="88"/>
      <c r="APW14" s="88"/>
      <c r="APX14" s="88"/>
      <c r="APY14" s="88"/>
      <c r="APZ14" s="88"/>
      <c r="AQA14" s="88"/>
      <c r="AQB14" s="88"/>
      <c r="AQC14" s="88"/>
      <c r="AQD14" s="88"/>
      <c r="AQE14" s="88"/>
      <c r="AQF14" s="88"/>
      <c r="AQG14" s="88"/>
      <c r="AQH14" s="88"/>
      <c r="AQI14" s="88"/>
      <c r="AQJ14" s="88"/>
      <c r="AQK14" s="88"/>
      <c r="AQL14" s="88"/>
      <c r="AQM14" s="88"/>
      <c r="AQN14" s="88"/>
      <c r="AQO14" s="88"/>
      <c r="AQP14" s="88"/>
      <c r="AQQ14" s="88"/>
      <c r="AQR14" s="88"/>
      <c r="AQS14" s="88"/>
      <c r="AQT14" s="88"/>
      <c r="AQU14" s="88"/>
      <c r="AQV14" s="88"/>
      <c r="AQW14" s="88"/>
      <c r="AQX14" s="88"/>
      <c r="AQY14" s="88"/>
      <c r="AQZ14" s="88"/>
      <c r="ARA14" s="88"/>
      <c r="ARB14" s="88"/>
      <c r="ARC14" s="88"/>
      <c r="ARD14" s="88"/>
      <c r="ARE14" s="88"/>
      <c r="ARF14" s="88"/>
      <c r="ARG14" s="88"/>
      <c r="ARH14" s="88"/>
      <c r="ARI14" s="88"/>
      <c r="ARJ14" s="88"/>
      <c r="ARK14" s="88"/>
      <c r="ARL14" s="88"/>
      <c r="ARM14" s="88"/>
      <c r="ARN14" s="88"/>
      <c r="ARO14" s="88"/>
      <c r="ARP14" s="88"/>
      <c r="ARQ14" s="88"/>
      <c r="ARR14" s="88"/>
      <c r="ARS14" s="88"/>
      <c r="ART14" s="88"/>
      <c r="ARU14" s="88"/>
      <c r="ARV14" s="88"/>
      <c r="ARW14" s="88"/>
      <c r="ARX14" s="88"/>
      <c r="ARY14" s="88"/>
      <c r="ARZ14" s="88"/>
      <c r="ASA14" s="88"/>
      <c r="ASB14" s="88"/>
      <c r="ASC14" s="88"/>
      <c r="ASD14" s="88"/>
      <c r="ASE14" s="88"/>
      <c r="ASF14" s="88"/>
      <c r="ASG14" s="88"/>
      <c r="ASH14" s="88"/>
      <c r="ASI14" s="88"/>
      <c r="ASJ14" s="88"/>
      <c r="ASK14" s="88"/>
      <c r="ASL14" s="88"/>
      <c r="ASM14" s="88"/>
      <c r="ASN14" s="88"/>
      <c r="ASO14" s="88"/>
      <c r="ASP14" s="88"/>
      <c r="ASQ14" s="88"/>
      <c r="ASR14" s="88"/>
      <c r="ASS14" s="88"/>
      <c r="AST14" s="88"/>
      <c r="ASU14" s="88"/>
      <c r="ASV14" s="88"/>
      <c r="ASW14" s="88"/>
      <c r="ASX14" s="88"/>
      <c r="ASY14" s="88"/>
      <c r="ASZ14" s="88"/>
      <c r="ATA14" s="88"/>
      <c r="ATB14" s="88"/>
      <c r="ATC14" s="88"/>
      <c r="ATD14" s="88"/>
      <c r="ATE14" s="88"/>
      <c r="ATF14" s="88"/>
      <c r="ATG14" s="88"/>
      <c r="ATH14" s="88"/>
      <c r="ATI14" s="88"/>
      <c r="ATJ14" s="88"/>
      <c r="ATK14" s="88"/>
      <c r="ATL14" s="88"/>
      <c r="ATM14" s="88"/>
      <c r="ATN14" s="88"/>
      <c r="ATO14" s="88"/>
      <c r="ATP14" s="88"/>
      <c r="ATQ14" s="88"/>
      <c r="ATR14" s="88"/>
      <c r="ATS14" s="88"/>
      <c r="ATT14" s="88"/>
      <c r="ATU14" s="88"/>
      <c r="ATV14" s="88"/>
      <c r="ATW14" s="88"/>
      <c r="ATX14" s="88"/>
      <c r="ATY14" s="88"/>
      <c r="ATZ14" s="88"/>
      <c r="AUA14" s="88"/>
      <c r="AUB14" s="88"/>
      <c r="AUC14" s="88"/>
      <c r="AUD14" s="88"/>
      <c r="AUE14" s="88"/>
      <c r="AUF14" s="88"/>
      <c r="AUG14" s="88"/>
      <c r="AUH14" s="88"/>
      <c r="AUI14" s="88"/>
      <c r="AUJ14" s="88"/>
      <c r="AUK14" s="88"/>
      <c r="AUL14" s="88"/>
      <c r="AUM14" s="88"/>
      <c r="AUN14" s="88"/>
      <c r="AUO14" s="88"/>
      <c r="AUP14" s="88"/>
      <c r="AUQ14" s="88"/>
      <c r="AUR14" s="88"/>
      <c r="AUS14" s="88"/>
      <c r="AUT14" s="88"/>
      <c r="AUU14" s="88"/>
      <c r="AUV14" s="88"/>
      <c r="AUW14" s="88"/>
      <c r="AUX14" s="88"/>
      <c r="AUY14" s="88"/>
      <c r="AUZ14" s="88"/>
      <c r="AVA14" s="88"/>
      <c r="AVB14" s="88"/>
      <c r="AVC14" s="88"/>
      <c r="AVD14" s="88"/>
      <c r="AVE14" s="88"/>
      <c r="AVF14" s="88"/>
      <c r="AVG14" s="88"/>
      <c r="AVH14" s="88"/>
      <c r="AVI14" s="88"/>
      <c r="AVJ14" s="88"/>
      <c r="AVK14" s="88"/>
      <c r="AVL14" s="88"/>
      <c r="AVM14" s="88"/>
      <c r="AVN14" s="88"/>
      <c r="AVO14" s="88"/>
      <c r="AVP14" s="88"/>
      <c r="AVQ14" s="88"/>
      <c r="AVR14" s="88"/>
      <c r="AVS14" s="88"/>
      <c r="AVT14" s="88"/>
      <c r="AVU14" s="88"/>
      <c r="AVV14" s="88"/>
      <c r="AVW14" s="88"/>
      <c r="AVX14" s="88"/>
      <c r="AVY14" s="88"/>
      <c r="AVZ14" s="88"/>
      <c r="AWA14" s="88"/>
      <c r="AWB14" s="88"/>
      <c r="AWC14" s="88"/>
      <c r="AWD14" s="88"/>
      <c r="AWE14" s="88"/>
      <c r="AWF14" s="88"/>
      <c r="AWG14" s="88"/>
      <c r="AWH14" s="88"/>
      <c r="AWI14" s="88"/>
      <c r="AWJ14" s="88"/>
      <c r="AWK14" s="88"/>
      <c r="AWL14" s="88"/>
      <c r="AWM14" s="88"/>
      <c r="AWN14" s="88"/>
      <c r="AWO14" s="88"/>
      <c r="AWP14" s="88"/>
      <c r="AWQ14" s="88"/>
      <c r="AWR14" s="88"/>
      <c r="AWS14" s="88"/>
      <c r="AWT14" s="88"/>
      <c r="AWU14" s="88"/>
      <c r="AWV14" s="88"/>
      <c r="AWW14" s="88"/>
      <c r="AWX14" s="88"/>
      <c r="AWY14" s="88"/>
      <c r="AWZ14" s="88"/>
      <c r="AXA14" s="88"/>
      <c r="AXB14" s="88"/>
      <c r="AXC14" s="88"/>
      <c r="AXD14" s="88"/>
      <c r="AXE14" s="88"/>
      <c r="AXF14" s="88"/>
      <c r="AXG14" s="88"/>
      <c r="AXH14" s="88"/>
      <c r="AXI14" s="88"/>
      <c r="AXJ14" s="88"/>
      <c r="AXK14" s="88"/>
      <c r="AXL14" s="88"/>
      <c r="AXM14" s="88"/>
      <c r="AXN14" s="88"/>
      <c r="AXO14" s="88"/>
      <c r="AXP14" s="88"/>
      <c r="AXQ14" s="88"/>
      <c r="AXR14" s="88"/>
      <c r="AXS14" s="88"/>
      <c r="AXT14" s="88"/>
      <c r="AXU14" s="88"/>
      <c r="AXV14" s="88"/>
      <c r="AXW14" s="88"/>
      <c r="AXX14" s="88"/>
      <c r="AXY14" s="88"/>
      <c r="AXZ14" s="88"/>
      <c r="AYA14" s="88"/>
      <c r="AYB14" s="88"/>
      <c r="AYC14" s="88"/>
      <c r="AYD14" s="88"/>
      <c r="AYE14" s="88"/>
      <c r="AYF14" s="88"/>
      <c r="AYG14" s="88"/>
      <c r="AYH14" s="88"/>
      <c r="AYI14" s="88"/>
      <c r="AYJ14" s="88"/>
      <c r="AYK14" s="88"/>
      <c r="AYL14" s="88"/>
      <c r="AYM14" s="88"/>
      <c r="AYN14" s="88"/>
      <c r="AYO14" s="88"/>
      <c r="AYP14" s="88"/>
      <c r="AYQ14" s="88"/>
      <c r="AYR14" s="88"/>
      <c r="AYS14" s="88"/>
      <c r="AYT14" s="88"/>
      <c r="AYU14" s="88"/>
      <c r="AYV14" s="88"/>
      <c r="AYW14" s="88"/>
      <c r="AYX14" s="88"/>
      <c r="AYY14" s="88"/>
      <c r="AYZ14" s="88"/>
      <c r="AZA14" s="88"/>
      <c r="AZB14" s="88"/>
      <c r="AZC14" s="88"/>
      <c r="AZD14" s="88"/>
      <c r="AZE14" s="88"/>
      <c r="AZF14" s="88"/>
      <c r="AZG14" s="88"/>
      <c r="AZH14" s="88"/>
      <c r="AZI14" s="88"/>
      <c r="AZJ14" s="88"/>
      <c r="AZK14" s="88"/>
      <c r="AZL14" s="88"/>
      <c r="AZM14" s="88"/>
      <c r="AZN14" s="88"/>
      <c r="AZO14" s="88"/>
      <c r="AZP14" s="88"/>
      <c r="AZQ14" s="88"/>
      <c r="AZR14" s="88"/>
      <c r="AZS14" s="88"/>
      <c r="AZT14" s="88"/>
      <c r="AZU14" s="88"/>
      <c r="AZV14" s="88"/>
      <c r="AZW14" s="88"/>
      <c r="AZX14" s="88"/>
      <c r="AZY14" s="88"/>
      <c r="AZZ14" s="88"/>
      <c r="BAA14" s="88"/>
      <c r="BAB14" s="88"/>
      <c r="BAC14" s="88"/>
      <c r="BAD14" s="88"/>
      <c r="BAE14" s="88"/>
      <c r="BAF14" s="88"/>
      <c r="BAG14" s="88"/>
      <c r="BAH14" s="88"/>
      <c r="BAI14" s="88"/>
      <c r="BAJ14" s="88"/>
      <c r="BAK14" s="88"/>
      <c r="BAL14" s="88"/>
      <c r="BAM14" s="88"/>
      <c r="BAN14" s="88"/>
      <c r="BAO14" s="88"/>
      <c r="BAP14" s="88"/>
      <c r="BAQ14" s="88"/>
      <c r="BAR14" s="88"/>
      <c r="BAS14" s="88"/>
      <c r="BAT14" s="88"/>
      <c r="BAU14" s="88"/>
      <c r="BAV14" s="88"/>
      <c r="BAW14" s="88"/>
      <c r="BAX14" s="88"/>
      <c r="BAY14" s="88"/>
      <c r="BAZ14" s="88"/>
      <c r="BBA14" s="88"/>
      <c r="BBB14" s="88"/>
      <c r="BBC14" s="88"/>
      <c r="BBD14" s="88"/>
      <c r="BBE14" s="88"/>
      <c r="BBF14" s="88"/>
      <c r="BBG14" s="88"/>
      <c r="BBH14" s="88"/>
      <c r="BBI14" s="88"/>
      <c r="BBJ14" s="88"/>
      <c r="BBK14" s="88"/>
      <c r="BBL14" s="88"/>
      <c r="BBM14" s="88"/>
      <c r="BBN14" s="88"/>
      <c r="BBO14" s="88"/>
      <c r="BBP14" s="88"/>
      <c r="BBQ14" s="88"/>
      <c r="BBR14" s="88"/>
      <c r="BBS14" s="88"/>
      <c r="BBT14" s="88"/>
      <c r="BBU14" s="88"/>
      <c r="BBV14" s="88"/>
      <c r="BBW14" s="88"/>
      <c r="BBX14" s="88"/>
      <c r="BBY14" s="88"/>
      <c r="BBZ14" s="88"/>
      <c r="BCA14" s="88"/>
      <c r="BCB14" s="88"/>
      <c r="BCC14" s="88"/>
      <c r="BCD14" s="88"/>
      <c r="BCE14" s="88"/>
      <c r="BCF14" s="88"/>
      <c r="BCG14" s="88"/>
      <c r="BCH14" s="88"/>
      <c r="BCI14" s="88"/>
      <c r="BCJ14" s="88"/>
      <c r="BCK14" s="88"/>
      <c r="BCL14" s="88"/>
      <c r="BCM14" s="88"/>
      <c r="BCN14" s="88"/>
      <c r="BCO14" s="88"/>
      <c r="BCP14" s="88"/>
      <c r="BCQ14" s="88"/>
      <c r="BCR14" s="88"/>
      <c r="BCS14" s="88"/>
      <c r="BCT14" s="88"/>
      <c r="BCU14" s="88"/>
      <c r="BCV14" s="88"/>
      <c r="BCW14" s="88"/>
      <c r="BCX14" s="88"/>
      <c r="BCY14" s="88"/>
      <c r="BCZ14" s="88"/>
      <c r="BDA14" s="88"/>
      <c r="BDB14" s="88"/>
      <c r="BDC14" s="88"/>
      <c r="BDD14" s="88"/>
      <c r="BDE14" s="88"/>
      <c r="BDF14" s="88"/>
      <c r="BDG14" s="88"/>
      <c r="BDH14" s="88"/>
      <c r="BDI14" s="88"/>
      <c r="BDJ14" s="88"/>
      <c r="BDK14" s="88"/>
      <c r="BDL14" s="88"/>
      <c r="BDM14" s="88"/>
      <c r="BDN14" s="88"/>
      <c r="BDO14" s="88"/>
      <c r="BDP14" s="88"/>
      <c r="BDQ14" s="88"/>
      <c r="BDR14" s="88"/>
      <c r="BDS14" s="88"/>
      <c r="BDT14" s="88"/>
      <c r="BDU14" s="88"/>
      <c r="BDV14" s="88"/>
      <c r="BDW14" s="88"/>
      <c r="BDX14" s="88"/>
      <c r="BDY14" s="88"/>
      <c r="BDZ14" s="88"/>
      <c r="BEA14" s="88"/>
      <c r="BEB14" s="88"/>
      <c r="BEC14" s="88"/>
      <c r="BED14" s="88"/>
      <c r="BEE14" s="88"/>
      <c r="BEF14" s="88"/>
      <c r="BEG14" s="88"/>
      <c r="BEH14" s="88"/>
      <c r="BEI14" s="88"/>
      <c r="BEJ14" s="88"/>
      <c r="BEK14" s="88"/>
      <c r="BEL14" s="88"/>
      <c r="BEM14" s="88"/>
      <c r="BEN14" s="88"/>
      <c r="BEO14" s="88"/>
      <c r="BEP14" s="88"/>
      <c r="BEQ14" s="88"/>
      <c r="BER14" s="88"/>
      <c r="BES14" s="88"/>
      <c r="BET14" s="88"/>
      <c r="BEU14" s="88"/>
      <c r="BEV14" s="88"/>
      <c r="BEW14" s="88"/>
      <c r="BEX14" s="88"/>
      <c r="BEY14" s="88"/>
      <c r="BEZ14" s="88"/>
      <c r="BFA14" s="88"/>
      <c r="BFB14" s="88"/>
      <c r="BFC14" s="88"/>
      <c r="BFD14" s="88"/>
      <c r="BFE14" s="88"/>
      <c r="BFF14" s="88"/>
      <c r="BFG14" s="88"/>
      <c r="BFH14" s="88"/>
      <c r="BFI14" s="88"/>
      <c r="BFJ14" s="88"/>
      <c r="BFK14" s="88"/>
      <c r="BFL14" s="88"/>
      <c r="BFM14" s="88"/>
      <c r="BFN14" s="88"/>
      <c r="BFO14" s="88"/>
      <c r="BFP14" s="88"/>
      <c r="BFQ14" s="88"/>
      <c r="BFR14" s="88"/>
      <c r="BFS14" s="88"/>
      <c r="BFT14" s="88"/>
      <c r="BFU14" s="88"/>
      <c r="BFV14" s="88"/>
      <c r="BFW14" s="88"/>
      <c r="BFX14" s="88"/>
      <c r="BFY14" s="88"/>
      <c r="BFZ14" s="88"/>
      <c r="BGA14" s="88"/>
      <c r="BGB14" s="88"/>
      <c r="BGC14" s="88"/>
      <c r="BGD14" s="88"/>
      <c r="BGE14" s="88"/>
      <c r="BGF14" s="88"/>
      <c r="BGG14" s="88"/>
      <c r="BGH14" s="88"/>
      <c r="BGI14" s="88"/>
      <c r="BGJ14" s="88"/>
      <c r="BGK14" s="88"/>
      <c r="BGL14" s="88"/>
      <c r="BGM14" s="88"/>
      <c r="BGN14" s="88"/>
      <c r="BGO14" s="88"/>
      <c r="BGP14" s="88"/>
      <c r="BGQ14" s="88"/>
      <c r="BGR14" s="88"/>
      <c r="BGS14" s="88"/>
      <c r="BGT14" s="88"/>
      <c r="BGU14" s="88"/>
      <c r="BGV14" s="88"/>
      <c r="BGW14" s="88"/>
      <c r="BGX14" s="88"/>
      <c r="BGY14" s="88"/>
      <c r="BGZ14" s="88"/>
      <c r="BHA14" s="88"/>
      <c r="BHB14" s="88"/>
      <c r="BHC14" s="88"/>
      <c r="BHD14" s="88"/>
      <c r="BHE14" s="88"/>
      <c r="BHF14" s="88"/>
      <c r="BHG14" s="88"/>
      <c r="BHH14" s="88"/>
      <c r="BHI14" s="88"/>
      <c r="BHJ14" s="88"/>
      <c r="BHK14" s="88"/>
      <c r="BHL14" s="88"/>
      <c r="BHM14" s="88"/>
      <c r="BHN14" s="88"/>
      <c r="BHO14" s="88"/>
      <c r="BHP14" s="88"/>
      <c r="BHQ14" s="88"/>
      <c r="BHR14" s="88"/>
      <c r="BHS14" s="88"/>
      <c r="BHT14" s="88"/>
      <c r="BHU14" s="88"/>
      <c r="BHV14" s="88"/>
      <c r="BHW14" s="88"/>
      <c r="BHX14" s="88"/>
      <c r="BHY14" s="88"/>
      <c r="BHZ14" s="88"/>
      <c r="BIA14" s="88"/>
      <c r="BIB14" s="88"/>
      <c r="BIC14" s="88"/>
      <c r="BID14" s="88"/>
      <c r="BIE14" s="88"/>
      <c r="BIF14" s="88"/>
      <c r="BIG14" s="88"/>
      <c r="BIH14" s="88"/>
      <c r="BII14" s="88"/>
      <c r="BIJ14" s="88"/>
      <c r="BIK14" s="88"/>
      <c r="BIL14" s="88"/>
      <c r="BIM14" s="88"/>
      <c r="BIN14" s="88"/>
      <c r="BIO14" s="88"/>
      <c r="BIP14" s="88"/>
      <c r="BIQ14" s="88"/>
      <c r="BIR14" s="88"/>
      <c r="BIS14" s="88"/>
      <c r="BIT14" s="88"/>
      <c r="BIU14" s="88"/>
      <c r="BIV14" s="88"/>
      <c r="BIW14" s="88"/>
      <c r="BIX14" s="88"/>
      <c r="BIY14" s="88"/>
      <c r="BIZ14" s="88"/>
      <c r="BJA14" s="88"/>
      <c r="BJB14" s="88"/>
      <c r="BJC14" s="88"/>
      <c r="BJD14" s="88"/>
      <c r="BJE14" s="88"/>
      <c r="BJF14" s="88"/>
      <c r="BJG14" s="88"/>
      <c r="BJH14" s="88"/>
      <c r="BJI14" s="88"/>
      <c r="BJJ14" s="88"/>
      <c r="BJK14" s="88"/>
      <c r="BJL14" s="88"/>
      <c r="BJM14" s="88"/>
      <c r="BJN14" s="88"/>
      <c r="BJO14" s="88"/>
      <c r="BJP14" s="88"/>
      <c r="BJQ14" s="88"/>
      <c r="BJR14" s="88"/>
      <c r="BJS14" s="88"/>
      <c r="BJT14" s="88"/>
      <c r="BJU14" s="88"/>
      <c r="BJV14" s="88"/>
      <c r="BJW14" s="88"/>
      <c r="BJX14" s="88"/>
      <c r="BJY14" s="88"/>
      <c r="BJZ14" s="88"/>
      <c r="BKA14" s="88"/>
      <c r="BKB14" s="88"/>
      <c r="BKC14" s="88"/>
      <c r="BKD14" s="88"/>
      <c r="BKE14" s="88"/>
      <c r="BKF14" s="88"/>
      <c r="BKG14" s="88"/>
      <c r="BKH14" s="88"/>
      <c r="BKI14" s="88"/>
      <c r="BKJ14" s="88"/>
      <c r="BKK14" s="88"/>
      <c r="BKL14" s="88"/>
      <c r="BKM14" s="88"/>
      <c r="BKN14" s="88"/>
      <c r="BKO14" s="88"/>
      <c r="BKP14" s="88"/>
      <c r="BKQ14" s="88"/>
      <c r="BKR14" s="88"/>
      <c r="BKS14" s="88"/>
      <c r="BKT14" s="88"/>
      <c r="BKU14" s="88"/>
      <c r="BKV14" s="88"/>
      <c r="BKW14" s="88"/>
      <c r="BKX14" s="88"/>
      <c r="BKY14" s="88"/>
      <c r="BKZ14" s="88"/>
      <c r="BLA14" s="88"/>
      <c r="BLB14" s="88"/>
      <c r="BLC14" s="88"/>
      <c r="BLD14" s="88"/>
      <c r="BLE14" s="88"/>
      <c r="BLF14" s="88"/>
      <c r="BLG14" s="88"/>
      <c r="BLH14" s="88"/>
      <c r="BLI14" s="88"/>
      <c r="BLJ14" s="88"/>
      <c r="BLK14" s="88"/>
      <c r="BLL14" s="88"/>
      <c r="BLM14" s="88"/>
      <c r="BLN14" s="88"/>
      <c r="BLO14" s="88"/>
      <c r="BLP14" s="88"/>
      <c r="BLQ14" s="88"/>
      <c r="BLR14" s="88"/>
      <c r="BLS14" s="88"/>
      <c r="BLT14" s="88"/>
      <c r="BLU14" s="88"/>
      <c r="BLV14" s="88"/>
      <c r="BLW14" s="88"/>
      <c r="BLX14" s="88"/>
      <c r="BLY14" s="88"/>
      <c r="BLZ14" s="88"/>
      <c r="BMA14" s="88"/>
      <c r="BMB14" s="88"/>
      <c r="BMC14" s="88"/>
      <c r="BMD14" s="88"/>
      <c r="BME14" s="88"/>
      <c r="BMF14" s="88"/>
      <c r="BMG14" s="88"/>
      <c r="BMH14" s="88"/>
      <c r="BMI14" s="88"/>
      <c r="BMJ14" s="88"/>
      <c r="BMK14" s="88"/>
      <c r="BML14" s="88"/>
      <c r="BMM14" s="88"/>
      <c r="BMN14" s="88"/>
      <c r="BMO14" s="88"/>
      <c r="BMP14" s="88"/>
      <c r="BMQ14" s="88"/>
      <c r="BMR14" s="88"/>
      <c r="BMS14" s="88"/>
      <c r="BMT14" s="88"/>
      <c r="BMU14" s="88"/>
      <c r="BMV14" s="88"/>
      <c r="BMW14" s="88"/>
      <c r="BMX14" s="88"/>
      <c r="BMY14" s="88"/>
      <c r="BMZ14" s="88"/>
      <c r="BNA14" s="88"/>
      <c r="BNB14" s="88"/>
      <c r="BNC14" s="88"/>
      <c r="BND14" s="88"/>
      <c r="BNE14" s="88"/>
      <c r="BNF14" s="88"/>
      <c r="BNG14" s="88"/>
      <c r="BNH14" s="88"/>
      <c r="BNI14" s="88"/>
      <c r="BNJ14" s="88"/>
      <c r="BNK14" s="88"/>
      <c r="BNL14" s="88"/>
      <c r="BNM14" s="88"/>
      <c r="BNN14" s="88"/>
      <c r="BNO14" s="88"/>
      <c r="BNP14" s="88"/>
      <c r="BNQ14" s="88"/>
      <c r="BNR14" s="88"/>
      <c r="BNS14" s="88"/>
      <c r="BNT14" s="88"/>
      <c r="BNU14" s="88"/>
      <c r="BNV14" s="88"/>
      <c r="BNW14" s="88"/>
      <c r="BNX14" s="88"/>
      <c r="BNY14" s="88"/>
      <c r="BNZ14" s="88"/>
      <c r="BOA14" s="88"/>
      <c r="BOB14" s="88"/>
      <c r="BOC14" s="88"/>
      <c r="BOD14" s="88"/>
      <c r="BOE14" s="88"/>
      <c r="BOF14" s="88"/>
      <c r="BOG14" s="88"/>
      <c r="BOH14" s="88"/>
      <c r="BOI14" s="88"/>
      <c r="BOJ14" s="88"/>
      <c r="BOK14" s="88"/>
      <c r="BOL14" s="88"/>
      <c r="BOM14" s="88"/>
      <c r="BON14" s="88"/>
      <c r="BOO14" s="88"/>
      <c r="BOP14" s="88"/>
      <c r="BOQ14" s="88"/>
      <c r="BOR14" s="88"/>
      <c r="BOS14" s="88"/>
      <c r="BOT14" s="88"/>
      <c r="BOU14" s="88"/>
      <c r="BOV14" s="88"/>
      <c r="BOW14" s="88"/>
      <c r="BOX14" s="88"/>
      <c r="BOY14" s="88"/>
      <c r="BOZ14" s="88"/>
      <c r="BPA14" s="88"/>
      <c r="BPB14" s="88"/>
      <c r="BPC14" s="88"/>
      <c r="BPD14" s="88"/>
      <c r="BPE14" s="88"/>
      <c r="BPF14" s="88"/>
      <c r="BPG14" s="88"/>
      <c r="BPH14" s="88"/>
      <c r="BPI14" s="88"/>
      <c r="BPJ14" s="88"/>
      <c r="BPK14" s="88"/>
      <c r="BPL14" s="88"/>
      <c r="BPM14" s="88"/>
      <c r="BPN14" s="88"/>
      <c r="BPO14" s="88"/>
      <c r="BPP14" s="88"/>
      <c r="BPQ14" s="88"/>
      <c r="BPR14" s="88"/>
      <c r="BPS14" s="88"/>
      <c r="BPT14" s="88"/>
      <c r="BPU14" s="88"/>
      <c r="BPV14" s="88"/>
      <c r="BPW14" s="88"/>
      <c r="BPX14" s="88"/>
      <c r="BPY14" s="88"/>
      <c r="BPZ14" s="88"/>
      <c r="BQA14" s="88"/>
      <c r="BQB14" s="88"/>
      <c r="BQC14" s="88"/>
      <c r="BQD14" s="88"/>
      <c r="BQE14" s="88"/>
      <c r="BQF14" s="88"/>
      <c r="BQG14" s="88"/>
      <c r="BQH14" s="88"/>
      <c r="BQI14" s="88"/>
      <c r="BQJ14" s="88"/>
      <c r="BQK14" s="88"/>
      <c r="BQL14" s="88"/>
      <c r="BQM14" s="88"/>
      <c r="BQN14" s="88"/>
      <c r="BQO14" s="88"/>
      <c r="BQP14" s="88"/>
      <c r="BQQ14" s="88"/>
      <c r="BQR14" s="88"/>
      <c r="BQS14" s="88"/>
      <c r="BQT14" s="88"/>
      <c r="BQU14" s="88"/>
      <c r="BQV14" s="88"/>
      <c r="BQW14" s="88"/>
      <c r="BQX14" s="88"/>
      <c r="BQY14" s="88"/>
      <c r="BQZ14" s="88"/>
      <c r="BRA14" s="88"/>
      <c r="BRB14" s="88"/>
      <c r="BRC14" s="88"/>
      <c r="BRD14" s="88"/>
      <c r="BRE14" s="88"/>
      <c r="BRF14" s="88"/>
      <c r="BRG14" s="88"/>
      <c r="BRH14" s="88"/>
      <c r="BRI14" s="88"/>
      <c r="BRJ14" s="88"/>
      <c r="BRK14" s="88"/>
      <c r="BRL14" s="88"/>
      <c r="BRM14" s="88"/>
      <c r="BRN14" s="88"/>
      <c r="BRO14" s="88"/>
      <c r="BRP14" s="88"/>
      <c r="BRQ14" s="88"/>
      <c r="BRR14" s="88"/>
      <c r="BRS14" s="88"/>
      <c r="BRT14" s="88"/>
      <c r="BRU14" s="88"/>
      <c r="BRV14" s="88"/>
      <c r="BRW14" s="88"/>
      <c r="BRX14" s="88"/>
      <c r="BRY14" s="88"/>
      <c r="BRZ14" s="88"/>
      <c r="BSA14" s="88"/>
      <c r="BSB14" s="88"/>
      <c r="BSC14" s="88"/>
      <c r="BSD14" s="88"/>
      <c r="BSE14" s="88"/>
      <c r="BSF14" s="88"/>
      <c r="BSG14" s="88"/>
      <c r="BSH14" s="88"/>
      <c r="BSI14" s="88"/>
      <c r="BSJ14" s="88"/>
      <c r="BSK14" s="88"/>
      <c r="BSL14" s="88"/>
      <c r="BSM14" s="88"/>
      <c r="BSN14" s="88"/>
      <c r="BSO14" s="88"/>
      <c r="BSP14" s="88"/>
      <c r="BSQ14" s="88"/>
      <c r="BSR14" s="88"/>
      <c r="BSS14" s="88"/>
      <c r="BST14" s="88"/>
      <c r="BSU14" s="88"/>
      <c r="BSV14" s="88"/>
      <c r="BSW14" s="88"/>
      <c r="BSX14" s="88"/>
      <c r="BSY14" s="88"/>
      <c r="BSZ14" s="88"/>
      <c r="BTA14" s="88"/>
      <c r="BTB14" s="88"/>
      <c r="BTC14" s="88"/>
      <c r="BTD14" s="88"/>
      <c r="BTE14" s="88"/>
      <c r="BTF14" s="88"/>
      <c r="BTG14" s="88"/>
      <c r="BTH14" s="88"/>
      <c r="BTI14" s="88"/>
      <c r="BTJ14" s="88"/>
      <c r="BTK14" s="88"/>
      <c r="BTL14" s="88"/>
      <c r="BTM14" s="88"/>
      <c r="BTN14" s="88"/>
      <c r="BTO14" s="88"/>
      <c r="BTP14" s="88"/>
      <c r="BTQ14" s="88"/>
      <c r="BTR14" s="88"/>
      <c r="BTS14" s="88"/>
      <c r="BTT14" s="88"/>
      <c r="BTU14" s="88"/>
      <c r="BTV14" s="88"/>
      <c r="BTW14" s="88"/>
      <c r="BTX14" s="88"/>
      <c r="BTY14" s="88"/>
      <c r="BTZ14" s="88"/>
      <c r="BUA14" s="88"/>
      <c r="BUB14" s="88"/>
      <c r="BUC14" s="88"/>
      <c r="BUD14" s="88"/>
      <c r="BUE14" s="88"/>
      <c r="BUF14" s="88"/>
      <c r="BUG14" s="88"/>
      <c r="BUH14" s="88"/>
      <c r="BUI14" s="88"/>
      <c r="BUJ14" s="88"/>
      <c r="BUK14" s="88"/>
      <c r="BUL14" s="88"/>
      <c r="BUM14" s="88"/>
      <c r="BUN14" s="88"/>
      <c r="BUO14" s="88"/>
      <c r="BUP14" s="88"/>
      <c r="BUQ14" s="88"/>
      <c r="BUR14" s="88"/>
      <c r="BUS14" s="88"/>
      <c r="BUT14" s="88"/>
      <c r="BUU14" s="88"/>
      <c r="BUV14" s="88"/>
      <c r="BUW14" s="88"/>
      <c r="BUX14" s="88"/>
      <c r="BUY14" s="88"/>
      <c r="BUZ14" s="88"/>
      <c r="BVA14" s="88"/>
      <c r="BVB14" s="88"/>
      <c r="BVC14" s="88"/>
      <c r="BVD14" s="88"/>
      <c r="BVE14" s="88"/>
      <c r="BVF14" s="88"/>
      <c r="BVG14" s="88"/>
      <c r="BVH14" s="88"/>
      <c r="BVI14" s="88"/>
      <c r="BVJ14" s="88"/>
      <c r="BVK14" s="88"/>
      <c r="BVL14" s="88"/>
      <c r="BVM14" s="88"/>
      <c r="BVN14" s="88"/>
      <c r="BVO14" s="88"/>
      <c r="BVP14" s="88"/>
      <c r="BVQ14" s="88"/>
      <c r="BVR14" s="88"/>
      <c r="BVS14" s="88"/>
      <c r="BVT14" s="88"/>
      <c r="BVU14" s="88"/>
      <c r="BVV14" s="88"/>
      <c r="BVW14" s="88"/>
      <c r="BVX14" s="88"/>
      <c r="BVY14" s="88"/>
      <c r="BVZ14" s="88"/>
      <c r="BWA14" s="88"/>
      <c r="BWB14" s="88"/>
      <c r="BWC14" s="88"/>
      <c r="BWD14" s="88"/>
      <c r="BWE14" s="88"/>
      <c r="BWF14" s="88"/>
      <c r="BWG14" s="88"/>
      <c r="BWH14" s="88"/>
      <c r="BWI14" s="88"/>
      <c r="BWJ14" s="88"/>
      <c r="BWK14" s="88"/>
      <c r="BWL14" s="88"/>
      <c r="BWM14" s="88"/>
      <c r="BWN14" s="88"/>
      <c r="BWO14" s="88"/>
      <c r="BWP14" s="88"/>
      <c r="BWQ14" s="88"/>
      <c r="BWR14" s="88"/>
      <c r="BWS14" s="88"/>
      <c r="BWT14" s="88"/>
      <c r="BWU14" s="88"/>
      <c r="BWV14" s="88"/>
      <c r="BWW14" s="88"/>
      <c r="BWX14" s="88"/>
      <c r="BWY14" s="88"/>
      <c r="BWZ14" s="88"/>
      <c r="BXA14" s="88"/>
      <c r="BXB14" s="88"/>
      <c r="BXC14" s="88"/>
      <c r="BXD14" s="88"/>
      <c r="BXE14" s="88"/>
      <c r="BXF14" s="88"/>
      <c r="BXG14" s="88"/>
      <c r="BXH14" s="88"/>
      <c r="BXI14" s="88"/>
      <c r="BXJ14" s="88"/>
      <c r="BXK14" s="88"/>
      <c r="BXL14" s="88"/>
      <c r="BXM14" s="88"/>
      <c r="BXN14" s="88"/>
      <c r="BXO14" s="88"/>
      <c r="BXP14" s="88"/>
      <c r="BXQ14" s="88"/>
      <c r="BXR14" s="88"/>
      <c r="BXS14" s="88"/>
      <c r="BXT14" s="88"/>
      <c r="BXU14" s="88"/>
      <c r="BXV14" s="88"/>
      <c r="BXW14" s="88"/>
      <c r="BXX14" s="88"/>
      <c r="BXY14" s="88"/>
      <c r="BXZ14" s="88"/>
      <c r="BYA14" s="88"/>
      <c r="BYB14" s="88"/>
      <c r="BYC14" s="88"/>
      <c r="BYD14" s="88"/>
      <c r="BYE14" s="88"/>
      <c r="BYF14" s="88"/>
      <c r="BYG14" s="88"/>
      <c r="BYH14" s="88"/>
      <c r="BYI14" s="88"/>
      <c r="BYJ14" s="88"/>
      <c r="BYK14" s="88"/>
      <c r="BYL14" s="88"/>
      <c r="BYM14" s="88"/>
      <c r="BYN14" s="88"/>
      <c r="BYO14" s="88"/>
      <c r="BYP14" s="88"/>
      <c r="BYQ14" s="88"/>
      <c r="BYR14" s="88"/>
      <c r="BYS14" s="88"/>
      <c r="BYT14" s="88"/>
      <c r="BYU14" s="88"/>
      <c r="BYV14" s="88"/>
      <c r="BYW14" s="88"/>
      <c r="BYX14" s="88"/>
      <c r="BYY14" s="88"/>
      <c r="BYZ14" s="88"/>
      <c r="BZA14" s="88"/>
      <c r="BZB14" s="88"/>
      <c r="BZC14" s="88"/>
      <c r="BZD14" s="88"/>
      <c r="BZE14" s="88"/>
      <c r="BZF14" s="88"/>
      <c r="BZG14" s="88"/>
      <c r="BZH14" s="88"/>
      <c r="BZI14" s="88"/>
      <c r="BZJ14" s="88"/>
      <c r="BZK14" s="88"/>
      <c r="BZL14" s="88"/>
      <c r="BZM14" s="88"/>
      <c r="BZN14" s="88"/>
      <c r="BZO14" s="88"/>
      <c r="BZP14" s="88"/>
      <c r="BZQ14" s="88"/>
      <c r="BZR14" s="88"/>
      <c r="BZS14" s="88"/>
      <c r="BZT14" s="88"/>
      <c r="BZU14" s="88"/>
      <c r="BZV14" s="88"/>
      <c r="BZW14" s="88"/>
      <c r="BZX14" s="88"/>
      <c r="BZY14" s="88"/>
      <c r="BZZ14" s="88"/>
      <c r="CAA14" s="88"/>
      <c r="CAB14" s="88"/>
      <c r="CAC14" s="88"/>
      <c r="CAD14" s="88"/>
      <c r="CAE14" s="88"/>
      <c r="CAF14" s="88"/>
      <c r="CAG14" s="88"/>
      <c r="CAH14" s="88"/>
      <c r="CAI14" s="88"/>
      <c r="CAJ14" s="88"/>
      <c r="CAK14" s="88"/>
      <c r="CAL14" s="88"/>
      <c r="CAM14" s="88"/>
      <c r="CAN14" s="88"/>
      <c r="CAO14" s="88"/>
      <c r="CAP14" s="88"/>
      <c r="CAQ14" s="88"/>
      <c r="CAR14" s="88"/>
      <c r="CAS14" s="88"/>
      <c r="CAT14" s="88"/>
      <c r="CAU14" s="88"/>
      <c r="CAV14" s="88"/>
      <c r="CAW14" s="88"/>
      <c r="CAX14" s="88"/>
      <c r="CAY14" s="88"/>
      <c r="CAZ14" s="88"/>
      <c r="CBA14" s="88"/>
      <c r="CBB14" s="88"/>
      <c r="CBC14" s="88"/>
      <c r="CBD14" s="88"/>
      <c r="CBE14" s="88"/>
      <c r="CBF14" s="88"/>
      <c r="CBG14" s="88"/>
      <c r="CBH14" s="88"/>
      <c r="CBI14" s="88"/>
      <c r="CBJ14" s="88"/>
      <c r="CBK14" s="88"/>
      <c r="CBL14" s="88"/>
      <c r="CBM14" s="88"/>
      <c r="CBN14" s="88"/>
      <c r="CBO14" s="88"/>
      <c r="CBP14" s="88"/>
      <c r="CBQ14" s="88"/>
      <c r="CBR14" s="88"/>
      <c r="CBS14" s="88"/>
      <c r="CBT14" s="88"/>
      <c r="CBU14" s="88"/>
      <c r="CBV14" s="88"/>
      <c r="CBW14" s="88"/>
      <c r="CBX14" s="88"/>
      <c r="CBY14" s="88"/>
      <c r="CBZ14" s="88"/>
      <c r="CCA14" s="88"/>
      <c r="CCB14" s="88"/>
      <c r="CCC14" s="88"/>
      <c r="CCD14" s="88"/>
      <c r="CCE14" s="88"/>
      <c r="CCF14" s="88"/>
      <c r="CCG14" s="88"/>
      <c r="CCH14" s="88"/>
      <c r="CCI14" s="88"/>
      <c r="CCJ14" s="88"/>
      <c r="CCK14" s="88"/>
      <c r="CCL14" s="88"/>
      <c r="CCM14" s="88"/>
      <c r="CCN14" s="88"/>
      <c r="CCO14" s="88"/>
      <c r="CCP14" s="88"/>
      <c r="CCQ14" s="88"/>
      <c r="CCR14" s="88"/>
      <c r="CCS14" s="88"/>
      <c r="CCT14" s="88"/>
      <c r="CCU14" s="88"/>
      <c r="CCV14" s="88"/>
      <c r="CCW14" s="88"/>
      <c r="CCX14" s="88"/>
      <c r="CCY14" s="88"/>
      <c r="CCZ14" s="88"/>
      <c r="CDA14" s="88"/>
      <c r="CDB14" s="88"/>
      <c r="CDC14" s="88"/>
      <c r="CDD14" s="88"/>
      <c r="CDE14" s="88"/>
      <c r="CDF14" s="88"/>
      <c r="CDG14" s="88"/>
      <c r="CDH14" s="88"/>
      <c r="CDI14" s="88"/>
      <c r="CDJ14" s="88"/>
      <c r="CDK14" s="88"/>
      <c r="CDL14" s="88"/>
      <c r="CDM14" s="88"/>
      <c r="CDN14" s="88"/>
      <c r="CDO14" s="88"/>
      <c r="CDP14" s="88"/>
      <c r="CDQ14" s="88"/>
      <c r="CDR14" s="88"/>
      <c r="CDS14" s="88"/>
      <c r="CDT14" s="88"/>
      <c r="CDU14" s="88"/>
      <c r="CDV14" s="88"/>
      <c r="CDW14" s="88"/>
      <c r="CDX14" s="88"/>
      <c r="CDY14" s="88"/>
      <c r="CDZ14" s="88"/>
      <c r="CEA14" s="88"/>
      <c r="CEB14" s="88"/>
      <c r="CEC14" s="88"/>
      <c r="CED14" s="88"/>
      <c r="CEE14" s="88"/>
      <c r="CEF14" s="88"/>
      <c r="CEG14" s="88"/>
      <c r="CEH14" s="88"/>
      <c r="CEI14" s="88"/>
      <c r="CEJ14" s="88"/>
      <c r="CEK14" s="88"/>
    </row>
    <row r="15" spans="1:2169" s="63" customFormat="1">
      <c r="A15" s="73" t="s">
        <v>2871</v>
      </c>
      <c r="B15" s="71" t="s">
        <v>2872</v>
      </c>
      <c r="C15" s="68" t="str">
        <f>IF('page 2'!$O$4="","",IF('page 2'!$O$4=Gestion!A15,1,0))</f>
        <v/>
      </c>
      <c r="D15" s="68" t="str">
        <f>IF('page 2'!$O$5="","",IF('page 2'!$O$5=Gestion!A15,1,0))</f>
        <v/>
      </c>
      <c r="E15" s="68" t="str">
        <f>IF('page 2'!$O$6="","",IF('page 2'!$O$6=Gestion!A15,1,0))</f>
        <v/>
      </c>
      <c r="F15" s="68" t="str">
        <f>IF('page 2'!$O$7="","",IF('page 2'!$O$7=Gestion!A15,1,0))</f>
        <v/>
      </c>
      <c r="G15" s="68" t="str">
        <f>IF('page 2'!$O$8="","",IF('page 2'!$O$8=Gestion!A15,1,0))</f>
        <v/>
      </c>
      <c r="H15" s="68" t="str">
        <f>IF('page 2'!$O$9="","",IF('page 2'!$O$9=Gestion!A14,1,0))</f>
        <v/>
      </c>
      <c r="I15" s="68" t="str">
        <f>IF('page 2'!$O$10="","",IF('page 2'!$O$10=Gestion!A15,1,0))</f>
        <v/>
      </c>
      <c r="J15" s="68" t="str">
        <f>IF('page 2'!$O$11="","",IF('page 2'!$O$11=Gestion!A15,1,0))</f>
        <v/>
      </c>
      <c r="K15" s="68" t="str">
        <f>IF('page 2'!$O$12="","",IF('page 2'!$O$12=Gestion!A15,1,0))</f>
        <v/>
      </c>
      <c r="L15" s="68" t="str">
        <f>IF('page 2'!$O$13="","",IF('page 2'!$O$13=Gestion!A15,1,0))</f>
        <v/>
      </c>
      <c r="M15" s="68" t="str">
        <f>IF('page 2'!$O$14="","",IF('page 2'!$O$14=Gestion!A15,1,0))</f>
        <v/>
      </c>
      <c r="N15" s="68" t="str">
        <f>IF('page 2'!$O$15="","",IF('page 2'!$O$15=Gestion!A15,1,0))</f>
        <v/>
      </c>
      <c r="O15" s="68" t="str">
        <f>IF('page 2'!$O$16="","",IF('page 2'!$O$16=Gestion!A15,1,0))</f>
        <v/>
      </c>
      <c r="P15" s="68" t="str">
        <f>IF('page 2'!$O$17="","",IF('page 2'!$O$17=Gestion!A15,1,0))</f>
        <v/>
      </c>
      <c r="Q15" s="68" t="str">
        <f>IF('page 2'!$O$18="","",IF('page 2'!$O$18=Gestion!A15,1,0))</f>
        <v/>
      </c>
      <c r="R15" s="68" t="str">
        <f>IF('page 2'!$O$19="","",IF('page 2'!$O$19=Gestion!A15,1,0))</f>
        <v/>
      </c>
      <c r="S15" s="68" t="str">
        <f>IF('page 2'!$O$20="","",IF('page 2'!$O$20=Gestion!A14,1,0))</f>
        <v/>
      </c>
      <c r="T15" s="68" t="str">
        <f>IF('page 2'!$O$25="","",IF('page 2'!$O$25=Gestion!A15,1,0))</f>
        <v/>
      </c>
      <c r="U15" s="68" t="str">
        <f>IF('page 2'!$O$26="","",IF('page 2'!$O$26=Gestion!A15,1,0))</f>
        <v/>
      </c>
      <c r="V15" s="68" t="str">
        <f>IF('page 2'!$O$27="","",IF('page 2'!$O$27=Gestion!A15,1,0))</f>
        <v/>
      </c>
      <c r="W15" s="722">
        <f t="shared" si="0"/>
        <v>0</v>
      </c>
      <c r="X15" s="714" t="s">
        <v>2628</v>
      </c>
      <c r="Y15" s="68" t="str">
        <f>IF('page 2'!O16="","",'page 2'!O16)</f>
        <v/>
      </c>
      <c r="Z15" s="68" t="str">
        <f>IF(Y15="","",VLOOKUP(Y15,'page 2'!$O$4:$Q$27,3,FALSE))</f>
        <v/>
      </c>
      <c r="AA15" s="68" t="str">
        <f t="shared" si="1"/>
        <v/>
      </c>
      <c r="AB15" s="68"/>
      <c r="AC15" s="68"/>
      <c r="AD15" s="68"/>
      <c r="AP15" s="130"/>
      <c r="AQ15" s="130"/>
      <c r="AR15" s="130"/>
      <c r="AS15" s="894" t="s">
        <v>5824</v>
      </c>
      <c r="AT15" s="602">
        <v>2</v>
      </c>
      <c r="AU15" s="602">
        <v>2</v>
      </c>
      <c r="AV15" s="602">
        <v>3</v>
      </c>
      <c r="AW15" s="602">
        <v>0</v>
      </c>
      <c r="AX15" s="602">
        <v>0</v>
      </c>
      <c r="AY15" s="602">
        <v>2</v>
      </c>
      <c r="AZ15" s="602">
        <v>2</v>
      </c>
      <c r="BA15" s="602">
        <v>1</v>
      </c>
      <c r="BB15" s="602">
        <v>0</v>
      </c>
      <c r="BC15" s="602">
        <v>0</v>
      </c>
      <c r="BD15" s="602">
        <v>0</v>
      </c>
      <c r="BE15" s="602">
        <v>0</v>
      </c>
      <c r="BF15" s="602">
        <v>0</v>
      </c>
      <c r="BG15" s="602">
        <v>0</v>
      </c>
      <c r="BH15" s="602">
        <v>0</v>
      </c>
      <c r="BI15" s="602">
        <v>0</v>
      </c>
      <c r="BJ15" s="602">
        <v>0</v>
      </c>
      <c r="BK15" s="602">
        <v>0</v>
      </c>
      <c r="BL15" s="602">
        <v>0</v>
      </c>
      <c r="BM15" s="602">
        <v>0</v>
      </c>
      <c r="BN15" s="602">
        <v>0</v>
      </c>
      <c r="BO15" s="602">
        <v>0</v>
      </c>
      <c r="BP15" s="602">
        <v>0</v>
      </c>
      <c r="BQ15" s="602">
        <v>0</v>
      </c>
      <c r="BR15" s="602">
        <v>0</v>
      </c>
      <c r="BS15" s="602">
        <v>0</v>
      </c>
      <c r="BT15" s="602">
        <v>0</v>
      </c>
      <c r="BU15" s="602">
        <v>2</v>
      </c>
      <c r="BV15" s="602">
        <v>0</v>
      </c>
      <c r="BW15" s="602">
        <v>0</v>
      </c>
      <c r="BX15" s="602">
        <v>0</v>
      </c>
      <c r="BY15" s="602">
        <v>0</v>
      </c>
      <c r="BZ15" s="602">
        <v>0</v>
      </c>
      <c r="CA15" s="602">
        <v>0</v>
      </c>
      <c r="CB15" s="602">
        <v>0</v>
      </c>
      <c r="CC15" s="576">
        <v>0</v>
      </c>
      <c r="CD15" s="576">
        <v>0</v>
      </c>
      <c r="CE15" s="576">
        <v>0</v>
      </c>
      <c r="CF15" s="576">
        <v>0</v>
      </c>
      <c r="CG15" s="576">
        <v>0</v>
      </c>
      <c r="CH15" s="576">
        <v>0</v>
      </c>
      <c r="CI15" s="576">
        <v>0</v>
      </c>
      <c r="CJ15" s="576">
        <v>0</v>
      </c>
      <c r="CK15" s="576">
        <v>0</v>
      </c>
      <c r="CL15" s="576">
        <v>0</v>
      </c>
      <c r="CM15" s="576">
        <v>2</v>
      </c>
      <c r="CN15" s="602">
        <v>0</v>
      </c>
      <c r="CO15" s="602">
        <v>1</v>
      </c>
      <c r="CP15" s="602">
        <v>0</v>
      </c>
      <c r="CQ15" s="576">
        <v>0</v>
      </c>
      <c r="CR15" s="576">
        <v>0</v>
      </c>
      <c r="CS15" s="602">
        <v>0</v>
      </c>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88"/>
      <c r="JL15" s="88"/>
      <c r="JM15" s="88"/>
      <c r="JN15" s="88"/>
      <c r="JO15" s="88"/>
      <c r="JP15" s="88"/>
      <c r="JQ15" s="88"/>
      <c r="JR15" s="88"/>
      <c r="JS15" s="88"/>
      <c r="JT15" s="88"/>
      <c r="JU15" s="88"/>
      <c r="JV15" s="88"/>
      <c r="JW15" s="88"/>
      <c r="JX15" s="88"/>
      <c r="JY15" s="88"/>
      <c r="JZ15" s="88"/>
      <c r="KA15" s="88"/>
      <c r="KB15" s="88"/>
      <c r="KC15" s="88"/>
      <c r="KD15" s="88"/>
      <c r="KE15" s="88"/>
      <c r="KF15" s="88"/>
      <c r="KG15" s="88"/>
      <c r="KH15" s="88"/>
      <c r="KI15" s="88"/>
      <c r="KJ15" s="88"/>
      <c r="KK15" s="88"/>
      <c r="KL15" s="88"/>
      <c r="KM15" s="88"/>
      <c r="KN15" s="88"/>
      <c r="KO15" s="88"/>
      <c r="KP15" s="88"/>
      <c r="KQ15" s="88"/>
      <c r="KR15" s="88"/>
      <c r="KS15" s="88"/>
      <c r="KT15" s="88"/>
      <c r="KU15" s="88"/>
      <c r="KV15" s="88"/>
      <c r="KW15" s="88"/>
      <c r="KX15" s="88"/>
      <c r="KY15" s="88"/>
      <c r="KZ15" s="88"/>
      <c r="LA15" s="88"/>
      <c r="LB15" s="88"/>
      <c r="LC15" s="88"/>
      <c r="LD15" s="88"/>
      <c r="LE15" s="88"/>
      <c r="LF15" s="88"/>
      <c r="LG15" s="88"/>
      <c r="LH15" s="88"/>
      <c r="LI15" s="88"/>
      <c r="LJ15" s="88"/>
      <c r="LK15" s="88"/>
      <c r="LL15" s="88"/>
      <c r="LM15" s="88"/>
      <c r="LN15" s="88"/>
      <c r="LO15" s="88"/>
      <c r="LP15" s="88"/>
      <c r="LQ15" s="88"/>
      <c r="LR15" s="88"/>
      <c r="LS15" s="88"/>
      <c r="LT15" s="88"/>
      <c r="LU15" s="88"/>
      <c r="LV15" s="88"/>
      <c r="LW15" s="88"/>
      <c r="LX15" s="88"/>
      <c r="LY15" s="88"/>
      <c r="LZ15" s="88"/>
      <c r="MA15" s="88"/>
      <c r="MB15" s="88"/>
      <c r="MC15" s="88"/>
      <c r="MD15" s="88"/>
      <c r="ME15" s="88"/>
      <c r="MF15" s="88"/>
      <c r="MG15" s="88"/>
      <c r="MH15" s="88"/>
      <c r="MI15" s="88"/>
      <c r="MJ15" s="88"/>
      <c r="MK15" s="88"/>
      <c r="ML15" s="88"/>
      <c r="MM15" s="88"/>
      <c r="MN15" s="88"/>
      <c r="MO15" s="88"/>
      <c r="MP15" s="88"/>
      <c r="MQ15" s="88"/>
      <c r="MR15" s="88"/>
      <c r="MS15" s="88"/>
      <c r="MT15" s="88"/>
      <c r="MU15" s="88"/>
      <c r="MV15" s="88"/>
      <c r="MW15" s="88"/>
      <c r="MX15" s="88"/>
      <c r="MY15" s="88"/>
      <c r="MZ15" s="88"/>
      <c r="NA15" s="88"/>
      <c r="NB15" s="88"/>
      <c r="NC15" s="88"/>
      <c r="ND15" s="88"/>
      <c r="NE15" s="88"/>
      <c r="NF15" s="88"/>
      <c r="NG15" s="88"/>
      <c r="NH15" s="88"/>
      <c r="NI15" s="88"/>
      <c r="NJ15" s="88"/>
      <c r="NK15" s="88"/>
      <c r="NL15" s="88"/>
      <c r="NM15" s="88"/>
      <c r="NN15" s="88"/>
      <c r="NO15" s="88"/>
      <c r="NP15" s="88"/>
      <c r="NQ15" s="88"/>
      <c r="NR15" s="88"/>
      <c r="NS15" s="88"/>
      <c r="NT15" s="88"/>
      <c r="NU15" s="88"/>
      <c r="NV15" s="88"/>
      <c r="NW15" s="88"/>
      <c r="NX15" s="88"/>
      <c r="NY15" s="88"/>
      <c r="NZ15" s="88"/>
      <c r="OA15" s="88"/>
      <c r="OB15" s="88"/>
      <c r="OC15" s="88"/>
      <c r="OD15" s="88"/>
      <c r="OE15" s="88"/>
      <c r="OF15" s="88"/>
      <c r="OG15" s="88"/>
      <c r="OH15" s="88"/>
      <c r="OI15" s="88"/>
      <c r="OJ15" s="88"/>
      <c r="OK15" s="88"/>
      <c r="OL15" s="88"/>
      <c r="OM15" s="88"/>
      <c r="ON15" s="88"/>
      <c r="OO15" s="88"/>
      <c r="OP15" s="88"/>
      <c r="OQ15" s="88"/>
      <c r="OR15" s="88"/>
      <c r="OS15" s="88"/>
      <c r="OT15" s="88"/>
      <c r="OU15" s="88"/>
      <c r="OV15" s="88"/>
      <c r="OW15" s="88"/>
      <c r="OX15" s="88"/>
      <c r="OY15" s="88"/>
      <c r="OZ15" s="88"/>
      <c r="PA15" s="88"/>
      <c r="PB15" s="88"/>
      <c r="PC15" s="88"/>
      <c r="PD15" s="88"/>
      <c r="PE15" s="88"/>
      <c r="PF15" s="88"/>
      <c r="PG15" s="88"/>
      <c r="PH15" s="88"/>
      <c r="PI15" s="88"/>
      <c r="PJ15" s="88"/>
      <c r="PK15" s="88"/>
      <c r="PL15" s="88"/>
      <c r="PM15" s="88"/>
      <c r="PN15" s="88"/>
      <c r="PO15" s="88"/>
      <c r="PP15" s="88"/>
      <c r="PQ15" s="88"/>
      <c r="PR15" s="88"/>
      <c r="PS15" s="88"/>
      <c r="PT15" s="88"/>
      <c r="PU15" s="88"/>
      <c r="PV15" s="88"/>
      <c r="PW15" s="88"/>
      <c r="PX15" s="88"/>
      <c r="PY15" s="88"/>
      <c r="PZ15" s="88"/>
      <c r="QA15" s="88"/>
      <c r="QB15" s="88"/>
      <c r="QC15" s="88"/>
      <c r="QD15" s="88"/>
      <c r="QE15" s="88"/>
      <c r="QF15" s="88"/>
      <c r="QG15" s="88"/>
      <c r="QH15" s="88"/>
      <c r="QI15" s="88"/>
      <c r="QJ15" s="88"/>
      <c r="QK15" s="88"/>
      <c r="QL15" s="88"/>
      <c r="QM15" s="88"/>
      <c r="QN15" s="88"/>
      <c r="QO15" s="88"/>
      <c r="QP15" s="88"/>
      <c r="QQ15" s="88"/>
      <c r="QR15" s="88"/>
      <c r="QS15" s="88"/>
      <c r="QT15" s="88"/>
      <c r="QU15" s="88"/>
      <c r="QV15" s="88"/>
      <c r="QW15" s="88"/>
      <c r="QX15" s="88"/>
      <c r="QY15" s="88"/>
      <c r="QZ15" s="88"/>
      <c r="RA15" s="88"/>
      <c r="RB15" s="88"/>
      <c r="RC15" s="88"/>
      <c r="RD15" s="88"/>
      <c r="RE15" s="88"/>
      <c r="RF15" s="88"/>
      <c r="RG15" s="88"/>
      <c r="RH15" s="88"/>
      <c r="RI15" s="88"/>
      <c r="RJ15" s="88"/>
      <c r="RK15" s="88"/>
      <c r="RL15" s="88"/>
      <c r="RM15" s="88"/>
      <c r="RN15" s="88"/>
      <c r="RO15" s="88"/>
      <c r="RP15" s="88"/>
      <c r="RQ15" s="88"/>
      <c r="RR15" s="88"/>
      <c r="RS15" s="88"/>
      <c r="RT15" s="88"/>
      <c r="RU15" s="88"/>
      <c r="RV15" s="88"/>
      <c r="RW15" s="88"/>
      <c r="RX15" s="88"/>
      <c r="RY15" s="88"/>
      <c r="RZ15" s="88"/>
      <c r="SA15" s="88"/>
      <c r="SB15" s="88"/>
      <c r="SC15" s="88"/>
      <c r="SD15" s="88"/>
      <c r="SE15" s="88"/>
      <c r="SF15" s="88"/>
      <c r="SG15" s="88"/>
      <c r="SH15" s="88"/>
      <c r="SI15" s="88"/>
      <c r="SJ15" s="88"/>
      <c r="SK15" s="88"/>
      <c r="SL15" s="88"/>
      <c r="SM15" s="88"/>
      <c r="SN15" s="88"/>
      <c r="SO15" s="88"/>
      <c r="SP15" s="88"/>
      <c r="SQ15" s="88"/>
      <c r="SR15" s="88"/>
      <c r="SS15" s="88"/>
      <c r="ST15" s="88"/>
      <c r="SU15" s="88"/>
      <c r="SV15" s="88"/>
      <c r="SW15" s="88"/>
      <c r="SX15" s="88"/>
      <c r="SY15" s="88"/>
      <c r="SZ15" s="88"/>
      <c r="TA15" s="88"/>
      <c r="TB15" s="88"/>
      <c r="TC15" s="88"/>
      <c r="TD15" s="88"/>
      <c r="TE15" s="88"/>
      <c r="TF15" s="88"/>
      <c r="TG15" s="88"/>
      <c r="TH15" s="88"/>
      <c r="TI15" s="88"/>
      <c r="TJ15" s="88"/>
      <c r="TK15" s="88"/>
      <c r="TL15" s="88"/>
      <c r="TM15" s="88"/>
      <c r="TN15" s="88"/>
      <c r="TO15" s="88"/>
      <c r="TP15" s="88"/>
      <c r="TQ15" s="88"/>
      <c r="TR15" s="88"/>
      <c r="TS15" s="88"/>
      <c r="TT15" s="88"/>
      <c r="TU15" s="88"/>
      <c r="TV15" s="88"/>
      <c r="TW15" s="88"/>
      <c r="TX15" s="88"/>
      <c r="TY15" s="88"/>
      <c r="TZ15" s="88"/>
      <c r="UA15" s="88"/>
      <c r="UB15" s="88"/>
      <c r="UC15" s="88"/>
      <c r="UD15" s="88"/>
      <c r="UE15" s="88"/>
      <c r="UF15" s="88"/>
      <c r="UG15" s="88"/>
      <c r="UH15" s="88"/>
      <c r="UI15" s="88"/>
      <c r="UJ15" s="88"/>
      <c r="UK15" s="88"/>
      <c r="UL15" s="88"/>
      <c r="UM15" s="88"/>
      <c r="UN15" s="88"/>
      <c r="UO15" s="88"/>
      <c r="UP15" s="88"/>
      <c r="UQ15" s="88"/>
      <c r="UR15" s="88"/>
      <c r="US15" s="88"/>
      <c r="UT15" s="88"/>
      <c r="UU15" s="88"/>
      <c r="UV15" s="88"/>
      <c r="UW15" s="88"/>
      <c r="UX15" s="88"/>
      <c r="UY15" s="88"/>
      <c r="UZ15" s="88"/>
      <c r="VA15" s="88"/>
      <c r="VB15" s="88"/>
      <c r="VC15" s="88"/>
      <c r="VD15" s="88"/>
      <c r="VE15" s="88"/>
      <c r="VF15" s="88"/>
      <c r="VG15" s="88"/>
      <c r="VH15" s="88"/>
      <c r="VI15" s="88"/>
      <c r="VJ15" s="88"/>
      <c r="VK15" s="88"/>
      <c r="VL15" s="88"/>
      <c r="VM15" s="88"/>
      <c r="VN15" s="88"/>
      <c r="VO15" s="88"/>
      <c r="VP15" s="88"/>
      <c r="VQ15" s="88"/>
      <c r="VR15" s="88"/>
      <c r="VS15" s="88"/>
      <c r="VT15" s="88"/>
      <c r="VU15" s="88"/>
      <c r="VV15" s="88"/>
      <c r="VW15" s="88"/>
      <c r="VX15" s="88"/>
      <c r="VY15" s="88"/>
      <c r="VZ15" s="88"/>
      <c r="WA15" s="88"/>
      <c r="WB15" s="88"/>
      <c r="WC15" s="88"/>
      <c r="WD15" s="88"/>
      <c r="WE15" s="88"/>
      <c r="WF15" s="88"/>
      <c r="WG15" s="88"/>
      <c r="WH15" s="88"/>
      <c r="WI15" s="88"/>
      <c r="WJ15" s="88"/>
      <c r="WK15" s="88"/>
      <c r="WL15" s="88"/>
      <c r="WM15" s="88"/>
      <c r="WN15" s="88"/>
      <c r="WO15" s="88"/>
      <c r="WP15" s="88"/>
      <c r="WQ15" s="88"/>
      <c r="WR15" s="88"/>
      <c r="WS15" s="88"/>
      <c r="WT15" s="88"/>
      <c r="WU15" s="88"/>
      <c r="WV15" s="88"/>
      <c r="WW15" s="88"/>
      <c r="WX15" s="88"/>
      <c r="WY15" s="88"/>
      <c r="WZ15" s="88"/>
      <c r="XA15" s="88"/>
      <c r="XB15" s="88"/>
      <c r="XC15" s="88"/>
      <c r="XD15" s="88"/>
      <c r="XE15" s="88"/>
      <c r="XF15" s="88"/>
      <c r="XG15" s="88"/>
      <c r="XH15" s="88"/>
      <c r="XI15" s="88"/>
      <c r="XJ15" s="88"/>
      <c r="XK15" s="88"/>
      <c r="XL15" s="88"/>
      <c r="XM15" s="88"/>
      <c r="XN15" s="88"/>
      <c r="XO15" s="88"/>
      <c r="XP15" s="88"/>
      <c r="XQ15" s="88"/>
      <c r="XR15" s="88"/>
      <c r="XS15" s="88"/>
      <c r="XT15" s="88"/>
      <c r="XU15" s="88"/>
      <c r="XV15" s="88"/>
      <c r="XW15" s="88"/>
      <c r="XX15" s="88"/>
      <c r="XY15" s="88"/>
      <c r="XZ15" s="88"/>
      <c r="YA15" s="88"/>
      <c r="YB15" s="88"/>
      <c r="YC15" s="88"/>
      <c r="YD15" s="88"/>
      <c r="YE15" s="88"/>
      <c r="YF15" s="88"/>
      <c r="YG15" s="88"/>
      <c r="YH15" s="88"/>
      <c r="YI15" s="88"/>
      <c r="YJ15" s="88"/>
      <c r="YK15" s="88"/>
      <c r="YL15" s="88"/>
      <c r="YM15" s="88"/>
      <c r="YN15" s="88"/>
      <c r="YO15" s="88"/>
      <c r="YP15" s="88"/>
      <c r="YQ15" s="88"/>
      <c r="YR15" s="88"/>
      <c r="YS15" s="88"/>
      <c r="YT15" s="88"/>
      <c r="YU15" s="88"/>
      <c r="YV15" s="88"/>
      <c r="YW15" s="88"/>
      <c r="YX15" s="88"/>
      <c r="YY15" s="88"/>
      <c r="YZ15" s="88"/>
      <c r="ZA15" s="88"/>
      <c r="ZB15" s="88"/>
      <c r="ZC15" s="88"/>
      <c r="ZD15" s="88"/>
      <c r="ZE15" s="88"/>
      <c r="ZF15" s="88"/>
      <c r="ZG15" s="88"/>
      <c r="ZH15" s="88"/>
      <c r="ZI15" s="88"/>
      <c r="ZJ15" s="88"/>
      <c r="ZK15" s="88"/>
      <c r="ZL15" s="88"/>
      <c r="ZM15" s="88"/>
      <c r="ZN15" s="88"/>
      <c r="ZO15" s="88"/>
      <c r="ZP15" s="88"/>
      <c r="ZQ15" s="88"/>
      <c r="ZR15" s="88"/>
      <c r="ZS15" s="88"/>
      <c r="ZT15" s="88"/>
      <c r="ZU15" s="88"/>
      <c r="ZV15" s="88"/>
      <c r="ZW15" s="88"/>
      <c r="ZX15" s="88"/>
      <c r="ZY15" s="88"/>
      <c r="ZZ15" s="88"/>
      <c r="AAA15" s="88"/>
      <c r="AAB15" s="88"/>
      <c r="AAC15" s="88"/>
      <c r="AAD15" s="88"/>
      <c r="AAE15" s="88"/>
      <c r="AAF15" s="88"/>
      <c r="AAG15" s="88"/>
      <c r="AAH15" s="88"/>
      <c r="AAI15" s="88"/>
      <c r="AAJ15" s="88"/>
      <c r="AAK15" s="88"/>
      <c r="AAL15" s="88"/>
      <c r="AAM15" s="88"/>
      <c r="AAN15" s="88"/>
      <c r="AAO15" s="88"/>
      <c r="AAP15" s="88"/>
      <c r="AAQ15" s="88"/>
      <c r="AAR15" s="88"/>
      <c r="AAS15" s="88"/>
      <c r="AAT15" s="88"/>
      <c r="AAU15" s="88"/>
      <c r="AAV15" s="88"/>
      <c r="AAW15" s="88"/>
      <c r="AAX15" s="88"/>
      <c r="AAY15" s="88"/>
      <c r="AAZ15" s="88"/>
      <c r="ABA15" s="88"/>
      <c r="ABB15" s="88"/>
      <c r="ABC15" s="88"/>
      <c r="ABD15" s="88"/>
      <c r="ABE15" s="88"/>
      <c r="ABF15" s="88"/>
      <c r="ABG15" s="88"/>
      <c r="ABH15" s="88"/>
      <c r="ABI15" s="88"/>
      <c r="ABJ15" s="88"/>
      <c r="ABK15" s="88"/>
      <c r="ABL15" s="88"/>
      <c r="ABM15" s="88"/>
      <c r="ABN15" s="88"/>
      <c r="ABO15" s="88"/>
      <c r="ABP15" s="88"/>
      <c r="ABQ15" s="88"/>
      <c r="ABR15" s="88"/>
      <c r="ABS15" s="88"/>
      <c r="ABT15" s="88"/>
      <c r="ABU15" s="88"/>
      <c r="ABV15" s="88"/>
      <c r="ABW15" s="88"/>
      <c r="ABX15" s="88"/>
      <c r="ABY15" s="88"/>
      <c r="ABZ15" s="88"/>
      <c r="ACA15" s="88"/>
      <c r="ACB15" s="88"/>
      <c r="ACC15" s="88"/>
      <c r="ACD15" s="88"/>
      <c r="ACE15" s="88"/>
      <c r="ACF15" s="88"/>
      <c r="ACG15" s="88"/>
      <c r="ACH15" s="88"/>
      <c r="ACI15" s="88"/>
      <c r="ACJ15" s="88"/>
      <c r="ACK15" s="88"/>
      <c r="ACL15" s="88"/>
      <c r="ACM15" s="88"/>
      <c r="ACN15" s="88"/>
      <c r="ACO15" s="88"/>
      <c r="ACP15" s="88"/>
      <c r="ACQ15" s="88"/>
      <c r="ACR15" s="88"/>
      <c r="ACS15" s="88"/>
      <c r="ACT15" s="88"/>
      <c r="ACU15" s="88"/>
      <c r="ACV15" s="88"/>
      <c r="ACW15" s="88"/>
      <c r="ACX15" s="88"/>
      <c r="ACY15" s="88"/>
      <c r="ACZ15" s="88"/>
      <c r="ADA15" s="88"/>
      <c r="ADB15" s="88"/>
      <c r="ADC15" s="88"/>
      <c r="ADD15" s="88"/>
      <c r="ADE15" s="88"/>
      <c r="ADF15" s="88"/>
      <c r="ADG15" s="88"/>
      <c r="ADH15" s="88"/>
      <c r="ADI15" s="88"/>
      <c r="ADJ15" s="88"/>
      <c r="ADK15" s="88"/>
      <c r="ADL15" s="88"/>
      <c r="ADM15" s="88"/>
      <c r="ADN15" s="88"/>
      <c r="ADO15" s="88"/>
      <c r="ADP15" s="88"/>
      <c r="ADQ15" s="88"/>
      <c r="ADR15" s="88"/>
      <c r="ADS15" s="88"/>
      <c r="ADT15" s="88"/>
      <c r="ADU15" s="88"/>
      <c r="ADV15" s="88"/>
      <c r="ADW15" s="88"/>
      <c r="ADX15" s="88"/>
      <c r="ADY15" s="88"/>
      <c r="ADZ15" s="88"/>
      <c r="AEA15" s="88"/>
      <c r="AEB15" s="88"/>
      <c r="AEC15" s="88"/>
      <c r="AED15" s="88"/>
      <c r="AEE15" s="88"/>
      <c r="AEF15" s="88"/>
      <c r="AEG15" s="88"/>
      <c r="AEH15" s="88"/>
      <c r="AEI15" s="88"/>
      <c r="AEJ15" s="88"/>
      <c r="AEK15" s="88"/>
      <c r="AEL15" s="88"/>
      <c r="AEM15" s="88"/>
      <c r="AEN15" s="88"/>
      <c r="AEO15" s="88"/>
      <c r="AEP15" s="88"/>
      <c r="AEQ15" s="88"/>
      <c r="AER15" s="88"/>
      <c r="AES15" s="88"/>
      <c r="AET15" s="88"/>
      <c r="AEU15" s="88"/>
      <c r="AEV15" s="88"/>
      <c r="AEW15" s="88"/>
      <c r="AEX15" s="88"/>
      <c r="AEY15" s="88"/>
      <c r="AEZ15" s="88"/>
      <c r="AFA15" s="88"/>
      <c r="AFB15" s="88"/>
      <c r="AFC15" s="88"/>
      <c r="AFD15" s="88"/>
      <c r="AFE15" s="88"/>
      <c r="AFF15" s="88"/>
      <c r="AFG15" s="88"/>
      <c r="AFH15" s="88"/>
      <c r="AFI15" s="88"/>
      <c r="AFJ15" s="88"/>
      <c r="AFK15" s="88"/>
      <c r="AFL15" s="88"/>
      <c r="AFM15" s="88"/>
      <c r="AFN15" s="88"/>
      <c r="AFO15" s="88"/>
      <c r="AFP15" s="88"/>
      <c r="AFQ15" s="88"/>
      <c r="AFR15" s="88"/>
      <c r="AFS15" s="88"/>
      <c r="AFT15" s="88"/>
      <c r="AFU15" s="88"/>
      <c r="AFV15" s="88"/>
      <c r="AFW15" s="88"/>
      <c r="AFX15" s="88"/>
      <c r="AFY15" s="88"/>
      <c r="AFZ15" s="88"/>
      <c r="AGA15" s="88"/>
      <c r="AGB15" s="88"/>
      <c r="AGC15" s="88"/>
      <c r="AGD15" s="88"/>
      <c r="AGE15" s="88"/>
      <c r="AGF15" s="88"/>
      <c r="AGG15" s="88"/>
      <c r="AGH15" s="88"/>
      <c r="AGI15" s="88"/>
      <c r="AGJ15" s="88"/>
      <c r="AGK15" s="88"/>
      <c r="AGL15" s="88"/>
      <c r="AGM15" s="88"/>
      <c r="AGN15" s="88"/>
      <c r="AGO15" s="88"/>
      <c r="AGP15" s="88"/>
      <c r="AGQ15" s="88"/>
      <c r="AGR15" s="88"/>
      <c r="AGS15" s="88"/>
      <c r="AGT15" s="88"/>
      <c r="AGU15" s="88"/>
      <c r="AGV15" s="88"/>
      <c r="AGW15" s="88"/>
      <c r="AGX15" s="88"/>
      <c r="AGY15" s="88"/>
      <c r="AGZ15" s="88"/>
      <c r="AHA15" s="88"/>
      <c r="AHB15" s="88"/>
      <c r="AHC15" s="88"/>
      <c r="AHD15" s="88"/>
      <c r="AHE15" s="88"/>
      <c r="AHF15" s="88"/>
      <c r="AHG15" s="88"/>
      <c r="AHH15" s="88"/>
      <c r="AHI15" s="88"/>
      <c r="AHJ15" s="88"/>
      <c r="AHK15" s="88"/>
      <c r="AHL15" s="88"/>
      <c r="AHM15" s="88"/>
      <c r="AHN15" s="88"/>
      <c r="AHO15" s="88"/>
      <c r="AHP15" s="88"/>
      <c r="AHQ15" s="88"/>
      <c r="AHR15" s="88"/>
      <c r="AHS15" s="88"/>
      <c r="AHT15" s="88"/>
      <c r="AHU15" s="88"/>
      <c r="AHV15" s="88"/>
      <c r="AHW15" s="88"/>
      <c r="AHX15" s="88"/>
      <c r="AHY15" s="88"/>
      <c r="AHZ15" s="88"/>
      <c r="AIA15" s="88"/>
      <c r="AIB15" s="88"/>
      <c r="AIC15" s="88"/>
      <c r="AID15" s="88"/>
      <c r="AIE15" s="88"/>
      <c r="AIF15" s="88"/>
      <c r="AIG15" s="88"/>
      <c r="AIH15" s="88"/>
      <c r="AII15" s="88"/>
      <c r="AIJ15" s="88"/>
      <c r="AIK15" s="88"/>
      <c r="AIL15" s="88"/>
      <c r="AIM15" s="88"/>
      <c r="AIN15" s="88"/>
      <c r="AIO15" s="88"/>
      <c r="AIP15" s="88"/>
      <c r="AIQ15" s="88"/>
      <c r="AIR15" s="88"/>
      <c r="AIS15" s="88"/>
      <c r="AIT15" s="88"/>
      <c r="AIU15" s="88"/>
      <c r="AIV15" s="88"/>
      <c r="AIW15" s="88"/>
      <c r="AIX15" s="88"/>
      <c r="AIY15" s="88"/>
      <c r="AIZ15" s="88"/>
      <c r="AJA15" s="88"/>
      <c r="AJB15" s="88"/>
      <c r="AJC15" s="88"/>
      <c r="AJD15" s="88"/>
      <c r="AJE15" s="88"/>
      <c r="AJF15" s="88"/>
      <c r="AJG15" s="88"/>
      <c r="AJH15" s="88"/>
      <c r="AJI15" s="88"/>
      <c r="AJJ15" s="88"/>
      <c r="AJK15" s="88"/>
      <c r="AJL15" s="88"/>
      <c r="AJM15" s="88"/>
      <c r="AJN15" s="88"/>
      <c r="AJO15" s="88"/>
      <c r="AJP15" s="88"/>
      <c r="AJQ15" s="88"/>
      <c r="AJR15" s="88"/>
      <c r="AJS15" s="88"/>
      <c r="AJT15" s="88"/>
      <c r="AJU15" s="88"/>
      <c r="AJV15" s="88"/>
      <c r="AJW15" s="88"/>
      <c r="AJX15" s="88"/>
      <c r="AJY15" s="88"/>
      <c r="AJZ15" s="88"/>
      <c r="AKA15" s="88"/>
      <c r="AKB15" s="88"/>
      <c r="AKC15" s="88"/>
      <c r="AKD15" s="88"/>
      <c r="AKE15" s="88"/>
      <c r="AKF15" s="88"/>
      <c r="AKG15" s="88"/>
      <c r="AKH15" s="88"/>
      <c r="AKI15" s="88"/>
      <c r="AKJ15" s="88"/>
      <c r="AKK15" s="88"/>
      <c r="AKL15" s="88"/>
      <c r="AKM15" s="88"/>
      <c r="AKN15" s="88"/>
      <c r="AKO15" s="88"/>
      <c r="AKP15" s="88"/>
      <c r="AKQ15" s="88"/>
      <c r="AKR15" s="88"/>
      <c r="AKS15" s="88"/>
      <c r="AKT15" s="88"/>
      <c r="AKU15" s="88"/>
      <c r="AKV15" s="88"/>
      <c r="AKW15" s="88"/>
      <c r="AKX15" s="88"/>
      <c r="AKY15" s="88"/>
      <c r="AKZ15" s="88"/>
      <c r="ALA15" s="88"/>
      <c r="ALB15" s="88"/>
      <c r="ALC15" s="88"/>
      <c r="ALD15" s="88"/>
      <c r="ALE15" s="88"/>
      <c r="ALF15" s="88"/>
      <c r="ALG15" s="88"/>
      <c r="ALH15" s="88"/>
      <c r="ALI15" s="88"/>
      <c r="ALJ15" s="88"/>
      <c r="ALK15" s="88"/>
      <c r="ALL15" s="88"/>
      <c r="ALM15" s="88"/>
      <c r="ALN15" s="88"/>
      <c r="ALO15" s="88"/>
      <c r="ALP15" s="88"/>
      <c r="ALQ15" s="88"/>
      <c r="ALR15" s="88"/>
      <c r="ALS15" s="88"/>
      <c r="ALT15" s="88"/>
      <c r="ALU15" s="88"/>
      <c r="ALV15" s="88"/>
      <c r="ALW15" s="88"/>
      <c r="ALX15" s="88"/>
      <c r="ALY15" s="88"/>
      <c r="ALZ15" s="88"/>
      <c r="AMA15" s="88"/>
      <c r="AMB15" s="88"/>
      <c r="AMC15" s="88"/>
      <c r="AMD15" s="88"/>
      <c r="AME15" s="88"/>
      <c r="AMF15" s="88"/>
      <c r="AMG15" s="88"/>
      <c r="AMH15" s="88"/>
      <c r="AMI15" s="88"/>
      <c r="AMJ15" s="88"/>
      <c r="AMK15" s="88"/>
      <c r="AML15" s="88"/>
      <c r="AMM15" s="88"/>
      <c r="AMN15" s="88"/>
      <c r="AMO15" s="88"/>
      <c r="AMP15" s="88"/>
      <c r="AMQ15" s="88"/>
      <c r="AMR15" s="88"/>
      <c r="AMS15" s="88"/>
      <c r="AMT15" s="88"/>
      <c r="AMU15" s="88"/>
      <c r="AMV15" s="88"/>
      <c r="AMW15" s="88"/>
      <c r="AMX15" s="88"/>
      <c r="AMY15" s="88"/>
      <c r="AMZ15" s="88"/>
      <c r="ANA15" s="88"/>
      <c r="ANB15" s="88"/>
      <c r="ANC15" s="88"/>
      <c r="AND15" s="88"/>
      <c r="ANE15" s="88"/>
      <c r="ANF15" s="88"/>
      <c r="ANG15" s="88"/>
      <c r="ANH15" s="88"/>
      <c r="ANI15" s="88"/>
      <c r="ANJ15" s="88"/>
      <c r="ANK15" s="88"/>
      <c r="ANL15" s="88"/>
      <c r="ANM15" s="88"/>
      <c r="ANN15" s="88"/>
      <c r="ANO15" s="88"/>
      <c r="ANP15" s="88"/>
      <c r="ANQ15" s="88"/>
      <c r="ANR15" s="88"/>
      <c r="ANS15" s="88"/>
      <c r="ANT15" s="88"/>
      <c r="ANU15" s="88"/>
      <c r="ANV15" s="88"/>
      <c r="ANW15" s="88"/>
      <c r="ANX15" s="88"/>
      <c r="ANY15" s="88"/>
      <c r="ANZ15" s="88"/>
      <c r="AOA15" s="88"/>
      <c r="AOB15" s="88"/>
      <c r="AOC15" s="88"/>
      <c r="AOD15" s="88"/>
      <c r="AOE15" s="88"/>
      <c r="AOF15" s="88"/>
      <c r="AOG15" s="88"/>
      <c r="AOH15" s="88"/>
      <c r="AOI15" s="88"/>
      <c r="AOJ15" s="88"/>
      <c r="AOK15" s="88"/>
      <c r="AOL15" s="88"/>
      <c r="AOM15" s="88"/>
      <c r="AON15" s="88"/>
      <c r="AOO15" s="88"/>
      <c r="AOP15" s="88"/>
      <c r="AOQ15" s="88"/>
      <c r="AOR15" s="88"/>
      <c r="AOS15" s="88"/>
      <c r="AOT15" s="88"/>
      <c r="AOU15" s="88"/>
      <c r="AOV15" s="88"/>
      <c r="AOW15" s="88"/>
      <c r="AOX15" s="88"/>
      <c r="AOY15" s="88"/>
      <c r="AOZ15" s="88"/>
      <c r="APA15" s="88"/>
      <c r="APB15" s="88"/>
      <c r="APC15" s="88"/>
      <c r="APD15" s="88"/>
      <c r="APE15" s="88"/>
      <c r="APF15" s="88"/>
      <c r="APG15" s="88"/>
      <c r="APH15" s="88"/>
      <c r="API15" s="88"/>
      <c r="APJ15" s="88"/>
      <c r="APK15" s="88"/>
      <c r="APL15" s="88"/>
      <c r="APM15" s="88"/>
      <c r="APN15" s="88"/>
      <c r="APO15" s="88"/>
      <c r="APP15" s="88"/>
      <c r="APQ15" s="88"/>
      <c r="APR15" s="88"/>
      <c r="APS15" s="88"/>
      <c r="APT15" s="88"/>
      <c r="APU15" s="88"/>
      <c r="APV15" s="88"/>
      <c r="APW15" s="88"/>
      <c r="APX15" s="88"/>
      <c r="APY15" s="88"/>
      <c r="APZ15" s="88"/>
      <c r="AQA15" s="88"/>
      <c r="AQB15" s="88"/>
      <c r="AQC15" s="88"/>
      <c r="AQD15" s="88"/>
      <c r="AQE15" s="88"/>
      <c r="AQF15" s="88"/>
      <c r="AQG15" s="88"/>
      <c r="AQH15" s="88"/>
      <c r="AQI15" s="88"/>
      <c r="AQJ15" s="88"/>
      <c r="AQK15" s="88"/>
      <c r="AQL15" s="88"/>
      <c r="AQM15" s="88"/>
      <c r="AQN15" s="88"/>
      <c r="AQO15" s="88"/>
      <c r="AQP15" s="88"/>
      <c r="AQQ15" s="88"/>
      <c r="AQR15" s="88"/>
      <c r="AQS15" s="88"/>
      <c r="AQT15" s="88"/>
      <c r="AQU15" s="88"/>
      <c r="AQV15" s="88"/>
      <c r="AQW15" s="88"/>
      <c r="AQX15" s="88"/>
      <c r="AQY15" s="88"/>
      <c r="AQZ15" s="88"/>
      <c r="ARA15" s="88"/>
      <c r="ARB15" s="88"/>
      <c r="ARC15" s="88"/>
      <c r="ARD15" s="88"/>
      <c r="ARE15" s="88"/>
      <c r="ARF15" s="88"/>
      <c r="ARG15" s="88"/>
      <c r="ARH15" s="88"/>
      <c r="ARI15" s="88"/>
      <c r="ARJ15" s="88"/>
      <c r="ARK15" s="88"/>
      <c r="ARL15" s="88"/>
      <c r="ARM15" s="88"/>
      <c r="ARN15" s="88"/>
      <c r="ARO15" s="88"/>
      <c r="ARP15" s="88"/>
      <c r="ARQ15" s="88"/>
      <c r="ARR15" s="88"/>
      <c r="ARS15" s="88"/>
      <c r="ART15" s="88"/>
      <c r="ARU15" s="88"/>
      <c r="ARV15" s="88"/>
      <c r="ARW15" s="88"/>
      <c r="ARX15" s="88"/>
      <c r="ARY15" s="88"/>
      <c r="ARZ15" s="88"/>
      <c r="ASA15" s="88"/>
      <c r="ASB15" s="88"/>
      <c r="ASC15" s="88"/>
      <c r="ASD15" s="88"/>
      <c r="ASE15" s="88"/>
      <c r="ASF15" s="88"/>
      <c r="ASG15" s="88"/>
      <c r="ASH15" s="88"/>
      <c r="ASI15" s="88"/>
      <c r="ASJ15" s="88"/>
      <c r="ASK15" s="88"/>
      <c r="ASL15" s="88"/>
      <c r="ASM15" s="88"/>
      <c r="ASN15" s="88"/>
      <c r="ASO15" s="88"/>
      <c r="ASP15" s="88"/>
      <c r="ASQ15" s="88"/>
      <c r="ASR15" s="88"/>
      <c r="ASS15" s="88"/>
      <c r="AST15" s="88"/>
      <c r="ASU15" s="88"/>
      <c r="ASV15" s="88"/>
      <c r="ASW15" s="88"/>
      <c r="ASX15" s="88"/>
      <c r="ASY15" s="88"/>
      <c r="ASZ15" s="88"/>
      <c r="ATA15" s="88"/>
      <c r="ATB15" s="88"/>
      <c r="ATC15" s="88"/>
      <c r="ATD15" s="88"/>
      <c r="ATE15" s="88"/>
      <c r="ATF15" s="88"/>
      <c r="ATG15" s="88"/>
      <c r="ATH15" s="88"/>
      <c r="ATI15" s="88"/>
      <c r="ATJ15" s="88"/>
      <c r="ATK15" s="88"/>
      <c r="ATL15" s="88"/>
      <c r="ATM15" s="88"/>
      <c r="ATN15" s="88"/>
      <c r="ATO15" s="88"/>
      <c r="ATP15" s="88"/>
      <c r="ATQ15" s="88"/>
      <c r="ATR15" s="88"/>
      <c r="ATS15" s="88"/>
      <c r="ATT15" s="88"/>
      <c r="ATU15" s="88"/>
      <c r="ATV15" s="88"/>
      <c r="ATW15" s="88"/>
      <c r="ATX15" s="88"/>
      <c r="ATY15" s="88"/>
      <c r="ATZ15" s="88"/>
      <c r="AUA15" s="88"/>
      <c r="AUB15" s="88"/>
      <c r="AUC15" s="88"/>
      <c r="AUD15" s="88"/>
      <c r="AUE15" s="88"/>
      <c r="AUF15" s="88"/>
      <c r="AUG15" s="88"/>
      <c r="AUH15" s="88"/>
      <c r="AUI15" s="88"/>
      <c r="AUJ15" s="88"/>
      <c r="AUK15" s="88"/>
      <c r="AUL15" s="88"/>
      <c r="AUM15" s="88"/>
      <c r="AUN15" s="88"/>
      <c r="AUO15" s="88"/>
      <c r="AUP15" s="88"/>
      <c r="AUQ15" s="88"/>
      <c r="AUR15" s="88"/>
      <c r="AUS15" s="88"/>
      <c r="AUT15" s="88"/>
      <c r="AUU15" s="88"/>
      <c r="AUV15" s="88"/>
      <c r="AUW15" s="88"/>
      <c r="AUX15" s="88"/>
      <c r="AUY15" s="88"/>
      <c r="AUZ15" s="88"/>
      <c r="AVA15" s="88"/>
      <c r="AVB15" s="88"/>
      <c r="AVC15" s="88"/>
      <c r="AVD15" s="88"/>
      <c r="AVE15" s="88"/>
      <c r="AVF15" s="88"/>
      <c r="AVG15" s="88"/>
      <c r="AVH15" s="88"/>
      <c r="AVI15" s="88"/>
      <c r="AVJ15" s="88"/>
      <c r="AVK15" s="88"/>
      <c r="AVL15" s="88"/>
      <c r="AVM15" s="88"/>
      <c r="AVN15" s="88"/>
      <c r="AVO15" s="88"/>
      <c r="AVP15" s="88"/>
      <c r="AVQ15" s="88"/>
      <c r="AVR15" s="88"/>
      <c r="AVS15" s="88"/>
      <c r="AVT15" s="88"/>
      <c r="AVU15" s="88"/>
      <c r="AVV15" s="88"/>
      <c r="AVW15" s="88"/>
      <c r="AVX15" s="88"/>
      <c r="AVY15" s="88"/>
      <c r="AVZ15" s="88"/>
      <c r="AWA15" s="88"/>
      <c r="AWB15" s="88"/>
      <c r="AWC15" s="88"/>
      <c r="AWD15" s="88"/>
      <c r="AWE15" s="88"/>
      <c r="AWF15" s="88"/>
      <c r="AWG15" s="88"/>
      <c r="AWH15" s="88"/>
      <c r="AWI15" s="88"/>
      <c r="AWJ15" s="88"/>
      <c r="AWK15" s="88"/>
      <c r="AWL15" s="88"/>
      <c r="AWM15" s="88"/>
      <c r="AWN15" s="88"/>
      <c r="AWO15" s="88"/>
      <c r="AWP15" s="88"/>
      <c r="AWQ15" s="88"/>
      <c r="AWR15" s="88"/>
      <c r="AWS15" s="88"/>
      <c r="AWT15" s="88"/>
      <c r="AWU15" s="88"/>
      <c r="AWV15" s="88"/>
      <c r="AWW15" s="88"/>
      <c r="AWX15" s="88"/>
      <c r="AWY15" s="88"/>
      <c r="AWZ15" s="88"/>
      <c r="AXA15" s="88"/>
      <c r="AXB15" s="88"/>
      <c r="AXC15" s="88"/>
      <c r="AXD15" s="88"/>
      <c r="AXE15" s="88"/>
      <c r="AXF15" s="88"/>
      <c r="AXG15" s="88"/>
      <c r="AXH15" s="88"/>
      <c r="AXI15" s="88"/>
      <c r="AXJ15" s="88"/>
      <c r="AXK15" s="88"/>
      <c r="AXL15" s="88"/>
      <c r="AXM15" s="88"/>
      <c r="AXN15" s="88"/>
      <c r="AXO15" s="88"/>
      <c r="AXP15" s="88"/>
      <c r="AXQ15" s="88"/>
      <c r="AXR15" s="88"/>
      <c r="AXS15" s="88"/>
      <c r="AXT15" s="88"/>
      <c r="AXU15" s="88"/>
      <c r="AXV15" s="88"/>
      <c r="AXW15" s="88"/>
      <c r="AXX15" s="88"/>
      <c r="AXY15" s="88"/>
      <c r="AXZ15" s="88"/>
      <c r="AYA15" s="88"/>
      <c r="AYB15" s="88"/>
      <c r="AYC15" s="88"/>
      <c r="AYD15" s="88"/>
      <c r="AYE15" s="88"/>
      <c r="AYF15" s="88"/>
      <c r="AYG15" s="88"/>
      <c r="AYH15" s="88"/>
      <c r="AYI15" s="88"/>
      <c r="AYJ15" s="88"/>
      <c r="AYK15" s="88"/>
      <c r="AYL15" s="88"/>
      <c r="AYM15" s="88"/>
      <c r="AYN15" s="88"/>
      <c r="AYO15" s="88"/>
      <c r="AYP15" s="88"/>
      <c r="AYQ15" s="88"/>
      <c r="AYR15" s="88"/>
      <c r="AYS15" s="88"/>
      <c r="AYT15" s="88"/>
      <c r="AYU15" s="88"/>
      <c r="AYV15" s="88"/>
      <c r="AYW15" s="88"/>
      <c r="AYX15" s="88"/>
      <c r="AYY15" s="88"/>
      <c r="AYZ15" s="88"/>
      <c r="AZA15" s="88"/>
      <c r="AZB15" s="88"/>
      <c r="AZC15" s="88"/>
      <c r="AZD15" s="88"/>
      <c r="AZE15" s="88"/>
      <c r="AZF15" s="88"/>
      <c r="AZG15" s="88"/>
      <c r="AZH15" s="88"/>
      <c r="AZI15" s="88"/>
      <c r="AZJ15" s="88"/>
      <c r="AZK15" s="88"/>
      <c r="AZL15" s="88"/>
      <c r="AZM15" s="88"/>
      <c r="AZN15" s="88"/>
      <c r="AZO15" s="88"/>
      <c r="AZP15" s="88"/>
      <c r="AZQ15" s="88"/>
      <c r="AZR15" s="88"/>
      <c r="AZS15" s="88"/>
      <c r="AZT15" s="88"/>
      <c r="AZU15" s="88"/>
      <c r="AZV15" s="88"/>
      <c r="AZW15" s="88"/>
      <c r="AZX15" s="88"/>
      <c r="AZY15" s="88"/>
      <c r="AZZ15" s="88"/>
      <c r="BAA15" s="88"/>
      <c r="BAB15" s="88"/>
      <c r="BAC15" s="88"/>
      <c r="BAD15" s="88"/>
      <c r="BAE15" s="88"/>
      <c r="BAF15" s="88"/>
      <c r="BAG15" s="88"/>
      <c r="BAH15" s="88"/>
      <c r="BAI15" s="88"/>
      <c r="BAJ15" s="88"/>
      <c r="BAK15" s="88"/>
      <c r="BAL15" s="88"/>
      <c r="BAM15" s="88"/>
      <c r="BAN15" s="88"/>
      <c r="BAO15" s="88"/>
      <c r="BAP15" s="88"/>
      <c r="BAQ15" s="88"/>
      <c r="BAR15" s="88"/>
      <c r="BAS15" s="88"/>
      <c r="BAT15" s="88"/>
      <c r="BAU15" s="88"/>
      <c r="BAV15" s="88"/>
      <c r="BAW15" s="88"/>
      <c r="BAX15" s="88"/>
      <c r="BAY15" s="88"/>
      <c r="BAZ15" s="88"/>
      <c r="BBA15" s="88"/>
      <c r="BBB15" s="88"/>
      <c r="BBC15" s="88"/>
      <c r="BBD15" s="88"/>
      <c r="BBE15" s="88"/>
      <c r="BBF15" s="88"/>
      <c r="BBG15" s="88"/>
      <c r="BBH15" s="88"/>
      <c r="BBI15" s="88"/>
      <c r="BBJ15" s="88"/>
      <c r="BBK15" s="88"/>
      <c r="BBL15" s="88"/>
      <c r="BBM15" s="88"/>
      <c r="BBN15" s="88"/>
      <c r="BBO15" s="88"/>
      <c r="BBP15" s="88"/>
      <c r="BBQ15" s="88"/>
      <c r="BBR15" s="88"/>
      <c r="BBS15" s="88"/>
      <c r="BBT15" s="88"/>
      <c r="BBU15" s="88"/>
      <c r="BBV15" s="88"/>
      <c r="BBW15" s="88"/>
      <c r="BBX15" s="88"/>
      <c r="BBY15" s="88"/>
      <c r="BBZ15" s="88"/>
      <c r="BCA15" s="88"/>
      <c r="BCB15" s="88"/>
      <c r="BCC15" s="88"/>
      <c r="BCD15" s="88"/>
      <c r="BCE15" s="88"/>
      <c r="BCF15" s="88"/>
      <c r="BCG15" s="88"/>
      <c r="BCH15" s="88"/>
      <c r="BCI15" s="88"/>
      <c r="BCJ15" s="88"/>
      <c r="BCK15" s="88"/>
      <c r="BCL15" s="88"/>
      <c r="BCM15" s="88"/>
      <c r="BCN15" s="88"/>
      <c r="BCO15" s="88"/>
      <c r="BCP15" s="88"/>
      <c r="BCQ15" s="88"/>
      <c r="BCR15" s="88"/>
      <c r="BCS15" s="88"/>
      <c r="BCT15" s="88"/>
      <c r="BCU15" s="88"/>
      <c r="BCV15" s="88"/>
      <c r="BCW15" s="88"/>
      <c r="BCX15" s="88"/>
      <c r="BCY15" s="88"/>
      <c r="BCZ15" s="88"/>
      <c r="BDA15" s="88"/>
      <c r="BDB15" s="88"/>
      <c r="BDC15" s="88"/>
      <c r="BDD15" s="88"/>
      <c r="BDE15" s="88"/>
      <c r="BDF15" s="88"/>
      <c r="BDG15" s="88"/>
      <c r="BDH15" s="88"/>
      <c r="BDI15" s="88"/>
      <c r="BDJ15" s="88"/>
      <c r="BDK15" s="88"/>
      <c r="BDL15" s="88"/>
      <c r="BDM15" s="88"/>
      <c r="BDN15" s="88"/>
      <c r="BDO15" s="88"/>
      <c r="BDP15" s="88"/>
      <c r="BDQ15" s="88"/>
      <c r="BDR15" s="88"/>
      <c r="BDS15" s="88"/>
      <c r="BDT15" s="88"/>
      <c r="BDU15" s="88"/>
      <c r="BDV15" s="88"/>
      <c r="BDW15" s="88"/>
      <c r="BDX15" s="88"/>
      <c r="BDY15" s="88"/>
      <c r="BDZ15" s="88"/>
      <c r="BEA15" s="88"/>
      <c r="BEB15" s="88"/>
      <c r="BEC15" s="88"/>
      <c r="BED15" s="88"/>
      <c r="BEE15" s="88"/>
      <c r="BEF15" s="88"/>
      <c r="BEG15" s="88"/>
      <c r="BEH15" s="88"/>
      <c r="BEI15" s="88"/>
      <c r="BEJ15" s="88"/>
      <c r="BEK15" s="88"/>
      <c r="BEL15" s="88"/>
      <c r="BEM15" s="88"/>
      <c r="BEN15" s="88"/>
      <c r="BEO15" s="88"/>
      <c r="BEP15" s="88"/>
      <c r="BEQ15" s="88"/>
      <c r="BER15" s="88"/>
      <c r="BES15" s="88"/>
      <c r="BET15" s="88"/>
      <c r="BEU15" s="88"/>
      <c r="BEV15" s="88"/>
      <c r="BEW15" s="88"/>
      <c r="BEX15" s="88"/>
      <c r="BEY15" s="88"/>
      <c r="BEZ15" s="88"/>
      <c r="BFA15" s="88"/>
      <c r="BFB15" s="88"/>
      <c r="BFC15" s="88"/>
      <c r="BFD15" s="88"/>
      <c r="BFE15" s="88"/>
      <c r="BFF15" s="88"/>
      <c r="BFG15" s="88"/>
      <c r="BFH15" s="88"/>
      <c r="BFI15" s="88"/>
      <c r="BFJ15" s="88"/>
      <c r="BFK15" s="88"/>
      <c r="BFL15" s="88"/>
      <c r="BFM15" s="88"/>
      <c r="BFN15" s="88"/>
      <c r="BFO15" s="88"/>
      <c r="BFP15" s="88"/>
      <c r="BFQ15" s="88"/>
      <c r="BFR15" s="88"/>
      <c r="BFS15" s="88"/>
      <c r="BFT15" s="88"/>
      <c r="BFU15" s="88"/>
      <c r="BFV15" s="88"/>
      <c r="BFW15" s="88"/>
      <c r="BFX15" s="88"/>
      <c r="BFY15" s="88"/>
      <c r="BFZ15" s="88"/>
      <c r="BGA15" s="88"/>
      <c r="BGB15" s="88"/>
      <c r="BGC15" s="88"/>
      <c r="BGD15" s="88"/>
      <c r="BGE15" s="88"/>
      <c r="BGF15" s="88"/>
      <c r="BGG15" s="88"/>
      <c r="BGH15" s="88"/>
      <c r="BGI15" s="88"/>
      <c r="BGJ15" s="88"/>
      <c r="BGK15" s="88"/>
      <c r="BGL15" s="88"/>
      <c r="BGM15" s="88"/>
      <c r="BGN15" s="88"/>
      <c r="BGO15" s="88"/>
      <c r="BGP15" s="88"/>
      <c r="BGQ15" s="88"/>
      <c r="BGR15" s="88"/>
      <c r="BGS15" s="88"/>
      <c r="BGT15" s="88"/>
      <c r="BGU15" s="88"/>
      <c r="BGV15" s="88"/>
      <c r="BGW15" s="88"/>
      <c r="BGX15" s="88"/>
      <c r="BGY15" s="88"/>
      <c r="BGZ15" s="88"/>
      <c r="BHA15" s="88"/>
      <c r="BHB15" s="88"/>
      <c r="BHC15" s="88"/>
      <c r="BHD15" s="88"/>
      <c r="BHE15" s="88"/>
      <c r="BHF15" s="88"/>
      <c r="BHG15" s="88"/>
      <c r="BHH15" s="88"/>
      <c r="BHI15" s="88"/>
      <c r="BHJ15" s="88"/>
      <c r="BHK15" s="88"/>
      <c r="BHL15" s="88"/>
      <c r="BHM15" s="88"/>
      <c r="BHN15" s="88"/>
      <c r="BHO15" s="88"/>
      <c r="BHP15" s="88"/>
      <c r="BHQ15" s="88"/>
      <c r="BHR15" s="88"/>
      <c r="BHS15" s="88"/>
      <c r="BHT15" s="88"/>
      <c r="BHU15" s="88"/>
      <c r="BHV15" s="88"/>
      <c r="BHW15" s="88"/>
      <c r="BHX15" s="88"/>
      <c r="BHY15" s="88"/>
      <c r="BHZ15" s="88"/>
      <c r="BIA15" s="88"/>
      <c r="BIB15" s="88"/>
      <c r="BIC15" s="88"/>
      <c r="BID15" s="88"/>
      <c r="BIE15" s="88"/>
      <c r="BIF15" s="88"/>
      <c r="BIG15" s="88"/>
      <c r="BIH15" s="88"/>
      <c r="BII15" s="88"/>
      <c r="BIJ15" s="88"/>
      <c r="BIK15" s="88"/>
      <c r="BIL15" s="88"/>
      <c r="BIM15" s="88"/>
      <c r="BIN15" s="88"/>
      <c r="BIO15" s="88"/>
      <c r="BIP15" s="88"/>
      <c r="BIQ15" s="88"/>
      <c r="BIR15" s="88"/>
      <c r="BIS15" s="88"/>
      <c r="BIT15" s="88"/>
      <c r="BIU15" s="88"/>
      <c r="BIV15" s="88"/>
      <c r="BIW15" s="88"/>
      <c r="BIX15" s="88"/>
      <c r="BIY15" s="88"/>
      <c r="BIZ15" s="88"/>
      <c r="BJA15" s="88"/>
      <c r="BJB15" s="88"/>
      <c r="BJC15" s="88"/>
      <c r="BJD15" s="88"/>
      <c r="BJE15" s="88"/>
      <c r="BJF15" s="88"/>
      <c r="BJG15" s="88"/>
      <c r="BJH15" s="88"/>
      <c r="BJI15" s="88"/>
      <c r="BJJ15" s="88"/>
      <c r="BJK15" s="88"/>
      <c r="BJL15" s="88"/>
      <c r="BJM15" s="88"/>
      <c r="BJN15" s="88"/>
      <c r="BJO15" s="88"/>
      <c r="BJP15" s="88"/>
      <c r="BJQ15" s="88"/>
      <c r="BJR15" s="88"/>
      <c r="BJS15" s="88"/>
      <c r="BJT15" s="88"/>
      <c r="BJU15" s="88"/>
      <c r="BJV15" s="88"/>
      <c r="BJW15" s="88"/>
      <c r="BJX15" s="88"/>
      <c r="BJY15" s="88"/>
      <c r="BJZ15" s="88"/>
      <c r="BKA15" s="88"/>
      <c r="BKB15" s="88"/>
      <c r="BKC15" s="88"/>
      <c r="BKD15" s="88"/>
      <c r="BKE15" s="88"/>
      <c r="BKF15" s="88"/>
      <c r="BKG15" s="88"/>
      <c r="BKH15" s="88"/>
      <c r="BKI15" s="88"/>
      <c r="BKJ15" s="88"/>
      <c r="BKK15" s="88"/>
      <c r="BKL15" s="88"/>
      <c r="BKM15" s="88"/>
      <c r="BKN15" s="88"/>
      <c r="BKO15" s="88"/>
      <c r="BKP15" s="88"/>
      <c r="BKQ15" s="88"/>
      <c r="BKR15" s="88"/>
      <c r="BKS15" s="88"/>
      <c r="BKT15" s="88"/>
      <c r="BKU15" s="88"/>
      <c r="BKV15" s="88"/>
      <c r="BKW15" s="88"/>
      <c r="BKX15" s="88"/>
      <c r="BKY15" s="88"/>
      <c r="BKZ15" s="88"/>
      <c r="BLA15" s="88"/>
      <c r="BLB15" s="88"/>
      <c r="BLC15" s="88"/>
      <c r="BLD15" s="88"/>
      <c r="BLE15" s="88"/>
      <c r="BLF15" s="88"/>
      <c r="BLG15" s="88"/>
      <c r="BLH15" s="88"/>
      <c r="BLI15" s="88"/>
      <c r="BLJ15" s="88"/>
      <c r="BLK15" s="88"/>
      <c r="BLL15" s="88"/>
      <c r="BLM15" s="88"/>
      <c r="BLN15" s="88"/>
      <c r="BLO15" s="88"/>
      <c r="BLP15" s="88"/>
      <c r="BLQ15" s="88"/>
      <c r="BLR15" s="88"/>
      <c r="BLS15" s="88"/>
      <c r="BLT15" s="88"/>
      <c r="BLU15" s="88"/>
      <c r="BLV15" s="88"/>
      <c r="BLW15" s="88"/>
      <c r="BLX15" s="88"/>
      <c r="BLY15" s="88"/>
      <c r="BLZ15" s="88"/>
      <c r="BMA15" s="88"/>
      <c r="BMB15" s="88"/>
      <c r="BMC15" s="88"/>
      <c r="BMD15" s="88"/>
      <c r="BME15" s="88"/>
      <c r="BMF15" s="88"/>
      <c r="BMG15" s="88"/>
      <c r="BMH15" s="88"/>
      <c r="BMI15" s="88"/>
      <c r="BMJ15" s="88"/>
      <c r="BMK15" s="88"/>
      <c r="BML15" s="88"/>
      <c r="BMM15" s="88"/>
      <c r="BMN15" s="88"/>
      <c r="BMO15" s="88"/>
      <c r="BMP15" s="88"/>
      <c r="BMQ15" s="88"/>
      <c r="BMR15" s="88"/>
      <c r="BMS15" s="88"/>
      <c r="BMT15" s="88"/>
      <c r="BMU15" s="88"/>
      <c r="BMV15" s="88"/>
      <c r="BMW15" s="88"/>
      <c r="BMX15" s="88"/>
      <c r="BMY15" s="88"/>
      <c r="BMZ15" s="88"/>
      <c r="BNA15" s="88"/>
      <c r="BNB15" s="88"/>
      <c r="BNC15" s="88"/>
      <c r="BND15" s="88"/>
      <c r="BNE15" s="88"/>
      <c r="BNF15" s="88"/>
      <c r="BNG15" s="88"/>
      <c r="BNH15" s="88"/>
      <c r="BNI15" s="88"/>
      <c r="BNJ15" s="88"/>
      <c r="BNK15" s="88"/>
      <c r="BNL15" s="88"/>
      <c r="BNM15" s="88"/>
      <c r="BNN15" s="88"/>
      <c r="BNO15" s="88"/>
      <c r="BNP15" s="88"/>
      <c r="BNQ15" s="88"/>
      <c r="BNR15" s="88"/>
      <c r="BNS15" s="88"/>
      <c r="BNT15" s="88"/>
      <c r="BNU15" s="88"/>
      <c r="BNV15" s="88"/>
      <c r="BNW15" s="88"/>
      <c r="BNX15" s="88"/>
      <c r="BNY15" s="88"/>
      <c r="BNZ15" s="88"/>
      <c r="BOA15" s="88"/>
      <c r="BOB15" s="88"/>
      <c r="BOC15" s="88"/>
      <c r="BOD15" s="88"/>
      <c r="BOE15" s="88"/>
      <c r="BOF15" s="88"/>
      <c r="BOG15" s="88"/>
      <c r="BOH15" s="88"/>
      <c r="BOI15" s="88"/>
      <c r="BOJ15" s="88"/>
      <c r="BOK15" s="88"/>
      <c r="BOL15" s="88"/>
      <c r="BOM15" s="88"/>
      <c r="BON15" s="88"/>
      <c r="BOO15" s="88"/>
      <c r="BOP15" s="88"/>
      <c r="BOQ15" s="88"/>
      <c r="BOR15" s="88"/>
      <c r="BOS15" s="88"/>
      <c r="BOT15" s="88"/>
      <c r="BOU15" s="88"/>
      <c r="BOV15" s="88"/>
      <c r="BOW15" s="88"/>
      <c r="BOX15" s="88"/>
      <c r="BOY15" s="88"/>
      <c r="BOZ15" s="88"/>
      <c r="BPA15" s="88"/>
      <c r="BPB15" s="88"/>
      <c r="BPC15" s="88"/>
      <c r="BPD15" s="88"/>
      <c r="BPE15" s="88"/>
      <c r="BPF15" s="88"/>
      <c r="BPG15" s="88"/>
      <c r="BPH15" s="88"/>
      <c r="BPI15" s="88"/>
      <c r="BPJ15" s="88"/>
      <c r="BPK15" s="88"/>
      <c r="BPL15" s="88"/>
      <c r="BPM15" s="88"/>
      <c r="BPN15" s="88"/>
      <c r="BPO15" s="88"/>
      <c r="BPP15" s="88"/>
      <c r="BPQ15" s="88"/>
      <c r="BPR15" s="88"/>
      <c r="BPS15" s="88"/>
      <c r="BPT15" s="88"/>
      <c r="BPU15" s="88"/>
      <c r="BPV15" s="88"/>
      <c r="BPW15" s="88"/>
      <c r="BPX15" s="88"/>
      <c r="BPY15" s="88"/>
      <c r="BPZ15" s="88"/>
      <c r="BQA15" s="88"/>
      <c r="BQB15" s="88"/>
      <c r="BQC15" s="88"/>
      <c r="BQD15" s="88"/>
      <c r="BQE15" s="88"/>
      <c r="BQF15" s="88"/>
      <c r="BQG15" s="88"/>
      <c r="BQH15" s="88"/>
      <c r="BQI15" s="88"/>
      <c r="BQJ15" s="88"/>
      <c r="BQK15" s="88"/>
      <c r="BQL15" s="88"/>
      <c r="BQM15" s="88"/>
      <c r="BQN15" s="88"/>
      <c r="BQO15" s="88"/>
      <c r="BQP15" s="88"/>
      <c r="BQQ15" s="88"/>
      <c r="BQR15" s="88"/>
      <c r="BQS15" s="88"/>
      <c r="BQT15" s="88"/>
      <c r="BQU15" s="88"/>
      <c r="BQV15" s="88"/>
      <c r="BQW15" s="88"/>
      <c r="BQX15" s="88"/>
      <c r="BQY15" s="88"/>
      <c r="BQZ15" s="88"/>
      <c r="BRA15" s="88"/>
      <c r="BRB15" s="88"/>
      <c r="BRC15" s="88"/>
      <c r="BRD15" s="88"/>
      <c r="BRE15" s="88"/>
      <c r="BRF15" s="88"/>
      <c r="BRG15" s="88"/>
      <c r="BRH15" s="88"/>
      <c r="BRI15" s="88"/>
      <c r="BRJ15" s="88"/>
      <c r="BRK15" s="88"/>
      <c r="BRL15" s="88"/>
      <c r="BRM15" s="88"/>
      <c r="BRN15" s="88"/>
      <c r="BRO15" s="88"/>
      <c r="BRP15" s="88"/>
      <c r="BRQ15" s="88"/>
      <c r="BRR15" s="88"/>
      <c r="BRS15" s="88"/>
      <c r="BRT15" s="88"/>
      <c r="BRU15" s="88"/>
      <c r="BRV15" s="88"/>
      <c r="BRW15" s="88"/>
      <c r="BRX15" s="88"/>
      <c r="BRY15" s="88"/>
      <c r="BRZ15" s="88"/>
      <c r="BSA15" s="88"/>
      <c r="BSB15" s="88"/>
      <c r="BSC15" s="88"/>
      <c r="BSD15" s="88"/>
      <c r="BSE15" s="88"/>
      <c r="BSF15" s="88"/>
      <c r="BSG15" s="88"/>
      <c r="BSH15" s="88"/>
      <c r="BSI15" s="88"/>
      <c r="BSJ15" s="88"/>
      <c r="BSK15" s="88"/>
      <c r="BSL15" s="88"/>
      <c r="BSM15" s="88"/>
      <c r="BSN15" s="88"/>
      <c r="BSO15" s="88"/>
      <c r="BSP15" s="88"/>
      <c r="BSQ15" s="88"/>
      <c r="BSR15" s="88"/>
      <c r="BSS15" s="88"/>
      <c r="BST15" s="88"/>
      <c r="BSU15" s="88"/>
      <c r="BSV15" s="88"/>
      <c r="BSW15" s="88"/>
      <c r="BSX15" s="88"/>
      <c r="BSY15" s="88"/>
      <c r="BSZ15" s="88"/>
      <c r="BTA15" s="88"/>
      <c r="BTB15" s="88"/>
      <c r="BTC15" s="88"/>
      <c r="BTD15" s="88"/>
      <c r="BTE15" s="88"/>
      <c r="BTF15" s="88"/>
      <c r="BTG15" s="88"/>
      <c r="BTH15" s="88"/>
      <c r="BTI15" s="88"/>
      <c r="BTJ15" s="88"/>
      <c r="BTK15" s="88"/>
      <c r="BTL15" s="88"/>
      <c r="BTM15" s="88"/>
      <c r="BTN15" s="88"/>
      <c r="BTO15" s="88"/>
      <c r="BTP15" s="88"/>
      <c r="BTQ15" s="88"/>
      <c r="BTR15" s="88"/>
      <c r="BTS15" s="88"/>
      <c r="BTT15" s="88"/>
      <c r="BTU15" s="88"/>
      <c r="BTV15" s="88"/>
      <c r="BTW15" s="88"/>
      <c r="BTX15" s="88"/>
      <c r="BTY15" s="88"/>
      <c r="BTZ15" s="88"/>
      <c r="BUA15" s="88"/>
      <c r="BUB15" s="88"/>
      <c r="BUC15" s="88"/>
      <c r="BUD15" s="88"/>
      <c r="BUE15" s="88"/>
      <c r="BUF15" s="88"/>
      <c r="BUG15" s="88"/>
      <c r="BUH15" s="88"/>
      <c r="BUI15" s="88"/>
      <c r="BUJ15" s="88"/>
      <c r="BUK15" s="88"/>
      <c r="BUL15" s="88"/>
      <c r="BUM15" s="88"/>
      <c r="BUN15" s="88"/>
      <c r="BUO15" s="88"/>
      <c r="BUP15" s="88"/>
      <c r="BUQ15" s="88"/>
      <c r="BUR15" s="88"/>
      <c r="BUS15" s="88"/>
      <c r="BUT15" s="88"/>
      <c r="BUU15" s="88"/>
      <c r="BUV15" s="88"/>
      <c r="BUW15" s="88"/>
      <c r="BUX15" s="88"/>
      <c r="BUY15" s="88"/>
      <c r="BUZ15" s="88"/>
      <c r="BVA15" s="88"/>
      <c r="BVB15" s="88"/>
      <c r="BVC15" s="88"/>
      <c r="BVD15" s="88"/>
      <c r="BVE15" s="88"/>
      <c r="BVF15" s="88"/>
      <c r="BVG15" s="88"/>
      <c r="BVH15" s="88"/>
      <c r="BVI15" s="88"/>
      <c r="BVJ15" s="88"/>
      <c r="BVK15" s="88"/>
      <c r="BVL15" s="88"/>
      <c r="BVM15" s="88"/>
      <c r="BVN15" s="88"/>
      <c r="BVO15" s="88"/>
      <c r="BVP15" s="88"/>
      <c r="BVQ15" s="88"/>
      <c r="BVR15" s="88"/>
      <c r="BVS15" s="88"/>
      <c r="BVT15" s="88"/>
      <c r="BVU15" s="88"/>
      <c r="BVV15" s="88"/>
      <c r="BVW15" s="88"/>
      <c r="BVX15" s="88"/>
      <c r="BVY15" s="88"/>
      <c r="BVZ15" s="88"/>
      <c r="BWA15" s="88"/>
      <c r="BWB15" s="88"/>
      <c r="BWC15" s="88"/>
      <c r="BWD15" s="88"/>
      <c r="BWE15" s="88"/>
      <c r="BWF15" s="88"/>
      <c r="BWG15" s="88"/>
      <c r="BWH15" s="88"/>
      <c r="BWI15" s="88"/>
      <c r="BWJ15" s="88"/>
      <c r="BWK15" s="88"/>
      <c r="BWL15" s="88"/>
      <c r="BWM15" s="88"/>
      <c r="BWN15" s="88"/>
      <c r="BWO15" s="88"/>
      <c r="BWP15" s="88"/>
      <c r="BWQ15" s="88"/>
      <c r="BWR15" s="88"/>
      <c r="BWS15" s="88"/>
      <c r="BWT15" s="88"/>
      <c r="BWU15" s="88"/>
      <c r="BWV15" s="88"/>
      <c r="BWW15" s="88"/>
      <c r="BWX15" s="88"/>
      <c r="BWY15" s="88"/>
      <c r="BWZ15" s="88"/>
      <c r="BXA15" s="88"/>
      <c r="BXB15" s="88"/>
      <c r="BXC15" s="88"/>
      <c r="BXD15" s="88"/>
      <c r="BXE15" s="88"/>
      <c r="BXF15" s="88"/>
      <c r="BXG15" s="88"/>
      <c r="BXH15" s="88"/>
      <c r="BXI15" s="88"/>
      <c r="BXJ15" s="88"/>
      <c r="BXK15" s="88"/>
      <c r="BXL15" s="88"/>
      <c r="BXM15" s="88"/>
      <c r="BXN15" s="88"/>
      <c r="BXO15" s="88"/>
      <c r="BXP15" s="88"/>
      <c r="BXQ15" s="88"/>
      <c r="BXR15" s="88"/>
      <c r="BXS15" s="88"/>
      <c r="BXT15" s="88"/>
      <c r="BXU15" s="88"/>
      <c r="BXV15" s="88"/>
      <c r="BXW15" s="88"/>
      <c r="BXX15" s="88"/>
      <c r="BXY15" s="88"/>
      <c r="BXZ15" s="88"/>
      <c r="BYA15" s="88"/>
      <c r="BYB15" s="88"/>
      <c r="BYC15" s="88"/>
      <c r="BYD15" s="88"/>
      <c r="BYE15" s="88"/>
      <c r="BYF15" s="88"/>
      <c r="BYG15" s="88"/>
      <c r="BYH15" s="88"/>
      <c r="BYI15" s="88"/>
      <c r="BYJ15" s="88"/>
      <c r="BYK15" s="88"/>
      <c r="BYL15" s="88"/>
      <c r="BYM15" s="88"/>
      <c r="BYN15" s="88"/>
      <c r="BYO15" s="88"/>
      <c r="BYP15" s="88"/>
      <c r="BYQ15" s="88"/>
      <c r="BYR15" s="88"/>
      <c r="BYS15" s="88"/>
      <c r="BYT15" s="88"/>
      <c r="BYU15" s="88"/>
      <c r="BYV15" s="88"/>
      <c r="BYW15" s="88"/>
      <c r="BYX15" s="88"/>
      <c r="BYY15" s="88"/>
      <c r="BYZ15" s="88"/>
      <c r="BZA15" s="88"/>
      <c r="BZB15" s="88"/>
      <c r="BZC15" s="88"/>
      <c r="BZD15" s="88"/>
      <c r="BZE15" s="88"/>
      <c r="BZF15" s="88"/>
      <c r="BZG15" s="88"/>
      <c r="BZH15" s="88"/>
      <c r="BZI15" s="88"/>
      <c r="BZJ15" s="88"/>
      <c r="BZK15" s="88"/>
      <c r="BZL15" s="88"/>
      <c r="BZM15" s="88"/>
      <c r="BZN15" s="88"/>
      <c r="BZO15" s="88"/>
      <c r="BZP15" s="88"/>
      <c r="BZQ15" s="88"/>
      <c r="BZR15" s="88"/>
      <c r="BZS15" s="88"/>
      <c r="BZT15" s="88"/>
      <c r="BZU15" s="88"/>
      <c r="BZV15" s="88"/>
      <c r="BZW15" s="88"/>
      <c r="BZX15" s="88"/>
      <c r="BZY15" s="88"/>
      <c r="BZZ15" s="88"/>
      <c r="CAA15" s="88"/>
      <c r="CAB15" s="88"/>
      <c r="CAC15" s="88"/>
      <c r="CAD15" s="88"/>
      <c r="CAE15" s="88"/>
      <c r="CAF15" s="88"/>
      <c r="CAG15" s="88"/>
      <c r="CAH15" s="88"/>
      <c r="CAI15" s="88"/>
      <c r="CAJ15" s="88"/>
      <c r="CAK15" s="88"/>
      <c r="CAL15" s="88"/>
      <c r="CAM15" s="88"/>
      <c r="CAN15" s="88"/>
      <c r="CAO15" s="88"/>
      <c r="CAP15" s="88"/>
      <c r="CAQ15" s="88"/>
      <c r="CAR15" s="88"/>
      <c r="CAS15" s="88"/>
      <c r="CAT15" s="88"/>
      <c r="CAU15" s="88"/>
      <c r="CAV15" s="88"/>
      <c r="CAW15" s="88"/>
      <c r="CAX15" s="88"/>
      <c r="CAY15" s="88"/>
      <c r="CAZ15" s="88"/>
      <c r="CBA15" s="88"/>
      <c r="CBB15" s="88"/>
      <c r="CBC15" s="88"/>
      <c r="CBD15" s="88"/>
      <c r="CBE15" s="88"/>
      <c r="CBF15" s="88"/>
      <c r="CBG15" s="88"/>
      <c r="CBH15" s="88"/>
      <c r="CBI15" s="88"/>
      <c r="CBJ15" s="88"/>
      <c r="CBK15" s="88"/>
      <c r="CBL15" s="88"/>
      <c r="CBM15" s="88"/>
      <c r="CBN15" s="88"/>
      <c r="CBO15" s="88"/>
      <c r="CBP15" s="88"/>
      <c r="CBQ15" s="88"/>
      <c r="CBR15" s="88"/>
      <c r="CBS15" s="88"/>
      <c r="CBT15" s="88"/>
      <c r="CBU15" s="88"/>
      <c r="CBV15" s="88"/>
      <c r="CBW15" s="88"/>
      <c r="CBX15" s="88"/>
      <c r="CBY15" s="88"/>
      <c r="CBZ15" s="88"/>
      <c r="CCA15" s="88"/>
      <c r="CCB15" s="88"/>
      <c r="CCC15" s="88"/>
      <c r="CCD15" s="88"/>
      <c r="CCE15" s="88"/>
      <c r="CCF15" s="88"/>
      <c r="CCG15" s="88"/>
      <c r="CCH15" s="88"/>
      <c r="CCI15" s="88"/>
      <c r="CCJ15" s="88"/>
      <c r="CCK15" s="88"/>
      <c r="CCL15" s="88"/>
      <c r="CCM15" s="88"/>
      <c r="CCN15" s="88"/>
      <c r="CCO15" s="88"/>
      <c r="CCP15" s="88"/>
      <c r="CCQ15" s="88"/>
      <c r="CCR15" s="88"/>
      <c r="CCS15" s="88"/>
      <c r="CCT15" s="88"/>
      <c r="CCU15" s="88"/>
      <c r="CCV15" s="88"/>
      <c r="CCW15" s="88"/>
      <c r="CCX15" s="88"/>
      <c r="CCY15" s="88"/>
      <c r="CCZ15" s="88"/>
      <c r="CDA15" s="88"/>
      <c r="CDB15" s="88"/>
      <c r="CDC15" s="88"/>
      <c r="CDD15" s="88"/>
      <c r="CDE15" s="88"/>
      <c r="CDF15" s="88"/>
      <c r="CDG15" s="88"/>
      <c r="CDH15" s="88"/>
      <c r="CDI15" s="88"/>
      <c r="CDJ15" s="88"/>
      <c r="CDK15" s="88"/>
      <c r="CDL15" s="88"/>
      <c r="CDM15" s="88"/>
      <c r="CDN15" s="88"/>
      <c r="CDO15" s="88"/>
      <c r="CDP15" s="88"/>
      <c r="CDQ15" s="88"/>
      <c r="CDR15" s="88"/>
      <c r="CDS15" s="88"/>
      <c r="CDT15" s="88"/>
      <c r="CDU15" s="88"/>
      <c r="CDV15" s="88"/>
      <c r="CDW15" s="88"/>
      <c r="CDX15" s="88"/>
      <c r="CDY15" s="88"/>
      <c r="CDZ15" s="88"/>
      <c r="CEA15" s="88"/>
      <c r="CEB15" s="88"/>
      <c r="CEC15" s="88"/>
      <c r="CED15" s="88"/>
      <c r="CEE15" s="88"/>
      <c r="CEF15" s="88"/>
      <c r="CEG15" s="88"/>
      <c r="CEH15" s="88"/>
      <c r="CEI15" s="88"/>
      <c r="CEJ15" s="88"/>
      <c r="CEK15" s="88"/>
    </row>
    <row r="16" spans="1:2169" s="63" customFormat="1">
      <c r="A16" s="68" t="s">
        <v>398</v>
      </c>
      <c r="B16" s="707" t="s">
        <v>14600</v>
      </c>
      <c r="C16" s="68" t="str">
        <f>IF('page 2'!$O$4="","",IF('page 2'!$O$4=Gestion!A16,1,0))</f>
        <v/>
      </c>
      <c r="D16" s="68" t="str">
        <f>IF('page 2'!$O$5="","",IF('page 2'!$O$5=Gestion!A16,1,0))</f>
        <v/>
      </c>
      <c r="E16" s="68" t="str">
        <f>IF('page 2'!$O$6="","",IF('page 2'!$O$6=Gestion!A16,1,0))</f>
        <v/>
      </c>
      <c r="F16" s="68" t="str">
        <f>IF('page 2'!$O$7="","",IF('page 2'!$O$7=Gestion!A16,1,0))</f>
        <v/>
      </c>
      <c r="G16" s="68" t="str">
        <f>IF('page 2'!$O$8="","",IF('page 2'!$O$8=Gestion!A16,1,0))</f>
        <v/>
      </c>
      <c r="H16" s="68" t="str">
        <f>IF('page 2'!$O$9="","",IF('page 2'!$O$9=Gestion!A16,1,0))</f>
        <v/>
      </c>
      <c r="I16" s="68" t="str">
        <f>IF('page 2'!$O$10="","",IF('page 2'!$O$10=Gestion!A16,1,0))</f>
        <v/>
      </c>
      <c r="J16" s="68" t="str">
        <f>IF('page 2'!$O$11="","",IF('page 2'!$O$11=Gestion!A16,1,0))</f>
        <v/>
      </c>
      <c r="K16" s="68" t="str">
        <f>IF('page 2'!$O$12="","",IF('page 2'!$O$12=Gestion!A16,1,0))</f>
        <v/>
      </c>
      <c r="L16" s="68" t="str">
        <f>IF('page 2'!$O$13="","",IF('page 2'!$O$13=Gestion!A16,1,0))</f>
        <v/>
      </c>
      <c r="M16" s="68" t="str">
        <f>IF('page 2'!$O$14="","",IF('page 2'!$O$14=Gestion!A16,1,0))</f>
        <v/>
      </c>
      <c r="N16" s="68" t="str">
        <f>IF('page 2'!$O$15="","",IF('page 2'!$O$15=Gestion!A16,1,0))</f>
        <v/>
      </c>
      <c r="O16" s="68" t="str">
        <f>IF('page 2'!$O$16="","",IF('page 2'!$O$16=Gestion!A16,1,0))</f>
        <v/>
      </c>
      <c r="P16" s="68" t="str">
        <f>IF('page 2'!$O$17="","",IF('page 2'!$O$17=Gestion!A16,1,0))</f>
        <v/>
      </c>
      <c r="Q16" s="68" t="str">
        <f>IF('page 2'!$O$18="","",IF('page 2'!$O$18=Gestion!A16,1,0))</f>
        <v/>
      </c>
      <c r="R16" s="68" t="str">
        <f>IF('page 2'!$O$19="","",IF('page 2'!$O$19=Gestion!A16,1,0))</f>
        <v/>
      </c>
      <c r="S16" s="68" t="str">
        <f>IF('page 2'!$O$20="","",IF('page 2'!$O$20=Gestion!A16,1,0))</f>
        <v/>
      </c>
      <c r="T16" s="68" t="str">
        <f>IF('page 2'!$O$25="","",IF('page 2'!$O$25=Gestion!A16,1,0))</f>
        <v/>
      </c>
      <c r="U16" s="68" t="str">
        <f>IF('page 2'!$O$26="","",IF('page 2'!$O$26=Gestion!A16,1,0))</f>
        <v/>
      </c>
      <c r="V16" s="68" t="str">
        <f>IF('page 2'!$O$27="","",IF('page 2'!$O$27=Gestion!A16,1,0))</f>
        <v/>
      </c>
      <c r="W16" s="722">
        <f t="shared" si="0"/>
        <v>0</v>
      </c>
      <c r="X16" s="714" t="s">
        <v>2629</v>
      </c>
      <c r="Y16" s="68" t="str">
        <f>IF('page 2'!O17="","",'page 2'!O17)</f>
        <v/>
      </c>
      <c r="Z16" s="68" t="str">
        <f>IF(Y16="","",VLOOKUP(Y16,'page 2'!$O$4:$Q$27,3,FALSE))</f>
        <v/>
      </c>
      <c r="AA16" s="68" t="str">
        <f t="shared" si="1"/>
        <v/>
      </c>
      <c r="AB16" s="68"/>
      <c r="AC16" s="68"/>
      <c r="AD16" s="68"/>
      <c r="AP16" s="130"/>
      <c r="AQ16" s="130"/>
      <c r="AR16" s="130"/>
      <c r="AS16" s="894" t="s">
        <v>5825</v>
      </c>
      <c r="AT16" s="602">
        <v>2</v>
      </c>
      <c r="AU16" s="602">
        <v>2</v>
      </c>
      <c r="AV16" s="602">
        <v>3</v>
      </c>
      <c r="AW16" s="602">
        <v>0</v>
      </c>
      <c r="AX16" s="602">
        <v>0</v>
      </c>
      <c r="AY16" s="602">
        <v>2</v>
      </c>
      <c r="AZ16" s="602">
        <v>2</v>
      </c>
      <c r="BA16" s="602">
        <v>1</v>
      </c>
      <c r="BB16" s="602">
        <v>0</v>
      </c>
      <c r="BC16" s="602">
        <v>0</v>
      </c>
      <c r="BD16" s="602">
        <v>1</v>
      </c>
      <c r="BE16" s="602">
        <v>0</v>
      </c>
      <c r="BF16" s="602">
        <v>0</v>
      </c>
      <c r="BG16" s="602">
        <v>0</v>
      </c>
      <c r="BH16" s="602">
        <v>0</v>
      </c>
      <c r="BI16" s="602">
        <v>0</v>
      </c>
      <c r="BJ16" s="602">
        <v>0</v>
      </c>
      <c r="BK16" s="602">
        <v>0</v>
      </c>
      <c r="BL16" s="602">
        <v>1</v>
      </c>
      <c r="BM16" s="602">
        <v>0</v>
      </c>
      <c r="BN16" s="602">
        <v>0</v>
      </c>
      <c r="BO16" s="602">
        <v>0</v>
      </c>
      <c r="BP16" s="602">
        <v>0</v>
      </c>
      <c r="BQ16" s="602">
        <v>0</v>
      </c>
      <c r="BR16" s="602">
        <v>0</v>
      </c>
      <c r="BS16" s="602">
        <v>0</v>
      </c>
      <c r="BT16" s="602">
        <v>0</v>
      </c>
      <c r="BU16" s="602">
        <v>2</v>
      </c>
      <c r="BV16" s="602">
        <v>0</v>
      </c>
      <c r="BW16" s="602">
        <v>0</v>
      </c>
      <c r="BX16" s="602">
        <v>0</v>
      </c>
      <c r="BY16" s="602">
        <v>0</v>
      </c>
      <c r="BZ16" s="602">
        <v>0</v>
      </c>
      <c r="CA16" s="602">
        <v>0</v>
      </c>
      <c r="CB16" s="602">
        <v>0</v>
      </c>
      <c r="CC16" s="576">
        <v>0</v>
      </c>
      <c r="CD16" s="576">
        <v>0</v>
      </c>
      <c r="CE16" s="576">
        <v>0</v>
      </c>
      <c r="CF16" s="576">
        <v>0</v>
      </c>
      <c r="CG16" s="576">
        <v>0</v>
      </c>
      <c r="CH16" s="576">
        <v>0</v>
      </c>
      <c r="CI16" s="576">
        <v>0</v>
      </c>
      <c r="CJ16" s="576">
        <v>0</v>
      </c>
      <c r="CK16" s="576">
        <v>0</v>
      </c>
      <c r="CL16" s="576">
        <v>0</v>
      </c>
      <c r="CM16" s="576">
        <v>3</v>
      </c>
      <c r="CN16" s="602">
        <v>1</v>
      </c>
      <c r="CO16" s="602">
        <v>2</v>
      </c>
      <c r="CP16" s="602">
        <v>0</v>
      </c>
      <c r="CQ16" s="576">
        <v>0</v>
      </c>
      <c r="CR16" s="576">
        <v>0</v>
      </c>
      <c r="CS16" s="602">
        <v>0</v>
      </c>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c r="IW16" s="88"/>
      <c r="IX16" s="88"/>
      <c r="IY16" s="88"/>
      <c r="IZ16" s="88"/>
      <c r="JA16" s="88"/>
      <c r="JB16" s="88"/>
      <c r="JC16" s="88"/>
      <c r="JD16" s="88"/>
      <c r="JE16" s="88"/>
      <c r="JF16" s="88"/>
      <c r="JG16" s="88"/>
      <c r="JH16" s="88"/>
      <c r="JI16" s="88"/>
      <c r="JJ16" s="88"/>
      <c r="JK16" s="88"/>
      <c r="JL16" s="88"/>
      <c r="JM16" s="88"/>
      <c r="JN16" s="88"/>
      <c r="JO16" s="88"/>
      <c r="JP16" s="88"/>
      <c r="JQ16" s="88"/>
      <c r="JR16" s="88"/>
      <c r="JS16" s="88"/>
      <c r="JT16" s="88"/>
      <c r="JU16" s="88"/>
      <c r="JV16" s="88"/>
      <c r="JW16" s="88"/>
      <c r="JX16" s="88"/>
      <c r="JY16" s="88"/>
      <c r="JZ16" s="88"/>
      <c r="KA16" s="88"/>
      <c r="KB16" s="88"/>
      <c r="KC16" s="88"/>
      <c r="KD16" s="88"/>
      <c r="KE16" s="88"/>
      <c r="KF16" s="88"/>
      <c r="KG16" s="88"/>
      <c r="KH16" s="88"/>
      <c r="KI16" s="88"/>
      <c r="KJ16" s="88"/>
      <c r="KK16" s="88"/>
      <c r="KL16" s="88"/>
      <c r="KM16" s="88"/>
      <c r="KN16" s="88"/>
      <c r="KO16" s="88"/>
      <c r="KP16" s="88"/>
      <c r="KQ16" s="88"/>
      <c r="KR16" s="88"/>
      <c r="KS16" s="88"/>
      <c r="KT16" s="88"/>
      <c r="KU16" s="88"/>
      <c r="KV16" s="88"/>
      <c r="KW16" s="88"/>
      <c r="KX16" s="88"/>
      <c r="KY16" s="88"/>
      <c r="KZ16" s="88"/>
      <c r="LA16" s="88"/>
      <c r="LB16" s="88"/>
      <c r="LC16" s="88"/>
      <c r="LD16" s="88"/>
      <c r="LE16" s="88"/>
      <c r="LF16" s="88"/>
      <c r="LG16" s="88"/>
      <c r="LH16" s="88"/>
      <c r="LI16" s="88"/>
      <c r="LJ16" s="88"/>
      <c r="LK16" s="88"/>
      <c r="LL16" s="88"/>
      <c r="LM16" s="88"/>
      <c r="LN16" s="88"/>
      <c r="LO16" s="88"/>
      <c r="LP16" s="88"/>
      <c r="LQ16" s="88"/>
      <c r="LR16" s="88"/>
      <c r="LS16" s="88"/>
      <c r="LT16" s="88"/>
      <c r="LU16" s="88"/>
      <c r="LV16" s="88"/>
      <c r="LW16" s="88"/>
      <c r="LX16" s="88"/>
      <c r="LY16" s="88"/>
      <c r="LZ16" s="88"/>
      <c r="MA16" s="88"/>
      <c r="MB16" s="88"/>
      <c r="MC16" s="88"/>
      <c r="MD16" s="88"/>
      <c r="ME16" s="88"/>
      <c r="MF16" s="88"/>
      <c r="MG16" s="88"/>
      <c r="MH16" s="88"/>
      <c r="MI16" s="88"/>
      <c r="MJ16" s="88"/>
      <c r="MK16" s="88"/>
      <c r="ML16" s="88"/>
      <c r="MM16" s="88"/>
      <c r="MN16" s="88"/>
      <c r="MO16" s="88"/>
      <c r="MP16" s="88"/>
      <c r="MQ16" s="88"/>
      <c r="MR16" s="88"/>
      <c r="MS16" s="88"/>
      <c r="MT16" s="88"/>
      <c r="MU16" s="88"/>
      <c r="MV16" s="88"/>
      <c r="MW16" s="88"/>
      <c r="MX16" s="88"/>
      <c r="MY16" s="88"/>
      <c r="MZ16" s="88"/>
      <c r="NA16" s="88"/>
      <c r="NB16" s="88"/>
      <c r="NC16" s="88"/>
      <c r="ND16" s="88"/>
      <c r="NE16" s="88"/>
      <c r="NF16" s="88"/>
      <c r="NG16" s="88"/>
      <c r="NH16" s="88"/>
      <c r="NI16" s="88"/>
      <c r="NJ16" s="88"/>
      <c r="NK16" s="88"/>
      <c r="NL16" s="88"/>
      <c r="NM16" s="88"/>
      <c r="NN16" s="88"/>
      <c r="NO16" s="88"/>
      <c r="NP16" s="88"/>
      <c r="NQ16" s="88"/>
      <c r="NR16" s="88"/>
      <c r="NS16" s="88"/>
      <c r="NT16" s="88"/>
      <c r="NU16" s="88"/>
      <c r="NV16" s="88"/>
      <c r="NW16" s="88"/>
      <c r="NX16" s="88"/>
      <c r="NY16" s="88"/>
      <c r="NZ16" s="88"/>
      <c r="OA16" s="88"/>
      <c r="OB16" s="88"/>
      <c r="OC16" s="88"/>
      <c r="OD16" s="88"/>
      <c r="OE16" s="88"/>
      <c r="OF16" s="88"/>
      <c r="OG16" s="88"/>
      <c r="OH16" s="88"/>
      <c r="OI16" s="88"/>
      <c r="OJ16" s="88"/>
      <c r="OK16" s="88"/>
      <c r="OL16" s="88"/>
      <c r="OM16" s="88"/>
      <c r="ON16" s="88"/>
      <c r="OO16" s="88"/>
      <c r="OP16" s="88"/>
      <c r="OQ16" s="88"/>
      <c r="OR16" s="88"/>
      <c r="OS16" s="88"/>
      <c r="OT16" s="88"/>
      <c r="OU16" s="88"/>
      <c r="OV16" s="88"/>
      <c r="OW16" s="88"/>
      <c r="OX16" s="88"/>
      <c r="OY16" s="88"/>
      <c r="OZ16" s="88"/>
      <c r="PA16" s="88"/>
      <c r="PB16" s="88"/>
      <c r="PC16" s="88"/>
      <c r="PD16" s="88"/>
      <c r="PE16" s="88"/>
      <c r="PF16" s="88"/>
      <c r="PG16" s="88"/>
      <c r="PH16" s="88"/>
      <c r="PI16" s="88"/>
      <c r="PJ16" s="88"/>
      <c r="PK16" s="88"/>
      <c r="PL16" s="88"/>
      <c r="PM16" s="88"/>
      <c r="PN16" s="88"/>
      <c r="PO16" s="88"/>
      <c r="PP16" s="88"/>
      <c r="PQ16" s="88"/>
      <c r="PR16" s="88"/>
      <c r="PS16" s="88"/>
      <c r="PT16" s="88"/>
      <c r="PU16" s="88"/>
      <c r="PV16" s="88"/>
      <c r="PW16" s="88"/>
      <c r="PX16" s="88"/>
      <c r="PY16" s="88"/>
      <c r="PZ16" s="88"/>
      <c r="QA16" s="88"/>
      <c r="QB16" s="88"/>
      <c r="QC16" s="88"/>
      <c r="QD16" s="88"/>
      <c r="QE16" s="88"/>
      <c r="QF16" s="88"/>
      <c r="QG16" s="88"/>
      <c r="QH16" s="88"/>
      <c r="QI16" s="88"/>
      <c r="QJ16" s="88"/>
      <c r="QK16" s="88"/>
      <c r="QL16" s="88"/>
      <c r="QM16" s="88"/>
      <c r="QN16" s="88"/>
      <c r="QO16" s="88"/>
      <c r="QP16" s="88"/>
      <c r="QQ16" s="88"/>
      <c r="QR16" s="88"/>
      <c r="QS16" s="88"/>
      <c r="QT16" s="88"/>
      <c r="QU16" s="88"/>
      <c r="QV16" s="88"/>
      <c r="QW16" s="88"/>
      <c r="QX16" s="88"/>
      <c r="QY16" s="88"/>
      <c r="QZ16" s="88"/>
      <c r="RA16" s="88"/>
      <c r="RB16" s="88"/>
      <c r="RC16" s="88"/>
      <c r="RD16" s="88"/>
      <c r="RE16" s="88"/>
      <c r="RF16" s="88"/>
      <c r="RG16" s="88"/>
      <c r="RH16" s="88"/>
      <c r="RI16" s="88"/>
      <c r="RJ16" s="88"/>
      <c r="RK16" s="88"/>
      <c r="RL16" s="88"/>
      <c r="RM16" s="88"/>
      <c r="RN16" s="88"/>
      <c r="RO16" s="88"/>
      <c r="RP16" s="88"/>
      <c r="RQ16" s="88"/>
      <c r="RR16" s="88"/>
      <c r="RS16" s="88"/>
      <c r="RT16" s="88"/>
      <c r="RU16" s="88"/>
      <c r="RV16" s="88"/>
      <c r="RW16" s="88"/>
      <c r="RX16" s="88"/>
      <c r="RY16" s="88"/>
      <c r="RZ16" s="88"/>
      <c r="SA16" s="88"/>
      <c r="SB16" s="88"/>
      <c r="SC16" s="88"/>
      <c r="SD16" s="88"/>
      <c r="SE16" s="88"/>
      <c r="SF16" s="88"/>
      <c r="SG16" s="88"/>
      <c r="SH16" s="88"/>
      <c r="SI16" s="88"/>
      <c r="SJ16" s="88"/>
      <c r="SK16" s="88"/>
      <c r="SL16" s="88"/>
      <c r="SM16" s="88"/>
      <c r="SN16" s="88"/>
      <c r="SO16" s="88"/>
      <c r="SP16" s="88"/>
      <c r="SQ16" s="88"/>
      <c r="SR16" s="88"/>
      <c r="SS16" s="88"/>
      <c r="ST16" s="88"/>
      <c r="SU16" s="88"/>
      <c r="SV16" s="88"/>
      <c r="SW16" s="88"/>
      <c r="SX16" s="88"/>
      <c r="SY16" s="88"/>
      <c r="SZ16" s="88"/>
      <c r="TA16" s="88"/>
      <c r="TB16" s="88"/>
      <c r="TC16" s="88"/>
      <c r="TD16" s="88"/>
      <c r="TE16" s="88"/>
      <c r="TF16" s="88"/>
      <c r="TG16" s="88"/>
      <c r="TH16" s="88"/>
      <c r="TI16" s="88"/>
      <c r="TJ16" s="88"/>
      <c r="TK16" s="88"/>
      <c r="TL16" s="88"/>
      <c r="TM16" s="88"/>
      <c r="TN16" s="88"/>
      <c r="TO16" s="88"/>
      <c r="TP16" s="88"/>
      <c r="TQ16" s="88"/>
      <c r="TR16" s="88"/>
      <c r="TS16" s="88"/>
      <c r="TT16" s="88"/>
      <c r="TU16" s="88"/>
      <c r="TV16" s="88"/>
      <c r="TW16" s="88"/>
      <c r="TX16" s="88"/>
      <c r="TY16" s="88"/>
      <c r="TZ16" s="88"/>
      <c r="UA16" s="88"/>
      <c r="UB16" s="88"/>
      <c r="UC16" s="88"/>
      <c r="UD16" s="88"/>
      <c r="UE16" s="88"/>
      <c r="UF16" s="88"/>
      <c r="UG16" s="88"/>
      <c r="UH16" s="88"/>
      <c r="UI16" s="88"/>
      <c r="UJ16" s="88"/>
      <c r="UK16" s="88"/>
      <c r="UL16" s="88"/>
      <c r="UM16" s="88"/>
      <c r="UN16" s="88"/>
      <c r="UO16" s="88"/>
      <c r="UP16" s="88"/>
      <c r="UQ16" s="88"/>
      <c r="UR16" s="88"/>
      <c r="US16" s="88"/>
      <c r="UT16" s="88"/>
      <c r="UU16" s="88"/>
      <c r="UV16" s="88"/>
      <c r="UW16" s="88"/>
      <c r="UX16" s="88"/>
      <c r="UY16" s="88"/>
      <c r="UZ16" s="88"/>
      <c r="VA16" s="88"/>
      <c r="VB16" s="88"/>
      <c r="VC16" s="88"/>
      <c r="VD16" s="88"/>
      <c r="VE16" s="88"/>
      <c r="VF16" s="88"/>
      <c r="VG16" s="88"/>
      <c r="VH16" s="88"/>
      <c r="VI16" s="88"/>
      <c r="VJ16" s="88"/>
      <c r="VK16" s="88"/>
      <c r="VL16" s="88"/>
      <c r="VM16" s="88"/>
      <c r="VN16" s="88"/>
      <c r="VO16" s="88"/>
      <c r="VP16" s="88"/>
      <c r="VQ16" s="88"/>
      <c r="VR16" s="88"/>
      <c r="VS16" s="88"/>
      <c r="VT16" s="88"/>
      <c r="VU16" s="88"/>
      <c r="VV16" s="88"/>
      <c r="VW16" s="88"/>
      <c r="VX16" s="88"/>
      <c r="VY16" s="88"/>
      <c r="VZ16" s="88"/>
      <c r="WA16" s="88"/>
      <c r="WB16" s="88"/>
      <c r="WC16" s="88"/>
      <c r="WD16" s="88"/>
      <c r="WE16" s="88"/>
      <c r="WF16" s="88"/>
      <c r="WG16" s="88"/>
      <c r="WH16" s="88"/>
      <c r="WI16" s="88"/>
      <c r="WJ16" s="88"/>
      <c r="WK16" s="88"/>
      <c r="WL16" s="88"/>
      <c r="WM16" s="88"/>
      <c r="WN16" s="88"/>
      <c r="WO16" s="88"/>
      <c r="WP16" s="88"/>
      <c r="WQ16" s="88"/>
      <c r="WR16" s="88"/>
      <c r="WS16" s="88"/>
      <c r="WT16" s="88"/>
      <c r="WU16" s="88"/>
      <c r="WV16" s="88"/>
      <c r="WW16" s="88"/>
      <c r="WX16" s="88"/>
      <c r="WY16" s="88"/>
      <c r="WZ16" s="88"/>
      <c r="XA16" s="88"/>
      <c r="XB16" s="88"/>
      <c r="XC16" s="88"/>
      <c r="XD16" s="88"/>
      <c r="XE16" s="88"/>
      <c r="XF16" s="88"/>
      <c r="XG16" s="88"/>
      <c r="XH16" s="88"/>
      <c r="XI16" s="88"/>
      <c r="XJ16" s="88"/>
      <c r="XK16" s="88"/>
      <c r="XL16" s="88"/>
      <c r="XM16" s="88"/>
      <c r="XN16" s="88"/>
      <c r="XO16" s="88"/>
      <c r="XP16" s="88"/>
      <c r="XQ16" s="88"/>
      <c r="XR16" s="88"/>
      <c r="XS16" s="88"/>
      <c r="XT16" s="88"/>
      <c r="XU16" s="88"/>
      <c r="XV16" s="88"/>
      <c r="XW16" s="88"/>
      <c r="XX16" s="88"/>
      <c r="XY16" s="88"/>
      <c r="XZ16" s="88"/>
      <c r="YA16" s="88"/>
      <c r="YB16" s="88"/>
      <c r="YC16" s="88"/>
      <c r="YD16" s="88"/>
      <c r="YE16" s="88"/>
      <c r="YF16" s="88"/>
      <c r="YG16" s="88"/>
      <c r="YH16" s="88"/>
      <c r="YI16" s="88"/>
      <c r="YJ16" s="88"/>
      <c r="YK16" s="88"/>
      <c r="YL16" s="88"/>
      <c r="YM16" s="88"/>
      <c r="YN16" s="88"/>
      <c r="YO16" s="88"/>
      <c r="YP16" s="88"/>
      <c r="YQ16" s="88"/>
      <c r="YR16" s="88"/>
      <c r="YS16" s="88"/>
      <c r="YT16" s="88"/>
      <c r="YU16" s="88"/>
      <c r="YV16" s="88"/>
      <c r="YW16" s="88"/>
      <c r="YX16" s="88"/>
      <c r="YY16" s="88"/>
      <c r="YZ16" s="88"/>
      <c r="ZA16" s="88"/>
      <c r="ZB16" s="88"/>
      <c r="ZC16" s="88"/>
      <c r="ZD16" s="88"/>
      <c r="ZE16" s="88"/>
      <c r="ZF16" s="88"/>
      <c r="ZG16" s="88"/>
      <c r="ZH16" s="88"/>
      <c r="ZI16" s="88"/>
      <c r="ZJ16" s="88"/>
      <c r="ZK16" s="88"/>
      <c r="ZL16" s="88"/>
      <c r="ZM16" s="88"/>
      <c r="ZN16" s="88"/>
      <c r="ZO16" s="88"/>
      <c r="ZP16" s="88"/>
      <c r="ZQ16" s="88"/>
      <c r="ZR16" s="88"/>
      <c r="ZS16" s="88"/>
      <c r="ZT16" s="88"/>
      <c r="ZU16" s="88"/>
      <c r="ZV16" s="88"/>
      <c r="ZW16" s="88"/>
      <c r="ZX16" s="88"/>
      <c r="ZY16" s="88"/>
      <c r="ZZ16" s="88"/>
      <c r="AAA16" s="88"/>
      <c r="AAB16" s="88"/>
      <c r="AAC16" s="88"/>
      <c r="AAD16" s="88"/>
      <c r="AAE16" s="88"/>
      <c r="AAF16" s="88"/>
      <c r="AAG16" s="88"/>
      <c r="AAH16" s="88"/>
      <c r="AAI16" s="88"/>
      <c r="AAJ16" s="88"/>
      <c r="AAK16" s="88"/>
      <c r="AAL16" s="88"/>
      <c r="AAM16" s="88"/>
      <c r="AAN16" s="88"/>
      <c r="AAO16" s="88"/>
      <c r="AAP16" s="88"/>
      <c r="AAQ16" s="88"/>
      <c r="AAR16" s="88"/>
      <c r="AAS16" s="88"/>
      <c r="AAT16" s="88"/>
      <c r="AAU16" s="88"/>
      <c r="AAV16" s="88"/>
      <c r="AAW16" s="88"/>
      <c r="AAX16" s="88"/>
      <c r="AAY16" s="88"/>
      <c r="AAZ16" s="88"/>
      <c r="ABA16" s="88"/>
      <c r="ABB16" s="88"/>
      <c r="ABC16" s="88"/>
      <c r="ABD16" s="88"/>
      <c r="ABE16" s="88"/>
      <c r="ABF16" s="88"/>
      <c r="ABG16" s="88"/>
      <c r="ABH16" s="88"/>
      <c r="ABI16" s="88"/>
      <c r="ABJ16" s="88"/>
      <c r="ABK16" s="88"/>
      <c r="ABL16" s="88"/>
      <c r="ABM16" s="88"/>
      <c r="ABN16" s="88"/>
      <c r="ABO16" s="88"/>
      <c r="ABP16" s="88"/>
      <c r="ABQ16" s="88"/>
      <c r="ABR16" s="88"/>
      <c r="ABS16" s="88"/>
      <c r="ABT16" s="88"/>
      <c r="ABU16" s="88"/>
      <c r="ABV16" s="88"/>
      <c r="ABW16" s="88"/>
      <c r="ABX16" s="88"/>
      <c r="ABY16" s="88"/>
      <c r="ABZ16" s="88"/>
      <c r="ACA16" s="88"/>
      <c r="ACB16" s="88"/>
      <c r="ACC16" s="88"/>
      <c r="ACD16" s="88"/>
      <c r="ACE16" s="88"/>
      <c r="ACF16" s="88"/>
      <c r="ACG16" s="88"/>
      <c r="ACH16" s="88"/>
      <c r="ACI16" s="88"/>
      <c r="ACJ16" s="88"/>
      <c r="ACK16" s="88"/>
      <c r="ACL16" s="88"/>
      <c r="ACM16" s="88"/>
      <c r="ACN16" s="88"/>
      <c r="ACO16" s="88"/>
      <c r="ACP16" s="88"/>
      <c r="ACQ16" s="88"/>
      <c r="ACR16" s="88"/>
      <c r="ACS16" s="88"/>
      <c r="ACT16" s="88"/>
      <c r="ACU16" s="88"/>
      <c r="ACV16" s="88"/>
      <c r="ACW16" s="88"/>
      <c r="ACX16" s="88"/>
      <c r="ACY16" s="88"/>
      <c r="ACZ16" s="88"/>
      <c r="ADA16" s="88"/>
      <c r="ADB16" s="88"/>
      <c r="ADC16" s="88"/>
      <c r="ADD16" s="88"/>
      <c r="ADE16" s="88"/>
      <c r="ADF16" s="88"/>
      <c r="ADG16" s="88"/>
      <c r="ADH16" s="88"/>
      <c r="ADI16" s="88"/>
      <c r="ADJ16" s="88"/>
      <c r="ADK16" s="88"/>
      <c r="ADL16" s="88"/>
      <c r="ADM16" s="88"/>
      <c r="ADN16" s="88"/>
      <c r="ADO16" s="88"/>
      <c r="ADP16" s="88"/>
      <c r="ADQ16" s="88"/>
      <c r="ADR16" s="88"/>
      <c r="ADS16" s="88"/>
      <c r="ADT16" s="88"/>
      <c r="ADU16" s="88"/>
      <c r="ADV16" s="88"/>
      <c r="ADW16" s="88"/>
      <c r="ADX16" s="88"/>
      <c r="ADY16" s="88"/>
      <c r="ADZ16" s="88"/>
      <c r="AEA16" s="88"/>
      <c r="AEB16" s="88"/>
      <c r="AEC16" s="88"/>
      <c r="AED16" s="88"/>
      <c r="AEE16" s="88"/>
      <c r="AEF16" s="88"/>
      <c r="AEG16" s="88"/>
      <c r="AEH16" s="88"/>
      <c r="AEI16" s="88"/>
      <c r="AEJ16" s="88"/>
      <c r="AEK16" s="88"/>
      <c r="AEL16" s="88"/>
      <c r="AEM16" s="88"/>
      <c r="AEN16" s="88"/>
      <c r="AEO16" s="88"/>
      <c r="AEP16" s="88"/>
      <c r="AEQ16" s="88"/>
      <c r="AER16" s="88"/>
      <c r="AES16" s="88"/>
      <c r="AET16" s="88"/>
      <c r="AEU16" s="88"/>
      <c r="AEV16" s="88"/>
      <c r="AEW16" s="88"/>
      <c r="AEX16" s="88"/>
      <c r="AEY16" s="88"/>
      <c r="AEZ16" s="88"/>
      <c r="AFA16" s="88"/>
      <c r="AFB16" s="88"/>
      <c r="AFC16" s="88"/>
      <c r="AFD16" s="88"/>
      <c r="AFE16" s="88"/>
      <c r="AFF16" s="88"/>
      <c r="AFG16" s="88"/>
      <c r="AFH16" s="88"/>
      <c r="AFI16" s="88"/>
      <c r="AFJ16" s="88"/>
      <c r="AFK16" s="88"/>
      <c r="AFL16" s="88"/>
      <c r="AFM16" s="88"/>
      <c r="AFN16" s="88"/>
      <c r="AFO16" s="88"/>
      <c r="AFP16" s="88"/>
      <c r="AFQ16" s="88"/>
      <c r="AFR16" s="88"/>
      <c r="AFS16" s="88"/>
      <c r="AFT16" s="88"/>
      <c r="AFU16" s="88"/>
      <c r="AFV16" s="88"/>
      <c r="AFW16" s="88"/>
      <c r="AFX16" s="88"/>
      <c r="AFY16" s="88"/>
      <c r="AFZ16" s="88"/>
      <c r="AGA16" s="88"/>
      <c r="AGB16" s="88"/>
      <c r="AGC16" s="88"/>
      <c r="AGD16" s="88"/>
      <c r="AGE16" s="88"/>
      <c r="AGF16" s="88"/>
      <c r="AGG16" s="88"/>
      <c r="AGH16" s="88"/>
      <c r="AGI16" s="88"/>
      <c r="AGJ16" s="88"/>
      <c r="AGK16" s="88"/>
      <c r="AGL16" s="88"/>
      <c r="AGM16" s="88"/>
      <c r="AGN16" s="88"/>
      <c r="AGO16" s="88"/>
      <c r="AGP16" s="88"/>
      <c r="AGQ16" s="88"/>
      <c r="AGR16" s="88"/>
      <c r="AGS16" s="88"/>
      <c r="AGT16" s="88"/>
      <c r="AGU16" s="88"/>
      <c r="AGV16" s="88"/>
      <c r="AGW16" s="88"/>
      <c r="AGX16" s="88"/>
      <c r="AGY16" s="88"/>
      <c r="AGZ16" s="88"/>
      <c r="AHA16" s="88"/>
      <c r="AHB16" s="88"/>
      <c r="AHC16" s="88"/>
      <c r="AHD16" s="88"/>
      <c r="AHE16" s="88"/>
      <c r="AHF16" s="88"/>
      <c r="AHG16" s="88"/>
      <c r="AHH16" s="88"/>
      <c r="AHI16" s="88"/>
      <c r="AHJ16" s="88"/>
      <c r="AHK16" s="88"/>
      <c r="AHL16" s="88"/>
      <c r="AHM16" s="88"/>
      <c r="AHN16" s="88"/>
      <c r="AHO16" s="88"/>
      <c r="AHP16" s="88"/>
      <c r="AHQ16" s="88"/>
      <c r="AHR16" s="88"/>
      <c r="AHS16" s="88"/>
      <c r="AHT16" s="88"/>
      <c r="AHU16" s="88"/>
      <c r="AHV16" s="88"/>
      <c r="AHW16" s="88"/>
      <c r="AHX16" s="88"/>
      <c r="AHY16" s="88"/>
      <c r="AHZ16" s="88"/>
      <c r="AIA16" s="88"/>
      <c r="AIB16" s="88"/>
      <c r="AIC16" s="88"/>
      <c r="AID16" s="88"/>
      <c r="AIE16" s="88"/>
      <c r="AIF16" s="88"/>
      <c r="AIG16" s="88"/>
      <c r="AIH16" s="88"/>
      <c r="AII16" s="88"/>
      <c r="AIJ16" s="88"/>
      <c r="AIK16" s="88"/>
      <c r="AIL16" s="88"/>
      <c r="AIM16" s="88"/>
      <c r="AIN16" s="88"/>
      <c r="AIO16" s="88"/>
      <c r="AIP16" s="88"/>
      <c r="AIQ16" s="88"/>
      <c r="AIR16" s="88"/>
      <c r="AIS16" s="88"/>
      <c r="AIT16" s="88"/>
      <c r="AIU16" s="88"/>
      <c r="AIV16" s="88"/>
      <c r="AIW16" s="88"/>
      <c r="AIX16" s="88"/>
      <c r="AIY16" s="88"/>
      <c r="AIZ16" s="88"/>
      <c r="AJA16" s="88"/>
      <c r="AJB16" s="88"/>
      <c r="AJC16" s="88"/>
      <c r="AJD16" s="88"/>
      <c r="AJE16" s="88"/>
      <c r="AJF16" s="88"/>
      <c r="AJG16" s="88"/>
      <c r="AJH16" s="88"/>
      <c r="AJI16" s="88"/>
      <c r="AJJ16" s="88"/>
      <c r="AJK16" s="88"/>
      <c r="AJL16" s="88"/>
      <c r="AJM16" s="88"/>
      <c r="AJN16" s="88"/>
      <c r="AJO16" s="88"/>
      <c r="AJP16" s="88"/>
      <c r="AJQ16" s="88"/>
      <c r="AJR16" s="88"/>
      <c r="AJS16" s="88"/>
      <c r="AJT16" s="88"/>
      <c r="AJU16" s="88"/>
      <c r="AJV16" s="88"/>
      <c r="AJW16" s="88"/>
      <c r="AJX16" s="88"/>
      <c r="AJY16" s="88"/>
      <c r="AJZ16" s="88"/>
      <c r="AKA16" s="88"/>
      <c r="AKB16" s="88"/>
      <c r="AKC16" s="88"/>
      <c r="AKD16" s="88"/>
      <c r="AKE16" s="88"/>
      <c r="AKF16" s="88"/>
      <c r="AKG16" s="88"/>
      <c r="AKH16" s="88"/>
      <c r="AKI16" s="88"/>
      <c r="AKJ16" s="88"/>
      <c r="AKK16" s="88"/>
      <c r="AKL16" s="88"/>
      <c r="AKM16" s="88"/>
      <c r="AKN16" s="88"/>
      <c r="AKO16" s="88"/>
      <c r="AKP16" s="88"/>
      <c r="AKQ16" s="88"/>
      <c r="AKR16" s="88"/>
      <c r="AKS16" s="88"/>
      <c r="AKT16" s="88"/>
      <c r="AKU16" s="88"/>
      <c r="AKV16" s="88"/>
      <c r="AKW16" s="88"/>
      <c r="AKX16" s="88"/>
      <c r="AKY16" s="88"/>
      <c r="AKZ16" s="88"/>
      <c r="ALA16" s="88"/>
      <c r="ALB16" s="88"/>
      <c r="ALC16" s="88"/>
      <c r="ALD16" s="88"/>
      <c r="ALE16" s="88"/>
      <c r="ALF16" s="88"/>
      <c r="ALG16" s="88"/>
      <c r="ALH16" s="88"/>
      <c r="ALI16" s="88"/>
      <c r="ALJ16" s="88"/>
      <c r="ALK16" s="88"/>
      <c r="ALL16" s="88"/>
      <c r="ALM16" s="88"/>
      <c r="ALN16" s="88"/>
      <c r="ALO16" s="88"/>
      <c r="ALP16" s="88"/>
      <c r="ALQ16" s="88"/>
      <c r="ALR16" s="88"/>
      <c r="ALS16" s="88"/>
      <c r="ALT16" s="88"/>
      <c r="ALU16" s="88"/>
      <c r="ALV16" s="88"/>
      <c r="ALW16" s="88"/>
      <c r="ALX16" s="88"/>
      <c r="ALY16" s="88"/>
      <c r="ALZ16" s="88"/>
      <c r="AMA16" s="88"/>
      <c r="AMB16" s="88"/>
      <c r="AMC16" s="88"/>
      <c r="AMD16" s="88"/>
      <c r="AME16" s="88"/>
      <c r="AMF16" s="88"/>
      <c r="AMG16" s="88"/>
      <c r="AMH16" s="88"/>
      <c r="AMI16" s="88"/>
      <c r="AMJ16" s="88"/>
      <c r="AMK16" s="88"/>
      <c r="AML16" s="88"/>
      <c r="AMM16" s="88"/>
      <c r="AMN16" s="88"/>
      <c r="AMO16" s="88"/>
      <c r="AMP16" s="88"/>
      <c r="AMQ16" s="88"/>
      <c r="AMR16" s="88"/>
      <c r="AMS16" s="88"/>
      <c r="AMT16" s="88"/>
      <c r="AMU16" s="88"/>
      <c r="AMV16" s="88"/>
      <c r="AMW16" s="88"/>
      <c r="AMX16" s="88"/>
      <c r="AMY16" s="88"/>
      <c r="AMZ16" s="88"/>
      <c r="ANA16" s="88"/>
      <c r="ANB16" s="88"/>
      <c r="ANC16" s="88"/>
      <c r="AND16" s="88"/>
      <c r="ANE16" s="88"/>
      <c r="ANF16" s="88"/>
      <c r="ANG16" s="88"/>
      <c r="ANH16" s="88"/>
      <c r="ANI16" s="88"/>
      <c r="ANJ16" s="88"/>
      <c r="ANK16" s="88"/>
      <c r="ANL16" s="88"/>
      <c r="ANM16" s="88"/>
      <c r="ANN16" s="88"/>
      <c r="ANO16" s="88"/>
      <c r="ANP16" s="88"/>
      <c r="ANQ16" s="88"/>
      <c r="ANR16" s="88"/>
      <c r="ANS16" s="88"/>
      <c r="ANT16" s="88"/>
      <c r="ANU16" s="88"/>
      <c r="ANV16" s="88"/>
      <c r="ANW16" s="88"/>
      <c r="ANX16" s="88"/>
      <c r="ANY16" s="88"/>
      <c r="ANZ16" s="88"/>
      <c r="AOA16" s="88"/>
      <c r="AOB16" s="88"/>
      <c r="AOC16" s="88"/>
      <c r="AOD16" s="88"/>
      <c r="AOE16" s="88"/>
      <c r="AOF16" s="88"/>
      <c r="AOG16" s="88"/>
      <c r="AOH16" s="88"/>
      <c r="AOI16" s="88"/>
      <c r="AOJ16" s="88"/>
      <c r="AOK16" s="88"/>
      <c r="AOL16" s="88"/>
      <c r="AOM16" s="88"/>
      <c r="AON16" s="88"/>
      <c r="AOO16" s="88"/>
      <c r="AOP16" s="88"/>
      <c r="AOQ16" s="88"/>
      <c r="AOR16" s="88"/>
      <c r="AOS16" s="88"/>
      <c r="AOT16" s="88"/>
      <c r="AOU16" s="88"/>
      <c r="AOV16" s="88"/>
      <c r="AOW16" s="88"/>
      <c r="AOX16" s="88"/>
      <c r="AOY16" s="88"/>
      <c r="AOZ16" s="88"/>
      <c r="APA16" s="88"/>
      <c r="APB16" s="88"/>
      <c r="APC16" s="88"/>
      <c r="APD16" s="88"/>
      <c r="APE16" s="88"/>
      <c r="APF16" s="88"/>
      <c r="APG16" s="88"/>
      <c r="APH16" s="88"/>
      <c r="API16" s="88"/>
      <c r="APJ16" s="88"/>
      <c r="APK16" s="88"/>
      <c r="APL16" s="88"/>
      <c r="APM16" s="88"/>
      <c r="APN16" s="88"/>
      <c r="APO16" s="88"/>
      <c r="APP16" s="88"/>
      <c r="APQ16" s="88"/>
      <c r="APR16" s="88"/>
      <c r="APS16" s="88"/>
      <c r="APT16" s="88"/>
      <c r="APU16" s="88"/>
      <c r="APV16" s="88"/>
      <c r="APW16" s="88"/>
      <c r="APX16" s="88"/>
      <c r="APY16" s="88"/>
      <c r="APZ16" s="88"/>
      <c r="AQA16" s="88"/>
      <c r="AQB16" s="88"/>
      <c r="AQC16" s="88"/>
      <c r="AQD16" s="88"/>
      <c r="AQE16" s="88"/>
      <c r="AQF16" s="88"/>
      <c r="AQG16" s="88"/>
      <c r="AQH16" s="88"/>
      <c r="AQI16" s="88"/>
      <c r="AQJ16" s="88"/>
      <c r="AQK16" s="88"/>
      <c r="AQL16" s="88"/>
      <c r="AQM16" s="88"/>
      <c r="AQN16" s="88"/>
      <c r="AQO16" s="88"/>
      <c r="AQP16" s="88"/>
      <c r="AQQ16" s="88"/>
      <c r="AQR16" s="88"/>
      <c r="AQS16" s="88"/>
      <c r="AQT16" s="88"/>
      <c r="AQU16" s="88"/>
      <c r="AQV16" s="88"/>
      <c r="AQW16" s="88"/>
      <c r="AQX16" s="88"/>
      <c r="AQY16" s="88"/>
      <c r="AQZ16" s="88"/>
      <c r="ARA16" s="88"/>
      <c r="ARB16" s="88"/>
      <c r="ARC16" s="88"/>
      <c r="ARD16" s="88"/>
      <c r="ARE16" s="88"/>
      <c r="ARF16" s="88"/>
      <c r="ARG16" s="88"/>
      <c r="ARH16" s="88"/>
      <c r="ARI16" s="88"/>
      <c r="ARJ16" s="88"/>
      <c r="ARK16" s="88"/>
      <c r="ARL16" s="88"/>
      <c r="ARM16" s="88"/>
      <c r="ARN16" s="88"/>
      <c r="ARO16" s="88"/>
      <c r="ARP16" s="88"/>
      <c r="ARQ16" s="88"/>
      <c r="ARR16" s="88"/>
      <c r="ARS16" s="88"/>
      <c r="ART16" s="88"/>
      <c r="ARU16" s="88"/>
      <c r="ARV16" s="88"/>
      <c r="ARW16" s="88"/>
      <c r="ARX16" s="88"/>
      <c r="ARY16" s="88"/>
      <c r="ARZ16" s="88"/>
      <c r="ASA16" s="88"/>
      <c r="ASB16" s="88"/>
      <c r="ASC16" s="88"/>
      <c r="ASD16" s="88"/>
      <c r="ASE16" s="88"/>
      <c r="ASF16" s="88"/>
      <c r="ASG16" s="88"/>
      <c r="ASH16" s="88"/>
      <c r="ASI16" s="88"/>
      <c r="ASJ16" s="88"/>
      <c r="ASK16" s="88"/>
      <c r="ASL16" s="88"/>
      <c r="ASM16" s="88"/>
      <c r="ASN16" s="88"/>
      <c r="ASO16" s="88"/>
      <c r="ASP16" s="88"/>
      <c r="ASQ16" s="88"/>
      <c r="ASR16" s="88"/>
      <c r="ASS16" s="88"/>
      <c r="AST16" s="88"/>
      <c r="ASU16" s="88"/>
      <c r="ASV16" s="88"/>
      <c r="ASW16" s="88"/>
      <c r="ASX16" s="88"/>
      <c r="ASY16" s="88"/>
      <c r="ASZ16" s="88"/>
      <c r="ATA16" s="88"/>
      <c r="ATB16" s="88"/>
      <c r="ATC16" s="88"/>
      <c r="ATD16" s="88"/>
      <c r="ATE16" s="88"/>
      <c r="ATF16" s="88"/>
      <c r="ATG16" s="88"/>
      <c r="ATH16" s="88"/>
      <c r="ATI16" s="88"/>
      <c r="ATJ16" s="88"/>
      <c r="ATK16" s="88"/>
      <c r="ATL16" s="88"/>
      <c r="ATM16" s="88"/>
      <c r="ATN16" s="88"/>
      <c r="ATO16" s="88"/>
      <c r="ATP16" s="88"/>
      <c r="ATQ16" s="88"/>
      <c r="ATR16" s="88"/>
      <c r="ATS16" s="88"/>
      <c r="ATT16" s="88"/>
      <c r="ATU16" s="88"/>
      <c r="ATV16" s="88"/>
      <c r="ATW16" s="88"/>
      <c r="ATX16" s="88"/>
      <c r="ATY16" s="88"/>
      <c r="ATZ16" s="88"/>
      <c r="AUA16" s="88"/>
      <c r="AUB16" s="88"/>
      <c r="AUC16" s="88"/>
      <c r="AUD16" s="88"/>
      <c r="AUE16" s="88"/>
      <c r="AUF16" s="88"/>
      <c r="AUG16" s="88"/>
      <c r="AUH16" s="88"/>
      <c r="AUI16" s="88"/>
      <c r="AUJ16" s="88"/>
      <c r="AUK16" s="88"/>
      <c r="AUL16" s="88"/>
      <c r="AUM16" s="88"/>
      <c r="AUN16" s="88"/>
      <c r="AUO16" s="88"/>
      <c r="AUP16" s="88"/>
      <c r="AUQ16" s="88"/>
      <c r="AUR16" s="88"/>
      <c r="AUS16" s="88"/>
      <c r="AUT16" s="88"/>
      <c r="AUU16" s="88"/>
      <c r="AUV16" s="88"/>
      <c r="AUW16" s="88"/>
      <c r="AUX16" s="88"/>
      <c r="AUY16" s="88"/>
      <c r="AUZ16" s="88"/>
      <c r="AVA16" s="88"/>
      <c r="AVB16" s="88"/>
      <c r="AVC16" s="88"/>
      <c r="AVD16" s="88"/>
      <c r="AVE16" s="88"/>
      <c r="AVF16" s="88"/>
      <c r="AVG16" s="88"/>
      <c r="AVH16" s="88"/>
      <c r="AVI16" s="88"/>
      <c r="AVJ16" s="88"/>
      <c r="AVK16" s="88"/>
      <c r="AVL16" s="88"/>
      <c r="AVM16" s="88"/>
      <c r="AVN16" s="88"/>
      <c r="AVO16" s="88"/>
      <c r="AVP16" s="88"/>
      <c r="AVQ16" s="88"/>
      <c r="AVR16" s="88"/>
      <c r="AVS16" s="88"/>
      <c r="AVT16" s="88"/>
      <c r="AVU16" s="88"/>
      <c r="AVV16" s="88"/>
      <c r="AVW16" s="88"/>
      <c r="AVX16" s="88"/>
      <c r="AVY16" s="88"/>
      <c r="AVZ16" s="88"/>
      <c r="AWA16" s="88"/>
      <c r="AWB16" s="88"/>
      <c r="AWC16" s="88"/>
      <c r="AWD16" s="88"/>
      <c r="AWE16" s="88"/>
      <c r="AWF16" s="88"/>
      <c r="AWG16" s="88"/>
      <c r="AWH16" s="88"/>
      <c r="AWI16" s="88"/>
      <c r="AWJ16" s="88"/>
      <c r="AWK16" s="88"/>
      <c r="AWL16" s="88"/>
      <c r="AWM16" s="88"/>
      <c r="AWN16" s="88"/>
      <c r="AWO16" s="88"/>
      <c r="AWP16" s="88"/>
      <c r="AWQ16" s="88"/>
      <c r="AWR16" s="88"/>
      <c r="AWS16" s="88"/>
      <c r="AWT16" s="88"/>
      <c r="AWU16" s="88"/>
      <c r="AWV16" s="88"/>
      <c r="AWW16" s="88"/>
      <c r="AWX16" s="88"/>
      <c r="AWY16" s="88"/>
      <c r="AWZ16" s="88"/>
      <c r="AXA16" s="88"/>
      <c r="AXB16" s="88"/>
      <c r="AXC16" s="88"/>
      <c r="AXD16" s="88"/>
      <c r="AXE16" s="88"/>
      <c r="AXF16" s="88"/>
      <c r="AXG16" s="88"/>
      <c r="AXH16" s="88"/>
      <c r="AXI16" s="88"/>
      <c r="AXJ16" s="88"/>
      <c r="AXK16" s="88"/>
      <c r="AXL16" s="88"/>
      <c r="AXM16" s="88"/>
      <c r="AXN16" s="88"/>
      <c r="AXO16" s="88"/>
      <c r="AXP16" s="88"/>
      <c r="AXQ16" s="88"/>
      <c r="AXR16" s="88"/>
      <c r="AXS16" s="88"/>
      <c r="AXT16" s="88"/>
      <c r="AXU16" s="88"/>
      <c r="AXV16" s="88"/>
      <c r="AXW16" s="88"/>
      <c r="AXX16" s="88"/>
      <c r="AXY16" s="88"/>
      <c r="AXZ16" s="88"/>
      <c r="AYA16" s="88"/>
      <c r="AYB16" s="88"/>
      <c r="AYC16" s="88"/>
      <c r="AYD16" s="88"/>
      <c r="AYE16" s="88"/>
      <c r="AYF16" s="88"/>
      <c r="AYG16" s="88"/>
      <c r="AYH16" s="88"/>
      <c r="AYI16" s="88"/>
      <c r="AYJ16" s="88"/>
      <c r="AYK16" s="88"/>
      <c r="AYL16" s="88"/>
      <c r="AYM16" s="88"/>
      <c r="AYN16" s="88"/>
      <c r="AYO16" s="88"/>
      <c r="AYP16" s="88"/>
      <c r="AYQ16" s="88"/>
      <c r="AYR16" s="88"/>
      <c r="AYS16" s="88"/>
      <c r="AYT16" s="88"/>
      <c r="AYU16" s="88"/>
      <c r="AYV16" s="88"/>
      <c r="AYW16" s="88"/>
      <c r="AYX16" s="88"/>
      <c r="AYY16" s="88"/>
      <c r="AYZ16" s="88"/>
      <c r="AZA16" s="88"/>
      <c r="AZB16" s="88"/>
      <c r="AZC16" s="88"/>
      <c r="AZD16" s="88"/>
      <c r="AZE16" s="88"/>
      <c r="AZF16" s="88"/>
      <c r="AZG16" s="88"/>
      <c r="AZH16" s="88"/>
      <c r="AZI16" s="88"/>
      <c r="AZJ16" s="88"/>
      <c r="AZK16" s="88"/>
      <c r="AZL16" s="88"/>
      <c r="AZM16" s="88"/>
      <c r="AZN16" s="88"/>
      <c r="AZO16" s="88"/>
      <c r="AZP16" s="88"/>
      <c r="AZQ16" s="88"/>
      <c r="AZR16" s="88"/>
      <c r="AZS16" s="88"/>
      <c r="AZT16" s="88"/>
      <c r="AZU16" s="88"/>
      <c r="AZV16" s="88"/>
      <c r="AZW16" s="88"/>
      <c r="AZX16" s="88"/>
      <c r="AZY16" s="88"/>
      <c r="AZZ16" s="88"/>
      <c r="BAA16" s="88"/>
      <c r="BAB16" s="88"/>
      <c r="BAC16" s="88"/>
      <c r="BAD16" s="88"/>
      <c r="BAE16" s="88"/>
      <c r="BAF16" s="88"/>
      <c r="BAG16" s="88"/>
      <c r="BAH16" s="88"/>
      <c r="BAI16" s="88"/>
      <c r="BAJ16" s="88"/>
      <c r="BAK16" s="88"/>
      <c r="BAL16" s="88"/>
      <c r="BAM16" s="88"/>
      <c r="BAN16" s="88"/>
      <c r="BAO16" s="88"/>
      <c r="BAP16" s="88"/>
      <c r="BAQ16" s="88"/>
      <c r="BAR16" s="88"/>
      <c r="BAS16" s="88"/>
      <c r="BAT16" s="88"/>
      <c r="BAU16" s="88"/>
      <c r="BAV16" s="88"/>
      <c r="BAW16" s="88"/>
      <c r="BAX16" s="88"/>
      <c r="BAY16" s="88"/>
      <c r="BAZ16" s="88"/>
      <c r="BBA16" s="88"/>
      <c r="BBB16" s="88"/>
      <c r="BBC16" s="88"/>
      <c r="BBD16" s="88"/>
      <c r="BBE16" s="88"/>
      <c r="BBF16" s="88"/>
      <c r="BBG16" s="88"/>
      <c r="BBH16" s="88"/>
      <c r="BBI16" s="88"/>
      <c r="BBJ16" s="88"/>
      <c r="BBK16" s="88"/>
      <c r="BBL16" s="88"/>
      <c r="BBM16" s="88"/>
      <c r="BBN16" s="88"/>
      <c r="BBO16" s="88"/>
      <c r="BBP16" s="88"/>
      <c r="BBQ16" s="88"/>
      <c r="BBR16" s="88"/>
      <c r="BBS16" s="88"/>
      <c r="BBT16" s="88"/>
      <c r="BBU16" s="88"/>
      <c r="BBV16" s="88"/>
      <c r="BBW16" s="88"/>
      <c r="BBX16" s="88"/>
      <c r="BBY16" s="88"/>
      <c r="BBZ16" s="88"/>
      <c r="BCA16" s="88"/>
      <c r="BCB16" s="88"/>
      <c r="BCC16" s="88"/>
      <c r="BCD16" s="88"/>
      <c r="BCE16" s="88"/>
      <c r="BCF16" s="88"/>
      <c r="BCG16" s="88"/>
      <c r="BCH16" s="88"/>
      <c r="BCI16" s="88"/>
      <c r="BCJ16" s="88"/>
      <c r="BCK16" s="88"/>
      <c r="BCL16" s="88"/>
      <c r="BCM16" s="88"/>
      <c r="BCN16" s="88"/>
      <c r="BCO16" s="88"/>
      <c r="BCP16" s="88"/>
      <c r="BCQ16" s="88"/>
      <c r="BCR16" s="88"/>
      <c r="BCS16" s="88"/>
      <c r="BCT16" s="88"/>
      <c r="BCU16" s="88"/>
      <c r="BCV16" s="88"/>
      <c r="BCW16" s="88"/>
      <c r="BCX16" s="88"/>
      <c r="BCY16" s="88"/>
      <c r="BCZ16" s="88"/>
      <c r="BDA16" s="88"/>
      <c r="BDB16" s="88"/>
      <c r="BDC16" s="88"/>
      <c r="BDD16" s="88"/>
      <c r="BDE16" s="88"/>
      <c r="BDF16" s="88"/>
      <c r="BDG16" s="88"/>
      <c r="BDH16" s="88"/>
      <c r="BDI16" s="88"/>
      <c r="BDJ16" s="88"/>
      <c r="BDK16" s="88"/>
      <c r="BDL16" s="88"/>
      <c r="BDM16" s="88"/>
      <c r="BDN16" s="88"/>
      <c r="BDO16" s="88"/>
      <c r="BDP16" s="88"/>
      <c r="BDQ16" s="88"/>
      <c r="BDR16" s="88"/>
      <c r="BDS16" s="88"/>
      <c r="BDT16" s="88"/>
      <c r="BDU16" s="88"/>
      <c r="BDV16" s="88"/>
      <c r="BDW16" s="88"/>
      <c r="BDX16" s="88"/>
      <c r="BDY16" s="88"/>
      <c r="BDZ16" s="88"/>
      <c r="BEA16" s="88"/>
      <c r="BEB16" s="88"/>
      <c r="BEC16" s="88"/>
      <c r="BED16" s="88"/>
      <c r="BEE16" s="88"/>
      <c r="BEF16" s="88"/>
      <c r="BEG16" s="88"/>
      <c r="BEH16" s="88"/>
      <c r="BEI16" s="88"/>
      <c r="BEJ16" s="88"/>
      <c r="BEK16" s="88"/>
      <c r="BEL16" s="88"/>
      <c r="BEM16" s="88"/>
      <c r="BEN16" s="88"/>
      <c r="BEO16" s="88"/>
      <c r="BEP16" s="88"/>
      <c r="BEQ16" s="88"/>
      <c r="BER16" s="88"/>
      <c r="BES16" s="88"/>
      <c r="BET16" s="88"/>
      <c r="BEU16" s="88"/>
      <c r="BEV16" s="88"/>
      <c r="BEW16" s="88"/>
      <c r="BEX16" s="88"/>
      <c r="BEY16" s="88"/>
      <c r="BEZ16" s="88"/>
      <c r="BFA16" s="88"/>
      <c r="BFB16" s="88"/>
      <c r="BFC16" s="88"/>
      <c r="BFD16" s="88"/>
      <c r="BFE16" s="88"/>
      <c r="BFF16" s="88"/>
      <c r="BFG16" s="88"/>
      <c r="BFH16" s="88"/>
      <c r="BFI16" s="88"/>
      <c r="BFJ16" s="88"/>
      <c r="BFK16" s="88"/>
      <c r="BFL16" s="88"/>
      <c r="BFM16" s="88"/>
      <c r="BFN16" s="88"/>
      <c r="BFO16" s="88"/>
      <c r="BFP16" s="88"/>
      <c r="BFQ16" s="88"/>
      <c r="BFR16" s="88"/>
      <c r="BFS16" s="88"/>
      <c r="BFT16" s="88"/>
      <c r="BFU16" s="88"/>
      <c r="BFV16" s="88"/>
      <c r="BFW16" s="88"/>
      <c r="BFX16" s="88"/>
      <c r="BFY16" s="88"/>
      <c r="BFZ16" s="88"/>
      <c r="BGA16" s="88"/>
      <c r="BGB16" s="88"/>
      <c r="BGC16" s="88"/>
      <c r="BGD16" s="88"/>
      <c r="BGE16" s="88"/>
      <c r="BGF16" s="88"/>
      <c r="BGG16" s="88"/>
      <c r="BGH16" s="88"/>
      <c r="BGI16" s="88"/>
      <c r="BGJ16" s="88"/>
      <c r="BGK16" s="88"/>
      <c r="BGL16" s="88"/>
      <c r="BGM16" s="88"/>
      <c r="BGN16" s="88"/>
      <c r="BGO16" s="88"/>
      <c r="BGP16" s="88"/>
      <c r="BGQ16" s="88"/>
      <c r="BGR16" s="88"/>
      <c r="BGS16" s="88"/>
      <c r="BGT16" s="88"/>
      <c r="BGU16" s="88"/>
      <c r="BGV16" s="88"/>
      <c r="BGW16" s="88"/>
      <c r="BGX16" s="88"/>
      <c r="BGY16" s="88"/>
      <c r="BGZ16" s="88"/>
      <c r="BHA16" s="88"/>
      <c r="BHB16" s="88"/>
      <c r="BHC16" s="88"/>
      <c r="BHD16" s="88"/>
      <c r="BHE16" s="88"/>
      <c r="BHF16" s="88"/>
      <c r="BHG16" s="88"/>
      <c r="BHH16" s="88"/>
      <c r="BHI16" s="88"/>
      <c r="BHJ16" s="88"/>
      <c r="BHK16" s="88"/>
      <c r="BHL16" s="88"/>
      <c r="BHM16" s="88"/>
      <c r="BHN16" s="88"/>
      <c r="BHO16" s="88"/>
      <c r="BHP16" s="88"/>
      <c r="BHQ16" s="88"/>
      <c r="BHR16" s="88"/>
      <c r="BHS16" s="88"/>
      <c r="BHT16" s="88"/>
      <c r="BHU16" s="88"/>
      <c r="BHV16" s="88"/>
      <c r="BHW16" s="88"/>
      <c r="BHX16" s="88"/>
      <c r="BHY16" s="88"/>
      <c r="BHZ16" s="88"/>
      <c r="BIA16" s="88"/>
      <c r="BIB16" s="88"/>
      <c r="BIC16" s="88"/>
      <c r="BID16" s="88"/>
      <c r="BIE16" s="88"/>
      <c r="BIF16" s="88"/>
      <c r="BIG16" s="88"/>
      <c r="BIH16" s="88"/>
      <c r="BII16" s="88"/>
      <c r="BIJ16" s="88"/>
      <c r="BIK16" s="88"/>
      <c r="BIL16" s="88"/>
      <c r="BIM16" s="88"/>
      <c r="BIN16" s="88"/>
      <c r="BIO16" s="88"/>
      <c r="BIP16" s="88"/>
      <c r="BIQ16" s="88"/>
      <c r="BIR16" s="88"/>
      <c r="BIS16" s="88"/>
      <c r="BIT16" s="88"/>
      <c r="BIU16" s="88"/>
      <c r="BIV16" s="88"/>
      <c r="BIW16" s="88"/>
      <c r="BIX16" s="88"/>
      <c r="BIY16" s="88"/>
      <c r="BIZ16" s="88"/>
      <c r="BJA16" s="88"/>
      <c r="BJB16" s="88"/>
      <c r="BJC16" s="88"/>
      <c r="BJD16" s="88"/>
      <c r="BJE16" s="88"/>
      <c r="BJF16" s="88"/>
      <c r="BJG16" s="88"/>
      <c r="BJH16" s="88"/>
      <c r="BJI16" s="88"/>
      <c r="BJJ16" s="88"/>
      <c r="BJK16" s="88"/>
      <c r="BJL16" s="88"/>
      <c r="BJM16" s="88"/>
      <c r="BJN16" s="88"/>
      <c r="BJO16" s="88"/>
      <c r="BJP16" s="88"/>
      <c r="BJQ16" s="88"/>
      <c r="BJR16" s="88"/>
      <c r="BJS16" s="88"/>
      <c r="BJT16" s="88"/>
      <c r="BJU16" s="88"/>
      <c r="BJV16" s="88"/>
      <c r="BJW16" s="88"/>
      <c r="BJX16" s="88"/>
      <c r="BJY16" s="88"/>
      <c r="BJZ16" s="88"/>
      <c r="BKA16" s="88"/>
      <c r="BKB16" s="88"/>
      <c r="BKC16" s="88"/>
      <c r="BKD16" s="88"/>
      <c r="BKE16" s="88"/>
      <c r="BKF16" s="88"/>
      <c r="BKG16" s="88"/>
      <c r="BKH16" s="88"/>
      <c r="BKI16" s="88"/>
      <c r="BKJ16" s="88"/>
      <c r="BKK16" s="88"/>
      <c r="BKL16" s="88"/>
      <c r="BKM16" s="88"/>
      <c r="BKN16" s="88"/>
      <c r="BKO16" s="88"/>
      <c r="BKP16" s="88"/>
      <c r="BKQ16" s="88"/>
      <c r="BKR16" s="88"/>
      <c r="BKS16" s="88"/>
      <c r="BKT16" s="88"/>
      <c r="BKU16" s="88"/>
      <c r="BKV16" s="88"/>
      <c r="BKW16" s="88"/>
      <c r="BKX16" s="88"/>
      <c r="BKY16" s="88"/>
      <c r="BKZ16" s="88"/>
      <c r="BLA16" s="88"/>
      <c r="BLB16" s="88"/>
      <c r="BLC16" s="88"/>
      <c r="BLD16" s="88"/>
      <c r="BLE16" s="88"/>
      <c r="BLF16" s="88"/>
      <c r="BLG16" s="88"/>
      <c r="BLH16" s="88"/>
      <c r="BLI16" s="88"/>
      <c r="BLJ16" s="88"/>
      <c r="BLK16" s="88"/>
      <c r="BLL16" s="88"/>
      <c r="BLM16" s="88"/>
      <c r="BLN16" s="88"/>
      <c r="BLO16" s="88"/>
      <c r="BLP16" s="88"/>
      <c r="BLQ16" s="88"/>
      <c r="BLR16" s="88"/>
      <c r="BLS16" s="88"/>
      <c r="BLT16" s="88"/>
      <c r="BLU16" s="88"/>
      <c r="BLV16" s="88"/>
      <c r="BLW16" s="88"/>
      <c r="BLX16" s="88"/>
      <c r="BLY16" s="88"/>
      <c r="BLZ16" s="88"/>
      <c r="BMA16" s="88"/>
      <c r="BMB16" s="88"/>
      <c r="BMC16" s="88"/>
      <c r="BMD16" s="88"/>
      <c r="BME16" s="88"/>
      <c r="BMF16" s="88"/>
      <c r="BMG16" s="88"/>
      <c r="BMH16" s="88"/>
      <c r="BMI16" s="88"/>
      <c r="BMJ16" s="88"/>
      <c r="BMK16" s="88"/>
      <c r="BML16" s="88"/>
      <c r="BMM16" s="88"/>
      <c r="BMN16" s="88"/>
      <c r="BMO16" s="88"/>
      <c r="BMP16" s="88"/>
      <c r="BMQ16" s="88"/>
      <c r="BMR16" s="88"/>
      <c r="BMS16" s="88"/>
      <c r="BMT16" s="88"/>
      <c r="BMU16" s="88"/>
      <c r="BMV16" s="88"/>
      <c r="BMW16" s="88"/>
      <c r="BMX16" s="88"/>
      <c r="BMY16" s="88"/>
      <c r="BMZ16" s="88"/>
      <c r="BNA16" s="88"/>
      <c r="BNB16" s="88"/>
      <c r="BNC16" s="88"/>
      <c r="BND16" s="88"/>
      <c r="BNE16" s="88"/>
      <c r="BNF16" s="88"/>
      <c r="BNG16" s="88"/>
      <c r="BNH16" s="88"/>
      <c r="BNI16" s="88"/>
      <c r="BNJ16" s="88"/>
      <c r="BNK16" s="88"/>
      <c r="BNL16" s="88"/>
      <c r="BNM16" s="88"/>
      <c r="BNN16" s="88"/>
      <c r="BNO16" s="88"/>
      <c r="BNP16" s="88"/>
      <c r="BNQ16" s="88"/>
      <c r="BNR16" s="88"/>
      <c r="BNS16" s="88"/>
      <c r="BNT16" s="88"/>
      <c r="BNU16" s="88"/>
      <c r="BNV16" s="88"/>
      <c r="BNW16" s="88"/>
      <c r="BNX16" s="88"/>
      <c r="BNY16" s="88"/>
      <c r="BNZ16" s="88"/>
      <c r="BOA16" s="88"/>
      <c r="BOB16" s="88"/>
      <c r="BOC16" s="88"/>
      <c r="BOD16" s="88"/>
      <c r="BOE16" s="88"/>
      <c r="BOF16" s="88"/>
      <c r="BOG16" s="88"/>
      <c r="BOH16" s="88"/>
      <c r="BOI16" s="88"/>
      <c r="BOJ16" s="88"/>
      <c r="BOK16" s="88"/>
      <c r="BOL16" s="88"/>
      <c r="BOM16" s="88"/>
      <c r="BON16" s="88"/>
      <c r="BOO16" s="88"/>
      <c r="BOP16" s="88"/>
      <c r="BOQ16" s="88"/>
      <c r="BOR16" s="88"/>
      <c r="BOS16" s="88"/>
      <c r="BOT16" s="88"/>
      <c r="BOU16" s="88"/>
      <c r="BOV16" s="88"/>
      <c r="BOW16" s="88"/>
      <c r="BOX16" s="88"/>
      <c r="BOY16" s="88"/>
      <c r="BOZ16" s="88"/>
      <c r="BPA16" s="88"/>
      <c r="BPB16" s="88"/>
      <c r="BPC16" s="88"/>
      <c r="BPD16" s="88"/>
      <c r="BPE16" s="88"/>
      <c r="BPF16" s="88"/>
      <c r="BPG16" s="88"/>
      <c r="BPH16" s="88"/>
      <c r="BPI16" s="88"/>
      <c r="BPJ16" s="88"/>
      <c r="BPK16" s="88"/>
      <c r="BPL16" s="88"/>
      <c r="BPM16" s="88"/>
      <c r="BPN16" s="88"/>
      <c r="BPO16" s="88"/>
      <c r="BPP16" s="88"/>
      <c r="BPQ16" s="88"/>
      <c r="BPR16" s="88"/>
      <c r="BPS16" s="88"/>
      <c r="BPT16" s="88"/>
      <c r="BPU16" s="88"/>
      <c r="BPV16" s="88"/>
      <c r="BPW16" s="88"/>
      <c r="BPX16" s="88"/>
      <c r="BPY16" s="88"/>
      <c r="BPZ16" s="88"/>
      <c r="BQA16" s="88"/>
      <c r="BQB16" s="88"/>
      <c r="BQC16" s="88"/>
      <c r="BQD16" s="88"/>
      <c r="BQE16" s="88"/>
      <c r="BQF16" s="88"/>
      <c r="BQG16" s="88"/>
      <c r="BQH16" s="88"/>
      <c r="BQI16" s="88"/>
      <c r="BQJ16" s="88"/>
      <c r="BQK16" s="88"/>
      <c r="BQL16" s="88"/>
      <c r="BQM16" s="88"/>
      <c r="BQN16" s="88"/>
      <c r="BQO16" s="88"/>
      <c r="BQP16" s="88"/>
      <c r="BQQ16" s="88"/>
      <c r="BQR16" s="88"/>
      <c r="BQS16" s="88"/>
      <c r="BQT16" s="88"/>
      <c r="BQU16" s="88"/>
      <c r="BQV16" s="88"/>
      <c r="BQW16" s="88"/>
      <c r="BQX16" s="88"/>
      <c r="BQY16" s="88"/>
      <c r="BQZ16" s="88"/>
      <c r="BRA16" s="88"/>
      <c r="BRB16" s="88"/>
      <c r="BRC16" s="88"/>
      <c r="BRD16" s="88"/>
      <c r="BRE16" s="88"/>
      <c r="BRF16" s="88"/>
      <c r="BRG16" s="88"/>
      <c r="BRH16" s="88"/>
      <c r="BRI16" s="88"/>
      <c r="BRJ16" s="88"/>
      <c r="BRK16" s="88"/>
      <c r="BRL16" s="88"/>
      <c r="BRM16" s="88"/>
      <c r="BRN16" s="88"/>
      <c r="BRO16" s="88"/>
      <c r="BRP16" s="88"/>
      <c r="BRQ16" s="88"/>
      <c r="BRR16" s="88"/>
      <c r="BRS16" s="88"/>
      <c r="BRT16" s="88"/>
      <c r="BRU16" s="88"/>
      <c r="BRV16" s="88"/>
      <c r="BRW16" s="88"/>
      <c r="BRX16" s="88"/>
      <c r="BRY16" s="88"/>
      <c r="BRZ16" s="88"/>
      <c r="BSA16" s="88"/>
      <c r="BSB16" s="88"/>
      <c r="BSC16" s="88"/>
      <c r="BSD16" s="88"/>
      <c r="BSE16" s="88"/>
      <c r="BSF16" s="88"/>
      <c r="BSG16" s="88"/>
      <c r="BSH16" s="88"/>
      <c r="BSI16" s="88"/>
      <c r="BSJ16" s="88"/>
      <c r="BSK16" s="88"/>
      <c r="BSL16" s="88"/>
      <c r="BSM16" s="88"/>
      <c r="BSN16" s="88"/>
      <c r="BSO16" s="88"/>
      <c r="BSP16" s="88"/>
      <c r="BSQ16" s="88"/>
      <c r="BSR16" s="88"/>
      <c r="BSS16" s="88"/>
      <c r="BST16" s="88"/>
      <c r="BSU16" s="88"/>
      <c r="BSV16" s="88"/>
      <c r="BSW16" s="88"/>
      <c r="BSX16" s="88"/>
      <c r="BSY16" s="88"/>
      <c r="BSZ16" s="88"/>
      <c r="BTA16" s="88"/>
      <c r="BTB16" s="88"/>
      <c r="BTC16" s="88"/>
      <c r="BTD16" s="88"/>
      <c r="BTE16" s="88"/>
      <c r="BTF16" s="88"/>
      <c r="BTG16" s="88"/>
      <c r="BTH16" s="88"/>
      <c r="BTI16" s="88"/>
      <c r="BTJ16" s="88"/>
      <c r="BTK16" s="88"/>
      <c r="BTL16" s="88"/>
      <c r="BTM16" s="88"/>
      <c r="BTN16" s="88"/>
      <c r="BTO16" s="88"/>
      <c r="BTP16" s="88"/>
      <c r="BTQ16" s="88"/>
      <c r="BTR16" s="88"/>
      <c r="BTS16" s="88"/>
      <c r="BTT16" s="88"/>
      <c r="BTU16" s="88"/>
      <c r="BTV16" s="88"/>
      <c r="BTW16" s="88"/>
      <c r="BTX16" s="88"/>
      <c r="BTY16" s="88"/>
      <c r="BTZ16" s="88"/>
      <c r="BUA16" s="88"/>
      <c r="BUB16" s="88"/>
      <c r="BUC16" s="88"/>
      <c r="BUD16" s="88"/>
      <c r="BUE16" s="88"/>
      <c r="BUF16" s="88"/>
      <c r="BUG16" s="88"/>
      <c r="BUH16" s="88"/>
      <c r="BUI16" s="88"/>
      <c r="BUJ16" s="88"/>
      <c r="BUK16" s="88"/>
      <c r="BUL16" s="88"/>
      <c r="BUM16" s="88"/>
      <c r="BUN16" s="88"/>
      <c r="BUO16" s="88"/>
      <c r="BUP16" s="88"/>
      <c r="BUQ16" s="88"/>
      <c r="BUR16" s="88"/>
      <c r="BUS16" s="88"/>
      <c r="BUT16" s="88"/>
      <c r="BUU16" s="88"/>
      <c r="BUV16" s="88"/>
      <c r="BUW16" s="88"/>
      <c r="BUX16" s="88"/>
      <c r="BUY16" s="88"/>
      <c r="BUZ16" s="88"/>
      <c r="BVA16" s="88"/>
      <c r="BVB16" s="88"/>
      <c r="BVC16" s="88"/>
      <c r="BVD16" s="88"/>
      <c r="BVE16" s="88"/>
      <c r="BVF16" s="88"/>
      <c r="BVG16" s="88"/>
      <c r="BVH16" s="88"/>
      <c r="BVI16" s="88"/>
      <c r="BVJ16" s="88"/>
      <c r="BVK16" s="88"/>
      <c r="BVL16" s="88"/>
      <c r="BVM16" s="88"/>
      <c r="BVN16" s="88"/>
      <c r="BVO16" s="88"/>
      <c r="BVP16" s="88"/>
      <c r="BVQ16" s="88"/>
      <c r="BVR16" s="88"/>
      <c r="BVS16" s="88"/>
      <c r="BVT16" s="88"/>
      <c r="BVU16" s="88"/>
      <c r="BVV16" s="88"/>
      <c r="BVW16" s="88"/>
      <c r="BVX16" s="88"/>
      <c r="BVY16" s="88"/>
      <c r="BVZ16" s="88"/>
      <c r="BWA16" s="88"/>
      <c r="BWB16" s="88"/>
      <c r="BWC16" s="88"/>
      <c r="BWD16" s="88"/>
      <c r="BWE16" s="88"/>
      <c r="BWF16" s="88"/>
      <c r="BWG16" s="88"/>
      <c r="BWH16" s="88"/>
      <c r="BWI16" s="88"/>
      <c r="BWJ16" s="88"/>
      <c r="BWK16" s="88"/>
      <c r="BWL16" s="88"/>
      <c r="BWM16" s="88"/>
      <c r="BWN16" s="88"/>
      <c r="BWO16" s="88"/>
      <c r="BWP16" s="88"/>
      <c r="BWQ16" s="88"/>
      <c r="BWR16" s="88"/>
      <c r="BWS16" s="88"/>
      <c r="BWT16" s="88"/>
      <c r="BWU16" s="88"/>
      <c r="BWV16" s="88"/>
      <c r="BWW16" s="88"/>
      <c r="BWX16" s="88"/>
      <c r="BWY16" s="88"/>
      <c r="BWZ16" s="88"/>
      <c r="BXA16" s="88"/>
      <c r="BXB16" s="88"/>
      <c r="BXC16" s="88"/>
      <c r="BXD16" s="88"/>
      <c r="BXE16" s="88"/>
      <c r="BXF16" s="88"/>
      <c r="BXG16" s="88"/>
      <c r="BXH16" s="88"/>
      <c r="BXI16" s="88"/>
      <c r="BXJ16" s="88"/>
      <c r="BXK16" s="88"/>
      <c r="BXL16" s="88"/>
      <c r="BXM16" s="88"/>
      <c r="BXN16" s="88"/>
      <c r="BXO16" s="88"/>
      <c r="BXP16" s="88"/>
      <c r="BXQ16" s="88"/>
      <c r="BXR16" s="88"/>
      <c r="BXS16" s="88"/>
      <c r="BXT16" s="88"/>
      <c r="BXU16" s="88"/>
      <c r="BXV16" s="88"/>
      <c r="BXW16" s="88"/>
      <c r="BXX16" s="88"/>
      <c r="BXY16" s="88"/>
      <c r="BXZ16" s="88"/>
      <c r="BYA16" s="88"/>
      <c r="BYB16" s="88"/>
      <c r="BYC16" s="88"/>
      <c r="BYD16" s="88"/>
      <c r="BYE16" s="88"/>
      <c r="BYF16" s="88"/>
      <c r="BYG16" s="88"/>
      <c r="BYH16" s="88"/>
      <c r="BYI16" s="88"/>
      <c r="BYJ16" s="88"/>
      <c r="BYK16" s="88"/>
      <c r="BYL16" s="88"/>
      <c r="BYM16" s="88"/>
      <c r="BYN16" s="88"/>
      <c r="BYO16" s="88"/>
      <c r="BYP16" s="88"/>
      <c r="BYQ16" s="88"/>
      <c r="BYR16" s="88"/>
      <c r="BYS16" s="88"/>
      <c r="BYT16" s="88"/>
      <c r="BYU16" s="88"/>
      <c r="BYV16" s="88"/>
      <c r="BYW16" s="88"/>
      <c r="BYX16" s="88"/>
      <c r="BYY16" s="88"/>
      <c r="BYZ16" s="88"/>
      <c r="BZA16" s="88"/>
      <c r="BZB16" s="88"/>
      <c r="BZC16" s="88"/>
      <c r="BZD16" s="88"/>
      <c r="BZE16" s="88"/>
      <c r="BZF16" s="88"/>
      <c r="BZG16" s="88"/>
      <c r="BZH16" s="88"/>
      <c r="BZI16" s="88"/>
      <c r="BZJ16" s="88"/>
      <c r="BZK16" s="88"/>
      <c r="BZL16" s="88"/>
      <c r="BZM16" s="88"/>
      <c r="BZN16" s="88"/>
      <c r="BZO16" s="88"/>
      <c r="BZP16" s="88"/>
      <c r="BZQ16" s="88"/>
      <c r="BZR16" s="88"/>
      <c r="BZS16" s="88"/>
      <c r="BZT16" s="88"/>
      <c r="BZU16" s="88"/>
      <c r="BZV16" s="88"/>
      <c r="BZW16" s="88"/>
      <c r="BZX16" s="88"/>
      <c r="BZY16" s="88"/>
      <c r="BZZ16" s="88"/>
      <c r="CAA16" s="88"/>
      <c r="CAB16" s="88"/>
      <c r="CAC16" s="88"/>
      <c r="CAD16" s="88"/>
      <c r="CAE16" s="88"/>
      <c r="CAF16" s="88"/>
      <c r="CAG16" s="88"/>
      <c r="CAH16" s="88"/>
      <c r="CAI16" s="88"/>
      <c r="CAJ16" s="88"/>
      <c r="CAK16" s="88"/>
      <c r="CAL16" s="88"/>
      <c r="CAM16" s="88"/>
      <c r="CAN16" s="88"/>
      <c r="CAO16" s="88"/>
      <c r="CAP16" s="88"/>
      <c r="CAQ16" s="88"/>
      <c r="CAR16" s="88"/>
      <c r="CAS16" s="88"/>
      <c r="CAT16" s="88"/>
      <c r="CAU16" s="88"/>
      <c r="CAV16" s="88"/>
      <c r="CAW16" s="88"/>
      <c r="CAX16" s="88"/>
      <c r="CAY16" s="88"/>
      <c r="CAZ16" s="88"/>
      <c r="CBA16" s="88"/>
      <c r="CBB16" s="88"/>
      <c r="CBC16" s="88"/>
      <c r="CBD16" s="88"/>
      <c r="CBE16" s="88"/>
      <c r="CBF16" s="88"/>
      <c r="CBG16" s="88"/>
      <c r="CBH16" s="88"/>
      <c r="CBI16" s="88"/>
      <c r="CBJ16" s="88"/>
      <c r="CBK16" s="88"/>
      <c r="CBL16" s="88"/>
      <c r="CBM16" s="88"/>
      <c r="CBN16" s="88"/>
      <c r="CBO16" s="88"/>
      <c r="CBP16" s="88"/>
      <c r="CBQ16" s="88"/>
      <c r="CBR16" s="88"/>
      <c r="CBS16" s="88"/>
      <c r="CBT16" s="88"/>
      <c r="CBU16" s="88"/>
      <c r="CBV16" s="88"/>
      <c r="CBW16" s="88"/>
      <c r="CBX16" s="88"/>
      <c r="CBY16" s="88"/>
      <c r="CBZ16" s="88"/>
      <c r="CCA16" s="88"/>
      <c r="CCB16" s="88"/>
      <c r="CCC16" s="88"/>
      <c r="CCD16" s="88"/>
      <c r="CCE16" s="88"/>
      <c r="CCF16" s="88"/>
      <c r="CCG16" s="88"/>
      <c r="CCH16" s="88"/>
      <c r="CCI16" s="88"/>
      <c r="CCJ16" s="88"/>
      <c r="CCK16" s="88"/>
      <c r="CCL16" s="88"/>
      <c r="CCM16" s="88"/>
      <c r="CCN16" s="88"/>
      <c r="CCO16" s="88"/>
      <c r="CCP16" s="88"/>
      <c r="CCQ16" s="88"/>
      <c r="CCR16" s="88"/>
      <c r="CCS16" s="88"/>
      <c r="CCT16" s="88"/>
      <c r="CCU16" s="88"/>
      <c r="CCV16" s="88"/>
      <c r="CCW16" s="88"/>
      <c r="CCX16" s="88"/>
      <c r="CCY16" s="88"/>
      <c r="CCZ16" s="88"/>
      <c r="CDA16" s="88"/>
      <c r="CDB16" s="88"/>
      <c r="CDC16" s="88"/>
      <c r="CDD16" s="88"/>
      <c r="CDE16" s="88"/>
      <c r="CDF16" s="88"/>
      <c r="CDG16" s="88"/>
      <c r="CDH16" s="88"/>
      <c r="CDI16" s="88"/>
      <c r="CDJ16" s="88"/>
      <c r="CDK16" s="88"/>
      <c r="CDL16" s="88"/>
      <c r="CDM16" s="88"/>
      <c r="CDN16" s="88"/>
      <c r="CDO16" s="88"/>
      <c r="CDP16" s="88"/>
      <c r="CDQ16" s="88"/>
      <c r="CDR16" s="88"/>
      <c r="CDS16" s="88"/>
      <c r="CDT16" s="88"/>
      <c r="CDU16" s="88"/>
      <c r="CDV16" s="88"/>
      <c r="CDW16" s="88"/>
      <c r="CDX16" s="88"/>
      <c r="CDY16" s="88"/>
      <c r="CDZ16" s="88"/>
      <c r="CEA16" s="88"/>
      <c r="CEB16" s="88"/>
      <c r="CEC16" s="88"/>
      <c r="CED16" s="88"/>
      <c r="CEE16" s="88"/>
      <c r="CEF16" s="88"/>
      <c r="CEG16" s="88"/>
      <c r="CEH16" s="88"/>
      <c r="CEI16" s="88"/>
      <c r="CEJ16" s="88"/>
      <c r="CEK16" s="88"/>
    </row>
    <row r="17" spans="1:2169" s="63" customFormat="1">
      <c r="A17" s="68" t="s">
        <v>407</v>
      </c>
      <c r="B17" s="71" t="s">
        <v>68</v>
      </c>
      <c r="C17" s="68" t="str">
        <f>IF('page 2'!$O$4="","",IF('page 2'!$O$4=Gestion!A17,1,0))</f>
        <v/>
      </c>
      <c r="D17" s="68" t="str">
        <f>IF('page 2'!$O$5="","",IF('page 2'!$O$5=Gestion!A17,1,0))</f>
        <v/>
      </c>
      <c r="E17" s="68" t="str">
        <f>IF('page 2'!$O$6="","",IF('page 2'!$O$6=Gestion!A17,1,0))</f>
        <v/>
      </c>
      <c r="F17" s="68" t="str">
        <f>IF('page 2'!$O$7="","",IF('page 2'!$O$7=Gestion!A17,1,0))</f>
        <v/>
      </c>
      <c r="G17" s="68" t="str">
        <f>IF('page 2'!$O$8="","",IF('page 2'!$O$8=Gestion!A17,1,0))</f>
        <v/>
      </c>
      <c r="H17" s="68" t="str">
        <f>IF('page 2'!$O$9="","",IF('page 2'!$O$9=Gestion!A17,1,0))</f>
        <v/>
      </c>
      <c r="I17" s="68" t="str">
        <f>IF('page 2'!$O$10="","",IF('page 2'!$O$10=Gestion!A17,1,0))</f>
        <v/>
      </c>
      <c r="J17" s="68" t="str">
        <f>IF('page 2'!$O$11="","",IF('page 2'!$O$11=Gestion!A17,1,0))</f>
        <v/>
      </c>
      <c r="K17" s="68" t="str">
        <f>IF('page 2'!$O$12="","",IF('page 2'!$O$12=Gestion!A17,1,0))</f>
        <v/>
      </c>
      <c r="L17" s="68" t="str">
        <f>IF('page 2'!$O$13="","",IF('page 2'!$O$13=Gestion!A17,1,0))</f>
        <v/>
      </c>
      <c r="M17" s="68" t="str">
        <f>IF('page 2'!$O$14="","",IF('page 2'!$O$14=Gestion!A17,1,0))</f>
        <v/>
      </c>
      <c r="N17" s="68" t="str">
        <f>IF('page 2'!$O$15="","",IF('page 2'!$O$15=Gestion!A17,1,0))</f>
        <v/>
      </c>
      <c r="O17" s="68" t="str">
        <f>IF('page 2'!$O$16="","",IF('page 2'!$O$16=Gestion!A17,1,0))</f>
        <v/>
      </c>
      <c r="P17" s="68" t="str">
        <f>IF('page 2'!$O$17="","",IF('page 2'!$O$17=Gestion!A17,1,0))</f>
        <v/>
      </c>
      <c r="Q17" s="68" t="str">
        <f>IF('page 2'!$O$18="","",IF('page 2'!$O$18=Gestion!A17,1,0))</f>
        <v/>
      </c>
      <c r="R17" s="68" t="str">
        <f>IF('page 2'!$O$19="","",IF('page 2'!$O$19=Gestion!A17,1,0))</f>
        <v/>
      </c>
      <c r="S17" s="68" t="str">
        <f>IF('page 2'!$O$20="","",IF('page 2'!$O$20=Gestion!A17,1,0))</f>
        <v/>
      </c>
      <c r="T17" s="68" t="str">
        <f>IF('page 2'!$O$25="","",IF('page 2'!$O$25=Gestion!A17,1,0))</f>
        <v/>
      </c>
      <c r="U17" s="68" t="str">
        <f>IF('page 2'!$O$26="","",IF('page 2'!$O$26=Gestion!A17,1,0))</f>
        <v/>
      </c>
      <c r="V17" s="68" t="str">
        <f>IF('page 2'!$O$27="","",IF('page 2'!$O$27=Gestion!A17,1,0))</f>
        <v/>
      </c>
      <c r="W17" s="722">
        <f t="shared" si="0"/>
        <v>0</v>
      </c>
      <c r="X17" s="714" t="s">
        <v>2630</v>
      </c>
      <c r="Y17" s="68" t="str">
        <f>IF('page 2'!O18="","",'page 2'!O18)</f>
        <v/>
      </c>
      <c r="Z17" s="68" t="str">
        <f>IF(Y17="","",VLOOKUP(Y17,'page 2'!$O$4:$Q$27,3,FALSE))</f>
        <v/>
      </c>
      <c r="AA17" s="68" t="str">
        <f t="shared" si="1"/>
        <v/>
      </c>
      <c r="AB17" s="68"/>
      <c r="AC17" s="68"/>
      <c r="AD17" s="68"/>
      <c r="AP17" s="130"/>
      <c r="AQ17" s="130"/>
      <c r="AR17" s="130"/>
      <c r="AS17" s="602">
        <v>10</v>
      </c>
      <c r="AT17" s="602">
        <v>2</v>
      </c>
      <c r="AU17" s="602">
        <v>3</v>
      </c>
      <c r="AV17" s="602">
        <v>3</v>
      </c>
      <c r="AW17" s="602">
        <v>1</v>
      </c>
      <c r="AX17" s="602">
        <v>0</v>
      </c>
      <c r="AY17" s="602">
        <v>3</v>
      </c>
      <c r="AZ17" s="602">
        <v>3</v>
      </c>
      <c r="BA17" s="602">
        <v>2</v>
      </c>
      <c r="BB17" s="602">
        <v>1</v>
      </c>
      <c r="BC17" s="602">
        <v>0</v>
      </c>
      <c r="BD17" s="602">
        <v>0</v>
      </c>
      <c r="BE17" s="602">
        <v>0</v>
      </c>
      <c r="BF17" s="602">
        <v>0</v>
      </c>
      <c r="BG17" s="602">
        <v>1</v>
      </c>
      <c r="BH17" s="602">
        <v>0</v>
      </c>
      <c r="BI17" s="602">
        <v>0</v>
      </c>
      <c r="BJ17" s="602">
        <v>1</v>
      </c>
      <c r="BK17" s="602">
        <v>0</v>
      </c>
      <c r="BL17" s="602">
        <v>2</v>
      </c>
      <c r="BM17" s="602">
        <v>0</v>
      </c>
      <c r="BN17" s="602">
        <v>0</v>
      </c>
      <c r="BO17" s="602">
        <v>0</v>
      </c>
      <c r="BP17" s="602">
        <v>0</v>
      </c>
      <c r="BQ17" s="602">
        <v>1</v>
      </c>
      <c r="BR17" s="602">
        <v>0</v>
      </c>
      <c r="BS17" s="602">
        <v>0</v>
      </c>
      <c r="BT17" s="602">
        <v>0</v>
      </c>
      <c r="BU17" s="602">
        <v>3</v>
      </c>
      <c r="BV17" s="602">
        <v>1</v>
      </c>
      <c r="BW17" s="602">
        <v>0</v>
      </c>
      <c r="BX17" s="602">
        <v>0</v>
      </c>
      <c r="BY17" s="602">
        <v>0</v>
      </c>
      <c r="BZ17" s="602">
        <v>1</v>
      </c>
      <c r="CA17" s="602">
        <v>1</v>
      </c>
      <c r="CB17" s="602">
        <v>0</v>
      </c>
      <c r="CC17" s="576">
        <v>0</v>
      </c>
      <c r="CD17" s="602">
        <v>0</v>
      </c>
      <c r="CE17" s="576">
        <v>0</v>
      </c>
      <c r="CF17" s="576">
        <v>0</v>
      </c>
      <c r="CG17" s="576">
        <v>0</v>
      </c>
      <c r="CH17" s="576">
        <v>0</v>
      </c>
      <c r="CI17" s="576">
        <v>0</v>
      </c>
      <c r="CJ17" s="576">
        <v>0</v>
      </c>
      <c r="CK17" s="576">
        <v>1</v>
      </c>
      <c r="CL17" s="576">
        <v>1</v>
      </c>
      <c r="CM17" s="576">
        <v>3</v>
      </c>
      <c r="CN17" s="602">
        <v>1</v>
      </c>
      <c r="CO17" s="602">
        <v>2</v>
      </c>
      <c r="CP17" s="602">
        <v>0</v>
      </c>
      <c r="CQ17" s="576">
        <v>1</v>
      </c>
      <c r="CR17" s="576">
        <v>1</v>
      </c>
      <c r="CS17" s="602">
        <v>1</v>
      </c>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c r="IW17" s="88"/>
      <c r="IX17" s="88"/>
      <c r="IY17" s="88"/>
      <c r="IZ17" s="88"/>
      <c r="JA17" s="88"/>
      <c r="JB17" s="88"/>
      <c r="JC17" s="88"/>
      <c r="JD17" s="88"/>
      <c r="JE17" s="88"/>
      <c r="JF17" s="88"/>
      <c r="JG17" s="88"/>
      <c r="JH17" s="88"/>
      <c r="JI17" s="88"/>
      <c r="JJ17" s="88"/>
      <c r="JK17" s="88"/>
      <c r="JL17" s="88"/>
      <c r="JM17" s="88"/>
      <c r="JN17" s="88"/>
      <c r="JO17" s="88"/>
      <c r="JP17" s="88"/>
      <c r="JQ17" s="88"/>
      <c r="JR17" s="88"/>
      <c r="JS17" s="88"/>
      <c r="JT17" s="88"/>
      <c r="JU17" s="88"/>
      <c r="JV17" s="88"/>
      <c r="JW17" s="88"/>
      <c r="JX17" s="88"/>
      <c r="JY17" s="88"/>
      <c r="JZ17" s="88"/>
      <c r="KA17" s="88"/>
      <c r="KB17" s="88"/>
      <c r="KC17" s="88"/>
      <c r="KD17" s="88"/>
      <c r="KE17" s="88"/>
      <c r="KF17" s="88"/>
      <c r="KG17" s="88"/>
      <c r="KH17" s="88"/>
      <c r="KI17" s="88"/>
      <c r="KJ17" s="88"/>
      <c r="KK17" s="88"/>
      <c r="KL17" s="88"/>
      <c r="KM17" s="88"/>
      <c r="KN17" s="88"/>
      <c r="KO17" s="88"/>
      <c r="KP17" s="88"/>
      <c r="KQ17" s="88"/>
      <c r="KR17" s="88"/>
      <c r="KS17" s="88"/>
      <c r="KT17" s="88"/>
      <c r="KU17" s="88"/>
      <c r="KV17" s="88"/>
      <c r="KW17" s="88"/>
      <c r="KX17" s="88"/>
      <c r="KY17" s="88"/>
      <c r="KZ17" s="88"/>
      <c r="LA17" s="88"/>
      <c r="LB17" s="88"/>
      <c r="LC17" s="88"/>
      <c r="LD17" s="88"/>
      <c r="LE17" s="88"/>
      <c r="LF17" s="88"/>
      <c r="LG17" s="88"/>
      <c r="LH17" s="88"/>
      <c r="LI17" s="88"/>
      <c r="LJ17" s="88"/>
      <c r="LK17" s="88"/>
      <c r="LL17" s="88"/>
      <c r="LM17" s="88"/>
      <c r="LN17" s="88"/>
      <c r="LO17" s="88"/>
      <c r="LP17" s="88"/>
      <c r="LQ17" s="88"/>
      <c r="LR17" s="88"/>
      <c r="LS17" s="88"/>
      <c r="LT17" s="88"/>
      <c r="LU17" s="88"/>
      <c r="LV17" s="88"/>
      <c r="LW17" s="88"/>
      <c r="LX17" s="88"/>
      <c r="LY17" s="88"/>
      <c r="LZ17" s="88"/>
      <c r="MA17" s="88"/>
      <c r="MB17" s="88"/>
      <c r="MC17" s="88"/>
      <c r="MD17" s="88"/>
      <c r="ME17" s="88"/>
      <c r="MF17" s="88"/>
      <c r="MG17" s="88"/>
      <c r="MH17" s="88"/>
      <c r="MI17" s="88"/>
      <c r="MJ17" s="88"/>
      <c r="MK17" s="88"/>
      <c r="ML17" s="88"/>
      <c r="MM17" s="88"/>
      <c r="MN17" s="88"/>
      <c r="MO17" s="88"/>
      <c r="MP17" s="88"/>
      <c r="MQ17" s="88"/>
      <c r="MR17" s="88"/>
      <c r="MS17" s="88"/>
      <c r="MT17" s="88"/>
      <c r="MU17" s="88"/>
      <c r="MV17" s="88"/>
      <c r="MW17" s="88"/>
      <c r="MX17" s="88"/>
      <c r="MY17" s="88"/>
      <c r="MZ17" s="88"/>
      <c r="NA17" s="88"/>
      <c r="NB17" s="88"/>
      <c r="NC17" s="88"/>
      <c r="ND17" s="88"/>
      <c r="NE17" s="88"/>
      <c r="NF17" s="88"/>
      <c r="NG17" s="88"/>
      <c r="NH17" s="88"/>
      <c r="NI17" s="88"/>
      <c r="NJ17" s="88"/>
      <c r="NK17" s="88"/>
      <c r="NL17" s="88"/>
      <c r="NM17" s="88"/>
      <c r="NN17" s="88"/>
      <c r="NO17" s="88"/>
      <c r="NP17" s="88"/>
      <c r="NQ17" s="88"/>
      <c r="NR17" s="88"/>
      <c r="NS17" s="88"/>
      <c r="NT17" s="88"/>
      <c r="NU17" s="88"/>
      <c r="NV17" s="88"/>
      <c r="NW17" s="88"/>
      <c r="NX17" s="88"/>
      <c r="NY17" s="88"/>
      <c r="NZ17" s="88"/>
      <c r="OA17" s="88"/>
      <c r="OB17" s="88"/>
      <c r="OC17" s="88"/>
      <c r="OD17" s="88"/>
      <c r="OE17" s="88"/>
      <c r="OF17" s="88"/>
      <c r="OG17" s="88"/>
      <c r="OH17" s="88"/>
      <c r="OI17" s="88"/>
      <c r="OJ17" s="88"/>
      <c r="OK17" s="88"/>
      <c r="OL17" s="88"/>
      <c r="OM17" s="88"/>
      <c r="ON17" s="88"/>
      <c r="OO17" s="88"/>
      <c r="OP17" s="88"/>
      <c r="OQ17" s="88"/>
      <c r="OR17" s="88"/>
      <c r="OS17" s="88"/>
      <c r="OT17" s="88"/>
      <c r="OU17" s="88"/>
      <c r="OV17" s="88"/>
      <c r="OW17" s="88"/>
      <c r="OX17" s="88"/>
      <c r="OY17" s="88"/>
      <c r="OZ17" s="88"/>
      <c r="PA17" s="88"/>
      <c r="PB17" s="88"/>
      <c r="PC17" s="88"/>
      <c r="PD17" s="88"/>
      <c r="PE17" s="88"/>
      <c r="PF17" s="88"/>
      <c r="PG17" s="88"/>
      <c r="PH17" s="88"/>
      <c r="PI17" s="88"/>
      <c r="PJ17" s="88"/>
      <c r="PK17" s="88"/>
      <c r="PL17" s="88"/>
      <c r="PM17" s="88"/>
      <c r="PN17" s="88"/>
      <c r="PO17" s="88"/>
      <c r="PP17" s="88"/>
      <c r="PQ17" s="88"/>
      <c r="PR17" s="88"/>
      <c r="PS17" s="88"/>
      <c r="PT17" s="88"/>
      <c r="PU17" s="88"/>
      <c r="PV17" s="88"/>
      <c r="PW17" s="88"/>
      <c r="PX17" s="88"/>
      <c r="PY17" s="88"/>
      <c r="PZ17" s="88"/>
      <c r="QA17" s="88"/>
      <c r="QB17" s="88"/>
      <c r="QC17" s="88"/>
      <c r="QD17" s="88"/>
      <c r="QE17" s="88"/>
      <c r="QF17" s="88"/>
      <c r="QG17" s="88"/>
      <c r="QH17" s="88"/>
      <c r="QI17" s="88"/>
      <c r="QJ17" s="88"/>
      <c r="QK17" s="88"/>
      <c r="QL17" s="88"/>
      <c r="QM17" s="88"/>
      <c r="QN17" s="88"/>
      <c r="QO17" s="88"/>
      <c r="QP17" s="88"/>
      <c r="QQ17" s="88"/>
      <c r="QR17" s="88"/>
      <c r="QS17" s="88"/>
      <c r="QT17" s="88"/>
      <c r="QU17" s="88"/>
      <c r="QV17" s="88"/>
      <c r="QW17" s="88"/>
      <c r="QX17" s="88"/>
      <c r="QY17" s="88"/>
      <c r="QZ17" s="88"/>
      <c r="RA17" s="88"/>
      <c r="RB17" s="88"/>
      <c r="RC17" s="88"/>
      <c r="RD17" s="88"/>
      <c r="RE17" s="88"/>
      <c r="RF17" s="88"/>
      <c r="RG17" s="88"/>
      <c r="RH17" s="88"/>
      <c r="RI17" s="88"/>
      <c r="RJ17" s="88"/>
      <c r="RK17" s="88"/>
      <c r="RL17" s="88"/>
      <c r="RM17" s="88"/>
      <c r="RN17" s="88"/>
      <c r="RO17" s="88"/>
      <c r="RP17" s="88"/>
      <c r="RQ17" s="88"/>
      <c r="RR17" s="88"/>
      <c r="RS17" s="88"/>
      <c r="RT17" s="88"/>
      <c r="RU17" s="88"/>
      <c r="RV17" s="88"/>
      <c r="RW17" s="88"/>
      <c r="RX17" s="88"/>
      <c r="RY17" s="88"/>
      <c r="RZ17" s="88"/>
      <c r="SA17" s="88"/>
      <c r="SB17" s="88"/>
      <c r="SC17" s="88"/>
      <c r="SD17" s="88"/>
      <c r="SE17" s="88"/>
      <c r="SF17" s="88"/>
      <c r="SG17" s="88"/>
      <c r="SH17" s="88"/>
      <c r="SI17" s="88"/>
      <c r="SJ17" s="88"/>
      <c r="SK17" s="88"/>
      <c r="SL17" s="88"/>
      <c r="SM17" s="88"/>
      <c r="SN17" s="88"/>
      <c r="SO17" s="88"/>
      <c r="SP17" s="88"/>
      <c r="SQ17" s="88"/>
      <c r="SR17" s="88"/>
      <c r="SS17" s="88"/>
      <c r="ST17" s="88"/>
      <c r="SU17" s="88"/>
      <c r="SV17" s="88"/>
      <c r="SW17" s="88"/>
      <c r="SX17" s="88"/>
      <c r="SY17" s="88"/>
      <c r="SZ17" s="88"/>
      <c r="TA17" s="88"/>
      <c r="TB17" s="88"/>
      <c r="TC17" s="88"/>
      <c r="TD17" s="88"/>
      <c r="TE17" s="88"/>
      <c r="TF17" s="88"/>
      <c r="TG17" s="88"/>
      <c r="TH17" s="88"/>
      <c r="TI17" s="88"/>
      <c r="TJ17" s="88"/>
      <c r="TK17" s="88"/>
      <c r="TL17" s="88"/>
      <c r="TM17" s="88"/>
      <c r="TN17" s="88"/>
      <c r="TO17" s="88"/>
      <c r="TP17" s="88"/>
      <c r="TQ17" s="88"/>
      <c r="TR17" s="88"/>
      <c r="TS17" s="88"/>
      <c r="TT17" s="88"/>
      <c r="TU17" s="88"/>
      <c r="TV17" s="88"/>
      <c r="TW17" s="88"/>
      <c r="TX17" s="88"/>
      <c r="TY17" s="88"/>
      <c r="TZ17" s="88"/>
      <c r="UA17" s="88"/>
      <c r="UB17" s="88"/>
      <c r="UC17" s="88"/>
      <c r="UD17" s="88"/>
      <c r="UE17" s="88"/>
      <c r="UF17" s="88"/>
      <c r="UG17" s="88"/>
      <c r="UH17" s="88"/>
      <c r="UI17" s="88"/>
      <c r="UJ17" s="88"/>
      <c r="UK17" s="88"/>
      <c r="UL17" s="88"/>
      <c r="UM17" s="88"/>
      <c r="UN17" s="88"/>
      <c r="UO17" s="88"/>
      <c r="UP17" s="88"/>
      <c r="UQ17" s="88"/>
      <c r="UR17" s="88"/>
      <c r="US17" s="88"/>
      <c r="UT17" s="88"/>
      <c r="UU17" s="88"/>
      <c r="UV17" s="88"/>
      <c r="UW17" s="88"/>
      <c r="UX17" s="88"/>
      <c r="UY17" s="88"/>
      <c r="UZ17" s="88"/>
      <c r="VA17" s="88"/>
      <c r="VB17" s="88"/>
      <c r="VC17" s="88"/>
      <c r="VD17" s="88"/>
      <c r="VE17" s="88"/>
      <c r="VF17" s="88"/>
      <c r="VG17" s="88"/>
      <c r="VH17" s="88"/>
      <c r="VI17" s="88"/>
      <c r="VJ17" s="88"/>
      <c r="VK17" s="88"/>
      <c r="VL17" s="88"/>
      <c r="VM17" s="88"/>
      <c r="VN17" s="88"/>
      <c r="VO17" s="88"/>
      <c r="VP17" s="88"/>
      <c r="VQ17" s="88"/>
      <c r="VR17" s="88"/>
      <c r="VS17" s="88"/>
      <c r="VT17" s="88"/>
      <c r="VU17" s="88"/>
      <c r="VV17" s="88"/>
      <c r="VW17" s="88"/>
      <c r="VX17" s="88"/>
      <c r="VY17" s="88"/>
      <c r="VZ17" s="88"/>
      <c r="WA17" s="88"/>
      <c r="WB17" s="88"/>
      <c r="WC17" s="88"/>
      <c r="WD17" s="88"/>
      <c r="WE17" s="88"/>
      <c r="WF17" s="88"/>
      <c r="WG17" s="88"/>
      <c r="WH17" s="88"/>
      <c r="WI17" s="88"/>
      <c r="WJ17" s="88"/>
      <c r="WK17" s="88"/>
      <c r="WL17" s="88"/>
      <c r="WM17" s="88"/>
      <c r="WN17" s="88"/>
      <c r="WO17" s="88"/>
      <c r="WP17" s="88"/>
      <c r="WQ17" s="88"/>
      <c r="WR17" s="88"/>
      <c r="WS17" s="88"/>
      <c r="WT17" s="88"/>
      <c r="WU17" s="88"/>
      <c r="WV17" s="88"/>
      <c r="WW17" s="88"/>
      <c r="WX17" s="88"/>
      <c r="WY17" s="88"/>
      <c r="WZ17" s="88"/>
      <c r="XA17" s="88"/>
      <c r="XB17" s="88"/>
      <c r="XC17" s="88"/>
      <c r="XD17" s="88"/>
      <c r="XE17" s="88"/>
      <c r="XF17" s="88"/>
      <c r="XG17" s="88"/>
      <c r="XH17" s="88"/>
      <c r="XI17" s="88"/>
      <c r="XJ17" s="88"/>
      <c r="XK17" s="88"/>
      <c r="XL17" s="88"/>
      <c r="XM17" s="88"/>
      <c r="XN17" s="88"/>
      <c r="XO17" s="88"/>
      <c r="XP17" s="88"/>
      <c r="XQ17" s="88"/>
      <c r="XR17" s="88"/>
      <c r="XS17" s="88"/>
      <c r="XT17" s="88"/>
      <c r="XU17" s="88"/>
      <c r="XV17" s="88"/>
      <c r="XW17" s="88"/>
      <c r="XX17" s="88"/>
      <c r="XY17" s="88"/>
      <c r="XZ17" s="88"/>
      <c r="YA17" s="88"/>
      <c r="YB17" s="88"/>
      <c r="YC17" s="88"/>
      <c r="YD17" s="88"/>
      <c r="YE17" s="88"/>
      <c r="YF17" s="88"/>
      <c r="YG17" s="88"/>
      <c r="YH17" s="88"/>
      <c r="YI17" s="88"/>
      <c r="YJ17" s="88"/>
      <c r="YK17" s="88"/>
      <c r="YL17" s="88"/>
      <c r="YM17" s="88"/>
      <c r="YN17" s="88"/>
      <c r="YO17" s="88"/>
      <c r="YP17" s="88"/>
      <c r="YQ17" s="88"/>
      <c r="YR17" s="88"/>
      <c r="YS17" s="88"/>
      <c r="YT17" s="88"/>
      <c r="YU17" s="88"/>
      <c r="YV17" s="88"/>
      <c r="YW17" s="88"/>
      <c r="YX17" s="88"/>
      <c r="YY17" s="88"/>
      <c r="YZ17" s="88"/>
      <c r="ZA17" s="88"/>
      <c r="ZB17" s="88"/>
      <c r="ZC17" s="88"/>
      <c r="ZD17" s="88"/>
      <c r="ZE17" s="88"/>
      <c r="ZF17" s="88"/>
      <c r="ZG17" s="88"/>
      <c r="ZH17" s="88"/>
      <c r="ZI17" s="88"/>
      <c r="ZJ17" s="88"/>
      <c r="ZK17" s="88"/>
      <c r="ZL17" s="88"/>
      <c r="ZM17" s="88"/>
      <c r="ZN17" s="88"/>
      <c r="ZO17" s="88"/>
      <c r="ZP17" s="88"/>
      <c r="ZQ17" s="88"/>
      <c r="ZR17" s="88"/>
      <c r="ZS17" s="88"/>
      <c r="ZT17" s="88"/>
      <c r="ZU17" s="88"/>
      <c r="ZV17" s="88"/>
      <c r="ZW17" s="88"/>
      <c r="ZX17" s="88"/>
      <c r="ZY17" s="88"/>
      <c r="ZZ17" s="88"/>
      <c r="AAA17" s="88"/>
      <c r="AAB17" s="88"/>
      <c r="AAC17" s="88"/>
      <c r="AAD17" s="88"/>
      <c r="AAE17" s="88"/>
      <c r="AAF17" s="88"/>
      <c r="AAG17" s="88"/>
      <c r="AAH17" s="88"/>
      <c r="AAI17" s="88"/>
      <c r="AAJ17" s="88"/>
      <c r="AAK17" s="88"/>
      <c r="AAL17" s="88"/>
      <c r="AAM17" s="88"/>
      <c r="AAN17" s="88"/>
      <c r="AAO17" s="88"/>
      <c r="AAP17" s="88"/>
      <c r="AAQ17" s="88"/>
      <c r="AAR17" s="88"/>
      <c r="AAS17" s="88"/>
      <c r="AAT17" s="88"/>
      <c r="AAU17" s="88"/>
      <c r="AAV17" s="88"/>
      <c r="AAW17" s="88"/>
      <c r="AAX17" s="88"/>
      <c r="AAY17" s="88"/>
      <c r="AAZ17" s="88"/>
      <c r="ABA17" s="88"/>
      <c r="ABB17" s="88"/>
      <c r="ABC17" s="88"/>
      <c r="ABD17" s="88"/>
      <c r="ABE17" s="88"/>
      <c r="ABF17" s="88"/>
      <c r="ABG17" s="88"/>
      <c r="ABH17" s="88"/>
      <c r="ABI17" s="88"/>
      <c r="ABJ17" s="88"/>
      <c r="ABK17" s="88"/>
      <c r="ABL17" s="88"/>
      <c r="ABM17" s="88"/>
      <c r="ABN17" s="88"/>
      <c r="ABO17" s="88"/>
      <c r="ABP17" s="88"/>
      <c r="ABQ17" s="88"/>
      <c r="ABR17" s="88"/>
      <c r="ABS17" s="88"/>
      <c r="ABT17" s="88"/>
      <c r="ABU17" s="88"/>
      <c r="ABV17" s="88"/>
      <c r="ABW17" s="88"/>
      <c r="ABX17" s="88"/>
      <c r="ABY17" s="88"/>
      <c r="ABZ17" s="88"/>
      <c r="ACA17" s="88"/>
      <c r="ACB17" s="88"/>
      <c r="ACC17" s="88"/>
      <c r="ACD17" s="88"/>
      <c r="ACE17" s="88"/>
      <c r="ACF17" s="88"/>
      <c r="ACG17" s="88"/>
      <c r="ACH17" s="88"/>
      <c r="ACI17" s="88"/>
      <c r="ACJ17" s="88"/>
      <c r="ACK17" s="88"/>
      <c r="ACL17" s="88"/>
      <c r="ACM17" s="88"/>
      <c r="ACN17" s="88"/>
      <c r="ACO17" s="88"/>
      <c r="ACP17" s="88"/>
      <c r="ACQ17" s="88"/>
      <c r="ACR17" s="88"/>
      <c r="ACS17" s="88"/>
      <c r="ACT17" s="88"/>
      <c r="ACU17" s="88"/>
      <c r="ACV17" s="88"/>
      <c r="ACW17" s="88"/>
      <c r="ACX17" s="88"/>
      <c r="ACY17" s="88"/>
      <c r="ACZ17" s="88"/>
      <c r="ADA17" s="88"/>
      <c r="ADB17" s="88"/>
      <c r="ADC17" s="88"/>
      <c r="ADD17" s="88"/>
      <c r="ADE17" s="88"/>
      <c r="ADF17" s="88"/>
      <c r="ADG17" s="88"/>
      <c r="ADH17" s="88"/>
      <c r="ADI17" s="88"/>
      <c r="ADJ17" s="88"/>
      <c r="ADK17" s="88"/>
      <c r="ADL17" s="88"/>
      <c r="ADM17" s="88"/>
      <c r="ADN17" s="88"/>
      <c r="ADO17" s="88"/>
      <c r="ADP17" s="88"/>
      <c r="ADQ17" s="88"/>
      <c r="ADR17" s="88"/>
      <c r="ADS17" s="88"/>
      <c r="ADT17" s="88"/>
      <c r="ADU17" s="88"/>
      <c r="ADV17" s="88"/>
      <c r="ADW17" s="88"/>
      <c r="ADX17" s="88"/>
      <c r="ADY17" s="88"/>
      <c r="ADZ17" s="88"/>
      <c r="AEA17" s="88"/>
      <c r="AEB17" s="88"/>
      <c r="AEC17" s="88"/>
      <c r="AED17" s="88"/>
      <c r="AEE17" s="88"/>
      <c r="AEF17" s="88"/>
      <c r="AEG17" s="88"/>
      <c r="AEH17" s="88"/>
      <c r="AEI17" s="88"/>
      <c r="AEJ17" s="88"/>
      <c r="AEK17" s="88"/>
      <c r="AEL17" s="88"/>
      <c r="AEM17" s="88"/>
      <c r="AEN17" s="88"/>
      <c r="AEO17" s="88"/>
      <c r="AEP17" s="88"/>
      <c r="AEQ17" s="88"/>
      <c r="AER17" s="88"/>
      <c r="AES17" s="88"/>
      <c r="AET17" s="88"/>
      <c r="AEU17" s="88"/>
      <c r="AEV17" s="88"/>
      <c r="AEW17" s="88"/>
      <c r="AEX17" s="88"/>
      <c r="AEY17" s="88"/>
      <c r="AEZ17" s="88"/>
      <c r="AFA17" s="88"/>
      <c r="AFB17" s="88"/>
      <c r="AFC17" s="88"/>
      <c r="AFD17" s="88"/>
      <c r="AFE17" s="88"/>
      <c r="AFF17" s="88"/>
      <c r="AFG17" s="88"/>
      <c r="AFH17" s="88"/>
      <c r="AFI17" s="88"/>
      <c r="AFJ17" s="88"/>
      <c r="AFK17" s="88"/>
      <c r="AFL17" s="88"/>
      <c r="AFM17" s="88"/>
      <c r="AFN17" s="88"/>
      <c r="AFO17" s="88"/>
      <c r="AFP17" s="88"/>
      <c r="AFQ17" s="88"/>
      <c r="AFR17" s="88"/>
      <c r="AFS17" s="88"/>
      <c r="AFT17" s="88"/>
      <c r="AFU17" s="88"/>
      <c r="AFV17" s="88"/>
      <c r="AFW17" s="88"/>
      <c r="AFX17" s="88"/>
      <c r="AFY17" s="88"/>
      <c r="AFZ17" s="88"/>
      <c r="AGA17" s="88"/>
      <c r="AGB17" s="88"/>
      <c r="AGC17" s="88"/>
      <c r="AGD17" s="88"/>
      <c r="AGE17" s="88"/>
      <c r="AGF17" s="88"/>
      <c r="AGG17" s="88"/>
      <c r="AGH17" s="88"/>
      <c r="AGI17" s="88"/>
      <c r="AGJ17" s="88"/>
      <c r="AGK17" s="88"/>
      <c r="AGL17" s="88"/>
      <c r="AGM17" s="88"/>
      <c r="AGN17" s="88"/>
      <c r="AGO17" s="88"/>
      <c r="AGP17" s="88"/>
      <c r="AGQ17" s="88"/>
      <c r="AGR17" s="88"/>
      <c r="AGS17" s="88"/>
      <c r="AGT17" s="88"/>
      <c r="AGU17" s="88"/>
      <c r="AGV17" s="88"/>
      <c r="AGW17" s="88"/>
      <c r="AGX17" s="88"/>
      <c r="AGY17" s="88"/>
      <c r="AGZ17" s="88"/>
      <c r="AHA17" s="88"/>
      <c r="AHB17" s="88"/>
      <c r="AHC17" s="88"/>
      <c r="AHD17" s="88"/>
      <c r="AHE17" s="88"/>
      <c r="AHF17" s="88"/>
      <c r="AHG17" s="88"/>
      <c r="AHH17" s="88"/>
      <c r="AHI17" s="88"/>
      <c r="AHJ17" s="88"/>
      <c r="AHK17" s="88"/>
      <c r="AHL17" s="88"/>
      <c r="AHM17" s="88"/>
      <c r="AHN17" s="88"/>
      <c r="AHO17" s="88"/>
      <c r="AHP17" s="88"/>
      <c r="AHQ17" s="88"/>
      <c r="AHR17" s="88"/>
      <c r="AHS17" s="88"/>
      <c r="AHT17" s="88"/>
      <c r="AHU17" s="88"/>
      <c r="AHV17" s="88"/>
      <c r="AHW17" s="88"/>
      <c r="AHX17" s="88"/>
      <c r="AHY17" s="88"/>
      <c r="AHZ17" s="88"/>
      <c r="AIA17" s="88"/>
      <c r="AIB17" s="88"/>
      <c r="AIC17" s="88"/>
      <c r="AID17" s="88"/>
      <c r="AIE17" s="88"/>
      <c r="AIF17" s="88"/>
      <c r="AIG17" s="88"/>
      <c r="AIH17" s="88"/>
      <c r="AII17" s="88"/>
      <c r="AIJ17" s="88"/>
      <c r="AIK17" s="88"/>
      <c r="AIL17" s="88"/>
      <c r="AIM17" s="88"/>
      <c r="AIN17" s="88"/>
      <c r="AIO17" s="88"/>
      <c r="AIP17" s="88"/>
      <c r="AIQ17" s="88"/>
      <c r="AIR17" s="88"/>
      <c r="AIS17" s="88"/>
      <c r="AIT17" s="88"/>
      <c r="AIU17" s="88"/>
      <c r="AIV17" s="88"/>
      <c r="AIW17" s="88"/>
      <c r="AIX17" s="88"/>
      <c r="AIY17" s="88"/>
      <c r="AIZ17" s="88"/>
      <c r="AJA17" s="88"/>
      <c r="AJB17" s="88"/>
      <c r="AJC17" s="88"/>
      <c r="AJD17" s="88"/>
      <c r="AJE17" s="88"/>
      <c r="AJF17" s="88"/>
      <c r="AJG17" s="88"/>
      <c r="AJH17" s="88"/>
      <c r="AJI17" s="88"/>
      <c r="AJJ17" s="88"/>
      <c r="AJK17" s="88"/>
      <c r="AJL17" s="88"/>
      <c r="AJM17" s="88"/>
      <c r="AJN17" s="88"/>
      <c r="AJO17" s="88"/>
      <c r="AJP17" s="88"/>
      <c r="AJQ17" s="88"/>
      <c r="AJR17" s="88"/>
      <c r="AJS17" s="88"/>
      <c r="AJT17" s="88"/>
      <c r="AJU17" s="88"/>
      <c r="AJV17" s="88"/>
      <c r="AJW17" s="88"/>
      <c r="AJX17" s="88"/>
      <c r="AJY17" s="88"/>
      <c r="AJZ17" s="88"/>
      <c r="AKA17" s="88"/>
      <c r="AKB17" s="88"/>
      <c r="AKC17" s="88"/>
      <c r="AKD17" s="88"/>
      <c r="AKE17" s="88"/>
      <c r="AKF17" s="88"/>
      <c r="AKG17" s="88"/>
      <c r="AKH17" s="88"/>
      <c r="AKI17" s="88"/>
      <c r="AKJ17" s="88"/>
      <c r="AKK17" s="88"/>
      <c r="AKL17" s="88"/>
      <c r="AKM17" s="88"/>
      <c r="AKN17" s="88"/>
      <c r="AKO17" s="88"/>
      <c r="AKP17" s="88"/>
      <c r="AKQ17" s="88"/>
      <c r="AKR17" s="88"/>
      <c r="AKS17" s="88"/>
      <c r="AKT17" s="88"/>
      <c r="AKU17" s="88"/>
      <c r="AKV17" s="88"/>
      <c r="AKW17" s="88"/>
      <c r="AKX17" s="88"/>
      <c r="AKY17" s="88"/>
      <c r="AKZ17" s="88"/>
      <c r="ALA17" s="88"/>
      <c r="ALB17" s="88"/>
      <c r="ALC17" s="88"/>
      <c r="ALD17" s="88"/>
      <c r="ALE17" s="88"/>
      <c r="ALF17" s="88"/>
      <c r="ALG17" s="88"/>
      <c r="ALH17" s="88"/>
      <c r="ALI17" s="88"/>
      <c r="ALJ17" s="88"/>
      <c r="ALK17" s="88"/>
      <c r="ALL17" s="88"/>
      <c r="ALM17" s="88"/>
      <c r="ALN17" s="88"/>
      <c r="ALO17" s="88"/>
      <c r="ALP17" s="88"/>
      <c r="ALQ17" s="88"/>
      <c r="ALR17" s="88"/>
      <c r="ALS17" s="88"/>
      <c r="ALT17" s="88"/>
      <c r="ALU17" s="88"/>
      <c r="ALV17" s="88"/>
      <c r="ALW17" s="88"/>
      <c r="ALX17" s="88"/>
      <c r="ALY17" s="88"/>
      <c r="ALZ17" s="88"/>
      <c r="AMA17" s="88"/>
      <c r="AMB17" s="88"/>
      <c r="AMC17" s="88"/>
      <c r="AMD17" s="88"/>
      <c r="AME17" s="88"/>
      <c r="AMF17" s="88"/>
      <c r="AMG17" s="88"/>
      <c r="AMH17" s="88"/>
      <c r="AMI17" s="88"/>
      <c r="AMJ17" s="88"/>
      <c r="AMK17" s="88"/>
      <c r="AML17" s="88"/>
      <c r="AMM17" s="88"/>
      <c r="AMN17" s="88"/>
      <c r="AMO17" s="88"/>
      <c r="AMP17" s="88"/>
      <c r="AMQ17" s="88"/>
      <c r="AMR17" s="88"/>
      <c r="AMS17" s="88"/>
      <c r="AMT17" s="88"/>
      <c r="AMU17" s="88"/>
      <c r="AMV17" s="88"/>
      <c r="AMW17" s="88"/>
      <c r="AMX17" s="88"/>
      <c r="AMY17" s="88"/>
      <c r="AMZ17" s="88"/>
      <c r="ANA17" s="88"/>
      <c r="ANB17" s="88"/>
      <c r="ANC17" s="88"/>
      <c r="AND17" s="88"/>
      <c r="ANE17" s="88"/>
      <c r="ANF17" s="88"/>
      <c r="ANG17" s="88"/>
      <c r="ANH17" s="88"/>
      <c r="ANI17" s="88"/>
      <c r="ANJ17" s="88"/>
      <c r="ANK17" s="88"/>
      <c r="ANL17" s="88"/>
      <c r="ANM17" s="88"/>
      <c r="ANN17" s="88"/>
      <c r="ANO17" s="88"/>
      <c r="ANP17" s="88"/>
      <c r="ANQ17" s="88"/>
      <c r="ANR17" s="88"/>
      <c r="ANS17" s="88"/>
      <c r="ANT17" s="88"/>
      <c r="ANU17" s="88"/>
      <c r="ANV17" s="88"/>
      <c r="ANW17" s="88"/>
      <c r="ANX17" s="88"/>
      <c r="ANY17" s="88"/>
      <c r="ANZ17" s="88"/>
      <c r="AOA17" s="88"/>
      <c r="AOB17" s="88"/>
      <c r="AOC17" s="88"/>
      <c r="AOD17" s="88"/>
      <c r="AOE17" s="88"/>
      <c r="AOF17" s="88"/>
      <c r="AOG17" s="88"/>
      <c r="AOH17" s="88"/>
      <c r="AOI17" s="88"/>
      <c r="AOJ17" s="88"/>
      <c r="AOK17" s="88"/>
      <c r="AOL17" s="88"/>
      <c r="AOM17" s="88"/>
      <c r="AON17" s="88"/>
      <c r="AOO17" s="88"/>
      <c r="AOP17" s="88"/>
      <c r="AOQ17" s="88"/>
      <c r="AOR17" s="88"/>
      <c r="AOS17" s="88"/>
      <c r="AOT17" s="88"/>
      <c r="AOU17" s="88"/>
      <c r="AOV17" s="88"/>
      <c r="AOW17" s="88"/>
      <c r="AOX17" s="88"/>
      <c r="AOY17" s="88"/>
      <c r="AOZ17" s="88"/>
      <c r="APA17" s="88"/>
      <c r="APB17" s="88"/>
      <c r="APC17" s="88"/>
      <c r="APD17" s="88"/>
      <c r="APE17" s="88"/>
      <c r="APF17" s="88"/>
      <c r="APG17" s="88"/>
      <c r="APH17" s="88"/>
      <c r="API17" s="88"/>
      <c r="APJ17" s="88"/>
      <c r="APK17" s="88"/>
      <c r="APL17" s="88"/>
      <c r="APM17" s="88"/>
      <c r="APN17" s="88"/>
      <c r="APO17" s="88"/>
      <c r="APP17" s="88"/>
      <c r="APQ17" s="88"/>
      <c r="APR17" s="88"/>
      <c r="APS17" s="88"/>
      <c r="APT17" s="88"/>
      <c r="APU17" s="88"/>
      <c r="APV17" s="88"/>
      <c r="APW17" s="88"/>
      <c r="APX17" s="88"/>
      <c r="APY17" s="88"/>
      <c r="APZ17" s="88"/>
      <c r="AQA17" s="88"/>
      <c r="AQB17" s="88"/>
      <c r="AQC17" s="88"/>
      <c r="AQD17" s="88"/>
      <c r="AQE17" s="88"/>
      <c r="AQF17" s="88"/>
      <c r="AQG17" s="88"/>
      <c r="AQH17" s="88"/>
      <c r="AQI17" s="88"/>
      <c r="AQJ17" s="88"/>
      <c r="AQK17" s="88"/>
      <c r="AQL17" s="88"/>
      <c r="AQM17" s="88"/>
      <c r="AQN17" s="88"/>
      <c r="AQO17" s="88"/>
      <c r="AQP17" s="88"/>
      <c r="AQQ17" s="88"/>
      <c r="AQR17" s="88"/>
      <c r="AQS17" s="88"/>
      <c r="AQT17" s="88"/>
      <c r="AQU17" s="88"/>
      <c r="AQV17" s="88"/>
      <c r="AQW17" s="88"/>
      <c r="AQX17" s="88"/>
      <c r="AQY17" s="88"/>
      <c r="AQZ17" s="88"/>
      <c r="ARA17" s="88"/>
      <c r="ARB17" s="88"/>
      <c r="ARC17" s="88"/>
      <c r="ARD17" s="88"/>
      <c r="ARE17" s="88"/>
      <c r="ARF17" s="88"/>
      <c r="ARG17" s="88"/>
      <c r="ARH17" s="88"/>
      <c r="ARI17" s="88"/>
      <c r="ARJ17" s="88"/>
      <c r="ARK17" s="88"/>
      <c r="ARL17" s="88"/>
      <c r="ARM17" s="88"/>
      <c r="ARN17" s="88"/>
      <c r="ARO17" s="88"/>
      <c r="ARP17" s="88"/>
      <c r="ARQ17" s="88"/>
      <c r="ARR17" s="88"/>
      <c r="ARS17" s="88"/>
      <c r="ART17" s="88"/>
      <c r="ARU17" s="88"/>
      <c r="ARV17" s="88"/>
      <c r="ARW17" s="88"/>
      <c r="ARX17" s="88"/>
      <c r="ARY17" s="88"/>
      <c r="ARZ17" s="88"/>
      <c r="ASA17" s="88"/>
      <c r="ASB17" s="88"/>
      <c r="ASC17" s="88"/>
      <c r="ASD17" s="88"/>
      <c r="ASE17" s="88"/>
      <c r="ASF17" s="88"/>
      <c r="ASG17" s="88"/>
      <c r="ASH17" s="88"/>
      <c r="ASI17" s="88"/>
      <c r="ASJ17" s="88"/>
      <c r="ASK17" s="88"/>
      <c r="ASL17" s="88"/>
      <c r="ASM17" s="88"/>
      <c r="ASN17" s="88"/>
      <c r="ASO17" s="88"/>
      <c r="ASP17" s="88"/>
      <c r="ASQ17" s="88"/>
      <c r="ASR17" s="88"/>
      <c r="ASS17" s="88"/>
      <c r="AST17" s="88"/>
      <c r="ASU17" s="88"/>
      <c r="ASV17" s="88"/>
      <c r="ASW17" s="88"/>
      <c r="ASX17" s="88"/>
      <c r="ASY17" s="88"/>
      <c r="ASZ17" s="88"/>
      <c r="ATA17" s="88"/>
      <c r="ATB17" s="88"/>
      <c r="ATC17" s="88"/>
      <c r="ATD17" s="88"/>
      <c r="ATE17" s="88"/>
      <c r="ATF17" s="88"/>
      <c r="ATG17" s="88"/>
      <c r="ATH17" s="88"/>
      <c r="ATI17" s="88"/>
      <c r="ATJ17" s="88"/>
      <c r="ATK17" s="88"/>
      <c r="ATL17" s="88"/>
      <c r="ATM17" s="88"/>
      <c r="ATN17" s="88"/>
      <c r="ATO17" s="88"/>
      <c r="ATP17" s="88"/>
      <c r="ATQ17" s="88"/>
      <c r="ATR17" s="88"/>
      <c r="ATS17" s="88"/>
      <c r="ATT17" s="88"/>
      <c r="ATU17" s="88"/>
      <c r="ATV17" s="88"/>
      <c r="ATW17" s="88"/>
      <c r="ATX17" s="88"/>
      <c r="ATY17" s="88"/>
      <c r="ATZ17" s="88"/>
      <c r="AUA17" s="88"/>
      <c r="AUB17" s="88"/>
      <c r="AUC17" s="88"/>
      <c r="AUD17" s="88"/>
      <c r="AUE17" s="88"/>
      <c r="AUF17" s="88"/>
      <c r="AUG17" s="88"/>
      <c r="AUH17" s="88"/>
      <c r="AUI17" s="88"/>
      <c r="AUJ17" s="88"/>
      <c r="AUK17" s="88"/>
      <c r="AUL17" s="88"/>
      <c r="AUM17" s="88"/>
      <c r="AUN17" s="88"/>
      <c r="AUO17" s="88"/>
      <c r="AUP17" s="88"/>
      <c r="AUQ17" s="88"/>
      <c r="AUR17" s="88"/>
      <c r="AUS17" s="88"/>
      <c r="AUT17" s="88"/>
      <c r="AUU17" s="88"/>
      <c r="AUV17" s="88"/>
      <c r="AUW17" s="88"/>
      <c r="AUX17" s="88"/>
      <c r="AUY17" s="88"/>
      <c r="AUZ17" s="88"/>
      <c r="AVA17" s="88"/>
      <c r="AVB17" s="88"/>
      <c r="AVC17" s="88"/>
      <c r="AVD17" s="88"/>
      <c r="AVE17" s="88"/>
      <c r="AVF17" s="88"/>
      <c r="AVG17" s="88"/>
      <c r="AVH17" s="88"/>
      <c r="AVI17" s="88"/>
      <c r="AVJ17" s="88"/>
      <c r="AVK17" s="88"/>
      <c r="AVL17" s="88"/>
      <c r="AVM17" s="88"/>
      <c r="AVN17" s="88"/>
      <c r="AVO17" s="88"/>
      <c r="AVP17" s="88"/>
      <c r="AVQ17" s="88"/>
      <c r="AVR17" s="88"/>
      <c r="AVS17" s="88"/>
      <c r="AVT17" s="88"/>
      <c r="AVU17" s="88"/>
      <c r="AVV17" s="88"/>
      <c r="AVW17" s="88"/>
      <c r="AVX17" s="88"/>
      <c r="AVY17" s="88"/>
      <c r="AVZ17" s="88"/>
      <c r="AWA17" s="88"/>
      <c r="AWB17" s="88"/>
      <c r="AWC17" s="88"/>
      <c r="AWD17" s="88"/>
      <c r="AWE17" s="88"/>
      <c r="AWF17" s="88"/>
      <c r="AWG17" s="88"/>
      <c r="AWH17" s="88"/>
      <c r="AWI17" s="88"/>
      <c r="AWJ17" s="88"/>
      <c r="AWK17" s="88"/>
      <c r="AWL17" s="88"/>
      <c r="AWM17" s="88"/>
      <c r="AWN17" s="88"/>
      <c r="AWO17" s="88"/>
      <c r="AWP17" s="88"/>
      <c r="AWQ17" s="88"/>
      <c r="AWR17" s="88"/>
      <c r="AWS17" s="88"/>
      <c r="AWT17" s="88"/>
      <c r="AWU17" s="88"/>
      <c r="AWV17" s="88"/>
      <c r="AWW17" s="88"/>
      <c r="AWX17" s="88"/>
      <c r="AWY17" s="88"/>
      <c r="AWZ17" s="88"/>
      <c r="AXA17" s="88"/>
      <c r="AXB17" s="88"/>
      <c r="AXC17" s="88"/>
      <c r="AXD17" s="88"/>
      <c r="AXE17" s="88"/>
      <c r="AXF17" s="88"/>
      <c r="AXG17" s="88"/>
      <c r="AXH17" s="88"/>
      <c r="AXI17" s="88"/>
      <c r="AXJ17" s="88"/>
      <c r="AXK17" s="88"/>
      <c r="AXL17" s="88"/>
      <c r="AXM17" s="88"/>
      <c r="AXN17" s="88"/>
      <c r="AXO17" s="88"/>
      <c r="AXP17" s="88"/>
      <c r="AXQ17" s="88"/>
      <c r="AXR17" s="88"/>
      <c r="AXS17" s="88"/>
      <c r="AXT17" s="88"/>
      <c r="AXU17" s="88"/>
      <c r="AXV17" s="88"/>
      <c r="AXW17" s="88"/>
      <c r="AXX17" s="88"/>
      <c r="AXY17" s="88"/>
      <c r="AXZ17" s="88"/>
      <c r="AYA17" s="88"/>
      <c r="AYB17" s="88"/>
      <c r="AYC17" s="88"/>
      <c r="AYD17" s="88"/>
      <c r="AYE17" s="88"/>
      <c r="AYF17" s="88"/>
      <c r="AYG17" s="88"/>
      <c r="AYH17" s="88"/>
      <c r="AYI17" s="88"/>
      <c r="AYJ17" s="88"/>
      <c r="AYK17" s="88"/>
      <c r="AYL17" s="88"/>
      <c r="AYM17" s="88"/>
      <c r="AYN17" s="88"/>
      <c r="AYO17" s="88"/>
      <c r="AYP17" s="88"/>
      <c r="AYQ17" s="88"/>
      <c r="AYR17" s="88"/>
      <c r="AYS17" s="88"/>
      <c r="AYT17" s="88"/>
      <c r="AYU17" s="88"/>
      <c r="AYV17" s="88"/>
      <c r="AYW17" s="88"/>
      <c r="AYX17" s="88"/>
      <c r="AYY17" s="88"/>
      <c r="AYZ17" s="88"/>
      <c r="AZA17" s="88"/>
      <c r="AZB17" s="88"/>
      <c r="AZC17" s="88"/>
      <c r="AZD17" s="88"/>
      <c r="AZE17" s="88"/>
      <c r="AZF17" s="88"/>
      <c r="AZG17" s="88"/>
      <c r="AZH17" s="88"/>
      <c r="AZI17" s="88"/>
      <c r="AZJ17" s="88"/>
      <c r="AZK17" s="88"/>
      <c r="AZL17" s="88"/>
      <c r="AZM17" s="88"/>
      <c r="AZN17" s="88"/>
      <c r="AZO17" s="88"/>
      <c r="AZP17" s="88"/>
      <c r="AZQ17" s="88"/>
      <c r="AZR17" s="88"/>
      <c r="AZS17" s="88"/>
      <c r="AZT17" s="88"/>
      <c r="AZU17" s="88"/>
      <c r="AZV17" s="88"/>
      <c r="AZW17" s="88"/>
      <c r="AZX17" s="88"/>
      <c r="AZY17" s="88"/>
      <c r="AZZ17" s="88"/>
      <c r="BAA17" s="88"/>
      <c r="BAB17" s="88"/>
      <c r="BAC17" s="88"/>
      <c r="BAD17" s="88"/>
      <c r="BAE17" s="88"/>
      <c r="BAF17" s="88"/>
      <c r="BAG17" s="88"/>
      <c r="BAH17" s="88"/>
      <c r="BAI17" s="88"/>
      <c r="BAJ17" s="88"/>
      <c r="BAK17" s="88"/>
      <c r="BAL17" s="88"/>
      <c r="BAM17" s="88"/>
      <c r="BAN17" s="88"/>
      <c r="BAO17" s="88"/>
      <c r="BAP17" s="88"/>
      <c r="BAQ17" s="88"/>
      <c r="BAR17" s="88"/>
      <c r="BAS17" s="88"/>
      <c r="BAT17" s="88"/>
      <c r="BAU17" s="88"/>
      <c r="BAV17" s="88"/>
      <c r="BAW17" s="88"/>
      <c r="BAX17" s="88"/>
      <c r="BAY17" s="88"/>
      <c r="BAZ17" s="88"/>
      <c r="BBA17" s="88"/>
      <c r="BBB17" s="88"/>
      <c r="BBC17" s="88"/>
      <c r="BBD17" s="88"/>
      <c r="BBE17" s="88"/>
      <c r="BBF17" s="88"/>
      <c r="BBG17" s="88"/>
      <c r="BBH17" s="88"/>
      <c r="BBI17" s="88"/>
      <c r="BBJ17" s="88"/>
      <c r="BBK17" s="88"/>
      <c r="BBL17" s="88"/>
      <c r="BBM17" s="88"/>
      <c r="BBN17" s="88"/>
      <c r="BBO17" s="88"/>
      <c r="BBP17" s="88"/>
      <c r="BBQ17" s="88"/>
      <c r="BBR17" s="88"/>
      <c r="BBS17" s="88"/>
      <c r="BBT17" s="88"/>
      <c r="BBU17" s="88"/>
      <c r="BBV17" s="88"/>
      <c r="BBW17" s="88"/>
      <c r="BBX17" s="88"/>
      <c r="BBY17" s="88"/>
      <c r="BBZ17" s="88"/>
      <c r="BCA17" s="88"/>
      <c r="BCB17" s="88"/>
      <c r="BCC17" s="88"/>
      <c r="BCD17" s="88"/>
      <c r="BCE17" s="88"/>
      <c r="BCF17" s="88"/>
      <c r="BCG17" s="88"/>
      <c r="BCH17" s="88"/>
      <c r="BCI17" s="88"/>
      <c r="BCJ17" s="88"/>
      <c r="BCK17" s="88"/>
      <c r="BCL17" s="88"/>
      <c r="BCM17" s="88"/>
      <c r="BCN17" s="88"/>
      <c r="BCO17" s="88"/>
      <c r="BCP17" s="88"/>
      <c r="BCQ17" s="88"/>
      <c r="BCR17" s="88"/>
      <c r="BCS17" s="88"/>
      <c r="BCT17" s="88"/>
      <c r="BCU17" s="88"/>
      <c r="BCV17" s="88"/>
      <c r="BCW17" s="88"/>
      <c r="BCX17" s="88"/>
      <c r="BCY17" s="88"/>
      <c r="BCZ17" s="88"/>
      <c r="BDA17" s="88"/>
      <c r="BDB17" s="88"/>
      <c r="BDC17" s="88"/>
      <c r="BDD17" s="88"/>
      <c r="BDE17" s="88"/>
      <c r="BDF17" s="88"/>
      <c r="BDG17" s="88"/>
      <c r="BDH17" s="88"/>
      <c r="BDI17" s="88"/>
      <c r="BDJ17" s="88"/>
      <c r="BDK17" s="88"/>
      <c r="BDL17" s="88"/>
      <c r="BDM17" s="88"/>
      <c r="BDN17" s="88"/>
      <c r="BDO17" s="88"/>
      <c r="BDP17" s="88"/>
      <c r="BDQ17" s="88"/>
      <c r="BDR17" s="88"/>
      <c r="BDS17" s="88"/>
      <c r="BDT17" s="88"/>
      <c r="BDU17" s="88"/>
      <c r="BDV17" s="88"/>
      <c r="BDW17" s="88"/>
      <c r="BDX17" s="88"/>
      <c r="BDY17" s="88"/>
      <c r="BDZ17" s="88"/>
      <c r="BEA17" s="88"/>
      <c r="BEB17" s="88"/>
      <c r="BEC17" s="88"/>
      <c r="BED17" s="88"/>
      <c r="BEE17" s="88"/>
      <c r="BEF17" s="88"/>
      <c r="BEG17" s="88"/>
      <c r="BEH17" s="88"/>
      <c r="BEI17" s="88"/>
      <c r="BEJ17" s="88"/>
      <c r="BEK17" s="88"/>
      <c r="BEL17" s="88"/>
      <c r="BEM17" s="88"/>
      <c r="BEN17" s="88"/>
      <c r="BEO17" s="88"/>
      <c r="BEP17" s="88"/>
      <c r="BEQ17" s="88"/>
      <c r="BER17" s="88"/>
      <c r="BES17" s="88"/>
      <c r="BET17" s="88"/>
      <c r="BEU17" s="88"/>
      <c r="BEV17" s="88"/>
      <c r="BEW17" s="88"/>
      <c r="BEX17" s="88"/>
      <c r="BEY17" s="88"/>
      <c r="BEZ17" s="88"/>
      <c r="BFA17" s="88"/>
      <c r="BFB17" s="88"/>
      <c r="BFC17" s="88"/>
      <c r="BFD17" s="88"/>
      <c r="BFE17" s="88"/>
      <c r="BFF17" s="88"/>
      <c r="BFG17" s="88"/>
      <c r="BFH17" s="88"/>
      <c r="BFI17" s="88"/>
      <c r="BFJ17" s="88"/>
      <c r="BFK17" s="88"/>
      <c r="BFL17" s="88"/>
      <c r="BFM17" s="88"/>
      <c r="BFN17" s="88"/>
      <c r="BFO17" s="88"/>
      <c r="BFP17" s="88"/>
      <c r="BFQ17" s="88"/>
      <c r="BFR17" s="88"/>
      <c r="BFS17" s="88"/>
      <c r="BFT17" s="88"/>
      <c r="BFU17" s="88"/>
      <c r="BFV17" s="88"/>
      <c r="BFW17" s="88"/>
      <c r="BFX17" s="88"/>
      <c r="BFY17" s="88"/>
      <c r="BFZ17" s="88"/>
      <c r="BGA17" s="88"/>
      <c r="BGB17" s="88"/>
      <c r="BGC17" s="88"/>
      <c r="BGD17" s="88"/>
      <c r="BGE17" s="88"/>
      <c r="BGF17" s="88"/>
      <c r="BGG17" s="88"/>
      <c r="BGH17" s="88"/>
      <c r="BGI17" s="88"/>
      <c r="BGJ17" s="88"/>
      <c r="BGK17" s="88"/>
      <c r="BGL17" s="88"/>
      <c r="BGM17" s="88"/>
      <c r="BGN17" s="88"/>
      <c r="BGO17" s="88"/>
      <c r="BGP17" s="88"/>
      <c r="BGQ17" s="88"/>
      <c r="BGR17" s="88"/>
      <c r="BGS17" s="88"/>
      <c r="BGT17" s="88"/>
      <c r="BGU17" s="88"/>
      <c r="BGV17" s="88"/>
      <c r="BGW17" s="88"/>
      <c r="BGX17" s="88"/>
      <c r="BGY17" s="88"/>
      <c r="BGZ17" s="88"/>
      <c r="BHA17" s="88"/>
      <c r="BHB17" s="88"/>
      <c r="BHC17" s="88"/>
      <c r="BHD17" s="88"/>
      <c r="BHE17" s="88"/>
      <c r="BHF17" s="88"/>
      <c r="BHG17" s="88"/>
      <c r="BHH17" s="88"/>
      <c r="BHI17" s="88"/>
      <c r="BHJ17" s="88"/>
      <c r="BHK17" s="88"/>
      <c r="BHL17" s="88"/>
      <c r="BHM17" s="88"/>
      <c r="BHN17" s="88"/>
      <c r="BHO17" s="88"/>
      <c r="BHP17" s="88"/>
      <c r="BHQ17" s="88"/>
      <c r="BHR17" s="88"/>
      <c r="BHS17" s="88"/>
      <c r="BHT17" s="88"/>
      <c r="BHU17" s="88"/>
      <c r="BHV17" s="88"/>
      <c r="BHW17" s="88"/>
      <c r="BHX17" s="88"/>
      <c r="BHY17" s="88"/>
      <c r="BHZ17" s="88"/>
      <c r="BIA17" s="88"/>
      <c r="BIB17" s="88"/>
      <c r="BIC17" s="88"/>
      <c r="BID17" s="88"/>
      <c r="BIE17" s="88"/>
      <c r="BIF17" s="88"/>
      <c r="BIG17" s="88"/>
      <c r="BIH17" s="88"/>
      <c r="BII17" s="88"/>
      <c r="BIJ17" s="88"/>
      <c r="BIK17" s="88"/>
      <c r="BIL17" s="88"/>
      <c r="BIM17" s="88"/>
      <c r="BIN17" s="88"/>
      <c r="BIO17" s="88"/>
      <c r="BIP17" s="88"/>
      <c r="BIQ17" s="88"/>
      <c r="BIR17" s="88"/>
      <c r="BIS17" s="88"/>
      <c r="BIT17" s="88"/>
      <c r="BIU17" s="88"/>
      <c r="BIV17" s="88"/>
      <c r="BIW17" s="88"/>
      <c r="BIX17" s="88"/>
      <c r="BIY17" s="88"/>
      <c r="BIZ17" s="88"/>
      <c r="BJA17" s="88"/>
      <c r="BJB17" s="88"/>
      <c r="BJC17" s="88"/>
      <c r="BJD17" s="88"/>
      <c r="BJE17" s="88"/>
      <c r="BJF17" s="88"/>
      <c r="BJG17" s="88"/>
      <c r="BJH17" s="88"/>
      <c r="BJI17" s="88"/>
      <c r="BJJ17" s="88"/>
      <c r="BJK17" s="88"/>
      <c r="BJL17" s="88"/>
      <c r="BJM17" s="88"/>
      <c r="BJN17" s="88"/>
      <c r="BJO17" s="88"/>
      <c r="BJP17" s="88"/>
      <c r="BJQ17" s="88"/>
      <c r="BJR17" s="88"/>
      <c r="BJS17" s="88"/>
      <c r="BJT17" s="88"/>
      <c r="BJU17" s="88"/>
      <c r="BJV17" s="88"/>
      <c r="BJW17" s="88"/>
      <c r="BJX17" s="88"/>
      <c r="BJY17" s="88"/>
      <c r="BJZ17" s="88"/>
      <c r="BKA17" s="88"/>
      <c r="BKB17" s="88"/>
      <c r="BKC17" s="88"/>
      <c r="BKD17" s="88"/>
      <c r="BKE17" s="88"/>
      <c r="BKF17" s="88"/>
      <c r="BKG17" s="88"/>
      <c r="BKH17" s="88"/>
      <c r="BKI17" s="88"/>
      <c r="BKJ17" s="88"/>
      <c r="BKK17" s="88"/>
      <c r="BKL17" s="88"/>
      <c r="BKM17" s="88"/>
      <c r="BKN17" s="88"/>
      <c r="BKO17" s="88"/>
      <c r="BKP17" s="88"/>
      <c r="BKQ17" s="88"/>
      <c r="BKR17" s="88"/>
      <c r="BKS17" s="88"/>
      <c r="BKT17" s="88"/>
      <c r="BKU17" s="88"/>
      <c r="BKV17" s="88"/>
      <c r="BKW17" s="88"/>
      <c r="BKX17" s="88"/>
      <c r="BKY17" s="88"/>
      <c r="BKZ17" s="88"/>
      <c r="BLA17" s="88"/>
      <c r="BLB17" s="88"/>
      <c r="BLC17" s="88"/>
      <c r="BLD17" s="88"/>
      <c r="BLE17" s="88"/>
      <c r="BLF17" s="88"/>
      <c r="BLG17" s="88"/>
      <c r="BLH17" s="88"/>
      <c r="BLI17" s="88"/>
      <c r="BLJ17" s="88"/>
      <c r="BLK17" s="88"/>
      <c r="BLL17" s="88"/>
      <c r="BLM17" s="88"/>
      <c r="BLN17" s="88"/>
      <c r="BLO17" s="88"/>
      <c r="BLP17" s="88"/>
      <c r="BLQ17" s="88"/>
      <c r="BLR17" s="88"/>
      <c r="BLS17" s="88"/>
      <c r="BLT17" s="88"/>
      <c r="BLU17" s="88"/>
      <c r="BLV17" s="88"/>
      <c r="BLW17" s="88"/>
      <c r="BLX17" s="88"/>
      <c r="BLY17" s="88"/>
      <c r="BLZ17" s="88"/>
      <c r="BMA17" s="88"/>
      <c r="BMB17" s="88"/>
      <c r="BMC17" s="88"/>
      <c r="BMD17" s="88"/>
      <c r="BME17" s="88"/>
      <c r="BMF17" s="88"/>
      <c r="BMG17" s="88"/>
      <c r="BMH17" s="88"/>
      <c r="BMI17" s="88"/>
      <c r="BMJ17" s="88"/>
      <c r="BMK17" s="88"/>
      <c r="BML17" s="88"/>
      <c r="BMM17" s="88"/>
      <c r="BMN17" s="88"/>
      <c r="BMO17" s="88"/>
      <c r="BMP17" s="88"/>
      <c r="BMQ17" s="88"/>
      <c r="BMR17" s="88"/>
      <c r="BMS17" s="88"/>
      <c r="BMT17" s="88"/>
      <c r="BMU17" s="88"/>
      <c r="BMV17" s="88"/>
      <c r="BMW17" s="88"/>
      <c r="BMX17" s="88"/>
      <c r="BMY17" s="88"/>
      <c r="BMZ17" s="88"/>
      <c r="BNA17" s="88"/>
      <c r="BNB17" s="88"/>
      <c r="BNC17" s="88"/>
      <c r="BND17" s="88"/>
      <c r="BNE17" s="88"/>
      <c r="BNF17" s="88"/>
      <c r="BNG17" s="88"/>
      <c r="BNH17" s="88"/>
      <c r="BNI17" s="88"/>
      <c r="BNJ17" s="88"/>
      <c r="BNK17" s="88"/>
      <c r="BNL17" s="88"/>
      <c r="BNM17" s="88"/>
      <c r="BNN17" s="88"/>
      <c r="BNO17" s="88"/>
      <c r="BNP17" s="88"/>
      <c r="BNQ17" s="88"/>
      <c r="BNR17" s="88"/>
      <c r="BNS17" s="88"/>
      <c r="BNT17" s="88"/>
      <c r="BNU17" s="88"/>
      <c r="BNV17" s="88"/>
      <c r="BNW17" s="88"/>
      <c r="BNX17" s="88"/>
      <c r="BNY17" s="88"/>
      <c r="BNZ17" s="88"/>
      <c r="BOA17" s="88"/>
      <c r="BOB17" s="88"/>
      <c r="BOC17" s="88"/>
      <c r="BOD17" s="88"/>
      <c r="BOE17" s="88"/>
      <c r="BOF17" s="88"/>
      <c r="BOG17" s="88"/>
      <c r="BOH17" s="88"/>
      <c r="BOI17" s="88"/>
      <c r="BOJ17" s="88"/>
      <c r="BOK17" s="88"/>
      <c r="BOL17" s="88"/>
      <c r="BOM17" s="88"/>
      <c r="BON17" s="88"/>
      <c r="BOO17" s="88"/>
      <c r="BOP17" s="88"/>
      <c r="BOQ17" s="88"/>
      <c r="BOR17" s="88"/>
      <c r="BOS17" s="88"/>
      <c r="BOT17" s="88"/>
      <c r="BOU17" s="88"/>
      <c r="BOV17" s="88"/>
      <c r="BOW17" s="88"/>
      <c r="BOX17" s="88"/>
      <c r="BOY17" s="88"/>
      <c r="BOZ17" s="88"/>
      <c r="BPA17" s="88"/>
      <c r="BPB17" s="88"/>
      <c r="BPC17" s="88"/>
      <c r="BPD17" s="88"/>
      <c r="BPE17" s="88"/>
      <c r="BPF17" s="88"/>
      <c r="BPG17" s="88"/>
      <c r="BPH17" s="88"/>
      <c r="BPI17" s="88"/>
      <c r="BPJ17" s="88"/>
      <c r="BPK17" s="88"/>
      <c r="BPL17" s="88"/>
      <c r="BPM17" s="88"/>
      <c r="BPN17" s="88"/>
      <c r="BPO17" s="88"/>
      <c r="BPP17" s="88"/>
      <c r="BPQ17" s="88"/>
      <c r="BPR17" s="88"/>
      <c r="BPS17" s="88"/>
      <c r="BPT17" s="88"/>
      <c r="BPU17" s="88"/>
      <c r="BPV17" s="88"/>
      <c r="BPW17" s="88"/>
      <c r="BPX17" s="88"/>
      <c r="BPY17" s="88"/>
      <c r="BPZ17" s="88"/>
      <c r="BQA17" s="88"/>
      <c r="BQB17" s="88"/>
      <c r="BQC17" s="88"/>
      <c r="BQD17" s="88"/>
      <c r="BQE17" s="88"/>
      <c r="BQF17" s="88"/>
      <c r="BQG17" s="88"/>
      <c r="BQH17" s="88"/>
      <c r="BQI17" s="88"/>
      <c r="BQJ17" s="88"/>
      <c r="BQK17" s="88"/>
      <c r="BQL17" s="88"/>
      <c r="BQM17" s="88"/>
      <c r="BQN17" s="88"/>
      <c r="BQO17" s="88"/>
      <c r="BQP17" s="88"/>
      <c r="BQQ17" s="88"/>
      <c r="BQR17" s="88"/>
      <c r="BQS17" s="88"/>
      <c r="BQT17" s="88"/>
      <c r="BQU17" s="88"/>
      <c r="BQV17" s="88"/>
      <c r="BQW17" s="88"/>
      <c r="BQX17" s="88"/>
      <c r="BQY17" s="88"/>
      <c r="BQZ17" s="88"/>
      <c r="BRA17" s="88"/>
      <c r="BRB17" s="88"/>
      <c r="BRC17" s="88"/>
      <c r="BRD17" s="88"/>
      <c r="BRE17" s="88"/>
      <c r="BRF17" s="88"/>
      <c r="BRG17" s="88"/>
      <c r="BRH17" s="88"/>
      <c r="BRI17" s="88"/>
      <c r="BRJ17" s="88"/>
      <c r="BRK17" s="88"/>
      <c r="BRL17" s="88"/>
      <c r="BRM17" s="88"/>
      <c r="BRN17" s="88"/>
      <c r="BRO17" s="88"/>
      <c r="BRP17" s="88"/>
      <c r="BRQ17" s="88"/>
      <c r="BRR17" s="88"/>
      <c r="BRS17" s="88"/>
      <c r="BRT17" s="88"/>
      <c r="BRU17" s="88"/>
      <c r="BRV17" s="88"/>
      <c r="BRW17" s="88"/>
      <c r="BRX17" s="88"/>
      <c r="BRY17" s="88"/>
      <c r="BRZ17" s="88"/>
      <c r="BSA17" s="88"/>
      <c r="BSB17" s="88"/>
      <c r="BSC17" s="88"/>
      <c r="BSD17" s="88"/>
      <c r="BSE17" s="88"/>
      <c r="BSF17" s="88"/>
      <c r="BSG17" s="88"/>
      <c r="BSH17" s="88"/>
      <c r="BSI17" s="88"/>
      <c r="BSJ17" s="88"/>
      <c r="BSK17" s="88"/>
      <c r="BSL17" s="88"/>
      <c r="BSM17" s="88"/>
      <c r="BSN17" s="88"/>
      <c r="BSO17" s="88"/>
      <c r="BSP17" s="88"/>
      <c r="BSQ17" s="88"/>
      <c r="BSR17" s="88"/>
      <c r="BSS17" s="88"/>
      <c r="BST17" s="88"/>
      <c r="BSU17" s="88"/>
      <c r="BSV17" s="88"/>
      <c r="BSW17" s="88"/>
      <c r="BSX17" s="88"/>
      <c r="BSY17" s="88"/>
      <c r="BSZ17" s="88"/>
      <c r="BTA17" s="88"/>
      <c r="BTB17" s="88"/>
      <c r="BTC17" s="88"/>
      <c r="BTD17" s="88"/>
      <c r="BTE17" s="88"/>
      <c r="BTF17" s="88"/>
      <c r="BTG17" s="88"/>
      <c r="BTH17" s="88"/>
      <c r="BTI17" s="88"/>
      <c r="BTJ17" s="88"/>
      <c r="BTK17" s="88"/>
      <c r="BTL17" s="88"/>
      <c r="BTM17" s="88"/>
      <c r="BTN17" s="88"/>
      <c r="BTO17" s="88"/>
      <c r="BTP17" s="88"/>
      <c r="BTQ17" s="88"/>
      <c r="BTR17" s="88"/>
      <c r="BTS17" s="88"/>
      <c r="BTT17" s="88"/>
      <c r="BTU17" s="88"/>
      <c r="BTV17" s="88"/>
      <c r="BTW17" s="88"/>
      <c r="BTX17" s="88"/>
      <c r="BTY17" s="88"/>
      <c r="BTZ17" s="88"/>
      <c r="BUA17" s="88"/>
      <c r="BUB17" s="88"/>
      <c r="BUC17" s="88"/>
      <c r="BUD17" s="88"/>
      <c r="BUE17" s="88"/>
      <c r="BUF17" s="88"/>
      <c r="BUG17" s="88"/>
      <c r="BUH17" s="88"/>
      <c r="BUI17" s="88"/>
      <c r="BUJ17" s="88"/>
      <c r="BUK17" s="88"/>
      <c r="BUL17" s="88"/>
      <c r="BUM17" s="88"/>
      <c r="BUN17" s="88"/>
      <c r="BUO17" s="88"/>
      <c r="BUP17" s="88"/>
      <c r="BUQ17" s="88"/>
      <c r="BUR17" s="88"/>
      <c r="BUS17" s="88"/>
      <c r="BUT17" s="88"/>
      <c r="BUU17" s="88"/>
      <c r="BUV17" s="88"/>
      <c r="BUW17" s="88"/>
      <c r="BUX17" s="88"/>
      <c r="BUY17" s="88"/>
      <c r="BUZ17" s="88"/>
      <c r="BVA17" s="88"/>
      <c r="BVB17" s="88"/>
      <c r="BVC17" s="88"/>
      <c r="BVD17" s="88"/>
      <c r="BVE17" s="88"/>
      <c r="BVF17" s="88"/>
      <c r="BVG17" s="88"/>
      <c r="BVH17" s="88"/>
      <c r="BVI17" s="88"/>
      <c r="BVJ17" s="88"/>
      <c r="BVK17" s="88"/>
      <c r="BVL17" s="88"/>
      <c r="BVM17" s="88"/>
      <c r="BVN17" s="88"/>
      <c r="BVO17" s="88"/>
      <c r="BVP17" s="88"/>
      <c r="BVQ17" s="88"/>
      <c r="BVR17" s="88"/>
      <c r="BVS17" s="88"/>
      <c r="BVT17" s="88"/>
      <c r="BVU17" s="88"/>
      <c r="BVV17" s="88"/>
      <c r="BVW17" s="88"/>
      <c r="BVX17" s="88"/>
      <c r="BVY17" s="88"/>
      <c r="BVZ17" s="88"/>
      <c r="BWA17" s="88"/>
      <c r="BWB17" s="88"/>
      <c r="BWC17" s="88"/>
      <c r="BWD17" s="88"/>
      <c r="BWE17" s="88"/>
      <c r="BWF17" s="88"/>
      <c r="BWG17" s="88"/>
      <c r="BWH17" s="88"/>
      <c r="BWI17" s="88"/>
      <c r="BWJ17" s="88"/>
      <c r="BWK17" s="88"/>
      <c r="BWL17" s="88"/>
      <c r="BWM17" s="88"/>
      <c r="BWN17" s="88"/>
      <c r="BWO17" s="88"/>
      <c r="BWP17" s="88"/>
      <c r="BWQ17" s="88"/>
      <c r="BWR17" s="88"/>
      <c r="BWS17" s="88"/>
      <c r="BWT17" s="88"/>
      <c r="BWU17" s="88"/>
      <c r="BWV17" s="88"/>
      <c r="BWW17" s="88"/>
      <c r="BWX17" s="88"/>
      <c r="BWY17" s="88"/>
      <c r="BWZ17" s="88"/>
      <c r="BXA17" s="88"/>
      <c r="BXB17" s="88"/>
      <c r="BXC17" s="88"/>
      <c r="BXD17" s="88"/>
      <c r="BXE17" s="88"/>
      <c r="BXF17" s="88"/>
      <c r="BXG17" s="88"/>
      <c r="BXH17" s="88"/>
      <c r="BXI17" s="88"/>
      <c r="BXJ17" s="88"/>
      <c r="BXK17" s="88"/>
      <c r="BXL17" s="88"/>
      <c r="BXM17" s="88"/>
      <c r="BXN17" s="88"/>
      <c r="BXO17" s="88"/>
      <c r="BXP17" s="88"/>
      <c r="BXQ17" s="88"/>
      <c r="BXR17" s="88"/>
      <c r="BXS17" s="88"/>
      <c r="BXT17" s="88"/>
      <c r="BXU17" s="88"/>
      <c r="BXV17" s="88"/>
      <c r="BXW17" s="88"/>
      <c r="BXX17" s="88"/>
      <c r="BXY17" s="88"/>
      <c r="BXZ17" s="88"/>
      <c r="BYA17" s="88"/>
      <c r="BYB17" s="88"/>
      <c r="BYC17" s="88"/>
      <c r="BYD17" s="88"/>
      <c r="BYE17" s="88"/>
      <c r="BYF17" s="88"/>
      <c r="BYG17" s="88"/>
      <c r="BYH17" s="88"/>
      <c r="BYI17" s="88"/>
      <c r="BYJ17" s="88"/>
      <c r="BYK17" s="88"/>
      <c r="BYL17" s="88"/>
      <c r="BYM17" s="88"/>
      <c r="BYN17" s="88"/>
      <c r="BYO17" s="88"/>
      <c r="BYP17" s="88"/>
      <c r="BYQ17" s="88"/>
      <c r="BYR17" s="88"/>
      <c r="BYS17" s="88"/>
      <c r="BYT17" s="88"/>
      <c r="BYU17" s="88"/>
      <c r="BYV17" s="88"/>
      <c r="BYW17" s="88"/>
      <c r="BYX17" s="88"/>
      <c r="BYY17" s="88"/>
      <c r="BYZ17" s="88"/>
      <c r="BZA17" s="88"/>
      <c r="BZB17" s="88"/>
      <c r="BZC17" s="88"/>
      <c r="BZD17" s="88"/>
      <c r="BZE17" s="88"/>
      <c r="BZF17" s="88"/>
      <c r="BZG17" s="88"/>
      <c r="BZH17" s="88"/>
      <c r="BZI17" s="88"/>
      <c r="BZJ17" s="88"/>
      <c r="BZK17" s="88"/>
      <c r="BZL17" s="88"/>
      <c r="BZM17" s="88"/>
      <c r="BZN17" s="88"/>
      <c r="BZO17" s="88"/>
      <c r="BZP17" s="88"/>
      <c r="BZQ17" s="88"/>
      <c r="BZR17" s="88"/>
      <c r="BZS17" s="88"/>
      <c r="BZT17" s="88"/>
      <c r="BZU17" s="88"/>
      <c r="BZV17" s="88"/>
      <c r="BZW17" s="88"/>
      <c r="BZX17" s="88"/>
      <c r="BZY17" s="88"/>
      <c r="BZZ17" s="88"/>
      <c r="CAA17" s="88"/>
      <c r="CAB17" s="88"/>
      <c r="CAC17" s="88"/>
      <c r="CAD17" s="88"/>
      <c r="CAE17" s="88"/>
      <c r="CAF17" s="88"/>
      <c r="CAG17" s="88"/>
      <c r="CAH17" s="88"/>
      <c r="CAI17" s="88"/>
      <c r="CAJ17" s="88"/>
      <c r="CAK17" s="88"/>
      <c r="CAL17" s="88"/>
      <c r="CAM17" s="88"/>
      <c r="CAN17" s="88"/>
      <c r="CAO17" s="88"/>
      <c r="CAP17" s="88"/>
      <c r="CAQ17" s="88"/>
      <c r="CAR17" s="88"/>
      <c r="CAS17" s="88"/>
      <c r="CAT17" s="88"/>
      <c r="CAU17" s="88"/>
      <c r="CAV17" s="88"/>
      <c r="CAW17" s="88"/>
      <c r="CAX17" s="88"/>
      <c r="CAY17" s="88"/>
      <c r="CAZ17" s="88"/>
      <c r="CBA17" s="88"/>
      <c r="CBB17" s="88"/>
      <c r="CBC17" s="88"/>
      <c r="CBD17" s="88"/>
      <c r="CBE17" s="88"/>
      <c r="CBF17" s="88"/>
      <c r="CBG17" s="88"/>
      <c r="CBH17" s="88"/>
      <c r="CBI17" s="88"/>
      <c r="CBJ17" s="88"/>
      <c r="CBK17" s="88"/>
      <c r="CBL17" s="88"/>
      <c r="CBM17" s="88"/>
      <c r="CBN17" s="88"/>
      <c r="CBO17" s="88"/>
      <c r="CBP17" s="88"/>
      <c r="CBQ17" s="88"/>
      <c r="CBR17" s="88"/>
      <c r="CBS17" s="88"/>
      <c r="CBT17" s="88"/>
      <c r="CBU17" s="88"/>
      <c r="CBV17" s="88"/>
      <c r="CBW17" s="88"/>
      <c r="CBX17" s="88"/>
      <c r="CBY17" s="88"/>
      <c r="CBZ17" s="88"/>
      <c r="CCA17" s="88"/>
      <c r="CCB17" s="88"/>
      <c r="CCC17" s="88"/>
      <c r="CCD17" s="88"/>
      <c r="CCE17" s="88"/>
      <c r="CCF17" s="88"/>
      <c r="CCG17" s="88"/>
      <c r="CCH17" s="88"/>
      <c r="CCI17" s="88"/>
      <c r="CCJ17" s="88"/>
      <c r="CCK17" s="88"/>
      <c r="CCL17" s="88"/>
      <c r="CCM17" s="88"/>
      <c r="CCN17" s="88"/>
      <c r="CCO17" s="88"/>
      <c r="CCP17" s="88"/>
      <c r="CCQ17" s="88"/>
      <c r="CCR17" s="88"/>
      <c r="CCS17" s="88"/>
      <c r="CCT17" s="88"/>
      <c r="CCU17" s="88"/>
      <c r="CCV17" s="88"/>
      <c r="CCW17" s="88"/>
      <c r="CCX17" s="88"/>
      <c r="CCY17" s="88"/>
      <c r="CCZ17" s="88"/>
      <c r="CDA17" s="88"/>
      <c r="CDB17" s="88"/>
      <c r="CDC17" s="88"/>
      <c r="CDD17" s="88"/>
      <c r="CDE17" s="88"/>
      <c r="CDF17" s="88"/>
      <c r="CDG17" s="88"/>
      <c r="CDH17" s="88"/>
      <c r="CDI17" s="88"/>
      <c r="CDJ17" s="88"/>
      <c r="CDK17" s="88"/>
      <c r="CDL17" s="88"/>
      <c r="CDM17" s="88"/>
      <c r="CDN17" s="88"/>
      <c r="CDO17" s="88"/>
      <c r="CDP17" s="88"/>
      <c r="CDQ17" s="88"/>
      <c r="CDR17" s="88"/>
      <c r="CDS17" s="88"/>
      <c r="CDT17" s="88"/>
      <c r="CDU17" s="88"/>
      <c r="CDV17" s="88"/>
      <c r="CDW17" s="88"/>
      <c r="CDX17" s="88"/>
      <c r="CDY17" s="88"/>
      <c r="CDZ17" s="88"/>
      <c r="CEA17" s="88"/>
      <c r="CEB17" s="88"/>
      <c r="CEC17" s="88"/>
      <c r="CED17" s="88"/>
      <c r="CEE17" s="88"/>
      <c r="CEF17" s="88"/>
      <c r="CEG17" s="88"/>
      <c r="CEH17" s="88"/>
      <c r="CEI17" s="88"/>
      <c r="CEJ17" s="88"/>
      <c r="CEK17" s="88"/>
    </row>
    <row r="18" spans="1:2169" s="51" customFormat="1">
      <c r="A18" s="109" t="s">
        <v>9594</v>
      </c>
      <c r="B18" s="104" t="s">
        <v>9966</v>
      </c>
      <c r="C18" s="69" t="str">
        <f>IF('page 2'!$O$4="","",IF('page 2'!$O$4=Gestion!A18,1,0))</f>
        <v/>
      </c>
      <c r="D18" s="69" t="str">
        <f>IF('page 2'!$O$5="","",IF('page 2'!$O$5=Gestion!A18,1,0))</f>
        <v/>
      </c>
      <c r="E18" s="69" t="str">
        <f>IF('page 2'!$O$6="","",IF('page 2'!$O$6=Gestion!A18,1,0))</f>
        <v/>
      </c>
      <c r="F18" s="69" t="str">
        <f>IF('page 2'!$O$7="","",IF('page 2'!$O$7=Gestion!A18,1,0))</f>
        <v/>
      </c>
      <c r="G18" s="69" t="str">
        <f>IF('page 2'!$O$8="","",IF('page 2'!$O$8=Gestion!A18,1,0))</f>
        <v/>
      </c>
      <c r="H18" s="69" t="str">
        <f>IF('page 2'!$O$9="","",IF('page 2'!$O$9=Gestion!A18,1,0))</f>
        <v/>
      </c>
      <c r="I18" s="69" t="str">
        <f>IF('page 2'!$O$10="","",IF('page 2'!$O$10=Gestion!A18,1,0))</f>
        <v/>
      </c>
      <c r="J18" s="69" t="str">
        <f>IF('page 2'!$O$11="","",IF('page 2'!$O$11=Gestion!A18,1,0))</f>
        <v/>
      </c>
      <c r="K18" s="69" t="str">
        <f>IF('page 2'!$O$12="","",IF('page 2'!$O$12=Gestion!A18,1,0))</f>
        <v/>
      </c>
      <c r="L18" s="69" t="str">
        <f>IF('page 2'!$O$13="","",IF('page 2'!$O$13=Gestion!A18,1,0))</f>
        <v/>
      </c>
      <c r="M18" s="69" t="str">
        <f>IF('page 2'!$O$14="","",IF('page 2'!$O$14=Gestion!A18,1,0))</f>
        <v/>
      </c>
      <c r="N18" s="69" t="str">
        <f>IF('page 2'!$O$15="","",IF('page 2'!$O$15=Gestion!A18,1,0))</f>
        <v/>
      </c>
      <c r="O18" s="69" t="str">
        <f>IF('page 2'!$O$16="","",IF('page 2'!$O$16=Gestion!A18,1,0))</f>
        <v/>
      </c>
      <c r="P18" s="69" t="str">
        <f>IF('page 2'!$O$17="","",IF('page 2'!$O$17=Gestion!A18,1,0))</f>
        <v/>
      </c>
      <c r="Q18" s="69" t="str">
        <f>IF('page 2'!$O$18="","",IF('page 2'!$O$18=Gestion!A18,1,0))</f>
        <v/>
      </c>
      <c r="R18" s="69" t="str">
        <f>IF('page 2'!$O$19="","",IF('page 2'!$O$19=Gestion!A18,1,0))</f>
        <v/>
      </c>
      <c r="S18" s="69" t="str">
        <f>IF('page 2'!$O$20="","",IF('page 2'!$O$20=Gestion!A18,1,0))</f>
        <v/>
      </c>
      <c r="T18" s="69" t="str">
        <f>IF('page 2'!$O$25="","",IF('page 2'!$O$25=Gestion!A18,1,0))</f>
        <v/>
      </c>
      <c r="U18" s="69" t="str">
        <f>IF('page 2'!$O$26="","",IF('page 2'!$O$26=Gestion!A18,1,0))</f>
        <v/>
      </c>
      <c r="V18" s="69" t="str">
        <f>IF('page 2'!$O$27="","",IF('page 2'!$O$27=Gestion!A18,1,0))</f>
        <v/>
      </c>
      <c r="W18" s="723">
        <f t="shared" ref="W18" si="4">SUM(C18:V18)</f>
        <v>0</v>
      </c>
      <c r="X18" s="713" t="s">
        <v>2631</v>
      </c>
      <c r="Y18" s="69" t="str">
        <f>IF('page 2'!O19="","",'page 2'!O19)</f>
        <v/>
      </c>
      <c r="Z18" s="69" t="str">
        <f>IF(Y18="","",VLOOKUP(Y18,'page 2'!$O$4:$Q$27,3,FALSE))</f>
        <v/>
      </c>
      <c r="AA18" s="69" t="str">
        <f t="shared" si="1"/>
        <v/>
      </c>
      <c r="AB18" s="542"/>
      <c r="AC18" s="542"/>
      <c r="AD18" s="542"/>
      <c r="AE18" s="88"/>
      <c r="AP18" s="130"/>
      <c r="AQ18" s="130"/>
      <c r="AR18" s="130"/>
      <c r="AS18" s="895" t="str">
        <f>IF('page 1'!$C$4="Elfe",AT18,IF('page 1'!$C$4="Halfling",AU18,IF(AND('page 1'!$C$4="Humain",'page 1'!$K$4&lt;&gt;"Kurgan"),AV18,IF('page 1'!$K$4="Kurgan",AW18,IF('page 1'!$C$4="Nain",AY18,IF('page 1'!$C$4="Orc",CJ18,IF('page 1'!$K$4="Elu",AZ18,IF('page 1'!$K$4="Puissant",BA18,IF('page 1'!$K$4="Commun",BB18,IF('page 1'!$K$4="Bestigor/Vraigor",BC18,IF('page 1'!$K$4="Ungor",BS18,IF('page 1'!$K$4="Bray",BT18,IF('page 1'!$K$4="Shaman",BU18,IF('page 1'!$K$4="Minautore",BV18,IF('page 1'!$K$4="Centigor",BZ18,IF('page 1'!$K$4="Dragon de sang",CC18,IF('page 1'!$K$4="Lahmiane",CD18,IF('page 1'!$K$4="Nécrarque",CF18,IF('page 1'!$K$4="Stryge",CG18,IF('page 1'!$K$4="Von Carstein",CH18,IF('page 1'!$K$4="Indépendant",CI18,IF('page 1'!$K$4="Mahtmasi",CE18,IF('page 1'!$K$4="Néhékharéen",AX18,IF('page 1'!$C$4="Homme-lézard",CM18,IF('page 1'!$K$4="Géant",CQ18,IF('page 1'!$K$4="Ogre",CR18,IF('page 1'!$K$4="Troll",CS18,IF('page 1'!$K$4="Gobelin",CK18,IF('page 1'!$K$4="Hobgobelin",CL18,IF('page 1'!$K$4="Insectigor",CA18,IF('page 1'!$K$4="Insectigor",CB18,IF('page 1'!$K$4="Cygor",BW18,IF('page 1'!$K$4="Dracogor",BX18,IF('page 1'!$K$4="Amphibien",BD18,IF('page 1'!$K$4="Ghorgon",BY18,IF('page 1'!$K$4="Bovigor",BE18,IF('page 1'!$K$4="Crocogor",BF18,IF('page 1'!$K$4="Gorol",BG18,IF('page 1'!$K$4="Harpie",BH18,IF('page 1'!$K$4="Khorngor",BI18,IF('page 1'!$K$4="Loxogor",BJ18,IF('page 1'!$K$4="Malagor",BK18,IF('page 1'!$K$4="Naga",BL18,IF('page 1'!$K$4="Pestigor",BM18,IF('page 1'!$K$4="Rakshasa",BN18,IF('page 1'!$K$4="Slaangor",BO18,IF('page 1'!$K$4="Squalogor",BP18,IF('page 1'!$K$4="Tzaangor",BQ18,IF('page 1'!$K$4="Ymir",BR18,IF('page 1'!$K$4="Saurus",CN18,IF('page 1'!$K$4="Skink",CO18,IF('page 1'!$K$4="Kroxigor",CP18,""))))))))))))))))))))))))))))))))))))))))))))))))))))</f>
        <v/>
      </c>
      <c r="AT18" s="602">
        <f t="shared" ref="AT18:CM18" ca="1" si="5">IF($AS$13&lt;=4,AT14,IF($AS$4&lt;=7,AT16,AT17))</f>
        <v>2</v>
      </c>
      <c r="AU18" s="602">
        <f t="shared" ca="1" si="5"/>
        <v>2</v>
      </c>
      <c r="AV18" s="602">
        <f t="shared" ca="1" si="5"/>
        <v>3</v>
      </c>
      <c r="AW18" s="602">
        <f t="shared" ca="1" si="5"/>
        <v>0</v>
      </c>
      <c r="AX18" s="602">
        <f t="shared" ca="1" si="5"/>
        <v>0</v>
      </c>
      <c r="AY18" s="602">
        <f t="shared" ca="1" si="5"/>
        <v>2</v>
      </c>
      <c r="AZ18" s="602">
        <f t="shared" ca="1" si="5"/>
        <v>2</v>
      </c>
      <c r="BA18" s="602">
        <f t="shared" ca="1" si="5"/>
        <v>1</v>
      </c>
      <c r="BB18" s="602">
        <f t="shared" ca="1" si="5"/>
        <v>0</v>
      </c>
      <c r="BC18" s="602">
        <f t="shared" ca="1" si="5"/>
        <v>0</v>
      </c>
      <c r="BD18" s="602">
        <f t="shared" ca="1" si="5"/>
        <v>1</v>
      </c>
      <c r="BE18" s="602">
        <f t="shared" ca="1" si="5"/>
        <v>0</v>
      </c>
      <c r="BF18" s="602">
        <f t="shared" ca="1" si="5"/>
        <v>0</v>
      </c>
      <c r="BG18" s="602">
        <f t="shared" ca="1" si="5"/>
        <v>0</v>
      </c>
      <c r="BH18" s="602">
        <f t="shared" ca="1" si="5"/>
        <v>0</v>
      </c>
      <c r="BI18" s="602">
        <f t="shared" ca="1" si="5"/>
        <v>0</v>
      </c>
      <c r="BJ18" s="602">
        <f t="shared" ca="1" si="5"/>
        <v>0</v>
      </c>
      <c r="BK18" s="602">
        <f t="shared" ca="1" si="5"/>
        <v>0</v>
      </c>
      <c r="BL18" s="602">
        <f t="shared" ca="1" si="5"/>
        <v>1</v>
      </c>
      <c r="BM18" s="602">
        <f t="shared" ca="1" si="5"/>
        <v>0</v>
      </c>
      <c r="BN18" s="602">
        <f t="shared" ca="1" si="5"/>
        <v>0</v>
      </c>
      <c r="BO18" s="602">
        <f t="shared" ca="1" si="5"/>
        <v>0</v>
      </c>
      <c r="BP18" s="602">
        <f t="shared" ca="1" si="5"/>
        <v>0</v>
      </c>
      <c r="BQ18" s="602">
        <f t="shared" ca="1" si="5"/>
        <v>0</v>
      </c>
      <c r="BR18" s="602">
        <f t="shared" ca="1" si="5"/>
        <v>0</v>
      </c>
      <c r="BS18" s="602">
        <f t="shared" ca="1" si="5"/>
        <v>0</v>
      </c>
      <c r="BT18" s="602">
        <f t="shared" ca="1" si="5"/>
        <v>0</v>
      </c>
      <c r="BU18" s="602">
        <f t="shared" ca="1" si="5"/>
        <v>2</v>
      </c>
      <c r="BV18" s="602">
        <f t="shared" ca="1" si="5"/>
        <v>0</v>
      </c>
      <c r="BW18" s="602">
        <f t="shared" ca="1" si="5"/>
        <v>0</v>
      </c>
      <c r="BX18" s="602">
        <f t="shared" ca="1" si="5"/>
        <v>0</v>
      </c>
      <c r="BY18" s="602">
        <f t="shared" ca="1" si="5"/>
        <v>0</v>
      </c>
      <c r="BZ18" s="602">
        <f t="shared" ca="1" si="5"/>
        <v>0</v>
      </c>
      <c r="CA18" s="602">
        <f t="shared" ca="1" si="5"/>
        <v>0</v>
      </c>
      <c r="CB18" s="602">
        <f t="shared" ca="1" si="5"/>
        <v>0</v>
      </c>
      <c r="CC18" s="602">
        <f t="shared" ca="1" si="5"/>
        <v>0</v>
      </c>
      <c r="CD18" s="602">
        <f t="shared" ca="1" si="5"/>
        <v>0</v>
      </c>
      <c r="CE18" s="602">
        <f t="shared" ca="1" si="5"/>
        <v>0</v>
      </c>
      <c r="CF18" s="602">
        <f t="shared" ca="1" si="5"/>
        <v>0</v>
      </c>
      <c r="CG18" s="602">
        <f t="shared" ca="1" si="5"/>
        <v>0</v>
      </c>
      <c r="CH18" s="602">
        <f t="shared" ca="1" si="5"/>
        <v>0</v>
      </c>
      <c r="CI18" s="602">
        <f t="shared" ca="1" si="5"/>
        <v>0</v>
      </c>
      <c r="CJ18" s="602">
        <f t="shared" ca="1" si="5"/>
        <v>0</v>
      </c>
      <c r="CK18" s="602">
        <f t="shared" ca="1" si="5"/>
        <v>0</v>
      </c>
      <c r="CL18" s="602">
        <f t="shared" ca="1" si="5"/>
        <v>0</v>
      </c>
      <c r="CM18" s="602">
        <f t="shared" ca="1" si="5"/>
        <v>3</v>
      </c>
      <c r="CN18" s="602">
        <f t="shared" ref="CN18:CP18" ca="1" si="6">IF($AS$13&lt;=4,CN14,IF($AS$4&lt;=7,CN16,CN17))</f>
        <v>1</v>
      </c>
      <c r="CO18" s="602">
        <f t="shared" ca="1" si="6"/>
        <v>2</v>
      </c>
      <c r="CP18" s="602">
        <f t="shared" ca="1" si="6"/>
        <v>0</v>
      </c>
      <c r="CQ18" s="602">
        <f ca="1">IF($AS$13&lt;=4,CQ14,IF($AS$4&lt;=7,CQ16,CQ17))</f>
        <v>0</v>
      </c>
      <c r="CR18" s="602">
        <f ca="1">IF($AS$13&lt;=4,CR14,IF($AS$4&lt;=7,CR16,CR17))</f>
        <v>0</v>
      </c>
      <c r="CS18" s="602">
        <f ca="1">IF($AS$13&lt;=4,CS14,IF($AS$4&lt;=7,CS16,CS17))</f>
        <v>0</v>
      </c>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c r="JK18" s="88"/>
      <c r="JL18" s="88"/>
      <c r="JM18" s="88"/>
      <c r="JN18" s="88"/>
      <c r="JO18" s="88"/>
      <c r="JP18" s="88"/>
      <c r="JQ18" s="88"/>
      <c r="JR18" s="88"/>
      <c r="JS18" s="88"/>
      <c r="JT18" s="88"/>
      <c r="JU18" s="88"/>
      <c r="JV18" s="88"/>
      <c r="JW18" s="88"/>
      <c r="JX18" s="88"/>
      <c r="JY18" s="88"/>
      <c r="JZ18" s="88"/>
      <c r="KA18" s="88"/>
      <c r="KB18" s="88"/>
      <c r="KC18" s="88"/>
      <c r="KD18" s="88"/>
      <c r="KE18" s="88"/>
      <c r="KF18" s="88"/>
      <c r="KG18" s="88"/>
      <c r="KH18" s="88"/>
      <c r="KI18" s="88"/>
      <c r="KJ18" s="88"/>
      <c r="KK18" s="88"/>
      <c r="KL18" s="88"/>
      <c r="KM18" s="88"/>
      <c r="KN18" s="88"/>
      <c r="KO18" s="88"/>
      <c r="KP18" s="88"/>
      <c r="KQ18" s="88"/>
      <c r="KR18" s="88"/>
      <c r="KS18" s="88"/>
      <c r="KT18" s="88"/>
      <c r="KU18" s="88"/>
      <c r="KV18" s="88"/>
      <c r="KW18" s="88"/>
      <c r="KX18" s="88"/>
      <c r="KY18" s="88"/>
      <c r="KZ18" s="88"/>
      <c r="LA18" s="88"/>
      <c r="LB18" s="88"/>
      <c r="LC18" s="88"/>
      <c r="LD18" s="88"/>
      <c r="LE18" s="88"/>
      <c r="LF18" s="88"/>
      <c r="LG18" s="88"/>
      <c r="LH18" s="88"/>
      <c r="LI18" s="88"/>
      <c r="LJ18" s="88"/>
      <c r="LK18" s="88"/>
      <c r="LL18" s="88"/>
      <c r="LM18" s="88"/>
      <c r="LN18" s="88"/>
      <c r="LO18" s="88"/>
      <c r="LP18" s="88"/>
      <c r="LQ18" s="88"/>
      <c r="LR18" s="88"/>
      <c r="LS18" s="88"/>
      <c r="LT18" s="88"/>
      <c r="LU18" s="88"/>
      <c r="LV18" s="88"/>
      <c r="LW18" s="88"/>
      <c r="LX18" s="88"/>
      <c r="LY18" s="88"/>
      <c r="LZ18" s="88"/>
      <c r="MA18" s="88"/>
      <c r="MB18" s="88"/>
      <c r="MC18" s="88"/>
      <c r="MD18" s="88"/>
      <c r="ME18" s="88"/>
      <c r="MF18" s="88"/>
      <c r="MG18" s="88"/>
      <c r="MH18" s="88"/>
      <c r="MI18" s="88"/>
      <c r="MJ18" s="88"/>
      <c r="MK18" s="88"/>
      <c r="ML18" s="88"/>
      <c r="MM18" s="88"/>
      <c r="MN18" s="88"/>
      <c r="MO18" s="88"/>
      <c r="MP18" s="88"/>
      <c r="MQ18" s="88"/>
      <c r="MR18" s="88"/>
      <c r="MS18" s="88"/>
      <c r="MT18" s="88"/>
      <c r="MU18" s="88"/>
      <c r="MV18" s="88"/>
      <c r="MW18" s="88"/>
      <c r="MX18" s="88"/>
      <c r="MY18" s="88"/>
      <c r="MZ18" s="88"/>
      <c r="NA18" s="88"/>
      <c r="NB18" s="88"/>
      <c r="NC18" s="88"/>
      <c r="ND18" s="88"/>
      <c r="NE18" s="88"/>
      <c r="NF18" s="88"/>
      <c r="NG18" s="88"/>
      <c r="NH18" s="88"/>
      <c r="NI18" s="88"/>
      <c r="NJ18" s="88"/>
      <c r="NK18" s="88"/>
      <c r="NL18" s="88"/>
      <c r="NM18" s="88"/>
      <c r="NN18" s="88"/>
      <c r="NO18" s="88"/>
      <c r="NP18" s="88"/>
      <c r="NQ18" s="88"/>
      <c r="NR18" s="88"/>
      <c r="NS18" s="88"/>
      <c r="NT18" s="88"/>
      <c r="NU18" s="88"/>
      <c r="NV18" s="88"/>
      <c r="NW18" s="88"/>
      <c r="NX18" s="88"/>
      <c r="NY18" s="88"/>
      <c r="NZ18" s="88"/>
      <c r="OA18" s="88"/>
      <c r="OB18" s="88"/>
      <c r="OC18" s="88"/>
      <c r="OD18" s="88"/>
      <c r="OE18" s="88"/>
      <c r="OF18" s="88"/>
      <c r="OG18" s="88"/>
      <c r="OH18" s="88"/>
      <c r="OI18" s="88"/>
      <c r="OJ18" s="88"/>
      <c r="OK18" s="88"/>
      <c r="OL18" s="88"/>
      <c r="OM18" s="88"/>
      <c r="ON18" s="88"/>
      <c r="OO18" s="88"/>
      <c r="OP18" s="88"/>
      <c r="OQ18" s="88"/>
      <c r="OR18" s="88"/>
      <c r="OS18" s="88"/>
      <c r="OT18" s="88"/>
      <c r="OU18" s="88"/>
      <c r="OV18" s="88"/>
      <c r="OW18" s="88"/>
      <c r="OX18" s="88"/>
      <c r="OY18" s="88"/>
      <c r="OZ18" s="88"/>
      <c r="PA18" s="88"/>
      <c r="PB18" s="88"/>
      <c r="PC18" s="88"/>
      <c r="PD18" s="88"/>
      <c r="PE18" s="88"/>
      <c r="PF18" s="88"/>
      <c r="PG18" s="88"/>
      <c r="PH18" s="88"/>
      <c r="PI18" s="88"/>
      <c r="PJ18" s="88"/>
      <c r="PK18" s="88"/>
      <c r="PL18" s="88"/>
      <c r="PM18" s="88"/>
      <c r="PN18" s="88"/>
      <c r="PO18" s="88"/>
      <c r="PP18" s="88"/>
      <c r="PQ18" s="88"/>
      <c r="PR18" s="88"/>
      <c r="PS18" s="88"/>
      <c r="PT18" s="88"/>
      <c r="PU18" s="88"/>
      <c r="PV18" s="88"/>
      <c r="PW18" s="88"/>
      <c r="PX18" s="88"/>
      <c r="PY18" s="88"/>
      <c r="PZ18" s="88"/>
      <c r="QA18" s="88"/>
      <c r="QB18" s="88"/>
      <c r="QC18" s="88"/>
      <c r="QD18" s="88"/>
      <c r="QE18" s="88"/>
      <c r="QF18" s="88"/>
      <c r="QG18" s="88"/>
      <c r="QH18" s="88"/>
      <c r="QI18" s="88"/>
      <c r="QJ18" s="88"/>
      <c r="QK18" s="88"/>
      <c r="QL18" s="88"/>
      <c r="QM18" s="88"/>
      <c r="QN18" s="88"/>
      <c r="QO18" s="88"/>
      <c r="QP18" s="88"/>
      <c r="QQ18" s="88"/>
      <c r="QR18" s="88"/>
      <c r="QS18" s="88"/>
      <c r="QT18" s="88"/>
      <c r="QU18" s="88"/>
      <c r="QV18" s="88"/>
      <c r="QW18" s="88"/>
      <c r="QX18" s="88"/>
      <c r="QY18" s="88"/>
      <c r="QZ18" s="88"/>
      <c r="RA18" s="88"/>
      <c r="RB18" s="88"/>
      <c r="RC18" s="88"/>
      <c r="RD18" s="88"/>
      <c r="RE18" s="88"/>
      <c r="RF18" s="88"/>
      <c r="RG18" s="88"/>
      <c r="RH18" s="88"/>
      <c r="RI18" s="88"/>
      <c r="RJ18" s="88"/>
      <c r="RK18" s="88"/>
      <c r="RL18" s="88"/>
      <c r="RM18" s="88"/>
      <c r="RN18" s="88"/>
      <c r="RO18" s="88"/>
      <c r="RP18" s="88"/>
      <c r="RQ18" s="88"/>
      <c r="RR18" s="88"/>
      <c r="RS18" s="88"/>
      <c r="RT18" s="88"/>
      <c r="RU18" s="88"/>
      <c r="RV18" s="88"/>
      <c r="RW18" s="88"/>
      <c r="RX18" s="88"/>
      <c r="RY18" s="88"/>
      <c r="RZ18" s="88"/>
      <c r="SA18" s="88"/>
      <c r="SB18" s="88"/>
      <c r="SC18" s="88"/>
      <c r="SD18" s="88"/>
      <c r="SE18" s="88"/>
      <c r="SF18" s="88"/>
      <c r="SG18" s="88"/>
      <c r="SH18" s="88"/>
      <c r="SI18" s="88"/>
      <c r="SJ18" s="88"/>
      <c r="SK18" s="88"/>
      <c r="SL18" s="88"/>
      <c r="SM18" s="88"/>
      <c r="SN18" s="88"/>
      <c r="SO18" s="88"/>
      <c r="SP18" s="88"/>
      <c r="SQ18" s="88"/>
      <c r="SR18" s="88"/>
      <c r="SS18" s="88"/>
      <c r="ST18" s="88"/>
      <c r="SU18" s="88"/>
      <c r="SV18" s="88"/>
      <c r="SW18" s="88"/>
      <c r="SX18" s="88"/>
      <c r="SY18" s="88"/>
      <c r="SZ18" s="88"/>
      <c r="TA18" s="88"/>
      <c r="TB18" s="88"/>
      <c r="TC18" s="88"/>
      <c r="TD18" s="88"/>
      <c r="TE18" s="88"/>
      <c r="TF18" s="88"/>
      <c r="TG18" s="88"/>
      <c r="TH18" s="88"/>
      <c r="TI18" s="88"/>
      <c r="TJ18" s="88"/>
      <c r="TK18" s="88"/>
      <c r="TL18" s="88"/>
      <c r="TM18" s="88"/>
      <c r="TN18" s="88"/>
      <c r="TO18" s="88"/>
      <c r="TP18" s="88"/>
      <c r="TQ18" s="88"/>
      <c r="TR18" s="88"/>
      <c r="TS18" s="88"/>
      <c r="TT18" s="88"/>
      <c r="TU18" s="88"/>
      <c r="TV18" s="88"/>
      <c r="TW18" s="88"/>
      <c r="TX18" s="88"/>
      <c r="TY18" s="88"/>
      <c r="TZ18" s="88"/>
      <c r="UA18" s="88"/>
      <c r="UB18" s="88"/>
      <c r="UC18" s="88"/>
      <c r="UD18" s="88"/>
      <c r="UE18" s="88"/>
      <c r="UF18" s="88"/>
      <c r="UG18" s="88"/>
      <c r="UH18" s="88"/>
      <c r="UI18" s="88"/>
      <c r="UJ18" s="88"/>
      <c r="UK18" s="88"/>
      <c r="UL18" s="88"/>
      <c r="UM18" s="88"/>
      <c r="UN18" s="88"/>
      <c r="UO18" s="88"/>
      <c r="UP18" s="88"/>
      <c r="UQ18" s="88"/>
      <c r="UR18" s="88"/>
      <c r="US18" s="88"/>
      <c r="UT18" s="88"/>
      <c r="UU18" s="88"/>
      <c r="UV18" s="88"/>
      <c r="UW18" s="88"/>
      <c r="UX18" s="88"/>
      <c r="UY18" s="88"/>
      <c r="UZ18" s="88"/>
      <c r="VA18" s="88"/>
      <c r="VB18" s="88"/>
      <c r="VC18" s="88"/>
      <c r="VD18" s="88"/>
      <c r="VE18" s="88"/>
      <c r="VF18" s="88"/>
      <c r="VG18" s="88"/>
      <c r="VH18" s="88"/>
      <c r="VI18" s="88"/>
      <c r="VJ18" s="88"/>
      <c r="VK18" s="88"/>
      <c r="VL18" s="88"/>
      <c r="VM18" s="88"/>
      <c r="VN18" s="88"/>
      <c r="VO18" s="88"/>
      <c r="VP18" s="88"/>
      <c r="VQ18" s="88"/>
      <c r="VR18" s="88"/>
      <c r="VS18" s="88"/>
      <c r="VT18" s="88"/>
      <c r="VU18" s="88"/>
      <c r="VV18" s="88"/>
      <c r="VW18" s="88"/>
      <c r="VX18" s="88"/>
      <c r="VY18" s="88"/>
      <c r="VZ18" s="88"/>
      <c r="WA18" s="88"/>
      <c r="WB18" s="88"/>
      <c r="WC18" s="88"/>
      <c r="WD18" s="88"/>
      <c r="WE18" s="88"/>
      <c r="WF18" s="88"/>
      <c r="WG18" s="88"/>
      <c r="WH18" s="88"/>
      <c r="WI18" s="88"/>
      <c r="WJ18" s="88"/>
      <c r="WK18" s="88"/>
      <c r="WL18" s="88"/>
      <c r="WM18" s="88"/>
      <c r="WN18" s="88"/>
      <c r="WO18" s="88"/>
      <c r="WP18" s="88"/>
      <c r="WQ18" s="88"/>
      <c r="WR18" s="88"/>
      <c r="WS18" s="88"/>
      <c r="WT18" s="88"/>
      <c r="WU18" s="88"/>
      <c r="WV18" s="88"/>
      <c r="WW18" s="88"/>
      <c r="WX18" s="88"/>
      <c r="WY18" s="88"/>
      <c r="WZ18" s="88"/>
      <c r="XA18" s="88"/>
      <c r="XB18" s="88"/>
      <c r="XC18" s="88"/>
      <c r="XD18" s="88"/>
      <c r="XE18" s="88"/>
      <c r="XF18" s="88"/>
      <c r="XG18" s="88"/>
      <c r="XH18" s="88"/>
      <c r="XI18" s="88"/>
      <c r="XJ18" s="88"/>
      <c r="XK18" s="88"/>
      <c r="XL18" s="88"/>
      <c r="XM18" s="88"/>
      <c r="XN18" s="88"/>
      <c r="XO18" s="88"/>
      <c r="XP18" s="88"/>
      <c r="XQ18" s="88"/>
      <c r="XR18" s="88"/>
      <c r="XS18" s="88"/>
      <c r="XT18" s="88"/>
      <c r="XU18" s="88"/>
      <c r="XV18" s="88"/>
      <c r="XW18" s="88"/>
      <c r="XX18" s="88"/>
      <c r="XY18" s="88"/>
      <c r="XZ18" s="88"/>
      <c r="YA18" s="88"/>
      <c r="YB18" s="88"/>
      <c r="YC18" s="88"/>
      <c r="YD18" s="88"/>
      <c r="YE18" s="88"/>
      <c r="YF18" s="88"/>
      <c r="YG18" s="88"/>
      <c r="YH18" s="88"/>
      <c r="YI18" s="88"/>
      <c r="YJ18" s="88"/>
      <c r="YK18" s="88"/>
      <c r="YL18" s="88"/>
      <c r="YM18" s="88"/>
      <c r="YN18" s="88"/>
      <c r="YO18" s="88"/>
      <c r="YP18" s="88"/>
      <c r="YQ18" s="88"/>
      <c r="YR18" s="88"/>
      <c r="YS18" s="88"/>
      <c r="YT18" s="88"/>
      <c r="YU18" s="88"/>
      <c r="YV18" s="88"/>
      <c r="YW18" s="88"/>
      <c r="YX18" s="88"/>
      <c r="YY18" s="88"/>
      <c r="YZ18" s="88"/>
      <c r="ZA18" s="88"/>
      <c r="ZB18" s="88"/>
      <c r="ZC18" s="88"/>
      <c r="ZD18" s="88"/>
      <c r="ZE18" s="88"/>
      <c r="ZF18" s="88"/>
      <c r="ZG18" s="88"/>
      <c r="ZH18" s="88"/>
      <c r="ZI18" s="88"/>
      <c r="ZJ18" s="88"/>
      <c r="ZK18" s="88"/>
      <c r="ZL18" s="88"/>
      <c r="ZM18" s="88"/>
      <c r="ZN18" s="88"/>
      <c r="ZO18" s="88"/>
      <c r="ZP18" s="88"/>
      <c r="ZQ18" s="88"/>
      <c r="ZR18" s="88"/>
      <c r="ZS18" s="88"/>
      <c r="ZT18" s="88"/>
      <c r="ZU18" s="88"/>
      <c r="ZV18" s="88"/>
      <c r="ZW18" s="88"/>
      <c r="ZX18" s="88"/>
      <c r="ZY18" s="88"/>
      <c r="ZZ18" s="88"/>
      <c r="AAA18" s="88"/>
      <c r="AAB18" s="88"/>
      <c r="AAC18" s="88"/>
      <c r="AAD18" s="88"/>
      <c r="AAE18" s="88"/>
      <c r="AAF18" s="88"/>
      <c r="AAG18" s="88"/>
      <c r="AAH18" s="88"/>
      <c r="AAI18" s="88"/>
      <c r="AAJ18" s="88"/>
      <c r="AAK18" s="88"/>
      <c r="AAL18" s="88"/>
      <c r="AAM18" s="88"/>
      <c r="AAN18" s="88"/>
      <c r="AAO18" s="88"/>
      <c r="AAP18" s="88"/>
      <c r="AAQ18" s="88"/>
      <c r="AAR18" s="88"/>
      <c r="AAS18" s="88"/>
      <c r="AAT18" s="88"/>
      <c r="AAU18" s="88"/>
      <c r="AAV18" s="88"/>
      <c r="AAW18" s="88"/>
      <c r="AAX18" s="88"/>
      <c r="AAY18" s="88"/>
      <c r="AAZ18" s="88"/>
      <c r="ABA18" s="88"/>
      <c r="ABB18" s="88"/>
      <c r="ABC18" s="88"/>
      <c r="ABD18" s="88"/>
      <c r="ABE18" s="88"/>
      <c r="ABF18" s="88"/>
      <c r="ABG18" s="88"/>
      <c r="ABH18" s="88"/>
      <c r="ABI18" s="88"/>
      <c r="ABJ18" s="88"/>
      <c r="ABK18" s="88"/>
      <c r="ABL18" s="88"/>
      <c r="ABM18" s="88"/>
      <c r="ABN18" s="88"/>
      <c r="ABO18" s="88"/>
      <c r="ABP18" s="88"/>
      <c r="ABQ18" s="88"/>
      <c r="ABR18" s="88"/>
      <c r="ABS18" s="88"/>
      <c r="ABT18" s="88"/>
      <c r="ABU18" s="88"/>
      <c r="ABV18" s="88"/>
      <c r="ABW18" s="88"/>
      <c r="ABX18" s="88"/>
      <c r="ABY18" s="88"/>
      <c r="ABZ18" s="88"/>
      <c r="ACA18" s="88"/>
      <c r="ACB18" s="88"/>
      <c r="ACC18" s="88"/>
      <c r="ACD18" s="88"/>
      <c r="ACE18" s="88"/>
      <c r="ACF18" s="88"/>
      <c r="ACG18" s="88"/>
      <c r="ACH18" s="88"/>
      <c r="ACI18" s="88"/>
      <c r="ACJ18" s="88"/>
      <c r="ACK18" s="88"/>
      <c r="ACL18" s="88"/>
      <c r="ACM18" s="88"/>
      <c r="ACN18" s="88"/>
      <c r="ACO18" s="88"/>
      <c r="ACP18" s="88"/>
      <c r="ACQ18" s="88"/>
      <c r="ACR18" s="88"/>
      <c r="ACS18" s="88"/>
      <c r="ACT18" s="88"/>
      <c r="ACU18" s="88"/>
      <c r="ACV18" s="88"/>
      <c r="ACW18" s="88"/>
      <c r="ACX18" s="88"/>
      <c r="ACY18" s="88"/>
      <c r="ACZ18" s="88"/>
      <c r="ADA18" s="88"/>
      <c r="ADB18" s="88"/>
      <c r="ADC18" s="88"/>
      <c r="ADD18" s="88"/>
      <c r="ADE18" s="88"/>
      <c r="ADF18" s="88"/>
      <c r="ADG18" s="88"/>
      <c r="ADH18" s="88"/>
      <c r="ADI18" s="88"/>
      <c r="ADJ18" s="88"/>
      <c r="ADK18" s="88"/>
      <c r="ADL18" s="88"/>
      <c r="ADM18" s="88"/>
      <c r="ADN18" s="88"/>
      <c r="ADO18" s="88"/>
      <c r="ADP18" s="88"/>
      <c r="ADQ18" s="88"/>
      <c r="ADR18" s="88"/>
      <c r="ADS18" s="88"/>
      <c r="ADT18" s="88"/>
      <c r="ADU18" s="88"/>
      <c r="ADV18" s="88"/>
      <c r="ADW18" s="88"/>
      <c r="ADX18" s="88"/>
      <c r="ADY18" s="88"/>
      <c r="ADZ18" s="88"/>
      <c r="AEA18" s="88"/>
      <c r="AEB18" s="88"/>
      <c r="AEC18" s="88"/>
      <c r="AED18" s="88"/>
      <c r="AEE18" s="88"/>
      <c r="AEF18" s="88"/>
      <c r="AEG18" s="88"/>
      <c r="AEH18" s="88"/>
      <c r="AEI18" s="88"/>
      <c r="AEJ18" s="88"/>
      <c r="AEK18" s="88"/>
      <c r="AEL18" s="88"/>
      <c r="AEM18" s="88"/>
      <c r="AEN18" s="88"/>
      <c r="AEO18" s="88"/>
      <c r="AEP18" s="88"/>
      <c r="AEQ18" s="88"/>
      <c r="AER18" s="88"/>
      <c r="AES18" s="88"/>
      <c r="AET18" s="88"/>
      <c r="AEU18" s="88"/>
      <c r="AEV18" s="88"/>
      <c r="AEW18" s="88"/>
      <c r="AEX18" s="88"/>
      <c r="AEY18" s="88"/>
      <c r="AEZ18" s="88"/>
      <c r="AFA18" s="88"/>
      <c r="AFB18" s="88"/>
      <c r="AFC18" s="88"/>
      <c r="AFD18" s="88"/>
      <c r="AFE18" s="88"/>
      <c r="AFF18" s="88"/>
      <c r="AFG18" s="88"/>
      <c r="AFH18" s="88"/>
      <c r="AFI18" s="88"/>
      <c r="AFJ18" s="88"/>
      <c r="AFK18" s="88"/>
      <c r="AFL18" s="88"/>
      <c r="AFM18" s="88"/>
      <c r="AFN18" s="88"/>
      <c r="AFO18" s="88"/>
      <c r="AFP18" s="88"/>
      <c r="AFQ18" s="88"/>
      <c r="AFR18" s="88"/>
      <c r="AFS18" s="88"/>
      <c r="AFT18" s="88"/>
      <c r="AFU18" s="88"/>
      <c r="AFV18" s="88"/>
      <c r="AFW18" s="88"/>
      <c r="AFX18" s="88"/>
      <c r="AFY18" s="88"/>
      <c r="AFZ18" s="88"/>
      <c r="AGA18" s="88"/>
      <c r="AGB18" s="88"/>
      <c r="AGC18" s="88"/>
      <c r="AGD18" s="88"/>
      <c r="AGE18" s="88"/>
      <c r="AGF18" s="88"/>
      <c r="AGG18" s="88"/>
      <c r="AGH18" s="88"/>
      <c r="AGI18" s="88"/>
      <c r="AGJ18" s="88"/>
      <c r="AGK18" s="88"/>
      <c r="AGL18" s="88"/>
      <c r="AGM18" s="88"/>
      <c r="AGN18" s="88"/>
      <c r="AGO18" s="88"/>
      <c r="AGP18" s="88"/>
      <c r="AGQ18" s="88"/>
      <c r="AGR18" s="88"/>
      <c r="AGS18" s="88"/>
      <c r="AGT18" s="88"/>
      <c r="AGU18" s="88"/>
      <c r="AGV18" s="88"/>
      <c r="AGW18" s="88"/>
      <c r="AGX18" s="88"/>
      <c r="AGY18" s="88"/>
      <c r="AGZ18" s="88"/>
      <c r="AHA18" s="88"/>
      <c r="AHB18" s="88"/>
      <c r="AHC18" s="88"/>
      <c r="AHD18" s="88"/>
      <c r="AHE18" s="88"/>
      <c r="AHF18" s="88"/>
      <c r="AHG18" s="88"/>
      <c r="AHH18" s="88"/>
      <c r="AHI18" s="88"/>
      <c r="AHJ18" s="88"/>
      <c r="AHK18" s="88"/>
      <c r="AHL18" s="88"/>
      <c r="AHM18" s="88"/>
      <c r="AHN18" s="88"/>
      <c r="AHO18" s="88"/>
      <c r="AHP18" s="88"/>
      <c r="AHQ18" s="88"/>
      <c r="AHR18" s="88"/>
      <c r="AHS18" s="88"/>
      <c r="AHT18" s="88"/>
      <c r="AHU18" s="88"/>
      <c r="AHV18" s="88"/>
      <c r="AHW18" s="88"/>
      <c r="AHX18" s="88"/>
      <c r="AHY18" s="88"/>
      <c r="AHZ18" s="88"/>
      <c r="AIA18" s="88"/>
      <c r="AIB18" s="88"/>
      <c r="AIC18" s="88"/>
      <c r="AID18" s="88"/>
      <c r="AIE18" s="88"/>
      <c r="AIF18" s="88"/>
      <c r="AIG18" s="88"/>
      <c r="AIH18" s="88"/>
      <c r="AII18" s="88"/>
      <c r="AIJ18" s="88"/>
      <c r="AIK18" s="88"/>
      <c r="AIL18" s="88"/>
      <c r="AIM18" s="88"/>
      <c r="AIN18" s="88"/>
      <c r="AIO18" s="88"/>
      <c r="AIP18" s="88"/>
      <c r="AIQ18" s="88"/>
      <c r="AIR18" s="88"/>
      <c r="AIS18" s="88"/>
      <c r="AIT18" s="88"/>
      <c r="AIU18" s="88"/>
      <c r="AIV18" s="88"/>
      <c r="AIW18" s="88"/>
      <c r="AIX18" s="88"/>
      <c r="AIY18" s="88"/>
      <c r="AIZ18" s="88"/>
      <c r="AJA18" s="88"/>
      <c r="AJB18" s="88"/>
      <c r="AJC18" s="88"/>
      <c r="AJD18" s="88"/>
      <c r="AJE18" s="88"/>
      <c r="AJF18" s="88"/>
      <c r="AJG18" s="88"/>
      <c r="AJH18" s="88"/>
      <c r="AJI18" s="88"/>
      <c r="AJJ18" s="88"/>
      <c r="AJK18" s="88"/>
      <c r="AJL18" s="88"/>
      <c r="AJM18" s="88"/>
      <c r="AJN18" s="88"/>
      <c r="AJO18" s="88"/>
      <c r="AJP18" s="88"/>
      <c r="AJQ18" s="88"/>
      <c r="AJR18" s="88"/>
      <c r="AJS18" s="88"/>
      <c r="AJT18" s="88"/>
      <c r="AJU18" s="88"/>
      <c r="AJV18" s="88"/>
      <c r="AJW18" s="88"/>
      <c r="AJX18" s="88"/>
      <c r="AJY18" s="88"/>
      <c r="AJZ18" s="88"/>
      <c r="AKA18" s="88"/>
      <c r="AKB18" s="88"/>
      <c r="AKC18" s="88"/>
      <c r="AKD18" s="88"/>
      <c r="AKE18" s="88"/>
      <c r="AKF18" s="88"/>
      <c r="AKG18" s="88"/>
      <c r="AKH18" s="88"/>
      <c r="AKI18" s="88"/>
      <c r="AKJ18" s="88"/>
      <c r="AKK18" s="88"/>
      <c r="AKL18" s="88"/>
      <c r="AKM18" s="88"/>
      <c r="AKN18" s="88"/>
      <c r="AKO18" s="88"/>
      <c r="AKP18" s="88"/>
      <c r="AKQ18" s="88"/>
      <c r="AKR18" s="88"/>
      <c r="AKS18" s="88"/>
      <c r="AKT18" s="88"/>
      <c r="AKU18" s="88"/>
      <c r="AKV18" s="88"/>
      <c r="AKW18" s="88"/>
      <c r="AKX18" s="88"/>
      <c r="AKY18" s="88"/>
      <c r="AKZ18" s="88"/>
      <c r="ALA18" s="88"/>
      <c r="ALB18" s="88"/>
      <c r="ALC18" s="88"/>
      <c r="ALD18" s="88"/>
      <c r="ALE18" s="88"/>
      <c r="ALF18" s="88"/>
      <c r="ALG18" s="88"/>
      <c r="ALH18" s="88"/>
      <c r="ALI18" s="88"/>
      <c r="ALJ18" s="88"/>
      <c r="ALK18" s="88"/>
      <c r="ALL18" s="88"/>
      <c r="ALM18" s="88"/>
      <c r="ALN18" s="88"/>
      <c r="ALO18" s="88"/>
      <c r="ALP18" s="88"/>
      <c r="ALQ18" s="88"/>
      <c r="ALR18" s="88"/>
      <c r="ALS18" s="88"/>
      <c r="ALT18" s="88"/>
      <c r="ALU18" s="88"/>
      <c r="ALV18" s="88"/>
      <c r="ALW18" s="88"/>
      <c r="ALX18" s="88"/>
      <c r="ALY18" s="88"/>
      <c r="ALZ18" s="88"/>
      <c r="AMA18" s="88"/>
      <c r="AMB18" s="88"/>
      <c r="AMC18" s="88"/>
      <c r="AMD18" s="88"/>
      <c r="AME18" s="88"/>
      <c r="AMF18" s="88"/>
      <c r="AMG18" s="88"/>
      <c r="AMH18" s="88"/>
      <c r="AMI18" s="88"/>
      <c r="AMJ18" s="88"/>
      <c r="AMK18" s="88"/>
      <c r="AML18" s="88"/>
      <c r="AMM18" s="88"/>
      <c r="AMN18" s="88"/>
      <c r="AMO18" s="88"/>
      <c r="AMP18" s="88"/>
      <c r="AMQ18" s="88"/>
      <c r="AMR18" s="88"/>
      <c r="AMS18" s="88"/>
      <c r="AMT18" s="88"/>
      <c r="AMU18" s="88"/>
      <c r="AMV18" s="88"/>
      <c r="AMW18" s="88"/>
      <c r="AMX18" s="88"/>
      <c r="AMY18" s="88"/>
      <c r="AMZ18" s="88"/>
      <c r="ANA18" s="88"/>
      <c r="ANB18" s="88"/>
      <c r="ANC18" s="88"/>
      <c r="AND18" s="88"/>
      <c r="ANE18" s="88"/>
      <c r="ANF18" s="88"/>
      <c r="ANG18" s="88"/>
      <c r="ANH18" s="88"/>
      <c r="ANI18" s="88"/>
      <c r="ANJ18" s="88"/>
      <c r="ANK18" s="88"/>
      <c r="ANL18" s="88"/>
      <c r="ANM18" s="88"/>
      <c r="ANN18" s="88"/>
      <c r="ANO18" s="88"/>
      <c r="ANP18" s="88"/>
      <c r="ANQ18" s="88"/>
      <c r="ANR18" s="88"/>
      <c r="ANS18" s="88"/>
      <c r="ANT18" s="88"/>
      <c r="ANU18" s="88"/>
      <c r="ANV18" s="88"/>
      <c r="ANW18" s="88"/>
      <c r="ANX18" s="88"/>
      <c r="ANY18" s="88"/>
      <c r="ANZ18" s="88"/>
      <c r="AOA18" s="88"/>
      <c r="AOB18" s="88"/>
      <c r="AOC18" s="88"/>
      <c r="AOD18" s="88"/>
      <c r="AOE18" s="88"/>
      <c r="AOF18" s="88"/>
      <c r="AOG18" s="88"/>
      <c r="AOH18" s="88"/>
      <c r="AOI18" s="88"/>
      <c r="AOJ18" s="88"/>
      <c r="AOK18" s="88"/>
      <c r="AOL18" s="88"/>
      <c r="AOM18" s="88"/>
      <c r="AON18" s="88"/>
      <c r="AOO18" s="88"/>
      <c r="AOP18" s="88"/>
      <c r="AOQ18" s="88"/>
      <c r="AOR18" s="88"/>
      <c r="AOS18" s="88"/>
      <c r="AOT18" s="88"/>
      <c r="AOU18" s="88"/>
      <c r="AOV18" s="88"/>
      <c r="AOW18" s="88"/>
      <c r="AOX18" s="88"/>
      <c r="AOY18" s="88"/>
      <c r="AOZ18" s="88"/>
      <c r="APA18" s="88"/>
      <c r="APB18" s="88"/>
      <c r="APC18" s="88"/>
      <c r="APD18" s="88"/>
      <c r="APE18" s="88"/>
      <c r="APF18" s="88"/>
      <c r="APG18" s="88"/>
      <c r="APH18" s="88"/>
      <c r="API18" s="88"/>
      <c r="APJ18" s="88"/>
      <c r="APK18" s="88"/>
      <c r="APL18" s="88"/>
      <c r="APM18" s="88"/>
      <c r="APN18" s="88"/>
      <c r="APO18" s="88"/>
      <c r="APP18" s="88"/>
      <c r="APQ18" s="88"/>
      <c r="APR18" s="88"/>
      <c r="APS18" s="88"/>
      <c r="APT18" s="88"/>
      <c r="APU18" s="88"/>
      <c r="APV18" s="88"/>
      <c r="APW18" s="88"/>
      <c r="APX18" s="88"/>
      <c r="APY18" s="88"/>
      <c r="APZ18" s="88"/>
      <c r="AQA18" s="88"/>
      <c r="AQB18" s="88"/>
      <c r="AQC18" s="88"/>
      <c r="AQD18" s="88"/>
      <c r="AQE18" s="88"/>
      <c r="AQF18" s="88"/>
      <c r="AQG18" s="88"/>
      <c r="AQH18" s="88"/>
      <c r="AQI18" s="88"/>
      <c r="AQJ18" s="88"/>
      <c r="AQK18" s="88"/>
      <c r="AQL18" s="88"/>
      <c r="AQM18" s="88"/>
      <c r="AQN18" s="88"/>
      <c r="AQO18" s="88"/>
      <c r="AQP18" s="88"/>
      <c r="AQQ18" s="88"/>
      <c r="AQR18" s="88"/>
      <c r="AQS18" s="88"/>
      <c r="AQT18" s="88"/>
      <c r="AQU18" s="88"/>
      <c r="AQV18" s="88"/>
      <c r="AQW18" s="88"/>
      <c r="AQX18" s="88"/>
      <c r="AQY18" s="88"/>
      <c r="AQZ18" s="88"/>
      <c r="ARA18" s="88"/>
      <c r="ARB18" s="88"/>
      <c r="ARC18" s="88"/>
      <c r="ARD18" s="88"/>
      <c r="ARE18" s="88"/>
      <c r="ARF18" s="88"/>
      <c r="ARG18" s="88"/>
      <c r="ARH18" s="88"/>
      <c r="ARI18" s="88"/>
      <c r="ARJ18" s="88"/>
      <c r="ARK18" s="88"/>
      <c r="ARL18" s="88"/>
      <c r="ARM18" s="88"/>
      <c r="ARN18" s="88"/>
      <c r="ARO18" s="88"/>
      <c r="ARP18" s="88"/>
      <c r="ARQ18" s="88"/>
      <c r="ARR18" s="88"/>
      <c r="ARS18" s="88"/>
      <c r="ART18" s="88"/>
      <c r="ARU18" s="88"/>
      <c r="ARV18" s="88"/>
      <c r="ARW18" s="88"/>
      <c r="ARX18" s="88"/>
      <c r="ARY18" s="88"/>
      <c r="ARZ18" s="88"/>
      <c r="ASA18" s="88"/>
      <c r="ASB18" s="88"/>
      <c r="ASC18" s="88"/>
      <c r="ASD18" s="88"/>
      <c r="ASE18" s="88"/>
      <c r="ASF18" s="88"/>
      <c r="ASG18" s="88"/>
      <c r="ASH18" s="88"/>
      <c r="ASI18" s="88"/>
      <c r="ASJ18" s="88"/>
      <c r="ASK18" s="88"/>
      <c r="ASL18" s="88"/>
      <c r="ASM18" s="88"/>
      <c r="ASN18" s="88"/>
      <c r="ASO18" s="88"/>
      <c r="ASP18" s="88"/>
      <c r="ASQ18" s="88"/>
      <c r="ASR18" s="88"/>
      <c r="ASS18" s="88"/>
      <c r="AST18" s="88"/>
      <c r="ASU18" s="88"/>
      <c r="ASV18" s="88"/>
      <c r="ASW18" s="88"/>
      <c r="ASX18" s="88"/>
      <c r="ASY18" s="88"/>
      <c r="ASZ18" s="88"/>
      <c r="ATA18" s="88"/>
      <c r="ATB18" s="88"/>
      <c r="ATC18" s="88"/>
      <c r="ATD18" s="88"/>
      <c r="ATE18" s="88"/>
      <c r="ATF18" s="88"/>
      <c r="ATG18" s="88"/>
      <c r="ATH18" s="88"/>
      <c r="ATI18" s="88"/>
      <c r="ATJ18" s="88"/>
      <c r="ATK18" s="88"/>
      <c r="ATL18" s="88"/>
      <c r="ATM18" s="88"/>
      <c r="ATN18" s="88"/>
      <c r="ATO18" s="88"/>
      <c r="ATP18" s="88"/>
      <c r="ATQ18" s="88"/>
      <c r="ATR18" s="88"/>
      <c r="ATS18" s="88"/>
      <c r="ATT18" s="88"/>
      <c r="ATU18" s="88"/>
      <c r="ATV18" s="88"/>
      <c r="ATW18" s="88"/>
      <c r="ATX18" s="88"/>
      <c r="ATY18" s="88"/>
      <c r="ATZ18" s="88"/>
      <c r="AUA18" s="88"/>
      <c r="AUB18" s="88"/>
      <c r="AUC18" s="88"/>
      <c r="AUD18" s="88"/>
      <c r="AUE18" s="88"/>
      <c r="AUF18" s="88"/>
      <c r="AUG18" s="88"/>
      <c r="AUH18" s="88"/>
      <c r="AUI18" s="88"/>
      <c r="AUJ18" s="88"/>
      <c r="AUK18" s="88"/>
      <c r="AUL18" s="88"/>
      <c r="AUM18" s="88"/>
      <c r="AUN18" s="88"/>
      <c r="AUO18" s="88"/>
      <c r="AUP18" s="88"/>
      <c r="AUQ18" s="88"/>
      <c r="AUR18" s="88"/>
      <c r="AUS18" s="88"/>
      <c r="AUT18" s="88"/>
      <c r="AUU18" s="88"/>
      <c r="AUV18" s="88"/>
      <c r="AUW18" s="88"/>
      <c r="AUX18" s="88"/>
      <c r="AUY18" s="88"/>
      <c r="AUZ18" s="88"/>
      <c r="AVA18" s="88"/>
      <c r="AVB18" s="88"/>
      <c r="AVC18" s="88"/>
      <c r="AVD18" s="88"/>
      <c r="AVE18" s="88"/>
      <c r="AVF18" s="88"/>
      <c r="AVG18" s="88"/>
      <c r="AVH18" s="88"/>
      <c r="AVI18" s="88"/>
      <c r="AVJ18" s="88"/>
      <c r="AVK18" s="88"/>
      <c r="AVL18" s="88"/>
      <c r="AVM18" s="88"/>
      <c r="AVN18" s="88"/>
      <c r="AVO18" s="88"/>
      <c r="AVP18" s="88"/>
      <c r="AVQ18" s="88"/>
      <c r="AVR18" s="88"/>
      <c r="AVS18" s="88"/>
      <c r="AVT18" s="88"/>
      <c r="AVU18" s="88"/>
      <c r="AVV18" s="88"/>
      <c r="AVW18" s="88"/>
      <c r="AVX18" s="88"/>
      <c r="AVY18" s="88"/>
      <c r="AVZ18" s="88"/>
      <c r="AWA18" s="88"/>
      <c r="AWB18" s="88"/>
      <c r="AWC18" s="88"/>
      <c r="AWD18" s="88"/>
      <c r="AWE18" s="88"/>
      <c r="AWF18" s="88"/>
      <c r="AWG18" s="88"/>
      <c r="AWH18" s="88"/>
      <c r="AWI18" s="88"/>
      <c r="AWJ18" s="88"/>
      <c r="AWK18" s="88"/>
      <c r="AWL18" s="88"/>
      <c r="AWM18" s="88"/>
      <c r="AWN18" s="88"/>
      <c r="AWO18" s="88"/>
      <c r="AWP18" s="88"/>
      <c r="AWQ18" s="88"/>
      <c r="AWR18" s="88"/>
      <c r="AWS18" s="88"/>
      <c r="AWT18" s="88"/>
      <c r="AWU18" s="88"/>
      <c r="AWV18" s="88"/>
      <c r="AWW18" s="88"/>
      <c r="AWX18" s="88"/>
      <c r="AWY18" s="88"/>
      <c r="AWZ18" s="88"/>
      <c r="AXA18" s="88"/>
      <c r="AXB18" s="88"/>
      <c r="AXC18" s="88"/>
      <c r="AXD18" s="88"/>
      <c r="AXE18" s="88"/>
      <c r="AXF18" s="88"/>
      <c r="AXG18" s="88"/>
      <c r="AXH18" s="88"/>
      <c r="AXI18" s="88"/>
      <c r="AXJ18" s="88"/>
      <c r="AXK18" s="88"/>
      <c r="AXL18" s="88"/>
      <c r="AXM18" s="88"/>
      <c r="AXN18" s="88"/>
      <c r="AXO18" s="88"/>
      <c r="AXP18" s="88"/>
      <c r="AXQ18" s="88"/>
      <c r="AXR18" s="88"/>
      <c r="AXS18" s="88"/>
      <c r="AXT18" s="88"/>
      <c r="AXU18" s="88"/>
      <c r="AXV18" s="88"/>
      <c r="AXW18" s="88"/>
      <c r="AXX18" s="88"/>
      <c r="AXY18" s="88"/>
      <c r="AXZ18" s="88"/>
      <c r="AYA18" s="88"/>
      <c r="AYB18" s="88"/>
      <c r="AYC18" s="88"/>
      <c r="AYD18" s="88"/>
      <c r="AYE18" s="88"/>
      <c r="AYF18" s="88"/>
      <c r="AYG18" s="88"/>
      <c r="AYH18" s="88"/>
      <c r="AYI18" s="88"/>
      <c r="AYJ18" s="88"/>
      <c r="AYK18" s="88"/>
      <c r="AYL18" s="88"/>
      <c r="AYM18" s="88"/>
      <c r="AYN18" s="88"/>
      <c r="AYO18" s="88"/>
      <c r="AYP18" s="88"/>
      <c r="AYQ18" s="88"/>
      <c r="AYR18" s="88"/>
      <c r="AYS18" s="88"/>
      <c r="AYT18" s="88"/>
      <c r="AYU18" s="88"/>
      <c r="AYV18" s="88"/>
      <c r="AYW18" s="88"/>
      <c r="AYX18" s="88"/>
      <c r="AYY18" s="88"/>
      <c r="AYZ18" s="88"/>
      <c r="AZA18" s="88"/>
      <c r="AZB18" s="88"/>
      <c r="AZC18" s="88"/>
      <c r="AZD18" s="88"/>
      <c r="AZE18" s="88"/>
      <c r="AZF18" s="88"/>
      <c r="AZG18" s="88"/>
      <c r="AZH18" s="88"/>
      <c r="AZI18" s="88"/>
      <c r="AZJ18" s="88"/>
      <c r="AZK18" s="88"/>
      <c r="AZL18" s="88"/>
      <c r="AZM18" s="88"/>
      <c r="AZN18" s="88"/>
      <c r="AZO18" s="88"/>
      <c r="AZP18" s="88"/>
      <c r="AZQ18" s="88"/>
      <c r="AZR18" s="88"/>
      <c r="AZS18" s="88"/>
      <c r="AZT18" s="88"/>
      <c r="AZU18" s="88"/>
      <c r="AZV18" s="88"/>
      <c r="AZW18" s="88"/>
      <c r="AZX18" s="88"/>
      <c r="AZY18" s="88"/>
      <c r="AZZ18" s="88"/>
      <c r="BAA18" s="88"/>
      <c r="BAB18" s="88"/>
      <c r="BAC18" s="88"/>
      <c r="BAD18" s="88"/>
      <c r="BAE18" s="88"/>
      <c r="BAF18" s="88"/>
      <c r="BAG18" s="88"/>
      <c r="BAH18" s="88"/>
      <c r="BAI18" s="88"/>
      <c r="BAJ18" s="88"/>
      <c r="BAK18" s="88"/>
      <c r="BAL18" s="88"/>
      <c r="BAM18" s="88"/>
      <c r="BAN18" s="88"/>
      <c r="BAO18" s="88"/>
      <c r="BAP18" s="88"/>
      <c r="BAQ18" s="88"/>
      <c r="BAR18" s="88"/>
      <c r="BAS18" s="88"/>
      <c r="BAT18" s="88"/>
      <c r="BAU18" s="88"/>
      <c r="BAV18" s="88"/>
      <c r="BAW18" s="88"/>
      <c r="BAX18" s="88"/>
      <c r="BAY18" s="88"/>
      <c r="BAZ18" s="88"/>
      <c r="BBA18" s="88"/>
      <c r="BBB18" s="88"/>
      <c r="BBC18" s="88"/>
      <c r="BBD18" s="88"/>
      <c r="BBE18" s="88"/>
      <c r="BBF18" s="88"/>
      <c r="BBG18" s="88"/>
      <c r="BBH18" s="88"/>
      <c r="BBI18" s="88"/>
      <c r="BBJ18" s="88"/>
      <c r="BBK18" s="88"/>
      <c r="BBL18" s="88"/>
      <c r="BBM18" s="88"/>
      <c r="BBN18" s="88"/>
      <c r="BBO18" s="88"/>
      <c r="BBP18" s="88"/>
      <c r="BBQ18" s="88"/>
      <c r="BBR18" s="88"/>
      <c r="BBS18" s="88"/>
      <c r="BBT18" s="88"/>
      <c r="BBU18" s="88"/>
      <c r="BBV18" s="88"/>
      <c r="BBW18" s="88"/>
      <c r="BBX18" s="88"/>
      <c r="BBY18" s="88"/>
      <c r="BBZ18" s="88"/>
      <c r="BCA18" s="88"/>
      <c r="BCB18" s="88"/>
      <c r="BCC18" s="88"/>
      <c r="BCD18" s="88"/>
      <c r="BCE18" s="88"/>
      <c r="BCF18" s="88"/>
      <c r="BCG18" s="88"/>
      <c r="BCH18" s="88"/>
      <c r="BCI18" s="88"/>
      <c r="BCJ18" s="88"/>
      <c r="BCK18" s="88"/>
      <c r="BCL18" s="88"/>
      <c r="BCM18" s="88"/>
      <c r="BCN18" s="88"/>
      <c r="BCO18" s="88"/>
      <c r="BCP18" s="88"/>
      <c r="BCQ18" s="88"/>
      <c r="BCR18" s="88"/>
      <c r="BCS18" s="88"/>
      <c r="BCT18" s="88"/>
      <c r="BCU18" s="88"/>
      <c r="BCV18" s="88"/>
      <c r="BCW18" s="88"/>
      <c r="BCX18" s="88"/>
      <c r="BCY18" s="88"/>
      <c r="BCZ18" s="88"/>
      <c r="BDA18" s="88"/>
      <c r="BDB18" s="88"/>
      <c r="BDC18" s="88"/>
      <c r="BDD18" s="88"/>
      <c r="BDE18" s="88"/>
      <c r="BDF18" s="88"/>
      <c r="BDG18" s="88"/>
      <c r="BDH18" s="88"/>
      <c r="BDI18" s="88"/>
      <c r="BDJ18" s="88"/>
      <c r="BDK18" s="88"/>
      <c r="BDL18" s="88"/>
      <c r="BDM18" s="88"/>
      <c r="BDN18" s="88"/>
      <c r="BDO18" s="88"/>
      <c r="BDP18" s="88"/>
      <c r="BDQ18" s="88"/>
      <c r="BDR18" s="88"/>
      <c r="BDS18" s="88"/>
      <c r="BDT18" s="88"/>
      <c r="BDU18" s="88"/>
      <c r="BDV18" s="88"/>
      <c r="BDW18" s="88"/>
      <c r="BDX18" s="88"/>
      <c r="BDY18" s="88"/>
      <c r="BDZ18" s="88"/>
      <c r="BEA18" s="88"/>
      <c r="BEB18" s="88"/>
      <c r="BEC18" s="88"/>
      <c r="BED18" s="88"/>
      <c r="BEE18" s="88"/>
      <c r="BEF18" s="88"/>
      <c r="BEG18" s="88"/>
      <c r="BEH18" s="88"/>
      <c r="BEI18" s="88"/>
      <c r="BEJ18" s="88"/>
      <c r="BEK18" s="88"/>
      <c r="BEL18" s="88"/>
      <c r="BEM18" s="88"/>
      <c r="BEN18" s="88"/>
      <c r="BEO18" s="88"/>
      <c r="BEP18" s="88"/>
      <c r="BEQ18" s="88"/>
      <c r="BER18" s="88"/>
      <c r="BES18" s="88"/>
      <c r="BET18" s="88"/>
      <c r="BEU18" s="88"/>
      <c r="BEV18" s="88"/>
      <c r="BEW18" s="88"/>
      <c r="BEX18" s="88"/>
      <c r="BEY18" s="88"/>
      <c r="BEZ18" s="88"/>
      <c r="BFA18" s="88"/>
      <c r="BFB18" s="88"/>
      <c r="BFC18" s="88"/>
      <c r="BFD18" s="88"/>
      <c r="BFE18" s="88"/>
      <c r="BFF18" s="88"/>
      <c r="BFG18" s="88"/>
      <c r="BFH18" s="88"/>
      <c r="BFI18" s="88"/>
      <c r="BFJ18" s="88"/>
      <c r="BFK18" s="88"/>
      <c r="BFL18" s="88"/>
      <c r="BFM18" s="88"/>
      <c r="BFN18" s="88"/>
      <c r="BFO18" s="88"/>
      <c r="BFP18" s="88"/>
      <c r="BFQ18" s="88"/>
      <c r="BFR18" s="88"/>
      <c r="BFS18" s="88"/>
      <c r="BFT18" s="88"/>
      <c r="BFU18" s="88"/>
      <c r="BFV18" s="88"/>
      <c r="BFW18" s="88"/>
      <c r="BFX18" s="88"/>
      <c r="BFY18" s="88"/>
      <c r="BFZ18" s="88"/>
      <c r="BGA18" s="88"/>
      <c r="BGB18" s="88"/>
      <c r="BGC18" s="88"/>
      <c r="BGD18" s="88"/>
      <c r="BGE18" s="88"/>
      <c r="BGF18" s="88"/>
      <c r="BGG18" s="88"/>
      <c r="BGH18" s="88"/>
      <c r="BGI18" s="88"/>
      <c r="BGJ18" s="88"/>
      <c r="BGK18" s="88"/>
      <c r="BGL18" s="88"/>
      <c r="BGM18" s="88"/>
      <c r="BGN18" s="88"/>
      <c r="BGO18" s="88"/>
      <c r="BGP18" s="88"/>
      <c r="BGQ18" s="88"/>
      <c r="BGR18" s="88"/>
      <c r="BGS18" s="88"/>
      <c r="BGT18" s="88"/>
      <c r="BGU18" s="88"/>
      <c r="BGV18" s="88"/>
      <c r="BGW18" s="88"/>
      <c r="BGX18" s="88"/>
      <c r="BGY18" s="88"/>
      <c r="BGZ18" s="88"/>
      <c r="BHA18" s="88"/>
      <c r="BHB18" s="88"/>
      <c r="BHC18" s="88"/>
      <c r="BHD18" s="88"/>
      <c r="BHE18" s="88"/>
      <c r="BHF18" s="88"/>
      <c r="BHG18" s="88"/>
      <c r="BHH18" s="88"/>
      <c r="BHI18" s="88"/>
      <c r="BHJ18" s="88"/>
      <c r="BHK18" s="88"/>
      <c r="BHL18" s="88"/>
      <c r="BHM18" s="88"/>
      <c r="BHN18" s="88"/>
      <c r="BHO18" s="88"/>
      <c r="BHP18" s="88"/>
      <c r="BHQ18" s="88"/>
      <c r="BHR18" s="88"/>
      <c r="BHS18" s="88"/>
      <c r="BHT18" s="88"/>
      <c r="BHU18" s="88"/>
      <c r="BHV18" s="88"/>
      <c r="BHW18" s="88"/>
      <c r="BHX18" s="88"/>
      <c r="BHY18" s="88"/>
      <c r="BHZ18" s="88"/>
      <c r="BIA18" s="88"/>
      <c r="BIB18" s="88"/>
      <c r="BIC18" s="88"/>
      <c r="BID18" s="88"/>
      <c r="BIE18" s="88"/>
      <c r="BIF18" s="88"/>
      <c r="BIG18" s="88"/>
      <c r="BIH18" s="88"/>
      <c r="BII18" s="88"/>
      <c r="BIJ18" s="88"/>
      <c r="BIK18" s="88"/>
      <c r="BIL18" s="88"/>
      <c r="BIM18" s="88"/>
      <c r="BIN18" s="88"/>
      <c r="BIO18" s="88"/>
      <c r="BIP18" s="88"/>
      <c r="BIQ18" s="88"/>
      <c r="BIR18" s="88"/>
      <c r="BIS18" s="88"/>
      <c r="BIT18" s="88"/>
      <c r="BIU18" s="88"/>
      <c r="BIV18" s="88"/>
      <c r="BIW18" s="88"/>
      <c r="BIX18" s="88"/>
      <c r="BIY18" s="88"/>
      <c r="BIZ18" s="88"/>
      <c r="BJA18" s="88"/>
      <c r="BJB18" s="88"/>
      <c r="BJC18" s="88"/>
      <c r="BJD18" s="88"/>
      <c r="BJE18" s="88"/>
      <c r="BJF18" s="88"/>
      <c r="BJG18" s="88"/>
      <c r="BJH18" s="88"/>
      <c r="BJI18" s="88"/>
      <c r="BJJ18" s="88"/>
      <c r="BJK18" s="88"/>
      <c r="BJL18" s="88"/>
      <c r="BJM18" s="88"/>
      <c r="BJN18" s="88"/>
      <c r="BJO18" s="88"/>
      <c r="BJP18" s="88"/>
      <c r="BJQ18" s="88"/>
      <c r="BJR18" s="88"/>
      <c r="BJS18" s="88"/>
      <c r="BJT18" s="88"/>
      <c r="BJU18" s="88"/>
      <c r="BJV18" s="88"/>
      <c r="BJW18" s="88"/>
      <c r="BJX18" s="88"/>
      <c r="BJY18" s="88"/>
      <c r="BJZ18" s="88"/>
      <c r="BKA18" s="88"/>
      <c r="BKB18" s="88"/>
      <c r="BKC18" s="88"/>
      <c r="BKD18" s="88"/>
      <c r="BKE18" s="88"/>
      <c r="BKF18" s="88"/>
      <c r="BKG18" s="88"/>
      <c r="BKH18" s="88"/>
      <c r="BKI18" s="88"/>
      <c r="BKJ18" s="88"/>
      <c r="BKK18" s="88"/>
      <c r="BKL18" s="88"/>
      <c r="BKM18" s="88"/>
      <c r="BKN18" s="88"/>
      <c r="BKO18" s="88"/>
      <c r="BKP18" s="88"/>
      <c r="BKQ18" s="88"/>
      <c r="BKR18" s="88"/>
      <c r="BKS18" s="88"/>
      <c r="BKT18" s="88"/>
      <c r="BKU18" s="88"/>
      <c r="BKV18" s="88"/>
      <c r="BKW18" s="88"/>
      <c r="BKX18" s="88"/>
      <c r="BKY18" s="88"/>
      <c r="BKZ18" s="88"/>
      <c r="BLA18" s="88"/>
      <c r="BLB18" s="88"/>
      <c r="BLC18" s="88"/>
      <c r="BLD18" s="88"/>
      <c r="BLE18" s="88"/>
      <c r="BLF18" s="88"/>
      <c r="BLG18" s="88"/>
      <c r="BLH18" s="88"/>
      <c r="BLI18" s="88"/>
      <c r="BLJ18" s="88"/>
      <c r="BLK18" s="88"/>
      <c r="BLL18" s="88"/>
      <c r="BLM18" s="88"/>
      <c r="BLN18" s="88"/>
      <c r="BLO18" s="88"/>
      <c r="BLP18" s="88"/>
      <c r="BLQ18" s="88"/>
      <c r="BLR18" s="88"/>
      <c r="BLS18" s="88"/>
      <c r="BLT18" s="88"/>
      <c r="BLU18" s="88"/>
      <c r="BLV18" s="88"/>
      <c r="BLW18" s="88"/>
      <c r="BLX18" s="88"/>
      <c r="BLY18" s="88"/>
      <c r="BLZ18" s="88"/>
      <c r="BMA18" s="88"/>
      <c r="BMB18" s="88"/>
      <c r="BMC18" s="88"/>
      <c r="BMD18" s="88"/>
      <c r="BME18" s="88"/>
      <c r="BMF18" s="88"/>
      <c r="BMG18" s="88"/>
      <c r="BMH18" s="88"/>
      <c r="BMI18" s="88"/>
      <c r="BMJ18" s="88"/>
      <c r="BMK18" s="88"/>
      <c r="BML18" s="88"/>
      <c r="BMM18" s="88"/>
      <c r="BMN18" s="88"/>
      <c r="BMO18" s="88"/>
      <c r="BMP18" s="88"/>
      <c r="BMQ18" s="88"/>
      <c r="BMR18" s="88"/>
      <c r="BMS18" s="88"/>
      <c r="BMT18" s="88"/>
      <c r="BMU18" s="88"/>
      <c r="BMV18" s="88"/>
      <c r="BMW18" s="88"/>
      <c r="BMX18" s="88"/>
      <c r="BMY18" s="88"/>
      <c r="BMZ18" s="88"/>
      <c r="BNA18" s="88"/>
      <c r="BNB18" s="88"/>
      <c r="BNC18" s="88"/>
      <c r="BND18" s="88"/>
      <c r="BNE18" s="88"/>
      <c r="BNF18" s="88"/>
      <c r="BNG18" s="88"/>
      <c r="BNH18" s="88"/>
      <c r="BNI18" s="88"/>
      <c r="BNJ18" s="88"/>
      <c r="BNK18" s="88"/>
      <c r="BNL18" s="88"/>
      <c r="BNM18" s="88"/>
      <c r="BNN18" s="88"/>
      <c r="BNO18" s="88"/>
      <c r="BNP18" s="88"/>
      <c r="BNQ18" s="88"/>
      <c r="BNR18" s="88"/>
      <c r="BNS18" s="88"/>
      <c r="BNT18" s="88"/>
      <c r="BNU18" s="88"/>
      <c r="BNV18" s="88"/>
      <c r="BNW18" s="88"/>
      <c r="BNX18" s="88"/>
      <c r="BNY18" s="88"/>
      <c r="BNZ18" s="88"/>
      <c r="BOA18" s="88"/>
      <c r="BOB18" s="88"/>
      <c r="BOC18" s="88"/>
      <c r="BOD18" s="88"/>
      <c r="BOE18" s="88"/>
      <c r="BOF18" s="88"/>
      <c r="BOG18" s="88"/>
      <c r="BOH18" s="88"/>
      <c r="BOI18" s="88"/>
      <c r="BOJ18" s="88"/>
      <c r="BOK18" s="88"/>
      <c r="BOL18" s="88"/>
      <c r="BOM18" s="88"/>
      <c r="BON18" s="88"/>
      <c r="BOO18" s="88"/>
      <c r="BOP18" s="88"/>
      <c r="BOQ18" s="88"/>
      <c r="BOR18" s="88"/>
      <c r="BOS18" s="88"/>
      <c r="BOT18" s="88"/>
      <c r="BOU18" s="88"/>
      <c r="BOV18" s="88"/>
      <c r="BOW18" s="88"/>
      <c r="BOX18" s="88"/>
      <c r="BOY18" s="88"/>
      <c r="BOZ18" s="88"/>
      <c r="BPA18" s="88"/>
      <c r="BPB18" s="88"/>
      <c r="BPC18" s="88"/>
      <c r="BPD18" s="88"/>
      <c r="BPE18" s="88"/>
      <c r="BPF18" s="88"/>
      <c r="BPG18" s="88"/>
      <c r="BPH18" s="88"/>
      <c r="BPI18" s="88"/>
      <c r="BPJ18" s="88"/>
      <c r="BPK18" s="88"/>
      <c r="BPL18" s="88"/>
      <c r="BPM18" s="88"/>
      <c r="BPN18" s="88"/>
      <c r="BPO18" s="88"/>
      <c r="BPP18" s="88"/>
      <c r="BPQ18" s="88"/>
      <c r="BPR18" s="88"/>
      <c r="BPS18" s="88"/>
      <c r="BPT18" s="88"/>
      <c r="BPU18" s="88"/>
      <c r="BPV18" s="88"/>
      <c r="BPW18" s="88"/>
      <c r="BPX18" s="88"/>
      <c r="BPY18" s="88"/>
      <c r="BPZ18" s="88"/>
      <c r="BQA18" s="88"/>
      <c r="BQB18" s="88"/>
      <c r="BQC18" s="88"/>
      <c r="BQD18" s="88"/>
      <c r="BQE18" s="88"/>
      <c r="BQF18" s="88"/>
      <c r="BQG18" s="88"/>
      <c r="BQH18" s="88"/>
      <c r="BQI18" s="88"/>
      <c r="BQJ18" s="88"/>
      <c r="BQK18" s="88"/>
      <c r="BQL18" s="88"/>
      <c r="BQM18" s="88"/>
      <c r="BQN18" s="88"/>
      <c r="BQO18" s="88"/>
      <c r="BQP18" s="88"/>
      <c r="BQQ18" s="88"/>
      <c r="BQR18" s="88"/>
      <c r="BQS18" s="88"/>
      <c r="BQT18" s="88"/>
      <c r="BQU18" s="88"/>
      <c r="BQV18" s="88"/>
      <c r="BQW18" s="88"/>
      <c r="BQX18" s="88"/>
      <c r="BQY18" s="88"/>
      <c r="BQZ18" s="88"/>
      <c r="BRA18" s="88"/>
      <c r="BRB18" s="88"/>
      <c r="BRC18" s="88"/>
      <c r="BRD18" s="88"/>
      <c r="BRE18" s="88"/>
      <c r="BRF18" s="88"/>
      <c r="BRG18" s="88"/>
      <c r="BRH18" s="88"/>
      <c r="BRI18" s="88"/>
      <c r="BRJ18" s="88"/>
      <c r="BRK18" s="88"/>
      <c r="BRL18" s="88"/>
      <c r="BRM18" s="88"/>
      <c r="BRN18" s="88"/>
      <c r="BRO18" s="88"/>
      <c r="BRP18" s="88"/>
      <c r="BRQ18" s="88"/>
      <c r="BRR18" s="88"/>
      <c r="BRS18" s="88"/>
      <c r="BRT18" s="88"/>
      <c r="BRU18" s="88"/>
      <c r="BRV18" s="88"/>
      <c r="BRW18" s="88"/>
      <c r="BRX18" s="88"/>
      <c r="BRY18" s="88"/>
      <c r="BRZ18" s="88"/>
      <c r="BSA18" s="88"/>
      <c r="BSB18" s="88"/>
      <c r="BSC18" s="88"/>
      <c r="BSD18" s="88"/>
      <c r="BSE18" s="88"/>
      <c r="BSF18" s="88"/>
      <c r="BSG18" s="88"/>
      <c r="BSH18" s="88"/>
      <c r="BSI18" s="88"/>
      <c r="BSJ18" s="88"/>
      <c r="BSK18" s="88"/>
      <c r="BSL18" s="88"/>
      <c r="BSM18" s="88"/>
      <c r="BSN18" s="88"/>
      <c r="BSO18" s="88"/>
      <c r="BSP18" s="88"/>
      <c r="BSQ18" s="88"/>
      <c r="BSR18" s="88"/>
      <c r="BSS18" s="88"/>
      <c r="BST18" s="88"/>
      <c r="BSU18" s="88"/>
      <c r="BSV18" s="88"/>
      <c r="BSW18" s="88"/>
      <c r="BSX18" s="88"/>
      <c r="BSY18" s="88"/>
      <c r="BSZ18" s="88"/>
      <c r="BTA18" s="88"/>
      <c r="BTB18" s="88"/>
      <c r="BTC18" s="88"/>
      <c r="BTD18" s="88"/>
      <c r="BTE18" s="88"/>
      <c r="BTF18" s="88"/>
      <c r="BTG18" s="88"/>
      <c r="BTH18" s="88"/>
      <c r="BTI18" s="88"/>
      <c r="BTJ18" s="88"/>
      <c r="BTK18" s="88"/>
      <c r="BTL18" s="88"/>
      <c r="BTM18" s="88"/>
      <c r="BTN18" s="88"/>
      <c r="BTO18" s="88"/>
      <c r="BTP18" s="88"/>
      <c r="BTQ18" s="88"/>
      <c r="BTR18" s="88"/>
      <c r="BTS18" s="88"/>
      <c r="BTT18" s="88"/>
      <c r="BTU18" s="88"/>
      <c r="BTV18" s="88"/>
      <c r="BTW18" s="88"/>
      <c r="BTX18" s="88"/>
      <c r="BTY18" s="88"/>
      <c r="BTZ18" s="88"/>
      <c r="BUA18" s="88"/>
      <c r="BUB18" s="88"/>
      <c r="BUC18" s="88"/>
      <c r="BUD18" s="88"/>
      <c r="BUE18" s="88"/>
      <c r="BUF18" s="88"/>
      <c r="BUG18" s="88"/>
      <c r="BUH18" s="88"/>
      <c r="BUI18" s="88"/>
      <c r="BUJ18" s="88"/>
      <c r="BUK18" s="88"/>
      <c r="BUL18" s="88"/>
      <c r="BUM18" s="88"/>
      <c r="BUN18" s="88"/>
      <c r="BUO18" s="88"/>
      <c r="BUP18" s="88"/>
      <c r="BUQ18" s="88"/>
      <c r="BUR18" s="88"/>
      <c r="BUS18" s="88"/>
      <c r="BUT18" s="88"/>
      <c r="BUU18" s="88"/>
      <c r="BUV18" s="88"/>
      <c r="BUW18" s="88"/>
      <c r="BUX18" s="88"/>
      <c r="BUY18" s="88"/>
      <c r="BUZ18" s="88"/>
      <c r="BVA18" s="88"/>
      <c r="BVB18" s="88"/>
      <c r="BVC18" s="88"/>
      <c r="BVD18" s="88"/>
      <c r="BVE18" s="88"/>
      <c r="BVF18" s="88"/>
      <c r="BVG18" s="88"/>
      <c r="BVH18" s="88"/>
      <c r="BVI18" s="88"/>
      <c r="BVJ18" s="88"/>
      <c r="BVK18" s="88"/>
      <c r="BVL18" s="88"/>
      <c r="BVM18" s="88"/>
      <c r="BVN18" s="88"/>
      <c r="BVO18" s="88"/>
      <c r="BVP18" s="88"/>
      <c r="BVQ18" s="88"/>
      <c r="BVR18" s="88"/>
      <c r="BVS18" s="88"/>
      <c r="BVT18" s="88"/>
      <c r="BVU18" s="88"/>
      <c r="BVV18" s="88"/>
      <c r="BVW18" s="88"/>
      <c r="BVX18" s="88"/>
      <c r="BVY18" s="88"/>
      <c r="BVZ18" s="88"/>
      <c r="BWA18" s="88"/>
      <c r="BWB18" s="88"/>
      <c r="BWC18" s="88"/>
      <c r="BWD18" s="88"/>
      <c r="BWE18" s="88"/>
      <c r="BWF18" s="88"/>
      <c r="BWG18" s="88"/>
      <c r="BWH18" s="88"/>
      <c r="BWI18" s="88"/>
      <c r="BWJ18" s="88"/>
      <c r="BWK18" s="88"/>
      <c r="BWL18" s="88"/>
      <c r="BWM18" s="88"/>
      <c r="BWN18" s="88"/>
      <c r="BWO18" s="88"/>
      <c r="BWP18" s="88"/>
      <c r="BWQ18" s="88"/>
      <c r="BWR18" s="88"/>
      <c r="BWS18" s="88"/>
      <c r="BWT18" s="88"/>
      <c r="BWU18" s="88"/>
      <c r="BWV18" s="88"/>
      <c r="BWW18" s="88"/>
      <c r="BWX18" s="88"/>
      <c r="BWY18" s="88"/>
      <c r="BWZ18" s="88"/>
      <c r="BXA18" s="88"/>
      <c r="BXB18" s="88"/>
      <c r="BXC18" s="88"/>
      <c r="BXD18" s="88"/>
      <c r="BXE18" s="88"/>
      <c r="BXF18" s="88"/>
      <c r="BXG18" s="88"/>
      <c r="BXH18" s="88"/>
      <c r="BXI18" s="88"/>
      <c r="BXJ18" s="88"/>
      <c r="BXK18" s="88"/>
      <c r="BXL18" s="88"/>
      <c r="BXM18" s="88"/>
      <c r="BXN18" s="88"/>
      <c r="BXO18" s="88"/>
      <c r="BXP18" s="88"/>
      <c r="BXQ18" s="88"/>
      <c r="BXR18" s="88"/>
      <c r="BXS18" s="88"/>
      <c r="BXT18" s="88"/>
      <c r="BXU18" s="88"/>
      <c r="BXV18" s="88"/>
      <c r="BXW18" s="88"/>
      <c r="BXX18" s="88"/>
      <c r="BXY18" s="88"/>
      <c r="BXZ18" s="88"/>
      <c r="BYA18" s="88"/>
      <c r="BYB18" s="88"/>
      <c r="BYC18" s="88"/>
      <c r="BYD18" s="88"/>
      <c r="BYE18" s="88"/>
      <c r="BYF18" s="88"/>
      <c r="BYG18" s="88"/>
      <c r="BYH18" s="88"/>
      <c r="BYI18" s="88"/>
      <c r="BYJ18" s="88"/>
      <c r="BYK18" s="88"/>
      <c r="BYL18" s="88"/>
      <c r="BYM18" s="88"/>
      <c r="BYN18" s="88"/>
      <c r="BYO18" s="88"/>
      <c r="BYP18" s="88"/>
      <c r="BYQ18" s="88"/>
      <c r="BYR18" s="88"/>
      <c r="BYS18" s="88"/>
      <c r="BYT18" s="88"/>
      <c r="BYU18" s="88"/>
      <c r="BYV18" s="88"/>
      <c r="BYW18" s="88"/>
      <c r="BYX18" s="88"/>
      <c r="BYY18" s="88"/>
      <c r="BYZ18" s="88"/>
      <c r="BZA18" s="88"/>
      <c r="BZB18" s="88"/>
      <c r="BZC18" s="88"/>
      <c r="BZD18" s="88"/>
      <c r="BZE18" s="88"/>
      <c r="BZF18" s="88"/>
      <c r="BZG18" s="88"/>
      <c r="BZH18" s="88"/>
      <c r="BZI18" s="88"/>
      <c r="BZJ18" s="88"/>
      <c r="BZK18" s="88"/>
      <c r="BZL18" s="88"/>
      <c r="BZM18" s="88"/>
      <c r="BZN18" s="88"/>
      <c r="BZO18" s="88"/>
      <c r="BZP18" s="88"/>
      <c r="BZQ18" s="88"/>
      <c r="BZR18" s="88"/>
      <c r="BZS18" s="88"/>
      <c r="BZT18" s="88"/>
      <c r="BZU18" s="88"/>
      <c r="BZV18" s="88"/>
      <c r="BZW18" s="88"/>
      <c r="BZX18" s="88"/>
      <c r="BZY18" s="88"/>
      <c r="BZZ18" s="88"/>
      <c r="CAA18" s="88"/>
      <c r="CAB18" s="88"/>
      <c r="CAC18" s="88"/>
      <c r="CAD18" s="88"/>
      <c r="CAE18" s="88"/>
      <c r="CAF18" s="88"/>
      <c r="CAG18" s="88"/>
      <c r="CAH18" s="88"/>
      <c r="CAI18" s="88"/>
      <c r="CAJ18" s="88"/>
      <c r="CAK18" s="88"/>
      <c r="CAL18" s="88"/>
      <c r="CAM18" s="88"/>
      <c r="CAN18" s="88"/>
      <c r="CAO18" s="88"/>
      <c r="CAP18" s="88"/>
      <c r="CAQ18" s="88"/>
      <c r="CAR18" s="88"/>
      <c r="CAS18" s="88"/>
      <c r="CAT18" s="88"/>
      <c r="CAU18" s="88"/>
      <c r="CAV18" s="88"/>
      <c r="CAW18" s="88"/>
      <c r="CAX18" s="88"/>
      <c r="CAY18" s="88"/>
      <c r="CAZ18" s="88"/>
      <c r="CBA18" s="88"/>
      <c r="CBB18" s="88"/>
      <c r="CBC18" s="88"/>
      <c r="CBD18" s="88"/>
      <c r="CBE18" s="88"/>
      <c r="CBF18" s="88"/>
      <c r="CBG18" s="88"/>
      <c r="CBH18" s="88"/>
      <c r="CBI18" s="88"/>
      <c r="CBJ18" s="88"/>
      <c r="CBK18" s="88"/>
      <c r="CBL18" s="88"/>
      <c r="CBM18" s="88"/>
      <c r="CBN18" s="88"/>
      <c r="CBO18" s="88"/>
      <c r="CBP18" s="88"/>
      <c r="CBQ18" s="88"/>
      <c r="CBR18" s="88"/>
      <c r="CBS18" s="88"/>
      <c r="CBT18" s="88"/>
      <c r="CBU18" s="88"/>
      <c r="CBV18" s="88"/>
      <c r="CBW18" s="88"/>
      <c r="CBX18" s="88"/>
      <c r="CBY18" s="88"/>
      <c r="CBZ18" s="88"/>
      <c r="CCA18" s="88"/>
      <c r="CCB18" s="88"/>
      <c r="CCC18" s="88"/>
      <c r="CCD18" s="88"/>
      <c r="CCE18" s="88"/>
      <c r="CCF18" s="88"/>
      <c r="CCG18" s="88"/>
      <c r="CCH18" s="88"/>
      <c r="CCI18" s="88"/>
      <c r="CCJ18" s="88"/>
      <c r="CCK18" s="88"/>
      <c r="CCL18" s="88"/>
      <c r="CCM18" s="88"/>
      <c r="CCN18" s="88"/>
      <c r="CCO18" s="88"/>
      <c r="CCP18" s="88"/>
      <c r="CCQ18" s="88"/>
      <c r="CCR18" s="88"/>
      <c r="CCS18" s="88"/>
      <c r="CCT18" s="88"/>
      <c r="CCU18" s="88"/>
      <c r="CCV18" s="88"/>
      <c r="CCW18" s="88"/>
      <c r="CCX18" s="88"/>
      <c r="CCY18" s="88"/>
      <c r="CCZ18" s="88"/>
      <c r="CDA18" s="88"/>
      <c r="CDB18" s="88"/>
      <c r="CDC18" s="88"/>
      <c r="CDD18" s="88"/>
      <c r="CDE18" s="88"/>
      <c r="CDF18" s="88"/>
      <c r="CDG18" s="88"/>
      <c r="CDH18" s="88"/>
      <c r="CDI18" s="88"/>
      <c r="CDJ18" s="88"/>
      <c r="CDK18" s="88"/>
      <c r="CDL18" s="88"/>
      <c r="CDM18" s="88"/>
      <c r="CDN18" s="88"/>
      <c r="CDO18" s="88"/>
      <c r="CDP18" s="88"/>
      <c r="CDQ18" s="88"/>
      <c r="CDR18" s="88"/>
      <c r="CDS18" s="88"/>
      <c r="CDT18" s="88"/>
      <c r="CDU18" s="88"/>
      <c r="CDV18" s="88"/>
      <c r="CDW18" s="88"/>
      <c r="CDX18" s="88"/>
      <c r="CDY18" s="88"/>
      <c r="CDZ18" s="88"/>
      <c r="CEA18" s="88"/>
      <c r="CEB18" s="88"/>
      <c r="CEC18" s="88"/>
      <c r="CED18" s="88"/>
      <c r="CEE18" s="88"/>
      <c r="CEF18" s="88"/>
      <c r="CEG18" s="88"/>
      <c r="CEH18" s="88"/>
      <c r="CEI18" s="88"/>
      <c r="CEJ18" s="88"/>
      <c r="CEK18" s="88"/>
    </row>
    <row r="19" spans="1:2169" s="51" customFormat="1">
      <c r="A19" s="69" t="s">
        <v>399</v>
      </c>
      <c r="B19" s="70" t="s">
        <v>61</v>
      </c>
      <c r="C19" s="69" t="str">
        <f>IF('page 2'!$O$4="","",IF('page 2'!$O$4=Gestion!A19,1,0))</f>
        <v/>
      </c>
      <c r="D19" s="69" t="str">
        <f>IF('page 2'!$O$5="","",IF('page 2'!$O$5=Gestion!A19,1,0))</f>
        <v/>
      </c>
      <c r="E19" s="69" t="str">
        <f>IF('page 2'!$O$6="","",IF('page 2'!$O$6=Gestion!A19,1,0))</f>
        <v/>
      </c>
      <c r="F19" s="69" t="str">
        <f>IF('page 2'!$O$7="","",IF('page 2'!$O$7=Gestion!A19,1,0))</f>
        <v/>
      </c>
      <c r="G19" s="69" t="str">
        <f>IF('page 2'!$O$8="","",IF('page 2'!$O$8=Gestion!A19,1,0))</f>
        <v/>
      </c>
      <c r="H19" s="69" t="str">
        <f>IF('page 2'!$O$9="","",IF('page 2'!$O$9=Gestion!A19,1,0))</f>
        <v/>
      </c>
      <c r="I19" s="69" t="str">
        <f>IF('page 2'!$O$10="","",IF('page 2'!$O$10=Gestion!A19,1,0))</f>
        <v/>
      </c>
      <c r="J19" s="69" t="str">
        <f>IF('page 2'!$O$11="","",IF('page 2'!$O$11=Gestion!A19,1,0))</f>
        <v/>
      </c>
      <c r="K19" s="69" t="str">
        <f>IF('page 2'!$O$12="","",IF('page 2'!$O$12=Gestion!A19,1,0))</f>
        <v/>
      </c>
      <c r="L19" s="69" t="str">
        <f>IF('page 2'!$O$13="","",IF('page 2'!$O$13=Gestion!A19,1,0))</f>
        <v/>
      </c>
      <c r="M19" s="69" t="str">
        <f>IF('page 2'!$O$14="","",IF('page 2'!$O$14=Gestion!A19,1,0))</f>
        <v/>
      </c>
      <c r="N19" s="69" t="str">
        <f>IF('page 2'!$O$15="","",IF('page 2'!$O$15=Gestion!A19,1,0))</f>
        <v/>
      </c>
      <c r="O19" s="69" t="str">
        <f>IF('page 2'!$O$16="","",IF('page 2'!$O$16=Gestion!A19,1,0))</f>
        <v/>
      </c>
      <c r="P19" s="69" t="str">
        <f>IF('page 2'!$O$17="","",IF('page 2'!$O$17=Gestion!A19,1,0))</f>
        <v/>
      </c>
      <c r="Q19" s="69" t="str">
        <f>IF('page 2'!$O$18="","",IF('page 2'!$O$18=Gestion!A19,1,0))</f>
        <v/>
      </c>
      <c r="R19" s="69" t="str">
        <f>IF('page 2'!$O$19="","",IF('page 2'!$O$19=Gestion!A19,1,0))</f>
        <v/>
      </c>
      <c r="S19" s="69" t="str">
        <f>IF('page 2'!$O$20="","",IF('page 2'!$O$20=Gestion!A19,1,0))</f>
        <v/>
      </c>
      <c r="T19" s="69" t="str">
        <f>IF('page 2'!$O$25="","",IF('page 2'!$O$25=Gestion!A19,1,0))</f>
        <v/>
      </c>
      <c r="U19" s="69" t="str">
        <f>IF('page 2'!$O$26="","",IF('page 2'!$O$26=Gestion!A19,1,0))</f>
        <v/>
      </c>
      <c r="V19" s="69" t="str">
        <f>IF('page 2'!$O$27="","",IF('page 2'!$O$27=Gestion!A19,1,0))</f>
        <v/>
      </c>
      <c r="W19" s="723">
        <f t="shared" si="0"/>
        <v>0</v>
      </c>
      <c r="X19" s="713" t="s">
        <v>2632</v>
      </c>
      <c r="Y19" s="69" t="str">
        <f>IF('page 2'!O20="","",'page 2'!O20)</f>
        <v/>
      </c>
      <c r="Z19" s="69" t="str">
        <f>IF(Y19="","",VLOOKUP(Y19,'page 2'!$O$4:$Q$27,3,FALSE))</f>
        <v/>
      </c>
      <c r="AA19" s="69" t="str">
        <f t="shared" si="1"/>
        <v/>
      </c>
      <c r="AB19" s="542"/>
      <c r="AC19" s="542"/>
      <c r="AD19" s="542"/>
      <c r="AE19" s="88"/>
      <c r="AP19" s="130"/>
      <c r="AQ19" s="130"/>
      <c r="AR19" s="130"/>
      <c r="AS19" s="897"/>
      <c r="AT19" s="897"/>
      <c r="AU19" s="897"/>
      <c r="AV19" s="897"/>
      <c r="AW19" s="602"/>
      <c r="AX19" s="602"/>
      <c r="AY19" s="897"/>
      <c r="AZ19" s="897"/>
      <c r="BA19" s="897"/>
      <c r="BB19" s="897"/>
      <c r="BC19" s="897"/>
      <c r="BD19" s="576"/>
      <c r="BE19" s="602"/>
      <c r="BF19" s="602"/>
      <c r="BG19" s="602"/>
      <c r="BH19" s="602"/>
      <c r="BI19" s="602"/>
      <c r="BJ19" s="602"/>
      <c r="BK19" s="602"/>
      <c r="BL19" s="602"/>
      <c r="BM19" s="602"/>
      <c r="BN19" s="602"/>
      <c r="BO19" s="602"/>
      <c r="BP19" s="602"/>
      <c r="BQ19" s="602"/>
      <c r="BR19" s="602"/>
      <c r="BS19" s="897"/>
      <c r="BT19" s="897"/>
      <c r="BU19" s="897"/>
      <c r="BV19" s="897"/>
      <c r="BW19" s="602"/>
      <c r="BX19" s="602"/>
      <c r="BY19" s="602"/>
      <c r="BZ19" s="897"/>
      <c r="CA19" s="602"/>
      <c r="CB19" s="602"/>
      <c r="CC19" s="576"/>
      <c r="CD19" s="602"/>
      <c r="CE19" s="602"/>
      <c r="CF19" s="576"/>
      <c r="CG19" s="576"/>
      <c r="CH19" s="576"/>
      <c r="CI19" s="576"/>
      <c r="CJ19" s="576"/>
      <c r="CK19" s="602"/>
      <c r="CL19" s="602"/>
      <c r="CM19" s="576"/>
      <c r="CN19" s="602"/>
      <c r="CO19" s="602"/>
      <c r="CP19" s="602"/>
      <c r="CQ19" s="576"/>
      <c r="CR19" s="576"/>
      <c r="CS19" s="602"/>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c r="IW19" s="88"/>
      <c r="IX19" s="88"/>
      <c r="IY19" s="88"/>
      <c r="IZ19" s="88"/>
      <c r="JA19" s="88"/>
      <c r="JB19" s="88"/>
      <c r="JC19" s="88"/>
      <c r="JD19" s="88"/>
      <c r="JE19" s="88"/>
      <c r="JF19" s="88"/>
      <c r="JG19" s="88"/>
      <c r="JH19" s="88"/>
      <c r="JI19" s="88"/>
      <c r="JJ19" s="88"/>
      <c r="JK19" s="88"/>
      <c r="JL19" s="88"/>
      <c r="JM19" s="88"/>
      <c r="JN19" s="88"/>
      <c r="JO19" s="88"/>
      <c r="JP19" s="88"/>
      <c r="JQ19" s="88"/>
      <c r="JR19" s="88"/>
      <c r="JS19" s="88"/>
      <c r="JT19" s="88"/>
      <c r="JU19" s="88"/>
      <c r="JV19" s="88"/>
      <c r="JW19" s="88"/>
      <c r="JX19" s="88"/>
      <c r="JY19" s="88"/>
      <c r="JZ19" s="88"/>
      <c r="KA19" s="88"/>
      <c r="KB19" s="88"/>
      <c r="KC19" s="88"/>
      <c r="KD19" s="88"/>
      <c r="KE19" s="88"/>
      <c r="KF19" s="88"/>
      <c r="KG19" s="88"/>
      <c r="KH19" s="88"/>
      <c r="KI19" s="88"/>
      <c r="KJ19" s="88"/>
      <c r="KK19" s="88"/>
      <c r="KL19" s="88"/>
      <c r="KM19" s="88"/>
      <c r="KN19" s="88"/>
      <c r="KO19" s="88"/>
      <c r="KP19" s="88"/>
      <c r="KQ19" s="88"/>
      <c r="KR19" s="88"/>
      <c r="KS19" s="88"/>
      <c r="KT19" s="88"/>
      <c r="KU19" s="88"/>
      <c r="KV19" s="88"/>
      <c r="KW19" s="88"/>
      <c r="KX19" s="88"/>
      <c r="KY19" s="88"/>
      <c r="KZ19" s="88"/>
      <c r="LA19" s="88"/>
      <c r="LB19" s="88"/>
      <c r="LC19" s="88"/>
      <c r="LD19" s="88"/>
      <c r="LE19" s="88"/>
      <c r="LF19" s="88"/>
      <c r="LG19" s="88"/>
      <c r="LH19" s="88"/>
      <c r="LI19" s="88"/>
      <c r="LJ19" s="88"/>
      <c r="LK19" s="88"/>
      <c r="LL19" s="88"/>
      <c r="LM19" s="88"/>
      <c r="LN19" s="88"/>
      <c r="LO19" s="88"/>
      <c r="LP19" s="88"/>
      <c r="LQ19" s="88"/>
      <c r="LR19" s="88"/>
      <c r="LS19" s="88"/>
      <c r="LT19" s="88"/>
      <c r="LU19" s="88"/>
      <c r="LV19" s="88"/>
      <c r="LW19" s="88"/>
      <c r="LX19" s="88"/>
      <c r="LY19" s="88"/>
      <c r="LZ19" s="88"/>
      <c r="MA19" s="88"/>
      <c r="MB19" s="88"/>
      <c r="MC19" s="88"/>
      <c r="MD19" s="88"/>
      <c r="ME19" s="88"/>
      <c r="MF19" s="88"/>
      <c r="MG19" s="88"/>
      <c r="MH19" s="88"/>
      <c r="MI19" s="88"/>
      <c r="MJ19" s="88"/>
      <c r="MK19" s="88"/>
      <c r="ML19" s="88"/>
      <c r="MM19" s="88"/>
      <c r="MN19" s="88"/>
      <c r="MO19" s="88"/>
      <c r="MP19" s="88"/>
      <c r="MQ19" s="88"/>
      <c r="MR19" s="88"/>
      <c r="MS19" s="88"/>
      <c r="MT19" s="88"/>
      <c r="MU19" s="88"/>
      <c r="MV19" s="88"/>
      <c r="MW19" s="88"/>
      <c r="MX19" s="88"/>
      <c r="MY19" s="88"/>
      <c r="MZ19" s="88"/>
      <c r="NA19" s="88"/>
      <c r="NB19" s="88"/>
      <c r="NC19" s="88"/>
      <c r="ND19" s="88"/>
      <c r="NE19" s="88"/>
      <c r="NF19" s="88"/>
      <c r="NG19" s="88"/>
      <c r="NH19" s="88"/>
      <c r="NI19" s="88"/>
      <c r="NJ19" s="88"/>
      <c r="NK19" s="88"/>
      <c r="NL19" s="88"/>
      <c r="NM19" s="88"/>
      <c r="NN19" s="88"/>
      <c r="NO19" s="88"/>
      <c r="NP19" s="88"/>
      <c r="NQ19" s="88"/>
      <c r="NR19" s="88"/>
      <c r="NS19" s="88"/>
      <c r="NT19" s="88"/>
      <c r="NU19" s="88"/>
      <c r="NV19" s="88"/>
      <c r="NW19" s="88"/>
      <c r="NX19" s="88"/>
      <c r="NY19" s="88"/>
      <c r="NZ19" s="88"/>
      <c r="OA19" s="88"/>
      <c r="OB19" s="88"/>
      <c r="OC19" s="88"/>
      <c r="OD19" s="88"/>
      <c r="OE19" s="88"/>
      <c r="OF19" s="88"/>
      <c r="OG19" s="88"/>
      <c r="OH19" s="88"/>
      <c r="OI19" s="88"/>
      <c r="OJ19" s="88"/>
      <c r="OK19" s="88"/>
      <c r="OL19" s="88"/>
      <c r="OM19" s="88"/>
      <c r="ON19" s="88"/>
      <c r="OO19" s="88"/>
      <c r="OP19" s="88"/>
      <c r="OQ19" s="88"/>
      <c r="OR19" s="88"/>
      <c r="OS19" s="88"/>
      <c r="OT19" s="88"/>
      <c r="OU19" s="88"/>
      <c r="OV19" s="88"/>
      <c r="OW19" s="88"/>
      <c r="OX19" s="88"/>
      <c r="OY19" s="88"/>
      <c r="OZ19" s="88"/>
      <c r="PA19" s="88"/>
      <c r="PB19" s="88"/>
      <c r="PC19" s="88"/>
      <c r="PD19" s="88"/>
      <c r="PE19" s="88"/>
      <c r="PF19" s="88"/>
      <c r="PG19" s="88"/>
      <c r="PH19" s="88"/>
      <c r="PI19" s="88"/>
      <c r="PJ19" s="88"/>
      <c r="PK19" s="88"/>
      <c r="PL19" s="88"/>
      <c r="PM19" s="88"/>
      <c r="PN19" s="88"/>
      <c r="PO19" s="88"/>
      <c r="PP19" s="88"/>
      <c r="PQ19" s="88"/>
      <c r="PR19" s="88"/>
      <c r="PS19" s="88"/>
      <c r="PT19" s="88"/>
      <c r="PU19" s="88"/>
      <c r="PV19" s="88"/>
      <c r="PW19" s="88"/>
      <c r="PX19" s="88"/>
      <c r="PY19" s="88"/>
      <c r="PZ19" s="88"/>
      <c r="QA19" s="88"/>
      <c r="QB19" s="88"/>
      <c r="QC19" s="88"/>
      <c r="QD19" s="88"/>
      <c r="QE19" s="88"/>
      <c r="QF19" s="88"/>
      <c r="QG19" s="88"/>
      <c r="QH19" s="88"/>
      <c r="QI19" s="88"/>
      <c r="QJ19" s="88"/>
      <c r="QK19" s="88"/>
      <c r="QL19" s="88"/>
      <c r="QM19" s="88"/>
      <c r="QN19" s="88"/>
      <c r="QO19" s="88"/>
      <c r="QP19" s="88"/>
      <c r="QQ19" s="88"/>
      <c r="QR19" s="88"/>
      <c r="QS19" s="88"/>
      <c r="QT19" s="88"/>
      <c r="QU19" s="88"/>
      <c r="QV19" s="88"/>
      <c r="QW19" s="88"/>
      <c r="QX19" s="88"/>
      <c r="QY19" s="88"/>
      <c r="QZ19" s="88"/>
      <c r="RA19" s="88"/>
      <c r="RB19" s="88"/>
      <c r="RC19" s="88"/>
      <c r="RD19" s="88"/>
      <c r="RE19" s="88"/>
      <c r="RF19" s="88"/>
      <c r="RG19" s="88"/>
      <c r="RH19" s="88"/>
      <c r="RI19" s="88"/>
      <c r="RJ19" s="88"/>
      <c r="RK19" s="88"/>
      <c r="RL19" s="88"/>
      <c r="RM19" s="88"/>
      <c r="RN19" s="88"/>
      <c r="RO19" s="88"/>
      <c r="RP19" s="88"/>
      <c r="RQ19" s="88"/>
      <c r="RR19" s="88"/>
      <c r="RS19" s="88"/>
      <c r="RT19" s="88"/>
      <c r="RU19" s="88"/>
      <c r="RV19" s="88"/>
      <c r="RW19" s="88"/>
      <c r="RX19" s="88"/>
      <c r="RY19" s="88"/>
      <c r="RZ19" s="88"/>
      <c r="SA19" s="88"/>
      <c r="SB19" s="88"/>
      <c r="SC19" s="88"/>
      <c r="SD19" s="88"/>
      <c r="SE19" s="88"/>
      <c r="SF19" s="88"/>
      <c r="SG19" s="88"/>
      <c r="SH19" s="88"/>
      <c r="SI19" s="88"/>
      <c r="SJ19" s="88"/>
      <c r="SK19" s="88"/>
      <c r="SL19" s="88"/>
      <c r="SM19" s="88"/>
      <c r="SN19" s="88"/>
      <c r="SO19" s="88"/>
      <c r="SP19" s="88"/>
      <c r="SQ19" s="88"/>
      <c r="SR19" s="88"/>
      <c r="SS19" s="88"/>
      <c r="ST19" s="88"/>
      <c r="SU19" s="88"/>
      <c r="SV19" s="88"/>
      <c r="SW19" s="88"/>
      <c r="SX19" s="88"/>
      <c r="SY19" s="88"/>
      <c r="SZ19" s="88"/>
      <c r="TA19" s="88"/>
      <c r="TB19" s="88"/>
      <c r="TC19" s="88"/>
      <c r="TD19" s="88"/>
      <c r="TE19" s="88"/>
      <c r="TF19" s="88"/>
      <c r="TG19" s="88"/>
      <c r="TH19" s="88"/>
      <c r="TI19" s="88"/>
      <c r="TJ19" s="88"/>
      <c r="TK19" s="88"/>
      <c r="TL19" s="88"/>
      <c r="TM19" s="88"/>
      <c r="TN19" s="88"/>
      <c r="TO19" s="88"/>
      <c r="TP19" s="88"/>
      <c r="TQ19" s="88"/>
      <c r="TR19" s="88"/>
      <c r="TS19" s="88"/>
      <c r="TT19" s="88"/>
      <c r="TU19" s="88"/>
      <c r="TV19" s="88"/>
      <c r="TW19" s="88"/>
      <c r="TX19" s="88"/>
      <c r="TY19" s="88"/>
      <c r="TZ19" s="88"/>
      <c r="UA19" s="88"/>
      <c r="UB19" s="88"/>
      <c r="UC19" s="88"/>
      <c r="UD19" s="88"/>
      <c r="UE19" s="88"/>
      <c r="UF19" s="88"/>
      <c r="UG19" s="88"/>
      <c r="UH19" s="88"/>
      <c r="UI19" s="88"/>
      <c r="UJ19" s="88"/>
      <c r="UK19" s="88"/>
      <c r="UL19" s="88"/>
      <c r="UM19" s="88"/>
      <c r="UN19" s="88"/>
      <c r="UO19" s="88"/>
      <c r="UP19" s="88"/>
      <c r="UQ19" s="88"/>
      <c r="UR19" s="88"/>
      <c r="US19" s="88"/>
      <c r="UT19" s="88"/>
      <c r="UU19" s="88"/>
      <c r="UV19" s="88"/>
      <c r="UW19" s="88"/>
      <c r="UX19" s="88"/>
      <c r="UY19" s="88"/>
      <c r="UZ19" s="88"/>
      <c r="VA19" s="88"/>
      <c r="VB19" s="88"/>
      <c r="VC19" s="88"/>
      <c r="VD19" s="88"/>
      <c r="VE19" s="88"/>
      <c r="VF19" s="88"/>
      <c r="VG19" s="88"/>
      <c r="VH19" s="88"/>
      <c r="VI19" s="88"/>
      <c r="VJ19" s="88"/>
      <c r="VK19" s="88"/>
      <c r="VL19" s="88"/>
      <c r="VM19" s="88"/>
      <c r="VN19" s="88"/>
      <c r="VO19" s="88"/>
      <c r="VP19" s="88"/>
      <c r="VQ19" s="88"/>
      <c r="VR19" s="88"/>
      <c r="VS19" s="88"/>
      <c r="VT19" s="88"/>
      <c r="VU19" s="88"/>
      <c r="VV19" s="88"/>
      <c r="VW19" s="88"/>
      <c r="VX19" s="88"/>
      <c r="VY19" s="88"/>
      <c r="VZ19" s="88"/>
      <c r="WA19" s="88"/>
      <c r="WB19" s="88"/>
      <c r="WC19" s="88"/>
      <c r="WD19" s="88"/>
      <c r="WE19" s="88"/>
      <c r="WF19" s="88"/>
      <c r="WG19" s="88"/>
      <c r="WH19" s="88"/>
      <c r="WI19" s="88"/>
      <c r="WJ19" s="88"/>
      <c r="WK19" s="88"/>
      <c r="WL19" s="88"/>
      <c r="WM19" s="88"/>
      <c r="WN19" s="88"/>
      <c r="WO19" s="88"/>
      <c r="WP19" s="88"/>
      <c r="WQ19" s="88"/>
      <c r="WR19" s="88"/>
      <c r="WS19" s="88"/>
      <c r="WT19" s="88"/>
      <c r="WU19" s="88"/>
      <c r="WV19" s="88"/>
      <c r="WW19" s="88"/>
      <c r="WX19" s="88"/>
      <c r="WY19" s="88"/>
      <c r="WZ19" s="88"/>
      <c r="XA19" s="88"/>
      <c r="XB19" s="88"/>
      <c r="XC19" s="88"/>
      <c r="XD19" s="88"/>
      <c r="XE19" s="88"/>
      <c r="XF19" s="88"/>
      <c r="XG19" s="88"/>
      <c r="XH19" s="88"/>
      <c r="XI19" s="88"/>
      <c r="XJ19" s="88"/>
      <c r="XK19" s="88"/>
      <c r="XL19" s="88"/>
      <c r="XM19" s="88"/>
      <c r="XN19" s="88"/>
      <c r="XO19" s="88"/>
      <c r="XP19" s="88"/>
      <c r="XQ19" s="88"/>
      <c r="XR19" s="88"/>
      <c r="XS19" s="88"/>
      <c r="XT19" s="88"/>
      <c r="XU19" s="88"/>
      <c r="XV19" s="88"/>
      <c r="XW19" s="88"/>
      <c r="XX19" s="88"/>
      <c r="XY19" s="88"/>
      <c r="XZ19" s="88"/>
      <c r="YA19" s="88"/>
      <c r="YB19" s="88"/>
      <c r="YC19" s="88"/>
      <c r="YD19" s="88"/>
      <c r="YE19" s="88"/>
      <c r="YF19" s="88"/>
      <c r="YG19" s="88"/>
      <c r="YH19" s="88"/>
      <c r="YI19" s="88"/>
      <c r="YJ19" s="88"/>
      <c r="YK19" s="88"/>
      <c r="YL19" s="88"/>
      <c r="YM19" s="88"/>
      <c r="YN19" s="88"/>
      <c r="YO19" s="88"/>
      <c r="YP19" s="88"/>
      <c r="YQ19" s="88"/>
      <c r="YR19" s="88"/>
      <c r="YS19" s="88"/>
      <c r="YT19" s="88"/>
      <c r="YU19" s="88"/>
      <c r="YV19" s="88"/>
      <c r="YW19" s="88"/>
      <c r="YX19" s="88"/>
      <c r="YY19" s="88"/>
      <c r="YZ19" s="88"/>
      <c r="ZA19" s="88"/>
      <c r="ZB19" s="88"/>
      <c r="ZC19" s="88"/>
      <c r="ZD19" s="88"/>
      <c r="ZE19" s="88"/>
      <c r="ZF19" s="88"/>
      <c r="ZG19" s="88"/>
      <c r="ZH19" s="88"/>
      <c r="ZI19" s="88"/>
      <c r="ZJ19" s="88"/>
      <c r="ZK19" s="88"/>
      <c r="ZL19" s="88"/>
      <c r="ZM19" s="88"/>
      <c r="ZN19" s="88"/>
      <c r="ZO19" s="88"/>
      <c r="ZP19" s="88"/>
      <c r="ZQ19" s="88"/>
      <c r="ZR19" s="88"/>
      <c r="ZS19" s="88"/>
      <c r="ZT19" s="88"/>
      <c r="ZU19" s="88"/>
      <c r="ZV19" s="88"/>
      <c r="ZW19" s="88"/>
      <c r="ZX19" s="88"/>
      <c r="ZY19" s="88"/>
      <c r="ZZ19" s="88"/>
      <c r="AAA19" s="88"/>
      <c r="AAB19" s="88"/>
      <c r="AAC19" s="88"/>
      <c r="AAD19" s="88"/>
      <c r="AAE19" s="88"/>
      <c r="AAF19" s="88"/>
      <c r="AAG19" s="88"/>
      <c r="AAH19" s="88"/>
      <c r="AAI19" s="88"/>
      <c r="AAJ19" s="88"/>
      <c r="AAK19" s="88"/>
      <c r="AAL19" s="88"/>
      <c r="AAM19" s="88"/>
      <c r="AAN19" s="88"/>
      <c r="AAO19" s="88"/>
      <c r="AAP19" s="88"/>
      <c r="AAQ19" s="88"/>
      <c r="AAR19" s="88"/>
      <c r="AAS19" s="88"/>
      <c r="AAT19" s="88"/>
      <c r="AAU19" s="88"/>
      <c r="AAV19" s="88"/>
      <c r="AAW19" s="88"/>
      <c r="AAX19" s="88"/>
      <c r="AAY19" s="88"/>
      <c r="AAZ19" s="88"/>
      <c r="ABA19" s="88"/>
      <c r="ABB19" s="88"/>
      <c r="ABC19" s="88"/>
      <c r="ABD19" s="88"/>
      <c r="ABE19" s="88"/>
      <c r="ABF19" s="88"/>
      <c r="ABG19" s="88"/>
      <c r="ABH19" s="88"/>
      <c r="ABI19" s="88"/>
      <c r="ABJ19" s="88"/>
      <c r="ABK19" s="88"/>
      <c r="ABL19" s="88"/>
      <c r="ABM19" s="88"/>
      <c r="ABN19" s="88"/>
      <c r="ABO19" s="88"/>
      <c r="ABP19" s="88"/>
      <c r="ABQ19" s="88"/>
      <c r="ABR19" s="88"/>
      <c r="ABS19" s="88"/>
      <c r="ABT19" s="88"/>
      <c r="ABU19" s="88"/>
      <c r="ABV19" s="88"/>
      <c r="ABW19" s="88"/>
      <c r="ABX19" s="88"/>
      <c r="ABY19" s="88"/>
      <c r="ABZ19" s="88"/>
      <c r="ACA19" s="88"/>
      <c r="ACB19" s="88"/>
      <c r="ACC19" s="88"/>
      <c r="ACD19" s="88"/>
      <c r="ACE19" s="88"/>
      <c r="ACF19" s="88"/>
      <c r="ACG19" s="88"/>
      <c r="ACH19" s="88"/>
      <c r="ACI19" s="88"/>
      <c r="ACJ19" s="88"/>
      <c r="ACK19" s="88"/>
      <c r="ACL19" s="88"/>
      <c r="ACM19" s="88"/>
      <c r="ACN19" s="88"/>
      <c r="ACO19" s="88"/>
      <c r="ACP19" s="88"/>
      <c r="ACQ19" s="88"/>
      <c r="ACR19" s="88"/>
      <c r="ACS19" s="88"/>
      <c r="ACT19" s="88"/>
      <c r="ACU19" s="88"/>
      <c r="ACV19" s="88"/>
      <c r="ACW19" s="88"/>
      <c r="ACX19" s="88"/>
      <c r="ACY19" s="88"/>
      <c r="ACZ19" s="88"/>
      <c r="ADA19" s="88"/>
      <c r="ADB19" s="88"/>
      <c r="ADC19" s="88"/>
      <c r="ADD19" s="88"/>
      <c r="ADE19" s="88"/>
      <c r="ADF19" s="88"/>
      <c r="ADG19" s="88"/>
      <c r="ADH19" s="88"/>
      <c r="ADI19" s="88"/>
      <c r="ADJ19" s="88"/>
      <c r="ADK19" s="88"/>
      <c r="ADL19" s="88"/>
      <c r="ADM19" s="88"/>
      <c r="ADN19" s="88"/>
      <c r="ADO19" s="88"/>
      <c r="ADP19" s="88"/>
      <c r="ADQ19" s="88"/>
      <c r="ADR19" s="88"/>
      <c r="ADS19" s="88"/>
      <c r="ADT19" s="88"/>
      <c r="ADU19" s="88"/>
      <c r="ADV19" s="88"/>
      <c r="ADW19" s="88"/>
      <c r="ADX19" s="88"/>
      <c r="ADY19" s="88"/>
      <c r="ADZ19" s="88"/>
      <c r="AEA19" s="88"/>
      <c r="AEB19" s="88"/>
      <c r="AEC19" s="88"/>
      <c r="AED19" s="88"/>
      <c r="AEE19" s="88"/>
      <c r="AEF19" s="88"/>
      <c r="AEG19" s="88"/>
      <c r="AEH19" s="88"/>
      <c r="AEI19" s="88"/>
      <c r="AEJ19" s="88"/>
      <c r="AEK19" s="88"/>
      <c r="AEL19" s="88"/>
      <c r="AEM19" s="88"/>
      <c r="AEN19" s="88"/>
      <c r="AEO19" s="88"/>
      <c r="AEP19" s="88"/>
      <c r="AEQ19" s="88"/>
      <c r="AER19" s="88"/>
      <c r="AES19" s="88"/>
      <c r="AET19" s="88"/>
      <c r="AEU19" s="88"/>
      <c r="AEV19" s="88"/>
      <c r="AEW19" s="88"/>
      <c r="AEX19" s="88"/>
      <c r="AEY19" s="88"/>
      <c r="AEZ19" s="88"/>
      <c r="AFA19" s="88"/>
      <c r="AFB19" s="88"/>
      <c r="AFC19" s="88"/>
      <c r="AFD19" s="88"/>
      <c r="AFE19" s="88"/>
      <c r="AFF19" s="88"/>
      <c r="AFG19" s="88"/>
      <c r="AFH19" s="88"/>
      <c r="AFI19" s="88"/>
      <c r="AFJ19" s="88"/>
      <c r="AFK19" s="88"/>
      <c r="AFL19" s="88"/>
      <c r="AFM19" s="88"/>
      <c r="AFN19" s="88"/>
      <c r="AFO19" s="88"/>
      <c r="AFP19" s="88"/>
      <c r="AFQ19" s="88"/>
      <c r="AFR19" s="88"/>
      <c r="AFS19" s="88"/>
      <c r="AFT19" s="88"/>
      <c r="AFU19" s="88"/>
      <c r="AFV19" s="88"/>
      <c r="AFW19" s="88"/>
      <c r="AFX19" s="88"/>
      <c r="AFY19" s="88"/>
      <c r="AFZ19" s="88"/>
      <c r="AGA19" s="88"/>
      <c r="AGB19" s="88"/>
      <c r="AGC19" s="88"/>
      <c r="AGD19" s="88"/>
      <c r="AGE19" s="88"/>
      <c r="AGF19" s="88"/>
      <c r="AGG19" s="88"/>
      <c r="AGH19" s="88"/>
      <c r="AGI19" s="88"/>
      <c r="AGJ19" s="88"/>
      <c r="AGK19" s="88"/>
      <c r="AGL19" s="88"/>
      <c r="AGM19" s="88"/>
      <c r="AGN19" s="88"/>
      <c r="AGO19" s="88"/>
      <c r="AGP19" s="88"/>
      <c r="AGQ19" s="88"/>
      <c r="AGR19" s="88"/>
      <c r="AGS19" s="88"/>
      <c r="AGT19" s="88"/>
      <c r="AGU19" s="88"/>
      <c r="AGV19" s="88"/>
      <c r="AGW19" s="88"/>
      <c r="AGX19" s="88"/>
      <c r="AGY19" s="88"/>
      <c r="AGZ19" s="88"/>
      <c r="AHA19" s="88"/>
      <c r="AHB19" s="88"/>
      <c r="AHC19" s="88"/>
      <c r="AHD19" s="88"/>
      <c r="AHE19" s="88"/>
      <c r="AHF19" s="88"/>
      <c r="AHG19" s="88"/>
      <c r="AHH19" s="88"/>
      <c r="AHI19" s="88"/>
      <c r="AHJ19" s="88"/>
      <c r="AHK19" s="88"/>
      <c r="AHL19" s="88"/>
      <c r="AHM19" s="88"/>
      <c r="AHN19" s="88"/>
      <c r="AHO19" s="88"/>
      <c r="AHP19" s="88"/>
      <c r="AHQ19" s="88"/>
      <c r="AHR19" s="88"/>
      <c r="AHS19" s="88"/>
      <c r="AHT19" s="88"/>
      <c r="AHU19" s="88"/>
      <c r="AHV19" s="88"/>
      <c r="AHW19" s="88"/>
      <c r="AHX19" s="88"/>
      <c r="AHY19" s="88"/>
      <c r="AHZ19" s="88"/>
      <c r="AIA19" s="88"/>
      <c r="AIB19" s="88"/>
      <c r="AIC19" s="88"/>
      <c r="AID19" s="88"/>
      <c r="AIE19" s="88"/>
      <c r="AIF19" s="88"/>
      <c r="AIG19" s="88"/>
      <c r="AIH19" s="88"/>
      <c r="AII19" s="88"/>
      <c r="AIJ19" s="88"/>
      <c r="AIK19" s="88"/>
      <c r="AIL19" s="88"/>
      <c r="AIM19" s="88"/>
      <c r="AIN19" s="88"/>
      <c r="AIO19" s="88"/>
      <c r="AIP19" s="88"/>
      <c r="AIQ19" s="88"/>
      <c r="AIR19" s="88"/>
      <c r="AIS19" s="88"/>
      <c r="AIT19" s="88"/>
      <c r="AIU19" s="88"/>
      <c r="AIV19" s="88"/>
      <c r="AIW19" s="88"/>
      <c r="AIX19" s="88"/>
      <c r="AIY19" s="88"/>
      <c r="AIZ19" s="88"/>
      <c r="AJA19" s="88"/>
      <c r="AJB19" s="88"/>
      <c r="AJC19" s="88"/>
      <c r="AJD19" s="88"/>
      <c r="AJE19" s="88"/>
      <c r="AJF19" s="88"/>
      <c r="AJG19" s="88"/>
      <c r="AJH19" s="88"/>
      <c r="AJI19" s="88"/>
      <c r="AJJ19" s="88"/>
      <c r="AJK19" s="88"/>
      <c r="AJL19" s="88"/>
      <c r="AJM19" s="88"/>
      <c r="AJN19" s="88"/>
      <c r="AJO19" s="88"/>
      <c r="AJP19" s="88"/>
      <c r="AJQ19" s="88"/>
      <c r="AJR19" s="88"/>
      <c r="AJS19" s="88"/>
      <c r="AJT19" s="88"/>
      <c r="AJU19" s="88"/>
      <c r="AJV19" s="88"/>
      <c r="AJW19" s="88"/>
      <c r="AJX19" s="88"/>
      <c r="AJY19" s="88"/>
      <c r="AJZ19" s="88"/>
      <c r="AKA19" s="88"/>
      <c r="AKB19" s="88"/>
      <c r="AKC19" s="88"/>
      <c r="AKD19" s="88"/>
      <c r="AKE19" s="88"/>
      <c r="AKF19" s="88"/>
      <c r="AKG19" s="88"/>
      <c r="AKH19" s="88"/>
      <c r="AKI19" s="88"/>
      <c r="AKJ19" s="88"/>
      <c r="AKK19" s="88"/>
      <c r="AKL19" s="88"/>
      <c r="AKM19" s="88"/>
      <c r="AKN19" s="88"/>
      <c r="AKO19" s="88"/>
      <c r="AKP19" s="88"/>
      <c r="AKQ19" s="88"/>
      <c r="AKR19" s="88"/>
      <c r="AKS19" s="88"/>
      <c r="AKT19" s="88"/>
      <c r="AKU19" s="88"/>
      <c r="AKV19" s="88"/>
      <c r="AKW19" s="88"/>
      <c r="AKX19" s="88"/>
      <c r="AKY19" s="88"/>
      <c r="AKZ19" s="88"/>
      <c r="ALA19" s="88"/>
      <c r="ALB19" s="88"/>
      <c r="ALC19" s="88"/>
      <c r="ALD19" s="88"/>
      <c r="ALE19" s="88"/>
      <c r="ALF19" s="88"/>
      <c r="ALG19" s="88"/>
      <c r="ALH19" s="88"/>
      <c r="ALI19" s="88"/>
      <c r="ALJ19" s="88"/>
      <c r="ALK19" s="88"/>
      <c r="ALL19" s="88"/>
      <c r="ALM19" s="88"/>
      <c r="ALN19" s="88"/>
      <c r="ALO19" s="88"/>
      <c r="ALP19" s="88"/>
      <c r="ALQ19" s="88"/>
      <c r="ALR19" s="88"/>
      <c r="ALS19" s="88"/>
      <c r="ALT19" s="88"/>
      <c r="ALU19" s="88"/>
      <c r="ALV19" s="88"/>
      <c r="ALW19" s="88"/>
      <c r="ALX19" s="88"/>
      <c r="ALY19" s="88"/>
      <c r="ALZ19" s="88"/>
      <c r="AMA19" s="88"/>
      <c r="AMB19" s="88"/>
      <c r="AMC19" s="88"/>
      <c r="AMD19" s="88"/>
      <c r="AME19" s="88"/>
      <c r="AMF19" s="88"/>
      <c r="AMG19" s="88"/>
      <c r="AMH19" s="88"/>
      <c r="AMI19" s="88"/>
      <c r="AMJ19" s="88"/>
      <c r="AMK19" s="88"/>
      <c r="AML19" s="88"/>
      <c r="AMM19" s="88"/>
      <c r="AMN19" s="88"/>
      <c r="AMO19" s="88"/>
      <c r="AMP19" s="88"/>
      <c r="AMQ19" s="88"/>
      <c r="AMR19" s="88"/>
      <c r="AMS19" s="88"/>
      <c r="AMT19" s="88"/>
      <c r="AMU19" s="88"/>
      <c r="AMV19" s="88"/>
      <c r="AMW19" s="88"/>
      <c r="AMX19" s="88"/>
      <c r="AMY19" s="88"/>
      <c r="AMZ19" s="88"/>
      <c r="ANA19" s="88"/>
      <c r="ANB19" s="88"/>
      <c r="ANC19" s="88"/>
      <c r="AND19" s="88"/>
      <c r="ANE19" s="88"/>
      <c r="ANF19" s="88"/>
      <c r="ANG19" s="88"/>
      <c r="ANH19" s="88"/>
      <c r="ANI19" s="88"/>
      <c r="ANJ19" s="88"/>
      <c r="ANK19" s="88"/>
      <c r="ANL19" s="88"/>
      <c r="ANM19" s="88"/>
      <c r="ANN19" s="88"/>
      <c r="ANO19" s="88"/>
      <c r="ANP19" s="88"/>
      <c r="ANQ19" s="88"/>
      <c r="ANR19" s="88"/>
      <c r="ANS19" s="88"/>
      <c r="ANT19" s="88"/>
      <c r="ANU19" s="88"/>
      <c r="ANV19" s="88"/>
      <c r="ANW19" s="88"/>
      <c r="ANX19" s="88"/>
      <c r="ANY19" s="88"/>
      <c r="ANZ19" s="88"/>
      <c r="AOA19" s="88"/>
      <c r="AOB19" s="88"/>
      <c r="AOC19" s="88"/>
      <c r="AOD19" s="88"/>
      <c r="AOE19" s="88"/>
      <c r="AOF19" s="88"/>
      <c r="AOG19" s="88"/>
      <c r="AOH19" s="88"/>
      <c r="AOI19" s="88"/>
      <c r="AOJ19" s="88"/>
      <c r="AOK19" s="88"/>
      <c r="AOL19" s="88"/>
      <c r="AOM19" s="88"/>
      <c r="AON19" s="88"/>
      <c r="AOO19" s="88"/>
      <c r="AOP19" s="88"/>
      <c r="AOQ19" s="88"/>
      <c r="AOR19" s="88"/>
      <c r="AOS19" s="88"/>
      <c r="AOT19" s="88"/>
      <c r="AOU19" s="88"/>
      <c r="AOV19" s="88"/>
      <c r="AOW19" s="88"/>
      <c r="AOX19" s="88"/>
      <c r="AOY19" s="88"/>
      <c r="AOZ19" s="88"/>
      <c r="APA19" s="88"/>
      <c r="APB19" s="88"/>
      <c r="APC19" s="88"/>
      <c r="APD19" s="88"/>
      <c r="APE19" s="88"/>
      <c r="APF19" s="88"/>
      <c r="APG19" s="88"/>
      <c r="APH19" s="88"/>
      <c r="API19" s="88"/>
      <c r="APJ19" s="88"/>
      <c r="APK19" s="88"/>
      <c r="APL19" s="88"/>
      <c r="APM19" s="88"/>
      <c r="APN19" s="88"/>
      <c r="APO19" s="88"/>
      <c r="APP19" s="88"/>
      <c r="APQ19" s="88"/>
      <c r="APR19" s="88"/>
      <c r="APS19" s="88"/>
      <c r="APT19" s="88"/>
      <c r="APU19" s="88"/>
      <c r="APV19" s="88"/>
      <c r="APW19" s="88"/>
      <c r="APX19" s="88"/>
      <c r="APY19" s="88"/>
      <c r="APZ19" s="88"/>
      <c r="AQA19" s="88"/>
      <c r="AQB19" s="88"/>
      <c r="AQC19" s="88"/>
      <c r="AQD19" s="88"/>
      <c r="AQE19" s="88"/>
      <c r="AQF19" s="88"/>
      <c r="AQG19" s="88"/>
      <c r="AQH19" s="88"/>
      <c r="AQI19" s="88"/>
      <c r="AQJ19" s="88"/>
      <c r="AQK19" s="88"/>
      <c r="AQL19" s="88"/>
      <c r="AQM19" s="88"/>
      <c r="AQN19" s="88"/>
      <c r="AQO19" s="88"/>
      <c r="AQP19" s="88"/>
      <c r="AQQ19" s="88"/>
      <c r="AQR19" s="88"/>
      <c r="AQS19" s="88"/>
      <c r="AQT19" s="88"/>
      <c r="AQU19" s="88"/>
      <c r="AQV19" s="88"/>
      <c r="AQW19" s="88"/>
      <c r="AQX19" s="88"/>
      <c r="AQY19" s="88"/>
      <c r="AQZ19" s="88"/>
      <c r="ARA19" s="88"/>
      <c r="ARB19" s="88"/>
      <c r="ARC19" s="88"/>
      <c r="ARD19" s="88"/>
      <c r="ARE19" s="88"/>
      <c r="ARF19" s="88"/>
      <c r="ARG19" s="88"/>
      <c r="ARH19" s="88"/>
      <c r="ARI19" s="88"/>
      <c r="ARJ19" s="88"/>
      <c r="ARK19" s="88"/>
      <c r="ARL19" s="88"/>
      <c r="ARM19" s="88"/>
      <c r="ARN19" s="88"/>
      <c r="ARO19" s="88"/>
      <c r="ARP19" s="88"/>
      <c r="ARQ19" s="88"/>
      <c r="ARR19" s="88"/>
      <c r="ARS19" s="88"/>
      <c r="ART19" s="88"/>
      <c r="ARU19" s="88"/>
      <c r="ARV19" s="88"/>
      <c r="ARW19" s="88"/>
      <c r="ARX19" s="88"/>
      <c r="ARY19" s="88"/>
      <c r="ARZ19" s="88"/>
      <c r="ASA19" s="88"/>
      <c r="ASB19" s="88"/>
      <c r="ASC19" s="88"/>
      <c r="ASD19" s="88"/>
      <c r="ASE19" s="88"/>
      <c r="ASF19" s="88"/>
      <c r="ASG19" s="88"/>
      <c r="ASH19" s="88"/>
      <c r="ASI19" s="88"/>
      <c r="ASJ19" s="88"/>
      <c r="ASK19" s="88"/>
      <c r="ASL19" s="88"/>
      <c r="ASM19" s="88"/>
      <c r="ASN19" s="88"/>
      <c r="ASO19" s="88"/>
      <c r="ASP19" s="88"/>
      <c r="ASQ19" s="88"/>
      <c r="ASR19" s="88"/>
      <c r="ASS19" s="88"/>
      <c r="AST19" s="88"/>
      <c r="ASU19" s="88"/>
      <c r="ASV19" s="88"/>
      <c r="ASW19" s="88"/>
      <c r="ASX19" s="88"/>
      <c r="ASY19" s="88"/>
      <c r="ASZ19" s="88"/>
      <c r="ATA19" s="88"/>
      <c r="ATB19" s="88"/>
      <c r="ATC19" s="88"/>
      <c r="ATD19" s="88"/>
      <c r="ATE19" s="88"/>
      <c r="ATF19" s="88"/>
      <c r="ATG19" s="88"/>
      <c r="ATH19" s="88"/>
      <c r="ATI19" s="88"/>
      <c r="ATJ19" s="88"/>
      <c r="ATK19" s="88"/>
      <c r="ATL19" s="88"/>
      <c r="ATM19" s="88"/>
      <c r="ATN19" s="88"/>
      <c r="ATO19" s="88"/>
      <c r="ATP19" s="88"/>
      <c r="ATQ19" s="88"/>
      <c r="ATR19" s="88"/>
      <c r="ATS19" s="88"/>
      <c r="ATT19" s="88"/>
      <c r="ATU19" s="88"/>
      <c r="ATV19" s="88"/>
      <c r="ATW19" s="88"/>
      <c r="ATX19" s="88"/>
      <c r="ATY19" s="88"/>
      <c r="ATZ19" s="88"/>
      <c r="AUA19" s="88"/>
      <c r="AUB19" s="88"/>
      <c r="AUC19" s="88"/>
      <c r="AUD19" s="88"/>
      <c r="AUE19" s="88"/>
      <c r="AUF19" s="88"/>
      <c r="AUG19" s="88"/>
      <c r="AUH19" s="88"/>
      <c r="AUI19" s="88"/>
      <c r="AUJ19" s="88"/>
      <c r="AUK19" s="88"/>
      <c r="AUL19" s="88"/>
      <c r="AUM19" s="88"/>
      <c r="AUN19" s="88"/>
      <c r="AUO19" s="88"/>
      <c r="AUP19" s="88"/>
      <c r="AUQ19" s="88"/>
      <c r="AUR19" s="88"/>
      <c r="AUS19" s="88"/>
      <c r="AUT19" s="88"/>
      <c r="AUU19" s="88"/>
      <c r="AUV19" s="88"/>
      <c r="AUW19" s="88"/>
      <c r="AUX19" s="88"/>
      <c r="AUY19" s="88"/>
      <c r="AUZ19" s="88"/>
      <c r="AVA19" s="88"/>
      <c r="AVB19" s="88"/>
      <c r="AVC19" s="88"/>
      <c r="AVD19" s="88"/>
      <c r="AVE19" s="88"/>
      <c r="AVF19" s="88"/>
      <c r="AVG19" s="88"/>
      <c r="AVH19" s="88"/>
      <c r="AVI19" s="88"/>
      <c r="AVJ19" s="88"/>
      <c r="AVK19" s="88"/>
      <c r="AVL19" s="88"/>
      <c r="AVM19" s="88"/>
      <c r="AVN19" s="88"/>
      <c r="AVO19" s="88"/>
      <c r="AVP19" s="88"/>
      <c r="AVQ19" s="88"/>
      <c r="AVR19" s="88"/>
      <c r="AVS19" s="88"/>
      <c r="AVT19" s="88"/>
      <c r="AVU19" s="88"/>
      <c r="AVV19" s="88"/>
      <c r="AVW19" s="88"/>
      <c r="AVX19" s="88"/>
      <c r="AVY19" s="88"/>
      <c r="AVZ19" s="88"/>
      <c r="AWA19" s="88"/>
      <c r="AWB19" s="88"/>
      <c r="AWC19" s="88"/>
      <c r="AWD19" s="88"/>
      <c r="AWE19" s="88"/>
      <c r="AWF19" s="88"/>
      <c r="AWG19" s="88"/>
      <c r="AWH19" s="88"/>
      <c r="AWI19" s="88"/>
      <c r="AWJ19" s="88"/>
      <c r="AWK19" s="88"/>
      <c r="AWL19" s="88"/>
      <c r="AWM19" s="88"/>
      <c r="AWN19" s="88"/>
      <c r="AWO19" s="88"/>
      <c r="AWP19" s="88"/>
      <c r="AWQ19" s="88"/>
      <c r="AWR19" s="88"/>
      <c r="AWS19" s="88"/>
      <c r="AWT19" s="88"/>
      <c r="AWU19" s="88"/>
      <c r="AWV19" s="88"/>
      <c r="AWW19" s="88"/>
      <c r="AWX19" s="88"/>
      <c r="AWY19" s="88"/>
      <c r="AWZ19" s="88"/>
      <c r="AXA19" s="88"/>
      <c r="AXB19" s="88"/>
      <c r="AXC19" s="88"/>
      <c r="AXD19" s="88"/>
      <c r="AXE19" s="88"/>
      <c r="AXF19" s="88"/>
      <c r="AXG19" s="88"/>
      <c r="AXH19" s="88"/>
      <c r="AXI19" s="88"/>
      <c r="AXJ19" s="88"/>
      <c r="AXK19" s="88"/>
      <c r="AXL19" s="88"/>
      <c r="AXM19" s="88"/>
      <c r="AXN19" s="88"/>
      <c r="AXO19" s="88"/>
      <c r="AXP19" s="88"/>
      <c r="AXQ19" s="88"/>
      <c r="AXR19" s="88"/>
      <c r="AXS19" s="88"/>
      <c r="AXT19" s="88"/>
      <c r="AXU19" s="88"/>
      <c r="AXV19" s="88"/>
      <c r="AXW19" s="88"/>
      <c r="AXX19" s="88"/>
      <c r="AXY19" s="88"/>
      <c r="AXZ19" s="88"/>
      <c r="AYA19" s="88"/>
      <c r="AYB19" s="88"/>
      <c r="AYC19" s="88"/>
      <c r="AYD19" s="88"/>
      <c r="AYE19" s="88"/>
      <c r="AYF19" s="88"/>
      <c r="AYG19" s="88"/>
      <c r="AYH19" s="88"/>
      <c r="AYI19" s="88"/>
      <c r="AYJ19" s="88"/>
      <c r="AYK19" s="88"/>
      <c r="AYL19" s="88"/>
      <c r="AYM19" s="88"/>
      <c r="AYN19" s="88"/>
      <c r="AYO19" s="88"/>
      <c r="AYP19" s="88"/>
      <c r="AYQ19" s="88"/>
      <c r="AYR19" s="88"/>
      <c r="AYS19" s="88"/>
      <c r="AYT19" s="88"/>
      <c r="AYU19" s="88"/>
      <c r="AYV19" s="88"/>
      <c r="AYW19" s="88"/>
      <c r="AYX19" s="88"/>
      <c r="AYY19" s="88"/>
      <c r="AYZ19" s="88"/>
      <c r="AZA19" s="88"/>
      <c r="AZB19" s="88"/>
      <c r="AZC19" s="88"/>
      <c r="AZD19" s="88"/>
      <c r="AZE19" s="88"/>
      <c r="AZF19" s="88"/>
      <c r="AZG19" s="88"/>
      <c r="AZH19" s="88"/>
      <c r="AZI19" s="88"/>
      <c r="AZJ19" s="88"/>
      <c r="AZK19" s="88"/>
      <c r="AZL19" s="88"/>
      <c r="AZM19" s="88"/>
      <c r="AZN19" s="88"/>
      <c r="AZO19" s="88"/>
      <c r="AZP19" s="88"/>
      <c r="AZQ19" s="88"/>
      <c r="AZR19" s="88"/>
      <c r="AZS19" s="88"/>
      <c r="AZT19" s="88"/>
      <c r="AZU19" s="88"/>
      <c r="AZV19" s="88"/>
      <c r="AZW19" s="88"/>
      <c r="AZX19" s="88"/>
      <c r="AZY19" s="88"/>
      <c r="AZZ19" s="88"/>
      <c r="BAA19" s="88"/>
      <c r="BAB19" s="88"/>
      <c r="BAC19" s="88"/>
      <c r="BAD19" s="88"/>
      <c r="BAE19" s="88"/>
      <c r="BAF19" s="88"/>
      <c r="BAG19" s="88"/>
      <c r="BAH19" s="88"/>
      <c r="BAI19" s="88"/>
      <c r="BAJ19" s="88"/>
      <c r="BAK19" s="88"/>
      <c r="BAL19" s="88"/>
      <c r="BAM19" s="88"/>
      <c r="BAN19" s="88"/>
      <c r="BAO19" s="88"/>
      <c r="BAP19" s="88"/>
      <c r="BAQ19" s="88"/>
      <c r="BAR19" s="88"/>
      <c r="BAS19" s="88"/>
      <c r="BAT19" s="88"/>
      <c r="BAU19" s="88"/>
      <c r="BAV19" s="88"/>
      <c r="BAW19" s="88"/>
      <c r="BAX19" s="88"/>
      <c r="BAY19" s="88"/>
      <c r="BAZ19" s="88"/>
      <c r="BBA19" s="88"/>
      <c r="BBB19" s="88"/>
      <c r="BBC19" s="88"/>
      <c r="BBD19" s="88"/>
      <c r="BBE19" s="88"/>
      <c r="BBF19" s="88"/>
      <c r="BBG19" s="88"/>
      <c r="BBH19" s="88"/>
      <c r="BBI19" s="88"/>
      <c r="BBJ19" s="88"/>
      <c r="BBK19" s="88"/>
      <c r="BBL19" s="88"/>
      <c r="BBM19" s="88"/>
      <c r="BBN19" s="88"/>
      <c r="BBO19" s="88"/>
      <c r="BBP19" s="88"/>
      <c r="BBQ19" s="88"/>
      <c r="BBR19" s="88"/>
      <c r="BBS19" s="88"/>
      <c r="BBT19" s="88"/>
      <c r="BBU19" s="88"/>
      <c r="BBV19" s="88"/>
      <c r="BBW19" s="88"/>
      <c r="BBX19" s="88"/>
      <c r="BBY19" s="88"/>
      <c r="BBZ19" s="88"/>
      <c r="BCA19" s="88"/>
      <c r="BCB19" s="88"/>
      <c r="BCC19" s="88"/>
      <c r="BCD19" s="88"/>
      <c r="BCE19" s="88"/>
      <c r="BCF19" s="88"/>
      <c r="BCG19" s="88"/>
      <c r="BCH19" s="88"/>
      <c r="BCI19" s="88"/>
      <c r="BCJ19" s="88"/>
      <c r="BCK19" s="88"/>
      <c r="BCL19" s="88"/>
      <c r="BCM19" s="88"/>
      <c r="BCN19" s="88"/>
      <c r="BCO19" s="88"/>
      <c r="BCP19" s="88"/>
      <c r="BCQ19" s="88"/>
      <c r="BCR19" s="88"/>
      <c r="BCS19" s="88"/>
      <c r="BCT19" s="88"/>
      <c r="BCU19" s="88"/>
      <c r="BCV19" s="88"/>
      <c r="BCW19" s="88"/>
      <c r="BCX19" s="88"/>
      <c r="BCY19" s="88"/>
      <c r="BCZ19" s="88"/>
      <c r="BDA19" s="88"/>
      <c r="BDB19" s="88"/>
      <c r="BDC19" s="88"/>
      <c r="BDD19" s="88"/>
      <c r="BDE19" s="88"/>
      <c r="BDF19" s="88"/>
      <c r="BDG19" s="88"/>
      <c r="BDH19" s="88"/>
      <c r="BDI19" s="88"/>
      <c r="BDJ19" s="88"/>
      <c r="BDK19" s="88"/>
      <c r="BDL19" s="88"/>
      <c r="BDM19" s="88"/>
      <c r="BDN19" s="88"/>
      <c r="BDO19" s="88"/>
      <c r="BDP19" s="88"/>
      <c r="BDQ19" s="88"/>
      <c r="BDR19" s="88"/>
      <c r="BDS19" s="88"/>
      <c r="BDT19" s="88"/>
      <c r="BDU19" s="88"/>
      <c r="BDV19" s="88"/>
      <c r="BDW19" s="88"/>
      <c r="BDX19" s="88"/>
      <c r="BDY19" s="88"/>
      <c r="BDZ19" s="88"/>
      <c r="BEA19" s="88"/>
      <c r="BEB19" s="88"/>
      <c r="BEC19" s="88"/>
      <c r="BED19" s="88"/>
      <c r="BEE19" s="88"/>
      <c r="BEF19" s="88"/>
      <c r="BEG19" s="88"/>
      <c r="BEH19" s="88"/>
      <c r="BEI19" s="88"/>
      <c r="BEJ19" s="88"/>
      <c r="BEK19" s="88"/>
      <c r="BEL19" s="88"/>
      <c r="BEM19" s="88"/>
      <c r="BEN19" s="88"/>
      <c r="BEO19" s="88"/>
      <c r="BEP19" s="88"/>
      <c r="BEQ19" s="88"/>
      <c r="BER19" s="88"/>
      <c r="BES19" s="88"/>
      <c r="BET19" s="88"/>
      <c r="BEU19" s="88"/>
      <c r="BEV19" s="88"/>
      <c r="BEW19" s="88"/>
      <c r="BEX19" s="88"/>
      <c r="BEY19" s="88"/>
      <c r="BEZ19" s="88"/>
      <c r="BFA19" s="88"/>
      <c r="BFB19" s="88"/>
      <c r="BFC19" s="88"/>
      <c r="BFD19" s="88"/>
      <c r="BFE19" s="88"/>
      <c r="BFF19" s="88"/>
      <c r="BFG19" s="88"/>
      <c r="BFH19" s="88"/>
      <c r="BFI19" s="88"/>
      <c r="BFJ19" s="88"/>
      <c r="BFK19" s="88"/>
      <c r="BFL19" s="88"/>
      <c r="BFM19" s="88"/>
      <c r="BFN19" s="88"/>
      <c r="BFO19" s="88"/>
      <c r="BFP19" s="88"/>
      <c r="BFQ19" s="88"/>
      <c r="BFR19" s="88"/>
      <c r="BFS19" s="88"/>
      <c r="BFT19" s="88"/>
      <c r="BFU19" s="88"/>
      <c r="BFV19" s="88"/>
      <c r="BFW19" s="88"/>
      <c r="BFX19" s="88"/>
      <c r="BFY19" s="88"/>
      <c r="BFZ19" s="88"/>
      <c r="BGA19" s="88"/>
      <c r="BGB19" s="88"/>
      <c r="BGC19" s="88"/>
      <c r="BGD19" s="88"/>
      <c r="BGE19" s="88"/>
      <c r="BGF19" s="88"/>
      <c r="BGG19" s="88"/>
      <c r="BGH19" s="88"/>
      <c r="BGI19" s="88"/>
      <c r="BGJ19" s="88"/>
      <c r="BGK19" s="88"/>
      <c r="BGL19" s="88"/>
      <c r="BGM19" s="88"/>
      <c r="BGN19" s="88"/>
      <c r="BGO19" s="88"/>
      <c r="BGP19" s="88"/>
      <c r="BGQ19" s="88"/>
      <c r="BGR19" s="88"/>
      <c r="BGS19" s="88"/>
      <c r="BGT19" s="88"/>
      <c r="BGU19" s="88"/>
      <c r="BGV19" s="88"/>
      <c r="BGW19" s="88"/>
      <c r="BGX19" s="88"/>
      <c r="BGY19" s="88"/>
      <c r="BGZ19" s="88"/>
      <c r="BHA19" s="88"/>
      <c r="BHB19" s="88"/>
      <c r="BHC19" s="88"/>
      <c r="BHD19" s="88"/>
      <c r="BHE19" s="88"/>
      <c r="BHF19" s="88"/>
      <c r="BHG19" s="88"/>
      <c r="BHH19" s="88"/>
      <c r="BHI19" s="88"/>
      <c r="BHJ19" s="88"/>
      <c r="BHK19" s="88"/>
      <c r="BHL19" s="88"/>
      <c r="BHM19" s="88"/>
      <c r="BHN19" s="88"/>
      <c r="BHO19" s="88"/>
      <c r="BHP19" s="88"/>
      <c r="BHQ19" s="88"/>
      <c r="BHR19" s="88"/>
      <c r="BHS19" s="88"/>
      <c r="BHT19" s="88"/>
      <c r="BHU19" s="88"/>
      <c r="BHV19" s="88"/>
      <c r="BHW19" s="88"/>
      <c r="BHX19" s="88"/>
      <c r="BHY19" s="88"/>
      <c r="BHZ19" s="88"/>
      <c r="BIA19" s="88"/>
      <c r="BIB19" s="88"/>
      <c r="BIC19" s="88"/>
      <c r="BID19" s="88"/>
      <c r="BIE19" s="88"/>
      <c r="BIF19" s="88"/>
      <c r="BIG19" s="88"/>
      <c r="BIH19" s="88"/>
      <c r="BII19" s="88"/>
      <c r="BIJ19" s="88"/>
      <c r="BIK19" s="88"/>
      <c r="BIL19" s="88"/>
      <c r="BIM19" s="88"/>
      <c r="BIN19" s="88"/>
      <c r="BIO19" s="88"/>
      <c r="BIP19" s="88"/>
      <c r="BIQ19" s="88"/>
      <c r="BIR19" s="88"/>
      <c r="BIS19" s="88"/>
      <c r="BIT19" s="88"/>
      <c r="BIU19" s="88"/>
      <c r="BIV19" s="88"/>
      <c r="BIW19" s="88"/>
      <c r="BIX19" s="88"/>
      <c r="BIY19" s="88"/>
      <c r="BIZ19" s="88"/>
      <c r="BJA19" s="88"/>
      <c r="BJB19" s="88"/>
      <c r="BJC19" s="88"/>
      <c r="BJD19" s="88"/>
      <c r="BJE19" s="88"/>
      <c r="BJF19" s="88"/>
      <c r="BJG19" s="88"/>
      <c r="BJH19" s="88"/>
      <c r="BJI19" s="88"/>
      <c r="BJJ19" s="88"/>
      <c r="BJK19" s="88"/>
      <c r="BJL19" s="88"/>
      <c r="BJM19" s="88"/>
      <c r="BJN19" s="88"/>
      <c r="BJO19" s="88"/>
      <c r="BJP19" s="88"/>
      <c r="BJQ19" s="88"/>
      <c r="BJR19" s="88"/>
      <c r="BJS19" s="88"/>
      <c r="BJT19" s="88"/>
      <c r="BJU19" s="88"/>
      <c r="BJV19" s="88"/>
      <c r="BJW19" s="88"/>
      <c r="BJX19" s="88"/>
      <c r="BJY19" s="88"/>
      <c r="BJZ19" s="88"/>
      <c r="BKA19" s="88"/>
      <c r="BKB19" s="88"/>
      <c r="BKC19" s="88"/>
      <c r="BKD19" s="88"/>
      <c r="BKE19" s="88"/>
      <c r="BKF19" s="88"/>
      <c r="BKG19" s="88"/>
      <c r="BKH19" s="88"/>
      <c r="BKI19" s="88"/>
      <c r="BKJ19" s="88"/>
      <c r="BKK19" s="88"/>
      <c r="BKL19" s="88"/>
      <c r="BKM19" s="88"/>
      <c r="BKN19" s="88"/>
      <c r="BKO19" s="88"/>
      <c r="BKP19" s="88"/>
      <c r="BKQ19" s="88"/>
      <c r="BKR19" s="88"/>
      <c r="BKS19" s="88"/>
      <c r="BKT19" s="88"/>
      <c r="BKU19" s="88"/>
      <c r="BKV19" s="88"/>
      <c r="BKW19" s="88"/>
      <c r="BKX19" s="88"/>
      <c r="BKY19" s="88"/>
      <c r="BKZ19" s="88"/>
      <c r="BLA19" s="88"/>
      <c r="BLB19" s="88"/>
      <c r="BLC19" s="88"/>
      <c r="BLD19" s="88"/>
      <c r="BLE19" s="88"/>
      <c r="BLF19" s="88"/>
      <c r="BLG19" s="88"/>
      <c r="BLH19" s="88"/>
      <c r="BLI19" s="88"/>
      <c r="BLJ19" s="88"/>
      <c r="BLK19" s="88"/>
      <c r="BLL19" s="88"/>
      <c r="BLM19" s="88"/>
      <c r="BLN19" s="88"/>
      <c r="BLO19" s="88"/>
      <c r="BLP19" s="88"/>
      <c r="BLQ19" s="88"/>
      <c r="BLR19" s="88"/>
      <c r="BLS19" s="88"/>
      <c r="BLT19" s="88"/>
      <c r="BLU19" s="88"/>
      <c r="BLV19" s="88"/>
      <c r="BLW19" s="88"/>
      <c r="BLX19" s="88"/>
      <c r="BLY19" s="88"/>
      <c r="BLZ19" s="88"/>
      <c r="BMA19" s="88"/>
      <c r="BMB19" s="88"/>
      <c r="BMC19" s="88"/>
      <c r="BMD19" s="88"/>
      <c r="BME19" s="88"/>
      <c r="BMF19" s="88"/>
      <c r="BMG19" s="88"/>
      <c r="BMH19" s="88"/>
      <c r="BMI19" s="88"/>
      <c r="BMJ19" s="88"/>
      <c r="BMK19" s="88"/>
      <c r="BML19" s="88"/>
      <c r="BMM19" s="88"/>
      <c r="BMN19" s="88"/>
      <c r="BMO19" s="88"/>
      <c r="BMP19" s="88"/>
      <c r="BMQ19" s="88"/>
      <c r="BMR19" s="88"/>
      <c r="BMS19" s="88"/>
      <c r="BMT19" s="88"/>
      <c r="BMU19" s="88"/>
      <c r="BMV19" s="88"/>
      <c r="BMW19" s="88"/>
      <c r="BMX19" s="88"/>
      <c r="BMY19" s="88"/>
      <c r="BMZ19" s="88"/>
      <c r="BNA19" s="88"/>
      <c r="BNB19" s="88"/>
      <c r="BNC19" s="88"/>
      <c r="BND19" s="88"/>
      <c r="BNE19" s="88"/>
      <c r="BNF19" s="88"/>
      <c r="BNG19" s="88"/>
      <c r="BNH19" s="88"/>
      <c r="BNI19" s="88"/>
      <c r="BNJ19" s="88"/>
      <c r="BNK19" s="88"/>
      <c r="BNL19" s="88"/>
      <c r="BNM19" s="88"/>
      <c r="BNN19" s="88"/>
      <c r="BNO19" s="88"/>
      <c r="BNP19" s="88"/>
      <c r="BNQ19" s="88"/>
      <c r="BNR19" s="88"/>
      <c r="BNS19" s="88"/>
      <c r="BNT19" s="88"/>
      <c r="BNU19" s="88"/>
      <c r="BNV19" s="88"/>
      <c r="BNW19" s="88"/>
      <c r="BNX19" s="88"/>
      <c r="BNY19" s="88"/>
      <c r="BNZ19" s="88"/>
      <c r="BOA19" s="88"/>
      <c r="BOB19" s="88"/>
      <c r="BOC19" s="88"/>
      <c r="BOD19" s="88"/>
      <c r="BOE19" s="88"/>
      <c r="BOF19" s="88"/>
      <c r="BOG19" s="88"/>
      <c r="BOH19" s="88"/>
      <c r="BOI19" s="88"/>
      <c r="BOJ19" s="88"/>
      <c r="BOK19" s="88"/>
      <c r="BOL19" s="88"/>
      <c r="BOM19" s="88"/>
      <c r="BON19" s="88"/>
      <c r="BOO19" s="88"/>
      <c r="BOP19" s="88"/>
      <c r="BOQ19" s="88"/>
      <c r="BOR19" s="88"/>
      <c r="BOS19" s="88"/>
      <c r="BOT19" s="88"/>
      <c r="BOU19" s="88"/>
      <c r="BOV19" s="88"/>
      <c r="BOW19" s="88"/>
      <c r="BOX19" s="88"/>
      <c r="BOY19" s="88"/>
      <c r="BOZ19" s="88"/>
      <c r="BPA19" s="88"/>
      <c r="BPB19" s="88"/>
      <c r="BPC19" s="88"/>
      <c r="BPD19" s="88"/>
      <c r="BPE19" s="88"/>
      <c r="BPF19" s="88"/>
      <c r="BPG19" s="88"/>
      <c r="BPH19" s="88"/>
      <c r="BPI19" s="88"/>
      <c r="BPJ19" s="88"/>
      <c r="BPK19" s="88"/>
      <c r="BPL19" s="88"/>
      <c r="BPM19" s="88"/>
      <c r="BPN19" s="88"/>
      <c r="BPO19" s="88"/>
      <c r="BPP19" s="88"/>
      <c r="BPQ19" s="88"/>
      <c r="BPR19" s="88"/>
      <c r="BPS19" s="88"/>
      <c r="BPT19" s="88"/>
      <c r="BPU19" s="88"/>
      <c r="BPV19" s="88"/>
      <c r="BPW19" s="88"/>
      <c r="BPX19" s="88"/>
      <c r="BPY19" s="88"/>
      <c r="BPZ19" s="88"/>
      <c r="BQA19" s="88"/>
      <c r="BQB19" s="88"/>
      <c r="BQC19" s="88"/>
      <c r="BQD19" s="88"/>
      <c r="BQE19" s="88"/>
      <c r="BQF19" s="88"/>
      <c r="BQG19" s="88"/>
      <c r="BQH19" s="88"/>
      <c r="BQI19" s="88"/>
      <c r="BQJ19" s="88"/>
      <c r="BQK19" s="88"/>
      <c r="BQL19" s="88"/>
      <c r="BQM19" s="88"/>
      <c r="BQN19" s="88"/>
      <c r="BQO19" s="88"/>
      <c r="BQP19" s="88"/>
      <c r="BQQ19" s="88"/>
      <c r="BQR19" s="88"/>
      <c r="BQS19" s="88"/>
      <c r="BQT19" s="88"/>
      <c r="BQU19" s="88"/>
      <c r="BQV19" s="88"/>
      <c r="BQW19" s="88"/>
      <c r="BQX19" s="88"/>
      <c r="BQY19" s="88"/>
      <c r="BQZ19" s="88"/>
      <c r="BRA19" s="88"/>
      <c r="BRB19" s="88"/>
      <c r="BRC19" s="88"/>
      <c r="BRD19" s="88"/>
      <c r="BRE19" s="88"/>
      <c r="BRF19" s="88"/>
      <c r="BRG19" s="88"/>
      <c r="BRH19" s="88"/>
      <c r="BRI19" s="88"/>
      <c r="BRJ19" s="88"/>
      <c r="BRK19" s="88"/>
      <c r="BRL19" s="88"/>
      <c r="BRM19" s="88"/>
      <c r="BRN19" s="88"/>
      <c r="BRO19" s="88"/>
      <c r="BRP19" s="88"/>
      <c r="BRQ19" s="88"/>
      <c r="BRR19" s="88"/>
      <c r="BRS19" s="88"/>
      <c r="BRT19" s="88"/>
      <c r="BRU19" s="88"/>
      <c r="BRV19" s="88"/>
      <c r="BRW19" s="88"/>
      <c r="BRX19" s="88"/>
      <c r="BRY19" s="88"/>
      <c r="BRZ19" s="88"/>
      <c r="BSA19" s="88"/>
      <c r="BSB19" s="88"/>
      <c r="BSC19" s="88"/>
      <c r="BSD19" s="88"/>
      <c r="BSE19" s="88"/>
      <c r="BSF19" s="88"/>
      <c r="BSG19" s="88"/>
      <c r="BSH19" s="88"/>
      <c r="BSI19" s="88"/>
      <c r="BSJ19" s="88"/>
      <c r="BSK19" s="88"/>
      <c r="BSL19" s="88"/>
      <c r="BSM19" s="88"/>
      <c r="BSN19" s="88"/>
      <c r="BSO19" s="88"/>
      <c r="BSP19" s="88"/>
      <c r="BSQ19" s="88"/>
      <c r="BSR19" s="88"/>
      <c r="BSS19" s="88"/>
      <c r="BST19" s="88"/>
      <c r="BSU19" s="88"/>
      <c r="BSV19" s="88"/>
      <c r="BSW19" s="88"/>
      <c r="BSX19" s="88"/>
      <c r="BSY19" s="88"/>
      <c r="BSZ19" s="88"/>
      <c r="BTA19" s="88"/>
      <c r="BTB19" s="88"/>
      <c r="BTC19" s="88"/>
      <c r="BTD19" s="88"/>
      <c r="BTE19" s="88"/>
      <c r="BTF19" s="88"/>
      <c r="BTG19" s="88"/>
      <c r="BTH19" s="88"/>
      <c r="BTI19" s="88"/>
      <c r="BTJ19" s="88"/>
      <c r="BTK19" s="88"/>
      <c r="BTL19" s="88"/>
      <c r="BTM19" s="88"/>
      <c r="BTN19" s="88"/>
      <c r="BTO19" s="88"/>
      <c r="BTP19" s="88"/>
      <c r="BTQ19" s="88"/>
      <c r="BTR19" s="88"/>
      <c r="BTS19" s="88"/>
      <c r="BTT19" s="88"/>
      <c r="BTU19" s="88"/>
      <c r="BTV19" s="88"/>
      <c r="BTW19" s="88"/>
      <c r="BTX19" s="88"/>
      <c r="BTY19" s="88"/>
      <c r="BTZ19" s="88"/>
      <c r="BUA19" s="88"/>
      <c r="BUB19" s="88"/>
      <c r="BUC19" s="88"/>
      <c r="BUD19" s="88"/>
      <c r="BUE19" s="88"/>
      <c r="BUF19" s="88"/>
      <c r="BUG19" s="88"/>
      <c r="BUH19" s="88"/>
      <c r="BUI19" s="88"/>
      <c r="BUJ19" s="88"/>
      <c r="BUK19" s="88"/>
      <c r="BUL19" s="88"/>
      <c r="BUM19" s="88"/>
      <c r="BUN19" s="88"/>
      <c r="BUO19" s="88"/>
      <c r="BUP19" s="88"/>
      <c r="BUQ19" s="88"/>
      <c r="BUR19" s="88"/>
      <c r="BUS19" s="88"/>
      <c r="BUT19" s="88"/>
      <c r="BUU19" s="88"/>
      <c r="BUV19" s="88"/>
      <c r="BUW19" s="88"/>
      <c r="BUX19" s="88"/>
      <c r="BUY19" s="88"/>
      <c r="BUZ19" s="88"/>
      <c r="BVA19" s="88"/>
      <c r="BVB19" s="88"/>
      <c r="BVC19" s="88"/>
      <c r="BVD19" s="88"/>
      <c r="BVE19" s="88"/>
      <c r="BVF19" s="88"/>
      <c r="BVG19" s="88"/>
      <c r="BVH19" s="88"/>
      <c r="BVI19" s="88"/>
      <c r="BVJ19" s="88"/>
      <c r="BVK19" s="88"/>
      <c r="BVL19" s="88"/>
      <c r="BVM19" s="88"/>
      <c r="BVN19" s="88"/>
      <c r="BVO19" s="88"/>
      <c r="BVP19" s="88"/>
      <c r="BVQ19" s="88"/>
      <c r="BVR19" s="88"/>
      <c r="BVS19" s="88"/>
      <c r="BVT19" s="88"/>
      <c r="BVU19" s="88"/>
      <c r="BVV19" s="88"/>
      <c r="BVW19" s="88"/>
      <c r="BVX19" s="88"/>
      <c r="BVY19" s="88"/>
      <c r="BVZ19" s="88"/>
      <c r="BWA19" s="88"/>
      <c r="BWB19" s="88"/>
      <c r="BWC19" s="88"/>
      <c r="BWD19" s="88"/>
      <c r="BWE19" s="88"/>
      <c r="BWF19" s="88"/>
      <c r="BWG19" s="88"/>
      <c r="BWH19" s="88"/>
      <c r="BWI19" s="88"/>
      <c r="BWJ19" s="88"/>
      <c r="BWK19" s="88"/>
      <c r="BWL19" s="88"/>
      <c r="BWM19" s="88"/>
      <c r="BWN19" s="88"/>
      <c r="BWO19" s="88"/>
      <c r="BWP19" s="88"/>
      <c r="BWQ19" s="88"/>
      <c r="BWR19" s="88"/>
      <c r="BWS19" s="88"/>
      <c r="BWT19" s="88"/>
      <c r="BWU19" s="88"/>
      <c r="BWV19" s="88"/>
      <c r="BWW19" s="88"/>
      <c r="BWX19" s="88"/>
      <c r="BWY19" s="88"/>
      <c r="BWZ19" s="88"/>
      <c r="BXA19" s="88"/>
      <c r="BXB19" s="88"/>
      <c r="BXC19" s="88"/>
      <c r="BXD19" s="88"/>
      <c r="BXE19" s="88"/>
      <c r="BXF19" s="88"/>
      <c r="BXG19" s="88"/>
      <c r="BXH19" s="88"/>
      <c r="BXI19" s="88"/>
      <c r="BXJ19" s="88"/>
      <c r="BXK19" s="88"/>
      <c r="BXL19" s="88"/>
      <c r="BXM19" s="88"/>
      <c r="BXN19" s="88"/>
      <c r="BXO19" s="88"/>
      <c r="BXP19" s="88"/>
      <c r="BXQ19" s="88"/>
      <c r="BXR19" s="88"/>
      <c r="BXS19" s="88"/>
      <c r="BXT19" s="88"/>
      <c r="BXU19" s="88"/>
      <c r="BXV19" s="88"/>
      <c r="BXW19" s="88"/>
      <c r="BXX19" s="88"/>
      <c r="BXY19" s="88"/>
      <c r="BXZ19" s="88"/>
      <c r="BYA19" s="88"/>
      <c r="BYB19" s="88"/>
      <c r="BYC19" s="88"/>
      <c r="BYD19" s="88"/>
      <c r="BYE19" s="88"/>
      <c r="BYF19" s="88"/>
      <c r="BYG19" s="88"/>
      <c r="BYH19" s="88"/>
      <c r="BYI19" s="88"/>
      <c r="BYJ19" s="88"/>
      <c r="BYK19" s="88"/>
      <c r="BYL19" s="88"/>
      <c r="BYM19" s="88"/>
      <c r="BYN19" s="88"/>
      <c r="BYO19" s="88"/>
      <c r="BYP19" s="88"/>
      <c r="BYQ19" s="88"/>
      <c r="BYR19" s="88"/>
      <c r="BYS19" s="88"/>
      <c r="BYT19" s="88"/>
      <c r="BYU19" s="88"/>
      <c r="BYV19" s="88"/>
      <c r="BYW19" s="88"/>
      <c r="BYX19" s="88"/>
      <c r="BYY19" s="88"/>
      <c r="BYZ19" s="88"/>
      <c r="BZA19" s="88"/>
      <c r="BZB19" s="88"/>
      <c r="BZC19" s="88"/>
      <c r="BZD19" s="88"/>
      <c r="BZE19" s="88"/>
      <c r="BZF19" s="88"/>
      <c r="BZG19" s="88"/>
      <c r="BZH19" s="88"/>
      <c r="BZI19" s="88"/>
      <c r="BZJ19" s="88"/>
      <c r="BZK19" s="88"/>
      <c r="BZL19" s="88"/>
      <c r="BZM19" s="88"/>
      <c r="BZN19" s="88"/>
      <c r="BZO19" s="88"/>
      <c r="BZP19" s="88"/>
      <c r="BZQ19" s="88"/>
      <c r="BZR19" s="88"/>
      <c r="BZS19" s="88"/>
      <c r="BZT19" s="88"/>
      <c r="BZU19" s="88"/>
      <c r="BZV19" s="88"/>
      <c r="BZW19" s="88"/>
      <c r="BZX19" s="88"/>
      <c r="BZY19" s="88"/>
      <c r="BZZ19" s="88"/>
      <c r="CAA19" s="88"/>
      <c r="CAB19" s="88"/>
      <c r="CAC19" s="88"/>
      <c r="CAD19" s="88"/>
      <c r="CAE19" s="88"/>
      <c r="CAF19" s="88"/>
      <c r="CAG19" s="88"/>
      <c r="CAH19" s="88"/>
      <c r="CAI19" s="88"/>
      <c r="CAJ19" s="88"/>
      <c r="CAK19" s="88"/>
      <c r="CAL19" s="88"/>
      <c r="CAM19" s="88"/>
      <c r="CAN19" s="88"/>
      <c r="CAO19" s="88"/>
      <c r="CAP19" s="88"/>
      <c r="CAQ19" s="88"/>
      <c r="CAR19" s="88"/>
      <c r="CAS19" s="88"/>
      <c r="CAT19" s="88"/>
      <c r="CAU19" s="88"/>
      <c r="CAV19" s="88"/>
      <c r="CAW19" s="88"/>
      <c r="CAX19" s="88"/>
      <c r="CAY19" s="88"/>
      <c r="CAZ19" s="88"/>
      <c r="CBA19" s="88"/>
      <c r="CBB19" s="88"/>
      <c r="CBC19" s="88"/>
      <c r="CBD19" s="88"/>
      <c r="CBE19" s="88"/>
      <c r="CBF19" s="88"/>
      <c r="CBG19" s="88"/>
      <c r="CBH19" s="88"/>
      <c r="CBI19" s="88"/>
      <c r="CBJ19" s="88"/>
      <c r="CBK19" s="88"/>
      <c r="CBL19" s="88"/>
      <c r="CBM19" s="88"/>
      <c r="CBN19" s="88"/>
      <c r="CBO19" s="88"/>
      <c r="CBP19" s="88"/>
      <c r="CBQ19" s="88"/>
      <c r="CBR19" s="88"/>
      <c r="CBS19" s="88"/>
      <c r="CBT19" s="88"/>
      <c r="CBU19" s="88"/>
      <c r="CBV19" s="88"/>
      <c r="CBW19" s="88"/>
      <c r="CBX19" s="88"/>
      <c r="CBY19" s="88"/>
      <c r="CBZ19" s="88"/>
      <c r="CCA19" s="88"/>
      <c r="CCB19" s="88"/>
      <c r="CCC19" s="88"/>
      <c r="CCD19" s="88"/>
      <c r="CCE19" s="88"/>
      <c r="CCF19" s="88"/>
      <c r="CCG19" s="88"/>
      <c r="CCH19" s="88"/>
      <c r="CCI19" s="88"/>
      <c r="CCJ19" s="88"/>
      <c r="CCK19" s="88"/>
      <c r="CCL19" s="88"/>
      <c r="CCM19" s="88"/>
      <c r="CCN19" s="88"/>
      <c r="CCO19" s="88"/>
      <c r="CCP19" s="88"/>
      <c r="CCQ19" s="88"/>
      <c r="CCR19" s="88"/>
      <c r="CCS19" s="88"/>
      <c r="CCT19" s="88"/>
      <c r="CCU19" s="88"/>
      <c r="CCV19" s="88"/>
      <c r="CCW19" s="88"/>
      <c r="CCX19" s="88"/>
      <c r="CCY19" s="88"/>
      <c r="CCZ19" s="88"/>
      <c r="CDA19" s="88"/>
      <c r="CDB19" s="88"/>
      <c r="CDC19" s="88"/>
      <c r="CDD19" s="88"/>
      <c r="CDE19" s="88"/>
      <c r="CDF19" s="88"/>
      <c r="CDG19" s="88"/>
      <c r="CDH19" s="88"/>
      <c r="CDI19" s="88"/>
      <c r="CDJ19" s="88"/>
      <c r="CDK19" s="88"/>
      <c r="CDL19" s="88"/>
      <c r="CDM19" s="88"/>
      <c r="CDN19" s="88"/>
      <c r="CDO19" s="88"/>
      <c r="CDP19" s="88"/>
      <c r="CDQ19" s="88"/>
      <c r="CDR19" s="88"/>
      <c r="CDS19" s="88"/>
      <c r="CDT19" s="88"/>
      <c r="CDU19" s="88"/>
      <c r="CDV19" s="88"/>
      <c r="CDW19" s="88"/>
      <c r="CDX19" s="88"/>
      <c r="CDY19" s="88"/>
      <c r="CDZ19" s="88"/>
      <c r="CEA19" s="88"/>
      <c r="CEB19" s="88"/>
      <c r="CEC19" s="88"/>
      <c r="CED19" s="88"/>
      <c r="CEE19" s="88"/>
      <c r="CEF19" s="88"/>
      <c r="CEG19" s="88"/>
      <c r="CEH19" s="88"/>
      <c r="CEI19" s="88"/>
      <c r="CEJ19" s="88"/>
      <c r="CEK19" s="88"/>
    </row>
    <row r="20" spans="1:2169" s="63" customFormat="1">
      <c r="A20" s="68" t="s">
        <v>400</v>
      </c>
      <c r="B20" s="71" t="s">
        <v>62</v>
      </c>
      <c r="C20" s="68" t="str">
        <f>IF('page 2'!$O$4="","",IF('page 2'!$O$4=Gestion!A20,1,0))</f>
        <v/>
      </c>
      <c r="D20" s="68" t="str">
        <f>IF('page 2'!$O$5="","",IF('page 2'!$O$5=Gestion!A20,1,0))</f>
        <v/>
      </c>
      <c r="E20" s="68" t="str">
        <f>IF('page 2'!$O$6="","",IF('page 2'!$O$6=Gestion!A20,1,0))</f>
        <v/>
      </c>
      <c r="F20" s="68" t="str">
        <f>IF('page 2'!$O$7="","",IF('page 2'!$O$7=Gestion!A20,1,0))</f>
        <v/>
      </c>
      <c r="G20" s="68" t="str">
        <f>IF('page 2'!$O$8="","",IF('page 2'!$O$8=Gestion!A20,1,0))</f>
        <v/>
      </c>
      <c r="H20" s="68" t="str">
        <f>IF('page 2'!$O$9="","",IF('page 2'!$O$9=Gestion!A20,1,0))</f>
        <v/>
      </c>
      <c r="I20" s="68" t="str">
        <f>IF('page 2'!$O$10="","",IF('page 2'!$O$10=Gestion!A20,1,0))</f>
        <v/>
      </c>
      <c r="J20" s="68" t="str">
        <f>IF('page 2'!$O$11="","",IF('page 2'!$O$11=Gestion!A20,1,0))</f>
        <v/>
      </c>
      <c r="K20" s="68" t="str">
        <f>IF('page 2'!$O$12="","",IF('page 2'!$O$12=Gestion!A20,1,0))</f>
        <v/>
      </c>
      <c r="L20" s="68" t="str">
        <f>IF('page 2'!$O$13="","",IF('page 2'!$O$13=Gestion!A20,1,0))</f>
        <v/>
      </c>
      <c r="M20" s="68" t="str">
        <f>IF('page 2'!$O$14="","",IF('page 2'!$O$14=Gestion!A20,1,0))</f>
        <v/>
      </c>
      <c r="N20" s="68" t="str">
        <f>IF('page 2'!$O$15="","",IF('page 2'!$O$15=Gestion!A20,1,0))</f>
        <v/>
      </c>
      <c r="O20" s="68" t="str">
        <f>IF('page 2'!$O$16="","",IF('page 2'!$O$16=Gestion!A20,1,0))</f>
        <v/>
      </c>
      <c r="P20" s="68" t="str">
        <f>IF('page 2'!$O$17="","",IF('page 2'!$O$17=Gestion!A20,1,0))</f>
        <v/>
      </c>
      <c r="Q20" s="68" t="str">
        <f>IF('page 2'!$O$18="","",IF('page 2'!$O$18=Gestion!A20,1,0))</f>
        <v/>
      </c>
      <c r="R20" s="68" t="str">
        <f>IF('page 2'!$O$19="","",IF('page 2'!$O$19=Gestion!A20,1,0))</f>
        <v/>
      </c>
      <c r="S20" s="68" t="str">
        <f>IF('page 2'!$O$20="","",IF('page 2'!$O$20=Gestion!A20,1,0))</f>
        <v/>
      </c>
      <c r="T20" s="68" t="str">
        <f>IF('page 2'!$O$25="","",IF('page 2'!$O$25=Gestion!A20,1,0))</f>
        <v/>
      </c>
      <c r="U20" s="68" t="str">
        <f>IF('page 2'!$O$26="","",IF('page 2'!$O$26=Gestion!A20,1,0))</f>
        <v/>
      </c>
      <c r="V20" s="68" t="str">
        <f>IF('page 2'!$O$27="","",IF('page 2'!$O$27=Gestion!A20,1,0))</f>
        <v/>
      </c>
      <c r="W20" s="722">
        <f t="shared" si="0"/>
        <v>0</v>
      </c>
      <c r="X20" s="714" t="s">
        <v>7670</v>
      </c>
      <c r="Y20" s="68" t="str">
        <f>IF('page 2'!O21="","",'page 2'!O21)</f>
        <v/>
      </c>
      <c r="Z20" s="68" t="str">
        <f>IF(Y20="","",VLOOKUP(Y20,'page 2'!$O$4:$Q$27,3,FALSE))</f>
        <v/>
      </c>
      <c r="AA20" s="68" t="str">
        <f t="shared" si="1"/>
        <v/>
      </c>
      <c r="AB20" s="68"/>
      <c r="AC20" s="68"/>
      <c r="AD20" s="68"/>
      <c r="AP20" s="130"/>
      <c r="AQ20" s="130"/>
      <c r="AR20" s="130"/>
      <c r="AS20" s="897"/>
      <c r="AT20" s="897"/>
      <c r="AU20" s="897"/>
      <c r="AV20" s="897"/>
      <c r="AW20" s="602"/>
      <c r="AX20" s="602"/>
      <c r="AY20" s="897"/>
      <c r="AZ20" s="897"/>
      <c r="BA20" s="897"/>
      <c r="BB20" s="897"/>
      <c r="BC20" s="897"/>
      <c r="BD20" s="576"/>
      <c r="BE20" s="602"/>
      <c r="BF20" s="602"/>
      <c r="BG20" s="602"/>
      <c r="BH20" s="602"/>
      <c r="BI20" s="602"/>
      <c r="BJ20" s="602"/>
      <c r="BK20" s="602"/>
      <c r="BL20" s="602"/>
      <c r="BM20" s="602"/>
      <c r="BN20" s="602"/>
      <c r="BO20" s="602"/>
      <c r="BP20" s="602"/>
      <c r="BQ20" s="602"/>
      <c r="BR20" s="602"/>
      <c r="BS20" s="897"/>
      <c r="BT20" s="897"/>
      <c r="BU20" s="897"/>
      <c r="BV20" s="897"/>
      <c r="BW20" s="602"/>
      <c r="BX20" s="602"/>
      <c r="BY20" s="602"/>
      <c r="BZ20" s="897"/>
      <c r="CA20" s="602"/>
      <c r="CB20" s="602"/>
      <c r="CC20" s="576"/>
      <c r="CD20" s="602"/>
      <c r="CE20" s="602"/>
      <c r="CF20" s="576"/>
      <c r="CG20" s="576"/>
      <c r="CH20" s="576"/>
      <c r="CI20" s="576"/>
      <c r="CJ20" s="576"/>
      <c r="CK20" s="602"/>
      <c r="CL20" s="602"/>
      <c r="CM20" s="576"/>
      <c r="CN20" s="602"/>
      <c r="CO20" s="602"/>
      <c r="CP20" s="602"/>
      <c r="CQ20" s="576"/>
      <c r="CR20" s="576"/>
      <c r="CS20" s="602"/>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c r="AKH20" s="88"/>
      <c r="AKI20" s="88"/>
      <c r="AKJ20" s="88"/>
      <c r="AKK20" s="88"/>
      <c r="AKL20" s="88"/>
      <c r="AKM20" s="88"/>
      <c r="AKN20" s="88"/>
      <c r="AKO20" s="88"/>
      <c r="AKP20" s="88"/>
      <c r="AKQ20" s="88"/>
      <c r="AKR20" s="88"/>
      <c r="AKS20" s="88"/>
      <c r="AKT20" s="88"/>
      <c r="AKU20" s="88"/>
      <c r="AKV20" s="88"/>
      <c r="AKW20" s="88"/>
      <c r="AKX20" s="88"/>
      <c r="AKY20" s="88"/>
      <c r="AKZ20" s="88"/>
      <c r="ALA20" s="88"/>
      <c r="ALB20" s="88"/>
      <c r="ALC20" s="88"/>
      <c r="ALD20" s="88"/>
      <c r="ALE20" s="88"/>
      <c r="ALF20" s="88"/>
      <c r="ALG20" s="88"/>
      <c r="ALH20" s="88"/>
      <c r="ALI20" s="88"/>
      <c r="ALJ20" s="88"/>
      <c r="ALK20" s="88"/>
      <c r="ALL20" s="88"/>
      <c r="ALM20" s="88"/>
      <c r="ALN20" s="88"/>
      <c r="ALO20" s="88"/>
      <c r="ALP20" s="88"/>
      <c r="ALQ20" s="88"/>
      <c r="ALR20" s="88"/>
      <c r="ALS20" s="88"/>
      <c r="ALT20" s="88"/>
      <c r="ALU20" s="88"/>
      <c r="ALV20" s="88"/>
      <c r="ALW20" s="88"/>
      <c r="ALX20" s="88"/>
      <c r="ALY20" s="88"/>
      <c r="ALZ20" s="88"/>
      <c r="AMA20" s="88"/>
      <c r="AMB20" s="88"/>
      <c r="AMC20" s="88"/>
      <c r="AMD20" s="88"/>
      <c r="AME20" s="88"/>
      <c r="AMF20" s="88"/>
      <c r="AMG20" s="88"/>
      <c r="AMH20" s="88"/>
      <c r="AMI20" s="88"/>
      <c r="AMJ20" s="88"/>
      <c r="AMK20" s="88"/>
      <c r="AML20" s="88"/>
      <c r="AMM20" s="88"/>
      <c r="AMN20" s="88"/>
      <c r="AMO20" s="88"/>
      <c r="AMP20" s="88"/>
      <c r="AMQ20" s="88"/>
      <c r="AMR20" s="88"/>
      <c r="AMS20" s="88"/>
      <c r="AMT20" s="88"/>
      <c r="AMU20" s="88"/>
      <c r="AMV20" s="88"/>
      <c r="AMW20" s="88"/>
      <c r="AMX20" s="88"/>
      <c r="AMY20" s="88"/>
      <c r="AMZ20" s="88"/>
      <c r="ANA20" s="88"/>
      <c r="ANB20" s="88"/>
      <c r="ANC20" s="88"/>
      <c r="AND20" s="88"/>
      <c r="ANE20" s="88"/>
      <c r="ANF20" s="88"/>
      <c r="ANG20" s="88"/>
      <c r="ANH20" s="88"/>
      <c r="ANI20" s="88"/>
      <c r="ANJ20" s="88"/>
      <c r="ANK20" s="88"/>
      <c r="ANL20" s="88"/>
      <c r="ANM20" s="88"/>
      <c r="ANN20" s="88"/>
      <c r="ANO20" s="88"/>
      <c r="ANP20" s="88"/>
      <c r="ANQ20" s="88"/>
      <c r="ANR20" s="88"/>
      <c r="ANS20" s="88"/>
      <c r="ANT20" s="88"/>
      <c r="ANU20" s="88"/>
      <c r="ANV20" s="88"/>
      <c r="ANW20" s="88"/>
      <c r="ANX20" s="88"/>
      <c r="ANY20" s="88"/>
      <c r="ANZ20" s="88"/>
      <c r="AOA20" s="88"/>
      <c r="AOB20" s="88"/>
      <c r="AOC20" s="88"/>
      <c r="AOD20" s="88"/>
      <c r="AOE20" s="88"/>
      <c r="AOF20" s="88"/>
      <c r="AOG20" s="88"/>
      <c r="AOH20" s="88"/>
      <c r="AOI20" s="88"/>
      <c r="AOJ20" s="88"/>
      <c r="AOK20" s="88"/>
      <c r="AOL20" s="88"/>
      <c r="AOM20" s="88"/>
      <c r="AON20" s="88"/>
      <c r="AOO20" s="88"/>
      <c r="AOP20" s="88"/>
      <c r="AOQ20" s="88"/>
      <c r="AOR20" s="88"/>
      <c r="AOS20" s="88"/>
      <c r="AOT20" s="88"/>
      <c r="AOU20" s="88"/>
      <c r="AOV20" s="88"/>
      <c r="AOW20" s="88"/>
      <c r="AOX20" s="88"/>
      <c r="AOY20" s="88"/>
      <c r="AOZ20" s="88"/>
      <c r="APA20" s="88"/>
      <c r="APB20" s="88"/>
      <c r="APC20" s="88"/>
      <c r="APD20" s="88"/>
      <c r="APE20" s="88"/>
      <c r="APF20" s="88"/>
      <c r="APG20" s="88"/>
      <c r="APH20" s="88"/>
      <c r="API20" s="88"/>
      <c r="APJ20" s="88"/>
      <c r="APK20" s="88"/>
      <c r="APL20" s="88"/>
      <c r="APM20" s="88"/>
      <c r="APN20" s="88"/>
      <c r="APO20" s="88"/>
      <c r="APP20" s="88"/>
      <c r="APQ20" s="88"/>
      <c r="APR20" s="88"/>
      <c r="APS20" s="88"/>
      <c r="APT20" s="88"/>
      <c r="APU20" s="88"/>
      <c r="APV20" s="88"/>
      <c r="APW20" s="88"/>
      <c r="APX20" s="88"/>
      <c r="APY20" s="88"/>
      <c r="APZ20" s="88"/>
      <c r="AQA20" s="88"/>
      <c r="AQB20" s="88"/>
      <c r="AQC20" s="88"/>
      <c r="AQD20" s="88"/>
      <c r="AQE20" s="88"/>
      <c r="AQF20" s="88"/>
      <c r="AQG20" s="88"/>
      <c r="AQH20" s="88"/>
      <c r="AQI20" s="88"/>
      <c r="AQJ20" s="88"/>
      <c r="AQK20" s="88"/>
      <c r="AQL20" s="88"/>
      <c r="AQM20" s="88"/>
      <c r="AQN20" s="88"/>
      <c r="AQO20" s="88"/>
      <c r="AQP20" s="88"/>
      <c r="AQQ20" s="88"/>
      <c r="AQR20" s="88"/>
      <c r="AQS20" s="88"/>
      <c r="AQT20" s="88"/>
      <c r="AQU20" s="88"/>
      <c r="AQV20" s="88"/>
      <c r="AQW20" s="88"/>
      <c r="AQX20" s="88"/>
      <c r="AQY20" s="88"/>
      <c r="AQZ20" s="88"/>
      <c r="ARA20" s="88"/>
      <c r="ARB20" s="88"/>
      <c r="ARC20" s="88"/>
      <c r="ARD20" s="88"/>
      <c r="ARE20" s="88"/>
      <c r="ARF20" s="88"/>
      <c r="ARG20" s="88"/>
      <c r="ARH20" s="88"/>
      <c r="ARI20" s="88"/>
      <c r="ARJ20" s="88"/>
      <c r="ARK20" s="88"/>
      <c r="ARL20" s="88"/>
      <c r="ARM20" s="88"/>
      <c r="ARN20" s="88"/>
      <c r="ARO20" s="88"/>
      <c r="ARP20" s="88"/>
      <c r="ARQ20" s="88"/>
      <c r="ARR20" s="88"/>
      <c r="ARS20" s="88"/>
      <c r="ART20" s="88"/>
      <c r="ARU20" s="88"/>
      <c r="ARV20" s="88"/>
      <c r="ARW20" s="88"/>
      <c r="ARX20" s="88"/>
      <c r="ARY20" s="88"/>
      <c r="ARZ20" s="88"/>
      <c r="ASA20" s="88"/>
      <c r="ASB20" s="88"/>
      <c r="ASC20" s="88"/>
      <c r="ASD20" s="88"/>
      <c r="ASE20" s="88"/>
      <c r="ASF20" s="88"/>
      <c r="ASG20" s="88"/>
      <c r="ASH20" s="88"/>
      <c r="ASI20" s="88"/>
      <c r="ASJ20" s="88"/>
      <c r="ASK20" s="88"/>
      <c r="ASL20" s="88"/>
      <c r="ASM20" s="88"/>
      <c r="ASN20" s="88"/>
      <c r="ASO20" s="88"/>
      <c r="ASP20" s="88"/>
      <c r="ASQ20" s="88"/>
      <c r="ASR20" s="88"/>
      <c r="ASS20" s="88"/>
      <c r="AST20" s="88"/>
      <c r="ASU20" s="88"/>
      <c r="ASV20" s="88"/>
      <c r="ASW20" s="88"/>
      <c r="ASX20" s="88"/>
      <c r="ASY20" s="88"/>
      <c r="ASZ20" s="88"/>
      <c r="ATA20" s="88"/>
      <c r="ATB20" s="88"/>
      <c r="ATC20" s="88"/>
      <c r="ATD20" s="88"/>
      <c r="ATE20" s="88"/>
      <c r="ATF20" s="88"/>
      <c r="ATG20" s="88"/>
      <c r="ATH20" s="88"/>
      <c r="ATI20" s="88"/>
      <c r="ATJ20" s="88"/>
      <c r="ATK20" s="88"/>
      <c r="ATL20" s="88"/>
      <c r="ATM20" s="88"/>
      <c r="ATN20" s="88"/>
      <c r="ATO20" s="88"/>
      <c r="ATP20" s="88"/>
      <c r="ATQ20" s="88"/>
      <c r="ATR20" s="88"/>
      <c r="ATS20" s="88"/>
      <c r="ATT20" s="88"/>
      <c r="ATU20" s="88"/>
      <c r="ATV20" s="88"/>
      <c r="ATW20" s="88"/>
      <c r="ATX20" s="88"/>
      <c r="ATY20" s="88"/>
      <c r="ATZ20" s="88"/>
      <c r="AUA20" s="88"/>
      <c r="AUB20" s="88"/>
      <c r="AUC20" s="88"/>
      <c r="AUD20" s="88"/>
      <c r="AUE20" s="88"/>
      <c r="AUF20" s="88"/>
      <c r="AUG20" s="88"/>
      <c r="AUH20" s="88"/>
      <c r="AUI20" s="88"/>
      <c r="AUJ20" s="88"/>
      <c r="AUK20" s="88"/>
      <c r="AUL20" s="88"/>
      <c r="AUM20" s="88"/>
      <c r="AUN20" s="88"/>
      <c r="AUO20" s="88"/>
      <c r="AUP20" s="88"/>
      <c r="AUQ20" s="88"/>
      <c r="AUR20" s="88"/>
      <c r="AUS20" s="88"/>
      <c r="AUT20" s="88"/>
      <c r="AUU20" s="88"/>
      <c r="AUV20" s="88"/>
      <c r="AUW20" s="88"/>
      <c r="AUX20" s="88"/>
      <c r="AUY20" s="88"/>
      <c r="AUZ20" s="88"/>
      <c r="AVA20" s="88"/>
      <c r="AVB20" s="88"/>
      <c r="AVC20" s="88"/>
      <c r="AVD20" s="88"/>
      <c r="AVE20" s="88"/>
      <c r="AVF20" s="88"/>
      <c r="AVG20" s="88"/>
      <c r="AVH20" s="88"/>
      <c r="AVI20" s="88"/>
      <c r="AVJ20" s="88"/>
      <c r="AVK20" s="88"/>
      <c r="AVL20" s="88"/>
      <c r="AVM20" s="88"/>
      <c r="AVN20" s="88"/>
      <c r="AVO20" s="88"/>
      <c r="AVP20" s="88"/>
      <c r="AVQ20" s="88"/>
      <c r="AVR20" s="88"/>
      <c r="AVS20" s="88"/>
      <c r="AVT20" s="88"/>
      <c r="AVU20" s="88"/>
      <c r="AVV20" s="88"/>
      <c r="AVW20" s="88"/>
      <c r="AVX20" s="88"/>
      <c r="AVY20" s="88"/>
      <c r="AVZ20" s="88"/>
      <c r="AWA20" s="88"/>
      <c r="AWB20" s="88"/>
      <c r="AWC20" s="88"/>
      <c r="AWD20" s="88"/>
      <c r="AWE20" s="88"/>
      <c r="AWF20" s="88"/>
      <c r="AWG20" s="88"/>
      <c r="AWH20" s="88"/>
      <c r="AWI20" s="88"/>
      <c r="AWJ20" s="88"/>
      <c r="AWK20" s="88"/>
      <c r="AWL20" s="88"/>
      <c r="AWM20" s="88"/>
      <c r="AWN20" s="88"/>
      <c r="AWO20" s="88"/>
      <c r="AWP20" s="88"/>
      <c r="AWQ20" s="88"/>
      <c r="AWR20" s="88"/>
      <c r="AWS20" s="88"/>
      <c r="AWT20" s="88"/>
      <c r="AWU20" s="88"/>
      <c r="AWV20" s="88"/>
      <c r="AWW20" s="88"/>
      <c r="AWX20" s="88"/>
      <c r="AWY20" s="88"/>
      <c r="AWZ20" s="88"/>
      <c r="AXA20" s="88"/>
      <c r="AXB20" s="88"/>
      <c r="AXC20" s="88"/>
      <c r="AXD20" s="88"/>
      <c r="AXE20" s="88"/>
      <c r="AXF20" s="88"/>
      <c r="AXG20" s="88"/>
      <c r="AXH20" s="88"/>
      <c r="AXI20" s="88"/>
      <c r="AXJ20" s="88"/>
      <c r="AXK20" s="88"/>
      <c r="AXL20" s="88"/>
      <c r="AXM20" s="88"/>
      <c r="AXN20" s="88"/>
      <c r="AXO20" s="88"/>
      <c r="AXP20" s="88"/>
      <c r="AXQ20" s="88"/>
      <c r="AXR20" s="88"/>
      <c r="AXS20" s="88"/>
      <c r="AXT20" s="88"/>
      <c r="AXU20" s="88"/>
      <c r="AXV20" s="88"/>
      <c r="AXW20" s="88"/>
      <c r="AXX20" s="88"/>
      <c r="AXY20" s="88"/>
      <c r="AXZ20" s="88"/>
      <c r="AYA20" s="88"/>
      <c r="AYB20" s="88"/>
      <c r="AYC20" s="88"/>
      <c r="AYD20" s="88"/>
      <c r="AYE20" s="88"/>
      <c r="AYF20" s="88"/>
      <c r="AYG20" s="88"/>
      <c r="AYH20" s="88"/>
      <c r="AYI20" s="88"/>
      <c r="AYJ20" s="88"/>
      <c r="AYK20" s="88"/>
      <c r="AYL20" s="88"/>
      <c r="AYM20" s="88"/>
      <c r="AYN20" s="88"/>
      <c r="AYO20" s="88"/>
      <c r="AYP20" s="88"/>
      <c r="AYQ20" s="88"/>
      <c r="AYR20" s="88"/>
      <c r="AYS20" s="88"/>
      <c r="AYT20" s="88"/>
      <c r="AYU20" s="88"/>
      <c r="AYV20" s="88"/>
      <c r="AYW20" s="88"/>
      <c r="AYX20" s="88"/>
      <c r="AYY20" s="88"/>
      <c r="AYZ20" s="88"/>
      <c r="AZA20" s="88"/>
      <c r="AZB20" s="88"/>
      <c r="AZC20" s="88"/>
      <c r="AZD20" s="88"/>
      <c r="AZE20" s="88"/>
      <c r="AZF20" s="88"/>
      <c r="AZG20" s="88"/>
      <c r="AZH20" s="88"/>
      <c r="AZI20" s="88"/>
      <c r="AZJ20" s="88"/>
      <c r="AZK20" s="88"/>
      <c r="AZL20" s="88"/>
      <c r="AZM20" s="88"/>
      <c r="AZN20" s="88"/>
      <c r="AZO20" s="88"/>
      <c r="AZP20" s="88"/>
      <c r="AZQ20" s="88"/>
      <c r="AZR20" s="88"/>
      <c r="AZS20" s="88"/>
      <c r="AZT20" s="88"/>
      <c r="AZU20" s="88"/>
      <c r="AZV20" s="88"/>
      <c r="AZW20" s="88"/>
      <c r="AZX20" s="88"/>
      <c r="AZY20" s="88"/>
      <c r="AZZ20" s="88"/>
      <c r="BAA20" s="88"/>
      <c r="BAB20" s="88"/>
      <c r="BAC20" s="88"/>
      <c r="BAD20" s="88"/>
      <c r="BAE20" s="88"/>
      <c r="BAF20" s="88"/>
      <c r="BAG20" s="88"/>
      <c r="BAH20" s="88"/>
      <c r="BAI20" s="88"/>
      <c r="BAJ20" s="88"/>
      <c r="BAK20" s="88"/>
      <c r="BAL20" s="88"/>
      <c r="BAM20" s="88"/>
      <c r="BAN20" s="88"/>
      <c r="BAO20" s="88"/>
      <c r="BAP20" s="88"/>
      <c r="BAQ20" s="88"/>
      <c r="BAR20" s="88"/>
      <c r="BAS20" s="88"/>
      <c r="BAT20" s="88"/>
      <c r="BAU20" s="88"/>
      <c r="BAV20" s="88"/>
      <c r="BAW20" s="88"/>
      <c r="BAX20" s="88"/>
      <c r="BAY20" s="88"/>
      <c r="BAZ20" s="88"/>
      <c r="BBA20" s="88"/>
      <c r="BBB20" s="88"/>
      <c r="BBC20" s="88"/>
      <c r="BBD20" s="88"/>
      <c r="BBE20" s="88"/>
      <c r="BBF20" s="88"/>
      <c r="BBG20" s="88"/>
      <c r="BBH20" s="88"/>
      <c r="BBI20" s="88"/>
      <c r="BBJ20" s="88"/>
      <c r="BBK20" s="88"/>
      <c r="BBL20" s="88"/>
      <c r="BBM20" s="88"/>
      <c r="BBN20" s="88"/>
      <c r="BBO20" s="88"/>
      <c r="BBP20" s="88"/>
      <c r="BBQ20" s="88"/>
      <c r="BBR20" s="88"/>
      <c r="BBS20" s="88"/>
      <c r="BBT20" s="88"/>
      <c r="BBU20" s="88"/>
      <c r="BBV20" s="88"/>
      <c r="BBW20" s="88"/>
      <c r="BBX20" s="88"/>
      <c r="BBY20" s="88"/>
      <c r="BBZ20" s="88"/>
      <c r="BCA20" s="88"/>
      <c r="BCB20" s="88"/>
      <c r="BCC20" s="88"/>
      <c r="BCD20" s="88"/>
      <c r="BCE20" s="88"/>
      <c r="BCF20" s="88"/>
      <c r="BCG20" s="88"/>
      <c r="BCH20" s="88"/>
      <c r="BCI20" s="88"/>
      <c r="BCJ20" s="88"/>
      <c r="BCK20" s="88"/>
      <c r="BCL20" s="88"/>
      <c r="BCM20" s="88"/>
      <c r="BCN20" s="88"/>
      <c r="BCO20" s="88"/>
      <c r="BCP20" s="88"/>
      <c r="BCQ20" s="88"/>
      <c r="BCR20" s="88"/>
      <c r="BCS20" s="88"/>
      <c r="BCT20" s="88"/>
      <c r="BCU20" s="88"/>
      <c r="BCV20" s="88"/>
      <c r="BCW20" s="88"/>
      <c r="BCX20" s="88"/>
      <c r="BCY20" s="88"/>
      <c r="BCZ20" s="88"/>
      <c r="BDA20" s="88"/>
      <c r="BDB20" s="88"/>
      <c r="BDC20" s="88"/>
      <c r="BDD20" s="88"/>
      <c r="BDE20" s="88"/>
      <c r="BDF20" s="88"/>
      <c r="BDG20" s="88"/>
      <c r="BDH20" s="88"/>
      <c r="BDI20" s="88"/>
      <c r="BDJ20" s="88"/>
      <c r="BDK20" s="88"/>
      <c r="BDL20" s="88"/>
      <c r="BDM20" s="88"/>
      <c r="BDN20" s="88"/>
      <c r="BDO20" s="88"/>
      <c r="BDP20" s="88"/>
      <c r="BDQ20" s="88"/>
      <c r="BDR20" s="88"/>
      <c r="BDS20" s="88"/>
      <c r="BDT20" s="88"/>
      <c r="BDU20" s="88"/>
      <c r="BDV20" s="88"/>
      <c r="BDW20" s="88"/>
      <c r="BDX20" s="88"/>
      <c r="BDY20" s="88"/>
      <c r="BDZ20" s="88"/>
      <c r="BEA20" s="88"/>
      <c r="BEB20" s="88"/>
      <c r="BEC20" s="88"/>
      <c r="BED20" s="88"/>
      <c r="BEE20" s="88"/>
      <c r="BEF20" s="88"/>
      <c r="BEG20" s="88"/>
      <c r="BEH20" s="88"/>
      <c r="BEI20" s="88"/>
      <c r="BEJ20" s="88"/>
      <c r="BEK20" s="88"/>
      <c r="BEL20" s="88"/>
      <c r="BEM20" s="88"/>
      <c r="BEN20" s="88"/>
      <c r="BEO20" s="88"/>
      <c r="BEP20" s="88"/>
      <c r="BEQ20" s="88"/>
      <c r="BER20" s="88"/>
      <c r="BES20" s="88"/>
      <c r="BET20" s="88"/>
      <c r="BEU20" s="88"/>
      <c r="BEV20" s="88"/>
      <c r="BEW20" s="88"/>
      <c r="BEX20" s="88"/>
      <c r="BEY20" s="88"/>
      <c r="BEZ20" s="88"/>
      <c r="BFA20" s="88"/>
      <c r="BFB20" s="88"/>
      <c r="BFC20" s="88"/>
      <c r="BFD20" s="88"/>
      <c r="BFE20" s="88"/>
      <c r="BFF20" s="88"/>
      <c r="BFG20" s="88"/>
      <c r="BFH20" s="88"/>
      <c r="BFI20" s="88"/>
      <c r="BFJ20" s="88"/>
      <c r="BFK20" s="88"/>
      <c r="BFL20" s="88"/>
      <c r="BFM20" s="88"/>
      <c r="BFN20" s="88"/>
      <c r="BFO20" s="88"/>
      <c r="BFP20" s="88"/>
      <c r="BFQ20" s="88"/>
      <c r="BFR20" s="88"/>
      <c r="BFS20" s="88"/>
      <c r="BFT20" s="88"/>
      <c r="BFU20" s="88"/>
      <c r="BFV20" s="88"/>
      <c r="BFW20" s="88"/>
      <c r="BFX20" s="88"/>
      <c r="BFY20" s="88"/>
      <c r="BFZ20" s="88"/>
      <c r="BGA20" s="88"/>
      <c r="BGB20" s="88"/>
      <c r="BGC20" s="88"/>
      <c r="BGD20" s="88"/>
      <c r="BGE20" s="88"/>
      <c r="BGF20" s="88"/>
      <c r="BGG20" s="88"/>
      <c r="BGH20" s="88"/>
      <c r="BGI20" s="88"/>
      <c r="BGJ20" s="88"/>
      <c r="BGK20" s="88"/>
      <c r="BGL20" s="88"/>
      <c r="BGM20" s="88"/>
      <c r="BGN20" s="88"/>
      <c r="BGO20" s="88"/>
      <c r="BGP20" s="88"/>
      <c r="BGQ20" s="88"/>
      <c r="BGR20" s="88"/>
      <c r="BGS20" s="88"/>
      <c r="BGT20" s="88"/>
      <c r="BGU20" s="88"/>
      <c r="BGV20" s="88"/>
      <c r="BGW20" s="88"/>
      <c r="BGX20" s="88"/>
      <c r="BGY20" s="88"/>
      <c r="BGZ20" s="88"/>
      <c r="BHA20" s="88"/>
      <c r="BHB20" s="88"/>
      <c r="BHC20" s="88"/>
      <c r="BHD20" s="88"/>
      <c r="BHE20" s="88"/>
      <c r="BHF20" s="88"/>
      <c r="BHG20" s="88"/>
      <c r="BHH20" s="88"/>
      <c r="BHI20" s="88"/>
      <c r="BHJ20" s="88"/>
      <c r="BHK20" s="88"/>
      <c r="BHL20" s="88"/>
      <c r="BHM20" s="88"/>
      <c r="BHN20" s="88"/>
      <c r="BHO20" s="88"/>
      <c r="BHP20" s="88"/>
      <c r="BHQ20" s="88"/>
      <c r="BHR20" s="88"/>
      <c r="BHS20" s="88"/>
      <c r="BHT20" s="88"/>
      <c r="BHU20" s="88"/>
      <c r="BHV20" s="88"/>
      <c r="BHW20" s="88"/>
      <c r="BHX20" s="88"/>
      <c r="BHY20" s="88"/>
      <c r="BHZ20" s="88"/>
      <c r="BIA20" s="88"/>
      <c r="BIB20" s="88"/>
      <c r="BIC20" s="88"/>
      <c r="BID20" s="88"/>
      <c r="BIE20" s="88"/>
      <c r="BIF20" s="88"/>
      <c r="BIG20" s="88"/>
      <c r="BIH20" s="88"/>
      <c r="BII20" s="88"/>
      <c r="BIJ20" s="88"/>
      <c r="BIK20" s="88"/>
      <c r="BIL20" s="88"/>
      <c r="BIM20" s="88"/>
      <c r="BIN20" s="88"/>
      <c r="BIO20" s="88"/>
      <c r="BIP20" s="88"/>
      <c r="BIQ20" s="88"/>
      <c r="BIR20" s="88"/>
      <c r="BIS20" s="88"/>
      <c r="BIT20" s="88"/>
      <c r="BIU20" s="88"/>
      <c r="BIV20" s="88"/>
      <c r="BIW20" s="88"/>
      <c r="BIX20" s="88"/>
      <c r="BIY20" s="88"/>
      <c r="BIZ20" s="88"/>
      <c r="BJA20" s="88"/>
      <c r="BJB20" s="88"/>
      <c r="BJC20" s="88"/>
      <c r="BJD20" s="88"/>
      <c r="BJE20" s="88"/>
      <c r="BJF20" s="88"/>
      <c r="BJG20" s="88"/>
      <c r="BJH20" s="88"/>
      <c r="BJI20" s="88"/>
      <c r="BJJ20" s="88"/>
      <c r="BJK20" s="88"/>
      <c r="BJL20" s="88"/>
      <c r="BJM20" s="88"/>
      <c r="BJN20" s="88"/>
      <c r="BJO20" s="88"/>
      <c r="BJP20" s="88"/>
      <c r="BJQ20" s="88"/>
      <c r="BJR20" s="88"/>
      <c r="BJS20" s="88"/>
      <c r="BJT20" s="88"/>
      <c r="BJU20" s="88"/>
      <c r="BJV20" s="88"/>
      <c r="BJW20" s="88"/>
      <c r="BJX20" s="88"/>
      <c r="BJY20" s="88"/>
      <c r="BJZ20" s="88"/>
      <c r="BKA20" s="88"/>
      <c r="BKB20" s="88"/>
      <c r="BKC20" s="88"/>
      <c r="BKD20" s="88"/>
      <c r="BKE20" s="88"/>
      <c r="BKF20" s="88"/>
      <c r="BKG20" s="88"/>
      <c r="BKH20" s="88"/>
      <c r="BKI20" s="88"/>
      <c r="BKJ20" s="88"/>
      <c r="BKK20" s="88"/>
      <c r="BKL20" s="88"/>
      <c r="BKM20" s="88"/>
      <c r="BKN20" s="88"/>
      <c r="BKO20" s="88"/>
      <c r="BKP20" s="88"/>
      <c r="BKQ20" s="88"/>
      <c r="BKR20" s="88"/>
      <c r="BKS20" s="88"/>
      <c r="BKT20" s="88"/>
      <c r="BKU20" s="88"/>
      <c r="BKV20" s="88"/>
      <c r="BKW20" s="88"/>
      <c r="BKX20" s="88"/>
      <c r="BKY20" s="88"/>
      <c r="BKZ20" s="88"/>
      <c r="BLA20" s="88"/>
      <c r="BLB20" s="88"/>
      <c r="BLC20" s="88"/>
      <c r="BLD20" s="88"/>
      <c r="BLE20" s="88"/>
      <c r="BLF20" s="88"/>
      <c r="BLG20" s="88"/>
      <c r="BLH20" s="88"/>
      <c r="BLI20" s="88"/>
      <c r="BLJ20" s="88"/>
      <c r="BLK20" s="88"/>
      <c r="BLL20" s="88"/>
      <c r="BLM20" s="88"/>
      <c r="BLN20" s="88"/>
      <c r="BLO20" s="88"/>
      <c r="BLP20" s="88"/>
      <c r="BLQ20" s="88"/>
      <c r="BLR20" s="88"/>
      <c r="BLS20" s="88"/>
      <c r="BLT20" s="88"/>
      <c r="BLU20" s="88"/>
      <c r="BLV20" s="88"/>
      <c r="BLW20" s="88"/>
      <c r="BLX20" s="88"/>
      <c r="BLY20" s="88"/>
      <c r="BLZ20" s="88"/>
      <c r="BMA20" s="88"/>
      <c r="BMB20" s="88"/>
      <c r="BMC20" s="88"/>
      <c r="BMD20" s="88"/>
      <c r="BME20" s="88"/>
      <c r="BMF20" s="88"/>
      <c r="BMG20" s="88"/>
      <c r="BMH20" s="88"/>
      <c r="BMI20" s="88"/>
      <c r="BMJ20" s="88"/>
      <c r="BMK20" s="88"/>
      <c r="BML20" s="88"/>
      <c r="BMM20" s="88"/>
      <c r="BMN20" s="88"/>
      <c r="BMO20" s="88"/>
      <c r="BMP20" s="88"/>
      <c r="BMQ20" s="88"/>
      <c r="BMR20" s="88"/>
      <c r="BMS20" s="88"/>
      <c r="BMT20" s="88"/>
      <c r="BMU20" s="88"/>
      <c r="BMV20" s="88"/>
      <c r="BMW20" s="88"/>
      <c r="BMX20" s="88"/>
      <c r="BMY20" s="88"/>
      <c r="BMZ20" s="88"/>
      <c r="BNA20" s="88"/>
      <c r="BNB20" s="88"/>
      <c r="BNC20" s="88"/>
      <c r="BND20" s="88"/>
      <c r="BNE20" s="88"/>
      <c r="BNF20" s="88"/>
      <c r="BNG20" s="88"/>
      <c r="BNH20" s="88"/>
      <c r="BNI20" s="88"/>
      <c r="BNJ20" s="88"/>
      <c r="BNK20" s="88"/>
      <c r="BNL20" s="88"/>
      <c r="BNM20" s="88"/>
      <c r="BNN20" s="88"/>
      <c r="BNO20" s="88"/>
      <c r="BNP20" s="88"/>
      <c r="BNQ20" s="88"/>
      <c r="BNR20" s="88"/>
      <c r="BNS20" s="88"/>
      <c r="BNT20" s="88"/>
      <c r="BNU20" s="88"/>
      <c r="BNV20" s="88"/>
      <c r="BNW20" s="88"/>
      <c r="BNX20" s="88"/>
      <c r="BNY20" s="88"/>
      <c r="BNZ20" s="88"/>
      <c r="BOA20" s="88"/>
      <c r="BOB20" s="88"/>
      <c r="BOC20" s="88"/>
      <c r="BOD20" s="88"/>
      <c r="BOE20" s="88"/>
      <c r="BOF20" s="88"/>
      <c r="BOG20" s="88"/>
      <c r="BOH20" s="88"/>
      <c r="BOI20" s="88"/>
      <c r="BOJ20" s="88"/>
      <c r="BOK20" s="88"/>
      <c r="BOL20" s="88"/>
      <c r="BOM20" s="88"/>
      <c r="BON20" s="88"/>
      <c r="BOO20" s="88"/>
      <c r="BOP20" s="88"/>
      <c r="BOQ20" s="88"/>
      <c r="BOR20" s="88"/>
      <c r="BOS20" s="88"/>
      <c r="BOT20" s="88"/>
      <c r="BOU20" s="88"/>
      <c r="BOV20" s="88"/>
      <c r="BOW20" s="88"/>
      <c r="BOX20" s="88"/>
      <c r="BOY20" s="88"/>
      <c r="BOZ20" s="88"/>
      <c r="BPA20" s="88"/>
      <c r="BPB20" s="88"/>
      <c r="BPC20" s="88"/>
      <c r="BPD20" s="88"/>
      <c r="BPE20" s="88"/>
      <c r="BPF20" s="88"/>
      <c r="BPG20" s="88"/>
      <c r="BPH20" s="88"/>
      <c r="BPI20" s="88"/>
      <c r="BPJ20" s="88"/>
      <c r="BPK20" s="88"/>
      <c r="BPL20" s="88"/>
      <c r="BPM20" s="88"/>
      <c r="BPN20" s="88"/>
      <c r="BPO20" s="88"/>
      <c r="BPP20" s="88"/>
      <c r="BPQ20" s="88"/>
      <c r="BPR20" s="88"/>
      <c r="BPS20" s="88"/>
      <c r="BPT20" s="88"/>
      <c r="BPU20" s="88"/>
      <c r="BPV20" s="88"/>
      <c r="BPW20" s="88"/>
      <c r="BPX20" s="88"/>
      <c r="BPY20" s="88"/>
      <c r="BPZ20" s="88"/>
      <c r="BQA20" s="88"/>
      <c r="BQB20" s="88"/>
      <c r="BQC20" s="88"/>
      <c r="BQD20" s="88"/>
      <c r="BQE20" s="88"/>
      <c r="BQF20" s="88"/>
      <c r="BQG20" s="88"/>
      <c r="BQH20" s="88"/>
      <c r="BQI20" s="88"/>
      <c r="BQJ20" s="88"/>
      <c r="BQK20" s="88"/>
      <c r="BQL20" s="88"/>
      <c r="BQM20" s="88"/>
      <c r="BQN20" s="88"/>
      <c r="BQO20" s="88"/>
      <c r="BQP20" s="88"/>
      <c r="BQQ20" s="88"/>
      <c r="BQR20" s="88"/>
      <c r="BQS20" s="88"/>
      <c r="BQT20" s="88"/>
      <c r="BQU20" s="88"/>
      <c r="BQV20" s="88"/>
      <c r="BQW20" s="88"/>
      <c r="BQX20" s="88"/>
      <c r="BQY20" s="88"/>
      <c r="BQZ20" s="88"/>
      <c r="BRA20" s="88"/>
      <c r="BRB20" s="88"/>
      <c r="BRC20" s="88"/>
      <c r="BRD20" s="88"/>
      <c r="BRE20" s="88"/>
      <c r="BRF20" s="88"/>
      <c r="BRG20" s="88"/>
      <c r="BRH20" s="88"/>
      <c r="BRI20" s="88"/>
      <c r="BRJ20" s="88"/>
      <c r="BRK20" s="88"/>
      <c r="BRL20" s="88"/>
      <c r="BRM20" s="88"/>
      <c r="BRN20" s="88"/>
      <c r="BRO20" s="88"/>
      <c r="BRP20" s="88"/>
      <c r="BRQ20" s="88"/>
      <c r="BRR20" s="88"/>
      <c r="BRS20" s="88"/>
      <c r="BRT20" s="88"/>
      <c r="BRU20" s="88"/>
      <c r="BRV20" s="88"/>
      <c r="BRW20" s="88"/>
      <c r="BRX20" s="88"/>
      <c r="BRY20" s="88"/>
      <c r="BRZ20" s="88"/>
      <c r="BSA20" s="88"/>
      <c r="BSB20" s="88"/>
      <c r="BSC20" s="88"/>
      <c r="BSD20" s="88"/>
      <c r="BSE20" s="88"/>
      <c r="BSF20" s="88"/>
      <c r="BSG20" s="88"/>
      <c r="BSH20" s="88"/>
      <c r="BSI20" s="88"/>
      <c r="BSJ20" s="88"/>
      <c r="BSK20" s="88"/>
      <c r="BSL20" s="88"/>
      <c r="BSM20" s="88"/>
      <c r="BSN20" s="88"/>
      <c r="BSO20" s="88"/>
      <c r="BSP20" s="88"/>
      <c r="BSQ20" s="88"/>
      <c r="BSR20" s="88"/>
      <c r="BSS20" s="88"/>
      <c r="BST20" s="88"/>
      <c r="BSU20" s="88"/>
      <c r="BSV20" s="88"/>
      <c r="BSW20" s="88"/>
      <c r="BSX20" s="88"/>
      <c r="BSY20" s="88"/>
      <c r="BSZ20" s="88"/>
      <c r="BTA20" s="88"/>
      <c r="BTB20" s="88"/>
      <c r="BTC20" s="88"/>
      <c r="BTD20" s="88"/>
      <c r="BTE20" s="88"/>
      <c r="BTF20" s="88"/>
      <c r="BTG20" s="88"/>
      <c r="BTH20" s="88"/>
      <c r="BTI20" s="88"/>
      <c r="BTJ20" s="88"/>
      <c r="BTK20" s="88"/>
      <c r="BTL20" s="88"/>
      <c r="BTM20" s="88"/>
      <c r="BTN20" s="88"/>
      <c r="BTO20" s="88"/>
      <c r="BTP20" s="88"/>
      <c r="BTQ20" s="88"/>
      <c r="BTR20" s="88"/>
      <c r="BTS20" s="88"/>
      <c r="BTT20" s="88"/>
      <c r="BTU20" s="88"/>
      <c r="BTV20" s="88"/>
      <c r="BTW20" s="88"/>
      <c r="BTX20" s="88"/>
      <c r="BTY20" s="88"/>
      <c r="BTZ20" s="88"/>
      <c r="BUA20" s="88"/>
      <c r="BUB20" s="88"/>
      <c r="BUC20" s="88"/>
      <c r="BUD20" s="88"/>
      <c r="BUE20" s="88"/>
      <c r="BUF20" s="88"/>
      <c r="BUG20" s="88"/>
      <c r="BUH20" s="88"/>
      <c r="BUI20" s="88"/>
      <c r="BUJ20" s="88"/>
      <c r="BUK20" s="88"/>
      <c r="BUL20" s="88"/>
      <c r="BUM20" s="88"/>
      <c r="BUN20" s="88"/>
      <c r="BUO20" s="88"/>
      <c r="BUP20" s="88"/>
      <c r="BUQ20" s="88"/>
      <c r="BUR20" s="88"/>
      <c r="BUS20" s="88"/>
      <c r="BUT20" s="88"/>
      <c r="BUU20" s="88"/>
      <c r="BUV20" s="88"/>
      <c r="BUW20" s="88"/>
      <c r="BUX20" s="88"/>
      <c r="BUY20" s="88"/>
      <c r="BUZ20" s="88"/>
      <c r="BVA20" s="88"/>
      <c r="BVB20" s="88"/>
      <c r="BVC20" s="88"/>
      <c r="BVD20" s="88"/>
      <c r="BVE20" s="88"/>
      <c r="BVF20" s="88"/>
      <c r="BVG20" s="88"/>
      <c r="BVH20" s="88"/>
      <c r="BVI20" s="88"/>
      <c r="BVJ20" s="88"/>
      <c r="BVK20" s="88"/>
      <c r="BVL20" s="88"/>
      <c r="BVM20" s="88"/>
      <c r="BVN20" s="88"/>
      <c r="BVO20" s="88"/>
      <c r="BVP20" s="88"/>
      <c r="BVQ20" s="88"/>
      <c r="BVR20" s="88"/>
      <c r="BVS20" s="88"/>
      <c r="BVT20" s="88"/>
      <c r="BVU20" s="88"/>
      <c r="BVV20" s="88"/>
      <c r="BVW20" s="88"/>
      <c r="BVX20" s="88"/>
      <c r="BVY20" s="88"/>
      <c r="BVZ20" s="88"/>
      <c r="BWA20" s="88"/>
      <c r="BWB20" s="88"/>
      <c r="BWC20" s="88"/>
      <c r="BWD20" s="88"/>
      <c r="BWE20" s="88"/>
      <c r="BWF20" s="88"/>
      <c r="BWG20" s="88"/>
      <c r="BWH20" s="88"/>
      <c r="BWI20" s="88"/>
      <c r="BWJ20" s="88"/>
      <c r="BWK20" s="88"/>
      <c r="BWL20" s="88"/>
      <c r="BWM20" s="88"/>
      <c r="BWN20" s="88"/>
      <c r="BWO20" s="88"/>
      <c r="BWP20" s="88"/>
      <c r="BWQ20" s="88"/>
      <c r="BWR20" s="88"/>
      <c r="BWS20" s="88"/>
      <c r="BWT20" s="88"/>
      <c r="BWU20" s="88"/>
      <c r="BWV20" s="88"/>
      <c r="BWW20" s="88"/>
      <c r="BWX20" s="88"/>
      <c r="BWY20" s="88"/>
      <c r="BWZ20" s="88"/>
      <c r="BXA20" s="88"/>
      <c r="BXB20" s="88"/>
      <c r="BXC20" s="88"/>
      <c r="BXD20" s="88"/>
      <c r="BXE20" s="88"/>
      <c r="BXF20" s="88"/>
      <c r="BXG20" s="88"/>
      <c r="BXH20" s="88"/>
      <c r="BXI20" s="88"/>
      <c r="BXJ20" s="88"/>
      <c r="BXK20" s="88"/>
      <c r="BXL20" s="88"/>
      <c r="BXM20" s="88"/>
      <c r="BXN20" s="88"/>
      <c r="BXO20" s="88"/>
      <c r="BXP20" s="88"/>
      <c r="BXQ20" s="88"/>
      <c r="BXR20" s="88"/>
      <c r="BXS20" s="88"/>
      <c r="BXT20" s="88"/>
      <c r="BXU20" s="88"/>
      <c r="BXV20" s="88"/>
      <c r="BXW20" s="88"/>
      <c r="BXX20" s="88"/>
      <c r="BXY20" s="88"/>
      <c r="BXZ20" s="88"/>
      <c r="BYA20" s="88"/>
      <c r="BYB20" s="88"/>
      <c r="BYC20" s="88"/>
      <c r="BYD20" s="88"/>
      <c r="BYE20" s="88"/>
      <c r="BYF20" s="88"/>
      <c r="BYG20" s="88"/>
      <c r="BYH20" s="88"/>
      <c r="BYI20" s="88"/>
      <c r="BYJ20" s="88"/>
      <c r="BYK20" s="88"/>
      <c r="BYL20" s="88"/>
      <c r="BYM20" s="88"/>
      <c r="BYN20" s="88"/>
      <c r="BYO20" s="88"/>
      <c r="BYP20" s="88"/>
      <c r="BYQ20" s="88"/>
      <c r="BYR20" s="88"/>
      <c r="BYS20" s="88"/>
      <c r="BYT20" s="88"/>
      <c r="BYU20" s="88"/>
      <c r="BYV20" s="88"/>
      <c r="BYW20" s="88"/>
      <c r="BYX20" s="88"/>
      <c r="BYY20" s="88"/>
      <c r="BYZ20" s="88"/>
      <c r="BZA20" s="88"/>
      <c r="BZB20" s="88"/>
      <c r="BZC20" s="88"/>
      <c r="BZD20" s="88"/>
      <c r="BZE20" s="88"/>
      <c r="BZF20" s="88"/>
      <c r="BZG20" s="88"/>
      <c r="BZH20" s="88"/>
      <c r="BZI20" s="88"/>
      <c r="BZJ20" s="88"/>
      <c r="BZK20" s="88"/>
      <c r="BZL20" s="88"/>
      <c r="BZM20" s="88"/>
      <c r="BZN20" s="88"/>
      <c r="BZO20" s="88"/>
      <c r="BZP20" s="88"/>
      <c r="BZQ20" s="88"/>
      <c r="BZR20" s="88"/>
      <c r="BZS20" s="88"/>
      <c r="BZT20" s="88"/>
      <c r="BZU20" s="88"/>
      <c r="BZV20" s="88"/>
      <c r="BZW20" s="88"/>
      <c r="BZX20" s="88"/>
      <c r="BZY20" s="88"/>
      <c r="BZZ20" s="88"/>
      <c r="CAA20" s="88"/>
      <c r="CAB20" s="88"/>
      <c r="CAC20" s="88"/>
      <c r="CAD20" s="88"/>
      <c r="CAE20" s="88"/>
      <c r="CAF20" s="88"/>
      <c r="CAG20" s="88"/>
      <c r="CAH20" s="88"/>
      <c r="CAI20" s="88"/>
      <c r="CAJ20" s="88"/>
      <c r="CAK20" s="88"/>
      <c r="CAL20" s="88"/>
      <c r="CAM20" s="88"/>
      <c r="CAN20" s="88"/>
      <c r="CAO20" s="88"/>
      <c r="CAP20" s="88"/>
      <c r="CAQ20" s="88"/>
      <c r="CAR20" s="88"/>
      <c r="CAS20" s="88"/>
      <c r="CAT20" s="88"/>
      <c r="CAU20" s="88"/>
      <c r="CAV20" s="88"/>
      <c r="CAW20" s="88"/>
      <c r="CAX20" s="88"/>
      <c r="CAY20" s="88"/>
      <c r="CAZ20" s="88"/>
      <c r="CBA20" s="88"/>
      <c r="CBB20" s="88"/>
      <c r="CBC20" s="88"/>
      <c r="CBD20" s="88"/>
      <c r="CBE20" s="88"/>
      <c r="CBF20" s="88"/>
      <c r="CBG20" s="88"/>
      <c r="CBH20" s="88"/>
      <c r="CBI20" s="88"/>
      <c r="CBJ20" s="88"/>
      <c r="CBK20" s="88"/>
      <c r="CBL20" s="88"/>
      <c r="CBM20" s="88"/>
      <c r="CBN20" s="88"/>
      <c r="CBO20" s="88"/>
      <c r="CBP20" s="88"/>
      <c r="CBQ20" s="88"/>
      <c r="CBR20" s="88"/>
      <c r="CBS20" s="88"/>
      <c r="CBT20" s="88"/>
      <c r="CBU20" s="88"/>
      <c r="CBV20" s="88"/>
      <c r="CBW20" s="88"/>
      <c r="CBX20" s="88"/>
      <c r="CBY20" s="88"/>
      <c r="CBZ20" s="88"/>
      <c r="CCA20" s="88"/>
      <c r="CCB20" s="88"/>
      <c r="CCC20" s="88"/>
      <c r="CCD20" s="88"/>
      <c r="CCE20" s="88"/>
      <c r="CCF20" s="88"/>
      <c r="CCG20" s="88"/>
      <c r="CCH20" s="88"/>
      <c r="CCI20" s="88"/>
      <c r="CCJ20" s="88"/>
      <c r="CCK20" s="88"/>
      <c r="CCL20" s="88"/>
      <c r="CCM20" s="88"/>
      <c r="CCN20" s="88"/>
      <c r="CCO20" s="88"/>
      <c r="CCP20" s="88"/>
      <c r="CCQ20" s="88"/>
      <c r="CCR20" s="88"/>
      <c r="CCS20" s="88"/>
      <c r="CCT20" s="88"/>
      <c r="CCU20" s="88"/>
      <c r="CCV20" s="88"/>
      <c r="CCW20" s="88"/>
      <c r="CCX20" s="88"/>
      <c r="CCY20" s="88"/>
      <c r="CCZ20" s="88"/>
      <c r="CDA20" s="88"/>
      <c r="CDB20" s="88"/>
      <c r="CDC20" s="88"/>
      <c r="CDD20" s="88"/>
      <c r="CDE20" s="88"/>
      <c r="CDF20" s="88"/>
      <c r="CDG20" s="88"/>
      <c r="CDH20" s="88"/>
      <c r="CDI20" s="88"/>
      <c r="CDJ20" s="88"/>
      <c r="CDK20" s="88"/>
      <c r="CDL20" s="88"/>
      <c r="CDM20" s="88"/>
      <c r="CDN20" s="88"/>
      <c r="CDO20" s="88"/>
      <c r="CDP20" s="88"/>
      <c r="CDQ20" s="88"/>
      <c r="CDR20" s="88"/>
      <c r="CDS20" s="88"/>
      <c r="CDT20" s="88"/>
      <c r="CDU20" s="88"/>
      <c r="CDV20" s="88"/>
      <c r="CDW20" s="88"/>
      <c r="CDX20" s="88"/>
      <c r="CDY20" s="88"/>
      <c r="CDZ20" s="88"/>
      <c r="CEA20" s="88"/>
      <c r="CEB20" s="88"/>
      <c r="CEC20" s="88"/>
      <c r="CED20" s="88"/>
      <c r="CEE20" s="88"/>
      <c r="CEF20" s="88"/>
      <c r="CEG20" s="88"/>
      <c r="CEH20" s="88"/>
      <c r="CEI20" s="88"/>
      <c r="CEJ20" s="88"/>
      <c r="CEK20" s="88"/>
    </row>
    <row r="21" spans="1:2169" s="51" customFormat="1">
      <c r="A21" s="69" t="s">
        <v>401</v>
      </c>
      <c r="B21" s="70" t="s">
        <v>63</v>
      </c>
      <c r="C21" s="69" t="str">
        <f>IF('page 2'!$O$4="","",IF('page 2'!$O$4=Gestion!A21,1,0))</f>
        <v/>
      </c>
      <c r="D21" s="69" t="str">
        <f>IF('page 2'!$O$5="","",IF('page 2'!$O$5=Gestion!A21,1,0))</f>
        <v/>
      </c>
      <c r="E21" s="69" t="str">
        <f>IF('page 2'!$O$6="","",IF('page 2'!$O$6=Gestion!A21,1,0))</f>
        <v/>
      </c>
      <c r="F21" s="69" t="str">
        <f>IF('page 2'!$O$7="","",IF('page 2'!$O$7=Gestion!A21,1,0))</f>
        <v/>
      </c>
      <c r="G21" s="69" t="str">
        <f>IF('page 2'!$O$8="","",IF('page 2'!$O$8=Gestion!A21,1,0))</f>
        <v/>
      </c>
      <c r="H21" s="69" t="str">
        <f>IF('page 2'!$O$9="","",IF('page 2'!$O$9=Gestion!A21,1,0))</f>
        <v/>
      </c>
      <c r="I21" s="69" t="str">
        <f>IF('page 2'!$O$10="","",IF('page 2'!$O$10=Gestion!A21,1,0))</f>
        <v/>
      </c>
      <c r="J21" s="69" t="str">
        <f>IF('page 2'!$O$11="","",IF('page 2'!$O$11=Gestion!A21,1,0))</f>
        <v/>
      </c>
      <c r="K21" s="69" t="str">
        <f>IF('page 2'!$O$12="","",IF('page 2'!$O$12=Gestion!A21,1,0))</f>
        <v/>
      </c>
      <c r="L21" s="69" t="str">
        <f>IF('page 2'!$O$13="","",IF('page 2'!$O$13=Gestion!A21,1,0))</f>
        <v/>
      </c>
      <c r="M21" s="69" t="str">
        <f>IF('page 2'!$O$14="","",IF('page 2'!$O$14=Gestion!A21,1,0))</f>
        <v/>
      </c>
      <c r="N21" s="69" t="str">
        <f>IF('page 2'!$O$15="","",IF('page 2'!$O$15=Gestion!A21,1,0))</f>
        <v/>
      </c>
      <c r="O21" s="69" t="str">
        <f>IF('page 2'!$O$16="","",IF('page 2'!$O$16=Gestion!A21,1,0))</f>
        <v/>
      </c>
      <c r="P21" s="69" t="str">
        <f>IF('page 2'!$O$17="","",IF('page 2'!$O$17=Gestion!A21,1,0))</f>
        <v/>
      </c>
      <c r="Q21" s="69" t="str">
        <f>IF('page 2'!$O$18="","",IF('page 2'!$O$18=Gestion!A21,1,0))</f>
        <v/>
      </c>
      <c r="R21" s="69" t="str">
        <f>IF('page 2'!$O$19="","",IF('page 2'!$O$19=Gestion!A21,1,0))</f>
        <v/>
      </c>
      <c r="S21" s="69" t="str">
        <f>IF('page 2'!$O$20="","",IF('page 2'!$O$20=Gestion!A21,1,0))</f>
        <v/>
      </c>
      <c r="T21" s="69" t="str">
        <f>IF('page 2'!$O$25="","",IF('page 2'!$O$25=Gestion!A21,1,0))</f>
        <v/>
      </c>
      <c r="U21" s="69" t="str">
        <f>IF('page 2'!$O$26="","",IF('page 2'!$O$26=Gestion!A21,1,0))</f>
        <v/>
      </c>
      <c r="V21" s="69" t="str">
        <f>IF('page 2'!$O$27="","",IF('page 2'!$O$27=Gestion!A21,1,0))</f>
        <v/>
      </c>
      <c r="W21" s="723">
        <f t="shared" si="0"/>
        <v>0</v>
      </c>
      <c r="X21" s="713" t="s">
        <v>7671</v>
      </c>
      <c r="Y21" s="69" t="str">
        <f>IF('page 2'!O22="","",'page 2'!O22)</f>
        <v/>
      </c>
      <c r="Z21" s="69" t="str">
        <f>IF(Y21="","",VLOOKUP(Y21,'page 2'!$O$4:$Q$27,3,FALSE))</f>
        <v/>
      </c>
      <c r="AA21" s="69" t="str">
        <f t="shared" si="1"/>
        <v/>
      </c>
      <c r="AB21" s="542"/>
      <c r="AC21" s="542"/>
      <c r="AD21" s="542"/>
      <c r="AE21" s="88"/>
      <c r="AP21" s="130"/>
      <c r="AQ21" s="130"/>
      <c r="AR21" s="130"/>
      <c r="AS21" s="576"/>
      <c r="AT21" s="576"/>
      <c r="AU21" s="576"/>
      <c r="AV21" s="576"/>
      <c r="AW21" s="602"/>
      <c r="AX21" s="602"/>
      <c r="AY21" s="576"/>
      <c r="AZ21" s="576"/>
      <c r="BA21" s="576"/>
      <c r="BB21" s="576"/>
      <c r="BC21" s="576"/>
      <c r="BD21" s="576"/>
      <c r="BE21" s="602"/>
      <c r="BF21" s="602"/>
      <c r="BG21" s="602"/>
      <c r="BH21" s="602"/>
      <c r="BI21" s="602"/>
      <c r="BJ21" s="602"/>
      <c r="BK21" s="602"/>
      <c r="BL21" s="602"/>
      <c r="BM21" s="602"/>
      <c r="BN21" s="602"/>
      <c r="BO21" s="602"/>
      <c r="BP21" s="602"/>
      <c r="BQ21" s="602"/>
      <c r="BR21" s="602"/>
      <c r="BS21" s="576"/>
      <c r="BT21" s="576"/>
      <c r="BU21" s="576"/>
      <c r="BV21" s="576"/>
      <c r="BW21" s="602"/>
      <c r="BX21" s="602"/>
      <c r="BY21" s="602"/>
      <c r="BZ21" s="576"/>
      <c r="CA21" s="602"/>
      <c r="CB21" s="602"/>
      <c r="CC21" s="576"/>
      <c r="CD21" s="469"/>
      <c r="CE21" s="602"/>
      <c r="CF21" s="576"/>
      <c r="CG21" s="576"/>
      <c r="CH21" s="576"/>
      <c r="CI21" s="576"/>
      <c r="CJ21" s="576"/>
      <c r="CK21" s="602"/>
      <c r="CL21" s="602"/>
      <c r="CM21" s="576"/>
      <c r="CN21" s="602"/>
      <c r="CO21" s="602"/>
      <c r="CP21" s="602"/>
      <c r="CQ21" s="576"/>
      <c r="CR21" s="576"/>
      <c r="CS21" s="602"/>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88"/>
      <c r="JV21" s="88"/>
      <c r="JW21" s="88"/>
      <c r="JX21" s="88"/>
      <c r="JY21" s="88"/>
      <c r="JZ21" s="88"/>
      <c r="KA21" s="88"/>
      <c r="KB21" s="88"/>
      <c r="KC21" s="88"/>
      <c r="KD21" s="88"/>
      <c r="KE21" s="88"/>
      <c r="KF21" s="88"/>
      <c r="KG21" s="88"/>
      <c r="KH21" s="88"/>
      <c r="KI21" s="88"/>
      <c r="KJ21" s="88"/>
      <c r="KK21" s="88"/>
      <c r="KL21" s="88"/>
      <c r="KM21" s="88"/>
      <c r="KN21" s="88"/>
      <c r="KO21" s="88"/>
      <c r="KP21" s="88"/>
      <c r="KQ21" s="88"/>
      <c r="KR21" s="88"/>
      <c r="KS21" s="88"/>
      <c r="KT21" s="88"/>
      <c r="KU21" s="88"/>
      <c r="KV21" s="88"/>
      <c r="KW21" s="88"/>
      <c r="KX21" s="88"/>
      <c r="KY21" s="88"/>
      <c r="KZ21" s="88"/>
      <c r="LA21" s="88"/>
      <c r="LB21" s="88"/>
      <c r="LC21" s="88"/>
      <c r="LD21" s="88"/>
      <c r="LE21" s="88"/>
      <c r="LF21" s="88"/>
      <c r="LG21" s="88"/>
      <c r="LH21" s="88"/>
      <c r="LI21" s="88"/>
      <c r="LJ21" s="88"/>
      <c r="LK21" s="88"/>
      <c r="LL21" s="88"/>
      <c r="LM21" s="88"/>
      <c r="LN21" s="88"/>
      <c r="LO21" s="88"/>
      <c r="LP21" s="88"/>
      <c r="LQ21" s="88"/>
      <c r="LR21" s="88"/>
      <c r="LS21" s="88"/>
      <c r="LT21" s="88"/>
      <c r="LU21" s="88"/>
      <c r="LV21" s="88"/>
      <c r="LW21" s="88"/>
      <c r="LX21" s="88"/>
      <c r="LY21" s="88"/>
      <c r="LZ21" s="88"/>
      <c r="MA21" s="88"/>
      <c r="MB21" s="88"/>
      <c r="MC21" s="88"/>
      <c r="MD21" s="88"/>
      <c r="ME21" s="88"/>
      <c r="MF21" s="88"/>
      <c r="MG21" s="88"/>
      <c r="MH21" s="88"/>
      <c r="MI21" s="88"/>
      <c r="MJ21" s="88"/>
      <c r="MK21" s="88"/>
      <c r="ML21" s="88"/>
      <c r="MM21" s="88"/>
      <c r="MN21" s="88"/>
      <c r="MO21" s="88"/>
      <c r="MP21" s="88"/>
      <c r="MQ21" s="88"/>
      <c r="MR21" s="88"/>
      <c r="MS21" s="88"/>
      <c r="MT21" s="88"/>
      <c r="MU21" s="88"/>
      <c r="MV21" s="88"/>
      <c r="MW21" s="88"/>
      <c r="MX21" s="88"/>
      <c r="MY21" s="88"/>
      <c r="MZ21" s="88"/>
      <c r="NA21" s="88"/>
      <c r="NB21" s="88"/>
      <c r="NC21" s="88"/>
      <c r="ND21" s="88"/>
      <c r="NE21" s="88"/>
      <c r="NF21" s="88"/>
      <c r="NG21" s="88"/>
      <c r="NH21" s="88"/>
      <c r="NI21" s="88"/>
      <c r="NJ21" s="88"/>
      <c r="NK21" s="88"/>
      <c r="NL21" s="88"/>
      <c r="NM21" s="88"/>
      <c r="NN21" s="88"/>
      <c r="NO21" s="88"/>
      <c r="NP21" s="88"/>
      <c r="NQ21" s="88"/>
      <c r="NR21" s="88"/>
      <c r="NS21" s="88"/>
      <c r="NT21" s="88"/>
      <c r="NU21" s="88"/>
      <c r="NV21" s="88"/>
      <c r="NW21" s="88"/>
      <c r="NX21" s="88"/>
      <c r="NY21" s="88"/>
      <c r="NZ21" s="88"/>
      <c r="OA21" s="88"/>
      <c r="OB21" s="88"/>
      <c r="OC21" s="88"/>
      <c r="OD21" s="88"/>
      <c r="OE21" s="88"/>
      <c r="OF21" s="88"/>
      <c r="OG21" s="88"/>
      <c r="OH21" s="88"/>
      <c r="OI21" s="88"/>
      <c r="OJ21" s="88"/>
      <c r="OK21" s="88"/>
      <c r="OL21" s="88"/>
      <c r="OM21" s="88"/>
      <c r="ON21" s="88"/>
      <c r="OO21" s="88"/>
      <c r="OP21" s="88"/>
      <c r="OQ21" s="88"/>
      <c r="OR21" s="88"/>
      <c r="OS21" s="88"/>
      <c r="OT21" s="88"/>
      <c r="OU21" s="88"/>
      <c r="OV21" s="88"/>
      <c r="OW21" s="88"/>
      <c r="OX21" s="88"/>
      <c r="OY21" s="88"/>
      <c r="OZ21" s="88"/>
      <c r="PA21" s="88"/>
      <c r="PB21" s="88"/>
      <c r="PC21" s="88"/>
      <c r="PD21" s="88"/>
      <c r="PE21" s="88"/>
      <c r="PF21" s="88"/>
      <c r="PG21" s="88"/>
      <c r="PH21" s="88"/>
      <c r="PI21" s="88"/>
      <c r="PJ21" s="88"/>
      <c r="PK21" s="88"/>
      <c r="PL21" s="88"/>
      <c r="PM21" s="88"/>
      <c r="PN21" s="88"/>
      <c r="PO21" s="88"/>
      <c r="PP21" s="88"/>
      <c r="PQ21" s="88"/>
      <c r="PR21" s="88"/>
      <c r="PS21" s="88"/>
      <c r="PT21" s="88"/>
      <c r="PU21" s="88"/>
      <c r="PV21" s="88"/>
      <c r="PW21" s="88"/>
      <c r="PX21" s="88"/>
      <c r="PY21" s="88"/>
      <c r="PZ21" s="88"/>
      <c r="QA21" s="88"/>
      <c r="QB21" s="88"/>
      <c r="QC21" s="88"/>
      <c r="QD21" s="88"/>
      <c r="QE21" s="88"/>
      <c r="QF21" s="88"/>
      <c r="QG21" s="88"/>
      <c r="QH21" s="88"/>
      <c r="QI21" s="88"/>
      <c r="QJ21" s="88"/>
      <c r="QK21" s="88"/>
      <c r="QL21" s="88"/>
      <c r="QM21" s="88"/>
      <c r="QN21" s="88"/>
      <c r="QO21" s="88"/>
      <c r="QP21" s="88"/>
      <c r="QQ21" s="88"/>
      <c r="QR21" s="88"/>
      <c r="QS21" s="88"/>
      <c r="QT21" s="88"/>
      <c r="QU21" s="88"/>
      <c r="QV21" s="88"/>
      <c r="QW21" s="88"/>
      <c r="QX21" s="88"/>
      <c r="QY21" s="88"/>
      <c r="QZ21" s="88"/>
      <c r="RA21" s="88"/>
      <c r="RB21" s="88"/>
      <c r="RC21" s="88"/>
      <c r="RD21" s="88"/>
      <c r="RE21" s="88"/>
      <c r="RF21" s="88"/>
      <c r="RG21" s="88"/>
      <c r="RH21" s="88"/>
      <c r="RI21" s="88"/>
      <c r="RJ21" s="88"/>
      <c r="RK21" s="88"/>
      <c r="RL21" s="88"/>
      <c r="RM21" s="88"/>
      <c r="RN21" s="88"/>
      <c r="RO21" s="88"/>
      <c r="RP21" s="88"/>
      <c r="RQ21" s="88"/>
      <c r="RR21" s="88"/>
      <c r="RS21" s="88"/>
      <c r="RT21" s="88"/>
      <c r="RU21" s="88"/>
      <c r="RV21" s="88"/>
      <c r="RW21" s="88"/>
      <c r="RX21" s="88"/>
      <c r="RY21" s="88"/>
      <c r="RZ21" s="88"/>
      <c r="SA21" s="88"/>
      <c r="SB21" s="88"/>
      <c r="SC21" s="88"/>
      <c r="SD21" s="88"/>
      <c r="SE21" s="88"/>
      <c r="SF21" s="88"/>
      <c r="SG21" s="88"/>
      <c r="SH21" s="88"/>
      <c r="SI21" s="88"/>
      <c r="SJ21" s="88"/>
      <c r="SK21" s="88"/>
      <c r="SL21" s="88"/>
      <c r="SM21" s="88"/>
      <c r="SN21" s="88"/>
      <c r="SO21" s="88"/>
      <c r="SP21" s="88"/>
      <c r="SQ21" s="88"/>
      <c r="SR21" s="88"/>
      <c r="SS21" s="88"/>
      <c r="ST21" s="88"/>
      <c r="SU21" s="88"/>
      <c r="SV21" s="88"/>
      <c r="SW21" s="88"/>
      <c r="SX21" s="88"/>
      <c r="SY21" s="88"/>
      <c r="SZ21" s="88"/>
      <c r="TA21" s="88"/>
      <c r="TB21" s="88"/>
      <c r="TC21" s="88"/>
      <c r="TD21" s="88"/>
      <c r="TE21" s="88"/>
      <c r="TF21" s="88"/>
      <c r="TG21" s="88"/>
      <c r="TH21" s="88"/>
      <c r="TI21" s="88"/>
      <c r="TJ21" s="88"/>
      <c r="TK21" s="88"/>
      <c r="TL21" s="88"/>
      <c r="TM21" s="88"/>
      <c r="TN21" s="88"/>
      <c r="TO21" s="88"/>
      <c r="TP21" s="88"/>
      <c r="TQ21" s="88"/>
      <c r="TR21" s="88"/>
      <c r="TS21" s="88"/>
      <c r="TT21" s="88"/>
      <c r="TU21" s="88"/>
      <c r="TV21" s="88"/>
      <c r="TW21" s="88"/>
      <c r="TX21" s="88"/>
      <c r="TY21" s="88"/>
      <c r="TZ21" s="88"/>
      <c r="UA21" s="88"/>
      <c r="UB21" s="88"/>
      <c r="UC21" s="88"/>
      <c r="UD21" s="88"/>
      <c r="UE21" s="88"/>
      <c r="UF21" s="88"/>
      <c r="UG21" s="88"/>
      <c r="UH21" s="88"/>
      <c r="UI21" s="88"/>
      <c r="UJ21" s="88"/>
      <c r="UK21" s="88"/>
      <c r="UL21" s="88"/>
      <c r="UM21" s="88"/>
      <c r="UN21" s="88"/>
      <c r="UO21" s="88"/>
      <c r="UP21" s="88"/>
      <c r="UQ21" s="88"/>
      <c r="UR21" s="88"/>
      <c r="US21" s="88"/>
      <c r="UT21" s="88"/>
      <c r="UU21" s="88"/>
      <c r="UV21" s="88"/>
      <c r="UW21" s="88"/>
      <c r="UX21" s="88"/>
      <c r="UY21" s="88"/>
      <c r="UZ21" s="88"/>
      <c r="VA21" s="88"/>
      <c r="VB21" s="88"/>
      <c r="VC21" s="88"/>
      <c r="VD21" s="88"/>
      <c r="VE21" s="88"/>
      <c r="VF21" s="88"/>
      <c r="VG21" s="88"/>
      <c r="VH21" s="88"/>
      <c r="VI21" s="88"/>
      <c r="VJ21" s="88"/>
      <c r="VK21" s="88"/>
      <c r="VL21" s="88"/>
      <c r="VM21" s="88"/>
      <c r="VN21" s="88"/>
      <c r="VO21" s="88"/>
      <c r="VP21" s="88"/>
      <c r="VQ21" s="88"/>
      <c r="VR21" s="88"/>
      <c r="VS21" s="88"/>
      <c r="VT21" s="88"/>
      <c r="VU21" s="88"/>
      <c r="VV21" s="88"/>
      <c r="VW21" s="88"/>
      <c r="VX21" s="88"/>
      <c r="VY21" s="88"/>
      <c r="VZ21" s="88"/>
      <c r="WA21" s="88"/>
      <c r="WB21" s="88"/>
      <c r="WC21" s="88"/>
      <c r="WD21" s="88"/>
      <c r="WE21" s="88"/>
      <c r="WF21" s="88"/>
      <c r="WG21" s="88"/>
      <c r="WH21" s="88"/>
      <c r="WI21" s="88"/>
      <c r="WJ21" s="88"/>
      <c r="WK21" s="88"/>
      <c r="WL21" s="88"/>
      <c r="WM21" s="88"/>
      <c r="WN21" s="88"/>
      <c r="WO21" s="88"/>
      <c r="WP21" s="88"/>
      <c r="WQ21" s="88"/>
      <c r="WR21" s="88"/>
      <c r="WS21" s="88"/>
      <c r="WT21" s="88"/>
      <c r="WU21" s="88"/>
      <c r="WV21" s="88"/>
      <c r="WW21" s="88"/>
      <c r="WX21" s="88"/>
      <c r="WY21" s="88"/>
      <c r="WZ21" s="88"/>
      <c r="XA21" s="88"/>
      <c r="XB21" s="88"/>
      <c r="XC21" s="88"/>
      <c r="XD21" s="88"/>
      <c r="XE21" s="88"/>
      <c r="XF21" s="88"/>
      <c r="XG21" s="88"/>
      <c r="XH21" s="88"/>
      <c r="XI21" s="88"/>
      <c r="XJ21" s="88"/>
      <c r="XK21" s="88"/>
      <c r="XL21" s="88"/>
      <c r="XM21" s="88"/>
      <c r="XN21" s="88"/>
      <c r="XO21" s="88"/>
      <c r="XP21" s="88"/>
      <c r="XQ21" s="88"/>
      <c r="XR21" s="88"/>
      <c r="XS21" s="88"/>
      <c r="XT21" s="88"/>
      <c r="XU21" s="88"/>
      <c r="XV21" s="88"/>
      <c r="XW21" s="88"/>
      <c r="XX21" s="88"/>
      <c r="XY21" s="88"/>
      <c r="XZ21" s="88"/>
      <c r="YA21" s="88"/>
      <c r="YB21" s="88"/>
      <c r="YC21" s="88"/>
      <c r="YD21" s="88"/>
      <c r="YE21" s="88"/>
      <c r="YF21" s="88"/>
      <c r="YG21" s="88"/>
      <c r="YH21" s="88"/>
      <c r="YI21" s="88"/>
      <c r="YJ21" s="88"/>
      <c r="YK21" s="88"/>
      <c r="YL21" s="88"/>
      <c r="YM21" s="88"/>
      <c r="YN21" s="88"/>
      <c r="YO21" s="88"/>
      <c r="YP21" s="88"/>
      <c r="YQ21" s="88"/>
      <c r="YR21" s="88"/>
      <c r="YS21" s="88"/>
      <c r="YT21" s="88"/>
      <c r="YU21" s="88"/>
      <c r="YV21" s="88"/>
      <c r="YW21" s="88"/>
      <c r="YX21" s="88"/>
      <c r="YY21" s="88"/>
      <c r="YZ21" s="88"/>
      <c r="ZA21" s="88"/>
      <c r="ZB21" s="88"/>
      <c r="ZC21" s="88"/>
      <c r="ZD21" s="88"/>
      <c r="ZE21" s="88"/>
      <c r="ZF21" s="88"/>
      <c r="ZG21" s="88"/>
      <c r="ZH21" s="88"/>
      <c r="ZI21" s="88"/>
      <c r="ZJ21" s="88"/>
      <c r="ZK21" s="88"/>
      <c r="ZL21" s="88"/>
      <c r="ZM21" s="88"/>
      <c r="ZN21" s="88"/>
      <c r="ZO21" s="88"/>
      <c r="ZP21" s="88"/>
      <c r="ZQ21" s="88"/>
      <c r="ZR21" s="88"/>
      <c r="ZS21" s="88"/>
      <c r="ZT21" s="88"/>
      <c r="ZU21" s="88"/>
      <c r="ZV21" s="88"/>
      <c r="ZW21" s="88"/>
      <c r="ZX21" s="88"/>
      <c r="ZY21" s="88"/>
      <c r="ZZ21" s="88"/>
      <c r="AAA21" s="88"/>
      <c r="AAB21" s="88"/>
      <c r="AAC21" s="88"/>
      <c r="AAD21" s="88"/>
      <c r="AAE21" s="88"/>
      <c r="AAF21" s="88"/>
      <c r="AAG21" s="88"/>
      <c r="AAH21" s="88"/>
      <c r="AAI21" s="88"/>
      <c r="AAJ21" s="88"/>
      <c r="AAK21" s="88"/>
      <c r="AAL21" s="88"/>
      <c r="AAM21" s="88"/>
      <c r="AAN21" s="88"/>
      <c r="AAO21" s="88"/>
      <c r="AAP21" s="88"/>
      <c r="AAQ21" s="88"/>
      <c r="AAR21" s="88"/>
      <c r="AAS21" s="88"/>
      <c r="AAT21" s="88"/>
      <c r="AAU21" s="88"/>
      <c r="AAV21" s="88"/>
      <c r="AAW21" s="88"/>
      <c r="AAX21" s="88"/>
      <c r="AAY21" s="88"/>
      <c r="AAZ21" s="88"/>
      <c r="ABA21" s="88"/>
      <c r="ABB21" s="88"/>
      <c r="ABC21" s="88"/>
      <c r="ABD21" s="88"/>
      <c r="ABE21" s="88"/>
      <c r="ABF21" s="88"/>
      <c r="ABG21" s="88"/>
      <c r="ABH21" s="88"/>
      <c r="ABI21" s="88"/>
      <c r="ABJ21" s="88"/>
      <c r="ABK21" s="88"/>
      <c r="ABL21" s="88"/>
      <c r="ABM21" s="88"/>
      <c r="ABN21" s="88"/>
      <c r="ABO21" s="88"/>
      <c r="ABP21" s="88"/>
      <c r="ABQ21" s="88"/>
      <c r="ABR21" s="88"/>
      <c r="ABS21" s="88"/>
      <c r="ABT21" s="88"/>
      <c r="ABU21" s="88"/>
      <c r="ABV21" s="88"/>
      <c r="ABW21" s="88"/>
      <c r="ABX21" s="88"/>
      <c r="ABY21" s="88"/>
      <c r="ABZ21" s="88"/>
      <c r="ACA21" s="88"/>
      <c r="ACB21" s="88"/>
      <c r="ACC21" s="88"/>
      <c r="ACD21" s="88"/>
      <c r="ACE21" s="88"/>
      <c r="ACF21" s="88"/>
      <c r="ACG21" s="88"/>
      <c r="ACH21" s="88"/>
      <c r="ACI21" s="88"/>
      <c r="ACJ21" s="88"/>
      <c r="ACK21" s="88"/>
      <c r="ACL21" s="88"/>
      <c r="ACM21" s="88"/>
      <c r="ACN21" s="88"/>
      <c r="ACO21" s="88"/>
      <c r="ACP21" s="88"/>
      <c r="ACQ21" s="88"/>
      <c r="ACR21" s="88"/>
      <c r="ACS21" s="88"/>
      <c r="ACT21" s="88"/>
      <c r="ACU21" s="88"/>
      <c r="ACV21" s="88"/>
      <c r="ACW21" s="88"/>
      <c r="ACX21" s="88"/>
      <c r="ACY21" s="88"/>
      <c r="ACZ21" s="88"/>
      <c r="ADA21" s="88"/>
      <c r="ADB21" s="88"/>
      <c r="ADC21" s="88"/>
      <c r="ADD21" s="88"/>
      <c r="ADE21" s="88"/>
      <c r="ADF21" s="88"/>
      <c r="ADG21" s="88"/>
      <c r="ADH21" s="88"/>
      <c r="ADI21" s="88"/>
      <c r="ADJ21" s="88"/>
      <c r="ADK21" s="88"/>
      <c r="ADL21" s="88"/>
      <c r="ADM21" s="88"/>
      <c r="ADN21" s="88"/>
      <c r="ADO21" s="88"/>
      <c r="ADP21" s="88"/>
      <c r="ADQ21" s="88"/>
      <c r="ADR21" s="88"/>
      <c r="ADS21" s="88"/>
      <c r="ADT21" s="88"/>
      <c r="ADU21" s="88"/>
      <c r="ADV21" s="88"/>
      <c r="ADW21" s="88"/>
      <c r="ADX21" s="88"/>
      <c r="ADY21" s="88"/>
      <c r="ADZ21" s="88"/>
      <c r="AEA21" s="88"/>
      <c r="AEB21" s="88"/>
      <c r="AEC21" s="88"/>
      <c r="AED21" s="88"/>
      <c r="AEE21" s="88"/>
      <c r="AEF21" s="88"/>
      <c r="AEG21" s="88"/>
      <c r="AEH21" s="88"/>
      <c r="AEI21" s="88"/>
      <c r="AEJ21" s="88"/>
      <c r="AEK21" s="88"/>
      <c r="AEL21" s="88"/>
      <c r="AEM21" s="88"/>
      <c r="AEN21" s="88"/>
      <c r="AEO21" s="88"/>
      <c r="AEP21" s="88"/>
      <c r="AEQ21" s="88"/>
      <c r="AER21" s="88"/>
      <c r="AES21" s="88"/>
      <c r="AET21" s="88"/>
      <c r="AEU21" s="88"/>
      <c r="AEV21" s="88"/>
      <c r="AEW21" s="88"/>
      <c r="AEX21" s="88"/>
      <c r="AEY21" s="88"/>
      <c r="AEZ21" s="88"/>
      <c r="AFA21" s="88"/>
      <c r="AFB21" s="88"/>
      <c r="AFC21" s="88"/>
      <c r="AFD21" s="88"/>
      <c r="AFE21" s="88"/>
      <c r="AFF21" s="88"/>
      <c r="AFG21" s="88"/>
      <c r="AFH21" s="88"/>
      <c r="AFI21" s="88"/>
      <c r="AFJ21" s="88"/>
      <c r="AFK21" s="88"/>
      <c r="AFL21" s="88"/>
      <c r="AFM21" s="88"/>
      <c r="AFN21" s="88"/>
      <c r="AFO21" s="88"/>
      <c r="AFP21" s="88"/>
      <c r="AFQ21" s="88"/>
      <c r="AFR21" s="88"/>
      <c r="AFS21" s="88"/>
      <c r="AFT21" s="88"/>
      <c r="AFU21" s="88"/>
      <c r="AFV21" s="88"/>
      <c r="AFW21" s="88"/>
      <c r="AFX21" s="88"/>
      <c r="AFY21" s="88"/>
      <c r="AFZ21" s="88"/>
      <c r="AGA21" s="88"/>
      <c r="AGB21" s="88"/>
      <c r="AGC21" s="88"/>
      <c r="AGD21" s="88"/>
      <c r="AGE21" s="88"/>
      <c r="AGF21" s="88"/>
      <c r="AGG21" s="88"/>
      <c r="AGH21" s="88"/>
      <c r="AGI21" s="88"/>
      <c r="AGJ21" s="88"/>
      <c r="AGK21" s="88"/>
      <c r="AGL21" s="88"/>
      <c r="AGM21" s="88"/>
      <c r="AGN21" s="88"/>
      <c r="AGO21" s="88"/>
      <c r="AGP21" s="88"/>
      <c r="AGQ21" s="88"/>
      <c r="AGR21" s="88"/>
      <c r="AGS21" s="88"/>
      <c r="AGT21" s="88"/>
      <c r="AGU21" s="88"/>
      <c r="AGV21" s="88"/>
      <c r="AGW21" s="88"/>
      <c r="AGX21" s="88"/>
      <c r="AGY21" s="88"/>
      <c r="AGZ21" s="88"/>
      <c r="AHA21" s="88"/>
      <c r="AHB21" s="88"/>
      <c r="AHC21" s="88"/>
      <c r="AHD21" s="88"/>
      <c r="AHE21" s="88"/>
      <c r="AHF21" s="88"/>
      <c r="AHG21" s="88"/>
      <c r="AHH21" s="88"/>
      <c r="AHI21" s="88"/>
      <c r="AHJ21" s="88"/>
      <c r="AHK21" s="88"/>
      <c r="AHL21" s="88"/>
      <c r="AHM21" s="88"/>
      <c r="AHN21" s="88"/>
      <c r="AHO21" s="88"/>
      <c r="AHP21" s="88"/>
      <c r="AHQ21" s="88"/>
      <c r="AHR21" s="88"/>
      <c r="AHS21" s="88"/>
      <c r="AHT21" s="88"/>
      <c r="AHU21" s="88"/>
      <c r="AHV21" s="88"/>
      <c r="AHW21" s="88"/>
      <c r="AHX21" s="88"/>
      <c r="AHY21" s="88"/>
      <c r="AHZ21" s="88"/>
      <c r="AIA21" s="88"/>
      <c r="AIB21" s="88"/>
      <c r="AIC21" s="88"/>
      <c r="AID21" s="88"/>
      <c r="AIE21" s="88"/>
      <c r="AIF21" s="88"/>
      <c r="AIG21" s="88"/>
      <c r="AIH21" s="88"/>
      <c r="AII21" s="88"/>
      <c r="AIJ21" s="88"/>
      <c r="AIK21" s="88"/>
      <c r="AIL21" s="88"/>
      <c r="AIM21" s="88"/>
      <c r="AIN21" s="88"/>
      <c r="AIO21" s="88"/>
      <c r="AIP21" s="88"/>
      <c r="AIQ21" s="88"/>
      <c r="AIR21" s="88"/>
      <c r="AIS21" s="88"/>
      <c r="AIT21" s="88"/>
      <c r="AIU21" s="88"/>
      <c r="AIV21" s="88"/>
      <c r="AIW21" s="88"/>
      <c r="AIX21" s="88"/>
      <c r="AIY21" s="88"/>
      <c r="AIZ21" s="88"/>
      <c r="AJA21" s="88"/>
      <c r="AJB21" s="88"/>
      <c r="AJC21" s="88"/>
      <c r="AJD21" s="88"/>
      <c r="AJE21" s="88"/>
      <c r="AJF21" s="88"/>
      <c r="AJG21" s="88"/>
      <c r="AJH21" s="88"/>
      <c r="AJI21" s="88"/>
      <c r="AJJ21" s="88"/>
      <c r="AJK21" s="88"/>
      <c r="AJL21" s="88"/>
      <c r="AJM21" s="88"/>
      <c r="AJN21" s="88"/>
      <c r="AJO21" s="88"/>
      <c r="AJP21" s="88"/>
      <c r="AJQ21" s="88"/>
      <c r="AJR21" s="88"/>
      <c r="AJS21" s="88"/>
      <c r="AJT21" s="88"/>
      <c r="AJU21" s="88"/>
      <c r="AJV21" s="88"/>
      <c r="AJW21" s="88"/>
      <c r="AJX21" s="88"/>
      <c r="AJY21" s="88"/>
      <c r="AJZ21" s="88"/>
      <c r="AKA21" s="88"/>
      <c r="AKB21" s="88"/>
      <c r="AKC21" s="88"/>
      <c r="AKD21" s="88"/>
      <c r="AKE21" s="88"/>
      <c r="AKF21" s="88"/>
      <c r="AKG21" s="88"/>
      <c r="AKH21" s="88"/>
      <c r="AKI21" s="88"/>
      <c r="AKJ21" s="88"/>
      <c r="AKK21" s="88"/>
      <c r="AKL21" s="88"/>
      <c r="AKM21" s="88"/>
      <c r="AKN21" s="88"/>
      <c r="AKO21" s="88"/>
      <c r="AKP21" s="88"/>
      <c r="AKQ21" s="88"/>
      <c r="AKR21" s="88"/>
      <c r="AKS21" s="88"/>
      <c r="AKT21" s="88"/>
      <c r="AKU21" s="88"/>
      <c r="AKV21" s="88"/>
      <c r="AKW21" s="88"/>
      <c r="AKX21" s="88"/>
      <c r="AKY21" s="88"/>
      <c r="AKZ21" s="88"/>
      <c r="ALA21" s="88"/>
      <c r="ALB21" s="88"/>
      <c r="ALC21" s="88"/>
      <c r="ALD21" s="88"/>
      <c r="ALE21" s="88"/>
      <c r="ALF21" s="88"/>
      <c r="ALG21" s="88"/>
      <c r="ALH21" s="88"/>
      <c r="ALI21" s="88"/>
      <c r="ALJ21" s="88"/>
      <c r="ALK21" s="88"/>
      <c r="ALL21" s="88"/>
      <c r="ALM21" s="88"/>
      <c r="ALN21" s="88"/>
      <c r="ALO21" s="88"/>
      <c r="ALP21" s="88"/>
      <c r="ALQ21" s="88"/>
      <c r="ALR21" s="88"/>
      <c r="ALS21" s="88"/>
      <c r="ALT21" s="88"/>
      <c r="ALU21" s="88"/>
      <c r="ALV21" s="88"/>
      <c r="ALW21" s="88"/>
      <c r="ALX21" s="88"/>
      <c r="ALY21" s="88"/>
      <c r="ALZ21" s="88"/>
      <c r="AMA21" s="88"/>
      <c r="AMB21" s="88"/>
      <c r="AMC21" s="88"/>
      <c r="AMD21" s="88"/>
      <c r="AME21" s="88"/>
      <c r="AMF21" s="88"/>
      <c r="AMG21" s="88"/>
      <c r="AMH21" s="88"/>
      <c r="AMI21" s="88"/>
      <c r="AMJ21" s="88"/>
      <c r="AMK21" s="88"/>
      <c r="AML21" s="88"/>
      <c r="AMM21" s="88"/>
      <c r="AMN21" s="88"/>
      <c r="AMO21" s="88"/>
      <c r="AMP21" s="88"/>
      <c r="AMQ21" s="88"/>
      <c r="AMR21" s="88"/>
      <c r="AMS21" s="88"/>
      <c r="AMT21" s="88"/>
      <c r="AMU21" s="88"/>
      <c r="AMV21" s="88"/>
      <c r="AMW21" s="88"/>
      <c r="AMX21" s="88"/>
      <c r="AMY21" s="88"/>
      <c r="AMZ21" s="88"/>
      <c r="ANA21" s="88"/>
      <c r="ANB21" s="88"/>
      <c r="ANC21" s="88"/>
      <c r="AND21" s="88"/>
      <c r="ANE21" s="88"/>
      <c r="ANF21" s="88"/>
      <c r="ANG21" s="88"/>
      <c r="ANH21" s="88"/>
      <c r="ANI21" s="88"/>
      <c r="ANJ21" s="88"/>
      <c r="ANK21" s="88"/>
      <c r="ANL21" s="88"/>
      <c r="ANM21" s="88"/>
      <c r="ANN21" s="88"/>
      <c r="ANO21" s="88"/>
      <c r="ANP21" s="88"/>
      <c r="ANQ21" s="88"/>
      <c r="ANR21" s="88"/>
      <c r="ANS21" s="88"/>
      <c r="ANT21" s="88"/>
      <c r="ANU21" s="88"/>
      <c r="ANV21" s="88"/>
      <c r="ANW21" s="88"/>
      <c r="ANX21" s="88"/>
      <c r="ANY21" s="88"/>
      <c r="ANZ21" s="88"/>
      <c r="AOA21" s="88"/>
      <c r="AOB21" s="88"/>
      <c r="AOC21" s="88"/>
      <c r="AOD21" s="88"/>
      <c r="AOE21" s="88"/>
      <c r="AOF21" s="88"/>
      <c r="AOG21" s="88"/>
      <c r="AOH21" s="88"/>
      <c r="AOI21" s="88"/>
      <c r="AOJ21" s="88"/>
      <c r="AOK21" s="88"/>
      <c r="AOL21" s="88"/>
      <c r="AOM21" s="88"/>
      <c r="AON21" s="88"/>
      <c r="AOO21" s="88"/>
      <c r="AOP21" s="88"/>
      <c r="AOQ21" s="88"/>
      <c r="AOR21" s="88"/>
      <c r="AOS21" s="88"/>
      <c r="AOT21" s="88"/>
      <c r="AOU21" s="88"/>
      <c r="AOV21" s="88"/>
      <c r="AOW21" s="88"/>
      <c r="AOX21" s="88"/>
      <c r="AOY21" s="88"/>
      <c r="AOZ21" s="88"/>
      <c r="APA21" s="88"/>
      <c r="APB21" s="88"/>
      <c r="APC21" s="88"/>
      <c r="APD21" s="88"/>
      <c r="APE21" s="88"/>
      <c r="APF21" s="88"/>
      <c r="APG21" s="88"/>
      <c r="APH21" s="88"/>
      <c r="API21" s="88"/>
      <c r="APJ21" s="88"/>
      <c r="APK21" s="88"/>
      <c r="APL21" s="88"/>
      <c r="APM21" s="88"/>
      <c r="APN21" s="88"/>
      <c r="APO21" s="88"/>
      <c r="APP21" s="88"/>
      <c r="APQ21" s="88"/>
      <c r="APR21" s="88"/>
      <c r="APS21" s="88"/>
      <c r="APT21" s="88"/>
      <c r="APU21" s="88"/>
      <c r="APV21" s="88"/>
      <c r="APW21" s="88"/>
      <c r="APX21" s="88"/>
      <c r="APY21" s="88"/>
      <c r="APZ21" s="88"/>
      <c r="AQA21" s="88"/>
      <c r="AQB21" s="88"/>
      <c r="AQC21" s="88"/>
      <c r="AQD21" s="88"/>
      <c r="AQE21" s="88"/>
      <c r="AQF21" s="88"/>
      <c r="AQG21" s="88"/>
      <c r="AQH21" s="88"/>
      <c r="AQI21" s="88"/>
      <c r="AQJ21" s="88"/>
      <c r="AQK21" s="88"/>
      <c r="AQL21" s="88"/>
      <c r="AQM21" s="88"/>
      <c r="AQN21" s="88"/>
      <c r="AQO21" s="88"/>
      <c r="AQP21" s="88"/>
      <c r="AQQ21" s="88"/>
      <c r="AQR21" s="88"/>
      <c r="AQS21" s="88"/>
      <c r="AQT21" s="88"/>
      <c r="AQU21" s="88"/>
      <c r="AQV21" s="88"/>
      <c r="AQW21" s="88"/>
      <c r="AQX21" s="88"/>
      <c r="AQY21" s="88"/>
      <c r="AQZ21" s="88"/>
      <c r="ARA21" s="88"/>
      <c r="ARB21" s="88"/>
      <c r="ARC21" s="88"/>
      <c r="ARD21" s="88"/>
      <c r="ARE21" s="88"/>
      <c r="ARF21" s="88"/>
      <c r="ARG21" s="88"/>
      <c r="ARH21" s="88"/>
      <c r="ARI21" s="88"/>
      <c r="ARJ21" s="88"/>
      <c r="ARK21" s="88"/>
      <c r="ARL21" s="88"/>
      <c r="ARM21" s="88"/>
      <c r="ARN21" s="88"/>
      <c r="ARO21" s="88"/>
      <c r="ARP21" s="88"/>
      <c r="ARQ21" s="88"/>
      <c r="ARR21" s="88"/>
      <c r="ARS21" s="88"/>
      <c r="ART21" s="88"/>
      <c r="ARU21" s="88"/>
      <c r="ARV21" s="88"/>
      <c r="ARW21" s="88"/>
      <c r="ARX21" s="88"/>
      <c r="ARY21" s="88"/>
      <c r="ARZ21" s="88"/>
      <c r="ASA21" s="88"/>
      <c r="ASB21" s="88"/>
      <c r="ASC21" s="88"/>
      <c r="ASD21" s="88"/>
      <c r="ASE21" s="88"/>
      <c r="ASF21" s="88"/>
      <c r="ASG21" s="88"/>
      <c r="ASH21" s="88"/>
      <c r="ASI21" s="88"/>
      <c r="ASJ21" s="88"/>
      <c r="ASK21" s="88"/>
      <c r="ASL21" s="88"/>
      <c r="ASM21" s="88"/>
      <c r="ASN21" s="88"/>
      <c r="ASO21" s="88"/>
      <c r="ASP21" s="88"/>
      <c r="ASQ21" s="88"/>
      <c r="ASR21" s="88"/>
      <c r="ASS21" s="88"/>
      <c r="AST21" s="88"/>
      <c r="ASU21" s="88"/>
      <c r="ASV21" s="88"/>
      <c r="ASW21" s="88"/>
      <c r="ASX21" s="88"/>
      <c r="ASY21" s="88"/>
      <c r="ASZ21" s="88"/>
      <c r="ATA21" s="88"/>
      <c r="ATB21" s="88"/>
      <c r="ATC21" s="88"/>
      <c r="ATD21" s="88"/>
      <c r="ATE21" s="88"/>
      <c r="ATF21" s="88"/>
      <c r="ATG21" s="88"/>
      <c r="ATH21" s="88"/>
      <c r="ATI21" s="88"/>
      <c r="ATJ21" s="88"/>
      <c r="ATK21" s="88"/>
      <c r="ATL21" s="88"/>
      <c r="ATM21" s="88"/>
      <c r="ATN21" s="88"/>
      <c r="ATO21" s="88"/>
      <c r="ATP21" s="88"/>
      <c r="ATQ21" s="88"/>
      <c r="ATR21" s="88"/>
      <c r="ATS21" s="88"/>
      <c r="ATT21" s="88"/>
      <c r="ATU21" s="88"/>
      <c r="ATV21" s="88"/>
      <c r="ATW21" s="88"/>
      <c r="ATX21" s="88"/>
      <c r="ATY21" s="88"/>
      <c r="ATZ21" s="88"/>
      <c r="AUA21" s="88"/>
      <c r="AUB21" s="88"/>
      <c r="AUC21" s="88"/>
      <c r="AUD21" s="88"/>
      <c r="AUE21" s="88"/>
      <c r="AUF21" s="88"/>
      <c r="AUG21" s="88"/>
      <c r="AUH21" s="88"/>
      <c r="AUI21" s="88"/>
      <c r="AUJ21" s="88"/>
      <c r="AUK21" s="88"/>
      <c r="AUL21" s="88"/>
      <c r="AUM21" s="88"/>
      <c r="AUN21" s="88"/>
      <c r="AUO21" s="88"/>
      <c r="AUP21" s="88"/>
      <c r="AUQ21" s="88"/>
      <c r="AUR21" s="88"/>
      <c r="AUS21" s="88"/>
      <c r="AUT21" s="88"/>
      <c r="AUU21" s="88"/>
      <c r="AUV21" s="88"/>
      <c r="AUW21" s="88"/>
      <c r="AUX21" s="88"/>
      <c r="AUY21" s="88"/>
      <c r="AUZ21" s="88"/>
      <c r="AVA21" s="88"/>
      <c r="AVB21" s="88"/>
      <c r="AVC21" s="88"/>
      <c r="AVD21" s="88"/>
      <c r="AVE21" s="88"/>
      <c r="AVF21" s="88"/>
      <c r="AVG21" s="88"/>
      <c r="AVH21" s="88"/>
      <c r="AVI21" s="88"/>
      <c r="AVJ21" s="88"/>
      <c r="AVK21" s="88"/>
      <c r="AVL21" s="88"/>
      <c r="AVM21" s="88"/>
      <c r="AVN21" s="88"/>
      <c r="AVO21" s="88"/>
      <c r="AVP21" s="88"/>
      <c r="AVQ21" s="88"/>
      <c r="AVR21" s="88"/>
      <c r="AVS21" s="88"/>
      <c r="AVT21" s="88"/>
      <c r="AVU21" s="88"/>
      <c r="AVV21" s="88"/>
      <c r="AVW21" s="88"/>
      <c r="AVX21" s="88"/>
      <c r="AVY21" s="88"/>
      <c r="AVZ21" s="88"/>
      <c r="AWA21" s="88"/>
      <c r="AWB21" s="88"/>
      <c r="AWC21" s="88"/>
      <c r="AWD21" s="88"/>
      <c r="AWE21" s="88"/>
      <c r="AWF21" s="88"/>
      <c r="AWG21" s="88"/>
      <c r="AWH21" s="88"/>
      <c r="AWI21" s="88"/>
      <c r="AWJ21" s="88"/>
      <c r="AWK21" s="88"/>
      <c r="AWL21" s="88"/>
      <c r="AWM21" s="88"/>
      <c r="AWN21" s="88"/>
      <c r="AWO21" s="88"/>
      <c r="AWP21" s="88"/>
      <c r="AWQ21" s="88"/>
      <c r="AWR21" s="88"/>
      <c r="AWS21" s="88"/>
      <c r="AWT21" s="88"/>
      <c r="AWU21" s="88"/>
      <c r="AWV21" s="88"/>
      <c r="AWW21" s="88"/>
      <c r="AWX21" s="88"/>
      <c r="AWY21" s="88"/>
      <c r="AWZ21" s="88"/>
      <c r="AXA21" s="88"/>
      <c r="AXB21" s="88"/>
      <c r="AXC21" s="88"/>
      <c r="AXD21" s="88"/>
      <c r="AXE21" s="88"/>
      <c r="AXF21" s="88"/>
      <c r="AXG21" s="88"/>
      <c r="AXH21" s="88"/>
      <c r="AXI21" s="88"/>
      <c r="AXJ21" s="88"/>
      <c r="AXK21" s="88"/>
      <c r="AXL21" s="88"/>
      <c r="AXM21" s="88"/>
      <c r="AXN21" s="88"/>
      <c r="AXO21" s="88"/>
      <c r="AXP21" s="88"/>
      <c r="AXQ21" s="88"/>
      <c r="AXR21" s="88"/>
      <c r="AXS21" s="88"/>
      <c r="AXT21" s="88"/>
      <c r="AXU21" s="88"/>
      <c r="AXV21" s="88"/>
      <c r="AXW21" s="88"/>
      <c r="AXX21" s="88"/>
      <c r="AXY21" s="88"/>
      <c r="AXZ21" s="88"/>
      <c r="AYA21" s="88"/>
      <c r="AYB21" s="88"/>
      <c r="AYC21" s="88"/>
      <c r="AYD21" s="88"/>
      <c r="AYE21" s="88"/>
      <c r="AYF21" s="88"/>
      <c r="AYG21" s="88"/>
      <c r="AYH21" s="88"/>
      <c r="AYI21" s="88"/>
      <c r="AYJ21" s="88"/>
      <c r="AYK21" s="88"/>
      <c r="AYL21" s="88"/>
      <c r="AYM21" s="88"/>
      <c r="AYN21" s="88"/>
      <c r="AYO21" s="88"/>
      <c r="AYP21" s="88"/>
      <c r="AYQ21" s="88"/>
      <c r="AYR21" s="88"/>
      <c r="AYS21" s="88"/>
      <c r="AYT21" s="88"/>
      <c r="AYU21" s="88"/>
      <c r="AYV21" s="88"/>
      <c r="AYW21" s="88"/>
      <c r="AYX21" s="88"/>
      <c r="AYY21" s="88"/>
      <c r="AYZ21" s="88"/>
      <c r="AZA21" s="88"/>
      <c r="AZB21" s="88"/>
      <c r="AZC21" s="88"/>
      <c r="AZD21" s="88"/>
      <c r="AZE21" s="88"/>
      <c r="AZF21" s="88"/>
      <c r="AZG21" s="88"/>
      <c r="AZH21" s="88"/>
      <c r="AZI21" s="88"/>
      <c r="AZJ21" s="88"/>
      <c r="AZK21" s="88"/>
      <c r="AZL21" s="88"/>
      <c r="AZM21" s="88"/>
      <c r="AZN21" s="88"/>
      <c r="AZO21" s="88"/>
      <c r="AZP21" s="88"/>
      <c r="AZQ21" s="88"/>
      <c r="AZR21" s="88"/>
      <c r="AZS21" s="88"/>
      <c r="AZT21" s="88"/>
      <c r="AZU21" s="88"/>
      <c r="AZV21" s="88"/>
      <c r="AZW21" s="88"/>
      <c r="AZX21" s="88"/>
      <c r="AZY21" s="88"/>
      <c r="AZZ21" s="88"/>
      <c r="BAA21" s="88"/>
      <c r="BAB21" s="88"/>
      <c r="BAC21" s="88"/>
      <c r="BAD21" s="88"/>
      <c r="BAE21" s="88"/>
      <c r="BAF21" s="88"/>
      <c r="BAG21" s="88"/>
      <c r="BAH21" s="88"/>
      <c r="BAI21" s="88"/>
      <c r="BAJ21" s="88"/>
      <c r="BAK21" s="88"/>
      <c r="BAL21" s="88"/>
      <c r="BAM21" s="88"/>
      <c r="BAN21" s="88"/>
      <c r="BAO21" s="88"/>
      <c r="BAP21" s="88"/>
      <c r="BAQ21" s="88"/>
      <c r="BAR21" s="88"/>
      <c r="BAS21" s="88"/>
      <c r="BAT21" s="88"/>
      <c r="BAU21" s="88"/>
      <c r="BAV21" s="88"/>
      <c r="BAW21" s="88"/>
      <c r="BAX21" s="88"/>
      <c r="BAY21" s="88"/>
      <c r="BAZ21" s="88"/>
      <c r="BBA21" s="88"/>
      <c r="BBB21" s="88"/>
      <c r="BBC21" s="88"/>
      <c r="BBD21" s="88"/>
      <c r="BBE21" s="88"/>
      <c r="BBF21" s="88"/>
      <c r="BBG21" s="88"/>
      <c r="BBH21" s="88"/>
      <c r="BBI21" s="88"/>
      <c r="BBJ21" s="88"/>
      <c r="BBK21" s="88"/>
      <c r="BBL21" s="88"/>
      <c r="BBM21" s="88"/>
      <c r="BBN21" s="88"/>
      <c r="BBO21" s="88"/>
      <c r="BBP21" s="88"/>
      <c r="BBQ21" s="88"/>
      <c r="BBR21" s="88"/>
      <c r="BBS21" s="88"/>
      <c r="BBT21" s="88"/>
      <c r="BBU21" s="88"/>
      <c r="BBV21" s="88"/>
      <c r="BBW21" s="88"/>
      <c r="BBX21" s="88"/>
      <c r="BBY21" s="88"/>
      <c r="BBZ21" s="88"/>
      <c r="BCA21" s="88"/>
      <c r="BCB21" s="88"/>
      <c r="BCC21" s="88"/>
      <c r="BCD21" s="88"/>
      <c r="BCE21" s="88"/>
      <c r="BCF21" s="88"/>
      <c r="BCG21" s="88"/>
      <c r="BCH21" s="88"/>
      <c r="BCI21" s="88"/>
      <c r="BCJ21" s="88"/>
      <c r="BCK21" s="88"/>
      <c r="BCL21" s="88"/>
      <c r="BCM21" s="88"/>
      <c r="BCN21" s="88"/>
      <c r="BCO21" s="88"/>
      <c r="BCP21" s="88"/>
      <c r="BCQ21" s="88"/>
      <c r="BCR21" s="88"/>
      <c r="BCS21" s="88"/>
      <c r="BCT21" s="88"/>
      <c r="BCU21" s="88"/>
      <c r="BCV21" s="88"/>
      <c r="BCW21" s="88"/>
      <c r="BCX21" s="88"/>
      <c r="BCY21" s="88"/>
      <c r="BCZ21" s="88"/>
      <c r="BDA21" s="88"/>
      <c r="BDB21" s="88"/>
      <c r="BDC21" s="88"/>
      <c r="BDD21" s="88"/>
      <c r="BDE21" s="88"/>
      <c r="BDF21" s="88"/>
      <c r="BDG21" s="88"/>
      <c r="BDH21" s="88"/>
      <c r="BDI21" s="88"/>
      <c r="BDJ21" s="88"/>
      <c r="BDK21" s="88"/>
      <c r="BDL21" s="88"/>
      <c r="BDM21" s="88"/>
      <c r="BDN21" s="88"/>
      <c r="BDO21" s="88"/>
      <c r="BDP21" s="88"/>
      <c r="BDQ21" s="88"/>
      <c r="BDR21" s="88"/>
      <c r="BDS21" s="88"/>
      <c r="BDT21" s="88"/>
      <c r="BDU21" s="88"/>
      <c r="BDV21" s="88"/>
      <c r="BDW21" s="88"/>
      <c r="BDX21" s="88"/>
      <c r="BDY21" s="88"/>
      <c r="BDZ21" s="88"/>
      <c r="BEA21" s="88"/>
      <c r="BEB21" s="88"/>
      <c r="BEC21" s="88"/>
      <c r="BED21" s="88"/>
      <c r="BEE21" s="88"/>
      <c r="BEF21" s="88"/>
      <c r="BEG21" s="88"/>
      <c r="BEH21" s="88"/>
      <c r="BEI21" s="88"/>
      <c r="BEJ21" s="88"/>
      <c r="BEK21" s="88"/>
      <c r="BEL21" s="88"/>
      <c r="BEM21" s="88"/>
      <c r="BEN21" s="88"/>
      <c r="BEO21" s="88"/>
      <c r="BEP21" s="88"/>
      <c r="BEQ21" s="88"/>
      <c r="BER21" s="88"/>
      <c r="BES21" s="88"/>
      <c r="BET21" s="88"/>
      <c r="BEU21" s="88"/>
      <c r="BEV21" s="88"/>
      <c r="BEW21" s="88"/>
      <c r="BEX21" s="88"/>
      <c r="BEY21" s="88"/>
      <c r="BEZ21" s="88"/>
      <c r="BFA21" s="88"/>
      <c r="BFB21" s="88"/>
      <c r="BFC21" s="88"/>
      <c r="BFD21" s="88"/>
      <c r="BFE21" s="88"/>
      <c r="BFF21" s="88"/>
      <c r="BFG21" s="88"/>
      <c r="BFH21" s="88"/>
      <c r="BFI21" s="88"/>
      <c r="BFJ21" s="88"/>
      <c r="BFK21" s="88"/>
      <c r="BFL21" s="88"/>
      <c r="BFM21" s="88"/>
      <c r="BFN21" s="88"/>
      <c r="BFO21" s="88"/>
      <c r="BFP21" s="88"/>
      <c r="BFQ21" s="88"/>
      <c r="BFR21" s="88"/>
      <c r="BFS21" s="88"/>
      <c r="BFT21" s="88"/>
      <c r="BFU21" s="88"/>
      <c r="BFV21" s="88"/>
      <c r="BFW21" s="88"/>
      <c r="BFX21" s="88"/>
      <c r="BFY21" s="88"/>
      <c r="BFZ21" s="88"/>
      <c r="BGA21" s="88"/>
      <c r="BGB21" s="88"/>
      <c r="BGC21" s="88"/>
      <c r="BGD21" s="88"/>
      <c r="BGE21" s="88"/>
      <c r="BGF21" s="88"/>
      <c r="BGG21" s="88"/>
      <c r="BGH21" s="88"/>
      <c r="BGI21" s="88"/>
      <c r="BGJ21" s="88"/>
      <c r="BGK21" s="88"/>
      <c r="BGL21" s="88"/>
      <c r="BGM21" s="88"/>
      <c r="BGN21" s="88"/>
      <c r="BGO21" s="88"/>
      <c r="BGP21" s="88"/>
      <c r="BGQ21" s="88"/>
      <c r="BGR21" s="88"/>
      <c r="BGS21" s="88"/>
      <c r="BGT21" s="88"/>
      <c r="BGU21" s="88"/>
      <c r="BGV21" s="88"/>
      <c r="BGW21" s="88"/>
      <c r="BGX21" s="88"/>
      <c r="BGY21" s="88"/>
      <c r="BGZ21" s="88"/>
      <c r="BHA21" s="88"/>
      <c r="BHB21" s="88"/>
      <c r="BHC21" s="88"/>
      <c r="BHD21" s="88"/>
      <c r="BHE21" s="88"/>
      <c r="BHF21" s="88"/>
      <c r="BHG21" s="88"/>
      <c r="BHH21" s="88"/>
      <c r="BHI21" s="88"/>
      <c r="BHJ21" s="88"/>
      <c r="BHK21" s="88"/>
      <c r="BHL21" s="88"/>
      <c r="BHM21" s="88"/>
      <c r="BHN21" s="88"/>
      <c r="BHO21" s="88"/>
      <c r="BHP21" s="88"/>
      <c r="BHQ21" s="88"/>
      <c r="BHR21" s="88"/>
      <c r="BHS21" s="88"/>
      <c r="BHT21" s="88"/>
      <c r="BHU21" s="88"/>
      <c r="BHV21" s="88"/>
      <c r="BHW21" s="88"/>
      <c r="BHX21" s="88"/>
      <c r="BHY21" s="88"/>
      <c r="BHZ21" s="88"/>
      <c r="BIA21" s="88"/>
      <c r="BIB21" s="88"/>
      <c r="BIC21" s="88"/>
      <c r="BID21" s="88"/>
      <c r="BIE21" s="88"/>
      <c r="BIF21" s="88"/>
      <c r="BIG21" s="88"/>
      <c r="BIH21" s="88"/>
      <c r="BII21" s="88"/>
      <c r="BIJ21" s="88"/>
      <c r="BIK21" s="88"/>
      <c r="BIL21" s="88"/>
      <c r="BIM21" s="88"/>
      <c r="BIN21" s="88"/>
      <c r="BIO21" s="88"/>
      <c r="BIP21" s="88"/>
      <c r="BIQ21" s="88"/>
      <c r="BIR21" s="88"/>
      <c r="BIS21" s="88"/>
      <c r="BIT21" s="88"/>
      <c r="BIU21" s="88"/>
      <c r="BIV21" s="88"/>
      <c r="BIW21" s="88"/>
      <c r="BIX21" s="88"/>
      <c r="BIY21" s="88"/>
      <c r="BIZ21" s="88"/>
      <c r="BJA21" s="88"/>
      <c r="BJB21" s="88"/>
      <c r="BJC21" s="88"/>
      <c r="BJD21" s="88"/>
      <c r="BJE21" s="88"/>
      <c r="BJF21" s="88"/>
      <c r="BJG21" s="88"/>
      <c r="BJH21" s="88"/>
      <c r="BJI21" s="88"/>
      <c r="BJJ21" s="88"/>
      <c r="BJK21" s="88"/>
      <c r="BJL21" s="88"/>
      <c r="BJM21" s="88"/>
      <c r="BJN21" s="88"/>
      <c r="BJO21" s="88"/>
      <c r="BJP21" s="88"/>
      <c r="BJQ21" s="88"/>
      <c r="BJR21" s="88"/>
      <c r="BJS21" s="88"/>
      <c r="BJT21" s="88"/>
      <c r="BJU21" s="88"/>
      <c r="BJV21" s="88"/>
      <c r="BJW21" s="88"/>
      <c r="BJX21" s="88"/>
      <c r="BJY21" s="88"/>
      <c r="BJZ21" s="88"/>
      <c r="BKA21" s="88"/>
      <c r="BKB21" s="88"/>
      <c r="BKC21" s="88"/>
      <c r="BKD21" s="88"/>
      <c r="BKE21" s="88"/>
      <c r="BKF21" s="88"/>
      <c r="BKG21" s="88"/>
      <c r="BKH21" s="88"/>
      <c r="BKI21" s="88"/>
      <c r="BKJ21" s="88"/>
      <c r="BKK21" s="88"/>
      <c r="BKL21" s="88"/>
      <c r="BKM21" s="88"/>
      <c r="BKN21" s="88"/>
      <c r="BKO21" s="88"/>
      <c r="BKP21" s="88"/>
      <c r="BKQ21" s="88"/>
      <c r="BKR21" s="88"/>
      <c r="BKS21" s="88"/>
      <c r="BKT21" s="88"/>
      <c r="BKU21" s="88"/>
      <c r="BKV21" s="88"/>
      <c r="BKW21" s="88"/>
      <c r="BKX21" s="88"/>
      <c r="BKY21" s="88"/>
      <c r="BKZ21" s="88"/>
      <c r="BLA21" s="88"/>
      <c r="BLB21" s="88"/>
      <c r="BLC21" s="88"/>
      <c r="BLD21" s="88"/>
      <c r="BLE21" s="88"/>
      <c r="BLF21" s="88"/>
      <c r="BLG21" s="88"/>
      <c r="BLH21" s="88"/>
      <c r="BLI21" s="88"/>
      <c r="BLJ21" s="88"/>
      <c r="BLK21" s="88"/>
      <c r="BLL21" s="88"/>
      <c r="BLM21" s="88"/>
      <c r="BLN21" s="88"/>
      <c r="BLO21" s="88"/>
      <c r="BLP21" s="88"/>
      <c r="BLQ21" s="88"/>
      <c r="BLR21" s="88"/>
      <c r="BLS21" s="88"/>
      <c r="BLT21" s="88"/>
      <c r="BLU21" s="88"/>
      <c r="BLV21" s="88"/>
      <c r="BLW21" s="88"/>
      <c r="BLX21" s="88"/>
      <c r="BLY21" s="88"/>
      <c r="BLZ21" s="88"/>
      <c r="BMA21" s="88"/>
      <c r="BMB21" s="88"/>
      <c r="BMC21" s="88"/>
      <c r="BMD21" s="88"/>
      <c r="BME21" s="88"/>
      <c r="BMF21" s="88"/>
      <c r="BMG21" s="88"/>
      <c r="BMH21" s="88"/>
      <c r="BMI21" s="88"/>
      <c r="BMJ21" s="88"/>
      <c r="BMK21" s="88"/>
      <c r="BML21" s="88"/>
      <c r="BMM21" s="88"/>
      <c r="BMN21" s="88"/>
      <c r="BMO21" s="88"/>
      <c r="BMP21" s="88"/>
      <c r="BMQ21" s="88"/>
      <c r="BMR21" s="88"/>
      <c r="BMS21" s="88"/>
      <c r="BMT21" s="88"/>
      <c r="BMU21" s="88"/>
      <c r="BMV21" s="88"/>
      <c r="BMW21" s="88"/>
      <c r="BMX21" s="88"/>
      <c r="BMY21" s="88"/>
      <c r="BMZ21" s="88"/>
      <c r="BNA21" s="88"/>
      <c r="BNB21" s="88"/>
      <c r="BNC21" s="88"/>
      <c r="BND21" s="88"/>
      <c r="BNE21" s="88"/>
      <c r="BNF21" s="88"/>
      <c r="BNG21" s="88"/>
      <c r="BNH21" s="88"/>
      <c r="BNI21" s="88"/>
      <c r="BNJ21" s="88"/>
      <c r="BNK21" s="88"/>
      <c r="BNL21" s="88"/>
      <c r="BNM21" s="88"/>
      <c r="BNN21" s="88"/>
      <c r="BNO21" s="88"/>
      <c r="BNP21" s="88"/>
      <c r="BNQ21" s="88"/>
      <c r="BNR21" s="88"/>
      <c r="BNS21" s="88"/>
      <c r="BNT21" s="88"/>
      <c r="BNU21" s="88"/>
      <c r="BNV21" s="88"/>
      <c r="BNW21" s="88"/>
      <c r="BNX21" s="88"/>
      <c r="BNY21" s="88"/>
      <c r="BNZ21" s="88"/>
      <c r="BOA21" s="88"/>
      <c r="BOB21" s="88"/>
      <c r="BOC21" s="88"/>
      <c r="BOD21" s="88"/>
      <c r="BOE21" s="88"/>
      <c r="BOF21" s="88"/>
      <c r="BOG21" s="88"/>
      <c r="BOH21" s="88"/>
      <c r="BOI21" s="88"/>
      <c r="BOJ21" s="88"/>
      <c r="BOK21" s="88"/>
      <c r="BOL21" s="88"/>
      <c r="BOM21" s="88"/>
      <c r="BON21" s="88"/>
      <c r="BOO21" s="88"/>
      <c r="BOP21" s="88"/>
      <c r="BOQ21" s="88"/>
      <c r="BOR21" s="88"/>
      <c r="BOS21" s="88"/>
      <c r="BOT21" s="88"/>
      <c r="BOU21" s="88"/>
      <c r="BOV21" s="88"/>
      <c r="BOW21" s="88"/>
      <c r="BOX21" s="88"/>
      <c r="BOY21" s="88"/>
      <c r="BOZ21" s="88"/>
      <c r="BPA21" s="88"/>
      <c r="BPB21" s="88"/>
      <c r="BPC21" s="88"/>
      <c r="BPD21" s="88"/>
      <c r="BPE21" s="88"/>
      <c r="BPF21" s="88"/>
      <c r="BPG21" s="88"/>
      <c r="BPH21" s="88"/>
      <c r="BPI21" s="88"/>
      <c r="BPJ21" s="88"/>
      <c r="BPK21" s="88"/>
      <c r="BPL21" s="88"/>
      <c r="BPM21" s="88"/>
      <c r="BPN21" s="88"/>
      <c r="BPO21" s="88"/>
      <c r="BPP21" s="88"/>
      <c r="BPQ21" s="88"/>
      <c r="BPR21" s="88"/>
      <c r="BPS21" s="88"/>
      <c r="BPT21" s="88"/>
      <c r="BPU21" s="88"/>
      <c r="BPV21" s="88"/>
      <c r="BPW21" s="88"/>
      <c r="BPX21" s="88"/>
      <c r="BPY21" s="88"/>
      <c r="BPZ21" s="88"/>
      <c r="BQA21" s="88"/>
      <c r="BQB21" s="88"/>
      <c r="BQC21" s="88"/>
      <c r="BQD21" s="88"/>
      <c r="BQE21" s="88"/>
      <c r="BQF21" s="88"/>
      <c r="BQG21" s="88"/>
      <c r="BQH21" s="88"/>
      <c r="BQI21" s="88"/>
      <c r="BQJ21" s="88"/>
      <c r="BQK21" s="88"/>
      <c r="BQL21" s="88"/>
      <c r="BQM21" s="88"/>
      <c r="BQN21" s="88"/>
      <c r="BQO21" s="88"/>
      <c r="BQP21" s="88"/>
      <c r="BQQ21" s="88"/>
      <c r="BQR21" s="88"/>
      <c r="BQS21" s="88"/>
      <c r="BQT21" s="88"/>
      <c r="BQU21" s="88"/>
      <c r="BQV21" s="88"/>
      <c r="BQW21" s="88"/>
      <c r="BQX21" s="88"/>
      <c r="BQY21" s="88"/>
      <c r="BQZ21" s="88"/>
      <c r="BRA21" s="88"/>
      <c r="BRB21" s="88"/>
      <c r="BRC21" s="88"/>
      <c r="BRD21" s="88"/>
      <c r="BRE21" s="88"/>
      <c r="BRF21" s="88"/>
      <c r="BRG21" s="88"/>
      <c r="BRH21" s="88"/>
      <c r="BRI21" s="88"/>
      <c r="BRJ21" s="88"/>
      <c r="BRK21" s="88"/>
      <c r="BRL21" s="88"/>
      <c r="BRM21" s="88"/>
      <c r="BRN21" s="88"/>
      <c r="BRO21" s="88"/>
      <c r="BRP21" s="88"/>
      <c r="BRQ21" s="88"/>
      <c r="BRR21" s="88"/>
      <c r="BRS21" s="88"/>
      <c r="BRT21" s="88"/>
      <c r="BRU21" s="88"/>
      <c r="BRV21" s="88"/>
      <c r="BRW21" s="88"/>
      <c r="BRX21" s="88"/>
      <c r="BRY21" s="88"/>
      <c r="BRZ21" s="88"/>
      <c r="BSA21" s="88"/>
      <c r="BSB21" s="88"/>
      <c r="BSC21" s="88"/>
      <c r="BSD21" s="88"/>
      <c r="BSE21" s="88"/>
      <c r="BSF21" s="88"/>
      <c r="BSG21" s="88"/>
      <c r="BSH21" s="88"/>
      <c r="BSI21" s="88"/>
      <c r="BSJ21" s="88"/>
      <c r="BSK21" s="88"/>
      <c r="BSL21" s="88"/>
      <c r="BSM21" s="88"/>
      <c r="BSN21" s="88"/>
      <c r="BSO21" s="88"/>
      <c r="BSP21" s="88"/>
      <c r="BSQ21" s="88"/>
      <c r="BSR21" s="88"/>
      <c r="BSS21" s="88"/>
      <c r="BST21" s="88"/>
      <c r="BSU21" s="88"/>
      <c r="BSV21" s="88"/>
      <c r="BSW21" s="88"/>
      <c r="BSX21" s="88"/>
      <c r="BSY21" s="88"/>
      <c r="BSZ21" s="88"/>
      <c r="BTA21" s="88"/>
      <c r="BTB21" s="88"/>
      <c r="BTC21" s="88"/>
      <c r="BTD21" s="88"/>
      <c r="BTE21" s="88"/>
      <c r="BTF21" s="88"/>
      <c r="BTG21" s="88"/>
      <c r="BTH21" s="88"/>
      <c r="BTI21" s="88"/>
      <c r="BTJ21" s="88"/>
      <c r="BTK21" s="88"/>
      <c r="BTL21" s="88"/>
      <c r="BTM21" s="88"/>
      <c r="BTN21" s="88"/>
      <c r="BTO21" s="88"/>
      <c r="BTP21" s="88"/>
      <c r="BTQ21" s="88"/>
      <c r="BTR21" s="88"/>
      <c r="BTS21" s="88"/>
      <c r="BTT21" s="88"/>
      <c r="BTU21" s="88"/>
      <c r="BTV21" s="88"/>
      <c r="BTW21" s="88"/>
      <c r="BTX21" s="88"/>
      <c r="BTY21" s="88"/>
      <c r="BTZ21" s="88"/>
      <c r="BUA21" s="88"/>
      <c r="BUB21" s="88"/>
      <c r="BUC21" s="88"/>
      <c r="BUD21" s="88"/>
      <c r="BUE21" s="88"/>
      <c r="BUF21" s="88"/>
      <c r="BUG21" s="88"/>
      <c r="BUH21" s="88"/>
      <c r="BUI21" s="88"/>
      <c r="BUJ21" s="88"/>
      <c r="BUK21" s="88"/>
      <c r="BUL21" s="88"/>
      <c r="BUM21" s="88"/>
      <c r="BUN21" s="88"/>
      <c r="BUO21" s="88"/>
      <c r="BUP21" s="88"/>
      <c r="BUQ21" s="88"/>
      <c r="BUR21" s="88"/>
      <c r="BUS21" s="88"/>
      <c r="BUT21" s="88"/>
      <c r="BUU21" s="88"/>
      <c r="BUV21" s="88"/>
      <c r="BUW21" s="88"/>
      <c r="BUX21" s="88"/>
      <c r="BUY21" s="88"/>
      <c r="BUZ21" s="88"/>
      <c r="BVA21" s="88"/>
      <c r="BVB21" s="88"/>
      <c r="BVC21" s="88"/>
      <c r="BVD21" s="88"/>
      <c r="BVE21" s="88"/>
      <c r="BVF21" s="88"/>
      <c r="BVG21" s="88"/>
      <c r="BVH21" s="88"/>
      <c r="BVI21" s="88"/>
      <c r="BVJ21" s="88"/>
      <c r="BVK21" s="88"/>
      <c r="BVL21" s="88"/>
      <c r="BVM21" s="88"/>
      <c r="BVN21" s="88"/>
      <c r="BVO21" s="88"/>
      <c r="BVP21" s="88"/>
      <c r="BVQ21" s="88"/>
      <c r="BVR21" s="88"/>
      <c r="BVS21" s="88"/>
      <c r="BVT21" s="88"/>
      <c r="BVU21" s="88"/>
      <c r="BVV21" s="88"/>
      <c r="BVW21" s="88"/>
      <c r="BVX21" s="88"/>
      <c r="BVY21" s="88"/>
      <c r="BVZ21" s="88"/>
      <c r="BWA21" s="88"/>
      <c r="BWB21" s="88"/>
      <c r="BWC21" s="88"/>
      <c r="BWD21" s="88"/>
      <c r="BWE21" s="88"/>
      <c r="BWF21" s="88"/>
      <c r="BWG21" s="88"/>
      <c r="BWH21" s="88"/>
      <c r="BWI21" s="88"/>
      <c r="BWJ21" s="88"/>
      <c r="BWK21" s="88"/>
      <c r="BWL21" s="88"/>
      <c r="BWM21" s="88"/>
      <c r="BWN21" s="88"/>
      <c r="BWO21" s="88"/>
      <c r="BWP21" s="88"/>
      <c r="BWQ21" s="88"/>
      <c r="BWR21" s="88"/>
      <c r="BWS21" s="88"/>
      <c r="BWT21" s="88"/>
      <c r="BWU21" s="88"/>
      <c r="BWV21" s="88"/>
      <c r="BWW21" s="88"/>
      <c r="BWX21" s="88"/>
      <c r="BWY21" s="88"/>
      <c r="BWZ21" s="88"/>
      <c r="BXA21" s="88"/>
      <c r="BXB21" s="88"/>
      <c r="BXC21" s="88"/>
      <c r="BXD21" s="88"/>
      <c r="BXE21" s="88"/>
      <c r="BXF21" s="88"/>
      <c r="BXG21" s="88"/>
      <c r="BXH21" s="88"/>
      <c r="BXI21" s="88"/>
      <c r="BXJ21" s="88"/>
      <c r="BXK21" s="88"/>
      <c r="BXL21" s="88"/>
      <c r="BXM21" s="88"/>
      <c r="BXN21" s="88"/>
      <c r="BXO21" s="88"/>
      <c r="BXP21" s="88"/>
      <c r="BXQ21" s="88"/>
      <c r="BXR21" s="88"/>
      <c r="BXS21" s="88"/>
      <c r="BXT21" s="88"/>
      <c r="BXU21" s="88"/>
      <c r="BXV21" s="88"/>
      <c r="BXW21" s="88"/>
      <c r="BXX21" s="88"/>
      <c r="BXY21" s="88"/>
      <c r="BXZ21" s="88"/>
      <c r="BYA21" s="88"/>
      <c r="BYB21" s="88"/>
      <c r="BYC21" s="88"/>
      <c r="BYD21" s="88"/>
      <c r="BYE21" s="88"/>
      <c r="BYF21" s="88"/>
      <c r="BYG21" s="88"/>
      <c r="BYH21" s="88"/>
      <c r="BYI21" s="88"/>
      <c r="BYJ21" s="88"/>
      <c r="BYK21" s="88"/>
      <c r="BYL21" s="88"/>
      <c r="BYM21" s="88"/>
      <c r="BYN21" s="88"/>
      <c r="BYO21" s="88"/>
      <c r="BYP21" s="88"/>
      <c r="BYQ21" s="88"/>
      <c r="BYR21" s="88"/>
      <c r="BYS21" s="88"/>
      <c r="BYT21" s="88"/>
      <c r="BYU21" s="88"/>
      <c r="BYV21" s="88"/>
      <c r="BYW21" s="88"/>
      <c r="BYX21" s="88"/>
      <c r="BYY21" s="88"/>
      <c r="BYZ21" s="88"/>
      <c r="BZA21" s="88"/>
      <c r="BZB21" s="88"/>
      <c r="BZC21" s="88"/>
      <c r="BZD21" s="88"/>
      <c r="BZE21" s="88"/>
      <c r="BZF21" s="88"/>
      <c r="BZG21" s="88"/>
      <c r="BZH21" s="88"/>
      <c r="BZI21" s="88"/>
      <c r="BZJ21" s="88"/>
      <c r="BZK21" s="88"/>
      <c r="BZL21" s="88"/>
      <c r="BZM21" s="88"/>
      <c r="BZN21" s="88"/>
      <c r="BZO21" s="88"/>
      <c r="BZP21" s="88"/>
      <c r="BZQ21" s="88"/>
      <c r="BZR21" s="88"/>
      <c r="BZS21" s="88"/>
      <c r="BZT21" s="88"/>
      <c r="BZU21" s="88"/>
      <c r="BZV21" s="88"/>
      <c r="BZW21" s="88"/>
      <c r="BZX21" s="88"/>
      <c r="BZY21" s="88"/>
      <c r="BZZ21" s="88"/>
      <c r="CAA21" s="88"/>
      <c r="CAB21" s="88"/>
      <c r="CAC21" s="88"/>
      <c r="CAD21" s="88"/>
      <c r="CAE21" s="88"/>
      <c r="CAF21" s="88"/>
      <c r="CAG21" s="88"/>
      <c r="CAH21" s="88"/>
      <c r="CAI21" s="88"/>
      <c r="CAJ21" s="88"/>
      <c r="CAK21" s="88"/>
      <c r="CAL21" s="88"/>
      <c r="CAM21" s="88"/>
      <c r="CAN21" s="88"/>
      <c r="CAO21" s="88"/>
      <c r="CAP21" s="88"/>
      <c r="CAQ21" s="88"/>
      <c r="CAR21" s="88"/>
      <c r="CAS21" s="88"/>
      <c r="CAT21" s="88"/>
      <c r="CAU21" s="88"/>
      <c r="CAV21" s="88"/>
      <c r="CAW21" s="88"/>
      <c r="CAX21" s="88"/>
      <c r="CAY21" s="88"/>
      <c r="CAZ21" s="88"/>
      <c r="CBA21" s="88"/>
      <c r="CBB21" s="88"/>
      <c r="CBC21" s="88"/>
      <c r="CBD21" s="88"/>
      <c r="CBE21" s="88"/>
      <c r="CBF21" s="88"/>
      <c r="CBG21" s="88"/>
      <c r="CBH21" s="88"/>
      <c r="CBI21" s="88"/>
      <c r="CBJ21" s="88"/>
      <c r="CBK21" s="88"/>
      <c r="CBL21" s="88"/>
      <c r="CBM21" s="88"/>
      <c r="CBN21" s="88"/>
      <c r="CBO21" s="88"/>
      <c r="CBP21" s="88"/>
      <c r="CBQ21" s="88"/>
      <c r="CBR21" s="88"/>
      <c r="CBS21" s="88"/>
      <c r="CBT21" s="88"/>
      <c r="CBU21" s="88"/>
      <c r="CBV21" s="88"/>
      <c r="CBW21" s="88"/>
      <c r="CBX21" s="88"/>
      <c r="CBY21" s="88"/>
      <c r="CBZ21" s="88"/>
      <c r="CCA21" s="88"/>
      <c r="CCB21" s="88"/>
      <c r="CCC21" s="88"/>
      <c r="CCD21" s="88"/>
      <c r="CCE21" s="88"/>
      <c r="CCF21" s="88"/>
      <c r="CCG21" s="88"/>
      <c r="CCH21" s="88"/>
      <c r="CCI21" s="88"/>
      <c r="CCJ21" s="88"/>
      <c r="CCK21" s="88"/>
      <c r="CCL21" s="88"/>
      <c r="CCM21" s="88"/>
      <c r="CCN21" s="88"/>
      <c r="CCO21" s="88"/>
      <c r="CCP21" s="88"/>
      <c r="CCQ21" s="88"/>
      <c r="CCR21" s="88"/>
      <c r="CCS21" s="88"/>
      <c r="CCT21" s="88"/>
      <c r="CCU21" s="88"/>
      <c r="CCV21" s="88"/>
      <c r="CCW21" s="88"/>
      <c r="CCX21" s="88"/>
      <c r="CCY21" s="88"/>
      <c r="CCZ21" s="88"/>
      <c r="CDA21" s="88"/>
      <c r="CDB21" s="88"/>
      <c r="CDC21" s="88"/>
      <c r="CDD21" s="88"/>
      <c r="CDE21" s="88"/>
      <c r="CDF21" s="88"/>
      <c r="CDG21" s="88"/>
      <c r="CDH21" s="88"/>
      <c r="CDI21" s="88"/>
      <c r="CDJ21" s="88"/>
      <c r="CDK21" s="88"/>
      <c r="CDL21" s="88"/>
      <c r="CDM21" s="88"/>
      <c r="CDN21" s="88"/>
      <c r="CDO21" s="88"/>
      <c r="CDP21" s="88"/>
      <c r="CDQ21" s="88"/>
      <c r="CDR21" s="88"/>
      <c r="CDS21" s="88"/>
      <c r="CDT21" s="88"/>
      <c r="CDU21" s="88"/>
      <c r="CDV21" s="88"/>
      <c r="CDW21" s="88"/>
      <c r="CDX21" s="88"/>
      <c r="CDY21" s="88"/>
      <c r="CDZ21" s="88"/>
      <c r="CEA21" s="88"/>
      <c r="CEB21" s="88"/>
      <c r="CEC21" s="88"/>
      <c r="CED21" s="88"/>
      <c r="CEE21" s="88"/>
      <c r="CEF21" s="88"/>
      <c r="CEG21" s="88"/>
      <c r="CEH21" s="88"/>
      <c r="CEI21" s="88"/>
      <c r="CEJ21" s="88"/>
      <c r="CEK21" s="88"/>
    </row>
    <row r="22" spans="1:2169" s="63" customFormat="1">
      <c r="A22" s="68" t="s">
        <v>402</v>
      </c>
      <c r="B22" s="71" t="s">
        <v>64</v>
      </c>
      <c r="C22" s="68" t="str">
        <f>IF('page 2'!$O$4="","",IF('page 2'!$O$4=Gestion!A22,1,0))</f>
        <v/>
      </c>
      <c r="D22" s="68" t="str">
        <f>IF('page 2'!$O$5="","",IF('page 2'!$O$5=Gestion!A22,1,0))</f>
        <v/>
      </c>
      <c r="E22" s="68" t="str">
        <f>IF('page 2'!$O$6="","",IF('page 2'!$O$6=Gestion!A22,1,0))</f>
        <v/>
      </c>
      <c r="F22" s="68" t="str">
        <f>IF('page 2'!$O$7="","",IF('page 2'!$O$7=Gestion!A22,1,0))</f>
        <v/>
      </c>
      <c r="G22" s="68" t="str">
        <f>IF('page 2'!$O$8="","",IF('page 2'!$O$8=Gestion!A22,1,0))</f>
        <v/>
      </c>
      <c r="H22" s="68" t="str">
        <f>IF('page 2'!$O$9="","",IF('page 2'!$O$9=Gestion!A22,1,0))</f>
        <v/>
      </c>
      <c r="I22" s="68" t="str">
        <f>IF('page 2'!$O$10="","",IF('page 2'!$O$10=Gestion!A22,1,0))</f>
        <v/>
      </c>
      <c r="J22" s="68" t="str">
        <f>IF('page 2'!$O$11="","",IF('page 2'!$O$11=Gestion!A22,1,0))</f>
        <v/>
      </c>
      <c r="K22" s="68" t="str">
        <f>IF('page 2'!$O$12="","",IF('page 2'!$O$12=Gestion!A22,1,0))</f>
        <v/>
      </c>
      <c r="L22" s="68" t="str">
        <f>IF('page 2'!$O$13="","",IF('page 2'!$O$13=Gestion!A22,1,0))</f>
        <v/>
      </c>
      <c r="M22" s="68" t="str">
        <f>IF('page 2'!$O$14="","",IF('page 2'!$O$14=Gestion!A22,1,0))</f>
        <v/>
      </c>
      <c r="N22" s="68" t="str">
        <f>IF('page 2'!$O$15="","",IF('page 2'!$O$15=Gestion!A22,1,0))</f>
        <v/>
      </c>
      <c r="O22" s="68" t="str">
        <f>IF('page 2'!$O$16="","",IF('page 2'!$O$16=Gestion!A22,1,0))</f>
        <v/>
      </c>
      <c r="P22" s="68" t="str">
        <f>IF('page 2'!$O$17="","",IF('page 2'!$O$17=Gestion!A22,1,0))</f>
        <v/>
      </c>
      <c r="Q22" s="68" t="str">
        <f>IF('page 2'!$O$18="","",IF('page 2'!$O$18=Gestion!A22,1,0))</f>
        <v/>
      </c>
      <c r="S22" s="68" t="str">
        <f>IF('page 2'!$O$20="","",IF('page 2'!$O$20=Gestion!A22,1,0))</f>
        <v/>
      </c>
      <c r="T22" s="68" t="str">
        <f>IF('page 2'!$O$25="","",IF('page 2'!$O$25=Gestion!A22,1,0))</f>
        <v/>
      </c>
      <c r="U22" s="68" t="str">
        <f>IF('page 2'!$O$26="","",IF('page 2'!$O$26=Gestion!A22,1,0))</f>
        <v/>
      </c>
      <c r="V22" s="68" t="str">
        <f>IF('page 2'!$O$27="","",IF('page 2'!$O$27=Gestion!A22,1,0))</f>
        <v/>
      </c>
      <c r="W22" s="722">
        <f t="shared" si="0"/>
        <v>0</v>
      </c>
      <c r="X22" s="714" t="s">
        <v>7672</v>
      </c>
      <c r="Y22" s="68" t="str">
        <f>IF('page 2'!O23="","",'page 2'!O23)</f>
        <v/>
      </c>
      <c r="Z22" s="68" t="str">
        <f>IF(Y22="","",VLOOKUP(Y22,'page 2'!$O$4:$Q$27,3,FALSE))</f>
        <v/>
      </c>
      <c r="AA22" s="68" t="str">
        <f t="shared" si="1"/>
        <v/>
      </c>
      <c r="AB22" s="68"/>
      <c r="AC22" s="68"/>
      <c r="AD22" s="68"/>
      <c r="AP22" s="130"/>
      <c r="AQ22" s="130"/>
      <c r="AR22" s="130"/>
      <c r="AS22" s="576"/>
      <c r="AT22" s="892"/>
      <c r="AU22" s="892"/>
      <c r="AV22" s="892"/>
      <c r="AW22" s="892"/>
      <c r="AX22" s="537"/>
      <c r="AY22" s="892"/>
      <c r="AZ22" s="576"/>
      <c r="BA22" s="576"/>
      <c r="BB22" s="576"/>
      <c r="BC22" s="576"/>
      <c r="BD22" s="602"/>
      <c r="BE22" s="602"/>
      <c r="BF22" s="602"/>
      <c r="BG22" s="602"/>
      <c r="BH22" s="602"/>
      <c r="BI22" s="602"/>
      <c r="BJ22" s="602"/>
      <c r="BK22" s="602"/>
      <c r="BL22" s="602"/>
      <c r="BM22" s="602"/>
      <c r="BN22" s="602"/>
      <c r="BO22" s="602"/>
      <c r="BP22" s="602"/>
      <c r="BQ22" s="602"/>
      <c r="BR22" s="602"/>
      <c r="BS22" s="576"/>
      <c r="BT22" s="576"/>
      <c r="BU22" s="576"/>
      <c r="BV22" s="576"/>
      <c r="BW22" s="602"/>
      <c r="BX22" s="602"/>
      <c r="BY22" s="602"/>
      <c r="BZ22" s="576"/>
      <c r="CA22" s="602"/>
      <c r="CB22" s="602"/>
      <c r="CC22" s="576"/>
      <c r="CD22" s="469"/>
      <c r="CE22" s="602"/>
      <c r="CF22" s="576"/>
      <c r="CG22" s="576"/>
      <c r="CH22" s="576"/>
      <c r="CI22" s="576"/>
      <c r="CJ22" s="576"/>
      <c r="CK22" s="602"/>
      <c r="CL22" s="602"/>
      <c r="CM22" s="576"/>
      <c r="CN22" s="602"/>
      <c r="CO22" s="602"/>
      <c r="CP22" s="602"/>
      <c r="CQ22" s="576"/>
      <c r="CR22" s="576"/>
      <c r="CS22" s="602"/>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88"/>
      <c r="JV22" s="88"/>
      <c r="JW22" s="88"/>
      <c r="JX22" s="88"/>
      <c r="JY22" s="88"/>
      <c r="JZ22" s="88"/>
      <c r="KA22" s="88"/>
      <c r="KB22" s="88"/>
      <c r="KC22" s="88"/>
      <c r="KD22" s="88"/>
      <c r="KE22" s="88"/>
      <c r="KF22" s="88"/>
      <c r="KG22" s="88"/>
      <c r="KH22" s="88"/>
      <c r="KI22" s="88"/>
      <c r="KJ22" s="88"/>
      <c r="KK22" s="88"/>
      <c r="KL22" s="88"/>
      <c r="KM22" s="88"/>
      <c r="KN22" s="88"/>
      <c r="KO22" s="88"/>
      <c r="KP22" s="88"/>
      <c r="KQ22" s="88"/>
      <c r="KR22" s="88"/>
      <c r="KS22" s="88"/>
      <c r="KT22" s="88"/>
      <c r="KU22" s="88"/>
      <c r="KV22" s="88"/>
      <c r="KW22" s="88"/>
      <c r="KX22" s="88"/>
      <c r="KY22" s="88"/>
      <c r="KZ22" s="88"/>
      <c r="LA22" s="88"/>
      <c r="LB22" s="88"/>
      <c r="LC22" s="88"/>
      <c r="LD22" s="88"/>
      <c r="LE22" s="88"/>
      <c r="LF22" s="88"/>
      <c r="LG22" s="88"/>
      <c r="LH22" s="88"/>
      <c r="LI22" s="88"/>
      <c r="LJ22" s="88"/>
      <c r="LK22" s="88"/>
      <c r="LL22" s="88"/>
      <c r="LM22" s="88"/>
      <c r="LN22" s="88"/>
      <c r="LO22" s="88"/>
      <c r="LP22" s="88"/>
      <c r="LQ22" s="88"/>
      <c r="LR22" s="88"/>
      <c r="LS22" s="88"/>
      <c r="LT22" s="88"/>
      <c r="LU22" s="88"/>
      <c r="LV22" s="88"/>
      <c r="LW22" s="88"/>
      <c r="LX22" s="88"/>
      <c r="LY22" s="88"/>
      <c r="LZ22" s="88"/>
      <c r="MA22" s="88"/>
      <c r="MB22" s="88"/>
      <c r="MC22" s="88"/>
      <c r="MD22" s="88"/>
      <c r="ME22" s="88"/>
      <c r="MF22" s="88"/>
      <c r="MG22" s="88"/>
      <c r="MH22" s="88"/>
      <c r="MI22" s="88"/>
      <c r="MJ22" s="88"/>
      <c r="MK22" s="88"/>
      <c r="ML22" s="88"/>
      <c r="MM22" s="88"/>
      <c r="MN22" s="88"/>
      <c r="MO22" s="88"/>
      <c r="MP22" s="88"/>
      <c r="MQ22" s="88"/>
      <c r="MR22" s="88"/>
      <c r="MS22" s="88"/>
      <c r="MT22" s="88"/>
      <c r="MU22" s="88"/>
      <c r="MV22" s="88"/>
      <c r="MW22" s="88"/>
      <c r="MX22" s="88"/>
      <c r="MY22" s="88"/>
      <c r="MZ22" s="88"/>
      <c r="NA22" s="88"/>
      <c r="NB22" s="88"/>
      <c r="NC22" s="88"/>
      <c r="ND22" s="88"/>
      <c r="NE22" s="88"/>
      <c r="NF22" s="88"/>
      <c r="NG22" s="88"/>
      <c r="NH22" s="88"/>
      <c r="NI22" s="88"/>
      <c r="NJ22" s="88"/>
      <c r="NK22" s="88"/>
      <c r="NL22" s="88"/>
      <c r="NM22" s="88"/>
      <c r="NN22" s="88"/>
      <c r="NO22" s="88"/>
      <c r="NP22" s="88"/>
      <c r="NQ22" s="88"/>
      <c r="NR22" s="88"/>
      <c r="NS22" s="88"/>
      <c r="NT22" s="88"/>
      <c r="NU22" s="88"/>
      <c r="NV22" s="88"/>
      <c r="NW22" s="88"/>
      <c r="NX22" s="88"/>
      <c r="NY22" s="88"/>
      <c r="NZ22" s="88"/>
      <c r="OA22" s="88"/>
      <c r="OB22" s="88"/>
      <c r="OC22" s="88"/>
      <c r="OD22" s="88"/>
      <c r="OE22" s="88"/>
      <c r="OF22" s="88"/>
      <c r="OG22" s="88"/>
      <c r="OH22" s="88"/>
      <c r="OI22" s="88"/>
      <c r="OJ22" s="88"/>
      <c r="OK22" s="88"/>
      <c r="OL22" s="88"/>
      <c r="OM22" s="88"/>
      <c r="ON22" s="88"/>
      <c r="OO22" s="88"/>
      <c r="OP22" s="88"/>
      <c r="OQ22" s="88"/>
      <c r="OR22" s="88"/>
      <c r="OS22" s="88"/>
      <c r="OT22" s="88"/>
      <c r="OU22" s="88"/>
      <c r="OV22" s="88"/>
      <c r="OW22" s="88"/>
      <c r="OX22" s="88"/>
      <c r="OY22" s="88"/>
      <c r="OZ22" s="88"/>
      <c r="PA22" s="88"/>
      <c r="PB22" s="88"/>
      <c r="PC22" s="88"/>
      <c r="PD22" s="88"/>
      <c r="PE22" s="88"/>
      <c r="PF22" s="88"/>
      <c r="PG22" s="88"/>
      <c r="PH22" s="88"/>
      <c r="PI22" s="88"/>
      <c r="PJ22" s="88"/>
      <c r="PK22" s="88"/>
      <c r="PL22" s="88"/>
      <c r="PM22" s="88"/>
      <c r="PN22" s="88"/>
      <c r="PO22" s="88"/>
      <c r="PP22" s="88"/>
      <c r="PQ22" s="88"/>
      <c r="PR22" s="88"/>
      <c r="PS22" s="88"/>
      <c r="PT22" s="88"/>
      <c r="PU22" s="88"/>
      <c r="PV22" s="88"/>
      <c r="PW22" s="88"/>
      <c r="PX22" s="88"/>
      <c r="PY22" s="88"/>
      <c r="PZ22" s="88"/>
      <c r="QA22" s="88"/>
      <c r="QB22" s="88"/>
      <c r="QC22" s="88"/>
      <c r="QD22" s="88"/>
      <c r="QE22" s="88"/>
      <c r="QF22" s="88"/>
      <c r="QG22" s="88"/>
      <c r="QH22" s="88"/>
      <c r="QI22" s="88"/>
      <c r="QJ22" s="88"/>
      <c r="QK22" s="88"/>
      <c r="QL22" s="88"/>
      <c r="QM22" s="88"/>
      <c r="QN22" s="88"/>
      <c r="QO22" s="88"/>
      <c r="QP22" s="88"/>
      <c r="QQ22" s="88"/>
      <c r="QR22" s="88"/>
      <c r="QS22" s="88"/>
      <c r="QT22" s="88"/>
      <c r="QU22" s="88"/>
      <c r="QV22" s="88"/>
      <c r="QW22" s="88"/>
      <c r="QX22" s="88"/>
      <c r="QY22" s="88"/>
      <c r="QZ22" s="88"/>
      <c r="RA22" s="88"/>
      <c r="RB22" s="88"/>
      <c r="RC22" s="88"/>
      <c r="RD22" s="88"/>
      <c r="RE22" s="88"/>
      <c r="RF22" s="88"/>
      <c r="RG22" s="88"/>
      <c r="RH22" s="88"/>
      <c r="RI22" s="88"/>
      <c r="RJ22" s="88"/>
      <c r="RK22" s="88"/>
      <c r="RL22" s="88"/>
      <c r="RM22" s="88"/>
      <c r="RN22" s="88"/>
      <c r="RO22" s="88"/>
      <c r="RP22" s="88"/>
      <c r="RQ22" s="88"/>
      <c r="RR22" s="88"/>
      <c r="RS22" s="88"/>
      <c r="RT22" s="88"/>
      <c r="RU22" s="88"/>
      <c r="RV22" s="88"/>
      <c r="RW22" s="88"/>
      <c r="RX22" s="88"/>
      <c r="RY22" s="88"/>
      <c r="RZ22" s="88"/>
      <c r="SA22" s="88"/>
      <c r="SB22" s="88"/>
      <c r="SC22" s="88"/>
      <c r="SD22" s="88"/>
      <c r="SE22" s="88"/>
      <c r="SF22" s="88"/>
      <c r="SG22" s="88"/>
      <c r="SH22" s="88"/>
      <c r="SI22" s="88"/>
      <c r="SJ22" s="88"/>
      <c r="SK22" s="88"/>
      <c r="SL22" s="88"/>
      <c r="SM22" s="88"/>
      <c r="SN22" s="88"/>
      <c r="SO22" s="88"/>
      <c r="SP22" s="88"/>
      <c r="SQ22" s="88"/>
      <c r="SR22" s="88"/>
      <c r="SS22" s="88"/>
      <c r="ST22" s="88"/>
      <c r="SU22" s="88"/>
      <c r="SV22" s="88"/>
      <c r="SW22" s="88"/>
      <c r="SX22" s="88"/>
      <c r="SY22" s="88"/>
      <c r="SZ22" s="88"/>
      <c r="TA22" s="88"/>
      <c r="TB22" s="88"/>
      <c r="TC22" s="88"/>
      <c r="TD22" s="88"/>
      <c r="TE22" s="88"/>
      <c r="TF22" s="88"/>
      <c r="TG22" s="88"/>
      <c r="TH22" s="88"/>
      <c r="TI22" s="88"/>
      <c r="TJ22" s="88"/>
      <c r="TK22" s="88"/>
      <c r="TL22" s="88"/>
      <c r="TM22" s="88"/>
      <c r="TN22" s="88"/>
      <c r="TO22" s="88"/>
      <c r="TP22" s="88"/>
      <c r="TQ22" s="88"/>
      <c r="TR22" s="88"/>
      <c r="TS22" s="88"/>
      <c r="TT22" s="88"/>
      <c r="TU22" s="88"/>
      <c r="TV22" s="88"/>
      <c r="TW22" s="88"/>
      <c r="TX22" s="88"/>
      <c r="TY22" s="88"/>
      <c r="TZ22" s="88"/>
      <c r="UA22" s="88"/>
      <c r="UB22" s="88"/>
      <c r="UC22" s="88"/>
      <c r="UD22" s="88"/>
      <c r="UE22" s="88"/>
      <c r="UF22" s="88"/>
      <c r="UG22" s="88"/>
      <c r="UH22" s="88"/>
      <c r="UI22" s="88"/>
      <c r="UJ22" s="88"/>
      <c r="UK22" s="88"/>
      <c r="UL22" s="88"/>
      <c r="UM22" s="88"/>
      <c r="UN22" s="88"/>
      <c r="UO22" s="88"/>
      <c r="UP22" s="88"/>
      <c r="UQ22" s="88"/>
      <c r="UR22" s="88"/>
      <c r="US22" s="88"/>
      <c r="UT22" s="88"/>
      <c r="UU22" s="88"/>
      <c r="UV22" s="88"/>
      <c r="UW22" s="88"/>
      <c r="UX22" s="88"/>
      <c r="UY22" s="88"/>
      <c r="UZ22" s="88"/>
      <c r="VA22" s="88"/>
      <c r="VB22" s="88"/>
      <c r="VC22" s="88"/>
      <c r="VD22" s="88"/>
      <c r="VE22" s="88"/>
      <c r="VF22" s="88"/>
      <c r="VG22" s="88"/>
      <c r="VH22" s="88"/>
      <c r="VI22" s="88"/>
      <c r="VJ22" s="88"/>
      <c r="VK22" s="88"/>
      <c r="VL22" s="88"/>
      <c r="VM22" s="88"/>
      <c r="VN22" s="88"/>
      <c r="VO22" s="88"/>
      <c r="VP22" s="88"/>
      <c r="VQ22" s="88"/>
      <c r="VR22" s="88"/>
      <c r="VS22" s="88"/>
      <c r="VT22" s="88"/>
      <c r="VU22" s="88"/>
      <c r="VV22" s="88"/>
      <c r="VW22" s="88"/>
      <c r="VX22" s="88"/>
      <c r="VY22" s="88"/>
      <c r="VZ22" s="88"/>
      <c r="WA22" s="88"/>
      <c r="WB22" s="88"/>
      <c r="WC22" s="88"/>
      <c r="WD22" s="88"/>
      <c r="WE22" s="88"/>
      <c r="WF22" s="88"/>
      <c r="WG22" s="88"/>
      <c r="WH22" s="88"/>
      <c r="WI22" s="88"/>
      <c r="WJ22" s="88"/>
      <c r="WK22" s="88"/>
      <c r="WL22" s="88"/>
      <c r="WM22" s="88"/>
      <c r="WN22" s="88"/>
      <c r="WO22" s="88"/>
      <c r="WP22" s="88"/>
      <c r="WQ22" s="88"/>
      <c r="WR22" s="88"/>
      <c r="WS22" s="88"/>
      <c r="WT22" s="88"/>
      <c r="WU22" s="88"/>
      <c r="WV22" s="88"/>
      <c r="WW22" s="88"/>
      <c r="WX22" s="88"/>
      <c r="WY22" s="88"/>
      <c r="WZ22" s="88"/>
      <c r="XA22" s="88"/>
      <c r="XB22" s="88"/>
      <c r="XC22" s="88"/>
      <c r="XD22" s="88"/>
      <c r="XE22" s="88"/>
      <c r="XF22" s="88"/>
      <c r="XG22" s="88"/>
      <c r="XH22" s="88"/>
      <c r="XI22" s="88"/>
      <c r="XJ22" s="88"/>
      <c r="XK22" s="88"/>
      <c r="XL22" s="88"/>
      <c r="XM22" s="88"/>
      <c r="XN22" s="88"/>
      <c r="XO22" s="88"/>
      <c r="XP22" s="88"/>
      <c r="XQ22" s="88"/>
      <c r="XR22" s="88"/>
      <c r="XS22" s="88"/>
      <c r="XT22" s="88"/>
      <c r="XU22" s="88"/>
      <c r="XV22" s="88"/>
      <c r="XW22" s="88"/>
      <c r="XX22" s="88"/>
      <c r="XY22" s="88"/>
      <c r="XZ22" s="88"/>
      <c r="YA22" s="88"/>
      <c r="YB22" s="88"/>
      <c r="YC22" s="88"/>
      <c r="YD22" s="88"/>
      <c r="YE22" s="88"/>
      <c r="YF22" s="88"/>
      <c r="YG22" s="88"/>
      <c r="YH22" s="88"/>
      <c r="YI22" s="88"/>
      <c r="YJ22" s="88"/>
      <c r="YK22" s="88"/>
      <c r="YL22" s="88"/>
      <c r="YM22" s="88"/>
      <c r="YN22" s="88"/>
      <c r="YO22" s="88"/>
      <c r="YP22" s="88"/>
      <c r="YQ22" s="88"/>
      <c r="YR22" s="88"/>
      <c r="YS22" s="88"/>
      <c r="YT22" s="88"/>
      <c r="YU22" s="88"/>
      <c r="YV22" s="88"/>
      <c r="YW22" s="88"/>
      <c r="YX22" s="88"/>
      <c r="YY22" s="88"/>
      <c r="YZ22" s="88"/>
      <c r="ZA22" s="88"/>
      <c r="ZB22" s="88"/>
      <c r="ZC22" s="88"/>
      <c r="ZD22" s="88"/>
      <c r="ZE22" s="88"/>
      <c r="ZF22" s="88"/>
      <c r="ZG22" s="88"/>
      <c r="ZH22" s="88"/>
      <c r="ZI22" s="88"/>
      <c r="ZJ22" s="88"/>
      <c r="ZK22" s="88"/>
      <c r="ZL22" s="88"/>
      <c r="ZM22" s="88"/>
      <c r="ZN22" s="88"/>
      <c r="ZO22" s="88"/>
      <c r="ZP22" s="88"/>
      <c r="ZQ22" s="88"/>
      <c r="ZR22" s="88"/>
      <c r="ZS22" s="88"/>
      <c r="ZT22" s="88"/>
      <c r="ZU22" s="88"/>
      <c r="ZV22" s="88"/>
      <c r="ZW22" s="88"/>
      <c r="ZX22" s="88"/>
      <c r="ZY22" s="88"/>
      <c r="ZZ22" s="88"/>
      <c r="AAA22" s="88"/>
      <c r="AAB22" s="88"/>
      <c r="AAC22" s="88"/>
      <c r="AAD22" s="88"/>
      <c r="AAE22" s="88"/>
      <c r="AAF22" s="88"/>
      <c r="AAG22" s="88"/>
      <c r="AAH22" s="88"/>
      <c r="AAI22" s="88"/>
      <c r="AAJ22" s="88"/>
      <c r="AAK22" s="88"/>
      <c r="AAL22" s="88"/>
      <c r="AAM22" s="88"/>
      <c r="AAN22" s="88"/>
      <c r="AAO22" s="88"/>
      <c r="AAP22" s="88"/>
      <c r="AAQ22" s="88"/>
      <c r="AAR22" s="88"/>
      <c r="AAS22" s="88"/>
      <c r="AAT22" s="88"/>
      <c r="AAU22" s="88"/>
      <c r="AAV22" s="88"/>
      <c r="AAW22" s="88"/>
      <c r="AAX22" s="88"/>
      <c r="AAY22" s="88"/>
      <c r="AAZ22" s="88"/>
      <c r="ABA22" s="88"/>
      <c r="ABB22" s="88"/>
      <c r="ABC22" s="88"/>
      <c r="ABD22" s="88"/>
      <c r="ABE22" s="88"/>
      <c r="ABF22" s="88"/>
      <c r="ABG22" s="88"/>
      <c r="ABH22" s="88"/>
      <c r="ABI22" s="88"/>
      <c r="ABJ22" s="88"/>
      <c r="ABK22" s="88"/>
      <c r="ABL22" s="88"/>
      <c r="ABM22" s="88"/>
      <c r="ABN22" s="88"/>
      <c r="ABO22" s="88"/>
      <c r="ABP22" s="88"/>
      <c r="ABQ22" s="88"/>
      <c r="ABR22" s="88"/>
      <c r="ABS22" s="88"/>
      <c r="ABT22" s="88"/>
      <c r="ABU22" s="88"/>
      <c r="ABV22" s="88"/>
      <c r="ABW22" s="88"/>
      <c r="ABX22" s="88"/>
      <c r="ABY22" s="88"/>
      <c r="ABZ22" s="88"/>
      <c r="ACA22" s="88"/>
      <c r="ACB22" s="88"/>
      <c r="ACC22" s="88"/>
      <c r="ACD22" s="88"/>
      <c r="ACE22" s="88"/>
      <c r="ACF22" s="88"/>
      <c r="ACG22" s="88"/>
      <c r="ACH22" s="88"/>
      <c r="ACI22" s="88"/>
      <c r="ACJ22" s="88"/>
      <c r="ACK22" s="88"/>
      <c r="ACL22" s="88"/>
      <c r="ACM22" s="88"/>
      <c r="ACN22" s="88"/>
      <c r="ACO22" s="88"/>
      <c r="ACP22" s="88"/>
      <c r="ACQ22" s="88"/>
      <c r="ACR22" s="88"/>
      <c r="ACS22" s="88"/>
      <c r="ACT22" s="88"/>
      <c r="ACU22" s="88"/>
      <c r="ACV22" s="88"/>
      <c r="ACW22" s="88"/>
      <c r="ACX22" s="88"/>
      <c r="ACY22" s="88"/>
      <c r="ACZ22" s="88"/>
      <c r="ADA22" s="88"/>
      <c r="ADB22" s="88"/>
      <c r="ADC22" s="88"/>
      <c r="ADD22" s="88"/>
      <c r="ADE22" s="88"/>
      <c r="ADF22" s="88"/>
      <c r="ADG22" s="88"/>
      <c r="ADH22" s="88"/>
      <c r="ADI22" s="88"/>
      <c r="ADJ22" s="88"/>
      <c r="ADK22" s="88"/>
      <c r="ADL22" s="88"/>
      <c r="ADM22" s="88"/>
      <c r="ADN22" s="88"/>
      <c r="ADO22" s="88"/>
      <c r="ADP22" s="88"/>
      <c r="ADQ22" s="88"/>
      <c r="ADR22" s="88"/>
      <c r="ADS22" s="88"/>
      <c r="ADT22" s="88"/>
      <c r="ADU22" s="88"/>
      <c r="ADV22" s="88"/>
      <c r="ADW22" s="88"/>
      <c r="ADX22" s="88"/>
      <c r="ADY22" s="88"/>
      <c r="ADZ22" s="88"/>
      <c r="AEA22" s="88"/>
      <c r="AEB22" s="88"/>
      <c r="AEC22" s="88"/>
      <c r="AED22" s="88"/>
      <c r="AEE22" s="88"/>
      <c r="AEF22" s="88"/>
      <c r="AEG22" s="88"/>
      <c r="AEH22" s="88"/>
      <c r="AEI22" s="88"/>
      <c r="AEJ22" s="88"/>
      <c r="AEK22" s="88"/>
      <c r="AEL22" s="88"/>
      <c r="AEM22" s="88"/>
      <c r="AEN22" s="88"/>
      <c r="AEO22" s="88"/>
      <c r="AEP22" s="88"/>
      <c r="AEQ22" s="88"/>
      <c r="AER22" s="88"/>
      <c r="AES22" s="88"/>
      <c r="AET22" s="88"/>
      <c r="AEU22" s="88"/>
      <c r="AEV22" s="88"/>
      <c r="AEW22" s="88"/>
      <c r="AEX22" s="88"/>
      <c r="AEY22" s="88"/>
      <c r="AEZ22" s="88"/>
      <c r="AFA22" s="88"/>
      <c r="AFB22" s="88"/>
      <c r="AFC22" s="88"/>
      <c r="AFD22" s="88"/>
      <c r="AFE22" s="88"/>
      <c r="AFF22" s="88"/>
      <c r="AFG22" s="88"/>
      <c r="AFH22" s="88"/>
      <c r="AFI22" s="88"/>
      <c r="AFJ22" s="88"/>
      <c r="AFK22" s="88"/>
      <c r="AFL22" s="88"/>
      <c r="AFM22" s="88"/>
      <c r="AFN22" s="88"/>
      <c r="AFO22" s="88"/>
      <c r="AFP22" s="88"/>
      <c r="AFQ22" s="88"/>
      <c r="AFR22" s="88"/>
      <c r="AFS22" s="88"/>
      <c r="AFT22" s="88"/>
      <c r="AFU22" s="88"/>
      <c r="AFV22" s="88"/>
      <c r="AFW22" s="88"/>
      <c r="AFX22" s="88"/>
      <c r="AFY22" s="88"/>
      <c r="AFZ22" s="88"/>
      <c r="AGA22" s="88"/>
      <c r="AGB22" s="88"/>
      <c r="AGC22" s="88"/>
      <c r="AGD22" s="88"/>
      <c r="AGE22" s="88"/>
      <c r="AGF22" s="88"/>
      <c r="AGG22" s="88"/>
      <c r="AGH22" s="88"/>
      <c r="AGI22" s="88"/>
      <c r="AGJ22" s="88"/>
      <c r="AGK22" s="88"/>
      <c r="AGL22" s="88"/>
      <c r="AGM22" s="88"/>
      <c r="AGN22" s="88"/>
      <c r="AGO22" s="88"/>
      <c r="AGP22" s="88"/>
      <c r="AGQ22" s="88"/>
      <c r="AGR22" s="88"/>
      <c r="AGS22" s="88"/>
      <c r="AGT22" s="88"/>
      <c r="AGU22" s="88"/>
      <c r="AGV22" s="88"/>
      <c r="AGW22" s="88"/>
      <c r="AGX22" s="88"/>
      <c r="AGY22" s="88"/>
      <c r="AGZ22" s="88"/>
      <c r="AHA22" s="88"/>
      <c r="AHB22" s="88"/>
      <c r="AHC22" s="88"/>
      <c r="AHD22" s="88"/>
      <c r="AHE22" s="88"/>
      <c r="AHF22" s="88"/>
      <c r="AHG22" s="88"/>
      <c r="AHH22" s="88"/>
      <c r="AHI22" s="88"/>
      <c r="AHJ22" s="88"/>
      <c r="AHK22" s="88"/>
      <c r="AHL22" s="88"/>
      <c r="AHM22" s="88"/>
      <c r="AHN22" s="88"/>
      <c r="AHO22" s="88"/>
      <c r="AHP22" s="88"/>
      <c r="AHQ22" s="88"/>
      <c r="AHR22" s="88"/>
      <c r="AHS22" s="88"/>
      <c r="AHT22" s="88"/>
      <c r="AHU22" s="88"/>
      <c r="AHV22" s="88"/>
      <c r="AHW22" s="88"/>
      <c r="AHX22" s="88"/>
      <c r="AHY22" s="88"/>
      <c r="AHZ22" s="88"/>
      <c r="AIA22" s="88"/>
      <c r="AIB22" s="88"/>
      <c r="AIC22" s="88"/>
      <c r="AID22" s="88"/>
      <c r="AIE22" s="88"/>
      <c r="AIF22" s="88"/>
      <c r="AIG22" s="88"/>
      <c r="AIH22" s="88"/>
      <c r="AII22" s="88"/>
      <c r="AIJ22" s="88"/>
      <c r="AIK22" s="88"/>
      <c r="AIL22" s="88"/>
      <c r="AIM22" s="88"/>
      <c r="AIN22" s="88"/>
      <c r="AIO22" s="88"/>
      <c r="AIP22" s="88"/>
      <c r="AIQ22" s="88"/>
      <c r="AIR22" s="88"/>
      <c r="AIS22" s="88"/>
      <c r="AIT22" s="88"/>
      <c r="AIU22" s="88"/>
      <c r="AIV22" s="88"/>
      <c r="AIW22" s="88"/>
      <c r="AIX22" s="88"/>
      <c r="AIY22" s="88"/>
      <c r="AIZ22" s="88"/>
      <c r="AJA22" s="88"/>
      <c r="AJB22" s="88"/>
      <c r="AJC22" s="88"/>
      <c r="AJD22" s="88"/>
      <c r="AJE22" s="88"/>
      <c r="AJF22" s="88"/>
      <c r="AJG22" s="88"/>
      <c r="AJH22" s="88"/>
      <c r="AJI22" s="88"/>
      <c r="AJJ22" s="88"/>
      <c r="AJK22" s="88"/>
      <c r="AJL22" s="88"/>
      <c r="AJM22" s="88"/>
      <c r="AJN22" s="88"/>
      <c r="AJO22" s="88"/>
      <c r="AJP22" s="88"/>
      <c r="AJQ22" s="88"/>
      <c r="AJR22" s="88"/>
      <c r="AJS22" s="88"/>
      <c r="AJT22" s="88"/>
      <c r="AJU22" s="88"/>
      <c r="AJV22" s="88"/>
      <c r="AJW22" s="88"/>
      <c r="AJX22" s="88"/>
      <c r="AJY22" s="88"/>
      <c r="AJZ22" s="88"/>
      <c r="AKA22" s="88"/>
      <c r="AKB22" s="88"/>
      <c r="AKC22" s="88"/>
      <c r="AKD22" s="88"/>
      <c r="AKE22" s="88"/>
      <c r="AKF22" s="88"/>
      <c r="AKG22" s="88"/>
      <c r="AKH22" s="88"/>
      <c r="AKI22" s="88"/>
      <c r="AKJ22" s="88"/>
      <c r="AKK22" s="88"/>
      <c r="AKL22" s="88"/>
      <c r="AKM22" s="88"/>
      <c r="AKN22" s="88"/>
      <c r="AKO22" s="88"/>
      <c r="AKP22" s="88"/>
      <c r="AKQ22" s="88"/>
      <c r="AKR22" s="88"/>
      <c r="AKS22" s="88"/>
      <c r="AKT22" s="88"/>
      <c r="AKU22" s="88"/>
      <c r="AKV22" s="88"/>
      <c r="AKW22" s="88"/>
      <c r="AKX22" s="88"/>
      <c r="AKY22" s="88"/>
      <c r="AKZ22" s="88"/>
      <c r="ALA22" s="88"/>
      <c r="ALB22" s="88"/>
      <c r="ALC22" s="88"/>
      <c r="ALD22" s="88"/>
      <c r="ALE22" s="88"/>
      <c r="ALF22" s="88"/>
      <c r="ALG22" s="88"/>
      <c r="ALH22" s="88"/>
      <c r="ALI22" s="88"/>
      <c r="ALJ22" s="88"/>
      <c r="ALK22" s="88"/>
      <c r="ALL22" s="88"/>
      <c r="ALM22" s="88"/>
      <c r="ALN22" s="88"/>
      <c r="ALO22" s="88"/>
      <c r="ALP22" s="88"/>
      <c r="ALQ22" s="88"/>
      <c r="ALR22" s="88"/>
      <c r="ALS22" s="88"/>
      <c r="ALT22" s="88"/>
      <c r="ALU22" s="88"/>
      <c r="ALV22" s="88"/>
      <c r="ALW22" s="88"/>
      <c r="ALX22" s="88"/>
      <c r="ALY22" s="88"/>
      <c r="ALZ22" s="88"/>
      <c r="AMA22" s="88"/>
      <c r="AMB22" s="88"/>
      <c r="AMC22" s="88"/>
      <c r="AMD22" s="88"/>
      <c r="AME22" s="88"/>
      <c r="AMF22" s="88"/>
      <c r="AMG22" s="88"/>
      <c r="AMH22" s="88"/>
      <c r="AMI22" s="88"/>
      <c r="AMJ22" s="88"/>
      <c r="AMK22" s="88"/>
      <c r="AML22" s="88"/>
      <c r="AMM22" s="88"/>
      <c r="AMN22" s="88"/>
      <c r="AMO22" s="88"/>
      <c r="AMP22" s="88"/>
      <c r="AMQ22" s="88"/>
      <c r="AMR22" s="88"/>
      <c r="AMS22" s="88"/>
      <c r="AMT22" s="88"/>
      <c r="AMU22" s="88"/>
      <c r="AMV22" s="88"/>
      <c r="AMW22" s="88"/>
      <c r="AMX22" s="88"/>
      <c r="AMY22" s="88"/>
      <c r="AMZ22" s="88"/>
      <c r="ANA22" s="88"/>
      <c r="ANB22" s="88"/>
      <c r="ANC22" s="88"/>
      <c r="AND22" s="88"/>
      <c r="ANE22" s="88"/>
      <c r="ANF22" s="88"/>
      <c r="ANG22" s="88"/>
      <c r="ANH22" s="88"/>
      <c r="ANI22" s="88"/>
      <c r="ANJ22" s="88"/>
      <c r="ANK22" s="88"/>
      <c r="ANL22" s="88"/>
      <c r="ANM22" s="88"/>
      <c r="ANN22" s="88"/>
      <c r="ANO22" s="88"/>
      <c r="ANP22" s="88"/>
      <c r="ANQ22" s="88"/>
      <c r="ANR22" s="88"/>
      <c r="ANS22" s="88"/>
      <c r="ANT22" s="88"/>
      <c r="ANU22" s="88"/>
      <c r="ANV22" s="88"/>
      <c r="ANW22" s="88"/>
      <c r="ANX22" s="88"/>
      <c r="ANY22" s="88"/>
      <c r="ANZ22" s="88"/>
      <c r="AOA22" s="88"/>
      <c r="AOB22" s="88"/>
      <c r="AOC22" s="88"/>
      <c r="AOD22" s="88"/>
      <c r="AOE22" s="88"/>
      <c r="AOF22" s="88"/>
      <c r="AOG22" s="88"/>
      <c r="AOH22" s="88"/>
      <c r="AOI22" s="88"/>
      <c r="AOJ22" s="88"/>
      <c r="AOK22" s="88"/>
      <c r="AOL22" s="88"/>
      <c r="AOM22" s="88"/>
      <c r="AON22" s="88"/>
      <c r="AOO22" s="88"/>
      <c r="AOP22" s="88"/>
      <c r="AOQ22" s="88"/>
      <c r="AOR22" s="88"/>
      <c r="AOS22" s="88"/>
      <c r="AOT22" s="88"/>
      <c r="AOU22" s="88"/>
      <c r="AOV22" s="88"/>
      <c r="AOW22" s="88"/>
      <c r="AOX22" s="88"/>
      <c r="AOY22" s="88"/>
      <c r="AOZ22" s="88"/>
      <c r="APA22" s="88"/>
      <c r="APB22" s="88"/>
      <c r="APC22" s="88"/>
      <c r="APD22" s="88"/>
      <c r="APE22" s="88"/>
      <c r="APF22" s="88"/>
      <c r="APG22" s="88"/>
      <c r="APH22" s="88"/>
      <c r="API22" s="88"/>
      <c r="APJ22" s="88"/>
      <c r="APK22" s="88"/>
      <c r="APL22" s="88"/>
      <c r="APM22" s="88"/>
      <c r="APN22" s="88"/>
      <c r="APO22" s="88"/>
      <c r="APP22" s="88"/>
      <c r="APQ22" s="88"/>
      <c r="APR22" s="88"/>
      <c r="APS22" s="88"/>
      <c r="APT22" s="88"/>
      <c r="APU22" s="88"/>
      <c r="APV22" s="88"/>
      <c r="APW22" s="88"/>
      <c r="APX22" s="88"/>
      <c r="APY22" s="88"/>
      <c r="APZ22" s="88"/>
      <c r="AQA22" s="88"/>
      <c r="AQB22" s="88"/>
      <c r="AQC22" s="88"/>
      <c r="AQD22" s="88"/>
      <c r="AQE22" s="88"/>
      <c r="AQF22" s="88"/>
      <c r="AQG22" s="88"/>
      <c r="AQH22" s="88"/>
      <c r="AQI22" s="88"/>
      <c r="AQJ22" s="88"/>
      <c r="AQK22" s="88"/>
      <c r="AQL22" s="88"/>
      <c r="AQM22" s="88"/>
      <c r="AQN22" s="88"/>
      <c r="AQO22" s="88"/>
      <c r="AQP22" s="88"/>
      <c r="AQQ22" s="88"/>
      <c r="AQR22" s="88"/>
      <c r="AQS22" s="88"/>
      <c r="AQT22" s="88"/>
      <c r="AQU22" s="88"/>
      <c r="AQV22" s="88"/>
      <c r="AQW22" s="88"/>
      <c r="AQX22" s="88"/>
      <c r="AQY22" s="88"/>
      <c r="AQZ22" s="88"/>
      <c r="ARA22" s="88"/>
      <c r="ARB22" s="88"/>
      <c r="ARC22" s="88"/>
      <c r="ARD22" s="88"/>
      <c r="ARE22" s="88"/>
      <c r="ARF22" s="88"/>
      <c r="ARG22" s="88"/>
      <c r="ARH22" s="88"/>
      <c r="ARI22" s="88"/>
      <c r="ARJ22" s="88"/>
      <c r="ARK22" s="88"/>
      <c r="ARL22" s="88"/>
      <c r="ARM22" s="88"/>
      <c r="ARN22" s="88"/>
      <c r="ARO22" s="88"/>
      <c r="ARP22" s="88"/>
      <c r="ARQ22" s="88"/>
      <c r="ARR22" s="88"/>
      <c r="ARS22" s="88"/>
      <c r="ART22" s="88"/>
      <c r="ARU22" s="88"/>
      <c r="ARV22" s="88"/>
      <c r="ARW22" s="88"/>
      <c r="ARX22" s="88"/>
      <c r="ARY22" s="88"/>
      <c r="ARZ22" s="88"/>
      <c r="ASA22" s="88"/>
      <c r="ASB22" s="88"/>
      <c r="ASC22" s="88"/>
      <c r="ASD22" s="88"/>
      <c r="ASE22" s="88"/>
      <c r="ASF22" s="88"/>
      <c r="ASG22" s="88"/>
      <c r="ASH22" s="88"/>
      <c r="ASI22" s="88"/>
      <c r="ASJ22" s="88"/>
      <c r="ASK22" s="88"/>
      <c r="ASL22" s="88"/>
      <c r="ASM22" s="88"/>
      <c r="ASN22" s="88"/>
      <c r="ASO22" s="88"/>
      <c r="ASP22" s="88"/>
      <c r="ASQ22" s="88"/>
      <c r="ASR22" s="88"/>
      <c r="ASS22" s="88"/>
      <c r="AST22" s="88"/>
      <c r="ASU22" s="88"/>
      <c r="ASV22" s="88"/>
      <c r="ASW22" s="88"/>
      <c r="ASX22" s="88"/>
      <c r="ASY22" s="88"/>
      <c r="ASZ22" s="88"/>
      <c r="ATA22" s="88"/>
      <c r="ATB22" s="88"/>
      <c r="ATC22" s="88"/>
      <c r="ATD22" s="88"/>
      <c r="ATE22" s="88"/>
      <c r="ATF22" s="88"/>
      <c r="ATG22" s="88"/>
      <c r="ATH22" s="88"/>
      <c r="ATI22" s="88"/>
      <c r="ATJ22" s="88"/>
      <c r="ATK22" s="88"/>
      <c r="ATL22" s="88"/>
      <c r="ATM22" s="88"/>
      <c r="ATN22" s="88"/>
      <c r="ATO22" s="88"/>
      <c r="ATP22" s="88"/>
      <c r="ATQ22" s="88"/>
      <c r="ATR22" s="88"/>
      <c r="ATS22" s="88"/>
      <c r="ATT22" s="88"/>
      <c r="ATU22" s="88"/>
      <c r="ATV22" s="88"/>
      <c r="ATW22" s="88"/>
      <c r="ATX22" s="88"/>
      <c r="ATY22" s="88"/>
      <c r="ATZ22" s="88"/>
      <c r="AUA22" s="88"/>
      <c r="AUB22" s="88"/>
      <c r="AUC22" s="88"/>
      <c r="AUD22" s="88"/>
      <c r="AUE22" s="88"/>
      <c r="AUF22" s="88"/>
      <c r="AUG22" s="88"/>
      <c r="AUH22" s="88"/>
      <c r="AUI22" s="88"/>
      <c r="AUJ22" s="88"/>
      <c r="AUK22" s="88"/>
      <c r="AUL22" s="88"/>
      <c r="AUM22" s="88"/>
      <c r="AUN22" s="88"/>
      <c r="AUO22" s="88"/>
      <c r="AUP22" s="88"/>
      <c r="AUQ22" s="88"/>
      <c r="AUR22" s="88"/>
      <c r="AUS22" s="88"/>
      <c r="AUT22" s="88"/>
      <c r="AUU22" s="88"/>
      <c r="AUV22" s="88"/>
      <c r="AUW22" s="88"/>
      <c r="AUX22" s="88"/>
      <c r="AUY22" s="88"/>
      <c r="AUZ22" s="88"/>
      <c r="AVA22" s="88"/>
      <c r="AVB22" s="88"/>
      <c r="AVC22" s="88"/>
      <c r="AVD22" s="88"/>
      <c r="AVE22" s="88"/>
      <c r="AVF22" s="88"/>
      <c r="AVG22" s="88"/>
      <c r="AVH22" s="88"/>
      <c r="AVI22" s="88"/>
      <c r="AVJ22" s="88"/>
      <c r="AVK22" s="88"/>
      <c r="AVL22" s="88"/>
      <c r="AVM22" s="88"/>
      <c r="AVN22" s="88"/>
      <c r="AVO22" s="88"/>
      <c r="AVP22" s="88"/>
      <c r="AVQ22" s="88"/>
      <c r="AVR22" s="88"/>
      <c r="AVS22" s="88"/>
      <c r="AVT22" s="88"/>
      <c r="AVU22" s="88"/>
      <c r="AVV22" s="88"/>
      <c r="AVW22" s="88"/>
      <c r="AVX22" s="88"/>
      <c r="AVY22" s="88"/>
      <c r="AVZ22" s="88"/>
      <c r="AWA22" s="88"/>
      <c r="AWB22" s="88"/>
      <c r="AWC22" s="88"/>
      <c r="AWD22" s="88"/>
      <c r="AWE22" s="88"/>
      <c r="AWF22" s="88"/>
      <c r="AWG22" s="88"/>
      <c r="AWH22" s="88"/>
      <c r="AWI22" s="88"/>
      <c r="AWJ22" s="88"/>
      <c r="AWK22" s="88"/>
      <c r="AWL22" s="88"/>
      <c r="AWM22" s="88"/>
      <c r="AWN22" s="88"/>
      <c r="AWO22" s="88"/>
      <c r="AWP22" s="88"/>
      <c r="AWQ22" s="88"/>
      <c r="AWR22" s="88"/>
      <c r="AWS22" s="88"/>
      <c r="AWT22" s="88"/>
      <c r="AWU22" s="88"/>
      <c r="AWV22" s="88"/>
      <c r="AWW22" s="88"/>
      <c r="AWX22" s="88"/>
      <c r="AWY22" s="88"/>
      <c r="AWZ22" s="88"/>
      <c r="AXA22" s="88"/>
      <c r="AXB22" s="88"/>
      <c r="AXC22" s="88"/>
      <c r="AXD22" s="88"/>
      <c r="AXE22" s="88"/>
      <c r="AXF22" s="88"/>
      <c r="AXG22" s="88"/>
      <c r="AXH22" s="88"/>
      <c r="AXI22" s="88"/>
      <c r="AXJ22" s="88"/>
      <c r="AXK22" s="88"/>
      <c r="AXL22" s="88"/>
      <c r="AXM22" s="88"/>
      <c r="AXN22" s="88"/>
      <c r="AXO22" s="88"/>
      <c r="AXP22" s="88"/>
      <c r="AXQ22" s="88"/>
      <c r="AXR22" s="88"/>
      <c r="AXS22" s="88"/>
      <c r="AXT22" s="88"/>
      <c r="AXU22" s="88"/>
      <c r="AXV22" s="88"/>
      <c r="AXW22" s="88"/>
      <c r="AXX22" s="88"/>
      <c r="AXY22" s="88"/>
      <c r="AXZ22" s="88"/>
      <c r="AYA22" s="88"/>
      <c r="AYB22" s="88"/>
      <c r="AYC22" s="88"/>
      <c r="AYD22" s="88"/>
      <c r="AYE22" s="88"/>
      <c r="AYF22" s="88"/>
      <c r="AYG22" s="88"/>
      <c r="AYH22" s="88"/>
      <c r="AYI22" s="88"/>
      <c r="AYJ22" s="88"/>
      <c r="AYK22" s="88"/>
      <c r="AYL22" s="88"/>
      <c r="AYM22" s="88"/>
      <c r="AYN22" s="88"/>
      <c r="AYO22" s="88"/>
      <c r="AYP22" s="88"/>
      <c r="AYQ22" s="88"/>
      <c r="AYR22" s="88"/>
      <c r="AYS22" s="88"/>
      <c r="AYT22" s="88"/>
      <c r="AYU22" s="88"/>
      <c r="AYV22" s="88"/>
      <c r="AYW22" s="88"/>
      <c r="AYX22" s="88"/>
      <c r="AYY22" s="88"/>
      <c r="AYZ22" s="88"/>
      <c r="AZA22" s="88"/>
      <c r="AZB22" s="88"/>
      <c r="AZC22" s="88"/>
      <c r="AZD22" s="88"/>
      <c r="AZE22" s="88"/>
      <c r="AZF22" s="88"/>
      <c r="AZG22" s="88"/>
      <c r="AZH22" s="88"/>
      <c r="AZI22" s="88"/>
      <c r="AZJ22" s="88"/>
      <c r="AZK22" s="88"/>
      <c r="AZL22" s="88"/>
      <c r="AZM22" s="88"/>
      <c r="AZN22" s="88"/>
      <c r="AZO22" s="88"/>
      <c r="AZP22" s="88"/>
      <c r="AZQ22" s="88"/>
      <c r="AZR22" s="88"/>
      <c r="AZS22" s="88"/>
      <c r="AZT22" s="88"/>
      <c r="AZU22" s="88"/>
      <c r="AZV22" s="88"/>
      <c r="AZW22" s="88"/>
      <c r="AZX22" s="88"/>
      <c r="AZY22" s="88"/>
      <c r="AZZ22" s="88"/>
      <c r="BAA22" s="88"/>
      <c r="BAB22" s="88"/>
      <c r="BAC22" s="88"/>
      <c r="BAD22" s="88"/>
      <c r="BAE22" s="88"/>
      <c r="BAF22" s="88"/>
      <c r="BAG22" s="88"/>
      <c r="BAH22" s="88"/>
      <c r="BAI22" s="88"/>
      <c r="BAJ22" s="88"/>
      <c r="BAK22" s="88"/>
      <c r="BAL22" s="88"/>
      <c r="BAM22" s="88"/>
      <c r="BAN22" s="88"/>
      <c r="BAO22" s="88"/>
      <c r="BAP22" s="88"/>
      <c r="BAQ22" s="88"/>
      <c r="BAR22" s="88"/>
      <c r="BAS22" s="88"/>
      <c r="BAT22" s="88"/>
      <c r="BAU22" s="88"/>
      <c r="BAV22" s="88"/>
      <c r="BAW22" s="88"/>
      <c r="BAX22" s="88"/>
      <c r="BAY22" s="88"/>
      <c r="BAZ22" s="88"/>
      <c r="BBA22" s="88"/>
      <c r="BBB22" s="88"/>
      <c r="BBC22" s="88"/>
      <c r="BBD22" s="88"/>
      <c r="BBE22" s="88"/>
      <c r="BBF22" s="88"/>
      <c r="BBG22" s="88"/>
      <c r="BBH22" s="88"/>
      <c r="BBI22" s="88"/>
      <c r="BBJ22" s="88"/>
      <c r="BBK22" s="88"/>
      <c r="BBL22" s="88"/>
      <c r="BBM22" s="88"/>
      <c r="BBN22" s="88"/>
      <c r="BBO22" s="88"/>
      <c r="BBP22" s="88"/>
      <c r="BBQ22" s="88"/>
      <c r="BBR22" s="88"/>
      <c r="BBS22" s="88"/>
      <c r="BBT22" s="88"/>
      <c r="BBU22" s="88"/>
      <c r="BBV22" s="88"/>
      <c r="BBW22" s="88"/>
      <c r="BBX22" s="88"/>
      <c r="BBY22" s="88"/>
      <c r="BBZ22" s="88"/>
      <c r="BCA22" s="88"/>
      <c r="BCB22" s="88"/>
      <c r="BCC22" s="88"/>
      <c r="BCD22" s="88"/>
      <c r="BCE22" s="88"/>
      <c r="BCF22" s="88"/>
      <c r="BCG22" s="88"/>
      <c r="BCH22" s="88"/>
      <c r="BCI22" s="88"/>
      <c r="BCJ22" s="88"/>
      <c r="BCK22" s="88"/>
      <c r="BCL22" s="88"/>
      <c r="BCM22" s="88"/>
      <c r="BCN22" s="88"/>
      <c r="BCO22" s="88"/>
      <c r="BCP22" s="88"/>
      <c r="BCQ22" s="88"/>
      <c r="BCR22" s="88"/>
      <c r="BCS22" s="88"/>
      <c r="BCT22" s="88"/>
      <c r="BCU22" s="88"/>
      <c r="BCV22" s="88"/>
      <c r="BCW22" s="88"/>
      <c r="BCX22" s="88"/>
      <c r="BCY22" s="88"/>
      <c r="BCZ22" s="88"/>
      <c r="BDA22" s="88"/>
      <c r="BDB22" s="88"/>
      <c r="BDC22" s="88"/>
      <c r="BDD22" s="88"/>
      <c r="BDE22" s="88"/>
      <c r="BDF22" s="88"/>
      <c r="BDG22" s="88"/>
      <c r="BDH22" s="88"/>
      <c r="BDI22" s="88"/>
      <c r="BDJ22" s="88"/>
      <c r="BDK22" s="88"/>
      <c r="BDL22" s="88"/>
      <c r="BDM22" s="88"/>
      <c r="BDN22" s="88"/>
      <c r="BDO22" s="88"/>
      <c r="BDP22" s="88"/>
      <c r="BDQ22" s="88"/>
      <c r="BDR22" s="88"/>
      <c r="BDS22" s="88"/>
      <c r="BDT22" s="88"/>
      <c r="BDU22" s="88"/>
      <c r="BDV22" s="88"/>
      <c r="BDW22" s="88"/>
      <c r="BDX22" s="88"/>
      <c r="BDY22" s="88"/>
      <c r="BDZ22" s="88"/>
      <c r="BEA22" s="88"/>
      <c r="BEB22" s="88"/>
      <c r="BEC22" s="88"/>
      <c r="BED22" s="88"/>
      <c r="BEE22" s="88"/>
      <c r="BEF22" s="88"/>
      <c r="BEG22" s="88"/>
      <c r="BEH22" s="88"/>
      <c r="BEI22" s="88"/>
      <c r="BEJ22" s="88"/>
      <c r="BEK22" s="88"/>
      <c r="BEL22" s="88"/>
      <c r="BEM22" s="88"/>
      <c r="BEN22" s="88"/>
      <c r="BEO22" s="88"/>
      <c r="BEP22" s="88"/>
      <c r="BEQ22" s="88"/>
      <c r="BER22" s="88"/>
      <c r="BES22" s="88"/>
      <c r="BET22" s="88"/>
      <c r="BEU22" s="88"/>
      <c r="BEV22" s="88"/>
      <c r="BEW22" s="88"/>
      <c r="BEX22" s="88"/>
      <c r="BEY22" s="88"/>
      <c r="BEZ22" s="88"/>
      <c r="BFA22" s="88"/>
      <c r="BFB22" s="88"/>
      <c r="BFC22" s="88"/>
      <c r="BFD22" s="88"/>
      <c r="BFE22" s="88"/>
      <c r="BFF22" s="88"/>
      <c r="BFG22" s="88"/>
      <c r="BFH22" s="88"/>
      <c r="BFI22" s="88"/>
      <c r="BFJ22" s="88"/>
      <c r="BFK22" s="88"/>
      <c r="BFL22" s="88"/>
      <c r="BFM22" s="88"/>
      <c r="BFN22" s="88"/>
      <c r="BFO22" s="88"/>
      <c r="BFP22" s="88"/>
      <c r="BFQ22" s="88"/>
      <c r="BFR22" s="88"/>
      <c r="BFS22" s="88"/>
      <c r="BFT22" s="88"/>
      <c r="BFU22" s="88"/>
      <c r="BFV22" s="88"/>
      <c r="BFW22" s="88"/>
      <c r="BFX22" s="88"/>
      <c r="BFY22" s="88"/>
      <c r="BFZ22" s="88"/>
      <c r="BGA22" s="88"/>
      <c r="BGB22" s="88"/>
      <c r="BGC22" s="88"/>
      <c r="BGD22" s="88"/>
      <c r="BGE22" s="88"/>
      <c r="BGF22" s="88"/>
      <c r="BGG22" s="88"/>
      <c r="BGH22" s="88"/>
      <c r="BGI22" s="88"/>
      <c r="BGJ22" s="88"/>
      <c r="BGK22" s="88"/>
      <c r="BGL22" s="88"/>
      <c r="BGM22" s="88"/>
      <c r="BGN22" s="88"/>
      <c r="BGO22" s="88"/>
      <c r="BGP22" s="88"/>
      <c r="BGQ22" s="88"/>
      <c r="BGR22" s="88"/>
      <c r="BGS22" s="88"/>
      <c r="BGT22" s="88"/>
      <c r="BGU22" s="88"/>
      <c r="BGV22" s="88"/>
      <c r="BGW22" s="88"/>
      <c r="BGX22" s="88"/>
      <c r="BGY22" s="88"/>
      <c r="BGZ22" s="88"/>
      <c r="BHA22" s="88"/>
      <c r="BHB22" s="88"/>
      <c r="BHC22" s="88"/>
      <c r="BHD22" s="88"/>
      <c r="BHE22" s="88"/>
      <c r="BHF22" s="88"/>
      <c r="BHG22" s="88"/>
      <c r="BHH22" s="88"/>
      <c r="BHI22" s="88"/>
      <c r="BHJ22" s="88"/>
      <c r="BHK22" s="88"/>
      <c r="BHL22" s="88"/>
      <c r="BHM22" s="88"/>
      <c r="BHN22" s="88"/>
      <c r="BHO22" s="88"/>
      <c r="BHP22" s="88"/>
      <c r="BHQ22" s="88"/>
      <c r="BHR22" s="88"/>
      <c r="BHS22" s="88"/>
      <c r="BHT22" s="88"/>
      <c r="BHU22" s="88"/>
      <c r="BHV22" s="88"/>
      <c r="BHW22" s="88"/>
      <c r="BHX22" s="88"/>
      <c r="BHY22" s="88"/>
      <c r="BHZ22" s="88"/>
      <c r="BIA22" s="88"/>
      <c r="BIB22" s="88"/>
      <c r="BIC22" s="88"/>
      <c r="BID22" s="88"/>
      <c r="BIE22" s="88"/>
      <c r="BIF22" s="88"/>
      <c r="BIG22" s="88"/>
      <c r="BIH22" s="88"/>
      <c r="BII22" s="88"/>
      <c r="BIJ22" s="88"/>
      <c r="BIK22" s="88"/>
      <c r="BIL22" s="88"/>
      <c r="BIM22" s="88"/>
      <c r="BIN22" s="88"/>
      <c r="BIO22" s="88"/>
      <c r="BIP22" s="88"/>
      <c r="BIQ22" s="88"/>
      <c r="BIR22" s="88"/>
      <c r="BIS22" s="88"/>
      <c r="BIT22" s="88"/>
      <c r="BIU22" s="88"/>
      <c r="BIV22" s="88"/>
      <c r="BIW22" s="88"/>
      <c r="BIX22" s="88"/>
      <c r="BIY22" s="88"/>
      <c r="BIZ22" s="88"/>
      <c r="BJA22" s="88"/>
      <c r="BJB22" s="88"/>
      <c r="BJC22" s="88"/>
      <c r="BJD22" s="88"/>
      <c r="BJE22" s="88"/>
      <c r="BJF22" s="88"/>
      <c r="BJG22" s="88"/>
      <c r="BJH22" s="88"/>
      <c r="BJI22" s="88"/>
      <c r="BJJ22" s="88"/>
      <c r="BJK22" s="88"/>
      <c r="BJL22" s="88"/>
      <c r="BJM22" s="88"/>
      <c r="BJN22" s="88"/>
      <c r="BJO22" s="88"/>
      <c r="BJP22" s="88"/>
      <c r="BJQ22" s="88"/>
      <c r="BJR22" s="88"/>
      <c r="BJS22" s="88"/>
      <c r="BJT22" s="88"/>
      <c r="BJU22" s="88"/>
      <c r="BJV22" s="88"/>
      <c r="BJW22" s="88"/>
      <c r="BJX22" s="88"/>
      <c r="BJY22" s="88"/>
      <c r="BJZ22" s="88"/>
      <c r="BKA22" s="88"/>
      <c r="BKB22" s="88"/>
      <c r="BKC22" s="88"/>
      <c r="BKD22" s="88"/>
      <c r="BKE22" s="88"/>
      <c r="BKF22" s="88"/>
      <c r="BKG22" s="88"/>
      <c r="BKH22" s="88"/>
      <c r="BKI22" s="88"/>
      <c r="BKJ22" s="88"/>
      <c r="BKK22" s="88"/>
      <c r="BKL22" s="88"/>
      <c r="BKM22" s="88"/>
      <c r="BKN22" s="88"/>
      <c r="BKO22" s="88"/>
      <c r="BKP22" s="88"/>
      <c r="BKQ22" s="88"/>
      <c r="BKR22" s="88"/>
      <c r="BKS22" s="88"/>
      <c r="BKT22" s="88"/>
      <c r="BKU22" s="88"/>
      <c r="BKV22" s="88"/>
      <c r="BKW22" s="88"/>
      <c r="BKX22" s="88"/>
      <c r="BKY22" s="88"/>
      <c r="BKZ22" s="88"/>
      <c r="BLA22" s="88"/>
      <c r="BLB22" s="88"/>
      <c r="BLC22" s="88"/>
      <c r="BLD22" s="88"/>
      <c r="BLE22" s="88"/>
      <c r="BLF22" s="88"/>
      <c r="BLG22" s="88"/>
      <c r="BLH22" s="88"/>
      <c r="BLI22" s="88"/>
      <c r="BLJ22" s="88"/>
      <c r="BLK22" s="88"/>
      <c r="BLL22" s="88"/>
      <c r="BLM22" s="88"/>
      <c r="BLN22" s="88"/>
      <c r="BLO22" s="88"/>
      <c r="BLP22" s="88"/>
      <c r="BLQ22" s="88"/>
      <c r="BLR22" s="88"/>
      <c r="BLS22" s="88"/>
      <c r="BLT22" s="88"/>
      <c r="BLU22" s="88"/>
      <c r="BLV22" s="88"/>
      <c r="BLW22" s="88"/>
      <c r="BLX22" s="88"/>
      <c r="BLY22" s="88"/>
      <c r="BLZ22" s="88"/>
      <c r="BMA22" s="88"/>
      <c r="BMB22" s="88"/>
      <c r="BMC22" s="88"/>
      <c r="BMD22" s="88"/>
      <c r="BME22" s="88"/>
      <c r="BMF22" s="88"/>
      <c r="BMG22" s="88"/>
      <c r="BMH22" s="88"/>
      <c r="BMI22" s="88"/>
      <c r="BMJ22" s="88"/>
      <c r="BMK22" s="88"/>
      <c r="BML22" s="88"/>
      <c r="BMM22" s="88"/>
      <c r="BMN22" s="88"/>
      <c r="BMO22" s="88"/>
      <c r="BMP22" s="88"/>
      <c r="BMQ22" s="88"/>
      <c r="BMR22" s="88"/>
      <c r="BMS22" s="88"/>
      <c r="BMT22" s="88"/>
      <c r="BMU22" s="88"/>
      <c r="BMV22" s="88"/>
      <c r="BMW22" s="88"/>
      <c r="BMX22" s="88"/>
      <c r="BMY22" s="88"/>
      <c r="BMZ22" s="88"/>
      <c r="BNA22" s="88"/>
      <c r="BNB22" s="88"/>
      <c r="BNC22" s="88"/>
      <c r="BND22" s="88"/>
      <c r="BNE22" s="88"/>
      <c r="BNF22" s="88"/>
      <c r="BNG22" s="88"/>
      <c r="BNH22" s="88"/>
      <c r="BNI22" s="88"/>
      <c r="BNJ22" s="88"/>
      <c r="BNK22" s="88"/>
      <c r="BNL22" s="88"/>
      <c r="BNM22" s="88"/>
      <c r="BNN22" s="88"/>
      <c r="BNO22" s="88"/>
      <c r="BNP22" s="88"/>
      <c r="BNQ22" s="88"/>
      <c r="BNR22" s="88"/>
      <c r="BNS22" s="88"/>
      <c r="BNT22" s="88"/>
      <c r="BNU22" s="88"/>
      <c r="BNV22" s="88"/>
      <c r="BNW22" s="88"/>
      <c r="BNX22" s="88"/>
      <c r="BNY22" s="88"/>
      <c r="BNZ22" s="88"/>
      <c r="BOA22" s="88"/>
      <c r="BOB22" s="88"/>
      <c r="BOC22" s="88"/>
      <c r="BOD22" s="88"/>
      <c r="BOE22" s="88"/>
      <c r="BOF22" s="88"/>
      <c r="BOG22" s="88"/>
      <c r="BOH22" s="88"/>
      <c r="BOI22" s="88"/>
      <c r="BOJ22" s="88"/>
      <c r="BOK22" s="88"/>
      <c r="BOL22" s="88"/>
      <c r="BOM22" s="88"/>
      <c r="BON22" s="88"/>
      <c r="BOO22" s="88"/>
      <c r="BOP22" s="88"/>
      <c r="BOQ22" s="88"/>
      <c r="BOR22" s="88"/>
      <c r="BOS22" s="88"/>
      <c r="BOT22" s="88"/>
      <c r="BOU22" s="88"/>
      <c r="BOV22" s="88"/>
      <c r="BOW22" s="88"/>
      <c r="BOX22" s="88"/>
      <c r="BOY22" s="88"/>
      <c r="BOZ22" s="88"/>
      <c r="BPA22" s="88"/>
      <c r="BPB22" s="88"/>
      <c r="BPC22" s="88"/>
      <c r="BPD22" s="88"/>
      <c r="BPE22" s="88"/>
      <c r="BPF22" s="88"/>
      <c r="BPG22" s="88"/>
      <c r="BPH22" s="88"/>
      <c r="BPI22" s="88"/>
      <c r="BPJ22" s="88"/>
      <c r="BPK22" s="88"/>
      <c r="BPL22" s="88"/>
      <c r="BPM22" s="88"/>
      <c r="BPN22" s="88"/>
      <c r="BPO22" s="88"/>
      <c r="BPP22" s="88"/>
      <c r="BPQ22" s="88"/>
      <c r="BPR22" s="88"/>
      <c r="BPS22" s="88"/>
      <c r="BPT22" s="88"/>
      <c r="BPU22" s="88"/>
      <c r="BPV22" s="88"/>
      <c r="BPW22" s="88"/>
      <c r="BPX22" s="88"/>
      <c r="BPY22" s="88"/>
      <c r="BPZ22" s="88"/>
      <c r="BQA22" s="88"/>
      <c r="BQB22" s="88"/>
      <c r="BQC22" s="88"/>
      <c r="BQD22" s="88"/>
      <c r="BQE22" s="88"/>
      <c r="BQF22" s="88"/>
      <c r="BQG22" s="88"/>
      <c r="BQH22" s="88"/>
      <c r="BQI22" s="88"/>
      <c r="BQJ22" s="88"/>
      <c r="BQK22" s="88"/>
      <c r="BQL22" s="88"/>
      <c r="BQM22" s="88"/>
      <c r="BQN22" s="88"/>
      <c r="BQO22" s="88"/>
      <c r="BQP22" s="88"/>
      <c r="BQQ22" s="88"/>
      <c r="BQR22" s="88"/>
      <c r="BQS22" s="88"/>
      <c r="BQT22" s="88"/>
      <c r="BQU22" s="88"/>
      <c r="BQV22" s="88"/>
      <c r="BQW22" s="88"/>
      <c r="BQX22" s="88"/>
      <c r="BQY22" s="88"/>
      <c r="BQZ22" s="88"/>
      <c r="BRA22" s="88"/>
      <c r="BRB22" s="88"/>
      <c r="BRC22" s="88"/>
      <c r="BRD22" s="88"/>
      <c r="BRE22" s="88"/>
      <c r="BRF22" s="88"/>
      <c r="BRG22" s="88"/>
      <c r="BRH22" s="88"/>
      <c r="BRI22" s="88"/>
      <c r="BRJ22" s="88"/>
      <c r="BRK22" s="88"/>
      <c r="BRL22" s="88"/>
      <c r="BRM22" s="88"/>
      <c r="BRN22" s="88"/>
      <c r="BRO22" s="88"/>
      <c r="BRP22" s="88"/>
      <c r="BRQ22" s="88"/>
      <c r="BRR22" s="88"/>
      <c r="BRS22" s="88"/>
      <c r="BRT22" s="88"/>
      <c r="BRU22" s="88"/>
      <c r="BRV22" s="88"/>
      <c r="BRW22" s="88"/>
      <c r="BRX22" s="88"/>
      <c r="BRY22" s="88"/>
      <c r="BRZ22" s="88"/>
      <c r="BSA22" s="88"/>
      <c r="BSB22" s="88"/>
      <c r="BSC22" s="88"/>
      <c r="BSD22" s="88"/>
      <c r="BSE22" s="88"/>
      <c r="BSF22" s="88"/>
      <c r="BSG22" s="88"/>
      <c r="BSH22" s="88"/>
      <c r="BSI22" s="88"/>
      <c r="BSJ22" s="88"/>
      <c r="BSK22" s="88"/>
      <c r="BSL22" s="88"/>
      <c r="BSM22" s="88"/>
      <c r="BSN22" s="88"/>
      <c r="BSO22" s="88"/>
      <c r="BSP22" s="88"/>
      <c r="BSQ22" s="88"/>
      <c r="BSR22" s="88"/>
      <c r="BSS22" s="88"/>
      <c r="BST22" s="88"/>
      <c r="BSU22" s="88"/>
      <c r="BSV22" s="88"/>
      <c r="BSW22" s="88"/>
      <c r="BSX22" s="88"/>
      <c r="BSY22" s="88"/>
      <c r="BSZ22" s="88"/>
      <c r="BTA22" s="88"/>
      <c r="BTB22" s="88"/>
      <c r="BTC22" s="88"/>
      <c r="BTD22" s="88"/>
      <c r="BTE22" s="88"/>
      <c r="BTF22" s="88"/>
      <c r="BTG22" s="88"/>
      <c r="BTH22" s="88"/>
      <c r="BTI22" s="88"/>
      <c r="BTJ22" s="88"/>
      <c r="BTK22" s="88"/>
      <c r="BTL22" s="88"/>
      <c r="BTM22" s="88"/>
      <c r="BTN22" s="88"/>
      <c r="BTO22" s="88"/>
      <c r="BTP22" s="88"/>
      <c r="BTQ22" s="88"/>
      <c r="BTR22" s="88"/>
      <c r="BTS22" s="88"/>
      <c r="BTT22" s="88"/>
      <c r="BTU22" s="88"/>
      <c r="BTV22" s="88"/>
      <c r="BTW22" s="88"/>
      <c r="BTX22" s="88"/>
      <c r="BTY22" s="88"/>
      <c r="BTZ22" s="88"/>
      <c r="BUA22" s="88"/>
      <c r="BUB22" s="88"/>
      <c r="BUC22" s="88"/>
      <c r="BUD22" s="88"/>
      <c r="BUE22" s="88"/>
      <c r="BUF22" s="88"/>
      <c r="BUG22" s="88"/>
      <c r="BUH22" s="88"/>
      <c r="BUI22" s="88"/>
      <c r="BUJ22" s="88"/>
      <c r="BUK22" s="88"/>
      <c r="BUL22" s="88"/>
      <c r="BUM22" s="88"/>
      <c r="BUN22" s="88"/>
      <c r="BUO22" s="88"/>
      <c r="BUP22" s="88"/>
      <c r="BUQ22" s="88"/>
      <c r="BUR22" s="88"/>
      <c r="BUS22" s="88"/>
      <c r="BUT22" s="88"/>
      <c r="BUU22" s="88"/>
      <c r="BUV22" s="88"/>
      <c r="BUW22" s="88"/>
      <c r="BUX22" s="88"/>
      <c r="BUY22" s="88"/>
      <c r="BUZ22" s="88"/>
      <c r="BVA22" s="88"/>
      <c r="BVB22" s="88"/>
      <c r="BVC22" s="88"/>
      <c r="BVD22" s="88"/>
      <c r="BVE22" s="88"/>
      <c r="BVF22" s="88"/>
      <c r="BVG22" s="88"/>
      <c r="BVH22" s="88"/>
      <c r="BVI22" s="88"/>
      <c r="BVJ22" s="88"/>
      <c r="BVK22" s="88"/>
      <c r="BVL22" s="88"/>
      <c r="BVM22" s="88"/>
      <c r="BVN22" s="88"/>
      <c r="BVO22" s="88"/>
      <c r="BVP22" s="88"/>
      <c r="BVQ22" s="88"/>
      <c r="BVR22" s="88"/>
      <c r="BVS22" s="88"/>
      <c r="BVT22" s="88"/>
      <c r="BVU22" s="88"/>
      <c r="BVV22" s="88"/>
      <c r="BVW22" s="88"/>
      <c r="BVX22" s="88"/>
      <c r="BVY22" s="88"/>
      <c r="BVZ22" s="88"/>
      <c r="BWA22" s="88"/>
      <c r="BWB22" s="88"/>
      <c r="BWC22" s="88"/>
      <c r="BWD22" s="88"/>
      <c r="BWE22" s="88"/>
      <c r="BWF22" s="88"/>
      <c r="BWG22" s="88"/>
      <c r="BWH22" s="88"/>
      <c r="BWI22" s="88"/>
      <c r="BWJ22" s="88"/>
      <c r="BWK22" s="88"/>
      <c r="BWL22" s="88"/>
      <c r="BWM22" s="88"/>
      <c r="BWN22" s="88"/>
      <c r="BWO22" s="88"/>
      <c r="BWP22" s="88"/>
      <c r="BWQ22" s="88"/>
      <c r="BWR22" s="88"/>
      <c r="BWS22" s="88"/>
      <c r="BWT22" s="88"/>
      <c r="BWU22" s="88"/>
      <c r="BWV22" s="88"/>
      <c r="BWW22" s="88"/>
      <c r="BWX22" s="88"/>
      <c r="BWY22" s="88"/>
      <c r="BWZ22" s="88"/>
      <c r="BXA22" s="88"/>
      <c r="BXB22" s="88"/>
      <c r="BXC22" s="88"/>
      <c r="BXD22" s="88"/>
      <c r="BXE22" s="88"/>
      <c r="BXF22" s="88"/>
      <c r="BXG22" s="88"/>
      <c r="BXH22" s="88"/>
      <c r="BXI22" s="88"/>
      <c r="BXJ22" s="88"/>
      <c r="BXK22" s="88"/>
      <c r="BXL22" s="88"/>
      <c r="BXM22" s="88"/>
      <c r="BXN22" s="88"/>
      <c r="BXO22" s="88"/>
      <c r="BXP22" s="88"/>
      <c r="BXQ22" s="88"/>
      <c r="BXR22" s="88"/>
      <c r="BXS22" s="88"/>
      <c r="BXT22" s="88"/>
      <c r="BXU22" s="88"/>
      <c r="BXV22" s="88"/>
      <c r="BXW22" s="88"/>
      <c r="BXX22" s="88"/>
      <c r="BXY22" s="88"/>
      <c r="BXZ22" s="88"/>
      <c r="BYA22" s="88"/>
      <c r="BYB22" s="88"/>
      <c r="BYC22" s="88"/>
      <c r="BYD22" s="88"/>
      <c r="BYE22" s="88"/>
      <c r="BYF22" s="88"/>
      <c r="BYG22" s="88"/>
      <c r="BYH22" s="88"/>
      <c r="BYI22" s="88"/>
      <c r="BYJ22" s="88"/>
      <c r="BYK22" s="88"/>
      <c r="BYL22" s="88"/>
      <c r="BYM22" s="88"/>
      <c r="BYN22" s="88"/>
      <c r="BYO22" s="88"/>
      <c r="BYP22" s="88"/>
      <c r="BYQ22" s="88"/>
      <c r="BYR22" s="88"/>
      <c r="BYS22" s="88"/>
      <c r="BYT22" s="88"/>
      <c r="BYU22" s="88"/>
      <c r="BYV22" s="88"/>
      <c r="BYW22" s="88"/>
      <c r="BYX22" s="88"/>
      <c r="BYY22" s="88"/>
      <c r="BYZ22" s="88"/>
      <c r="BZA22" s="88"/>
      <c r="BZB22" s="88"/>
      <c r="BZC22" s="88"/>
      <c r="BZD22" s="88"/>
      <c r="BZE22" s="88"/>
      <c r="BZF22" s="88"/>
      <c r="BZG22" s="88"/>
      <c r="BZH22" s="88"/>
      <c r="BZI22" s="88"/>
      <c r="BZJ22" s="88"/>
      <c r="BZK22" s="88"/>
      <c r="BZL22" s="88"/>
      <c r="BZM22" s="88"/>
      <c r="BZN22" s="88"/>
      <c r="BZO22" s="88"/>
      <c r="BZP22" s="88"/>
      <c r="BZQ22" s="88"/>
      <c r="BZR22" s="88"/>
      <c r="BZS22" s="88"/>
      <c r="BZT22" s="88"/>
      <c r="BZU22" s="88"/>
      <c r="BZV22" s="88"/>
      <c r="BZW22" s="88"/>
      <c r="BZX22" s="88"/>
      <c r="BZY22" s="88"/>
      <c r="BZZ22" s="88"/>
      <c r="CAA22" s="88"/>
      <c r="CAB22" s="88"/>
      <c r="CAC22" s="88"/>
      <c r="CAD22" s="88"/>
      <c r="CAE22" s="88"/>
      <c r="CAF22" s="88"/>
      <c r="CAG22" s="88"/>
      <c r="CAH22" s="88"/>
      <c r="CAI22" s="88"/>
      <c r="CAJ22" s="88"/>
      <c r="CAK22" s="88"/>
      <c r="CAL22" s="88"/>
      <c r="CAM22" s="88"/>
      <c r="CAN22" s="88"/>
      <c r="CAO22" s="88"/>
      <c r="CAP22" s="88"/>
      <c r="CAQ22" s="88"/>
      <c r="CAR22" s="88"/>
      <c r="CAS22" s="88"/>
      <c r="CAT22" s="88"/>
      <c r="CAU22" s="88"/>
      <c r="CAV22" s="88"/>
      <c r="CAW22" s="88"/>
      <c r="CAX22" s="88"/>
      <c r="CAY22" s="88"/>
      <c r="CAZ22" s="88"/>
      <c r="CBA22" s="88"/>
      <c r="CBB22" s="88"/>
      <c r="CBC22" s="88"/>
      <c r="CBD22" s="88"/>
      <c r="CBE22" s="88"/>
      <c r="CBF22" s="88"/>
      <c r="CBG22" s="88"/>
      <c r="CBH22" s="88"/>
      <c r="CBI22" s="88"/>
      <c r="CBJ22" s="88"/>
      <c r="CBK22" s="88"/>
      <c r="CBL22" s="88"/>
      <c r="CBM22" s="88"/>
      <c r="CBN22" s="88"/>
      <c r="CBO22" s="88"/>
      <c r="CBP22" s="88"/>
      <c r="CBQ22" s="88"/>
      <c r="CBR22" s="88"/>
      <c r="CBS22" s="88"/>
      <c r="CBT22" s="88"/>
      <c r="CBU22" s="88"/>
      <c r="CBV22" s="88"/>
      <c r="CBW22" s="88"/>
      <c r="CBX22" s="88"/>
      <c r="CBY22" s="88"/>
      <c r="CBZ22" s="88"/>
      <c r="CCA22" s="88"/>
      <c r="CCB22" s="88"/>
      <c r="CCC22" s="88"/>
      <c r="CCD22" s="88"/>
      <c r="CCE22" s="88"/>
      <c r="CCF22" s="88"/>
      <c r="CCG22" s="88"/>
      <c r="CCH22" s="88"/>
      <c r="CCI22" s="88"/>
      <c r="CCJ22" s="88"/>
      <c r="CCK22" s="88"/>
      <c r="CCL22" s="88"/>
      <c r="CCM22" s="88"/>
      <c r="CCN22" s="88"/>
      <c r="CCO22" s="88"/>
      <c r="CCP22" s="88"/>
      <c r="CCQ22" s="88"/>
      <c r="CCR22" s="88"/>
      <c r="CCS22" s="88"/>
      <c r="CCT22" s="88"/>
      <c r="CCU22" s="88"/>
      <c r="CCV22" s="88"/>
      <c r="CCW22" s="88"/>
      <c r="CCX22" s="88"/>
      <c r="CCY22" s="88"/>
      <c r="CCZ22" s="88"/>
      <c r="CDA22" s="88"/>
      <c r="CDB22" s="88"/>
      <c r="CDC22" s="88"/>
      <c r="CDD22" s="88"/>
      <c r="CDE22" s="88"/>
      <c r="CDF22" s="88"/>
      <c r="CDG22" s="88"/>
      <c r="CDH22" s="88"/>
      <c r="CDI22" s="88"/>
      <c r="CDJ22" s="88"/>
      <c r="CDK22" s="88"/>
      <c r="CDL22" s="88"/>
      <c r="CDM22" s="88"/>
      <c r="CDN22" s="88"/>
      <c r="CDO22" s="88"/>
      <c r="CDP22" s="88"/>
      <c r="CDQ22" s="88"/>
      <c r="CDR22" s="88"/>
      <c r="CDS22" s="88"/>
      <c r="CDT22" s="88"/>
      <c r="CDU22" s="88"/>
      <c r="CDV22" s="88"/>
      <c r="CDW22" s="88"/>
      <c r="CDX22" s="88"/>
      <c r="CDY22" s="88"/>
      <c r="CDZ22" s="88"/>
      <c r="CEA22" s="88"/>
      <c r="CEB22" s="88"/>
      <c r="CEC22" s="88"/>
      <c r="CED22" s="88"/>
      <c r="CEE22" s="88"/>
      <c r="CEF22" s="88"/>
      <c r="CEG22" s="88"/>
      <c r="CEH22" s="88"/>
      <c r="CEI22" s="88"/>
      <c r="CEJ22" s="88"/>
      <c r="CEK22" s="88"/>
    </row>
    <row r="23" spans="1:2169" s="51" customFormat="1">
      <c r="A23" s="91" t="s">
        <v>4771</v>
      </c>
      <c r="B23" s="93" t="s">
        <v>4770</v>
      </c>
      <c r="C23" s="69" t="str">
        <f>IF('page 2'!$O$4="","",IF('page 2'!$O$4=Gestion!A23,1,0))</f>
        <v/>
      </c>
      <c r="D23" s="69" t="str">
        <f>IF('page 2'!$O$5="","",IF('page 2'!$O$5=Gestion!A23,1,0))</f>
        <v/>
      </c>
      <c r="E23" s="69" t="str">
        <f>IF('page 2'!$O$6="","",IF('page 2'!$O$6=Gestion!A23,1,0))</f>
        <v/>
      </c>
      <c r="F23" s="69" t="str">
        <f>IF('page 2'!$O$7="","",IF('page 2'!$O$7=Gestion!A23,1,0))</f>
        <v/>
      </c>
      <c r="G23" s="69" t="str">
        <f>IF('page 2'!$O$8="","",IF('page 2'!$O$8=Gestion!A23,1,0))</f>
        <v/>
      </c>
      <c r="H23" s="69" t="str">
        <f>IF('page 2'!$O$9="","",IF('page 2'!$O$9=Gestion!A23,1,0))</f>
        <v/>
      </c>
      <c r="I23" s="69" t="str">
        <f>IF('page 2'!$O$10="","",IF('page 2'!$O$10=Gestion!A23,1,0))</f>
        <v/>
      </c>
      <c r="J23" s="69" t="str">
        <f>IF('page 2'!$O$11="","",IF('page 2'!$O$11=Gestion!A23,1,0))</f>
        <v/>
      </c>
      <c r="K23" s="69" t="str">
        <f>IF('page 2'!$O$12="","",IF('page 2'!$O$12=Gestion!A23,1,0))</f>
        <v/>
      </c>
      <c r="L23" s="69" t="str">
        <f>IF('page 2'!$O$13="","",IF('page 2'!$O$13=Gestion!A23,1,0))</f>
        <v/>
      </c>
      <c r="M23" s="69" t="str">
        <f>IF('page 2'!$O$14="","",IF('page 2'!$O$14=Gestion!A23,1,0))</f>
        <v/>
      </c>
      <c r="N23" s="69" t="str">
        <f>IF('page 2'!$O$15="","",IF('page 2'!$O$15=Gestion!A23,1,0))</f>
        <v/>
      </c>
      <c r="O23" s="69" t="str">
        <f>IF('page 2'!$O$16="","",IF('page 2'!$O$16=Gestion!A23,1,0))</f>
        <v/>
      </c>
      <c r="P23" s="69" t="str">
        <f>IF('page 2'!$O$17="","",IF('page 2'!$O$17=Gestion!A23,1,0))</f>
        <v/>
      </c>
      <c r="Q23" s="69" t="str">
        <f>IF('page 2'!$O$18="","",IF('page 2'!$O$18=Gestion!A23,1,0))</f>
        <v/>
      </c>
      <c r="R23" s="69" t="str">
        <f>IF('page 2'!$O$19="","",IF('page 2'!$O$19=Gestion!A22,1,0))</f>
        <v/>
      </c>
      <c r="S23" s="69" t="str">
        <f>IF('page 2'!$O$20="","",IF('page 2'!$O$20=Gestion!A23,1,0))</f>
        <v/>
      </c>
      <c r="T23" s="69" t="str">
        <f>IF('page 2'!$O$25="","",IF('page 2'!$O$25=Gestion!A23,1,0))</f>
        <v/>
      </c>
      <c r="U23" s="69" t="str">
        <f>IF('page 2'!$O$26="","",IF('page 2'!$O$26=Gestion!A23,1,0))</f>
        <v/>
      </c>
      <c r="V23" s="69" t="str">
        <f>IF('page 2'!$O$27="","",IF('page 2'!$O$27=Gestion!A23,1,0))</f>
        <v/>
      </c>
      <c r="W23" s="723">
        <f t="shared" si="0"/>
        <v>0</v>
      </c>
      <c r="X23" s="713" t="s">
        <v>14608</v>
      </c>
      <c r="Y23" s="69" t="str">
        <f>IF('page 2'!O24="","",'page 2'!O24)</f>
        <v/>
      </c>
      <c r="Z23" s="69" t="str">
        <f>IF(Y23="","",VLOOKUP(Y23,'page 2'!$O$4:$Q$27,3,FALSE))</f>
        <v/>
      </c>
      <c r="AA23" s="69" t="str">
        <f t="shared" si="1"/>
        <v/>
      </c>
      <c r="AB23" s="542"/>
      <c r="AC23" s="542"/>
      <c r="AD23" s="542"/>
      <c r="AE23" s="88"/>
      <c r="AP23" s="130"/>
      <c r="AQ23" s="130"/>
      <c r="AR23" s="130"/>
      <c r="AS23" s="576"/>
      <c r="AT23" s="576"/>
      <c r="AU23" s="576"/>
      <c r="AV23" s="576"/>
      <c r="AW23" s="602"/>
      <c r="AX23" s="602"/>
      <c r="AY23" s="576"/>
      <c r="AZ23" s="576"/>
      <c r="BA23" s="576"/>
      <c r="BB23" s="576"/>
      <c r="BC23" s="576"/>
      <c r="BD23" s="602"/>
      <c r="BE23" s="602"/>
      <c r="BF23" s="602"/>
      <c r="BG23" s="602"/>
      <c r="BH23" s="602"/>
      <c r="BI23" s="602"/>
      <c r="BJ23" s="602"/>
      <c r="BK23" s="602"/>
      <c r="BL23" s="602"/>
      <c r="BM23" s="602"/>
      <c r="BN23" s="602"/>
      <c r="BO23" s="602"/>
      <c r="BP23" s="602"/>
      <c r="BQ23" s="602"/>
      <c r="BR23" s="602"/>
      <c r="BS23" s="576"/>
      <c r="BT23" s="576"/>
      <c r="BU23" s="576"/>
      <c r="BV23" s="576"/>
      <c r="BW23" s="602"/>
      <c r="BX23" s="602"/>
      <c r="BY23" s="602"/>
      <c r="BZ23" s="576"/>
      <c r="CA23" s="602"/>
      <c r="CB23" s="602"/>
      <c r="CC23" s="576"/>
      <c r="CD23" s="469"/>
      <c r="CE23" s="602"/>
      <c r="CF23" s="576"/>
      <c r="CG23" s="576"/>
      <c r="CH23" s="576"/>
      <c r="CI23" s="576"/>
      <c r="CJ23" s="576"/>
      <c r="CK23" s="602"/>
      <c r="CL23" s="602"/>
      <c r="CM23" s="576"/>
      <c r="CN23" s="602"/>
      <c r="CO23" s="602"/>
      <c r="CP23" s="602"/>
      <c r="CQ23" s="576"/>
      <c r="CR23" s="576"/>
      <c r="CS23" s="602"/>
      <c r="CT23" s="85"/>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c r="IW23" s="88"/>
      <c r="IX23" s="88"/>
      <c r="IY23" s="88"/>
      <c r="IZ23" s="88"/>
      <c r="JA23" s="88"/>
      <c r="JB23" s="88"/>
      <c r="JC23" s="88"/>
      <c r="JD23" s="88"/>
      <c r="JE23" s="88"/>
      <c r="JF23" s="88"/>
      <c r="JG23" s="88"/>
      <c r="JH23" s="88"/>
      <c r="JI23" s="88"/>
      <c r="JJ23" s="88"/>
      <c r="JK23" s="88"/>
      <c r="JL23" s="88"/>
      <c r="JM23" s="88"/>
      <c r="JN23" s="88"/>
      <c r="JO23" s="88"/>
      <c r="JP23" s="88"/>
      <c r="JQ23" s="88"/>
      <c r="JR23" s="88"/>
      <c r="JS23" s="88"/>
      <c r="JT23" s="88"/>
      <c r="JU23" s="88"/>
      <c r="JV23" s="88"/>
      <c r="JW23" s="88"/>
      <c r="JX23" s="88"/>
      <c r="JY23" s="88"/>
      <c r="JZ23" s="88"/>
      <c r="KA23" s="88"/>
      <c r="KB23" s="88"/>
      <c r="KC23" s="88"/>
      <c r="KD23" s="88"/>
      <c r="KE23" s="88"/>
      <c r="KF23" s="88"/>
      <c r="KG23" s="88"/>
      <c r="KH23" s="88"/>
      <c r="KI23" s="88"/>
      <c r="KJ23" s="88"/>
      <c r="KK23" s="88"/>
      <c r="KL23" s="88"/>
      <c r="KM23" s="88"/>
      <c r="KN23" s="88"/>
      <c r="KO23" s="88"/>
      <c r="KP23" s="88"/>
      <c r="KQ23" s="88"/>
      <c r="KR23" s="88"/>
      <c r="KS23" s="88"/>
      <c r="KT23" s="88"/>
      <c r="KU23" s="88"/>
      <c r="KV23" s="88"/>
      <c r="KW23" s="88"/>
      <c r="KX23" s="88"/>
      <c r="KY23" s="88"/>
      <c r="KZ23" s="88"/>
      <c r="LA23" s="88"/>
      <c r="LB23" s="88"/>
      <c r="LC23" s="88"/>
      <c r="LD23" s="88"/>
      <c r="LE23" s="88"/>
      <c r="LF23" s="88"/>
      <c r="LG23" s="88"/>
      <c r="LH23" s="88"/>
      <c r="LI23" s="88"/>
      <c r="LJ23" s="88"/>
      <c r="LK23" s="88"/>
      <c r="LL23" s="88"/>
      <c r="LM23" s="88"/>
      <c r="LN23" s="88"/>
      <c r="LO23" s="88"/>
      <c r="LP23" s="88"/>
      <c r="LQ23" s="88"/>
      <c r="LR23" s="88"/>
      <c r="LS23" s="88"/>
      <c r="LT23" s="88"/>
      <c r="LU23" s="88"/>
      <c r="LV23" s="88"/>
      <c r="LW23" s="88"/>
      <c r="LX23" s="88"/>
      <c r="LY23" s="88"/>
      <c r="LZ23" s="88"/>
      <c r="MA23" s="88"/>
      <c r="MB23" s="88"/>
      <c r="MC23" s="88"/>
      <c r="MD23" s="88"/>
      <c r="ME23" s="88"/>
      <c r="MF23" s="88"/>
      <c r="MG23" s="88"/>
      <c r="MH23" s="88"/>
      <c r="MI23" s="88"/>
      <c r="MJ23" s="88"/>
      <c r="MK23" s="88"/>
      <c r="ML23" s="88"/>
      <c r="MM23" s="88"/>
      <c r="MN23" s="88"/>
      <c r="MO23" s="88"/>
      <c r="MP23" s="88"/>
      <c r="MQ23" s="88"/>
      <c r="MR23" s="88"/>
      <c r="MS23" s="88"/>
      <c r="MT23" s="88"/>
      <c r="MU23" s="88"/>
      <c r="MV23" s="88"/>
      <c r="MW23" s="88"/>
      <c r="MX23" s="88"/>
      <c r="MY23" s="88"/>
      <c r="MZ23" s="88"/>
      <c r="NA23" s="88"/>
      <c r="NB23" s="88"/>
      <c r="NC23" s="88"/>
      <c r="ND23" s="88"/>
      <c r="NE23" s="88"/>
      <c r="NF23" s="88"/>
      <c r="NG23" s="88"/>
      <c r="NH23" s="88"/>
      <c r="NI23" s="88"/>
      <c r="NJ23" s="88"/>
      <c r="NK23" s="88"/>
      <c r="NL23" s="88"/>
      <c r="NM23" s="88"/>
      <c r="NN23" s="88"/>
      <c r="NO23" s="88"/>
      <c r="NP23" s="88"/>
      <c r="NQ23" s="88"/>
      <c r="NR23" s="88"/>
      <c r="NS23" s="88"/>
      <c r="NT23" s="88"/>
      <c r="NU23" s="88"/>
      <c r="NV23" s="88"/>
      <c r="NW23" s="88"/>
      <c r="NX23" s="88"/>
      <c r="NY23" s="88"/>
      <c r="NZ23" s="88"/>
      <c r="OA23" s="88"/>
      <c r="OB23" s="88"/>
      <c r="OC23" s="88"/>
      <c r="OD23" s="88"/>
      <c r="OE23" s="88"/>
      <c r="OF23" s="88"/>
      <c r="OG23" s="88"/>
      <c r="OH23" s="88"/>
      <c r="OI23" s="88"/>
      <c r="OJ23" s="88"/>
      <c r="OK23" s="88"/>
      <c r="OL23" s="88"/>
      <c r="OM23" s="88"/>
      <c r="ON23" s="88"/>
      <c r="OO23" s="88"/>
      <c r="OP23" s="88"/>
      <c r="OQ23" s="88"/>
      <c r="OR23" s="88"/>
      <c r="OS23" s="88"/>
      <c r="OT23" s="88"/>
      <c r="OU23" s="88"/>
      <c r="OV23" s="88"/>
      <c r="OW23" s="88"/>
      <c r="OX23" s="88"/>
      <c r="OY23" s="88"/>
      <c r="OZ23" s="88"/>
      <c r="PA23" s="88"/>
      <c r="PB23" s="88"/>
      <c r="PC23" s="88"/>
      <c r="PD23" s="88"/>
      <c r="PE23" s="88"/>
      <c r="PF23" s="88"/>
      <c r="PG23" s="88"/>
      <c r="PH23" s="88"/>
      <c r="PI23" s="88"/>
      <c r="PJ23" s="88"/>
      <c r="PK23" s="88"/>
      <c r="PL23" s="88"/>
      <c r="PM23" s="88"/>
      <c r="PN23" s="88"/>
      <c r="PO23" s="88"/>
      <c r="PP23" s="88"/>
      <c r="PQ23" s="88"/>
      <c r="PR23" s="88"/>
      <c r="PS23" s="88"/>
      <c r="PT23" s="88"/>
      <c r="PU23" s="88"/>
      <c r="PV23" s="88"/>
      <c r="PW23" s="88"/>
      <c r="PX23" s="88"/>
      <c r="PY23" s="88"/>
      <c r="PZ23" s="88"/>
      <c r="QA23" s="88"/>
      <c r="QB23" s="88"/>
      <c r="QC23" s="88"/>
      <c r="QD23" s="88"/>
      <c r="QE23" s="88"/>
      <c r="QF23" s="88"/>
      <c r="QG23" s="88"/>
      <c r="QH23" s="88"/>
      <c r="QI23" s="88"/>
      <c r="QJ23" s="88"/>
      <c r="QK23" s="88"/>
      <c r="QL23" s="88"/>
      <c r="QM23" s="88"/>
      <c r="QN23" s="88"/>
      <c r="QO23" s="88"/>
      <c r="QP23" s="88"/>
      <c r="QQ23" s="88"/>
      <c r="QR23" s="88"/>
      <c r="QS23" s="88"/>
      <c r="QT23" s="88"/>
      <c r="QU23" s="88"/>
      <c r="QV23" s="88"/>
      <c r="QW23" s="88"/>
      <c r="QX23" s="88"/>
      <c r="QY23" s="88"/>
      <c r="QZ23" s="88"/>
      <c r="RA23" s="88"/>
      <c r="RB23" s="88"/>
      <c r="RC23" s="88"/>
      <c r="RD23" s="88"/>
      <c r="RE23" s="88"/>
      <c r="RF23" s="88"/>
      <c r="RG23" s="88"/>
      <c r="RH23" s="88"/>
      <c r="RI23" s="88"/>
      <c r="RJ23" s="88"/>
      <c r="RK23" s="88"/>
      <c r="RL23" s="88"/>
      <c r="RM23" s="88"/>
      <c r="RN23" s="88"/>
      <c r="RO23" s="88"/>
      <c r="RP23" s="88"/>
      <c r="RQ23" s="88"/>
      <c r="RR23" s="88"/>
      <c r="RS23" s="88"/>
      <c r="RT23" s="88"/>
      <c r="RU23" s="88"/>
      <c r="RV23" s="88"/>
      <c r="RW23" s="88"/>
      <c r="RX23" s="88"/>
      <c r="RY23" s="88"/>
      <c r="RZ23" s="88"/>
      <c r="SA23" s="88"/>
      <c r="SB23" s="88"/>
      <c r="SC23" s="88"/>
      <c r="SD23" s="88"/>
      <c r="SE23" s="88"/>
      <c r="SF23" s="88"/>
      <c r="SG23" s="88"/>
      <c r="SH23" s="88"/>
      <c r="SI23" s="88"/>
      <c r="SJ23" s="88"/>
      <c r="SK23" s="88"/>
      <c r="SL23" s="88"/>
      <c r="SM23" s="88"/>
      <c r="SN23" s="88"/>
      <c r="SO23" s="88"/>
      <c r="SP23" s="88"/>
      <c r="SQ23" s="88"/>
      <c r="SR23" s="88"/>
      <c r="SS23" s="88"/>
      <c r="ST23" s="88"/>
      <c r="SU23" s="88"/>
      <c r="SV23" s="88"/>
      <c r="SW23" s="88"/>
      <c r="SX23" s="88"/>
      <c r="SY23" s="88"/>
      <c r="SZ23" s="88"/>
      <c r="TA23" s="88"/>
      <c r="TB23" s="88"/>
      <c r="TC23" s="88"/>
      <c r="TD23" s="88"/>
      <c r="TE23" s="88"/>
      <c r="TF23" s="88"/>
      <c r="TG23" s="88"/>
      <c r="TH23" s="88"/>
      <c r="TI23" s="88"/>
      <c r="TJ23" s="88"/>
      <c r="TK23" s="88"/>
      <c r="TL23" s="88"/>
      <c r="TM23" s="88"/>
      <c r="TN23" s="88"/>
      <c r="TO23" s="88"/>
      <c r="TP23" s="88"/>
      <c r="TQ23" s="88"/>
      <c r="TR23" s="88"/>
      <c r="TS23" s="88"/>
      <c r="TT23" s="88"/>
      <c r="TU23" s="88"/>
      <c r="TV23" s="88"/>
      <c r="TW23" s="88"/>
      <c r="TX23" s="88"/>
      <c r="TY23" s="88"/>
      <c r="TZ23" s="88"/>
      <c r="UA23" s="88"/>
      <c r="UB23" s="88"/>
      <c r="UC23" s="88"/>
      <c r="UD23" s="88"/>
      <c r="UE23" s="88"/>
      <c r="UF23" s="88"/>
      <c r="UG23" s="88"/>
      <c r="UH23" s="88"/>
      <c r="UI23" s="88"/>
      <c r="UJ23" s="88"/>
      <c r="UK23" s="88"/>
      <c r="UL23" s="88"/>
      <c r="UM23" s="88"/>
      <c r="UN23" s="88"/>
      <c r="UO23" s="88"/>
      <c r="UP23" s="88"/>
      <c r="UQ23" s="88"/>
      <c r="UR23" s="88"/>
      <c r="US23" s="88"/>
      <c r="UT23" s="88"/>
      <c r="UU23" s="88"/>
      <c r="UV23" s="88"/>
      <c r="UW23" s="88"/>
      <c r="UX23" s="88"/>
      <c r="UY23" s="88"/>
      <c r="UZ23" s="88"/>
      <c r="VA23" s="88"/>
      <c r="VB23" s="88"/>
      <c r="VC23" s="88"/>
      <c r="VD23" s="88"/>
      <c r="VE23" s="88"/>
      <c r="VF23" s="88"/>
      <c r="VG23" s="88"/>
      <c r="VH23" s="88"/>
      <c r="VI23" s="88"/>
      <c r="VJ23" s="88"/>
      <c r="VK23" s="88"/>
      <c r="VL23" s="88"/>
      <c r="VM23" s="88"/>
      <c r="VN23" s="88"/>
      <c r="VO23" s="88"/>
      <c r="VP23" s="88"/>
      <c r="VQ23" s="88"/>
      <c r="VR23" s="88"/>
      <c r="VS23" s="88"/>
      <c r="VT23" s="88"/>
      <c r="VU23" s="88"/>
      <c r="VV23" s="88"/>
      <c r="VW23" s="88"/>
      <c r="VX23" s="88"/>
      <c r="VY23" s="88"/>
      <c r="VZ23" s="88"/>
      <c r="WA23" s="88"/>
      <c r="WB23" s="88"/>
      <c r="WC23" s="88"/>
      <c r="WD23" s="88"/>
      <c r="WE23" s="88"/>
      <c r="WF23" s="88"/>
      <c r="WG23" s="88"/>
      <c r="WH23" s="88"/>
      <c r="WI23" s="88"/>
      <c r="WJ23" s="88"/>
      <c r="WK23" s="88"/>
      <c r="WL23" s="88"/>
      <c r="WM23" s="88"/>
      <c r="WN23" s="88"/>
      <c r="WO23" s="88"/>
      <c r="WP23" s="88"/>
      <c r="WQ23" s="88"/>
      <c r="WR23" s="88"/>
      <c r="WS23" s="88"/>
      <c r="WT23" s="88"/>
      <c r="WU23" s="88"/>
      <c r="WV23" s="88"/>
      <c r="WW23" s="88"/>
      <c r="WX23" s="88"/>
      <c r="WY23" s="88"/>
      <c r="WZ23" s="88"/>
      <c r="XA23" s="88"/>
      <c r="XB23" s="88"/>
      <c r="XC23" s="88"/>
      <c r="XD23" s="88"/>
      <c r="XE23" s="88"/>
      <c r="XF23" s="88"/>
      <c r="XG23" s="88"/>
      <c r="XH23" s="88"/>
      <c r="XI23" s="88"/>
      <c r="XJ23" s="88"/>
      <c r="XK23" s="88"/>
      <c r="XL23" s="88"/>
      <c r="XM23" s="88"/>
      <c r="XN23" s="88"/>
      <c r="XO23" s="88"/>
      <c r="XP23" s="88"/>
      <c r="XQ23" s="88"/>
      <c r="XR23" s="88"/>
      <c r="XS23" s="88"/>
      <c r="XT23" s="88"/>
      <c r="XU23" s="88"/>
      <c r="XV23" s="88"/>
      <c r="XW23" s="88"/>
      <c r="XX23" s="88"/>
      <c r="XY23" s="88"/>
      <c r="XZ23" s="88"/>
      <c r="YA23" s="88"/>
      <c r="YB23" s="88"/>
      <c r="YC23" s="88"/>
      <c r="YD23" s="88"/>
      <c r="YE23" s="88"/>
      <c r="YF23" s="88"/>
      <c r="YG23" s="88"/>
      <c r="YH23" s="88"/>
      <c r="YI23" s="88"/>
      <c r="YJ23" s="88"/>
      <c r="YK23" s="88"/>
      <c r="YL23" s="88"/>
      <c r="YM23" s="88"/>
      <c r="YN23" s="88"/>
      <c r="YO23" s="88"/>
      <c r="YP23" s="88"/>
      <c r="YQ23" s="88"/>
      <c r="YR23" s="88"/>
      <c r="YS23" s="88"/>
      <c r="YT23" s="88"/>
      <c r="YU23" s="88"/>
      <c r="YV23" s="88"/>
      <c r="YW23" s="88"/>
      <c r="YX23" s="88"/>
      <c r="YY23" s="88"/>
      <c r="YZ23" s="88"/>
      <c r="ZA23" s="88"/>
      <c r="ZB23" s="88"/>
      <c r="ZC23" s="88"/>
      <c r="ZD23" s="88"/>
      <c r="ZE23" s="88"/>
      <c r="ZF23" s="88"/>
      <c r="ZG23" s="88"/>
      <c r="ZH23" s="88"/>
      <c r="ZI23" s="88"/>
      <c r="ZJ23" s="88"/>
      <c r="ZK23" s="88"/>
      <c r="ZL23" s="88"/>
      <c r="ZM23" s="88"/>
      <c r="ZN23" s="88"/>
      <c r="ZO23" s="88"/>
      <c r="ZP23" s="88"/>
      <c r="ZQ23" s="88"/>
      <c r="ZR23" s="88"/>
      <c r="ZS23" s="88"/>
      <c r="ZT23" s="88"/>
      <c r="ZU23" s="88"/>
      <c r="ZV23" s="88"/>
      <c r="ZW23" s="88"/>
      <c r="ZX23" s="88"/>
      <c r="ZY23" s="88"/>
      <c r="ZZ23" s="88"/>
      <c r="AAA23" s="88"/>
      <c r="AAB23" s="88"/>
      <c r="AAC23" s="88"/>
      <c r="AAD23" s="88"/>
      <c r="AAE23" s="88"/>
      <c r="AAF23" s="88"/>
      <c r="AAG23" s="88"/>
      <c r="AAH23" s="88"/>
      <c r="AAI23" s="88"/>
      <c r="AAJ23" s="88"/>
      <c r="AAK23" s="88"/>
      <c r="AAL23" s="88"/>
      <c r="AAM23" s="88"/>
      <c r="AAN23" s="88"/>
      <c r="AAO23" s="88"/>
      <c r="AAP23" s="88"/>
      <c r="AAQ23" s="88"/>
      <c r="AAR23" s="88"/>
      <c r="AAS23" s="88"/>
      <c r="AAT23" s="88"/>
      <c r="AAU23" s="88"/>
      <c r="AAV23" s="88"/>
      <c r="AAW23" s="88"/>
      <c r="AAX23" s="88"/>
      <c r="AAY23" s="88"/>
      <c r="AAZ23" s="88"/>
      <c r="ABA23" s="88"/>
      <c r="ABB23" s="88"/>
      <c r="ABC23" s="88"/>
      <c r="ABD23" s="88"/>
      <c r="ABE23" s="88"/>
      <c r="ABF23" s="88"/>
      <c r="ABG23" s="88"/>
      <c r="ABH23" s="88"/>
      <c r="ABI23" s="88"/>
      <c r="ABJ23" s="88"/>
      <c r="ABK23" s="88"/>
      <c r="ABL23" s="88"/>
      <c r="ABM23" s="88"/>
      <c r="ABN23" s="88"/>
      <c r="ABO23" s="88"/>
      <c r="ABP23" s="88"/>
      <c r="ABQ23" s="88"/>
      <c r="ABR23" s="88"/>
      <c r="ABS23" s="88"/>
      <c r="ABT23" s="88"/>
      <c r="ABU23" s="88"/>
      <c r="ABV23" s="88"/>
      <c r="ABW23" s="88"/>
      <c r="ABX23" s="88"/>
      <c r="ABY23" s="88"/>
      <c r="ABZ23" s="88"/>
      <c r="ACA23" s="88"/>
      <c r="ACB23" s="88"/>
      <c r="ACC23" s="88"/>
      <c r="ACD23" s="88"/>
      <c r="ACE23" s="88"/>
      <c r="ACF23" s="88"/>
      <c r="ACG23" s="88"/>
      <c r="ACH23" s="88"/>
      <c r="ACI23" s="88"/>
      <c r="ACJ23" s="88"/>
      <c r="ACK23" s="88"/>
      <c r="ACL23" s="88"/>
      <c r="ACM23" s="88"/>
      <c r="ACN23" s="88"/>
      <c r="ACO23" s="88"/>
      <c r="ACP23" s="88"/>
      <c r="ACQ23" s="88"/>
      <c r="ACR23" s="88"/>
      <c r="ACS23" s="88"/>
      <c r="ACT23" s="88"/>
      <c r="ACU23" s="88"/>
      <c r="ACV23" s="88"/>
      <c r="ACW23" s="88"/>
      <c r="ACX23" s="88"/>
      <c r="ACY23" s="88"/>
      <c r="ACZ23" s="88"/>
      <c r="ADA23" s="88"/>
      <c r="ADB23" s="88"/>
      <c r="ADC23" s="88"/>
      <c r="ADD23" s="88"/>
      <c r="ADE23" s="88"/>
      <c r="ADF23" s="88"/>
      <c r="ADG23" s="88"/>
      <c r="ADH23" s="88"/>
      <c r="ADI23" s="88"/>
      <c r="ADJ23" s="88"/>
      <c r="ADK23" s="88"/>
      <c r="ADL23" s="88"/>
      <c r="ADM23" s="88"/>
      <c r="ADN23" s="88"/>
      <c r="ADO23" s="88"/>
      <c r="ADP23" s="88"/>
      <c r="ADQ23" s="88"/>
      <c r="ADR23" s="88"/>
      <c r="ADS23" s="88"/>
      <c r="ADT23" s="88"/>
      <c r="ADU23" s="88"/>
      <c r="ADV23" s="88"/>
      <c r="ADW23" s="88"/>
      <c r="ADX23" s="88"/>
      <c r="ADY23" s="88"/>
      <c r="ADZ23" s="88"/>
      <c r="AEA23" s="88"/>
      <c r="AEB23" s="88"/>
      <c r="AEC23" s="88"/>
      <c r="AED23" s="88"/>
      <c r="AEE23" s="88"/>
      <c r="AEF23" s="88"/>
      <c r="AEG23" s="88"/>
      <c r="AEH23" s="88"/>
      <c r="AEI23" s="88"/>
      <c r="AEJ23" s="88"/>
      <c r="AEK23" s="88"/>
      <c r="AEL23" s="88"/>
      <c r="AEM23" s="88"/>
      <c r="AEN23" s="88"/>
      <c r="AEO23" s="88"/>
      <c r="AEP23" s="88"/>
      <c r="AEQ23" s="88"/>
      <c r="AER23" s="88"/>
      <c r="AES23" s="88"/>
      <c r="AET23" s="88"/>
      <c r="AEU23" s="88"/>
      <c r="AEV23" s="88"/>
      <c r="AEW23" s="88"/>
      <c r="AEX23" s="88"/>
      <c r="AEY23" s="88"/>
      <c r="AEZ23" s="88"/>
      <c r="AFA23" s="88"/>
      <c r="AFB23" s="88"/>
      <c r="AFC23" s="88"/>
      <c r="AFD23" s="88"/>
      <c r="AFE23" s="88"/>
      <c r="AFF23" s="88"/>
      <c r="AFG23" s="88"/>
      <c r="AFH23" s="88"/>
      <c r="AFI23" s="88"/>
      <c r="AFJ23" s="88"/>
      <c r="AFK23" s="88"/>
      <c r="AFL23" s="88"/>
      <c r="AFM23" s="88"/>
      <c r="AFN23" s="88"/>
      <c r="AFO23" s="88"/>
      <c r="AFP23" s="88"/>
      <c r="AFQ23" s="88"/>
      <c r="AFR23" s="88"/>
      <c r="AFS23" s="88"/>
      <c r="AFT23" s="88"/>
      <c r="AFU23" s="88"/>
      <c r="AFV23" s="88"/>
      <c r="AFW23" s="88"/>
      <c r="AFX23" s="88"/>
      <c r="AFY23" s="88"/>
      <c r="AFZ23" s="88"/>
      <c r="AGA23" s="88"/>
      <c r="AGB23" s="88"/>
      <c r="AGC23" s="88"/>
      <c r="AGD23" s="88"/>
      <c r="AGE23" s="88"/>
      <c r="AGF23" s="88"/>
      <c r="AGG23" s="88"/>
      <c r="AGH23" s="88"/>
      <c r="AGI23" s="88"/>
      <c r="AGJ23" s="88"/>
      <c r="AGK23" s="88"/>
      <c r="AGL23" s="88"/>
      <c r="AGM23" s="88"/>
      <c r="AGN23" s="88"/>
      <c r="AGO23" s="88"/>
      <c r="AGP23" s="88"/>
      <c r="AGQ23" s="88"/>
      <c r="AGR23" s="88"/>
      <c r="AGS23" s="88"/>
      <c r="AGT23" s="88"/>
      <c r="AGU23" s="88"/>
      <c r="AGV23" s="88"/>
      <c r="AGW23" s="88"/>
      <c r="AGX23" s="88"/>
      <c r="AGY23" s="88"/>
      <c r="AGZ23" s="88"/>
      <c r="AHA23" s="88"/>
      <c r="AHB23" s="88"/>
      <c r="AHC23" s="88"/>
      <c r="AHD23" s="88"/>
      <c r="AHE23" s="88"/>
      <c r="AHF23" s="88"/>
      <c r="AHG23" s="88"/>
      <c r="AHH23" s="88"/>
      <c r="AHI23" s="88"/>
      <c r="AHJ23" s="88"/>
      <c r="AHK23" s="88"/>
      <c r="AHL23" s="88"/>
      <c r="AHM23" s="88"/>
      <c r="AHN23" s="88"/>
      <c r="AHO23" s="88"/>
      <c r="AHP23" s="88"/>
      <c r="AHQ23" s="88"/>
      <c r="AHR23" s="88"/>
      <c r="AHS23" s="88"/>
      <c r="AHT23" s="88"/>
      <c r="AHU23" s="88"/>
      <c r="AHV23" s="88"/>
      <c r="AHW23" s="88"/>
      <c r="AHX23" s="88"/>
      <c r="AHY23" s="88"/>
      <c r="AHZ23" s="88"/>
      <c r="AIA23" s="88"/>
      <c r="AIB23" s="88"/>
      <c r="AIC23" s="88"/>
      <c r="AID23" s="88"/>
      <c r="AIE23" s="88"/>
      <c r="AIF23" s="88"/>
      <c r="AIG23" s="88"/>
      <c r="AIH23" s="88"/>
      <c r="AII23" s="88"/>
      <c r="AIJ23" s="88"/>
      <c r="AIK23" s="88"/>
      <c r="AIL23" s="88"/>
      <c r="AIM23" s="88"/>
      <c r="AIN23" s="88"/>
      <c r="AIO23" s="88"/>
      <c r="AIP23" s="88"/>
      <c r="AIQ23" s="88"/>
      <c r="AIR23" s="88"/>
      <c r="AIS23" s="88"/>
      <c r="AIT23" s="88"/>
      <c r="AIU23" s="88"/>
      <c r="AIV23" s="88"/>
      <c r="AIW23" s="88"/>
      <c r="AIX23" s="88"/>
      <c r="AIY23" s="88"/>
      <c r="AIZ23" s="88"/>
      <c r="AJA23" s="88"/>
      <c r="AJB23" s="88"/>
      <c r="AJC23" s="88"/>
      <c r="AJD23" s="88"/>
      <c r="AJE23" s="88"/>
      <c r="AJF23" s="88"/>
      <c r="AJG23" s="88"/>
      <c r="AJH23" s="88"/>
      <c r="AJI23" s="88"/>
      <c r="AJJ23" s="88"/>
      <c r="AJK23" s="88"/>
      <c r="AJL23" s="88"/>
      <c r="AJM23" s="88"/>
      <c r="AJN23" s="88"/>
      <c r="AJO23" s="88"/>
      <c r="AJP23" s="88"/>
      <c r="AJQ23" s="88"/>
      <c r="AJR23" s="88"/>
      <c r="AJS23" s="88"/>
      <c r="AJT23" s="88"/>
      <c r="AJU23" s="88"/>
      <c r="AJV23" s="88"/>
      <c r="AJW23" s="88"/>
      <c r="AJX23" s="88"/>
      <c r="AJY23" s="88"/>
      <c r="AJZ23" s="88"/>
      <c r="AKA23" s="88"/>
      <c r="AKB23" s="88"/>
      <c r="AKC23" s="88"/>
      <c r="AKD23" s="88"/>
      <c r="AKE23" s="88"/>
      <c r="AKF23" s="88"/>
      <c r="AKG23" s="88"/>
      <c r="AKH23" s="88"/>
      <c r="AKI23" s="88"/>
      <c r="AKJ23" s="88"/>
      <c r="AKK23" s="88"/>
      <c r="AKL23" s="88"/>
      <c r="AKM23" s="88"/>
      <c r="AKN23" s="88"/>
      <c r="AKO23" s="88"/>
      <c r="AKP23" s="88"/>
      <c r="AKQ23" s="88"/>
      <c r="AKR23" s="88"/>
      <c r="AKS23" s="88"/>
      <c r="AKT23" s="88"/>
      <c r="AKU23" s="88"/>
      <c r="AKV23" s="88"/>
      <c r="AKW23" s="88"/>
      <c r="AKX23" s="88"/>
      <c r="AKY23" s="88"/>
      <c r="AKZ23" s="88"/>
      <c r="ALA23" s="88"/>
      <c r="ALB23" s="88"/>
      <c r="ALC23" s="88"/>
      <c r="ALD23" s="88"/>
      <c r="ALE23" s="88"/>
      <c r="ALF23" s="88"/>
      <c r="ALG23" s="88"/>
      <c r="ALH23" s="88"/>
      <c r="ALI23" s="88"/>
      <c r="ALJ23" s="88"/>
      <c r="ALK23" s="88"/>
      <c r="ALL23" s="88"/>
      <c r="ALM23" s="88"/>
      <c r="ALN23" s="88"/>
      <c r="ALO23" s="88"/>
      <c r="ALP23" s="88"/>
      <c r="ALQ23" s="88"/>
      <c r="ALR23" s="88"/>
      <c r="ALS23" s="88"/>
      <c r="ALT23" s="88"/>
      <c r="ALU23" s="88"/>
      <c r="ALV23" s="88"/>
      <c r="ALW23" s="88"/>
      <c r="ALX23" s="88"/>
      <c r="ALY23" s="88"/>
      <c r="ALZ23" s="88"/>
      <c r="AMA23" s="88"/>
      <c r="AMB23" s="88"/>
      <c r="AMC23" s="88"/>
      <c r="AMD23" s="88"/>
      <c r="AME23" s="88"/>
      <c r="AMF23" s="88"/>
      <c r="AMG23" s="88"/>
      <c r="AMH23" s="88"/>
      <c r="AMI23" s="88"/>
      <c r="AMJ23" s="88"/>
      <c r="AMK23" s="88"/>
      <c r="AML23" s="88"/>
      <c r="AMM23" s="88"/>
      <c r="AMN23" s="88"/>
      <c r="AMO23" s="88"/>
      <c r="AMP23" s="88"/>
      <c r="AMQ23" s="88"/>
      <c r="AMR23" s="88"/>
      <c r="AMS23" s="88"/>
      <c r="AMT23" s="88"/>
      <c r="AMU23" s="88"/>
      <c r="AMV23" s="88"/>
      <c r="AMW23" s="88"/>
      <c r="AMX23" s="88"/>
      <c r="AMY23" s="88"/>
      <c r="AMZ23" s="88"/>
      <c r="ANA23" s="88"/>
      <c r="ANB23" s="88"/>
      <c r="ANC23" s="88"/>
      <c r="AND23" s="88"/>
      <c r="ANE23" s="88"/>
      <c r="ANF23" s="88"/>
      <c r="ANG23" s="88"/>
      <c r="ANH23" s="88"/>
      <c r="ANI23" s="88"/>
      <c r="ANJ23" s="88"/>
      <c r="ANK23" s="88"/>
      <c r="ANL23" s="88"/>
      <c r="ANM23" s="88"/>
      <c r="ANN23" s="88"/>
      <c r="ANO23" s="88"/>
      <c r="ANP23" s="88"/>
      <c r="ANQ23" s="88"/>
      <c r="ANR23" s="88"/>
      <c r="ANS23" s="88"/>
      <c r="ANT23" s="88"/>
      <c r="ANU23" s="88"/>
      <c r="ANV23" s="88"/>
      <c r="ANW23" s="88"/>
      <c r="ANX23" s="88"/>
      <c r="ANY23" s="88"/>
      <c r="ANZ23" s="88"/>
      <c r="AOA23" s="88"/>
      <c r="AOB23" s="88"/>
      <c r="AOC23" s="88"/>
      <c r="AOD23" s="88"/>
      <c r="AOE23" s="88"/>
      <c r="AOF23" s="88"/>
      <c r="AOG23" s="88"/>
      <c r="AOH23" s="88"/>
      <c r="AOI23" s="88"/>
      <c r="AOJ23" s="88"/>
      <c r="AOK23" s="88"/>
      <c r="AOL23" s="88"/>
      <c r="AOM23" s="88"/>
      <c r="AON23" s="88"/>
      <c r="AOO23" s="88"/>
      <c r="AOP23" s="88"/>
      <c r="AOQ23" s="88"/>
      <c r="AOR23" s="88"/>
      <c r="AOS23" s="88"/>
      <c r="AOT23" s="88"/>
      <c r="AOU23" s="88"/>
      <c r="AOV23" s="88"/>
      <c r="AOW23" s="88"/>
      <c r="AOX23" s="88"/>
      <c r="AOY23" s="88"/>
      <c r="AOZ23" s="88"/>
      <c r="APA23" s="88"/>
      <c r="APB23" s="88"/>
      <c r="APC23" s="88"/>
      <c r="APD23" s="88"/>
      <c r="APE23" s="88"/>
      <c r="APF23" s="88"/>
      <c r="APG23" s="88"/>
      <c r="APH23" s="88"/>
      <c r="API23" s="88"/>
      <c r="APJ23" s="88"/>
      <c r="APK23" s="88"/>
      <c r="APL23" s="88"/>
      <c r="APM23" s="88"/>
      <c r="APN23" s="88"/>
      <c r="APO23" s="88"/>
      <c r="APP23" s="88"/>
      <c r="APQ23" s="88"/>
      <c r="APR23" s="88"/>
      <c r="APS23" s="88"/>
      <c r="APT23" s="88"/>
      <c r="APU23" s="88"/>
      <c r="APV23" s="88"/>
      <c r="APW23" s="88"/>
      <c r="APX23" s="88"/>
      <c r="APY23" s="88"/>
      <c r="APZ23" s="88"/>
      <c r="AQA23" s="88"/>
      <c r="AQB23" s="88"/>
      <c r="AQC23" s="88"/>
      <c r="AQD23" s="88"/>
      <c r="AQE23" s="88"/>
      <c r="AQF23" s="88"/>
      <c r="AQG23" s="88"/>
      <c r="AQH23" s="88"/>
      <c r="AQI23" s="88"/>
      <c r="AQJ23" s="88"/>
      <c r="AQK23" s="88"/>
      <c r="AQL23" s="88"/>
      <c r="AQM23" s="88"/>
      <c r="AQN23" s="88"/>
      <c r="AQO23" s="88"/>
      <c r="AQP23" s="88"/>
      <c r="AQQ23" s="88"/>
      <c r="AQR23" s="88"/>
      <c r="AQS23" s="88"/>
      <c r="AQT23" s="88"/>
      <c r="AQU23" s="88"/>
      <c r="AQV23" s="88"/>
      <c r="AQW23" s="88"/>
      <c r="AQX23" s="88"/>
      <c r="AQY23" s="88"/>
      <c r="AQZ23" s="88"/>
      <c r="ARA23" s="88"/>
      <c r="ARB23" s="88"/>
      <c r="ARC23" s="88"/>
      <c r="ARD23" s="88"/>
      <c r="ARE23" s="88"/>
      <c r="ARF23" s="88"/>
      <c r="ARG23" s="88"/>
      <c r="ARH23" s="88"/>
      <c r="ARI23" s="88"/>
      <c r="ARJ23" s="88"/>
      <c r="ARK23" s="88"/>
      <c r="ARL23" s="88"/>
      <c r="ARM23" s="88"/>
      <c r="ARN23" s="88"/>
      <c r="ARO23" s="88"/>
      <c r="ARP23" s="88"/>
      <c r="ARQ23" s="88"/>
      <c r="ARR23" s="88"/>
      <c r="ARS23" s="88"/>
      <c r="ART23" s="88"/>
      <c r="ARU23" s="88"/>
      <c r="ARV23" s="88"/>
      <c r="ARW23" s="88"/>
      <c r="ARX23" s="88"/>
      <c r="ARY23" s="88"/>
      <c r="ARZ23" s="88"/>
      <c r="ASA23" s="88"/>
      <c r="ASB23" s="88"/>
      <c r="ASC23" s="88"/>
      <c r="ASD23" s="88"/>
      <c r="ASE23" s="88"/>
      <c r="ASF23" s="88"/>
      <c r="ASG23" s="88"/>
      <c r="ASH23" s="88"/>
      <c r="ASI23" s="88"/>
      <c r="ASJ23" s="88"/>
      <c r="ASK23" s="88"/>
      <c r="ASL23" s="88"/>
      <c r="ASM23" s="88"/>
      <c r="ASN23" s="88"/>
      <c r="ASO23" s="88"/>
      <c r="ASP23" s="88"/>
      <c r="ASQ23" s="88"/>
      <c r="ASR23" s="88"/>
      <c r="ASS23" s="88"/>
      <c r="AST23" s="88"/>
      <c r="ASU23" s="88"/>
      <c r="ASV23" s="88"/>
      <c r="ASW23" s="88"/>
      <c r="ASX23" s="88"/>
      <c r="ASY23" s="88"/>
      <c r="ASZ23" s="88"/>
      <c r="ATA23" s="88"/>
      <c r="ATB23" s="88"/>
      <c r="ATC23" s="88"/>
      <c r="ATD23" s="88"/>
      <c r="ATE23" s="88"/>
      <c r="ATF23" s="88"/>
      <c r="ATG23" s="88"/>
      <c r="ATH23" s="88"/>
      <c r="ATI23" s="88"/>
      <c r="ATJ23" s="88"/>
      <c r="ATK23" s="88"/>
      <c r="ATL23" s="88"/>
      <c r="ATM23" s="88"/>
      <c r="ATN23" s="88"/>
      <c r="ATO23" s="88"/>
      <c r="ATP23" s="88"/>
      <c r="ATQ23" s="88"/>
      <c r="ATR23" s="88"/>
      <c r="ATS23" s="88"/>
      <c r="ATT23" s="88"/>
      <c r="ATU23" s="88"/>
      <c r="ATV23" s="88"/>
      <c r="ATW23" s="88"/>
      <c r="ATX23" s="88"/>
      <c r="ATY23" s="88"/>
      <c r="ATZ23" s="88"/>
      <c r="AUA23" s="88"/>
      <c r="AUB23" s="88"/>
      <c r="AUC23" s="88"/>
      <c r="AUD23" s="88"/>
      <c r="AUE23" s="88"/>
      <c r="AUF23" s="88"/>
      <c r="AUG23" s="88"/>
      <c r="AUH23" s="88"/>
      <c r="AUI23" s="88"/>
      <c r="AUJ23" s="88"/>
      <c r="AUK23" s="88"/>
      <c r="AUL23" s="88"/>
      <c r="AUM23" s="88"/>
      <c r="AUN23" s="88"/>
      <c r="AUO23" s="88"/>
      <c r="AUP23" s="88"/>
      <c r="AUQ23" s="88"/>
      <c r="AUR23" s="88"/>
      <c r="AUS23" s="88"/>
      <c r="AUT23" s="88"/>
      <c r="AUU23" s="88"/>
      <c r="AUV23" s="88"/>
      <c r="AUW23" s="88"/>
      <c r="AUX23" s="88"/>
      <c r="AUY23" s="88"/>
      <c r="AUZ23" s="88"/>
      <c r="AVA23" s="88"/>
      <c r="AVB23" s="88"/>
      <c r="AVC23" s="88"/>
      <c r="AVD23" s="88"/>
      <c r="AVE23" s="88"/>
      <c r="AVF23" s="88"/>
      <c r="AVG23" s="88"/>
      <c r="AVH23" s="88"/>
      <c r="AVI23" s="88"/>
      <c r="AVJ23" s="88"/>
      <c r="AVK23" s="88"/>
      <c r="AVL23" s="88"/>
      <c r="AVM23" s="88"/>
      <c r="AVN23" s="88"/>
      <c r="AVO23" s="88"/>
      <c r="AVP23" s="88"/>
      <c r="AVQ23" s="88"/>
      <c r="AVR23" s="88"/>
      <c r="AVS23" s="88"/>
      <c r="AVT23" s="88"/>
      <c r="AVU23" s="88"/>
      <c r="AVV23" s="88"/>
      <c r="AVW23" s="88"/>
      <c r="AVX23" s="88"/>
      <c r="AVY23" s="88"/>
      <c r="AVZ23" s="88"/>
      <c r="AWA23" s="88"/>
      <c r="AWB23" s="88"/>
      <c r="AWC23" s="88"/>
      <c r="AWD23" s="88"/>
      <c r="AWE23" s="88"/>
      <c r="AWF23" s="88"/>
      <c r="AWG23" s="88"/>
      <c r="AWH23" s="88"/>
      <c r="AWI23" s="88"/>
      <c r="AWJ23" s="88"/>
      <c r="AWK23" s="88"/>
      <c r="AWL23" s="88"/>
      <c r="AWM23" s="88"/>
      <c r="AWN23" s="88"/>
      <c r="AWO23" s="88"/>
      <c r="AWP23" s="88"/>
      <c r="AWQ23" s="88"/>
      <c r="AWR23" s="88"/>
      <c r="AWS23" s="88"/>
      <c r="AWT23" s="88"/>
      <c r="AWU23" s="88"/>
      <c r="AWV23" s="88"/>
      <c r="AWW23" s="88"/>
      <c r="AWX23" s="88"/>
      <c r="AWY23" s="88"/>
      <c r="AWZ23" s="88"/>
      <c r="AXA23" s="88"/>
      <c r="AXB23" s="88"/>
      <c r="AXC23" s="88"/>
      <c r="AXD23" s="88"/>
      <c r="AXE23" s="88"/>
      <c r="AXF23" s="88"/>
      <c r="AXG23" s="88"/>
      <c r="AXH23" s="88"/>
      <c r="AXI23" s="88"/>
      <c r="AXJ23" s="88"/>
      <c r="AXK23" s="88"/>
      <c r="AXL23" s="88"/>
      <c r="AXM23" s="88"/>
      <c r="AXN23" s="88"/>
      <c r="AXO23" s="88"/>
      <c r="AXP23" s="88"/>
      <c r="AXQ23" s="88"/>
      <c r="AXR23" s="88"/>
      <c r="AXS23" s="88"/>
      <c r="AXT23" s="88"/>
      <c r="AXU23" s="88"/>
      <c r="AXV23" s="88"/>
      <c r="AXW23" s="88"/>
      <c r="AXX23" s="88"/>
      <c r="AXY23" s="88"/>
      <c r="AXZ23" s="88"/>
      <c r="AYA23" s="88"/>
      <c r="AYB23" s="88"/>
      <c r="AYC23" s="88"/>
      <c r="AYD23" s="88"/>
      <c r="AYE23" s="88"/>
      <c r="AYF23" s="88"/>
      <c r="AYG23" s="88"/>
      <c r="AYH23" s="88"/>
      <c r="AYI23" s="88"/>
      <c r="AYJ23" s="88"/>
      <c r="AYK23" s="88"/>
      <c r="AYL23" s="88"/>
      <c r="AYM23" s="88"/>
      <c r="AYN23" s="88"/>
      <c r="AYO23" s="88"/>
      <c r="AYP23" s="88"/>
      <c r="AYQ23" s="88"/>
      <c r="AYR23" s="88"/>
      <c r="AYS23" s="88"/>
      <c r="AYT23" s="88"/>
      <c r="AYU23" s="88"/>
      <c r="AYV23" s="88"/>
      <c r="AYW23" s="88"/>
      <c r="AYX23" s="88"/>
      <c r="AYY23" s="88"/>
      <c r="AYZ23" s="88"/>
      <c r="AZA23" s="88"/>
      <c r="AZB23" s="88"/>
      <c r="AZC23" s="88"/>
      <c r="AZD23" s="88"/>
      <c r="AZE23" s="88"/>
      <c r="AZF23" s="88"/>
      <c r="AZG23" s="88"/>
      <c r="AZH23" s="88"/>
      <c r="AZI23" s="88"/>
      <c r="AZJ23" s="88"/>
      <c r="AZK23" s="88"/>
      <c r="AZL23" s="88"/>
      <c r="AZM23" s="88"/>
      <c r="AZN23" s="88"/>
      <c r="AZO23" s="88"/>
      <c r="AZP23" s="88"/>
      <c r="AZQ23" s="88"/>
      <c r="AZR23" s="88"/>
      <c r="AZS23" s="88"/>
      <c r="AZT23" s="88"/>
      <c r="AZU23" s="88"/>
      <c r="AZV23" s="88"/>
      <c r="AZW23" s="88"/>
      <c r="AZX23" s="88"/>
      <c r="AZY23" s="88"/>
      <c r="AZZ23" s="88"/>
      <c r="BAA23" s="88"/>
      <c r="BAB23" s="88"/>
      <c r="BAC23" s="88"/>
      <c r="BAD23" s="88"/>
      <c r="BAE23" s="88"/>
      <c r="BAF23" s="88"/>
      <c r="BAG23" s="88"/>
      <c r="BAH23" s="88"/>
      <c r="BAI23" s="88"/>
      <c r="BAJ23" s="88"/>
      <c r="BAK23" s="88"/>
      <c r="BAL23" s="88"/>
      <c r="BAM23" s="88"/>
      <c r="BAN23" s="88"/>
      <c r="BAO23" s="88"/>
      <c r="BAP23" s="88"/>
      <c r="BAQ23" s="88"/>
      <c r="BAR23" s="88"/>
      <c r="BAS23" s="88"/>
      <c r="BAT23" s="88"/>
      <c r="BAU23" s="88"/>
      <c r="BAV23" s="88"/>
      <c r="BAW23" s="88"/>
      <c r="BAX23" s="88"/>
      <c r="BAY23" s="88"/>
      <c r="BAZ23" s="88"/>
      <c r="BBA23" s="88"/>
      <c r="BBB23" s="88"/>
      <c r="BBC23" s="88"/>
      <c r="BBD23" s="88"/>
      <c r="BBE23" s="88"/>
      <c r="BBF23" s="88"/>
      <c r="BBG23" s="88"/>
      <c r="BBH23" s="88"/>
      <c r="BBI23" s="88"/>
      <c r="BBJ23" s="88"/>
      <c r="BBK23" s="88"/>
      <c r="BBL23" s="88"/>
      <c r="BBM23" s="88"/>
      <c r="BBN23" s="88"/>
      <c r="BBO23" s="88"/>
      <c r="BBP23" s="88"/>
      <c r="BBQ23" s="88"/>
      <c r="BBR23" s="88"/>
      <c r="BBS23" s="88"/>
      <c r="BBT23" s="88"/>
      <c r="BBU23" s="88"/>
      <c r="BBV23" s="88"/>
      <c r="BBW23" s="88"/>
      <c r="BBX23" s="88"/>
      <c r="BBY23" s="88"/>
      <c r="BBZ23" s="88"/>
      <c r="BCA23" s="88"/>
      <c r="BCB23" s="88"/>
      <c r="BCC23" s="88"/>
      <c r="BCD23" s="88"/>
      <c r="BCE23" s="88"/>
      <c r="BCF23" s="88"/>
      <c r="BCG23" s="88"/>
      <c r="BCH23" s="88"/>
      <c r="BCI23" s="88"/>
      <c r="BCJ23" s="88"/>
      <c r="BCK23" s="88"/>
      <c r="BCL23" s="88"/>
      <c r="BCM23" s="88"/>
      <c r="BCN23" s="88"/>
      <c r="BCO23" s="88"/>
      <c r="BCP23" s="88"/>
      <c r="BCQ23" s="88"/>
      <c r="BCR23" s="88"/>
      <c r="BCS23" s="88"/>
      <c r="BCT23" s="88"/>
      <c r="BCU23" s="88"/>
      <c r="BCV23" s="88"/>
      <c r="BCW23" s="88"/>
      <c r="BCX23" s="88"/>
      <c r="BCY23" s="88"/>
      <c r="BCZ23" s="88"/>
      <c r="BDA23" s="88"/>
      <c r="BDB23" s="88"/>
      <c r="BDC23" s="88"/>
      <c r="BDD23" s="88"/>
      <c r="BDE23" s="88"/>
      <c r="BDF23" s="88"/>
      <c r="BDG23" s="88"/>
      <c r="BDH23" s="88"/>
      <c r="BDI23" s="88"/>
      <c r="BDJ23" s="88"/>
      <c r="BDK23" s="88"/>
      <c r="BDL23" s="88"/>
      <c r="BDM23" s="88"/>
      <c r="BDN23" s="88"/>
      <c r="BDO23" s="88"/>
      <c r="BDP23" s="88"/>
      <c r="BDQ23" s="88"/>
      <c r="BDR23" s="88"/>
      <c r="BDS23" s="88"/>
      <c r="BDT23" s="88"/>
      <c r="BDU23" s="88"/>
      <c r="BDV23" s="88"/>
      <c r="BDW23" s="88"/>
      <c r="BDX23" s="88"/>
      <c r="BDY23" s="88"/>
      <c r="BDZ23" s="88"/>
      <c r="BEA23" s="88"/>
      <c r="BEB23" s="88"/>
      <c r="BEC23" s="88"/>
      <c r="BED23" s="88"/>
      <c r="BEE23" s="88"/>
      <c r="BEF23" s="88"/>
      <c r="BEG23" s="88"/>
      <c r="BEH23" s="88"/>
      <c r="BEI23" s="88"/>
      <c r="BEJ23" s="88"/>
      <c r="BEK23" s="88"/>
      <c r="BEL23" s="88"/>
      <c r="BEM23" s="88"/>
      <c r="BEN23" s="88"/>
      <c r="BEO23" s="88"/>
      <c r="BEP23" s="88"/>
      <c r="BEQ23" s="88"/>
      <c r="BER23" s="88"/>
      <c r="BES23" s="88"/>
      <c r="BET23" s="88"/>
      <c r="BEU23" s="88"/>
      <c r="BEV23" s="88"/>
      <c r="BEW23" s="88"/>
      <c r="BEX23" s="88"/>
      <c r="BEY23" s="88"/>
      <c r="BEZ23" s="88"/>
      <c r="BFA23" s="88"/>
      <c r="BFB23" s="88"/>
      <c r="BFC23" s="88"/>
      <c r="BFD23" s="88"/>
      <c r="BFE23" s="88"/>
      <c r="BFF23" s="88"/>
      <c r="BFG23" s="88"/>
      <c r="BFH23" s="88"/>
      <c r="BFI23" s="88"/>
      <c r="BFJ23" s="88"/>
      <c r="BFK23" s="88"/>
      <c r="BFL23" s="88"/>
      <c r="BFM23" s="88"/>
      <c r="BFN23" s="88"/>
      <c r="BFO23" s="88"/>
      <c r="BFP23" s="88"/>
      <c r="BFQ23" s="88"/>
      <c r="BFR23" s="88"/>
      <c r="BFS23" s="88"/>
      <c r="BFT23" s="88"/>
      <c r="BFU23" s="88"/>
      <c r="BFV23" s="88"/>
      <c r="BFW23" s="88"/>
      <c r="BFX23" s="88"/>
      <c r="BFY23" s="88"/>
      <c r="BFZ23" s="88"/>
      <c r="BGA23" s="88"/>
      <c r="BGB23" s="88"/>
      <c r="BGC23" s="88"/>
      <c r="BGD23" s="88"/>
      <c r="BGE23" s="88"/>
      <c r="BGF23" s="88"/>
      <c r="BGG23" s="88"/>
      <c r="BGH23" s="88"/>
      <c r="BGI23" s="88"/>
      <c r="BGJ23" s="88"/>
      <c r="BGK23" s="88"/>
      <c r="BGL23" s="88"/>
      <c r="BGM23" s="88"/>
      <c r="BGN23" s="88"/>
      <c r="BGO23" s="88"/>
      <c r="BGP23" s="88"/>
      <c r="BGQ23" s="88"/>
      <c r="BGR23" s="88"/>
      <c r="BGS23" s="88"/>
      <c r="BGT23" s="88"/>
      <c r="BGU23" s="88"/>
      <c r="BGV23" s="88"/>
      <c r="BGW23" s="88"/>
      <c r="BGX23" s="88"/>
      <c r="BGY23" s="88"/>
      <c r="BGZ23" s="88"/>
      <c r="BHA23" s="88"/>
      <c r="BHB23" s="88"/>
      <c r="BHC23" s="88"/>
      <c r="BHD23" s="88"/>
      <c r="BHE23" s="88"/>
      <c r="BHF23" s="88"/>
      <c r="BHG23" s="88"/>
      <c r="BHH23" s="88"/>
      <c r="BHI23" s="88"/>
      <c r="BHJ23" s="88"/>
      <c r="BHK23" s="88"/>
      <c r="BHL23" s="88"/>
      <c r="BHM23" s="88"/>
      <c r="BHN23" s="88"/>
      <c r="BHO23" s="88"/>
      <c r="BHP23" s="88"/>
      <c r="BHQ23" s="88"/>
      <c r="BHR23" s="88"/>
      <c r="BHS23" s="88"/>
      <c r="BHT23" s="88"/>
      <c r="BHU23" s="88"/>
      <c r="BHV23" s="88"/>
      <c r="BHW23" s="88"/>
      <c r="BHX23" s="88"/>
      <c r="BHY23" s="88"/>
      <c r="BHZ23" s="88"/>
      <c r="BIA23" s="88"/>
      <c r="BIB23" s="88"/>
      <c r="BIC23" s="88"/>
      <c r="BID23" s="88"/>
      <c r="BIE23" s="88"/>
      <c r="BIF23" s="88"/>
      <c r="BIG23" s="88"/>
      <c r="BIH23" s="88"/>
      <c r="BII23" s="88"/>
      <c r="BIJ23" s="88"/>
      <c r="BIK23" s="88"/>
      <c r="BIL23" s="88"/>
      <c r="BIM23" s="88"/>
      <c r="BIN23" s="88"/>
      <c r="BIO23" s="88"/>
      <c r="BIP23" s="88"/>
      <c r="BIQ23" s="88"/>
      <c r="BIR23" s="88"/>
      <c r="BIS23" s="88"/>
      <c r="BIT23" s="88"/>
      <c r="BIU23" s="88"/>
      <c r="BIV23" s="88"/>
      <c r="BIW23" s="88"/>
      <c r="BIX23" s="88"/>
      <c r="BIY23" s="88"/>
      <c r="BIZ23" s="88"/>
      <c r="BJA23" s="88"/>
      <c r="BJB23" s="88"/>
      <c r="BJC23" s="88"/>
      <c r="BJD23" s="88"/>
      <c r="BJE23" s="88"/>
      <c r="BJF23" s="88"/>
      <c r="BJG23" s="88"/>
      <c r="BJH23" s="88"/>
      <c r="BJI23" s="88"/>
      <c r="BJJ23" s="88"/>
      <c r="BJK23" s="88"/>
      <c r="BJL23" s="88"/>
      <c r="BJM23" s="88"/>
      <c r="BJN23" s="88"/>
      <c r="BJO23" s="88"/>
      <c r="BJP23" s="88"/>
      <c r="BJQ23" s="88"/>
      <c r="BJR23" s="88"/>
      <c r="BJS23" s="88"/>
      <c r="BJT23" s="88"/>
      <c r="BJU23" s="88"/>
      <c r="BJV23" s="88"/>
      <c r="BJW23" s="88"/>
      <c r="BJX23" s="88"/>
      <c r="BJY23" s="88"/>
      <c r="BJZ23" s="88"/>
      <c r="BKA23" s="88"/>
      <c r="BKB23" s="88"/>
      <c r="BKC23" s="88"/>
      <c r="BKD23" s="88"/>
      <c r="BKE23" s="88"/>
      <c r="BKF23" s="88"/>
      <c r="BKG23" s="88"/>
      <c r="BKH23" s="88"/>
      <c r="BKI23" s="88"/>
      <c r="BKJ23" s="88"/>
      <c r="BKK23" s="88"/>
      <c r="BKL23" s="88"/>
      <c r="BKM23" s="88"/>
      <c r="BKN23" s="88"/>
      <c r="BKO23" s="88"/>
      <c r="BKP23" s="88"/>
      <c r="BKQ23" s="88"/>
      <c r="BKR23" s="88"/>
      <c r="BKS23" s="88"/>
      <c r="BKT23" s="88"/>
      <c r="BKU23" s="88"/>
      <c r="BKV23" s="88"/>
      <c r="BKW23" s="88"/>
      <c r="BKX23" s="88"/>
      <c r="BKY23" s="88"/>
      <c r="BKZ23" s="88"/>
      <c r="BLA23" s="88"/>
      <c r="BLB23" s="88"/>
      <c r="BLC23" s="88"/>
      <c r="BLD23" s="88"/>
      <c r="BLE23" s="88"/>
      <c r="BLF23" s="88"/>
      <c r="BLG23" s="88"/>
      <c r="BLH23" s="88"/>
      <c r="BLI23" s="88"/>
      <c r="BLJ23" s="88"/>
      <c r="BLK23" s="88"/>
      <c r="BLL23" s="88"/>
      <c r="BLM23" s="88"/>
      <c r="BLN23" s="88"/>
      <c r="BLO23" s="88"/>
      <c r="BLP23" s="88"/>
      <c r="BLQ23" s="88"/>
      <c r="BLR23" s="88"/>
      <c r="BLS23" s="88"/>
      <c r="BLT23" s="88"/>
      <c r="BLU23" s="88"/>
      <c r="BLV23" s="88"/>
      <c r="BLW23" s="88"/>
      <c r="BLX23" s="88"/>
      <c r="BLY23" s="88"/>
      <c r="BLZ23" s="88"/>
      <c r="BMA23" s="88"/>
      <c r="BMB23" s="88"/>
      <c r="BMC23" s="88"/>
      <c r="BMD23" s="88"/>
      <c r="BME23" s="88"/>
      <c r="BMF23" s="88"/>
      <c r="BMG23" s="88"/>
      <c r="BMH23" s="88"/>
      <c r="BMI23" s="88"/>
      <c r="BMJ23" s="88"/>
      <c r="BMK23" s="88"/>
      <c r="BML23" s="88"/>
      <c r="BMM23" s="88"/>
      <c r="BMN23" s="88"/>
      <c r="BMO23" s="88"/>
      <c r="BMP23" s="88"/>
      <c r="BMQ23" s="88"/>
      <c r="BMR23" s="88"/>
      <c r="BMS23" s="88"/>
      <c r="BMT23" s="88"/>
      <c r="BMU23" s="88"/>
      <c r="BMV23" s="88"/>
      <c r="BMW23" s="88"/>
      <c r="BMX23" s="88"/>
      <c r="BMY23" s="88"/>
      <c r="BMZ23" s="88"/>
      <c r="BNA23" s="88"/>
      <c r="BNB23" s="88"/>
      <c r="BNC23" s="88"/>
      <c r="BND23" s="88"/>
      <c r="BNE23" s="88"/>
      <c r="BNF23" s="88"/>
      <c r="BNG23" s="88"/>
      <c r="BNH23" s="88"/>
      <c r="BNI23" s="88"/>
      <c r="BNJ23" s="88"/>
      <c r="BNK23" s="88"/>
      <c r="BNL23" s="88"/>
      <c r="BNM23" s="88"/>
      <c r="BNN23" s="88"/>
      <c r="BNO23" s="88"/>
      <c r="BNP23" s="88"/>
      <c r="BNQ23" s="88"/>
      <c r="BNR23" s="88"/>
      <c r="BNS23" s="88"/>
      <c r="BNT23" s="88"/>
      <c r="BNU23" s="88"/>
      <c r="BNV23" s="88"/>
      <c r="BNW23" s="88"/>
      <c r="BNX23" s="88"/>
      <c r="BNY23" s="88"/>
      <c r="BNZ23" s="88"/>
      <c r="BOA23" s="88"/>
      <c r="BOB23" s="88"/>
      <c r="BOC23" s="88"/>
      <c r="BOD23" s="88"/>
      <c r="BOE23" s="88"/>
      <c r="BOF23" s="88"/>
      <c r="BOG23" s="88"/>
      <c r="BOH23" s="88"/>
      <c r="BOI23" s="88"/>
      <c r="BOJ23" s="88"/>
      <c r="BOK23" s="88"/>
      <c r="BOL23" s="88"/>
      <c r="BOM23" s="88"/>
      <c r="BON23" s="88"/>
      <c r="BOO23" s="88"/>
      <c r="BOP23" s="88"/>
      <c r="BOQ23" s="88"/>
      <c r="BOR23" s="88"/>
      <c r="BOS23" s="88"/>
      <c r="BOT23" s="88"/>
      <c r="BOU23" s="88"/>
      <c r="BOV23" s="88"/>
      <c r="BOW23" s="88"/>
      <c r="BOX23" s="88"/>
      <c r="BOY23" s="88"/>
      <c r="BOZ23" s="88"/>
      <c r="BPA23" s="88"/>
      <c r="BPB23" s="88"/>
      <c r="BPC23" s="88"/>
      <c r="BPD23" s="88"/>
      <c r="BPE23" s="88"/>
      <c r="BPF23" s="88"/>
      <c r="BPG23" s="88"/>
      <c r="BPH23" s="88"/>
      <c r="BPI23" s="88"/>
      <c r="BPJ23" s="88"/>
      <c r="BPK23" s="88"/>
      <c r="BPL23" s="88"/>
      <c r="BPM23" s="88"/>
      <c r="BPN23" s="88"/>
      <c r="BPO23" s="88"/>
      <c r="BPP23" s="88"/>
      <c r="BPQ23" s="88"/>
      <c r="BPR23" s="88"/>
      <c r="BPS23" s="88"/>
      <c r="BPT23" s="88"/>
      <c r="BPU23" s="88"/>
      <c r="BPV23" s="88"/>
      <c r="BPW23" s="88"/>
      <c r="BPX23" s="88"/>
      <c r="BPY23" s="88"/>
      <c r="BPZ23" s="88"/>
      <c r="BQA23" s="88"/>
      <c r="BQB23" s="88"/>
      <c r="BQC23" s="88"/>
      <c r="BQD23" s="88"/>
      <c r="BQE23" s="88"/>
      <c r="BQF23" s="88"/>
      <c r="BQG23" s="88"/>
      <c r="BQH23" s="88"/>
      <c r="BQI23" s="88"/>
      <c r="BQJ23" s="88"/>
      <c r="BQK23" s="88"/>
      <c r="BQL23" s="88"/>
      <c r="BQM23" s="88"/>
      <c r="BQN23" s="88"/>
      <c r="BQO23" s="88"/>
      <c r="BQP23" s="88"/>
      <c r="BQQ23" s="88"/>
      <c r="BQR23" s="88"/>
      <c r="BQS23" s="88"/>
      <c r="BQT23" s="88"/>
      <c r="BQU23" s="88"/>
      <c r="BQV23" s="88"/>
      <c r="BQW23" s="88"/>
      <c r="BQX23" s="88"/>
      <c r="BQY23" s="88"/>
      <c r="BQZ23" s="88"/>
      <c r="BRA23" s="88"/>
      <c r="BRB23" s="88"/>
      <c r="BRC23" s="88"/>
      <c r="BRD23" s="88"/>
      <c r="BRE23" s="88"/>
      <c r="BRF23" s="88"/>
      <c r="BRG23" s="88"/>
      <c r="BRH23" s="88"/>
      <c r="BRI23" s="88"/>
      <c r="BRJ23" s="88"/>
      <c r="BRK23" s="88"/>
      <c r="BRL23" s="88"/>
      <c r="BRM23" s="88"/>
      <c r="BRN23" s="88"/>
      <c r="BRO23" s="88"/>
      <c r="BRP23" s="88"/>
      <c r="BRQ23" s="88"/>
      <c r="BRR23" s="88"/>
      <c r="BRS23" s="88"/>
      <c r="BRT23" s="88"/>
      <c r="BRU23" s="88"/>
      <c r="BRV23" s="88"/>
      <c r="BRW23" s="88"/>
      <c r="BRX23" s="88"/>
      <c r="BRY23" s="88"/>
      <c r="BRZ23" s="88"/>
      <c r="BSA23" s="88"/>
      <c r="BSB23" s="88"/>
      <c r="BSC23" s="88"/>
      <c r="BSD23" s="88"/>
      <c r="BSE23" s="88"/>
      <c r="BSF23" s="88"/>
      <c r="BSG23" s="88"/>
      <c r="BSH23" s="88"/>
      <c r="BSI23" s="88"/>
      <c r="BSJ23" s="88"/>
      <c r="BSK23" s="88"/>
      <c r="BSL23" s="88"/>
      <c r="BSM23" s="88"/>
      <c r="BSN23" s="88"/>
      <c r="BSO23" s="88"/>
      <c r="BSP23" s="88"/>
      <c r="BSQ23" s="88"/>
      <c r="BSR23" s="88"/>
      <c r="BSS23" s="88"/>
      <c r="BST23" s="88"/>
      <c r="BSU23" s="88"/>
      <c r="BSV23" s="88"/>
      <c r="BSW23" s="88"/>
      <c r="BSX23" s="88"/>
      <c r="BSY23" s="88"/>
      <c r="BSZ23" s="88"/>
      <c r="BTA23" s="88"/>
      <c r="BTB23" s="88"/>
      <c r="BTC23" s="88"/>
      <c r="BTD23" s="88"/>
      <c r="BTE23" s="88"/>
      <c r="BTF23" s="88"/>
      <c r="BTG23" s="88"/>
      <c r="BTH23" s="88"/>
      <c r="BTI23" s="88"/>
      <c r="BTJ23" s="88"/>
      <c r="BTK23" s="88"/>
      <c r="BTL23" s="88"/>
      <c r="BTM23" s="88"/>
      <c r="BTN23" s="88"/>
      <c r="BTO23" s="88"/>
      <c r="BTP23" s="88"/>
      <c r="BTQ23" s="88"/>
      <c r="BTR23" s="88"/>
      <c r="BTS23" s="88"/>
      <c r="BTT23" s="88"/>
      <c r="BTU23" s="88"/>
      <c r="BTV23" s="88"/>
      <c r="BTW23" s="88"/>
      <c r="BTX23" s="88"/>
      <c r="BTY23" s="88"/>
      <c r="BTZ23" s="88"/>
      <c r="BUA23" s="88"/>
      <c r="BUB23" s="88"/>
      <c r="BUC23" s="88"/>
      <c r="BUD23" s="88"/>
      <c r="BUE23" s="88"/>
      <c r="BUF23" s="88"/>
      <c r="BUG23" s="88"/>
      <c r="BUH23" s="88"/>
      <c r="BUI23" s="88"/>
      <c r="BUJ23" s="88"/>
      <c r="BUK23" s="88"/>
      <c r="BUL23" s="88"/>
      <c r="BUM23" s="88"/>
      <c r="BUN23" s="88"/>
      <c r="BUO23" s="88"/>
      <c r="BUP23" s="88"/>
      <c r="BUQ23" s="88"/>
      <c r="BUR23" s="88"/>
      <c r="BUS23" s="88"/>
      <c r="BUT23" s="88"/>
      <c r="BUU23" s="88"/>
      <c r="BUV23" s="88"/>
      <c r="BUW23" s="88"/>
      <c r="BUX23" s="88"/>
      <c r="BUY23" s="88"/>
      <c r="BUZ23" s="88"/>
      <c r="BVA23" s="88"/>
      <c r="BVB23" s="88"/>
      <c r="BVC23" s="88"/>
      <c r="BVD23" s="88"/>
      <c r="BVE23" s="88"/>
      <c r="BVF23" s="88"/>
      <c r="BVG23" s="88"/>
      <c r="BVH23" s="88"/>
      <c r="BVI23" s="88"/>
      <c r="BVJ23" s="88"/>
      <c r="BVK23" s="88"/>
      <c r="BVL23" s="88"/>
      <c r="BVM23" s="88"/>
      <c r="BVN23" s="88"/>
      <c r="BVO23" s="88"/>
      <c r="BVP23" s="88"/>
      <c r="BVQ23" s="88"/>
      <c r="BVR23" s="88"/>
      <c r="BVS23" s="88"/>
      <c r="BVT23" s="88"/>
      <c r="BVU23" s="88"/>
      <c r="BVV23" s="88"/>
      <c r="BVW23" s="88"/>
      <c r="BVX23" s="88"/>
      <c r="BVY23" s="88"/>
      <c r="BVZ23" s="88"/>
      <c r="BWA23" s="88"/>
      <c r="BWB23" s="88"/>
      <c r="BWC23" s="88"/>
      <c r="BWD23" s="88"/>
      <c r="BWE23" s="88"/>
      <c r="BWF23" s="88"/>
      <c r="BWG23" s="88"/>
      <c r="BWH23" s="88"/>
      <c r="BWI23" s="88"/>
      <c r="BWJ23" s="88"/>
      <c r="BWK23" s="88"/>
      <c r="BWL23" s="88"/>
      <c r="BWM23" s="88"/>
      <c r="BWN23" s="88"/>
      <c r="BWO23" s="88"/>
      <c r="BWP23" s="88"/>
      <c r="BWQ23" s="88"/>
      <c r="BWR23" s="88"/>
      <c r="BWS23" s="88"/>
      <c r="BWT23" s="88"/>
      <c r="BWU23" s="88"/>
      <c r="BWV23" s="88"/>
      <c r="BWW23" s="88"/>
      <c r="BWX23" s="88"/>
      <c r="BWY23" s="88"/>
      <c r="BWZ23" s="88"/>
      <c r="BXA23" s="88"/>
      <c r="BXB23" s="88"/>
      <c r="BXC23" s="88"/>
      <c r="BXD23" s="88"/>
      <c r="BXE23" s="88"/>
      <c r="BXF23" s="88"/>
      <c r="BXG23" s="88"/>
      <c r="BXH23" s="88"/>
      <c r="BXI23" s="88"/>
      <c r="BXJ23" s="88"/>
      <c r="BXK23" s="88"/>
      <c r="BXL23" s="88"/>
      <c r="BXM23" s="88"/>
      <c r="BXN23" s="88"/>
      <c r="BXO23" s="88"/>
      <c r="BXP23" s="88"/>
      <c r="BXQ23" s="88"/>
      <c r="BXR23" s="88"/>
      <c r="BXS23" s="88"/>
      <c r="BXT23" s="88"/>
      <c r="BXU23" s="88"/>
      <c r="BXV23" s="88"/>
      <c r="BXW23" s="88"/>
      <c r="BXX23" s="88"/>
      <c r="BXY23" s="88"/>
      <c r="BXZ23" s="88"/>
      <c r="BYA23" s="88"/>
      <c r="BYB23" s="88"/>
      <c r="BYC23" s="88"/>
      <c r="BYD23" s="88"/>
      <c r="BYE23" s="88"/>
      <c r="BYF23" s="88"/>
      <c r="BYG23" s="88"/>
      <c r="BYH23" s="88"/>
      <c r="BYI23" s="88"/>
      <c r="BYJ23" s="88"/>
      <c r="BYK23" s="88"/>
      <c r="BYL23" s="88"/>
      <c r="BYM23" s="88"/>
      <c r="BYN23" s="88"/>
      <c r="BYO23" s="88"/>
      <c r="BYP23" s="88"/>
      <c r="BYQ23" s="88"/>
      <c r="BYR23" s="88"/>
      <c r="BYS23" s="88"/>
      <c r="BYT23" s="88"/>
      <c r="BYU23" s="88"/>
      <c r="BYV23" s="88"/>
      <c r="BYW23" s="88"/>
      <c r="BYX23" s="88"/>
      <c r="BYY23" s="88"/>
      <c r="BYZ23" s="88"/>
      <c r="BZA23" s="88"/>
      <c r="BZB23" s="88"/>
      <c r="BZC23" s="88"/>
      <c r="BZD23" s="88"/>
      <c r="BZE23" s="88"/>
      <c r="BZF23" s="88"/>
      <c r="BZG23" s="88"/>
      <c r="BZH23" s="88"/>
      <c r="BZI23" s="88"/>
      <c r="BZJ23" s="88"/>
      <c r="BZK23" s="88"/>
      <c r="BZL23" s="88"/>
      <c r="BZM23" s="88"/>
      <c r="BZN23" s="88"/>
      <c r="BZO23" s="88"/>
      <c r="BZP23" s="88"/>
      <c r="BZQ23" s="88"/>
      <c r="BZR23" s="88"/>
      <c r="BZS23" s="88"/>
      <c r="BZT23" s="88"/>
      <c r="BZU23" s="88"/>
      <c r="BZV23" s="88"/>
      <c r="BZW23" s="88"/>
      <c r="BZX23" s="88"/>
      <c r="BZY23" s="88"/>
      <c r="BZZ23" s="88"/>
      <c r="CAA23" s="88"/>
      <c r="CAB23" s="88"/>
      <c r="CAC23" s="88"/>
      <c r="CAD23" s="88"/>
      <c r="CAE23" s="88"/>
      <c r="CAF23" s="88"/>
      <c r="CAG23" s="88"/>
      <c r="CAH23" s="88"/>
      <c r="CAI23" s="88"/>
      <c r="CAJ23" s="88"/>
      <c r="CAK23" s="88"/>
      <c r="CAL23" s="88"/>
      <c r="CAM23" s="88"/>
      <c r="CAN23" s="88"/>
      <c r="CAO23" s="88"/>
      <c r="CAP23" s="88"/>
      <c r="CAQ23" s="88"/>
      <c r="CAR23" s="88"/>
      <c r="CAS23" s="88"/>
      <c r="CAT23" s="88"/>
      <c r="CAU23" s="88"/>
      <c r="CAV23" s="88"/>
      <c r="CAW23" s="88"/>
      <c r="CAX23" s="88"/>
      <c r="CAY23" s="88"/>
      <c r="CAZ23" s="88"/>
      <c r="CBA23" s="88"/>
      <c r="CBB23" s="88"/>
      <c r="CBC23" s="88"/>
      <c r="CBD23" s="88"/>
      <c r="CBE23" s="88"/>
      <c r="CBF23" s="88"/>
      <c r="CBG23" s="88"/>
      <c r="CBH23" s="88"/>
      <c r="CBI23" s="88"/>
      <c r="CBJ23" s="88"/>
      <c r="CBK23" s="88"/>
      <c r="CBL23" s="88"/>
      <c r="CBM23" s="88"/>
      <c r="CBN23" s="88"/>
      <c r="CBO23" s="88"/>
      <c r="CBP23" s="88"/>
      <c r="CBQ23" s="88"/>
      <c r="CBR23" s="88"/>
      <c r="CBS23" s="88"/>
      <c r="CBT23" s="88"/>
      <c r="CBU23" s="88"/>
      <c r="CBV23" s="88"/>
      <c r="CBW23" s="88"/>
      <c r="CBX23" s="88"/>
      <c r="CBY23" s="88"/>
      <c r="CBZ23" s="88"/>
      <c r="CCA23" s="88"/>
      <c r="CCB23" s="88"/>
      <c r="CCC23" s="88"/>
      <c r="CCD23" s="88"/>
      <c r="CCE23" s="88"/>
      <c r="CCF23" s="88"/>
      <c r="CCG23" s="88"/>
      <c r="CCH23" s="88"/>
      <c r="CCI23" s="88"/>
      <c r="CCJ23" s="88"/>
      <c r="CCK23" s="88"/>
      <c r="CCL23" s="88"/>
      <c r="CCM23" s="88"/>
      <c r="CCN23" s="88"/>
      <c r="CCO23" s="88"/>
      <c r="CCP23" s="88"/>
      <c r="CCQ23" s="88"/>
      <c r="CCR23" s="88"/>
      <c r="CCS23" s="88"/>
      <c r="CCT23" s="88"/>
      <c r="CCU23" s="88"/>
      <c r="CCV23" s="88"/>
      <c r="CCW23" s="88"/>
      <c r="CCX23" s="88"/>
      <c r="CCY23" s="88"/>
      <c r="CCZ23" s="88"/>
      <c r="CDA23" s="88"/>
      <c r="CDB23" s="88"/>
      <c r="CDC23" s="88"/>
      <c r="CDD23" s="88"/>
      <c r="CDE23" s="88"/>
      <c r="CDF23" s="88"/>
      <c r="CDG23" s="88"/>
      <c r="CDH23" s="88"/>
      <c r="CDI23" s="88"/>
      <c r="CDJ23" s="88"/>
      <c r="CDK23" s="88"/>
      <c r="CDL23" s="88"/>
      <c r="CDM23" s="88"/>
      <c r="CDN23" s="88"/>
      <c r="CDO23" s="88"/>
      <c r="CDP23" s="88"/>
      <c r="CDQ23" s="88"/>
      <c r="CDR23" s="88"/>
      <c r="CDS23" s="88"/>
      <c r="CDT23" s="88"/>
      <c r="CDU23" s="88"/>
      <c r="CDV23" s="88"/>
      <c r="CDW23" s="88"/>
      <c r="CDX23" s="88"/>
      <c r="CDY23" s="88"/>
      <c r="CDZ23" s="88"/>
      <c r="CEA23" s="88"/>
      <c r="CEB23" s="88"/>
      <c r="CEC23" s="88"/>
      <c r="CED23" s="88"/>
      <c r="CEE23" s="88"/>
      <c r="CEF23" s="88"/>
      <c r="CEG23" s="88"/>
      <c r="CEH23" s="88"/>
      <c r="CEI23" s="88"/>
      <c r="CEJ23" s="88"/>
      <c r="CEK23" s="88"/>
    </row>
    <row r="24" spans="1:2169" s="63" customFormat="1">
      <c r="A24" s="68" t="s">
        <v>403</v>
      </c>
      <c r="B24" s="71" t="s">
        <v>65</v>
      </c>
      <c r="C24" s="68" t="str">
        <f>IF('page 2'!$O$4="","",IF('page 2'!$O$4=Gestion!A24,1,0))</f>
        <v/>
      </c>
      <c r="D24" s="68" t="str">
        <f>IF('page 2'!$O$5="","",IF('page 2'!$O$5=Gestion!A24,1,0))</f>
        <v/>
      </c>
      <c r="E24" s="68" t="str">
        <f>IF('page 2'!$O$6="","",IF('page 2'!$O$6=Gestion!A24,1,0))</f>
        <v/>
      </c>
      <c r="F24" s="68" t="str">
        <f>IF('page 2'!$O$7="","",IF('page 2'!$O$7=Gestion!A24,1,0))</f>
        <v/>
      </c>
      <c r="G24" s="68" t="str">
        <f>IF('page 2'!$O$8="","",IF('page 2'!$O$8=Gestion!A24,1,0))</f>
        <v/>
      </c>
      <c r="H24" s="68" t="str">
        <f>IF('page 2'!$O$9="","",IF('page 2'!$O$9=Gestion!A24,1,0))</f>
        <v/>
      </c>
      <c r="I24" s="68" t="str">
        <f>IF('page 2'!$O$10="","",IF('page 2'!$O$10=Gestion!A24,1,0))</f>
        <v/>
      </c>
      <c r="J24" s="68" t="str">
        <f>IF('page 2'!$O$11="","",IF('page 2'!$O$11=Gestion!A24,1,0))</f>
        <v/>
      </c>
      <c r="K24" s="68" t="str">
        <f>IF('page 2'!$O$12="","",IF('page 2'!$O$12=Gestion!A24,1,0))</f>
        <v/>
      </c>
      <c r="L24" s="68" t="str">
        <f>IF('page 2'!$O$13="","",IF('page 2'!$O$13=Gestion!A24,1,0))</f>
        <v/>
      </c>
      <c r="M24" s="68" t="str">
        <f>IF('page 2'!$O$14="","",IF('page 2'!$O$14=Gestion!A24,1,0))</f>
        <v/>
      </c>
      <c r="N24" s="68" t="str">
        <f>IF('page 2'!$O$15="","",IF('page 2'!$O$15=Gestion!A24,1,0))</f>
        <v/>
      </c>
      <c r="O24" s="68" t="str">
        <f>IF('page 2'!$O$16="","",IF('page 2'!$O$16=Gestion!A24,1,0))</f>
        <v/>
      </c>
      <c r="P24" s="68" t="str">
        <f>IF('page 2'!$O$17="","",IF('page 2'!$O$17=Gestion!A24,1,0))</f>
        <v/>
      </c>
      <c r="Q24" s="68" t="str">
        <f>IF('page 2'!$O$18="","",IF('page 2'!$O$18=Gestion!A24,1,0))</f>
        <v/>
      </c>
      <c r="R24" s="68" t="str">
        <f>IF('page 2'!$O$19="","",IF('page 2'!$O$19=Gestion!A24,1,0))</f>
        <v/>
      </c>
      <c r="S24" s="68" t="str">
        <f>IF('page 2'!$O$20="","",IF('page 2'!$O$20=Gestion!A24,1,0))</f>
        <v/>
      </c>
      <c r="T24" s="68" t="str">
        <f>IF('page 2'!$O$25="","",IF('page 2'!$O$25=Gestion!A24,1,0))</f>
        <v/>
      </c>
      <c r="U24" s="68" t="str">
        <f>IF('page 2'!$O$26="","",IF('page 2'!$O$26=Gestion!A24,1,0))</f>
        <v/>
      </c>
      <c r="V24" s="68" t="str">
        <f>IF('page 2'!$O$27="","",IF('page 2'!$O$27=Gestion!A24,1,0))</f>
        <v/>
      </c>
      <c r="W24" s="722">
        <f t="shared" si="0"/>
        <v>0</v>
      </c>
      <c r="X24" s="714" t="s">
        <v>14609</v>
      </c>
      <c r="Y24" s="68" t="str">
        <f>IF('page 2'!O25="","",'page 2'!O25)</f>
        <v/>
      </c>
      <c r="Z24" s="68" t="str">
        <f>IF(Y24="","",VLOOKUP(Y24,'page 2'!$O$4:$Q$27,3,FALSE))</f>
        <v/>
      </c>
      <c r="AA24" s="68" t="str">
        <f t="shared" si="1"/>
        <v/>
      </c>
      <c r="AB24" s="68"/>
      <c r="AC24" s="68"/>
      <c r="AD24" s="68"/>
      <c r="AP24" s="130"/>
      <c r="AQ24" s="130"/>
      <c r="AR24" s="130"/>
      <c r="AS24" s="576"/>
      <c r="AT24" s="576"/>
      <c r="AU24" s="576"/>
      <c r="AV24" s="576"/>
      <c r="AW24" s="602"/>
      <c r="AX24" s="602"/>
      <c r="AY24" s="576"/>
      <c r="AZ24" s="576"/>
      <c r="BA24" s="576"/>
      <c r="BB24" s="576"/>
      <c r="BC24" s="576"/>
      <c r="BD24" s="602"/>
      <c r="BE24" s="602"/>
      <c r="BF24" s="602"/>
      <c r="BG24" s="602"/>
      <c r="BH24" s="602"/>
      <c r="BI24" s="602"/>
      <c r="BJ24" s="602"/>
      <c r="BK24" s="602"/>
      <c r="BL24" s="602"/>
      <c r="BM24" s="602"/>
      <c r="BN24" s="602"/>
      <c r="BO24" s="602"/>
      <c r="BP24" s="602"/>
      <c r="BQ24" s="602"/>
      <c r="BR24" s="602"/>
      <c r="BS24" s="576"/>
      <c r="BT24" s="576"/>
      <c r="BU24" s="576"/>
      <c r="BV24" s="576"/>
      <c r="BW24" s="602"/>
      <c r="BX24" s="602"/>
      <c r="BY24" s="602"/>
      <c r="BZ24" s="576"/>
      <c r="CA24" s="602"/>
      <c r="CB24" s="602"/>
      <c r="CC24" s="576"/>
      <c r="CD24" s="469"/>
      <c r="CE24" s="602"/>
      <c r="CF24" s="576"/>
      <c r="CG24" s="576"/>
      <c r="CH24" s="576"/>
      <c r="CI24" s="576"/>
      <c r="CJ24" s="576"/>
      <c r="CK24" s="602"/>
      <c r="CL24" s="602"/>
      <c r="CM24" s="576"/>
      <c r="CN24" s="602"/>
      <c r="CO24" s="602"/>
      <c r="CP24" s="602"/>
      <c r="CQ24" s="576"/>
      <c r="CR24" s="576"/>
      <c r="CS24" s="602"/>
      <c r="CT24" s="99"/>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88"/>
      <c r="ZJ24" s="88"/>
      <c r="ZK24" s="88"/>
      <c r="ZL24" s="88"/>
      <c r="ZM24" s="88"/>
      <c r="ZN24" s="88"/>
      <c r="ZO24" s="88"/>
      <c r="ZP24" s="88"/>
      <c r="ZQ24" s="88"/>
      <c r="ZR24" s="88"/>
      <c r="ZS24" s="88"/>
      <c r="ZT24" s="88"/>
      <c r="ZU24" s="88"/>
      <c r="ZV24" s="88"/>
      <c r="ZW24" s="88"/>
      <c r="ZX24" s="88"/>
      <c r="ZY24" s="88"/>
      <c r="ZZ24" s="88"/>
      <c r="AAA24" s="88"/>
      <c r="AAB24" s="88"/>
      <c r="AAC24" s="88"/>
      <c r="AAD24" s="88"/>
      <c r="AAE24" s="88"/>
      <c r="AAF24" s="88"/>
      <c r="AAG24" s="88"/>
      <c r="AAH24" s="88"/>
      <c r="AAI24" s="88"/>
      <c r="AAJ24" s="88"/>
      <c r="AAK24" s="88"/>
      <c r="AAL24" s="88"/>
      <c r="AAM24" s="88"/>
      <c r="AAN24" s="88"/>
      <c r="AAO24" s="88"/>
      <c r="AAP24" s="88"/>
      <c r="AAQ24" s="88"/>
      <c r="AAR24" s="88"/>
      <c r="AAS24" s="88"/>
      <c r="AAT24" s="88"/>
      <c r="AAU24" s="88"/>
      <c r="AAV24" s="88"/>
      <c r="AAW24" s="88"/>
      <c r="AAX24" s="88"/>
      <c r="AAY24" s="88"/>
      <c r="AAZ24" s="88"/>
      <c r="ABA24" s="88"/>
      <c r="ABB24" s="88"/>
      <c r="ABC24" s="88"/>
      <c r="ABD24" s="88"/>
      <c r="ABE24" s="88"/>
      <c r="ABF24" s="88"/>
      <c r="ABG24" s="88"/>
      <c r="ABH24" s="88"/>
      <c r="ABI24" s="88"/>
      <c r="ABJ24" s="88"/>
      <c r="ABK24" s="88"/>
      <c r="ABL24" s="88"/>
      <c r="ABM24" s="88"/>
      <c r="ABN24" s="88"/>
      <c r="ABO24" s="88"/>
      <c r="ABP24" s="88"/>
      <c r="ABQ24" s="88"/>
      <c r="ABR24" s="88"/>
      <c r="ABS24" s="88"/>
      <c r="ABT24" s="88"/>
      <c r="ABU24" s="88"/>
      <c r="ABV24" s="88"/>
      <c r="ABW24" s="88"/>
      <c r="ABX24" s="88"/>
      <c r="ABY24" s="88"/>
      <c r="ABZ24" s="88"/>
      <c r="ACA24" s="88"/>
      <c r="ACB24" s="88"/>
      <c r="ACC24" s="88"/>
      <c r="ACD24" s="88"/>
      <c r="ACE24" s="88"/>
      <c r="ACF24" s="88"/>
      <c r="ACG24" s="88"/>
      <c r="ACH24" s="88"/>
      <c r="ACI24" s="88"/>
      <c r="ACJ24" s="88"/>
      <c r="ACK24" s="88"/>
      <c r="ACL24" s="88"/>
      <c r="ACM24" s="88"/>
      <c r="ACN24" s="88"/>
      <c r="ACO24" s="88"/>
      <c r="ACP24" s="88"/>
      <c r="ACQ24" s="88"/>
      <c r="ACR24" s="88"/>
      <c r="ACS24" s="88"/>
      <c r="ACT24" s="88"/>
      <c r="ACU24" s="88"/>
      <c r="ACV24" s="88"/>
      <c r="ACW24" s="88"/>
      <c r="ACX24" s="88"/>
      <c r="ACY24" s="88"/>
      <c r="ACZ24" s="88"/>
      <c r="ADA24" s="88"/>
      <c r="ADB24" s="88"/>
      <c r="ADC24" s="88"/>
      <c r="ADD24" s="88"/>
      <c r="ADE24" s="88"/>
      <c r="ADF24" s="88"/>
      <c r="ADG24" s="88"/>
      <c r="ADH24" s="88"/>
      <c r="ADI24" s="88"/>
      <c r="ADJ24" s="88"/>
      <c r="ADK24" s="88"/>
      <c r="ADL24" s="88"/>
      <c r="ADM24" s="88"/>
      <c r="ADN24" s="88"/>
      <c r="ADO24" s="88"/>
      <c r="ADP24" s="88"/>
      <c r="ADQ24" s="88"/>
      <c r="ADR24" s="88"/>
      <c r="ADS24" s="88"/>
      <c r="ADT24" s="88"/>
      <c r="ADU24" s="88"/>
      <c r="ADV24" s="88"/>
      <c r="ADW24" s="88"/>
      <c r="ADX24" s="88"/>
      <c r="ADY24" s="88"/>
      <c r="ADZ24" s="88"/>
      <c r="AEA24" s="88"/>
      <c r="AEB24" s="88"/>
      <c r="AEC24" s="88"/>
      <c r="AED24" s="88"/>
      <c r="AEE24" s="88"/>
      <c r="AEF24" s="88"/>
      <c r="AEG24" s="88"/>
      <c r="AEH24" s="88"/>
      <c r="AEI24" s="88"/>
      <c r="AEJ24" s="88"/>
      <c r="AEK24" s="88"/>
      <c r="AEL24" s="88"/>
      <c r="AEM24" s="88"/>
      <c r="AEN24" s="88"/>
      <c r="AEO24" s="88"/>
      <c r="AEP24" s="88"/>
      <c r="AEQ24" s="88"/>
      <c r="AER24" s="88"/>
      <c r="AES24" s="88"/>
      <c r="AET24" s="88"/>
      <c r="AEU24" s="88"/>
      <c r="AEV24" s="88"/>
      <c r="AEW24" s="88"/>
      <c r="AEX24" s="88"/>
      <c r="AEY24" s="88"/>
      <c r="AEZ24" s="88"/>
      <c r="AFA24" s="88"/>
      <c r="AFB24" s="88"/>
      <c r="AFC24" s="88"/>
      <c r="AFD24" s="88"/>
      <c r="AFE24" s="88"/>
      <c r="AFF24" s="88"/>
      <c r="AFG24" s="88"/>
      <c r="AFH24" s="88"/>
      <c r="AFI24" s="88"/>
      <c r="AFJ24" s="88"/>
      <c r="AFK24" s="88"/>
      <c r="AFL24" s="88"/>
      <c r="AFM24" s="88"/>
      <c r="AFN24" s="88"/>
      <c r="AFO24" s="88"/>
      <c r="AFP24" s="88"/>
      <c r="AFQ24" s="88"/>
      <c r="AFR24" s="88"/>
      <c r="AFS24" s="88"/>
      <c r="AFT24" s="88"/>
      <c r="AFU24" s="88"/>
      <c r="AFV24" s="88"/>
      <c r="AFW24" s="88"/>
      <c r="AFX24" s="88"/>
      <c r="AFY24" s="88"/>
      <c r="AFZ24" s="88"/>
      <c r="AGA24" s="88"/>
      <c r="AGB24" s="88"/>
      <c r="AGC24" s="88"/>
      <c r="AGD24" s="88"/>
      <c r="AGE24" s="88"/>
      <c r="AGF24" s="88"/>
      <c r="AGG24" s="88"/>
      <c r="AGH24" s="88"/>
      <c r="AGI24" s="88"/>
      <c r="AGJ24" s="88"/>
      <c r="AGK24" s="88"/>
      <c r="AGL24" s="88"/>
      <c r="AGM24" s="88"/>
      <c r="AGN24" s="88"/>
      <c r="AGO24" s="88"/>
      <c r="AGP24" s="88"/>
      <c r="AGQ24" s="88"/>
      <c r="AGR24" s="88"/>
      <c r="AGS24" s="88"/>
      <c r="AGT24" s="88"/>
      <c r="AGU24" s="88"/>
      <c r="AGV24" s="88"/>
      <c r="AGW24" s="88"/>
      <c r="AGX24" s="88"/>
      <c r="AGY24" s="88"/>
      <c r="AGZ24" s="88"/>
      <c r="AHA24" s="88"/>
      <c r="AHB24" s="88"/>
      <c r="AHC24" s="88"/>
      <c r="AHD24" s="88"/>
      <c r="AHE24" s="88"/>
      <c r="AHF24" s="88"/>
      <c r="AHG24" s="88"/>
      <c r="AHH24" s="88"/>
      <c r="AHI24" s="88"/>
      <c r="AHJ24" s="88"/>
      <c r="AHK24" s="88"/>
      <c r="AHL24" s="88"/>
      <c r="AHM24" s="88"/>
      <c r="AHN24" s="88"/>
      <c r="AHO24" s="88"/>
      <c r="AHP24" s="88"/>
      <c r="AHQ24" s="88"/>
      <c r="AHR24" s="88"/>
      <c r="AHS24" s="88"/>
      <c r="AHT24" s="88"/>
      <c r="AHU24" s="88"/>
      <c r="AHV24" s="88"/>
      <c r="AHW24" s="88"/>
      <c r="AHX24" s="88"/>
      <c r="AHY24" s="88"/>
      <c r="AHZ24" s="88"/>
      <c r="AIA24" s="88"/>
      <c r="AIB24" s="88"/>
      <c r="AIC24" s="88"/>
      <c r="AID24" s="88"/>
      <c r="AIE24" s="88"/>
      <c r="AIF24" s="88"/>
      <c r="AIG24" s="88"/>
      <c r="AIH24" s="88"/>
      <c r="AII24" s="88"/>
      <c r="AIJ24" s="88"/>
      <c r="AIK24" s="88"/>
      <c r="AIL24" s="88"/>
      <c r="AIM24" s="88"/>
      <c r="AIN24" s="88"/>
      <c r="AIO24" s="88"/>
      <c r="AIP24" s="88"/>
      <c r="AIQ24" s="88"/>
      <c r="AIR24" s="88"/>
      <c r="AIS24" s="88"/>
      <c r="AIT24" s="88"/>
      <c r="AIU24" s="88"/>
      <c r="AIV24" s="88"/>
      <c r="AIW24" s="88"/>
      <c r="AIX24" s="88"/>
      <c r="AIY24" s="88"/>
      <c r="AIZ24" s="88"/>
      <c r="AJA24" s="88"/>
      <c r="AJB24" s="88"/>
      <c r="AJC24" s="88"/>
      <c r="AJD24" s="88"/>
      <c r="AJE24" s="88"/>
      <c r="AJF24" s="88"/>
      <c r="AJG24" s="88"/>
      <c r="AJH24" s="88"/>
      <c r="AJI24" s="88"/>
      <c r="AJJ24" s="88"/>
      <c r="AJK24" s="88"/>
      <c r="AJL24" s="88"/>
      <c r="AJM24" s="88"/>
      <c r="AJN24" s="88"/>
      <c r="AJO24" s="88"/>
      <c r="AJP24" s="88"/>
      <c r="AJQ24" s="88"/>
      <c r="AJR24" s="88"/>
      <c r="AJS24" s="88"/>
      <c r="AJT24" s="88"/>
      <c r="AJU24" s="88"/>
      <c r="AJV24" s="88"/>
      <c r="AJW24" s="88"/>
      <c r="AJX24" s="88"/>
      <c r="AJY24" s="88"/>
      <c r="AJZ24" s="88"/>
      <c r="AKA24" s="88"/>
      <c r="AKB24" s="88"/>
      <c r="AKC24" s="88"/>
      <c r="AKD24" s="88"/>
      <c r="AKE24" s="88"/>
      <c r="AKF24" s="88"/>
      <c r="AKG24" s="88"/>
      <c r="AKH24" s="88"/>
      <c r="AKI24" s="88"/>
      <c r="AKJ24" s="88"/>
      <c r="AKK24" s="88"/>
      <c r="AKL24" s="88"/>
      <c r="AKM24" s="88"/>
      <c r="AKN24" s="88"/>
      <c r="AKO24" s="88"/>
      <c r="AKP24" s="88"/>
      <c r="AKQ24" s="88"/>
      <c r="AKR24" s="88"/>
      <c r="AKS24" s="88"/>
      <c r="AKT24" s="88"/>
      <c r="AKU24" s="88"/>
      <c r="AKV24" s="88"/>
      <c r="AKW24" s="88"/>
      <c r="AKX24" s="88"/>
      <c r="AKY24" s="88"/>
      <c r="AKZ24" s="88"/>
      <c r="ALA24" s="88"/>
      <c r="ALB24" s="88"/>
      <c r="ALC24" s="88"/>
      <c r="ALD24" s="88"/>
      <c r="ALE24" s="88"/>
      <c r="ALF24" s="88"/>
      <c r="ALG24" s="88"/>
      <c r="ALH24" s="88"/>
      <c r="ALI24" s="88"/>
      <c r="ALJ24" s="88"/>
      <c r="ALK24" s="88"/>
      <c r="ALL24" s="88"/>
      <c r="ALM24" s="88"/>
      <c r="ALN24" s="88"/>
      <c r="ALO24" s="88"/>
      <c r="ALP24" s="88"/>
      <c r="ALQ24" s="88"/>
      <c r="ALR24" s="88"/>
      <c r="ALS24" s="88"/>
      <c r="ALT24" s="88"/>
      <c r="ALU24" s="88"/>
      <c r="ALV24" s="88"/>
      <c r="ALW24" s="88"/>
      <c r="ALX24" s="88"/>
      <c r="ALY24" s="88"/>
      <c r="ALZ24" s="88"/>
      <c r="AMA24" s="88"/>
      <c r="AMB24" s="88"/>
      <c r="AMC24" s="88"/>
      <c r="AMD24" s="88"/>
      <c r="AME24" s="88"/>
      <c r="AMF24" s="88"/>
      <c r="AMG24" s="88"/>
      <c r="AMH24" s="88"/>
      <c r="AMI24" s="88"/>
      <c r="AMJ24" s="88"/>
      <c r="AMK24" s="88"/>
      <c r="AML24" s="88"/>
      <c r="AMM24" s="88"/>
      <c r="AMN24" s="88"/>
      <c r="AMO24" s="88"/>
      <c r="AMP24" s="88"/>
      <c r="AMQ24" s="88"/>
      <c r="AMR24" s="88"/>
      <c r="AMS24" s="88"/>
      <c r="AMT24" s="88"/>
      <c r="AMU24" s="88"/>
      <c r="AMV24" s="88"/>
      <c r="AMW24" s="88"/>
      <c r="AMX24" s="88"/>
      <c r="AMY24" s="88"/>
      <c r="AMZ24" s="88"/>
      <c r="ANA24" s="88"/>
      <c r="ANB24" s="88"/>
      <c r="ANC24" s="88"/>
      <c r="AND24" s="88"/>
      <c r="ANE24" s="88"/>
      <c r="ANF24" s="88"/>
      <c r="ANG24" s="88"/>
      <c r="ANH24" s="88"/>
      <c r="ANI24" s="88"/>
      <c r="ANJ24" s="88"/>
      <c r="ANK24" s="88"/>
      <c r="ANL24" s="88"/>
      <c r="ANM24" s="88"/>
      <c r="ANN24" s="88"/>
      <c r="ANO24" s="88"/>
      <c r="ANP24" s="88"/>
      <c r="ANQ24" s="88"/>
      <c r="ANR24" s="88"/>
      <c r="ANS24" s="88"/>
      <c r="ANT24" s="88"/>
      <c r="ANU24" s="88"/>
      <c r="ANV24" s="88"/>
      <c r="ANW24" s="88"/>
      <c r="ANX24" s="88"/>
      <c r="ANY24" s="88"/>
      <c r="ANZ24" s="88"/>
      <c r="AOA24" s="88"/>
      <c r="AOB24" s="88"/>
      <c r="AOC24" s="88"/>
      <c r="AOD24" s="88"/>
      <c r="AOE24" s="88"/>
      <c r="AOF24" s="88"/>
      <c r="AOG24" s="88"/>
      <c r="AOH24" s="88"/>
      <c r="AOI24" s="88"/>
      <c r="AOJ24" s="88"/>
      <c r="AOK24" s="88"/>
      <c r="AOL24" s="88"/>
      <c r="AOM24" s="88"/>
      <c r="AON24" s="88"/>
      <c r="AOO24" s="88"/>
      <c r="AOP24" s="88"/>
      <c r="AOQ24" s="88"/>
      <c r="AOR24" s="88"/>
      <c r="AOS24" s="88"/>
      <c r="AOT24" s="88"/>
      <c r="AOU24" s="88"/>
      <c r="AOV24" s="88"/>
      <c r="AOW24" s="88"/>
      <c r="AOX24" s="88"/>
      <c r="AOY24" s="88"/>
      <c r="AOZ24" s="88"/>
      <c r="APA24" s="88"/>
      <c r="APB24" s="88"/>
      <c r="APC24" s="88"/>
      <c r="APD24" s="88"/>
      <c r="APE24" s="88"/>
      <c r="APF24" s="88"/>
      <c r="APG24" s="88"/>
      <c r="APH24" s="88"/>
      <c r="API24" s="88"/>
      <c r="APJ24" s="88"/>
      <c r="APK24" s="88"/>
      <c r="APL24" s="88"/>
      <c r="APM24" s="88"/>
      <c r="APN24" s="88"/>
      <c r="APO24" s="88"/>
      <c r="APP24" s="88"/>
      <c r="APQ24" s="88"/>
      <c r="APR24" s="88"/>
      <c r="APS24" s="88"/>
      <c r="APT24" s="88"/>
      <c r="APU24" s="88"/>
      <c r="APV24" s="88"/>
      <c r="APW24" s="88"/>
      <c r="APX24" s="88"/>
      <c r="APY24" s="88"/>
      <c r="APZ24" s="88"/>
      <c r="AQA24" s="88"/>
      <c r="AQB24" s="88"/>
      <c r="AQC24" s="88"/>
      <c r="AQD24" s="88"/>
      <c r="AQE24" s="88"/>
      <c r="AQF24" s="88"/>
      <c r="AQG24" s="88"/>
      <c r="AQH24" s="88"/>
      <c r="AQI24" s="88"/>
      <c r="AQJ24" s="88"/>
      <c r="AQK24" s="88"/>
      <c r="AQL24" s="88"/>
      <c r="AQM24" s="88"/>
      <c r="AQN24" s="88"/>
      <c r="AQO24" s="88"/>
      <c r="AQP24" s="88"/>
      <c r="AQQ24" s="88"/>
      <c r="AQR24" s="88"/>
      <c r="AQS24" s="88"/>
      <c r="AQT24" s="88"/>
      <c r="AQU24" s="88"/>
      <c r="AQV24" s="88"/>
      <c r="AQW24" s="88"/>
      <c r="AQX24" s="88"/>
      <c r="AQY24" s="88"/>
      <c r="AQZ24" s="88"/>
      <c r="ARA24" s="88"/>
      <c r="ARB24" s="88"/>
      <c r="ARC24" s="88"/>
      <c r="ARD24" s="88"/>
      <c r="ARE24" s="88"/>
      <c r="ARF24" s="88"/>
      <c r="ARG24" s="88"/>
      <c r="ARH24" s="88"/>
      <c r="ARI24" s="88"/>
      <c r="ARJ24" s="88"/>
      <c r="ARK24" s="88"/>
      <c r="ARL24" s="88"/>
      <c r="ARM24" s="88"/>
      <c r="ARN24" s="88"/>
      <c r="ARO24" s="88"/>
      <c r="ARP24" s="88"/>
      <c r="ARQ24" s="88"/>
      <c r="ARR24" s="88"/>
      <c r="ARS24" s="88"/>
      <c r="ART24" s="88"/>
      <c r="ARU24" s="88"/>
      <c r="ARV24" s="88"/>
      <c r="ARW24" s="88"/>
      <c r="ARX24" s="88"/>
      <c r="ARY24" s="88"/>
      <c r="ARZ24" s="88"/>
      <c r="ASA24" s="88"/>
      <c r="ASB24" s="88"/>
      <c r="ASC24" s="88"/>
      <c r="ASD24" s="88"/>
      <c r="ASE24" s="88"/>
      <c r="ASF24" s="88"/>
      <c r="ASG24" s="88"/>
      <c r="ASH24" s="88"/>
      <c r="ASI24" s="88"/>
      <c r="ASJ24" s="88"/>
      <c r="ASK24" s="88"/>
      <c r="ASL24" s="88"/>
      <c r="ASM24" s="88"/>
      <c r="ASN24" s="88"/>
      <c r="ASO24" s="88"/>
      <c r="ASP24" s="88"/>
      <c r="ASQ24" s="88"/>
      <c r="ASR24" s="88"/>
      <c r="ASS24" s="88"/>
      <c r="AST24" s="88"/>
      <c r="ASU24" s="88"/>
      <c r="ASV24" s="88"/>
      <c r="ASW24" s="88"/>
      <c r="ASX24" s="88"/>
      <c r="ASY24" s="88"/>
      <c r="ASZ24" s="88"/>
      <c r="ATA24" s="88"/>
      <c r="ATB24" s="88"/>
      <c r="ATC24" s="88"/>
      <c r="ATD24" s="88"/>
      <c r="ATE24" s="88"/>
      <c r="ATF24" s="88"/>
      <c r="ATG24" s="88"/>
      <c r="ATH24" s="88"/>
      <c r="ATI24" s="88"/>
      <c r="ATJ24" s="88"/>
      <c r="ATK24" s="88"/>
      <c r="ATL24" s="88"/>
      <c r="ATM24" s="88"/>
      <c r="ATN24" s="88"/>
      <c r="ATO24" s="88"/>
      <c r="ATP24" s="88"/>
      <c r="ATQ24" s="88"/>
      <c r="ATR24" s="88"/>
      <c r="ATS24" s="88"/>
      <c r="ATT24" s="88"/>
      <c r="ATU24" s="88"/>
      <c r="ATV24" s="88"/>
      <c r="ATW24" s="88"/>
      <c r="ATX24" s="88"/>
      <c r="ATY24" s="88"/>
      <c r="ATZ24" s="88"/>
      <c r="AUA24" s="88"/>
      <c r="AUB24" s="88"/>
      <c r="AUC24" s="88"/>
      <c r="AUD24" s="88"/>
      <c r="AUE24" s="88"/>
      <c r="AUF24" s="88"/>
      <c r="AUG24" s="88"/>
      <c r="AUH24" s="88"/>
      <c r="AUI24" s="88"/>
      <c r="AUJ24" s="88"/>
      <c r="AUK24" s="88"/>
      <c r="AUL24" s="88"/>
      <c r="AUM24" s="88"/>
      <c r="AUN24" s="88"/>
      <c r="AUO24" s="88"/>
      <c r="AUP24" s="88"/>
      <c r="AUQ24" s="88"/>
      <c r="AUR24" s="88"/>
      <c r="AUS24" s="88"/>
      <c r="AUT24" s="88"/>
      <c r="AUU24" s="88"/>
      <c r="AUV24" s="88"/>
      <c r="AUW24" s="88"/>
      <c r="AUX24" s="88"/>
      <c r="AUY24" s="88"/>
      <c r="AUZ24" s="88"/>
      <c r="AVA24" s="88"/>
      <c r="AVB24" s="88"/>
      <c r="AVC24" s="88"/>
      <c r="AVD24" s="88"/>
      <c r="AVE24" s="88"/>
      <c r="AVF24" s="88"/>
      <c r="AVG24" s="88"/>
      <c r="AVH24" s="88"/>
      <c r="AVI24" s="88"/>
      <c r="AVJ24" s="88"/>
      <c r="AVK24" s="88"/>
      <c r="AVL24" s="88"/>
      <c r="AVM24" s="88"/>
      <c r="AVN24" s="88"/>
      <c r="AVO24" s="88"/>
      <c r="AVP24" s="88"/>
      <c r="AVQ24" s="88"/>
      <c r="AVR24" s="88"/>
      <c r="AVS24" s="88"/>
      <c r="AVT24" s="88"/>
      <c r="AVU24" s="88"/>
      <c r="AVV24" s="88"/>
      <c r="AVW24" s="88"/>
      <c r="AVX24" s="88"/>
      <c r="AVY24" s="88"/>
      <c r="AVZ24" s="88"/>
      <c r="AWA24" s="88"/>
      <c r="AWB24" s="88"/>
      <c r="AWC24" s="88"/>
      <c r="AWD24" s="88"/>
      <c r="AWE24" s="88"/>
      <c r="AWF24" s="88"/>
      <c r="AWG24" s="88"/>
      <c r="AWH24" s="88"/>
      <c r="AWI24" s="88"/>
      <c r="AWJ24" s="88"/>
      <c r="AWK24" s="88"/>
      <c r="AWL24" s="88"/>
      <c r="AWM24" s="88"/>
      <c r="AWN24" s="88"/>
      <c r="AWO24" s="88"/>
      <c r="AWP24" s="88"/>
      <c r="AWQ24" s="88"/>
      <c r="AWR24" s="88"/>
      <c r="AWS24" s="88"/>
      <c r="AWT24" s="88"/>
      <c r="AWU24" s="88"/>
      <c r="AWV24" s="88"/>
      <c r="AWW24" s="88"/>
      <c r="AWX24" s="88"/>
      <c r="AWY24" s="88"/>
      <c r="AWZ24" s="88"/>
      <c r="AXA24" s="88"/>
      <c r="AXB24" s="88"/>
      <c r="AXC24" s="88"/>
      <c r="AXD24" s="88"/>
      <c r="AXE24" s="88"/>
      <c r="AXF24" s="88"/>
      <c r="AXG24" s="88"/>
      <c r="AXH24" s="88"/>
      <c r="AXI24" s="88"/>
      <c r="AXJ24" s="88"/>
      <c r="AXK24" s="88"/>
      <c r="AXL24" s="88"/>
      <c r="AXM24" s="88"/>
      <c r="AXN24" s="88"/>
      <c r="AXO24" s="88"/>
      <c r="AXP24" s="88"/>
      <c r="AXQ24" s="88"/>
      <c r="AXR24" s="88"/>
      <c r="AXS24" s="88"/>
      <c r="AXT24" s="88"/>
      <c r="AXU24" s="88"/>
      <c r="AXV24" s="88"/>
      <c r="AXW24" s="88"/>
      <c r="AXX24" s="88"/>
      <c r="AXY24" s="88"/>
      <c r="AXZ24" s="88"/>
      <c r="AYA24" s="88"/>
      <c r="AYB24" s="88"/>
      <c r="AYC24" s="88"/>
      <c r="AYD24" s="88"/>
      <c r="AYE24" s="88"/>
      <c r="AYF24" s="88"/>
      <c r="AYG24" s="88"/>
      <c r="AYH24" s="88"/>
      <c r="AYI24" s="88"/>
      <c r="AYJ24" s="88"/>
      <c r="AYK24" s="88"/>
      <c r="AYL24" s="88"/>
      <c r="AYM24" s="88"/>
      <c r="AYN24" s="88"/>
      <c r="AYO24" s="88"/>
      <c r="AYP24" s="88"/>
      <c r="AYQ24" s="88"/>
      <c r="AYR24" s="88"/>
      <c r="AYS24" s="88"/>
      <c r="AYT24" s="88"/>
      <c r="AYU24" s="88"/>
      <c r="AYV24" s="88"/>
      <c r="AYW24" s="88"/>
      <c r="AYX24" s="88"/>
      <c r="AYY24" s="88"/>
      <c r="AYZ24" s="88"/>
      <c r="AZA24" s="88"/>
      <c r="AZB24" s="88"/>
      <c r="AZC24" s="88"/>
      <c r="AZD24" s="88"/>
      <c r="AZE24" s="88"/>
      <c r="AZF24" s="88"/>
      <c r="AZG24" s="88"/>
      <c r="AZH24" s="88"/>
      <c r="AZI24" s="88"/>
      <c r="AZJ24" s="88"/>
      <c r="AZK24" s="88"/>
      <c r="AZL24" s="88"/>
      <c r="AZM24" s="88"/>
      <c r="AZN24" s="88"/>
      <c r="AZO24" s="88"/>
      <c r="AZP24" s="88"/>
      <c r="AZQ24" s="88"/>
      <c r="AZR24" s="88"/>
      <c r="AZS24" s="88"/>
      <c r="AZT24" s="88"/>
      <c r="AZU24" s="88"/>
      <c r="AZV24" s="88"/>
      <c r="AZW24" s="88"/>
      <c r="AZX24" s="88"/>
      <c r="AZY24" s="88"/>
      <c r="AZZ24" s="88"/>
      <c r="BAA24" s="88"/>
      <c r="BAB24" s="88"/>
      <c r="BAC24" s="88"/>
      <c r="BAD24" s="88"/>
      <c r="BAE24" s="88"/>
      <c r="BAF24" s="88"/>
      <c r="BAG24" s="88"/>
      <c r="BAH24" s="88"/>
      <c r="BAI24" s="88"/>
      <c r="BAJ24" s="88"/>
      <c r="BAK24" s="88"/>
      <c r="BAL24" s="88"/>
      <c r="BAM24" s="88"/>
      <c r="BAN24" s="88"/>
      <c r="BAO24" s="88"/>
      <c r="BAP24" s="88"/>
      <c r="BAQ24" s="88"/>
      <c r="BAR24" s="88"/>
      <c r="BAS24" s="88"/>
      <c r="BAT24" s="88"/>
      <c r="BAU24" s="88"/>
      <c r="BAV24" s="88"/>
      <c r="BAW24" s="88"/>
      <c r="BAX24" s="88"/>
      <c r="BAY24" s="88"/>
      <c r="BAZ24" s="88"/>
      <c r="BBA24" s="88"/>
      <c r="BBB24" s="88"/>
      <c r="BBC24" s="88"/>
      <c r="BBD24" s="88"/>
      <c r="BBE24" s="88"/>
      <c r="BBF24" s="88"/>
      <c r="BBG24" s="88"/>
      <c r="BBH24" s="88"/>
      <c r="BBI24" s="88"/>
      <c r="BBJ24" s="88"/>
      <c r="BBK24" s="88"/>
      <c r="BBL24" s="88"/>
      <c r="BBM24" s="88"/>
      <c r="BBN24" s="88"/>
      <c r="BBO24" s="88"/>
      <c r="BBP24" s="88"/>
      <c r="BBQ24" s="88"/>
      <c r="BBR24" s="88"/>
      <c r="BBS24" s="88"/>
      <c r="BBT24" s="88"/>
      <c r="BBU24" s="88"/>
      <c r="BBV24" s="88"/>
      <c r="BBW24" s="88"/>
      <c r="BBX24" s="88"/>
      <c r="BBY24" s="88"/>
      <c r="BBZ24" s="88"/>
      <c r="BCA24" s="88"/>
      <c r="BCB24" s="88"/>
      <c r="BCC24" s="88"/>
      <c r="BCD24" s="88"/>
      <c r="BCE24" s="88"/>
      <c r="BCF24" s="88"/>
      <c r="BCG24" s="88"/>
      <c r="BCH24" s="88"/>
      <c r="BCI24" s="88"/>
      <c r="BCJ24" s="88"/>
      <c r="BCK24" s="88"/>
      <c r="BCL24" s="88"/>
      <c r="BCM24" s="88"/>
      <c r="BCN24" s="88"/>
      <c r="BCO24" s="88"/>
      <c r="BCP24" s="88"/>
      <c r="BCQ24" s="88"/>
      <c r="BCR24" s="88"/>
      <c r="BCS24" s="88"/>
      <c r="BCT24" s="88"/>
      <c r="BCU24" s="88"/>
      <c r="BCV24" s="88"/>
      <c r="BCW24" s="88"/>
      <c r="BCX24" s="88"/>
      <c r="BCY24" s="88"/>
      <c r="BCZ24" s="88"/>
      <c r="BDA24" s="88"/>
      <c r="BDB24" s="88"/>
      <c r="BDC24" s="88"/>
      <c r="BDD24" s="88"/>
      <c r="BDE24" s="88"/>
      <c r="BDF24" s="88"/>
      <c r="BDG24" s="88"/>
      <c r="BDH24" s="88"/>
      <c r="BDI24" s="88"/>
      <c r="BDJ24" s="88"/>
      <c r="BDK24" s="88"/>
      <c r="BDL24" s="88"/>
      <c r="BDM24" s="88"/>
      <c r="BDN24" s="88"/>
      <c r="BDO24" s="88"/>
      <c r="BDP24" s="88"/>
      <c r="BDQ24" s="88"/>
      <c r="BDR24" s="88"/>
      <c r="BDS24" s="88"/>
      <c r="BDT24" s="88"/>
      <c r="BDU24" s="88"/>
      <c r="BDV24" s="88"/>
      <c r="BDW24" s="88"/>
      <c r="BDX24" s="88"/>
      <c r="BDY24" s="88"/>
      <c r="BDZ24" s="88"/>
      <c r="BEA24" s="88"/>
      <c r="BEB24" s="88"/>
      <c r="BEC24" s="88"/>
      <c r="BED24" s="88"/>
      <c r="BEE24" s="88"/>
      <c r="BEF24" s="88"/>
      <c r="BEG24" s="88"/>
      <c r="BEH24" s="88"/>
      <c r="BEI24" s="88"/>
      <c r="BEJ24" s="88"/>
      <c r="BEK24" s="88"/>
      <c r="BEL24" s="88"/>
      <c r="BEM24" s="88"/>
      <c r="BEN24" s="88"/>
      <c r="BEO24" s="88"/>
      <c r="BEP24" s="88"/>
      <c r="BEQ24" s="88"/>
      <c r="BER24" s="88"/>
      <c r="BES24" s="88"/>
      <c r="BET24" s="88"/>
      <c r="BEU24" s="88"/>
      <c r="BEV24" s="88"/>
      <c r="BEW24" s="88"/>
      <c r="BEX24" s="88"/>
      <c r="BEY24" s="88"/>
      <c r="BEZ24" s="88"/>
      <c r="BFA24" s="88"/>
      <c r="BFB24" s="88"/>
      <c r="BFC24" s="88"/>
      <c r="BFD24" s="88"/>
      <c r="BFE24" s="88"/>
      <c r="BFF24" s="88"/>
      <c r="BFG24" s="88"/>
      <c r="BFH24" s="88"/>
      <c r="BFI24" s="88"/>
      <c r="BFJ24" s="88"/>
      <c r="BFK24" s="88"/>
      <c r="BFL24" s="88"/>
      <c r="BFM24" s="88"/>
      <c r="BFN24" s="88"/>
      <c r="BFO24" s="88"/>
      <c r="BFP24" s="88"/>
      <c r="BFQ24" s="88"/>
      <c r="BFR24" s="88"/>
      <c r="BFS24" s="88"/>
      <c r="BFT24" s="88"/>
      <c r="BFU24" s="88"/>
      <c r="BFV24" s="88"/>
      <c r="BFW24" s="88"/>
      <c r="BFX24" s="88"/>
      <c r="BFY24" s="88"/>
      <c r="BFZ24" s="88"/>
      <c r="BGA24" s="88"/>
      <c r="BGB24" s="88"/>
      <c r="BGC24" s="88"/>
      <c r="BGD24" s="88"/>
      <c r="BGE24" s="88"/>
      <c r="BGF24" s="88"/>
      <c r="BGG24" s="88"/>
      <c r="BGH24" s="88"/>
      <c r="BGI24" s="88"/>
      <c r="BGJ24" s="88"/>
      <c r="BGK24" s="88"/>
      <c r="BGL24" s="88"/>
      <c r="BGM24" s="88"/>
      <c r="BGN24" s="88"/>
      <c r="BGO24" s="88"/>
      <c r="BGP24" s="88"/>
      <c r="BGQ24" s="88"/>
      <c r="BGR24" s="88"/>
      <c r="BGS24" s="88"/>
      <c r="BGT24" s="88"/>
      <c r="BGU24" s="88"/>
      <c r="BGV24" s="88"/>
      <c r="BGW24" s="88"/>
      <c r="BGX24" s="88"/>
      <c r="BGY24" s="88"/>
      <c r="BGZ24" s="88"/>
      <c r="BHA24" s="88"/>
      <c r="BHB24" s="88"/>
      <c r="BHC24" s="88"/>
      <c r="BHD24" s="88"/>
      <c r="BHE24" s="88"/>
      <c r="BHF24" s="88"/>
      <c r="BHG24" s="88"/>
      <c r="BHH24" s="88"/>
      <c r="BHI24" s="88"/>
      <c r="BHJ24" s="88"/>
      <c r="BHK24" s="88"/>
      <c r="BHL24" s="88"/>
      <c r="BHM24" s="88"/>
      <c r="BHN24" s="88"/>
      <c r="BHO24" s="88"/>
      <c r="BHP24" s="88"/>
      <c r="BHQ24" s="88"/>
      <c r="BHR24" s="88"/>
      <c r="BHS24" s="88"/>
      <c r="BHT24" s="88"/>
      <c r="BHU24" s="88"/>
      <c r="BHV24" s="88"/>
      <c r="BHW24" s="88"/>
      <c r="BHX24" s="88"/>
      <c r="BHY24" s="88"/>
      <c r="BHZ24" s="88"/>
      <c r="BIA24" s="88"/>
      <c r="BIB24" s="88"/>
      <c r="BIC24" s="88"/>
      <c r="BID24" s="88"/>
      <c r="BIE24" s="88"/>
      <c r="BIF24" s="88"/>
      <c r="BIG24" s="88"/>
      <c r="BIH24" s="88"/>
      <c r="BII24" s="88"/>
      <c r="BIJ24" s="88"/>
      <c r="BIK24" s="88"/>
      <c r="BIL24" s="88"/>
      <c r="BIM24" s="88"/>
      <c r="BIN24" s="88"/>
      <c r="BIO24" s="88"/>
      <c r="BIP24" s="88"/>
      <c r="BIQ24" s="88"/>
      <c r="BIR24" s="88"/>
      <c r="BIS24" s="88"/>
      <c r="BIT24" s="88"/>
      <c r="BIU24" s="88"/>
      <c r="BIV24" s="88"/>
      <c r="BIW24" s="88"/>
      <c r="BIX24" s="88"/>
      <c r="BIY24" s="88"/>
      <c r="BIZ24" s="88"/>
      <c r="BJA24" s="88"/>
      <c r="BJB24" s="88"/>
      <c r="BJC24" s="88"/>
      <c r="BJD24" s="88"/>
      <c r="BJE24" s="88"/>
      <c r="BJF24" s="88"/>
      <c r="BJG24" s="88"/>
      <c r="BJH24" s="88"/>
      <c r="BJI24" s="88"/>
      <c r="BJJ24" s="88"/>
      <c r="BJK24" s="88"/>
      <c r="BJL24" s="88"/>
      <c r="BJM24" s="88"/>
      <c r="BJN24" s="88"/>
      <c r="BJO24" s="88"/>
      <c r="BJP24" s="88"/>
      <c r="BJQ24" s="88"/>
      <c r="BJR24" s="88"/>
      <c r="BJS24" s="88"/>
      <c r="BJT24" s="88"/>
      <c r="BJU24" s="88"/>
      <c r="BJV24" s="88"/>
      <c r="BJW24" s="88"/>
      <c r="BJX24" s="88"/>
      <c r="BJY24" s="88"/>
      <c r="BJZ24" s="88"/>
      <c r="BKA24" s="88"/>
      <c r="BKB24" s="88"/>
      <c r="BKC24" s="88"/>
      <c r="BKD24" s="88"/>
      <c r="BKE24" s="88"/>
      <c r="BKF24" s="88"/>
      <c r="BKG24" s="88"/>
      <c r="BKH24" s="88"/>
      <c r="BKI24" s="88"/>
      <c r="BKJ24" s="88"/>
      <c r="BKK24" s="88"/>
      <c r="BKL24" s="88"/>
      <c r="BKM24" s="88"/>
      <c r="BKN24" s="88"/>
      <c r="BKO24" s="88"/>
      <c r="BKP24" s="88"/>
      <c r="BKQ24" s="88"/>
      <c r="BKR24" s="88"/>
      <c r="BKS24" s="88"/>
      <c r="BKT24" s="88"/>
      <c r="BKU24" s="88"/>
      <c r="BKV24" s="88"/>
      <c r="BKW24" s="88"/>
      <c r="BKX24" s="88"/>
      <c r="BKY24" s="88"/>
      <c r="BKZ24" s="88"/>
      <c r="BLA24" s="88"/>
      <c r="BLB24" s="88"/>
      <c r="BLC24" s="88"/>
      <c r="BLD24" s="88"/>
      <c r="BLE24" s="88"/>
      <c r="BLF24" s="88"/>
      <c r="BLG24" s="88"/>
      <c r="BLH24" s="88"/>
      <c r="BLI24" s="88"/>
      <c r="BLJ24" s="88"/>
      <c r="BLK24" s="88"/>
      <c r="BLL24" s="88"/>
      <c r="BLM24" s="88"/>
      <c r="BLN24" s="88"/>
      <c r="BLO24" s="88"/>
      <c r="BLP24" s="88"/>
      <c r="BLQ24" s="88"/>
      <c r="BLR24" s="88"/>
      <c r="BLS24" s="88"/>
      <c r="BLT24" s="88"/>
      <c r="BLU24" s="88"/>
      <c r="BLV24" s="88"/>
      <c r="BLW24" s="88"/>
      <c r="BLX24" s="88"/>
      <c r="BLY24" s="88"/>
      <c r="BLZ24" s="88"/>
      <c r="BMA24" s="88"/>
      <c r="BMB24" s="88"/>
      <c r="BMC24" s="88"/>
      <c r="BMD24" s="88"/>
      <c r="BME24" s="88"/>
      <c r="BMF24" s="88"/>
      <c r="BMG24" s="88"/>
      <c r="BMH24" s="88"/>
      <c r="BMI24" s="88"/>
      <c r="BMJ24" s="88"/>
      <c r="BMK24" s="88"/>
      <c r="BML24" s="88"/>
      <c r="BMM24" s="88"/>
      <c r="BMN24" s="88"/>
      <c r="BMO24" s="88"/>
      <c r="BMP24" s="88"/>
      <c r="BMQ24" s="88"/>
      <c r="BMR24" s="88"/>
      <c r="BMS24" s="88"/>
      <c r="BMT24" s="88"/>
      <c r="BMU24" s="88"/>
      <c r="BMV24" s="88"/>
      <c r="BMW24" s="88"/>
      <c r="BMX24" s="88"/>
      <c r="BMY24" s="88"/>
      <c r="BMZ24" s="88"/>
      <c r="BNA24" s="88"/>
      <c r="BNB24" s="88"/>
      <c r="BNC24" s="88"/>
      <c r="BND24" s="88"/>
      <c r="BNE24" s="88"/>
      <c r="BNF24" s="88"/>
      <c r="BNG24" s="88"/>
      <c r="BNH24" s="88"/>
      <c r="BNI24" s="88"/>
      <c r="BNJ24" s="88"/>
      <c r="BNK24" s="88"/>
      <c r="BNL24" s="88"/>
      <c r="BNM24" s="88"/>
      <c r="BNN24" s="88"/>
      <c r="BNO24" s="88"/>
      <c r="BNP24" s="88"/>
      <c r="BNQ24" s="88"/>
      <c r="BNR24" s="88"/>
      <c r="BNS24" s="88"/>
      <c r="BNT24" s="88"/>
      <c r="BNU24" s="88"/>
      <c r="BNV24" s="88"/>
      <c r="BNW24" s="88"/>
      <c r="BNX24" s="88"/>
      <c r="BNY24" s="88"/>
      <c r="BNZ24" s="88"/>
      <c r="BOA24" s="88"/>
      <c r="BOB24" s="88"/>
      <c r="BOC24" s="88"/>
      <c r="BOD24" s="88"/>
      <c r="BOE24" s="88"/>
      <c r="BOF24" s="88"/>
      <c r="BOG24" s="88"/>
      <c r="BOH24" s="88"/>
      <c r="BOI24" s="88"/>
      <c r="BOJ24" s="88"/>
      <c r="BOK24" s="88"/>
      <c r="BOL24" s="88"/>
      <c r="BOM24" s="88"/>
      <c r="BON24" s="88"/>
      <c r="BOO24" s="88"/>
      <c r="BOP24" s="88"/>
      <c r="BOQ24" s="88"/>
      <c r="BOR24" s="88"/>
      <c r="BOS24" s="88"/>
      <c r="BOT24" s="88"/>
      <c r="BOU24" s="88"/>
      <c r="BOV24" s="88"/>
      <c r="BOW24" s="88"/>
      <c r="BOX24" s="88"/>
      <c r="BOY24" s="88"/>
      <c r="BOZ24" s="88"/>
      <c r="BPA24" s="88"/>
      <c r="BPB24" s="88"/>
      <c r="BPC24" s="88"/>
      <c r="BPD24" s="88"/>
      <c r="BPE24" s="88"/>
      <c r="BPF24" s="88"/>
      <c r="BPG24" s="88"/>
      <c r="BPH24" s="88"/>
      <c r="BPI24" s="88"/>
      <c r="BPJ24" s="88"/>
      <c r="BPK24" s="88"/>
      <c r="BPL24" s="88"/>
      <c r="BPM24" s="88"/>
      <c r="BPN24" s="88"/>
      <c r="BPO24" s="88"/>
      <c r="BPP24" s="88"/>
      <c r="BPQ24" s="88"/>
      <c r="BPR24" s="88"/>
      <c r="BPS24" s="88"/>
      <c r="BPT24" s="88"/>
      <c r="BPU24" s="88"/>
      <c r="BPV24" s="88"/>
      <c r="BPW24" s="88"/>
      <c r="BPX24" s="88"/>
      <c r="BPY24" s="88"/>
      <c r="BPZ24" s="88"/>
      <c r="BQA24" s="88"/>
      <c r="BQB24" s="88"/>
      <c r="BQC24" s="88"/>
      <c r="BQD24" s="88"/>
      <c r="BQE24" s="88"/>
      <c r="BQF24" s="88"/>
      <c r="BQG24" s="88"/>
      <c r="BQH24" s="88"/>
      <c r="BQI24" s="88"/>
      <c r="BQJ24" s="88"/>
      <c r="BQK24" s="88"/>
      <c r="BQL24" s="88"/>
      <c r="BQM24" s="88"/>
      <c r="BQN24" s="88"/>
      <c r="BQO24" s="88"/>
      <c r="BQP24" s="88"/>
      <c r="BQQ24" s="88"/>
      <c r="BQR24" s="88"/>
      <c r="BQS24" s="88"/>
      <c r="BQT24" s="88"/>
      <c r="BQU24" s="88"/>
      <c r="BQV24" s="88"/>
      <c r="BQW24" s="88"/>
      <c r="BQX24" s="88"/>
      <c r="BQY24" s="88"/>
      <c r="BQZ24" s="88"/>
      <c r="BRA24" s="88"/>
      <c r="BRB24" s="88"/>
      <c r="BRC24" s="88"/>
      <c r="BRD24" s="88"/>
      <c r="BRE24" s="88"/>
      <c r="BRF24" s="88"/>
      <c r="BRG24" s="88"/>
      <c r="BRH24" s="88"/>
      <c r="BRI24" s="88"/>
      <c r="BRJ24" s="88"/>
      <c r="BRK24" s="88"/>
      <c r="BRL24" s="88"/>
      <c r="BRM24" s="88"/>
      <c r="BRN24" s="88"/>
      <c r="BRO24" s="88"/>
      <c r="BRP24" s="88"/>
      <c r="BRQ24" s="88"/>
      <c r="BRR24" s="88"/>
      <c r="BRS24" s="88"/>
      <c r="BRT24" s="88"/>
      <c r="BRU24" s="88"/>
      <c r="BRV24" s="88"/>
      <c r="BRW24" s="88"/>
      <c r="BRX24" s="88"/>
      <c r="BRY24" s="88"/>
      <c r="BRZ24" s="88"/>
      <c r="BSA24" s="88"/>
      <c r="BSB24" s="88"/>
      <c r="BSC24" s="88"/>
      <c r="BSD24" s="88"/>
      <c r="BSE24" s="88"/>
      <c r="BSF24" s="88"/>
      <c r="BSG24" s="88"/>
      <c r="BSH24" s="88"/>
      <c r="BSI24" s="88"/>
      <c r="BSJ24" s="88"/>
      <c r="BSK24" s="88"/>
      <c r="BSL24" s="88"/>
      <c r="BSM24" s="88"/>
      <c r="BSN24" s="88"/>
      <c r="BSO24" s="88"/>
      <c r="BSP24" s="88"/>
      <c r="BSQ24" s="88"/>
      <c r="BSR24" s="88"/>
      <c r="BSS24" s="88"/>
      <c r="BST24" s="88"/>
      <c r="BSU24" s="88"/>
      <c r="BSV24" s="88"/>
      <c r="BSW24" s="88"/>
      <c r="BSX24" s="88"/>
      <c r="BSY24" s="88"/>
      <c r="BSZ24" s="88"/>
      <c r="BTA24" s="88"/>
      <c r="BTB24" s="88"/>
      <c r="BTC24" s="88"/>
      <c r="BTD24" s="88"/>
      <c r="BTE24" s="88"/>
      <c r="BTF24" s="88"/>
      <c r="BTG24" s="88"/>
      <c r="BTH24" s="88"/>
      <c r="BTI24" s="88"/>
      <c r="BTJ24" s="88"/>
      <c r="BTK24" s="88"/>
      <c r="BTL24" s="88"/>
      <c r="BTM24" s="88"/>
      <c r="BTN24" s="88"/>
      <c r="BTO24" s="88"/>
      <c r="BTP24" s="88"/>
      <c r="BTQ24" s="88"/>
      <c r="BTR24" s="88"/>
      <c r="BTS24" s="88"/>
      <c r="BTT24" s="88"/>
      <c r="BTU24" s="88"/>
      <c r="BTV24" s="88"/>
      <c r="BTW24" s="88"/>
      <c r="BTX24" s="88"/>
      <c r="BTY24" s="88"/>
      <c r="BTZ24" s="88"/>
      <c r="BUA24" s="88"/>
      <c r="BUB24" s="88"/>
      <c r="BUC24" s="88"/>
      <c r="BUD24" s="88"/>
      <c r="BUE24" s="88"/>
      <c r="BUF24" s="88"/>
      <c r="BUG24" s="88"/>
      <c r="BUH24" s="88"/>
      <c r="BUI24" s="88"/>
      <c r="BUJ24" s="88"/>
      <c r="BUK24" s="88"/>
      <c r="BUL24" s="88"/>
      <c r="BUM24" s="88"/>
      <c r="BUN24" s="88"/>
      <c r="BUO24" s="88"/>
      <c r="BUP24" s="88"/>
      <c r="BUQ24" s="88"/>
      <c r="BUR24" s="88"/>
      <c r="BUS24" s="88"/>
      <c r="BUT24" s="88"/>
      <c r="BUU24" s="88"/>
      <c r="BUV24" s="88"/>
      <c r="BUW24" s="88"/>
      <c r="BUX24" s="88"/>
      <c r="BUY24" s="88"/>
      <c r="BUZ24" s="88"/>
      <c r="BVA24" s="88"/>
      <c r="BVB24" s="88"/>
      <c r="BVC24" s="88"/>
      <c r="BVD24" s="88"/>
      <c r="BVE24" s="88"/>
      <c r="BVF24" s="88"/>
      <c r="BVG24" s="88"/>
      <c r="BVH24" s="88"/>
      <c r="BVI24" s="88"/>
      <c r="BVJ24" s="88"/>
      <c r="BVK24" s="88"/>
      <c r="BVL24" s="88"/>
      <c r="BVM24" s="88"/>
      <c r="BVN24" s="88"/>
      <c r="BVO24" s="88"/>
      <c r="BVP24" s="88"/>
      <c r="BVQ24" s="88"/>
      <c r="BVR24" s="88"/>
      <c r="BVS24" s="88"/>
      <c r="BVT24" s="88"/>
      <c r="BVU24" s="88"/>
      <c r="BVV24" s="88"/>
      <c r="BVW24" s="88"/>
      <c r="BVX24" s="88"/>
      <c r="BVY24" s="88"/>
      <c r="BVZ24" s="88"/>
      <c r="BWA24" s="88"/>
      <c r="BWB24" s="88"/>
      <c r="BWC24" s="88"/>
      <c r="BWD24" s="88"/>
      <c r="BWE24" s="88"/>
      <c r="BWF24" s="88"/>
      <c r="BWG24" s="88"/>
      <c r="BWH24" s="88"/>
      <c r="BWI24" s="88"/>
      <c r="BWJ24" s="88"/>
      <c r="BWK24" s="88"/>
      <c r="BWL24" s="88"/>
      <c r="BWM24" s="88"/>
      <c r="BWN24" s="88"/>
      <c r="BWO24" s="88"/>
      <c r="BWP24" s="88"/>
      <c r="BWQ24" s="88"/>
      <c r="BWR24" s="88"/>
      <c r="BWS24" s="88"/>
      <c r="BWT24" s="88"/>
      <c r="BWU24" s="88"/>
      <c r="BWV24" s="88"/>
      <c r="BWW24" s="88"/>
      <c r="BWX24" s="88"/>
      <c r="BWY24" s="88"/>
      <c r="BWZ24" s="88"/>
      <c r="BXA24" s="88"/>
      <c r="BXB24" s="88"/>
      <c r="BXC24" s="88"/>
      <c r="BXD24" s="88"/>
      <c r="BXE24" s="88"/>
      <c r="BXF24" s="88"/>
      <c r="BXG24" s="88"/>
      <c r="BXH24" s="88"/>
      <c r="BXI24" s="88"/>
      <c r="BXJ24" s="88"/>
      <c r="BXK24" s="88"/>
      <c r="BXL24" s="88"/>
      <c r="BXM24" s="88"/>
      <c r="BXN24" s="88"/>
      <c r="BXO24" s="88"/>
      <c r="BXP24" s="88"/>
      <c r="BXQ24" s="88"/>
      <c r="BXR24" s="88"/>
      <c r="BXS24" s="88"/>
      <c r="BXT24" s="88"/>
      <c r="BXU24" s="88"/>
      <c r="BXV24" s="88"/>
      <c r="BXW24" s="88"/>
      <c r="BXX24" s="88"/>
      <c r="BXY24" s="88"/>
      <c r="BXZ24" s="88"/>
      <c r="BYA24" s="88"/>
      <c r="BYB24" s="88"/>
      <c r="BYC24" s="88"/>
      <c r="BYD24" s="88"/>
      <c r="BYE24" s="88"/>
      <c r="BYF24" s="88"/>
      <c r="BYG24" s="88"/>
      <c r="BYH24" s="88"/>
      <c r="BYI24" s="88"/>
      <c r="BYJ24" s="88"/>
      <c r="BYK24" s="88"/>
      <c r="BYL24" s="88"/>
      <c r="BYM24" s="88"/>
      <c r="BYN24" s="88"/>
      <c r="BYO24" s="88"/>
      <c r="BYP24" s="88"/>
      <c r="BYQ24" s="88"/>
      <c r="BYR24" s="88"/>
      <c r="BYS24" s="88"/>
      <c r="BYT24" s="88"/>
      <c r="BYU24" s="88"/>
      <c r="BYV24" s="88"/>
      <c r="BYW24" s="88"/>
      <c r="BYX24" s="88"/>
      <c r="BYY24" s="88"/>
      <c r="BYZ24" s="88"/>
      <c r="BZA24" s="88"/>
      <c r="BZB24" s="88"/>
      <c r="BZC24" s="88"/>
      <c r="BZD24" s="88"/>
      <c r="BZE24" s="88"/>
      <c r="BZF24" s="88"/>
      <c r="BZG24" s="88"/>
      <c r="BZH24" s="88"/>
      <c r="BZI24" s="88"/>
      <c r="BZJ24" s="88"/>
      <c r="BZK24" s="88"/>
      <c r="BZL24" s="88"/>
      <c r="BZM24" s="88"/>
      <c r="BZN24" s="88"/>
      <c r="BZO24" s="88"/>
      <c r="BZP24" s="88"/>
      <c r="BZQ24" s="88"/>
      <c r="BZR24" s="88"/>
      <c r="BZS24" s="88"/>
      <c r="BZT24" s="88"/>
      <c r="BZU24" s="88"/>
      <c r="BZV24" s="88"/>
      <c r="BZW24" s="88"/>
      <c r="BZX24" s="88"/>
      <c r="BZY24" s="88"/>
      <c r="BZZ24" s="88"/>
      <c r="CAA24" s="88"/>
      <c r="CAB24" s="88"/>
      <c r="CAC24" s="88"/>
      <c r="CAD24" s="88"/>
      <c r="CAE24" s="88"/>
      <c r="CAF24" s="88"/>
      <c r="CAG24" s="88"/>
      <c r="CAH24" s="88"/>
      <c r="CAI24" s="88"/>
      <c r="CAJ24" s="88"/>
      <c r="CAK24" s="88"/>
      <c r="CAL24" s="88"/>
      <c r="CAM24" s="88"/>
      <c r="CAN24" s="88"/>
      <c r="CAO24" s="88"/>
      <c r="CAP24" s="88"/>
      <c r="CAQ24" s="88"/>
      <c r="CAR24" s="88"/>
      <c r="CAS24" s="88"/>
      <c r="CAT24" s="88"/>
      <c r="CAU24" s="88"/>
      <c r="CAV24" s="88"/>
      <c r="CAW24" s="88"/>
      <c r="CAX24" s="88"/>
      <c r="CAY24" s="88"/>
      <c r="CAZ24" s="88"/>
      <c r="CBA24" s="88"/>
      <c r="CBB24" s="88"/>
      <c r="CBC24" s="88"/>
      <c r="CBD24" s="88"/>
      <c r="CBE24" s="88"/>
      <c r="CBF24" s="88"/>
      <c r="CBG24" s="88"/>
      <c r="CBH24" s="88"/>
      <c r="CBI24" s="88"/>
      <c r="CBJ24" s="88"/>
      <c r="CBK24" s="88"/>
      <c r="CBL24" s="88"/>
      <c r="CBM24" s="88"/>
      <c r="CBN24" s="88"/>
      <c r="CBO24" s="88"/>
      <c r="CBP24" s="88"/>
      <c r="CBQ24" s="88"/>
      <c r="CBR24" s="88"/>
      <c r="CBS24" s="88"/>
      <c r="CBT24" s="88"/>
      <c r="CBU24" s="88"/>
      <c r="CBV24" s="88"/>
      <c r="CBW24" s="88"/>
      <c r="CBX24" s="88"/>
      <c r="CBY24" s="88"/>
      <c r="CBZ24" s="88"/>
      <c r="CCA24" s="88"/>
      <c r="CCB24" s="88"/>
      <c r="CCC24" s="88"/>
      <c r="CCD24" s="88"/>
      <c r="CCE24" s="88"/>
      <c r="CCF24" s="88"/>
      <c r="CCG24" s="88"/>
      <c r="CCH24" s="88"/>
      <c r="CCI24" s="88"/>
      <c r="CCJ24" s="88"/>
      <c r="CCK24" s="88"/>
      <c r="CCL24" s="88"/>
      <c r="CCM24" s="88"/>
      <c r="CCN24" s="88"/>
      <c r="CCO24" s="88"/>
      <c r="CCP24" s="88"/>
      <c r="CCQ24" s="88"/>
      <c r="CCR24" s="88"/>
      <c r="CCS24" s="88"/>
      <c r="CCT24" s="88"/>
      <c r="CCU24" s="88"/>
      <c r="CCV24" s="88"/>
      <c r="CCW24" s="88"/>
      <c r="CCX24" s="88"/>
      <c r="CCY24" s="88"/>
      <c r="CCZ24" s="88"/>
      <c r="CDA24" s="88"/>
      <c r="CDB24" s="88"/>
      <c r="CDC24" s="88"/>
      <c r="CDD24" s="88"/>
      <c r="CDE24" s="88"/>
      <c r="CDF24" s="88"/>
      <c r="CDG24" s="88"/>
      <c r="CDH24" s="88"/>
      <c r="CDI24" s="88"/>
      <c r="CDJ24" s="88"/>
      <c r="CDK24" s="88"/>
      <c r="CDL24" s="88"/>
      <c r="CDM24" s="88"/>
      <c r="CDN24" s="88"/>
      <c r="CDO24" s="88"/>
      <c r="CDP24" s="88"/>
      <c r="CDQ24" s="88"/>
      <c r="CDR24" s="88"/>
      <c r="CDS24" s="88"/>
      <c r="CDT24" s="88"/>
      <c r="CDU24" s="88"/>
      <c r="CDV24" s="88"/>
      <c r="CDW24" s="88"/>
      <c r="CDX24" s="88"/>
      <c r="CDY24" s="88"/>
      <c r="CDZ24" s="88"/>
      <c r="CEA24" s="88"/>
      <c r="CEB24" s="88"/>
      <c r="CEC24" s="88"/>
      <c r="CED24" s="88"/>
      <c r="CEE24" s="88"/>
      <c r="CEF24" s="88"/>
      <c r="CEG24" s="88"/>
      <c r="CEH24" s="88"/>
      <c r="CEI24" s="88"/>
      <c r="CEJ24" s="88"/>
      <c r="CEK24" s="88"/>
    </row>
    <row r="25" spans="1:2169" s="63" customFormat="1">
      <c r="A25" s="68" t="s">
        <v>404</v>
      </c>
      <c r="B25" s="71" t="s">
        <v>1254</v>
      </c>
      <c r="C25" s="68" t="str">
        <f>IF('page 2'!$O$4="","",IF('page 2'!$O$4=Gestion!A25,1,0))</f>
        <v/>
      </c>
      <c r="D25" s="68" t="str">
        <f>IF('page 2'!$O$5="","",IF('page 2'!$O$5=Gestion!A25,1,0))</f>
        <v/>
      </c>
      <c r="E25" s="68" t="str">
        <f>IF('page 2'!$O$6="","",IF('page 2'!$O$6=Gestion!A25,1,0))</f>
        <v/>
      </c>
      <c r="F25" s="68" t="str">
        <f>IF('page 2'!$O$7="","",IF('page 2'!$O$7=Gestion!A25,1,0))</f>
        <v/>
      </c>
      <c r="G25" s="68" t="str">
        <f>IF('page 2'!$O$8="","",IF('page 2'!$O$8=Gestion!A25,1,0))</f>
        <v/>
      </c>
      <c r="H25" s="68" t="str">
        <f>IF('page 2'!$O$9="","",IF('page 2'!$O$9=Gestion!A25,1,0))</f>
        <v/>
      </c>
      <c r="I25" s="68" t="str">
        <f>IF('page 2'!$O$10="","",IF('page 2'!$O$10=Gestion!A25,1,0))</f>
        <v/>
      </c>
      <c r="J25" s="68" t="str">
        <f>IF('page 2'!$O$11="","",IF('page 2'!$O$11=Gestion!A25,1,0))</f>
        <v/>
      </c>
      <c r="K25" s="68" t="str">
        <f>IF('page 2'!$O$12="","",IF('page 2'!$O$12=Gestion!A25,1,0))</f>
        <v/>
      </c>
      <c r="L25" s="68" t="str">
        <f>IF('page 2'!$O$13="","",IF('page 2'!$O$13=Gestion!A25,1,0))</f>
        <v/>
      </c>
      <c r="M25" s="68" t="str">
        <f>IF('page 2'!$O$14="","",IF('page 2'!$O$14=Gestion!A25,1,0))</f>
        <v/>
      </c>
      <c r="N25" s="68" t="str">
        <f>IF('page 2'!$O$15="","",IF('page 2'!$O$15=Gestion!A25,1,0))</f>
        <v/>
      </c>
      <c r="O25" s="68" t="str">
        <f>IF('page 2'!$O$16="","",IF('page 2'!$O$16=Gestion!A25,1,0))</f>
        <v/>
      </c>
      <c r="P25" s="68" t="str">
        <f>IF('page 2'!$O$17="","",IF('page 2'!$O$17=Gestion!A25,1,0))</f>
        <v/>
      </c>
      <c r="Q25" s="68" t="str">
        <f>IF('page 2'!$O$18="","",IF('page 2'!$O$18=Gestion!A25,1,0))</f>
        <v/>
      </c>
      <c r="R25" s="68" t="str">
        <f>IF('page 2'!$O$19="","",IF('page 2'!$O$19=Gestion!A25,1,0))</f>
        <v/>
      </c>
      <c r="S25" s="68" t="str">
        <f>IF('page 2'!$O$20="","",IF('page 2'!$O$20=Gestion!A25,1,0))</f>
        <v/>
      </c>
      <c r="T25" s="68" t="str">
        <f>IF('page 2'!$O$25="","",IF('page 2'!$O$25=Gestion!A25,1,0))</f>
        <v/>
      </c>
      <c r="U25" s="68" t="str">
        <f>IF('page 2'!$O$26="","",IF('page 2'!$O$26=Gestion!A25,1,0))</f>
        <v/>
      </c>
      <c r="V25" s="68" t="str">
        <f>IF('page 2'!$O$27="","",IF('page 2'!$O$27=Gestion!A25,1,0))</f>
        <v/>
      </c>
      <c r="W25" s="722">
        <f t="shared" si="0"/>
        <v>0</v>
      </c>
      <c r="X25" s="714" t="s">
        <v>14610</v>
      </c>
      <c r="Y25" s="68" t="str">
        <f>IF('page 2'!O26="","",'page 2'!O26)</f>
        <v/>
      </c>
      <c r="Z25" s="68" t="str">
        <f>IF(Y25="","",VLOOKUP(Y25,'page 2'!$O$4:$Q$27,3,FALSE))</f>
        <v/>
      </c>
      <c r="AA25" s="68" t="str">
        <f t="shared" si="1"/>
        <v/>
      </c>
      <c r="AB25" s="68"/>
      <c r="AC25" s="68"/>
      <c r="AD25" s="68"/>
      <c r="AP25" s="130"/>
      <c r="AQ25" s="130"/>
      <c r="AR25" s="130"/>
      <c r="AS25" s="576"/>
      <c r="AT25" s="576"/>
      <c r="AU25" s="576"/>
      <c r="AV25" s="576"/>
      <c r="AW25" s="602"/>
      <c r="AX25" s="602"/>
      <c r="AY25" s="576"/>
      <c r="AZ25" s="576"/>
      <c r="BA25" s="576"/>
      <c r="BB25" s="576"/>
      <c r="BC25" s="576"/>
      <c r="BD25" s="602"/>
      <c r="BE25" s="602"/>
      <c r="BF25" s="602"/>
      <c r="BG25" s="602"/>
      <c r="BH25" s="602"/>
      <c r="BI25" s="602"/>
      <c r="BJ25" s="602"/>
      <c r="BK25" s="602"/>
      <c r="BL25" s="602"/>
      <c r="BM25" s="602"/>
      <c r="BN25" s="602"/>
      <c r="BO25" s="602"/>
      <c r="BP25" s="602"/>
      <c r="BQ25" s="602"/>
      <c r="BR25" s="602"/>
      <c r="BS25" s="576"/>
      <c r="BT25" s="576"/>
      <c r="BU25" s="576"/>
      <c r="BV25" s="576"/>
      <c r="BW25" s="602"/>
      <c r="BX25" s="602"/>
      <c r="BY25" s="602"/>
      <c r="BZ25" s="576"/>
      <c r="CA25" s="602"/>
      <c r="CB25" s="602"/>
      <c r="CC25" s="576"/>
      <c r="CD25" s="469"/>
      <c r="CE25" s="602"/>
      <c r="CF25" s="576"/>
      <c r="CG25" s="576"/>
      <c r="CH25" s="576"/>
      <c r="CI25" s="576"/>
      <c r="CJ25" s="576"/>
      <c r="CK25" s="602"/>
      <c r="CL25" s="602"/>
      <c r="CM25" s="576"/>
      <c r="CN25" s="602"/>
      <c r="CO25" s="602"/>
      <c r="CP25" s="602"/>
      <c r="CQ25" s="576"/>
      <c r="CR25" s="576"/>
      <c r="CS25" s="602"/>
      <c r="CT25" s="99"/>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c r="SK25" s="88"/>
      <c r="SL25" s="88"/>
      <c r="SM25" s="88"/>
      <c r="SN25" s="88"/>
      <c r="SO25" s="88"/>
      <c r="SP25" s="88"/>
      <c r="SQ25" s="88"/>
      <c r="SR25" s="88"/>
      <c r="SS25" s="88"/>
      <c r="ST25" s="88"/>
      <c r="SU25" s="88"/>
      <c r="SV25" s="88"/>
      <c r="SW25" s="88"/>
      <c r="SX25" s="88"/>
      <c r="SY25" s="88"/>
      <c r="SZ25" s="88"/>
      <c r="TA25" s="88"/>
      <c r="TB25" s="88"/>
      <c r="TC25" s="88"/>
      <c r="TD25" s="88"/>
      <c r="TE25" s="88"/>
      <c r="TF25" s="88"/>
      <c r="TG25" s="88"/>
      <c r="TH25" s="88"/>
      <c r="TI25" s="88"/>
      <c r="TJ25" s="88"/>
      <c r="TK25" s="88"/>
      <c r="TL25" s="88"/>
      <c r="TM25" s="88"/>
      <c r="TN25" s="88"/>
      <c r="TO25" s="88"/>
      <c r="TP25" s="88"/>
      <c r="TQ25" s="88"/>
      <c r="TR25" s="88"/>
      <c r="TS25" s="88"/>
      <c r="TT25" s="88"/>
      <c r="TU25" s="88"/>
      <c r="TV25" s="88"/>
      <c r="TW25" s="88"/>
      <c r="TX25" s="88"/>
      <c r="TY25" s="88"/>
      <c r="TZ25" s="88"/>
      <c r="UA25" s="88"/>
      <c r="UB25" s="88"/>
      <c r="UC25" s="88"/>
      <c r="UD25" s="88"/>
      <c r="UE25" s="88"/>
      <c r="UF25" s="88"/>
      <c r="UG25" s="88"/>
      <c r="UH25" s="88"/>
      <c r="UI25" s="88"/>
      <c r="UJ25" s="88"/>
      <c r="UK25" s="88"/>
      <c r="UL25" s="88"/>
      <c r="UM25" s="88"/>
      <c r="UN25" s="88"/>
      <c r="UO25" s="88"/>
      <c r="UP25" s="88"/>
      <c r="UQ25" s="88"/>
      <c r="UR25" s="88"/>
      <c r="US25" s="88"/>
      <c r="UT25" s="88"/>
      <c r="UU25" s="88"/>
      <c r="UV25" s="88"/>
      <c r="UW25" s="88"/>
      <c r="UX25" s="88"/>
      <c r="UY25" s="88"/>
      <c r="UZ25" s="88"/>
      <c r="VA25" s="88"/>
      <c r="VB25" s="88"/>
      <c r="VC25" s="88"/>
      <c r="VD25" s="88"/>
      <c r="VE25" s="88"/>
      <c r="VF25" s="88"/>
      <c r="VG25" s="88"/>
      <c r="VH25" s="88"/>
      <c r="VI25" s="88"/>
      <c r="VJ25" s="88"/>
      <c r="VK25" s="88"/>
      <c r="VL25" s="88"/>
      <c r="VM25" s="88"/>
      <c r="VN25" s="88"/>
      <c r="VO25" s="88"/>
      <c r="VP25" s="88"/>
      <c r="VQ25" s="88"/>
      <c r="VR25" s="88"/>
      <c r="VS25" s="88"/>
      <c r="VT25" s="88"/>
      <c r="VU25" s="88"/>
      <c r="VV25" s="88"/>
      <c r="VW25" s="88"/>
      <c r="VX25" s="88"/>
      <c r="VY25" s="88"/>
      <c r="VZ25" s="88"/>
      <c r="WA25" s="88"/>
      <c r="WB25" s="88"/>
      <c r="WC25" s="88"/>
      <c r="WD25" s="88"/>
      <c r="WE25" s="88"/>
      <c r="WF25" s="88"/>
      <c r="WG25" s="88"/>
      <c r="WH25" s="88"/>
      <c r="WI25" s="88"/>
      <c r="WJ25" s="88"/>
      <c r="WK25" s="88"/>
      <c r="WL25" s="88"/>
      <c r="WM25" s="88"/>
      <c r="WN25" s="88"/>
      <c r="WO25" s="88"/>
      <c r="WP25" s="88"/>
      <c r="WQ25" s="88"/>
      <c r="WR25" s="88"/>
      <c r="WS25" s="88"/>
      <c r="WT25" s="88"/>
      <c r="WU25" s="88"/>
      <c r="WV25" s="88"/>
      <c r="WW25" s="88"/>
      <c r="WX25" s="88"/>
      <c r="WY25" s="88"/>
      <c r="WZ25" s="88"/>
      <c r="XA25" s="88"/>
      <c r="XB25" s="88"/>
      <c r="XC25" s="88"/>
      <c r="XD25" s="88"/>
      <c r="XE25" s="88"/>
      <c r="XF25" s="88"/>
      <c r="XG25" s="88"/>
      <c r="XH25" s="88"/>
      <c r="XI25" s="88"/>
      <c r="XJ25" s="88"/>
      <c r="XK25" s="88"/>
      <c r="XL25" s="88"/>
      <c r="XM25" s="88"/>
      <c r="XN25" s="88"/>
      <c r="XO25" s="88"/>
      <c r="XP25" s="88"/>
      <c r="XQ25" s="88"/>
      <c r="XR25" s="88"/>
      <c r="XS25" s="88"/>
      <c r="XT25" s="88"/>
      <c r="XU25" s="88"/>
      <c r="XV25" s="88"/>
      <c r="XW25" s="88"/>
      <c r="XX25" s="88"/>
      <c r="XY25" s="88"/>
      <c r="XZ25" s="88"/>
      <c r="YA25" s="88"/>
      <c r="YB25" s="88"/>
      <c r="YC25" s="88"/>
      <c r="YD25" s="88"/>
      <c r="YE25" s="88"/>
      <c r="YF25" s="88"/>
      <c r="YG25" s="88"/>
      <c r="YH25" s="88"/>
      <c r="YI25" s="88"/>
      <c r="YJ25" s="88"/>
      <c r="YK25" s="88"/>
      <c r="YL25" s="88"/>
      <c r="YM25" s="88"/>
      <c r="YN25" s="88"/>
      <c r="YO25" s="88"/>
      <c r="YP25" s="88"/>
      <c r="YQ25" s="88"/>
      <c r="YR25" s="88"/>
      <c r="YS25" s="88"/>
      <c r="YT25" s="88"/>
      <c r="YU25" s="88"/>
      <c r="YV25" s="88"/>
      <c r="YW25" s="88"/>
      <c r="YX25" s="88"/>
      <c r="YY25" s="88"/>
      <c r="YZ25" s="88"/>
      <c r="ZA25" s="88"/>
      <c r="ZB25" s="88"/>
      <c r="ZC25" s="88"/>
      <c r="ZD25" s="88"/>
      <c r="ZE25" s="88"/>
      <c r="ZF25" s="88"/>
      <c r="ZG25" s="88"/>
      <c r="ZH25" s="88"/>
      <c r="ZI25" s="88"/>
      <c r="ZJ25" s="88"/>
      <c r="ZK25" s="88"/>
      <c r="ZL25" s="88"/>
      <c r="ZM25" s="88"/>
      <c r="ZN25" s="88"/>
      <c r="ZO25" s="88"/>
      <c r="ZP25" s="88"/>
      <c r="ZQ25" s="88"/>
      <c r="ZR25" s="88"/>
      <c r="ZS25" s="88"/>
      <c r="ZT25" s="88"/>
      <c r="ZU25" s="88"/>
      <c r="ZV25" s="88"/>
      <c r="ZW25" s="88"/>
      <c r="ZX25" s="88"/>
      <c r="ZY25" s="88"/>
      <c r="ZZ25" s="88"/>
      <c r="AAA25" s="88"/>
      <c r="AAB25" s="88"/>
      <c r="AAC25" s="88"/>
      <c r="AAD25" s="88"/>
      <c r="AAE25" s="88"/>
      <c r="AAF25" s="88"/>
      <c r="AAG25" s="88"/>
      <c r="AAH25" s="88"/>
      <c r="AAI25" s="88"/>
      <c r="AAJ25" s="88"/>
      <c r="AAK25" s="88"/>
      <c r="AAL25" s="88"/>
      <c r="AAM25" s="88"/>
      <c r="AAN25" s="88"/>
      <c r="AAO25" s="88"/>
      <c r="AAP25" s="88"/>
      <c r="AAQ25" s="88"/>
      <c r="AAR25" s="88"/>
      <c r="AAS25" s="88"/>
      <c r="AAT25" s="88"/>
      <c r="AAU25" s="88"/>
      <c r="AAV25" s="88"/>
      <c r="AAW25" s="88"/>
      <c r="AAX25" s="88"/>
      <c r="AAY25" s="88"/>
      <c r="AAZ25" s="88"/>
      <c r="ABA25" s="88"/>
      <c r="ABB25" s="88"/>
      <c r="ABC25" s="88"/>
      <c r="ABD25" s="88"/>
      <c r="ABE25" s="88"/>
      <c r="ABF25" s="88"/>
      <c r="ABG25" s="88"/>
      <c r="ABH25" s="88"/>
      <c r="ABI25" s="88"/>
      <c r="ABJ25" s="88"/>
      <c r="ABK25" s="88"/>
      <c r="ABL25" s="88"/>
      <c r="ABM25" s="88"/>
      <c r="ABN25" s="88"/>
      <c r="ABO25" s="88"/>
      <c r="ABP25" s="88"/>
      <c r="ABQ25" s="88"/>
      <c r="ABR25" s="88"/>
      <c r="ABS25" s="88"/>
      <c r="ABT25" s="88"/>
      <c r="ABU25" s="88"/>
      <c r="ABV25" s="88"/>
      <c r="ABW25" s="88"/>
      <c r="ABX25" s="88"/>
      <c r="ABY25" s="88"/>
      <c r="ABZ25" s="88"/>
      <c r="ACA25" s="88"/>
      <c r="ACB25" s="88"/>
      <c r="ACC25" s="88"/>
      <c r="ACD25" s="88"/>
      <c r="ACE25" s="88"/>
      <c r="ACF25" s="88"/>
      <c r="ACG25" s="88"/>
      <c r="ACH25" s="88"/>
      <c r="ACI25" s="88"/>
      <c r="ACJ25" s="88"/>
      <c r="ACK25" s="88"/>
      <c r="ACL25" s="88"/>
      <c r="ACM25" s="88"/>
      <c r="ACN25" s="88"/>
      <c r="ACO25" s="88"/>
      <c r="ACP25" s="88"/>
      <c r="ACQ25" s="88"/>
      <c r="ACR25" s="88"/>
      <c r="ACS25" s="88"/>
      <c r="ACT25" s="88"/>
      <c r="ACU25" s="88"/>
      <c r="ACV25" s="88"/>
      <c r="ACW25" s="88"/>
      <c r="ACX25" s="88"/>
      <c r="ACY25" s="88"/>
      <c r="ACZ25" s="88"/>
      <c r="ADA25" s="88"/>
      <c r="ADB25" s="88"/>
      <c r="ADC25" s="88"/>
      <c r="ADD25" s="88"/>
      <c r="ADE25" s="88"/>
      <c r="ADF25" s="88"/>
      <c r="ADG25" s="88"/>
      <c r="ADH25" s="88"/>
      <c r="ADI25" s="88"/>
      <c r="ADJ25" s="88"/>
      <c r="ADK25" s="88"/>
      <c r="ADL25" s="88"/>
      <c r="ADM25" s="88"/>
      <c r="ADN25" s="88"/>
      <c r="ADO25" s="88"/>
      <c r="ADP25" s="88"/>
      <c r="ADQ25" s="88"/>
      <c r="ADR25" s="88"/>
      <c r="ADS25" s="88"/>
      <c r="ADT25" s="88"/>
      <c r="ADU25" s="88"/>
      <c r="ADV25" s="88"/>
      <c r="ADW25" s="88"/>
      <c r="ADX25" s="88"/>
      <c r="ADY25" s="88"/>
      <c r="ADZ25" s="88"/>
      <c r="AEA25" s="88"/>
      <c r="AEB25" s="88"/>
      <c r="AEC25" s="88"/>
      <c r="AED25" s="88"/>
      <c r="AEE25" s="88"/>
      <c r="AEF25" s="88"/>
      <c r="AEG25" s="88"/>
      <c r="AEH25" s="88"/>
      <c r="AEI25" s="88"/>
      <c r="AEJ25" s="88"/>
      <c r="AEK25" s="88"/>
      <c r="AEL25" s="88"/>
      <c r="AEM25" s="88"/>
      <c r="AEN25" s="88"/>
      <c r="AEO25" s="88"/>
      <c r="AEP25" s="88"/>
      <c r="AEQ25" s="88"/>
      <c r="AER25" s="88"/>
      <c r="AES25" s="88"/>
      <c r="AET25" s="88"/>
      <c r="AEU25" s="88"/>
      <c r="AEV25" s="88"/>
      <c r="AEW25" s="88"/>
      <c r="AEX25" s="88"/>
      <c r="AEY25" s="88"/>
      <c r="AEZ25" s="88"/>
      <c r="AFA25" s="88"/>
      <c r="AFB25" s="88"/>
      <c r="AFC25" s="88"/>
      <c r="AFD25" s="88"/>
      <c r="AFE25" s="88"/>
      <c r="AFF25" s="88"/>
      <c r="AFG25" s="88"/>
      <c r="AFH25" s="88"/>
      <c r="AFI25" s="88"/>
      <c r="AFJ25" s="88"/>
      <c r="AFK25" s="88"/>
      <c r="AFL25" s="88"/>
      <c r="AFM25" s="88"/>
      <c r="AFN25" s="88"/>
      <c r="AFO25" s="88"/>
      <c r="AFP25" s="88"/>
      <c r="AFQ25" s="88"/>
      <c r="AFR25" s="88"/>
      <c r="AFS25" s="88"/>
      <c r="AFT25" s="88"/>
      <c r="AFU25" s="88"/>
      <c r="AFV25" s="88"/>
      <c r="AFW25" s="88"/>
      <c r="AFX25" s="88"/>
      <c r="AFY25" s="88"/>
      <c r="AFZ25" s="88"/>
      <c r="AGA25" s="88"/>
      <c r="AGB25" s="88"/>
      <c r="AGC25" s="88"/>
      <c r="AGD25" s="88"/>
      <c r="AGE25" s="88"/>
      <c r="AGF25" s="88"/>
      <c r="AGG25" s="88"/>
      <c r="AGH25" s="88"/>
      <c r="AGI25" s="88"/>
      <c r="AGJ25" s="88"/>
      <c r="AGK25" s="88"/>
      <c r="AGL25" s="88"/>
      <c r="AGM25" s="88"/>
      <c r="AGN25" s="88"/>
      <c r="AGO25" s="88"/>
      <c r="AGP25" s="88"/>
      <c r="AGQ25" s="88"/>
      <c r="AGR25" s="88"/>
      <c r="AGS25" s="88"/>
      <c r="AGT25" s="88"/>
      <c r="AGU25" s="88"/>
      <c r="AGV25" s="88"/>
      <c r="AGW25" s="88"/>
      <c r="AGX25" s="88"/>
      <c r="AGY25" s="88"/>
      <c r="AGZ25" s="88"/>
      <c r="AHA25" s="88"/>
      <c r="AHB25" s="88"/>
      <c r="AHC25" s="88"/>
      <c r="AHD25" s="88"/>
      <c r="AHE25" s="88"/>
      <c r="AHF25" s="88"/>
      <c r="AHG25" s="88"/>
      <c r="AHH25" s="88"/>
      <c r="AHI25" s="88"/>
      <c r="AHJ25" s="88"/>
      <c r="AHK25" s="88"/>
      <c r="AHL25" s="88"/>
      <c r="AHM25" s="88"/>
      <c r="AHN25" s="88"/>
      <c r="AHO25" s="88"/>
      <c r="AHP25" s="88"/>
      <c r="AHQ25" s="88"/>
      <c r="AHR25" s="88"/>
      <c r="AHS25" s="88"/>
      <c r="AHT25" s="88"/>
      <c r="AHU25" s="88"/>
      <c r="AHV25" s="88"/>
      <c r="AHW25" s="88"/>
      <c r="AHX25" s="88"/>
      <c r="AHY25" s="88"/>
      <c r="AHZ25" s="88"/>
      <c r="AIA25" s="88"/>
      <c r="AIB25" s="88"/>
      <c r="AIC25" s="88"/>
      <c r="AID25" s="88"/>
      <c r="AIE25" s="88"/>
      <c r="AIF25" s="88"/>
      <c r="AIG25" s="88"/>
      <c r="AIH25" s="88"/>
      <c r="AII25" s="88"/>
      <c r="AIJ25" s="88"/>
      <c r="AIK25" s="88"/>
      <c r="AIL25" s="88"/>
      <c r="AIM25" s="88"/>
      <c r="AIN25" s="88"/>
      <c r="AIO25" s="88"/>
      <c r="AIP25" s="88"/>
      <c r="AIQ25" s="88"/>
      <c r="AIR25" s="88"/>
      <c r="AIS25" s="88"/>
      <c r="AIT25" s="88"/>
      <c r="AIU25" s="88"/>
      <c r="AIV25" s="88"/>
      <c r="AIW25" s="88"/>
      <c r="AIX25" s="88"/>
      <c r="AIY25" s="88"/>
      <c r="AIZ25" s="88"/>
      <c r="AJA25" s="88"/>
      <c r="AJB25" s="88"/>
      <c r="AJC25" s="88"/>
      <c r="AJD25" s="88"/>
      <c r="AJE25" s="88"/>
      <c r="AJF25" s="88"/>
      <c r="AJG25" s="88"/>
      <c r="AJH25" s="88"/>
      <c r="AJI25" s="88"/>
      <c r="AJJ25" s="88"/>
      <c r="AJK25" s="88"/>
      <c r="AJL25" s="88"/>
      <c r="AJM25" s="88"/>
      <c r="AJN25" s="88"/>
      <c r="AJO25" s="88"/>
      <c r="AJP25" s="88"/>
      <c r="AJQ25" s="88"/>
      <c r="AJR25" s="88"/>
      <c r="AJS25" s="88"/>
      <c r="AJT25" s="88"/>
      <c r="AJU25" s="88"/>
      <c r="AJV25" s="88"/>
      <c r="AJW25" s="88"/>
      <c r="AJX25" s="88"/>
      <c r="AJY25" s="88"/>
      <c r="AJZ25" s="88"/>
      <c r="AKA25" s="88"/>
      <c r="AKB25" s="88"/>
      <c r="AKC25" s="88"/>
      <c r="AKD25" s="88"/>
      <c r="AKE25" s="88"/>
      <c r="AKF25" s="88"/>
      <c r="AKG25" s="88"/>
      <c r="AKH25" s="88"/>
      <c r="AKI25" s="88"/>
      <c r="AKJ25" s="88"/>
      <c r="AKK25" s="88"/>
      <c r="AKL25" s="88"/>
      <c r="AKM25" s="88"/>
      <c r="AKN25" s="88"/>
      <c r="AKO25" s="88"/>
      <c r="AKP25" s="88"/>
      <c r="AKQ25" s="88"/>
      <c r="AKR25" s="88"/>
      <c r="AKS25" s="88"/>
      <c r="AKT25" s="88"/>
      <c r="AKU25" s="88"/>
      <c r="AKV25" s="88"/>
      <c r="AKW25" s="88"/>
      <c r="AKX25" s="88"/>
      <c r="AKY25" s="88"/>
      <c r="AKZ25" s="88"/>
      <c r="ALA25" s="88"/>
      <c r="ALB25" s="88"/>
      <c r="ALC25" s="88"/>
      <c r="ALD25" s="88"/>
      <c r="ALE25" s="88"/>
      <c r="ALF25" s="88"/>
      <c r="ALG25" s="88"/>
      <c r="ALH25" s="88"/>
      <c r="ALI25" s="88"/>
      <c r="ALJ25" s="88"/>
      <c r="ALK25" s="88"/>
      <c r="ALL25" s="88"/>
      <c r="ALM25" s="88"/>
      <c r="ALN25" s="88"/>
      <c r="ALO25" s="88"/>
      <c r="ALP25" s="88"/>
      <c r="ALQ25" s="88"/>
      <c r="ALR25" s="88"/>
      <c r="ALS25" s="88"/>
      <c r="ALT25" s="88"/>
      <c r="ALU25" s="88"/>
      <c r="ALV25" s="88"/>
      <c r="ALW25" s="88"/>
      <c r="ALX25" s="88"/>
      <c r="ALY25" s="88"/>
      <c r="ALZ25" s="88"/>
      <c r="AMA25" s="88"/>
      <c r="AMB25" s="88"/>
      <c r="AMC25" s="88"/>
      <c r="AMD25" s="88"/>
      <c r="AME25" s="88"/>
      <c r="AMF25" s="88"/>
      <c r="AMG25" s="88"/>
      <c r="AMH25" s="88"/>
      <c r="AMI25" s="88"/>
      <c r="AMJ25" s="88"/>
      <c r="AMK25" s="88"/>
      <c r="AML25" s="88"/>
      <c r="AMM25" s="88"/>
      <c r="AMN25" s="88"/>
      <c r="AMO25" s="88"/>
      <c r="AMP25" s="88"/>
      <c r="AMQ25" s="88"/>
      <c r="AMR25" s="88"/>
      <c r="AMS25" s="88"/>
      <c r="AMT25" s="88"/>
      <c r="AMU25" s="88"/>
      <c r="AMV25" s="88"/>
      <c r="AMW25" s="88"/>
      <c r="AMX25" s="88"/>
      <c r="AMY25" s="88"/>
      <c r="AMZ25" s="88"/>
      <c r="ANA25" s="88"/>
      <c r="ANB25" s="88"/>
      <c r="ANC25" s="88"/>
      <c r="AND25" s="88"/>
      <c r="ANE25" s="88"/>
      <c r="ANF25" s="88"/>
      <c r="ANG25" s="88"/>
      <c r="ANH25" s="88"/>
      <c r="ANI25" s="88"/>
      <c r="ANJ25" s="88"/>
      <c r="ANK25" s="88"/>
      <c r="ANL25" s="88"/>
      <c r="ANM25" s="88"/>
      <c r="ANN25" s="88"/>
      <c r="ANO25" s="88"/>
      <c r="ANP25" s="88"/>
      <c r="ANQ25" s="88"/>
      <c r="ANR25" s="88"/>
      <c r="ANS25" s="88"/>
      <c r="ANT25" s="88"/>
      <c r="ANU25" s="88"/>
      <c r="ANV25" s="88"/>
      <c r="ANW25" s="88"/>
      <c r="ANX25" s="88"/>
      <c r="ANY25" s="88"/>
      <c r="ANZ25" s="88"/>
      <c r="AOA25" s="88"/>
      <c r="AOB25" s="88"/>
      <c r="AOC25" s="88"/>
      <c r="AOD25" s="88"/>
      <c r="AOE25" s="88"/>
      <c r="AOF25" s="88"/>
      <c r="AOG25" s="88"/>
      <c r="AOH25" s="88"/>
      <c r="AOI25" s="88"/>
      <c r="AOJ25" s="88"/>
      <c r="AOK25" s="88"/>
      <c r="AOL25" s="88"/>
      <c r="AOM25" s="88"/>
      <c r="AON25" s="88"/>
      <c r="AOO25" s="88"/>
      <c r="AOP25" s="88"/>
      <c r="AOQ25" s="88"/>
      <c r="AOR25" s="88"/>
      <c r="AOS25" s="88"/>
      <c r="AOT25" s="88"/>
      <c r="AOU25" s="88"/>
      <c r="AOV25" s="88"/>
      <c r="AOW25" s="88"/>
      <c r="AOX25" s="88"/>
      <c r="AOY25" s="88"/>
      <c r="AOZ25" s="88"/>
      <c r="APA25" s="88"/>
      <c r="APB25" s="88"/>
      <c r="APC25" s="88"/>
      <c r="APD25" s="88"/>
      <c r="APE25" s="88"/>
      <c r="APF25" s="88"/>
      <c r="APG25" s="88"/>
      <c r="APH25" s="88"/>
      <c r="API25" s="88"/>
      <c r="APJ25" s="88"/>
      <c r="APK25" s="88"/>
      <c r="APL25" s="88"/>
      <c r="APM25" s="88"/>
      <c r="APN25" s="88"/>
      <c r="APO25" s="88"/>
      <c r="APP25" s="88"/>
      <c r="APQ25" s="88"/>
      <c r="APR25" s="88"/>
      <c r="APS25" s="88"/>
      <c r="APT25" s="88"/>
      <c r="APU25" s="88"/>
      <c r="APV25" s="88"/>
      <c r="APW25" s="88"/>
      <c r="APX25" s="88"/>
      <c r="APY25" s="88"/>
      <c r="APZ25" s="88"/>
      <c r="AQA25" s="88"/>
      <c r="AQB25" s="88"/>
      <c r="AQC25" s="88"/>
      <c r="AQD25" s="88"/>
      <c r="AQE25" s="88"/>
      <c r="AQF25" s="88"/>
      <c r="AQG25" s="88"/>
      <c r="AQH25" s="88"/>
      <c r="AQI25" s="88"/>
      <c r="AQJ25" s="88"/>
      <c r="AQK25" s="88"/>
      <c r="AQL25" s="88"/>
      <c r="AQM25" s="88"/>
      <c r="AQN25" s="88"/>
      <c r="AQO25" s="88"/>
      <c r="AQP25" s="88"/>
      <c r="AQQ25" s="88"/>
      <c r="AQR25" s="88"/>
      <c r="AQS25" s="88"/>
      <c r="AQT25" s="88"/>
      <c r="AQU25" s="88"/>
      <c r="AQV25" s="88"/>
      <c r="AQW25" s="88"/>
      <c r="AQX25" s="88"/>
      <c r="AQY25" s="88"/>
      <c r="AQZ25" s="88"/>
      <c r="ARA25" s="88"/>
      <c r="ARB25" s="88"/>
      <c r="ARC25" s="88"/>
      <c r="ARD25" s="88"/>
      <c r="ARE25" s="88"/>
      <c r="ARF25" s="88"/>
      <c r="ARG25" s="88"/>
      <c r="ARH25" s="88"/>
      <c r="ARI25" s="88"/>
      <c r="ARJ25" s="88"/>
      <c r="ARK25" s="88"/>
      <c r="ARL25" s="88"/>
      <c r="ARM25" s="88"/>
      <c r="ARN25" s="88"/>
      <c r="ARO25" s="88"/>
      <c r="ARP25" s="88"/>
      <c r="ARQ25" s="88"/>
      <c r="ARR25" s="88"/>
      <c r="ARS25" s="88"/>
      <c r="ART25" s="88"/>
      <c r="ARU25" s="88"/>
      <c r="ARV25" s="88"/>
      <c r="ARW25" s="88"/>
      <c r="ARX25" s="88"/>
      <c r="ARY25" s="88"/>
      <c r="ARZ25" s="88"/>
      <c r="ASA25" s="88"/>
      <c r="ASB25" s="88"/>
      <c r="ASC25" s="88"/>
      <c r="ASD25" s="88"/>
      <c r="ASE25" s="88"/>
      <c r="ASF25" s="88"/>
      <c r="ASG25" s="88"/>
      <c r="ASH25" s="88"/>
      <c r="ASI25" s="88"/>
      <c r="ASJ25" s="88"/>
      <c r="ASK25" s="88"/>
      <c r="ASL25" s="88"/>
      <c r="ASM25" s="88"/>
      <c r="ASN25" s="88"/>
      <c r="ASO25" s="88"/>
      <c r="ASP25" s="88"/>
      <c r="ASQ25" s="88"/>
      <c r="ASR25" s="88"/>
      <c r="ASS25" s="88"/>
      <c r="AST25" s="88"/>
      <c r="ASU25" s="88"/>
      <c r="ASV25" s="88"/>
      <c r="ASW25" s="88"/>
      <c r="ASX25" s="88"/>
      <c r="ASY25" s="88"/>
      <c r="ASZ25" s="88"/>
      <c r="ATA25" s="88"/>
      <c r="ATB25" s="88"/>
      <c r="ATC25" s="88"/>
      <c r="ATD25" s="88"/>
      <c r="ATE25" s="88"/>
      <c r="ATF25" s="88"/>
      <c r="ATG25" s="88"/>
      <c r="ATH25" s="88"/>
      <c r="ATI25" s="88"/>
      <c r="ATJ25" s="88"/>
      <c r="ATK25" s="88"/>
      <c r="ATL25" s="88"/>
      <c r="ATM25" s="88"/>
      <c r="ATN25" s="88"/>
      <c r="ATO25" s="88"/>
      <c r="ATP25" s="88"/>
      <c r="ATQ25" s="88"/>
      <c r="ATR25" s="88"/>
      <c r="ATS25" s="88"/>
      <c r="ATT25" s="88"/>
      <c r="ATU25" s="88"/>
      <c r="ATV25" s="88"/>
      <c r="ATW25" s="88"/>
      <c r="ATX25" s="88"/>
      <c r="ATY25" s="88"/>
      <c r="ATZ25" s="88"/>
      <c r="AUA25" s="88"/>
      <c r="AUB25" s="88"/>
      <c r="AUC25" s="88"/>
      <c r="AUD25" s="88"/>
      <c r="AUE25" s="88"/>
      <c r="AUF25" s="88"/>
      <c r="AUG25" s="88"/>
      <c r="AUH25" s="88"/>
      <c r="AUI25" s="88"/>
      <c r="AUJ25" s="88"/>
      <c r="AUK25" s="88"/>
      <c r="AUL25" s="88"/>
      <c r="AUM25" s="88"/>
      <c r="AUN25" s="88"/>
      <c r="AUO25" s="88"/>
      <c r="AUP25" s="88"/>
      <c r="AUQ25" s="88"/>
      <c r="AUR25" s="88"/>
      <c r="AUS25" s="88"/>
      <c r="AUT25" s="88"/>
      <c r="AUU25" s="88"/>
      <c r="AUV25" s="88"/>
      <c r="AUW25" s="88"/>
      <c r="AUX25" s="88"/>
      <c r="AUY25" s="88"/>
      <c r="AUZ25" s="88"/>
      <c r="AVA25" s="88"/>
      <c r="AVB25" s="88"/>
      <c r="AVC25" s="88"/>
      <c r="AVD25" s="88"/>
      <c r="AVE25" s="88"/>
      <c r="AVF25" s="88"/>
      <c r="AVG25" s="88"/>
      <c r="AVH25" s="88"/>
      <c r="AVI25" s="88"/>
      <c r="AVJ25" s="88"/>
      <c r="AVK25" s="88"/>
      <c r="AVL25" s="88"/>
      <c r="AVM25" s="88"/>
      <c r="AVN25" s="88"/>
      <c r="AVO25" s="88"/>
      <c r="AVP25" s="88"/>
      <c r="AVQ25" s="88"/>
      <c r="AVR25" s="88"/>
      <c r="AVS25" s="88"/>
      <c r="AVT25" s="88"/>
      <c r="AVU25" s="88"/>
      <c r="AVV25" s="88"/>
      <c r="AVW25" s="88"/>
      <c r="AVX25" s="88"/>
      <c r="AVY25" s="88"/>
      <c r="AVZ25" s="88"/>
      <c r="AWA25" s="88"/>
      <c r="AWB25" s="88"/>
      <c r="AWC25" s="88"/>
      <c r="AWD25" s="88"/>
      <c r="AWE25" s="88"/>
      <c r="AWF25" s="88"/>
      <c r="AWG25" s="88"/>
      <c r="AWH25" s="88"/>
      <c r="AWI25" s="88"/>
      <c r="AWJ25" s="88"/>
      <c r="AWK25" s="88"/>
      <c r="AWL25" s="88"/>
      <c r="AWM25" s="88"/>
      <c r="AWN25" s="88"/>
      <c r="AWO25" s="88"/>
      <c r="AWP25" s="88"/>
      <c r="AWQ25" s="88"/>
      <c r="AWR25" s="88"/>
      <c r="AWS25" s="88"/>
      <c r="AWT25" s="88"/>
      <c r="AWU25" s="88"/>
      <c r="AWV25" s="88"/>
      <c r="AWW25" s="88"/>
      <c r="AWX25" s="88"/>
      <c r="AWY25" s="88"/>
      <c r="AWZ25" s="88"/>
      <c r="AXA25" s="88"/>
      <c r="AXB25" s="88"/>
      <c r="AXC25" s="88"/>
      <c r="AXD25" s="88"/>
      <c r="AXE25" s="88"/>
      <c r="AXF25" s="88"/>
      <c r="AXG25" s="88"/>
      <c r="AXH25" s="88"/>
      <c r="AXI25" s="88"/>
      <c r="AXJ25" s="88"/>
      <c r="AXK25" s="88"/>
      <c r="AXL25" s="88"/>
      <c r="AXM25" s="88"/>
      <c r="AXN25" s="88"/>
      <c r="AXO25" s="88"/>
      <c r="AXP25" s="88"/>
      <c r="AXQ25" s="88"/>
      <c r="AXR25" s="88"/>
      <c r="AXS25" s="88"/>
      <c r="AXT25" s="88"/>
      <c r="AXU25" s="88"/>
      <c r="AXV25" s="88"/>
      <c r="AXW25" s="88"/>
      <c r="AXX25" s="88"/>
      <c r="AXY25" s="88"/>
      <c r="AXZ25" s="88"/>
      <c r="AYA25" s="88"/>
      <c r="AYB25" s="88"/>
      <c r="AYC25" s="88"/>
      <c r="AYD25" s="88"/>
      <c r="AYE25" s="88"/>
      <c r="AYF25" s="88"/>
      <c r="AYG25" s="88"/>
      <c r="AYH25" s="88"/>
      <c r="AYI25" s="88"/>
      <c r="AYJ25" s="88"/>
      <c r="AYK25" s="88"/>
      <c r="AYL25" s="88"/>
      <c r="AYM25" s="88"/>
      <c r="AYN25" s="88"/>
      <c r="AYO25" s="88"/>
      <c r="AYP25" s="88"/>
      <c r="AYQ25" s="88"/>
      <c r="AYR25" s="88"/>
      <c r="AYS25" s="88"/>
      <c r="AYT25" s="88"/>
      <c r="AYU25" s="88"/>
      <c r="AYV25" s="88"/>
      <c r="AYW25" s="88"/>
      <c r="AYX25" s="88"/>
      <c r="AYY25" s="88"/>
      <c r="AYZ25" s="88"/>
      <c r="AZA25" s="88"/>
      <c r="AZB25" s="88"/>
      <c r="AZC25" s="88"/>
      <c r="AZD25" s="88"/>
      <c r="AZE25" s="88"/>
      <c r="AZF25" s="88"/>
      <c r="AZG25" s="88"/>
      <c r="AZH25" s="88"/>
      <c r="AZI25" s="88"/>
      <c r="AZJ25" s="88"/>
      <c r="AZK25" s="88"/>
      <c r="AZL25" s="88"/>
      <c r="AZM25" s="88"/>
      <c r="AZN25" s="88"/>
      <c r="AZO25" s="88"/>
      <c r="AZP25" s="88"/>
      <c r="AZQ25" s="88"/>
      <c r="AZR25" s="88"/>
      <c r="AZS25" s="88"/>
      <c r="AZT25" s="88"/>
      <c r="AZU25" s="88"/>
      <c r="AZV25" s="88"/>
      <c r="AZW25" s="88"/>
      <c r="AZX25" s="88"/>
      <c r="AZY25" s="88"/>
      <c r="AZZ25" s="88"/>
      <c r="BAA25" s="88"/>
      <c r="BAB25" s="88"/>
      <c r="BAC25" s="88"/>
      <c r="BAD25" s="88"/>
      <c r="BAE25" s="88"/>
      <c r="BAF25" s="88"/>
      <c r="BAG25" s="88"/>
      <c r="BAH25" s="88"/>
      <c r="BAI25" s="88"/>
      <c r="BAJ25" s="88"/>
      <c r="BAK25" s="88"/>
      <c r="BAL25" s="88"/>
      <c r="BAM25" s="88"/>
      <c r="BAN25" s="88"/>
      <c r="BAO25" s="88"/>
      <c r="BAP25" s="88"/>
      <c r="BAQ25" s="88"/>
      <c r="BAR25" s="88"/>
      <c r="BAS25" s="88"/>
      <c r="BAT25" s="88"/>
      <c r="BAU25" s="88"/>
      <c r="BAV25" s="88"/>
      <c r="BAW25" s="88"/>
      <c r="BAX25" s="88"/>
      <c r="BAY25" s="88"/>
      <c r="BAZ25" s="88"/>
      <c r="BBA25" s="88"/>
      <c r="BBB25" s="88"/>
      <c r="BBC25" s="88"/>
      <c r="BBD25" s="88"/>
      <c r="BBE25" s="88"/>
      <c r="BBF25" s="88"/>
      <c r="BBG25" s="88"/>
      <c r="BBH25" s="88"/>
      <c r="BBI25" s="88"/>
      <c r="BBJ25" s="88"/>
      <c r="BBK25" s="88"/>
      <c r="BBL25" s="88"/>
      <c r="BBM25" s="88"/>
      <c r="BBN25" s="88"/>
      <c r="BBO25" s="88"/>
      <c r="BBP25" s="88"/>
      <c r="BBQ25" s="88"/>
      <c r="BBR25" s="88"/>
      <c r="BBS25" s="88"/>
      <c r="BBT25" s="88"/>
      <c r="BBU25" s="88"/>
      <c r="BBV25" s="88"/>
      <c r="BBW25" s="88"/>
      <c r="BBX25" s="88"/>
      <c r="BBY25" s="88"/>
      <c r="BBZ25" s="88"/>
      <c r="BCA25" s="88"/>
      <c r="BCB25" s="88"/>
      <c r="BCC25" s="88"/>
      <c r="BCD25" s="88"/>
      <c r="BCE25" s="88"/>
      <c r="BCF25" s="88"/>
      <c r="BCG25" s="88"/>
      <c r="BCH25" s="88"/>
      <c r="BCI25" s="88"/>
      <c r="BCJ25" s="88"/>
      <c r="BCK25" s="88"/>
      <c r="BCL25" s="88"/>
      <c r="BCM25" s="88"/>
      <c r="BCN25" s="88"/>
      <c r="BCO25" s="88"/>
      <c r="BCP25" s="88"/>
      <c r="BCQ25" s="88"/>
      <c r="BCR25" s="88"/>
      <c r="BCS25" s="88"/>
      <c r="BCT25" s="88"/>
      <c r="BCU25" s="88"/>
      <c r="BCV25" s="88"/>
      <c r="BCW25" s="88"/>
      <c r="BCX25" s="88"/>
      <c r="BCY25" s="88"/>
      <c r="BCZ25" s="88"/>
      <c r="BDA25" s="88"/>
      <c r="BDB25" s="88"/>
      <c r="BDC25" s="88"/>
      <c r="BDD25" s="88"/>
      <c r="BDE25" s="88"/>
      <c r="BDF25" s="88"/>
      <c r="BDG25" s="88"/>
      <c r="BDH25" s="88"/>
      <c r="BDI25" s="88"/>
      <c r="BDJ25" s="88"/>
      <c r="BDK25" s="88"/>
      <c r="BDL25" s="88"/>
      <c r="BDM25" s="88"/>
      <c r="BDN25" s="88"/>
      <c r="BDO25" s="88"/>
      <c r="BDP25" s="88"/>
      <c r="BDQ25" s="88"/>
      <c r="BDR25" s="88"/>
      <c r="BDS25" s="88"/>
      <c r="BDT25" s="88"/>
      <c r="BDU25" s="88"/>
      <c r="BDV25" s="88"/>
      <c r="BDW25" s="88"/>
      <c r="BDX25" s="88"/>
      <c r="BDY25" s="88"/>
      <c r="BDZ25" s="88"/>
      <c r="BEA25" s="88"/>
      <c r="BEB25" s="88"/>
      <c r="BEC25" s="88"/>
      <c r="BED25" s="88"/>
      <c r="BEE25" s="88"/>
      <c r="BEF25" s="88"/>
      <c r="BEG25" s="88"/>
      <c r="BEH25" s="88"/>
      <c r="BEI25" s="88"/>
      <c r="BEJ25" s="88"/>
      <c r="BEK25" s="88"/>
      <c r="BEL25" s="88"/>
      <c r="BEM25" s="88"/>
      <c r="BEN25" s="88"/>
      <c r="BEO25" s="88"/>
      <c r="BEP25" s="88"/>
      <c r="BEQ25" s="88"/>
      <c r="BER25" s="88"/>
      <c r="BES25" s="88"/>
      <c r="BET25" s="88"/>
      <c r="BEU25" s="88"/>
      <c r="BEV25" s="88"/>
      <c r="BEW25" s="88"/>
      <c r="BEX25" s="88"/>
      <c r="BEY25" s="88"/>
      <c r="BEZ25" s="88"/>
      <c r="BFA25" s="88"/>
      <c r="BFB25" s="88"/>
      <c r="BFC25" s="88"/>
      <c r="BFD25" s="88"/>
      <c r="BFE25" s="88"/>
      <c r="BFF25" s="88"/>
      <c r="BFG25" s="88"/>
      <c r="BFH25" s="88"/>
      <c r="BFI25" s="88"/>
      <c r="BFJ25" s="88"/>
      <c r="BFK25" s="88"/>
      <c r="BFL25" s="88"/>
      <c r="BFM25" s="88"/>
      <c r="BFN25" s="88"/>
      <c r="BFO25" s="88"/>
      <c r="BFP25" s="88"/>
      <c r="BFQ25" s="88"/>
      <c r="BFR25" s="88"/>
      <c r="BFS25" s="88"/>
      <c r="BFT25" s="88"/>
      <c r="BFU25" s="88"/>
      <c r="BFV25" s="88"/>
      <c r="BFW25" s="88"/>
      <c r="BFX25" s="88"/>
      <c r="BFY25" s="88"/>
      <c r="BFZ25" s="88"/>
      <c r="BGA25" s="88"/>
      <c r="BGB25" s="88"/>
      <c r="BGC25" s="88"/>
      <c r="BGD25" s="88"/>
      <c r="BGE25" s="88"/>
      <c r="BGF25" s="88"/>
      <c r="BGG25" s="88"/>
      <c r="BGH25" s="88"/>
      <c r="BGI25" s="88"/>
      <c r="BGJ25" s="88"/>
      <c r="BGK25" s="88"/>
      <c r="BGL25" s="88"/>
      <c r="BGM25" s="88"/>
      <c r="BGN25" s="88"/>
      <c r="BGO25" s="88"/>
      <c r="BGP25" s="88"/>
      <c r="BGQ25" s="88"/>
      <c r="BGR25" s="88"/>
      <c r="BGS25" s="88"/>
      <c r="BGT25" s="88"/>
      <c r="BGU25" s="88"/>
      <c r="BGV25" s="88"/>
      <c r="BGW25" s="88"/>
      <c r="BGX25" s="88"/>
      <c r="BGY25" s="88"/>
      <c r="BGZ25" s="88"/>
      <c r="BHA25" s="88"/>
      <c r="BHB25" s="88"/>
      <c r="BHC25" s="88"/>
      <c r="BHD25" s="88"/>
      <c r="BHE25" s="88"/>
      <c r="BHF25" s="88"/>
      <c r="BHG25" s="88"/>
      <c r="BHH25" s="88"/>
      <c r="BHI25" s="88"/>
      <c r="BHJ25" s="88"/>
      <c r="BHK25" s="88"/>
      <c r="BHL25" s="88"/>
      <c r="BHM25" s="88"/>
      <c r="BHN25" s="88"/>
      <c r="BHO25" s="88"/>
      <c r="BHP25" s="88"/>
      <c r="BHQ25" s="88"/>
      <c r="BHR25" s="88"/>
      <c r="BHS25" s="88"/>
      <c r="BHT25" s="88"/>
      <c r="BHU25" s="88"/>
      <c r="BHV25" s="88"/>
      <c r="BHW25" s="88"/>
      <c r="BHX25" s="88"/>
      <c r="BHY25" s="88"/>
      <c r="BHZ25" s="88"/>
      <c r="BIA25" s="88"/>
      <c r="BIB25" s="88"/>
      <c r="BIC25" s="88"/>
      <c r="BID25" s="88"/>
      <c r="BIE25" s="88"/>
      <c r="BIF25" s="88"/>
      <c r="BIG25" s="88"/>
      <c r="BIH25" s="88"/>
      <c r="BII25" s="88"/>
      <c r="BIJ25" s="88"/>
      <c r="BIK25" s="88"/>
      <c r="BIL25" s="88"/>
      <c r="BIM25" s="88"/>
      <c r="BIN25" s="88"/>
      <c r="BIO25" s="88"/>
      <c r="BIP25" s="88"/>
      <c r="BIQ25" s="88"/>
      <c r="BIR25" s="88"/>
      <c r="BIS25" s="88"/>
      <c r="BIT25" s="88"/>
      <c r="BIU25" s="88"/>
      <c r="BIV25" s="88"/>
      <c r="BIW25" s="88"/>
      <c r="BIX25" s="88"/>
      <c r="BIY25" s="88"/>
      <c r="BIZ25" s="88"/>
      <c r="BJA25" s="88"/>
      <c r="BJB25" s="88"/>
      <c r="BJC25" s="88"/>
      <c r="BJD25" s="88"/>
      <c r="BJE25" s="88"/>
      <c r="BJF25" s="88"/>
      <c r="BJG25" s="88"/>
      <c r="BJH25" s="88"/>
      <c r="BJI25" s="88"/>
      <c r="BJJ25" s="88"/>
      <c r="BJK25" s="88"/>
      <c r="BJL25" s="88"/>
      <c r="BJM25" s="88"/>
      <c r="BJN25" s="88"/>
      <c r="BJO25" s="88"/>
      <c r="BJP25" s="88"/>
      <c r="BJQ25" s="88"/>
      <c r="BJR25" s="88"/>
      <c r="BJS25" s="88"/>
      <c r="BJT25" s="88"/>
      <c r="BJU25" s="88"/>
      <c r="BJV25" s="88"/>
      <c r="BJW25" s="88"/>
      <c r="BJX25" s="88"/>
      <c r="BJY25" s="88"/>
      <c r="BJZ25" s="88"/>
      <c r="BKA25" s="88"/>
      <c r="BKB25" s="88"/>
      <c r="BKC25" s="88"/>
      <c r="BKD25" s="88"/>
      <c r="BKE25" s="88"/>
      <c r="BKF25" s="88"/>
      <c r="BKG25" s="88"/>
      <c r="BKH25" s="88"/>
      <c r="BKI25" s="88"/>
      <c r="BKJ25" s="88"/>
      <c r="BKK25" s="88"/>
      <c r="BKL25" s="88"/>
      <c r="BKM25" s="88"/>
      <c r="BKN25" s="88"/>
      <c r="BKO25" s="88"/>
      <c r="BKP25" s="88"/>
      <c r="BKQ25" s="88"/>
      <c r="BKR25" s="88"/>
      <c r="BKS25" s="88"/>
      <c r="BKT25" s="88"/>
      <c r="BKU25" s="88"/>
      <c r="BKV25" s="88"/>
      <c r="BKW25" s="88"/>
      <c r="BKX25" s="88"/>
      <c r="BKY25" s="88"/>
      <c r="BKZ25" s="88"/>
      <c r="BLA25" s="88"/>
      <c r="BLB25" s="88"/>
      <c r="BLC25" s="88"/>
      <c r="BLD25" s="88"/>
      <c r="BLE25" s="88"/>
      <c r="BLF25" s="88"/>
      <c r="BLG25" s="88"/>
      <c r="BLH25" s="88"/>
      <c r="BLI25" s="88"/>
      <c r="BLJ25" s="88"/>
      <c r="BLK25" s="88"/>
      <c r="BLL25" s="88"/>
      <c r="BLM25" s="88"/>
      <c r="BLN25" s="88"/>
      <c r="BLO25" s="88"/>
      <c r="BLP25" s="88"/>
      <c r="BLQ25" s="88"/>
      <c r="BLR25" s="88"/>
      <c r="BLS25" s="88"/>
      <c r="BLT25" s="88"/>
      <c r="BLU25" s="88"/>
      <c r="BLV25" s="88"/>
      <c r="BLW25" s="88"/>
      <c r="BLX25" s="88"/>
      <c r="BLY25" s="88"/>
      <c r="BLZ25" s="88"/>
      <c r="BMA25" s="88"/>
      <c r="BMB25" s="88"/>
      <c r="BMC25" s="88"/>
      <c r="BMD25" s="88"/>
      <c r="BME25" s="88"/>
      <c r="BMF25" s="88"/>
      <c r="BMG25" s="88"/>
      <c r="BMH25" s="88"/>
      <c r="BMI25" s="88"/>
      <c r="BMJ25" s="88"/>
      <c r="BMK25" s="88"/>
      <c r="BML25" s="88"/>
      <c r="BMM25" s="88"/>
      <c r="BMN25" s="88"/>
      <c r="BMO25" s="88"/>
      <c r="BMP25" s="88"/>
      <c r="BMQ25" s="88"/>
      <c r="BMR25" s="88"/>
      <c r="BMS25" s="88"/>
      <c r="BMT25" s="88"/>
      <c r="BMU25" s="88"/>
      <c r="BMV25" s="88"/>
      <c r="BMW25" s="88"/>
      <c r="BMX25" s="88"/>
      <c r="BMY25" s="88"/>
      <c r="BMZ25" s="88"/>
      <c r="BNA25" s="88"/>
      <c r="BNB25" s="88"/>
      <c r="BNC25" s="88"/>
      <c r="BND25" s="88"/>
      <c r="BNE25" s="88"/>
      <c r="BNF25" s="88"/>
      <c r="BNG25" s="88"/>
      <c r="BNH25" s="88"/>
      <c r="BNI25" s="88"/>
      <c r="BNJ25" s="88"/>
      <c r="BNK25" s="88"/>
      <c r="BNL25" s="88"/>
      <c r="BNM25" s="88"/>
      <c r="BNN25" s="88"/>
      <c r="BNO25" s="88"/>
      <c r="BNP25" s="88"/>
      <c r="BNQ25" s="88"/>
      <c r="BNR25" s="88"/>
      <c r="BNS25" s="88"/>
      <c r="BNT25" s="88"/>
      <c r="BNU25" s="88"/>
      <c r="BNV25" s="88"/>
      <c r="BNW25" s="88"/>
      <c r="BNX25" s="88"/>
      <c r="BNY25" s="88"/>
      <c r="BNZ25" s="88"/>
      <c r="BOA25" s="88"/>
      <c r="BOB25" s="88"/>
      <c r="BOC25" s="88"/>
      <c r="BOD25" s="88"/>
      <c r="BOE25" s="88"/>
      <c r="BOF25" s="88"/>
      <c r="BOG25" s="88"/>
      <c r="BOH25" s="88"/>
      <c r="BOI25" s="88"/>
      <c r="BOJ25" s="88"/>
      <c r="BOK25" s="88"/>
      <c r="BOL25" s="88"/>
      <c r="BOM25" s="88"/>
      <c r="BON25" s="88"/>
      <c r="BOO25" s="88"/>
      <c r="BOP25" s="88"/>
      <c r="BOQ25" s="88"/>
      <c r="BOR25" s="88"/>
      <c r="BOS25" s="88"/>
      <c r="BOT25" s="88"/>
      <c r="BOU25" s="88"/>
      <c r="BOV25" s="88"/>
      <c r="BOW25" s="88"/>
      <c r="BOX25" s="88"/>
      <c r="BOY25" s="88"/>
      <c r="BOZ25" s="88"/>
      <c r="BPA25" s="88"/>
      <c r="BPB25" s="88"/>
      <c r="BPC25" s="88"/>
      <c r="BPD25" s="88"/>
      <c r="BPE25" s="88"/>
      <c r="BPF25" s="88"/>
      <c r="BPG25" s="88"/>
      <c r="BPH25" s="88"/>
      <c r="BPI25" s="88"/>
      <c r="BPJ25" s="88"/>
      <c r="BPK25" s="88"/>
      <c r="BPL25" s="88"/>
      <c r="BPM25" s="88"/>
      <c r="BPN25" s="88"/>
      <c r="BPO25" s="88"/>
      <c r="BPP25" s="88"/>
      <c r="BPQ25" s="88"/>
      <c r="BPR25" s="88"/>
      <c r="BPS25" s="88"/>
      <c r="BPT25" s="88"/>
      <c r="BPU25" s="88"/>
      <c r="BPV25" s="88"/>
      <c r="BPW25" s="88"/>
      <c r="BPX25" s="88"/>
      <c r="BPY25" s="88"/>
      <c r="BPZ25" s="88"/>
      <c r="BQA25" s="88"/>
      <c r="BQB25" s="88"/>
      <c r="BQC25" s="88"/>
      <c r="BQD25" s="88"/>
      <c r="BQE25" s="88"/>
      <c r="BQF25" s="88"/>
      <c r="BQG25" s="88"/>
      <c r="BQH25" s="88"/>
      <c r="BQI25" s="88"/>
      <c r="BQJ25" s="88"/>
      <c r="BQK25" s="88"/>
      <c r="BQL25" s="88"/>
      <c r="BQM25" s="88"/>
      <c r="BQN25" s="88"/>
      <c r="BQO25" s="88"/>
      <c r="BQP25" s="88"/>
      <c r="BQQ25" s="88"/>
      <c r="BQR25" s="88"/>
      <c r="BQS25" s="88"/>
      <c r="BQT25" s="88"/>
      <c r="BQU25" s="88"/>
      <c r="BQV25" s="88"/>
      <c r="BQW25" s="88"/>
      <c r="BQX25" s="88"/>
      <c r="BQY25" s="88"/>
      <c r="BQZ25" s="88"/>
      <c r="BRA25" s="88"/>
      <c r="BRB25" s="88"/>
      <c r="BRC25" s="88"/>
      <c r="BRD25" s="88"/>
      <c r="BRE25" s="88"/>
      <c r="BRF25" s="88"/>
      <c r="BRG25" s="88"/>
      <c r="BRH25" s="88"/>
      <c r="BRI25" s="88"/>
      <c r="BRJ25" s="88"/>
      <c r="BRK25" s="88"/>
      <c r="BRL25" s="88"/>
      <c r="BRM25" s="88"/>
      <c r="BRN25" s="88"/>
      <c r="BRO25" s="88"/>
      <c r="BRP25" s="88"/>
      <c r="BRQ25" s="88"/>
      <c r="BRR25" s="88"/>
      <c r="BRS25" s="88"/>
      <c r="BRT25" s="88"/>
      <c r="BRU25" s="88"/>
      <c r="BRV25" s="88"/>
      <c r="BRW25" s="88"/>
      <c r="BRX25" s="88"/>
      <c r="BRY25" s="88"/>
      <c r="BRZ25" s="88"/>
      <c r="BSA25" s="88"/>
      <c r="BSB25" s="88"/>
      <c r="BSC25" s="88"/>
      <c r="BSD25" s="88"/>
      <c r="BSE25" s="88"/>
      <c r="BSF25" s="88"/>
      <c r="BSG25" s="88"/>
      <c r="BSH25" s="88"/>
      <c r="BSI25" s="88"/>
      <c r="BSJ25" s="88"/>
      <c r="BSK25" s="88"/>
      <c r="BSL25" s="88"/>
      <c r="BSM25" s="88"/>
      <c r="BSN25" s="88"/>
      <c r="BSO25" s="88"/>
      <c r="BSP25" s="88"/>
      <c r="BSQ25" s="88"/>
      <c r="BSR25" s="88"/>
      <c r="BSS25" s="88"/>
      <c r="BST25" s="88"/>
      <c r="BSU25" s="88"/>
      <c r="BSV25" s="88"/>
      <c r="BSW25" s="88"/>
      <c r="BSX25" s="88"/>
      <c r="BSY25" s="88"/>
      <c r="BSZ25" s="88"/>
      <c r="BTA25" s="88"/>
      <c r="BTB25" s="88"/>
      <c r="BTC25" s="88"/>
      <c r="BTD25" s="88"/>
      <c r="BTE25" s="88"/>
      <c r="BTF25" s="88"/>
      <c r="BTG25" s="88"/>
      <c r="BTH25" s="88"/>
      <c r="BTI25" s="88"/>
      <c r="BTJ25" s="88"/>
      <c r="BTK25" s="88"/>
      <c r="BTL25" s="88"/>
      <c r="BTM25" s="88"/>
      <c r="BTN25" s="88"/>
      <c r="BTO25" s="88"/>
      <c r="BTP25" s="88"/>
      <c r="BTQ25" s="88"/>
      <c r="BTR25" s="88"/>
      <c r="BTS25" s="88"/>
      <c r="BTT25" s="88"/>
      <c r="BTU25" s="88"/>
      <c r="BTV25" s="88"/>
      <c r="BTW25" s="88"/>
      <c r="BTX25" s="88"/>
      <c r="BTY25" s="88"/>
      <c r="BTZ25" s="88"/>
      <c r="BUA25" s="88"/>
      <c r="BUB25" s="88"/>
      <c r="BUC25" s="88"/>
      <c r="BUD25" s="88"/>
      <c r="BUE25" s="88"/>
      <c r="BUF25" s="88"/>
      <c r="BUG25" s="88"/>
      <c r="BUH25" s="88"/>
      <c r="BUI25" s="88"/>
      <c r="BUJ25" s="88"/>
      <c r="BUK25" s="88"/>
      <c r="BUL25" s="88"/>
      <c r="BUM25" s="88"/>
      <c r="BUN25" s="88"/>
      <c r="BUO25" s="88"/>
      <c r="BUP25" s="88"/>
      <c r="BUQ25" s="88"/>
      <c r="BUR25" s="88"/>
      <c r="BUS25" s="88"/>
      <c r="BUT25" s="88"/>
      <c r="BUU25" s="88"/>
      <c r="BUV25" s="88"/>
      <c r="BUW25" s="88"/>
      <c r="BUX25" s="88"/>
      <c r="BUY25" s="88"/>
      <c r="BUZ25" s="88"/>
      <c r="BVA25" s="88"/>
      <c r="BVB25" s="88"/>
      <c r="BVC25" s="88"/>
      <c r="BVD25" s="88"/>
      <c r="BVE25" s="88"/>
      <c r="BVF25" s="88"/>
      <c r="BVG25" s="88"/>
      <c r="BVH25" s="88"/>
      <c r="BVI25" s="88"/>
      <c r="BVJ25" s="88"/>
      <c r="BVK25" s="88"/>
      <c r="BVL25" s="88"/>
      <c r="BVM25" s="88"/>
      <c r="BVN25" s="88"/>
      <c r="BVO25" s="88"/>
      <c r="BVP25" s="88"/>
      <c r="BVQ25" s="88"/>
      <c r="BVR25" s="88"/>
      <c r="BVS25" s="88"/>
      <c r="BVT25" s="88"/>
      <c r="BVU25" s="88"/>
      <c r="BVV25" s="88"/>
      <c r="BVW25" s="88"/>
      <c r="BVX25" s="88"/>
      <c r="BVY25" s="88"/>
      <c r="BVZ25" s="88"/>
      <c r="BWA25" s="88"/>
      <c r="BWB25" s="88"/>
      <c r="BWC25" s="88"/>
      <c r="BWD25" s="88"/>
      <c r="BWE25" s="88"/>
      <c r="BWF25" s="88"/>
      <c r="BWG25" s="88"/>
      <c r="BWH25" s="88"/>
      <c r="BWI25" s="88"/>
      <c r="BWJ25" s="88"/>
      <c r="BWK25" s="88"/>
      <c r="BWL25" s="88"/>
      <c r="BWM25" s="88"/>
      <c r="BWN25" s="88"/>
      <c r="BWO25" s="88"/>
      <c r="BWP25" s="88"/>
      <c r="BWQ25" s="88"/>
      <c r="BWR25" s="88"/>
      <c r="BWS25" s="88"/>
      <c r="BWT25" s="88"/>
      <c r="BWU25" s="88"/>
      <c r="BWV25" s="88"/>
      <c r="BWW25" s="88"/>
      <c r="BWX25" s="88"/>
      <c r="BWY25" s="88"/>
      <c r="BWZ25" s="88"/>
      <c r="BXA25" s="88"/>
      <c r="BXB25" s="88"/>
      <c r="BXC25" s="88"/>
      <c r="BXD25" s="88"/>
      <c r="BXE25" s="88"/>
      <c r="BXF25" s="88"/>
      <c r="BXG25" s="88"/>
      <c r="BXH25" s="88"/>
      <c r="BXI25" s="88"/>
      <c r="BXJ25" s="88"/>
      <c r="BXK25" s="88"/>
      <c r="BXL25" s="88"/>
      <c r="BXM25" s="88"/>
      <c r="BXN25" s="88"/>
      <c r="BXO25" s="88"/>
      <c r="BXP25" s="88"/>
      <c r="BXQ25" s="88"/>
      <c r="BXR25" s="88"/>
      <c r="BXS25" s="88"/>
      <c r="BXT25" s="88"/>
      <c r="BXU25" s="88"/>
      <c r="BXV25" s="88"/>
      <c r="BXW25" s="88"/>
      <c r="BXX25" s="88"/>
      <c r="BXY25" s="88"/>
      <c r="BXZ25" s="88"/>
      <c r="BYA25" s="88"/>
      <c r="BYB25" s="88"/>
      <c r="BYC25" s="88"/>
      <c r="BYD25" s="88"/>
      <c r="BYE25" s="88"/>
      <c r="BYF25" s="88"/>
      <c r="BYG25" s="88"/>
      <c r="BYH25" s="88"/>
      <c r="BYI25" s="88"/>
      <c r="BYJ25" s="88"/>
      <c r="BYK25" s="88"/>
      <c r="BYL25" s="88"/>
      <c r="BYM25" s="88"/>
      <c r="BYN25" s="88"/>
      <c r="BYO25" s="88"/>
      <c r="BYP25" s="88"/>
      <c r="BYQ25" s="88"/>
      <c r="BYR25" s="88"/>
      <c r="BYS25" s="88"/>
      <c r="BYT25" s="88"/>
      <c r="BYU25" s="88"/>
      <c r="BYV25" s="88"/>
      <c r="BYW25" s="88"/>
      <c r="BYX25" s="88"/>
      <c r="BYY25" s="88"/>
      <c r="BYZ25" s="88"/>
      <c r="BZA25" s="88"/>
      <c r="BZB25" s="88"/>
      <c r="BZC25" s="88"/>
      <c r="BZD25" s="88"/>
      <c r="BZE25" s="88"/>
      <c r="BZF25" s="88"/>
      <c r="BZG25" s="88"/>
      <c r="BZH25" s="88"/>
      <c r="BZI25" s="88"/>
      <c r="BZJ25" s="88"/>
      <c r="BZK25" s="88"/>
      <c r="BZL25" s="88"/>
      <c r="BZM25" s="88"/>
      <c r="BZN25" s="88"/>
      <c r="BZO25" s="88"/>
      <c r="BZP25" s="88"/>
      <c r="BZQ25" s="88"/>
      <c r="BZR25" s="88"/>
      <c r="BZS25" s="88"/>
      <c r="BZT25" s="88"/>
      <c r="BZU25" s="88"/>
      <c r="BZV25" s="88"/>
      <c r="BZW25" s="88"/>
      <c r="BZX25" s="88"/>
      <c r="BZY25" s="88"/>
      <c r="BZZ25" s="88"/>
      <c r="CAA25" s="88"/>
      <c r="CAB25" s="88"/>
      <c r="CAC25" s="88"/>
      <c r="CAD25" s="88"/>
      <c r="CAE25" s="88"/>
      <c r="CAF25" s="88"/>
      <c r="CAG25" s="88"/>
      <c r="CAH25" s="88"/>
      <c r="CAI25" s="88"/>
      <c r="CAJ25" s="88"/>
      <c r="CAK25" s="88"/>
      <c r="CAL25" s="88"/>
      <c r="CAM25" s="88"/>
      <c r="CAN25" s="88"/>
      <c r="CAO25" s="88"/>
      <c r="CAP25" s="88"/>
      <c r="CAQ25" s="88"/>
      <c r="CAR25" s="88"/>
      <c r="CAS25" s="88"/>
      <c r="CAT25" s="88"/>
      <c r="CAU25" s="88"/>
      <c r="CAV25" s="88"/>
      <c r="CAW25" s="88"/>
      <c r="CAX25" s="88"/>
      <c r="CAY25" s="88"/>
      <c r="CAZ25" s="88"/>
      <c r="CBA25" s="88"/>
      <c r="CBB25" s="88"/>
      <c r="CBC25" s="88"/>
      <c r="CBD25" s="88"/>
      <c r="CBE25" s="88"/>
      <c r="CBF25" s="88"/>
      <c r="CBG25" s="88"/>
      <c r="CBH25" s="88"/>
      <c r="CBI25" s="88"/>
      <c r="CBJ25" s="88"/>
      <c r="CBK25" s="88"/>
      <c r="CBL25" s="88"/>
      <c r="CBM25" s="88"/>
      <c r="CBN25" s="88"/>
      <c r="CBO25" s="88"/>
      <c r="CBP25" s="88"/>
      <c r="CBQ25" s="88"/>
      <c r="CBR25" s="88"/>
      <c r="CBS25" s="88"/>
      <c r="CBT25" s="88"/>
      <c r="CBU25" s="88"/>
      <c r="CBV25" s="88"/>
      <c r="CBW25" s="88"/>
      <c r="CBX25" s="88"/>
      <c r="CBY25" s="88"/>
      <c r="CBZ25" s="88"/>
      <c r="CCA25" s="88"/>
      <c r="CCB25" s="88"/>
      <c r="CCC25" s="88"/>
      <c r="CCD25" s="88"/>
      <c r="CCE25" s="88"/>
      <c r="CCF25" s="88"/>
      <c r="CCG25" s="88"/>
      <c r="CCH25" s="88"/>
      <c r="CCI25" s="88"/>
      <c r="CCJ25" s="88"/>
      <c r="CCK25" s="88"/>
      <c r="CCL25" s="88"/>
      <c r="CCM25" s="88"/>
      <c r="CCN25" s="88"/>
      <c r="CCO25" s="88"/>
      <c r="CCP25" s="88"/>
      <c r="CCQ25" s="88"/>
      <c r="CCR25" s="88"/>
      <c r="CCS25" s="88"/>
      <c r="CCT25" s="88"/>
      <c r="CCU25" s="88"/>
      <c r="CCV25" s="88"/>
      <c r="CCW25" s="88"/>
      <c r="CCX25" s="88"/>
      <c r="CCY25" s="88"/>
      <c r="CCZ25" s="88"/>
      <c r="CDA25" s="88"/>
      <c r="CDB25" s="88"/>
      <c r="CDC25" s="88"/>
      <c r="CDD25" s="88"/>
      <c r="CDE25" s="88"/>
      <c r="CDF25" s="88"/>
      <c r="CDG25" s="88"/>
      <c r="CDH25" s="88"/>
      <c r="CDI25" s="88"/>
      <c r="CDJ25" s="88"/>
      <c r="CDK25" s="88"/>
      <c r="CDL25" s="88"/>
      <c r="CDM25" s="88"/>
      <c r="CDN25" s="88"/>
      <c r="CDO25" s="88"/>
      <c r="CDP25" s="88"/>
      <c r="CDQ25" s="88"/>
      <c r="CDR25" s="88"/>
      <c r="CDS25" s="88"/>
      <c r="CDT25" s="88"/>
      <c r="CDU25" s="88"/>
      <c r="CDV25" s="88"/>
      <c r="CDW25" s="88"/>
      <c r="CDX25" s="88"/>
      <c r="CDY25" s="88"/>
      <c r="CDZ25" s="88"/>
      <c r="CEA25" s="88"/>
      <c r="CEB25" s="88"/>
      <c r="CEC25" s="88"/>
      <c r="CED25" s="88"/>
      <c r="CEE25" s="88"/>
      <c r="CEF25" s="88"/>
      <c r="CEG25" s="88"/>
      <c r="CEH25" s="88"/>
      <c r="CEI25" s="88"/>
      <c r="CEJ25" s="88"/>
      <c r="CEK25" s="88"/>
    </row>
    <row r="26" spans="1:2169" s="63" customFormat="1">
      <c r="A26" s="73" t="s">
        <v>2855</v>
      </c>
      <c r="B26" s="71" t="s">
        <v>2856</v>
      </c>
      <c r="C26" s="68" t="str">
        <f>IF('page 2'!$O$4="","",IF('page 2'!$O$4=Gestion!A26,1,0))</f>
        <v/>
      </c>
      <c r="D26" s="68" t="str">
        <f>IF('page 2'!$O$5="","",IF('page 2'!$O$5=Gestion!A26,1,0))</f>
        <v/>
      </c>
      <c r="E26" s="68" t="str">
        <f>IF('page 2'!$O$6="","",IF('page 2'!$O$6=Gestion!A26,1,0))</f>
        <v/>
      </c>
      <c r="F26" s="68" t="str">
        <f>IF('page 2'!$O$7="","",IF('page 2'!$O$7=Gestion!A26,1,0))</f>
        <v/>
      </c>
      <c r="G26" s="68" t="str">
        <f>IF('page 2'!$O$8="","",IF('page 2'!$O$8=Gestion!A26,1,0))</f>
        <v/>
      </c>
      <c r="H26" s="68" t="str">
        <f>IF('page 2'!$O$9="","",IF('page 2'!$O$9=Gestion!A26,1,0))</f>
        <v/>
      </c>
      <c r="I26" s="68" t="str">
        <f>IF('page 2'!$O$10="","",IF('page 2'!$O$10=Gestion!A26,1,0))</f>
        <v/>
      </c>
      <c r="J26" s="68" t="str">
        <f>IF('page 2'!$O$11="","",IF('page 2'!$O$11=Gestion!A26,1,0))</f>
        <v/>
      </c>
      <c r="K26" s="68" t="str">
        <f>IF('page 2'!$O$12="","",IF('page 2'!$O$12=Gestion!A26,1,0))</f>
        <v/>
      </c>
      <c r="L26" s="68" t="str">
        <f>IF('page 2'!$O$13="","",IF('page 2'!$O$13=Gestion!A26,1,0))</f>
        <v/>
      </c>
      <c r="M26" s="68" t="str">
        <f>IF('page 2'!$O$14="","",IF('page 2'!$O$14=Gestion!A26,1,0))</f>
        <v/>
      </c>
      <c r="N26" s="68" t="str">
        <f>IF('page 2'!$O$15="","",IF('page 2'!$O$15=Gestion!A26,1,0))</f>
        <v/>
      </c>
      <c r="O26" s="68" t="str">
        <f>IF('page 2'!$O$16="","",IF('page 2'!$O$16=Gestion!A26,1,0))</f>
        <v/>
      </c>
      <c r="P26" s="68" t="str">
        <f>IF('page 2'!$O$17="","",IF('page 2'!$O$17=Gestion!A26,1,0))</f>
        <v/>
      </c>
      <c r="Q26" s="68" t="str">
        <f>IF('page 2'!$O$18="","",IF('page 2'!$O$18=Gestion!A26,1,0))</f>
        <v/>
      </c>
      <c r="R26" s="68" t="str">
        <f>IF('page 2'!$O$19="","",IF('page 2'!$O$19=Gestion!A26,1,0))</f>
        <v/>
      </c>
      <c r="S26" s="68" t="str">
        <f>IF('page 2'!$O$20="","",IF('page 2'!$O$20=Gestion!A26,1,0))</f>
        <v/>
      </c>
      <c r="T26" s="68" t="str">
        <f>IF('page 2'!$O$25="","",IF('page 2'!$O$25=Gestion!A26,1,0))</f>
        <v/>
      </c>
      <c r="U26" s="68" t="str">
        <f>IF('page 2'!$O$26="","",IF('page 2'!$O$26=Gestion!A26,1,0))</f>
        <v/>
      </c>
      <c r="V26" s="68" t="str">
        <f>IF('page 2'!$O$27="","",IF('page 2'!$O$27=Gestion!A26,1,0))</f>
        <v/>
      </c>
      <c r="W26" s="722">
        <f t="shared" si="0"/>
        <v>0</v>
      </c>
      <c r="X26" s="714" t="s">
        <v>14611</v>
      </c>
      <c r="Y26" s="68" t="str">
        <f>IF('page 2'!O27="","",'page 2'!O27)</f>
        <v/>
      </c>
      <c r="Z26" s="68" t="str">
        <f>IF(Y26="","",VLOOKUP(Y26,'page 2'!$O$4:$Q$27,3,FALSE))</f>
        <v/>
      </c>
      <c r="AA26" s="68" t="str">
        <f t="shared" si="1"/>
        <v/>
      </c>
      <c r="AB26" s="68"/>
      <c r="AC26" s="68"/>
      <c r="AD26" s="68"/>
      <c r="AP26" s="130"/>
      <c r="AQ26" s="130"/>
      <c r="AR26" s="130"/>
      <c r="AS26" s="576"/>
      <c r="AT26" s="576"/>
      <c r="AU26" s="576"/>
      <c r="AV26" s="576"/>
      <c r="AW26" s="602"/>
      <c r="AX26" s="602"/>
      <c r="AY26" s="576"/>
      <c r="AZ26" s="576"/>
      <c r="BA26" s="576"/>
      <c r="BB26" s="576"/>
      <c r="BC26" s="576"/>
      <c r="BD26" s="602"/>
      <c r="BE26" s="602"/>
      <c r="BF26" s="602"/>
      <c r="BG26" s="602"/>
      <c r="BH26" s="602"/>
      <c r="BI26" s="602"/>
      <c r="BJ26" s="602"/>
      <c r="BK26" s="602"/>
      <c r="BL26" s="602"/>
      <c r="BM26" s="602"/>
      <c r="BN26" s="602"/>
      <c r="BO26" s="602"/>
      <c r="BP26" s="602"/>
      <c r="BQ26" s="602"/>
      <c r="BR26" s="602"/>
      <c r="BS26" s="576"/>
      <c r="BT26" s="576"/>
      <c r="BU26" s="576"/>
      <c r="BV26" s="576"/>
      <c r="BW26" s="602"/>
      <c r="BX26" s="602"/>
      <c r="BY26" s="602"/>
      <c r="BZ26" s="576"/>
      <c r="CA26" s="602"/>
      <c r="CB26" s="602"/>
      <c r="CC26" s="576"/>
      <c r="CD26" s="469"/>
      <c r="CE26" s="602"/>
      <c r="CF26" s="576"/>
      <c r="CG26" s="576"/>
      <c r="CH26" s="576"/>
      <c r="CI26" s="576"/>
      <c r="CJ26" s="576"/>
      <c r="CK26" s="602"/>
      <c r="CL26" s="602"/>
      <c r="CM26" s="576"/>
      <c r="CN26" s="602"/>
      <c r="CO26" s="602"/>
      <c r="CP26" s="602"/>
      <c r="CQ26" s="576"/>
      <c r="CR26" s="576"/>
      <c r="CS26" s="602"/>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c r="SK26" s="88"/>
      <c r="SL26" s="88"/>
      <c r="SM26" s="88"/>
      <c r="SN26" s="88"/>
      <c r="SO26" s="88"/>
      <c r="SP26" s="88"/>
      <c r="SQ26" s="88"/>
      <c r="SR26" s="88"/>
      <c r="SS26" s="88"/>
      <c r="ST26" s="88"/>
      <c r="SU26" s="88"/>
      <c r="SV26" s="88"/>
      <c r="SW26" s="88"/>
      <c r="SX26" s="88"/>
      <c r="SY26" s="88"/>
      <c r="SZ26" s="88"/>
      <c r="TA26" s="88"/>
      <c r="TB26" s="88"/>
      <c r="TC26" s="88"/>
      <c r="TD26" s="88"/>
      <c r="TE26" s="88"/>
      <c r="TF26" s="88"/>
      <c r="TG26" s="88"/>
      <c r="TH26" s="88"/>
      <c r="TI26" s="88"/>
      <c r="TJ26" s="88"/>
      <c r="TK26" s="88"/>
      <c r="TL26" s="88"/>
      <c r="TM26" s="88"/>
      <c r="TN26" s="88"/>
      <c r="TO26" s="88"/>
      <c r="TP26" s="88"/>
      <c r="TQ26" s="88"/>
      <c r="TR26" s="88"/>
      <c r="TS26" s="88"/>
      <c r="TT26" s="88"/>
      <c r="TU26" s="88"/>
      <c r="TV26" s="88"/>
      <c r="TW26" s="88"/>
      <c r="TX26" s="88"/>
      <c r="TY26" s="88"/>
      <c r="TZ26" s="88"/>
      <c r="UA26" s="88"/>
      <c r="UB26" s="88"/>
      <c r="UC26" s="88"/>
      <c r="UD26" s="88"/>
      <c r="UE26" s="88"/>
      <c r="UF26" s="88"/>
      <c r="UG26" s="88"/>
      <c r="UH26" s="88"/>
      <c r="UI26" s="88"/>
      <c r="UJ26" s="88"/>
      <c r="UK26" s="88"/>
      <c r="UL26" s="88"/>
      <c r="UM26" s="88"/>
      <c r="UN26" s="88"/>
      <c r="UO26" s="88"/>
      <c r="UP26" s="88"/>
      <c r="UQ26" s="88"/>
      <c r="UR26" s="88"/>
      <c r="US26" s="88"/>
      <c r="UT26" s="88"/>
      <c r="UU26" s="88"/>
      <c r="UV26" s="88"/>
      <c r="UW26" s="88"/>
      <c r="UX26" s="88"/>
      <c r="UY26" s="88"/>
      <c r="UZ26" s="88"/>
      <c r="VA26" s="88"/>
      <c r="VB26" s="88"/>
      <c r="VC26" s="88"/>
      <c r="VD26" s="88"/>
      <c r="VE26" s="88"/>
      <c r="VF26" s="88"/>
      <c r="VG26" s="88"/>
      <c r="VH26" s="88"/>
      <c r="VI26" s="88"/>
      <c r="VJ26" s="88"/>
      <c r="VK26" s="88"/>
      <c r="VL26" s="88"/>
      <c r="VM26" s="88"/>
      <c r="VN26" s="88"/>
      <c r="VO26" s="88"/>
      <c r="VP26" s="88"/>
      <c r="VQ26" s="88"/>
      <c r="VR26" s="88"/>
      <c r="VS26" s="88"/>
      <c r="VT26" s="88"/>
      <c r="VU26" s="88"/>
      <c r="VV26" s="88"/>
      <c r="VW26" s="88"/>
      <c r="VX26" s="88"/>
      <c r="VY26" s="88"/>
      <c r="VZ26" s="88"/>
      <c r="WA26" s="88"/>
      <c r="WB26" s="88"/>
      <c r="WC26" s="88"/>
      <c r="WD26" s="88"/>
      <c r="WE26" s="88"/>
      <c r="WF26" s="88"/>
      <c r="WG26" s="88"/>
      <c r="WH26" s="88"/>
      <c r="WI26" s="88"/>
      <c r="WJ26" s="88"/>
      <c r="WK26" s="88"/>
      <c r="WL26" s="88"/>
      <c r="WM26" s="88"/>
      <c r="WN26" s="88"/>
      <c r="WO26" s="88"/>
      <c r="WP26" s="88"/>
      <c r="WQ26" s="88"/>
      <c r="WR26" s="88"/>
      <c r="WS26" s="88"/>
      <c r="WT26" s="88"/>
      <c r="WU26" s="88"/>
      <c r="WV26" s="88"/>
      <c r="WW26" s="88"/>
      <c r="WX26" s="88"/>
      <c r="WY26" s="88"/>
      <c r="WZ26" s="88"/>
      <c r="XA26" s="88"/>
      <c r="XB26" s="88"/>
      <c r="XC26" s="88"/>
      <c r="XD26" s="88"/>
      <c r="XE26" s="88"/>
      <c r="XF26" s="88"/>
      <c r="XG26" s="88"/>
      <c r="XH26" s="88"/>
      <c r="XI26" s="88"/>
      <c r="XJ26" s="88"/>
      <c r="XK26" s="88"/>
      <c r="XL26" s="88"/>
      <c r="XM26" s="88"/>
      <c r="XN26" s="88"/>
      <c r="XO26" s="88"/>
      <c r="XP26" s="88"/>
      <c r="XQ26" s="88"/>
      <c r="XR26" s="88"/>
      <c r="XS26" s="88"/>
      <c r="XT26" s="88"/>
      <c r="XU26" s="88"/>
      <c r="XV26" s="88"/>
      <c r="XW26" s="88"/>
      <c r="XX26" s="88"/>
      <c r="XY26" s="88"/>
      <c r="XZ26" s="88"/>
      <c r="YA26" s="88"/>
      <c r="YB26" s="88"/>
      <c r="YC26" s="88"/>
      <c r="YD26" s="88"/>
      <c r="YE26" s="88"/>
      <c r="YF26" s="88"/>
      <c r="YG26" s="88"/>
      <c r="YH26" s="88"/>
      <c r="YI26" s="88"/>
      <c r="YJ26" s="88"/>
      <c r="YK26" s="88"/>
      <c r="YL26" s="88"/>
      <c r="YM26" s="88"/>
      <c r="YN26" s="88"/>
      <c r="YO26" s="88"/>
      <c r="YP26" s="88"/>
      <c r="YQ26" s="88"/>
      <c r="YR26" s="88"/>
      <c r="YS26" s="88"/>
      <c r="YT26" s="88"/>
      <c r="YU26" s="88"/>
      <c r="YV26" s="88"/>
      <c r="YW26" s="88"/>
      <c r="YX26" s="88"/>
      <c r="YY26" s="88"/>
      <c r="YZ26" s="88"/>
      <c r="ZA26" s="88"/>
      <c r="ZB26" s="88"/>
      <c r="ZC26" s="88"/>
      <c r="ZD26" s="88"/>
      <c r="ZE26" s="88"/>
      <c r="ZF26" s="88"/>
      <c r="ZG26" s="88"/>
      <c r="ZH26" s="88"/>
      <c r="ZI26" s="88"/>
      <c r="ZJ26" s="88"/>
      <c r="ZK26" s="88"/>
      <c r="ZL26" s="88"/>
      <c r="ZM26" s="88"/>
      <c r="ZN26" s="88"/>
      <c r="ZO26" s="88"/>
      <c r="ZP26" s="88"/>
      <c r="ZQ26" s="88"/>
      <c r="ZR26" s="88"/>
      <c r="ZS26" s="88"/>
      <c r="ZT26" s="88"/>
      <c r="ZU26" s="88"/>
      <c r="ZV26" s="88"/>
      <c r="ZW26" s="88"/>
      <c r="ZX26" s="88"/>
      <c r="ZY26" s="88"/>
      <c r="ZZ26" s="88"/>
      <c r="AAA26" s="88"/>
      <c r="AAB26" s="88"/>
      <c r="AAC26" s="88"/>
      <c r="AAD26" s="88"/>
      <c r="AAE26" s="88"/>
      <c r="AAF26" s="88"/>
      <c r="AAG26" s="88"/>
      <c r="AAH26" s="88"/>
      <c r="AAI26" s="88"/>
      <c r="AAJ26" s="88"/>
      <c r="AAK26" s="88"/>
      <c r="AAL26" s="88"/>
      <c r="AAM26" s="88"/>
      <c r="AAN26" s="88"/>
      <c r="AAO26" s="88"/>
      <c r="AAP26" s="88"/>
      <c r="AAQ26" s="88"/>
      <c r="AAR26" s="88"/>
      <c r="AAS26" s="88"/>
      <c r="AAT26" s="88"/>
      <c r="AAU26" s="88"/>
      <c r="AAV26" s="88"/>
      <c r="AAW26" s="88"/>
      <c r="AAX26" s="88"/>
      <c r="AAY26" s="88"/>
      <c r="AAZ26" s="88"/>
      <c r="ABA26" s="88"/>
      <c r="ABB26" s="88"/>
      <c r="ABC26" s="88"/>
      <c r="ABD26" s="88"/>
      <c r="ABE26" s="88"/>
      <c r="ABF26" s="88"/>
      <c r="ABG26" s="88"/>
      <c r="ABH26" s="88"/>
      <c r="ABI26" s="88"/>
      <c r="ABJ26" s="88"/>
      <c r="ABK26" s="88"/>
      <c r="ABL26" s="88"/>
      <c r="ABM26" s="88"/>
      <c r="ABN26" s="88"/>
      <c r="ABO26" s="88"/>
      <c r="ABP26" s="88"/>
      <c r="ABQ26" s="88"/>
      <c r="ABR26" s="88"/>
      <c r="ABS26" s="88"/>
      <c r="ABT26" s="88"/>
      <c r="ABU26" s="88"/>
      <c r="ABV26" s="88"/>
      <c r="ABW26" s="88"/>
      <c r="ABX26" s="88"/>
      <c r="ABY26" s="88"/>
      <c r="ABZ26" s="88"/>
      <c r="ACA26" s="88"/>
      <c r="ACB26" s="88"/>
      <c r="ACC26" s="88"/>
      <c r="ACD26" s="88"/>
      <c r="ACE26" s="88"/>
      <c r="ACF26" s="88"/>
      <c r="ACG26" s="88"/>
      <c r="ACH26" s="88"/>
      <c r="ACI26" s="88"/>
      <c r="ACJ26" s="88"/>
      <c r="ACK26" s="88"/>
      <c r="ACL26" s="88"/>
      <c r="ACM26" s="88"/>
      <c r="ACN26" s="88"/>
      <c r="ACO26" s="88"/>
      <c r="ACP26" s="88"/>
      <c r="ACQ26" s="88"/>
      <c r="ACR26" s="88"/>
      <c r="ACS26" s="88"/>
      <c r="ACT26" s="88"/>
      <c r="ACU26" s="88"/>
      <c r="ACV26" s="88"/>
      <c r="ACW26" s="88"/>
      <c r="ACX26" s="88"/>
      <c r="ACY26" s="88"/>
      <c r="ACZ26" s="88"/>
      <c r="ADA26" s="88"/>
      <c r="ADB26" s="88"/>
      <c r="ADC26" s="88"/>
      <c r="ADD26" s="88"/>
      <c r="ADE26" s="88"/>
      <c r="ADF26" s="88"/>
      <c r="ADG26" s="88"/>
      <c r="ADH26" s="88"/>
      <c r="ADI26" s="88"/>
      <c r="ADJ26" s="88"/>
      <c r="ADK26" s="88"/>
      <c r="ADL26" s="88"/>
      <c r="ADM26" s="88"/>
      <c r="ADN26" s="88"/>
      <c r="ADO26" s="88"/>
      <c r="ADP26" s="88"/>
      <c r="ADQ26" s="88"/>
      <c r="ADR26" s="88"/>
      <c r="ADS26" s="88"/>
      <c r="ADT26" s="88"/>
      <c r="ADU26" s="88"/>
      <c r="ADV26" s="88"/>
      <c r="ADW26" s="88"/>
      <c r="ADX26" s="88"/>
      <c r="ADY26" s="88"/>
      <c r="ADZ26" s="88"/>
      <c r="AEA26" s="88"/>
      <c r="AEB26" s="88"/>
      <c r="AEC26" s="88"/>
      <c r="AED26" s="88"/>
      <c r="AEE26" s="88"/>
      <c r="AEF26" s="88"/>
      <c r="AEG26" s="88"/>
      <c r="AEH26" s="88"/>
      <c r="AEI26" s="88"/>
      <c r="AEJ26" s="88"/>
      <c r="AEK26" s="88"/>
      <c r="AEL26" s="88"/>
      <c r="AEM26" s="88"/>
      <c r="AEN26" s="88"/>
      <c r="AEO26" s="88"/>
      <c r="AEP26" s="88"/>
      <c r="AEQ26" s="88"/>
      <c r="AER26" s="88"/>
      <c r="AES26" s="88"/>
      <c r="AET26" s="88"/>
      <c r="AEU26" s="88"/>
      <c r="AEV26" s="88"/>
      <c r="AEW26" s="88"/>
      <c r="AEX26" s="88"/>
      <c r="AEY26" s="88"/>
      <c r="AEZ26" s="88"/>
      <c r="AFA26" s="88"/>
      <c r="AFB26" s="88"/>
      <c r="AFC26" s="88"/>
      <c r="AFD26" s="88"/>
      <c r="AFE26" s="88"/>
      <c r="AFF26" s="88"/>
      <c r="AFG26" s="88"/>
      <c r="AFH26" s="88"/>
      <c r="AFI26" s="88"/>
      <c r="AFJ26" s="88"/>
      <c r="AFK26" s="88"/>
      <c r="AFL26" s="88"/>
      <c r="AFM26" s="88"/>
      <c r="AFN26" s="88"/>
      <c r="AFO26" s="88"/>
      <c r="AFP26" s="88"/>
      <c r="AFQ26" s="88"/>
      <c r="AFR26" s="88"/>
      <c r="AFS26" s="88"/>
      <c r="AFT26" s="88"/>
      <c r="AFU26" s="88"/>
      <c r="AFV26" s="88"/>
      <c r="AFW26" s="88"/>
      <c r="AFX26" s="88"/>
      <c r="AFY26" s="88"/>
      <c r="AFZ26" s="88"/>
      <c r="AGA26" s="88"/>
      <c r="AGB26" s="88"/>
      <c r="AGC26" s="88"/>
      <c r="AGD26" s="88"/>
      <c r="AGE26" s="88"/>
      <c r="AGF26" s="88"/>
      <c r="AGG26" s="88"/>
      <c r="AGH26" s="88"/>
      <c r="AGI26" s="88"/>
      <c r="AGJ26" s="88"/>
      <c r="AGK26" s="88"/>
      <c r="AGL26" s="88"/>
      <c r="AGM26" s="88"/>
      <c r="AGN26" s="88"/>
      <c r="AGO26" s="88"/>
      <c r="AGP26" s="88"/>
      <c r="AGQ26" s="88"/>
      <c r="AGR26" s="88"/>
      <c r="AGS26" s="88"/>
      <c r="AGT26" s="88"/>
      <c r="AGU26" s="88"/>
      <c r="AGV26" s="88"/>
      <c r="AGW26" s="88"/>
      <c r="AGX26" s="88"/>
      <c r="AGY26" s="88"/>
      <c r="AGZ26" s="88"/>
      <c r="AHA26" s="88"/>
      <c r="AHB26" s="88"/>
      <c r="AHC26" s="88"/>
      <c r="AHD26" s="88"/>
      <c r="AHE26" s="88"/>
      <c r="AHF26" s="88"/>
      <c r="AHG26" s="88"/>
      <c r="AHH26" s="88"/>
      <c r="AHI26" s="88"/>
      <c r="AHJ26" s="88"/>
      <c r="AHK26" s="88"/>
      <c r="AHL26" s="88"/>
      <c r="AHM26" s="88"/>
      <c r="AHN26" s="88"/>
      <c r="AHO26" s="88"/>
      <c r="AHP26" s="88"/>
      <c r="AHQ26" s="88"/>
      <c r="AHR26" s="88"/>
      <c r="AHS26" s="88"/>
      <c r="AHT26" s="88"/>
      <c r="AHU26" s="88"/>
      <c r="AHV26" s="88"/>
      <c r="AHW26" s="88"/>
      <c r="AHX26" s="88"/>
      <c r="AHY26" s="88"/>
      <c r="AHZ26" s="88"/>
      <c r="AIA26" s="88"/>
      <c r="AIB26" s="88"/>
      <c r="AIC26" s="88"/>
      <c r="AID26" s="88"/>
      <c r="AIE26" s="88"/>
      <c r="AIF26" s="88"/>
      <c r="AIG26" s="88"/>
      <c r="AIH26" s="88"/>
      <c r="AII26" s="88"/>
      <c r="AIJ26" s="88"/>
      <c r="AIK26" s="88"/>
      <c r="AIL26" s="88"/>
      <c r="AIM26" s="88"/>
      <c r="AIN26" s="88"/>
      <c r="AIO26" s="88"/>
      <c r="AIP26" s="88"/>
      <c r="AIQ26" s="88"/>
      <c r="AIR26" s="88"/>
      <c r="AIS26" s="88"/>
      <c r="AIT26" s="88"/>
      <c r="AIU26" s="88"/>
      <c r="AIV26" s="88"/>
      <c r="AIW26" s="88"/>
      <c r="AIX26" s="88"/>
      <c r="AIY26" s="88"/>
      <c r="AIZ26" s="88"/>
      <c r="AJA26" s="88"/>
      <c r="AJB26" s="88"/>
      <c r="AJC26" s="88"/>
      <c r="AJD26" s="88"/>
      <c r="AJE26" s="88"/>
      <c r="AJF26" s="88"/>
      <c r="AJG26" s="88"/>
      <c r="AJH26" s="88"/>
      <c r="AJI26" s="88"/>
      <c r="AJJ26" s="88"/>
      <c r="AJK26" s="88"/>
      <c r="AJL26" s="88"/>
      <c r="AJM26" s="88"/>
      <c r="AJN26" s="88"/>
      <c r="AJO26" s="88"/>
      <c r="AJP26" s="88"/>
      <c r="AJQ26" s="88"/>
      <c r="AJR26" s="88"/>
      <c r="AJS26" s="88"/>
      <c r="AJT26" s="88"/>
      <c r="AJU26" s="88"/>
      <c r="AJV26" s="88"/>
      <c r="AJW26" s="88"/>
      <c r="AJX26" s="88"/>
      <c r="AJY26" s="88"/>
      <c r="AJZ26" s="88"/>
      <c r="AKA26" s="88"/>
      <c r="AKB26" s="88"/>
      <c r="AKC26" s="88"/>
      <c r="AKD26" s="88"/>
      <c r="AKE26" s="88"/>
      <c r="AKF26" s="88"/>
      <c r="AKG26" s="88"/>
      <c r="AKH26" s="88"/>
      <c r="AKI26" s="88"/>
      <c r="AKJ26" s="88"/>
      <c r="AKK26" s="88"/>
      <c r="AKL26" s="88"/>
      <c r="AKM26" s="88"/>
      <c r="AKN26" s="88"/>
      <c r="AKO26" s="88"/>
      <c r="AKP26" s="88"/>
      <c r="AKQ26" s="88"/>
      <c r="AKR26" s="88"/>
      <c r="AKS26" s="88"/>
      <c r="AKT26" s="88"/>
      <c r="AKU26" s="88"/>
      <c r="AKV26" s="88"/>
      <c r="AKW26" s="88"/>
      <c r="AKX26" s="88"/>
      <c r="AKY26" s="88"/>
      <c r="AKZ26" s="88"/>
      <c r="ALA26" s="88"/>
      <c r="ALB26" s="88"/>
      <c r="ALC26" s="88"/>
      <c r="ALD26" s="88"/>
      <c r="ALE26" s="88"/>
      <c r="ALF26" s="88"/>
      <c r="ALG26" s="88"/>
      <c r="ALH26" s="88"/>
      <c r="ALI26" s="88"/>
      <c r="ALJ26" s="88"/>
      <c r="ALK26" s="88"/>
      <c r="ALL26" s="88"/>
      <c r="ALM26" s="88"/>
      <c r="ALN26" s="88"/>
      <c r="ALO26" s="88"/>
      <c r="ALP26" s="88"/>
      <c r="ALQ26" s="88"/>
      <c r="ALR26" s="88"/>
      <c r="ALS26" s="88"/>
      <c r="ALT26" s="88"/>
      <c r="ALU26" s="88"/>
      <c r="ALV26" s="88"/>
      <c r="ALW26" s="88"/>
      <c r="ALX26" s="88"/>
      <c r="ALY26" s="88"/>
      <c r="ALZ26" s="88"/>
      <c r="AMA26" s="88"/>
      <c r="AMB26" s="88"/>
      <c r="AMC26" s="88"/>
      <c r="AMD26" s="88"/>
      <c r="AME26" s="88"/>
      <c r="AMF26" s="88"/>
      <c r="AMG26" s="88"/>
      <c r="AMH26" s="88"/>
      <c r="AMI26" s="88"/>
      <c r="AMJ26" s="88"/>
      <c r="AMK26" s="88"/>
      <c r="AML26" s="88"/>
      <c r="AMM26" s="88"/>
      <c r="AMN26" s="88"/>
      <c r="AMO26" s="88"/>
      <c r="AMP26" s="88"/>
      <c r="AMQ26" s="88"/>
      <c r="AMR26" s="88"/>
      <c r="AMS26" s="88"/>
      <c r="AMT26" s="88"/>
      <c r="AMU26" s="88"/>
      <c r="AMV26" s="88"/>
      <c r="AMW26" s="88"/>
      <c r="AMX26" s="88"/>
      <c r="AMY26" s="88"/>
      <c r="AMZ26" s="88"/>
      <c r="ANA26" s="88"/>
      <c r="ANB26" s="88"/>
      <c r="ANC26" s="88"/>
      <c r="AND26" s="88"/>
      <c r="ANE26" s="88"/>
      <c r="ANF26" s="88"/>
      <c r="ANG26" s="88"/>
      <c r="ANH26" s="88"/>
      <c r="ANI26" s="88"/>
      <c r="ANJ26" s="88"/>
      <c r="ANK26" s="88"/>
      <c r="ANL26" s="88"/>
      <c r="ANM26" s="88"/>
      <c r="ANN26" s="88"/>
      <c r="ANO26" s="88"/>
      <c r="ANP26" s="88"/>
      <c r="ANQ26" s="88"/>
      <c r="ANR26" s="88"/>
      <c r="ANS26" s="88"/>
      <c r="ANT26" s="88"/>
      <c r="ANU26" s="88"/>
      <c r="ANV26" s="88"/>
      <c r="ANW26" s="88"/>
      <c r="ANX26" s="88"/>
      <c r="ANY26" s="88"/>
      <c r="ANZ26" s="88"/>
      <c r="AOA26" s="88"/>
      <c r="AOB26" s="88"/>
      <c r="AOC26" s="88"/>
      <c r="AOD26" s="88"/>
      <c r="AOE26" s="88"/>
      <c r="AOF26" s="88"/>
      <c r="AOG26" s="88"/>
      <c r="AOH26" s="88"/>
      <c r="AOI26" s="88"/>
      <c r="AOJ26" s="88"/>
      <c r="AOK26" s="88"/>
      <c r="AOL26" s="88"/>
      <c r="AOM26" s="88"/>
      <c r="AON26" s="88"/>
      <c r="AOO26" s="88"/>
      <c r="AOP26" s="88"/>
      <c r="AOQ26" s="88"/>
      <c r="AOR26" s="88"/>
      <c r="AOS26" s="88"/>
      <c r="AOT26" s="88"/>
      <c r="AOU26" s="88"/>
      <c r="AOV26" s="88"/>
      <c r="AOW26" s="88"/>
      <c r="AOX26" s="88"/>
      <c r="AOY26" s="88"/>
      <c r="AOZ26" s="88"/>
      <c r="APA26" s="88"/>
      <c r="APB26" s="88"/>
      <c r="APC26" s="88"/>
      <c r="APD26" s="88"/>
      <c r="APE26" s="88"/>
      <c r="APF26" s="88"/>
      <c r="APG26" s="88"/>
      <c r="APH26" s="88"/>
      <c r="API26" s="88"/>
      <c r="APJ26" s="88"/>
      <c r="APK26" s="88"/>
      <c r="APL26" s="88"/>
      <c r="APM26" s="88"/>
      <c r="APN26" s="88"/>
      <c r="APO26" s="88"/>
      <c r="APP26" s="88"/>
      <c r="APQ26" s="88"/>
      <c r="APR26" s="88"/>
      <c r="APS26" s="88"/>
      <c r="APT26" s="88"/>
      <c r="APU26" s="88"/>
      <c r="APV26" s="88"/>
      <c r="APW26" s="88"/>
      <c r="APX26" s="88"/>
      <c r="APY26" s="88"/>
      <c r="APZ26" s="88"/>
      <c r="AQA26" s="88"/>
      <c r="AQB26" s="88"/>
      <c r="AQC26" s="88"/>
      <c r="AQD26" s="88"/>
      <c r="AQE26" s="88"/>
      <c r="AQF26" s="88"/>
      <c r="AQG26" s="88"/>
      <c r="AQH26" s="88"/>
      <c r="AQI26" s="88"/>
      <c r="AQJ26" s="88"/>
      <c r="AQK26" s="88"/>
      <c r="AQL26" s="88"/>
      <c r="AQM26" s="88"/>
      <c r="AQN26" s="88"/>
      <c r="AQO26" s="88"/>
      <c r="AQP26" s="88"/>
      <c r="AQQ26" s="88"/>
      <c r="AQR26" s="88"/>
      <c r="AQS26" s="88"/>
      <c r="AQT26" s="88"/>
      <c r="AQU26" s="88"/>
      <c r="AQV26" s="88"/>
      <c r="AQW26" s="88"/>
      <c r="AQX26" s="88"/>
      <c r="AQY26" s="88"/>
      <c r="AQZ26" s="88"/>
      <c r="ARA26" s="88"/>
      <c r="ARB26" s="88"/>
      <c r="ARC26" s="88"/>
      <c r="ARD26" s="88"/>
      <c r="ARE26" s="88"/>
      <c r="ARF26" s="88"/>
      <c r="ARG26" s="88"/>
      <c r="ARH26" s="88"/>
      <c r="ARI26" s="88"/>
      <c r="ARJ26" s="88"/>
      <c r="ARK26" s="88"/>
      <c r="ARL26" s="88"/>
      <c r="ARM26" s="88"/>
      <c r="ARN26" s="88"/>
      <c r="ARO26" s="88"/>
      <c r="ARP26" s="88"/>
      <c r="ARQ26" s="88"/>
      <c r="ARR26" s="88"/>
      <c r="ARS26" s="88"/>
      <c r="ART26" s="88"/>
      <c r="ARU26" s="88"/>
      <c r="ARV26" s="88"/>
      <c r="ARW26" s="88"/>
      <c r="ARX26" s="88"/>
      <c r="ARY26" s="88"/>
      <c r="ARZ26" s="88"/>
      <c r="ASA26" s="88"/>
      <c r="ASB26" s="88"/>
      <c r="ASC26" s="88"/>
      <c r="ASD26" s="88"/>
      <c r="ASE26" s="88"/>
      <c r="ASF26" s="88"/>
      <c r="ASG26" s="88"/>
      <c r="ASH26" s="88"/>
      <c r="ASI26" s="88"/>
      <c r="ASJ26" s="88"/>
      <c r="ASK26" s="88"/>
      <c r="ASL26" s="88"/>
      <c r="ASM26" s="88"/>
      <c r="ASN26" s="88"/>
      <c r="ASO26" s="88"/>
      <c r="ASP26" s="88"/>
      <c r="ASQ26" s="88"/>
      <c r="ASR26" s="88"/>
      <c r="ASS26" s="88"/>
      <c r="AST26" s="88"/>
      <c r="ASU26" s="88"/>
      <c r="ASV26" s="88"/>
      <c r="ASW26" s="88"/>
      <c r="ASX26" s="88"/>
      <c r="ASY26" s="88"/>
      <c r="ASZ26" s="88"/>
      <c r="ATA26" s="88"/>
      <c r="ATB26" s="88"/>
      <c r="ATC26" s="88"/>
      <c r="ATD26" s="88"/>
      <c r="ATE26" s="88"/>
      <c r="ATF26" s="88"/>
      <c r="ATG26" s="88"/>
      <c r="ATH26" s="88"/>
      <c r="ATI26" s="88"/>
      <c r="ATJ26" s="88"/>
      <c r="ATK26" s="88"/>
      <c r="ATL26" s="88"/>
      <c r="ATM26" s="88"/>
      <c r="ATN26" s="88"/>
      <c r="ATO26" s="88"/>
      <c r="ATP26" s="88"/>
      <c r="ATQ26" s="88"/>
      <c r="ATR26" s="88"/>
      <c r="ATS26" s="88"/>
      <c r="ATT26" s="88"/>
      <c r="ATU26" s="88"/>
      <c r="ATV26" s="88"/>
      <c r="ATW26" s="88"/>
      <c r="ATX26" s="88"/>
      <c r="ATY26" s="88"/>
      <c r="ATZ26" s="88"/>
      <c r="AUA26" s="88"/>
      <c r="AUB26" s="88"/>
      <c r="AUC26" s="88"/>
      <c r="AUD26" s="88"/>
      <c r="AUE26" s="88"/>
      <c r="AUF26" s="88"/>
      <c r="AUG26" s="88"/>
      <c r="AUH26" s="88"/>
      <c r="AUI26" s="88"/>
      <c r="AUJ26" s="88"/>
      <c r="AUK26" s="88"/>
      <c r="AUL26" s="88"/>
      <c r="AUM26" s="88"/>
      <c r="AUN26" s="88"/>
      <c r="AUO26" s="88"/>
      <c r="AUP26" s="88"/>
      <c r="AUQ26" s="88"/>
      <c r="AUR26" s="88"/>
      <c r="AUS26" s="88"/>
      <c r="AUT26" s="88"/>
      <c r="AUU26" s="88"/>
      <c r="AUV26" s="88"/>
      <c r="AUW26" s="88"/>
      <c r="AUX26" s="88"/>
      <c r="AUY26" s="88"/>
      <c r="AUZ26" s="88"/>
      <c r="AVA26" s="88"/>
      <c r="AVB26" s="88"/>
      <c r="AVC26" s="88"/>
      <c r="AVD26" s="88"/>
      <c r="AVE26" s="88"/>
      <c r="AVF26" s="88"/>
      <c r="AVG26" s="88"/>
      <c r="AVH26" s="88"/>
      <c r="AVI26" s="88"/>
      <c r="AVJ26" s="88"/>
      <c r="AVK26" s="88"/>
      <c r="AVL26" s="88"/>
      <c r="AVM26" s="88"/>
      <c r="AVN26" s="88"/>
      <c r="AVO26" s="88"/>
      <c r="AVP26" s="88"/>
      <c r="AVQ26" s="88"/>
      <c r="AVR26" s="88"/>
      <c r="AVS26" s="88"/>
      <c r="AVT26" s="88"/>
      <c r="AVU26" s="88"/>
      <c r="AVV26" s="88"/>
      <c r="AVW26" s="88"/>
      <c r="AVX26" s="88"/>
      <c r="AVY26" s="88"/>
      <c r="AVZ26" s="88"/>
      <c r="AWA26" s="88"/>
      <c r="AWB26" s="88"/>
      <c r="AWC26" s="88"/>
      <c r="AWD26" s="88"/>
      <c r="AWE26" s="88"/>
      <c r="AWF26" s="88"/>
      <c r="AWG26" s="88"/>
      <c r="AWH26" s="88"/>
      <c r="AWI26" s="88"/>
      <c r="AWJ26" s="88"/>
      <c r="AWK26" s="88"/>
      <c r="AWL26" s="88"/>
      <c r="AWM26" s="88"/>
      <c r="AWN26" s="88"/>
      <c r="AWO26" s="88"/>
      <c r="AWP26" s="88"/>
      <c r="AWQ26" s="88"/>
      <c r="AWR26" s="88"/>
      <c r="AWS26" s="88"/>
      <c r="AWT26" s="88"/>
      <c r="AWU26" s="88"/>
      <c r="AWV26" s="88"/>
      <c r="AWW26" s="88"/>
      <c r="AWX26" s="88"/>
      <c r="AWY26" s="88"/>
      <c r="AWZ26" s="88"/>
      <c r="AXA26" s="88"/>
      <c r="AXB26" s="88"/>
      <c r="AXC26" s="88"/>
      <c r="AXD26" s="88"/>
      <c r="AXE26" s="88"/>
      <c r="AXF26" s="88"/>
      <c r="AXG26" s="88"/>
      <c r="AXH26" s="88"/>
      <c r="AXI26" s="88"/>
      <c r="AXJ26" s="88"/>
      <c r="AXK26" s="88"/>
      <c r="AXL26" s="88"/>
      <c r="AXM26" s="88"/>
      <c r="AXN26" s="88"/>
      <c r="AXO26" s="88"/>
      <c r="AXP26" s="88"/>
      <c r="AXQ26" s="88"/>
      <c r="AXR26" s="88"/>
      <c r="AXS26" s="88"/>
      <c r="AXT26" s="88"/>
      <c r="AXU26" s="88"/>
      <c r="AXV26" s="88"/>
      <c r="AXW26" s="88"/>
      <c r="AXX26" s="88"/>
      <c r="AXY26" s="88"/>
      <c r="AXZ26" s="88"/>
      <c r="AYA26" s="88"/>
      <c r="AYB26" s="88"/>
      <c r="AYC26" s="88"/>
      <c r="AYD26" s="88"/>
      <c r="AYE26" s="88"/>
      <c r="AYF26" s="88"/>
      <c r="AYG26" s="88"/>
      <c r="AYH26" s="88"/>
      <c r="AYI26" s="88"/>
      <c r="AYJ26" s="88"/>
      <c r="AYK26" s="88"/>
      <c r="AYL26" s="88"/>
      <c r="AYM26" s="88"/>
      <c r="AYN26" s="88"/>
      <c r="AYO26" s="88"/>
      <c r="AYP26" s="88"/>
      <c r="AYQ26" s="88"/>
      <c r="AYR26" s="88"/>
      <c r="AYS26" s="88"/>
      <c r="AYT26" s="88"/>
      <c r="AYU26" s="88"/>
      <c r="AYV26" s="88"/>
      <c r="AYW26" s="88"/>
      <c r="AYX26" s="88"/>
      <c r="AYY26" s="88"/>
      <c r="AYZ26" s="88"/>
      <c r="AZA26" s="88"/>
      <c r="AZB26" s="88"/>
      <c r="AZC26" s="88"/>
      <c r="AZD26" s="88"/>
      <c r="AZE26" s="88"/>
      <c r="AZF26" s="88"/>
      <c r="AZG26" s="88"/>
      <c r="AZH26" s="88"/>
      <c r="AZI26" s="88"/>
      <c r="AZJ26" s="88"/>
      <c r="AZK26" s="88"/>
      <c r="AZL26" s="88"/>
      <c r="AZM26" s="88"/>
      <c r="AZN26" s="88"/>
      <c r="AZO26" s="88"/>
      <c r="AZP26" s="88"/>
      <c r="AZQ26" s="88"/>
      <c r="AZR26" s="88"/>
      <c r="AZS26" s="88"/>
      <c r="AZT26" s="88"/>
      <c r="AZU26" s="88"/>
      <c r="AZV26" s="88"/>
      <c r="AZW26" s="88"/>
      <c r="AZX26" s="88"/>
      <c r="AZY26" s="88"/>
      <c r="AZZ26" s="88"/>
      <c r="BAA26" s="88"/>
      <c r="BAB26" s="88"/>
      <c r="BAC26" s="88"/>
      <c r="BAD26" s="88"/>
      <c r="BAE26" s="88"/>
      <c r="BAF26" s="88"/>
      <c r="BAG26" s="88"/>
      <c r="BAH26" s="88"/>
      <c r="BAI26" s="88"/>
      <c r="BAJ26" s="88"/>
      <c r="BAK26" s="88"/>
      <c r="BAL26" s="88"/>
      <c r="BAM26" s="88"/>
      <c r="BAN26" s="88"/>
      <c r="BAO26" s="88"/>
      <c r="BAP26" s="88"/>
      <c r="BAQ26" s="88"/>
      <c r="BAR26" s="88"/>
      <c r="BAS26" s="88"/>
      <c r="BAT26" s="88"/>
      <c r="BAU26" s="88"/>
      <c r="BAV26" s="88"/>
      <c r="BAW26" s="88"/>
      <c r="BAX26" s="88"/>
      <c r="BAY26" s="88"/>
      <c r="BAZ26" s="88"/>
      <c r="BBA26" s="88"/>
      <c r="BBB26" s="88"/>
      <c r="BBC26" s="88"/>
      <c r="BBD26" s="88"/>
      <c r="BBE26" s="88"/>
      <c r="BBF26" s="88"/>
      <c r="BBG26" s="88"/>
      <c r="BBH26" s="88"/>
      <c r="BBI26" s="88"/>
      <c r="BBJ26" s="88"/>
      <c r="BBK26" s="88"/>
      <c r="BBL26" s="88"/>
      <c r="BBM26" s="88"/>
      <c r="BBN26" s="88"/>
      <c r="BBO26" s="88"/>
      <c r="BBP26" s="88"/>
      <c r="BBQ26" s="88"/>
      <c r="BBR26" s="88"/>
      <c r="BBS26" s="88"/>
      <c r="BBT26" s="88"/>
      <c r="BBU26" s="88"/>
      <c r="BBV26" s="88"/>
      <c r="BBW26" s="88"/>
      <c r="BBX26" s="88"/>
      <c r="BBY26" s="88"/>
      <c r="BBZ26" s="88"/>
      <c r="BCA26" s="88"/>
      <c r="BCB26" s="88"/>
      <c r="BCC26" s="88"/>
      <c r="BCD26" s="88"/>
      <c r="BCE26" s="88"/>
      <c r="BCF26" s="88"/>
      <c r="BCG26" s="88"/>
      <c r="BCH26" s="88"/>
      <c r="BCI26" s="88"/>
      <c r="BCJ26" s="88"/>
      <c r="BCK26" s="88"/>
      <c r="BCL26" s="88"/>
      <c r="BCM26" s="88"/>
      <c r="BCN26" s="88"/>
      <c r="BCO26" s="88"/>
      <c r="BCP26" s="88"/>
      <c r="BCQ26" s="88"/>
      <c r="BCR26" s="88"/>
      <c r="BCS26" s="88"/>
      <c r="BCT26" s="88"/>
      <c r="BCU26" s="88"/>
      <c r="BCV26" s="88"/>
      <c r="BCW26" s="88"/>
      <c r="BCX26" s="88"/>
      <c r="BCY26" s="88"/>
      <c r="BCZ26" s="88"/>
      <c r="BDA26" s="88"/>
      <c r="BDB26" s="88"/>
      <c r="BDC26" s="88"/>
      <c r="BDD26" s="88"/>
      <c r="BDE26" s="88"/>
      <c r="BDF26" s="88"/>
      <c r="BDG26" s="88"/>
      <c r="BDH26" s="88"/>
      <c r="BDI26" s="88"/>
      <c r="BDJ26" s="88"/>
      <c r="BDK26" s="88"/>
      <c r="BDL26" s="88"/>
      <c r="BDM26" s="88"/>
      <c r="BDN26" s="88"/>
      <c r="BDO26" s="88"/>
      <c r="BDP26" s="88"/>
      <c r="BDQ26" s="88"/>
      <c r="BDR26" s="88"/>
      <c r="BDS26" s="88"/>
      <c r="BDT26" s="88"/>
      <c r="BDU26" s="88"/>
      <c r="BDV26" s="88"/>
      <c r="BDW26" s="88"/>
      <c r="BDX26" s="88"/>
      <c r="BDY26" s="88"/>
      <c r="BDZ26" s="88"/>
      <c r="BEA26" s="88"/>
      <c r="BEB26" s="88"/>
      <c r="BEC26" s="88"/>
      <c r="BED26" s="88"/>
      <c r="BEE26" s="88"/>
      <c r="BEF26" s="88"/>
      <c r="BEG26" s="88"/>
      <c r="BEH26" s="88"/>
      <c r="BEI26" s="88"/>
      <c r="BEJ26" s="88"/>
      <c r="BEK26" s="88"/>
      <c r="BEL26" s="88"/>
      <c r="BEM26" s="88"/>
      <c r="BEN26" s="88"/>
      <c r="BEO26" s="88"/>
      <c r="BEP26" s="88"/>
      <c r="BEQ26" s="88"/>
      <c r="BER26" s="88"/>
      <c r="BES26" s="88"/>
      <c r="BET26" s="88"/>
      <c r="BEU26" s="88"/>
      <c r="BEV26" s="88"/>
      <c r="BEW26" s="88"/>
      <c r="BEX26" s="88"/>
      <c r="BEY26" s="88"/>
      <c r="BEZ26" s="88"/>
      <c r="BFA26" s="88"/>
      <c r="BFB26" s="88"/>
      <c r="BFC26" s="88"/>
      <c r="BFD26" s="88"/>
      <c r="BFE26" s="88"/>
      <c r="BFF26" s="88"/>
      <c r="BFG26" s="88"/>
      <c r="BFH26" s="88"/>
      <c r="BFI26" s="88"/>
      <c r="BFJ26" s="88"/>
      <c r="BFK26" s="88"/>
      <c r="BFL26" s="88"/>
      <c r="BFM26" s="88"/>
      <c r="BFN26" s="88"/>
      <c r="BFO26" s="88"/>
      <c r="BFP26" s="88"/>
      <c r="BFQ26" s="88"/>
      <c r="BFR26" s="88"/>
      <c r="BFS26" s="88"/>
      <c r="BFT26" s="88"/>
      <c r="BFU26" s="88"/>
      <c r="BFV26" s="88"/>
      <c r="BFW26" s="88"/>
      <c r="BFX26" s="88"/>
      <c r="BFY26" s="88"/>
      <c r="BFZ26" s="88"/>
      <c r="BGA26" s="88"/>
      <c r="BGB26" s="88"/>
      <c r="BGC26" s="88"/>
      <c r="BGD26" s="88"/>
      <c r="BGE26" s="88"/>
      <c r="BGF26" s="88"/>
      <c r="BGG26" s="88"/>
      <c r="BGH26" s="88"/>
      <c r="BGI26" s="88"/>
      <c r="BGJ26" s="88"/>
      <c r="BGK26" s="88"/>
      <c r="BGL26" s="88"/>
      <c r="BGM26" s="88"/>
      <c r="BGN26" s="88"/>
      <c r="BGO26" s="88"/>
      <c r="BGP26" s="88"/>
      <c r="BGQ26" s="88"/>
      <c r="BGR26" s="88"/>
      <c r="BGS26" s="88"/>
      <c r="BGT26" s="88"/>
      <c r="BGU26" s="88"/>
      <c r="BGV26" s="88"/>
      <c r="BGW26" s="88"/>
      <c r="BGX26" s="88"/>
      <c r="BGY26" s="88"/>
      <c r="BGZ26" s="88"/>
      <c r="BHA26" s="88"/>
      <c r="BHB26" s="88"/>
      <c r="BHC26" s="88"/>
      <c r="BHD26" s="88"/>
      <c r="BHE26" s="88"/>
      <c r="BHF26" s="88"/>
      <c r="BHG26" s="88"/>
      <c r="BHH26" s="88"/>
      <c r="BHI26" s="88"/>
      <c r="BHJ26" s="88"/>
      <c r="BHK26" s="88"/>
      <c r="BHL26" s="88"/>
      <c r="BHM26" s="88"/>
      <c r="BHN26" s="88"/>
      <c r="BHO26" s="88"/>
      <c r="BHP26" s="88"/>
      <c r="BHQ26" s="88"/>
      <c r="BHR26" s="88"/>
      <c r="BHS26" s="88"/>
      <c r="BHT26" s="88"/>
      <c r="BHU26" s="88"/>
      <c r="BHV26" s="88"/>
      <c r="BHW26" s="88"/>
      <c r="BHX26" s="88"/>
      <c r="BHY26" s="88"/>
      <c r="BHZ26" s="88"/>
      <c r="BIA26" s="88"/>
      <c r="BIB26" s="88"/>
      <c r="BIC26" s="88"/>
      <c r="BID26" s="88"/>
      <c r="BIE26" s="88"/>
      <c r="BIF26" s="88"/>
      <c r="BIG26" s="88"/>
      <c r="BIH26" s="88"/>
      <c r="BII26" s="88"/>
      <c r="BIJ26" s="88"/>
      <c r="BIK26" s="88"/>
      <c r="BIL26" s="88"/>
      <c r="BIM26" s="88"/>
      <c r="BIN26" s="88"/>
      <c r="BIO26" s="88"/>
      <c r="BIP26" s="88"/>
      <c r="BIQ26" s="88"/>
      <c r="BIR26" s="88"/>
      <c r="BIS26" s="88"/>
      <c r="BIT26" s="88"/>
      <c r="BIU26" s="88"/>
      <c r="BIV26" s="88"/>
      <c r="BIW26" s="88"/>
      <c r="BIX26" s="88"/>
      <c r="BIY26" s="88"/>
      <c r="BIZ26" s="88"/>
      <c r="BJA26" s="88"/>
      <c r="BJB26" s="88"/>
      <c r="BJC26" s="88"/>
      <c r="BJD26" s="88"/>
      <c r="BJE26" s="88"/>
      <c r="BJF26" s="88"/>
      <c r="BJG26" s="88"/>
      <c r="BJH26" s="88"/>
      <c r="BJI26" s="88"/>
      <c r="BJJ26" s="88"/>
      <c r="BJK26" s="88"/>
      <c r="BJL26" s="88"/>
      <c r="BJM26" s="88"/>
      <c r="BJN26" s="88"/>
      <c r="BJO26" s="88"/>
      <c r="BJP26" s="88"/>
      <c r="BJQ26" s="88"/>
      <c r="BJR26" s="88"/>
      <c r="BJS26" s="88"/>
      <c r="BJT26" s="88"/>
      <c r="BJU26" s="88"/>
      <c r="BJV26" s="88"/>
      <c r="BJW26" s="88"/>
      <c r="BJX26" s="88"/>
      <c r="BJY26" s="88"/>
      <c r="BJZ26" s="88"/>
      <c r="BKA26" s="88"/>
      <c r="BKB26" s="88"/>
      <c r="BKC26" s="88"/>
      <c r="BKD26" s="88"/>
      <c r="BKE26" s="88"/>
      <c r="BKF26" s="88"/>
      <c r="BKG26" s="88"/>
      <c r="BKH26" s="88"/>
      <c r="BKI26" s="88"/>
      <c r="BKJ26" s="88"/>
      <c r="BKK26" s="88"/>
      <c r="BKL26" s="88"/>
      <c r="BKM26" s="88"/>
      <c r="BKN26" s="88"/>
      <c r="BKO26" s="88"/>
      <c r="BKP26" s="88"/>
      <c r="BKQ26" s="88"/>
      <c r="BKR26" s="88"/>
      <c r="BKS26" s="88"/>
      <c r="BKT26" s="88"/>
      <c r="BKU26" s="88"/>
      <c r="BKV26" s="88"/>
      <c r="BKW26" s="88"/>
      <c r="BKX26" s="88"/>
      <c r="BKY26" s="88"/>
      <c r="BKZ26" s="88"/>
      <c r="BLA26" s="88"/>
      <c r="BLB26" s="88"/>
      <c r="BLC26" s="88"/>
      <c r="BLD26" s="88"/>
      <c r="BLE26" s="88"/>
      <c r="BLF26" s="88"/>
      <c r="BLG26" s="88"/>
      <c r="BLH26" s="88"/>
      <c r="BLI26" s="88"/>
      <c r="BLJ26" s="88"/>
      <c r="BLK26" s="88"/>
      <c r="BLL26" s="88"/>
      <c r="BLM26" s="88"/>
      <c r="BLN26" s="88"/>
      <c r="BLO26" s="88"/>
      <c r="BLP26" s="88"/>
      <c r="BLQ26" s="88"/>
      <c r="BLR26" s="88"/>
      <c r="BLS26" s="88"/>
      <c r="BLT26" s="88"/>
      <c r="BLU26" s="88"/>
      <c r="BLV26" s="88"/>
      <c r="BLW26" s="88"/>
      <c r="BLX26" s="88"/>
      <c r="BLY26" s="88"/>
      <c r="BLZ26" s="88"/>
      <c r="BMA26" s="88"/>
      <c r="BMB26" s="88"/>
      <c r="BMC26" s="88"/>
      <c r="BMD26" s="88"/>
      <c r="BME26" s="88"/>
      <c r="BMF26" s="88"/>
      <c r="BMG26" s="88"/>
      <c r="BMH26" s="88"/>
      <c r="BMI26" s="88"/>
      <c r="BMJ26" s="88"/>
      <c r="BMK26" s="88"/>
      <c r="BML26" s="88"/>
      <c r="BMM26" s="88"/>
      <c r="BMN26" s="88"/>
      <c r="BMO26" s="88"/>
      <c r="BMP26" s="88"/>
      <c r="BMQ26" s="88"/>
      <c r="BMR26" s="88"/>
      <c r="BMS26" s="88"/>
      <c r="BMT26" s="88"/>
      <c r="BMU26" s="88"/>
      <c r="BMV26" s="88"/>
      <c r="BMW26" s="88"/>
      <c r="BMX26" s="88"/>
      <c r="BMY26" s="88"/>
      <c r="BMZ26" s="88"/>
      <c r="BNA26" s="88"/>
      <c r="BNB26" s="88"/>
      <c r="BNC26" s="88"/>
      <c r="BND26" s="88"/>
      <c r="BNE26" s="88"/>
      <c r="BNF26" s="88"/>
      <c r="BNG26" s="88"/>
      <c r="BNH26" s="88"/>
      <c r="BNI26" s="88"/>
      <c r="BNJ26" s="88"/>
      <c r="BNK26" s="88"/>
      <c r="BNL26" s="88"/>
      <c r="BNM26" s="88"/>
      <c r="BNN26" s="88"/>
      <c r="BNO26" s="88"/>
      <c r="BNP26" s="88"/>
      <c r="BNQ26" s="88"/>
      <c r="BNR26" s="88"/>
      <c r="BNS26" s="88"/>
      <c r="BNT26" s="88"/>
      <c r="BNU26" s="88"/>
      <c r="BNV26" s="88"/>
      <c r="BNW26" s="88"/>
      <c r="BNX26" s="88"/>
      <c r="BNY26" s="88"/>
      <c r="BNZ26" s="88"/>
      <c r="BOA26" s="88"/>
      <c r="BOB26" s="88"/>
      <c r="BOC26" s="88"/>
      <c r="BOD26" s="88"/>
      <c r="BOE26" s="88"/>
      <c r="BOF26" s="88"/>
      <c r="BOG26" s="88"/>
      <c r="BOH26" s="88"/>
      <c r="BOI26" s="88"/>
      <c r="BOJ26" s="88"/>
      <c r="BOK26" s="88"/>
      <c r="BOL26" s="88"/>
      <c r="BOM26" s="88"/>
      <c r="BON26" s="88"/>
      <c r="BOO26" s="88"/>
      <c r="BOP26" s="88"/>
      <c r="BOQ26" s="88"/>
      <c r="BOR26" s="88"/>
      <c r="BOS26" s="88"/>
      <c r="BOT26" s="88"/>
      <c r="BOU26" s="88"/>
      <c r="BOV26" s="88"/>
      <c r="BOW26" s="88"/>
      <c r="BOX26" s="88"/>
      <c r="BOY26" s="88"/>
      <c r="BOZ26" s="88"/>
      <c r="BPA26" s="88"/>
      <c r="BPB26" s="88"/>
      <c r="BPC26" s="88"/>
      <c r="BPD26" s="88"/>
      <c r="BPE26" s="88"/>
      <c r="BPF26" s="88"/>
      <c r="BPG26" s="88"/>
      <c r="BPH26" s="88"/>
      <c r="BPI26" s="88"/>
      <c r="BPJ26" s="88"/>
      <c r="BPK26" s="88"/>
      <c r="BPL26" s="88"/>
      <c r="BPM26" s="88"/>
      <c r="BPN26" s="88"/>
      <c r="BPO26" s="88"/>
      <c r="BPP26" s="88"/>
      <c r="BPQ26" s="88"/>
      <c r="BPR26" s="88"/>
      <c r="BPS26" s="88"/>
      <c r="BPT26" s="88"/>
      <c r="BPU26" s="88"/>
      <c r="BPV26" s="88"/>
      <c r="BPW26" s="88"/>
      <c r="BPX26" s="88"/>
      <c r="BPY26" s="88"/>
      <c r="BPZ26" s="88"/>
      <c r="BQA26" s="88"/>
      <c r="BQB26" s="88"/>
      <c r="BQC26" s="88"/>
      <c r="BQD26" s="88"/>
      <c r="BQE26" s="88"/>
      <c r="BQF26" s="88"/>
      <c r="BQG26" s="88"/>
      <c r="BQH26" s="88"/>
      <c r="BQI26" s="88"/>
      <c r="BQJ26" s="88"/>
      <c r="BQK26" s="88"/>
      <c r="BQL26" s="88"/>
      <c r="BQM26" s="88"/>
      <c r="BQN26" s="88"/>
      <c r="BQO26" s="88"/>
      <c r="BQP26" s="88"/>
      <c r="BQQ26" s="88"/>
      <c r="BQR26" s="88"/>
      <c r="BQS26" s="88"/>
      <c r="BQT26" s="88"/>
      <c r="BQU26" s="88"/>
      <c r="BQV26" s="88"/>
      <c r="BQW26" s="88"/>
      <c r="BQX26" s="88"/>
      <c r="BQY26" s="88"/>
      <c r="BQZ26" s="88"/>
      <c r="BRA26" s="88"/>
      <c r="BRB26" s="88"/>
      <c r="BRC26" s="88"/>
      <c r="BRD26" s="88"/>
      <c r="BRE26" s="88"/>
      <c r="BRF26" s="88"/>
      <c r="BRG26" s="88"/>
      <c r="BRH26" s="88"/>
      <c r="BRI26" s="88"/>
      <c r="BRJ26" s="88"/>
      <c r="BRK26" s="88"/>
      <c r="BRL26" s="88"/>
      <c r="BRM26" s="88"/>
      <c r="BRN26" s="88"/>
      <c r="BRO26" s="88"/>
      <c r="BRP26" s="88"/>
      <c r="BRQ26" s="88"/>
      <c r="BRR26" s="88"/>
      <c r="BRS26" s="88"/>
      <c r="BRT26" s="88"/>
      <c r="BRU26" s="88"/>
      <c r="BRV26" s="88"/>
      <c r="BRW26" s="88"/>
      <c r="BRX26" s="88"/>
      <c r="BRY26" s="88"/>
      <c r="BRZ26" s="88"/>
      <c r="BSA26" s="88"/>
      <c r="BSB26" s="88"/>
      <c r="BSC26" s="88"/>
      <c r="BSD26" s="88"/>
      <c r="BSE26" s="88"/>
      <c r="BSF26" s="88"/>
      <c r="BSG26" s="88"/>
      <c r="BSH26" s="88"/>
      <c r="BSI26" s="88"/>
      <c r="BSJ26" s="88"/>
      <c r="BSK26" s="88"/>
      <c r="BSL26" s="88"/>
      <c r="BSM26" s="88"/>
      <c r="BSN26" s="88"/>
      <c r="BSO26" s="88"/>
      <c r="BSP26" s="88"/>
      <c r="BSQ26" s="88"/>
      <c r="BSR26" s="88"/>
      <c r="BSS26" s="88"/>
      <c r="BST26" s="88"/>
      <c r="BSU26" s="88"/>
      <c r="BSV26" s="88"/>
      <c r="BSW26" s="88"/>
      <c r="BSX26" s="88"/>
      <c r="BSY26" s="88"/>
      <c r="BSZ26" s="88"/>
      <c r="BTA26" s="88"/>
      <c r="BTB26" s="88"/>
      <c r="BTC26" s="88"/>
      <c r="BTD26" s="88"/>
      <c r="BTE26" s="88"/>
      <c r="BTF26" s="88"/>
      <c r="BTG26" s="88"/>
      <c r="BTH26" s="88"/>
      <c r="BTI26" s="88"/>
      <c r="BTJ26" s="88"/>
      <c r="BTK26" s="88"/>
      <c r="BTL26" s="88"/>
      <c r="BTM26" s="88"/>
      <c r="BTN26" s="88"/>
      <c r="BTO26" s="88"/>
      <c r="BTP26" s="88"/>
      <c r="BTQ26" s="88"/>
      <c r="BTR26" s="88"/>
      <c r="BTS26" s="88"/>
      <c r="BTT26" s="88"/>
      <c r="BTU26" s="88"/>
      <c r="BTV26" s="88"/>
      <c r="BTW26" s="88"/>
      <c r="BTX26" s="88"/>
      <c r="BTY26" s="88"/>
      <c r="BTZ26" s="88"/>
      <c r="BUA26" s="88"/>
      <c r="BUB26" s="88"/>
      <c r="BUC26" s="88"/>
      <c r="BUD26" s="88"/>
      <c r="BUE26" s="88"/>
      <c r="BUF26" s="88"/>
      <c r="BUG26" s="88"/>
      <c r="BUH26" s="88"/>
      <c r="BUI26" s="88"/>
      <c r="BUJ26" s="88"/>
      <c r="BUK26" s="88"/>
      <c r="BUL26" s="88"/>
      <c r="BUM26" s="88"/>
      <c r="BUN26" s="88"/>
      <c r="BUO26" s="88"/>
      <c r="BUP26" s="88"/>
      <c r="BUQ26" s="88"/>
      <c r="BUR26" s="88"/>
      <c r="BUS26" s="88"/>
      <c r="BUT26" s="88"/>
      <c r="BUU26" s="88"/>
      <c r="BUV26" s="88"/>
      <c r="BUW26" s="88"/>
      <c r="BUX26" s="88"/>
      <c r="BUY26" s="88"/>
      <c r="BUZ26" s="88"/>
      <c r="BVA26" s="88"/>
      <c r="BVB26" s="88"/>
      <c r="BVC26" s="88"/>
      <c r="BVD26" s="88"/>
      <c r="BVE26" s="88"/>
      <c r="BVF26" s="88"/>
      <c r="BVG26" s="88"/>
      <c r="BVH26" s="88"/>
      <c r="BVI26" s="88"/>
      <c r="BVJ26" s="88"/>
      <c r="BVK26" s="88"/>
      <c r="BVL26" s="88"/>
      <c r="BVM26" s="88"/>
      <c r="BVN26" s="88"/>
      <c r="BVO26" s="88"/>
      <c r="BVP26" s="88"/>
      <c r="BVQ26" s="88"/>
      <c r="BVR26" s="88"/>
      <c r="BVS26" s="88"/>
      <c r="BVT26" s="88"/>
      <c r="BVU26" s="88"/>
      <c r="BVV26" s="88"/>
      <c r="BVW26" s="88"/>
      <c r="BVX26" s="88"/>
      <c r="BVY26" s="88"/>
      <c r="BVZ26" s="88"/>
      <c r="BWA26" s="88"/>
      <c r="BWB26" s="88"/>
      <c r="BWC26" s="88"/>
      <c r="BWD26" s="88"/>
      <c r="BWE26" s="88"/>
      <c r="BWF26" s="88"/>
      <c r="BWG26" s="88"/>
      <c r="BWH26" s="88"/>
      <c r="BWI26" s="88"/>
      <c r="BWJ26" s="88"/>
      <c r="BWK26" s="88"/>
      <c r="BWL26" s="88"/>
      <c r="BWM26" s="88"/>
      <c r="BWN26" s="88"/>
      <c r="BWO26" s="88"/>
      <c r="BWP26" s="88"/>
      <c r="BWQ26" s="88"/>
      <c r="BWR26" s="88"/>
      <c r="BWS26" s="88"/>
      <c r="BWT26" s="88"/>
      <c r="BWU26" s="88"/>
      <c r="BWV26" s="88"/>
      <c r="BWW26" s="88"/>
      <c r="BWX26" s="88"/>
      <c r="BWY26" s="88"/>
      <c r="BWZ26" s="88"/>
      <c r="BXA26" s="88"/>
      <c r="BXB26" s="88"/>
      <c r="BXC26" s="88"/>
      <c r="BXD26" s="88"/>
      <c r="BXE26" s="88"/>
      <c r="BXF26" s="88"/>
      <c r="BXG26" s="88"/>
      <c r="BXH26" s="88"/>
      <c r="BXI26" s="88"/>
      <c r="BXJ26" s="88"/>
      <c r="BXK26" s="88"/>
      <c r="BXL26" s="88"/>
      <c r="BXM26" s="88"/>
      <c r="BXN26" s="88"/>
      <c r="BXO26" s="88"/>
      <c r="BXP26" s="88"/>
      <c r="BXQ26" s="88"/>
      <c r="BXR26" s="88"/>
      <c r="BXS26" s="88"/>
      <c r="BXT26" s="88"/>
      <c r="BXU26" s="88"/>
      <c r="BXV26" s="88"/>
      <c r="BXW26" s="88"/>
      <c r="BXX26" s="88"/>
      <c r="BXY26" s="88"/>
      <c r="BXZ26" s="88"/>
      <c r="BYA26" s="88"/>
      <c r="BYB26" s="88"/>
      <c r="BYC26" s="88"/>
      <c r="BYD26" s="88"/>
      <c r="BYE26" s="88"/>
      <c r="BYF26" s="88"/>
      <c r="BYG26" s="88"/>
      <c r="BYH26" s="88"/>
      <c r="BYI26" s="88"/>
      <c r="BYJ26" s="88"/>
      <c r="BYK26" s="88"/>
      <c r="BYL26" s="88"/>
      <c r="BYM26" s="88"/>
      <c r="BYN26" s="88"/>
      <c r="BYO26" s="88"/>
      <c r="BYP26" s="88"/>
      <c r="BYQ26" s="88"/>
      <c r="BYR26" s="88"/>
      <c r="BYS26" s="88"/>
      <c r="BYT26" s="88"/>
      <c r="BYU26" s="88"/>
      <c r="BYV26" s="88"/>
      <c r="BYW26" s="88"/>
      <c r="BYX26" s="88"/>
      <c r="BYY26" s="88"/>
      <c r="BYZ26" s="88"/>
      <c r="BZA26" s="88"/>
      <c r="BZB26" s="88"/>
      <c r="BZC26" s="88"/>
      <c r="BZD26" s="88"/>
      <c r="BZE26" s="88"/>
      <c r="BZF26" s="88"/>
      <c r="BZG26" s="88"/>
      <c r="BZH26" s="88"/>
      <c r="BZI26" s="88"/>
      <c r="BZJ26" s="88"/>
      <c r="BZK26" s="88"/>
      <c r="BZL26" s="88"/>
      <c r="BZM26" s="88"/>
      <c r="BZN26" s="88"/>
      <c r="BZO26" s="88"/>
      <c r="BZP26" s="88"/>
      <c r="BZQ26" s="88"/>
      <c r="BZR26" s="88"/>
      <c r="BZS26" s="88"/>
      <c r="BZT26" s="88"/>
      <c r="BZU26" s="88"/>
      <c r="BZV26" s="88"/>
      <c r="BZW26" s="88"/>
      <c r="BZX26" s="88"/>
      <c r="BZY26" s="88"/>
      <c r="BZZ26" s="88"/>
      <c r="CAA26" s="88"/>
      <c r="CAB26" s="88"/>
      <c r="CAC26" s="88"/>
      <c r="CAD26" s="88"/>
      <c r="CAE26" s="88"/>
      <c r="CAF26" s="88"/>
      <c r="CAG26" s="88"/>
      <c r="CAH26" s="88"/>
      <c r="CAI26" s="88"/>
      <c r="CAJ26" s="88"/>
      <c r="CAK26" s="88"/>
      <c r="CAL26" s="88"/>
      <c r="CAM26" s="88"/>
      <c r="CAN26" s="88"/>
      <c r="CAO26" s="88"/>
      <c r="CAP26" s="88"/>
      <c r="CAQ26" s="88"/>
      <c r="CAR26" s="88"/>
      <c r="CAS26" s="88"/>
      <c r="CAT26" s="88"/>
      <c r="CAU26" s="88"/>
      <c r="CAV26" s="88"/>
      <c r="CAW26" s="88"/>
      <c r="CAX26" s="88"/>
      <c r="CAY26" s="88"/>
      <c r="CAZ26" s="88"/>
      <c r="CBA26" s="88"/>
      <c r="CBB26" s="88"/>
      <c r="CBC26" s="88"/>
      <c r="CBD26" s="88"/>
      <c r="CBE26" s="88"/>
      <c r="CBF26" s="88"/>
      <c r="CBG26" s="88"/>
      <c r="CBH26" s="88"/>
      <c r="CBI26" s="88"/>
      <c r="CBJ26" s="88"/>
      <c r="CBK26" s="88"/>
      <c r="CBL26" s="88"/>
      <c r="CBM26" s="88"/>
      <c r="CBN26" s="88"/>
      <c r="CBO26" s="88"/>
      <c r="CBP26" s="88"/>
      <c r="CBQ26" s="88"/>
      <c r="CBR26" s="88"/>
      <c r="CBS26" s="88"/>
      <c r="CBT26" s="88"/>
      <c r="CBU26" s="88"/>
      <c r="CBV26" s="88"/>
      <c r="CBW26" s="88"/>
      <c r="CBX26" s="88"/>
      <c r="CBY26" s="88"/>
      <c r="CBZ26" s="88"/>
      <c r="CCA26" s="88"/>
      <c r="CCB26" s="88"/>
      <c r="CCC26" s="88"/>
      <c r="CCD26" s="88"/>
      <c r="CCE26" s="88"/>
      <c r="CCF26" s="88"/>
      <c r="CCG26" s="88"/>
      <c r="CCH26" s="88"/>
      <c r="CCI26" s="88"/>
      <c r="CCJ26" s="88"/>
      <c r="CCK26" s="88"/>
      <c r="CCL26" s="88"/>
      <c r="CCM26" s="88"/>
      <c r="CCN26" s="88"/>
      <c r="CCO26" s="88"/>
      <c r="CCP26" s="88"/>
      <c r="CCQ26" s="88"/>
      <c r="CCR26" s="88"/>
      <c r="CCS26" s="88"/>
      <c r="CCT26" s="88"/>
      <c r="CCU26" s="88"/>
      <c r="CCV26" s="88"/>
      <c r="CCW26" s="88"/>
      <c r="CCX26" s="88"/>
      <c r="CCY26" s="88"/>
      <c r="CCZ26" s="88"/>
      <c r="CDA26" s="88"/>
      <c r="CDB26" s="88"/>
      <c r="CDC26" s="88"/>
      <c r="CDD26" s="88"/>
      <c r="CDE26" s="88"/>
      <c r="CDF26" s="88"/>
      <c r="CDG26" s="88"/>
      <c r="CDH26" s="88"/>
      <c r="CDI26" s="88"/>
      <c r="CDJ26" s="88"/>
      <c r="CDK26" s="88"/>
      <c r="CDL26" s="88"/>
      <c r="CDM26" s="88"/>
      <c r="CDN26" s="88"/>
      <c r="CDO26" s="88"/>
      <c r="CDP26" s="88"/>
      <c r="CDQ26" s="88"/>
      <c r="CDR26" s="88"/>
      <c r="CDS26" s="88"/>
      <c r="CDT26" s="88"/>
      <c r="CDU26" s="88"/>
      <c r="CDV26" s="88"/>
      <c r="CDW26" s="88"/>
      <c r="CDX26" s="88"/>
      <c r="CDY26" s="88"/>
      <c r="CDZ26" s="88"/>
      <c r="CEA26" s="88"/>
      <c r="CEB26" s="88"/>
      <c r="CEC26" s="88"/>
      <c r="CED26" s="88"/>
      <c r="CEE26" s="88"/>
      <c r="CEF26" s="88"/>
      <c r="CEG26" s="88"/>
      <c r="CEH26" s="88"/>
      <c r="CEI26" s="88"/>
      <c r="CEJ26" s="88"/>
      <c r="CEK26" s="88"/>
    </row>
    <row r="27" spans="1:2169" s="63" customFormat="1">
      <c r="A27" s="68" t="s">
        <v>405</v>
      </c>
      <c r="B27" s="71" t="s">
        <v>66</v>
      </c>
      <c r="C27" s="68" t="str">
        <f>IF('page 2'!$O$4="","",IF('page 2'!$O$4=Gestion!A27,1,0))</f>
        <v/>
      </c>
      <c r="D27" s="68" t="str">
        <f>IF('page 2'!$O$5="","",IF('page 2'!$O$5=Gestion!A27,1,0))</f>
        <v/>
      </c>
      <c r="E27" s="68" t="str">
        <f>IF('page 2'!$O$6="","",IF('page 2'!$O$6=Gestion!A27,1,0))</f>
        <v/>
      </c>
      <c r="F27" s="68" t="str">
        <f>IF('page 2'!$O$7="","",IF('page 2'!$O$7=Gestion!A27,1,0))</f>
        <v/>
      </c>
      <c r="G27" s="68" t="str">
        <f>IF('page 2'!$O$8="","",IF('page 2'!$O$8=Gestion!A27,1,0))</f>
        <v/>
      </c>
      <c r="H27" s="68" t="str">
        <f>IF('page 2'!$O$9="","",IF('page 2'!$O$9=Gestion!A27,1,0))</f>
        <v/>
      </c>
      <c r="I27" s="68" t="str">
        <f>IF('page 2'!$O$10="","",IF('page 2'!$O$10=Gestion!A27,1,0))</f>
        <v/>
      </c>
      <c r="J27" s="68" t="str">
        <f>IF('page 2'!$O$11="","",IF('page 2'!$O$11=Gestion!A27,1,0))</f>
        <v/>
      </c>
      <c r="K27" s="68" t="str">
        <f>IF('page 2'!$O$12="","",IF('page 2'!$O$12=Gestion!A27,1,0))</f>
        <v/>
      </c>
      <c r="L27" s="68" t="str">
        <f>IF('page 2'!$O$13="","",IF('page 2'!$O$13=Gestion!A27,1,0))</f>
        <v/>
      </c>
      <c r="M27" s="68" t="str">
        <f>IF('page 2'!$O$14="","",IF('page 2'!$O$14=Gestion!A27,1,0))</f>
        <v/>
      </c>
      <c r="N27" s="68" t="str">
        <f>IF('page 2'!$O$15="","",IF('page 2'!$O$15=Gestion!A27,1,0))</f>
        <v/>
      </c>
      <c r="O27" s="68" t="str">
        <f>IF('page 2'!$O$16="","",IF('page 2'!$O$16=Gestion!A27,1,0))</f>
        <v/>
      </c>
      <c r="P27" s="68" t="str">
        <f>IF('page 2'!$O$17="","",IF('page 2'!$O$17=Gestion!A27,1,0))</f>
        <v/>
      </c>
      <c r="Q27" s="68" t="str">
        <f>IF('page 2'!$O$18="","",IF('page 2'!$O$18=Gestion!A27,1,0))</f>
        <v/>
      </c>
      <c r="R27" s="68" t="str">
        <f>IF('page 2'!$O$19="","",IF('page 2'!$O$19=Gestion!A27,1,0))</f>
        <v/>
      </c>
      <c r="S27" s="68" t="str">
        <f>IF('page 2'!$O$20="","",IF('page 2'!$O$20=Gestion!A27,1,0))</f>
        <v/>
      </c>
      <c r="T27" s="68" t="str">
        <f>IF('page 2'!$O$25="","",IF('page 2'!$O$25=Gestion!A27,1,0))</f>
        <v/>
      </c>
      <c r="U27" s="68" t="str">
        <f>IF('page 2'!$O$26="","",IF('page 2'!$O$26=Gestion!A27,1,0))</f>
        <v/>
      </c>
      <c r="V27" s="68" t="str">
        <f>IF('page 2'!$O$27="","",IF('page 2'!$O$27=Gestion!A27,1,0))</f>
        <v/>
      </c>
      <c r="W27" s="722">
        <f t="shared" si="0"/>
        <v>0</v>
      </c>
      <c r="Y27" s="68"/>
      <c r="Z27" s="68"/>
      <c r="AA27" s="68"/>
      <c r="AB27" s="68"/>
      <c r="AC27" s="68"/>
      <c r="AD27" s="68"/>
      <c r="AP27" s="130"/>
      <c r="AQ27" s="130"/>
      <c r="AR27" s="130"/>
      <c r="AS27" s="576"/>
      <c r="AT27" s="576"/>
      <c r="AU27" s="576"/>
      <c r="AV27" s="576"/>
      <c r="AW27" s="602"/>
      <c r="AX27" s="602"/>
      <c r="AY27" s="576"/>
      <c r="AZ27" s="576"/>
      <c r="BA27" s="576"/>
      <c r="BB27" s="576"/>
      <c r="BC27" s="576"/>
      <c r="BD27" s="469"/>
      <c r="BE27" s="602"/>
      <c r="BF27" s="602"/>
      <c r="BG27" s="602"/>
      <c r="BH27" s="602"/>
      <c r="BI27" s="602"/>
      <c r="BJ27" s="602"/>
      <c r="BK27" s="602"/>
      <c r="BL27" s="602"/>
      <c r="BM27" s="602"/>
      <c r="BN27" s="602"/>
      <c r="BO27" s="602"/>
      <c r="BP27" s="602"/>
      <c r="BQ27" s="602"/>
      <c r="BR27" s="602"/>
      <c r="BS27" s="576"/>
      <c r="BT27" s="576"/>
      <c r="BU27" s="576"/>
      <c r="BV27" s="576"/>
      <c r="BW27" s="602"/>
      <c r="BX27" s="602"/>
      <c r="BY27" s="602"/>
      <c r="BZ27" s="576"/>
      <c r="CA27" s="602"/>
      <c r="CB27" s="602"/>
      <c r="CC27" s="576"/>
      <c r="CD27" s="469"/>
      <c r="CE27" s="602"/>
      <c r="CF27" s="576"/>
      <c r="CG27" s="576"/>
      <c r="CH27" s="576"/>
      <c r="CI27" s="576"/>
      <c r="CJ27" s="576"/>
      <c r="CK27" s="602"/>
      <c r="CL27" s="602"/>
      <c r="CM27" s="576"/>
      <c r="CN27" s="602"/>
      <c r="CO27" s="602"/>
      <c r="CP27" s="602"/>
      <c r="CQ27" s="576"/>
      <c r="CR27" s="576"/>
      <c r="CS27" s="602"/>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c r="SK27" s="88"/>
      <c r="SL27" s="88"/>
      <c r="SM27" s="88"/>
      <c r="SN27" s="88"/>
      <c r="SO27" s="88"/>
      <c r="SP27" s="88"/>
      <c r="SQ27" s="88"/>
      <c r="SR27" s="88"/>
      <c r="SS27" s="88"/>
      <c r="ST27" s="88"/>
      <c r="SU27" s="88"/>
      <c r="SV27" s="88"/>
      <c r="SW27" s="88"/>
      <c r="SX27" s="88"/>
      <c r="SY27" s="88"/>
      <c r="SZ27" s="88"/>
      <c r="TA27" s="88"/>
      <c r="TB27" s="88"/>
      <c r="TC27" s="88"/>
      <c r="TD27" s="88"/>
      <c r="TE27" s="88"/>
      <c r="TF27" s="88"/>
      <c r="TG27" s="88"/>
      <c r="TH27" s="88"/>
      <c r="TI27" s="88"/>
      <c r="TJ27" s="88"/>
      <c r="TK27" s="88"/>
      <c r="TL27" s="88"/>
      <c r="TM27" s="88"/>
      <c r="TN27" s="88"/>
      <c r="TO27" s="88"/>
      <c r="TP27" s="88"/>
      <c r="TQ27" s="88"/>
      <c r="TR27" s="88"/>
      <c r="TS27" s="88"/>
      <c r="TT27" s="88"/>
      <c r="TU27" s="88"/>
      <c r="TV27" s="88"/>
      <c r="TW27" s="88"/>
      <c r="TX27" s="88"/>
      <c r="TY27" s="88"/>
      <c r="TZ27" s="88"/>
      <c r="UA27" s="88"/>
      <c r="UB27" s="88"/>
      <c r="UC27" s="88"/>
      <c r="UD27" s="88"/>
      <c r="UE27" s="88"/>
      <c r="UF27" s="88"/>
      <c r="UG27" s="88"/>
      <c r="UH27" s="88"/>
      <c r="UI27" s="88"/>
      <c r="UJ27" s="88"/>
      <c r="UK27" s="88"/>
      <c r="UL27" s="88"/>
      <c r="UM27" s="88"/>
      <c r="UN27" s="88"/>
      <c r="UO27" s="88"/>
      <c r="UP27" s="88"/>
      <c r="UQ27" s="88"/>
      <c r="UR27" s="88"/>
      <c r="US27" s="88"/>
      <c r="UT27" s="88"/>
      <c r="UU27" s="88"/>
      <c r="UV27" s="88"/>
      <c r="UW27" s="88"/>
      <c r="UX27" s="88"/>
      <c r="UY27" s="88"/>
      <c r="UZ27" s="88"/>
      <c r="VA27" s="88"/>
      <c r="VB27" s="88"/>
      <c r="VC27" s="88"/>
      <c r="VD27" s="88"/>
      <c r="VE27" s="88"/>
      <c r="VF27" s="88"/>
      <c r="VG27" s="88"/>
      <c r="VH27" s="88"/>
      <c r="VI27" s="88"/>
      <c r="VJ27" s="88"/>
      <c r="VK27" s="88"/>
      <c r="VL27" s="88"/>
      <c r="VM27" s="88"/>
      <c r="VN27" s="88"/>
      <c r="VO27" s="88"/>
      <c r="VP27" s="88"/>
      <c r="VQ27" s="88"/>
      <c r="VR27" s="88"/>
      <c r="VS27" s="88"/>
      <c r="VT27" s="88"/>
      <c r="VU27" s="88"/>
      <c r="VV27" s="88"/>
      <c r="VW27" s="88"/>
      <c r="VX27" s="88"/>
      <c r="VY27" s="88"/>
      <c r="VZ27" s="88"/>
      <c r="WA27" s="88"/>
      <c r="WB27" s="88"/>
      <c r="WC27" s="88"/>
      <c r="WD27" s="88"/>
      <c r="WE27" s="88"/>
      <c r="WF27" s="88"/>
      <c r="WG27" s="88"/>
      <c r="WH27" s="88"/>
      <c r="WI27" s="88"/>
      <c r="WJ27" s="88"/>
      <c r="WK27" s="88"/>
      <c r="WL27" s="88"/>
      <c r="WM27" s="88"/>
      <c r="WN27" s="88"/>
      <c r="WO27" s="88"/>
      <c r="WP27" s="88"/>
      <c r="WQ27" s="88"/>
      <c r="WR27" s="88"/>
      <c r="WS27" s="88"/>
      <c r="WT27" s="88"/>
      <c r="WU27" s="88"/>
      <c r="WV27" s="88"/>
      <c r="WW27" s="88"/>
      <c r="WX27" s="88"/>
      <c r="WY27" s="88"/>
      <c r="WZ27" s="88"/>
      <c r="XA27" s="88"/>
      <c r="XB27" s="88"/>
      <c r="XC27" s="88"/>
      <c r="XD27" s="88"/>
      <c r="XE27" s="88"/>
      <c r="XF27" s="88"/>
      <c r="XG27" s="88"/>
      <c r="XH27" s="88"/>
      <c r="XI27" s="88"/>
      <c r="XJ27" s="88"/>
      <c r="XK27" s="88"/>
      <c r="XL27" s="88"/>
      <c r="XM27" s="88"/>
      <c r="XN27" s="88"/>
      <c r="XO27" s="88"/>
      <c r="XP27" s="88"/>
      <c r="XQ27" s="88"/>
      <c r="XR27" s="88"/>
      <c r="XS27" s="88"/>
      <c r="XT27" s="88"/>
      <c r="XU27" s="88"/>
      <c r="XV27" s="88"/>
      <c r="XW27" s="88"/>
      <c r="XX27" s="88"/>
      <c r="XY27" s="88"/>
      <c r="XZ27" s="88"/>
      <c r="YA27" s="88"/>
      <c r="YB27" s="88"/>
      <c r="YC27" s="88"/>
      <c r="YD27" s="88"/>
      <c r="YE27" s="88"/>
      <c r="YF27" s="88"/>
      <c r="YG27" s="88"/>
      <c r="YH27" s="88"/>
      <c r="YI27" s="88"/>
      <c r="YJ27" s="88"/>
      <c r="YK27" s="88"/>
      <c r="YL27" s="88"/>
      <c r="YM27" s="88"/>
      <c r="YN27" s="88"/>
      <c r="YO27" s="88"/>
      <c r="YP27" s="88"/>
      <c r="YQ27" s="88"/>
      <c r="YR27" s="88"/>
      <c r="YS27" s="88"/>
      <c r="YT27" s="88"/>
      <c r="YU27" s="88"/>
      <c r="YV27" s="88"/>
      <c r="YW27" s="88"/>
      <c r="YX27" s="88"/>
      <c r="YY27" s="88"/>
      <c r="YZ27" s="88"/>
      <c r="ZA27" s="88"/>
      <c r="ZB27" s="88"/>
      <c r="ZC27" s="88"/>
      <c r="ZD27" s="88"/>
      <c r="ZE27" s="88"/>
      <c r="ZF27" s="88"/>
      <c r="ZG27" s="88"/>
      <c r="ZH27" s="88"/>
      <c r="ZI27" s="88"/>
      <c r="ZJ27" s="88"/>
      <c r="ZK27" s="88"/>
      <c r="ZL27" s="88"/>
      <c r="ZM27" s="88"/>
      <c r="ZN27" s="88"/>
      <c r="ZO27" s="88"/>
      <c r="ZP27" s="88"/>
      <c r="ZQ27" s="88"/>
      <c r="ZR27" s="88"/>
      <c r="ZS27" s="88"/>
      <c r="ZT27" s="88"/>
      <c r="ZU27" s="88"/>
      <c r="ZV27" s="88"/>
      <c r="ZW27" s="88"/>
      <c r="ZX27" s="88"/>
      <c r="ZY27" s="88"/>
      <c r="ZZ27" s="88"/>
      <c r="AAA27" s="88"/>
      <c r="AAB27" s="88"/>
      <c r="AAC27" s="88"/>
      <c r="AAD27" s="88"/>
      <c r="AAE27" s="88"/>
      <c r="AAF27" s="88"/>
      <c r="AAG27" s="88"/>
      <c r="AAH27" s="88"/>
      <c r="AAI27" s="88"/>
      <c r="AAJ27" s="88"/>
      <c r="AAK27" s="88"/>
      <c r="AAL27" s="88"/>
      <c r="AAM27" s="88"/>
      <c r="AAN27" s="88"/>
      <c r="AAO27" s="88"/>
      <c r="AAP27" s="88"/>
      <c r="AAQ27" s="88"/>
      <c r="AAR27" s="88"/>
      <c r="AAS27" s="88"/>
      <c r="AAT27" s="88"/>
      <c r="AAU27" s="88"/>
      <c r="AAV27" s="88"/>
      <c r="AAW27" s="88"/>
      <c r="AAX27" s="88"/>
      <c r="AAY27" s="88"/>
      <c r="AAZ27" s="88"/>
      <c r="ABA27" s="88"/>
      <c r="ABB27" s="88"/>
      <c r="ABC27" s="88"/>
      <c r="ABD27" s="88"/>
      <c r="ABE27" s="88"/>
      <c r="ABF27" s="88"/>
      <c r="ABG27" s="88"/>
      <c r="ABH27" s="88"/>
      <c r="ABI27" s="88"/>
      <c r="ABJ27" s="88"/>
      <c r="ABK27" s="88"/>
      <c r="ABL27" s="88"/>
      <c r="ABM27" s="88"/>
      <c r="ABN27" s="88"/>
      <c r="ABO27" s="88"/>
      <c r="ABP27" s="88"/>
      <c r="ABQ27" s="88"/>
      <c r="ABR27" s="88"/>
      <c r="ABS27" s="88"/>
      <c r="ABT27" s="88"/>
      <c r="ABU27" s="88"/>
      <c r="ABV27" s="88"/>
      <c r="ABW27" s="88"/>
      <c r="ABX27" s="88"/>
      <c r="ABY27" s="88"/>
      <c r="ABZ27" s="88"/>
      <c r="ACA27" s="88"/>
      <c r="ACB27" s="88"/>
      <c r="ACC27" s="88"/>
      <c r="ACD27" s="88"/>
      <c r="ACE27" s="88"/>
      <c r="ACF27" s="88"/>
      <c r="ACG27" s="88"/>
      <c r="ACH27" s="88"/>
      <c r="ACI27" s="88"/>
      <c r="ACJ27" s="88"/>
      <c r="ACK27" s="88"/>
      <c r="ACL27" s="88"/>
      <c r="ACM27" s="88"/>
      <c r="ACN27" s="88"/>
      <c r="ACO27" s="88"/>
      <c r="ACP27" s="88"/>
      <c r="ACQ27" s="88"/>
      <c r="ACR27" s="88"/>
      <c r="ACS27" s="88"/>
      <c r="ACT27" s="88"/>
      <c r="ACU27" s="88"/>
      <c r="ACV27" s="88"/>
      <c r="ACW27" s="88"/>
      <c r="ACX27" s="88"/>
      <c r="ACY27" s="88"/>
      <c r="ACZ27" s="88"/>
      <c r="ADA27" s="88"/>
      <c r="ADB27" s="88"/>
      <c r="ADC27" s="88"/>
      <c r="ADD27" s="88"/>
      <c r="ADE27" s="88"/>
      <c r="ADF27" s="88"/>
      <c r="ADG27" s="88"/>
      <c r="ADH27" s="88"/>
      <c r="ADI27" s="88"/>
      <c r="ADJ27" s="88"/>
      <c r="ADK27" s="88"/>
      <c r="ADL27" s="88"/>
      <c r="ADM27" s="88"/>
      <c r="ADN27" s="88"/>
      <c r="ADO27" s="88"/>
      <c r="ADP27" s="88"/>
      <c r="ADQ27" s="88"/>
      <c r="ADR27" s="88"/>
      <c r="ADS27" s="88"/>
      <c r="ADT27" s="88"/>
      <c r="ADU27" s="88"/>
      <c r="ADV27" s="88"/>
      <c r="ADW27" s="88"/>
      <c r="ADX27" s="88"/>
      <c r="ADY27" s="88"/>
      <c r="ADZ27" s="88"/>
      <c r="AEA27" s="88"/>
      <c r="AEB27" s="88"/>
      <c r="AEC27" s="88"/>
      <c r="AED27" s="88"/>
      <c r="AEE27" s="88"/>
      <c r="AEF27" s="88"/>
      <c r="AEG27" s="88"/>
      <c r="AEH27" s="88"/>
      <c r="AEI27" s="88"/>
      <c r="AEJ27" s="88"/>
      <c r="AEK27" s="88"/>
      <c r="AEL27" s="88"/>
      <c r="AEM27" s="88"/>
      <c r="AEN27" s="88"/>
      <c r="AEO27" s="88"/>
      <c r="AEP27" s="88"/>
      <c r="AEQ27" s="88"/>
      <c r="AER27" s="88"/>
      <c r="AES27" s="88"/>
      <c r="AET27" s="88"/>
      <c r="AEU27" s="88"/>
      <c r="AEV27" s="88"/>
      <c r="AEW27" s="88"/>
      <c r="AEX27" s="88"/>
      <c r="AEY27" s="88"/>
      <c r="AEZ27" s="88"/>
      <c r="AFA27" s="88"/>
      <c r="AFB27" s="88"/>
      <c r="AFC27" s="88"/>
      <c r="AFD27" s="88"/>
      <c r="AFE27" s="88"/>
      <c r="AFF27" s="88"/>
      <c r="AFG27" s="88"/>
      <c r="AFH27" s="88"/>
      <c r="AFI27" s="88"/>
      <c r="AFJ27" s="88"/>
      <c r="AFK27" s="88"/>
      <c r="AFL27" s="88"/>
      <c r="AFM27" s="88"/>
      <c r="AFN27" s="88"/>
      <c r="AFO27" s="88"/>
      <c r="AFP27" s="88"/>
      <c r="AFQ27" s="88"/>
      <c r="AFR27" s="88"/>
      <c r="AFS27" s="88"/>
      <c r="AFT27" s="88"/>
      <c r="AFU27" s="88"/>
      <c r="AFV27" s="88"/>
      <c r="AFW27" s="88"/>
      <c r="AFX27" s="88"/>
      <c r="AFY27" s="88"/>
      <c r="AFZ27" s="88"/>
      <c r="AGA27" s="88"/>
      <c r="AGB27" s="88"/>
      <c r="AGC27" s="88"/>
      <c r="AGD27" s="88"/>
      <c r="AGE27" s="88"/>
      <c r="AGF27" s="88"/>
      <c r="AGG27" s="88"/>
      <c r="AGH27" s="88"/>
      <c r="AGI27" s="88"/>
      <c r="AGJ27" s="88"/>
      <c r="AGK27" s="88"/>
      <c r="AGL27" s="88"/>
      <c r="AGM27" s="88"/>
      <c r="AGN27" s="88"/>
      <c r="AGO27" s="88"/>
      <c r="AGP27" s="88"/>
      <c r="AGQ27" s="88"/>
      <c r="AGR27" s="88"/>
      <c r="AGS27" s="88"/>
      <c r="AGT27" s="88"/>
      <c r="AGU27" s="88"/>
      <c r="AGV27" s="88"/>
      <c r="AGW27" s="88"/>
      <c r="AGX27" s="88"/>
      <c r="AGY27" s="88"/>
      <c r="AGZ27" s="88"/>
      <c r="AHA27" s="88"/>
      <c r="AHB27" s="88"/>
      <c r="AHC27" s="88"/>
      <c r="AHD27" s="88"/>
      <c r="AHE27" s="88"/>
      <c r="AHF27" s="88"/>
      <c r="AHG27" s="88"/>
      <c r="AHH27" s="88"/>
      <c r="AHI27" s="88"/>
      <c r="AHJ27" s="88"/>
      <c r="AHK27" s="88"/>
      <c r="AHL27" s="88"/>
      <c r="AHM27" s="88"/>
      <c r="AHN27" s="88"/>
      <c r="AHO27" s="88"/>
      <c r="AHP27" s="88"/>
      <c r="AHQ27" s="88"/>
      <c r="AHR27" s="88"/>
      <c r="AHS27" s="88"/>
      <c r="AHT27" s="88"/>
      <c r="AHU27" s="88"/>
      <c r="AHV27" s="88"/>
      <c r="AHW27" s="88"/>
      <c r="AHX27" s="88"/>
      <c r="AHY27" s="88"/>
      <c r="AHZ27" s="88"/>
      <c r="AIA27" s="88"/>
      <c r="AIB27" s="88"/>
      <c r="AIC27" s="88"/>
      <c r="AID27" s="88"/>
      <c r="AIE27" s="88"/>
      <c r="AIF27" s="88"/>
      <c r="AIG27" s="88"/>
      <c r="AIH27" s="88"/>
      <c r="AII27" s="88"/>
      <c r="AIJ27" s="88"/>
      <c r="AIK27" s="88"/>
      <c r="AIL27" s="88"/>
      <c r="AIM27" s="88"/>
      <c r="AIN27" s="88"/>
      <c r="AIO27" s="88"/>
      <c r="AIP27" s="88"/>
      <c r="AIQ27" s="88"/>
      <c r="AIR27" s="88"/>
      <c r="AIS27" s="88"/>
      <c r="AIT27" s="88"/>
      <c r="AIU27" s="88"/>
      <c r="AIV27" s="88"/>
      <c r="AIW27" s="88"/>
      <c r="AIX27" s="88"/>
      <c r="AIY27" s="88"/>
      <c r="AIZ27" s="88"/>
      <c r="AJA27" s="88"/>
      <c r="AJB27" s="88"/>
      <c r="AJC27" s="88"/>
      <c r="AJD27" s="88"/>
      <c r="AJE27" s="88"/>
      <c r="AJF27" s="88"/>
      <c r="AJG27" s="88"/>
      <c r="AJH27" s="88"/>
      <c r="AJI27" s="88"/>
      <c r="AJJ27" s="88"/>
      <c r="AJK27" s="88"/>
      <c r="AJL27" s="88"/>
      <c r="AJM27" s="88"/>
      <c r="AJN27" s="88"/>
      <c r="AJO27" s="88"/>
      <c r="AJP27" s="88"/>
      <c r="AJQ27" s="88"/>
      <c r="AJR27" s="88"/>
      <c r="AJS27" s="88"/>
      <c r="AJT27" s="88"/>
      <c r="AJU27" s="88"/>
      <c r="AJV27" s="88"/>
      <c r="AJW27" s="88"/>
      <c r="AJX27" s="88"/>
      <c r="AJY27" s="88"/>
      <c r="AJZ27" s="88"/>
      <c r="AKA27" s="88"/>
      <c r="AKB27" s="88"/>
      <c r="AKC27" s="88"/>
      <c r="AKD27" s="88"/>
      <c r="AKE27" s="88"/>
      <c r="AKF27" s="88"/>
      <c r="AKG27" s="88"/>
      <c r="AKH27" s="88"/>
      <c r="AKI27" s="88"/>
      <c r="AKJ27" s="88"/>
      <c r="AKK27" s="88"/>
      <c r="AKL27" s="88"/>
      <c r="AKM27" s="88"/>
      <c r="AKN27" s="88"/>
      <c r="AKO27" s="88"/>
      <c r="AKP27" s="88"/>
      <c r="AKQ27" s="88"/>
      <c r="AKR27" s="88"/>
      <c r="AKS27" s="88"/>
      <c r="AKT27" s="88"/>
      <c r="AKU27" s="88"/>
      <c r="AKV27" s="88"/>
      <c r="AKW27" s="88"/>
      <c r="AKX27" s="88"/>
      <c r="AKY27" s="88"/>
      <c r="AKZ27" s="88"/>
      <c r="ALA27" s="88"/>
      <c r="ALB27" s="88"/>
      <c r="ALC27" s="88"/>
      <c r="ALD27" s="88"/>
      <c r="ALE27" s="88"/>
      <c r="ALF27" s="88"/>
      <c r="ALG27" s="88"/>
      <c r="ALH27" s="88"/>
      <c r="ALI27" s="88"/>
      <c r="ALJ27" s="88"/>
      <c r="ALK27" s="88"/>
      <c r="ALL27" s="88"/>
      <c r="ALM27" s="88"/>
      <c r="ALN27" s="88"/>
      <c r="ALO27" s="88"/>
      <c r="ALP27" s="88"/>
      <c r="ALQ27" s="88"/>
      <c r="ALR27" s="88"/>
      <c r="ALS27" s="88"/>
      <c r="ALT27" s="88"/>
      <c r="ALU27" s="88"/>
      <c r="ALV27" s="88"/>
      <c r="ALW27" s="88"/>
      <c r="ALX27" s="88"/>
      <c r="ALY27" s="88"/>
      <c r="ALZ27" s="88"/>
      <c r="AMA27" s="88"/>
      <c r="AMB27" s="88"/>
      <c r="AMC27" s="88"/>
      <c r="AMD27" s="88"/>
      <c r="AME27" s="88"/>
      <c r="AMF27" s="88"/>
      <c r="AMG27" s="88"/>
      <c r="AMH27" s="88"/>
      <c r="AMI27" s="88"/>
      <c r="AMJ27" s="88"/>
      <c r="AMK27" s="88"/>
      <c r="AML27" s="88"/>
      <c r="AMM27" s="88"/>
      <c r="AMN27" s="88"/>
      <c r="AMO27" s="88"/>
      <c r="AMP27" s="88"/>
      <c r="AMQ27" s="88"/>
      <c r="AMR27" s="88"/>
      <c r="AMS27" s="88"/>
      <c r="AMT27" s="88"/>
      <c r="AMU27" s="88"/>
      <c r="AMV27" s="88"/>
      <c r="AMW27" s="88"/>
      <c r="AMX27" s="88"/>
      <c r="AMY27" s="88"/>
      <c r="AMZ27" s="88"/>
      <c r="ANA27" s="88"/>
      <c r="ANB27" s="88"/>
      <c r="ANC27" s="88"/>
      <c r="AND27" s="88"/>
      <c r="ANE27" s="88"/>
      <c r="ANF27" s="88"/>
      <c r="ANG27" s="88"/>
      <c r="ANH27" s="88"/>
      <c r="ANI27" s="88"/>
      <c r="ANJ27" s="88"/>
      <c r="ANK27" s="88"/>
      <c r="ANL27" s="88"/>
      <c r="ANM27" s="88"/>
      <c r="ANN27" s="88"/>
      <c r="ANO27" s="88"/>
      <c r="ANP27" s="88"/>
      <c r="ANQ27" s="88"/>
      <c r="ANR27" s="88"/>
      <c r="ANS27" s="88"/>
      <c r="ANT27" s="88"/>
      <c r="ANU27" s="88"/>
      <c r="ANV27" s="88"/>
      <c r="ANW27" s="88"/>
      <c r="ANX27" s="88"/>
      <c r="ANY27" s="88"/>
      <c r="ANZ27" s="88"/>
      <c r="AOA27" s="88"/>
      <c r="AOB27" s="88"/>
      <c r="AOC27" s="88"/>
      <c r="AOD27" s="88"/>
      <c r="AOE27" s="88"/>
      <c r="AOF27" s="88"/>
      <c r="AOG27" s="88"/>
      <c r="AOH27" s="88"/>
      <c r="AOI27" s="88"/>
      <c r="AOJ27" s="88"/>
      <c r="AOK27" s="88"/>
      <c r="AOL27" s="88"/>
      <c r="AOM27" s="88"/>
      <c r="AON27" s="88"/>
      <c r="AOO27" s="88"/>
      <c r="AOP27" s="88"/>
      <c r="AOQ27" s="88"/>
      <c r="AOR27" s="88"/>
      <c r="AOS27" s="88"/>
      <c r="AOT27" s="88"/>
      <c r="AOU27" s="88"/>
      <c r="AOV27" s="88"/>
      <c r="AOW27" s="88"/>
      <c r="AOX27" s="88"/>
      <c r="AOY27" s="88"/>
      <c r="AOZ27" s="88"/>
      <c r="APA27" s="88"/>
      <c r="APB27" s="88"/>
      <c r="APC27" s="88"/>
      <c r="APD27" s="88"/>
      <c r="APE27" s="88"/>
      <c r="APF27" s="88"/>
      <c r="APG27" s="88"/>
      <c r="APH27" s="88"/>
      <c r="API27" s="88"/>
      <c r="APJ27" s="88"/>
      <c r="APK27" s="88"/>
      <c r="APL27" s="88"/>
      <c r="APM27" s="88"/>
      <c r="APN27" s="88"/>
      <c r="APO27" s="88"/>
      <c r="APP27" s="88"/>
      <c r="APQ27" s="88"/>
      <c r="APR27" s="88"/>
      <c r="APS27" s="88"/>
      <c r="APT27" s="88"/>
      <c r="APU27" s="88"/>
      <c r="APV27" s="88"/>
      <c r="APW27" s="88"/>
      <c r="APX27" s="88"/>
      <c r="APY27" s="88"/>
      <c r="APZ27" s="88"/>
      <c r="AQA27" s="88"/>
      <c r="AQB27" s="88"/>
      <c r="AQC27" s="88"/>
      <c r="AQD27" s="88"/>
      <c r="AQE27" s="88"/>
      <c r="AQF27" s="88"/>
      <c r="AQG27" s="88"/>
      <c r="AQH27" s="88"/>
      <c r="AQI27" s="88"/>
      <c r="AQJ27" s="88"/>
      <c r="AQK27" s="88"/>
      <c r="AQL27" s="88"/>
      <c r="AQM27" s="88"/>
      <c r="AQN27" s="88"/>
      <c r="AQO27" s="88"/>
      <c r="AQP27" s="88"/>
      <c r="AQQ27" s="88"/>
      <c r="AQR27" s="88"/>
      <c r="AQS27" s="88"/>
      <c r="AQT27" s="88"/>
      <c r="AQU27" s="88"/>
      <c r="AQV27" s="88"/>
      <c r="AQW27" s="88"/>
      <c r="AQX27" s="88"/>
      <c r="AQY27" s="88"/>
      <c r="AQZ27" s="88"/>
      <c r="ARA27" s="88"/>
      <c r="ARB27" s="88"/>
      <c r="ARC27" s="88"/>
      <c r="ARD27" s="88"/>
      <c r="ARE27" s="88"/>
      <c r="ARF27" s="88"/>
      <c r="ARG27" s="88"/>
      <c r="ARH27" s="88"/>
      <c r="ARI27" s="88"/>
      <c r="ARJ27" s="88"/>
      <c r="ARK27" s="88"/>
      <c r="ARL27" s="88"/>
      <c r="ARM27" s="88"/>
      <c r="ARN27" s="88"/>
      <c r="ARO27" s="88"/>
      <c r="ARP27" s="88"/>
      <c r="ARQ27" s="88"/>
      <c r="ARR27" s="88"/>
      <c r="ARS27" s="88"/>
      <c r="ART27" s="88"/>
      <c r="ARU27" s="88"/>
      <c r="ARV27" s="88"/>
      <c r="ARW27" s="88"/>
      <c r="ARX27" s="88"/>
      <c r="ARY27" s="88"/>
      <c r="ARZ27" s="88"/>
      <c r="ASA27" s="88"/>
      <c r="ASB27" s="88"/>
      <c r="ASC27" s="88"/>
      <c r="ASD27" s="88"/>
      <c r="ASE27" s="88"/>
      <c r="ASF27" s="88"/>
      <c r="ASG27" s="88"/>
      <c r="ASH27" s="88"/>
      <c r="ASI27" s="88"/>
      <c r="ASJ27" s="88"/>
      <c r="ASK27" s="88"/>
      <c r="ASL27" s="88"/>
      <c r="ASM27" s="88"/>
      <c r="ASN27" s="88"/>
      <c r="ASO27" s="88"/>
      <c r="ASP27" s="88"/>
      <c r="ASQ27" s="88"/>
      <c r="ASR27" s="88"/>
      <c r="ASS27" s="88"/>
      <c r="AST27" s="88"/>
      <c r="ASU27" s="88"/>
      <c r="ASV27" s="88"/>
      <c r="ASW27" s="88"/>
      <c r="ASX27" s="88"/>
      <c r="ASY27" s="88"/>
      <c r="ASZ27" s="88"/>
      <c r="ATA27" s="88"/>
      <c r="ATB27" s="88"/>
      <c r="ATC27" s="88"/>
      <c r="ATD27" s="88"/>
      <c r="ATE27" s="88"/>
      <c r="ATF27" s="88"/>
      <c r="ATG27" s="88"/>
      <c r="ATH27" s="88"/>
      <c r="ATI27" s="88"/>
      <c r="ATJ27" s="88"/>
      <c r="ATK27" s="88"/>
      <c r="ATL27" s="88"/>
      <c r="ATM27" s="88"/>
      <c r="ATN27" s="88"/>
      <c r="ATO27" s="88"/>
      <c r="ATP27" s="88"/>
      <c r="ATQ27" s="88"/>
      <c r="ATR27" s="88"/>
      <c r="ATS27" s="88"/>
      <c r="ATT27" s="88"/>
      <c r="ATU27" s="88"/>
      <c r="ATV27" s="88"/>
      <c r="ATW27" s="88"/>
      <c r="ATX27" s="88"/>
      <c r="ATY27" s="88"/>
      <c r="ATZ27" s="88"/>
      <c r="AUA27" s="88"/>
      <c r="AUB27" s="88"/>
      <c r="AUC27" s="88"/>
      <c r="AUD27" s="88"/>
      <c r="AUE27" s="88"/>
      <c r="AUF27" s="88"/>
      <c r="AUG27" s="88"/>
      <c r="AUH27" s="88"/>
      <c r="AUI27" s="88"/>
      <c r="AUJ27" s="88"/>
      <c r="AUK27" s="88"/>
      <c r="AUL27" s="88"/>
      <c r="AUM27" s="88"/>
      <c r="AUN27" s="88"/>
      <c r="AUO27" s="88"/>
      <c r="AUP27" s="88"/>
      <c r="AUQ27" s="88"/>
      <c r="AUR27" s="88"/>
      <c r="AUS27" s="88"/>
      <c r="AUT27" s="88"/>
      <c r="AUU27" s="88"/>
      <c r="AUV27" s="88"/>
      <c r="AUW27" s="88"/>
      <c r="AUX27" s="88"/>
      <c r="AUY27" s="88"/>
      <c r="AUZ27" s="88"/>
      <c r="AVA27" s="88"/>
      <c r="AVB27" s="88"/>
      <c r="AVC27" s="88"/>
      <c r="AVD27" s="88"/>
      <c r="AVE27" s="88"/>
      <c r="AVF27" s="88"/>
      <c r="AVG27" s="88"/>
      <c r="AVH27" s="88"/>
      <c r="AVI27" s="88"/>
      <c r="AVJ27" s="88"/>
      <c r="AVK27" s="88"/>
      <c r="AVL27" s="88"/>
      <c r="AVM27" s="88"/>
      <c r="AVN27" s="88"/>
      <c r="AVO27" s="88"/>
      <c r="AVP27" s="88"/>
      <c r="AVQ27" s="88"/>
      <c r="AVR27" s="88"/>
      <c r="AVS27" s="88"/>
      <c r="AVT27" s="88"/>
      <c r="AVU27" s="88"/>
      <c r="AVV27" s="88"/>
      <c r="AVW27" s="88"/>
      <c r="AVX27" s="88"/>
      <c r="AVY27" s="88"/>
      <c r="AVZ27" s="88"/>
      <c r="AWA27" s="88"/>
      <c r="AWB27" s="88"/>
      <c r="AWC27" s="88"/>
      <c r="AWD27" s="88"/>
      <c r="AWE27" s="88"/>
      <c r="AWF27" s="88"/>
      <c r="AWG27" s="88"/>
      <c r="AWH27" s="88"/>
      <c r="AWI27" s="88"/>
      <c r="AWJ27" s="88"/>
      <c r="AWK27" s="88"/>
      <c r="AWL27" s="88"/>
      <c r="AWM27" s="88"/>
      <c r="AWN27" s="88"/>
      <c r="AWO27" s="88"/>
      <c r="AWP27" s="88"/>
      <c r="AWQ27" s="88"/>
      <c r="AWR27" s="88"/>
      <c r="AWS27" s="88"/>
      <c r="AWT27" s="88"/>
      <c r="AWU27" s="88"/>
      <c r="AWV27" s="88"/>
      <c r="AWW27" s="88"/>
      <c r="AWX27" s="88"/>
      <c r="AWY27" s="88"/>
      <c r="AWZ27" s="88"/>
      <c r="AXA27" s="88"/>
      <c r="AXB27" s="88"/>
      <c r="AXC27" s="88"/>
      <c r="AXD27" s="88"/>
      <c r="AXE27" s="88"/>
      <c r="AXF27" s="88"/>
      <c r="AXG27" s="88"/>
      <c r="AXH27" s="88"/>
      <c r="AXI27" s="88"/>
      <c r="AXJ27" s="88"/>
      <c r="AXK27" s="88"/>
      <c r="AXL27" s="88"/>
      <c r="AXM27" s="88"/>
      <c r="AXN27" s="88"/>
      <c r="AXO27" s="88"/>
      <c r="AXP27" s="88"/>
      <c r="AXQ27" s="88"/>
      <c r="AXR27" s="88"/>
      <c r="AXS27" s="88"/>
      <c r="AXT27" s="88"/>
      <c r="AXU27" s="88"/>
      <c r="AXV27" s="88"/>
      <c r="AXW27" s="88"/>
      <c r="AXX27" s="88"/>
      <c r="AXY27" s="88"/>
      <c r="AXZ27" s="88"/>
      <c r="AYA27" s="88"/>
      <c r="AYB27" s="88"/>
      <c r="AYC27" s="88"/>
      <c r="AYD27" s="88"/>
      <c r="AYE27" s="88"/>
      <c r="AYF27" s="88"/>
      <c r="AYG27" s="88"/>
      <c r="AYH27" s="88"/>
      <c r="AYI27" s="88"/>
      <c r="AYJ27" s="88"/>
      <c r="AYK27" s="88"/>
      <c r="AYL27" s="88"/>
      <c r="AYM27" s="88"/>
      <c r="AYN27" s="88"/>
      <c r="AYO27" s="88"/>
      <c r="AYP27" s="88"/>
      <c r="AYQ27" s="88"/>
      <c r="AYR27" s="88"/>
      <c r="AYS27" s="88"/>
      <c r="AYT27" s="88"/>
      <c r="AYU27" s="88"/>
      <c r="AYV27" s="88"/>
      <c r="AYW27" s="88"/>
      <c r="AYX27" s="88"/>
      <c r="AYY27" s="88"/>
      <c r="AYZ27" s="88"/>
      <c r="AZA27" s="88"/>
      <c r="AZB27" s="88"/>
      <c r="AZC27" s="88"/>
      <c r="AZD27" s="88"/>
      <c r="AZE27" s="88"/>
      <c r="AZF27" s="88"/>
      <c r="AZG27" s="88"/>
      <c r="AZH27" s="88"/>
      <c r="AZI27" s="88"/>
      <c r="AZJ27" s="88"/>
      <c r="AZK27" s="88"/>
      <c r="AZL27" s="88"/>
      <c r="AZM27" s="88"/>
      <c r="AZN27" s="88"/>
      <c r="AZO27" s="88"/>
      <c r="AZP27" s="88"/>
      <c r="AZQ27" s="88"/>
      <c r="AZR27" s="88"/>
      <c r="AZS27" s="88"/>
      <c r="AZT27" s="88"/>
      <c r="AZU27" s="88"/>
      <c r="AZV27" s="88"/>
      <c r="AZW27" s="88"/>
      <c r="AZX27" s="88"/>
      <c r="AZY27" s="88"/>
      <c r="AZZ27" s="88"/>
      <c r="BAA27" s="88"/>
      <c r="BAB27" s="88"/>
      <c r="BAC27" s="88"/>
      <c r="BAD27" s="88"/>
      <c r="BAE27" s="88"/>
      <c r="BAF27" s="88"/>
      <c r="BAG27" s="88"/>
      <c r="BAH27" s="88"/>
      <c r="BAI27" s="88"/>
      <c r="BAJ27" s="88"/>
      <c r="BAK27" s="88"/>
      <c r="BAL27" s="88"/>
      <c r="BAM27" s="88"/>
      <c r="BAN27" s="88"/>
      <c r="BAO27" s="88"/>
      <c r="BAP27" s="88"/>
      <c r="BAQ27" s="88"/>
      <c r="BAR27" s="88"/>
      <c r="BAS27" s="88"/>
      <c r="BAT27" s="88"/>
      <c r="BAU27" s="88"/>
      <c r="BAV27" s="88"/>
      <c r="BAW27" s="88"/>
      <c r="BAX27" s="88"/>
      <c r="BAY27" s="88"/>
      <c r="BAZ27" s="88"/>
      <c r="BBA27" s="88"/>
      <c r="BBB27" s="88"/>
      <c r="BBC27" s="88"/>
      <c r="BBD27" s="88"/>
      <c r="BBE27" s="88"/>
      <c r="BBF27" s="88"/>
      <c r="BBG27" s="88"/>
      <c r="BBH27" s="88"/>
      <c r="BBI27" s="88"/>
      <c r="BBJ27" s="88"/>
      <c r="BBK27" s="88"/>
      <c r="BBL27" s="88"/>
      <c r="BBM27" s="88"/>
      <c r="BBN27" s="88"/>
      <c r="BBO27" s="88"/>
      <c r="BBP27" s="88"/>
      <c r="BBQ27" s="88"/>
      <c r="BBR27" s="88"/>
      <c r="BBS27" s="88"/>
      <c r="BBT27" s="88"/>
      <c r="BBU27" s="88"/>
      <c r="BBV27" s="88"/>
      <c r="BBW27" s="88"/>
      <c r="BBX27" s="88"/>
      <c r="BBY27" s="88"/>
      <c r="BBZ27" s="88"/>
      <c r="BCA27" s="88"/>
      <c r="BCB27" s="88"/>
      <c r="BCC27" s="88"/>
      <c r="BCD27" s="88"/>
      <c r="BCE27" s="88"/>
      <c r="BCF27" s="88"/>
      <c r="BCG27" s="88"/>
      <c r="BCH27" s="88"/>
      <c r="BCI27" s="88"/>
      <c r="BCJ27" s="88"/>
      <c r="BCK27" s="88"/>
      <c r="BCL27" s="88"/>
      <c r="BCM27" s="88"/>
      <c r="BCN27" s="88"/>
      <c r="BCO27" s="88"/>
      <c r="BCP27" s="88"/>
      <c r="BCQ27" s="88"/>
      <c r="BCR27" s="88"/>
      <c r="BCS27" s="88"/>
      <c r="BCT27" s="88"/>
      <c r="BCU27" s="88"/>
      <c r="BCV27" s="88"/>
      <c r="BCW27" s="88"/>
      <c r="BCX27" s="88"/>
      <c r="BCY27" s="88"/>
      <c r="BCZ27" s="88"/>
      <c r="BDA27" s="88"/>
      <c r="BDB27" s="88"/>
      <c r="BDC27" s="88"/>
      <c r="BDD27" s="88"/>
      <c r="BDE27" s="88"/>
      <c r="BDF27" s="88"/>
      <c r="BDG27" s="88"/>
      <c r="BDH27" s="88"/>
      <c r="BDI27" s="88"/>
      <c r="BDJ27" s="88"/>
      <c r="BDK27" s="88"/>
      <c r="BDL27" s="88"/>
      <c r="BDM27" s="88"/>
      <c r="BDN27" s="88"/>
      <c r="BDO27" s="88"/>
      <c r="BDP27" s="88"/>
      <c r="BDQ27" s="88"/>
      <c r="BDR27" s="88"/>
      <c r="BDS27" s="88"/>
      <c r="BDT27" s="88"/>
      <c r="BDU27" s="88"/>
      <c r="BDV27" s="88"/>
      <c r="BDW27" s="88"/>
      <c r="BDX27" s="88"/>
      <c r="BDY27" s="88"/>
      <c r="BDZ27" s="88"/>
      <c r="BEA27" s="88"/>
      <c r="BEB27" s="88"/>
      <c r="BEC27" s="88"/>
      <c r="BED27" s="88"/>
      <c r="BEE27" s="88"/>
      <c r="BEF27" s="88"/>
      <c r="BEG27" s="88"/>
      <c r="BEH27" s="88"/>
      <c r="BEI27" s="88"/>
      <c r="BEJ27" s="88"/>
      <c r="BEK27" s="88"/>
      <c r="BEL27" s="88"/>
      <c r="BEM27" s="88"/>
      <c r="BEN27" s="88"/>
      <c r="BEO27" s="88"/>
      <c r="BEP27" s="88"/>
      <c r="BEQ27" s="88"/>
      <c r="BER27" s="88"/>
      <c r="BES27" s="88"/>
      <c r="BET27" s="88"/>
      <c r="BEU27" s="88"/>
      <c r="BEV27" s="88"/>
      <c r="BEW27" s="88"/>
      <c r="BEX27" s="88"/>
      <c r="BEY27" s="88"/>
      <c r="BEZ27" s="88"/>
      <c r="BFA27" s="88"/>
      <c r="BFB27" s="88"/>
      <c r="BFC27" s="88"/>
      <c r="BFD27" s="88"/>
      <c r="BFE27" s="88"/>
      <c r="BFF27" s="88"/>
      <c r="BFG27" s="88"/>
      <c r="BFH27" s="88"/>
      <c r="BFI27" s="88"/>
      <c r="BFJ27" s="88"/>
      <c r="BFK27" s="88"/>
      <c r="BFL27" s="88"/>
      <c r="BFM27" s="88"/>
      <c r="BFN27" s="88"/>
      <c r="BFO27" s="88"/>
      <c r="BFP27" s="88"/>
      <c r="BFQ27" s="88"/>
      <c r="BFR27" s="88"/>
      <c r="BFS27" s="88"/>
      <c r="BFT27" s="88"/>
      <c r="BFU27" s="88"/>
      <c r="BFV27" s="88"/>
      <c r="BFW27" s="88"/>
      <c r="BFX27" s="88"/>
      <c r="BFY27" s="88"/>
      <c r="BFZ27" s="88"/>
      <c r="BGA27" s="88"/>
      <c r="BGB27" s="88"/>
      <c r="BGC27" s="88"/>
      <c r="BGD27" s="88"/>
      <c r="BGE27" s="88"/>
      <c r="BGF27" s="88"/>
      <c r="BGG27" s="88"/>
      <c r="BGH27" s="88"/>
      <c r="BGI27" s="88"/>
      <c r="BGJ27" s="88"/>
      <c r="BGK27" s="88"/>
      <c r="BGL27" s="88"/>
      <c r="BGM27" s="88"/>
      <c r="BGN27" s="88"/>
      <c r="BGO27" s="88"/>
      <c r="BGP27" s="88"/>
      <c r="BGQ27" s="88"/>
      <c r="BGR27" s="88"/>
      <c r="BGS27" s="88"/>
      <c r="BGT27" s="88"/>
      <c r="BGU27" s="88"/>
      <c r="BGV27" s="88"/>
      <c r="BGW27" s="88"/>
      <c r="BGX27" s="88"/>
      <c r="BGY27" s="88"/>
      <c r="BGZ27" s="88"/>
      <c r="BHA27" s="88"/>
      <c r="BHB27" s="88"/>
      <c r="BHC27" s="88"/>
      <c r="BHD27" s="88"/>
      <c r="BHE27" s="88"/>
      <c r="BHF27" s="88"/>
      <c r="BHG27" s="88"/>
      <c r="BHH27" s="88"/>
      <c r="BHI27" s="88"/>
      <c r="BHJ27" s="88"/>
      <c r="BHK27" s="88"/>
      <c r="BHL27" s="88"/>
      <c r="BHM27" s="88"/>
      <c r="BHN27" s="88"/>
      <c r="BHO27" s="88"/>
      <c r="BHP27" s="88"/>
      <c r="BHQ27" s="88"/>
      <c r="BHR27" s="88"/>
      <c r="BHS27" s="88"/>
      <c r="BHT27" s="88"/>
      <c r="BHU27" s="88"/>
      <c r="BHV27" s="88"/>
      <c r="BHW27" s="88"/>
      <c r="BHX27" s="88"/>
      <c r="BHY27" s="88"/>
      <c r="BHZ27" s="88"/>
      <c r="BIA27" s="88"/>
      <c r="BIB27" s="88"/>
      <c r="BIC27" s="88"/>
      <c r="BID27" s="88"/>
      <c r="BIE27" s="88"/>
      <c r="BIF27" s="88"/>
      <c r="BIG27" s="88"/>
      <c r="BIH27" s="88"/>
      <c r="BII27" s="88"/>
      <c r="BIJ27" s="88"/>
      <c r="BIK27" s="88"/>
      <c r="BIL27" s="88"/>
      <c r="BIM27" s="88"/>
      <c r="BIN27" s="88"/>
      <c r="BIO27" s="88"/>
      <c r="BIP27" s="88"/>
      <c r="BIQ27" s="88"/>
      <c r="BIR27" s="88"/>
      <c r="BIS27" s="88"/>
      <c r="BIT27" s="88"/>
      <c r="BIU27" s="88"/>
      <c r="BIV27" s="88"/>
      <c r="BIW27" s="88"/>
      <c r="BIX27" s="88"/>
      <c r="BIY27" s="88"/>
      <c r="BIZ27" s="88"/>
      <c r="BJA27" s="88"/>
      <c r="BJB27" s="88"/>
      <c r="BJC27" s="88"/>
      <c r="BJD27" s="88"/>
      <c r="BJE27" s="88"/>
      <c r="BJF27" s="88"/>
      <c r="BJG27" s="88"/>
      <c r="BJH27" s="88"/>
      <c r="BJI27" s="88"/>
      <c r="BJJ27" s="88"/>
      <c r="BJK27" s="88"/>
      <c r="BJL27" s="88"/>
      <c r="BJM27" s="88"/>
      <c r="BJN27" s="88"/>
      <c r="BJO27" s="88"/>
      <c r="BJP27" s="88"/>
      <c r="BJQ27" s="88"/>
      <c r="BJR27" s="88"/>
      <c r="BJS27" s="88"/>
      <c r="BJT27" s="88"/>
      <c r="BJU27" s="88"/>
      <c r="BJV27" s="88"/>
      <c r="BJW27" s="88"/>
      <c r="BJX27" s="88"/>
      <c r="BJY27" s="88"/>
      <c r="BJZ27" s="88"/>
      <c r="BKA27" s="88"/>
      <c r="BKB27" s="88"/>
      <c r="BKC27" s="88"/>
      <c r="BKD27" s="88"/>
      <c r="BKE27" s="88"/>
      <c r="BKF27" s="88"/>
      <c r="BKG27" s="88"/>
      <c r="BKH27" s="88"/>
      <c r="BKI27" s="88"/>
      <c r="BKJ27" s="88"/>
      <c r="BKK27" s="88"/>
      <c r="BKL27" s="88"/>
      <c r="BKM27" s="88"/>
      <c r="BKN27" s="88"/>
      <c r="BKO27" s="88"/>
      <c r="BKP27" s="88"/>
      <c r="BKQ27" s="88"/>
      <c r="BKR27" s="88"/>
      <c r="BKS27" s="88"/>
      <c r="BKT27" s="88"/>
      <c r="BKU27" s="88"/>
      <c r="BKV27" s="88"/>
      <c r="BKW27" s="88"/>
      <c r="BKX27" s="88"/>
      <c r="BKY27" s="88"/>
      <c r="BKZ27" s="88"/>
      <c r="BLA27" s="88"/>
      <c r="BLB27" s="88"/>
      <c r="BLC27" s="88"/>
      <c r="BLD27" s="88"/>
      <c r="BLE27" s="88"/>
      <c r="BLF27" s="88"/>
      <c r="BLG27" s="88"/>
      <c r="BLH27" s="88"/>
      <c r="BLI27" s="88"/>
      <c r="BLJ27" s="88"/>
      <c r="BLK27" s="88"/>
      <c r="BLL27" s="88"/>
      <c r="BLM27" s="88"/>
      <c r="BLN27" s="88"/>
      <c r="BLO27" s="88"/>
      <c r="BLP27" s="88"/>
      <c r="BLQ27" s="88"/>
      <c r="BLR27" s="88"/>
      <c r="BLS27" s="88"/>
      <c r="BLT27" s="88"/>
      <c r="BLU27" s="88"/>
      <c r="BLV27" s="88"/>
      <c r="BLW27" s="88"/>
      <c r="BLX27" s="88"/>
      <c r="BLY27" s="88"/>
      <c r="BLZ27" s="88"/>
      <c r="BMA27" s="88"/>
      <c r="BMB27" s="88"/>
      <c r="BMC27" s="88"/>
      <c r="BMD27" s="88"/>
      <c r="BME27" s="88"/>
      <c r="BMF27" s="88"/>
      <c r="BMG27" s="88"/>
      <c r="BMH27" s="88"/>
      <c r="BMI27" s="88"/>
      <c r="BMJ27" s="88"/>
      <c r="BMK27" s="88"/>
      <c r="BML27" s="88"/>
      <c r="BMM27" s="88"/>
      <c r="BMN27" s="88"/>
      <c r="BMO27" s="88"/>
      <c r="BMP27" s="88"/>
      <c r="BMQ27" s="88"/>
      <c r="BMR27" s="88"/>
      <c r="BMS27" s="88"/>
      <c r="BMT27" s="88"/>
      <c r="BMU27" s="88"/>
      <c r="BMV27" s="88"/>
      <c r="BMW27" s="88"/>
      <c r="BMX27" s="88"/>
      <c r="BMY27" s="88"/>
      <c r="BMZ27" s="88"/>
      <c r="BNA27" s="88"/>
      <c r="BNB27" s="88"/>
      <c r="BNC27" s="88"/>
      <c r="BND27" s="88"/>
      <c r="BNE27" s="88"/>
      <c r="BNF27" s="88"/>
      <c r="BNG27" s="88"/>
      <c r="BNH27" s="88"/>
      <c r="BNI27" s="88"/>
      <c r="BNJ27" s="88"/>
      <c r="BNK27" s="88"/>
      <c r="BNL27" s="88"/>
      <c r="BNM27" s="88"/>
      <c r="BNN27" s="88"/>
      <c r="BNO27" s="88"/>
      <c r="BNP27" s="88"/>
      <c r="BNQ27" s="88"/>
      <c r="BNR27" s="88"/>
      <c r="BNS27" s="88"/>
      <c r="BNT27" s="88"/>
      <c r="BNU27" s="88"/>
      <c r="BNV27" s="88"/>
      <c r="BNW27" s="88"/>
      <c r="BNX27" s="88"/>
      <c r="BNY27" s="88"/>
      <c r="BNZ27" s="88"/>
      <c r="BOA27" s="88"/>
      <c r="BOB27" s="88"/>
      <c r="BOC27" s="88"/>
      <c r="BOD27" s="88"/>
      <c r="BOE27" s="88"/>
      <c r="BOF27" s="88"/>
      <c r="BOG27" s="88"/>
      <c r="BOH27" s="88"/>
      <c r="BOI27" s="88"/>
      <c r="BOJ27" s="88"/>
      <c r="BOK27" s="88"/>
      <c r="BOL27" s="88"/>
      <c r="BOM27" s="88"/>
      <c r="BON27" s="88"/>
      <c r="BOO27" s="88"/>
      <c r="BOP27" s="88"/>
      <c r="BOQ27" s="88"/>
      <c r="BOR27" s="88"/>
      <c r="BOS27" s="88"/>
      <c r="BOT27" s="88"/>
      <c r="BOU27" s="88"/>
      <c r="BOV27" s="88"/>
      <c r="BOW27" s="88"/>
      <c r="BOX27" s="88"/>
      <c r="BOY27" s="88"/>
      <c r="BOZ27" s="88"/>
      <c r="BPA27" s="88"/>
      <c r="BPB27" s="88"/>
      <c r="BPC27" s="88"/>
      <c r="BPD27" s="88"/>
      <c r="BPE27" s="88"/>
      <c r="BPF27" s="88"/>
      <c r="BPG27" s="88"/>
      <c r="BPH27" s="88"/>
      <c r="BPI27" s="88"/>
      <c r="BPJ27" s="88"/>
      <c r="BPK27" s="88"/>
      <c r="BPL27" s="88"/>
      <c r="BPM27" s="88"/>
      <c r="BPN27" s="88"/>
      <c r="BPO27" s="88"/>
      <c r="BPP27" s="88"/>
      <c r="BPQ27" s="88"/>
      <c r="BPR27" s="88"/>
      <c r="BPS27" s="88"/>
      <c r="BPT27" s="88"/>
      <c r="BPU27" s="88"/>
      <c r="BPV27" s="88"/>
      <c r="BPW27" s="88"/>
      <c r="BPX27" s="88"/>
      <c r="BPY27" s="88"/>
      <c r="BPZ27" s="88"/>
      <c r="BQA27" s="88"/>
      <c r="BQB27" s="88"/>
      <c r="BQC27" s="88"/>
      <c r="BQD27" s="88"/>
      <c r="BQE27" s="88"/>
      <c r="BQF27" s="88"/>
      <c r="BQG27" s="88"/>
      <c r="BQH27" s="88"/>
      <c r="BQI27" s="88"/>
      <c r="BQJ27" s="88"/>
      <c r="BQK27" s="88"/>
      <c r="BQL27" s="88"/>
      <c r="BQM27" s="88"/>
      <c r="BQN27" s="88"/>
      <c r="BQO27" s="88"/>
      <c r="BQP27" s="88"/>
      <c r="BQQ27" s="88"/>
      <c r="BQR27" s="88"/>
      <c r="BQS27" s="88"/>
      <c r="BQT27" s="88"/>
      <c r="BQU27" s="88"/>
      <c r="BQV27" s="88"/>
      <c r="BQW27" s="88"/>
      <c r="BQX27" s="88"/>
      <c r="BQY27" s="88"/>
      <c r="BQZ27" s="88"/>
      <c r="BRA27" s="88"/>
      <c r="BRB27" s="88"/>
      <c r="BRC27" s="88"/>
      <c r="BRD27" s="88"/>
      <c r="BRE27" s="88"/>
      <c r="BRF27" s="88"/>
      <c r="BRG27" s="88"/>
      <c r="BRH27" s="88"/>
      <c r="BRI27" s="88"/>
      <c r="BRJ27" s="88"/>
      <c r="BRK27" s="88"/>
      <c r="BRL27" s="88"/>
      <c r="BRM27" s="88"/>
      <c r="BRN27" s="88"/>
      <c r="BRO27" s="88"/>
      <c r="BRP27" s="88"/>
      <c r="BRQ27" s="88"/>
      <c r="BRR27" s="88"/>
      <c r="BRS27" s="88"/>
      <c r="BRT27" s="88"/>
      <c r="BRU27" s="88"/>
      <c r="BRV27" s="88"/>
      <c r="BRW27" s="88"/>
      <c r="BRX27" s="88"/>
      <c r="BRY27" s="88"/>
      <c r="BRZ27" s="88"/>
      <c r="BSA27" s="88"/>
      <c r="BSB27" s="88"/>
      <c r="BSC27" s="88"/>
      <c r="BSD27" s="88"/>
      <c r="BSE27" s="88"/>
      <c r="BSF27" s="88"/>
      <c r="BSG27" s="88"/>
      <c r="BSH27" s="88"/>
      <c r="BSI27" s="88"/>
      <c r="BSJ27" s="88"/>
      <c r="BSK27" s="88"/>
      <c r="BSL27" s="88"/>
      <c r="BSM27" s="88"/>
      <c r="BSN27" s="88"/>
      <c r="BSO27" s="88"/>
      <c r="BSP27" s="88"/>
      <c r="BSQ27" s="88"/>
      <c r="BSR27" s="88"/>
      <c r="BSS27" s="88"/>
      <c r="BST27" s="88"/>
      <c r="BSU27" s="88"/>
      <c r="BSV27" s="88"/>
      <c r="BSW27" s="88"/>
      <c r="BSX27" s="88"/>
      <c r="BSY27" s="88"/>
      <c r="BSZ27" s="88"/>
      <c r="BTA27" s="88"/>
      <c r="BTB27" s="88"/>
      <c r="BTC27" s="88"/>
      <c r="BTD27" s="88"/>
      <c r="BTE27" s="88"/>
      <c r="BTF27" s="88"/>
      <c r="BTG27" s="88"/>
      <c r="BTH27" s="88"/>
      <c r="BTI27" s="88"/>
      <c r="BTJ27" s="88"/>
      <c r="BTK27" s="88"/>
      <c r="BTL27" s="88"/>
      <c r="BTM27" s="88"/>
      <c r="BTN27" s="88"/>
      <c r="BTO27" s="88"/>
      <c r="BTP27" s="88"/>
      <c r="BTQ27" s="88"/>
      <c r="BTR27" s="88"/>
      <c r="BTS27" s="88"/>
      <c r="BTT27" s="88"/>
      <c r="BTU27" s="88"/>
      <c r="BTV27" s="88"/>
      <c r="BTW27" s="88"/>
      <c r="BTX27" s="88"/>
      <c r="BTY27" s="88"/>
      <c r="BTZ27" s="88"/>
      <c r="BUA27" s="88"/>
      <c r="BUB27" s="88"/>
      <c r="BUC27" s="88"/>
      <c r="BUD27" s="88"/>
      <c r="BUE27" s="88"/>
      <c r="BUF27" s="88"/>
      <c r="BUG27" s="88"/>
      <c r="BUH27" s="88"/>
      <c r="BUI27" s="88"/>
      <c r="BUJ27" s="88"/>
      <c r="BUK27" s="88"/>
      <c r="BUL27" s="88"/>
      <c r="BUM27" s="88"/>
      <c r="BUN27" s="88"/>
      <c r="BUO27" s="88"/>
      <c r="BUP27" s="88"/>
      <c r="BUQ27" s="88"/>
      <c r="BUR27" s="88"/>
      <c r="BUS27" s="88"/>
      <c r="BUT27" s="88"/>
      <c r="BUU27" s="88"/>
      <c r="BUV27" s="88"/>
      <c r="BUW27" s="88"/>
      <c r="BUX27" s="88"/>
      <c r="BUY27" s="88"/>
      <c r="BUZ27" s="88"/>
      <c r="BVA27" s="88"/>
      <c r="BVB27" s="88"/>
      <c r="BVC27" s="88"/>
      <c r="BVD27" s="88"/>
      <c r="BVE27" s="88"/>
      <c r="BVF27" s="88"/>
      <c r="BVG27" s="88"/>
      <c r="BVH27" s="88"/>
      <c r="BVI27" s="88"/>
      <c r="BVJ27" s="88"/>
      <c r="BVK27" s="88"/>
      <c r="BVL27" s="88"/>
      <c r="BVM27" s="88"/>
      <c r="BVN27" s="88"/>
      <c r="BVO27" s="88"/>
      <c r="BVP27" s="88"/>
      <c r="BVQ27" s="88"/>
      <c r="BVR27" s="88"/>
      <c r="BVS27" s="88"/>
      <c r="BVT27" s="88"/>
      <c r="BVU27" s="88"/>
      <c r="BVV27" s="88"/>
      <c r="BVW27" s="88"/>
      <c r="BVX27" s="88"/>
      <c r="BVY27" s="88"/>
      <c r="BVZ27" s="88"/>
      <c r="BWA27" s="88"/>
      <c r="BWB27" s="88"/>
      <c r="BWC27" s="88"/>
      <c r="BWD27" s="88"/>
      <c r="BWE27" s="88"/>
      <c r="BWF27" s="88"/>
      <c r="BWG27" s="88"/>
      <c r="BWH27" s="88"/>
      <c r="BWI27" s="88"/>
      <c r="BWJ27" s="88"/>
      <c r="BWK27" s="88"/>
      <c r="BWL27" s="88"/>
      <c r="BWM27" s="88"/>
      <c r="BWN27" s="88"/>
      <c r="BWO27" s="88"/>
      <c r="BWP27" s="88"/>
      <c r="BWQ27" s="88"/>
      <c r="BWR27" s="88"/>
      <c r="BWS27" s="88"/>
      <c r="BWT27" s="88"/>
      <c r="BWU27" s="88"/>
      <c r="BWV27" s="88"/>
      <c r="BWW27" s="88"/>
      <c r="BWX27" s="88"/>
      <c r="BWY27" s="88"/>
      <c r="BWZ27" s="88"/>
      <c r="BXA27" s="88"/>
      <c r="BXB27" s="88"/>
      <c r="BXC27" s="88"/>
      <c r="BXD27" s="88"/>
      <c r="BXE27" s="88"/>
      <c r="BXF27" s="88"/>
      <c r="BXG27" s="88"/>
      <c r="BXH27" s="88"/>
      <c r="BXI27" s="88"/>
      <c r="BXJ27" s="88"/>
      <c r="BXK27" s="88"/>
      <c r="BXL27" s="88"/>
      <c r="BXM27" s="88"/>
      <c r="BXN27" s="88"/>
      <c r="BXO27" s="88"/>
      <c r="BXP27" s="88"/>
      <c r="BXQ27" s="88"/>
      <c r="BXR27" s="88"/>
      <c r="BXS27" s="88"/>
      <c r="BXT27" s="88"/>
      <c r="BXU27" s="88"/>
      <c r="BXV27" s="88"/>
      <c r="BXW27" s="88"/>
      <c r="BXX27" s="88"/>
      <c r="BXY27" s="88"/>
      <c r="BXZ27" s="88"/>
      <c r="BYA27" s="88"/>
      <c r="BYB27" s="88"/>
      <c r="BYC27" s="88"/>
      <c r="BYD27" s="88"/>
      <c r="BYE27" s="88"/>
      <c r="BYF27" s="88"/>
      <c r="BYG27" s="88"/>
      <c r="BYH27" s="88"/>
      <c r="BYI27" s="88"/>
      <c r="BYJ27" s="88"/>
      <c r="BYK27" s="88"/>
      <c r="BYL27" s="88"/>
      <c r="BYM27" s="88"/>
      <c r="BYN27" s="88"/>
      <c r="BYO27" s="88"/>
      <c r="BYP27" s="88"/>
      <c r="BYQ27" s="88"/>
      <c r="BYR27" s="88"/>
      <c r="BYS27" s="88"/>
      <c r="BYT27" s="88"/>
      <c r="BYU27" s="88"/>
      <c r="BYV27" s="88"/>
      <c r="BYW27" s="88"/>
      <c r="BYX27" s="88"/>
      <c r="BYY27" s="88"/>
      <c r="BYZ27" s="88"/>
      <c r="BZA27" s="88"/>
      <c r="BZB27" s="88"/>
      <c r="BZC27" s="88"/>
      <c r="BZD27" s="88"/>
      <c r="BZE27" s="88"/>
      <c r="BZF27" s="88"/>
      <c r="BZG27" s="88"/>
      <c r="BZH27" s="88"/>
      <c r="BZI27" s="88"/>
      <c r="BZJ27" s="88"/>
      <c r="BZK27" s="88"/>
      <c r="BZL27" s="88"/>
      <c r="BZM27" s="88"/>
      <c r="BZN27" s="88"/>
      <c r="BZO27" s="88"/>
      <c r="BZP27" s="88"/>
      <c r="BZQ27" s="88"/>
      <c r="BZR27" s="88"/>
      <c r="BZS27" s="88"/>
      <c r="BZT27" s="88"/>
      <c r="BZU27" s="88"/>
      <c r="BZV27" s="88"/>
      <c r="BZW27" s="88"/>
      <c r="BZX27" s="88"/>
      <c r="BZY27" s="88"/>
      <c r="BZZ27" s="88"/>
      <c r="CAA27" s="88"/>
      <c r="CAB27" s="88"/>
      <c r="CAC27" s="88"/>
      <c r="CAD27" s="88"/>
      <c r="CAE27" s="88"/>
      <c r="CAF27" s="88"/>
      <c r="CAG27" s="88"/>
      <c r="CAH27" s="88"/>
      <c r="CAI27" s="88"/>
      <c r="CAJ27" s="88"/>
      <c r="CAK27" s="88"/>
      <c r="CAL27" s="88"/>
      <c r="CAM27" s="88"/>
      <c r="CAN27" s="88"/>
      <c r="CAO27" s="88"/>
      <c r="CAP27" s="88"/>
      <c r="CAQ27" s="88"/>
      <c r="CAR27" s="88"/>
      <c r="CAS27" s="88"/>
      <c r="CAT27" s="88"/>
      <c r="CAU27" s="88"/>
      <c r="CAV27" s="88"/>
      <c r="CAW27" s="88"/>
      <c r="CAX27" s="88"/>
      <c r="CAY27" s="88"/>
      <c r="CAZ27" s="88"/>
      <c r="CBA27" s="88"/>
      <c r="CBB27" s="88"/>
      <c r="CBC27" s="88"/>
      <c r="CBD27" s="88"/>
      <c r="CBE27" s="88"/>
      <c r="CBF27" s="88"/>
      <c r="CBG27" s="88"/>
      <c r="CBH27" s="88"/>
      <c r="CBI27" s="88"/>
      <c r="CBJ27" s="88"/>
      <c r="CBK27" s="88"/>
      <c r="CBL27" s="88"/>
      <c r="CBM27" s="88"/>
      <c r="CBN27" s="88"/>
      <c r="CBO27" s="88"/>
      <c r="CBP27" s="88"/>
      <c r="CBQ27" s="88"/>
      <c r="CBR27" s="88"/>
      <c r="CBS27" s="88"/>
      <c r="CBT27" s="88"/>
      <c r="CBU27" s="88"/>
      <c r="CBV27" s="88"/>
      <c r="CBW27" s="88"/>
      <c r="CBX27" s="88"/>
      <c r="CBY27" s="88"/>
      <c r="CBZ27" s="88"/>
      <c r="CCA27" s="88"/>
      <c r="CCB27" s="88"/>
      <c r="CCC27" s="88"/>
      <c r="CCD27" s="88"/>
      <c r="CCE27" s="88"/>
      <c r="CCF27" s="88"/>
      <c r="CCG27" s="88"/>
      <c r="CCH27" s="88"/>
      <c r="CCI27" s="88"/>
      <c r="CCJ27" s="88"/>
      <c r="CCK27" s="88"/>
      <c r="CCL27" s="88"/>
      <c r="CCM27" s="88"/>
      <c r="CCN27" s="88"/>
      <c r="CCO27" s="88"/>
      <c r="CCP27" s="88"/>
      <c r="CCQ27" s="88"/>
      <c r="CCR27" s="88"/>
      <c r="CCS27" s="88"/>
      <c r="CCT27" s="88"/>
      <c r="CCU27" s="88"/>
      <c r="CCV27" s="88"/>
      <c r="CCW27" s="88"/>
      <c r="CCX27" s="88"/>
      <c r="CCY27" s="88"/>
      <c r="CCZ27" s="88"/>
      <c r="CDA27" s="88"/>
      <c r="CDB27" s="88"/>
      <c r="CDC27" s="88"/>
      <c r="CDD27" s="88"/>
      <c r="CDE27" s="88"/>
      <c r="CDF27" s="88"/>
      <c r="CDG27" s="88"/>
      <c r="CDH27" s="88"/>
      <c r="CDI27" s="88"/>
      <c r="CDJ27" s="88"/>
      <c r="CDK27" s="88"/>
      <c r="CDL27" s="88"/>
      <c r="CDM27" s="88"/>
      <c r="CDN27" s="88"/>
      <c r="CDO27" s="88"/>
      <c r="CDP27" s="88"/>
      <c r="CDQ27" s="88"/>
      <c r="CDR27" s="88"/>
      <c r="CDS27" s="88"/>
      <c r="CDT27" s="88"/>
      <c r="CDU27" s="88"/>
      <c r="CDV27" s="88"/>
      <c r="CDW27" s="88"/>
      <c r="CDX27" s="88"/>
      <c r="CDY27" s="88"/>
      <c r="CDZ27" s="88"/>
      <c r="CEA27" s="88"/>
      <c r="CEB27" s="88"/>
      <c r="CEC27" s="88"/>
      <c r="CED27" s="88"/>
      <c r="CEE27" s="88"/>
      <c r="CEF27" s="88"/>
      <c r="CEG27" s="88"/>
      <c r="CEH27" s="88"/>
      <c r="CEI27" s="88"/>
      <c r="CEJ27" s="88"/>
      <c r="CEK27" s="88"/>
    </row>
    <row r="28" spans="1:2169" s="51" customFormat="1">
      <c r="A28" s="69" t="s">
        <v>406</v>
      </c>
      <c r="B28" s="72" t="s">
        <v>2658</v>
      </c>
      <c r="C28" s="69" t="str">
        <f>IF('page 2'!$O$4="","",IF('page 2'!$O$4=Gestion!A28,1,0))</f>
        <v/>
      </c>
      <c r="D28" s="69" t="str">
        <f>IF('page 2'!$O$5="","",IF('page 2'!$O$5=Gestion!A28,1,0))</f>
        <v/>
      </c>
      <c r="E28" s="69"/>
      <c r="F28" s="69" t="str">
        <f>IF('page 2'!$O$7="","",IF('page 2'!$O$7=Gestion!A28,1,0))</f>
        <v/>
      </c>
      <c r="G28" s="69" t="str">
        <f>IF('page 2'!$O$8="","",IF('page 2'!$O$8=Gestion!A28,1,0))</f>
        <v/>
      </c>
      <c r="H28" s="69" t="str">
        <f>IF('page 2'!$O$9="","",IF('page 2'!$O$9=Gestion!A28,1,0))</f>
        <v/>
      </c>
      <c r="I28" s="69" t="str">
        <f>IF('page 2'!$O$10="","",IF('page 2'!$O$10=Gestion!A28,1,0))</f>
        <v/>
      </c>
      <c r="J28" s="69" t="str">
        <f>IF('page 2'!$O$11="","",IF('page 2'!$O$11=Gestion!A28,1,0))</f>
        <v/>
      </c>
      <c r="K28" s="69" t="str">
        <f>IF('page 2'!$O$12="","",IF('page 2'!$O$12=Gestion!A28,1,0))</f>
        <v/>
      </c>
      <c r="L28" s="69" t="str">
        <f>IF('page 2'!$O$13="","",IF('page 2'!$O$13=Gestion!A28,1,0))</f>
        <v/>
      </c>
      <c r="M28" s="69" t="str">
        <f>IF('page 2'!$O$14="","",IF('page 2'!$O$14=Gestion!A28,1,0))</f>
        <v/>
      </c>
      <c r="N28" s="69" t="str">
        <f>IF('page 2'!$O$15="","",IF('page 2'!$O$15=Gestion!A28,1,0))</f>
        <v/>
      </c>
      <c r="O28" s="69" t="str">
        <f>IF('page 2'!$O$16="","",IF('page 2'!$O$16=Gestion!A28,1,0))</f>
        <v/>
      </c>
      <c r="P28" s="69" t="str">
        <f>IF('page 2'!$O$17="","",IF('page 2'!$O$17=Gestion!A28,1,0))</f>
        <v/>
      </c>
      <c r="Q28" s="69" t="str">
        <f>IF('page 2'!$O$18="","",IF('page 2'!$O$18=Gestion!A28,1,0))</f>
        <v/>
      </c>
      <c r="R28" s="69" t="str">
        <f>IF('page 2'!$O$19="","",IF('page 2'!$O$19=Gestion!A28,1,0))</f>
        <v/>
      </c>
      <c r="S28" s="69" t="str">
        <f>IF('page 2'!$O$20="","",IF('page 2'!$O$20=Gestion!A28,1,0))</f>
        <v/>
      </c>
      <c r="T28" s="69" t="str">
        <f>IF('page 2'!$O$25="","",IF('page 2'!$O$25=Gestion!A28,1,0))</f>
        <v/>
      </c>
      <c r="U28" s="69" t="str">
        <f>IF('page 2'!$O$26="","",IF('page 2'!$O$26=Gestion!A28,1,0))</f>
        <v/>
      </c>
      <c r="V28" s="69" t="str">
        <f>IF('page 2'!$O$27="","",IF('page 2'!$O$27=Gestion!A28,1,0))</f>
        <v/>
      </c>
      <c r="W28" s="723">
        <f t="shared" si="0"/>
        <v>0</v>
      </c>
      <c r="Y28" s="69"/>
      <c r="Z28" s="69"/>
      <c r="AA28" s="69"/>
      <c r="AB28" s="542"/>
      <c r="AC28" s="542"/>
      <c r="AD28" s="542"/>
      <c r="AE28" s="88"/>
      <c r="AP28" s="130"/>
      <c r="AQ28" s="130"/>
      <c r="AR28" s="130"/>
      <c r="AS28" s="576"/>
      <c r="AT28" s="576"/>
      <c r="AU28" s="576"/>
      <c r="AV28" s="576"/>
      <c r="AW28" s="602"/>
      <c r="AX28" s="602"/>
      <c r="AY28" s="576"/>
      <c r="AZ28" s="576"/>
      <c r="BA28" s="576"/>
      <c r="BB28" s="576"/>
      <c r="BC28" s="576"/>
      <c r="BD28" s="469"/>
      <c r="BE28" s="602"/>
      <c r="BF28" s="602"/>
      <c r="BG28" s="602"/>
      <c r="BH28" s="602"/>
      <c r="BI28" s="602"/>
      <c r="BJ28" s="602"/>
      <c r="BK28" s="602"/>
      <c r="BL28" s="602"/>
      <c r="BM28" s="602"/>
      <c r="BN28" s="602"/>
      <c r="BO28" s="602"/>
      <c r="BP28" s="602"/>
      <c r="BQ28" s="602"/>
      <c r="BR28" s="602"/>
      <c r="BS28" s="576"/>
      <c r="BT28" s="576"/>
      <c r="BU28" s="576"/>
      <c r="BV28" s="576"/>
      <c r="BW28" s="602"/>
      <c r="BX28" s="602"/>
      <c r="BY28" s="602"/>
      <c r="BZ28" s="576"/>
      <c r="CA28" s="602"/>
      <c r="CB28" s="602"/>
      <c r="CC28" s="576"/>
      <c r="CD28" s="469"/>
      <c r="CE28" s="602"/>
      <c r="CF28" s="576"/>
      <c r="CG28" s="576"/>
      <c r="CH28" s="576"/>
      <c r="CI28" s="576"/>
      <c r="CJ28" s="576"/>
      <c r="CK28" s="602"/>
      <c r="CL28" s="602"/>
      <c r="CM28" s="576"/>
      <c r="CN28" s="602"/>
      <c r="CO28" s="602"/>
      <c r="CP28" s="602"/>
      <c r="CQ28" s="576"/>
      <c r="CR28" s="576"/>
      <c r="CS28" s="602"/>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c r="JU28" s="88"/>
      <c r="JV28" s="88"/>
      <c r="JW28" s="88"/>
      <c r="JX28" s="88"/>
      <c r="JY28" s="88"/>
      <c r="JZ28" s="88"/>
      <c r="KA28" s="88"/>
      <c r="KB28" s="88"/>
      <c r="KC28" s="88"/>
      <c r="KD28" s="88"/>
      <c r="KE28" s="88"/>
      <c r="KF28" s="88"/>
      <c r="KG28" s="88"/>
      <c r="KH28" s="88"/>
      <c r="KI28" s="88"/>
      <c r="KJ28" s="88"/>
      <c r="KK28" s="88"/>
      <c r="KL28" s="88"/>
      <c r="KM28" s="88"/>
      <c r="KN28" s="88"/>
      <c r="KO28" s="88"/>
      <c r="KP28" s="88"/>
      <c r="KQ28" s="88"/>
      <c r="KR28" s="88"/>
      <c r="KS28" s="88"/>
      <c r="KT28" s="88"/>
      <c r="KU28" s="88"/>
      <c r="KV28" s="88"/>
      <c r="KW28" s="88"/>
      <c r="KX28" s="88"/>
      <c r="KY28" s="88"/>
      <c r="KZ28" s="88"/>
      <c r="LA28" s="88"/>
      <c r="LB28" s="88"/>
      <c r="LC28" s="88"/>
      <c r="LD28" s="88"/>
      <c r="LE28" s="88"/>
      <c r="LF28" s="88"/>
      <c r="LG28" s="88"/>
      <c r="LH28" s="88"/>
      <c r="LI28" s="88"/>
      <c r="LJ28" s="88"/>
      <c r="LK28" s="88"/>
      <c r="LL28" s="88"/>
      <c r="LM28" s="88"/>
      <c r="LN28" s="88"/>
      <c r="LO28" s="88"/>
      <c r="LP28" s="88"/>
      <c r="LQ28" s="88"/>
      <c r="LR28" s="88"/>
      <c r="LS28" s="88"/>
      <c r="LT28" s="88"/>
      <c r="LU28" s="88"/>
      <c r="LV28" s="88"/>
      <c r="LW28" s="88"/>
      <c r="LX28" s="88"/>
      <c r="LY28" s="88"/>
      <c r="LZ28" s="88"/>
      <c r="MA28" s="88"/>
      <c r="MB28" s="88"/>
      <c r="MC28" s="88"/>
      <c r="MD28" s="88"/>
      <c r="ME28" s="88"/>
      <c r="MF28" s="88"/>
      <c r="MG28" s="88"/>
      <c r="MH28" s="88"/>
      <c r="MI28" s="88"/>
      <c r="MJ28" s="88"/>
      <c r="MK28" s="88"/>
      <c r="ML28" s="88"/>
      <c r="MM28" s="88"/>
      <c r="MN28" s="88"/>
      <c r="MO28" s="88"/>
      <c r="MP28" s="88"/>
      <c r="MQ28" s="88"/>
      <c r="MR28" s="88"/>
      <c r="MS28" s="88"/>
      <c r="MT28" s="88"/>
      <c r="MU28" s="88"/>
      <c r="MV28" s="88"/>
      <c r="MW28" s="88"/>
      <c r="MX28" s="88"/>
      <c r="MY28" s="88"/>
      <c r="MZ28" s="88"/>
      <c r="NA28" s="88"/>
      <c r="NB28" s="88"/>
      <c r="NC28" s="88"/>
      <c r="ND28" s="88"/>
      <c r="NE28" s="88"/>
      <c r="NF28" s="88"/>
      <c r="NG28" s="88"/>
      <c r="NH28" s="88"/>
      <c r="NI28" s="88"/>
      <c r="NJ28" s="88"/>
      <c r="NK28" s="88"/>
      <c r="NL28" s="88"/>
      <c r="NM28" s="88"/>
      <c r="NN28" s="88"/>
      <c r="NO28" s="88"/>
      <c r="NP28" s="88"/>
      <c r="NQ28" s="88"/>
      <c r="NR28" s="88"/>
      <c r="NS28" s="88"/>
      <c r="NT28" s="88"/>
      <c r="NU28" s="88"/>
      <c r="NV28" s="88"/>
      <c r="NW28" s="88"/>
      <c r="NX28" s="88"/>
      <c r="NY28" s="88"/>
      <c r="NZ28" s="88"/>
      <c r="OA28" s="88"/>
      <c r="OB28" s="88"/>
      <c r="OC28" s="88"/>
      <c r="OD28" s="88"/>
      <c r="OE28" s="88"/>
      <c r="OF28" s="88"/>
      <c r="OG28" s="88"/>
      <c r="OH28" s="88"/>
      <c r="OI28" s="88"/>
      <c r="OJ28" s="88"/>
      <c r="OK28" s="88"/>
      <c r="OL28" s="88"/>
      <c r="OM28" s="88"/>
      <c r="ON28" s="88"/>
      <c r="OO28" s="88"/>
      <c r="OP28" s="88"/>
      <c r="OQ28" s="88"/>
      <c r="OR28" s="88"/>
      <c r="OS28" s="88"/>
      <c r="OT28" s="88"/>
      <c r="OU28" s="88"/>
      <c r="OV28" s="88"/>
      <c r="OW28" s="88"/>
      <c r="OX28" s="88"/>
      <c r="OY28" s="88"/>
      <c r="OZ28" s="88"/>
      <c r="PA28" s="88"/>
      <c r="PB28" s="88"/>
      <c r="PC28" s="88"/>
      <c r="PD28" s="88"/>
      <c r="PE28" s="88"/>
      <c r="PF28" s="88"/>
      <c r="PG28" s="88"/>
      <c r="PH28" s="88"/>
      <c r="PI28" s="88"/>
      <c r="PJ28" s="88"/>
      <c r="PK28" s="88"/>
      <c r="PL28" s="88"/>
      <c r="PM28" s="88"/>
      <c r="PN28" s="88"/>
      <c r="PO28" s="88"/>
      <c r="PP28" s="88"/>
      <c r="PQ28" s="88"/>
      <c r="PR28" s="88"/>
      <c r="PS28" s="88"/>
      <c r="PT28" s="88"/>
      <c r="PU28" s="88"/>
      <c r="PV28" s="88"/>
      <c r="PW28" s="88"/>
      <c r="PX28" s="88"/>
      <c r="PY28" s="88"/>
      <c r="PZ28" s="88"/>
      <c r="QA28" s="88"/>
      <c r="QB28" s="88"/>
      <c r="QC28" s="88"/>
      <c r="QD28" s="88"/>
      <c r="QE28" s="88"/>
      <c r="QF28" s="88"/>
      <c r="QG28" s="88"/>
      <c r="QH28" s="88"/>
      <c r="QI28" s="88"/>
      <c r="QJ28" s="88"/>
      <c r="QK28" s="88"/>
      <c r="QL28" s="88"/>
      <c r="QM28" s="88"/>
      <c r="QN28" s="88"/>
      <c r="QO28" s="88"/>
      <c r="QP28" s="88"/>
      <c r="QQ28" s="88"/>
      <c r="QR28" s="88"/>
      <c r="QS28" s="88"/>
      <c r="QT28" s="88"/>
      <c r="QU28" s="88"/>
      <c r="QV28" s="88"/>
      <c r="QW28" s="88"/>
      <c r="QX28" s="88"/>
      <c r="QY28" s="88"/>
      <c r="QZ28" s="88"/>
      <c r="RA28" s="88"/>
      <c r="RB28" s="88"/>
      <c r="RC28" s="88"/>
      <c r="RD28" s="88"/>
      <c r="RE28" s="88"/>
      <c r="RF28" s="88"/>
      <c r="RG28" s="88"/>
      <c r="RH28" s="88"/>
      <c r="RI28" s="88"/>
      <c r="RJ28" s="88"/>
      <c r="RK28" s="88"/>
      <c r="RL28" s="88"/>
      <c r="RM28" s="88"/>
      <c r="RN28" s="88"/>
      <c r="RO28" s="88"/>
      <c r="RP28" s="88"/>
      <c r="RQ28" s="88"/>
      <c r="RR28" s="88"/>
      <c r="RS28" s="88"/>
      <c r="RT28" s="88"/>
      <c r="RU28" s="88"/>
      <c r="RV28" s="88"/>
      <c r="RW28" s="88"/>
      <c r="RX28" s="88"/>
      <c r="RY28" s="88"/>
      <c r="RZ28" s="88"/>
      <c r="SA28" s="88"/>
      <c r="SB28" s="88"/>
      <c r="SC28" s="88"/>
      <c r="SD28" s="88"/>
      <c r="SE28" s="88"/>
      <c r="SF28" s="88"/>
      <c r="SG28" s="88"/>
      <c r="SH28" s="88"/>
      <c r="SI28" s="88"/>
      <c r="SJ28" s="88"/>
      <c r="SK28" s="88"/>
      <c r="SL28" s="88"/>
      <c r="SM28" s="88"/>
      <c r="SN28" s="88"/>
      <c r="SO28" s="88"/>
      <c r="SP28" s="88"/>
      <c r="SQ28" s="88"/>
      <c r="SR28" s="88"/>
      <c r="SS28" s="88"/>
      <c r="ST28" s="88"/>
      <c r="SU28" s="88"/>
      <c r="SV28" s="88"/>
      <c r="SW28" s="88"/>
      <c r="SX28" s="88"/>
      <c r="SY28" s="88"/>
      <c r="SZ28" s="88"/>
      <c r="TA28" s="88"/>
      <c r="TB28" s="88"/>
      <c r="TC28" s="88"/>
      <c r="TD28" s="88"/>
      <c r="TE28" s="88"/>
      <c r="TF28" s="88"/>
      <c r="TG28" s="88"/>
      <c r="TH28" s="88"/>
      <c r="TI28" s="88"/>
      <c r="TJ28" s="88"/>
      <c r="TK28" s="88"/>
      <c r="TL28" s="88"/>
      <c r="TM28" s="88"/>
      <c r="TN28" s="88"/>
      <c r="TO28" s="88"/>
      <c r="TP28" s="88"/>
      <c r="TQ28" s="88"/>
      <c r="TR28" s="88"/>
      <c r="TS28" s="88"/>
      <c r="TT28" s="88"/>
      <c r="TU28" s="88"/>
      <c r="TV28" s="88"/>
      <c r="TW28" s="88"/>
      <c r="TX28" s="88"/>
      <c r="TY28" s="88"/>
      <c r="TZ28" s="88"/>
      <c r="UA28" s="88"/>
      <c r="UB28" s="88"/>
      <c r="UC28" s="88"/>
      <c r="UD28" s="88"/>
      <c r="UE28" s="88"/>
      <c r="UF28" s="88"/>
      <c r="UG28" s="88"/>
      <c r="UH28" s="88"/>
      <c r="UI28" s="88"/>
      <c r="UJ28" s="88"/>
      <c r="UK28" s="88"/>
      <c r="UL28" s="88"/>
      <c r="UM28" s="88"/>
      <c r="UN28" s="88"/>
      <c r="UO28" s="88"/>
      <c r="UP28" s="88"/>
      <c r="UQ28" s="88"/>
      <c r="UR28" s="88"/>
      <c r="US28" s="88"/>
      <c r="UT28" s="88"/>
      <c r="UU28" s="88"/>
      <c r="UV28" s="88"/>
      <c r="UW28" s="88"/>
      <c r="UX28" s="88"/>
      <c r="UY28" s="88"/>
      <c r="UZ28" s="88"/>
      <c r="VA28" s="88"/>
      <c r="VB28" s="88"/>
      <c r="VC28" s="88"/>
      <c r="VD28" s="88"/>
      <c r="VE28" s="88"/>
      <c r="VF28" s="88"/>
      <c r="VG28" s="88"/>
      <c r="VH28" s="88"/>
      <c r="VI28" s="88"/>
      <c r="VJ28" s="88"/>
      <c r="VK28" s="88"/>
      <c r="VL28" s="88"/>
      <c r="VM28" s="88"/>
      <c r="VN28" s="88"/>
      <c r="VO28" s="88"/>
      <c r="VP28" s="88"/>
      <c r="VQ28" s="88"/>
      <c r="VR28" s="88"/>
      <c r="VS28" s="88"/>
      <c r="VT28" s="88"/>
      <c r="VU28" s="88"/>
      <c r="VV28" s="88"/>
      <c r="VW28" s="88"/>
      <c r="VX28" s="88"/>
      <c r="VY28" s="88"/>
      <c r="VZ28" s="88"/>
      <c r="WA28" s="88"/>
      <c r="WB28" s="88"/>
      <c r="WC28" s="88"/>
      <c r="WD28" s="88"/>
      <c r="WE28" s="88"/>
      <c r="WF28" s="88"/>
      <c r="WG28" s="88"/>
      <c r="WH28" s="88"/>
      <c r="WI28" s="88"/>
      <c r="WJ28" s="88"/>
      <c r="WK28" s="88"/>
      <c r="WL28" s="88"/>
      <c r="WM28" s="88"/>
      <c r="WN28" s="88"/>
      <c r="WO28" s="88"/>
      <c r="WP28" s="88"/>
      <c r="WQ28" s="88"/>
      <c r="WR28" s="88"/>
      <c r="WS28" s="88"/>
      <c r="WT28" s="88"/>
      <c r="WU28" s="88"/>
      <c r="WV28" s="88"/>
      <c r="WW28" s="88"/>
      <c r="WX28" s="88"/>
      <c r="WY28" s="88"/>
      <c r="WZ28" s="88"/>
      <c r="XA28" s="88"/>
      <c r="XB28" s="88"/>
      <c r="XC28" s="88"/>
      <c r="XD28" s="88"/>
      <c r="XE28" s="88"/>
      <c r="XF28" s="88"/>
      <c r="XG28" s="88"/>
      <c r="XH28" s="88"/>
      <c r="XI28" s="88"/>
      <c r="XJ28" s="88"/>
      <c r="XK28" s="88"/>
      <c r="XL28" s="88"/>
      <c r="XM28" s="88"/>
      <c r="XN28" s="88"/>
      <c r="XO28" s="88"/>
      <c r="XP28" s="88"/>
      <c r="XQ28" s="88"/>
      <c r="XR28" s="88"/>
      <c r="XS28" s="88"/>
      <c r="XT28" s="88"/>
      <c r="XU28" s="88"/>
      <c r="XV28" s="88"/>
      <c r="XW28" s="88"/>
      <c r="XX28" s="88"/>
      <c r="XY28" s="88"/>
      <c r="XZ28" s="88"/>
      <c r="YA28" s="88"/>
      <c r="YB28" s="88"/>
      <c r="YC28" s="88"/>
      <c r="YD28" s="88"/>
      <c r="YE28" s="88"/>
      <c r="YF28" s="88"/>
      <c r="YG28" s="88"/>
      <c r="YH28" s="88"/>
      <c r="YI28" s="88"/>
      <c r="YJ28" s="88"/>
      <c r="YK28" s="88"/>
      <c r="YL28" s="88"/>
      <c r="YM28" s="88"/>
      <c r="YN28" s="88"/>
      <c r="YO28" s="88"/>
      <c r="YP28" s="88"/>
      <c r="YQ28" s="88"/>
      <c r="YR28" s="88"/>
      <c r="YS28" s="88"/>
      <c r="YT28" s="88"/>
      <c r="YU28" s="88"/>
      <c r="YV28" s="88"/>
      <c r="YW28" s="88"/>
      <c r="YX28" s="88"/>
      <c r="YY28" s="88"/>
      <c r="YZ28" s="88"/>
      <c r="ZA28" s="88"/>
      <c r="ZB28" s="88"/>
      <c r="ZC28" s="88"/>
      <c r="ZD28" s="88"/>
      <c r="ZE28" s="88"/>
      <c r="ZF28" s="88"/>
      <c r="ZG28" s="88"/>
      <c r="ZH28" s="88"/>
      <c r="ZI28" s="88"/>
      <c r="ZJ28" s="88"/>
      <c r="ZK28" s="88"/>
      <c r="ZL28" s="88"/>
      <c r="ZM28" s="88"/>
      <c r="ZN28" s="88"/>
      <c r="ZO28" s="88"/>
      <c r="ZP28" s="88"/>
      <c r="ZQ28" s="88"/>
      <c r="ZR28" s="88"/>
      <c r="ZS28" s="88"/>
      <c r="ZT28" s="88"/>
      <c r="ZU28" s="88"/>
      <c r="ZV28" s="88"/>
      <c r="ZW28" s="88"/>
      <c r="ZX28" s="88"/>
      <c r="ZY28" s="88"/>
      <c r="ZZ28" s="88"/>
      <c r="AAA28" s="88"/>
      <c r="AAB28" s="88"/>
      <c r="AAC28" s="88"/>
      <c r="AAD28" s="88"/>
      <c r="AAE28" s="88"/>
      <c r="AAF28" s="88"/>
      <c r="AAG28" s="88"/>
      <c r="AAH28" s="88"/>
      <c r="AAI28" s="88"/>
      <c r="AAJ28" s="88"/>
      <c r="AAK28" s="88"/>
      <c r="AAL28" s="88"/>
      <c r="AAM28" s="88"/>
      <c r="AAN28" s="88"/>
      <c r="AAO28" s="88"/>
      <c r="AAP28" s="88"/>
      <c r="AAQ28" s="88"/>
      <c r="AAR28" s="88"/>
      <c r="AAS28" s="88"/>
      <c r="AAT28" s="88"/>
      <c r="AAU28" s="88"/>
      <c r="AAV28" s="88"/>
      <c r="AAW28" s="88"/>
      <c r="AAX28" s="88"/>
      <c r="AAY28" s="88"/>
      <c r="AAZ28" s="88"/>
      <c r="ABA28" s="88"/>
      <c r="ABB28" s="88"/>
      <c r="ABC28" s="88"/>
      <c r="ABD28" s="88"/>
      <c r="ABE28" s="88"/>
      <c r="ABF28" s="88"/>
      <c r="ABG28" s="88"/>
      <c r="ABH28" s="88"/>
      <c r="ABI28" s="88"/>
      <c r="ABJ28" s="88"/>
      <c r="ABK28" s="88"/>
      <c r="ABL28" s="88"/>
      <c r="ABM28" s="88"/>
      <c r="ABN28" s="88"/>
      <c r="ABO28" s="88"/>
      <c r="ABP28" s="88"/>
      <c r="ABQ28" s="88"/>
      <c r="ABR28" s="88"/>
      <c r="ABS28" s="88"/>
      <c r="ABT28" s="88"/>
      <c r="ABU28" s="88"/>
      <c r="ABV28" s="88"/>
      <c r="ABW28" s="88"/>
      <c r="ABX28" s="88"/>
      <c r="ABY28" s="88"/>
      <c r="ABZ28" s="88"/>
      <c r="ACA28" s="88"/>
      <c r="ACB28" s="88"/>
      <c r="ACC28" s="88"/>
      <c r="ACD28" s="88"/>
      <c r="ACE28" s="88"/>
      <c r="ACF28" s="88"/>
      <c r="ACG28" s="88"/>
      <c r="ACH28" s="88"/>
      <c r="ACI28" s="88"/>
      <c r="ACJ28" s="88"/>
      <c r="ACK28" s="88"/>
      <c r="ACL28" s="88"/>
      <c r="ACM28" s="88"/>
      <c r="ACN28" s="88"/>
      <c r="ACO28" s="88"/>
      <c r="ACP28" s="88"/>
      <c r="ACQ28" s="88"/>
      <c r="ACR28" s="88"/>
      <c r="ACS28" s="88"/>
      <c r="ACT28" s="88"/>
      <c r="ACU28" s="88"/>
      <c r="ACV28" s="88"/>
      <c r="ACW28" s="88"/>
      <c r="ACX28" s="88"/>
      <c r="ACY28" s="88"/>
      <c r="ACZ28" s="88"/>
      <c r="ADA28" s="88"/>
      <c r="ADB28" s="88"/>
      <c r="ADC28" s="88"/>
      <c r="ADD28" s="88"/>
      <c r="ADE28" s="88"/>
      <c r="ADF28" s="88"/>
      <c r="ADG28" s="88"/>
      <c r="ADH28" s="88"/>
      <c r="ADI28" s="88"/>
      <c r="ADJ28" s="88"/>
      <c r="ADK28" s="88"/>
      <c r="ADL28" s="88"/>
      <c r="ADM28" s="88"/>
      <c r="ADN28" s="88"/>
      <c r="ADO28" s="88"/>
      <c r="ADP28" s="88"/>
      <c r="ADQ28" s="88"/>
      <c r="ADR28" s="88"/>
      <c r="ADS28" s="88"/>
      <c r="ADT28" s="88"/>
      <c r="ADU28" s="88"/>
      <c r="ADV28" s="88"/>
      <c r="ADW28" s="88"/>
      <c r="ADX28" s="88"/>
      <c r="ADY28" s="88"/>
      <c r="ADZ28" s="88"/>
      <c r="AEA28" s="88"/>
      <c r="AEB28" s="88"/>
      <c r="AEC28" s="88"/>
      <c r="AED28" s="88"/>
      <c r="AEE28" s="88"/>
      <c r="AEF28" s="88"/>
      <c r="AEG28" s="88"/>
      <c r="AEH28" s="88"/>
      <c r="AEI28" s="88"/>
      <c r="AEJ28" s="88"/>
      <c r="AEK28" s="88"/>
      <c r="AEL28" s="88"/>
      <c r="AEM28" s="88"/>
      <c r="AEN28" s="88"/>
      <c r="AEO28" s="88"/>
      <c r="AEP28" s="88"/>
      <c r="AEQ28" s="88"/>
      <c r="AER28" s="88"/>
      <c r="AES28" s="88"/>
      <c r="AET28" s="88"/>
      <c r="AEU28" s="88"/>
      <c r="AEV28" s="88"/>
      <c r="AEW28" s="88"/>
      <c r="AEX28" s="88"/>
      <c r="AEY28" s="88"/>
      <c r="AEZ28" s="88"/>
      <c r="AFA28" s="88"/>
      <c r="AFB28" s="88"/>
      <c r="AFC28" s="88"/>
      <c r="AFD28" s="88"/>
      <c r="AFE28" s="88"/>
      <c r="AFF28" s="88"/>
      <c r="AFG28" s="88"/>
      <c r="AFH28" s="88"/>
      <c r="AFI28" s="88"/>
      <c r="AFJ28" s="88"/>
      <c r="AFK28" s="88"/>
      <c r="AFL28" s="88"/>
      <c r="AFM28" s="88"/>
      <c r="AFN28" s="88"/>
      <c r="AFO28" s="88"/>
      <c r="AFP28" s="88"/>
      <c r="AFQ28" s="88"/>
      <c r="AFR28" s="88"/>
      <c r="AFS28" s="88"/>
      <c r="AFT28" s="88"/>
      <c r="AFU28" s="88"/>
      <c r="AFV28" s="88"/>
      <c r="AFW28" s="88"/>
      <c r="AFX28" s="88"/>
      <c r="AFY28" s="88"/>
      <c r="AFZ28" s="88"/>
      <c r="AGA28" s="88"/>
      <c r="AGB28" s="88"/>
      <c r="AGC28" s="88"/>
      <c r="AGD28" s="88"/>
      <c r="AGE28" s="88"/>
      <c r="AGF28" s="88"/>
      <c r="AGG28" s="88"/>
      <c r="AGH28" s="88"/>
      <c r="AGI28" s="88"/>
      <c r="AGJ28" s="88"/>
      <c r="AGK28" s="88"/>
      <c r="AGL28" s="88"/>
      <c r="AGM28" s="88"/>
      <c r="AGN28" s="88"/>
      <c r="AGO28" s="88"/>
      <c r="AGP28" s="88"/>
      <c r="AGQ28" s="88"/>
      <c r="AGR28" s="88"/>
      <c r="AGS28" s="88"/>
      <c r="AGT28" s="88"/>
      <c r="AGU28" s="88"/>
      <c r="AGV28" s="88"/>
      <c r="AGW28" s="88"/>
      <c r="AGX28" s="88"/>
      <c r="AGY28" s="88"/>
      <c r="AGZ28" s="88"/>
      <c r="AHA28" s="88"/>
      <c r="AHB28" s="88"/>
      <c r="AHC28" s="88"/>
      <c r="AHD28" s="88"/>
      <c r="AHE28" s="88"/>
      <c r="AHF28" s="88"/>
      <c r="AHG28" s="88"/>
      <c r="AHH28" s="88"/>
      <c r="AHI28" s="88"/>
      <c r="AHJ28" s="88"/>
      <c r="AHK28" s="88"/>
      <c r="AHL28" s="88"/>
      <c r="AHM28" s="88"/>
      <c r="AHN28" s="88"/>
      <c r="AHO28" s="88"/>
      <c r="AHP28" s="88"/>
      <c r="AHQ28" s="88"/>
      <c r="AHR28" s="88"/>
      <c r="AHS28" s="88"/>
      <c r="AHT28" s="88"/>
      <c r="AHU28" s="88"/>
      <c r="AHV28" s="88"/>
      <c r="AHW28" s="88"/>
      <c r="AHX28" s="88"/>
      <c r="AHY28" s="88"/>
      <c r="AHZ28" s="88"/>
      <c r="AIA28" s="88"/>
      <c r="AIB28" s="88"/>
      <c r="AIC28" s="88"/>
      <c r="AID28" s="88"/>
      <c r="AIE28" s="88"/>
      <c r="AIF28" s="88"/>
      <c r="AIG28" s="88"/>
      <c r="AIH28" s="88"/>
      <c r="AII28" s="88"/>
      <c r="AIJ28" s="88"/>
      <c r="AIK28" s="88"/>
      <c r="AIL28" s="88"/>
      <c r="AIM28" s="88"/>
      <c r="AIN28" s="88"/>
      <c r="AIO28" s="88"/>
      <c r="AIP28" s="88"/>
      <c r="AIQ28" s="88"/>
      <c r="AIR28" s="88"/>
      <c r="AIS28" s="88"/>
      <c r="AIT28" s="88"/>
      <c r="AIU28" s="88"/>
      <c r="AIV28" s="88"/>
      <c r="AIW28" s="88"/>
      <c r="AIX28" s="88"/>
      <c r="AIY28" s="88"/>
      <c r="AIZ28" s="88"/>
      <c r="AJA28" s="88"/>
      <c r="AJB28" s="88"/>
      <c r="AJC28" s="88"/>
      <c r="AJD28" s="88"/>
      <c r="AJE28" s="88"/>
      <c r="AJF28" s="88"/>
      <c r="AJG28" s="88"/>
      <c r="AJH28" s="88"/>
      <c r="AJI28" s="88"/>
      <c r="AJJ28" s="88"/>
      <c r="AJK28" s="88"/>
      <c r="AJL28" s="88"/>
      <c r="AJM28" s="88"/>
      <c r="AJN28" s="88"/>
      <c r="AJO28" s="88"/>
      <c r="AJP28" s="88"/>
      <c r="AJQ28" s="88"/>
      <c r="AJR28" s="88"/>
      <c r="AJS28" s="88"/>
      <c r="AJT28" s="88"/>
      <c r="AJU28" s="88"/>
      <c r="AJV28" s="88"/>
      <c r="AJW28" s="88"/>
      <c r="AJX28" s="88"/>
      <c r="AJY28" s="88"/>
      <c r="AJZ28" s="88"/>
      <c r="AKA28" s="88"/>
      <c r="AKB28" s="88"/>
      <c r="AKC28" s="88"/>
      <c r="AKD28" s="88"/>
      <c r="AKE28" s="88"/>
      <c r="AKF28" s="88"/>
      <c r="AKG28" s="88"/>
      <c r="AKH28" s="88"/>
      <c r="AKI28" s="88"/>
      <c r="AKJ28" s="88"/>
      <c r="AKK28" s="88"/>
      <c r="AKL28" s="88"/>
      <c r="AKM28" s="88"/>
      <c r="AKN28" s="88"/>
      <c r="AKO28" s="88"/>
      <c r="AKP28" s="88"/>
      <c r="AKQ28" s="88"/>
      <c r="AKR28" s="88"/>
      <c r="AKS28" s="88"/>
      <c r="AKT28" s="88"/>
      <c r="AKU28" s="88"/>
      <c r="AKV28" s="88"/>
      <c r="AKW28" s="88"/>
      <c r="AKX28" s="88"/>
      <c r="AKY28" s="88"/>
      <c r="AKZ28" s="88"/>
      <c r="ALA28" s="88"/>
      <c r="ALB28" s="88"/>
      <c r="ALC28" s="88"/>
      <c r="ALD28" s="88"/>
      <c r="ALE28" s="88"/>
      <c r="ALF28" s="88"/>
      <c r="ALG28" s="88"/>
      <c r="ALH28" s="88"/>
      <c r="ALI28" s="88"/>
      <c r="ALJ28" s="88"/>
      <c r="ALK28" s="88"/>
      <c r="ALL28" s="88"/>
      <c r="ALM28" s="88"/>
      <c r="ALN28" s="88"/>
      <c r="ALO28" s="88"/>
      <c r="ALP28" s="88"/>
      <c r="ALQ28" s="88"/>
      <c r="ALR28" s="88"/>
      <c r="ALS28" s="88"/>
      <c r="ALT28" s="88"/>
      <c r="ALU28" s="88"/>
      <c r="ALV28" s="88"/>
      <c r="ALW28" s="88"/>
      <c r="ALX28" s="88"/>
      <c r="ALY28" s="88"/>
      <c r="ALZ28" s="88"/>
      <c r="AMA28" s="88"/>
      <c r="AMB28" s="88"/>
      <c r="AMC28" s="88"/>
      <c r="AMD28" s="88"/>
      <c r="AME28" s="88"/>
      <c r="AMF28" s="88"/>
      <c r="AMG28" s="88"/>
      <c r="AMH28" s="88"/>
      <c r="AMI28" s="88"/>
      <c r="AMJ28" s="88"/>
      <c r="AMK28" s="88"/>
      <c r="AML28" s="88"/>
      <c r="AMM28" s="88"/>
      <c r="AMN28" s="88"/>
      <c r="AMO28" s="88"/>
      <c r="AMP28" s="88"/>
      <c r="AMQ28" s="88"/>
      <c r="AMR28" s="88"/>
      <c r="AMS28" s="88"/>
      <c r="AMT28" s="88"/>
      <c r="AMU28" s="88"/>
      <c r="AMV28" s="88"/>
      <c r="AMW28" s="88"/>
      <c r="AMX28" s="88"/>
      <c r="AMY28" s="88"/>
      <c r="AMZ28" s="88"/>
      <c r="ANA28" s="88"/>
      <c r="ANB28" s="88"/>
      <c r="ANC28" s="88"/>
      <c r="AND28" s="88"/>
      <c r="ANE28" s="88"/>
      <c r="ANF28" s="88"/>
      <c r="ANG28" s="88"/>
      <c r="ANH28" s="88"/>
      <c r="ANI28" s="88"/>
      <c r="ANJ28" s="88"/>
      <c r="ANK28" s="88"/>
      <c r="ANL28" s="88"/>
      <c r="ANM28" s="88"/>
      <c r="ANN28" s="88"/>
      <c r="ANO28" s="88"/>
      <c r="ANP28" s="88"/>
      <c r="ANQ28" s="88"/>
      <c r="ANR28" s="88"/>
      <c r="ANS28" s="88"/>
      <c r="ANT28" s="88"/>
      <c r="ANU28" s="88"/>
      <c r="ANV28" s="88"/>
      <c r="ANW28" s="88"/>
      <c r="ANX28" s="88"/>
      <c r="ANY28" s="88"/>
      <c r="ANZ28" s="88"/>
      <c r="AOA28" s="88"/>
      <c r="AOB28" s="88"/>
      <c r="AOC28" s="88"/>
      <c r="AOD28" s="88"/>
      <c r="AOE28" s="88"/>
      <c r="AOF28" s="88"/>
      <c r="AOG28" s="88"/>
      <c r="AOH28" s="88"/>
      <c r="AOI28" s="88"/>
      <c r="AOJ28" s="88"/>
      <c r="AOK28" s="88"/>
      <c r="AOL28" s="88"/>
      <c r="AOM28" s="88"/>
      <c r="AON28" s="88"/>
      <c r="AOO28" s="88"/>
      <c r="AOP28" s="88"/>
      <c r="AOQ28" s="88"/>
      <c r="AOR28" s="88"/>
      <c r="AOS28" s="88"/>
      <c r="AOT28" s="88"/>
      <c r="AOU28" s="88"/>
      <c r="AOV28" s="88"/>
      <c r="AOW28" s="88"/>
      <c r="AOX28" s="88"/>
      <c r="AOY28" s="88"/>
      <c r="AOZ28" s="88"/>
      <c r="APA28" s="88"/>
      <c r="APB28" s="88"/>
      <c r="APC28" s="88"/>
      <c r="APD28" s="88"/>
      <c r="APE28" s="88"/>
      <c r="APF28" s="88"/>
      <c r="APG28" s="88"/>
      <c r="APH28" s="88"/>
      <c r="API28" s="88"/>
      <c r="APJ28" s="88"/>
      <c r="APK28" s="88"/>
      <c r="APL28" s="88"/>
      <c r="APM28" s="88"/>
      <c r="APN28" s="88"/>
      <c r="APO28" s="88"/>
      <c r="APP28" s="88"/>
      <c r="APQ28" s="88"/>
      <c r="APR28" s="88"/>
      <c r="APS28" s="88"/>
      <c r="APT28" s="88"/>
      <c r="APU28" s="88"/>
      <c r="APV28" s="88"/>
      <c r="APW28" s="88"/>
      <c r="APX28" s="88"/>
      <c r="APY28" s="88"/>
      <c r="APZ28" s="88"/>
      <c r="AQA28" s="88"/>
      <c r="AQB28" s="88"/>
      <c r="AQC28" s="88"/>
      <c r="AQD28" s="88"/>
      <c r="AQE28" s="88"/>
      <c r="AQF28" s="88"/>
      <c r="AQG28" s="88"/>
      <c r="AQH28" s="88"/>
      <c r="AQI28" s="88"/>
      <c r="AQJ28" s="88"/>
      <c r="AQK28" s="88"/>
      <c r="AQL28" s="88"/>
      <c r="AQM28" s="88"/>
      <c r="AQN28" s="88"/>
      <c r="AQO28" s="88"/>
      <c r="AQP28" s="88"/>
      <c r="AQQ28" s="88"/>
      <c r="AQR28" s="88"/>
      <c r="AQS28" s="88"/>
      <c r="AQT28" s="88"/>
      <c r="AQU28" s="88"/>
      <c r="AQV28" s="88"/>
      <c r="AQW28" s="88"/>
      <c r="AQX28" s="88"/>
      <c r="AQY28" s="88"/>
      <c r="AQZ28" s="88"/>
      <c r="ARA28" s="88"/>
      <c r="ARB28" s="88"/>
      <c r="ARC28" s="88"/>
      <c r="ARD28" s="88"/>
      <c r="ARE28" s="88"/>
      <c r="ARF28" s="88"/>
      <c r="ARG28" s="88"/>
      <c r="ARH28" s="88"/>
      <c r="ARI28" s="88"/>
      <c r="ARJ28" s="88"/>
      <c r="ARK28" s="88"/>
      <c r="ARL28" s="88"/>
      <c r="ARM28" s="88"/>
      <c r="ARN28" s="88"/>
      <c r="ARO28" s="88"/>
      <c r="ARP28" s="88"/>
      <c r="ARQ28" s="88"/>
      <c r="ARR28" s="88"/>
      <c r="ARS28" s="88"/>
      <c r="ART28" s="88"/>
      <c r="ARU28" s="88"/>
      <c r="ARV28" s="88"/>
      <c r="ARW28" s="88"/>
      <c r="ARX28" s="88"/>
      <c r="ARY28" s="88"/>
      <c r="ARZ28" s="88"/>
      <c r="ASA28" s="88"/>
      <c r="ASB28" s="88"/>
      <c r="ASC28" s="88"/>
      <c r="ASD28" s="88"/>
      <c r="ASE28" s="88"/>
      <c r="ASF28" s="88"/>
      <c r="ASG28" s="88"/>
      <c r="ASH28" s="88"/>
      <c r="ASI28" s="88"/>
      <c r="ASJ28" s="88"/>
      <c r="ASK28" s="88"/>
      <c r="ASL28" s="88"/>
      <c r="ASM28" s="88"/>
      <c r="ASN28" s="88"/>
      <c r="ASO28" s="88"/>
      <c r="ASP28" s="88"/>
      <c r="ASQ28" s="88"/>
      <c r="ASR28" s="88"/>
      <c r="ASS28" s="88"/>
      <c r="AST28" s="88"/>
      <c r="ASU28" s="88"/>
      <c r="ASV28" s="88"/>
      <c r="ASW28" s="88"/>
      <c r="ASX28" s="88"/>
      <c r="ASY28" s="88"/>
      <c r="ASZ28" s="88"/>
      <c r="ATA28" s="88"/>
      <c r="ATB28" s="88"/>
      <c r="ATC28" s="88"/>
      <c r="ATD28" s="88"/>
      <c r="ATE28" s="88"/>
      <c r="ATF28" s="88"/>
      <c r="ATG28" s="88"/>
      <c r="ATH28" s="88"/>
      <c r="ATI28" s="88"/>
      <c r="ATJ28" s="88"/>
      <c r="ATK28" s="88"/>
      <c r="ATL28" s="88"/>
      <c r="ATM28" s="88"/>
      <c r="ATN28" s="88"/>
      <c r="ATO28" s="88"/>
      <c r="ATP28" s="88"/>
      <c r="ATQ28" s="88"/>
      <c r="ATR28" s="88"/>
      <c r="ATS28" s="88"/>
      <c r="ATT28" s="88"/>
      <c r="ATU28" s="88"/>
      <c r="ATV28" s="88"/>
      <c r="ATW28" s="88"/>
      <c r="ATX28" s="88"/>
      <c r="ATY28" s="88"/>
      <c r="ATZ28" s="88"/>
      <c r="AUA28" s="88"/>
      <c r="AUB28" s="88"/>
      <c r="AUC28" s="88"/>
      <c r="AUD28" s="88"/>
      <c r="AUE28" s="88"/>
      <c r="AUF28" s="88"/>
      <c r="AUG28" s="88"/>
      <c r="AUH28" s="88"/>
      <c r="AUI28" s="88"/>
      <c r="AUJ28" s="88"/>
      <c r="AUK28" s="88"/>
      <c r="AUL28" s="88"/>
      <c r="AUM28" s="88"/>
      <c r="AUN28" s="88"/>
      <c r="AUO28" s="88"/>
      <c r="AUP28" s="88"/>
      <c r="AUQ28" s="88"/>
      <c r="AUR28" s="88"/>
      <c r="AUS28" s="88"/>
      <c r="AUT28" s="88"/>
      <c r="AUU28" s="88"/>
      <c r="AUV28" s="88"/>
      <c r="AUW28" s="88"/>
      <c r="AUX28" s="88"/>
      <c r="AUY28" s="88"/>
      <c r="AUZ28" s="88"/>
      <c r="AVA28" s="88"/>
      <c r="AVB28" s="88"/>
      <c r="AVC28" s="88"/>
      <c r="AVD28" s="88"/>
      <c r="AVE28" s="88"/>
      <c r="AVF28" s="88"/>
      <c r="AVG28" s="88"/>
      <c r="AVH28" s="88"/>
      <c r="AVI28" s="88"/>
      <c r="AVJ28" s="88"/>
      <c r="AVK28" s="88"/>
      <c r="AVL28" s="88"/>
      <c r="AVM28" s="88"/>
      <c r="AVN28" s="88"/>
      <c r="AVO28" s="88"/>
      <c r="AVP28" s="88"/>
      <c r="AVQ28" s="88"/>
      <c r="AVR28" s="88"/>
      <c r="AVS28" s="88"/>
      <c r="AVT28" s="88"/>
      <c r="AVU28" s="88"/>
      <c r="AVV28" s="88"/>
      <c r="AVW28" s="88"/>
      <c r="AVX28" s="88"/>
      <c r="AVY28" s="88"/>
      <c r="AVZ28" s="88"/>
      <c r="AWA28" s="88"/>
      <c r="AWB28" s="88"/>
      <c r="AWC28" s="88"/>
      <c r="AWD28" s="88"/>
      <c r="AWE28" s="88"/>
      <c r="AWF28" s="88"/>
      <c r="AWG28" s="88"/>
      <c r="AWH28" s="88"/>
      <c r="AWI28" s="88"/>
      <c r="AWJ28" s="88"/>
      <c r="AWK28" s="88"/>
      <c r="AWL28" s="88"/>
      <c r="AWM28" s="88"/>
      <c r="AWN28" s="88"/>
      <c r="AWO28" s="88"/>
      <c r="AWP28" s="88"/>
      <c r="AWQ28" s="88"/>
      <c r="AWR28" s="88"/>
      <c r="AWS28" s="88"/>
      <c r="AWT28" s="88"/>
      <c r="AWU28" s="88"/>
      <c r="AWV28" s="88"/>
      <c r="AWW28" s="88"/>
      <c r="AWX28" s="88"/>
      <c r="AWY28" s="88"/>
      <c r="AWZ28" s="88"/>
      <c r="AXA28" s="88"/>
      <c r="AXB28" s="88"/>
      <c r="AXC28" s="88"/>
      <c r="AXD28" s="88"/>
      <c r="AXE28" s="88"/>
      <c r="AXF28" s="88"/>
      <c r="AXG28" s="88"/>
      <c r="AXH28" s="88"/>
      <c r="AXI28" s="88"/>
      <c r="AXJ28" s="88"/>
      <c r="AXK28" s="88"/>
      <c r="AXL28" s="88"/>
      <c r="AXM28" s="88"/>
      <c r="AXN28" s="88"/>
      <c r="AXO28" s="88"/>
      <c r="AXP28" s="88"/>
      <c r="AXQ28" s="88"/>
      <c r="AXR28" s="88"/>
      <c r="AXS28" s="88"/>
      <c r="AXT28" s="88"/>
      <c r="AXU28" s="88"/>
      <c r="AXV28" s="88"/>
      <c r="AXW28" s="88"/>
      <c r="AXX28" s="88"/>
      <c r="AXY28" s="88"/>
      <c r="AXZ28" s="88"/>
      <c r="AYA28" s="88"/>
      <c r="AYB28" s="88"/>
      <c r="AYC28" s="88"/>
      <c r="AYD28" s="88"/>
      <c r="AYE28" s="88"/>
      <c r="AYF28" s="88"/>
      <c r="AYG28" s="88"/>
      <c r="AYH28" s="88"/>
      <c r="AYI28" s="88"/>
      <c r="AYJ28" s="88"/>
      <c r="AYK28" s="88"/>
      <c r="AYL28" s="88"/>
      <c r="AYM28" s="88"/>
      <c r="AYN28" s="88"/>
      <c r="AYO28" s="88"/>
      <c r="AYP28" s="88"/>
      <c r="AYQ28" s="88"/>
      <c r="AYR28" s="88"/>
      <c r="AYS28" s="88"/>
      <c r="AYT28" s="88"/>
      <c r="AYU28" s="88"/>
      <c r="AYV28" s="88"/>
      <c r="AYW28" s="88"/>
      <c r="AYX28" s="88"/>
      <c r="AYY28" s="88"/>
      <c r="AYZ28" s="88"/>
      <c r="AZA28" s="88"/>
      <c r="AZB28" s="88"/>
      <c r="AZC28" s="88"/>
      <c r="AZD28" s="88"/>
      <c r="AZE28" s="88"/>
      <c r="AZF28" s="88"/>
      <c r="AZG28" s="88"/>
      <c r="AZH28" s="88"/>
      <c r="AZI28" s="88"/>
      <c r="AZJ28" s="88"/>
      <c r="AZK28" s="88"/>
      <c r="AZL28" s="88"/>
      <c r="AZM28" s="88"/>
      <c r="AZN28" s="88"/>
      <c r="AZO28" s="88"/>
      <c r="AZP28" s="88"/>
      <c r="AZQ28" s="88"/>
      <c r="AZR28" s="88"/>
      <c r="AZS28" s="88"/>
      <c r="AZT28" s="88"/>
      <c r="AZU28" s="88"/>
      <c r="AZV28" s="88"/>
      <c r="AZW28" s="88"/>
      <c r="AZX28" s="88"/>
      <c r="AZY28" s="88"/>
      <c r="AZZ28" s="88"/>
      <c r="BAA28" s="88"/>
      <c r="BAB28" s="88"/>
      <c r="BAC28" s="88"/>
      <c r="BAD28" s="88"/>
      <c r="BAE28" s="88"/>
      <c r="BAF28" s="88"/>
      <c r="BAG28" s="88"/>
      <c r="BAH28" s="88"/>
      <c r="BAI28" s="88"/>
      <c r="BAJ28" s="88"/>
      <c r="BAK28" s="88"/>
      <c r="BAL28" s="88"/>
      <c r="BAM28" s="88"/>
      <c r="BAN28" s="88"/>
      <c r="BAO28" s="88"/>
      <c r="BAP28" s="88"/>
      <c r="BAQ28" s="88"/>
      <c r="BAR28" s="88"/>
      <c r="BAS28" s="88"/>
      <c r="BAT28" s="88"/>
      <c r="BAU28" s="88"/>
      <c r="BAV28" s="88"/>
      <c r="BAW28" s="88"/>
      <c r="BAX28" s="88"/>
      <c r="BAY28" s="88"/>
      <c r="BAZ28" s="88"/>
      <c r="BBA28" s="88"/>
      <c r="BBB28" s="88"/>
      <c r="BBC28" s="88"/>
      <c r="BBD28" s="88"/>
      <c r="BBE28" s="88"/>
      <c r="BBF28" s="88"/>
      <c r="BBG28" s="88"/>
      <c r="BBH28" s="88"/>
      <c r="BBI28" s="88"/>
      <c r="BBJ28" s="88"/>
      <c r="BBK28" s="88"/>
      <c r="BBL28" s="88"/>
      <c r="BBM28" s="88"/>
      <c r="BBN28" s="88"/>
      <c r="BBO28" s="88"/>
      <c r="BBP28" s="88"/>
      <c r="BBQ28" s="88"/>
      <c r="BBR28" s="88"/>
      <c r="BBS28" s="88"/>
      <c r="BBT28" s="88"/>
      <c r="BBU28" s="88"/>
      <c r="BBV28" s="88"/>
      <c r="BBW28" s="88"/>
      <c r="BBX28" s="88"/>
      <c r="BBY28" s="88"/>
      <c r="BBZ28" s="88"/>
      <c r="BCA28" s="88"/>
      <c r="BCB28" s="88"/>
      <c r="BCC28" s="88"/>
      <c r="BCD28" s="88"/>
      <c r="BCE28" s="88"/>
      <c r="BCF28" s="88"/>
      <c r="BCG28" s="88"/>
      <c r="BCH28" s="88"/>
      <c r="BCI28" s="88"/>
      <c r="BCJ28" s="88"/>
      <c r="BCK28" s="88"/>
      <c r="BCL28" s="88"/>
      <c r="BCM28" s="88"/>
      <c r="BCN28" s="88"/>
      <c r="BCO28" s="88"/>
      <c r="BCP28" s="88"/>
      <c r="BCQ28" s="88"/>
      <c r="BCR28" s="88"/>
      <c r="BCS28" s="88"/>
      <c r="BCT28" s="88"/>
      <c r="BCU28" s="88"/>
      <c r="BCV28" s="88"/>
      <c r="BCW28" s="88"/>
      <c r="BCX28" s="88"/>
      <c r="BCY28" s="88"/>
      <c r="BCZ28" s="88"/>
      <c r="BDA28" s="88"/>
      <c r="BDB28" s="88"/>
      <c r="BDC28" s="88"/>
      <c r="BDD28" s="88"/>
      <c r="BDE28" s="88"/>
      <c r="BDF28" s="88"/>
      <c r="BDG28" s="88"/>
      <c r="BDH28" s="88"/>
      <c r="BDI28" s="88"/>
      <c r="BDJ28" s="88"/>
      <c r="BDK28" s="88"/>
      <c r="BDL28" s="88"/>
      <c r="BDM28" s="88"/>
      <c r="BDN28" s="88"/>
      <c r="BDO28" s="88"/>
      <c r="BDP28" s="88"/>
      <c r="BDQ28" s="88"/>
      <c r="BDR28" s="88"/>
      <c r="BDS28" s="88"/>
      <c r="BDT28" s="88"/>
      <c r="BDU28" s="88"/>
      <c r="BDV28" s="88"/>
      <c r="BDW28" s="88"/>
      <c r="BDX28" s="88"/>
      <c r="BDY28" s="88"/>
      <c r="BDZ28" s="88"/>
      <c r="BEA28" s="88"/>
      <c r="BEB28" s="88"/>
      <c r="BEC28" s="88"/>
      <c r="BED28" s="88"/>
      <c r="BEE28" s="88"/>
      <c r="BEF28" s="88"/>
      <c r="BEG28" s="88"/>
      <c r="BEH28" s="88"/>
      <c r="BEI28" s="88"/>
      <c r="BEJ28" s="88"/>
      <c r="BEK28" s="88"/>
      <c r="BEL28" s="88"/>
      <c r="BEM28" s="88"/>
      <c r="BEN28" s="88"/>
      <c r="BEO28" s="88"/>
      <c r="BEP28" s="88"/>
      <c r="BEQ28" s="88"/>
      <c r="BER28" s="88"/>
      <c r="BES28" s="88"/>
      <c r="BET28" s="88"/>
      <c r="BEU28" s="88"/>
      <c r="BEV28" s="88"/>
      <c r="BEW28" s="88"/>
      <c r="BEX28" s="88"/>
      <c r="BEY28" s="88"/>
      <c r="BEZ28" s="88"/>
      <c r="BFA28" s="88"/>
      <c r="BFB28" s="88"/>
      <c r="BFC28" s="88"/>
      <c r="BFD28" s="88"/>
      <c r="BFE28" s="88"/>
      <c r="BFF28" s="88"/>
      <c r="BFG28" s="88"/>
      <c r="BFH28" s="88"/>
      <c r="BFI28" s="88"/>
      <c r="BFJ28" s="88"/>
      <c r="BFK28" s="88"/>
      <c r="BFL28" s="88"/>
      <c r="BFM28" s="88"/>
      <c r="BFN28" s="88"/>
      <c r="BFO28" s="88"/>
      <c r="BFP28" s="88"/>
      <c r="BFQ28" s="88"/>
      <c r="BFR28" s="88"/>
      <c r="BFS28" s="88"/>
      <c r="BFT28" s="88"/>
      <c r="BFU28" s="88"/>
      <c r="BFV28" s="88"/>
      <c r="BFW28" s="88"/>
      <c r="BFX28" s="88"/>
      <c r="BFY28" s="88"/>
      <c r="BFZ28" s="88"/>
      <c r="BGA28" s="88"/>
      <c r="BGB28" s="88"/>
      <c r="BGC28" s="88"/>
      <c r="BGD28" s="88"/>
      <c r="BGE28" s="88"/>
      <c r="BGF28" s="88"/>
      <c r="BGG28" s="88"/>
      <c r="BGH28" s="88"/>
      <c r="BGI28" s="88"/>
      <c r="BGJ28" s="88"/>
      <c r="BGK28" s="88"/>
      <c r="BGL28" s="88"/>
      <c r="BGM28" s="88"/>
      <c r="BGN28" s="88"/>
      <c r="BGO28" s="88"/>
      <c r="BGP28" s="88"/>
      <c r="BGQ28" s="88"/>
      <c r="BGR28" s="88"/>
      <c r="BGS28" s="88"/>
      <c r="BGT28" s="88"/>
      <c r="BGU28" s="88"/>
      <c r="BGV28" s="88"/>
      <c r="BGW28" s="88"/>
      <c r="BGX28" s="88"/>
      <c r="BGY28" s="88"/>
      <c r="BGZ28" s="88"/>
      <c r="BHA28" s="88"/>
      <c r="BHB28" s="88"/>
      <c r="BHC28" s="88"/>
      <c r="BHD28" s="88"/>
      <c r="BHE28" s="88"/>
      <c r="BHF28" s="88"/>
      <c r="BHG28" s="88"/>
      <c r="BHH28" s="88"/>
      <c r="BHI28" s="88"/>
      <c r="BHJ28" s="88"/>
      <c r="BHK28" s="88"/>
      <c r="BHL28" s="88"/>
      <c r="BHM28" s="88"/>
      <c r="BHN28" s="88"/>
      <c r="BHO28" s="88"/>
      <c r="BHP28" s="88"/>
      <c r="BHQ28" s="88"/>
      <c r="BHR28" s="88"/>
      <c r="BHS28" s="88"/>
      <c r="BHT28" s="88"/>
      <c r="BHU28" s="88"/>
      <c r="BHV28" s="88"/>
      <c r="BHW28" s="88"/>
      <c r="BHX28" s="88"/>
      <c r="BHY28" s="88"/>
      <c r="BHZ28" s="88"/>
      <c r="BIA28" s="88"/>
      <c r="BIB28" s="88"/>
      <c r="BIC28" s="88"/>
      <c r="BID28" s="88"/>
      <c r="BIE28" s="88"/>
      <c r="BIF28" s="88"/>
      <c r="BIG28" s="88"/>
      <c r="BIH28" s="88"/>
      <c r="BII28" s="88"/>
      <c r="BIJ28" s="88"/>
      <c r="BIK28" s="88"/>
      <c r="BIL28" s="88"/>
      <c r="BIM28" s="88"/>
      <c r="BIN28" s="88"/>
      <c r="BIO28" s="88"/>
      <c r="BIP28" s="88"/>
      <c r="BIQ28" s="88"/>
      <c r="BIR28" s="88"/>
      <c r="BIS28" s="88"/>
      <c r="BIT28" s="88"/>
      <c r="BIU28" s="88"/>
      <c r="BIV28" s="88"/>
      <c r="BIW28" s="88"/>
      <c r="BIX28" s="88"/>
      <c r="BIY28" s="88"/>
      <c r="BIZ28" s="88"/>
      <c r="BJA28" s="88"/>
      <c r="BJB28" s="88"/>
      <c r="BJC28" s="88"/>
      <c r="BJD28" s="88"/>
      <c r="BJE28" s="88"/>
      <c r="BJF28" s="88"/>
      <c r="BJG28" s="88"/>
      <c r="BJH28" s="88"/>
      <c r="BJI28" s="88"/>
      <c r="BJJ28" s="88"/>
      <c r="BJK28" s="88"/>
      <c r="BJL28" s="88"/>
      <c r="BJM28" s="88"/>
      <c r="BJN28" s="88"/>
      <c r="BJO28" s="88"/>
      <c r="BJP28" s="88"/>
      <c r="BJQ28" s="88"/>
      <c r="BJR28" s="88"/>
      <c r="BJS28" s="88"/>
      <c r="BJT28" s="88"/>
      <c r="BJU28" s="88"/>
      <c r="BJV28" s="88"/>
      <c r="BJW28" s="88"/>
      <c r="BJX28" s="88"/>
      <c r="BJY28" s="88"/>
      <c r="BJZ28" s="88"/>
      <c r="BKA28" s="88"/>
      <c r="BKB28" s="88"/>
      <c r="BKC28" s="88"/>
      <c r="BKD28" s="88"/>
      <c r="BKE28" s="88"/>
      <c r="BKF28" s="88"/>
      <c r="BKG28" s="88"/>
      <c r="BKH28" s="88"/>
      <c r="BKI28" s="88"/>
      <c r="BKJ28" s="88"/>
      <c r="BKK28" s="88"/>
      <c r="BKL28" s="88"/>
      <c r="BKM28" s="88"/>
      <c r="BKN28" s="88"/>
      <c r="BKO28" s="88"/>
      <c r="BKP28" s="88"/>
      <c r="BKQ28" s="88"/>
      <c r="BKR28" s="88"/>
      <c r="BKS28" s="88"/>
      <c r="BKT28" s="88"/>
      <c r="BKU28" s="88"/>
      <c r="BKV28" s="88"/>
      <c r="BKW28" s="88"/>
      <c r="BKX28" s="88"/>
      <c r="BKY28" s="88"/>
      <c r="BKZ28" s="88"/>
      <c r="BLA28" s="88"/>
      <c r="BLB28" s="88"/>
      <c r="BLC28" s="88"/>
      <c r="BLD28" s="88"/>
      <c r="BLE28" s="88"/>
      <c r="BLF28" s="88"/>
      <c r="BLG28" s="88"/>
      <c r="BLH28" s="88"/>
      <c r="BLI28" s="88"/>
      <c r="BLJ28" s="88"/>
      <c r="BLK28" s="88"/>
      <c r="BLL28" s="88"/>
      <c r="BLM28" s="88"/>
      <c r="BLN28" s="88"/>
      <c r="BLO28" s="88"/>
      <c r="BLP28" s="88"/>
      <c r="BLQ28" s="88"/>
      <c r="BLR28" s="88"/>
      <c r="BLS28" s="88"/>
      <c r="BLT28" s="88"/>
      <c r="BLU28" s="88"/>
      <c r="BLV28" s="88"/>
      <c r="BLW28" s="88"/>
      <c r="BLX28" s="88"/>
      <c r="BLY28" s="88"/>
      <c r="BLZ28" s="88"/>
      <c r="BMA28" s="88"/>
      <c r="BMB28" s="88"/>
      <c r="BMC28" s="88"/>
      <c r="BMD28" s="88"/>
      <c r="BME28" s="88"/>
      <c r="BMF28" s="88"/>
      <c r="BMG28" s="88"/>
      <c r="BMH28" s="88"/>
      <c r="BMI28" s="88"/>
      <c r="BMJ28" s="88"/>
      <c r="BMK28" s="88"/>
      <c r="BML28" s="88"/>
      <c r="BMM28" s="88"/>
      <c r="BMN28" s="88"/>
      <c r="BMO28" s="88"/>
      <c r="BMP28" s="88"/>
      <c r="BMQ28" s="88"/>
      <c r="BMR28" s="88"/>
      <c r="BMS28" s="88"/>
      <c r="BMT28" s="88"/>
      <c r="BMU28" s="88"/>
      <c r="BMV28" s="88"/>
      <c r="BMW28" s="88"/>
      <c r="BMX28" s="88"/>
      <c r="BMY28" s="88"/>
      <c r="BMZ28" s="88"/>
      <c r="BNA28" s="88"/>
      <c r="BNB28" s="88"/>
      <c r="BNC28" s="88"/>
      <c r="BND28" s="88"/>
      <c r="BNE28" s="88"/>
      <c r="BNF28" s="88"/>
      <c r="BNG28" s="88"/>
      <c r="BNH28" s="88"/>
      <c r="BNI28" s="88"/>
      <c r="BNJ28" s="88"/>
      <c r="BNK28" s="88"/>
      <c r="BNL28" s="88"/>
      <c r="BNM28" s="88"/>
      <c r="BNN28" s="88"/>
      <c r="BNO28" s="88"/>
      <c r="BNP28" s="88"/>
      <c r="BNQ28" s="88"/>
      <c r="BNR28" s="88"/>
      <c r="BNS28" s="88"/>
      <c r="BNT28" s="88"/>
      <c r="BNU28" s="88"/>
      <c r="BNV28" s="88"/>
      <c r="BNW28" s="88"/>
      <c r="BNX28" s="88"/>
      <c r="BNY28" s="88"/>
      <c r="BNZ28" s="88"/>
      <c r="BOA28" s="88"/>
      <c r="BOB28" s="88"/>
      <c r="BOC28" s="88"/>
      <c r="BOD28" s="88"/>
      <c r="BOE28" s="88"/>
      <c r="BOF28" s="88"/>
      <c r="BOG28" s="88"/>
      <c r="BOH28" s="88"/>
      <c r="BOI28" s="88"/>
      <c r="BOJ28" s="88"/>
      <c r="BOK28" s="88"/>
      <c r="BOL28" s="88"/>
      <c r="BOM28" s="88"/>
      <c r="BON28" s="88"/>
      <c r="BOO28" s="88"/>
      <c r="BOP28" s="88"/>
      <c r="BOQ28" s="88"/>
      <c r="BOR28" s="88"/>
      <c r="BOS28" s="88"/>
      <c r="BOT28" s="88"/>
      <c r="BOU28" s="88"/>
      <c r="BOV28" s="88"/>
      <c r="BOW28" s="88"/>
      <c r="BOX28" s="88"/>
      <c r="BOY28" s="88"/>
      <c r="BOZ28" s="88"/>
      <c r="BPA28" s="88"/>
      <c r="BPB28" s="88"/>
      <c r="BPC28" s="88"/>
      <c r="BPD28" s="88"/>
      <c r="BPE28" s="88"/>
      <c r="BPF28" s="88"/>
      <c r="BPG28" s="88"/>
      <c r="BPH28" s="88"/>
      <c r="BPI28" s="88"/>
      <c r="BPJ28" s="88"/>
      <c r="BPK28" s="88"/>
      <c r="BPL28" s="88"/>
      <c r="BPM28" s="88"/>
      <c r="BPN28" s="88"/>
      <c r="BPO28" s="88"/>
      <c r="BPP28" s="88"/>
      <c r="BPQ28" s="88"/>
      <c r="BPR28" s="88"/>
      <c r="BPS28" s="88"/>
      <c r="BPT28" s="88"/>
      <c r="BPU28" s="88"/>
      <c r="BPV28" s="88"/>
      <c r="BPW28" s="88"/>
      <c r="BPX28" s="88"/>
      <c r="BPY28" s="88"/>
      <c r="BPZ28" s="88"/>
      <c r="BQA28" s="88"/>
      <c r="BQB28" s="88"/>
      <c r="BQC28" s="88"/>
      <c r="BQD28" s="88"/>
      <c r="BQE28" s="88"/>
      <c r="BQF28" s="88"/>
      <c r="BQG28" s="88"/>
      <c r="BQH28" s="88"/>
      <c r="BQI28" s="88"/>
      <c r="BQJ28" s="88"/>
      <c r="BQK28" s="88"/>
      <c r="BQL28" s="88"/>
      <c r="BQM28" s="88"/>
      <c r="BQN28" s="88"/>
      <c r="BQO28" s="88"/>
      <c r="BQP28" s="88"/>
      <c r="BQQ28" s="88"/>
      <c r="BQR28" s="88"/>
      <c r="BQS28" s="88"/>
      <c r="BQT28" s="88"/>
      <c r="BQU28" s="88"/>
      <c r="BQV28" s="88"/>
      <c r="BQW28" s="88"/>
      <c r="BQX28" s="88"/>
      <c r="BQY28" s="88"/>
      <c r="BQZ28" s="88"/>
      <c r="BRA28" s="88"/>
      <c r="BRB28" s="88"/>
      <c r="BRC28" s="88"/>
      <c r="BRD28" s="88"/>
      <c r="BRE28" s="88"/>
      <c r="BRF28" s="88"/>
      <c r="BRG28" s="88"/>
      <c r="BRH28" s="88"/>
      <c r="BRI28" s="88"/>
      <c r="BRJ28" s="88"/>
      <c r="BRK28" s="88"/>
      <c r="BRL28" s="88"/>
      <c r="BRM28" s="88"/>
      <c r="BRN28" s="88"/>
      <c r="BRO28" s="88"/>
      <c r="BRP28" s="88"/>
      <c r="BRQ28" s="88"/>
      <c r="BRR28" s="88"/>
      <c r="BRS28" s="88"/>
      <c r="BRT28" s="88"/>
      <c r="BRU28" s="88"/>
      <c r="BRV28" s="88"/>
      <c r="BRW28" s="88"/>
      <c r="BRX28" s="88"/>
      <c r="BRY28" s="88"/>
      <c r="BRZ28" s="88"/>
      <c r="BSA28" s="88"/>
      <c r="BSB28" s="88"/>
      <c r="BSC28" s="88"/>
      <c r="BSD28" s="88"/>
      <c r="BSE28" s="88"/>
      <c r="BSF28" s="88"/>
      <c r="BSG28" s="88"/>
      <c r="BSH28" s="88"/>
      <c r="BSI28" s="88"/>
      <c r="BSJ28" s="88"/>
      <c r="BSK28" s="88"/>
      <c r="BSL28" s="88"/>
      <c r="BSM28" s="88"/>
      <c r="BSN28" s="88"/>
      <c r="BSO28" s="88"/>
      <c r="BSP28" s="88"/>
      <c r="BSQ28" s="88"/>
      <c r="BSR28" s="88"/>
      <c r="BSS28" s="88"/>
      <c r="BST28" s="88"/>
      <c r="BSU28" s="88"/>
      <c r="BSV28" s="88"/>
      <c r="BSW28" s="88"/>
      <c r="BSX28" s="88"/>
      <c r="BSY28" s="88"/>
      <c r="BSZ28" s="88"/>
      <c r="BTA28" s="88"/>
      <c r="BTB28" s="88"/>
      <c r="BTC28" s="88"/>
      <c r="BTD28" s="88"/>
      <c r="BTE28" s="88"/>
      <c r="BTF28" s="88"/>
      <c r="BTG28" s="88"/>
      <c r="BTH28" s="88"/>
      <c r="BTI28" s="88"/>
      <c r="BTJ28" s="88"/>
      <c r="BTK28" s="88"/>
      <c r="BTL28" s="88"/>
      <c r="BTM28" s="88"/>
      <c r="BTN28" s="88"/>
      <c r="BTO28" s="88"/>
      <c r="BTP28" s="88"/>
      <c r="BTQ28" s="88"/>
      <c r="BTR28" s="88"/>
      <c r="BTS28" s="88"/>
      <c r="BTT28" s="88"/>
      <c r="BTU28" s="88"/>
      <c r="BTV28" s="88"/>
      <c r="BTW28" s="88"/>
      <c r="BTX28" s="88"/>
      <c r="BTY28" s="88"/>
      <c r="BTZ28" s="88"/>
      <c r="BUA28" s="88"/>
      <c r="BUB28" s="88"/>
      <c r="BUC28" s="88"/>
      <c r="BUD28" s="88"/>
      <c r="BUE28" s="88"/>
      <c r="BUF28" s="88"/>
      <c r="BUG28" s="88"/>
      <c r="BUH28" s="88"/>
      <c r="BUI28" s="88"/>
      <c r="BUJ28" s="88"/>
      <c r="BUK28" s="88"/>
      <c r="BUL28" s="88"/>
      <c r="BUM28" s="88"/>
      <c r="BUN28" s="88"/>
      <c r="BUO28" s="88"/>
      <c r="BUP28" s="88"/>
      <c r="BUQ28" s="88"/>
      <c r="BUR28" s="88"/>
      <c r="BUS28" s="88"/>
      <c r="BUT28" s="88"/>
      <c r="BUU28" s="88"/>
      <c r="BUV28" s="88"/>
      <c r="BUW28" s="88"/>
      <c r="BUX28" s="88"/>
      <c r="BUY28" s="88"/>
      <c r="BUZ28" s="88"/>
      <c r="BVA28" s="88"/>
      <c r="BVB28" s="88"/>
      <c r="BVC28" s="88"/>
      <c r="BVD28" s="88"/>
      <c r="BVE28" s="88"/>
      <c r="BVF28" s="88"/>
      <c r="BVG28" s="88"/>
      <c r="BVH28" s="88"/>
      <c r="BVI28" s="88"/>
      <c r="BVJ28" s="88"/>
      <c r="BVK28" s="88"/>
      <c r="BVL28" s="88"/>
      <c r="BVM28" s="88"/>
      <c r="BVN28" s="88"/>
      <c r="BVO28" s="88"/>
      <c r="BVP28" s="88"/>
      <c r="BVQ28" s="88"/>
      <c r="BVR28" s="88"/>
      <c r="BVS28" s="88"/>
      <c r="BVT28" s="88"/>
      <c r="BVU28" s="88"/>
      <c r="BVV28" s="88"/>
      <c r="BVW28" s="88"/>
      <c r="BVX28" s="88"/>
      <c r="BVY28" s="88"/>
      <c r="BVZ28" s="88"/>
      <c r="BWA28" s="88"/>
      <c r="BWB28" s="88"/>
      <c r="BWC28" s="88"/>
      <c r="BWD28" s="88"/>
      <c r="BWE28" s="88"/>
      <c r="BWF28" s="88"/>
      <c r="BWG28" s="88"/>
      <c r="BWH28" s="88"/>
      <c r="BWI28" s="88"/>
      <c r="BWJ28" s="88"/>
      <c r="BWK28" s="88"/>
      <c r="BWL28" s="88"/>
      <c r="BWM28" s="88"/>
      <c r="BWN28" s="88"/>
      <c r="BWO28" s="88"/>
      <c r="BWP28" s="88"/>
      <c r="BWQ28" s="88"/>
      <c r="BWR28" s="88"/>
      <c r="BWS28" s="88"/>
      <c r="BWT28" s="88"/>
      <c r="BWU28" s="88"/>
      <c r="BWV28" s="88"/>
      <c r="BWW28" s="88"/>
      <c r="BWX28" s="88"/>
      <c r="BWY28" s="88"/>
      <c r="BWZ28" s="88"/>
      <c r="BXA28" s="88"/>
      <c r="BXB28" s="88"/>
      <c r="BXC28" s="88"/>
      <c r="BXD28" s="88"/>
      <c r="BXE28" s="88"/>
      <c r="BXF28" s="88"/>
      <c r="BXG28" s="88"/>
      <c r="BXH28" s="88"/>
      <c r="BXI28" s="88"/>
      <c r="BXJ28" s="88"/>
      <c r="BXK28" s="88"/>
      <c r="BXL28" s="88"/>
      <c r="BXM28" s="88"/>
      <c r="BXN28" s="88"/>
      <c r="BXO28" s="88"/>
      <c r="BXP28" s="88"/>
      <c r="BXQ28" s="88"/>
      <c r="BXR28" s="88"/>
      <c r="BXS28" s="88"/>
      <c r="BXT28" s="88"/>
      <c r="BXU28" s="88"/>
      <c r="BXV28" s="88"/>
      <c r="BXW28" s="88"/>
      <c r="BXX28" s="88"/>
      <c r="BXY28" s="88"/>
      <c r="BXZ28" s="88"/>
      <c r="BYA28" s="88"/>
      <c r="BYB28" s="88"/>
      <c r="BYC28" s="88"/>
      <c r="BYD28" s="88"/>
      <c r="BYE28" s="88"/>
      <c r="BYF28" s="88"/>
      <c r="BYG28" s="88"/>
      <c r="BYH28" s="88"/>
      <c r="BYI28" s="88"/>
      <c r="BYJ28" s="88"/>
      <c r="BYK28" s="88"/>
      <c r="BYL28" s="88"/>
      <c r="BYM28" s="88"/>
      <c r="BYN28" s="88"/>
      <c r="BYO28" s="88"/>
      <c r="BYP28" s="88"/>
      <c r="BYQ28" s="88"/>
      <c r="BYR28" s="88"/>
      <c r="BYS28" s="88"/>
      <c r="BYT28" s="88"/>
      <c r="BYU28" s="88"/>
      <c r="BYV28" s="88"/>
      <c r="BYW28" s="88"/>
      <c r="BYX28" s="88"/>
      <c r="BYY28" s="88"/>
      <c r="BYZ28" s="88"/>
      <c r="BZA28" s="88"/>
      <c r="BZB28" s="88"/>
      <c r="BZC28" s="88"/>
      <c r="BZD28" s="88"/>
      <c r="BZE28" s="88"/>
      <c r="BZF28" s="88"/>
      <c r="BZG28" s="88"/>
      <c r="BZH28" s="88"/>
      <c r="BZI28" s="88"/>
      <c r="BZJ28" s="88"/>
      <c r="BZK28" s="88"/>
      <c r="BZL28" s="88"/>
      <c r="BZM28" s="88"/>
      <c r="BZN28" s="88"/>
      <c r="BZO28" s="88"/>
      <c r="BZP28" s="88"/>
      <c r="BZQ28" s="88"/>
      <c r="BZR28" s="88"/>
      <c r="BZS28" s="88"/>
      <c r="BZT28" s="88"/>
      <c r="BZU28" s="88"/>
      <c r="BZV28" s="88"/>
      <c r="BZW28" s="88"/>
      <c r="BZX28" s="88"/>
      <c r="BZY28" s="88"/>
      <c r="BZZ28" s="88"/>
      <c r="CAA28" s="88"/>
      <c r="CAB28" s="88"/>
      <c r="CAC28" s="88"/>
      <c r="CAD28" s="88"/>
      <c r="CAE28" s="88"/>
      <c r="CAF28" s="88"/>
      <c r="CAG28" s="88"/>
      <c r="CAH28" s="88"/>
      <c r="CAI28" s="88"/>
      <c r="CAJ28" s="88"/>
      <c r="CAK28" s="88"/>
      <c r="CAL28" s="88"/>
      <c r="CAM28" s="88"/>
      <c r="CAN28" s="88"/>
      <c r="CAO28" s="88"/>
      <c r="CAP28" s="88"/>
      <c r="CAQ28" s="88"/>
      <c r="CAR28" s="88"/>
      <c r="CAS28" s="88"/>
      <c r="CAT28" s="88"/>
      <c r="CAU28" s="88"/>
      <c r="CAV28" s="88"/>
      <c r="CAW28" s="88"/>
      <c r="CAX28" s="88"/>
      <c r="CAY28" s="88"/>
      <c r="CAZ28" s="88"/>
      <c r="CBA28" s="88"/>
      <c r="CBB28" s="88"/>
      <c r="CBC28" s="88"/>
      <c r="CBD28" s="88"/>
      <c r="CBE28" s="88"/>
      <c r="CBF28" s="88"/>
      <c r="CBG28" s="88"/>
      <c r="CBH28" s="88"/>
      <c r="CBI28" s="88"/>
      <c r="CBJ28" s="88"/>
      <c r="CBK28" s="88"/>
      <c r="CBL28" s="88"/>
      <c r="CBM28" s="88"/>
      <c r="CBN28" s="88"/>
      <c r="CBO28" s="88"/>
      <c r="CBP28" s="88"/>
      <c r="CBQ28" s="88"/>
      <c r="CBR28" s="88"/>
      <c r="CBS28" s="88"/>
      <c r="CBT28" s="88"/>
      <c r="CBU28" s="88"/>
      <c r="CBV28" s="88"/>
      <c r="CBW28" s="88"/>
      <c r="CBX28" s="88"/>
      <c r="CBY28" s="88"/>
      <c r="CBZ28" s="88"/>
      <c r="CCA28" s="88"/>
      <c r="CCB28" s="88"/>
      <c r="CCC28" s="88"/>
      <c r="CCD28" s="88"/>
      <c r="CCE28" s="88"/>
      <c r="CCF28" s="88"/>
      <c r="CCG28" s="88"/>
      <c r="CCH28" s="88"/>
      <c r="CCI28" s="88"/>
      <c r="CCJ28" s="88"/>
      <c r="CCK28" s="88"/>
      <c r="CCL28" s="88"/>
      <c r="CCM28" s="88"/>
      <c r="CCN28" s="88"/>
      <c r="CCO28" s="88"/>
      <c r="CCP28" s="88"/>
      <c r="CCQ28" s="88"/>
      <c r="CCR28" s="88"/>
      <c r="CCS28" s="88"/>
      <c r="CCT28" s="88"/>
      <c r="CCU28" s="88"/>
      <c r="CCV28" s="88"/>
      <c r="CCW28" s="88"/>
      <c r="CCX28" s="88"/>
      <c r="CCY28" s="88"/>
      <c r="CCZ28" s="88"/>
      <c r="CDA28" s="88"/>
      <c r="CDB28" s="88"/>
      <c r="CDC28" s="88"/>
      <c r="CDD28" s="88"/>
      <c r="CDE28" s="88"/>
      <c r="CDF28" s="88"/>
      <c r="CDG28" s="88"/>
      <c r="CDH28" s="88"/>
      <c r="CDI28" s="88"/>
      <c r="CDJ28" s="88"/>
      <c r="CDK28" s="88"/>
      <c r="CDL28" s="88"/>
      <c r="CDM28" s="88"/>
      <c r="CDN28" s="88"/>
      <c r="CDO28" s="88"/>
      <c r="CDP28" s="88"/>
      <c r="CDQ28" s="88"/>
      <c r="CDR28" s="88"/>
      <c r="CDS28" s="88"/>
      <c r="CDT28" s="88"/>
      <c r="CDU28" s="88"/>
      <c r="CDV28" s="88"/>
      <c r="CDW28" s="88"/>
      <c r="CDX28" s="88"/>
      <c r="CDY28" s="88"/>
      <c r="CDZ28" s="88"/>
      <c r="CEA28" s="88"/>
      <c r="CEB28" s="88"/>
      <c r="CEC28" s="88"/>
      <c r="CED28" s="88"/>
      <c r="CEE28" s="88"/>
      <c r="CEF28" s="88"/>
      <c r="CEG28" s="88"/>
      <c r="CEH28" s="88"/>
      <c r="CEI28" s="88"/>
      <c r="CEJ28" s="88"/>
      <c r="CEK28" s="88"/>
    </row>
    <row r="29" spans="1:2169" s="51" customFormat="1">
      <c r="A29" s="72" t="s">
        <v>2857</v>
      </c>
      <c r="B29" s="72" t="s">
        <v>2858</v>
      </c>
      <c r="C29" s="69" t="str">
        <f>IF('page 2'!$O$4="","",IF('page 2'!$O$4=Gestion!A29,1,0))</f>
        <v/>
      </c>
      <c r="D29" s="69" t="str">
        <f>IF('page 2'!$O$5="","",IF('page 2'!$O$5=Gestion!A29,1,0))</f>
        <v/>
      </c>
      <c r="E29" s="69"/>
      <c r="F29" s="69" t="str">
        <f>IF('page 2'!$O$7="","",IF('page 2'!$O$7=Gestion!A29,1,0))</f>
        <v/>
      </c>
      <c r="G29" s="69" t="str">
        <f>IF('page 2'!$O$8="","",IF('page 2'!$O$8=Gestion!A29,1,0))</f>
        <v/>
      </c>
      <c r="H29" s="69" t="str">
        <f>IF('page 2'!$O$9="","",IF('page 2'!$O$9=Gestion!A29,1,0))</f>
        <v/>
      </c>
      <c r="I29" s="69" t="str">
        <f>IF('page 2'!$O$10="","",IF('page 2'!$O$10=Gestion!A29,1,0))</f>
        <v/>
      </c>
      <c r="J29" s="69" t="str">
        <f>IF('page 2'!$O$11="","",IF('page 2'!$O$11=Gestion!A29,1,0))</f>
        <v/>
      </c>
      <c r="K29" s="69" t="str">
        <f>IF('page 2'!$O$12="","",IF('page 2'!$O$12=Gestion!A29,1,0))</f>
        <v/>
      </c>
      <c r="L29" s="69" t="str">
        <f>IF('page 2'!$O$13="","",IF('page 2'!$O$13=Gestion!A29,1,0))</f>
        <v/>
      </c>
      <c r="M29" s="69" t="str">
        <f>IF('page 2'!$O$14="","",IF('page 2'!$O$14=Gestion!A29,1,0))</f>
        <v/>
      </c>
      <c r="N29" s="69" t="str">
        <f>IF('page 2'!$O$15="","",IF('page 2'!$O$15=Gestion!A29,1,0))</f>
        <v/>
      </c>
      <c r="O29" s="69" t="str">
        <f>IF('page 2'!$O$16="","",IF('page 2'!$O$16=Gestion!A29,1,0))</f>
        <v/>
      </c>
      <c r="P29" s="69" t="str">
        <f>IF('page 2'!$O$17="","",IF('page 2'!$O$17=Gestion!A29,1,0))</f>
        <v/>
      </c>
      <c r="Q29" s="69" t="str">
        <f>IF('page 2'!$O$18="","",IF('page 2'!$O$18=Gestion!A29,1,0))</f>
        <v/>
      </c>
      <c r="R29" s="69" t="str">
        <f>IF('page 2'!$O$19="","",IF('page 2'!$O$19=Gestion!A29,1,0))</f>
        <v/>
      </c>
      <c r="S29" s="69" t="str">
        <f>IF('page 2'!$O$20="","",IF('page 2'!$O$20=Gestion!A29,1,0))</f>
        <v/>
      </c>
      <c r="T29" s="69" t="str">
        <f>IF('page 2'!$O$25="","",IF('page 2'!$O$25=Gestion!A29,1,0))</f>
        <v/>
      </c>
      <c r="U29" s="69" t="str">
        <f>IF('page 2'!$O$26="","",IF('page 2'!$O$26=Gestion!A29,1,0))</f>
        <v/>
      </c>
      <c r="V29" s="69" t="str">
        <f>IF('page 2'!$O$27="","",IF('page 2'!$O$27=Gestion!A29,1,0))</f>
        <v/>
      </c>
      <c r="W29" s="723">
        <f t="shared" si="0"/>
        <v>0</v>
      </c>
      <c r="Y29" s="69"/>
      <c r="Z29" s="69"/>
      <c r="AA29" s="69"/>
      <c r="AB29" s="542"/>
      <c r="AC29" s="542"/>
      <c r="AD29" s="542"/>
      <c r="AE29" s="88"/>
      <c r="AP29" s="130"/>
      <c r="AQ29" s="130"/>
      <c r="AR29" s="130"/>
      <c r="AS29" s="576"/>
      <c r="AT29" s="576"/>
      <c r="AU29" s="576"/>
      <c r="AV29" s="576"/>
      <c r="AW29" s="602"/>
      <c r="AX29" s="602"/>
      <c r="AY29" s="576"/>
      <c r="AZ29" s="576"/>
      <c r="BA29" s="576"/>
      <c r="BB29" s="576"/>
      <c r="BC29" s="576"/>
      <c r="BD29" s="469"/>
      <c r="BE29" s="602"/>
      <c r="BF29" s="602"/>
      <c r="BG29" s="602"/>
      <c r="BH29" s="602"/>
      <c r="BI29" s="602"/>
      <c r="BJ29" s="602"/>
      <c r="BK29" s="602"/>
      <c r="BL29" s="602"/>
      <c r="BM29" s="602"/>
      <c r="BN29" s="602"/>
      <c r="BO29" s="602"/>
      <c r="BP29" s="602"/>
      <c r="BQ29" s="602"/>
      <c r="BR29" s="602"/>
      <c r="BS29" s="576"/>
      <c r="BT29" s="576"/>
      <c r="BU29" s="576"/>
      <c r="BV29" s="576"/>
      <c r="BW29" s="602"/>
      <c r="BX29" s="602"/>
      <c r="BY29" s="602"/>
      <c r="BZ29" s="576"/>
      <c r="CA29" s="602"/>
      <c r="CB29" s="602"/>
      <c r="CC29" s="576"/>
      <c r="CD29" s="469"/>
      <c r="CE29" s="602"/>
      <c r="CF29" s="576"/>
      <c r="CG29" s="576"/>
      <c r="CH29" s="576"/>
      <c r="CI29" s="576"/>
      <c r="CJ29" s="576"/>
      <c r="CK29" s="602"/>
      <c r="CL29" s="602"/>
      <c r="CM29" s="576"/>
      <c r="CN29" s="602"/>
      <c r="CO29" s="602"/>
      <c r="CP29" s="602"/>
      <c r="CQ29" s="576"/>
      <c r="CR29" s="576"/>
      <c r="CS29" s="602"/>
      <c r="CT29" s="99"/>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c r="JU29" s="88"/>
      <c r="JV29" s="88"/>
      <c r="JW29" s="88"/>
      <c r="JX29" s="88"/>
      <c r="JY29" s="88"/>
      <c r="JZ29" s="88"/>
      <c r="KA29" s="88"/>
      <c r="KB29" s="88"/>
      <c r="KC29" s="88"/>
      <c r="KD29" s="88"/>
      <c r="KE29" s="88"/>
      <c r="KF29" s="88"/>
      <c r="KG29" s="88"/>
      <c r="KH29" s="88"/>
      <c r="KI29" s="88"/>
      <c r="KJ29" s="88"/>
      <c r="KK29" s="88"/>
      <c r="KL29" s="88"/>
      <c r="KM29" s="88"/>
      <c r="KN29" s="88"/>
      <c r="KO29" s="88"/>
      <c r="KP29" s="88"/>
      <c r="KQ29" s="88"/>
      <c r="KR29" s="88"/>
      <c r="KS29" s="88"/>
      <c r="KT29" s="88"/>
      <c r="KU29" s="88"/>
      <c r="KV29" s="88"/>
      <c r="KW29" s="88"/>
      <c r="KX29" s="88"/>
      <c r="KY29" s="88"/>
      <c r="KZ29" s="88"/>
      <c r="LA29" s="88"/>
      <c r="LB29" s="88"/>
      <c r="LC29" s="88"/>
      <c r="LD29" s="88"/>
      <c r="LE29" s="88"/>
      <c r="LF29" s="88"/>
      <c r="LG29" s="88"/>
      <c r="LH29" s="88"/>
      <c r="LI29" s="88"/>
      <c r="LJ29" s="88"/>
      <c r="LK29" s="88"/>
      <c r="LL29" s="88"/>
      <c r="LM29" s="88"/>
      <c r="LN29" s="88"/>
      <c r="LO29" s="88"/>
      <c r="LP29" s="88"/>
      <c r="LQ29" s="88"/>
      <c r="LR29" s="88"/>
      <c r="LS29" s="88"/>
      <c r="LT29" s="88"/>
      <c r="LU29" s="88"/>
      <c r="LV29" s="88"/>
      <c r="LW29" s="88"/>
      <c r="LX29" s="88"/>
      <c r="LY29" s="88"/>
      <c r="LZ29" s="88"/>
      <c r="MA29" s="88"/>
      <c r="MB29" s="88"/>
      <c r="MC29" s="88"/>
      <c r="MD29" s="88"/>
      <c r="ME29" s="88"/>
      <c r="MF29" s="88"/>
      <c r="MG29" s="88"/>
      <c r="MH29" s="88"/>
      <c r="MI29" s="88"/>
      <c r="MJ29" s="88"/>
      <c r="MK29" s="88"/>
      <c r="ML29" s="88"/>
      <c r="MM29" s="88"/>
      <c r="MN29" s="88"/>
      <c r="MO29" s="88"/>
      <c r="MP29" s="88"/>
      <c r="MQ29" s="88"/>
      <c r="MR29" s="88"/>
      <c r="MS29" s="88"/>
      <c r="MT29" s="88"/>
      <c r="MU29" s="88"/>
      <c r="MV29" s="88"/>
      <c r="MW29" s="88"/>
      <c r="MX29" s="88"/>
      <c r="MY29" s="88"/>
      <c r="MZ29" s="88"/>
      <c r="NA29" s="88"/>
      <c r="NB29" s="88"/>
      <c r="NC29" s="88"/>
      <c r="ND29" s="88"/>
      <c r="NE29" s="88"/>
      <c r="NF29" s="88"/>
      <c r="NG29" s="88"/>
      <c r="NH29" s="88"/>
      <c r="NI29" s="88"/>
      <c r="NJ29" s="88"/>
      <c r="NK29" s="88"/>
      <c r="NL29" s="88"/>
      <c r="NM29" s="88"/>
      <c r="NN29" s="88"/>
      <c r="NO29" s="88"/>
      <c r="NP29" s="88"/>
      <c r="NQ29" s="88"/>
      <c r="NR29" s="88"/>
      <c r="NS29" s="88"/>
      <c r="NT29" s="88"/>
      <c r="NU29" s="88"/>
      <c r="NV29" s="88"/>
      <c r="NW29" s="88"/>
      <c r="NX29" s="88"/>
      <c r="NY29" s="88"/>
      <c r="NZ29" s="88"/>
      <c r="OA29" s="88"/>
      <c r="OB29" s="88"/>
      <c r="OC29" s="88"/>
      <c r="OD29" s="88"/>
      <c r="OE29" s="88"/>
      <c r="OF29" s="88"/>
      <c r="OG29" s="88"/>
      <c r="OH29" s="88"/>
      <c r="OI29" s="88"/>
      <c r="OJ29" s="88"/>
      <c r="OK29" s="88"/>
      <c r="OL29" s="88"/>
      <c r="OM29" s="88"/>
      <c r="ON29" s="88"/>
      <c r="OO29" s="88"/>
      <c r="OP29" s="88"/>
      <c r="OQ29" s="88"/>
      <c r="OR29" s="88"/>
      <c r="OS29" s="88"/>
      <c r="OT29" s="88"/>
      <c r="OU29" s="88"/>
      <c r="OV29" s="88"/>
      <c r="OW29" s="88"/>
      <c r="OX29" s="88"/>
      <c r="OY29" s="88"/>
      <c r="OZ29" s="88"/>
      <c r="PA29" s="88"/>
      <c r="PB29" s="88"/>
      <c r="PC29" s="88"/>
      <c r="PD29" s="88"/>
      <c r="PE29" s="88"/>
      <c r="PF29" s="88"/>
      <c r="PG29" s="88"/>
      <c r="PH29" s="88"/>
      <c r="PI29" s="88"/>
      <c r="PJ29" s="88"/>
      <c r="PK29" s="88"/>
      <c r="PL29" s="88"/>
      <c r="PM29" s="88"/>
      <c r="PN29" s="88"/>
      <c r="PO29" s="88"/>
      <c r="PP29" s="88"/>
      <c r="PQ29" s="88"/>
      <c r="PR29" s="88"/>
      <c r="PS29" s="88"/>
      <c r="PT29" s="88"/>
      <c r="PU29" s="88"/>
      <c r="PV29" s="88"/>
      <c r="PW29" s="88"/>
      <c r="PX29" s="88"/>
      <c r="PY29" s="88"/>
      <c r="PZ29" s="88"/>
      <c r="QA29" s="88"/>
      <c r="QB29" s="88"/>
      <c r="QC29" s="88"/>
      <c r="QD29" s="88"/>
      <c r="QE29" s="88"/>
      <c r="QF29" s="88"/>
      <c r="QG29" s="88"/>
      <c r="QH29" s="88"/>
      <c r="QI29" s="88"/>
      <c r="QJ29" s="88"/>
      <c r="QK29" s="88"/>
      <c r="QL29" s="88"/>
      <c r="QM29" s="88"/>
      <c r="QN29" s="88"/>
      <c r="QO29" s="88"/>
      <c r="QP29" s="88"/>
      <c r="QQ29" s="88"/>
      <c r="QR29" s="88"/>
      <c r="QS29" s="88"/>
      <c r="QT29" s="88"/>
      <c r="QU29" s="88"/>
      <c r="QV29" s="88"/>
      <c r="QW29" s="88"/>
      <c r="QX29" s="88"/>
      <c r="QY29" s="88"/>
      <c r="QZ29" s="88"/>
      <c r="RA29" s="88"/>
      <c r="RB29" s="88"/>
      <c r="RC29" s="88"/>
      <c r="RD29" s="88"/>
      <c r="RE29" s="88"/>
      <c r="RF29" s="88"/>
      <c r="RG29" s="88"/>
      <c r="RH29" s="88"/>
      <c r="RI29" s="88"/>
      <c r="RJ29" s="88"/>
      <c r="RK29" s="88"/>
      <c r="RL29" s="88"/>
      <c r="RM29" s="88"/>
      <c r="RN29" s="88"/>
      <c r="RO29" s="88"/>
      <c r="RP29" s="88"/>
      <c r="RQ29" s="88"/>
      <c r="RR29" s="88"/>
      <c r="RS29" s="88"/>
      <c r="RT29" s="88"/>
      <c r="RU29" s="88"/>
      <c r="RV29" s="88"/>
      <c r="RW29" s="88"/>
      <c r="RX29" s="88"/>
      <c r="RY29" s="88"/>
      <c r="RZ29" s="88"/>
      <c r="SA29" s="88"/>
      <c r="SB29" s="88"/>
      <c r="SC29" s="88"/>
      <c r="SD29" s="88"/>
      <c r="SE29" s="88"/>
      <c r="SF29" s="88"/>
      <c r="SG29" s="88"/>
      <c r="SH29" s="88"/>
      <c r="SI29" s="88"/>
      <c r="SJ29" s="88"/>
      <c r="SK29" s="88"/>
      <c r="SL29" s="88"/>
      <c r="SM29" s="88"/>
      <c r="SN29" s="88"/>
      <c r="SO29" s="88"/>
      <c r="SP29" s="88"/>
      <c r="SQ29" s="88"/>
      <c r="SR29" s="88"/>
      <c r="SS29" s="88"/>
      <c r="ST29" s="88"/>
      <c r="SU29" s="88"/>
      <c r="SV29" s="88"/>
      <c r="SW29" s="88"/>
      <c r="SX29" s="88"/>
      <c r="SY29" s="88"/>
      <c r="SZ29" s="88"/>
      <c r="TA29" s="88"/>
      <c r="TB29" s="88"/>
      <c r="TC29" s="88"/>
      <c r="TD29" s="88"/>
      <c r="TE29" s="88"/>
      <c r="TF29" s="88"/>
      <c r="TG29" s="88"/>
      <c r="TH29" s="88"/>
      <c r="TI29" s="88"/>
      <c r="TJ29" s="88"/>
      <c r="TK29" s="88"/>
      <c r="TL29" s="88"/>
      <c r="TM29" s="88"/>
      <c r="TN29" s="88"/>
      <c r="TO29" s="88"/>
      <c r="TP29" s="88"/>
      <c r="TQ29" s="88"/>
      <c r="TR29" s="88"/>
      <c r="TS29" s="88"/>
      <c r="TT29" s="88"/>
      <c r="TU29" s="88"/>
      <c r="TV29" s="88"/>
      <c r="TW29" s="88"/>
      <c r="TX29" s="88"/>
      <c r="TY29" s="88"/>
      <c r="TZ29" s="88"/>
      <c r="UA29" s="88"/>
      <c r="UB29" s="88"/>
      <c r="UC29" s="88"/>
      <c r="UD29" s="88"/>
      <c r="UE29" s="88"/>
      <c r="UF29" s="88"/>
      <c r="UG29" s="88"/>
      <c r="UH29" s="88"/>
      <c r="UI29" s="88"/>
      <c r="UJ29" s="88"/>
      <c r="UK29" s="88"/>
      <c r="UL29" s="88"/>
      <c r="UM29" s="88"/>
      <c r="UN29" s="88"/>
      <c r="UO29" s="88"/>
      <c r="UP29" s="88"/>
      <c r="UQ29" s="88"/>
      <c r="UR29" s="88"/>
      <c r="US29" s="88"/>
      <c r="UT29" s="88"/>
      <c r="UU29" s="88"/>
      <c r="UV29" s="88"/>
      <c r="UW29" s="88"/>
      <c r="UX29" s="88"/>
      <c r="UY29" s="88"/>
      <c r="UZ29" s="88"/>
      <c r="VA29" s="88"/>
      <c r="VB29" s="88"/>
      <c r="VC29" s="88"/>
      <c r="VD29" s="88"/>
      <c r="VE29" s="88"/>
      <c r="VF29" s="88"/>
      <c r="VG29" s="88"/>
      <c r="VH29" s="88"/>
      <c r="VI29" s="88"/>
      <c r="VJ29" s="88"/>
      <c r="VK29" s="88"/>
      <c r="VL29" s="88"/>
      <c r="VM29" s="88"/>
      <c r="VN29" s="88"/>
      <c r="VO29" s="88"/>
      <c r="VP29" s="88"/>
      <c r="VQ29" s="88"/>
      <c r="VR29" s="88"/>
      <c r="VS29" s="88"/>
      <c r="VT29" s="88"/>
      <c r="VU29" s="88"/>
      <c r="VV29" s="88"/>
      <c r="VW29" s="88"/>
      <c r="VX29" s="88"/>
      <c r="VY29" s="88"/>
      <c r="VZ29" s="88"/>
      <c r="WA29" s="88"/>
      <c r="WB29" s="88"/>
      <c r="WC29" s="88"/>
      <c r="WD29" s="88"/>
      <c r="WE29" s="88"/>
      <c r="WF29" s="88"/>
      <c r="WG29" s="88"/>
      <c r="WH29" s="88"/>
      <c r="WI29" s="88"/>
      <c r="WJ29" s="88"/>
      <c r="WK29" s="88"/>
      <c r="WL29" s="88"/>
      <c r="WM29" s="88"/>
      <c r="WN29" s="88"/>
      <c r="WO29" s="88"/>
      <c r="WP29" s="88"/>
      <c r="WQ29" s="88"/>
      <c r="WR29" s="88"/>
      <c r="WS29" s="88"/>
      <c r="WT29" s="88"/>
      <c r="WU29" s="88"/>
      <c r="WV29" s="88"/>
      <c r="WW29" s="88"/>
      <c r="WX29" s="88"/>
      <c r="WY29" s="88"/>
      <c r="WZ29" s="88"/>
      <c r="XA29" s="88"/>
      <c r="XB29" s="88"/>
      <c r="XC29" s="88"/>
      <c r="XD29" s="88"/>
      <c r="XE29" s="88"/>
      <c r="XF29" s="88"/>
      <c r="XG29" s="88"/>
      <c r="XH29" s="88"/>
      <c r="XI29" s="88"/>
      <c r="XJ29" s="88"/>
      <c r="XK29" s="88"/>
      <c r="XL29" s="88"/>
      <c r="XM29" s="88"/>
      <c r="XN29" s="88"/>
      <c r="XO29" s="88"/>
      <c r="XP29" s="88"/>
      <c r="XQ29" s="88"/>
      <c r="XR29" s="88"/>
      <c r="XS29" s="88"/>
      <c r="XT29" s="88"/>
      <c r="XU29" s="88"/>
      <c r="XV29" s="88"/>
      <c r="XW29" s="88"/>
      <c r="XX29" s="88"/>
      <c r="XY29" s="88"/>
      <c r="XZ29" s="88"/>
      <c r="YA29" s="88"/>
      <c r="YB29" s="88"/>
      <c r="YC29" s="88"/>
      <c r="YD29" s="88"/>
      <c r="YE29" s="88"/>
      <c r="YF29" s="88"/>
      <c r="YG29" s="88"/>
      <c r="YH29" s="88"/>
      <c r="YI29" s="88"/>
      <c r="YJ29" s="88"/>
      <c r="YK29" s="88"/>
      <c r="YL29" s="88"/>
      <c r="YM29" s="88"/>
      <c r="YN29" s="88"/>
      <c r="YO29" s="88"/>
      <c r="YP29" s="88"/>
      <c r="YQ29" s="88"/>
      <c r="YR29" s="88"/>
      <c r="YS29" s="88"/>
      <c r="YT29" s="88"/>
      <c r="YU29" s="88"/>
      <c r="YV29" s="88"/>
      <c r="YW29" s="88"/>
      <c r="YX29" s="88"/>
      <c r="YY29" s="88"/>
      <c r="YZ29" s="88"/>
      <c r="ZA29" s="88"/>
      <c r="ZB29" s="88"/>
      <c r="ZC29" s="88"/>
      <c r="ZD29" s="88"/>
      <c r="ZE29" s="88"/>
      <c r="ZF29" s="88"/>
      <c r="ZG29" s="88"/>
      <c r="ZH29" s="88"/>
      <c r="ZI29" s="88"/>
      <c r="ZJ29" s="88"/>
      <c r="ZK29" s="88"/>
      <c r="ZL29" s="88"/>
      <c r="ZM29" s="88"/>
      <c r="ZN29" s="88"/>
      <c r="ZO29" s="88"/>
      <c r="ZP29" s="88"/>
      <c r="ZQ29" s="88"/>
      <c r="ZR29" s="88"/>
      <c r="ZS29" s="88"/>
      <c r="ZT29" s="88"/>
      <c r="ZU29" s="88"/>
      <c r="ZV29" s="88"/>
      <c r="ZW29" s="88"/>
      <c r="ZX29" s="88"/>
      <c r="ZY29" s="88"/>
      <c r="ZZ29" s="88"/>
      <c r="AAA29" s="88"/>
      <c r="AAB29" s="88"/>
      <c r="AAC29" s="88"/>
      <c r="AAD29" s="88"/>
      <c r="AAE29" s="88"/>
      <c r="AAF29" s="88"/>
      <c r="AAG29" s="88"/>
      <c r="AAH29" s="88"/>
      <c r="AAI29" s="88"/>
      <c r="AAJ29" s="88"/>
      <c r="AAK29" s="88"/>
      <c r="AAL29" s="88"/>
      <c r="AAM29" s="88"/>
      <c r="AAN29" s="88"/>
      <c r="AAO29" s="88"/>
      <c r="AAP29" s="88"/>
      <c r="AAQ29" s="88"/>
      <c r="AAR29" s="88"/>
      <c r="AAS29" s="88"/>
      <c r="AAT29" s="88"/>
      <c r="AAU29" s="88"/>
      <c r="AAV29" s="88"/>
      <c r="AAW29" s="88"/>
      <c r="AAX29" s="88"/>
      <c r="AAY29" s="88"/>
      <c r="AAZ29" s="88"/>
      <c r="ABA29" s="88"/>
      <c r="ABB29" s="88"/>
      <c r="ABC29" s="88"/>
      <c r="ABD29" s="88"/>
      <c r="ABE29" s="88"/>
      <c r="ABF29" s="88"/>
      <c r="ABG29" s="88"/>
      <c r="ABH29" s="88"/>
      <c r="ABI29" s="88"/>
      <c r="ABJ29" s="88"/>
      <c r="ABK29" s="88"/>
      <c r="ABL29" s="88"/>
      <c r="ABM29" s="88"/>
      <c r="ABN29" s="88"/>
      <c r="ABO29" s="88"/>
      <c r="ABP29" s="88"/>
      <c r="ABQ29" s="88"/>
      <c r="ABR29" s="88"/>
      <c r="ABS29" s="88"/>
      <c r="ABT29" s="88"/>
      <c r="ABU29" s="88"/>
      <c r="ABV29" s="88"/>
      <c r="ABW29" s="88"/>
      <c r="ABX29" s="88"/>
      <c r="ABY29" s="88"/>
      <c r="ABZ29" s="88"/>
      <c r="ACA29" s="88"/>
      <c r="ACB29" s="88"/>
      <c r="ACC29" s="88"/>
      <c r="ACD29" s="88"/>
      <c r="ACE29" s="88"/>
      <c r="ACF29" s="88"/>
      <c r="ACG29" s="88"/>
      <c r="ACH29" s="88"/>
      <c r="ACI29" s="88"/>
      <c r="ACJ29" s="88"/>
      <c r="ACK29" s="88"/>
      <c r="ACL29" s="88"/>
      <c r="ACM29" s="88"/>
      <c r="ACN29" s="88"/>
      <c r="ACO29" s="88"/>
      <c r="ACP29" s="88"/>
      <c r="ACQ29" s="88"/>
      <c r="ACR29" s="88"/>
      <c r="ACS29" s="88"/>
      <c r="ACT29" s="88"/>
      <c r="ACU29" s="88"/>
      <c r="ACV29" s="88"/>
      <c r="ACW29" s="88"/>
      <c r="ACX29" s="88"/>
      <c r="ACY29" s="88"/>
      <c r="ACZ29" s="88"/>
      <c r="ADA29" s="88"/>
      <c r="ADB29" s="88"/>
      <c r="ADC29" s="88"/>
      <c r="ADD29" s="88"/>
      <c r="ADE29" s="88"/>
      <c r="ADF29" s="88"/>
      <c r="ADG29" s="88"/>
      <c r="ADH29" s="88"/>
      <c r="ADI29" s="88"/>
      <c r="ADJ29" s="88"/>
      <c r="ADK29" s="88"/>
      <c r="ADL29" s="88"/>
      <c r="ADM29" s="88"/>
      <c r="ADN29" s="88"/>
      <c r="ADO29" s="88"/>
      <c r="ADP29" s="88"/>
      <c r="ADQ29" s="88"/>
      <c r="ADR29" s="88"/>
      <c r="ADS29" s="88"/>
      <c r="ADT29" s="88"/>
      <c r="ADU29" s="88"/>
      <c r="ADV29" s="88"/>
      <c r="ADW29" s="88"/>
      <c r="ADX29" s="88"/>
      <c r="ADY29" s="88"/>
      <c r="ADZ29" s="88"/>
      <c r="AEA29" s="88"/>
      <c r="AEB29" s="88"/>
      <c r="AEC29" s="88"/>
      <c r="AED29" s="88"/>
      <c r="AEE29" s="88"/>
      <c r="AEF29" s="88"/>
      <c r="AEG29" s="88"/>
      <c r="AEH29" s="88"/>
      <c r="AEI29" s="88"/>
      <c r="AEJ29" s="88"/>
      <c r="AEK29" s="88"/>
      <c r="AEL29" s="88"/>
      <c r="AEM29" s="88"/>
      <c r="AEN29" s="88"/>
      <c r="AEO29" s="88"/>
      <c r="AEP29" s="88"/>
      <c r="AEQ29" s="88"/>
      <c r="AER29" s="88"/>
      <c r="AES29" s="88"/>
      <c r="AET29" s="88"/>
      <c r="AEU29" s="88"/>
      <c r="AEV29" s="88"/>
      <c r="AEW29" s="88"/>
      <c r="AEX29" s="88"/>
      <c r="AEY29" s="88"/>
      <c r="AEZ29" s="88"/>
      <c r="AFA29" s="88"/>
      <c r="AFB29" s="88"/>
      <c r="AFC29" s="88"/>
      <c r="AFD29" s="88"/>
      <c r="AFE29" s="88"/>
      <c r="AFF29" s="88"/>
      <c r="AFG29" s="88"/>
      <c r="AFH29" s="88"/>
      <c r="AFI29" s="88"/>
      <c r="AFJ29" s="88"/>
      <c r="AFK29" s="88"/>
      <c r="AFL29" s="88"/>
      <c r="AFM29" s="88"/>
      <c r="AFN29" s="88"/>
      <c r="AFO29" s="88"/>
      <c r="AFP29" s="88"/>
      <c r="AFQ29" s="88"/>
      <c r="AFR29" s="88"/>
      <c r="AFS29" s="88"/>
      <c r="AFT29" s="88"/>
      <c r="AFU29" s="88"/>
      <c r="AFV29" s="88"/>
      <c r="AFW29" s="88"/>
      <c r="AFX29" s="88"/>
      <c r="AFY29" s="88"/>
      <c r="AFZ29" s="88"/>
      <c r="AGA29" s="88"/>
      <c r="AGB29" s="88"/>
      <c r="AGC29" s="88"/>
      <c r="AGD29" s="88"/>
      <c r="AGE29" s="88"/>
      <c r="AGF29" s="88"/>
      <c r="AGG29" s="88"/>
      <c r="AGH29" s="88"/>
      <c r="AGI29" s="88"/>
      <c r="AGJ29" s="88"/>
      <c r="AGK29" s="88"/>
      <c r="AGL29" s="88"/>
      <c r="AGM29" s="88"/>
      <c r="AGN29" s="88"/>
      <c r="AGO29" s="88"/>
      <c r="AGP29" s="88"/>
      <c r="AGQ29" s="88"/>
      <c r="AGR29" s="88"/>
      <c r="AGS29" s="88"/>
      <c r="AGT29" s="88"/>
      <c r="AGU29" s="88"/>
      <c r="AGV29" s="88"/>
      <c r="AGW29" s="88"/>
      <c r="AGX29" s="88"/>
      <c r="AGY29" s="88"/>
      <c r="AGZ29" s="88"/>
      <c r="AHA29" s="88"/>
      <c r="AHB29" s="88"/>
      <c r="AHC29" s="88"/>
      <c r="AHD29" s="88"/>
      <c r="AHE29" s="88"/>
      <c r="AHF29" s="88"/>
      <c r="AHG29" s="88"/>
      <c r="AHH29" s="88"/>
      <c r="AHI29" s="88"/>
      <c r="AHJ29" s="88"/>
      <c r="AHK29" s="88"/>
      <c r="AHL29" s="88"/>
      <c r="AHM29" s="88"/>
      <c r="AHN29" s="88"/>
      <c r="AHO29" s="88"/>
      <c r="AHP29" s="88"/>
      <c r="AHQ29" s="88"/>
      <c r="AHR29" s="88"/>
      <c r="AHS29" s="88"/>
      <c r="AHT29" s="88"/>
      <c r="AHU29" s="88"/>
      <c r="AHV29" s="88"/>
      <c r="AHW29" s="88"/>
      <c r="AHX29" s="88"/>
      <c r="AHY29" s="88"/>
      <c r="AHZ29" s="88"/>
      <c r="AIA29" s="88"/>
      <c r="AIB29" s="88"/>
      <c r="AIC29" s="88"/>
      <c r="AID29" s="88"/>
      <c r="AIE29" s="88"/>
      <c r="AIF29" s="88"/>
      <c r="AIG29" s="88"/>
      <c r="AIH29" s="88"/>
      <c r="AII29" s="88"/>
      <c r="AIJ29" s="88"/>
      <c r="AIK29" s="88"/>
      <c r="AIL29" s="88"/>
      <c r="AIM29" s="88"/>
      <c r="AIN29" s="88"/>
      <c r="AIO29" s="88"/>
      <c r="AIP29" s="88"/>
      <c r="AIQ29" s="88"/>
      <c r="AIR29" s="88"/>
      <c r="AIS29" s="88"/>
      <c r="AIT29" s="88"/>
      <c r="AIU29" s="88"/>
      <c r="AIV29" s="88"/>
      <c r="AIW29" s="88"/>
      <c r="AIX29" s="88"/>
      <c r="AIY29" s="88"/>
      <c r="AIZ29" s="88"/>
      <c r="AJA29" s="88"/>
      <c r="AJB29" s="88"/>
      <c r="AJC29" s="88"/>
      <c r="AJD29" s="88"/>
      <c r="AJE29" s="88"/>
      <c r="AJF29" s="88"/>
      <c r="AJG29" s="88"/>
      <c r="AJH29" s="88"/>
      <c r="AJI29" s="88"/>
      <c r="AJJ29" s="88"/>
      <c r="AJK29" s="88"/>
      <c r="AJL29" s="88"/>
      <c r="AJM29" s="88"/>
      <c r="AJN29" s="88"/>
      <c r="AJO29" s="88"/>
      <c r="AJP29" s="88"/>
      <c r="AJQ29" s="88"/>
      <c r="AJR29" s="88"/>
      <c r="AJS29" s="88"/>
      <c r="AJT29" s="88"/>
      <c r="AJU29" s="88"/>
      <c r="AJV29" s="88"/>
      <c r="AJW29" s="88"/>
      <c r="AJX29" s="88"/>
      <c r="AJY29" s="88"/>
      <c r="AJZ29" s="88"/>
      <c r="AKA29" s="88"/>
      <c r="AKB29" s="88"/>
      <c r="AKC29" s="88"/>
      <c r="AKD29" s="88"/>
      <c r="AKE29" s="88"/>
      <c r="AKF29" s="88"/>
      <c r="AKG29" s="88"/>
      <c r="AKH29" s="88"/>
      <c r="AKI29" s="88"/>
      <c r="AKJ29" s="88"/>
      <c r="AKK29" s="88"/>
      <c r="AKL29" s="88"/>
      <c r="AKM29" s="88"/>
      <c r="AKN29" s="88"/>
      <c r="AKO29" s="88"/>
      <c r="AKP29" s="88"/>
      <c r="AKQ29" s="88"/>
      <c r="AKR29" s="88"/>
      <c r="AKS29" s="88"/>
      <c r="AKT29" s="88"/>
      <c r="AKU29" s="88"/>
      <c r="AKV29" s="88"/>
      <c r="AKW29" s="88"/>
      <c r="AKX29" s="88"/>
      <c r="AKY29" s="88"/>
      <c r="AKZ29" s="88"/>
      <c r="ALA29" s="88"/>
      <c r="ALB29" s="88"/>
      <c r="ALC29" s="88"/>
      <c r="ALD29" s="88"/>
      <c r="ALE29" s="88"/>
      <c r="ALF29" s="88"/>
      <c r="ALG29" s="88"/>
      <c r="ALH29" s="88"/>
      <c r="ALI29" s="88"/>
      <c r="ALJ29" s="88"/>
      <c r="ALK29" s="88"/>
      <c r="ALL29" s="88"/>
      <c r="ALM29" s="88"/>
      <c r="ALN29" s="88"/>
      <c r="ALO29" s="88"/>
      <c r="ALP29" s="88"/>
      <c r="ALQ29" s="88"/>
      <c r="ALR29" s="88"/>
      <c r="ALS29" s="88"/>
      <c r="ALT29" s="88"/>
      <c r="ALU29" s="88"/>
      <c r="ALV29" s="88"/>
      <c r="ALW29" s="88"/>
      <c r="ALX29" s="88"/>
      <c r="ALY29" s="88"/>
      <c r="ALZ29" s="88"/>
      <c r="AMA29" s="88"/>
      <c r="AMB29" s="88"/>
      <c r="AMC29" s="88"/>
      <c r="AMD29" s="88"/>
      <c r="AME29" s="88"/>
      <c r="AMF29" s="88"/>
      <c r="AMG29" s="88"/>
      <c r="AMH29" s="88"/>
      <c r="AMI29" s="88"/>
      <c r="AMJ29" s="88"/>
      <c r="AMK29" s="88"/>
      <c r="AML29" s="88"/>
      <c r="AMM29" s="88"/>
      <c r="AMN29" s="88"/>
      <c r="AMO29" s="88"/>
      <c r="AMP29" s="88"/>
      <c r="AMQ29" s="88"/>
      <c r="AMR29" s="88"/>
      <c r="AMS29" s="88"/>
      <c r="AMT29" s="88"/>
      <c r="AMU29" s="88"/>
      <c r="AMV29" s="88"/>
      <c r="AMW29" s="88"/>
      <c r="AMX29" s="88"/>
      <c r="AMY29" s="88"/>
      <c r="AMZ29" s="88"/>
      <c r="ANA29" s="88"/>
      <c r="ANB29" s="88"/>
      <c r="ANC29" s="88"/>
      <c r="AND29" s="88"/>
      <c r="ANE29" s="88"/>
      <c r="ANF29" s="88"/>
      <c r="ANG29" s="88"/>
      <c r="ANH29" s="88"/>
      <c r="ANI29" s="88"/>
      <c r="ANJ29" s="88"/>
      <c r="ANK29" s="88"/>
      <c r="ANL29" s="88"/>
      <c r="ANM29" s="88"/>
      <c r="ANN29" s="88"/>
      <c r="ANO29" s="88"/>
      <c r="ANP29" s="88"/>
      <c r="ANQ29" s="88"/>
      <c r="ANR29" s="88"/>
      <c r="ANS29" s="88"/>
      <c r="ANT29" s="88"/>
      <c r="ANU29" s="88"/>
      <c r="ANV29" s="88"/>
      <c r="ANW29" s="88"/>
      <c r="ANX29" s="88"/>
      <c r="ANY29" s="88"/>
      <c r="ANZ29" s="88"/>
      <c r="AOA29" s="88"/>
      <c r="AOB29" s="88"/>
      <c r="AOC29" s="88"/>
      <c r="AOD29" s="88"/>
      <c r="AOE29" s="88"/>
      <c r="AOF29" s="88"/>
      <c r="AOG29" s="88"/>
      <c r="AOH29" s="88"/>
      <c r="AOI29" s="88"/>
      <c r="AOJ29" s="88"/>
      <c r="AOK29" s="88"/>
      <c r="AOL29" s="88"/>
      <c r="AOM29" s="88"/>
      <c r="AON29" s="88"/>
      <c r="AOO29" s="88"/>
      <c r="AOP29" s="88"/>
      <c r="AOQ29" s="88"/>
      <c r="AOR29" s="88"/>
      <c r="AOS29" s="88"/>
      <c r="AOT29" s="88"/>
      <c r="AOU29" s="88"/>
      <c r="AOV29" s="88"/>
      <c r="AOW29" s="88"/>
      <c r="AOX29" s="88"/>
      <c r="AOY29" s="88"/>
      <c r="AOZ29" s="88"/>
      <c r="APA29" s="88"/>
      <c r="APB29" s="88"/>
      <c r="APC29" s="88"/>
      <c r="APD29" s="88"/>
      <c r="APE29" s="88"/>
      <c r="APF29" s="88"/>
      <c r="APG29" s="88"/>
      <c r="APH29" s="88"/>
      <c r="API29" s="88"/>
      <c r="APJ29" s="88"/>
      <c r="APK29" s="88"/>
      <c r="APL29" s="88"/>
      <c r="APM29" s="88"/>
      <c r="APN29" s="88"/>
      <c r="APO29" s="88"/>
      <c r="APP29" s="88"/>
      <c r="APQ29" s="88"/>
      <c r="APR29" s="88"/>
      <c r="APS29" s="88"/>
      <c r="APT29" s="88"/>
      <c r="APU29" s="88"/>
      <c r="APV29" s="88"/>
      <c r="APW29" s="88"/>
      <c r="APX29" s="88"/>
      <c r="APY29" s="88"/>
      <c r="APZ29" s="88"/>
      <c r="AQA29" s="88"/>
      <c r="AQB29" s="88"/>
      <c r="AQC29" s="88"/>
      <c r="AQD29" s="88"/>
      <c r="AQE29" s="88"/>
      <c r="AQF29" s="88"/>
      <c r="AQG29" s="88"/>
      <c r="AQH29" s="88"/>
      <c r="AQI29" s="88"/>
      <c r="AQJ29" s="88"/>
      <c r="AQK29" s="88"/>
      <c r="AQL29" s="88"/>
      <c r="AQM29" s="88"/>
      <c r="AQN29" s="88"/>
      <c r="AQO29" s="88"/>
      <c r="AQP29" s="88"/>
      <c r="AQQ29" s="88"/>
      <c r="AQR29" s="88"/>
      <c r="AQS29" s="88"/>
      <c r="AQT29" s="88"/>
      <c r="AQU29" s="88"/>
      <c r="AQV29" s="88"/>
      <c r="AQW29" s="88"/>
      <c r="AQX29" s="88"/>
      <c r="AQY29" s="88"/>
      <c r="AQZ29" s="88"/>
      <c r="ARA29" s="88"/>
      <c r="ARB29" s="88"/>
      <c r="ARC29" s="88"/>
      <c r="ARD29" s="88"/>
      <c r="ARE29" s="88"/>
      <c r="ARF29" s="88"/>
      <c r="ARG29" s="88"/>
      <c r="ARH29" s="88"/>
      <c r="ARI29" s="88"/>
      <c r="ARJ29" s="88"/>
      <c r="ARK29" s="88"/>
      <c r="ARL29" s="88"/>
      <c r="ARM29" s="88"/>
      <c r="ARN29" s="88"/>
      <c r="ARO29" s="88"/>
      <c r="ARP29" s="88"/>
      <c r="ARQ29" s="88"/>
      <c r="ARR29" s="88"/>
      <c r="ARS29" s="88"/>
      <c r="ART29" s="88"/>
      <c r="ARU29" s="88"/>
      <c r="ARV29" s="88"/>
      <c r="ARW29" s="88"/>
      <c r="ARX29" s="88"/>
      <c r="ARY29" s="88"/>
      <c r="ARZ29" s="88"/>
      <c r="ASA29" s="88"/>
      <c r="ASB29" s="88"/>
      <c r="ASC29" s="88"/>
      <c r="ASD29" s="88"/>
      <c r="ASE29" s="88"/>
      <c r="ASF29" s="88"/>
      <c r="ASG29" s="88"/>
      <c r="ASH29" s="88"/>
      <c r="ASI29" s="88"/>
      <c r="ASJ29" s="88"/>
      <c r="ASK29" s="88"/>
      <c r="ASL29" s="88"/>
      <c r="ASM29" s="88"/>
      <c r="ASN29" s="88"/>
      <c r="ASO29" s="88"/>
      <c r="ASP29" s="88"/>
      <c r="ASQ29" s="88"/>
      <c r="ASR29" s="88"/>
      <c r="ASS29" s="88"/>
      <c r="AST29" s="88"/>
      <c r="ASU29" s="88"/>
      <c r="ASV29" s="88"/>
      <c r="ASW29" s="88"/>
      <c r="ASX29" s="88"/>
      <c r="ASY29" s="88"/>
      <c r="ASZ29" s="88"/>
      <c r="ATA29" s="88"/>
      <c r="ATB29" s="88"/>
      <c r="ATC29" s="88"/>
      <c r="ATD29" s="88"/>
      <c r="ATE29" s="88"/>
      <c r="ATF29" s="88"/>
      <c r="ATG29" s="88"/>
      <c r="ATH29" s="88"/>
      <c r="ATI29" s="88"/>
      <c r="ATJ29" s="88"/>
      <c r="ATK29" s="88"/>
      <c r="ATL29" s="88"/>
      <c r="ATM29" s="88"/>
      <c r="ATN29" s="88"/>
      <c r="ATO29" s="88"/>
      <c r="ATP29" s="88"/>
      <c r="ATQ29" s="88"/>
      <c r="ATR29" s="88"/>
      <c r="ATS29" s="88"/>
      <c r="ATT29" s="88"/>
      <c r="ATU29" s="88"/>
      <c r="ATV29" s="88"/>
      <c r="ATW29" s="88"/>
      <c r="ATX29" s="88"/>
      <c r="ATY29" s="88"/>
      <c r="ATZ29" s="88"/>
      <c r="AUA29" s="88"/>
      <c r="AUB29" s="88"/>
      <c r="AUC29" s="88"/>
      <c r="AUD29" s="88"/>
      <c r="AUE29" s="88"/>
      <c r="AUF29" s="88"/>
      <c r="AUG29" s="88"/>
      <c r="AUH29" s="88"/>
      <c r="AUI29" s="88"/>
      <c r="AUJ29" s="88"/>
      <c r="AUK29" s="88"/>
      <c r="AUL29" s="88"/>
      <c r="AUM29" s="88"/>
      <c r="AUN29" s="88"/>
      <c r="AUO29" s="88"/>
      <c r="AUP29" s="88"/>
      <c r="AUQ29" s="88"/>
      <c r="AUR29" s="88"/>
      <c r="AUS29" s="88"/>
      <c r="AUT29" s="88"/>
      <c r="AUU29" s="88"/>
      <c r="AUV29" s="88"/>
      <c r="AUW29" s="88"/>
      <c r="AUX29" s="88"/>
      <c r="AUY29" s="88"/>
      <c r="AUZ29" s="88"/>
      <c r="AVA29" s="88"/>
      <c r="AVB29" s="88"/>
      <c r="AVC29" s="88"/>
      <c r="AVD29" s="88"/>
      <c r="AVE29" s="88"/>
      <c r="AVF29" s="88"/>
      <c r="AVG29" s="88"/>
      <c r="AVH29" s="88"/>
      <c r="AVI29" s="88"/>
      <c r="AVJ29" s="88"/>
      <c r="AVK29" s="88"/>
      <c r="AVL29" s="88"/>
      <c r="AVM29" s="88"/>
      <c r="AVN29" s="88"/>
      <c r="AVO29" s="88"/>
      <c r="AVP29" s="88"/>
      <c r="AVQ29" s="88"/>
      <c r="AVR29" s="88"/>
      <c r="AVS29" s="88"/>
      <c r="AVT29" s="88"/>
      <c r="AVU29" s="88"/>
      <c r="AVV29" s="88"/>
      <c r="AVW29" s="88"/>
      <c r="AVX29" s="88"/>
      <c r="AVY29" s="88"/>
      <c r="AVZ29" s="88"/>
      <c r="AWA29" s="88"/>
      <c r="AWB29" s="88"/>
      <c r="AWC29" s="88"/>
      <c r="AWD29" s="88"/>
      <c r="AWE29" s="88"/>
      <c r="AWF29" s="88"/>
      <c r="AWG29" s="88"/>
      <c r="AWH29" s="88"/>
      <c r="AWI29" s="88"/>
      <c r="AWJ29" s="88"/>
      <c r="AWK29" s="88"/>
      <c r="AWL29" s="88"/>
      <c r="AWM29" s="88"/>
      <c r="AWN29" s="88"/>
      <c r="AWO29" s="88"/>
      <c r="AWP29" s="88"/>
      <c r="AWQ29" s="88"/>
      <c r="AWR29" s="88"/>
      <c r="AWS29" s="88"/>
      <c r="AWT29" s="88"/>
      <c r="AWU29" s="88"/>
      <c r="AWV29" s="88"/>
      <c r="AWW29" s="88"/>
      <c r="AWX29" s="88"/>
      <c r="AWY29" s="88"/>
      <c r="AWZ29" s="88"/>
      <c r="AXA29" s="88"/>
      <c r="AXB29" s="88"/>
      <c r="AXC29" s="88"/>
      <c r="AXD29" s="88"/>
      <c r="AXE29" s="88"/>
      <c r="AXF29" s="88"/>
      <c r="AXG29" s="88"/>
      <c r="AXH29" s="88"/>
      <c r="AXI29" s="88"/>
      <c r="AXJ29" s="88"/>
      <c r="AXK29" s="88"/>
      <c r="AXL29" s="88"/>
      <c r="AXM29" s="88"/>
      <c r="AXN29" s="88"/>
      <c r="AXO29" s="88"/>
      <c r="AXP29" s="88"/>
      <c r="AXQ29" s="88"/>
      <c r="AXR29" s="88"/>
      <c r="AXS29" s="88"/>
      <c r="AXT29" s="88"/>
      <c r="AXU29" s="88"/>
      <c r="AXV29" s="88"/>
      <c r="AXW29" s="88"/>
      <c r="AXX29" s="88"/>
      <c r="AXY29" s="88"/>
      <c r="AXZ29" s="88"/>
      <c r="AYA29" s="88"/>
      <c r="AYB29" s="88"/>
      <c r="AYC29" s="88"/>
      <c r="AYD29" s="88"/>
      <c r="AYE29" s="88"/>
      <c r="AYF29" s="88"/>
      <c r="AYG29" s="88"/>
      <c r="AYH29" s="88"/>
      <c r="AYI29" s="88"/>
      <c r="AYJ29" s="88"/>
      <c r="AYK29" s="88"/>
      <c r="AYL29" s="88"/>
      <c r="AYM29" s="88"/>
      <c r="AYN29" s="88"/>
      <c r="AYO29" s="88"/>
      <c r="AYP29" s="88"/>
      <c r="AYQ29" s="88"/>
      <c r="AYR29" s="88"/>
      <c r="AYS29" s="88"/>
      <c r="AYT29" s="88"/>
      <c r="AYU29" s="88"/>
      <c r="AYV29" s="88"/>
      <c r="AYW29" s="88"/>
      <c r="AYX29" s="88"/>
      <c r="AYY29" s="88"/>
      <c r="AYZ29" s="88"/>
      <c r="AZA29" s="88"/>
      <c r="AZB29" s="88"/>
      <c r="AZC29" s="88"/>
      <c r="AZD29" s="88"/>
      <c r="AZE29" s="88"/>
      <c r="AZF29" s="88"/>
      <c r="AZG29" s="88"/>
      <c r="AZH29" s="88"/>
      <c r="AZI29" s="88"/>
      <c r="AZJ29" s="88"/>
      <c r="AZK29" s="88"/>
      <c r="AZL29" s="88"/>
      <c r="AZM29" s="88"/>
      <c r="AZN29" s="88"/>
      <c r="AZO29" s="88"/>
      <c r="AZP29" s="88"/>
      <c r="AZQ29" s="88"/>
      <c r="AZR29" s="88"/>
      <c r="AZS29" s="88"/>
      <c r="AZT29" s="88"/>
      <c r="AZU29" s="88"/>
      <c r="AZV29" s="88"/>
      <c r="AZW29" s="88"/>
      <c r="AZX29" s="88"/>
      <c r="AZY29" s="88"/>
      <c r="AZZ29" s="88"/>
      <c r="BAA29" s="88"/>
      <c r="BAB29" s="88"/>
      <c r="BAC29" s="88"/>
      <c r="BAD29" s="88"/>
      <c r="BAE29" s="88"/>
      <c r="BAF29" s="88"/>
      <c r="BAG29" s="88"/>
      <c r="BAH29" s="88"/>
      <c r="BAI29" s="88"/>
      <c r="BAJ29" s="88"/>
      <c r="BAK29" s="88"/>
      <c r="BAL29" s="88"/>
      <c r="BAM29" s="88"/>
      <c r="BAN29" s="88"/>
      <c r="BAO29" s="88"/>
      <c r="BAP29" s="88"/>
      <c r="BAQ29" s="88"/>
      <c r="BAR29" s="88"/>
      <c r="BAS29" s="88"/>
      <c r="BAT29" s="88"/>
      <c r="BAU29" s="88"/>
      <c r="BAV29" s="88"/>
      <c r="BAW29" s="88"/>
      <c r="BAX29" s="88"/>
      <c r="BAY29" s="88"/>
      <c r="BAZ29" s="88"/>
      <c r="BBA29" s="88"/>
      <c r="BBB29" s="88"/>
      <c r="BBC29" s="88"/>
      <c r="BBD29" s="88"/>
      <c r="BBE29" s="88"/>
      <c r="BBF29" s="88"/>
      <c r="BBG29" s="88"/>
      <c r="BBH29" s="88"/>
      <c r="BBI29" s="88"/>
      <c r="BBJ29" s="88"/>
      <c r="BBK29" s="88"/>
      <c r="BBL29" s="88"/>
      <c r="BBM29" s="88"/>
      <c r="BBN29" s="88"/>
      <c r="BBO29" s="88"/>
      <c r="BBP29" s="88"/>
      <c r="BBQ29" s="88"/>
      <c r="BBR29" s="88"/>
      <c r="BBS29" s="88"/>
      <c r="BBT29" s="88"/>
      <c r="BBU29" s="88"/>
      <c r="BBV29" s="88"/>
      <c r="BBW29" s="88"/>
      <c r="BBX29" s="88"/>
      <c r="BBY29" s="88"/>
      <c r="BBZ29" s="88"/>
      <c r="BCA29" s="88"/>
      <c r="BCB29" s="88"/>
      <c r="BCC29" s="88"/>
      <c r="BCD29" s="88"/>
      <c r="BCE29" s="88"/>
      <c r="BCF29" s="88"/>
      <c r="BCG29" s="88"/>
      <c r="BCH29" s="88"/>
      <c r="BCI29" s="88"/>
      <c r="BCJ29" s="88"/>
      <c r="BCK29" s="88"/>
      <c r="BCL29" s="88"/>
      <c r="BCM29" s="88"/>
      <c r="BCN29" s="88"/>
      <c r="BCO29" s="88"/>
      <c r="BCP29" s="88"/>
      <c r="BCQ29" s="88"/>
      <c r="BCR29" s="88"/>
      <c r="BCS29" s="88"/>
      <c r="BCT29" s="88"/>
      <c r="BCU29" s="88"/>
      <c r="BCV29" s="88"/>
      <c r="BCW29" s="88"/>
      <c r="BCX29" s="88"/>
      <c r="BCY29" s="88"/>
      <c r="BCZ29" s="88"/>
      <c r="BDA29" s="88"/>
      <c r="BDB29" s="88"/>
      <c r="BDC29" s="88"/>
      <c r="BDD29" s="88"/>
      <c r="BDE29" s="88"/>
      <c r="BDF29" s="88"/>
      <c r="BDG29" s="88"/>
      <c r="BDH29" s="88"/>
      <c r="BDI29" s="88"/>
      <c r="BDJ29" s="88"/>
      <c r="BDK29" s="88"/>
      <c r="BDL29" s="88"/>
      <c r="BDM29" s="88"/>
      <c r="BDN29" s="88"/>
      <c r="BDO29" s="88"/>
      <c r="BDP29" s="88"/>
      <c r="BDQ29" s="88"/>
      <c r="BDR29" s="88"/>
      <c r="BDS29" s="88"/>
      <c r="BDT29" s="88"/>
      <c r="BDU29" s="88"/>
      <c r="BDV29" s="88"/>
      <c r="BDW29" s="88"/>
      <c r="BDX29" s="88"/>
      <c r="BDY29" s="88"/>
      <c r="BDZ29" s="88"/>
      <c r="BEA29" s="88"/>
      <c r="BEB29" s="88"/>
      <c r="BEC29" s="88"/>
      <c r="BED29" s="88"/>
      <c r="BEE29" s="88"/>
      <c r="BEF29" s="88"/>
      <c r="BEG29" s="88"/>
      <c r="BEH29" s="88"/>
      <c r="BEI29" s="88"/>
      <c r="BEJ29" s="88"/>
      <c r="BEK29" s="88"/>
      <c r="BEL29" s="88"/>
      <c r="BEM29" s="88"/>
      <c r="BEN29" s="88"/>
      <c r="BEO29" s="88"/>
      <c r="BEP29" s="88"/>
      <c r="BEQ29" s="88"/>
      <c r="BER29" s="88"/>
      <c r="BES29" s="88"/>
      <c r="BET29" s="88"/>
      <c r="BEU29" s="88"/>
      <c r="BEV29" s="88"/>
      <c r="BEW29" s="88"/>
      <c r="BEX29" s="88"/>
      <c r="BEY29" s="88"/>
      <c r="BEZ29" s="88"/>
      <c r="BFA29" s="88"/>
      <c r="BFB29" s="88"/>
      <c r="BFC29" s="88"/>
      <c r="BFD29" s="88"/>
      <c r="BFE29" s="88"/>
      <c r="BFF29" s="88"/>
      <c r="BFG29" s="88"/>
      <c r="BFH29" s="88"/>
      <c r="BFI29" s="88"/>
      <c r="BFJ29" s="88"/>
      <c r="BFK29" s="88"/>
      <c r="BFL29" s="88"/>
      <c r="BFM29" s="88"/>
      <c r="BFN29" s="88"/>
      <c r="BFO29" s="88"/>
      <c r="BFP29" s="88"/>
      <c r="BFQ29" s="88"/>
      <c r="BFR29" s="88"/>
      <c r="BFS29" s="88"/>
      <c r="BFT29" s="88"/>
      <c r="BFU29" s="88"/>
      <c r="BFV29" s="88"/>
      <c r="BFW29" s="88"/>
      <c r="BFX29" s="88"/>
      <c r="BFY29" s="88"/>
      <c r="BFZ29" s="88"/>
      <c r="BGA29" s="88"/>
      <c r="BGB29" s="88"/>
      <c r="BGC29" s="88"/>
      <c r="BGD29" s="88"/>
      <c r="BGE29" s="88"/>
      <c r="BGF29" s="88"/>
      <c r="BGG29" s="88"/>
      <c r="BGH29" s="88"/>
      <c r="BGI29" s="88"/>
      <c r="BGJ29" s="88"/>
      <c r="BGK29" s="88"/>
      <c r="BGL29" s="88"/>
      <c r="BGM29" s="88"/>
      <c r="BGN29" s="88"/>
      <c r="BGO29" s="88"/>
      <c r="BGP29" s="88"/>
      <c r="BGQ29" s="88"/>
      <c r="BGR29" s="88"/>
      <c r="BGS29" s="88"/>
      <c r="BGT29" s="88"/>
      <c r="BGU29" s="88"/>
      <c r="BGV29" s="88"/>
      <c r="BGW29" s="88"/>
      <c r="BGX29" s="88"/>
      <c r="BGY29" s="88"/>
      <c r="BGZ29" s="88"/>
      <c r="BHA29" s="88"/>
      <c r="BHB29" s="88"/>
      <c r="BHC29" s="88"/>
      <c r="BHD29" s="88"/>
      <c r="BHE29" s="88"/>
      <c r="BHF29" s="88"/>
      <c r="BHG29" s="88"/>
      <c r="BHH29" s="88"/>
      <c r="BHI29" s="88"/>
      <c r="BHJ29" s="88"/>
      <c r="BHK29" s="88"/>
      <c r="BHL29" s="88"/>
      <c r="BHM29" s="88"/>
      <c r="BHN29" s="88"/>
      <c r="BHO29" s="88"/>
      <c r="BHP29" s="88"/>
      <c r="BHQ29" s="88"/>
      <c r="BHR29" s="88"/>
      <c r="BHS29" s="88"/>
      <c r="BHT29" s="88"/>
      <c r="BHU29" s="88"/>
      <c r="BHV29" s="88"/>
      <c r="BHW29" s="88"/>
      <c r="BHX29" s="88"/>
      <c r="BHY29" s="88"/>
      <c r="BHZ29" s="88"/>
      <c r="BIA29" s="88"/>
      <c r="BIB29" s="88"/>
      <c r="BIC29" s="88"/>
      <c r="BID29" s="88"/>
      <c r="BIE29" s="88"/>
      <c r="BIF29" s="88"/>
      <c r="BIG29" s="88"/>
      <c r="BIH29" s="88"/>
      <c r="BII29" s="88"/>
      <c r="BIJ29" s="88"/>
      <c r="BIK29" s="88"/>
      <c r="BIL29" s="88"/>
      <c r="BIM29" s="88"/>
      <c r="BIN29" s="88"/>
      <c r="BIO29" s="88"/>
      <c r="BIP29" s="88"/>
      <c r="BIQ29" s="88"/>
      <c r="BIR29" s="88"/>
      <c r="BIS29" s="88"/>
      <c r="BIT29" s="88"/>
      <c r="BIU29" s="88"/>
      <c r="BIV29" s="88"/>
      <c r="BIW29" s="88"/>
      <c r="BIX29" s="88"/>
      <c r="BIY29" s="88"/>
      <c r="BIZ29" s="88"/>
      <c r="BJA29" s="88"/>
      <c r="BJB29" s="88"/>
      <c r="BJC29" s="88"/>
      <c r="BJD29" s="88"/>
      <c r="BJE29" s="88"/>
      <c r="BJF29" s="88"/>
      <c r="BJG29" s="88"/>
      <c r="BJH29" s="88"/>
      <c r="BJI29" s="88"/>
      <c r="BJJ29" s="88"/>
      <c r="BJK29" s="88"/>
      <c r="BJL29" s="88"/>
      <c r="BJM29" s="88"/>
      <c r="BJN29" s="88"/>
      <c r="BJO29" s="88"/>
      <c r="BJP29" s="88"/>
      <c r="BJQ29" s="88"/>
      <c r="BJR29" s="88"/>
      <c r="BJS29" s="88"/>
      <c r="BJT29" s="88"/>
      <c r="BJU29" s="88"/>
      <c r="BJV29" s="88"/>
      <c r="BJW29" s="88"/>
      <c r="BJX29" s="88"/>
      <c r="BJY29" s="88"/>
      <c r="BJZ29" s="88"/>
      <c r="BKA29" s="88"/>
      <c r="BKB29" s="88"/>
      <c r="BKC29" s="88"/>
      <c r="BKD29" s="88"/>
      <c r="BKE29" s="88"/>
      <c r="BKF29" s="88"/>
      <c r="BKG29" s="88"/>
      <c r="BKH29" s="88"/>
      <c r="BKI29" s="88"/>
      <c r="BKJ29" s="88"/>
      <c r="BKK29" s="88"/>
      <c r="BKL29" s="88"/>
      <c r="BKM29" s="88"/>
      <c r="BKN29" s="88"/>
      <c r="BKO29" s="88"/>
      <c r="BKP29" s="88"/>
      <c r="BKQ29" s="88"/>
      <c r="BKR29" s="88"/>
      <c r="BKS29" s="88"/>
      <c r="BKT29" s="88"/>
      <c r="BKU29" s="88"/>
      <c r="BKV29" s="88"/>
      <c r="BKW29" s="88"/>
      <c r="BKX29" s="88"/>
      <c r="BKY29" s="88"/>
      <c r="BKZ29" s="88"/>
      <c r="BLA29" s="88"/>
      <c r="BLB29" s="88"/>
      <c r="BLC29" s="88"/>
      <c r="BLD29" s="88"/>
      <c r="BLE29" s="88"/>
      <c r="BLF29" s="88"/>
      <c r="BLG29" s="88"/>
      <c r="BLH29" s="88"/>
      <c r="BLI29" s="88"/>
      <c r="BLJ29" s="88"/>
      <c r="BLK29" s="88"/>
      <c r="BLL29" s="88"/>
      <c r="BLM29" s="88"/>
      <c r="BLN29" s="88"/>
      <c r="BLO29" s="88"/>
      <c r="BLP29" s="88"/>
      <c r="BLQ29" s="88"/>
      <c r="BLR29" s="88"/>
      <c r="BLS29" s="88"/>
      <c r="BLT29" s="88"/>
      <c r="BLU29" s="88"/>
      <c r="BLV29" s="88"/>
      <c r="BLW29" s="88"/>
      <c r="BLX29" s="88"/>
      <c r="BLY29" s="88"/>
      <c r="BLZ29" s="88"/>
      <c r="BMA29" s="88"/>
      <c r="BMB29" s="88"/>
      <c r="BMC29" s="88"/>
      <c r="BMD29" s="88"/>
      <c r="BME29" s="88"/>
      <c r="BMF29" s="88"/>
      <c r="BMG29" s="88"/>
      <c r="BMH29" s="88"/>
      <c r="BMI29" s="88"/>
      <c r="BMJ29" s="88"/>
      <c r="BMK29" s="88"/>
      <c r="BML29" s="88"/>
      <c r="BMM29" s="88"/>
      <c r="BMN29" s="88"/>
      <c r="BMO29" s="88"/>
      <c r="BMP29" s="88"/>
      <c r="BMQ29" s="88"/>
      <c r="BMR29" s="88"/>
      <c r="BMS29" s="88"/>
      <c r="BMT29" s="88"/>
      <c r="BMU29" s="88"/>
      <c r="BMV29" s="88"/>
      <c r="BMW29" s="88"/>
      <c r="BMX29" s="88"/>
      <c r="BMY29" s="88"/>
      <c r="BMZ29" s="88"/>
      <c r="BNA29" s="88"/>
      <c r="BNB29" s="88"/>
      <c r="BNC29" s="88"/>
      <c r="BND29" s="88"/>
      <c r="BNE29" s="88"/>
      <c r="BNF29" s="88"/>
      <c r="BNG29" s="88"/>
      <c r="BNH29" s="88"/>
      <c r="BNI29" s="88"/>
      <c r="BNJ29" s="88"/>
      <c r="BNK29" s="88"/>
      <c r="BNL29" s="88"/>
      <c r="BNM29" s="88"/>
      <c r="BNN29" s="88"/>
      <c r="BNO29" s="88"/>
      <c r="BNP29" s="88"/>
      <c r="BNQ29" s="88"/>
      <c r="BNR29" s="88"/>
      <c r="BNS29" s="88"/>
      <c r="BNT29" s="88"/>
      <c r="BNU29" s="88"/>
      <c r="BNV29" s="88"/>
      <c r="BNW29" s="88"/>
      <c r="BNX29" s="88"/>
      <c r="BNY29" s="88"/>
      <c r="BNZ29" s="88"/>
      <c r="BOA29" s="88"/>
      <c r="BOB29" s="88"/>
      <c r="BOC29" s="88"/>
      <c r="BOD29" s="88"/>
      <c r="BOE29" s="88"/>
      <c r="BOF29" s="88"/>
      <c r="BOG29" s="88"/>
      <c r="BOH29" s="88"/>
      <c r="BOI29" s="88"/>
      <c r="BOJ29" s="88"/>
      <c r="BOK29" s="88"/>
      <c r="BOL29" s="88"/>
      <c r="BOM29" s="88"/>
      <c r="BON29" s="88"/>
      <c r="BOO29" s="88"/>
      <c r="BOP29" s="88"/>
      <c r="BOQ29" s="88"/>
      <c r="BOR29" s="88"/>
      <c r="BOS29" s="88"/>
      <c r="BOT29" s="88"/>
      <c r="BOU29" s="88"/>
      <c r="BOV29" s="88"/>
      <c r="BOW29" s="88"/>
      <c r="BOX29" s="88"/>
      <c r="BOY29" s="88"/>
      <c r="BOZ29" s="88"/>
      <c r="BPA29" s="88"/>
      <c r="BPB29" s="88"/>
      <c r="BPC29" s="88"/>
      <c r="BPD29" s="88"/>
      <c r="BPE29" s="88"/>
      <c r="BPF29" s="88"/>
      <c r="BPG29" s="88"/>
      <c r="BPH29" s="88"/>
      <c r="BPI29" s="88"/>
      <c r="BPJ29" s="88"/>
      <c r="BPK29" s="88"/>
      <c r="BPL29" s="88"/>
      <c r="BPM29" s="88"/>
      <c r="BPN29" s="88"/>
      <c r="BPO29" s="88"/>
      <c r="BPP29" s="88"/>
      <c r="BPQ29" s="88"/>
      <c r="BPR29" s="88"/>
      <c r="BPS29" s="88"/>
      <c r="BPT29" s="88"/>
      <c r="BPU29" s="88"/>
      <c r="BPV29" s="88"/>
      <c r="BPW29" s="88"/>
      <c r="BPX29" s="88"/>
      <c r="BPY29" s="88"/>
      <c r="BPZ29" s="88"/>
      <c r="BQA29" s="88"/>
      <c r="BQB29" s="88"/>
      <c r="BQC29" s="88"/>
      <c r="BQD29" s="88"/>
      <c r="BQE29" s="88"/>
      <c r="BQF29" s="88"/>
      <c r="BQG29" s="88"/>
      <c r="BQH29" s="88"/>
      <c r="BQI29" s="88"/>
      <c r="BQJ29" s="88"/>
      <c r="BQK29" s="88"/>
      <c r="BQL29" s="88"/>
      <c r="BQM29" s="88"/>
      <c r="BQN29" s="88"/>
      <c r="BQO29" s="88"/>
      <c r="BQP29" s="88"/>
      <c r="BQQ29" s="88"/>
      <c r="BQR29" s="88"/>
      <c r="BQS29" s="88"/>
      <c r="BQT29" s="88"/>
      <c r="BQU29" s="88"/>
      <c r="BQV29" s="88"/>
      <c r="BQW29" s="88"/>
      <c r="BQX29" s="88"/>
      <c r="BQY29" s="88"/>
      <c r="BQZ29" s="88"/>
      <c r="BRA29" s="88"/>
      <c r="BRB29" s="88"/>
      <c r="BRC29" s="88"/>
      <c r="BRD29" s="88"/>
      <c r="BRE29" s="88"/>
      <c r="BRF29" s="88"/>
      <c r="BRG29" s="88"/>
      <c r="BRH29" s="88"/>
      <c r="BRI29" s="88"/>
      <c r="BRJ29" s="88"/>
      <c r="BRK29" s="88"/>
      <c r="BRL29" s="88"/>
      <c r="BRM29" s="88"/>
      <c r="BRN29" s="88"/>
      <c r="BRO29" s="88"/>
      <c r="BRP29" s="88"/>
      <c r="BRQ29" s="88"/>
      <c r="BRR29" s="88"/>
      <c r="BRS29" s="88"/>
      <c r="BRT29" s="88"/>
      <c r="BRU29" s="88"/>
      <c r="BRV29" s="88"/>
      <c r="BRW29" s="88"/>
      <c r="BRX29" s="88"/>
      <c r="BRY29" s="88"/>
      <c r="BRZ29" s="88"/>
      <c r="BSA29" s="88"/>
      <c r="BSB29" s="88"/>
      <c r="BSC29" s="88"/>
      <c r="BSD29" s="88"/>
      <c r="BSE29" s="88"/>
      <c r="BSF29" s="88"/>
      <c r="BSG29" s="88"/>
      <c r="BSH29" s="88"/>
      <c r="BSI29" s="88"/>
      <c r="BSJ29" s="88"/>
      <c r="BSK29" s="88"/>
      <c r="BSL29" s="88"/>
      <c r="BSM29" s="88"/>
      <c r="BSN29" s="88"/>
      <c r="BSO29" s="88"/>
      <c r="BSP29" s="88"/>
      <c r="BSQ29" s="88"/>
      <c r="BSR29" s="88"/>
      <c r="BSS29" s="88"/>
      <c r="BST29" s="88"/>
      <c r="BSU29" s="88"/>
      <c r="BSV29" s="88"/>
      <c r="BSW29" s="88"/>
      <c r="BSX29" s="88"/>
      <c r="BSY29" s="88"/>
      <c r="BSZ29" s="88"/>
      <c r="BTA29" s="88"/>
      <c r="BTB29" s="88"/>
      <c r="BTC29" s="88"/>
      <c r="BTD29" s="88"/>
      <c r="BTE29" s="88"/>
      <c r="BTF29" s="88"/>
      <c r="BTG29" s="88"/>
      <c r="BTH29" s="88"/>
      <c r="BTI29" s="88"/>
      <c r="BTJ29" s="88"/>
      <c r="BTK29" s="88"/>
      <c r="BTL29" s="88"/>
      <c r="BTM29" s="88"/>
      <c r="BTN29" s="88"/>
      <c r="BTO29" s="88"/>
      <c r="BTP29" s="88"/>
      <c r="BTQ29" s="88"/>
      <c r="BTR29" s="88"/>
      <c r="BTS29" s="88"/>
      <c r="BTT29" s="88"/>
      <c r="BTU29" s="88"/>
      <c r="BTV29" s="88"/>
      <c r="BTW29" s="88"/>
      <c r="BTX29" s="88"/>
      <c r="BTY29" s="88"/>
      <c r="BTZ29" s="88"/>
      <c r="BUA29" s="88"/>
      <c r="BUB29" s="88"/>
      <c r="BUC29" s="88"/>
      <c r="BUD29" s="88"/>
      <c r="BUE29" s="88"/>
      <c r="BUF29" s="88"/>
      <c r="BUG29" s="88"/>
      <c r="BUH29" s="88"/>
      <c r="BUI29" s="88"/>
      <c r="BUJ29" s="88"/>
      <c r="BUK29" s="88"/>
      <c r="BUL29" s="88"/>
      <c r="BUM29" s="88"/>
      <c r="BUN29" s="88"/>
      <c r="BUO29" s="88"/>
      <c r="BUP29" s="88"/>
      <c r="BUQ29" s="88"/>
      <c r="BUR29" s="88"/>
      <c r="BUS29" s="88"/>
      <c r="BUT29" s="88"/>
      <c r="BUU29" s="88"/>
      <c r="BUV29" s="88"/>
      <c r="BUW29" s="88"/>
      <c r="BUX29" s="88"/>
      <c r="BUY29" s="88"/>
      <c r="BUZ29" s="88"/>
      <c r="BVA29" s="88"/>
      <c r="BVB29" s="88"/>
      <c r="BVC29" s="88"/>
      <c r="BVD29" s="88"/>
      <c r="BVE29" s="88"/>
      <c r="BVF29" s="88"/>
      <c r="BVG29" s="88"/>
      <c r="BVH29" s="88"/>
      <c r="BVI29" s="88"/>
      <c r="BVJ29" s="88"/>
      <c r="BVK29" s="88"/>
      <c r="BVL29" s="88"/>
      <c r="BVM29" s="88"/>
      <c r="BVN29" s="88"/>
      <c r="BVO29" s="88"/>
      <c r="BVP29" s="88"/>
      <c r="BVQ29" s="88"/>
      <c r="BVR29" s="88"/>
      <c r="BVS29" s="88"/>
      <c r="BVT29" s="88"/>
      <c r="BVU29" s="88"/>
      <c r="BVV29" s="88"/>
      <c r="BVW29" s="88"/>
      <c r="BVX29" s="88"/>
      <c r="BVY29" s="88"/>
      <c r="BVZ29" s="88"/>
      <c r="BWA29" s="88"/>
      <c r="BWB29" s="88"/>
      <c r="BWC29" s="88"/>
      <c r="BWD29" s="88"/>
      <c r="BWE29" s="88"/>
      <c r="BWF29" s="88"/>
      <c r="BWG29" s="88"/>
      <c r="BWH29" s="88"/>
      <c r="BWI29" s="88"/>
      <c r="BWJ29" s="88"/>
      <c r="BWK29" s="88"/>
      <c r="BWL29" s="88"/>
      <c r="BWM29" s="88"/>
      <c r="BWN29" s="88"/>
      <c r="BWO29" s="88"/>
      <c r="BWP29" s="88"/>
      <c r="BWQ29" s="88"/>
      <c r="BWR29" s="88"/>
      <c r="BWS29" s="88"/>
      <c r="BWT29" s="88"/>
      <c r="BWU29" s="88"/>
      <c r="BWV29" s="88"/>
      <c r="BWW29" s="88"/>
      <c r="BWX29" s="88"/>
      <c r="BWY29" s="88"/>
      <c r="BWZ29" s="88"/>
      <c r="BXA29" s="88"/>
      <c r="BXB29" s="88"/>
      <c r="BXC29" s="88"/>
      <c r="BXD29" s="88"/>
      <c r="BXE29" s="88"/>
      <c r="BXF29" s="88"/>
      <c r="BXG29" s="88"/>
      <c r="BXH29" s="88"/>
      <c r="BXI29" s="88"/>
      <c r="BXJ29" s="88"/>
      <c r="BXK29" s="88"/>
      <c r="BXL29" s="88"/>
      <c r="BXM29" s="88"/>
      <c r="BXN29" s="88"/>
      <c r="BXO29" s="88"/>
      <c r="BXP29" s="88"/>
      <c r="BXQ29" s="88"/>
      <c r="BXR29" s="88"/>
      <c r="BXS29" s="88"/>
      <c r="BXT29" s="88"/>
      <c r="BXU29" s="88"/>
      <c r="BXV29" s="88"/>
      <c r="BXW29" s="88"/>
      <c r="BXX29" s="88"/>
      <c r="BXY29" s="88"/>
      <c r="BXZ29" s="88"/>
      <c r="BYA29" s="88"/>
      <c r="BYB29" s="88"/>
      <c r="BYC29" s="88"/>
      <c r="BYD29" s="88"/>
      <c r="BYE29" s="88"/>
      <c r="BYF29" s="88"/>
      <c r="BYG29" s="88"/>
      <c r="BYH29" s="88"/>
      <c r="BYI29" s="88"/>
      <c r="BYJ29" s="88"/>
      <c r="BYK29" s="88"/>
      <c r="BYL29" s="88"/>
      <c r="BYM29" s="88"/>
      <c r="BYN29" s="88"/>
      <c r="BYO29" s="88"/>
      <c r="BYP29" s="88"/>
      <c r="BYQ29" s="88"/>
      <c r="BYR29" s="88"/>
      <c r="BYS29" s="88"/>
      <c r="BYT29" s="88"/>
      <c r="BYU29" s="88"/>
      <c r="BYV29" s="88"/>
      <c r="BYW29" s="88"/>
      <c r="BYX29" s="88"/>
      <c r="BYY29" s="88"/>
      <c r="BYZ29" s="88"/>
      <c r="BZA29" s="88"/>
      <c r="BZB29" s="88"/>
      <c r="BZC29" s="88"/>
      <c r="BZD29" s="88"/>
      <c r="BZE29" s="88"/>
      <c r="BZF29" s="88"/>
      <c r="BZG29" s="88"/>
      <c r="BZH29" s="88"/>
      <c r="BZI29" s="88"/>
      <c r="BZJ29" s="88"/>
      <c r="BZK29" s="88"/>
      <c r="BZL29" s="88"/>
      <c r="BZM29" s="88"/>
      <c r="BZN29" s="88"/>
      <c r="BZO29" s="88"/>
      <c r="BZP29" s="88"/>
      <c r="BZQ29" s="88"/>
      <c r="BZR29" s="88"/>
      <c r="BZS29" s="88"/>
      <c r="BZT29" s="88"/>
      <c r="BZU29" s="88"/>
      <c r="BZV29" s="88"/>
      <c r="BZW29" s="88"/>
      <c r="BZX29" s="88"/>
      <c r="BZY29" s="88"/>
      <c r="BZZ29" s="88"/>
      <c r="CAA29" s="88"/>
      <c r="CAB29" s="88"/>
      <c r="CAC29" s="88"/>
      <c r="CAD29" s="88"/>
      <c r="CAE29" s="88"/>
      <c r="CAF29" s="88"/>
      <c r="CAG29" s="88"/>
      <c r="CAH29" s="88"/>
      <c r="CAI29" s="88"/>
      <c r="CAJ29" s="88"/>
      <c r="CAK29" s="88"/>
      <c r="CAL29" s="88"/>
      <c r="CAM29" s="88"/>
      <c r="CAN29" s="88"/>
      <c r="CAO29" s="88"/>
      <c r="CAP29" s="88"/>
      <c r="CAQ29" s="88"/>
      <c r="CAR29" s="88"/>
      <c r="CAS29" s="88"/>
      <c r="CAT29" s="88"/>
      <c r="CAU29" s="88"/>
      <c r="CAV29" s="88"/>
      <c r="CAW29" s="88"/>
      <c r="CAX29" s="88"/>
      <c r="CAY29" s="88"/>
      <c r="CAZ29" s="88"/>
      <c r="CBA29" s="88"/>
      <c r="CBB29" s="88"/>
      <c r="CBC29" s="88"/>
      <c r="CBD29" s="88"/>
      <c r="CBE29" s="88"/>
      <c r="CBF29" s="88"/>
      <c r="CBG29" s="88"/>
      <c r="CBH29" s="88"/>
      <c r="CBI29" s="88"/>
      <c r="CBJ29" s="88"/>
      <c r="CBK29" s="88"/>
      <c r="CBL29" s="88"/>
      <c r="CBM29" s="88"/>
      <c r="CBN29" s="88"/>
      <c r="CBO29" s="88"/>
      <c r="CBP29" s="88"/>
      <c r="CBQ29" s="88"/>
      <c r="CBR29" s="88"/>
      <c r="CBS29" s="88"/>
      <c r="CBT29" s="88"/>
      <c r="CBU29" s="88"/>
      <c r="CBV29" s="88"/>
      <c r="CBW29" s="88"/>
      <c r="CBX29" s="88"/>
      <c r="CBY29" s="88"/>
      <c r="CBZ29" s="88"/>
      <c r="CCA29" s="88"/>
      <c r="CCB29" s="88"/>
      <c r="CCC29" s="88"/>
      <c r="CCD29" s="88"/>
      <c r="CCE29" s="88"/>
      <c r="CCF29" s="88"/>
      <c r="CCG29" s="88"/>
      <c r="CCH29" s="88"/>
      <c r="CCI29" s="88"/>
      <c r="CCJ29" s="88"/>
      <c r="CCK29" s="88"/>
      <c r="CCL29" s="88"/>
      <c r="CCM29" s="88"/>
      <c r="CCN29" s="88"/>
      <c r="CCO29" s="88"/>
      <c r="CCP29" s="88"/>
      <c r="CCQ29" s="88"/>
      <c r="CCR29" s="88"/>
      <c r="CCS29" s="88"/>
      <c r="CCT29" s="88"/>
      <c r="CCU29" s="88"/>
      <c r="CCV29" s="88"/>
      <c r="CCW29" s="88"/>
      <c r="CCX29" s="88"/>
      <c r="CCY29" s="88"/>
      <c r="CCZ29" s="88"/>
      <c r="CDA29" s="88"/>
      <c r="CDB29" s="88"/>
      <c r="CDC29" s="88"/>
      <c r="CDD29" s="88"/>
      <c r="CDE29" s="88"/>
      <c r="CDF29" s="88"/>
      <c r="CDG29" s="88"/>
      <c r="CDH29" s="88"/>
      <c r="CDI29" s="88"/>
      <c r="CDJ29" s="88"/>
      <c r="CDK29" s="88"/>
      <c r="CDL29" s="88"/>
      <c r="CDM29" s="88"/>
      <c r="CDN29" s="88"/>
      <c r="CDO29" s="88"/>
      <c r="CDP29" s="88"/>
      <c r="CDQ29" s="88"/>
      <c r="CDR29" s="88"/>
      <c r="CDS29" s="88"/>
      <c r="CDT29" s="88"/>
      <c r="CDU29" s="88"/>
      <c r="CDV29" s="88"/>
      <c r="CDW29" s="88"/>
      <c r="CDX29" s="88"/>
      <c r="CDY29" s="88"/>
      <c r="CDZ29" s="88"/>
      <c r="CEA29" s="88"/>
      <c r="CEB29" s="88"/>
      <c r="CEC29" s="88"/>
      <c r="CED29" s="88"/>
      <c r="CEE29" s="88"/>
      <c r="CEF29" s="88"/>
      <c r="CEG29" s="88"/>
      <c r="CEH29" s="88"/>
      <c r="CEI29" s="88"/>
      <c r="CEJ29" s="88"/>
      <c r="CEK29" s="88"/>
    </row>
    <row r="30" spans="1:2169" s="51" customFormat="1">
      <c r="A30" s="72" t="s">
        <v>2859</v>
      </c>
      <c r="B30" s="72" t="s">
        <v>2860</v>
      </c>
      <c r="C30" s="69" t="str">
        <f>IF('page 2'!$O$4="","",IF('page 2'!$O$4=Gestion!A30,1,0))</f>
        <v/>
      </c>
      <c r="D30" s="69" t="str">
        <f>IF('page 2'!$O$5="","",IF('page 2'!$O$5=Gestion!A30,1,0))</f>
        <v/>
      </c>
      <c r="E30" s="69"/>
      <c r="F30" s="69" t="str">
        <f>IF('page 2'!$O$7="","",IF('page 2'!$O$7=Gestion!A30,1,0))</f>
        <v/>
      </c>
      <c r="G30" s="69" t="str">
        <f>IF('page 2'!$O$8="","",IF('page 2'!$O$8=Gestion!A30,1,0))</f>
        <v/>
      </c>
      <c r="H30" s="69" t="str">
        <f>IF('page 2'!$O$9="","",IF('page 2'!$O$9=Gestion!A30,1,0))</f>
        <v/>
      </c>
      <c r="I30" s="69" t="str">
        <f>IF('page 2'!$O$10="","",IF('page 2'!$O$10=Gestion!A30,1,0))</f>
        <v/>
      </c>
      <c r="J30" s="69" t="str">
        <f>IF('page 2'!$O$11="","",IF('page 2'!$O$11=Gestion!A30,1,0))</f>
        <v/>
      </c>
      <c r="K30" s="69" t="str">
        <f>IF('page 2'!$O$12="","",IF('page 2'!$O$12=Gestion!A30,1,0))</f>
        <v/>
      </c>
      <c r="L30" s="69" t="str">
        <f>IF('page 2'!$O$13="","",IF('page 2'!$O$13=Gestion!A30,1,0))</f>
        <v/>
      </c>
      <c r="M30" s="69" t="str">
        <f>IF('page 2'!$O$14="","",IF('page 2'!$O$14=Gestion!A30,1,0))</f>
        <v/>
      </c>
      <c r="N30" s="69" t="str">
        <f>IF('page 2'!$O$15="","",IF('page 2'!$O$15=Gestion!A30,1,0))</f>
        <v/>
      </c>
      <c r="O30" s="69" t="str">
        <f>IF('page 2'!$O$16="","",IF('page 2'!$O$16=Gestion!A30,1,0))</f>
        <v/>
      </c>
      <c r="P30" s="69" t="str">
        <f>IF('page 2'!$O$17="","",IF('page 2'!$O$17=Gestion!A30,1,0))</f>
        <v/>
      </c>
      <c r="Q30" s="69" t="str">
        <f>IF('page 2'!$O$18="","",IF('page 2'!$O$18=Gestion!A30,1,0))</f>
        <v/>
      </c>
      <c r="R30" s="69" t="str">
        <f>IF('page 2'!$O$19="","",IF('page 2'!$O$19=Gestion!A30,1,0))</f>
        <v/>
      </c>
      <c r="S30" s="69" t="str">
        <f>IF('page 2'!$O$20="","",IF('page 2'!$O$20=Gestion!A30,1,0))</f>
        <v/>
      </c>
      <c r="T30" s="69" t="str">
        <f>IF('page 2'!$O$25="","",IF('page 2'!$O$25=Gestion!A30,1,0))</f>
        <v/>
      </c>
      <c r="U30" s="69" t="str">
        <f>IF('page 2'!$O$26="","",IF('page 2'!$O$26=Gestion!A30,1,0))</f>
        <v/>
      </c>
      <c r="V30" s="69" t="str">
        <f>IF('page 2'!$O$27="","",IF('page 2'!$O$27=Gestion!A30,1,0))</f>
        <v/>
      </c>
      <c r="W30" s="723">
        <f t="shared" si="0"/>
        <v>0</v>
      </c>
      <c r="Y30" s="69"/>
      <c r="Z30" s="69"/>
      <c r="AA30" s="69"/>
      <c r="AB30" s="542"/>
      <c r="AC30" s="542"/>
      <c r="AD30" s="542"/>
      <c r="AE30" s="88"/>
      <c r="AP30" s="130"/>
      <c r="AQ30" s="130"/>
      <c r="AR30" s="130"/>
      <c r="AS30" s="576"/>
      <c r="AT30" s="576"/>
      <c r="AU30" s="576"/>
      <c r="AV30" s="576"/>
      <c r="AW30" s="602"/>
      <c r="AX30" s="602"/>
      <c r="AY30" s="576"/>
      <c r="AZ30" s="576"/>
      <c r="BA30" s="576"/>
      <c r="BB30" s="576"/>
      <c r="BC30" s="576"/>
      <c r="BD30" s="469"/>
      <c r="BE30" s="602"/>
      <c r="BF30" s="602"/>
      <c r="BG30" s="602"/>
      <c r="BH30" s="602"/>
      <c r="BI30" s="602"/>
      <c r="BJ30" s="602"/>
      <c r="BK30" s="602"/>
      <c r="BL30" s="602"/>
      <c r="BM30" s="602"/>
      <c r="BN30" s="602"/>
      <c r="BO30" s="602"/>
      <c r="BP30" s="602"/>
      <c r="BQ30" s="602"/>
      <c r="BR30" s="602"/>
      <c r="BS30" s="576"/>
      <c r="BT30" s="576"/>
      <c r="BU30" s="576"/>
      <c r="BV30" s="576"/>
      <c r="BW30" s="602"/>
      <c r="BX30" s="602"/>
      <c r="BY30" s="602"/>
      <c r="BZ30" s="576"/>
      <c r="CA30" s="602"/>
      <c r="CB30" s="602"/>
      <c r="CC30" s="602"/>
      <c r="CD30" s="469"/>
      <c r="CE30" s="602"/>
      <c r="CF30" s="602"/>
      <c r="CG30" s="602"/>
      <c r="CH30" s="602"/>
      <c r="CI30" s="602"/>
      <c r="CJ30" s="602"/>
      <c r="CK30" s="602"/>
      <c r="CL30" s="602"/>
      <c r="CM30" s="602"/>
      <c r="CN30" s="602"/>
      <c r="CO30" s="602"/>
      <c r="CP30" s="602"/>
      <c r="CQ30" s="602"/>
      <c r="CR30" s="602"/>
      <c r="CS30" s="602"/>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c r="SK30" s="88"/>
      <c r="SL30" s="88"/>
      <c r="SM30" s="88"/>
      <c r="SN30" s="88"/>
      <c r="SO30" s="88"/>
      <c r="SP30" s="88"/>
      <c r="SQ30" s="88"/>
      <c r="SR30" s="88"/>
      <c r="SS30" s="88"/>
      <c r="ST30" s="88"/>
      <c r="SU30" s="88"/>
      <c r="SV30" s="88"/>
      <c r="SW30" s="88"/>
      <c r="SX30" s="88"/>
      <c r="SY30" s="88"/>
      <c r="SZ30" s="88"/>
      <c r="TA30" s="88"/>
      <c r="TB30" s="88"/>
      <c r="TC30" s="88"/>
      <c r="TD30" s="88"/>
      <c r="TE30" s="88"/>
      <c r="TF30" s="88"/>
      <c r="TG30" s="88"/>
      <c r="TH30" s="88"/>
      <c r="TI30" s="88"/>
      <c r="TJ30" s="88"/>
      <c r="TK30" s="88"/>
      <c r="TL30" s="88"/>
      <c r="TM30" s="88"/>
      <c r="TN30" s="88"/>
      <c r="TO30" s="88"/>
      <c r="TP30" s="88"/>
      <c r="TQ30" s="88"/>
      <c r="TR30" s="88"/>
      <c r="TS30" s="88"/>
      <c r="TT30" s="88"/>
      <c r="TU30" s="88"/>
      <c r="TV30" s="88"/>
      <c r="TW30" s="88"/>
      <c r="TX30" s="88"/>
      <c r="TY30" s="88"/>
      <c r="TZ30" s="88"/>
      <c r="UA30" s="88"/>
      <c r="UB30" s="88"/>
      <c r="UC30" s="88"/>
      <c r="UD30" s="88"/>
      <c r="UE30" s="88"/>
      <c r="UF30" s="88"/>
      <c r="UG30" s="88"/>
      <c r="UH30" s="88"/>
      <c r="UI30" s="88"/>
      <c r="UJ30" s="88"/>
      <c r="UK30" s="88"/>
      <c r="UL30" s="88"/>
      <c r="UM30" s="88"/>
      <c r="UN30" s="88"/>
      <c r="UO30" s="88"/>
      <c r="UP30" s="88"/>
      <c r="UQ30" s="88"/>
      <c r="UR30" s="88"/>
      <c r="US30" s="88"/>
      <c r="UT30" s="88"/>
      <c r="UU30" s="88"/>
      <c r="UV30" s="88"/>
      <c r="UW30" s="88"/>
      <c r="UX30" s="88"/>
      <c r="UY30" s="88"/>
      <c r="UZ30" s="88"/>
      <c r="VA30" s="88"/>
      <c r="VB30" s="88"/>
      <c r="VC30" s="88"/>
      <c r="VD30" s="88"/>
      <c r="VE30" s="88"/>
      <c r="VF30" s="88"/>
      <c r="VG30" s="88"/>
      <c r="VH30" s="88"/>
      <c r="VI30" s="88"/>
      <c r="VJ30" s="88"/>
      <c r="VK30" s="88"/>
      <c r="VL30" s="88"/>
      <c r="VM30" s="88"/>
      <c r="VN30" s="88"/>
      <c r="VO30" s="88"/>
      <c r="VP30" s="88"/>
      <c r="VQ30" s="88"/>
      <c r="VR30" s="88"/>
      <c r="VS30" s="88"/>
      <c r="VT30" s="88"/>
      <c r="VU30" s="88"/>
      <c r="VV30" s="88"/>
      <c r="VW30" s="88"/>
      <c r="VX30" s="88"/>
      <c r="VY30" s="88"/>
      <c r="VZ30" s="88"/>
      <c r="WA30" s="88"/>
      <c r="WB30" s="88"/>
      <c r="WC30" s="88"/>
      <c r="WD30" s="88"/>
      <c r="WE30" s="88"/>
      <c r="WF30" s="88"/>
      <c r="WG30" s="88"/>
      <c r="WH30" s="88"/>
      <c r="WI30" s="88"/>
      <c r="WJ30" s="88"/>
      <c r="WK30" s="88"/>
      <c r="WL30" s="88"/>
      <c r="WM30" s="88"/>
      <c r="WN30" s="88"/>
      <c r="WO30" s="88"/>
      <c r="WP30" s="88"/>
      <c r="WQ30" s="88"/>
      <c r="WR30" s="88"/>
      <c r="WS30" s="88"/>
      <c r="WT30" s="88"/>
      <c r="WU30" s="88"/>
      <c r="WV30" s="88"/>
      <c r="WW30" s="88"/>
      <c r="WX30" s="88"/>
      <c r="WY30" s="88"/>
      <c r="WZ30" s="88"/>
      <c r="XA30" s="88"/>
      <c r="XB30" s="88"/>
      <c r="XC30" s="88"/>
      <c r="XD30" s="88"/>
      <c r="XE30" s="88"/>
      <c r="XF30" s="88"/>
      <c r="XG30" s="88"/>
      <c r="XH30" s="88"/>
      <c r="XI30" s="88"/>
      <c r="XJ30" s="88"/>
      <c r="XK30" s="88"/>
      <c r="XL30" s="88"/>
      <c r="XM30" s="88"/>
      <c r="XN30" s="88"/>
      <c r="XO30" s="88"/>
      <c r="XP30" s="88"/>
      <c r="XQ30" s="88"/>
      <c r="XR30" s="88"/>
      <c r="XS30" s="88"/>
      <c r="XT30" s="88"/>
      <c r="XU30" s="88"/>
      <c r="XV30" s="88"/>
      <c r="XW30" s="88"/>
      <c r="XX30" s="88"/>
      <c r="XY30" s="88"/>
      <c r="XZ30" s="88"/>
      <c r="YA30" s="88"/>
      <c r="YB30" s="88"/>
      <c r="YC30" s="88"/>
      <c r="YD30" s="88"/>
      <c r="YE30" s="88"/>
      <c r="YF30" s="88"/>
      <c r="YG30" s="88"/>
      <c r="YH30" s="88"/>
      <c r="YI30" s="88"/>
      <c r="YJ30" s="88"/>
      <c r="YK30" s="88"/>
      <c r="YL30" s="88"/>
      <c r="YM30" s="88"/>
      <c r="YN30" s="88"/>
      <c r="YO30" s="88"/>
      <c r="YP30" s="88"/>
      <c r="YQ30" s="88"/>
      <c r="YR30" s="88"/>
      <c r="YS30" s="88"/>
      <c r="YT30" s="88"/>
      <c r="YU30" s="88"/>
      <c r="YV30" s="88"/>
      <c r="YW30" s="88"/>
      <c r="YX30" s="88"/>
      <c r="YY30" s="88"/>
      <c r="YZ30" s="88"/>
      <c r="ZA30" s="88"/>
      <c r="ZB30" s="88"/>
      <c r="ZC30" s="88"/>
      <c r="ZD30" s="88"/>
      <c r="ZE30" s="88"/>
      <c r="ZF30" s="88"/>
      <c r="ZG30" s="88"/>
      <c r="ZH30" s="88"/>
      <c r="ZI30" s="88"/>
      <c r="ZJ30" s="88"/>
      <c r="ZK30" s="88"/>
      <c r="ZL30" s="88"/>
      <c r="ZM30" s="88"/>
      <c r="ZN30" s="88"/>
      <c r="ZO30" s="88"/>
      <c r="ZP30" s="88"/>
      <c r="ZQ30" s="88"/>
      <c r="ZR30" s="88"/>
      <c r="ZS30" s="88"/>
      <c r="ZT30" s="88"/>
      <c r="ZU30" s="88"/>
      <c r="ZV30" s="88"/>
      <c r="ZW30" s="88"/>
      <c r="ZX30" s="88"/>
      <c r="ZY30" s="88"/>
      <c r="ZZ30" s="88"/>
      <c r="AAA30" s="88"/>
      <c r="AAB30" s="88"/>
      <c r="AAC30" s="88"/>
      <c r="AAD30" s="88"/>
      <c r="AAE30" s="88"/>
      <c r="AAF30" s="88"/>
      <c r="AAG30" s="88"/>
      <c r="AAH30" s="88"/>
      <c r="AAI30" s="88"/>
      <c r="AAJ30" s="88"/>
      <c r="AAK30" s="88"/>
      <c r="AAL30" s="88"/>
      <c r="AAM30" s="88"/>
      <c r="AAN30" s="88"/>
      <c r="AAO30" s="88"/>
      <c r="AAP30" s="88"/>
      <c r="AAQ30" s="88"/>
      <c r="AAR30" s="88"/>
      <c r="AAS30" s="88"/>
      <c r="AAT30" s="88"/>
      <c r="AAU30" s="88"/>
      <c r="AAV30" s="88"/>
      <c r="AAW30" s="88"/>
      <c r="AAX30" s="88"/>
      <c r="AAY30" s="88"/>
      <c r="AAZ30" s="88"/>
      <c r="ABA30" s="88"/>
      <c r="ABB30" s="88"/>
      <c r="ABC30" s="88"/>
      <c r="ABD30" s="88"/>
      <c r="ABE30" s="88"/>
      <c r="ABF30" s="88"/>
      <c r="ABG30" s="88"/>
      <c r="ABH30" s="88"/>
      <c r="ABI30" s="88"/>
      <c r="ABJ30" s="88"/>
      <c r="ABK30" s="88"/>
      <c r="ABL30" s="88"/>
      <c r="ABM30" s="88"/>
      <c r="ABN30" s="88"/>
      <c r="ABO30" s="88"/>
      <c r="ABP30" s="88"/>
      <c r="ABQ30" s="88"/>
      <c r="ABR30" s="88"/>
      <c r="ABS30" s="88"/>
      <c r="ABT30" s="88"/>
      <c r="ABU30" s="88"/>
      <c r="ABV30" s="88"/>
      <c r="ABW30" s="88"/>
      <c r="ABX30" s="88"/>
      <c r="ABY30" s="88"/>
      <c r="ABZ30" s="88"/>
      <c r="ACA30" s="88"/>
      <c r="ACB30" s="88"/>
      <c r="ACC30" s="88"/>
      <c r="ACD30" s="88"/>
      <c r="ACE30" s="88"/>
      <c r="ACF30" s="88"/>
      <c r="ACG30" s="88"/>
      <c r="ACH30" s="88"/>
      <c r="ACI30" s="88"/>
      <c r="ACJ30" s="88"/>
      <c r="ACK30" s="88"/>
      <c r="ACL30" s="88"/>
      <c r="ACM30" s="88"/>
      <c r="ACN30" s="88"/>
      <c r="ACO30" s="88"/>
      <c r="ACP30" s="88"/>
      <c r="ACQ30" s="88"/>
      <c r="ACR30" s="88"/>
      <c r="ACS30" s="88"/>
      <c r="ACT30" s="88"/>
      <c r="ACU30" s="88"/>
      <c r="ACV30" s="88"/>
      <c r="ACW30" s="88"/>
      <c r="ACX30" s="88"/>
      <c r="ACY30" s="88"/>
      <c r="ACZ30" s="88"/>
      <c r="ADA30" s="88"/>
      <c r="ADB30" s="88"/>
      <c r="ADC30" s="88"/>
      <c r="ADD30" s="88"/>
      <c r="ADE30" s="88"/>
      <c r="ADF30" s="88"/>
      <c r="ADG30" s="88"/>
      <c r="ADH30" s="88"/>
      <c r="ADI30" s="88"/>
      <c r="ADJ30" s="88"/>
      <c r="ADK30" s="88"/>
      <c r="ADL30" s="88"/>
      <c r="ADM30" s="88"/>
      <c r="ADN30" s="88"/>
      <c r="ADO30" s="88"/>
      <c r="ADP30" s="88"/>
      <c r="ADQ30" s="88"/>
      <c r="ADR30" s="88"/>
      <c r="ADS30" s="88"/>
      <c r="ADT30" s="88"/>
      <c r="ADU30" s="88"/>
      <c r="ADV30" s="88"/>
      <c r="ADW30" s="88"/>
      <c r="ADX30" s="88"/>
      <c r="ADY30" s="88"/>
      <c r="ADZ30" s="88"/>
      <c r="AEA30" s="88"/>
      <c r="AEB30" s="88"/>
      <c r="AEC30" s="88"/>
      <c r="AED30" s="88"/>
      <c r="AEE30" s="88"/>
      <c r="AEF30" s="88"/>
      <c r="AEG30" s="88"/>
      <c r="AEH30" s="88"/>
      <c r="AEI30" s="88"/>
      <c r="AEJ30" s="88"/>
      <c r="AEK30" s="88"/>
      <c r="AEL30" s="88"/>
      <c r="AEM30" s="88"/>
      <c r="AEN30" s="88"/>
      <c r="AEO30" s="88"/>
      <c r="AEP30" s="88"/>
      <c r="AEQ30" s="88"/>
      <c r="AER30" s="88"/>
      <c r="AES30" s="88"/>
      <c r="AET30" s="88"/>
      <c r="AEU30" s="88"/>
      <c r="AEV30" s="88"/>
      <c r="AEW30" s="88"/>
      <c r="AEX30" s="88"/>
      <c r="AEY30" s="88"/>
      <c r="AEZ30" s="88"/>
      <c r="AFA30" s="88"/>
      <c r="AFB30" s="88"/>
      <c r="AFC30" s="88"/>
      <c r="AFD30" s="88"/>
      <c r="AFE30" s="88"/>
      <c r="AFF30" s="88"/>
      <c r="AFG30" s="88"/>
      <c r="AFH30" s="88"/>
      <c r="AFI30" s="88"/>
      <c r="AFJ30" s="88"/>
      <c r="AFK30" s="88"/>
      <c r="AFL30" s="88"/>
      <c r="AFM30" s="88"/>
      <c r="AFN30" s="88"/>
      <c r="AFO30" s="88"/>
      <c r="AFP30" s="88"/>
      <c r="AFQ30" s="88"/>
      <c r="AFR30" s="88"/>
      <c r="AFS30" s="88"/>
      <c r="AFT30" s="88"/>
      <c r="AFU30" s="88"/>
      <c r="AFV30" s="88"/>
      <c r="AFW30" s="88"/>
      <c r="AFX30" s="88"/>
      <c r="AFY30" s="88"/>
      <c r="AFZ30" s="88"/>
      <c r="AGA30" s="88"/>
      <c r="AGB30" s="88"/>
      <c r="AGC30" s="88"/>
      <c r="AGD30" s="88"/>
      <c r="AGE30" s="88"/>
      <c r="AGF30" s="88"/>
      <c r="AGG30" s="88"/>
      <c r="AGH30" s="88"/>
      <c r="AGI30" s="88"/>
      <c r="AGJ30" s="88"/>
      <c r="AGK30" s="88"/>
      <c r="AGL30" s="88"/>
      <c r="AGM30" s="88"/>
      <c r="AGN30" s="88"/>
      <c r="AGO30" s="88"/>
      <c r="AGP30" s="88"/>
      <c r="AGQ30" s="88"/>
      <c r="AGR30" s="88"/>
      <c r="AGS30" s="88"/>
      <c r="AGT30" s="88"/>
      <c r="AGU30" s="88"/>
      <c r="AGV30" s="88"/>
      <c r="AGW30" s="88"/>
      <c r="AGX30" s="88"/>
      <c r="AGY30" s="88"/>
      <c r="AGZ30" s="88"/>
      <c r="AHA30" s="88"/>
      <c r="AHB30" s="88"/>
      <c r="AHC30" s="88"/>
      <c r="AHD30" s="88"/>
      <c r="AHE30" s="88"/>
      <c r="AHF30" s="88"/>
      <c r="AHG30" s="88"/>
      <c r="AHH30" s="88"/>
      <c r="AHI30" s="88"/>
      <c r="AHJ30" s="88"/>
      <c r="AHK30" s="88"/>
      <c r="AHL30" s="88"/>
      <c r="AHM30" s="88"/>
      <c r="AHN30" s="88"/>
      <c r="AHO30" s="88"/>
      <c r="AHP30" s="88"/>
      <c r="AHQ30" s="88"/>
      <c r="AHR30" s="88"/>
      <c r="AHS30" s="88"/>
      <c r="AHT30" s="88"/>
      <c r="AHU30" s="88"/>
      <c r="AHV30" s="88"/>
      <c r="AHW30" s="88"/>
      <c r="AHX30" s="88"/>
      <c r="AHY30" s="88"/>
      <c r="AHZ30" s="88"/>
      <c r="AIA30" s="88"/>
      <c r="AIB30" s="88"/>
      <c r="AIC30" s="88"/>
      <c r="AID30" s="88"/>
      <c r="AIE30" s="88"/>
      <c r="AIF30" s="88"/>
      <c r="AIG30" s="88"/>
      <c r="AIH30" s="88"/>
      <c r="AII30" s="88"/>
      <c r="AIJ30" s="88"/>
      <c r="AIK30" s="88"/>
      <c r="AIL30" s="88"/>
      <c r="AIM30" s="88"/>
      <c r="AIN30" s="88"/>
      <c r="AIO30" s="88"/>
      <c r="AIP30" s="88"/>
      <c r="AIQ30" s="88"/>
      <c r="AIR30" s="88"/>
      <c r="AIS30" s="88"/>
      <c r="AIT30" s="88"/>
      <c r="AIU30" s="88"/>
      <c r="AIV30" s="88"/>
      <c r="AIW30" s="88"/>
      <c r="AIX30" s="88"/>
      <c r="AIY30" s="88"/>
      <c r="AIZ30" s="88"/>
      <c r="AJA30" s="88"/>
      <c r="AJB30" s="88"/>
      <c r="AJC30" s="88"/>
      <c r="AJD30" s="88"/>
      <c r="AJE30" s="88"/>
      <c r="AJF30" s="88"/>
      <c r="AJG30" s="88"/>
      <c r="AJH30" s="88"/>
      <c r="AJI30" s="88"/>
      <c r="AJJ30" s="88"/>
      <c r="AJK30" s="88"/>
      <c r="AJL30" s="88"/>
      <c r="AJM30" s="88"/>
      <c r="AJN30" s="88"/>
      <c r="AJO30" s="88"/>
      <c r="AJP30" s="88"/>
      <c r="AJQ30" s="88"/>
      <c r="AJR30" s="88"/>
      <c r="AJS30" s="88"/>
      <c r="AJT30" s="88"/>
      <c r="AJU30" s="88"/>
      <c r="AJV30" s="88"/>
      <c r="AJW30" s="88"/>
      <c r="AJX30" s="88"/>
      <c r="AJY30" s="88"/>
      <c r="AJZ30" s="88"/>
      <c r="AKA30" s="88"/>
      <c r="AKB30" s="88"/>
      <c r="AKC30" s="88"/>
      <c r="AKD30" s="88"/>
      <c r="AKE30" s="88"/>
      <c r="AKF30" s="88"/>
      <c r="AKG30" s="88"/>
      <c r="AKH30" s="88"/>
      <c r="AKI30" s="88"/>
      <c r="AKJ30" s="88"/>
      <c r="AKK30" s="88"/>
      <c r="AKL30" s="88"/>
      <c r="AKM30" s="88"/>
      <c r="AKN30" s="88"/>
      <c r="AKO30" s="88"/>
      <c r="AKP30" s="88"/>
      <c r="AKQ30" s="88"/>
      <c r="AKR30" s="88"/>
      <c r="AKS30" s="88"/>
      <c r="AKT30" s="88"/>
      <c r="AKU30" s="88"/>
      <c r="AKV30" s="88"/>
      <c r="AKW30" s="88"/>
      <c r="AKX30" s="88"/>
      <c r="AKY30" s="88"/>
      <c r="AKZ30" s="88"/>
      <c r="ALA30" s="88"/>
      <c r="ALB30" s="88"/>
      <c r="ALC30" s="88"/>
      <c r="ALD30" s="88"/>
      <c r="ALE30" s="88"/>
      <c r="ALF30" s="88"/>
      <c r="ALG30" s="88"/>
      <c r="ALH30" s="88"/>
      <c r="ALI30" s="88"/>
      <c r="ALJ30" s="88"/>
      <c r="ALK30" s="88"/>
      <c r="ALL30" s="88"/>
      <c r="ALM30" s="88"/>
      <c r="ALN30" s="88"/>
      <c r="ALO30" s="88"/>
      <c r="ALP30" s="88"/>
      <c r="ALQ30" s="88"/>
      <c r="ALR30" s="88"/>
      <c r="ALS30" s="88"/>
      <c r="ALT30" s="88"/>
      <c r="ALU30" s="88"/>
      <c r="ALV30" s="88"/>
      <c r="ALW30" s="88"/>
      <c r="ALX30" s="88"/>
      <c r="ALY30" s="88"/>
      <c r="ALZ30" s="88"/>
      <c r="AMA30" s="88"/>
      <c r="AMB30" s="88"/>
      <c r="AMC30" s="88"/>
      <c r="AMD30" s="88"/>
      <c r="AME30" s="88"/>
      <c r="AMF30" s="88"/>
      <c r="AMG30" s="88"/>
      <c r="AMH30" s="88"/>
      <c r="AMI30" s="88"/>
      <c r="AMJ30" s="88"/>
      <c r="AMK30" s="88"/>
      <c r="AML30" s="88"/>
      <c r="AMM30" s="88"/>
      <c r="AMN30" s="88"/>
      <c r="AMO30" s="88"/>
      <c r="AMP30" s="88"/>
      <c r="AMQ30" s="88"/>
      <c r="AMR30" s="88"/>
      <c r="AMS30" s="88"/>
      <c r="AMT30" s="88"/>
      <c r="AMU30" s="88"/>
      <c r="AMV30" s="88"/>
      <c r="AMW30" s="88"/>
      <c r="AMX30" s="88"/>
      <c r="AMY30" s="88"/>
      <c r="AMZ30" s="88"/>
      <c r="ANA30" s="88"/>
      <c r="ANB30" s="88"/>
      <c r="ANC30" s="88"/>
      <c r="AND30" s="88"/>
      <c r="ANE30" s="88"/>
      <c r="ANF30" s="88"/>
      <c r="ANG30" s="88"/>
      <c r="ANH30" s="88"/>
      <c r="ANI30" s="88"/>
      <c r="ANJ30" s="88"/>
      <c r="ANK30" s="88"/>
      <c r="ANL30" s="88"/>
      <c r="ANM30" s="88"/>
      <c r="ANN30" s="88"/>
      <c r="ANO30" s="88"/>
      <c r="ANP30" s="88"/>
      <c r="ANQ30" s="88"/>
      <c r="ANR30" s="88"/>
      <c r="ANS30" s="88"/>
      <c r="ANT30" s="88"/>
      <c r="ANU30" s="88"/>
      <c r="ANV30" s="88"/>
      <c r="ANW30" s="88"/>
      <c r="ANX30" s="88"/>
      <c r="ANY30" s="88"/>
      <c r="ANZ30" s="88"/>
      <c r="AOA30" s="88"/>
      <c r="AOB30" s="88"/>
      <c r="AOC30" s="88"/>
      <c r="AOD30" s="88"/>
      <c r="AOE30" s="88"/>
      <c r="AOF30" s="88"/>
      <c r="AOG30" s="88"/>
      <c r="AOH30" s="88"/>
      <c r="AOI30" s="88"/>
      <c r="AOJ30" s="88"/>
      <c r="AOK30" s="88"/>
      <c r="AOL30" s="88"/>
      <c r="AOM30" s="88"/>
      <c r="AON30" s="88"/>
      <c r="AOO30" s="88"/>
      <c r="AOP30" s="88"/>
      <c r="AOQ30" s="88"/>
      <c r="AOR30" s="88"/>
      <c r="AOS30" s="88"/>
      <c r="AOT30" s="88"/>
      <c r="AOU30" s="88"/>
      <c r="AOV30" s="88"/>
      <c r="AOW30" s="88"/>
      <c r="AOX30" s="88"/>
      <c r="AOY30" s="88"/>
      <c r="AOZ30" s="88"/>
      <c r="APA30" s="88"/>
      <c r="APB30" s="88"/>
      <c r="APC30" s="88"/>
      <c r="APD30" s="88"/>
      <c r="APE30" s="88"/>
      <c r="APF30" s="88"/>
      <c r="APG30" s="88"/>
      <c r="APH30" s="88"/>
      <c r="API30" s="88"/>
      <c r="APJ30" s="88"/>
      <c r="APK30" s="88"/>
      <c r="APL30" s="88"/>
      <c r="APM30" s="88"/>
      <c r="APN30" s="88"/>
      <c r="APO30" s="88"/>
      <c r="APP30" s="88"/>
      <c r="APQ30" s="88"/>
      <c r="APR30" s="88"/>
      <c r="APS30" s="88"/>
      <c r="APT30" s="88"/>
      <c r="APU30" s="88"/>
      <c r="APV30" s="88"/>
      <c r="APW30" s="88"/>
      <c r="APX30" s="88"/>
      <c r="APY30" s="88"/>
      <c r="APZ30" s="88"/>
      <c r="AQA30" s="88"/>
      <c r="AQB30" s="88"/>
      <c r="AQC30" s="88"/>
      <c r="AQD30" s="88"/>
      <c r="AQE30" s="88"/>
      <c r="AQF30" s="88"/>
      <c r="AQG30" s="88"/>
      <c r="AQH30" s="88"/>
      <c r="AQI30" s="88"/>
      <c r="AQJ30" s="88"/>
      <c r="AQK30" s="88"/>
      <c r="AQL30" s="88"/>
      <c r="AQM30" s="88"/>
      <c r="AQN30" s="88"/>
      <c r="AQO30" s="88"/>
      <c r="AQP30" s="88"/>
      <c r="AQQ30" s="88"/>
      <c r="AQR30" s="88"/>
      <c r="AQS30" s="88"/>
      <c r="AQT30" s="88"/>
      <c r="AQU30" s="88"/>
      <c r="AQV30" s="88"/>
      <c r="AQW30" s="88"/>
      <c r="AQX30" s="88"/>
      <c r="AQY30" s="88"/>
      <c r="AQZ30" s="88"/>
      <c r="ARA30" s="88"/>
      <c r="ARB30" s="88"/>
      <c r="ARC30" s="88"/>
      <c r="ARD30" s="88"/>
      <c r="ARE30" s="88"/>
      <c r="ARF30" s="88"/>
      <c r="ARG30" s="88"/>
      <c r="ARH30" s="88"/>
      <c r="ARI30" s="88"/>
      <c r="ARJ30" s="88"/>
      <c r="ARK30" s="88"/>
      <c r="ARL30" s="88"/>
      <c r="ARM30" s="88"/>
      <c r="ARN30" s="88"/>
      <c r="ARO30" s="88"/>
      <c r="ARP30" s="88"/>
      <c r="ARQ30" s="88"/>
      <c r="ARR30" s="88"/>
      <c r="ARS30" s="88"/>
      <c r="ART30" s="88"/>
      <c r="ARU30" s="88"/>
      <c r="ARV30" s="88"/>
      <c r="ARW30" s="88"/>
      <c r="ARX30" s="88"/>
      <c r="ARY30" s="88"/>
      <c r="ARZ30" s="88"/>
      <c r="ASA30" s="88"/>
      <c r="ASB30" s="88"/>
      <c r="ASC30" s="88"/>
      <c r="ASD30" s="88"/>
      <c r="ASE30" s="88"/>
      <c r="ASF30" s="88"/>
      <c r="ASG30" s="88"/>
      <c r="ASH30" s="88"/>
      <c r="ASI30" s="88"/>
      <c r="ASJ30" s="88"/>
      <c r="ASK30" s="88"/>
      <c r="ASL30" s="88"/>
      <c r="ASM30" s="88"/>
      <c r="ASN30" s="88"/>
      <c r="ASO30" s="88"/>
      <c r="ASP30" s="88"/>
      <c r="ASQ30" s="88"/>
      <c r="ASR30" s="88"/>
      <c r="ASS30" s="88"/>
      <c r="AST30" s="88"/>
      <c r="ASU30" s="88"/>
      <c r="ASV30" s="88"/>
      <c r="ASW30" s="88"/>
      <c r="ASX30" s="88"/>
      <c r="ASY30" s="88"/>
      <c r="ASZ30" s="88"/>
      <c r="ATA30" s="88"/>
      <c r="ATB30" s="88"/>
      <c r="ATC30" s="88"/>
      <c r="ATD30" s="88"/>
      <c r="ATE30" s="88"/>
      <c r="ATF30" s="88"/>
      <c r="ATG30" s="88"/>
      <c r="ATH30" s="88"/>
      <c r="ATI30" s="88"/>
      <c r="ATJ30" s="88"/>
      <c r="ATK30" s="88"/>
      <c r="ATL30" s="88"/>
      <c r="ATM30" s="88"/>
      <c r="ATN30" s="88"/>
      <c r="ATO30" s="88"/>
      <c r="ATP30" s="88"/>
      <c r="ATQ30" s="88"/>
      <c r="ATR30" s="88"/>
      <c r="ATS30" s="88"/>
      <c r="ATT30" s="88"/>
      <c r="ATU30" s="88"/>
      <c r="ATV30" s="88"/>
      <c r="ATW30" s="88"/>
      <c r="ATX30" s="88"/>
      <c r="ATY30" s="88"/>
      <c r="ATZ30" s="88"/>
      <c r="AUA30" s="88"/>
      <c r="AUB30" s="88"/>
      <c r="AUC30" s="88"/>
      <c r="AUD30" s="88"/>
      <c r="AUE30" s="88"/>
      <c r="AUF30" s="88"/>
      <c r="AUG30" s="88"/>
      <c r="AUH30" s="88"/>
      <c r="AUI30" s="88"/>
      <c r="AUJ30" s="88"/>
      <c r="AUK30" s="88"/>
      <c r="AUL30" s="88"/>
      <c r="AUM30" s="88"/>
      <c r="AUN30" s="88"/>
      <c r="AUO30" s="88"/>
      <c r="AUP30" s="88"/>
      <c r="AUQ30" s="88"/>
      <c r="AUR30" s="88"/>
      <c r="AUS30" s="88"/>
      <c r="AUT30" s="88"/>
      <c r="AUU30" s="88"/>
      <c r="AUV30" s="88"/>
      <c r="AUW30" s="88"/>
      <c r="AUX30" s="88"/>
      <c r="AUY30" s="88"/>
      <c r="AUZ30" s="88"/>
      <c r="AVA30" s="88"/>
      <c r="AVB30" s="88"/>
      <c r="AVC30" s="88"/>
      <c r="AVD30" s="88"/>
      <c r="AVE30" s="88"/>
      <c r="AVF30" s="88"/>
      <c r="AVG30" s="88"/>
      <c r="AVH30" s="88"/>
      <c r="AVI30" s="88"/>
      <c r="AVJ30" s="88"/>
      <c r="AVK30" s="88"/>
      <c r="AVL30" s="88"/>
      <c r="AVM30" s="88"/>
      <c r="AVN30" s="88"/>
      <c r="AVO30" s="88"/>
      <c r="AVP30" s="88"/>
      <c r="AVQ30" s="88"/>
      <c r="AVR30" s="88"/>
      <c r="AVS30" s="88"/>
      <c r="AVT30" s="88"/>
      <c r="AVU30" s="88"/>
      <c r="AVV30" s="88"/>
      <c r="AVW30" s="88"/>
      <c r="AVX30" s="88"/>
      <c r="AVY30" s="88"/>
      <c r="AVZ30" s="88"/>
      <c r="AWA30" s="88"/>
      <c r="AWB30" s="88"/>
      <c r="AWC30" s="88"/>
      <c r="AWD30" s="88"/>
      <c r="AWE30" s="88"/>
      <c r="AWF30" s="88"/>
      <c r="AWG30" s="88"/>
      <c r="AWH30" s="88"/>
      <c r="AWI30" s="88"/>
      <c r="AWJ30" s="88"/>
      <c r="AWK30" s="88"/>
      <c r="AWL30" s="88"/>
      <c r="AWM30" s="88"/>
      <c r="AWN30" s="88"/>
      <c r="AWO30" s="88"/>
      <c r="AWP30" s="88"/>
      <c r="AWQ30" s="88"/>
      <c r="AWR30" s="88"/>
      <c r="AWS30" s="88"/>
      <c r="AWT30" s="88"/>
      <c r="AWU30" s="88"/>
      <c r="AWV30" s="88"/>
      <c r="AWW30" s="88"/>
      <c r="AWX30" s="88"/>
      <c r="AWY30" s="88"/>
      <c r="AWZ30" s="88"/>
      <c r="AXA30" s="88"/>
      <c r="AXB30" s="88"/>
      <c r="AXC30" s="88"/>
      <c r="AXD30" s="88"/>
      <c r="AXE30" s="88"/>
      <c r="AXF30" s="88"/>
      <c r="AXG30" s="88"/>
      <c r="AXH30" s="88"/>
      <c r="AXI30" s="88"/>
      <c r="AXJ30" s="88"/>
      <c r="AXK30" s="88"/>
      <c r="AXL30" s="88"/>
      <c r="AXM30" s="88"/>
      <c r="AXN30" s="88"/>
      <c r="AXO30" s="88"/>
      <c r="AXP30" s="88"/>
      <c r="AXQ30" s="88"/>
      <c r="AXR30" s="88"/>
      <c r="AXS30" s="88"/>
      <c r="AXT30" s="88"/>
      <c r="AXU30" s="88"/>
      <c r="AXV30" s="88"/>
      <c r="AXW30" s="88"/>
      <c r="AXX30" s="88"/>
      <c r="AXY30" s="88"/>
      <c r="AXZ30" s="88"/>
      <c r="AYA30" s="88"/>
      <c r="AYB30" s="88"/>
      <c r="AYC30" s="88"/>
      <c r="AYD30" s="88"/>
      <c r="AYE30" s="88"/>
      <c r="AYF30" s="88"/>
      <c r="AYG30" s="88"/>
      <c r="AYH30" s="88"/>
      <c r="AYI30" s="88"/>
      <c r="AYJ30" s="88"/>
      <c r="AYK30" s="88"/>
      <c r="AYL30" s="88"/>
      <c r="AYM30" s="88"/>
      <c r="AYN30" s="88"/>
      <c r="AYO30" s="88"/>
      <c r="AYP30" s="88"/>
      <c r="AYQ30" s="88"/>
      <c r="AYR30" s="88"/>
      <c r="AYS30" s="88"/>
      <c r="AYT30" s="88"/>
      <c r="AYU30" s="88"/>
      <c r="AYV30" s="88"/>
      <c r="AYW30" s="88"/>
      <c r="AYX30" s="88"/>
      <c r="AYY30" s="88"/>
      <c r="AYZ30" s="88"/>
      <c r="AZA30" s="88"/>
      <c r="AZB30" s="88"/>
      <c r="AZC30" s="88"/>
      <c r="AZD30" s="88"/>
      <c r="AZE30" s="88"/>
      <c r="AZF30" s="88"/>
      <c r="AZG30" s="88"/>
      <c r="AZH30" s="88"/>
      <c r="AZI30" s="88"/>
      <c r="AZJ30" s="88"/>
      <c r="AZK30" s="88"/>
      <c r="AZL30" s="88"/>
      <c r="AZM30" s="88"/>
      <c r="AZN30" s="88"/>
      <c r="AZO30" s="88"/>
      <c r="AZP30" s="88"/>
      <c r="AZQ30" s="88"/>
      <c r="AZR30" s="88"/>
      <c r="AZS30" s="88"/>
      <c r="AZT30" s="88"/>
      <c r="AZU30" s="88"/>
      <c r="AZV30" s="88"/>
      <c r="AZW30" s="88"/>
      <c r="AZX30" s="88"/>
      <c r="AZY30" s="88"/>
      <c r="AZZ30" s="88"/>
      <c r="BAA30" s="88"/>
      <c r="BAB30" s="88"/>
      <c r="BAC30" s="88"/>
      <c r="BAD30" s="88"/>
      <c r="BAE30" s="88"/>
      <c r="BAF30" s="88"/>
      <c r="BAG30" s="88"/>
      <c r="BAH30" s="88"/>
      <c r="BAI30" s="88"/>
      <c r="BAJ30" s="88"/>
      <c r="BAK30" s="88"/>
      <c r="BAL30" s="88"/>
      <c r="BAM30" s="88"/>
      <c r="BAN30" s="88"/>
      <c r="BAO30" s="88"/>
      <c r="BAP30" s="88"/>
      <c r="BAQ30" s="88"/>
      <c r="BAR30" s="88"/>
      <c r="BAS30" s="88"/>
      <c r="BAT30" s="88"/>
      <c r="BAU30" s="88"/>
      <c r="BAV30" s="88"/>
      <c r="BAW30" s="88"/>
      <c r="BAX30" s="88"/>
      <c r="BAY30" s="88"/>
      <c r="BAZ30" s="88"/>
      <c r="BBA30" s="88"/>
      <c r="BBB30" s="88"/>
      <c r="BBC30" s="88"/>
      <c r="BBD30" s="88"/>
      <c r="BBE30" s="88"/>
      <c r="BBF30" s="88"/>
      <c r="BBG30" s="88"/>
      <c r="BBH30" s="88"/>
      <c r="BBI30" s="88"/>
      <c r="BBJ30" s="88"/>
      <c r="BBK30" s="88"/>
      <c r="BBL30" s="88"/>
      <c r="BBM30" s="88"/>
      <c r="BBN30" s="88"/>
      <c r="BBO30" s="88"/>
      <c r="BBP30" s="88"/>
      <c r="BBQ30" s="88"/>
      <c r="BBR30" s="88"/>
      <c r="BBS30" s="88"/>
      <c r="BBT30" s="88"/>
      <c r="BBU30" s="88"/>
      <c r="BBV30" s="88"/>
      <c r="BBW30" s="88"/>
      <c r="BBX30" s="88"/>
      <c r="BBY30" s="88"/>
      <c r="BBZ30" s="88"/>
      <c r="BCA30" s="88"/>
      <c r="BCB30" s="88"/>
      <c r="BCC30" s="88"/>
      <c r="BCD30" s="88"/>
      <c r="BCE30" s="88"/>
      <c r="BCF30" s="88"/>
      <c r="BCG30" s="88"/>
      <c r="BCH30" s="88"/>
      <c r="BCI30" s="88"/>
      <c r="BCJ30" s="88"/>
      <c r="BCK30" s="88"/>
      <c r="BCL30" s="88"/>
      <c r="BCM30" s="88"/>
      <c r="BCN30" s="88"/>
      <c r="BCO30" s="88"/>
      <c r="BCP30" s="88"/>
      <c r="BCQ30" s="88"/>
      <c r="BCR30" s="88"/>
      <c r="BCS30" s="88"/>
      <c r="BCT30" s="88"/>
      <c r="BCU30" s="88"/>
      <c r="BCV30" s="88"/>
      <c r="BCW30" s="88"/>
      <c r="BCX30" s="88"/>
      <c r="BCY30" s="88"/>
      <c r="BCZ30" s="88"/>
      <c r="BDA30" s="88"/>
      <c r="BDB30" s="88"/>
      <c r="BDC30" s="88"/>
      <c r="BDD30" s="88"/>
      <c r="BDE30" s="88"/>
      <c r="BDF30" s="88"/>
      <c r="BDG30" s="88"/>
      <c r="BDH30" s="88"/>
      <c r="BDI30" s="88"/>
      <c r="BDJ30" s="88"/>
      <c r="BDK30" s="88"/>
      <c r="BDL30" s="88"/>
      <c r="BDM30" s="88"/>
      <c r="BDN30" s="88"/>
      <c r="BDO30" s="88"/>
      <c r="BDP30" s="88"/>
      <c r="BDQ30" s="88"/>
      <c r="BDR30" s="88"/>
      <c r="BDS30" s="88"/>
      <c r="BDT30" s="88"/>
      <c r="BDU30" s="88"/>
      <c r="BDV30" s="88"/>
      <c r="BDW30" s="88"/>
      <c r="BDX30" s="88"/>
      <c r="BDY30" s="88"/>
      <c r="BDZ30" s="88"/>
      <c r="BEA30" s="88"/>
      <c r="BEB30" s="88"/>
      <c r="BEC30" s="88"/>
      <c r="BED30" s="88"/>
      <c r="BEE30" s="88"/>
      <c r="BEF30" s="88"/>
      <c r="BEG30" s="88"/>
      <c r="BEH30" s="88"/>
      <c r="BEI30" s="88"/>
      <c r="BEJ30" s="88"/>
      <c r="BEK30" s="88"/>
      <c r="BEL30" s="88"/>
      <c r="BEM30" s="88"/>
      <c r="BEN30" s="88"/>
      <c r="BEO30" s="88"/>
      <c r="BEP30" s="88"/>
      <c r="BEQ30" s="88"/>
      <c r="BER30" s="88"/>
      <c r="BES30" s="88"/>
      <c r="BET30" s="88"/>
      <c r="BEU30" s="88"/>
      <c r="BEV30" s="88"/>
      <c r="BEW30" s="88"/>
      <c r="BEX30" s="88"/>
      <c r="BEY30" s="88"/>
      <c r="BEZ30" s="88"/>
      <c r="BFA30" s="88"/>
      <c r="BFB30" s="88"/>
      <c r="BFC30" s="88"/>
      <c r="BFD30" s="88"/>
      <c r="BFE30" s="88"/>
      <c r="BFF30" s="88"/>
      <c r="BFG30" s="88"/>
      <c r="BFH30" s="88"/>
      <c r="BFI30" s="88"/>
      <c r="BFJ30" s="88"/>
      <c r="BFK30" s="88"/>
      <c r="BFL30" s="88"/>
      <c r="BFM30" s="88"/>
      <c r="BFN30" s="88"/>
      <c r="BFO30" s="88"/>
      <c r="BFP30" s="88"/>
      <c r="BFQ30" s="88"/>
      <c r="BFR30" s="88"/>
      <c r="BFS30" s="88"/>
      <c r="BFT30" s="88"/>
      <c r="BFU30" s="88"/>
      <c r="BFV30" s="88"/>
      <c r="BFW30" s="88"/>
      <c r="BFX30" s="88"/>
      <c r="BFY30" s="88"/>
      <c r="BFZ30" s="88"/>
      <c r="BGA30" s="88"/>
      <c r="BGB30" s="88"/>
      <c r="BGC30" s="88"/>
      <c r="BGD30" s="88"/>
      <c r="BGE30" s="88"/>
      <c r="BGF30" s="88"/>
      <c r="BGG30" s="88"/>
      <c r="BGH30" s="88"/>
      <c r="BGI30" s="88"/>
      <c r="BGJ30" s="88"/>
      <c r="BGK30" s="88"/>
      <c r="BGL30" s="88"/>
      <c r="BGM30" s="88"/>
      <c r="BGN30" s="88"/>
      <c r="BGO30" s="88"/>
      <c r="BGP30" s="88"/>
      <c r="BGQ30" s="88"/>
      <c r="BGR30" s="88"/>
      <c r="BGS30" s="88"/>
      <c r="BGT30" s="88"/>
      <c r="BGU30" s="88"/>
      <c r="BGV30" s="88"/>
      <c r="BGW30" s="88"/>
      <c r="BGX30" s="88"/>
      <c r="BGY30" s="88"/>
      <c r="BGZ30" s="88"/>
      <c r="BHA30" s="88"/>
      <c r="BHB30" s="88"/>
      <c r="BHC30" s="88"/>
      <c r="BHD30" s="88"/>
      <c r="BHE30" s="88"/>
      <c r="BHF30" s="88"/>
      <c r="BHG30" s="88"/>
      <c r="BHH30" s="88"/>
      <c r="BHI30" s="88"/>
      <c r="BHJ30" s="88"/>
      <c r="BHK30" s="88"/>
      <c r="BHL30" s="88"/>
      <c r="BHM30" s="88"/>
      <c r="BHN30" s="88"/>
      <c r="BHO30" s="88"/>
      <c r="BHP30" s="88"/>
      <c r="BHQ30" s="88"/>
      <c r="BHR30" s="88"/>
      <c r="BHS30" s="88"/>
      <c r="BHT30" s="88"/>
      <c r="BHU30" s="88"/>
      <c r="BHV30" s="88"/>
      <c r="BHW30" s="88"/>
      <c r="BHX30" s="88"/>
      <c r="BHY30" s="88"/>
      <c r="BHZ30" s="88"/>
      <c r="BIA30" s="88"/>
      <c r="BIB30" s="88"/>
      <c r="BIC30" s="88"/>
      <c r="BID30" s="88"/>
      <c r="BIE30" s="88"/>
      <c r="BIF30" s="88"/>
      <c r="BIG30" s="88"/>
      <c r="BIH30" s="88"/>
      <c r="BII30" s="88"/>
      <c r="BIJ30" s="88"/>
      <c r="BIK30" s="88"/>
      <c r="BIL30" s="88"/>
      <c r="BIM30" s="88"/>
      <c r="BIN30" s="88"/>
      <c r="BIO30" s="88"/>
      <c r="BIP30" s="88"/>
      <c r="BIQ30" s="88"/>
      <c r="BIR30" s="88"/>
      <c r="BIS30" s="88"/>
      <c r="BIT30" s="88"/>
      <c r="BIU30" s="88"/>
      <c r="BIV30" s="88"/>
      <c r="BIW30" s="88"/>
      <c r="BIX30" s="88"/>
      <c r="BIY30" s="88"/>
      <c r="BIZ30" s="88"/>
      <c r="BJA30" s="88"/>
      <c r="BJB30" s="88"/>
      <c r="BJC30" s="88"/>
      <c r="BJD30" s="88"/>
      <c r="BJE30" s="88"/>
      <c r="BJF30" s="88"/>
      <c r="BJG30" s="88"/>
      <c r="BJH30" s="88"/>
      <c r="BJI30" s="88"/>
      <c r="BJJ30" s="88"/>
      <c r="BJK30" s="88"/>
      <c r="BJL30" s="88"/>
      <c r="BJM30" s="88"/>
      <c r="BJN30" s="88"/>
      <c r="BJO30" s="88"/>
      <c r="BJP30" s="88"/>
      <c r="BJQ30" s="88"/>
      <c r="BJR30" s="88"/>
      <c r="BJS30" s="88"/>
      <c r="BJT30" s="88"/>
      <c r="BJU30" s="88"/>
      <c r="BJV30" s="88"/>
      <c r="BJW30" s="88"/>
      <c r="BJX30" s="88"/>
      <c r="BJY30" s="88"/>
      <c r="BJZ30" s="88"/>
      <c r="BKA30" s="88"/>
      <c r="BKB30" s="88"/>
      <c r="BKC30" s="88"/>
      <c r="BKD30" s="88"/>
      <c r="BKE30" s="88"/>
      <c r="BKF30" s="88"/>
      <c r="BKG30" s="88"/>
      <c r="BKH30" s="88"/>
      <c r="BKI30" s="88"/>
      <c r="BKJ30" s="88"/>
      <c r="BKK30" s="88"/>
      <c r="BKL30" s="88"/>
      <c r="BKM30" s="88"/>
      <c r="BKN30" s="88"/>
      <c r="BKO30" s="88"/>
      <c r="BKP30" s="88"/>
      <c r="BKQ30" s="88"/>
      <c r="BKR30" s="88"/>
      <c r="BKS30" s="88"/>
      <c r="BKT30" s="88"/>
      <c r="BKU30" s="88"/>
      <c r="BKV30" s="88"/>
      <c r="BKW30" s="88"/>
      <c r="BKX30" s="88"/>
      <c r="BKY30" s="88"/>
      <c r="BKZ30" s="88"/>
      <c r="BLA30" s="88"/>
      <c r="BLB30" s="88"/>
      <c r="BLC30" s="88"/>
      <c r="BLD30" s="88"/>
      <c r="BLE30" s="88"/>
      <c r="BLF30" s="88"/>
      <c r="BLG30" s="88"/>
      <c r="BLH30" s="88"/>
      <c r="BLI30" s="88"/>
      <c r="BLJ30" s="88"/>
      <c r="BLK30" s="88"/>
      <c r="BLL30" s="88"/>
      <c r="BLM30" s="88"/>
      <c r="BLN30" s="88"/>
      <c r="BLO30" s="88"/>
      <c r="BLP30" s="88"/>
      <c r="BLQ30" s="88"/>
      <c r="BLR30" s="88"/>
      <c r="BLS30" s="88"/>
      <c r="BLT30" s="88"/>
      <c r="BLU30" s="88"/>
      <c r="BLV30" s="88"/>
      <c r="BLW30" s="88"/>
      <c r="BLX30" s="88"/>
      <c r="BLY30" s="88"/>
      <c r="BLZ30" s="88"/>
      <c r="BMA30" s="88"/>
      <c r="BMB30" s="88"/>
      <c r="BMC30" s="88"/>
      <c r="BMD30" s="88"/>
      <c r="BME30" s="88"/>
      <c r="BMF30" s="88"/>
      <c r="BMG30" s="88"/>
      <c r="BMH30" s="88"/>
      <c r="BMI30" s="88"/>
      <c r="BMJ30" s="88"/>
      <c r="BMK30" s="88"/>
      <c r="BML30" s="88"/>
      <c r="BMM30" s="88"/>
      <c r="BMN30" s="88"/>
      <c r="BMO30" s="88"/>
      <c r="BMP30" s="88"/>
      <c r="BMQ30" s="88"/>
      <c r="BMR30" s="88"/>
      <c r="BMS30" s="88"/>
      <c r="BMT30" s="88"/>
      <c r="BMU30" s="88"/>
      <c r="BMV30" s="88"/>
      <c r="BMW30" s="88"/>
      <c r="BMX30" s="88"/>
      <c r="BMY30" s="88"/>
      <c r="BMZ30" s="88"/>
      <c r="BNA30" s="88"/>
      <c r="BNB30" s="88"/>
      <c r="BNC30" s="88"/>
      <c r="BND30" s="88"/>
      <c r="BNE30" s="88"/>
      <c r="BNF30" s="88"/>
      <c r="BNG30" s="88"/>
      <c r="BNH30" s="88"/>
      <c r="BNI30" s="88"/>
      <c r="BNJ30" s="88"/>
      <c r="BNK30" s="88"/>
      <c r="BNL30" s="88"/>
      <c r="BNM30" s="88"/>
      <c r="BNN30" s="88"/>
      <c r="BNO30" s="88"/>
      <c r="BNP30" s="88"/>
      <c r="BNQ30" s="88"/>
      <c r="BNR30" s="88"/>
      <c r="BNS30" s="88"/>
      <c r="BNT30" s="88"/>
      <c r="BNU30" s="88"/>
      <c r="BNV30" s="88"/>
      <c r="BNW30" s="88"/>
      <c r="BNX30" s="88"/>
      <c r="BNY30" s="88"/>
      <c r="BNZ30" s="88"/>
      <c r="BOA30" s="88"/>
      <c r="BOB30" s="88"/>
      <c r="BOC30" s="88"/>
      <c r="BOD30" s="88"/>
      <c r="BOE30" s="88"/>
      <c r="BOF30" s="88"/>
      <c r="BOG30" s="88"/>
      <c r="BOH30" s="88"/>
      <c r="BOI30" s="88"/>
      <c r="BOJ30" s="88"/>
      <c r="BOK30" s="88"/>
      <c r="BOL30" s="88"/>
      <c r="BOM30" s="88"/>
      <c r="BON30" s="88"/>
      <c r="BOO30" s="88"/>
      <c r="BOP30" s="88"/>
      <c r="BOQ30" s="88"/>
      <c r="BOR30" s="88"/>
      <c r="BOS30" s="88"/>
      <c r="BOT30" s="88"/>
      <c r="BOU30" s="88"/>
      <c r="BOV30" s="88"/>
      <c r="BOW30" s="88"/>
      <c r="BOX30" s="88"/>
      <c r="BOY30" s="88"/>
      <c r="BOZ30" s="88"/>
      <c r="BPA30" s="88"/>
      <c r="BPB30" s="88"/>
      <c r="BPC30" s="88"/>
      <c r="BPD30" s="88"/>
      <c r="BPE30" s="88"/>
      <c r="BPF30" s="88"/>
      <c r="BPG30" s="88"/>
      <c r="BPH30" s="88"/>
      <c r="BPI30" s="88"/>
      <c r="BPJ30" s="88"/>
      <c r="BPK30" s="88"/>
      <c r="BPL30" s="88"/>
      <c r="BPM30" s="88"/>
      <c r="BPN30" s="88"/>
      <c r="BPO30" s="88"/>
      <c r="BPP30" s="88"/>
      <c r="BPQ30" s="88"/>
      <c r="BPR30" s="88"/>
      <c r="BPS30" s="88"/>
      <c r="BPT30" s="88"/>
      <c r="BPU30" s="88"/>
      <c r="BPV30" s="88"/>
      <c r="BPW30" s="88"/>
      <c r="BPX30" s="88"/>
      <c r="BPY30" s="88"/>
      <c r="BPZ30" s="88"/>
      <c r="BQA30" s="88"/>
      <c r="BQB30" s="88"/>
      <c r="BQC30" s="88"/>
      <c r="BQD30" s="88"/>
      <c r="BQE30" s="88"/>
      <c r="BQF30" s="88"/>
      <c r="BQG30" s="88"/>
      <c r="BQH30" s="88"/>
      <c r="BQI30" s="88"/>
      <c r="BQJ30" s="88"/>
      <c r="BQK30" s="88"/>
      <c r="BQL30" s="88"/>
      <c r="BQM30" s="88"/>
      <c r="BQN30" s="88"/>
      <c r="BQO30" s="88"/>
      <c r="BQP30" s="88"/>
      <c r="BQQ30" s="88"/>
      <c r="BQR30" s="88"/>
      <c r="BQS30" s="88"/>
      <c r="BQT30" s="88"/>
      <c r="BQU30" s="88"/>
      <c r="BQV30" s="88"/>
      <c r="BQW30" s="88"/>
      <c r="BQX30" s="88"/>
      <c r="BQY30" s="88"/>
      <c r="BQZ30" s="88"/>
      <c r="BRA30" s="88"/>
      <c r="BRB30" s="88"/>
      <c r="BRC30" s="88"/>
      <c r="BRD30" s="88"/>
      <c r="BRE30" s="88"/>
      <c r="BRF30" s="88"/>
      <c r="BRG30" s="88"/>
      <c r="BRH30" s="88"/>
      <c r="BRI30" s="88"/>
      <c r="BRJ30" s="88"/>
      <c r="BRK30" s="88"/>
      <c r="BRL30" s="88"/>
      <c r="BRM30" s="88"/>
      <c r="BRN30" s="88"/>
      <c r="BRO30" s="88"/>
      <c r="BRP30" s="88"/>
      <c r="BRQ30" s="88"/>
      <c r="BRR30" s="88"/>
      <c r="BRS30" s="88"/>
      <c r="BRT30" s="88"/>
      <c r="BRU30" s="88"/>
      <c r="BRV30" s="88"/>
      <c r="BRW30" s="88"/>
      <c r="BRX30" s="88"/>
      <c r="BRY30" s="88"/>
      <c r="BRZ30" s="88"/>
      <c r="BSA30" s="88"/>
      <c r="BSB30" s="88"/>
      <c r="BSC30" s="88"/>
      <c r="BSD30" s="88"/>
      <c r="BSE30" s="88"/>
      <c r="BSF30" s="88"/>
      <c r="BSG30" s="88"/>
      <c r="BSH30" s="88"/>
      <c r="BSI30" s="88"/>
      <c r="BSJ30" s="88"/>
      <c r="BSK30" s="88"/>
      <c r="BSL30" s="88"/>
      <c r="BSM30" s="88"/>
      <c r="BSN30" s="88"/>
      <c r="BSO30" s="88"/>
      <c r="BSP30" s="88"/>
      <c r="BSQ30" s="88"/>
      <c r="BSR30" s="88"/>
      <c r="BSS30" s="88"/>
      <c r="BST30" s="88"/>
      <c r="BSU30" s="88"/>
      <c r="BSV30" s="88"/>
      <c r="BSW30" s="88"/>
      <c r="BSX30" s="88"/>
      <c r="BSY30" s="88"/>
      <c r="BSZ30" s="88"/>
      <c r="BTA30" s="88"/>
      <c r="BTB30" s="88"/>
      <c r="BTC30" s="88"/>
      <c r="BTD30" s="88"/>
      <c r="BTE30" s="88"/>
      <c r="BTF30" s="88"/>
      <c r="BTG30" s="88"/>
      <c r="BTH30" s="88"/>
      <c r="BTI30" s="88"/>
      <c r="BTJ30" s="88"/>
      <c r="BTK30" s="88"/>
      <c r="BTL30" s="88"/>
      <c r="BTM30" s="88"/>
      <c r="BTN30" s="88"/>
      <c r="BTO30" s="88"/>
      <c r="BTP30" s="88"/>
      <c r="BTQ30" s="88"/>
      <c r="BTR30" s="88"/>
      <c r="BTS30" s="88"/>
      <c r="BTT30" s="88"/>
      <c r="BTU30" s="88"/>
      <c r="BTV30" s="88"/>
      <c r="BTW30" s="88"/>
      <c r="BTX30" s="88"/>
      <c r="BTY30" s="88"/>
      <c r="BTZ30" s="88"/>
      <c r="BUA30" s="88"/>
      <c r="BUB30" s="88"/>
      <c r="BUC30" s="88"/>
      <c r="BUD30" s="88"/>
      <c r="BUE30" s="88"/>
      <c r="BUF30" s="88"/>
      <c r="BUG30" s="88"/>
      <c r="BUH30" s="88"/>
      <c r="BUI30" s="88"/>
      <c r="BUJ30" s="88"/>
      <c r="BUK30" s="88"/>
      <c r="BUL30" s="88"/>
      <c r="BUM30" s="88"/>
      <c r="BUN30" s="88"/>
      <c r="BUO30" s="88"/>
      <c r="BUP30" s="88"/>
      <c r="BUQ30" s="88"/>
      <c r="BUR30" s="88"/>
      <c r="BUS30" s="88"/>
      <c r="BUT30" s="88"/>
      <c r="BUU30" s="88"/>
      <c r="BUV30" s="88"/>
      <c r="BUW30" s="88"/>
      <c r="BUX30" s="88"/>
      <c r="BUY30" s="88"/>
      <c r="BUZ30" s="88"/>
      <c r="BVA30" s="88"/>
      <c r="BVB30" s="88"/>
      <c r="BVC30" s="88"/>
      <c r="BVD30" s="88"/>
      <c r="BVE30" s="88"/>
      <c r="BVF30" s="88"/>
      <c r="BVG30" s="88"/>
      <c r="BVH30" s="88"/>
      <c r="BVI30" s="88"/>
      <c r="BVJ30" s="88"/>
      <c r="BVK30" s="88"/>
      <c r="BVL30" s="88"/>
      <c r="BVM30" s="88"/>
      <c r="BVN30" s="88"/>
      <c r="BVO30" s="88"/>
      <c r="BVP30" s="88"/>
      <c r="BVQ30" s="88"/>
      <c r="BVR30" s="88"/>
      <c r="BVS30" s="88"/>
      <c r="BVT30" s="88"/>
      <c r="BVU30" s="88"/>
      <c r="BVV30" s="88"/>
      <c r="BVW30" s="88"/>
      <c r="BVX30" s="88"/>
      <c r="BVY30" s="88"/>
      <c r="BVZ30" s="88"/>
      <c r="BWA30" s="88"/>
      <c r="BWB30" s="88"/>
      <c r="BWC30" s="88"/>
      <c r="BWD30" s="88"/>
      <c r="BWE30" s="88"/>
      <c r="BWF30" s="88"/>
      <c r="BWG30" s="88"/>
      <c r="BWH30" s="88"/>
      <c r="BWI30" s="88"/>
      <c r="BWJ30" s="88"/>
      <c r="BWK30" s="88"/>
      <c r="BWL30" s="88"/>
      <c r="BWM30" s="88"/>
      <c r="BWN30" s="88"/>
      <c r="BWO30" s="88"/>
      <c r="BWP30" s="88"/>
      <c r="BWQ30" s="88"/>
      <c r="BWR30" s="88"/>
      <c r="BWS30" s="88"/>
      <c r="BWT30" s="88"/>
      <c r="BWU30" s="88"/>
      <c r="BWV30" s="88"/>
      <c r="BWW30" s="88"/>
      <c r="BWX30" s="88"/>
      <c r="BWY30" s="88"/>
      <c r="BWZ30" s="88"/>
      <c r="BXA30" s="88"/>
      <c r="BXB30" s="88"/>
      <c r="BXC30" s="88"/>
      <c r="BXD30" s="88"/>
      <c r="BXE30" s="88"/>
      <c r="BXF30" s="88"/>
      <c r="BXG30" s="88"/>
      <c r="BXH30" s="88"/>
      <c r="BXI30" s="88"/>
      <c r="BXJ30" s="88"/>
      <c r="BXK30" s="88"/>
      <c r="BXL30" s="88"/>
      <c r="BXM30" s="88"/>
      <c r="BXN30" s="88"/>
      <c r="BXO30" s="88"/>
      <c r="BXP30" s="88"/>
      <c r="BXQ30" s="88"/>
      <c r="BXR30" s="88"/>
      <c r="BXS30" s="88"/>
      <c r="BXT30" s="88"/>
      <c r="BXU30" s="88"/>
      <c r="BXV30" s="88"/>
      <c r="BXW30" s="88"/>
      <c r="BXX30" s="88"/>
      <c r="BXY30" s="88"/>
      <c r="BXZ30" s="88"/>
      <c r="BYA30" s="88"/>
      <c r="BYB30" s="88"/>
      <c r="BYC30" s="88"/>
      <c r="BYD30" s="88"/>
      <c r="BYE30" s="88"/>
      <c r="BYF30" s="88"/>
      <c r="BYG30" s="88"/>
      <c r="BYH30" s="88"/>
      <c r="BYI30" s="88"/>
      <c r="BYJ30" s="88"/>
      <c r="BYK30" s="88"/>
      <c r="BYL30" s="88"/>
      <c r="BYM30" s="88"/>
      <c r="BYN30" s="88"/>
      <c r="BYO30" s="88"/>
      <c r="BYP30" s="88"/>
      <c r="BYQ30" s="88"/>
      <c r="BYR30" s="88"/>
      <c r="BYS30" s="88"/>
      <c r="BYT30" s="88"/>
      <c r="BYU30" s="88"/>
      <c r="BYV30" s="88"/>
      <c r="BYW30" s="88"/>
      <c r="BYX30" s="88"/>
      <c r="BYY30" s="88"/>
      <c r="BYZ30" s="88"/>
      <c r="BZA30" s="88"/>
      <c r="BZB30" s="88"/>
      <c r="BZC30" s="88"/>
      <c r="BZD30" s="88"/>
      <c r="BZE30" s="88"/>
      <c r="BZF30" s="88"/>
      <c r="BZG30" s="88"/>
      <c r="BZH30" s="88"/>
      <c r="BZI30" s="88"/>
      <c r="BZJ30" s="88"/>
      <c r="BZK30" s="88"/>
      <c r="BZL30" s="88"/>
      <c r="BZM30" s="88"/>
      <c r="BZN30" s="88"/>
      <c r="BZO30" s="88"/>
      <c r="BZP30" s="88"/>
      <c r="BZQ30" s="88"/>
      <c r="BZR30" s="88"/>
      <c r="BZS30" s="88"/>
      <c r="BZT30" s="88"/>
      <c r="BZU30" s="88"/>
      <c r="BZV30" s="88"/>
      <c r="BZW30" s="88"/>
      <c r="BZX30" s="88"/>
      <c r="BZY30" s="88"/>
      <c r="BZZ30" s="88"/>
      <c r="CAA30" s="88"/>
      <c r="CAB30" s="88"/>
      <c r="CAC30" s="88"/>
      <c r="CAD30" s="88"/>
      <c r="CAE30" s="88"/>
      <c r="CAF30" s="88"/>
      <c r="CAG30" s="88"/>
      <c r="CAH30" s="88"/>
      <c r="CAI30" s="88"/>
      <c r="CAJ30" s="88"/>
      <c r="CAK30" s="88"/>
      <c r="CAL30" s="88"/>
      <c r="CAM30" s="88"/>
      <c r="CAN30" s="88"/>
      <c r="CAO30" s="88"/>
      <c r="CAP30" s="88"/>
      <c r="CAQ30" s="88"/>
      <c r="CAR30" s="88"/>
      <c r="CAS30" s="88"/>
      <c r="CAT30" s="88"/>
      <c r="CAU30" s="88"/>
      <c r="CAV30" s="88"/>
      <c r="CAW30" s="88"/>
      <c r="CAX30" s="88"/>
      <c r="CAY30" s="88"/>
      <c r="CAZ30" s="88"/>
      <c r="CBA30" s="88"/>
      <c r="CBB30" s="88"/>
      <c r="CBC30" s="88"/>
      <c r="CBD30" s="88"/>
      <c r="CBE30" s="88"/>
      <c r="CBF30" s="88"/>
      <c r="CBG30" s="88"/>
      <c r="CBH30" s="88"/>
      <c r="CBI30" s="88"/>
      <c r="CBJ30" s="88"/>
      <c r="CBK30" s="88"/>
      <c r="CBL30" s="88"/>
      <c r="CBM30" s="88"/>
      <c r="CBN30" s="88"/>
      <c r="CBO30" s="88"/>
      <c r="CBP30" s="88"/>
      <c r="CBQ30" s="88"/>
      <c r="CBR30" s="88"/>
      <c r="CBS30" s="88"/>
      <c r="CBT30" s="88"/>
      <c r="CBU30" s="88"/>
      <c r="CBV30" s="88"/>
      <c r="CBW30" s="88"/>
      <c r="CBX30" s="88"/>
      <c r="CBY30" s="88"/>
      <c r="CBZ30" s="88"/>
      <c r="CCA30" s="88"/>
      <c r="CCB30" s="88"/>
      <c r="CCC30" s="88"/>
      <c r="CCD30" s="88"/>
      <c r="CCE30" s="88"/>
      <c r="CCF30" s="88"/>
      <c r="CCG30" s="88"/>
      <c r="CCH30" s="88"/>
      <c r="CCI30" s="88"/>
      <c r="CCJ30" s="88"/>
      <c r="CCK30" s="88"/>
      <c r="CCL30" s="88"/>
      <c r="CCM30" s="88"/>
      <c r="CCN30" s="88"/>
      <c r="CCO30" s="88"/>
      <c r="CCP30" s="88"/>
      <c r="CCQ30" s="88"/>
      <c r="CCR30" s="88"/>
      <c r="CCS30" s="88"/>
      <c r="CCT30" s="88"/>
      <c r="CCU30" s="88"/>
      <c r="CCV30" s="88"/>
      <c r="CCW30" s="88"/>
      <c r="CCX30" s="88"/>
      <c r="CCY30" s="88"/>
      <c r="CCZ30" s="88"/>
      <c r="CDA30" s="88"/>
      <c r="CDB30" s="88"/>
      <c r="CDC30" s="88"/>
      <c r="CDD30" s="88"/>
      <c r="CDE30" s="88"/>
      <c r="CDF30" s="88"/>
      <c r="CDG30" s="88"/>
      <c r="CDH30" s="88"/>
      <c r="CDI30" s="88"/>
      <c r="CDJ30" s="88"/>
      <c r="CDK30" s="88"/>
      <c r="CDL30" s="88"/>
      <c r="CDM30" s="88"/>
      <c r="CDN30" s="88"/>
      <c r="CDO30" s="88"/>
      <c r="CDP30" s="88"/>
      <c r="CDQ30" s="88"/>
      <c r="CDR30" s="88"/>
      <c r="CDS30" s="88"/>
      <c r="CDT30" s="88"/>
      <c r="CDU30" s="88"/>
      <c r="CDV30" s="88"/>
      <c r="CDW30" s="88"/>
      <c r="CDX30" s="88"/>
      <c r="CDY30" s="88"/>
      <c r="CDZ30" s="88"/>
      <c r="CEA30" s="88"/>
      <c r="CEB30" s="88"/>
      <c r="CEC30" s="88"/>
      <c r="CED30" s="88"/>
      <c r="CEE30" s="88"/>
      <c r="CEF30" s="88"/>
      <c r="CEG30" s="88"/>
      <c r="CEH30" s="88"/>
      <c r="CEI30" s="88"/>
      <c r="CEJ30" s="88"/>
      <c r="CEK30" s="88"/>
    </row>
    <row r="31" spans="1:2169" s="51" customFormat="1">
      <c r="A31" s="72" t="s">
        <v>2850</v>
      </c>
      <c r="B31" s="72" t="s">
        <v>2851</v>
      </c>
      <c r="C31" s="69" t="str">
        <f>IF('page 2'!$O$4="","",IF('page 2'!$O$4=Gestion!A31,1,0))</f>
        <v/>
      </c>
      <c r="D31" s="69" t="str">
        <f>IF('page 2'!$O$5="","",IF('page 2'!$O$5=Gestion!A31,1,0))</f>
        <v/>
      </c>
      <c r="E31" s="69" t="str">
        <f>IF('page 2'!$O$6="","",IF('page 2'!$O$6=Gestion!A31,1,0))</f>
        <v/>
      </c>
      <c r="F31" s="69" t="str">
        <f>IF('page 2'!$O$7="","",IF('page 2'!$O$7=Gestion!A31,1,0))</f>
        <v/>
      </c>
      <c r="G31" s="69" t="str">
        <f>IF('page 2'!$O$8="","",IF('page 2'!$O$8=Gestion!A31,1,0))</f>
        <v/>
      </c>
      <c r="H31" s="69" t="str">
        <f>IF('page 2'!$O$9="","",IF('page 2'!$O$9=Gestion!A31,1,0))</f>
        <v/>
      </c>
      <c r="I31" s="69" t="str">
        <f>IF('page 2'!$O$10="","",IF('page 2'!$O$10=Gestion!A31,1,0))</f>
        <v/>
      </c>
      <c r="J31" s="69" t="str">
        <f>IF('page 2'!$O$11="","",IF('page 2'!$O$11=Gestion!A31,1,0))</f>
        <v/>
      </c>
      <c r="K31" s="69" t="str">
        <f>IF('page 2'!$O$12="","",IF('page 2'!$O$12=Gestion!A31,1,0))</f>
        <v/>
      </c>
      <c r="L31" s="69" t="str">
        <f>IF('page 2'!$O$13="","",IF('page 2'!$O$13=Gestion!A31,1,0))</f>
        <v/>
      </c>
      <c r="M31" s="69" t="str">
        <f>IF('page 2'!$O$14="","",IF('page 2'!$O$14=Gestion!A31,1,0))</f>
        <v/>
      </c>
      <c r="N31" s="69" t="str">
        <f>IF('page 2'!$O$15="","",IF('page 2'!$O$15=Gestion!A31,1,0))</f>
        <v/>
      </c>
      <c r="O31" s="69" t="str">
        <f>IF('page 2'!$O$16="","",IF('page 2'!$O$16=Gestion!A31,1,0))</f>
        <v/>
      </c>
      <c r="P31" s="69" t="str">
        <f>IF('page 2'!$O$17="","",IF('page 2'!$O$17=Gestion!A31,1,0))</f>
        <v/>
      </c>
      <c r="Q31" s="69" t="str">
        <f>IF('page 2'!$O$18="","",IF('page 2'!$O$18=Gestion!A31,1,0))</f>
        <v/>
      </c>
      <c r="R31" s="69" t="str">
        <f>IF('page 2'!$O$19="","",IF('page 2'!$O$19=Gestion!A31,1,0))</f>
        <v/>
      </c>
      <c r="S31" s="69" t="str">
        <f>IF('page 2'!$O$20="","",IF('page 2'!$O$20=Gestion!A31,1,0))</f>
        <v/>
      </c>
      <c r="T31" s="69" t="str">
        <f>IF('page 2'!$O$25="","",IF('page 2'!$O$25=Gestion!A31,1,0))</f>
        <v/>
      </c>
      <c r="U31" s="69" t="str">
        <f>IF('page 2'!$O$26="","",IF('page 2'!$O$26=Gestion!A31,1,0))</f>
        <v/>
      </c>
      <c r="V31" s="69" t="str">
        <f>IF('page 2'!$O$27="","",IF('page 2'!$O$27=Gestion!A31,1,0))</f>
        <v/>
      </c>
      <c r="W31" s="723">
        <f t="shared" si="0"/>
        <v>0</v>
      </c>
      <c r="X31" s="713"/>
      <c r="Y31" s="69"/>
      <c r="Z31" s="69"/>
      <c r="AA31" s="69"/>
      <c r="AB31" s="542"/>
      <c r="AC31" s="542"/>
      <c r="AD31" s="542"/>
      <c r="AE31" s="88"/>
      <c r="AP31" s="130"/>
      <c r="AQ31" s="130"/>
      <c r="AR31" s="130"/>
      <c r="AS31" s="576"/>
      <c r="AT31" s="576"/>
      <c r="AU31" s="576"/>
      <c r="AV31" s="576"/>
      <c r="AW31" s="602"/>
      <c r="AX31" s="602"/>
      <c r="AY31" s="576"/>
      <c r="AZ31" s="576"/>
      <c r="BA31" s="576"/>
      <c r="BB31" s="576"/>
      <c r="BC31" s="576"/>
      <c r="BD31" s="469"/>
      <c r="BE31" s="602"/>
      <c r="BF31" s="602"/>
      <c r="BG31" s="602"/>
      <c r="BH31" s="602"/>
      <c r="BI31" s="602"/>
      <c r="BJ31" s="602"/>
      <c r="BK31" s="602"/>
      <c r="BL31" s="602"/>
      <c r="BM31" s="602"/>
      <c r="BN31" s="602"/>
      <c r="BO31" s="602"/>
      <c r="BP31" s="602"/>
      <c r="BQ31" s="602"/>
      <c r="BR31" s="602"/>
      <c r="BS31" s="576"/>
      <c r="BT31" s="576"/>
      <c r="BU31" s="576"/>
      <c r="BV31" s="576"/>
      <c r="BW31" s="602"/>
      <c r="BX31" s="602"/>
      <c r="BY31" s="602"/>
      <c r="BZ31" s="576"/>
      <c r="CA31" s="602"/>
      <c r="CB31" s="602"/>
      <c r="CC31" s="576"/>
      <c r="CD31" s="469"/>
      <c r="CE31" s="602"/>
      <c r="CF31" s="576"/>
      <c r="CG31" s="576"/>
      <c r="CH31" s="576"/>
      <c r="CI31" s="576"/>
      <c r="CJ31" s="576"/>
      <c r="CK31" s="602"/>
      <c r="CL31" s="602"/>
      <c r="CM31" s="576"/>
      <c r="CN31" s="602"/>
      <c r="CO31" s="602"/>
      <c r="CP31" s="602"/>
      <c r="CQ31" s="576"/>
      <c r="CR31" s="576"/>
      <c r="CS31" s="602"/>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c r="SK31" s="88"/>
      <c r="SL31" s="88"/>
      <c r="SM31" s="88"/>
      <c r="SN31" s="88"/>
      <c r="SO31" s="88"/>
      <c r="SP31" s="88"/>
      <c r="SQ31" s="88"/>
      <c r="SR31" s="88"/>
      <c r="SS31" s="88"/>
      <c r="ST31" s="88"/>
      <c r="SU31" s="88"/>
      <c r="SV31" s="88"/>
      <c r="SW31" s="88"/>
      <c r="SX31" s="88"/>
      <c r="SY31" s="88"/>
      <c r="SZ31" s="88"/>
      <c r="TA31" s="88"/>
      <c r="TB31" s="88"/>
      <c r="TC31" s="88"/>
      <c r="TD31" s="88"/>
      <c r="TE31" s="88"/>
      <c r="TF31" s="88"/>
      <c r="TG31" s="88"/>
      <c r="TH31" s="88"/>
      <c r="TI31" s="88"/>
      <c r="TJ31" s="88"/>
      <c r="TK31" s="88"/>
      <c r="TL31" s="88"/>
      <c r="TM31" s="88"/>
      <c r="TN31" s="88"/>
      <c r="TO31" s="88"/>
      <c r="TP31" s="88"/>
      <c r="TQ31" s="88"/>
      <c r="TR31" s="88"/>
      <c r="TS31" s="88"/>
      <c r="TT31" s="88"/>
      <c r="TU31" s="88"/>
      <c r="TV31" s="88"/>
      <c r="TW31" s="88"/>
      <c r="TX31" s="88"/>
      <c r="TY31" s="88"/>
      <c r="TZ31" s="88"/>
      <c r="UA31" s="88"/>
      <c r="UB31" s="88"/>
      <c r="UC31" s="88"/>
      <c r="UD31" s="88"/>
      <c r="UE31" s="88"/>
      <c r="UF31" s="88"/>
      <c r="UG31" s="88"/>
      <c r="UH31" s="88"/>
      <c r="UI31" s="88"/>
      <c r="UJ31" s="88"/>
      <c r="UK31" s="88"/>
      <c r="UL31" s="88"/>
      <c r="UM31" s="88"/>
      <c r="UN31" s="88"/>
      <c r="UO31" s="88"/>
      <c r="UP31" s="88"/>
      <c r="UQ31" s="88"/>
      <c r="UR31" s="88"/>
      <c r="US31" s="88"/>
      <c r="UT31" s="88"/>
      <c r="UU31" s="88"/>
      <c r="UV31" s="88"/>
      <c r="UW31" s="88"/>
      <c r="UX31" s="88"/>
      <c r="UY31" s="88"/>
      <c r="UZ31" s="88"/>
      <c r="VA31" s="88"/>
      <c r="VB31" s="88"/>
      <c r="VC31" s="88"/>
      <c r="VD31" s="88"/>
      <c r="VE31" s="88"/>
      <c r="VF31" s="88"/>
      <c r="VG31" s="88"/>
      <c r="VH31" s="88"/>
      <c r="VI31" s="88"/>
      <c r="VJ31" s="88"/>
      <c r="VK31" s="88"/>
      <c r="VL31" s="88"/>
      <c r="VM31" s="88"/>
      <c r="VN31" s="88"/>
      <c r="VO31" s="88"/>
      <c r="VP31" s="88"/>
      <c r="VQ31" s="88"/>
      <c r="VR31" s="88"/>
      <c r="VS31" s="88"/>
      <c r="VT31" s="88"/>
      <c r="VU31" s="88"/>
      <c r="VV31" s="88"/>
      <c r="VW31" s="88"/>
      <c r="VX31" s="88"/>
      <c r="VY31" s="88"/>
      <c r="VZ31" s="88"/>
      <c r="WA31" s="88"/>
      <c r="WB31" s="88"/>
      <c r="WC31" s="88"/>
      <c r="WD31" s="88"/>
      <c r="WE31" s="88"/>
      <c r="WF31" s="88"/>
      <c r="WG31" s="88"/>
      <c r="WH31" s="88"/>
      <c r="WI31" s="88"/>
      <c r="WJ31" s="88"/>
      <c r="WK31" s="88"/>
      <c r="WL31" s="88"/>
      <c r="WM31" s="88"/>
      <c r="WN31" s="88"/>
      <c r="WO31" s="88"/>
      <c r="WP31" s="88"/>
      <c r="WQ31" s="88"/>
      <c r="WR31" s="88"/>
      <c r="WS31" s="88"/>
      <c r="WT31" s="88"/>
      <c r="WU31" s="88"/>
      <c r="WV31" s="88"/>
      <c r="WW31" s="88"/>
      <c r="WX31" s="88"/>
      <c r="WY31" s="88"/>
      <c r="WZ31" s="88"/>
      <c r="XA31" s="88"/>
      <c r="XB31" s="88"/>
      <c r="XC31" s="88"/>
      <c r="XD31" s="88"/>
      <c r="XE31" s="88"/>
      <c r="XF31" s="88"/>
      <c r="XG31" s="88"/>
      <c r="XH31" s="88"/>
      <c r="XI31" s="88"/>
      <c r="XJ31" s="88"/>
      <c r="XK31" s="88"/>
      <c r="XL31" s="88"/>
      <c r="XM31" s="88"/>
      <c r="XN31" s="88"/>
      <c r="XO31" s="88"/>
      <c r="XP31" s="88"/>
      <c r="XQ31" s="88"/>
      <c r="XR31" s="88"/>
      <c r="XS31" s="88"/>
      <c r="XT31" s="88"/>
      <c r="XU31" s="88"/>
      <c r="XV31" s="88"/>
      <c r="XW31" s="88"/>
      <c r="XX31" s="88"/>
      <c r="XY31" s="88"/>
      <c r="XZ31" s="88"/>
      <c r="YA31" s="88"/>
      <c r="YB31" s="88"/>
      <c r="YC31" s="88"/>
      <c r="YD31" s="88"/>
      <c r="YE31" s="88"/>
      <c r="YF31" s="88"/>
      <c r="YG31" s="88"/>
      <c r="YH31" s="88"/>
      <c r="YI31" s="88"/>
      <c r="YJ31" s="88"/>
      <c r="YK31" s="88"/>
      <c r="YL31" s="88"/>
      <c r="YM31" s="88"/>
      <c r="YN31" s="88"/>
      <c r="YO31" s="88"/>
      <c r="YP31" s="88"/>
      <c r="YQ31" s="88"/>
      <c r="YR31" s="88"/>
      <c r="YS31" s="88"/>
      <c r="YT31" s="88"/>
      <c r="YU31" s="88"/>
      <c r="YV31" s="88"/>
      <c r="YW31" s="88"/>
      <c r="YX31" s="88"/>
      <c r="YY31" s="88"/>
      <c r="YZ31" s="88"/>
      <c r="ZA31" s="88"/>
      <c r="ZB31" s="88"/>
      <c r="ZC31" s="88"/>
      <c r="ZD31" s="88"/>
      <c r="ZE31" s="88"/>
      <c r="ZF31" s="88"/>
      <c r="ZG31" s="88"/>
      <c r="ZH31" s="88"/>
      <c r="ZI31" s="88"/>
      <c r="ZJ31" s="88"/>
      <c r="ZK31" s="88"/>
      <c r="ZL31" s="88"/>
      <c r="ZM31" s="88"/>
      <c r="ZN31" s="88"/>
      <c r="ZO31" s="88"/>
      <c r="ZP31" s="88"/>
      <c r="ZQ31" s="88"/>
      <c r="ZR31" s="88"/>
      <c r="ZS31" s="88"/>
      <c r="ZT31" s="88"/>
      <c r="ZU31" s="88"/>
      <c r="ZV31" s="88"/>
      <c r="ZW31" s="88"/>
      <c r="ZX31" s="88"/>
      <c r="ZY31" s="88"/>
      <c r="ZZ31" s="88"/>
      <c r="AAA31" s="88"/>
      <c r="AAB31" s="88"/>
      <c r="AAC31" s="88"/>
      <c r="AAD31" s="88"/>
      <c r="AAE31" s="88"/>
      <c r="AAF31" s="88"/>
      <c r="AAG31" s="88"/>
      <c r="AAH31" s="88"/>
      <c r="AAI31" s="88"/>
      <c r="AAJ31" s="88"/>
      <c r="AAK31" s="88"/>
      <c r="AAL31" s="88"/>
      <c r="AAM31" s="88"/>
      <c r="AAN31" s="88"/>
      <c r="AAO31" s="88"/>
      <c r="AAP31" s="88"/>
      <c r="AAQ31" s="88"/>
      <c r="AAR31" s="88"/>
      <c r="AAS31" s="88"/>
      <c r="AAT31" s="88"/>
      <c r="AAU31" s="88"/>
      <c r="AAV31" s="88"/>
      <c r="AAW31" s="88"/>
      <c r="AAX31" s="88"/>
      <c r="AAY31" s="88"/>
      <c r="AAZ31" s="88"/>
      <c r="ABA31" s="88"/>
      <c r="ABB31" s="88"/>
      <c r="ABC31" s="88"/>
      <c r="ABD31" s="88"/>
      <c r="ABE31" s="88"/>
      <c r="ABF31" s="88"/>
      <c r="ABG31" s="88"/>
      <c r="ABH31" s="88"/>
      <c r="ABI31" s="88"/>
      <c r="ABJ31" s="88"/>
      <c r="ABK31" s="88"/>
      <c r="ABL31" s="88"/>
      <c r="ABM31" s="88"/>
      <c r="ABN31" s="88"/>
      <c r="ABO31" s="88"/>
      <c r="ABP31" s="88"/>
      <c r="ABQ31" s="88"/>
      <c r="ABR31" s="88"/>
      <c r="ABS31" s="88"/>
      <c r="ABT31" s="88"/>
      <c r="ABU31" s="88"/>
      <c r="ABV31" s="88"/>
      <c r="ABW31" s="88"/>
      <c r="ABX31" s="88"/>
      <c r="ABY31" s="88"/>
      <c r="ABZ31" s="88"/>
      <c r="ACA31" s="88"/>
      <c r="ACB31" s="88"/>
      <c r="ACC31" s="88"/>
      <c r="ACD31" s="88"/>
      <c r="ACE31" s="88"/>
      <c r="ACF31" s="88"/>
      <c r="ACG31" s="88"/>
      <c r="ACH31" s="88"/>
      <c r="ACI31" s="88"/>
      <c r="ACJ31" s="88"/>
      <c r="ACK31" s="88"/>
      <c r="ACL31" s="88"/>
      <c r="ACM31" s="88"/>
      <c r="ACN31" s="88"/>
      <c r="ACO31" s="88"/>
      <c r="ACP31" s="88"/>
      <c r="ACQ31" s="88"/>
      <c r="ACR31" s="88"/>
      <c r="ACS31" s="88"/>
      <c r="ACT31" s="88"/>
      <c r="ACU31" s="88"/>
      <c r="ACV31" s="88"/>
      <c r="ACW31" s="88"/>
      <c r="ACX31" s="88"/>
      <c r="ACY31" s="88"/>
      <c r="ACZ31" s="88"/>
      <c r="ADA31" s="88"/>
      <c r="ADB31" s="88"/>
      <c r="ADC31" s="88"/>
      <c r="ADD31" s="88"/>
      <c r="ADE31" s="88"/>
      <c r="ADF31" s="88"/>
      <c r="ADG31" s="88"/>
      <c r="ADH31" s="88"/>
      <c r="ADI31" s="88"/>
      <c r="ADJ31" s="88"/>
      <c r="ADK31" s="88"/>
      <c r="ADL31" s="88"/>
      <c r="ADM31" s="88"/>
      <c r="ADN31" s="88"/>
      <c r="ADO31" s="88"/>
      <c r="ADP31" s="88"/>
      <c r="ADQ31" s="88"/>
      <c r="ADR31" s="88"/>
      <c r="ADS31" s="88"/>
      <c r="ADT31" s="88"/>
      <c r="ADU31" s="88"/>
      <c r="ADV31" s="88"/>
      <c r="ADW31" s="88"/>
      <c r="ADX31" s="88"/>
      <c r="ADY31" s="88"/>
      <c r="ADZ31" s="88"/>
      <c r="AEA31" s="88"/>
      <c r="AEB31" s="88"/>
      <c r="AEC31" s="88"/>
      <c r="AED31" s="88"/>
      <c r="AEE31" s="88"/>
      <c r="AEF31" s="88"/>
      <c r="AEG31" s="88"/>
      <c r="AEH31" s="88"/>
      <c r="AEI31" s="88"/>
      <c r="AEJ31" s="88"/>
      <c r="AEK31" s="88"/>
      <c r="AEL31" s="88"/>
      <c r="AEM31" s="88"/>
      <c r="AEN31" s="88"/>
      <c r="AEO31" s="88"/>
      <c r="AEP31" s="88"/>
      <c r="AEQ31" s="88"/>
      <c r="AER31" s="88"/>
      <c r="AES31" s="88"/>
      <c r="AET31" s="88"/>
      <c r="AEU31" s="88"/>
      <c r="AEV31" s="88"/>
      <c r="AEW31" s="88"/>
      <c r="AEX31" s="88"/>
      <c r="AEY31" s="88"/>
      <c r="AEZ31" s="88"/>
      <c r="AFA31" s="88"/>
      <c r="AFB31" s="88"/>
      <c r="AFC31" s="88"/>
      <c r="AFD31" s="88"/>
      <c r="AFE31" s="88"/>
      <c r="AFF31" s="88"/>
      <c r="AFG31" s="88"/>
      <c r="AFH31" s="88"/>
      <c r="AFI31" s="88"/>
      <c r="AFJ31" s="88"/>
      <c r="AFK31" s="88"/>
      <c r="AFL31" s="88"/>
      <c r="AFM31" s="88"/>
      <c r="AFN31" s="88"/>
      <c r="AFO31" s="88"/>
      <c r="AFP31" s="88"/>
      <c r="AFQ31" s="88"/>
      <c r="AFR31" s="88"/>
      <c r="AFS31" s="88"/>
      <c r="AFT31" s="88"/>
      <c r="AFU31" s="88"/>
      <c r="AFV31" s="88"/>
      <c r="AFW31" s="88"/>
      <c r="AFX31" s="88"/>
      <c r="AFY31" s="88"/>
      <c r="AFZ31" s="88"/>
      <c r="AGA31" s="88"/>
      <c r="AGB31" s="88"/>
      <c r="AGC31" s="88"/>
      <c r="AGD31" s="88"/>
      <c r="AGE31" s="88"/>
      <c r="AGF31" s="88"/>
      <c r="AGG31" s="88"/>
      <c r="AGH31" s="88"/>
      <c r="AGI31" s="88"/>
      <c r="AGJ31" s="88"/>
      <c r="AGK31" s="88"/>
      <c r="AGL31" s="88"/>
      <c r="AGM31" s="88"/>
      <c r="AGN31" s="88"/>
      <c r="AGO31" s="88"/>
      <c r="AGP31" s="88"/>
      <c r="AGQ31" s="88"/>
      <c r="AGR31" s="88"/>
      <c r="AGS31" s="88"/>
      <c r="AGT31" s="88"/>
      <c r="AGU31" s="88"/>
      <c r="AGV31" s="88"/>
      <c r="AGW31" s="88"/>
      <c r="AGX31" s="88"/>
      <c r="AGY31" s="88"/>
      <c r="AGZ31" s="88"/>
      <c r="AHA31" s="88"/>
      <c r="AHB31" s="88"/>
      <c r="AHC31" s="88"/>
      <c r="AHD31" s="88"/>
      <c r="AHE31" s="88"/>
      <c r="AHF31" s="88"/>
      <c r="AHG31" s="88"/>
      <c r="AHH31" s="88"/>
      <c r="AHI31" s="88"/>
      <c r="AHJ31" s="88"/>
      <c r="AHK31" s="88"/>
      <c r="AHL31" s="88"/>
      <c r="AHM31" s="88"/>
      <c r="AHN31" s="88"/>
      <c r="AHO31" s="88"/>
      <c r="AHP31" s="88"/>
      <c r="AHQ31" s="88"/>
      <c r="AHR31" s="88"/>
      <c r="AHS31" s="88"/>
      <c r="AHT31" s="88"/>
      <c r="AHU31" s="88"/>
      <c r="AHV31" s="88"/>
      <c r="AHW31" s="88"/>
      <c r="AHX31" s="88"/>
      <c r="AHY31" s="88"/>
      <c r="AHZ31" s="88"/>
      <c r="AIA31" s="88"/>
      <c r="AIB31" s="88"/>
      <c r="AIC31" s="88"/>
      <c r="AID31" s="88"/>
      <c r="AIE31" s="88"/>
      <c r="AIF31" s="88"/>
      <c r="AIG31" s="88"/>
      <c r="AIH31" s="88"/>
      <c r="AII31" s="88"/>
      <c r="AIJ31" s="88"/>
      <c r="AIK31" s="88"/>
      <c r="AIL31" s="88"/>
      <c r="AIM31" s="88"/>
      <c r="AIN31" s="88"/>
      <c r="AIO31" s="88"/>
      <c r="AIP31" s="88"/>
      <c r="AIQ31" s="88"/>
      <c r="AIR31" s="88"/>
      <c r="AIS31" s="88"/>
      <c r="AIT31" s="88"/>
      <c r="AIU31" s="88"/>
      <c r="AIV31" s="88"/>
      <c r="AIW31" s="88"/>
      <c r="AIX31" s="88"/>
      <c r="AIY31" s="88"/>
      <c r="AIZ31" s="88"/>
      <c r="AJA31" s="88"/>
      <c r="AJB31" s="88"/>
      <c r="AJC31" s="88"/>
      <c r="AJD31" s="88"/>
      <c r="AJE31" s="88"/>
      <c r="AJF31" s="88"/>
      <c r="AJG31" s="88"/>
      <c r="AJH31" s="88"/>
      <c r="AJI31" s="88"/>
      <c r="AJJ31" s="88"/>
      <c r="AJK31" s="88"/>
      <c r="AJL31" s="88"/>
      <c r="AJM31" s="88"/>
      <c r="AJN31" s="88"/>
      <c r="AJO31" s="88"/>
      <c r="AJP31" s="88"/>
      <c r="AJQ31" s="88"/>
      <c r="AJR31" s="88"/>
      <c r="AJS31" s="88"/>
      <c r="AJT31" s="88"/>
      <c r="AJU31" s="88"/>
      <c r="AJV31" s="88"/>
      <c r="AJW31" s="88"/>
      <c r="AJX31" s="88"/>
      <c r="AJY31" s="88"/>
      <c r="AJZ31" s="88"/>
      <c r="AKA31" s="88"/>
      <c r="AKB31" s="88"/>
      <c r="AKC31" s="88"/>
      <c r="AKD31" s="88"/>
      <c r="AKE31" s="88"/>
      <c r="AKF31" s="88"/>
      <c r="AKG31" s="88"/>
      <c r="AKH31" s="88"/>
      <c r="AKI31" s="88"/>
      <c r="AKJ31" s="88"/>
      <c r="AKK31" s="88"/>
      <c r="AKL31" s="88"/>
      <c r="AKM31" s="88"/>
      <c r="AKN31" s="88"/>
      <c r="AKO31" s="88"/>
      <c r="AKP31" s="88"/>
      <c r="AKQ31" s="88"/>
      <c r="AKR31" s="88"/>
      <c r="AKS31" s="88"/>
      <c r="AKT31" s="88"/>
      <c r="AKU31" s="88"/>
      <c r="AKV31" s="88"/>
      <c r="AKW31" s="88"/>
      <c r="AKX31" s="88"/>
      <c r="AKY31" s="88"/>
      <c r="AKZ31" s="88"/>
      <c r="ALA31" s="88"/>
      <c r="ALB31" s="88"/>
      <c r="ALC31" s="88"/>
      <c r="ALD31" s="88"/>
      <c r="ALE31" s="88"/>
      <c r="ALF31" s="88"/>
      <c r="ALG31" s="88"/>
      <c r="ALH31" s="88"/>
      <c r="ALI31" s="88"/>
      <c r="ALJ31" s="88"/>
      <c r="ALK31" s="88"/>
      <c r="ALL31" s="88"/>
      <c r="ALM31" s="88"/>
      <c r="ALN31" s="88"/>
      <c r="ALO31" s="88"/>
      <c r="ALP31" s="88"/>
      <c r="ALQ31" s="88"/>
      <c r="ALR31" s="88"/>
      <c r="ALS31" s="88"/>
      <c r="ALT31" s="88"/>
      <c r="ALU31" s="88"/>
      <c r="ALV31" s="88"/>
      <c r="ALW31" s="88"/>
      <c r="ALX31" s="88"/>
      <c r="ALY31" s="88"/>
      <c r="ALZ31" s="88"/>
      <c r="AMA31" s="88"/>
      <c r="AMB31" s="88"/>
      <c r="AMC31" s="88"/>
      <c r="AMD31" s="88"/>
      <c r="AME31" s="88"/>
      <c r="AMF31" s="88"/>
      <c r="AMG31" s="88"/>
      <c r="AMH31" s="88"/>
      <c r="AMI31" s="88"/>
      <c r="AMJ31" s="88"/>
      <c r="AMK31" s="88"/>
      <c r="AML31" s="88"/>
      <c r="AMM31" s="88"/>
      <c r="AMN31" s="88"/>
      <c r="AMO31" s="88"/>
      <c r="AMP31" s="88"/>
      <c r="AMQ31" s="88"/>
      <c r="AMR31" s="88"/>
      <c r="AMS31" s="88"/>
      <c r="AMT31" s="88"/>
      <c r="AMU31" s="88"/>
      <c r="AMV31" s="88"/>
      <c r="AMW31" s="88"/>
      <c r="AMX31" s="88"/>
      <c r="AMY31" s="88"/>
      <c r="AMZ31" s="88"/>
      <c r="ANA31" s="88"/>
      <c r="ANB31" s="88"/>
      <c r="ANC31" s="88"/>
      <c r="AND31" s="88"/>
      <c r="ANE31" s="88"/>
      <c r="ANF31" s="88"/>
      <c r="ANG31" s="88"/>
      <c r="ANH31" s="88"/>
      <c r="ANI31" s="88"/>
      <c r="ANJ31" s="88"/>
      <c r="ANK31" s="88"/>
      <c r="ANL31" s="88"/>
      <c r="ANM31" s="88"/>
      <c r="ANN31" s="88"/>
      <c r="ANO31" s="88"/>
      <c r="ANP31" s="88"/>
      <c r="ANQ31" s="88"/>
      <c r="ANR31" s="88"/>
      <c r="ANS31" s="88"/>
      <c r="ANT31" s="88"/>
      <c r="ANU31" s="88"/>
      <c r="ANV31" s="88"/>
      <c r="ANW31" s="88"/>
      <c r="ANX31" s="88"/>
      <c r="ANY31" s="88"/>
      <c r="ANZ31" s="88"/>
      <c r="AOA31" s="88"/>
      <c r="AOB31" s="88"/>
      <c r="AOC31" s="88"/>
      <c r="AOD31" s="88"/>
      <c r="AOE31" s="88"/>
      <c r="AOF31" s="88"/>
      <c r="AOG31" s="88"/>
      <c r="AOH31" s="88"/>
      <c r="AOI31" s="88"/>
      <c r="AOJ31" s="88"/>
      <c r="AOK31" s="88"/>
      <c r="AOL31" s="88"/>
      <c r="AOM31" s="88"/>
      <c r="AON31" s="88"/>
      <c r="AOO31" s="88"/>
      <c r="AOP31" s="88"/>
      <c r="AOQ31" s="88"/>
      <c r="AOR31" s="88"/>
      <c r="AOS31" s="88"/>
      <c r="AOT31" s="88"/>
      <c r="AOU31" s="88"/>
      <c r="AOV31" s="88"/>
      <c r="AOW31" s="88"/>
      <c r="AOX31" s="88"/>
      <c r="AOY31" s="88"/>
      <c r="AOZ31" s="88"/>
      <c r="APA31" s="88"/>
      <c r="APB31" s="88"/>
      <c r="APC31" s="88"/>
      <c r="APD31" s="88"/>
      <c r="APE31" s="88"/>
      <c r="APF31" s="88"/>
      <c r="APG31" s="88"/>
      <c r="APH31" s="88"/>
      <c r="API31" s="88"/>
      <c r="APJ31" s="88"/>
      <c r="APK31" s="88"/>
      <c r="APL31" s="88"/>
      <c r="APM31" s="88"/>
      <c r="APN31" s="88"/>
      <c r="APO31" s="88"/>
      <c r="APP31" s="88"/>
      <c r="APQ31" s="88"/>
      <c r="APR31" s="88"/>
      <c r="APS31" s="88"/>
      <c r="APT31" s="88"/>
      <c r="APU31" s="88"/>
      <c r="APV31" s="88"/>
      <c r="APW31" s="88"/>
      <c r="APX31" s="88"/>
      <c r="APY31" s="88"/>
      <c r="APZ31" s="88"/>
      <c r="AQA31" s="88"/>
      <c r="AQB31" s="88"/>
      <c r="AQC31" s="88"/>
      <c r="AQD31" s="88"/>
      <c r="AQE31" s="88"/>
      <c r="AQF31" s="88"/>
      <c r="AQG31" s="88"/>
      <c r="AQH31" s="88"/>
      <c r="AQI31" s="88"/>
      <c r="AQJ31" s="88"/>
      <c r="AQK31" s="88"/>
      <c r="AQL31" s="88"/>
      <c r="AQM31" s="88"/>
      <c r="AQN31" s="88"/>
      <c r="AQO31" s="88"/>
      <c r="AQP31" s="88"/>
      <c r="AQQ31" s="88"/>
      <c r="AQR31" s="88"/>
      <c r="AQS31" s="88"/>
      <c r="AQT31" s="88"/>
      <c r="AQU31" s="88"/>
      <c r="AQV31" s="88"/>
      <c r="AQW31" s="88"/>
      <c r="AQX31" s="88"/>
      <c r="AQY31" s="88"/>
      <c r="AQZ31" s="88"/>
      <c r="ARA31" s="88"/>
      <c r="ARB31" s="88"/>
      <c r="ARC31" s="88"/>
      <c r="ARD31" s="88"/>
      <c r="ARE31" s="88"/>
      <c r="ARF31" s="88"/>
      <c r="ARG31" s="88"/>
      <c r="ARH31" s="88"/>
      <c r="ARI31" s="88"/>
      <c r="ARJ31" s="88"/>
      <c r="ARK31" s="88"/>
      <c r="ARL31" s="88"/>
      <c r="ARM31" s="88"/>
      <c r="ARN31" s="88"/>
      <c r="ARO31" s="88"/>
      <c r="ARP31" s="88"/>
      <c r="ARQ31" s="88"/>
      <c r="ARR31" s="88"/>
      <c r="ARS31" s="88"/>
      <c r="ART31" s="88"/>
      <c r="ARU31" s="88"/>
      <c r="ARV31" s="88"/>
      <c r="ARW31" s="88"/>
      <c r="ARX31" s="88"/>
      <c r="ARY31" s="88"/>
      <c r="ARZ31" s="88"/>
      <c r="ASA31" s="88"/>
      <c r="ASB31" s="88"/>
      <c r="ASC31" s="88"/>
      <c r="ASD31" s="88"/>
      <c r="ASE31" s="88"/>
      <c r="ASF31" s="88"/>
      <c r="ASG31" s="88"/>
      <c r="ASH31" s="88"/>
      <c r="ASI31" s="88"/>
      <c r="ASJ31" s="88"/>
      <c r="ASK31" s="88"/>
      <c r="ASL31" s="88"/>
      <c r="ASM31" s="88"/>
      <c r="ASN31" s="88"/>
      <c r="ASO31" s="88"/>
      <c r="ASP31" s="88"/>
      <c r="ASQ31" s="88"/>
      <c r="ASR31" s="88"/>
      <c r="ASS31" s="88"/>
      <c r="AST31" s="88"/>
      <c r="ASU31" s="88"/>
      <c r="ASV31" s="88"/>
      <c r="ASW31" s="88"/>
      <c r="ASX31" s="88"/>
      <c r="ASY31" s="88"/>
      <c r="ASZ31" s="88"/>
      <c r="ATA31" s="88"/>
      <c r="ATB31" s="88"/>
      <c r="ATC31" s="88"/>
      <c r="ATD31" s="88"/>
      <c r="ATE31" s="88"/>
      <c r="ATF31" s="88"/>
      <c r="ATG31" s="88"/>
      <c r="ATH31" s="88"/>
      <c r="ATI31" s="88"/>
      <c r="ATJ31" s="88"/>
      <c r="ATK31" s="88"/>
      <c r="ATL31" s="88"/>
      <c r="ATM31" s="88"/>
      <c r="ATN31" s="88"/>
      <c r="ATO31" s="88"/>
      <c r="ATP31" s="88"/>
      <c r="ATQ31" s="88"/>
      <c r="ATR31" s="88"/>
      <c r="ATS31" s="88"/>
      <c r="ATT31" s="88"/>
      <c r="ATU31" s="88"/>
      <c r="ATV31" s="88"/>
      <c r="ATW31" s="88"/>
      <c r="ATX31" s="88"/>
      <c r="ATY31" s="88"/>
      <c r="ATZ31" s="88"/>
      <c r="AUA31" s="88"/>
      <c r="AUB31" s="88"/>
      <c r="AUC31" s="88"/>
      <c r="AUD31" s="88"/>
      <c r="AUE31" s="88"/>
      <c r="AUF31" s="88"/>
      <c r="AUG31" s="88"/>
      <c r="AUH31" s="88"/>
      <c r="AUI31" s="88"/>
      <c r="AUJ31" s="88"/>
      <c r="AUK31" s="88"/>
      <c r="AUL31" s="88"/>
      <c r="AUM31" s="88"/>
      <c r="AUN31" s="88"/>
      <c r="AUO31" s="88"/>
      <c r="AUP31" s="88"/>
      <c r="AUQ31" s="88"/>
      <c r="AUR31" s="88"/>
      <c r="AUS31" s="88"/>
      <c r="AUT31" s="88"/>
      <c r="AUU31" s="88"/>
      <c r="AUV31" s="88"/>
      <c r="AUW31" s="88"/>
      <c r="AUX31" s="88"/>
      <c r="AUY31" s="88"/>
      <c r="AUZ31" s="88"/>
      <c r="AVA31" s="88"/>
      <c r="AVB31" s="88"/>
      <c r="AVC31" s="88"/>
      <c r="AVD31" s="88"/>
      <c r="AVE31" s="88"/>
      <c r="AVF31" s="88"/>
      <c r="AVG31" s="88"/>
      <c r="AVH31" s="88"/>
      <c r="AVI31" s="88"/>
      <c r="AVJ31" s="88"/>
      <c r="AVK31" s="88"/>
      <c r="AVL31" s="88"/>
      <c r="AVM31" s="88"/>
      <c r="AVN31" s="88"/>
      <c r="AVO31" s="88"/>
      <c r="AVP31" s="88"/>
      <c r="AVQ31" s="88"/>
      <c r="AVR31" s="88"/>
      <c r="AVS31" s="88"/>
      <c r="AVT31" s="88"/>
      <c r="AVU31" s="88"/>
      <c r="AVV31" s="88"/>
      <c r="AVW31" s="88"/>
      <c r="AVX31" s="88"/>
      <c r="AVY31" s="88"/>
      <c r="AVZ31" s="88"/>
      <c r="AWA31" s="88"/>
      <c r="AWB31" s="88"/>
      <c r="AWC31" s="88"/>
      <c r="AWD31" s="88"/>
      <c r="AWE31" s="88"/>
      <c r="AWF31" s="88"/>
      <c r="AWG31" s="88"/>
      <c r="AWH31" s="88"/>
      <c r="AWI31" s="88"/>
      <c r="AWJ31" s="88"/>
      <c r="AWK31" s="88"/>
      <c r="AWL31" s="88"/>
      <c r="AWM31" s="88"/>
      <c r="AWN31" s="88"/>
      <c r="AWO31" s="88"/>
      <c r="AWP31" s="88"/>
      <c r="AWQ31" s="88"/>
      <c r="AWR31" s="88"/>
      <c r="AWS31" s="88"/>
      <c r="AWT31" s="88"/>
      <c r="AWU31" s="88"/>
      <c r="AWV31" s="88"/>
      <c r="AWW31" s="88"/>
      <c r="AWX31" s="88"/>
      <c r="AWY31" s="88"/>
      <c r="AWZ31" s="88"/>
      <c r="AXA31" s="88"/>
      <c r="AXB31" s="88"/>
      <c r="AXC31" s="88"/>
      <c r="AXD31" s="88"/>
      <c r="AXE31" s="88"/>
      <c r="AXF31" s="88"/>
      <c r="AXG31" s="88"/>
      <c r="AXH31" s="88"/>
      <c r="AXI31" s="88"/>
      <c r="AXJ31" s="88"/>
      <c r="AXK31" s="88"/>
      <c r="AXL31" s="88"/>
      <c r="AXM31" s="88"/>
      <c r="AXN31" s="88"/>
      <c r="AXO31" s="88"/>
      <c r="AXP31" s="88"/>
      <c r="AXQ31" s="88"/>
      <c r="AXR31" s="88"/>
      <c r="AXS31" s="88"/>
      <c r="AXT31" s="88"/>
      <c r="AXU31" s="88"/>
      <c r="AXV31" s="88"/>
      <c r="AXW31" s="88"/>
      <c r="AXX31" s="88"/>
      <c r="AXY31" s="88"/>
      <c r="AXZ31" s="88"/>
      <c r="AYA31" s="88"/>
      <c r="AYB31" s="88"/>
      <c r="AYC31" s="88"/>
      <c r="AYD31" s="88"/>
      <c r="AYE31" s="88"/>
      <c r="AYF31" s="88"/>
      <c r="AYG31" s="88"/>
      <c r="AYH31" s="88"/>
      <c r="AYI31" s="88"/>
      <c r="AYJ31" s="88"/>
      <c r="AYK31" s="88"/>
      <c r="AYL31" s="88"/>
      <c r="AYM31" s="88"/>
      <c r="AYN31" s="88"/>
      <c r="AYO31" s="88"/>
      <c r="AYP31" s="88"/>
      <c r="AYQ31" s="88"/>
      <c r="AYR31" s="88"/>
      <c r="AYS31" s="88"/>
      <c r="AYT31" s="88"/>
      <c r="AYU31" s="88"/>
      <c r="AYV31" s="88"/>
      <c r="AYW31" s="88"/>
      <c r="AYX31" s="88"/>
      <c r="AYY31" s="88"/>
      <c r="AYZ31" s="88"/>
      <c r="AZA31" s="88"/>
      <c r="AZB31" s="88"/>
      <c r="AZC31" s="88"/>
      <c r="AZD31" s="88"/>
      <c r="AZE31" s="88"/>
      <c r="AZF31" s="88"/>
      <c r="AZG31" s="88"/>
      <c r="AZH31" s="88"/>
      <c r="AZI31" s="88"/>
      <c r="AZJ31" s="88"/>
      <c r="AZK31" s="88"/>
      <c r="AZL31" s="88"/>
      <c r="AZM31" s="88"/>
      <c r="AZN31" s="88"/>
      <c r="AZO31" s="88"/>
      <c r="AZP31" s="88"/>
      <c r="AZQ31" s="88"/>
      <c r="AZR31" s="88"/>
      <c r="AZS31" s="88"/>
      <c r="AZT31" s="88"/>
      <c r="AZU31" s="88"/>
      <c r="AZV31" s="88"/>
      <c r="AZW31" s="88"/>
      <c r="AZX31" s="88"/>
      <c r="AZY31" s="88"/>
      <c r="AZZ31" s="88"/>
      <c r="BAA31" s="88"/>
      <c r="BAB31" s="88"/>
      <c r="BAC31" s="88"/>
      <c r="BAD31" s="88"/>
      <c r="BAE31" s="88"/>
      <c r="BAF31" s="88"/>
      <c r="BAG31" s="88"/>
      <c r="BAH31" s="88"/>
      <c r="BAI31" s="88"/>
      <c r="BAJ31" s="88"/>
      <c r="BAK31" s="88"/>
      <c r="BAL31" s="88"/>
      <c r="BAM31" s="88"/>
      <c r="BAN31" s="88"/>
      <c r="BAO31" s="88"/>
      <c r="BAP31" s="88"/>
      <c r="BAQ31" s="88"/>
      <c r="BAR31" s="88"/>
      <c r="BAS31" s="88"/>
      <c r="BAT31" s="88"/>
      <c r="BAU31" s="88"/>
      <c r="BAV31" s="88"/>
      <c r="BAW31" s="88"/>
      <c r="BAX31" s="88"/>
      <c r="BAY31" s="88"/>
      <c r="BAZ31" s="88"/>
      <c r="BBA31" s="88"/>
      <c r="BBB31" s="88"/>
      <c r="BBC31" s="88"/>
      <c r="BBD31" s="88"/>
      <c r="BBE31" s="88"/>
      <c r="BBF31" s="88"/>
      <c r="BBG31" s="88"/>
      <c r="BBH31" s="88"/>
      <c r="BBI31" s="88"/>
      <c r="BBJ31" s="88"/>
      <c r="BBK31" s="88"/>
      <c r="BBL31" s="88"/>
      <c r="BBM31" s="88"/>
      <c r="BBN31" s="88"/>
      <c r="BBO31" s="88"/>
      <c r="BBP31" s="88"/>
      <c r="BBQ31" s="88"/>
      <c r="BBR31" s="88"/>
      <c r="BBS31" s="88"/>
      <c r="BBT31" s="88"/>
      <c r="BBU31" s="88"/>
      <c r="BBV31" s="88"/>
      <c r="BBW31" s="88"/>
      <c r="BBX31" s="88"/>
      <c r="BBY31" s="88"/>
      <c r="BBZ31" s="88"/>
      <c r="BCA31" s="88"/>
      <c r="BCB31" s="88"/>
      <c r="BCC31" s="88"/>
      <c r="BCD31" s="88"/>
      <c r="BCE31" s="88"/>
      <c r="BCF31" s="88"/>
      <c r="BCG31" s="88"/>
      <c r="BCH31" s="88"/>
      <c r="BCI31" s="88"/>
      <c r="BCJ31" s="88"/>
      <c r="BCK31" s="88"/>
      <c r="BCL31" s="88"/>
      <c r="BCM31" s="88"/>
      <c r="BCN31" s="88"/>
      <c r="BCO31" s="88"/>
      <c r="BCP31" s="88"/>
      <c r="BCQ31" s="88"/>
      <c r="BCR31" s="88"/>
      <c r="BCS31" s="88"/>
      <c r="BCT31" s="88"/>
      <c r="BCU31" s="88"/>
      <c r="BCV31" s="88"/>
      <c r="BCW31" s="88"/>
      <c r="BCX31" s="88"/>
      <c r="BCY31" s="88"/>
      <c r="BCZ31" s="88"/>
      <c r="BDA31" s="88"/>
      <c r="BDB31" s="88"/>
      <c r="BDC31" s="88"/>
      <c r="BDD31" s="88"/>
      <c r="BDE31" s="88"/>
      <c r="BDF31" s="88"/>
      <c r="BDG31" s="88"/>
      <c r="BDH31" s="88"/>
      <c r="BDI31" s="88"/>
      <c r="BDJ31" s="88"/>
      <c r="BDK31" s="88"/>
      <c r="BDL31" s="88"/>
      <c r="BDM31" s="88"/>
      <c r="BDN31" s="88"/>
      <c r="BDO31" s="88"/>
      <c r="BDP31" s="88"/>
      <c r="BDQ31" s="88"/>
      <c r="BDR31" s="88"/>
      <c r="BDS31" s="88"/>
      <c r="BDT31" s="88"/>
      <c r="BDU31" s="88"/>
      <c r="BDV31" s="88"/>
      <c r="BDW31" s="88"/>
      <c r="BDX31" s="88"/>
      <c r="BDY31" s="88"/>
      <c r="BDZ31" s="88"/>
      <c r="BEA31" s="88"/>
      <c r="BEB31" s="88"/>
      <c r="BEC31" s="88"/>
      <c r="BED31" s="88"/>
      <c r="BEE31" s="88"/>
      <c r="BEF31" s="88"/>
      <c r="BEG31" s="88"/>
      <c r="BEH31" s="88"/>
      <c r="BEI31" s="88"/>
      <c r="BEJ31" s="88"/>
      <c r="BEK31" s="88"/>
      <c r="BEL31" s="88"/>
      <c r="BEM31" s="88"/>
      <c r="BEN31" s="88"/>
      <c r="BEO31" s="88"/>
      <c r="BEP31" s="88"/>
      <c r="BEQ31" s="88"/>
      <c r="BER31" s="88"/>
      <c r="BES31" s="88"/>
      <c r="BET31" s="88"/>
      <c r="BEU31" s="88"/>
      <c r="BEV31" s="88"/>
      <c r="BEW31" s="88"/>
      <c r="BEX31" s="88"/>
      <c r="BEY31" s="88"/>
      <c r="BEZ31" s="88"/>
      <c r="BFA31" s="88"/>
      <c r="BFB31" s="88"/>
      <c r="BFC31" s="88"/>
      <c r="BFD31" s="88"/>
      <c r="BFE31" s="88"/>
      <c r="BFF31" s="88"/>
      <c r="BFG31" s="88"/>
      <c r="BFH31" s="88"/>
      <c r="BFI31" s="88"/>
      <c r="BFJ31" s="88"/>
      <c r="BFK31" s="88"/>
      <c r="BFL31" s="88"/>
      <c r="BFM31" s="88"/>
      <c r="BFN31" s="88"/>
      <c r="BFO31" s="88"/>
      <c r="BFP31" s="88"/>
      <c r="BFQ31" s="88"/>
      <c r="BFR31" s="88"/>
      <c r="BFS31" s="88"/>
      <c r="BFT31" s="88"/>
      <c r="BFU31" s="88"/>
      <c r="BFV31" s="88"/>
      <c r="BFW31" s="88"/>
      <c r="BFX31" s="88"/>
      <c r="BFY31" s="88"/>
      <c r="BFZ31" s="88"/>
      <c r="BGA31" s="88"/>
      <c r="BGB31" s="88"/>
      <c r="BGC31" s="88"/>
      <c r="BGD31" s="88"/>
      <c r="BGE31" s="88"/>
      <c r="BGF31" s="88"/>
      <c r="BGG31" s="88"/>
      <c r="BGH31" s="88"/>
      <c r="BGI31" s="88"/>
      <c r="BGJ31" s="88"/>
      <c r="BGK31" s="88"/>
      <c r="BGL31" s="88"/>
      <c r="BGM31" s="88"/>
      <c r="BGN31" s="88"/>
      <c r="BGO31" s="88"/>
      <c r="BGP31" s="88"/>
      <c r="BGQ31" s="88"/>
      <c r="BGR31" s="88"/>
      <c r="BGS31" s="88"/>
      <c r="BGT31" s="88"/>
      <c r="BGU31" s="88"/>
      <c r="BGV31" s="88"/>
      <c r="BGW31" s="88"/>
      <c r="BGX31" s="88"/>
      <c r="BGY31" s="88"/>
      <c r="BGZ31" s="88"/>
      <c r="BHA31" s="88"/>
      <c r="BHB31" s="88"/>
      <c r="BHC31" s="88"/>
      <c r="BHD31" s="88"/>
      <c r="BHE31" s="88"/>
      <c r="BHF31" s="88"/>
      <c r="BHG31" s="88"/>
      <c r="BHH31" s="88"/>
      <c r="BHI31" s="88"/>
      <c r="BHJ31" s="88"/>
      <c r="BHK31" s="88"/>
      <c r="BHL31" s="88"/>
      <c r="BHM31" s="88"/>
      <c r="BHN31" s="88"/>
      <c r="BHO31" s="88"/>
      <c r="BHP31" s="88"/>
      <c r="BHQ31" s="88"/>
      <c r="BHR31" s="88"/>
      <c r="BHS31" s="88"/>
      <c r="BHT31" s="88"/>
      <c r="BHU31" s="88"/>
      <c r="BHV31" s="88"/>
      <c r="BHW31" s="88"/>
      <c r="BHX31" s="88"/>
      <c r="BHY31" s="88"/>
      <c r="BHZ31" s="88"/>
      <c r="BIA31" s="88"/>
      <c r="BIB31" s="88"/>
      <c r="BIC31" s="88"/>
      <c r="BID31" s="88"/>
      <c r="BIE31" s="88"/>
      <c r="BIF31" s="88"/>
      <c r="BIG31" s="88"/>
      <c r="BIH31" s="88"/>
      <c r="BII31" s="88"/>
      <c r="BIJ31" s="88"/>
      <c r="BIK31" s="88"/>
      <c r="BIL31" s="88"/>
      <c r="BIM31" s="88"/>
      <c r="BIN31" s="88"/>
      <c r="BIO31" s="88"/>
      <c r="BIP31" s="88"/>
      <c r="BIQ31" s="88"/>
      <c r="BIR31" s="88"/>
      <c r="BIS31" s="88"/>
      <c r="BIT31" s="88"/>
      <c r="BIU31" s="88"/>
      <c r="BIV31" s="88"/>
      <c r="BIW31" s="88"/>
      <c r="BIX31" s="88"/>
      <c r="BIY31" s="88"/>
      <c r="BIZ31" s="88"/>
      <c r="BJA31" s="88"/>
      <c r="BJB31" s="88"/>
      <c r="BJC31" s="88"/>
      <c r="BJD31" s="88"/>
      <c r="BJE31" s="88"/>
      <c r="BJF31" s="88"/>
      <c r="BJG31" s="88"/>
      <c r="BJH31" s="88"/>
      <c r="BJI31" s="88"/>
      <c r="BJJ31" s="88"/>
      <c r="BJK31" s="88"/>
      <c r="BJL31" s="88"/>
      <c r="BJM31" s="88"/>
      <c r="BJN31" s="88"/>
      <c r="BJO31" s="88"/>
      <c r="BJP31" s="88"/>
      <c r="BJQ31" s="88"/>
      <c r="BJR31" s="88"/>
      <c r="BJS31" s="88"/>
      <c r="BJT31" s="88"/>
      <c r="BJU31" s="88"/>
      <c r="BJV31" s="88"/>
      <c r="BJW31" s="88"/>
      <c r="BJX31" s="88"/>
      <c r="BJY31" s="88"/>
      <c r="BJZ31" s="88"/>
      <c r="BKA31" s="88"/>
      <c r="BKB31" s="88"/>
      <c r="BKC31" s="88"/>
      <c r="BKD31" s="88"/>
      <c r="BKE31" s="88"/>
      <c r="BKF31" s="88"/>
      <c r="BKG31" s="88"/>
      <c r="BKH31" s="88"/>
      <c r="BKI31" s="88"/>
      <c r="BKJ31" s="88"/>
      <c r="BKK31" s="88"/>
      <c r="BKL31" s="88"/>
      <c r="BKM31" s="88"/>
      <c r="BKN31" s="88"/>
      <c r="BKO31" s="88"/>
      <c r="BKP31" s="88"/>
      <c r="BKQ31" s="88"/>
      <c r="BKR31" s="88"/>
      <c r="BKS31" s="88"/>
      <c r="BKT31" s="88"/>
      <c r="BKU31" s="88"/>
      <c r="BKV31" s="88"/>
      <c r="BKW31" s="88"/>
      <c r="BKX31" s="88"/>
      <c r="BKY31" s="88"/>
      <c r="BKZ31" s="88"/>
      <c r="BLA31" s="88"/>
      <c r="BLB31" s="88"/>
      <c r="BLC31" s="88"/>
      <c r="BLD31" s="88"/>
      <c r="BLE31" s="88"/>
      <c r="BLF31" s="88"/>
      <c r="BLG31" s="88"/>
      <c r="BLH31" s="88"/>
      <c r="BLI31" s="88"/>
      <c r="BLJ31" s="88"/>
      <c r="BLK31" s="88"/>
      <c r="BLL31" s="88"/>
      <c r="BLM31" s="88"/>
      <c r="BLN31" s="88"/>
      <c r="BLO31" s="88"/>
      <c r="BLP31" s="88"/>
      <c r="BLQ31" s="88"/>
      <c r="BLR31" s="88"/>
      <c r="BLS31" s="88"/>
      <c r="BLT31" s="88"/>
      <c r="BLU31" s="88"/>
      <c r="BLV31" s="88"/>
      <c r="BLW31" s="88"/>
      <c r="BLX31" s="88"/>
      <c r="BLY31" s="88"/>
      <c r="BLZ31" s="88"/>
      <c r="BMA31" s="88"/>
      <c r="BMB31" s="88"/>
      <c r="BMC31" s="88"/>
      <c r="BMD31" s="88"/>
      <c r="BME31" s="88"/>
      <c r="BMF31" s="88"/>
      <c r="BMG31" s="88"/>
      <c r="BMH31" s="88"/>
      <c r="BMI31" s="88"/>
      <c r="BMJ31" s="88"/>
      <c r="BMK31" s="88"/>
      <c r="BML31" s="88"/>
      <c r="BMM31" s="88"/>
      <c r="BMN31" s="88"/>
      <c r="BMO31" s="88"/>
      <c r="BMP31" s="88"/>
      <c r="BMQ31" s="88"/>
      <c r="BMR31" s="88"/>
      <c r="BMS31" s="88"/>
      <c r="BMT31" s="88"/>
      <c r="BMU31" s="88"/>
      <c r="BMV31" s="88"/>
      <c r="BMW31" s="88"/>
      <c r="BMX31" s="88"/>
      <c r="BMY31" s="88"/>
      <c r="BMZ31" s="88"/>
      <c r="BNA31" s="88"/>
      <c r="BNB31" s="88"/>
      <c r="BNC31" s="88"/>
      <c r="BND31" s="88"/>
      <c r="BNE31" s="88"/>
      <c r="BNF31" s="88"/>
      <c r="BNG31" s="88"/>
      <c r="BNH31" s="88"/>
      <c r="BNI31" s="88"/>
      <c r="BNJ31" s="88"/>
      <c r="BNK31" s="88"/>
      <c r="BNL31" s="88"/>
      <c r="BNM31" s="88"/>
      <c r="BNN31" s="88"/>
      <c r="BNO31" s="88"/>
      <c r="BNP31" s="88"/>
      <c r="BNQ31" s="88"/>
      <c r="BNR31" s="88"/>
      <c r="BNS31" s="88"/>
      <c r="BNT31" s="88"/>
      <c r="BNU31" s="88"/>
      <c r="BNV31" s="88"/>
      <c r="BNW31" s="88"/>
      <c r="BNX31" s="88"/>
      <c r="BNY31" s="88"/>
      <c r="BNZ31" s="88"/>
      <c r="BOA31" s="88"/>
      <c r="BOB31" s="88"/>
      <c r="BOC31" s="88"/>
      <c r="BOD31" s="88"/>
      <c r="BOE31" s="88"/>
      <c r="BOF31" s="88"/>
      <c r="BOG31" s="88"/>
      <c r="BOH31" s="88"/>
      <c r="BOI31" s="88"/>
      <c r="BOJ31" s="88"/>
      <c r="BOK31" s="88"/>
      <c r="BOL31" s="88"/>
      <c r="BOM31" s="88"/>
      <c r="BON31" s="88"/>
      <c r="BOO31" s="88"/>
      <c r="BOP31" s="88"/>
      <c r="BOQ31" s="88"/>
      <c r="BOR31" s="88"/>
      <c r="BOS31" s="88"/>
      <c r="BOT31" s="88"/>
      <c r="BOU31" s="88"/>
      <c r="BOV31" s="88"/>
      <c r="BOW31" s="88"/>
      <c r="BOX31" s="88"/>
      <c r="BOY31" s="88"/>
      <c r="BOZ31" s="88"/>
      <c r="BPA31" s="88"/>
      <c r="BPB31" s="88"/>
      <c r="BPC31" s="88"/>
      <c r="BPD31" s="88"/>
      <c r="BPE31" s="88"/>
      <c r="BPF31" s="88"/>
      <c r="BPG31" s="88"/>
      <c r="BPH31" s="88"/>
      <c r="BPI31" s="88"/>
      <c r="BPJ31" s="88"/>
      <c r="BPK31" s="88"/>
      <c r="BPL31" s="88"/>
      <c r="BPM31" s="88"/>
      <c r="BPN31" s="88"/>
      <c r="BPO31" s="88"/>
      <c r="BPP31" s="88"/>
      <c r="BPQ31" s="88"/>
      <c r="BPR31" s="88"/>
      <c r="BPS31" s="88"/>
      <c r="BPT31" s="88"/>
      <c r="BPU31" s="88"/>
      <c r="BPV31" s="88"/>
      <c r="BPW31" s="88"/>
      <c r="BPX31" s="88"/>
      <c r="BPY31" s="88"/>
      <c r="BPZ31" s="88"/>
      <c r="BQA31" s="88"/>
      <c r="BQB31" s="88"/>
      <c r="BQC31" s="88"/>
      <c r="BQD31" s="88"/>
      <c r="BQE31" s="88"/>
      <c r="BQF31" s="88"/>
      <c r="BQG31" s="88"/>
      <c r="BQH31" s="88"/>
      <c r="BQI31" s="88"/>
      <c r="BQJ31" s="88"/>
      <c r="BQK31" s="88"/>
      <c r="BQL31" s="88"/>
      <c r="BQM31" s="88"/>
      <c r="BQN31" s="88"/>
      <c r="BQO31" s="88"/>
      <c r="BQP31" s="88"/>
      <c r="BQQ31" s="88"/>
      <c r="BQR31" s="88"/>
      <c r="BQS31" s="88"/>
      <c r="BQT31" s="88"/>
      <c r="BQU31" s="88"/>
      <c r="BQV31" s="88"/>
      <c r="BQW31" s="88"/>
      <c r="BQX31" s="88"/>
      <c r="BQY31" s="88"/>
      <c r="BQZ31" s="88"/>
      <c r="BRA31" s="88"/>
      <c r="BRB31" s="88"/>
      <c r="BRC31" s="88"/>
      <c r="BRD31" s="88"/>
      <c r="BRE31" s="88"/>
      <c r="BRF31" s="88"/>
      <c r="BRG31" s="88"/>
      <c r="BRH31" s="88"/>
      <c r="BRI31" s="88"/>
      <c r="BRJ31" s="88"/>
      <c r="BRK31" s="88"/>
      <c r="BRL31" s="88"/>
      <c r="BRM31" s="88"/>
      <c r="BRN31" s="88"/>
      <c r="BRO31" s="88"/>
      <c r="BRP31" s="88"/>
      <c r="BRQ31" s="88"/>
      <c r="BRR31" s="88"/>
      <c r="BRS31" s="88"/>
      <c r="BRT31" s="88"/>
      <c r="BRU31" s="88"/>
      <c r="BRV31" s="88"/>
      <c r="BRW31" s="88"/>
      <c r="BRX31" s="88"/>
      <c r="BRY31" s="88"/>
      <c r="BRZ31" s="88"/>
      <c r="BSA31" s="88"/>
      <c r="BSB31" s="88"/>
      <c r="BSC31" s="88"/>
      <c r="BSD31" s="88"/>
      <c r="BSE31" s="88"/>
      <c r="BSF31" s="88"/>
      <c r="BSG31" s="88"/>
      <c r="BSH31" s="88"/>
      <c r="BSI31" s="88"/>
      <c r="BSJ31" s="88"/>
      <c r="BSK31" s="88"/>
      <c r="BSL31" s="88"/>
      <c r="BSM31" s="88"/>
      <c r="BSN31" s="88"/>
      <c r="BSO31" s="88"/>
      <c r="BSP31" s="88"/>
      <c r="BSQ31" s="88"/>
      <c r="BSR31" s="88"/>
      <c r="BSS31" s="88"/>
      <c r="BST31" s="88"/>
      <c r="BSU31" s="88"/>
      <c r="BSV31" s="88"/>
      <c r="BSW31" s="88"/>
      <c r="BSX31" s="88"/>
      <c r="BSY31" s="88"/>
      <c r="BSZ31" s="88"/>
      <c r="BTA31" s="88"/>
      <c r="BTB31" s="88"/>
      <c r="BTC31" s="88"/>
      <c r="BTD31" s="88"/>
      <c r="BTE31" s="88"/>
      <c r="BTF31" s="88"/>
      <c r="BTG31" s="88"/>
      <c r="BTH31" s="88"/>
      <c r="BTI31" s="88"/>
      <c r="BTJ31" s="88"/>
      <c r="BTK31" s="88"/>
      <c r="BTL31" s="88"/>
      <c r="BTM31" s="88"/>
      <c r="BTN31" s="88"/>
      <c r="BTO31" s="88"/>
      <c r="BTP31" s="88"/>
      <c r="BTQ31" s="88"/>
      <c r="BTR31" s="88"/>
      <c r="BTS31" s="88"/>
      <c r="BTT31" s="88"/>
      <c r="BTU31" s="88"/>
      <c r="BTV31" s="88"/>
      <c r="BTW31" s="88"/>
      <c r="BTX31" s="88"/>
      <c r="BTY31" s="88"/>
      <c r="BTZ31" s="88"/>
      <c r="BUA31" s="88"/>
      <c r="BUB31" s="88"/>
      <c r="BUC31" s="88"/>
      <c r="BUD31" s="88"/>
      <c r="BUE31" s="88"/>
      <c r="BUF31" s="88"/>
      <c r="BUG31" s="88"/>
      <c r="BUH31" s="88"/>
      <c r="BUI31" s="88"/>
      <c r="BUJ31" s="88"/>
      <c r="BUK31" s="88"/>
      <c r="BUL31" s="88"/>
      <c r="BUM31" s="88"/>
      <c r="BUN31" s="88"/>
      <c r="BUO31" s="88"/>
      <c r="BUP31" s="88"/>
      <c r="BUQ31" s="88"/>
      <c r="BUR31" s="88"/>
      <c r="BUS31" s="88"/>
      <c r="BUT31" s="88"/>
      <c r="BUU31" s="88"/>
      <c r="BUV31" s="88"/>
      <c r="BUW31" s="88"/>
      <c r="BUX31" s="88"/>
      <c r="BUY31" s="88"/>
      <c r="BUZ31" s="88"/>
      <c r="BVA31" s="88"/>
      <c r="BVB31" s="88"/>
      <c r="BVC31" s="88"/>
      <c r="BVD31" s="88"/>
      <c r="BVE31" s="88"/>
      <c r="BVF31" s="88"/>
      <c r="BVG31" s="88"/>
      <c r="BVH31" s="88"/>
      <c r="BVI31" s="88"/>
      <c r="BVJ31" s="88"/>
      <c r="BVK31" s="88"/>
      <c r="BVL31" s="88"/>
      <c r="BVM31" s="88"/>
      <c r="BVN31" s="88"/>
      <c r="BVO31" s="88"/>
      <c r="BVP31" s="88"/>
      <c r="BVQ31" s="88"/>
      <c r="BVR31" s="88"/>
      <c r="BVS31" s="88"/>
      <c r="BVT31" s="88"/>
      <c r="BVU31" s="88"/>
      <c r="BVV31" s="88"/>
      <c r="BVW31" s="88"/>
      <c r="BVX31" s="88"/>
      <c r="BVY31" s="88"/>
      <c r="BVZ31" s="88"/>
      <c r="BWA31" s="88"/>
      <c r="BWB31" s="88"/>
      <c r="BWC31" s="88"/>
      <c r="BWD31" s="88"/>
      <c r="BWE31" s="88"/>
      <c r="BWF31" s="88"/>
      <c r="BWG31" s="88"/>
      <c r="BWH31" s="88"/>
      <c r="BWI31" s="88"/>
      <c r="BWJ31" s="88"/>
      <c r="BWK31" s="88"/>
      <c r="BWL31" s="88"/>
      <c r="BWM31" s="88"/>
      <c r="BWN31" s="88"/>
      <c r="BWO31" s="88"/>
      <c r="BWP31" s="88"/>
      <c r="BWQ31" s="88"/>
      <c r="BWR31" s="88"/>
      <c r="BWS31" s="88"/>
      <c r="BWT31" s="88"/>
      <c r="BWU31" s="88"/>
      <c r="BWV31" s="88"/>
      <c r="BWW31" s="88"/>
      <c r="BWX31" s="88"/>
      <c r="BWY31" s="88"/>
      <c r="BWZ31" s="88"/>
      <c r="BXA31" s="88"/>
      <c r="BXB31" s="88"/>
      <c r="BXC31" s="88"/>
      <c r="BXD31" s="88"/>
      <c r="BXE31" s="88"/>
      <c r="BXF31" s="88"/>
      <c r="BXG31" s="88"/>
      <c r="BXH31" s="88"/>
      <c r="BXI31" s="88"/>
      <c r="BXJ31" s="88"/>
      <c r="BXK31" s="88"/>
      <c r="BXL31" s="88"/>
      <c r="BXM31" s="88"/>
      <c r="BXN31" s="88"/>
      <c r="BXO31" s="88"/>
      <c r="BXP31" s="88"/>
      <c r="BXQ31" s="88"/>
      <c r="BXR31" s="88"/>
      <c r="BXS31" s="88"/>
      <c r="BXT31" s="88"/>
      <c r="BXU31" s="88"/>
      <c r="BXV31" s="88"/>
      <c r="BXW31" s="88"/>
      <c r="BXX31" s="88"/>
      <c r="BXY31" s="88"/>
      <c r="BXZ31" s="88"/>
      <c r="BYA31" s="88"/>
      <c r="BYB31" s="88"/>
      <c r="BYC31" s="88"/>
      <c r="BYD31" s="88"/>
      <c r="BYE31" s="88"/>
      <c r="BYF31" s="88"/>
      <c r="BYG31" s="88"/>
      <c r="BYH31" s="88"/>
      <c r="BYI31" s="88"/>
      <c r="BYJ31" s="88"/>
      <c r="BYK31" s="88"/>
      <c r="BYL31" s="88"/>
      <c r="BYM31" s="88"/>
      <c r="BYN31" s="88"/>
      <c r="BYO31" s="88"/>
      <c r="BYP31" s="88"/>
      <c r="BYQ31" s="88"/>
      <c r="BYR31" s="88"/>
      <c r="BYS31" s="88"/>
      <c r="BYT31" s="88"/>
      <c r="BYU31" s="88"/>
      <c r="BYV31" s="88"/>
      <c r="BYW31" s="88"/>
      <c r="BYX31" s="88"/>
      <c r="BYY31" s="88"/>
      <c r="BYZ31" s="88"/>
      <c r="BZA31" s="88"/>
      <c r="BZB31" s="88"/>
      <c r="BZC31" s="88"/>
      <c r="BZD31" s="88"/>
      <c r="BZE31" s="88"/>
      <c r="BZF31" s="88"/>
      <c r="BZG31" s="88"/>
      <c r="BZH31" s="88"/>
      <c r="BZI31" s="88"/>
      <c r="BZJ31" s="88"/>
      <c r="BZK31" s="88"/>
      <c r="BZL31" s="88"/>
      <c r="BZM31" s="88"/>
      <c r="BZN31" s="88"/>
      <c r="BZO31" s="88"/>
      <c r="BZP31" s="88"/>
      <c r="BZQ31" s="88"/>
      <c r="BZR31" s="88"/>
      <c r="BZS31" s="88"/>
      <c r="BZT31" s="88"/>
      <c r="BZU31" s="88"/>
      <c r="BZV31" s="88"/>
      <c r="BZW31" s="88"/>
      <c r="BZX31" s="88"/>
      <c r="BZY31" s="88"/>
      <c r="BZZ31" s="88"/>
      <c r="CAA31" s="88"/>
      <c r="CAB31" s="88"/>
      <c r="CAC31" s="88"/>
      <c r="CAD31" s="88"/>
      <c r="CAE31" s="88"/>
      <c r="CAF31" s="88"/>
      <c r="CAG31" s="88"/>
      <c r="CAH31" s="88"/>
      <c r="CAI31" s="88"/>
      <c r="CAJ31" s="88"/>
      <c r="CAK31" s="88"/>
      <c r="CAL31" s="88"/>
      <c r="CAM31" s="88"/>
      <c r="CAN31" s="88"/>
      <c r="CAO31" s="88"/>
      <c r="CAP31" s="88"/>
      <c r="CAQ31" s="88"/>
      <c r="CAR31" s="88"/>
      <c r="CAS31" s="88"/>
      <c r="CAT31" s="88"/>
      <c r="CAU31" s="88"/>
      <c r="CAV31" s="88"/>
      <c r="CAW31" s="88"/>
      <c r="CAX31" s="88"/>
      <c r="CAY31" s="88"/>
      <c r="CAZ31" s="88"/>
      <c r="CBA31" s="88"/>
      <c r="CBB31" s="88"/>
      <c r="CBC31" s="88"/>
      <c r="CBD31" s="88"/>
      <c r="CBE31" s="88"/>
      <c r="CBF31" s="88"/>
      <c r="CBG31" s="88"/>
      <c r="CBH31" s="88"/>
      <c r="CBI31" s="88"/>
      <c r="CBJ31" s="88"/>
      <c r="CBK31" s="88"/>
      <c r="CBL31" s="88"/>
      <c r="CBM31" s="88"/>
      <c r="CBN31" s="88"/>
      <c r="CBO31" s="88"/>
      <c r="CBP31" s="88"/>
      <c r="CBQ31" s="88"/>
      <c r="CBR31" s="88"/>
      <c r="CBS31" s="88"/>
      <c r="CBT31" s="88"/>
      <c r="CBU31" s="88"/>
      <c r="CBV31" s="88"/>
      <c r="CBW31" s="88"/>
      <c r="CBX31" s="88"/>
      <c r="CBY31" s="88"/>
      <c r="CBZ31" s="88"/>
      <c r="CCA31" s="88"/>
      <c r="CCB31" s="88"/>
      <c r="CCC31" s="88"/>
      <c r="CCD31" s="88"/>
      <c r="CCE31" s="88"/>
      <c r="CCF31" s="88"/>
      <c r="CCG31" s="88"/>
      <c r="CCH31" s="88"/>
      <c r="CCI31" s="88"/>
      <c r="CCJ31" s="88"/>
      <c r="CCK31" s="88"/>
      <c r="CCL31" s="88"/>
      <c r="CCM31" s="88"/>
      <c r="CCN31" s="88"/>
      <c r="CCO31" s="88"/>
      <c r="CCP31" s="88"/>
      <c r="CCQ31" s="88"/>
      <c r="CCR31" s="88"/>
      <c r="CCS31" s="88"/>
      <c r="CCT31" s="88"/>
      <c r="CCU31" s="88"/>
      <c r="CCV31" s="88"/>
      <c r="CCW31" s="88"/>
      <c r="CCX31" s="88"/>
      <c r="CCY31" s="88"/>
      <c r="CCZ31" s="88"/>
      <c r="CDA31" s="88"/>
      <c r="CDB31" s="88"/>
      <c r="CDC31" s="88"/>
      <c r="CDD31" s="88"/>
      <c r="CDE31" s="88"/>
      <c r="CDF31" s="88"/>
      <c r="CDG31" s="88"/>
      <c r="CDH31" s="88"/>
      <c r="CDI31" s="88"/>
      <c r="CDJ31" s="88"/>
      <c r="CDK31" s="88"/>
      <c r="CDL31" s="88"/>
      <c r="CDM31" s="88"/>
      <c r="CDN31" s="88"/>
      <c r="CDO31" s="88"/>
      <c r="CDP31" s="88"/>
      <c r="CDQ31" s="88"/>
      <c r="CDR31" s="88"/>
      <c r="CDS31" s="88"/>
      <c r="CDT31" s="88"/>
      <c r="CDU31" s="88"/>
      <c r="CDV31" s="88"/>
      <c r="CDW31" s="88"/>
      <c r="CDX31" s="88"/>
      <c r="CDY31" s="88"/>
      <c r="CDZ31" s="88"/>
      <c r="CEA31" s="88"/>
      <c r="CEB31" s="88"/>
      <c r="CEC31" s="88"/>
      <c r="CED31" s="88"/>
      <c r="CEE31" s="88"/>
      <c r="CEF31" s="88"/>
      <c r="CEG31" s="88"/>
      <c r="CEH31" s="88"/>
      <c r="CEI31" s="88"/>
      <c r="CEJ31" s="88"/>
      <c r="CEK31" s="88"/>
    </row>
    <row r="32" spans="1:2169" s="51" customFormat="1">
      <c r="A32" s="69" t="s">
        <v>408</v>
      </c>
      <c r="B32" s="104" t="s">
        <v>5248</v>
      </c>
      <c r="C32" s="69" t="str">
        <f>IF('page 2'!$O$4="","",IF('page 2'!$O$4=Gestion!A32,1,0))</f>
        <v/>
      </c>
      <c r="D32" s="69" t="str">
        <f>IF('page 2'!$O$5="","",IF('page 2'!$O$5=Gestion!A32,1,0))</f>
        <v/>
      </c>
      <c r="E32" s="69" t="str">
        <f>IF('page 2'!$O$6="","",IF('page 2'!$O$6=Gestion!A32,1,0))</f>
        <v/>
      </c>
      <c r="F32" s="69" t="str">
        <f>IF('page 2'!$O$7="","",IF('page 2'!$O$7=Gestion!A32,1,0))</f>
        <v/>
      </c>
      <c r="G32" s="69" t="str">
        <f>IF('page 2'!$O$8="","",IF('page 2'!$O$8=Gestion!A32,1,0))</f>
        <v/>
      </c>
      <c r="H32" s="69" t="str">
        <f>IF('page 2'!$O$9="","",IF('page 2'!$O$9=Gestion!A32,1,0))</f>
        <v/>
      </c>
      <c r="I32" s="69" t="str">
        <f>IF('page 2'!$O$10="","",IF('page 2'!$O$10=Gestion!A32,1,0))</f>
        <v/>
      </c>
      <c r="J32" s="69" t="str">
        <f>IF('page 2'!$O$11="","",IF('page 2'!$O$11=Gestion!A32,1,0))</f>
        <v/>
      </c>
      <c r="K32" s="69" t="str">
        <f>IF('page 2'!$O$12="","",IF('page 2'!$O$12=Gestion!A32,1,0))</f>
        <v/>
      </c>
      <c r="L32" s="69" t="str">
        <f>IF('page 2'!$O$13="","",IF('page 2'!$O$13=Gestion!A32,1,0))</f>
        <v/>
      </c>
      <c r="M32" s="69" t="str">
        <f>IF('page 2'!$O$14="","",IF('page 2'!$O$14=Gestion!A32,1,0))</f>
        <v/>
      </c>
      <c r="N32" s="69" t="str">
        <f>IF('page 2'!$O$15="","",IF('page 2'!$O$15=Gestion!A32,1,0))</f>
        <v/>
      </c>
      <c r="O32" s="69" t="str">
        <f>IF('page 2'!$O$16="","",IF('page 2'!$O$16=Gestion!A32,1,0))</f>
        <v/>
      </c>
      <c r="P32" s="69" t="str">
        <f>IF('page 2'!$O$17="","",IF('page 2'!$O$17=Gestion!A32,1,0))</f>
        <v/>
      </c>
      <c r="Q32" s="69" t="str">
        <f>IF('page 2'!$O$18="","",IF('page 2'!$O$18=Gestion!A32,1,0))</f>
        <v/>
      </c>
      <c r="R32" s="69" t="str">
        <f>IF('page 2'!$O$19="","",IF('page 2'!$O$19=Gestion!A32,1,0))</f>
        <v/>
      </c>
      <c r="S32" s="69" t="str">
        <f>IF('page 2'!$O$20="","",IF('page 2'!$O$20=Gestion!A32,1,0))</f>
        <v/>
      </c>
      <c r="T32" s="69" t="str">
        <f>IF('page 2'!$O$25="","",IF('page 2'!$O$25=Gestion!A32,1,0))</f>
        <v/>
      </c>
      <c r="U32" s="69" t="str">
        <f>IF('page 2'!$O$26="","",IF('page 2'!$O$26=Gestion!A32,1,0))</f>
        <v/>
      </c>
      <c r="V32" s="69" t="str">
        <f>IF('page 2'!$O$27="","",IF('page 2'!$O$27=Gestion!A32,1,0))</f>
        <v/>
      </c>
      <c r="W32" s="723">
        <f t="shared" si="0"/>
        <v>0</v>
      </c>
      <c r="X32" s="713"/>
      <c r="Y32" s="69"/>
      <c r="Z32" s="69"/>
      <c r="AA32" s="69"/>
      <c r="AB32" s="542"/>
      <c r="AC32" s="542"/>
      <c r="AD32" s="542"/>
      <c r="AE32" s="88"/>
      <c r="AP32" s="130"/>
      <c r="AQ32" s="130"/>
      <c r="AR32" s="130"/>
      <c r="AS32" s="576"/>
      <c r="AT32" s="576"/>
      <c r="AU32" s="576"/>
      <c r="AV32" s="576"/>
      <c r="AW32" s="602"/>
      <c r="AX32" s="602"/>
      <c r="AY32" s="576"/>
      <c r="AZ32" s="576"/>
      <c r="BA32" s="576"/>
      <c r="BB32" s="576"/>
      <c r="BC32" s="576"/>
      <c r="BD32" s="469"/>
      <c r="BE32" s="602"/>
      <c r="BF32" s="602"/>
      <c r="BG32" s="602"/>
      <c r="BH32" s="602"/>
      <c r="BI32" s="602"/>
      <c r="BJ32" s="602"/>
      <c r="BK32" s="602"/>
      <c r="BL32" s="602"/>
      <c r="BM32" s="602"/>
      <c r="BN32" s="602"/>
      <c r="BO32" s="602"/>
      <c r="BP32" s="602"/>
      <c r="BQ32" s="602"/>
      <c r="BR32" s="602"/>
      <c r="BS32" s="576"/>
      <c r="BT32" s="576"/>
      <c r="BU32" s="576"/>
      <c r="BV32" s="576"/>
      <c r="BW32" s="602"/>
      <c r="BX32" s="602"/>
      <c r="BY32" s="602"/>
      <c r="BZ32" s="576"/>
      <c r="CA32" s="602"/>
      <c r="CB32" s="602"/>
      <c r="CC32" s="576"/>
      <c r="CD32" s="469"/>
      <c r="CE32" s="602"/>
      <c r="CF32" s="576"/>
      <c r="CG32" s="576"/>
      <c r="CH32" s="576"/>
      <c r="CI32" s="576"/>
      <c r="CJ32" s="576"/>
      <c r="CK32" s="602"/>
      <c r="CL32" s="602"/>
      <c r="CM32" s="576"/>
      <c r="CN32" s="602"/>
      <c r="CO32" s="602"/>
      <c r="CP32" s="602"/>
      <c r="CQ32" s="576"/>
      <c r="CR32" s="576"/>
      <c r="CS32" s="602"/>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c r="JU32" s="88"/>
      <c r="JV32" s="88"/>
      <c r="JW32" s="88"/>
      <c r="JX32" s="88"/>
      <c r="JY32" s="88"/>
      <c r="JZ32" s="88"/>
      <c r="KA32" s="88"/>
      <c r="KB32" s="88"/>
      <c r="KC32" s="88"/>
      <c r="KD32" s="88"/>
      <c r="KE32" s="88"/>
      <c r="KF32" s="88"/>
      <c r="KG32" s="88"/>
      <c r="KH32" s="88"/>
      <c r="KI32" s="88"/>
      <c r="KJ32" s="88"/>
      <c r="KK32" s="88"/>
      <c r="KL32" s="88"/>
      <c r="KM32" s="88"/>
      <c r="KN32" s="88"/>
      <c r="KO32" s="88"/>
      <c r="KP32" s="88"/>
      <c r="KQ32" s="88"/>
      <c r="KR32" s="88"/>
      <c r="KS32" s="88"/>
      <c r="KT32" s="88"/>
      <c r="KU32" s="88"/>
      <c r="KV32" s="88"/>
      <c r="KW32" s="88"/>
      <c r="KX32" s="88"/>
      <c r="KY32" s="88"/>
      <c r="KZ32" s="88"/>
      <c r="LA32" s="88"/>
      <c r="LB32" s="88"/>
      <c r="LC32" s="88"/>
      <c r="LD32" s="88"/>
      <c r="LE32" s="88"/>
      <c r="LF32" s="88"/>
      <c r="LG32" s="88"/>
      <c r="LH32" s="88"/>
      <c r="LI32" s="88"/>
      <c r="LJ32" s="88"/>
      <c r="LK32" s="88"/>
      <c r="LL32" s="88"/>
      <c r="LM32" s="88"/>
      <c r="LN32" s="88"/>
      <c r="LO32" s="88"/>
      <c r="LP32" s="88"/>
      <c r="LQ32" s="88"/>
      <c r="LR32" s="88"/>
      <c r="LS32" s="88"/>
      <c r="LT32" s="88"/>
      <c r="LU32" s="88"/>
      <c r="LV32" s="88"/>
      <c r="LW32" s="88"/>
      <c r="LX32" s="88"/>
      <c r="LY32" s="88"/>
      <c r="LZ32" s="88"/>
      <c r="MA32" s="88"/>
      <c r="MB32" s="88"/>
      <c r="MC32" s="88"/>
      <c r="MD32" s="88"/>
      <c r="ME32" s="88"/>
      <c r="MF32" s="88"/>
      <c r="MG32" s="88"/>
      <c r="MH32" s="88"/>
      <c r="MI32" s="88"/>
      <c r="MJ32" s="88"/>
      <c r="MK32" s="88"/>
      <c r="ML32" s="88"/>
      <c r="MM32" s="88"/>
      <c r="MN32" s="88"/>
      <c r="MO32" s="88"/>
      <c r="MP32" s="88"/>
      <c r="MQ32" s="88"/>
      <c r="MR32" s="88"/>
      <c r="MS32" s="88"/>
      <c r="MT32" s="88"/>
      <c r="MU32" s="88"/>
      <c r="MV32" s="88"/>
      <c r="MW32" s="88"/>
      <c r="MX32" s="88"/>
      <c r="MY32" s="88"/>
      <c r="MZ32" s="88"/>
      <c r="NA32" s="88"/>
      <c r="NB32" s="88"/>
      <c r="NC32" s="88"/>
      <c r="ND32" s="88"/>
      <c r="NE32" s="88"/>
      <c r="NF32" s="88"/>
      <c r="NG32" s="88"/>
      <c r="NH32" s="88"/>
      <c r="NI32" s="88"/>
      <c r="NJ32" s="88"/>
      <c r="NK32" s="88"/>
      <c r="NL32" s="88"/>
      <c r="NM32" s="88"/>
      <c r="NN32" s="88"/>
      <c r="NO32" s="88"/>
      <c r="NP32" s="88"/>
      <c r="NQ32" s="88"/>
      <c r="NR32" s="88"/>
      <c r="NS32" s="88"/>
      <c r="NT32" s="88"/>
      <c r="NU32" s="88"/>
      <c r="NV32" s="88"/>
      <c r="NW32" s="88"/>
      <c r="NX32" s="88"/>
      <c r="NY32" s="88"/>
      <c r="NZ32" s="88"/>
      <c r="OA32" s="88"/>
      <c r="OB32" s="88"/>
      <c r="OC32" s="88"/>
      <c r="OD32" s="88"/>
      <c r="OE32" s="88"/>
      <c r="OF32" s="88"/>
      <c r="OG32" s="88"/>
      <c r="OH32" s="88"/>
      <c r="OI32" s="88"/>
      <c r="OJ32" s="88"/>
      <c r="OK32" s="88"/>
      <c r="OL32" s="88"/>
      <c r="OM32" s="88"/>
      <c r="ON32" s="88"/>
      <c r="OO32" s="88"/>
      <c r="OP32" s="88"/>
      <c r="OQ32" s="88"/>
      <c r="OR32" s="88"/>
      <c r="OS32" s="88"/>
      <c r="OT32" s="88"/>
      <c r="OU32" s="88"/>
      <c r="OV32" s="88"/>
      <c r="OW32" s="88"/>
      <c r="OX32" s="88"/>
      <c r="OY32" s="88"/>
      <c r="OZ32" s="88"/>
      <c r="PA32" s="88"/>
      <c r="PB32" s="88"/>
      <c r="PC32" s="88"/>
      <c r="PD32" s="88"/>
      <c r="PE32" s="88"/>
      <c r="PF32" s="88"/>
      <c r="PG32" s="88"/>
      <c r="PH32" s="88"/>
      <c r="PI32" s="88"/>
      <c r="PJ32" s="88"/>
      <c r="PK32" s="88"/>
      <c r="PL32" s="88"/>
      <c r="PM32" s="88"/>
      <c r="PN32" s="88"/>
      <c r="PO32" s="88"/>
      <c r="PP32" s="88"/>
      <c r="PQ32" s="88"/>
      <c r="PR32" s="88"/>
      <c r="PS32" s="88"/>
      <c r="PT32" s="88"/>
      <c r="PU32" s="88"/>
      <c r="PV32" s="88"/>
      <c r="PW32" s="88"/>
      <c r="PX32" s="88"/>
      <c r="PY32" s="88"/>
      <c r="PZ32" s="88"/>
      <c r="QA32" s="88"/>
      <c r="QB32" s="88"/>
      <c r="QC32" s="88"/>
      <c r="QD32" s="88"/>
      <c r="QE32" s="88"/>
      <c r="QF32" s="88"/>
      <c r="QG32" s="88"/>
      <c r="QH32" s="88"/>
      <c r="QI32" s="88"/>
      <c r="QJ32" s="88"/>
      <c r="QK32" s="88"/>
      <c r="QL32" s="88"/>
      <c r="QM32" s="88"/>
      <c r="QN32" s="88"/>
      <c r="QO32" s="88"/>
      <c r="QP32" s="88"/>
      <c r="QQ32" s="88"/>
      <c r="QR32" s="88"/>
      <c r="QS32" s="88"/>
      <c r="QT32" s="88"/>
      <c r="QU32" s="88"/>
      <c r="QV32" s="88"/>
      <c r="QW32" s="88"/>
      <c r="QX32" s="88"/>
      <c r="QY32" s="88"/>
      <c r="QZ32" s="88"/>
      <c r="RA32" s="88"/>
      <c r="RB32" s="88"/>
      <c r="RC32" s="88"/>
      <c r="RD32" s="88"/>
      <c r="RE32" s="88"/>
      <c r="RF32" s="88"/>
      <c r="RG32" s="88"/>
      <c r="RH32" s="88"/>
      <c r="RI32" s="88"/>
      <c r="RJ32" s="88"/>
      <c r="RK32" s="88"/>
      <c r="RL32" s="88"/>
      <c r="RM32" s="88"/>
      <c r="RN32" s="88"/>
      <c r="RO32" s="88"/>
      <c r="RP32" s="88"/>
      <c r="RQ32" s="88"/>
      <c r="RR32" s="88"/>
      <c r="RS32" s="88"/>
      <c r="RT32" s="88"/>
      <c r="RU32" s="88"/>
      <c r="RV32" s="88"/>
      <c r="RW32" s="88"/>
      <c r="RX32" s="88"/>
      <c r="RY32" s="88"/>
      <c r="RZ32" s="88"/>
      <c r="SA32" s="88"/>
      <c r="SB32" s="88"/>
      <c r="SC32" s="88"/>
      <c r="SD32" s="88"/>
      <c r="SE32" s="88"/>
      <c r="SF32" s="88"/>
      <c r="SG32" s="88"/>
      <c r="SH32" s="88"/>
      <c r="SI32" s="88"/>
      <c r="SJ32" s="88"/>
      <c r="SK32" s="88"/>
      <c r="SL32" s="88"/>
      <c r="SM32" s="88"/>
      <c r="SN32" s="88"/>
      <c r="SO32" s="88"/>
      <c r="SP32" s="88"/>
      <c r="SQ32" s="88"/>
      <c r="SR32" s="88"/>
      <c r="SS32" s="88"/>
      <c r="ST32" s="88"/>
      <c r="SU32" s="88"/>
      <c r="SV32" s="88"/>
      <c r="SW32" s="88"/>
      <c r="SX32" s="88"/>
      <c r="SY32" s="88"/>
      <c r="SZ32" s="88"/>
      <c r="TA32" s="88"/>
      <c r="TB32" s="88"/>
      <c r="TC32" s="88"/>
      <c r="TD32" s="88"/>
      <c r="TE32" s="88"/>
      <c r="TF32" s="88"/>
      <c r="TG32" s="88"/>
      <c r="TH32" s="88"/>
      <c r="TI32" s="88"/>
      <c r="TJ32" s="88"/>
      <c r="TK32" s="88"/>
      <c r="TL32" s="88"/>
      <c r="TM32" s="88"/>
      <c r="TN32" s="88"/>
      <c r="TO32" s="88"/>
      <c r="TP32" s="88"/>
      <c r="TQ32" s="88"/>
      <c r="TR32" s="88"/>
      <c r="TS32" s="88"/>
      <c r="TT32" s="88"/>
      <c r="TU32" s="88"/>
      <c r="TV32" s="88"/>
      <c r="TW32" s="88"/>
      <c r="TX32" s="88"/>
      <c r="TY32" s="88"/>
      <c r="TZ32" s="88"/>
      <c r="UA32" s="88"/>
      <c r="UB32" s="88"/>
      <c r="UC32" s="88"/>
      <c r="UD32" s="88"/>
      <c r="UE32" s="88"/>
      <c r="UF32" s="88"/>
      <c r="UG32" s="88"/>
      <c r="UH32" s="88"/>
      <c r="UI32" s="88"/>
      <c r="UJ32" s="88"/>
      <c r="UK32" s="88"/>
      <c r="UL32" s="88"/>
      <c r="UM32" s="88"/>
      <c r="UN32" s="88"/>
      <c r="UO32" s="88"/>
      <c r="UP32" s="88"/>
      <c r="UQ32" s="88"/>
      <c r="UR32" s="88"/>
      <c r="US32" s="88"/>
      <c r="UT32" s="88"/>
      <c r="UU32" s="88"/>
      <c r="UV32" s="88"/>
      <c r="UW32" s="88"/>
      <c r="UX32" s="88"/>
      <c r="UY32" s="88"/>
      <c r="UZ32" s="88"/>
      <c r="VA32" s="88"/>
      <c r="VB32" s="88"/>
      <c r="VC32" s="88"/>
      <c r="VD32" s="88"/>
      <c r="VE32" s="88"/>
      <c r="VF32" s="88"/>
      <c r="VG32" s="88"/>
      <c r="VH32" s="88"/>
      <c r="VI32" s="88"/>
      <c r="VJ32" s="88"/>
      <c r="VK32" s="88"/>
      <c r="VL32" s="88"/>
      <c r="VM32" s="88"/>
      <c r="VN32" s="88"/>
      <c r="VO32" s="88"/>
      <c r="VP32" s="88"/>
      <c r="VQ32" s="88"/>
      <c r="VR32" s="88"/>
      <c r="VS32" s="88"/>
      <c r="VT32" s="88"/>
      <c r="VU32" s="88"/>
      <c r="VV32" s="88"/>
      <c r="VW32" s="88"/>
      <c r="VX32" s="88"/>
      <c r="VY32" s="88"/>
      <c r="VZ32" s="88"/>
      <c r="WA32" s="88"/>
      <c r="WB32" s="88"/>
      <c r="WC32" s="88"/>
      <c r="WD32" s="88"/>
      <c r="WE32" s="88"/>
      <c r="WF32" s="88"/>
      <c r="WG32" s="88"/>
      <c r="WH32" s="88"/>
      <c r="WI32" s="88"/>
      <c r="WJ32" s="88"/>
      <c r="WK32" s="88"/>
      <c r="WL32" s="88"/>
      <c r="WM32" s="88"/>
      <c r="WN32" s="88"/>
      <c r="WO32" s="88"/>
      <c r="WP32" s="88"/>
      <c r="WQ32" s="88"/>
      <c r="WR32" s="88"/>
      <c r="WS32" s="88"/>
      <c r="WT32" s="88"/>
      <c r="WU32" s="88"/>
      <c r="WV32" s="88"/>
      <c r="WW32" s="88"/>
      <c r="WX32" s="88"/>
      <c r="WY32" s="88"/>
      <c r="WZ32" s="88"/>
      <c r="XA32" s="88"/>
      <c r="XB32" s="88"/>
      <c r="XC32" s="88"/>
      <c r="XD32" s="88"/>
      <c r="XE32" s="88"/>
      <c r="XF32" s="88"/>
      <c r="XG32" s="88"/>
      <c r="XH32" s="88"/>
      <c r="XI32" s="88"/>
      <c r="XJ32" s="88"/>
      <c r="XK32" s="88"/>
      <c r="XL32" s="88"/>
      <c r="XM32" s="88"/>
      <c r="XN32" s="88"/>
      <c r="XO32" s="88"/>
      <c r="XP32" s="88"/>
      <c r="XQ32" s="88"/>
      <c r="XR32" s="88"/>
      <c r="XS32" s="88"/>
      <c r="XT32" s="88"/>
      <c r="XU32" s="88"/>
      <c r="XV32" s="88"/>
      <c r="XW32" s="88"/>
      <c r="XX32" s="88"/>
      <c r="XY32" s="88"/>
      <c r="XZ32" s="88"/>
      <c r="YA32" s="88"/>
      <c r="YB32" s="88"/>
      <c r="YC32" s="88"/>
      <c r="YD32" s="88"/>
      <c r="YE32" s="88"/>
      <c r="YF32" s="88"/>
      <c r="YG32" s="88"/>
      <c r="YH32" s="88"/>
      <c r="YI32" s="88"/>
      <c r="YJ32" s="88"/>
      <c r="YK32" s="88"/>
      <c r="YL32" s="88"/>
      <c r="YM32" s="88"/>
      <c r="YN32" s="88"/>
      <c r="YO32" s="88"/>
      <c r="YP32" s="88"/>
      <c r="YQ32" s="88"/>
      <c r="YR32" s="88"/>
      <c r="YS32" s="88"/>
      <c r="YT32" s="88"/>
      <c r="YU32" s="88"/>
      <c r="YV32" s="88"/>
      <c r="YW32" s="88"/>
      <c r="YX32" s="88"/>
      <c r="YY32" s="88"/>
      <c r="YZ32" s="88"/>
      <c r="ZA32" s="88"/>
      <c r="ZB32" s="88"/>
      <c r="ZC32" s="88"/>
      <c r="ZD32" s="88"/>
      <c r="ZE32" s="88"/>
      <c r="ZF32" s="88"/>
      <c r="ZG32" s="88"/>
      <c r="ZH32" s="88"/>
      <c r="ZI32" s="88"/>
      <c r="ZJ32" s="88"/>
      <c r="ZK32" s="88"/>
      <c r="ZL32" s="88"/>
      <c r="ZM32" s="88"/>
      <c r="ZN32" s="88"/>
      <c r="ZO32" s="88"/>
      <c r="ZP32" s="88"/>
      <c r="ZQ32" s="88"/>
      <c r="ZR32" s="88"/>
      <c r="ZS32" s="88"/>
      <c r="ZT32" s="88"/>
      <c r="ZU32" s="88"/>
      <c r="ZV32" s="88"/>
      <c r="ZW32" s="88"/>
      <c r="ZX32" s="88"/>
      <c r="ZY32" s="88"/>
      <c r="ZZ32" s="88"/>
      <c r="AAA32" s="88"/>
      <c r="AAB32" s="88"/>
      <c r="AAC32" s="88"/>
      <c r="AAD32" s="88"/>
      <c r="AAE32" s="88"/>
      <c r="AAF32" s="88"/>
      <c r="AAG32" s="88"/>
      <c r="AAH32" s="88"/>
      <c r="AAI32" s="88"/>
      <c r="AAJ32" s="88"/>
      <c r="AAK32" s="88"/>
      <c r="AAL32" s="88"/>
      <c r="AAM32" s="88"/>
      <c r="AAN32" s="88"/>
      <c r="AAO32" s="88"/>
      <c r="AAP32" s="88"/>
      <c r="AAQ32" s="88"/>
      <c r="AAR32" s="88"/>
      <c r="AAS32" s="88"/>
      <c r="AAT32" s="88"/>
      <c r="AAU32" s="88"/>
      <c r="AAV32" s="88"/>
      <c r="AAW32" s="88"/>
      <c r="AAX32" s="88"/>
      <c r="AAY32" s="88"/>
      <c r="AAZ32" s="88"/>
      <c r="ABA32" s="88"/>
      <c r="ABB32" s="88"/>
      <c r="ABC32" s="88"/>
      <c r="ABD32" s="88"/>
      <c r="ABE32" s="88"/>
      <c r="ABF32" s="88"/>
      <c r="ABG32" s="88"/>
      <c r="ABH32" s="88"/>
      <c r="ABI32" s="88"/>
      <c r="ABJ32" s="88"/>
      <c r="ABK32" s="88"/>
      <c r="ABL32" s="88"/>
      <c r="ABM32" s="88"/>
      <c r="ABN32" s="88"/>
      <c r="ABO32" s="88"/>
      <c r="ABP32" s="88"/>
      <c r="ABQ32" s="88"/>
      <c r="ABR32" s="88"/>
      <c r="ABS32" s="88"/>
      <c r="ABT32" s="88"/>
      <c r="ABU32" s="88"/>
      <c r="ABV32" s="88"/>
      <c r="ABW32" s="88"/>
      <c r="ABX32" s="88"/>
      <c r="ABY32" s="88"/>
      <c r="ABZ32" s="88"/>
      <c r="ACA32" s="88"/>
      <c r="ACB32" s="88"/>
      <c r="ACC32" s="88"/>
      <c r="ACD32" s="88"/>
      <c r="ACE32" s="88"/>
      <c r="ACF32" s="88"/>
      <c r="ACG32" s="88"/>
      <c r="ACH32" s="88"/>
      <c r="ACI32" s="88"/>
      <c r="ACJ32" s="88"/>
      <c r="ACK32" s="88"/>
      <c r="ACL32" s="88"/>
      <c r="ACM32" s="88"/>
      <c r="ACN32" s="88"/>
      <c r="ACO32" s="88"/>
      <c r="ACP32" s="88"/>
      <c r="ACQ32" s="88"/>
      <c r="ACR32" s="88"/>
      <c r="ACS32" s="88"/>
      <c r="ACT32" s="88"/>
      <c r="ACU32" s="88"/>
      <c r="ACV32" s="88"/>
      <c r="ACW32" s="88"/>
      <c r="ACX32" s="88"/>
      <c r="ACY32" s="88"/>
      <c r="ACZ32" s="88"/>
      <c r="ADA32" s="88"/>
      <c r="ADB32" s="88"/>
      <c r="ADC32" s="88"/>
      <c r="ADD32" s="88"/>
      <c r="ADE32" s="88"/>
      <c r="ADF32" s="88"/>
      <c r="ADG32" s="88"/>
      <c r="ADH32" s="88"/>
      <c r="ADI32" s="88"/>
      <c r="ADJ32" s="88"/>
      <c r="ADK32" s="88"/>
      <c r="ADL32" s="88"/>
      <c r="ADM32" s="88"/>
      <c r="ADN32" s="88"/>
      <c r="ADO32" s="88"/>
      <c r="ADP32" s="88"/>
      <c r="ADQ32" s="88"/>
      <c r="ADR32" s="88"/>
      <c r="ADS32" s="88"/>
      <c r="ADT32" s="88"/>
      <c r="ADU32" s="88"/>
      <c r="ADV32" s="88"/>
      <c r="ADW32" s="88"/>
      <c r="ADX32" s="88"/>
      <c r="ADY32" s="88"/>
      <c r="ADZ32" s="88"/>
      <c r="AEA32" s="88"/>
      <c r="AEB32" s="88"/>
      <c r="AEC32" s="88"/>
      <c r="AED32" s="88"/>
      <c r="AEE32" s="88"/>
      <c r="AEF32" s="88"/>
      <c r="AEG32" s="88"/>
      <c r="AEH32" s="88"/>
      <c r="AEI32" s="88"/>
      <c r="AEJ32" s="88"/>
      <c r="AEK32" s="88"/>
      <c r="AEL32" s="88"/>
      <c r="AEM32" s="88"/>
      <c r="AEN32" s="88"/>
      <c r="AEO32" s="88"/>
      <c r="AEP32" s="88"/>
      <c r="AEQ32" s="88"/>
      <c r="AER32" s="88"/>
      <c r="AES32" s="88"/>
      <c r="AET32" s="88"/>
      <c r="AEU32" s="88"/>
      <c r="AEV32" s="88"/>
      <c r="AEW32" s="88"/>
      <c r="AEX32" s="88"/>
      <c r="AEY32" s="88"/>
      <c r="AEZ32" s="88"/>
      <c r="AFA32" s="88"/>
      <c r="AFB32" s="88"/>
      <c r="AFC32" s="88"/>
      <c r="AFD32" s="88"/>
      <c r="AFE32" s="88"/>
      <c r="AFF32" s="88"/>
      <c r="AFG32" s="88"/>
      <c r="AFH32" s="88"/>
      <c r="AFI32" s="88"/>
      <c r="AFJ32" s="88"/>
      <c r="AFK32" s="88"/>
      <c r="AFL32" s="88"/>
      <c r="AFM32" s="88"/>
      <c r="AFN32" s="88"/>
      <c r="AFO32" s="88"/>
      <c r="AFP32" s="88"/>
      <c r="AFQ32" s="88"/>
      <c r="AFR32" s="88"/>
      <c r="AFS32" s="88"/>
      <c r="AFT32" s="88"/>
      <c r="AFU32" s="88"/>
      <c r="AFV32" s="88"/>
      <c r="AFW32" s="88"/>
      <c r="AFX32" s="88"/>
      <c r="AFY32" s="88"/>
      <c r="AFZ32" s="88"/>
      <c r="AGA32" s="88"/>
      <c r="AGB32" s="88"/>
      <c r="AGC32" s="88"/>
      <c r="AGD32" s="88"/>
      <c r="AGE32" s="88"/>
      <c r="AGF32" s="88"/>
      <c r="AGG32" s="88"/>
      <c r="AGH32" s="88"/>
      <c r="AGI32" s="88"/>
      <c r="AGJ32" s="88"/>
      <c r="AGK32" s="88"/>
      <c r="AGL32" s="88"/>
      <c r="AGM32" s="88"/>
      <c r="AGN32" s="88"/>
      <c r="AGO32" s="88"/>
      <c r="AGP32" s="88"/>
      <c r="AGQ32" s="88"/>
      <c r="AGR32" s="88"/>
      <c r="AGS32" s="88"/>
      <c r="AGT32" s="88"/>
      <c r="AGU32" s="88"/>
      <c r="AGV32" s="88"/>
      <c r="AGW32" s="88"/>
      <c r="AGX32" s="88"/>
      <c r="AGY32" s="88"/>
      <c r="AGZ32" s="88"/>
      <c r="AHA32" s="88"/>
      <c r="AHB32" s="88"/>
      <c r="AHC32" s="88"/>
      <c r="AHD32" s="88"/>
      <c r="AHE32" s="88"/>
      <c r="AHF32" s="88"/>
      <c r="AHG32" s="88"/>
      <c r="AHH32" s="88"/>
      <c r="AHI32" s="88"/>
      <c r="AHJ32" s="88"/>
      <c r="AHK32" s="88"/>
      <c r="AHL32" s="88"/>
      <c r="AHM32" s="88"/>
      <c r="AHN32" s="88"/>
      <c r="AHO32" s="88"/>
      <c r="AHP32" s="88"/>
      <c r="AHQ32" s="88"/>
      <c r="AHR32" s="88"/>
      <c r="AHS32" s="88"/>
      <c r="AHT32" s="88"/>
      <c r="AHU32" s="88"/>
      <c r="AHV32" s="88"/>
      <c r="AHW32" s="88"/>
      <c r="AHX32" s="88"/>
      <c r="AHY32" s="88"/>
      <c r="AHZ32" s="88"/>
      <c r="AIA32" s="88"/>
      <c r="AIB32" s="88"/>
      <c r="AIC32" s="88"/>
      <c r="AID32" s="88"/>
      <c r="AIE32" s="88"/>
      <c r="AIF32" s="88"/>
      <c r="AIG32" s="88"/>
      <c r="AIH32" s="88"/>
      <c r="AII32" s="88"/>
      <c r="AIJ32" s="88"/>
      <c r="AIK32" s="88"/>
      <c r="AIL32" s="88"/>
      <c r="AIM32" s="88"/>
      <c r="AIN32" s="88"/>
      <c r="AIO32" s="88"/>
      <c r="AIP32" s="88"/>
      <c r="AIQ32" s="88"/>
      <c r="AIR32" s="88"/>
      <c r="AIS32" s="88"/>
      <c r="AIT32" s="88"/>
      <c r="AIU32" s="88"/>
      <c r="AIV32" s="88"/>
      <c r="AIW32" s="88"/>
      <c r="AIX32" s="88"/>
      <c r="AIY32" s="88"/>
      <c r="AIZ32" s="88"/>
      <c r="AJA32" s="88"/>
      <c r="AJB32" s="88"/>
      <c r="AJC32" s="88"/>
      <c r="AJD32" s="88"/>
      <c r="AJE32" s="88"/>
      <c r="AJF32" s="88"/>
      <c r="AJG32" s="88"/>
      <c r="AJH32" s="88"/>
      <c r="AJI32" s="88"/>
      <c r="AJJ32" s="88"/>
      <c r="AJK32" s="88"/>
      <c r="AJL32" s="88"/>
      <c r="AJM32" s="88"/>
      <c r="AJN32" s="88"/>
      <c r="AJO32" s="88"/>
      <c r="AJP32" s="88"/>
      <c r="AJQ32" s="88"/>
      <c r="AJR32" s="88"/>
      <c r="AJS32" s="88"/>
      <c r="AJT32" s="88"/>
      <c r="AJU32" s="88"/>
      <c r="AJV32" s="88"/>
      <c r="AJW32" s="88"/>
      <c r="AJX32" s="88"/>
      <c r="AJY32" s="88"/>
      <c r="AJZ32" s="88"/>
      <c r="AKA32" s="88"/>
      <c r="AKB32" s="88"/>
      <c r="AKC32" s="88"/>
      <c r="AKD32" s="88"/>
      <c r="AKE32" s="88"/>
      <c r="AKF32" s="88"/>
      <c r="AKG32" s="88"/>
      <c r="AKH32" s="88"/>
      <c r="AKI32" s="88"/>
      <c r="AKJ32" s="88"/>
      <c r="AKK32" s="88"/>
      <c r="AKL32" s="88"/>
      <c r="AKM32" s="88"/>
      <c r="AKN32" s="88"/>
      <c r="AKO32" s="88"/>
      <c r="AKP32" s="88"/>
      <c r="AKQ32" s="88"/>
      <c r="AKR32" s="88"/>
      <c r="AKS32" s="88"/>
      <c r="AKT32" s="88"/>
      <c r="AKU32" s="88"/>
      <c r="AKV32" s="88"/>
      <c r="AKW32" s="88"/>
      <c r="AKX32" s="88"/>
      <c r="AKY32" s="88"/>
      <c r="AKZ32" s="88"/>
      <c r="ALA32" s="88"/>
      <c r="ALB32" s="88"/>
      <c r="ALC32" s="88"/>
      <c r="ALD32" s="88"/>
      <c r="ALE32" s="88"/>
      <c r="ALF32" s="88"/>
      <c r="ALG32" s="88"/>
      <c r="ALH32" s="88"/>
      <c r="ALI32" s="88"/>
      <c r="ALJ32" s="88"/>
      <c r="ALK32" s="88"/>
      <c r="ALL32" s="88"/>
      <c r="ALM32" s="88"/>
      <c r="ALN32" s="88"/>
      <c r="ALO32" s="88"/>
      <c r="ALP32" s="88"/>
      <c r="ALQ32" s="88"/>
      <c r="ALR32" s="88"/>
      <c r="ALS32" s="88"/>
      <c r="ALT32" s="88"/>
      <c r="ALU32" s="88"/>
      <c r="ALV32" s="88"/>
      <c r="ALW32" s="88"/>
      <c r="ALX32" s="88"/>
      <c r="ALY32" s="88"/>
      <c r="ALZ32" s="88"/>
      <c r="AMA32" s="88"/>
      <c r="AMB32" s="88"/>
      <c r="AMC32" s="88"/>
      <c r="AMD32" s="88"/>
      <c r="AME32" s="88"/>
      <c r="AMF32" s="88"/>
      <c r="AMG32" s="88"/>
      <c r="AMH32" s="88"/>
      <c r="AMI32" s="88"/>
      <c r="AMJ32" s="88"/>
      <c r="AMK32" s="88"/>
      <c r="AML32" s="88"/>
      <c r="AMM32" s="88"/>
      <c r="AMN32" s="88"/>
      <c r="AMO32" s="88"/>
      <c r="AMP32" s="88"/>
      <c r="AMQ32" s="88"/>
      <c r="AMR32" s="88"/>
      <c r="AMS32" s="88"/>
      <c r="AMT32" s="88"/>
      <c r="AMU32" s="88"/>
      <c r="AMV32" s="88"/>
      <c r="AMW32" s="88"/>
      <c r="AMX32" s="88"/>
      <c r="AMY32" s="88"/>
      <c r="AMZ32" s="88"/>
      <c r="ANA32" s="88"/>
      <c r="ANB32" s="88"/>
      <c r="ANC32" s="88"/>
      <c r="AND32" s="88"/>
      <c r="ANE32" s="88"/>
      <c r="ANF32" s="88"/>
      <c r="ANG32" s="88"/>
      <c r="ANH32" s="88"/>
      <c r="ANI32" s="88"/>
      <c r="ANJ32" s="88"/>
      <c r="ANK32" s="88"/>
      <c r="ANL32" s="88"/>
      <c r="ANM32" s="88"/>
      <c r="ANN32" s="88"/>
      <c r="ANO32" s="88"/>
      <c r="ANP32" s="88"/>
      <c r="ANQ32" s="88"/>
      <c r="ANR32" s="88"/>
      <c r="ANS32" s="88"/>
      <c r="ANT32" s="88"/>
      <c r="ANU32" s="88"/>
      <c r="ANV32" s="88"/>
      <c r="ANW32" s="88"/>
      <c r="ANX32" s="88"/>
      <c r="ANY32" s="88"/>
      <c r="ANZ32" s="88"/>
      <c r="AOA32" s="88"/>
      <c r="AOB32" s="88"/>
      <c r="AOC32" s="88"/>
      <c r="AOD32" s="88"/>
      <c r="AOE32" s="88"/>
      <c r="AOF32" s="88"/>
      <c r="AOG32" s="88"/>
      <c r="AOH32" s="88"/>
      <c r="AOI32" s="88"/>
      <c r="AOJ32" s="88"/>
      <c r="AOK32" s="88"/>
      <c r="AOL32" s="88"/>
      <c r="AOM32" s="88"/>
      <c r="AON32" s="88"/>
      <c r="AOO32" s="88"/>
      <c r="AOP32" s="88"/>
      <c r="AOQ32" s="88"/>
      <c r="AOR32" s="88"/>
      <c r="AOS32" s="88"/>
      <c r="AOT32" s="88"/>
      <c r="AOU32" s="88"/>
      <c r="AOV32" s="88"/>
      <c r="AOW32" s="88"/>
      <c r="AOX32" s="88"/>
      <c r="AOY32" s="88"/>
      <c r="AOZ32" s="88"/>
      <c r="APA32" s="88"/>
      <c r="APB32" s="88"/>
      <c r="APC32" s="88"/>
      <c r="APD32" s="88"/>
      <c r="APE32" s="88"/>
      <c r="APF32" s="88"/>
      <c r="APG32" s="88"/>
      <c r="APH32" s="88"/>
      <c r="API32" s="88"/>
      <c r="APJ32" s="88"/>
      <c r="APK32" s="88"/>
      <c r="APL32" s="88"/>
      <c r="APM32" s="88"/>
      <c r="APN32" s="88"/>
      <c r="APO32" s="88"/>
      <c r="APP32" s="88"/>
      <c r="APQ32" s="88"/>
      <c r="APR32" s="88"/>
      <c r="APS32" s="88"/>
      <c r="APT32" s="88"/>
      <c r="APU32" s="88"/>
      <c r="APV32" s="88"/>
      <c r="APW32" s="88"/>
      <c r="APX32" s="88"/>
      <c r="APY32" s="88"/>
      <c r="APZ32" s="88"/>
      <c r="AQA32" s="88"/>
      <c r="AQB32" s="88"/>
      <c r="AQC32" s="88"/>
      <c r="AQD32" s="88"/>
      <c r="AQE32" s="88"/>
      <c r="AQF32" s="88"/>
      <c r="AQG32" s="88"/>
      <c r="AQH32" s="88"/>
      <c r="AQI32" s="88"/>
      <c r="AQJ32" s="88"/>
      <c r="AQK32" s="88"/>
      <c r="AQL32" s="88"/>
      <c r="AQM32" s="88"/>
      <c r="AQN32" s="88"/>
      <c r="AQO32" s="88"/>
      <c r="AQP32" s="88"/>
      <c r="AQQ32" s="88"/>
      <c r="AQR32" s="88"/>
      <c r="AQS32" s="88"/>
      <c r="AQT32" s="88"/>
      <c r="AQU32" s="88"/>
      <c r="AQV32" s="88"/>
      <c r="AQW32" s="88"/>
      <c r="AQX32" s="88"/>
      <c r="AQY32" s="88"/>
      <c r="AQZ32" s="88"/>
      <c r="ARA32" s="88"/>
      <c r="ARB32" s="88"/>
      <c r="ARC32" s="88"/>
      <c r="ARD32" s="88"/>
      <c r="ARE32" s="88"/>
      <c r="ARF32" s="88"/>
      <c r="ARG32" s="88"/>
      <c r="ARH32" s="88"/>
      <c r="ARI32" s="88"/>
      <c r="ARJ32" s="88"/>
      <c r="ARK32" s="88"/>
      <c r="ARL32" s="88"/>
      <c r="ARM32" s="88"/>
      <c r="ARN32" s="88"/>
      <c r="ARO32" s="88"/>
      <c r="ARP32" s="88"/>
      <c r="ARQ32" s="88"/>
      <c r="ARR32" s="88"/>
      <c r="ARS32" s="88"/>
      <c r="ART32" s="88"/>
      <c r="ARU32" s="88"/>
      <c r="ARV32" s="88"/>
      <c r="ARW32" s="88"/>
      <c r="ARX32" s="88"/>
      <c r="ARY32" s="88"/>
      <c r="ARZ32" s="88"/>
      <c r="ASA32" s="88"/>
      <c r="ASB32" s="88"/>
      <c r="ASC32" s="88"/>
      <c r="ASD32" s="88"/>
      <c r="ASE32" s="88"/>
      <c r="ASF32" s="88"/>
      <c r="ASG32" s="88"/>
      <c r="ASH32" s="88"/>
      <c r="ASI32" s="88"/>
      <c r="ASJ32" s="88"/>
      <c r="ASK32" s="88"/>
      <c r="ASL32" s="88"/>
      <c r="ASM32" s="88"/>
      <c r="ASN32" s="88"/>
      <c r="ASO32" s="88"/>
      <c r="ASP32" s="88"/>
      <c r="ASQ32" s="88"/>
      <c r="ASR32" s="88"/>
      <c r="ASS32" s="88"/>
      <c r="AST32" s="88"/>
      <c r="ASU32" s="88"/>
      <c r="ASV32" s="88"/>
      <c r="ASW32" s="88"/>
      <c r="ASX32" s="88"/>
      <c r="ASY32" s="88"/>
      <c r="ASZ32" s="88"/>
      <c r="ATA32" s="88"/>
      <c r="ATB32" s="88"/>
      <c r="ATC32" s="88"/>
      <c r="ATD32" s="88"/>
      <c r="ATE32" s="88"/>
      <c r="ATF32" s="88"/>
      <c r="ATG32" s="88"/>
      <c r="ATH32" s="88"/>
      <c r="ATI32" s="88"/>
      <c r="ATJ32" s="88"/>
      <c r="ATK32" s="88"/>
      <c r="ATL32" s="88"/>
      <c r="ATM32" s="88"/>
      <c r="ATN32" s="88"/>
      <c r="ATO32" s="88"/>
      <c r="ATP32" s="88"/>
      <c r="ATQ32" s="88"/>
      <c r="ATR32" s="88"/>
      <c r="ATS32" s="88"/>
      <c r="ATT32" s="88"/>
      <c r="ATU32" s="88"/>
      <c r="ATV32" s="88"/>
      <c r="ATW32" s="88"/>
      <c r="ATX32" s="88"/>
      <c r="ATY32" s="88"/>
      <c r="ATZ32" s="88"/>
      <c r="AUA32" s="88"/>
      <c r="AUB32" s="88"/>
      <c r="AUC32" s="88"/>
      <c r="AUD32" s="88"/>
      <c r="AUE32" s="88"/>
      <c r="AUF32" s="88"/>
      <c r="AUG32" s="88"/>
      <c r="AUH32" s="88"/>
      <c r="AUI32" s="88"/>
      <c r="AUJ32" s="88"/>
      <c r="AUK32" s="88"/>
      <c r="AUL32" s="88"/>
      <c r="AUM32" s="88"/>
      <c r="AUN32" s="88"/>
      <c r="AUO32" s="88"/>
      <c r="AUP32" s="88"/>
      <c r="AUQ32" s="88"/>
      <c r="AUR32" s="88"/>
      <c r="AUS32" s="88"/>
      <c r="AUT32" s="88"/>
      <c r="AUU32" s="88"/>
      <c r="AUV32" s="88"/>
      <c r="AUW32" s="88"/>
      <c r="AUX32" s="88"/>
      <c r="AUY32" s="88"/>
      <c r="AUZ32" s="88"/>
      <c r="AVA32" s="88"/>
      <c r="AVB32" s="88"/>
      <c r="AVC32" s="88"/>
      <c r="AVD32" s="88"/>
      <c r="AVE32" s="88"/>
      <c r="AVF32" s="88"/>
      <c r="AVG32" s="88"/>
      <c r="AVH32" s="88"/>
      <c r="AVI32" s="88"/>
      <c r="AVJ32" s="88"/>
      <c r="AVK32" s="88"/>
      <c r="AVL32" s="88"/>
      <c r="AVM32" s="88"/>
      <c r="AVN32" s="88"/>
      <c r="AVO32" s="88"/>
      <c r="AVP32" s="88"/>
      <c r="AVQ32" s="88"/>
      <c r="AVR32" s="88"/>
      <c r="AVS32" s="88"/>
      <c r="AVT32" s="88"/>
      <c r="AVU32" s="88"/>
      <c r="AVV32" s="88"/>
      <c r="AVW32" s="88"/>
      <c r="AVX32" s="88"/>
      <c r="AVY32" s="88"/>
      <c r="AVZ32" s="88"/>
      <c r="AWA32" s="88"/>
      <c r="AWB32" s="88"/>
      <c r="AWC32" s="88"/>
      <c r="AWD32" s="88"/>
      <c r="AWE32" s="88"/>
      <c r="AWF32" s="88"/>
      <c r="AWG32" s="88"/>
      <c r="AWH32" s="88"/>
      <c r="AWI32" s="88"/>
      <c r="AWJ32" s="88"/>
      <c r="AWK32" s="88"/>
      <c r="AWL32" s="88"/>
      <c r="AWM32" s="88"/>
      <c r="AWN32" s="88"/>
      <c r="AWO32" s="88"/>
      <c r="AWP32" s="88"/>
      <c r="AWQ32" s="88"/>
      <c r="AWR32" s="88"/>
      <c r="AWS32" s="88"/>
      <c r="AWT32" s="88"/>
      <c r="AWU32" s="88"/>
      <c r="AWV32" s="88"/>
      <c r="AWW32" s="88"/>
      <c r="AWX32" s="88"/>
      <c r="AWY32" s="88"/>
      <c r="AWZ32" s="88"/>
      <c r="AXA32" s="88"/>
      <c r="AXB32" s="88"/>
      <c r="AXC32" s="88"/>
      <c r="AXD32" s="88"/>
      <c r="AXE32" s="88"/>
      <c r="AXF32" s="88"/>
      <c r="AXG32" s="88"/>
      <c r="AXH32" s="88"/>
      <c r="AXI32" s="88"/>
      <c r="AXJ32" s="88"/>
      <c r="AXK32" s="88"/>
      <c r="AXL32" s="88"/>
      <c r="AXM32" s="88"/>
      <c r="AXN32" s="88"/>
      <c r="AXO32" s="88"/>
      <c r="AXP32" s="88"/>
      <c r="AXQ32" s="88"/>
      <c r="AXR32" s="88"/>
      <c r="AXS32" s="88"/>
      <c r="AXT32" s="88"/>
      <c r="AXU32" s="88"/>
      <c r="AXV32" s="88"/>
      <c r="AXW32" s="88"/>
      <c r="AXX32" s="88"/>
      <c r="AXY32" s="88"/>
      <c r="AXZ32" s="88"/>
      <c r="AYA32" s="88"/>
      <c r="AYB32" s="88"/>
      <c r="AYC32" s="88"/>
      <c r="AYD32" s="88"/>
      <c r="AYE32" s="88"/>
      <c r="AYF32" s="88"/>
      <c r="AYG32" s="88"/>
      <c r="AYH32" s="88"/>
      <c r="AYI32" s="88"/>
      <c r="AYJ32" s="88"/>
      <c r="AYK32" s="88"/>
      <c r="AYL32" s="88"/>
      <c r="AYM32" s="88"/>
      <c r="AYN32" s="88"/>
      <c r="AYO32" s="88"/>
      <c r="AYP32" s="88"/>
      <c r="AYQ32" s="88"/>
      <c r="AYR32" s="88"/>
      <c r="AYS32" s="88"/>
      <c r="AYT32" s="88"/>
      <c r="AYU32" s="88"/>
      <c r="AYV32" s="88"/>
      <c r="AYW32" s="88"/>
      <c r="AYX32" s="88"/>
      <c r="AYY32" s="88"/>
      <c r="AYZ32" s="88"/>
      <c r="AZA32" s="88"/>
      <c r="AZB32" s="88"/>
      <c r="AZC32" s="88"/>
      <c r="AZD32" s="88"/>
      <c r="AZE32" s="88"/>
      <c r="AZF32" s="88"/>
      <c r="AZG32" s="88"/>
      <c r="AZH32" s="88"/>
      <c r="AZI32" s="88"/>
      <c r="AZJ32" s="88"/>
      <c r="AZK32" s="88"/>
      <c r="AZL32" s="88"/>
      <c r="AZM32" s="88"/>
      <c r="AZN32" s="88"/>
      <c r="AZO32" s="88"/>
      <c r="AZP32" s="88"/>
      <c r="AZQ32" s="88"/>
      <c r="AZR32" s="88"/>
      <c r="AZS32" s="88"/>
      <c r="AZT32" s="88"/>
      <c r="AZU32" s="88"/>
      <c r="AZV32" s="88"/>
      <c r="AZW32" s="88"/>
      <c r="AZX32" s="88"/>
      <c r="AZY32" s="88"/>
      <c r="AZZ32" s="88"/>
      <c r="BAA32" s="88"/>
      <c r="BAB32" s="88"/>
      <c r="BAC32" s="88"/>
      <c r="BAD32" s="88"/>
      <c r="BAE32" s="88"/>
      <c r="BAF32" s="88"/>
      <c r="BAG32" s="88"/>
      <c r="BAH32" s="88"/>
      <c r="BAI32" s="88"/>
      <c r="BAJ32" s="88"/>
      <c r="BAK32" s="88"/>
      <c r="BAL32" s="88"/>
      <c r="BAM32" s="88"/>
      <c r="BAN32" s="88"/>
      <c r="BAO32" s="88"/>
      <c r="BAP32" s="88"/>
      <c r="BAQ32" s="88"/>
      <c r="BAR32" s="88"/>
      <c r="BAS32" s="88"/>
      <c r="BAT32" s="88"/>
      <c r="BAU32" s="88"/>
      <c r="BAV32" s="88"/>
      <c r="BAW32" s="88"/>
      <c r="BAX32" s="88"/>
      <c r="BAY32" s="88"/>
      <c r="BAZ32" s="88"/>
      <c r="BBA32" s="88"/>
      <c r="BBB32" s="88"/>
      <c r="BBC32" s="88"/>
      <c r="BBD32" s="88"/>
      <c r="BBE32" s="88"/>
      <c r="BBF32" s="88"/>
      <c r="BBG32" s="88"/>
      <c r="BBH32" s="88"/>
      <c r="BBI32" s="88"/>
      <c r="BBJ32" s="88"/>
      <c r="BBK32" s="88"/>
      <c r="BBL32" s="88"/>
      <c r="BBM32" s="88"/>
      <c r="BBN32" s="88"/>
      <c r="BBO32" s="88"/>
      <c r="BBP32" s="88"/>
      <c r="BBQ32" s="88"/>
      <c r="BBR32" s="88"/>
      <c r="BBS32" s="88"/>
      <c r="BBT32" s="88"/>
      <c r="BBU32" s="88"/>
      <c r="BBV32" s="88"/>
      <c r="BBW32" s="88"/>
      <c r="BBX32" s="88"/>
      <c r="BBY32" s="88"/>
      <c r="BBZ32" s="88"/>
      <c r="BCA32" s="88"/>
      <c r="BCB32" s="88"/>
      <c r="BCC32" s="88"/>
      <c r="BCD32" s="88"/>
      <c r="BCE32" s="88"/>
      <c r="BCF32" s="88"/>
      <c r="BCG32" s="88"/>
      <c r="BCH32" s="88"/>
      <c r="BCI32" s="88"/>
      <c r="BCJ32" s="88"/>
      <c r="BCK32" s="88"/>
      <c r="BCL32" s="88"/>
      <c r="BCM32" s="88"/>
      <c r="BCN32" s="88"/>
      <c r="BCO32" s="88"/>
      <c r="BCP32" s="88"/>
      <c r="BCQ32" s="88"/>
      <c r="BCR32" s="88"/>
      <c r="BCS32" s="88"/>
      <c r="BCT32" s="88"/>
      <c r="BCU32" s="88"/>
      <c r="BCV32" s="88"/>
      <c r="BCW32" s="88"/>
      <c r="BCX32" s="88"/>
      <c r="BCY32" s="88"/>
      <c r="BCZ32" s="88"/>
      <c r="BDA32" s="88"/>
      <c r="BDB32" s="88"/>
      <c r="BDC32" s="88"/>
      <c r="BDD32" s="88"/>
      <c r="BDE32" s="88"/>
      <c r="BDF32" s="88"/>
      <c r="BDG32" s="88"/>
      <c r="BDH32" s="88"/>
      <c r="BDI32" s="88"/>
      <c r="BDJ32" s="88"/>
      <c r="BDK32" s="88"/>
      <c r="BDL32" s="88"/>
      <c r="BDM32" s="88"/>
      <c r="BDN32" s="88"/>
      <c r="BDO32" s="88"/>
      <c r="BDP32" s="88"/>
      <c r="BDQ32" s="88"/>
      <c r="BDR32" s="88"/>
      <c r="BDS32" s="88"/>
      <c r="BDT32" s="88"/>
      <c r="BDU32" s="88"/>
      <c r="BDV32" s="88"/>
      <c r="BDW32" s="88"/>
      <c r="BDX32" s="88"/>
      <c r="BDY32" s="88"/>
      <c r="BDZ32" s="88"/>
      <c r="BEA32" s="88"/>
      <c r="BEB32" s="88"/>
      <c r="BEC32" s="88"/>
      <c r="BED32" s="88"/>
      <c r="BEE32" s="88"/>
      <c r="BEF32" s="88"/>
      <c r="BEG32" s="88"/>
      <c r="BEH32" s="88"/>
      <c r="BEI32" s="88"/>
      <c r="BEJ32" s="88"/>
      <c r="BEK32" s="88"/>
      <c r="BEL32" s="88"/>
      <c r="BEM32" s="88"/>
      <c r="BEN32" s="88"/>
      <c r="BEO32" s="88"/>
      <c r="BEP32" s="88"/>
      <c r="BEQ32" s="88"/>
      <c r="BER32" s="88"/>
      <c r="BES32" s="88"/>
      <c r="BET32" s="88"/>
      <c r="BEU32" s="88"/>
      <c r="BEV32" s="88"/>
      <c r="BEW32" s="88"/>
      <c r="BEX32" s="88"/>
      <c r="BEY32" s="88"/>
      <c r="BEZ32" s="88"/>
      <c r="BFA32" s="88"/>
      <c r="BFB32" s="88"/>
      <c r="BFC32" s="88"/>
      <c r="BFD32" s="88"/>
      <c r="BFE32" s="88"/>
      <c r="BFF32" s="88"/>
      <c r="BFG32" s="88"/>
      <c r="BFH32" s="88"/>
      <c r="BFI32" s="88"/>
      <c r="BFJ32" s="88"/>
      <c r="BFK32" s="88"/>
      <c r="BFL32" s="88"/>
      <c r="BFM32" s="88"/>
      <c r="BFN32" s="88"/>
      <c r="BFO32" s="88"/>
      <c r="BFP32" s="88"/>
      <c r="BFQ32" s="88"/>
      <c r="BFR32" s="88"/>
      <c r="BFS32" s="88"/>
      <c r="BFT32" s="88"/>
      <c r="BFU32" s="88"/>
      <c r="BFV32" s="88"/>
      <c r="BFW32" s="88"/>
      <c r="BFX32" s="88"/>
      <c r="BFY32" s="88"/>
      <c r="BFZ32" s="88"/>
      <c r="BGA32" s="88"/>
      <c r="BGB32" s="88"/>
      <c r="BGC32" s="88"/>
      <c r="BGD32" s="88"/>
      <c r="BGE32" s="88"/>
      <c r="BGF32" s="88"/>
      <c r="BGG32" s="88"/>
      <c r="BGH32" s="88"/>
      <c r="BGI32" s="88"/>
      <c r="BGJ32" s="88"/>
      <c r="BGK32" s="88"/>
      <c r="BGL32" s="88"/>
      <c r="BGM32" s="88"/>
      <c r="BGN32" s="88"/>
      <c r="BGO32" s="88"/>
      <c r="BGP32" s="88"/>
      <c r="BGQ32" s="88"/>
      <c r="BGR32" s="88"/>
      <c r="BGS32" s="88"/>
      <c r="BGT32" s="88"/>
      <c r="BGU32" s="88"/>
      <c r="BGV32" s="88"/>
      <c r="BGW32" s="88"/>
      <c r="BGX32" s="88"/>
      <c r="BGY32" s="88"/>
      <c r="BGZ32" s="88"/>
      <c r="BHA32" s="88"/>
      <c r="BHB32" s="88"/>
      <c r="BHC32" s="88"/>
      <c r="BHD32" s="88"/>
      <c r="BHE32" s="88"/>
      <c r="BHF32" s="88"/>
      <c r="BHG32" s="88"/>
      <c r="BHH32" s="88"/>
      <c r="BHI32" s="88"/>
      <c r="BHJ32" s="88"/>
      <c r="BHK32" s="88"/>
      <c r="BHL32" s="88"/>
      <c r="BHM32" s="88"/>
      <c r="BHN32" s="88"/>
      <c r="BHO32" s="88"/>
      <c r="BHP32" s="88"/>
      <c r="BHQ32" s="88"/>
      <c r="BHR32" s="88"/>
      <c r="BHS32" s="88"/>
      <c r="BHT32" s="88"/>
      <c r="BHU32" s="88"/>
      <c r="BHV32" s="88"/>
      <c r="BHW32" s="88"/>
      <c r="BHX32" s="88"/>
      <c r="BHY32" s="88"/>
      <c r="BHZ32" s="88"/>
      <c r="BIA32" s="88"/>
      <c r="BIB32" s="88"/>
      <c r="BIC32" s="88"/>
      <c r="BID32" s="88"/>
      <c r="BIE32" s="88"/>
      <c r="BIF32" s="88"/>
      <c r="BIG32" s="88"/>
      <c r="BIH32" s="88"/>
      <c r="BII32" s="88"/>
      <c r="BIJ32" s="88"/>
      <c r="BIK32" s="88"/>
      <c r="BIL32" s="88"/>
      <c r="BIM32" s="88"/>
      <c r="BIN32" s="88"/>
      <c r="BIO32" s="88"/>
      <c r="BIP32" s="88"/>
      <c r="BIQ32" s="88"/>
      <c r="BIR32" s="88"/>
      <c r="BIS32" s="88"/>
      <c r="BIT32" s="88"/>
      <c r="BIU32" s="88"/>
      <c r="BIV32" s="88"/>
      <c r="BIW32" s="88"/>
      <c r="BIX32" s="88"/>
      <c r="BIY32" s="88"/>
      <c r="BIZ32" s="88"/>
      <c r="BJA32" s="88"/>
      <c r="BJB32" s="88"/>
      <c r="BJC32" s="88"/>
      <c r="BJD32" s="88"/>
      <c r="BJE32" s="88"/>
      <c r="BJF32" s="88"/>
      <c r="BJG32" s="88"/>
      <c r="BJH32" s="88"/>
      <c r="BJI32" s="88"/>
      <c r="BJJ32" s="88"/>
      <c r="BJK32" s="88"/>
      <c r="BJL32" s="88"/>
      <c r="BJM32" s="88"/>
      <c r="BJN32" s="88"/>
      <c r="BJO32" s="88"/>
      <c r="BJP32" s="88"/>
      <c r="BJQ32" s="88"/>
      <c r="BJR32" s="88"/>
      <c r="BJS32" s="88"/>
      <c r="BJT32" s="88"/>
      <c r="BJU32" s="88"/>
      <c r="BJV32" s="88"/>
      <c r="BJW32" s="88"/>
      <c r="BJX32" s="88"/>
      <c r="BJY32" s="88"/>
      <c r="BJZ32" s="88"/>
      <c r="BKA32" s="88"/>
      <c r="BKB32" s="88"/>
      <c r="BKC32" s="88"/>
      <c r="BKD32" s="88"/>
      <c r="BKE32" s="88"/>
      <c r="BKF32" s="88"/>
      <c r="BKG32" s="88"/>
      <c r="BKH32" s="88"/>
      <c r="BKI32" s="88"/>
      <c r="BKJ32" s="88"/>
      <c r="BKK32" s="88"/>
      <c r="BKL32" s="88"/>
      <c r="BKM32" s="88"/>
      <c r="BKN32" s="88"/>
      <c r="BKO32" s="88"/>
      <c r="BKP32" s="88"/>
      <c r="BKQ32" s="88"/>
      <c r="BKR32" s="88"/>
      <c r="BKS32" s="88"/>
      <c r="BKT32" s="88"/>
      <c r="BKU32" s="88"/>
      <c r="BKV32" s="88"/>
      <c r="BKW32" s="88"/>
      <c r="BKX32" s="88"/>
      <c r="BKY32" s="88"/>
      <c r="BKZ32" s="88"/>
      <c r="BLA32" s="88"/>
      <c r="BLB32" s="88"/>
      <c r="BLC32" s="88"/>
      <c r="BLD32" s="88"/>
      <c r="BLE32" s="88"/>
      <c r="BLF32" s="88"/>
      <c r="BLG32" s="88"/>
      <c r="BLH32" s="88"/>
      <c r="BLI32" s="88"/>
      <c r="BLJ32" s="88"/>
      <c r="BLK32" s="88"/>
      <c r="BLL32" s="88"/>
      <c r="BLM32" s="88"/>
      <c r="BLN32" s="88"/>
      <c r="BLO32" s="88"/>
      <c r="BLP32" s="88"/>
      <c r="BLQ32" s="88"/>
      <c r="BLR32" s="88"/>
      <c r="BLS32" s="88"/>
      <c r="BLT32" s="88"/>
      <c r="BLU32" s="88"/>
      <c r="BLV32" s="88"/>
      <c r="BLW32" s="88"/>
      <c r="BLX32" s="88"/>
      <c r="BLY32" s="88"/>
      <c r="BLZ32" s="88"/>
      <c r="BMA32" s="88"/>
      <c r="BMB32" s="88"/>
      <c r="BMC32" s="88"/>
      <c r="BMD32" s="88"/>
      <c r="BME32" s="88"/>
      <c r="BMF32" s="88"/>
      <c r="BMG32" s="88"/>
      <c r="BMH32" s="88"/>
      <c r="BMI32" s="88"/>
      <c r="BMJ32" s="88"/>
      <c r="BMK32" s="88"/>
      <c r="BML32" s="88"/>
      <c r="BMM32" s="88"/>
      <c r="BMN32" s="88"/>
      <c r="BMO32" s="88"/>
      <c r="BMP32" s="88"/>
      <c r="BMQ32" s="88"/>
      <c r="BMR32" s="88"/>
      <c r="BMS32" s="88"/>
      <c r="BMT32" s="88"/>
      <c r="BMU32" s="88"/>
      <c r="BMV32" s="88"/>
      <c r="BMW32" s="88"/>
      <c r="BMX32" s="88"/>
      <c r="BMY32" s="88"/>
      <c r="BMZ32" s="88"/>
      <c r="BNA32" s="88"/>
      <c r="BNB32" s="88"/>
      <c r="BNC32" s="88"/>
      <c r="BND32" s="88"/>
      <c r="BNE32" s="88"/>
      <c r="BNF32" s="88"/>
      <c r="BNG32" s="88"/>
      <c r="BNH32" s="88"/>
      <c r="BNI32" s="88"/>
      <c r="BNJ32" s="88"/>
      <c r="BNK32" s="88"/>
      <c r="BNL32" s="88"/>
      <c r="BNM32" s="88"/>
      <c r="BNN32" s="88"/>
      <c r="BNO32" s="88"/>
      <c r="BNP32" s="88"/>
      <c r="BNQ32" s="88"/>
      <c r="BNR32" s="88"/>
      <c r="BNS32" s="88"/>
      <c r="BNT32" s="88"/>
      <c r="BNU32" s="88"/>
      <c r="BNV32" s="88"/>
      <c r="BNW32" s="88"/>
      <c r="BNX32" s="88"/>
      <c r="BNY32" s="88"/>
      <c r="BNZ32" s="88"/>
      <c r="BOA32" s="88"/>
      <c r="BOB32" s="88"/>
      <c r="BOC32" s="88"/>
      <c r="BOD32" s="88"/>
      <c r="BOE32" s="88"/>
      <c r="BOF32" s="88"/>
      <c r="BOG32" s="88"/>
      <c r="BOH32" s="88"/>
      <c r="BOI32" s="88"/>
      <c r="BOJ32" s="88"/>
      <c r="BOK32" s="88"/>
      <c r="BOL32" s="88"/>
      <c r="BOM32" s="88"/>
      <c r="BON32" s="88"/>
      <c r="BOO32" s="88"/>
      <c r="BOP32" s="88"/>
      <c r="BOQ32" s="88"/>
      <c r="BOR32" s="88"/>
      <c r="BOS32" s="88"/>
      <c r="BOT32" s="88"/>
      <c r="BOU32" s="88"/>
      <c r="BOV32" s="88"/>
      <c r="BOW32" s="88"/>
      <c r="BOX32" s="88"/>
      <c r="BOY32" s="88"/>
      <c r="BOZ32" s="88"/>
      <c r="BPA32" s="88"/>
      <c r="BPB32" s="88"/>
      <c r="BPC32" s="88"/>
      <c r="BPD32" s="88"/>
      <c r="BPE32" s="88"/>
      <c r="BPF32" s="88"/>
      <c r="BPG32" s="88"/>
      <c r="BPH32" s="88"/>
      <c r="BPI32" s="88"/>
      <c r="BPJ32" s="88"/>
      <c r="BPK32" s="88"/>
      <c r="BPL32" s="88"/>
      <c r="BPM32" s="88"/>
      <c r="BPN32" s="88"/>
      <c r="BPO32" s="88"/>
      <c r="BPP32" s="88"/>
      <c r="BPQ32" s="88"/>
      <c r="BPR32" s="88"/>
      <c r="BPS32" s="88"/>
      <c r="BPT32" s="88"/>
      <c r="BPU32" s="88"/>
      <c r="BPV32" s="88"/>
      <c r="BPW32" s="88"/>
      <c r="BPX32" s="88"/>
      <c r="BPY32" s="88"/>
      <c r="BPZ32" s="88"/>
      <c r="BQA32" s="88"/>
      <c r="BQB32" s="88"/>
      <c r="BQC32" s="88"/>
      <c r="BQD32" s="88"/>
      <c r="BQE32" s="88"/>
      <c r="BQF32" s="88"/>
      <c r="BQG32" s="88"/>
      <c r="BQH32" s="88"/>
      <c r="BQI32" s="88"/>
      <c r="BQJ32" s="88"/>
      <c r="BQK32" s="88"/>
      <c r="BQL32" s="88"/>
      <c r="BQM32" s="88"/>
      <c r="BQN32" s="88"/>
      <c r="BQO32" s="88"/>
      <c r="BQP32" s="88"/>
      <c r="BQQ32" s="88"/>
      <c r="BQR32" s="88"/>
      <c r="BQS32" s="88"/>
      <c r="BQT32" s="88"/>
      <c r="BQU32" s="88"/>
      <c r="BQV32" s="88"/>
      <c r="BQW32" s="88"/>
      <c r="BQX32" s="88"/>
      <c r="BQY32" s="88"/>
      <c r="BQZ32" s="88"/>
      <c r="BRA32" s="88"/>
      <c r="BRB32" s="88"/>
      <c r="BRC32" s="88"/>
      <c r="BRD32" s="88"/>
      <c r="BRE32" s="88"/>
      <c r="BRF32" s="88"/>
      <c r="BRG32" s="88"/>
      <c r="BRH32" s="88"/>
      <c r="BRI32" s="88"/>
      <c r="BRJ32" s="88"/>
      <c r="BRK32" s="88"/>
      <c r="BRL32" s="88"/>
      <c r="BRM32" s="88"/>
      <c r="BRN32" s="88"/>
      <c r="BRO32" s="88"/>
      <c r="BRP32" s="88"/>
      <c r="BRQ32" s="88"/>
      <c r="BRR32" s="88"/>
      <c r="BRS32" s="88"/>
      <c r="BRT32" s="88"/>
      <c r="BRU32" s="88"/>
      <c r="BRV32" s="88"/>
      <c r="BRW32" s="88"/>
      <c r="BRX32" s="88"/>
      <c r="BRY32" s="88"/>
      <c r="BRZ32" s="88"/>
      <c r="BSA32" s="88"/>
      <c r="BSB32" s="88"/>
      <c r="BSC32" s="88"/>
      <c r="BSD32" s="88"/>
      <c r="BSE32" s="88"/>
      <c r="BSF32" s="88"/>
      <c r="BSG32" s="88"/>
      <c r="BSH32" s="88"/>
      <c r="BSI32" s="88"/>
      <c r="BSJ32" s="88"/>
      <c r="BSK32" s="88"/>
      <c r="BSL32" s="88"/>
      <c r="BSM32" s="88"/>
      <c r="BSN32" s="88"/>
      <c r="BSO32" s="88"/>
      <c r="BSP32" s="88"/>
      <c r="BSQ32" s="88"/>
      <c r="BSR32" s="88"/>
      <c r="BSS32" s="88"/>
      <c r="BST32" s="88"/>
      <c r="BSU32" s="88"/>
      <c r="BSV32" s="88"/>
      <c r="BSW32" s="88"/>
      <c r="BSX32" s="88"/>
      <c r="BSY32" s="88"/>
      <c r="BSZ32" s="88"/>
      <c r="BTA32" s="88"/>
      <c r="BTB32" s="88"/>
      <c r="BTC32" s="88"/>
      <c r="BTD32" s="88"/>
      <c r="BTE32" s="88"/>
      <c r="BTF32" s="88"/>
      <c r="BTG32" s="88"/>
      <c r="BTH32" s="88"/>
      <c r="BTI32" s="88"/>
      <c r="BTJ32" s="88"/>
      <c r="BTK32" s="88"/>
      <c r="BTL32" s="88"/>
      <c r="BTM32" s="88"/>
      <c r="BTN32" s="88"/>
      <c r="BTO32" s="88"/>
      <c r="BTP32" s="88"/>
      <c r="BTQ32" s="88"/>
      <c r="BTR32" s="88"/>
      <c r="BTS32" s="88"/>
      <c r="BTT32" s="88"/>
      <c r="BTU32" s="88"/>
      <c r="BTV32" s="88"/>
      <c r="BTW32" s="88"/>
      <c r="BTX32" s="88"/>
      <c r="BTY32" s="88"/>
      <c r="BTZ32" s="88"/>
      <c r="BUA32" s="88"/>
      <c r="BUB32" s="88"/>
      <c r="BUC32" s="88"/>
      <c r="BUD32" s="88"/>
      <c r="BUE32" s="88"/>
      <c r="BUF32" s="88"/>
      <c r="BUG32" s="88"/>
      <c r="BUH32" s="88"/>
      <c r="BUI32" s="88"/>
      <c r="BUJ32" s="88"/>
      <c r="BUK32" s="88"/>
      <c r="BUL32" s="88"/>
      <c r="BUM32" s="88"/>
      <c r="BUN32" s="88"/>
      <c r="BUO32" s="88"/>
      <c r="BUP32" s="88"/>
      <c r="BUQ32" s="88"/>
      <c r="BUR32" s="88"/>
      <c r="BUS32" s="88"/>
      <c r="BUT32" s="88"/>
      <c r="BUU32" s="88"/>
      <c r="BUV32" s="88"/>
      <c r="BUW32" s="88"/>
      <c r="BUX32" s="88"/>
      <c r="BUY32" s="88"/>
      <c r="BUZ32" s="88"/>
      <c r="BVA32" s="88"/>
      <c r="BVB32" s="88"/>
      <c r="BVC32" s="88"/>
      <c r="BVD32" s="88"/>
      <c r="BVE32" s="88"/>
      <c r="BVF32" s="88"/>
      <c r="BVG32" s="88"/>
      <c r="BVH32" s="88"/>
      <c r="BVI32" s="88"/>
      <c r="BVJ32" s="88"/>
      <c r="BVK32" s="88"/>
      <c r="BVL32" s="88"/>
      <c r="BVM32" s="88"/>
      <c r="BVN32" s="88"/>
      <c r="BVO32" s="88"/>
      <c r="BVP32" s="88"/>
      <c r="BVQ32" s="88"/>
      <c r="BVR32" s="88"/>
      <c r="BVS32" s="88"/>
      <c r="BVT32" s="88"/>
      <c r="BVU32" s="88"/>
      <c r="BVV32" s="88"/>
      <c r="BVW32" s="88"/>
      <c r="BVX32" s="88"/>
      <c r="BVY32" s="88"/>
      <c r="BVZ32" s="88"/>
      <c r="BWA32" s="88"/>
      <c r="BWB32" s="88"/>
      <c r="BWC32" s="88"/>
      <c r="BWD32" s="88"/>
      <c r="BWE32" s="88"/>
      <c r="BWF32" s="88"/>
      <c r="BWG32" s="88"/>
      <c r="BWH32" s="88"/>
      <c r="BWI32" s="88"/>
      <c r="BWJ32" s="88"/>
      <c r="BWK32" s="88"/>
      <c r="BWL32" s="88"/>
      <c r="BWM32" s="88"/>
      <c r="BWN32" s="88"/>
      <c r="BWO32" s="88"/>
      <c r="BWP32" s="88"/>
      <c r="BWQ32" s="88"/>
      <c r="BWR32" s="88"/>
      <c r="BWS32" s="88"/>
      <c r="BWT32" s="88"/>
      <c r="BWU32" s="88"/>
      <c r="BWV32" s="88"/>
      <c r="BWW32" s="88"/>
      <c r="BWX32" s="88"/>
      <c r="BWY32" s="88"/>
      <c r="BWZ32" s="88"/>
      <c r="BXA32" s="88"/>
      <c r="BXB32" s="88"/>
      <c r="BXC32" s="88"/>
      <c r="BXD32" s="88"/>
      <c r="BXE32" s="88"/>
      <c r="BXF32" s="88"/>
      <c r="BXG32" s="88"/>
      <c r="BXH32" s="88"/>
      <c r="BXI32" s="88"/>
      <c r="BXJ32" s="88"/>
      <c r="BXK32" s="88"/>
      <c r="BXL32" s="88"/>
      <c r="BXM32" s="88"/>
      <c r="BXN32" s="88"/>
      <c r="BXO32" s="88"/>
      <c r="BXP32" s="88"/>
      <c r="BXQ32" s="88"/>
      <c r="BXR32" s="88"/>
      <c r="BXS32" s="88"/>
      <c r="BXT32" s="88"/>
      <c r="BXU32" s="88"/>
      <c r="BXV32" s="88"/>
      <c r="BXW32" s="88"/>
      <c r="BXX32" s="88"/>
      <c r="BXY32" s="88"/>
      <c r="BXZ32" s="88"/>
      <c r="BYA32" s="88"/>
      <c r="BYB32" s="88"/>
      <c r="BYC32" s="88"/>
      <c r="BYD32" s="88"/>
      <c r="BYE32" s="88"/>
      <c r="BYF32" s="88"/>
      <c r="BYG32" s="88"/>
      <c r="BYH32" s="88"/>
      <c r="BYI32" s="88"/>
      <c r="BYJ32" s="88"/>
      <c r="BYK32" s="88"/>
      <c r="BYL32" s="88"/>
      <c r="BYM32" s="88"/>
      <c r="BYN32" s="88"/>
      <c r="BYO32" s="88"/>
      <c r="BYP32" s="88"/>
      <c r="BYQ32" s="88"/>
      <c r="BYR32" s="88"/>
      <c r="BYS32" s="88"/>
      <c r="BYT32" s="88"/>
      <c r="BYU32" s="88"/>
      <c r="BYV32" s="88"/>
      <c r="BYW32" s="88"/>
      <c r="BYX32" s="88"/>
      <c r="BYY32" s="88"/>
      <c r="BYZ32" s="88"/>
      <c r="BZA32" s="88"/>
      <c r="BZB32" s="88"/>
      <c r="BZC32" s="88"/>
      <c r="BZD32" s="88"/>
      <c r="BZE32" s="88"/>
      <c r="BZF32" s="88"/>
      <c r="BZG32" s="88"/>
      <c r="BZH32" s="88"/>
      <c r="BZI32" s="88"/>
      <c r="BZJ32" s="88"/>
      <c r="BZK32" s="88"/>
      <c r="BZL32" s="88"/>
      <c r="BZM32" s="88"/>
      <c r="BZN32" s="88"/>
      <c r="BZO32" s="88"/>
      <c r="BZP32" s="88"/>
      <c r="BZQ32" s="88"/>
      <c r="BZR32" s="88"/>
      <c r="BZS32" s="88"/>
      <c r="BZT32" s="88"/>
      <c r="BZU32" s="88"/>
      <c r="BZV32" s="88"/>
      <c r="BZW32" s="88"/>
      <c r="BZX32" s="88"/>
      <c r="BZY32" s="88"/>
      <c r="BZZ32" s="88"/>
      <c r="CAA32" s="88"/>
      <c r="CAB32" s="88"/>
      <c r="CAC32" s="88"/>
      <c r="CAD32" s="88"/>
      <c r="CAE32" s="88"/>
      <c r="CAF32" s="88"/>
      <c r="CAG32" s="88"/>
      <c r="CAH32" s="88"/>
      <c r="CAI32" s="88"/>
      <c r="CAJ32" s="88"/>
      <c r="CAK32" s="88"/>
      <c r="CAL32" s="88"/>
      <c r="CAM32" s="88"/>
      <c r="CAN32" s="88"/>
      <c r="CAO32" s="88"/>
      <c r="CAP32" s="88"/>
      <c r="CAQ32" s="88"/>
      <c r="CAR32" s="88"/>
      <c r="CAS32" s="88"/>
      <c r="CAT32" s="88"/>
      <c r="CAU32" s="88"/>
      <c r="CAV32" s="88"/>
      <c r="CAW32" s="88"/>
      <c r="CAX32" s="88"/>
      <c r="CAY32" s="88"/>
      <c r="CAZ32" s="88"/>
      <c r="CBA32" s="88"/>
      <c r="CBB32" s="88"/>
      <c r="CBC32" s="88"/>
      <c r="CBD32" s="88"/>
      <c r="CBE32" s="88"/>
      <c r="CBF32" s="88"/>
      <c r="CBG32" s="88"/>
      <c r="CBH32" s="88"/>
      <c r="CBI32" s="88"/>
      <c r="CBJ32" s="88"/>
      <c r="CBK32" s="88"/>
      <c r="CBL32" s="88"/>
      <c r="CBM32" s="88"/>
      <c r="CBN32" s="88"/>
      <c r="CBO32" s="88"/>
      <c r="CBP32" s="88"/>
      <c r="CBQ32" s="88"/>
      <c r="CBR32" s="88"/>
      <c r="CBS32" s="88"/>
      <c r="CBT32" s="88"/>
      <c r="CBU32" s="88"/>
      <c r="CBV32" s="88"/>
      <c r="CBW32" s="88"/>
      <c r="CBX32" s="88"/>
      <c r="CBY32" s="88"/>
      <c r="CBZ32" s="88"/>
      <c r="CCA32" s="88"/>
      <c r="CCB32" s="88"/>
      <c r="CCC32" s="88"/>
      <c r="CCD32" s="88"/>
      <c r="CCE32" s="88"/>
      <c r="CCF32" s="88"/>
      <c r="CCG32" s="88"/>
      <c r="CCH32" s="88"/>
      <c r="CCI32" s="88"/>
      <c r="CCJ32" s="88"/>
      <c r="CCK32" s="88"/>
      <c r="CCL32" s="88"/>
      <c r="CCM32" s="88"/>
      <c r="CCN32" s="88"/>
      <c r="CCO32" s="88"/>
      <c r="CCP32" s="88"/>
      <c r="CCQ32" s="88"/>
      <c r="CCR32" s="88"/>
      <c r="CCS32" s="88"/>
      <c r="CCT32" s="88"/>
      <c r="CCU32" s="88"/>
      <c r="CCV32" s="88"/>
      <c r="CCW32" s="88"/>
      <c r="CCX32" s="88"/>
      <c r="CCY32" s="88"/>
      <c r="CCZ32" s="88"/>
      <c r="CDA32" s="88"/>
      <c r="CDB32" s="88"/>
      <c r="CDC32" s="88"/>
      <c r="CDD32" s="88"/>
      <c r="CDE32" s="88"/>
      <c r="CDF32" s="88"/>
      <c r="CDG32" s="88"/>
      <c r="CDH32" s="88"/>
      <c r="CDI32" s="88"/>
      <c r="CDJ32" s="88"/>
      <c r="CDK32" s="88"/>
      <c r="CDL32" s="88"/>
      <c r="CDM32" s="88"/>
      <c r="CDN32" s="88"/>
      <c r="CDO32" s="88"/>
      <c r="CDP32" s="88"/>
      <c r="CDQ32" s="88"/>
      <c r="CDR32" s="88"/>
      <c r="CDS32" s="88"/>
      <c r="CDT32" s="88"/>
      <c r="CDU32" s="88"/>
      <c r="CDV32" s="88"/>
      <c r="CDW32" s="88"/>
      <c r="CDX32" s="88"/>
      <c r="CDY32" s="88"/>
      <c r="CDZ32" s="88"/>
      <c r="CEA32" s="88"/>
      <c r="CEB32" s="88"/>
      <c r="CEC32" s="88"/>
      <c r="CED32" s="88"/>
      <c r="CEE32" s="88"/>
      <c r="CEF32" s="88"/>
      <c r="CEG32" s="88"/>
      <c r="CEH32" s="88"/>
      <c r="CEI32" s="88"/>
      <c r="CEJ32" s="88"/>
      <c r="CEK32" s="88"/>
    </row>
    <row r="33" spans="1:2169" s="51" customFormat="1">
      <c r="A33" s="461" t="s">
        <v>9460</v>
      </c>
      <c r="B33" s="83" t="s">
        <v>9461</v>
      </c>
      <c r="C33" s="69" t="str">
        <f>IF('page 2'!$O$4="","",IF('page 2'!$O$4=Gestion!A33,1,0))</f>
        <v/>
      </c>
      <c r="D33" s="69" t="str">
        <f>IF('page 2'!$O$5="","",IF('page 2'!$O$5=Gestion!A33,1,0))</f>
        <v/>
      </c>
      <c r="E33" s="69" t="str">
        <f>IF('page 2'!$O$6="","",IF('page 2'!$O$6=Gestion!A33,1,0))</f>
        <v/>
      </c>
      <c r="F33" s="69" t="str">
        <f>IF('page 2'!$O$7="","",IF('page 2'!$O$7=Gestion!A33,1,0))</f>
        <v/>
      </c>
      <c r="G33" s="69" t="str">
        <f>IF('page 2'!$O$8="","",IF('page 2'!$O$8=Gestion!A33,1,0))</f>
        <v/>
      </c>
      <c r="H33" s="69" t="str">
        <f>IF('page 2'!$O$9="","",IF('page 2'!$O$9=Gestion!A33,1,0))</f>
        <v/>
      </c>
      <c r="I33" s="69" t="str">
        <f>IF('page 2'!$O$10="","",IF('page 2'!$O$10=Gestion!A33,1,0))</f>
        <v/>
      </c>
      <c r="J33" s="69" t="str">
        <f>IF('page 2'!$O$11="","",IF('page 2'!$O$11=Gestion!A33,1,0))</f>
        <v/>
      </c>
      <c r="K33" s="69" t="str">
        <f>IF('page 2'!$O$12="","",IF('page 2'!$O$12=Gestion!A33,1,0))</f>
        <v/>
      </c>
      <c r="L33" s="69" t="str">
        <f>IF('page 2'!$O$13="","",IF('page 2'!$O$13=Gestion!A33,1,0))</f>
        <v/>
      </c>
      <c r="M33" s="69" t="str">
        <f>IF('page 2'!$O$14="","",IF('page 2'!$O$14=Gestion!A33,1,0))</f>
        <v/>
      </c>
      <c r="N33" s="69" t="str">
        <f>IF('page 2'!$O$15="","",IF('page 2'!$O$15=Gestion!A33,1,0))</f>
        <v/>
      </c>
      <c r="O33" s="69" t="str">
        <f>IF('page 2'!$O$16="","",IF('page 2'!$O$16=Gestion!A33,1,0))</f>
        <v/>
      </c>
      <c r="P33" s="69" t="str">
        <f>IF('page 2'!$O$17="","",IF('page 2'!$O$17=Gestion!A33,1,0))</f>
        <v/>
      </c>
      <c r="Q33" s="69" t="str">
        <f>IF('page 2'!$O$18="","",IF('page 2'!$O$18=Gestion!A33,1,0))</f>
        <v/>
      </c>
      <c r="R33" s="69" t="str">
        <f>IF('page 2'!$O$19="","",IF('page 2'!$O$19=Gestion!A33,1,0))</f>
        <v/>
      </c>
      <c r="S33" s="69" t="str">
        <f>IF('page 2'!$O$20="","",IF('page 2'!$O$20=Gestion!A33,1,0))</f>
        <v/>
      </c>
      <c r="T33" s="69" t="str">
        <f>IF('page 2'!$O$25="","",IF('page 2'!$O$25=Gestion!A33,1,0))</f>
        <v/>
      </c>
      <c r="U33" s="69" t="str">
        <f>IF('page 2'!$O$26="","",IF('page 2'!$O$26=Gestion!A33,1,0))</f>
        <v/>
      </c>
      <c r="V33" s="69" t="str">
        <f>IF('page 2'!$O$27="","",IF('page 2'!$O$27=Gestion!A33,1,0))</f>
        <v/>
      </c>
      <c r="W33" s="723">
        <f t="shared" ref="W33" si="7">SUM(C33:V33)</f>
        <v>0</v>
      </c>
      <c r="X33" s="713"/>
      <c r="Y33" s="69"/>
      <c r="Z33" s="69"/>
      <c r="AA33" s="69"/>
      <c r="AB33" s="469"/>
      <c r="AC33" s="469"/>
      <c r="AD33" s="469"/>
      <c r="AE33" s="88"/>
      <c r="AP33" s="469"/>
      <c r="AQ33" s="469"/>
      <c r="AR33" s="469"/>
      <c r="AS33" s="576"/>
      <c r="AT33" s="576"/>
      <c r="AU33" s="576"/>
      <c r="AV33" s="576"/>
      <c r="AW33" s="602"/>
      <c r="AX33" s="602"/>
      <c r="AY33" s="576"/>
      <c r="AZ33" s="576"/>
      <c r="BA33" s="576"/>
      <c r="BB33" s="576"/>
      <c r="BC33" s="576"/>
      <c r="BD33" s="602"/>
      <c r="BE33" s="602"/>
      <c r="BF33" s="602"/>
      <c r="BG33" s="602"/>
      <c r="BH33" s="602"/>
      <c r="BI33" s="602"/>
      <c r="BJ33" s="602"/>
      <c r="BK33" s="602"/>
      <c r="BL33" s="602"/>
      <c r="BM33" s="602"/>
      <c r="BN33" s="602"/>
      <c r="BO33" s="602"/>
      <c r="BP33" s="602"/>
      <c r="BQ33" s="602"/>
      <c r="BR33" s="602"/>
      <c r="BS33" s="576"/>
      <c r="BT33" s="576"/>
      <c r="BU33" s="576"/>
      <c r="BV33" s="576"/>
      <c r="BW33" s="602"/>
      <c r="BX33" s="602"/>
      <c r="BY33" s="602"/>
      <c r="BZ33" s="576"/>
      <c r="CA33" s="602"/>
      <c r="CB33" s="602"/>
      <c r="CC33" s="576"/>
      <c r="CD33" s="469"/>
      <c r="CE33" s="602"/>
      <c r="CF33" s="576"/>
      <c r="CG33" s="576"/>
      <c r="CH33" s="576"/>
      <c r="CI33" s="576"/>
      <c r="CJ33" s="576"/>
      <c r="CK33" s="602"/>
      <c r="CL33" s="602"/>
      <c r="CM33" s="576"/>
      <c r="CN33" s="602"/>
      <c r="CO33" s="602"/>
      <c r="CP33" s="602"/>
      <c r="CQ33" s="576"/>
      <c r="CR33" s="576"/>
      <c r="CS33" s="602"/>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c r="SK33" s="88"/>
      <c r="SL33" s="88"/>
      <c r="SM33" s="88"/>
      <c r="SN33" s="88"/>
      <c r="SO33" s="88"/>
      <c r="SP33" s="88"/>
      <c r="SQ33" s="88"/>
      <c r="SR33" s="88"/>
      <c r="SS33" s="88"/>
      <c r="ST33" s="88"/>
      <c r="SU33" s="88"/>
      <c r="SV33" s="88"/>
      <c r="SW33" s="88"/>
      <c r="SX33" s="88"/>
      <c r="SY33" s="88"/>
      <c r="SZ33" s="88"/>
      <c r="TA33" s="88"/>
      <c r="TB33" s="88"/>
      <c r="TC33" s="88"/>
      <c r="TD33" s="88"/>
      <c r="TE33" s="88"/>
      <c r="TF33" s="88"/>
      <c r="TG33" s="88"/>
      <c r="TH33" s="88"/>
      <c r="TI33" s="88"/>
      <c r="TJ33" s="88"/>
      <c r="TK33" s="88"/>
      <c r="TL33" s="88"/>
      <c r="TM33" s="88"/>
      <c r="TN33" s="88"/>
      <c r="TO33" s="88"/>
      <c r="TP33" s="88"/>
      <c r="TQ33" s="88"/>
      <c r="TR33" s="88"/>
      <c r="TS33" s="88"/>
      <c r="TT33" s="88"/>
      <c r="TU33" s="88"/>
      <c r="TV33" s="88"/>
      <c r="TW33" s="88"/>
      <c r="TX33" s="88"/>
      <c r="TY33" s="88"/>
      <c r="TZ33" s="88"/>
      <c r="UA33" s="88"/>
      <c r="UB33" s="88"/>
      <c r="UC33" s="88"/>
      <c r="UD33" s="88"/>
      <c r="UE33" s="88"/>
      <c r="UF33" s="88"/>
      <c r="UG33" s="88"/>
      <c r="UH33" s="88"/>
      <c r="UI33" s="88"/>
      <c r="UJ33" s="88"/>
      <c r="UK33" s="88"/>
      <c r="UL33" s="88"/>
      <c r="UM33" s="88"/>
      <c r="UN33" s="88"/>
      <c r="UO33" s="88"/>
      <c r="UP33" s="88"/>
      <c r="UQ33" s="88"/>
      <c r="UR33" s="88"/>
      <c r="US33" s="88"/>
      <c r="UT33" s="88"/>
      <c r="UU33" s="88"/>
      <c r="UV33" s="88"/>
      <c r="UW33" s="88"/>
      <c r="UX33" s="88"/>
      <c r="UY33" s="88"/>
      <c r="UZ33" s="88"/>
      <c r="VA33" s="88"/>
      <c r="VB33" s="88"/>
      <c r="VC33" s="88"/>
      <c r="VD33" s="88"/>
      <c r="VE33" s="88"/>
      <c r="VF33" s="88"/>
      <c r="VG33" s="88"/>
      <c r="VH33" s="88"/>
      <c r="VI33" s="88"/>
      <c r="VJ33" s="88"/>
      <c r="VK33" s="88"/>
      <c r="VL33" s="88"/>
      <c r="VM33" s="88"/>
      <c r="VN33" s="88"/>
      <c r="VO33" s="88"/>
      <c r="VP33" s="88"/>
      <c r="VQ33" s="88"/>
      <c r="VR33" s="88"/>
      <c r="VS33" s="88"/>
      <c r="VT33" s="88"/>
      <c r="VU33" s="88"/>
      <c r="VV33" s="88"/>
      <c r="VW33" s="88"/>
      <c r="VX33" s="88"/>
      <c r="VY33" s="88"/>
      <c r="VZ33" s="88"/>
      <c r="WA33" s="88"/>
      <c r="WB33" s="88"/>
      <c r="WC33" s="88"/>
      <c r="WD33" s="88"/>
      <c r="WE33" s="88"/>
      <c r="WF33" s="88"/>
      <c r="WG33" s="88"/>
      <c r="WH33" s="88"/>
      <c r="WI33" s="88"/>
      <c r="WJ33" s="88"/>
      <c r="WK33" s="88"/>
      <c r="WL33" s="88"/>
      <c r="WM33" s="88"/>
      <c r="WN33" s="88"/>
      <c r="WO33" s="88"/>
      <c r="WP33" s="88"/>
      <c r="WQ33" s="88"/>
      <c r="WR33" s="88"/>
      <c r="WS33" s="88"/>
      <c r="WT33" s="88"/>
      <c r="WU33" s="88"/>
      <c r="WV33" s="88"/>
      <c r="WW33" s="88"/>
      <c r="WX33" s="88"/>
      <c r="WY33" s="88"/>
      <c r="WZ33" s="88"/>
      <c r="XA33" s="88"/>
      <c r="XB33" s="88"/>
      <c r="XC33" s="88"/>
      <c r="XD33" s="88"/>
      <c r="XE33" s="88"/>
      <c r="XF33" s="88"/>
      <c r="XG33" s="88"/>
      <c r="XH33" s="88"/>
      <c r="XI33" s="88"/>
      <c r="XJ33" s="88"/>
      <c r="XK33" s="88"/>
      <c r="XL33" s="88"/>
      <c r="XM33" s="88"/>
      <c r="XN33" s="88"/>
      <c r="XO33" s="88"/>
      <c r="XP33" s="88"/>
      <c r="XQ33" s="88"/>
      <c r="XR33" s="88"/>
      <c r="XS33" s="88"/>
      <c r="XT33" s="88"/>
      <c r="XU33" s="88"/>
      <c r="XV33" s="88"/>
      <c r="XW33" s="88"/>
      <c r="XX33" s="88"/>
      <c r="XY33" s="88"/>
      <c r="XZ33" s="88"/>
      <c r="YA33" s="88"/>
      <c r="YB33" s="88"/>
      <c r="YC33" s="88"/>
      <c r="YD33" s="88"/>
      <c r="YE33" s="88"/>
      <c r="YF33" s="88"/>
      <c r="YG33" s="88"/>
      <c r="YH33" s="88"/>
      <c r="YI33" s="88"/>
      <c r="YJ33" s="88"/>
      <c r="YK33" s="88"/>
      <c r="YL33" s="88"/>
      <c r="YM33" s="88"/>
      <c r="YN33" s="88"/>
      <c r="YO33" s="88"/>
      <c r="YP33" s="88"/>
      <c r="YQ33" s="88"/>
      <c r="YR33" s="88"/>
      <c r="YS33" s="88"/>
      <c r="YT33" s="88"/>
      <c r="YU33" s="88"/>
      <c r="YV33" s="88"/>
      <c r="YW33" s="88"/>
      <c r="YX33" s="88"/>
      <c r="YY33" s="88"/>
      <c r="YZ33" s="88"/>
      <c r="ZA33" s="88"/>
      <c r="ZB33" s="88"/>
      <c r="ZC33" s="88"/>
      <c r="ZD33" s="88"/>
      <c r="ZE33" s="88"/>
      <c r="ZF33" s="88"/>
      <c r="ZG33" s="88"/>
      <c r="ZH33" s="88"/>
      <c r="ZI33" s="88"/>
      <c r="ZJ33" s="88"/>
      <c r="ZK33" s="88"/>
      <c r="ZL33" s="88"/>
      <c r="ZM33" s="88"/>
      <c r="ZN33" s="88"/>
      <c r="ZO33" s="88"/>
      <c r="ZP33" s="88"/>
      <c r="ZQ33" s="88"/>
      <c r="ZR33" s="88"/>
      <c r="ZS33" s="88"/>
      <c r="ZT33" s="88"/>
      <c r="ZU33" s="88"/>
      <c r="ZV33" s="88"/>
      <c r="ZW33" s="88"/>
      <c r="ZX33" s="88"/>
      <c r="ZY33" s="88"/>
      <c r="ZZ33" s="88"/>
      <c r="AAA33" s="88"/>
      <c r="AAB33" s="88"/>
      <c r="AAC33" s="88"/>
      <c r="AAD33" s="88"/>
      <c r="AAE33" s="88"/>
      <c r="AAF33" s="88"/>
      <c r="AAG33" s="88"/>
      <c r="AAH33" s="88"/>
      <c r="AAI33" s="88"/>
      <c r="AAJ33" s="88"/>
      <c r="AAK33" s="88"/>
      <c r="AAL33" s="88"/>
      <c r="AAM33" s="88"/>
      <c r="AAN33" s="88"/>
      <c r="AAO33" s="88"/>
      <c r="AAP33" s="88"/>
      <c r="AAQ33" s="88"/>
      <c r="AAR33" s="88"/>
      <c r="AAS33" s="88"/>
      <c r="AAT33" s="88"/>
      <c r="AAU33" s="88"/>
      <c r="AAV33" s="88"/>
      <c r="AAW33" s="88"/>
      <c r="AAX33" s="88"/>
      <c r="AAY33" s="88"/>
      <c r="AAZ33" s="88"/>
      <c r="ABA33" s="88"/>
      <c r="ABB33" s="88"/>
      <c r="ABC33" s="88"/>
      <c r="ABD33" s="88"/>
      <c r="ABE33" s="88"/>
      <c r="ABF33" s="88"/>
      <c r="ABG33" s="88"/>
      <c r="ABH33" s="88"/>
      <c r="ABI33" s="88"/>
      <c r="ABJ33" s="88"/>
      <c r="ABK33" s="88"/>
      <c r="ABL33" s="88"/>
      <c r="ABM33" s="88"/>
      <c r="ABN33" s="88"/>
      <c r="ABO33" s="88"/>
      <c r="ABP33" s="88"/>
      <c r="ABQ33" s="88"/>
      <c r="ABR33" s="88"/>
      <c r="ABS33" s="88"/>
      <c r="ABT33" s="88"/>
      <c r="ABU33" s="88"/>
      <c r="ABV33" s="88"/>
      <c r="ABW33" s="88"/>
      <c r="ABX33" s="88"/>
      <c r="ABY33" s="88"/>
      <c r="ABZ33" s="88"/>
      <c r="ACA33" s="88"/>
      <c r="ACB33" s="88"/>
      <c r="ACC33" s="88"/>
      <c r="ACD33" s="88"/>
      <c r="ACE33" s="88"/>
      <c r="ACF33" s="88"/>
      <c r="ACG33" s="88"/>
      <c r="ACH33" s="88"/>
      <c r="ACI33" s="88"/>
      <c r="ACJ33" s="88"/>
      <c r="ACK33" s="88"/>
      <c r="ACL33" s="88"/>
      <c r="ACM33" s="88"/>
      <c r="ACN33" s="88"/>
      <c r="ACO33" s="88"/>
      <c r="ACP33" s="88"/>
      <c r="ACQ33" s="88"/>
      <c r="ACR33" s="88"/>
      <c r="ACS33" s="88"/>
      <c r="ACT33" s="88"/>
      <c r="ACU33" s="88"/>
      <c r="ACV33" s="88"/>
      <c r="ACW33" s="88"/>
      <c r="ACX33" s="88"/>
      <c r="ACY33" s="88"/>
      <c r="ACZ33" s="88"/>
      <c r="ADA33" s="88"/>
      <c r="ADB33" s="88"/>
      <c r="ADC33" s="88"/>
      <c r="ADD33" s="88"/>
      <c r="ADE33" s="88"/>
      <c r="ADF33" s="88"/>
      <c r="ADG33" s="88"/>
      <c r="ADH33" s="88"/>
      <c r="ADI33" s="88"/>
      <c r="ADJ33" s="88"/>
      <c r="ADK33" s="88"/>
      <c r="ADL33" s="88"/>
      <c r="ADM33" s="88"/>
      <c r="ADN33" s="88"/>
      <c r="ADO33" s="88"/>
      <c r="ADP33" s="88"/>
      <c r="ADQ33" s="88"/>
      <c r="ADR33" s="88"/>
      <c r="ADS33" s="88"/>
      <c r="ADT33" s="88"/>
      <c r="ADU33" s="88"/>
      <c r="ADV33" s="88"/>
      <c r="ADW33" s="88"/>
      <c r="ADX33" s="88"/>
      <c r="ADY33" s="88"/>
      <c r="ADZ33" s="88"/>
      <c r="AEA33" s="88"/>
      <c r="AEB33" s="88"/>
      <c r="AEC33" s="88"/>
      <c r="AED33" s="88"/>
      <c r="AEE33" s="88"/>
      <c r="AEF33" s="88"/>
      <c r="AEG33" s="88"/>
      <c r="AEH33" s="88"/>
      <c r="AEI33" s="88"/>
      <c r="AEJ33" s="88"/>
      <c r="AEK33" s="88"/>
      <c r="AEL33" s="88"/>
      <c r="AEM33" s="88"/>
      <c r="AEN33" s="88"/>
      <c r="AEO33" s="88"/>
      <c r="AEP33" s="88"/>
      <c r="AEQ33" s="88"/>
      <c r="AER33" s="88"/>
      <c r="AES33" s="88"/>
      <c r="AET33" s="88"/>
      <c r="AEU33" s="88"/>
      <c r="AEV33" s="88"/>
      <c r="AEW33" s="88"/>
      <c r="AEX33" s="88"/>
      <c r="AEY33" s="88"/>
      <c r="AEZ33" s="88"/>
      <c r="AFA33" s="88"/>
      <c r="AFB33" s="88"/>
      <c r="AFC33" s="88"/>
      <c r="AFD33" s="88"/>
      <c r="AFE33" s="88"/>
      <c r="AFF33" s="88"/>
      <c r="AFG33" s="88"/>
      <c r="AFH33" s="88"/>
      <c r="AFI33" s="88"/>
      <c r="AFJ33" s="88"/>
      <c r="AFK33" s="88"/>
      <c r="AFL33" s="88"/>
      <c r="AFM33" s="88"/>
      <c r="AFN33" s="88"/>
      <c r="AFO33" s="88"/>
      <c r="AFP33" s="88"/>
      <c r="AFQ33" s="88"/>
      <c r="AFR33" s="88"/>
      <c r="AFS33" s="88"/>
      <c r="AFT33" s="88"/>
      <c r="AFU33" s="88"/>
      <c r="AFV33" s="88"/>
      <c r="AFW33" s="88"/>
      <c r="AFX33" s="88"/>
      <c r="AFY33" s="88"/>
      <c r="AFZ33" s="88"/>
      <c r="AGA33" s="88"/>
      <c r="AGB33" s="88"/>
      <c r="AGC33" s="88"/>
      <c r="AGD33" s="88"/>
      <c r="AGE33" s="88"/>
      <c r="AGF33" s="88"/>
      <c r="AGG33" s="88"/>
      <c r="AGH33" s="88"/>
      <c r="AGI33" s="88"/>
      <c r="AGJ33" s="88"/>
      <c r="AGK33" s="88"/>
      <c r="AGL33" s="88"/>
      <c r="AGM33" s="88"/>
      <c r="AGN33" s="88"/>
      <c r="AGO33" s="88"/>
      <c r="AGP33" s="88"/>
      <c r="AGQ33" s="88"/>
      <c r="AGR33" s="88"/>
      <c r="AGS33" s="88"/>
      <c r="AGT33" s="88"/>
      <c r="AGU33" s="88"/>
      <c r="AGV33" s="88"/>
      <c r="AGW33" s="88"/>
      <c r="AGX33" s="88"/>
      <c r="AGY33" s="88"/>
      <c r="AGZ33" s="88"/>
      <c r="AHA33" s="88"/>
      <c r="AHB33" s="88"/>
      <c r="AHC33" s="88"/>
      <c r="AHD33" s="88"/>
      <c r="AHE33" s="88"/>
      <c r="AHF33" s="88"/>
      <c r="AHG33" s="88"/>
      <c r="AHH33" s="88"/>
      <c r="AHI33" s="88"/>
      <c r="AHJ33" s="88"/>
      <c r="AHK33" s="88"/>
      <c r="AHL33" s="88"/>
      <c r="AHM33" s="88"/>
      <c r="AHN33" s="88"/>
      <c r="AHO33" s="88"/>
      <c r="AHP33" s="88"/>
      <c r="AHQ33" s="88"/>
      <c r="AHR33" s="88"/>
      <c r="AHS33" s="88"/>
      <c r="AHT33" s="88"/>
      <c r="AHU33" s="88"/>
      <c r="AHV33" s="88"/>
      <c r="AHW33" s="88"/>
      <c r="AHX33" s="88"/>
      <c r="AHY33" s="88"/>
      <c r="AHZ33" s="88"/>
      <c r="AIA33" s="88"/>
      <c r="AIB33" s="88"/>
      <c r="AIC33" s="88"/>
      <c r="AID33" s="88"/>
      <c r="AIE33" s="88"/>
      <c r="AIF33" s="88"/>
      <c r="AIG33" s="88"/>
      <c r="AIH33" s="88"/>
      <c r="AII33" s="88"/>
      <c r="AIJ33" s="88"/>
      <c r="AIK33" s="88"/>
      <c r="AIL33" s="88"/>
      <c r="AIM33" s="88"/>
      <c r="AIN33" s="88"/>
      <c r="AIO33" s="88"/>
      <c r="AIP33" s="88"/>
      <c r="AIQ33" s="88"/>
      <c r="AIR33" s="88"/>
      <c r="AIS33" s="88"/>
      <c r="AIT33" s="88"/>
      <c r="AIU33" s="88"/>
      <c r="AIV33" s="88"/>
      <c r="AIW33" s="88"/>
      <c r="AIX33" s="88"/>
      <c r="AIY33" s="88"/>
      <c r="AIZ33" s="88"/>
      <c r="AJA33" s="88"/>
      <c r="AJB33" s="88"/>
      <c r="AJC33" s="88"/>
      <c r="AJD33" s="88"/>
      <c r="AJE33" s="88"/>
      <c r="AJF33" s="88"/>
      <c r="AJG33" s="88"/>
      <c r="AJH33" s="88"/>
      <c r="AJI33" s="88"/>
      <c r="AJJ33" s="88"/>
      <c r="AJK33" s="88"/>
      <c r="AJL33" s="88"/>
      <c r="AJM33" s="88"/>
      <c r="AJN33" s="88"/>
      <c r="AJO33" s="88"/>
      <c r="AJP33" s="88"/>
      <c r="AJQ33" s="88"/>
      <c r="AJR33" s="88"/>
      <c r="AJS33" s="88"/>
      <c r="AJT33" s="88"/>
      <c r="AJU33" s="88"/>
      <c r="AJV33" s="88"/>
      <c r="AJW33" s="88"/>
      <c r="AJX33" s="88"/>
      <c r="AJY33" s="88"/>
      <c r="AJZ33" s="88"/>
      <c r="AKA33" s="88"/>
      <c r="AKB33" s="88"/>
      <c r="AKC33" s="88"/>
      <c r="AKD33" s="88"/>
      <c r="AKE33" s="88"/>
      <c r="AKF33" s="88"/>
      <c r="AKG33" s="88"/>
      <c r="AKH33" s="88"/>
      <c r="AKI33" s="88"/>
      <c r="AKJ33" s="88"/>
      <c r="AKK33" s="88"/>
      <c r="AKL33" s="88"/>
      <c r="AKM33" s="88"/>
      <c r="AKN33" s="88"/>
      <c r="AKO33" s="88"/>
      <c r="AKP33" s="88"/>
      <c r="AKQ33" s="88"/>
      <c r="AKR33" s="88"/>
      <c r="AKS33" s="88"/>
      <c r="AKT33" s="88"/>
      <c r="AKU33" s="88"/>
      <c r="AKV33" s="88"/>
      <c r="AKW33" s="88"/>
      <c r="AKX33" s="88"/>
      <c r="AKY33" s="88"/>
      <c r="AKZ33" s="88"/>
      <c r="ALA33" s="88"/>
      <c r="ALB33" s="88"/>
      <c r="ALC33" s="88"/>
      <c r="ALD33" s="88"/>
      <c r="ALE33" s="88"/>
      <c r="ALF33" s="88"/>
      <c r="ALG33" s="88"/>
      <c r="ALH33" s="88"/>
      <c r="ALI33" s="88"/>
      <c r="ALJ33" s="88"/>
      <c r="ALK33" s="88"/>
      <c r="ALL33" s="88"/>
      <c r="ALM33" s="88"/>
      <c r="ALN33" s="88"/>
      <c r="ALO33" s="88"/>
      <c r="ALP33" s="88"/>
      <c r="ALQ33" s="88"/>
      <c r="ALR33" s="88"/>
      <c r="ALS33" s="88"/>
      <c r="ALT33" s="88"/>
      <c r="ALU33" s="88"/>
      <c r="ALV33" s="88"/>
      <c r="ALW33" s="88"/>
      <c r="ALX33" s="88"/>
      <c r="ALY33" s="88"/>
      <c r="ALZ33" s="88"/>
      <c r="AMA33" s="88"/>
      <c r="AMB33" s="88"/>
      <c r="AMC33" s="88"/>
      <c r="AMD33" s="88"/>
      <c r="AME33" s="88"/>
      <c r="AMF33" s="88"/>
      <c r="AMG33" s="88"/>
      <c r="AMH33" s="88"/>
      <c r="AMI33" s="88"/>
      <c r="AMJ33" s="88"/>
      <c r="AMK33" s="88"/>
      <c r="AML33" s="88"/>
      <c r="AMM33" s="88"/>
      <c r="AMN33" s="88"/>
      <c r="AMO33" s="88"/>
      <c r="AMP33" s="88"/>
      <c r="AMQ33" s="88"/>
      <c r="AMR33" s="88"/>
      <c r="AMS33" s="88"/>
      <c r="AMT33" s="88"/>
      <c r="AMU33" s="88"/>
      <c r="AMV33" s="88"/>
      <c r="AMW33" s="88"/>
      <c r="AMX33" s="88"/>
      <c r="AMY33" s="88"/>
      <c r="AMZ33" s="88"/>
      <c r="ANA33" s="88"/>
      <c r="ANB33" s="88"/>
      <c r="ANC33" s="88"/>
      <c r="AND33" s="88"/>
      <c r="ANE33" s="88"/>
      <c r="ANF33" s="88"/>
      <c r="ANG33" s="88"/>
      <c r="ANH33" s="88"/>
      <c r="ANI33" s="88"/>
      <c r="ANJ33" s="88"/>
      <c r="ANK33" s="88"/>
      <c r="ANL33" s="88"/>
      <c r="ANM33" s="88"/>
      <c r="ANN33" s="88"/>
      <c r="ANO33" s="88"/>
      <c r="ANP33" s="88"/>
      <c r="ANQ33" s="88"/>
      <c r="ANR33" s="88"/>
      <c r="ANS33" s="88"/>
      <c r="ANT33" s="88"/>
      <c r="ANU33" s="88"/>
      <c r="ANV33" s="88"/>
      <c r="ANW33" s="88"/>
      <c r="ANX33" s="88"/>
      <c r="ANY33" s="88"/>
      <c r="ANZ33" s="88"/>
      <c r="AOA33" s="88"/>
      <c r="AOB33" s="88"/>
      <c r="AOC33" s="88"/>
      <c r="AOD33" s="88"/>
      <c r="AOE33" s="88"/>
      <c r="AOF33" s="88"/>
      <c r="AOG33" s="88"/>
      <c r="AOH33" s="88"/>
      <c r="AOI33" s="88"/>
      <c r="AOJ33" s="88"/>
      <c r="AOK33" s="88"/>
      <c r="AOL33" s="88"/>
      <c r="AOM33" s="88"/>
      <c r="AON33" s="88"/>
      <c r="AOO33" s="88"/>
      <c r="AOP33" s="88"/>
      <c r="AOQ33" s="88"/>
      <c r="AOR33" s="88"/>
      <c r="AOS33" s="88"/>
      <c r="AOT33" s="88"/>
      <c r="AOU33" s="88"/>
      <c r="AOV33" s="88"/>
      <c r="AOW33" s="88"/>
      <c r="AOX33" s="88"/>
      <c r="AOY33" s="88"/>
      <c r="AOZ33" s="88"/>
      <c r="APA33" s="88"/>
      <c r="APB33" s="88"/>
      <c r="APC33" s="88"/>
      <c r="APD33" s="88"/>
      <c r="APE33" s="88"/>
      <c r="APF33" s="88"/>
      <c r="APG33" s="88"/>
      <c r="APH33" s="88"/>
      <c r="API33" s="88"/>
      <c r="APJ33" s="88"/>
      <c r="APK33" s="88"/>
      <c r="APL33" s="88"/>
      <c r="APM33" s="88"/>
      <c r="APN33" s="88"/>
      <c r="APO33" s="88"/>
      <c r="APP33" s="88"/>
      <c r="APQ33" s="88"/>
      <c r="APR33" s="88"/>
      <c r="APS33" s="88"/>
      <c r="APT33" s="88"/>
      <c r="APU33" s="88"/>
      <c r="APV33" s="88"/>
      <c r="APW33" s="88"/>
      <c r="APX33" s="88"/>
      <c r="APY33" s="88"/>
      <c r="APZ33" s="88"/>
      <c r="AQA33" s="88"/>
      <c r="AQB33" s="88"/>
      <c r="AQC33" s="88"/>
      <c r="AQD33" s="88"/>
      <c r="AQE33" s="88"/>
      <c r="AQF33" s="88"/>
      <c r="AQG33" s="88"/>
      <c r="AQH33" s="88"/>
      <c r="AQI33" s="88"/>
      <c r="AQJ33" s="88"/>
      <c r="AQK33" s="88"/>
      <c r="AQL33" s="88"/>
      <c r="AQM33" s="88"/>
      <c r="AQN33" s="88"/>
      <c r="AQO33" s="88"/>
      <c r="AQP33" s="88"/>
      <c r="AQQ33" s="88"/>
      <c r="AQR33" s="88"/>
      <c r="AQS33" s="88"/>
      <c r="AQT33" s="88"/>
      <c r="AQU33" s="88"/>
      <c r="AQV33" s="88"/>
      <c r="AQW33" s="88"/>
      <c r="AQX33" s="88"/>
      <c r="AQY33" s="88"/>
      <c r="AQZ33" s="88"/>
      <c r="ARA33" s="88"/>
      <c r="ARB33" s="88"/>
      <c r="ARC33" s="88"/>
      <c r="ARD33" s="88"/>
      <c r="ARE33" s="88"/>
      <c r="ARF33" s="88"/>
      <c r="ARG33" s="88"/>
      <c r="ARH33" s="88"/>
      <c r="ARI33" s="88"/>
      <c r="ARJ33" s="88"/>
      <c r="ARK33" s="88"/>
      <c r="ARL33" s="88"/>
      <c r="ARM33" s="88"/>
      <c r="ARN33" s="88"/>
      <c r="ARO33" s="88"/>
      <c r="ARP33" s="88"/>
      <c r="ARQ33" s="88"/>
      <c r="ARR33" s="88"/>
      <c r="ARS33" s="88"/>
      <c r="ART33" s="88"/>
      <c r="ARU33" s="88"/>
      <c r="ARV33" s="88"/>
      <c r="ARW33" s="88"/>
      <c r="ARX33" s="88"/>
      <c r="ARY33" s="88"/>
      <c r="ARZ33" s="88"/>
      <c r="ASA33" s="88"/>
      <c r="ASB33" s="88"/>
      <c r="ASC33" s="88"/>
      <c r="ASD33" s="88"/>
      <c r="ASE33" s="88"/>
      <c r="ASF33" s="88"/>
      <c r="ASG33" s="88"/>
      <c r="ASH33" s="88"/>
      <c r="ASI33" s="88"/>
      <c r="ASJ33" s="88"/>
      <c r="ASK33" s="88"/>
      <c r="ASL33" s="88"/>
      <c r="ASM33" s="88"/>
      <c r="ASN33" s="88"/>
      <c r="ASO33" s="88"/>
      <c r="ASP33" s="88"/>
      <c r="ASQ33" s="88"/>
      <c r="ASR33" s="88"/>
      <c r="ASS33" s="88"/>
      <c r="AST33" s="88"/>
      <c r="ASU33" s="88"/>
      <c r="ASV33" s="88"/>
      <c r="ASW33" s="88"/>
      <c r="ASX33" s="88"/>
      <c r="ASY33" s="88"/>
      <c r="ASZ33" s="88"/>
      <c r="ATA33" s="88"/>
      <c r="ATB33" s="88"/>
      <c r="ATC33" s="88"/>
      <c r="ATD33" s="88"/>
      <c r="ATE33" s="88"/>
      <c r="ATF33" s="88"/>
      <c r="ATG33" s="88"/>
      <c r="ATH33" s="88"/>
      <c r="ATI33" s="88"/>
      <c r="ATJ33" s="88"/>
      <c r="ATK33" s="88"/>
      <c r="ATL33" s="88"/>
      <c r="ATM33" s="88"/>
      <c r="ATN33" s="88"/>
      <c r="ATO33" s="88"/>
      <c r="ATP33" s="88"/>
      <c r="ATQ33" s="88"/>
      <c r="ATR33" s="88"/>
      <c r="ATS33" s="88"/>
      <c r="ATT33" s="88"/>
      <c r="ATU33" s="88"/>
      <c r="ATV33" s="88"/>
      <c r="ATW33" s="88"/>
      <c r="ATX33" s="88"/>
      <c r="ATY33" s="88"/>
      <c r="ATZ33" s="88"/>
      <c r="AUA33" s="88"/>
      <c r="AUB33" s="88"/>
      <c r="AUC33" s="88"/>
      <c r="AUD33" s="88"/>
      <c r="AUE33" s="88"/>
      <c r="AUF33" s="88"/>
      <c r="AUG33" s="88"/>
      <c r="AUH33" s="88"/>
      <c r="AUI33" s="88"/>
      <c r="AUJ33" s="88"/>
      <c r="AUK33" s="88"/>
      <c r="AUL33" s="88"/>
      <c r="AUM33" s="88"/>
      <c r="AUN33" s="88"/>
      <c r="AUO33" s="88"/>
      <c r="AUP33" s="88"/>
      <c r="AUQ33" s="88"/>
      <c r="AUR33" s="88"/>
      <c r="AUS33" s="88"/>
      <c r="AUT33" s="88"/>
      <c r="AUU33" s="88"/>
      <c r="AUV33" s="88"/>
      <c r="AUW33" s="88"/>
      <c r="AUX33" s="88"/>
      <c r="AUY33" s="88"/>
      <c r="AUZ33" s="88"/>
      <c r="AVA33" s="88"/>
      <c r="AVB33" s="88"/>
      <c r="AVC33" s="88"/>
      <c r="AVD33" s="88"/>
      <c r="AVE33" s="88"/>
      <c r="AVF33" s="88"/>
      <c r="AVG33" s="88"/>
      <c r="AVH33" s="88"/>
      <c r="AVI33" s="88"/>
      <c r="AVJ33" s="88"/>
      <c r="AVK33" s="88"/>
      <c r="AVL33" s="88"/>
      <c r="AVM33" s="88"/>
      <c r="AVN33" s="88"/>
      <c r="AVO33" s="88"/>
      <c r="AVP33" s="88"/>
      <c r="AVQ33" s="88"/>
      <c r="AVR33" s="88"/>
      <c r="AVS33" s="88"/>
      <c r="AVT33" s="88"/>
      <c r="AVU33" s="88"/>
      <c r="AVV33" s="88"/>
      <c r="AVW33" s="88"/>
      <c r="AVX33" s="88"/>
      <c r="AVY33" s="88"/>
      <c r="AVZ33" s="88"/>
      <c r="AWA33" s="88"/>
      <c r="AWB33" s="88"/>
      <c r="AWC33" s="88"/>
      <c r="AWD33" s="88"/>
      <c r="AWE33" s="88"/>
      <c r="AWF33" s="88"/>
      <c r="AWG33" s="88"/>
      <c r="AWH33" s="88"/>
      <c r="AWI33" s="88"/>
      <c r="AWJ33" s="88"/>
      <c r="AWK33" s="88"/>
      <c r="AWL33" s="88"/>
      <c r="AWM33" s="88"/>
      <c r="AWN33" s="88"/>
      <c r="AWO33" s="88"/>
      <c r="AWP33" s="88"/>
      <c r="AWQ33" s="88"/>
      <c r="AWR33" s="88"/>
      <c r="AWS33" s="88"/>
      <c r="AWT33" s="88"/>
      <c r="AWU33" s="88"/>
      <c r="AWV33" s="88"/>
      <c r="AWW33" s="88"/>
      <c r="AWX33" s="88"/>
      <c r="AWY33" s="88"/>
      <c r="AWZ33" s="88"/>
      <c r="AXA33" s="88"/>
      <c r="AXB33" s="88"/>
      <c r="AXC33" s="88"/>
      <c r="AXD33" s="88"/>
      <c r="AXE33" s="88"/>
      <c r="AXF33" s="88"/>
      <c r="AXG33" s="88"/>
      <c r="AXH33" s="88"/>
      <c r="AXI33" s="88"/>
      <c r="AXJ33" s="88"/>
      <c r="AXK33" s="88"/>
      <c r="AXL33" s="88"/>
      <c r="AXM33" s="88"/>
      <c r="AXN33" s="88"/>
      <c r="AXO33" s="88"/>
      <c r="AXP33" s="88"/>
      <c r="AXQ33" s="88"/>
      <c r="AXR33" s="88"/>
      <c r="AXS33" s="88"/>
      <c r="AXT33" s="88"/>
      <c r="AXU33" s="88"/>
      <c r="AXV33" s="88"/>
      <c r="AXW33" s="88"/>
      <c r="AXX33" s="88"/>
      <c r="AXY33" s="88"/>
      <c r="AXZ33" s="88"/>
      <c r="AYA33" s="88"/>
      <c r="AYB33" s="88"/>
      <c r="AYC33" s="88"/>
      <c r="AYD33" s="88"/>
      <c r="AYE33" s="88"/>
      <c r="AYF33" s="88"/>
      <c r="AYG33" s="88"/>
      <c r="AYH33" s="88"/>
      <c r="AYI33" s="88"/>
      <c r="AYJ33" s="88"/>
      <c r="AYK33" s="88"/>
      <c r="AYL33" s="88"/>
      <c r="AYM33" s="88"/>
      <c r="AYN33" s="88"/>
      <c r="AYO33" s="88"/>
      <c r="AYP33" s="88"/>
      <c r="AYQ33" s="88"/>
      <c r="AYR33" s="88"/>
      <c r="AYS33" s="88"/>
      <c r="AYT33" s="88"/>
      <c r="AYU33" s="88"/>
      <c r="AYV33" s="88"/>
      <c r="AYW33" s="88"/>
      <c r="AYX33" s="88"/>
      <c r="AYY33" s="88"/>
      <c r="AYZ33" s="88"/>
      <c r="AZA33" s="88"/>
      <c r="AZB33" s="88"/>
      <c r="AZC33" s="88"/>
      <c r="AZD33" s="88"/>
      <c r="AZE33" s="88"/>
      <c r="AZF33" s="88"/>
      <c r="AZG33" s="88"/>
      <c r="AZH33" s="88"/>
      <c r="AZI33" s="88"/>
      <c r="AZJ33" s="88"/>
      <c r="AZK33" s="88"/>
      <c r="AZL33" s="88"/>
      <c r="AZM33" s="88"/>
      <c r="AZN33" s="88"/>
      <c r="AZO33" s="88"/>
      <c r="AZP33" s="88"/>
      <c r="AZQ33" s="88"/>
      <c r="AZR33" s="88"/>
      <c r="AZS33" s="88"/>
      <c r="AZT33" s="88"/>
      <c r="AZU33" s="88"/>
      <c r="AZV33" s="88"/>
      <c r="AZW33" s="88"/>
      <c r="AZX33" s="88"/>
      <c r="AZY33" s="88"/>
      <c r="AZZ33" s="88"/>
      <c r="BAA33" s="88"/>
      <c r="BAB33" s="88"/>
      <c r="BAC33" s="88"/>
      <c r="BAD33" s="88"/>
      <c r="BAE33" s="88"/>
      <c r="BAF33" s="88"/>
      <c r="BAG33" s="88"/>
      <c r="BAH33" s="88"/>
      <c r="BAI33" s="88"/>
      <c r="BAJ33" s="88"/>
      <c r="BAK33" s="88"/>
      <c r="BAL33" s="88"/>
      <c r="BAM33" s="88"/>
      <c r="BAN33" s="88"/>
      <c r="BAO33" s="88"/>
      <c r="BAP33" s="88"/>
      <c r="BAQ33" s="88"/>
      <c r="BAR33" s="88"/>
      <c r="BAS33" s="88"/>
      <c r="BAT33" s="88"/>
      <c r="BAU33" s="88"/>
      <c r="BAV33" s="88"/>
      <c r="BAW33" s="88"/>
      <c r="BAX33" s="88"/>
      <c r="BAY33" s="88"/>
      <c r="BAZ33" s="88"/>
      <c r="BBA33" s="88"/>
      <c r="BBB33" s="88"/>
      <c r="BBC33" s="88"/>
      <c r="BBD33" s="88"/>
      <c r="BBE33" s="88"/>
      <c r="BBF33" s="88"/>
      <c r="BBG33" s="88"/>
      <c r="BBH33" s="88"/>
      <c r="BBI33" s="88"/>
      <c r="BBJ33" s="88"/>
      <c r="BBK33" s="88"/>
      <c r="BBL33" s="88"/>
      <c r="BBM33" s="88"/>
      <c r="BBN33" s="88"/>
      <c r="BBO33" s="88"/>
      <c r="BBP33" s="88"/>
      <c r="BBQ33" s="88"/>
      <c r="BBR33" s="88"/>
      <c r="BBS33" s="88"/>
      <c r="BBT33" s="88"/>
      <c r="BBU33" s="88"/>
      <c r="BBV33" s="88"/>
      <c r="BBW33" s="88"/>
      <c r="BBX33" s="88"/>
      <c r="BBY33" s="88"/>
      <c r="BBZ33" s="88"/>
      <c r="BCA33" s="88"/>
      <c r="BCB33" s="88"/>
      <c r="BCC33" s="88"/>
      <c r="BCD33" s="88"/>
      <c r="BCE33" s="88"/>
      <c r="BCF33" s="88"/>
      <c r="BCG33" s="88"/>
      <c r="BCH33" s="88"/>
      <c r="BCI33" s="88"/>
      <c r="BCJ33" s="88"/>
      <c r="BCK33" s="88"/>
      <c r="BCL33" s="88"/>
      <c r="BCM33" s="88"/>
      <c r="BCN33" s="88"/>
      <c r="BCO33" s="88"/>
      <c r="BCP33" s="88"/>
      <c r="BCQ33" s="88"/>
      <c r="BCR33" s="88"/>
      <c r="BCS33" s="88"/>
      <c r="BCT33" s="88"/>
      <c r="BCU33" s="88"/>
      <c r="BCV33" s="88"/>
      <c r="BCW33" s="88"/>
      <c r="BCX33" s="88"/>
      <c r="BCY33" s="88"/>
      <c r="BCZ33" s="88"/>
      <c r="BDA33" s="88"/>
      <c r="BDB33" s="88"/>
      <c r="BDC33" s="88"/>
      <c r="BDD33" s="88"/>
      <c r="BDE33" s="88"/>
      <c r="BDF33" s="88"/>
      <c r="BDG33" s="88"/>
      <c r="BDH33" s="88"/>
      <c r="BDI33" s="88"/>
      <c r="BDJ33" s="88"/>
      <c r="BDK33" s="88"/>
      <c r="BDL33" s="88"/>
      <c r="BDM33" s="88"/>
      <c r="BDN33" s="88"/>
      <c r="BDO33" s="88"/>
      <c r="BDP33" s="88"/>
      <c r="BDQ33" s="88"/>
      <c r="BDR33" s="88"/>
      <c r="BDS33" s="88"/>
      <c r="BDT33" s="88"/>
      <c r="BDU33" s="88"/>
      <c r="BDV33" s="88"/>
      <c r="BDW33" s="88"/>
      <c r="BDX33" s="88"/>
      <c r="BDY33" s="88"/>
      <c r="BDZ33" s="88"/>
      <c r="BEA33" s="88"/>
      <c r="BEB33" s="88"/>
      <c r="BEC33" s="88"/>
      <c r="BED33" s="88"/>
      <c r="BEE33" s="88"/>
      <c r="BEF33" s="88"/>
      <c r="BEG33" s="88"/>
      <c r="BEH33" s="88"/>
      <c r="BEI33" s="88"/>
      <c r="BEJ33" s="88"/>
      <c r="BEK33" s="88"/>
      <c r="BEL33" s="88"/>
      <c r="BEM33" s="88"/>
      <c r="BEN33" s="88"/>
      <c r="BEO33" s="88"/>
      <c r="BEP33" s="88"/>
      <c r="BEQ33" s="88"/>
      <c r="BER33" s="88"/>
      <c r="BES33" s="88"/>
      <c r="BET33" s="88"/>
      <c r="BEU33" s="88"/>
      <c r="BEV33" s="88"/>
      <c r="BEW33" s="88"/>
      <c r="BEX33" s="88"/>
      <c r="BEY33" s="88"/>
      <c r="BEZ33" s="88"/>
      <c r="BFA33" s="88"/>
      <c r="BFB33" s="88"/>
      <c r="BFC33" s="88"/>
      <c r="BFD33" s="88"/>
      <c r="BFE33" s="88"/>
      <c r="BFF33" s="88"/>
      <c r="BFG33" s="88"/>
      <c r="BFH33" s="88"/>
      <c r="BFI33" s="88"/>
      <c r="BFJ33" s="88"/>
      <c r="BFK33" s="88"/>
      <c r="BFL33" s="88"/>
      <c r="BFM33" s="88"/>
      <c r="BFN33" s="88"/>
      <c r="BFO33" s="88"/>
      <c r="BFP33" s="88"/>
      <c r="BFQ33" s="88"/>
      <c r="BFR33" s="88"/>
      <c r="BFS33" s="88"/>
      <c r="BFT33" s="88"/>
      <c r="BFU33" s="88"/>
      <c r="BFV33" s="88"/>
      <c r="BFW33" s="88"/>
      <c r="BFX33" s="88"/>
      <c r="BFY33" s="88"/>
      <c r="BFZ33" s="88"/>
      <c r="BGA33" s="88"/>
      <c r="BGB33" s="88"/>
      <c r="BGC33" s="88"/>
      <c r="BGD33" s="88"/>
      <c r="BGE33" s="88"/>
      <c r="BGF33" s="88"/>
      <c r="BGG33" s="88"/>
      <c r="BGH33" s="88"/>
      <c r="BGI33" s="88"/>
      <c r="BGJ33" s="88"/>
      <c r="BGK33" s="88"/>
      <c r="BGL33" s="88"/>
      <c r="BGM33" s="88"/>
      <c r="BGN33" s="88"/>
      <c r="BGO33" s="88"/>
      <c r="BGP33" s="88"/>
      <c r="BGQ33" s="88"/>
      <c r="BGR33" s="88"/>
      <c r="BGS33" s="88"/>
      <c r="BGT33" s="88"/>
      <c r="BGU33" s="88"/>
      <c r="BGV33" s="88"/>
      <c r="BGW33" s="88"/>
      <c r="BGX33" s="88"/>
      <c r="BGY33" s="88"/>
      <c r="BGZ33" s="88"/>
      <c r="BHA33" s="88"/>
      <c r="BHB33" s="88"/>
      <c r="BHC33" s="88"/>
      <c r="BHD33" s="88"/>
      <c r="BHE33" s="88"/>
      <c r="BHF33" s="88"/>
      <c r="BHG33" s="88"/>
      <c r="BHH33" s="88"/>
      <c r="BHI33" s="88"/>
      <c r="BHJ33" s="88"/>
      <c r="BHK33" s="88"/>
      <c r="BHL33" s="88"/>
      <c r="BHM33" s="88"/>
      <c r="BHN33" s="88"/>
      <c r="BHO33" s="88"/>
      <c r="BHP33" s="88"/>
      <c r="BHQ33" s="88"/>
      <c r="BHR33" s="88"/>
      <c r="BHS33" s="88"/>
      <c r="BHT33" s="88"/>
      <c r="BHU33" s="88"/>
      <c r="BHV33" s="88"/>
      <c r="BHW33" s="88"/>
      <c r="BHX33" s="88"/>
      <c r="BHY33" s="88"/>
      <c r="BHZ33" s="88"/>
      <c r="BIA33" s="88"/>
      <c r="BIB33" s="88"/>
      <c r="BIC33" s="88"/>
      <c r="BID33" s="88"/>
      <c r="BIE33" s="88"/>
      <c r="BIF33" s="88"/>
      <c r="BIG33" s="88"/>
      <c r="BIH33" s="88"/>
      <c r="BII33" s="88"/>
      <c r="BIJ33" s="88"/>
      <c r="BIK33" s="88"/>
      <c r="BIL33" s="88"/>
      <c r="BIM33" s="88"/>
      <c r="BIN33" s="88"/>
      <c r="BIO33" s="88"/>
      <c r="BIP33" s="88"/>
      <c r="BIQ33" s="88"/>
      <c r="BIR33" s="88"/>
      <c r="BIS33" s="88"/>
      <c r="BIT33" s="88"/>
      <c r="BIU33" s="88"/>
      <c r="BIV33" s="88"/>
      <c r="BIW33" s="88"/>
      <c r="BIX33" s="88"/>
      <c r="BIY33" s="88"/>
      <c r="BIZ33" s="88"/>
      <c r="BJA33" s="88"/>
      <c r="BJB33" s="88"/>
      <c r="BJC33" s="88"/>
      <c r="BJD33" s="88"/>
      <c r="BJE33" s="88"/>
      <c r="BJF33" s="88"/>
      <c r="BJG33" s="88"/>
      <c r="BJH33" s="88"/>
      <c r="BJI33" s="88"/>
      <c r="BJJ33" s="88"/>
      <c r="BJK33" s="88"/>
      <c r="BJL33" s="88"/>
      <c r="BJM33" s="88"/>
      <c r="BJN33" s="88"/>
      <c r="BJO33" s="88"/>
      <c r="BJP33" s="88"/>
      <c r="BJQ33" s="88"/>
      <c r="BJR33" s="88"/>
      <c r="BJS33" s="88"/>
      <c r="BJT33" s="88"/>
      <c r="BJU33" s="88"/>
      <c r="BJV33" s="88"/>
      <c r="BJW33" s="88"/>
      <c r="BJX33" s="88"/>
      <c r="BJY33" s="88"/>
      <c r="BJZ33" s="88"/>
      <c r="BKA33" s="88"/>
      <c r="BKB33" s="88"/>
      <c r="BKC33" s="88"/>
      <c r="BKD33" s="88"/>
      <c r="BKE33" s="88"/>
      <c r="BKF33" s="88"/>
      <c r="BKG33" s="88"/>
      <c r="BKH33" s="88"/>
      <c r="BKI33" s="88"/>
      <c r="BKJ33" s="88"/>
      <c r="BKK33" s="88"/>
      <c r="BKL33" s="88"/>
      <c r="BKM33" s="88"/>
      <c r="BKN33" s="88"/>
      <c r="BKO33" s="88"/>
      <c r="BKP33" s="88"/>
      <c r="BKQ33" s="88"/>
      <c r="BKR33" s="88"/>
      <c r="BKS33" s="88"/>
      <c r="BKT33" s="88"/>
      <c r="BKU33" s="88"/>
      <c r="BKV33" s="88"/>
      <c r="BKW33" s="88"/>
      <c r="BKX33" s="88"/>
      <c r="BKY33" s="88"/>
      <c r="BKZ33" s="88"/>
      <c r="BLA33" s="88"/>
      <c r="BLB33" s="88"/>
      <c r="BLC33" s="88"/>
      <c r="BLD33" s="88"/>
      <c r="BLE33" s="88"/>
      <c r="BLF33" s="88"/>
      <c r="BLG33" s="88"/>
      <c r="BLH33" s="88"/>
      <c r="BLI33" s="88"/>
      <c r="BLJ33" s="88"/>
      <c r="BLK33" s="88"/>
      <c r="BLL33" s="88"/>
      <c r="BLM33" s="88"/>
      <c r="BLN33" s="88"/>
      <c r="BLO33" s="88"/>
      <c r="BLP33" s="88"/>
      <c r="BLQ33" s="88"/>
      <c r="BLR33" s="88"/>
      <c r="BLS33" s="88"/>
      <c r="BLT33" s="88"/>
      <c r="BLU33" s="88"/>
      <c r="BLV33" s="88"/>
      <c r="BLW33" s="88"/>
      <c r="BLX33" s="88"/>
      <c r="BLY33" s="88"/>
      <c r="BLZ33" s="88"/>
      <c r="BMA33" s="88"/>
      <c r="BMB33" s="88"/>
      <c r="BMC33" s="88"/>
      <c r="BMD33" s="88"/>
      <c r="BME33" s="88"/>
      <c r="BMF33" s="88"/>
      <c r="BMG33" s="88"/>
      <c r="BMH33" s="88"/>
      <c r="BMI33" s="88"/>
      <c r="BMJ33" s="88"/>
      <c r="BMK33" s="88"/>
      <c r="BML33" s="88"/>
      <c r="BMM33" s="88"/>
      <c r="BMN33" s="88"/>
      <c r="BMO33" s="88"/>
      <c r="BMP33" s="88"/>
      <c r="BMQ33" s="88"/>
      <c r="BMR33" s="88"/>
      <c r="BMS33" s="88"/>
      <c r="BMT33" s="88"/>
      <c r="BMU33" s="88"/>
      <c r="BMV33" s="88"/>
      <c r="BMW33" s="88"/>
      <c r="BMX33" s="88"/>
      <c r="BMY33" s="88"/>
      <c r="BMZ33" s="88"/>
      <c r="BNA33" s="88"/>
      <c r="BNB33" s="88"/>
      <c r="BNC33" s="88"/>
      <c r="BND33" s="88"/>
      <c r="BNE33" s="88"/>
      <c r="BNF33" s="88"/>
      <c r="BNG33" s="88"/>
      <c r="BNH33" s="88"/>
      <c r="BNI33" s="88"/>
      <c r="BNJ33" s="88"/>
      <c r="BNK33" s="88"/>
      <c r="BNL33" s="88"/>
      <c r="BNM33" s="88"/>
      <c r="BNN33" s="88"/>
      <c r="BNO33" s="88"/>
      <c r="BNP33" s="88"/>
      <c r="BNQ33" s="88"/>
      <c r="BNR33" s="88"/>
      <c r="BNS33" s="88"/>
      <c r="BNT33" s="88"/>
      <c r="BNU33" s="88"/>
      <c r="BNV33" s="88"/>
      <c r="BNW33" s="88"/>
      <c r="BNX33" s="88"/>
      <c r="BNY33" s="88"/>
      <c r="BNZ33" s="88"/>
      <c r="BOA33" s="88"/>
      <c r="BOB33" s="88"/>
      <c r="BOC33" s="88"/>
      <c r="BOD33" s="88"/>
      <c r="BOE33" s="88"/>
      <c r="BOF33" s="88"/>
      <c r="BOG33" s="88"/>
      <c r="BOH33" s="88"/>
      <c r="BOI33" s="88"/>
      <c r="BOJ33" s="88"/>
      <c r="BOK33" s="88"/>
      <c r="BOL33" s="88"/>
      <c r="BOM33" s="88"/>
      <c r="BON33" s="88"/>
      <c r="BOO33" s="88"/>
      <c r="BOP33" s="88"/>
      <c r="BOQ33" s="88"/>
      <c r="BOR33" s="88"/>
      <c r="BOS33" s="88"/>
      <c r="BOT33" s="88"/>
      <c r="BOU33" s="88"/>
      <c r="BOV33" s="88"/>
      <c r="BOW33" s="88"/>
      <c r="BOX33" s="88"/>
      <c r="BOY33" s="88"/>
      <c r="BOZ33" s="88"/>
      <c r="BPA33" s="88"/>
      <c r="BPB33" s="88"/>
      <c r="BPC33" s="88"/>
      <c r="BPD33" s="88"/>
      <c r="BPE33" s="88"/>
      <c r="BPF33" s="88"/>
      <c r="BPG33" s="88"/>
      <c r="BPH33" s="88"/>
      <c r="BPI33" s="88"/>
      <c r="BPJ33" s="88"/>
      <c r="BPK33" s="88"/>
      <c r="BPL33" s="88"/>
      <c r="BPM33" s="88"/>
      <c r="BPN33" s="88"/>
      <c r="BPO33" s="88"/>
      <c r="BPP33" s="88"/>
      <c r="BPQ33" s="88"/>
      <c r="BPR33" s="88"/>
      <c r="BPS33" s="88"/>
      <c r="BPT33" s="88"/>
      <c r="BPU33" s="88"/>
      <c r="BPV33" s="88"/>
      <c r="BPW33" s="88"/>
      <c r="BPX33" s="88"/>
      <c r="BPY33" s="88"/>
      <c r="BPZ33" s="88"/>
      <c r="BQA33" s="88"/>
      <c r="BQB33" s="88"/>
      <c r="BQC33" s="88"/>
      <c r="BQD33" s="88"/>
      <c r="BQE33" s="88"/>
      <c r="BQF33" s="88"/>
      <c r="BQG33" s="88"/>
      <c r="BQH33" s="88"/>
      <c r="BQI33" s="88"/>
      <c r="BQJ33" s="88"/>
      <c r="BQK33" s="88"/>
      <c r="BQL33" s="88"/>
      <c r="BQM33" s="88"/>
      <c r="BQN33" s="88"/>
      <c r="BQO33" s="88"/>
      <c r="BQP33" s="88"/>
      <c r="BQQ33" s="88"/>
      <c r="BQR33" s="88"/>
      <c r="BQS33" s="88"/>
      <c r="BQT33" s="88"/>
      <c r="BQU33" s="88"/>
      <c r="BQV33" s="88"/>
      <c r="BQW33" s="88"/>
      <c r="BQX33" s="88"/>
      <c r="BQY33" s="88"/>
      <c r="BQZ33" s="88"/>
      <c r="BRA33" s="88"/>
      <c r="BRB33" s="88"/>
      <c r="BRC33" s="88"/>
      <c r="BRD33" s="88"/>
      <c r="BRE33" s="88"/>
      <c r="BRF33" s="88"/>
      <c r="BRG33" s="88"/>
      <c r="BRH33" s="88"/>
      <c r="BRI33" s="88"/>
      <c r="BRJ33" s="88"/>
      <c r="BRK33" s="88"/>
      <c r="BRL33" s="88"/>
      <c r="BRM33" s="88"/>
      <c r="BRN33" s="88"/>
      <c r="BRO33" s="88"/>
      <c r="BRP33" s="88"/>
      <c r="BRQ33" s="88"/>
      <c r="BRR33" s="88"/>
      <c r="BRS33" s="88"/>
      <c r="BRT33" s="88"/>
      <c r="BRU33" s="88"/>
      <c r="BRV33" s="88"/>
      <c r="BRW33" s="88"/>
      <c r="BRX33" s="88"/>
      <c r="BRY33" s="88"/>
      <c r="BRZ33" s="88"/>
      <c r="BSA33" s="88"/>
      <c r="BSB33" s="88"/>
      <c r="BSC33" s="88"/>
      <c r="BSD33" s="88"/>
      <c r="BSE33" s="88"/>
      <c r="BSF33" s="88"/>
      <c r="BSG33" s="88"/>
      <c r="BSH33" s="88"/>
      <c r="BSI33" s="88"/>
      <c r="BSJ33" s="88"/>
      <c r="BSK33" s="88"/>
      <c r="BSL33" s="88"/>
      <c r="BSM33" s="88"/>
      <c r="BSN33" s="88"/>
      <c r="BSO33" s="88"/>
      <c r="BSP33" s="88"/>
      <c r="BSQ33" s="88"/>
      <c r="BSR33" s="88"/>
      <c r="BSS33" s="88"/>
      <c r="BST33" s="88"/>
      <c r="BSU33" s="88"/>
      <c r="BSV33" s="88"/>
      <c r="BSW33" s="88"/>
      <c r="BSX33" s="88"/>
      <c r="BSY33" s="88"/>
      <c r="BSZ33" s="88"/>
      <c r="BTA33" s="88"/>
      <c r="BTB33" s="88"/>
      <c r="BTC33" s="88"/>
      <c r="BTD33" s="88"/>
      <c r="BTE33" s="88"/>
      <c r="BTF33" s="88"/>
      <c r="BTG33" s="88"/>
      <c r="BTH33" s="88"/>
      <c r="BTI33" s="88"/>
      <c r="BTJ33" s="88"/>
      <c r="BTK33" s="88"/>
      <c r="BTL33" s="88"/>
      <c r="BTM33" s="88"/>
      <c r="BTN33" s="88"/>
      <c r="BTO33" s="88"/>
      <c r="BTP33" s="88"/>
      <c r="BTQ33" s="88"/>
      <c r="BTR33" s="88"/>
      <c r="BTS33" s="88"/>
      <c r="BTT33" s="88"/>
      <c r="BTU33" s="88"/>
      <c r="BTV33" s="88"/>
      <c r="BTW33" s="88"/>
      <c r="BTX33" s="88"/>
      <c r="BTY33" s="88"/>
      <c r="BTZ33" s="88"/>
      <c r="BUA33" s="88"/>
      <c r="BUB33" s="88"/>
      <c r="BUC33" s="88"/>
      <c r="BUD33" s="88"/>
      <c r="BUE33" s="88"/>
      <c r="BUF33" s="88"/>
      <c r="BUG33" s="88"/>
      <c r="BUH33" s="88"/>
      <c r="BUI33" s="88"/>
      <c r="BUJ33" s="88"/>
      <c r="BUK33" s="88"/>
      <c r="BUL33" s="88"/>
      <c r="BUM33" s="88"/>
      <c r="BUN33" s="88"/>
      <c r="BUO33" s="88"/>
      <c r="BUP33" s="88"/>
      <c r="BUQ33" s="88"/>
      <c r="BUR33" s="88"/>
      <c r="BUS33" s="88"/>
      <c r="BUT33" s="88"/>
      <c r="BUU33" s="88"/>
      <c r="BUV33" s="88"/>
      <c r="BUW33" s="88"/>
      <c r="BUX33" s="88"/>
      <c r="BUY33" s="88"/>
      <c r="BUZ33" s="88"/>
      <c r="BVA33" s="88"/>
      <c r="BVB33" s="88"/>
      <c r="BVC33" s="88"/>
      <c r="BVD33" s="88"/>
      <c r="BVE33" s="88"/>
      <c r="BVF33" s="88"/>
      <c r="BVG33" s="88"/>
      <c r="BVH33" s="88"/>
      <c r="BVI33" s="88"/>
      <c r="BVJ33" s="88"/>
      <c r="BVK33" s="88"/>
      <c r="BVL33" s="88"/>
      <c r="BVM33" s="88"/>
      <c r="BVN33" s="88"/>
      <c r="BVO33" s="88"/>
      <c r="BVP33" s="88"/>
      <c r="BVQ33" s="88"/>
      <c r="BVR33" s="88"/>
      <c r="BVS33" s="88"/>
      <c r="BVT33" s="88"/>
      <c r="BVU33" s="88"/>
      <c r="BVV33" s="88"/>
      <c r="BVW33" s="88"/>
      <c r="BVX33" s="88"/>
      <c r="BVY33" s="88"/>
      <c r="BVZ33" s="88"/>
      <c r="BWA33" s="88"/>
      <c r="BWB33" s="88"/>
      <c r="BWC33" s="88"/>
      <c r="BWD33" s="88"/>
      <c r="BWE33" s="88"/>
      <c r="BWF33" s="88"/>
      <c r="BWG33" s="88"/>
      <c r="BWH33" s="88"/>
      <c r="BWI33" s="88"/>
      <c r="BWJ33" s="88"/>
      <c r="BWK33" s="88"/>
      <c r="BWL33" s="88"/>
      <c r="BWM33" s="88"/>
      <c r="BWN33" s="88"/>
      <c r="BWO33" s="88"/>
      <c r="BWP33" s="88"/>
      <c r="BWQ33" s="88"/>
      <c r="BWR33" s="88"/>
      <c r="BWS33" s="88"/>
      <c r="BWT33" s="88"/>
      <c r="BWU33" s="88"/>
      <c r="BWV33" s="88"/>
      <c r="BWW33" s="88"/>
      <c r="BWX33" s="88"/>
      <c r="BWY33" s="88"/>
      <c r="BWZ33" s="88"/>
      <c r="BXA33" s="88"/>
      <c r="BXB33" s="88"/>
      <c r="BXC33" s="88"/>
      <c r="BXD33" s="88"/>
      <c r="BXE33" s="88"/>
      <c r="BXF33" s="88"/>
      <c r="BXG33" s="88"/>
      <c r="BXH33" s="88"/>
      <c r="BXI33" s="88"/>
      <c r="BXJ33" s="88"/>
      <c r="BXK33" s="88"/>
      <c r="BXL33" s="88"/>
      <c r="BXM33" s="88"/>
      <c r="BXN33" s="88"/>
      <c r="BXO33" s="88"/>
      <c r="BXP33" s="88"/>
      <c r="BXQ33" s="88"/>
      <c r="BXR33" s="88"/>
      <c r="BXS33" s="88"/>
      <c r="BXT33" s="88"/>
      <c r="BXU33" s="88"/>
      <c r="BXV33" s="88"/>
      <c r="BXW33" s="88"/>
      <c r="BXX33" s="88"/>
      <c r="BXY33" s="88"/>
      <c r="BXZ33" s="88"/>
      <c r="BYA33" s="88"/>
      <c r="BYB33" s="88"/>
      <c r="BYC33" s="88"/>
      <c r="BYD33" s="88"/>
      <c r="BYE33" s="88"/>
      <c r="BYF33" s="88"/>
      <c r="BYG33" s="88"/>
      <c r="BYH33" s="88"/>
      <c r="BYI33" s="88"/>
      <c r="BYJ33" s="88"/>
      <c r="BYK33" s="88"/>
      <c r="BYL33" s="88"/>
      <c r="BYM33" s="88"/>
      <c r="BYN33" s="88"/>
      <c r="BYO33" s="88"/>
      <c r="BYP33" s="88"/>
      <c r="BYQ33" s="88"/>
      <c r="BYR33" s="88"/>
      <c r="BYS33" s="88"/>
      <c r="BYT33" s="88"/>
      <c r="BYU33" s="88"/>
      <c r="BYV33" s="88"/>
      <c r="BYW33" s="88"/>
      <c r="BYX33" s="88"/>
      <c r="BYY33" s="88"/>
      <c r="BYZ33" s="88"/>
      <c r="BZA33" s="88"/>
      <c r="BZB33" s="88"/>
      <c r="BZC33" s="88"/>
      <c r="BZD33" s="88"/>
      <c r="BZE33" s="88"/>
      <c r="BZF33" s="88"/>
      <c r="BZG33" s="88"/>
      <c r="BZH33" s="88"/>
      <c r="BZI33" s="88"/>
      <c r="BZJ33" s="88"/>
      <c r="BZK33" s="88"/>
      <c r="BZL33" s="88"/>
      <c r="BZM33" s="88"/>
      <c r="BZN33" s="88"/>
      <c r="BZO33" s="88"/>
      <c r="BZP33" s="88"/>
      <c r="BZQ33" s="88"/>
      <c r="BZR33" s="88"/>
      <c r="BZS33" s="88"/>
      <c r="BZT33" s="88"/>
      <c r="BZU33" s="88"/>
      <c r="BZV33" s="88"/>
      <c r="BZW33" s="88"/>
      <c r="BZX33" s="88"/>
      <c r="BZY33" s="88"/>
      <c r="BZZ33" s="88"/>
      <c r="CAA33" s="88"/>
      <c r="CAB33" s="88"/>
      <c r="CAC33" s="88"/>
      <c r="CAD33" s="88"/>
      <c r="CAE33" s="88"/>
      <c r="CAF33" s="88"/>
      <c r="CAG33" s="88"/>
      <c r="CAH33" s="88"/>
      <c r="CAI33" s="88"/>
      <c r="CAJ33" s="88"/>
      <c r="CAK33" s="88"/>
      <c r="CAL33" s="88"/>
      <c r="CAM33" s="88"/>
      <c r="CAN33" s="88"/>
      <c r="CAO33" s="88"/>
      <c r="CAP33" s="88"/>
      <c r="CAQ33" s="88"/>
      <c r="CAR33" s="88"/>
      <c r="CAS33" s="88"/>
      <c r="CAT33" s="88"/>
      <c r="CAU33" s="88"/>
      <c r="CAV33" s="88"/>
      <c r="CAW33" s="88"/>
      <c r="CAX33" s="88"/>
      <c r="CAY33" s="88"/>
      <c r="CAZ33" s="88"/>
      <c r="CBA33" s="88"/>
      <c r="CBB33" s="88"/>
      <c r="CBC33" s="88"/>
      <c r="CBD33" s="88"/>
      <c r="CBE33" s="88"/>
      <c r="CBF33" s="88"/>
      <c r="CBG33" s="88"/>
      <c r="CBH33" s="88"/>
      <c r="CBI33" s="88"/>
      <c r="CBJ33" s="88"/>
      <c r="CBK33" s="88"/>
      <c r="CBL33" s="88"/>
      <c r="CBM33" s="88"/>
      <c r="CBN33" s="88"/>
      <c r="CBO33" s="88"/>
      <c r="CBP33" s="88"/>
      <c r="CBQ33" s="88"/>
      <c r="CBR33" s="88"/>
      <c r="CBS33" s="88"/>
      <c r="CBT33" s="88"/>
      <c r="CBU33" s="88"/>
      <c r="CBV33" s="88"/>
      <c r="CBW33" s="88"/>
      <c r="CBX33" s="88"/>
      <c r="CBY33" s="88"/>
      <c r="CBZ33" s="88"/>
      <c r="CCA33" s="88"/>
      <c r="CCB33" s="88"/>
      <c r="CCC33" s="88"/>
      <c r="CCD33" s="88"/>
      <c r="CCE33" s="88"/>
      <c r="CCF33" s="88"/>
      <c r="CCG33" s="88"/>
      <c r="CCH33" s="88"/>
      <c r="CCI33" s="88"/>
      <c r="CCJ33" s="88"/>
      <c r="CCK33" s="88"/>
      <c r="CCL33" s="88"/>
      <c r="CCM33" s="88"/>
      <c r="CCN33" s="88"/>
      <c r="CCO33" s="88"/>
      <c r="CCP33" s="88"/>
      <c r="CCQ33" s="88"/>
      <c r="CCR33" s="88"/>
      <c r="CCS33" s="88"/>
      <c r="CCT33" s="88"/>
      <c r="CCU33" s="88"/>
      <c r="CCV33" s="88"/>
      <c r="CCW33" s="88"/>
      <c r="CCX33" s="88"/>
      <c r="CCY33" s="88"/>
      <c r="CCZ33" s="88"/>
      <c r="CDA33" s="88"/>
      <c r="CDB33" s="88"/>
      <c r="CDC33" s="88"/>
      <c r="CDD33" s="88"/>
      <c r="CDE33" s="88"/>
      <c r="CDF33" s="88"/>
      <c r="CDG33" s="88"/>
      <c r="CDH33" s="88"/>
      <c r="CDI33" s="88"/>
      <c r="CDJ33" s="88"/>
      <c r="CDK33" s="88"/>
      <c r="CDL33" s="88"/>
      <c r="CDM33" s="88"/>
      <c r="CDN33" s="88"/>
      <c r="CDO33" s="88"/>
      <c r="CDP33" s="88"/>
      <c r="CDQ33" s="88"/>
      <c r="CDR33" s="88"/>
      <c r="CDS33" s="88"/>
      <c r="CDT33" s="88"/>
      <c r="CDU33" s="88"/>
      <c r="CDV33" s="88"/>
      <c r="CDW33" s="88"/>
      <c r="CDX33" s="88"/>
      <c r="CDY33" s="88"/>
      <c r="CDZ33" s="88"/>
      <c r="CEA33" s="88"/>
      <c r="CEB33" s="88"/>
      <c r="CEC33" s="88"/>
      <c r="CED33" s="88"/>
      <c r="CEE33" s="88"/>
      <c r="CEF33" s="88"/>
      <c r="CEG33" s="88"/>
      <c r="CEH33" s="88"/>
      <c r="CEI33" s="88"/>
      <c r="CEJ33" s="88"/>
      <c r="CEK33" s="88"/>
    </row>
    <row r="34" spans="1:2169" s="51" customFormat="1">
      <c r="A34" s="69" t="s">
        <v>409</v>
      </c>
      <c r="B34" s="72" t="s">
        <v>1255</v>
      </c>
      <c r="C34" s="69" t="str">
        <f>IF('page 2'!$O$4="","",IF('page 2'!$O$4=Gestion!A34,1,0))</f>
        <v/>
      </c>
      <c r="D34" s="69" t="str">
        <f>IF('page 2'!$O$5="","",IF('page 2'!$O$5=Gestion!A34,1,0))</f>
        <v/>
      </c>
      <c r="E34" s="69" t="str">
        <f>IF('page 2'!$O$6="","",IF('page 2'!$O$6=Gestion!A34,1,0))</f>
        <v/>
      </c>
      <c r="F34" s="69" t="str">
        <f>IF('page 2'!$O$7="","",IF('page 2'!$O$7=Gestion!A34,1,0))</f>
        <v/>
      </c>
      <c r="G34" s="69" t="str">
        <f>IF('page 2'!$O$8="","",IF('page 2'!$O$8=Gestion!A34,1,0))</f>
        <v/>
      </c>
      <c r="H34" s="69" t="str">
        <f>IF('page 2'!$O$9="","",IF('page 2'!$O$9=Gestion!A34,1,0))</f>
        <v/>
      </c>
      <c r="I34" s="69" t="str">
        <f>IF('page 2'!$O$10="","",IF('page 2'!$O$10=Gestion!A34,1,0))</f>
        <v/>
      </c>
      <c r="J34" s="69" t="str">
        <f>IF('page 2'!$O$11="","",IF('page 2'!$O$11=Gestion!A34,1,0))</f>
        <v/>
      </c>
      <c r="K34" s="69" t="str">
        <f>IF('page 2'!$O$12="","",IF('page 2'!$O$12=Gestion!A34,1,0))</f>
        <v/>
      </c>
      <c r="L34" s="69" t="str">
        <f>IF('page 2'!$O$13="","",IF('page 2'!$O$13=Gestion!A34,1,0))</f>
        <v/>
      </c>
      <c r="M34" s="69" t="str">
        <f>IF('page 2'!$O$14="","",IF('page 2'!$O$14=Gestion!A34,1,0))</f>
        <v/>
      </c>
      <c r="N34" s="69" t="str">
        <f>IF('page 2'!$O$15="","",IF('page 2'!$O$15=Gestion!A34,1,0))</f>
        <v/>
      </c>
      <c r="O34" s="69" t="str">
        <f>IF('page 2'!$O$16="","",IF('page 2'!$O$16=Gestion!A34,1,0))</f>
        <v/>
      </c>
      <c r="P34" s="69" t="str">
        <f>IF('page 2'!$O$17="","",IF('page 2'!$O$17=Gestion!A34,1,0))</f>
        <v/>
      </c>
      <c r="Q34" s="69" t="str">
        <f>IF('page 2'!$O$18="","",IF('page 2'!$O$18=Gestion!A34,1,0))</f>
        <v/>
      </c>
      <c r="R34" s="69" t="str">
        <f>IF('page 2'!$O$19="","",IF('page 2'!$O$19=Gestion!A34,1,0))</f>
        <v/>
      </c>
      <c r="S34" s="69" t="str">
        <f>IF('page 2'!$O$20="","",IF('page 2'!$O$20=Gestion!A34,1,0))</f>
        <v/>
      </c>
      <c r="T34" s="69" t="str">
        <f>IF('page 2'!$O$25="","",IF('page 2'!$O$25=Gestion!A34,1,0))</f>
        <v/>
      </c>
      <c r="U34" s="69" t="str">
        <f>IF('page 2'!$O$26="","",IF('page 2'!$O$26=Gestion!A34,1,0))</f>
        <v/>
      </c>
      <c r="V34" s="69" t="str">
        <f>IF('page 2'!$O$27="","",IF('page 2'!$O$27=Gestion!A34,1,0))</f>
        <v/>
      </c>
      <c r="W34" s="723">
        <f t="shared" si="0"/>
        <v>0</v>
      </c>
      <c r="X34" s="713"/>
      <c r="Y34" s="69"/>
      <c r="Z34" s="69"/>
      <c r="AA34" s="69"/>
      <c r="AB34" s="542"/>
      <c r="AC34" s="542"/>
      <c r="AD34" s="542"/>
      <c r="AE34" s="88"/>
      <c r="AP34" s="130"/>
      <c r="AQ34" s="130"/>
      <c r="AR34" s="130"/>
      <c r="AS34" s="576"/>
      <c r="AT34" s="576"/>
      <c r="AU34" s="576"/>
      <c r="AV34" s="576"/>
      <c r="AW34" s="602"/>
      <c r="AX34" s="602"/>
      <c r="AY34" s="576"/>
      <c r="AZ34" s="576"/>
      <c r="BA34" s="576"/>
      <c r="BB34" s="576"/>
      <c r="BC34" s="576"/>
      <c r="BD34" s="602"/>
      <c r="BE34" s="602"/>
      <c r="BF34" s="602"/>
      <c r="BG34" s="602"/>
      <c r="BH34" s="602"/>
      <c r="BI34" s="602"/>
      <c r="BJ34" s="602"/>
      <c r="BK34" s="602"/>
      <c r="BL34" s="602"/>
      <c r="BM34" s="602"/>
      <c r="BN34" s="602"/>
      <c r="BO34" s="602"/>
      <c r="BP34" s="602"/>
      <c r="BQ34" s="602"/>
      <c r="BR34" s="602"/>
      <c r="BS34" s="576"/>
      <c r="BT34" s="576"/>
      <c r="BU34" s="576"/>
      <c r="BV34" s="576"/>
      <c r="BW34" s="602"/>
      <c r="BX34" s="602"/>
      <c r="BY34" s="602"/>
      <c r="BZ34" s="576"/>
      <c r="CA34" s="602"/>
      <c r="CB34" s="602"/>
      <c r="CC34" s="576"/>
      <c r="CD34" s="469"/>
      <c r="CE34" s="602"/>
      <c r="CF34" s="576"/>
      <c r="CG34" s="576"/>
      <c r="CH34" s="576"/>
      <c r="CI34" s="576"/>
      <c r="CJ34" s="576"/>
      <c r="CK34" s="602"/>
      <c r="CL34" s="602"/>
      <c r="CM34" s="576"/>
      <c r="CN34" s="602"/>
      <c r="CO34" s="602"/>
      <c r="CP34" s="602"/>
      <c r="CQ34" s="576"/>
      <c r="CR34" s="576"/>
      <c r="CS34" s="602"/>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c r="SK34" s="88"/>
      <c r="SL34" s="88"/>
      <c r="SM34" s="88"/>
      <c r="SN34" s="88"/>
      <c r="SO34" s="88"/>
      <c r="SP34" s="88"/>
      <c r="SQ34" s="88"/>
      <c r="SR34" s="88"/>
      <c r="SS34" s="88"/>
      <c r="ST34" s="88"/>
      <c r="SU34" s="88"/>
      <c r="SV34" s="88"/>
      <c r="SW34" s="88"/>
      <c r="SX34" s="88"/>
      <c r="SY34" s="88"/>
      <c r="SZ34" s="88"/>
      <c r="TA34" s="88"/>
      <c r="TB34" s="88"/>
      <c r="TC34" s="88"/>
      <c r="TD34" s="88"/>
      <c r="TE34" s="88"/>
      <c r="TF34" s="88"/>
      <c r="TG34" s="88"/>
      <c r="TH34" s="88"/>
      <c r="TI34" s="88"/>
      <c r="TJ34" s="88"/>
      <c r="TK34" s="88"/>
      <c r="TL34" s="88"/>
      <c r="TM34" s="88"/>
      <c r="TN34" s="88"/>
      <c r="TO34" s="88"/>
      <c r="TP34" s="88"/>
      <c r="TQ34" s="88"/>
      <c r="TR34" s="88"/>
      <c r="TS34" s="88"/>
      <c r="TT34" s="88"/>
      <c r="TU34" s="88"/>
      <c r="TV34" s="88"/>
      <c r="TW34" s="88"/>
      <c r="TX34" s="88"/>
      <c r="TY34" s="88"/>
      <c r="TZ34" s="88"/>
      <c r="UA34" s="88"/>
      <c r="UB34" s="88"/>
      <c r="UC34" s="88"/>
      <c r="UD34" s="88"/>
      <c r="UE34" s="88"/>
      <c r="UF34" s="88"/>
      <c r="UG34" s="88"/>
      <c r="UH34" s="88"/>
      <c r="UI34" s="88"/>
      <c r="UJ34" s="88"/>
      <c r="UK34" s="88"/>
      <c r="UL34" s="88"/>
      <c r="UM34" s="88"/>
      <c r="UN34" s="88"/>
      <c r="UO34" s="88"/>
      <c r="UP34" s="88"/>
      <c r="UQ34" s="88"/>
      <c r="UR34" s="88"/>
      <c r="US34" s="88"/>
      <c r="UT34" s="88"/>
      <c r="UU34" s="88"/>
      <c r="UV34" s="88"/>
      <c r="UW34" s="88"/>
      <c r="UX34" s="88"/>
      <c r="UY34" s="88"/>
      <c r="UZ34" s="88"/>
      <c r="VA34" s="88"/>
      <c r="VB34" s="88"/>
      <c r="VC34" s="88"/>
      <c r="VD34" s="88"/>
      <c r="VE34" s="88"/>
      <c r="VF34" s="88"/>
      <c r="VG34" s="88"/>
      <c r="VH34" s="88"/>
      <c r="VI34" s="88"/>
      <c r="VJ34" s="88"/>
      <c r="VK34" s="88"/>
      <c r="VL34" s="88"/>
      <c r="VM34" s="88"/>
      <c r="VN34" s="88"/>
      <c r="VO34" s="88"/>
      <c r="VP34" s="88"/>
      <c r="VQ34" s="88"/>
      <c r="VR34" s="88"/>
      <c r="VS34" s="88"/>
      <c r="VT34" s="88"/>
      <c r="VU34" s="88"/>
      <c r="VV34" s="88"/>
      <c r="VW34" s="88"/>
      <c r="VX34" s="88"/>
      <c r="VY34" s="88"/>
      <c r="VZ34" s="88"/>
      <c r="WA34" s="88"/>
      <c r="WB34" s="88"/>
      <c r="WC34" s="88"/>
      <c r="WD34" s="88"/>
      <c r="WE34" s="88"/>
      <c r="WF34" s="88"/>
      <c r="WG34" s="88"/>
      <c r="WH34" s="88"/>
      <c r="WI34" s="88"/>
      <c r="WJ34" s="88"/>
      <c r="WK34" s="88"/>
      <c r="WL34" s="88"/>
      <c r="WM34" s="88"/>
      <c r="WN34" s="88"/>
      <c r="WO34" s="88"/>
      <c r="WP34" s="88"/>
      <c r="WQ34" s="88"/>
      <c r="WR34" s="88"/>
      <c r="WS34" s="88"/>
      <c r="WT34" s="88"/>
      <c r="WU34" s="88"/>
      <c r="WV34" s="88"/>
      <c r="WW34" s="88"/>
      <c r="WX34" s="88"/>
      <c r="WY34" s="88"/>
      <c r="WZ34" s="88"/>
      <c r="XA34" s="88"/>
      <c r="XB34" s="88"/>
      <c r="XC34" s="88"/>
      <c r="XD34" s="88"/>
      <c r="XE34" s="88"/>
      <c r="XF34" s="88"/>
      <c r="XG34" s="88"/>
      <c r="XH34" s="88"/>
      <c r="XI34" s="88"/>
      <c r="XJ34" s="88"/>
      <c r="XK34" s="88"/>
      <c r="XL34" s="88"/>
      <c r="XM34" s="88"/>
      <c r="XN34" s="88"/>
      <c r="XO34" s="88"/>
      <c r="XP34" s="88"/>
      <c r="XQ34" s="88"/>
      <c r="XR34" s="88"/>
      <c r="XS34" s="88"/>
      <c r="XT34" s="88"/>
      <c r="XU34" s="88"/>
      <c r="XV34" s="88"/>
      <c r="XW34" s="88"/>
      <c r="XX34" s="88"/>
      <c r="XY34" s="88"/>
      <c r="XZ34" s="88"/>
      <c r="YA34" s="88"/>
      <c r="YB34" s="88"/>
      <c r="YC34" s="88"/>
      <c r="YD34" s="88"/>
      <c r="YE34" s="88"/>
      <c r="YF34" s="88"/>
      <c r="YG34" s="88"/>
      <c r="YH34" s="88"/>
      <c r="YI34" s="88"/>
      <c r="YJ34" s="88"/>
      <c r="YK34" s="88"/>
      <c r="YL34" s="88"/>
      <c r="YM34" s="88"/>
      <c r="YN34" s="88"/>
      <c r="YO34" s="88"/>
      <c r="YP34" s="88"/>
      <c r="YQ34" s="88"/>
      <c r="YR34" s="88"/>
      <c r="YS34" s="88"/>
      <c r="YT34" s="88"/>
      <c r="YU34" s="88"/>
      <c r="YV34" s="88"/>
      <c r="YW34" s="88"/>
      <c r="YX34" s="88"/>
      <c r="YY34" s="88"/>
      <c r="YZ34" s="88"/>
      <c r="ZA34" s="88"/>
      <c r="ZB34" s="88"/>
      <c r="ZC34" s="88"/>
      <c r="ZD34" s="88"/>
      <c r="ZE34" s="88"/>
      <c r="ZF34" s="88"/>
      <c r="ZG34" s="88"/>
      <c r="ZH34" s="88"/>
      <c r="ZI34" s="88"/>
      <c r="ZJ34" s="88"/>
      <c r="ZK34" s="88"/>
      <c r="ZL34" s="88"/>
      <c r="ZM34" s="88"/>
      <c r="ZN34" s="88"/>
      <c r="ZO34" s="88"/>
      <c r="ZP34" s="88"/>
      <c r="ZQ34" s="88"/>
      <c r="ZR34" s="88"/>
      <c r="ZS34" s="88"/>
      <c r="ZT34" s="88"/>
      <c r="ZU34" s="88"/>
      <c r="ZV34" s="88"/>
      <c r="ZW34" s="88"/>
      <c r="ZX34" s="88"/>
      <c r="ZY34" s="88"/>
      <c r="ZZ34" s="88"/>
      <c r="AAA34" s="88"/>
      <c r="AAB34" s="88"/>
      <c r="AAC34" s="88"/>
      <c r="AAD34" s="88"/>
      <c r="AAE34" s="88"/>
      <c r="AAF34" s="88"/>
      <c r="AAG34" s="88"/>
      <c r="AAH34" s="88"/>
      <c r="AAI34" s="88"/>
      <c r="AAJ34" s="88"/>
      <c r="AAK34" s="88"/>
      <c r="AAL34" s="88"/>
      <c r="AAM34" s="88"/>
      <c r="AAN34" s="88"/>
      <c r="AAO34" s="88"/>
      <c r="AAP34" s="88"/>
      <c r="AAQ34" s="88"/>
      <c r="AAR34" s="88"/>
      <c r="AAS34" s="88"/>
      <c r="AAT34" s="88"/>
      <c r="AAU34" s="88"/>
      <c r="AAV34" s="88"/>
      <c r="AAW34" s="88"/>
      <c r="AAX34" s="88"/>
      <c r="AAY34" s="88"/>
      <c r="AAZ34" s="88"/>
      <c r="ABA34" s="88"/>
      <c r="ABB34" s="88"/>
      <c r="ABC34" s="88"/>
      <c r="ABD34" s="88"/>
      <c r="ABE34" s="88"/>
      <c r="ABF34" s="88"/>
      <c r="ABG34" s="88"/>
      <c r="ABH34" s="88"/>
      <c r="ABI34" s="88"/>
      <c r="ABJ34" s="88"/>
      <c r="ABK34" s="88"/>
      <c r="ABL34" s="88"/>
      <c r="ABM34" s="88"/>
      <c r="ABN34" s="88"/>
      <c r="ABO34" s="88"/>
      <c r="ABP34" s="88"/>
      <c r="ABQ34" s="88"/>
      <c r="ABR34" s="88"/>
      <c r="ABS34" s="88"/>
      <c r="ABT34" s="88"/>
      <c r="ABU34" s="88"/>
      <c r="ABV34" s="88"/>
      <c r="ABW34" s="88"/>
      <c r="ABX34" s="88"/>
      <c r="ABY34" s="88"/>
      <c r="ABZ34" s="88"/>
      <c r="ACA34" s="88"/>
      <c r="ACB34" s="88"/>
      <c r="ACC34" s="88"/>
      <c r="ACD34" s="88"/>
      <c r="ACE34" s="88"/>
      <c r="ACF34" s="88"/>
      <c r="ACG34" s="88"/>
      <c r="ACH34" s="88"/>
      <c r="ACI34" s="88"/>
      <c r="ACJ34" s="88"/>
      <c r="ACK34" s="88"/>
      <c r="ACL34" s="88"/>
      <c r="ACM34" s="88"/>
      <c r="ACN34" s="88"/>
      <c r="ACO34" s="88"/>
      <c r="ACP34" s="88"/>
      <c r="ACQ34" s="88"/>
      <c r="ACR34" s="88"/>
      <c r="ACS34" s="88"/>
      <c r="ACT34" s="88"/>
      <c r="ACU34" s="88"/>
      <c r="ACV34" s="88"/>
      <c r="ACW34" s="88"/>
      <c r="ACX34" s="88"/>
      <c r="ACY34" s="88"/>
      <c r="ACZ34" s="88"/>
      <c r="ADA34" s="88"/>
      <c r="ADB34" s="88"/>
      <c r="ADC34" s="88"/>
      <c r="ADD34" s="88"/>
      <c r="ADE34" s="88"/>
      <c r="ADF34" s="88"/>
      <c r="ADG34" s="88"/>
      <c r="ADH34" s="88"/>
      <c r="ADI34" s="88"/>
      <c r="ADJ34" s="88"/>
      <c r="ADK34" s="88"/>
      <c r="ADL34" s="88"/>
      <c r="ADM34" s="88"/>
      <c r="ADN34" s="88"/>
      <c r="ADO34" s="88"/>
      <c r="ADP34" s="88"/>
      <c r="ADQ34" s="88"/>
      <c r="ADR34" s="88"/>
      <c r="ADS34" s="88"/>
      <c r="ADT34" s="88"/>
      <c r="ADU34" s="88"/>
      <c r="ADV34" s="88"/>
      <c r="ADW34" s="88"/>
      <c r="ADX34" s="88"/>
      <c r="ADY34" s="88"/>
      <c r="ADZ34" s="88"/>
      <c r="AEA34" s="88"/>
      <c r="AEB34" s="88"/>
      <c r="AEC34" s="88"/>
      <c r="AED34" s="88"/>
      <c r="AEE34" s="88"/>
      <c r="AEF34" s="88"/>
      <c r="AEG34" s="88"/>
      <c r="AEH34" s="88"/>
      <c r="AEI34" s="88"/>
      <c r="AEJ34" s="88"/>
      <c r="AEK34" s="88"/>
      <c r="AEL34" s="88"/>
      <c r="AEM34" s="88"/>
      <c r="AEN34" s="88"/>
      <c r="AEO34" s="88"/>
      <c r="AEP34" s="88"/>
      <c r="AEQ34" s="88"/>
      <c r="AER34" s="88"/>
      <c r="AES34" s="88"/>
      <c r="AET34" s="88"/>
      <c r="AEU34" s="88"/>
      <c r="AEV34" s="88"/>
      <c r="AEW34" s="88"/>
      <c r="AEX34" s="88"/>
      <c r="AEY34" s="88"/>
      <c r="AEZ34" s="88"/>
      <c r="AFA34" s="88"/>
      <c r="AFB34" s="88"/>
      <c r="AFC34" s="88"/>
      <c r="AFD34" s="88"/>
      <c r="AFE34" s="88"/>
      <c r="AFF34" s="88"/>
      <c r="AFG34" s="88"/>
      <c r="AFH34" s="88"/>
      <c r="AFI34" s="88"/>
      <c r="AFJ34" s="88"/>
      <c r="AFK34" s="88"/>
      <c r="AFL34" s="88"/>
      <c r="AFM34" s="88"/>
      <c r="AFN34" s="88"/>
      <c r="AFO34" s="88"/>
      <c r="AFP34" s="88"/>
      <c r="AFQ34" s="88"/>
      <c r="AFR34" s="88"/>
      <c r="AFS34" s="88"/>
      <c r="AFT34" s="88"/>
      <c r="AFU34" s="88"/>
      <c r="AFV34" s="88"/>
      <c r="AFW34" s="88"/>
      <c r="AFX34" s="88"/>
      <c r="AFY34" s="88"/>
      <c r="AFZ34" s="88"/>
      <c r="AGA34" s="88"/>
      <c r="AGB34" s="88"/>
      <c r="AGC34" s="88"/>
      <c r="AGD34" s="88"/>
      <c r="AGE34" s="88"/>
      <c r="AGF34" s="88"/>
      <c r="AGG34" s="88"/>
      <c r="AGH34" s="88"/>
      <c r="AGI34" s="88"/>
      <c r="AGJ34" s="88"/>
      <c r="AGK34" s="88"/>
      <c r="AGL34" s="88"/>
      <c r="AGM34" s="88"/>
      <c r="AGN34" s="88"/>
      <c r="AGO34" s="88"/>
      <c r="AGP34" s="88"/>
      <c r="AGQ34" s="88"/>
      <c r="AGR34" s="88"/>
      <c r="AGS34" s="88"/>
      <c r="AGT34" s="88"/>
      <c r="AGU34" s="88"/>
      <c r="AGV34" s="88"/>
      <c r="AGW34" s="88"/>
      <c r="AGX34" s="88"/>
      <c r="AGY34" s="88"/>
      <c r="AGZ34" s="88"/>
      <c r="AHA34" s="88"/>
      <c r="AHB34" s="88"/>
      <c r="AHC34" s="88"/>
      <c r="AHD34" s="88"/>
      <c r="AHE34" s="88"/>
      <c r="AHF34" s="88"/>
      <c r="AHG34" s="88"/>
      <c r="AHH34" s="88"/>
      <c r="AHI34" s="88"/>
      <c r="AHJ34" s="88"/>
      <c r="AHK34" s="88"/>
      <c r="AHL34" s="88"/>
      <c r="AHM34" s="88"/>
      <c r="AHN34" s="88"/>
      <c r="AHO34" s="88"/>
      <c r="AHP34" s="88"/>
      <c r="AHQ34" s="88"/>
      <c r="AHR34" s="88"/>
      <c r="AHS34" s="88"/>
      <c r="AHT34" s="88"/>
      <c r="AHU34" s="88"/>
      <c r="AHV34" s="88"/>
      <c r="AHW34" s="88"/>
      <c r="AHX34" s="88"/>
      <c r="AHY34" s="88"/>
      <c r="AHZ34" s="88"/>
      <c r="AIA34" s="88"/>
      <c r="AIB34" s="88"/>
      <c r="AIC34" s="88"/>
      <c r="AID34" s="88"/>
      <c r="AIE34" s="88"/>
      <c r="AIF34" s="88"/>
      <c r="AIG34" s="88"/>
      <c r="AIH34" s="88"/>
      <c r="AII34" s="88"/>
      <c r="AIJ34" s="88"/>
      <c r="AIK34" s="88"/>
      <c r="AIL34" s="88"/>
      <c r="AIM34" s="88"/>
      <c r="AIN34" s="88"/>
      <c r="AIO34" s="88"/>
      <c r="AIP34" s="88"/>
      <c r="AIQ34" s="88"/>
      <c r="AIR34" s="88"/>
      <c r="AIS34" s="88"/>
      <c r="AIT34" s="88"/>
      <c r="AIU34" s="88"/>
      <c r="AIV34" s="88"/>
      <c r="AIW34" s="88"/>
      <c r="AIX34" s="88"/>
      <c r="AIY34" s="88"/>
      <c r="AIZ34" s="88"/>
      <c r="AJA34" s="88"/>
      <c r="AJB34" s="88"/>
      <c r="AJC34" s="88"/>
      <c r="AJD34" s="88"/>
      <c r="AJE34" s="88"/>
      <c r="AJF34" s="88"/>
      <c r="AJG34" s="88"/>
      <c r="AJH34" s="88"/>
      <c r="AJI34" s="88"/>
      <c r="AJJ34" s="88"/>
      <c r="AJK34" s="88"/>
      <c r="AJL34" s="88"/>
      <c r="AJM34" s="88"/>
      <c r="AJN34" s="88"/>
      <c r="AJO34" s="88"/>
      <c r="AJP34" s="88"/>
      <c r="AJQ34" s="88"/>
      <c r="AJR34" s="88"/>
      <c r="AJS34" s="88"/>
      <c r="AJT34" s="88"/>
      <c r="AJU34" s="88"/>
      <c r="AJV34" s="88"/>
      <c r="AJW34" s="88"/>
      <c r="AJX34" s="88"/>
      <c r="AJY34" s="88"/>
      <c r="AJZ34" s="88"/>
      <c r="AKA34" s="88"/>
      <c r="AKB34" s="88"/>
      <c r="AKC34" s="88"/>
      <c r="AKD34" s="88"/>
      <c r="AKE34" s="88"/>
      <c r="AKF34" s="88"/>
      <c r="AKG34" s="88"/>
      <c r="AKH34" s="88"/>
      <c r="AKI34" s="88"/>
      <c r="AKJ34" s="88"/>
      <c r="AKK34" s="88"/>
      <c r="AKL34" s="88"/>
      <c r="AKM34" s="88"/>
      <c r="AKN34" s="88"/>
      <c r="AKO34" s="88"/>
      <c r="AKP34" s="88"/>
      <c r="AKQ34" s="88"/>
      <c r="AKR34" s="88"/>
      <c r="AKS34" s="88"/>
      <c r="AKT34" s="88"/>
      <c r="AKU34" s="88"/>
      <c r="AKV34" s="88"/>
      <c r="AKW34" s="88"/>
      <c r="AKX34" s="88"/>
      <c r="AKY34" s="88"/>
      <c r="AKZ34" s="88"/>
      <c r="ALA34" s="88"/>
      <c r="ALB34" s="88"/>
      <c r="ALC34" s="88"/>
      <c r="ALD34" s="88"/>
      <c r="ALE34" s="88"/>
      <c r="ALF34" s="88"/>
      <c r="ALG34" s="88"/>
      <c r="ALH34" s="88"/>
      <c r="ALI34" s="88"/>
      <c r="ALJ34" s="88"/>
      <c r="ALK34" s="88"/>
      <c r="ALL34" s="88"/>
      <c r="ALM34" s="88"/>
      <c r="ALN34" s="88"/>
      <c r="ALO34" s="88"/>
      <c r="ALP34" s="88"/>
      <c r="ALQ34" s="88"/>
      <c r="ALR34" s="88"/>
      <c r="ALS34" s="88"/>
      <c r="ALT34" s="88"/>
      <c r="ALU34" s="88"/>
      <c r="ALV34" s="88"/>
      <c r="ALW34" s="88"/>
      <c r="ALX34" s="88"/>
      <c r="ALY34" s="88"/>
      <c r="ALZ34" s="88"/>
      <c r="AMA34" s="88"/>
      <c r="AMB34" s="88"/>
      <c r="AMC34" s="88"/>
      <c r="AMD34" s="88"/>
      <c r="AME34" s="88"/>
      <c r="AMF34" s="88"/>
      <c r="AMG34" s="88"/>
      <c r="AMH34" s="88"/>
      <c r="AMI34" s="88"/>
      <c r="AMJ34" s="88"/>
      <c r="AMK34" s="88"/>
      <c r="AML34" s="88"/>
      <c r="AMM34" s="88"/>
      <c r="AMN34" s="88"/>
      <c r="AMO34" s="88"/>
      <c r="AMP34" s="88"/>
      <c r="AMQ34" s="88"/>
      <c r="AMR34" s="88"/>
      <c r="AMS34" s="88"/>
      <c r="AMT34" s="88"/>
      <c r="AMU34" s="88"/>
      <c r="AMV34" s="88"/>
      <c r="AMW34" s="88"/>
      <c r="AMX34" s="88"/>
      <c r="AMY34" s="88"/>
      <c r="AMZ34" s="88"/>
      <c r="ANA34" s="88"/>
      <c r="ANB34" s="88"/>
      <c r="ANC34" s="88"/>
      <c r="AND34" s="88"/>
      <c r="ANE34" s="88"/>
      <c r="ANF34" s="88"/>
      <c r="ANG34" s="88"/>
      <c r="ANH34" s="88"/>
      <c r="ANI34" s="88"/>
      <c r="ANJ34" s="88"/>
      <c r="ANK34" s="88"/>
      <c r="ANL34" s="88"/>
      <c r="ANM34" s="88"/>
      <c r="ANN34" s="88"/>
      <c r="ANO34" s="88"/>
      <c r="ANP34" s="88"/>
      <c r="ANQ34" s="88"/>
      <c r="ANR34" s="88"/>
      <c r="ANS34" s="88"/>
      <c r="ANT34" s="88"/>
      <c r="ANU34" s="88"/>
      <c r="ANV34" s="88"/>
      <c r="ANW34" s="88"/>
      <c r="ANX34" s="88"/>
      <c r="ANY34" s="88"/>
      <c r="ANZ34" s="88"/>
      <c r="AOA34" s="88"/>
      <c r="AOB34" s="88"/>
      <c r="AOC34" s="88"/>
      <c r="AOD34" s="88"/>
      <c r="AOE34" s="88"/>
      <c r="AOF34" s="88"/>
      <c r="AOG34" s="88"/>
      <c r="AOH34" s="88"/>
      <c r="AOI34" s="88"/>
      <c r="AOJ34" s="88"/>
      <c r="AOK34" s="88"/>
      <c r="AOL34" s="88"/>
      <c r="AOM34" s="88"/>
      <c r="AON34" s="88"/>
      <c r="AOO34" s="88"/>
      <c r="AOP34" s="88"/>
      <c r="AOQ34" s="88"/>
      <c r="AOR34" s="88"/>
      <c r="AOS34" s="88"/>
      <c r="AOT34" s="88"/>
      <c r="AOU34" s="88"/>
      <c r="AOV34" s="88"/>
      <c r="AOW34" s="88"/>
      <c r="AOX34" s="88"/>
      <c r="AOY34" s="88"/>
      <c r="AOZ34" s="88"/>
      <c r="APA34" s="88"/>
      <c r="APB34" s="88"/>
      <c r="APC34" s="88"/>
      <c r="APD34" s="88"/>
      <c r="APE34" s="88"/>
      <c r="APF34" s="88"/>
      <c r="APG34" s="88"/>
      <c r="APH34" s="88"/>
      <c r="API34" s="88"/>
      <c r="APJ34" s="88"/>
      <c r="APK34" s="88"/>
      <c r="APL34" s="88"/>
      <c r="APM34" s="88"/>
      <c r="APN34" s="88"/>
      <c r="APO34" s="88"/>
      <c r="APP34" s="88"/>
      <c r="APQ34" s="88"/>
      <c r="APR34" s="88"/>
      <c r="APS34" s="88"/>
      <c r="APT34" s="88"/>
      <c r="APU34" s="88"/>
      <c r="APV34" s="88"/>
      <c r="APW34" s="88"/>
      <c r="APX34" s="88"/>
      <c r="APY34" s="88"/>
      <c r="APZ34" s="88"/>
      <c r="AQA34" s="88"/>
      <c r="AQB34" s="88"/>
      <c r="AQC34" s="88"/>
      <c r="AQD34" s="88"/>
      <c r="AQE34" s="88"/>
      <c r="AQF34" s="88"/>
      <c r="AQG34" s="88"/>
      <c r="AQH34" s="88"/>
      <c r="AQI34" s="88"/>
      <c r="AQJ34" s="88"/>
      <c r="AQK34" s="88"/>
      <c r="AQL34" s="88"/>
      <c r="AQM34" s="88"/>
      <c r="AQN34" s="88"/>
      <c r="AQO34" s="88"/>
      <c r="AQP34" s="88"/>
      <c r="AQQ34" s="88"/>
      <c r="AQR34" s="88"/>
      <c r="AQS34" s="88"/>
      <c r="AQT34" s="88"/>
      <c r="AQU34" s="88"/>
      <c r="AQV34" s="88"/>
      <c r="AQW34" s="88"/>
      <c r="AQX34" s="88"/>
      <c r="AQY34" s="88"/>
      <c r="AQZ34" s="88"/>
      <c r="ARA34" s="88"/>
      <c r="ARB34" s="88"/>
      <c r="ARC34" s="88"/>
      <c r="ARD34" s="88"/>
      <c r="ARE34" s="88"/>
      <c r="ARF34" s="88"/>
      <c r="ARG34" s="88"/>
      <c r="ARH34" s="88"/>
      <c r="ARI34" s="88"/>
      <c r="ARJ34" s="88"/>
      <c r="ARK34" s="88"/>
      <c r="ARL34" s="88"/>
      <c r="ARM34" s="88"/>
      <c r="ARN34" s="88"/>
      <c r="ARO34" s="88"/>
      <c r="ARP34" s="88"/>
      <c r="ARQ34" s="88"/>
      <c r="ARR34" s="88"/>
      <c r="ARS34" s="88"/>
      <c r="ART34" s="88"/>
      <c r="ARU34" s="88"/>
      <c r="ARV34" s="88"/>
      <c r="ARW34" s="88"/>
      <c r="ARX34" s="88"/>
      <c r="ARY34" s="88"/>
      <c r="ARZ34" s="88"/>
      <c r="ASA34" s="88"/>
      <c r="ASB34" s="88"/>
      <c r="ASC34" s="88"/>
      <c r="ASD34" s="88"/>
      <c r="ASE34" s="88"/>
      <c r="ASF34" s="88"/>
      <c r="ASG34" s="88"/>
      <c r="ASH34" s="88"/>
      <c r="ASI34" s="88"/>
      <c r="ASJ34" s="88"/>
      <c r="ASK34" s="88"/>
      <c r="ASL34" s="88"/>
      <c r="ASM34" s="88"/>
      <c r="ASN34" s="88"/>
      <c r="ASO34" s="88"/>
      <c r="ASP34" s="88"/>
      <c r="ASQ34" s="88"/>
      <c r="ASR34" s="88"/>
      <c r="ASS34" s="88"/>
      <c r="AST34" s="88"/>
      <c r="ASU34" s="88"/>
      <c r="ASV34" s="88"/>
      <c r="ASW34" s="88"/>
      <c r="ASX34" s="88"/>
      <c r="ASY34" s="88"/>
      <c r="ASZ34" s="88"/>
      <c r="ATA34" s="88"/>
      <c r="ATB34" s="88"/>
      <c r="ATC34" s="88"/>
      <c r="ATD34" s="88"/>
      <c r="ATE34" s="88"/>
      <c r="ATF34" s="88"/>
      <c r="ATG34" s="88"/>
      <c r="ATH34" s="88"/>
      <c r="ATI34" s="88"/>
      <c r="ATJ34" s="88"/>
      <c r="ATK34" s="88"/>
      <c r="ATL34" s="88"/>
      <c r="ATM34" s="88"/>
      <c r="ATN34" s="88"/>
      <c r="ATO34" s="88"/>
      <c r="ATP34" s="88"/>
      <c r="ATQ34" s="88"/>
      <c r="ATR34" s="88"/>
      <c r="ATS34" s="88"/>
      <c r="ATT34" s="88"/>
      <c r="ATU34" s="88"/>
      <c r="ATV34" s="88"/>
      <c r="ATW34" s="88"/>
      <c r="ATX34" s="88"/>
      <c r="ATY34" s="88"/>
      <c r="ATZ34" s="88"/>
      <c r="AUA34" s="88"/>
      <c r="AUB34" s="88"/>
      <c r="AUC34" s="88"/>
      <c r="AUD34" s="88"/>
      <c r="AUE34" s="88"/>
      <c r="AUF34" s="88"/>
      <c r="AUG34" s="88"/>
      <c r="AUH34" s="88"/>
      <c r="AUI34" s="88"/>
      <c r="AUJ34" s="88"/>
      <c r="AUK34" s="88"/>
      <c r="AUL34" s="88"/>
      <c r="AUM34" s="88"/>
      <c r="AUN34" s="88"/>
      <c r="AUO34" s="88"/>
      <c r="AUP34" s="88"/>
      <c r="AUQ34" s="88"/>
      <c r="AUR34" s="88"/>
      <c r="AUS34" s="88"/>
      <c r="AUT34" s="88"/>
      <c r="AUU34" s="88"/>
      <c r="AUV34" s="88"/>
      <c r="AUW34" s="88"/>
      <c r="AUX34" s="88"/>
      <c r="AUY34" s="88"/>
      <c r="AUZ34" s="88"/>
      <c r="AVA34" s="88"/>
      <c r="AVB34" s="88"/>
      <c r="AVC34" s="88"/>
      <c r="AVD34" s="88"/>
      <c r="AVE34" s="88"/>
      <c r="AVF34" s="88"/>
      <c r="AVG34" s="88"/>
      <c r="AVH34" s="88"/>
      <c r="AVI34" s="88"/>
      <c r="AVJ34" s="88"/>
      <c r="AVK34" s="88"/>
      <c r="AVL34" s="88"/>
      <c r="AVM34" s="88"/>
      <c r="AVN34" s="88"/>
      <c r="AVO34" s="88"/>
      <c r="AVP34" s="88"/>
      <c r="AVQ34" s="88"/>
      <c r="AVR34" s="88"/>
      <c r="AVS34" s="88"/>
      <c r="AVT34" s="88"/>
      <c r="AVU34" s="88"/>
      <c r="AVV34" s="88"/>
      <c r="AVW34" s="88"/>
      <c r="AVX34" s="88"/>
      <c r="AVY34" s="88"/>
      <c r="AVZ34" s="88"/>
      <c r="AWA34" s="88"/>
      <c r="AWB34" s="88"/>
      <c r="AWC34" s="88"/>
      <c r="AWD34" s="88"/>
      <c r="AWE34" s="88"/>
      <c r="AWF34" s="88"/>
      <c r="AWG34" s="88"/>
      <c r="AWH34" s="88"/>
      <c r="AWI34" s="88"/>
      <c r="AWJ34" s="88"/>
      <c r="AWK34" s="88"/>
      <c r="AWL34" s="88"/>
      <c r="AWM34" s="88"/>
      <c r="AWN34" s="88"/>
      <c r="AWO34" s="88"/>
      <c r="AWP34" s="88"/>
      <c r="AWQ34" s="88"/>
      <c r="AWR34" s="88"/>
      <c r="AWS34" s="88"/>
      <c r="AWT34" s="88"/>
      <c r="AWU34" s="88"/>
      <c r="AWV34" s="88"/>
      <c r="AWW34" s="88"/>
      <c r="AWX34" s="88"/>
      <c r="AWY34" s="88"/>
      <c r="AWZ34" s="88"/>
      <c r="AXA34" s="88"/>
      <c r="AXB34" s="88"/>
      <c r="AXC34" s="88"/>
      <c r="AXD34" s="88"/>
      <c r="AXE34" s="88"/>
      <c r="AXF34" s="88"/>
      <c r="AXG34" s="88"/>
      <c r="AXH34" s="88"/>
      <c r="AXI34" s="88"/>
      <c r="AXJ34" s="88"/>
      <c r="AXK34" s="88"/>
      <c r="AXL34" s="88"/>
      <c r="AXM34" s="88"/>
      <c r="AXN34" s="88"/>
      <c r="AXO34" s="88"/>
      <c r="AXP34" s="88"/>
      <c r="AXQ34" s="88"/>
      <c r="AXR34" s="88"/>
      <c r="AXS34" s="88"/>
      <c r="AXT34" s="88"/>
      <c r="AXU34" s="88"/>
      <c r="AXV34" s="88"/>
      <c r="AXW34" s="88"/>
      <c r="AXX34" s="88"/>
      <c r="AXY34" s="88"/>
      <c r="AXZ34" s="88"/>
      <c r="AYA34" s="88"/>
      <c r="AYB34" s="88"/>
      <c r="AYC34" s="88"/>
      <c r="AYD34" s="88"/>
      <c r="AYE34" s="88"/>
      <c r="AYF34" s="88"/>
      <c r="AYG34" s="88"/>
      <c r="AYH34" s="88"/>
      <c r="AYI34" s="88"/>
      <c r="AYJ34" s="88"/>
      <c r="AYK34" s="88"/>
      <c r="AYL34" s="88"/>
      <c r="AYM34" s="88"/>
      <c r="AYN34" s="88"/>
      <c r="AYO34" s="88"/>
      <c r="AYP34" s="88"/>
      <c r="AYQ34" s="88"/>
      <c r="AYR34" s="88"/>
      <c r="AYS34" s="88"/>
      <c r="AYT34" s="88"/>
      <c r="AYU34" s="88"/>
      <c r="AYV34" s="88"/>
      <c r="AYW34" s="88"/>
      <c r="AYX34" s="88"/>
      <c r="AYY34" s="88"/>
      <c r="AYZ34" s="88"/>
      <c r="AZA34" s="88"/>
      <c r="AZB34" s="88"/>
      <c r="AZC34" s="88"/>
      <c r="AZD34" s="88"/>
      <c r="AZE34" s="88"/>
      <c r="AZF34" s="88"/>
      <c r="AZG34" s="88"/>
      <c r="AZH34" s="88"/>
      <c r="AZI34" s="88"/>
      <c r="AZJ34" s="88"/>
      <c r="AZK34" s="88"/>
      <c r="AZL34" s="88"/>
      <c r="AZM34" s="88"/>
      <c r="AZN34" s="88"/>
      <c r="AZO34" s="88"/>
      <c r="AZP34" s="88"/>
      <c r="AZQ34" s="88"/>
      <c r="AZR34" s="88"/>
      <c r="AZS34" s="88"/>
      <c r="AZT34" s="88"/>
      <c r="AZU34" s="88"/>
      <c r="AZV34" s="88"/>
      <c r="AZW34" s="88"/>
      <c r="AZX34" s="88"/>
      <c r="AZY34" s="88"/>
      <c r="AZZ34" s="88"/>
      <c r="BAA34" s="88"/>
      <c r="BAB34" s="88"/>
      <c r="BAC34" s="88"/>
      <c r="BAD34" s="88"/>
      <c r="BAE34" s="88"/>
      <c r="BAF34" s="88"/>
      <c r="BAG34" s="88"/>
      <c r="BAH34" s="88"/>
      <c r="BAI34" s="88"/>
      <c r="BAJ34" s="88"/>
      <c r="BAK34" s="88"/>
      <c r="BAL34" s="88"/>
      <c r="BAM34" s="88"/>
      <c r="BAN34" s="88"/>
      <c r="BAO34" s="88"/>
      <c r="BAP34" s="88"/>
      <c r="BAQ34" s="88"/>
      <c r="BAR34" s="88"/>
      <c r="BAS34" s="88"/>
      <c r="BAT34" s="88"/>
      <c r="BAU34" s="88"/>
      <c r="BAV34" s="88"/>
      <c r="BAW34" s="88"/>
      <c r="BAX34" s="88"/>
      <c r="BAY34" s="88"/>
      <c r="BAZ34" s="88"/>
      <c r="BBA34" s="88"/>
      <c r="BBB34" s="88"/>
      <c r="BBC34" s="88"/>
      <c r="BBD34" s="88"/>
      <c r="BBE34" s="88"/>
      <c r="BBF34" s="88"/>
      <c r="BBG34" s="88"/>
      <c r="BBH34" s="88"/>
      <c r="BBI34" s="88"/>
      <c r="BBJ34" s="88"/>
      <c r="BBK34" s="88"/>
      <c r="BBL34" s="88"/>
      <c r="BBM34" s="88"/>
      <c r="BBN34" s="88"/>
      <c r="BBO34" s="88"/>
      <c r="BBP34" s="88"/>
      <c r="BBQ34" s="88"/>
      <c r="BBR34" s="88"/>
      <c r="BBS34" s="88"/>
      <c r="BBT34" s="88"/>
      <c r="BBU34" s="88"/>
      <c r="BBV34" s="88"/>
      <c r="BBW34" s="88"/>
      <c r="BBX34" s="88"/>
      <c r="BBY34" s="88"/>
      <c r="BBZ34" s="88"/>
      <c r="BCA34" s="88"/>
      <c r="BCB34" s="88"/>
      <c r="BCC34" s="88"/>
      <c r="BCD34" s="88"/>
      <c r="BCE34" s="88"/>
      <c r="BCF34" s="88"/>
      <c r="BCG34" s="88"/>
      <c r="BCH34" s="88"/>
      <c r="BCI34" s="88"/>
      <c r="BCJ34" s="88"/>
      <c r="BCK34" s="88"/>
      <c r="BCL34" s="88"/>
      <c r="BCM34" s="88"/>
      <c r="BCN34" s="88"/>
      <c r="BCO34" s="88"/>
      <c r="BCP34" s="88"/>
      <c r="BCQ34" s="88"/>
      <c r="BCR34" s="88"/>
      <c r="BCS34" s="88"/>
      <c r="BCT34" s="88"/>
      <c r="BCU34" s="88"/>
      <c r="BCV34" s="88"/>
      <c r="BCW34" s="88"/>
      <c r="BCX34" s="88"/>
      <c r="BCY34" s="88"/>
      <c r="BCZ34" s="88"/>
      <c r="BDA34" s="88"/>
      <c r="BDB34" s="88"/>
      <c r="BDC34" s="88"/>
      <c r="BDD34" s="88"/>
      <c r="BDE34" s="88"/>
      <c r="BDF34" s="88"/>
      <c r="BDG34" s="88"/>
      <c r="BDH34" s="88"/>
      <c r="BDI34" s="88"/>
      <c r="BDJ34" s="88"/>
      <c r="BDK34" s="88"/>
      <c r="BDL34" s="88"/>
      <c r="BDM34" s="88"/>
      <c r="BDN34" s="88"/>
      <c r="BDO34" s="88"/>
      <c r="BDP34" s="88"/>
      <c r="BDQ34" s="88"/>
      <c r="BDR34" s="88"/>
      <c r="BDS34" s="88"/>
      <c r="BDT34" s="88"/>
      <c r="BDU34" s="88"/>
      <c r="BDV34" s="88"/>
      <c r="BDW34" s="88"/>
      <c r="BDX34" s="88"/>
      <c r="BDY34" s="88"/>
      <c r="BDZ34" s="88"/>
      <c r="BEA34" s="88"/>
      <c r="BEB34" s="88"/>
      <c r="BEC34" s="88"/>
      <c r="BED34" s="88"/>
      <c r="BEE34" s="88"/>
      <c r="BEF34" s="88"/>
      <c r="BEG34" s="88"/>
      <c r="BEH34" s="88"/>
      <c r="BEI34" s="88"/>
      <c r="BEJ34" s="88"/>
      <c r="BEK34" s="88"/>
      <c r="BEL34" s="88"/>
      <c r="BEM34" s="88"/>
      <c r="BEN34" s="88"/>
      <c r="BEO34" s="88"/>
      <c r="BEP34" s="88"/>
      <c r="BEQ34" s="88"/>
      <c r="BER34" s="88"/>
      <c r="BES34" s="88"/>
      <c r="BET34" s="88"/>
      <c r="BEU34" s="88"/>
      <c r="BEV34" s="88"/>
      <c r="BEW34" s="88"/>
      <c r="BEX34" s="88"/>
      <c r="BEY34" s="88"/>
      <c r="BEZ34" s="88"/>
      <c r="BFA34" s="88"/>
      <c r="BFB34" s="88"/>
      <c r="BFC34" s="88"/>
      <c r="BFD34" s="88"/>
      <c r="BFE34" s="88"/>
      <c r="BFF34" s="88"/>
      <c r="BFG34" s="88"/>
      <c r="BFH34" s="88"/>
      <c r="BFI34" s="88"/>
      <c r="BFJ34" s="88"/>
      <c r="BFK34" s="88"/>
      <c r="BFL34" s="88"/>
      <c r="BFM34" s="88"/>
      <c r="BFN34" s="88"/>
      <c r="BFO34" s="88"/>
      <c r="BFP34" s="88"/>
      <c r="BFQ34" s="88"/>
      <c r="BFR34" s="88"/>
      <c r="BFS34" s="88"/>
      <c r="BFT34" s="88"/>
      <c r="BFU34" s="88"/>
      <c r="BFV34" s="88"/>
      <c r="BFW34" s="88"/>
      <c r="BFX34" s="88"/>
      <c r="BFY34" s="88"/>
      <c r="BFZ34" s="88"/>
      <c r="BGA34" s="88"/>
      <c r="BGB34" s="88"/>
      <c r="BGC34" s="88"/>
      <c r="BGD34" s="88"/>
      <c r="BGE34" s="88"/>
      <c r="BGF34" s="88"/>
      <c r="BGG34" s="88"/>
      <c r="BGH34" s="88"/>
      <c r="BGI34" s="88"/>
      <c r="BGJ34" s="88"/>
      <c r="BGK34" s="88"/>
      <c r="BGL34" s="88"/>
      <c r="BGM34" s="88"/>
      <c r="BGN34" s="88"/>
      <c r="BGO34" s="88"/>
      <c r="BGP34" s="88"/>
      <c r="BGQ34" s="88"/>
      <c r="BGR34" s="88"/>
      <c r="BGS34" s="88"/>
      <c r="BGT34" s="88"/>
      <c r="BGU34" s="88"/>
      <c r="BGV34" s="88"/>
      <c r="BGW34" s="88"/>
      <c r="BGX34" s="88"/>
      <c r="BGY34" s="88"/>
      <c r="BGZ34" s="88"/>
      <c r="BHA34" s="88"/>
      <c r="BHB34" s="88"/>
      <c r="BHC34" s="88"/>
      <c r="BHD34" s="88"/>
      <c r="BHE34" s="88"/>
      <c r="BHF34" s="88"/>
      <c r="BHG34" s="88"/>
      <c r="BHH34" s="88"/>
      <c r="BHI34" s="88"/>
      <c r="BHJ34" s="88"/>
      <c r="BHK34" s="88"/>
      <c r="BHL34" s="88"/>
      <c r="BHM34" s="88"/>
      <c r="BHN34" s="88"/>
      <c r="BHO34" s="88"/>
      <c r="BHP34" s="88"/>
      <c r="BHQ34" s="88"/>
      <c r="BHR34" s="88"/>
      <c r="BHS34" s="88"/>
      <c r="BHT34" s="88"/>
      <c r="BHU34" s="88"/>
      <c r="BHV34" s="88"/>
      <c r="BHW34" s="88"/>
      <c r="BHX34" s="88"/>
      <c r="BHY34" s="88"/>
      <c r="BHZ34" s="88"/>
      <c r="BIA34" s="88"/>
      <c r="BIB34" s="88"/>
      <c r="BIC34" s="88"/>
      <c r="BID34" s="88"/>
      <c r="BIE34" s="88"/>
      <c r="BIF34" s="88"/>
      <c r="BIG34" s="88"/>
      <c r="BIH34" s="88"/>
      <c r="BII34" s="88"/>
      <c r="BIJ34" s="88"/>
      <c r="BIK34" s="88"/>
      <c r="BIL34" s="88"/>
      <c r="BIM34" s="88"/>
      <c r="BIN34" s="88"/>
      <c r="BIO34" s="88"/>
      <c r="BIP34" s="88"/>
      <c r="BIQ34" s="88"/>
      <c r="BIR34" s="88"/>
      <c r="BIS34" s="88"/>
      <c r="BIT34" s="88"/>
      <c r="BIU34" s="88"/>
      <c r="BIV34" s="88"/>
      <c r="BIW34" s="88"/>
      <c r="BIX34" s="88"/>
      <c r="BIY34" s="88"/>
      <c r="BIZ34" s="88"/>
      <c r="BJA34" s="88"/>
      <c r="BJB34" s="88"/>
      <c r="BJC34" s="88"/>
      <c r="BJD34" s="88"/>
      <c r="BJE34" s="88"/>
      <c r="BJF34" s="88"/>
      <c r="BJG34" s="88"/>
      <c r="BJH34" s="88"/>
      <c r="BJI34" s="88"/>
      <c r="BJJ34" s="88"/>
      <c r="BJK34" s="88"/>
      <c r="BJL34" s="88"/>
      <c r="BJM34" s="88"/>
      <c r="BJN34" s="88"/>
      <c r="BJO34" s="88"/>
      <c r="BJP34" s="88"/>
      <c r="BJQ34" s="88"/>
      <c r="BJR34" s="88"/>
      <c r="BJS34" s="88"/>
      <c r="BJT34" s="88"/>
      <c r="BJU34" s="88"/>
      <c r="BJV34" s="88"/>
      <c r="BJW34" s="88"/>
      <c r="BJX34" s="88"/>
      <c r="BJY34" s="88"/>
      <c r="BJZ34" s="88"/>
      <c r="BKA34" s="88"/>
      <c r="BKB34" s="88"/>
      <c r="BKC34" s="88"/>
      <c r="BKD34" s="88"/>
      <c r="BKE34" s="88"/>
      <c r="BKF34" s="88"/>
      <c r="BKG34" s="88"/>
      <c r="BKH34" s="88"/>
      <c r="BKI34" s="88"/>
      <c r="BKJ34" s="88"/>
      <c r="BKK34" s="88"/>
      <c r="BKL34" s="88"/>
      <c r="BKM34" s="88"/>
      <c r="BKN34" s="88"/>
      <c r="BKO34" s="88"/>
      <c r="BKP34" s="88"/>
      <c r="BKQ34" s="88"/>
      <c r="BKR34" s="88"/>
      <c r="BKS34" s="88"/>
      <c r="BKT34" s="88"/>
      <c r="BKU34" s="88"/>
      <c r="BKV34" s="88"/>
      <c r="BKW34" s="88"/>
      <c r="BKX34" s="88"/>
      <c r="BKY34" s="88"/>
      <c r="BKZ34" s="88"/>
      <c r="BLA34" s="88"/>
      <c r="BLB34" s="88"/>
      <c r="BLC34" s="88"/>
      <c r="BLD34" s="88"/>
      <c r="BLE34" s="88"/>
      <c r="BLF34" s="88"/>
      <c r="BLG34" s="88"/>
      <c r="BLH34" s="88"/>
      <c r="BLI34" s="88"/>
      <c r="BLJ34" s="88"/>
      <c r="BLK34" s="88"/>
      <c r="BLL34" s="88"/>
      <c r="BLM34" s="88"/>
      <c r="BLN34" s="88"/>
      <c r="BLO34" s="88"/>
      <c r="BLP34" s="88"/>
      <c r="BLQ34" s="88"/>
      <c r="BLR34" s="88"/>
      <c r="BLS34" s="88"/>
      <c r="BLT34" s="88"/>
      <c r="BLU34" s="88"/>
      <c r="BLV34" s="88"/>
      <c r="BLW34" s="88"/>
      <c r="BLX34" s="88"/>
      <c r="BLY34" s="88"/>
      <c r="BLZ34" s="88"/>
      <c r="BMA34" s="88"/>
      <c r="BMB34" s="88"/>
      <c r="BMC34" s="88"/>
      <c r="BMD34" s="88"/>
      <c r="BME34" s="88"/>
      <c r="BMF34" s="88"/>
      <c r="BMG34" s="88"/>
      <c r="BMH34" s="88"/>
      <c r="BMI34" s="88"/>
      <c r="BMJ34" s="88"/>
      <c r="BMK34" s="88"/>
      <c r="BML34" s="88"/>
      <c r="BMM34" s="88"/>
      <c r="BMN34" s="88"/>
      <c r="BMO34" s="88"/>
      <c r="BMP34" s="88"/>
      <c r="BMQ34" s="88"/>
      <c r="BMR34" s="88"/>
      <c r="BMS34" s="88"/>
      <c r="BMT34" s="88"/>
      <c r="BMU34" s="88"/>
      <c r="BMV34" s="88"/>
      <c r="BMW34" s="88"/>
      <c r="BMX34" s="88"/>
      <c r="BMY34" s="88"/>
      <c r="BMZ34" s="88"/>
      <c r="BNA34" s="88"/>
      <c r="BNB34" s="88"/>
      <c r="BNC34" s="88"/>
      <c r="BND34" s="88"/>
      <c r="BNE34" s="88"/>
      <c r="BNF34" s="88"/>
      <c r="BNG34" s="88"/>
      <c r="BNH34" s="88"/>
      <c r="BNI34" s="88"/>
      <c r="BNJ34" s="88"/>
      <c r="BNK34" s="88"/>
      <c r="BNL34" s="88"/>
      <c r="BNM34" s="88"/>
      <c r="BNN34" s="88"/>
      <c r="BNO34" s="88"/>
      <c r="BNP34" s="88"/>
      <c r="BNQ34" s="88"/>
      <c r="BNR34" s="88"/>
      <c r="BNS34" s="88"/>
      <c r="BNT34" s="88"/>
      <c r="BNU34" s="88"/>
      <c r="BNV34" s="88"/>
      <c r="BNW34" s="88"/>
      <c r="BNX34" s="88"/>
      <c r="BNY34" s="88"/>
      <c r="BNZ34" s="88"/>
      <c r="BOA34" s="88"/>
      <c r="BOB34" s="88"/>
      <c r="BOC34" s="88"/>
      <c r="BOD34" s="88"/>
      <c r="BOE34" s="88"/>
      <c r="BOF34" s="88"/>
      <c r="BOG34" s="88"/>
      <c r="BOH34" s="88"/>
      <c r="BOI34" s="88"/>
      <c r="BOJ34" s="88"/>
      <c r="BOK34" s="88"/>
      <c r="BOL34" s="88"/>
      <c r="BOM34" s="88"/>
      <c r="BON34" s="88"/>
      <c r="BOO34" s="88"/>
      <c r="BOP34" s="88"/>
      <c r="BOQ34" s="88"/>
      <c r="BOR34" s="88"/>
      <c r="BOS34" s="88"/>
      <c r="BOT34" s="88"/>
      <c r="BOU34" s="88"/>
      <c r="BOV34" s="88"/>
      <c r="BOW34" s="88"/>
      <c r="BOX34" s="88"/>
      <c r="BOY34" s="88"/>
      <c r="BOZ34" s="88"/>
      <c r="BPA34" s="88"/>
      <c r="BPB34" s="88"/>
      <c r="BPC34" s="88"/>
      <c r="BPD34" s="88"/>
      <c r="BPE34" s="88"/>
      <c r="BPF34" s="88"/>
      <c r="BPG34" s="88"/>
      <c r="BPH34" s="88"/>
      <c r="BPI34" s="88"/>
      <c r="BPJ34" s="88"/>
      <c r="BPK34" s="88"/>
      <c r="BPL34" s="88"/>
      <c r="BPM34" s="88"/>
      <c r="BPN34" s="88"/>
      <c r="BPO34" s="88"/>
      <c r="BPP34" s="88"/>
      <c r="BPQ34" s="88"/>
      <c r="BPR34" s="88"/>
      <c r="BPS34" s="88"/>
      <c r="BPT34" s="88"/>
      <c r="BPU34" s="88"/>
      <c r="BPV34" s="88"/>
      <c r="BPW34" s="88"/>
      <c r="BPX34" s="88"/>
      <c r="BPY34" s="88"/>
      <c r="BPZ34" s="88"/>
      <c r="BQA34" s="88"/>
      <c r="BQB34" s="88"/>
      <c r="BQC34" s="88"/>
      <c r="BQD34" s="88"/>
      <c r="BQE34" s="88"/>
      <c r="BQF34" s="88"/>
      <c r="BQG34" s="88"/>
      <c r="BQH34" s="88"/>
      <c r="BQI34" s="88"/>
      <c r="BQJ34" s="88"/>
      <c r="BQK34" s="88"/>
      <c r="BQL34" s="88"/>
      <c r="BQM34" s="88"/>
      <c r="BQN34" s="88"/>
      <c r="BQO34" s="88"/>
      <c r="BQP34" s="88"/>
      <c r="BQQ34" s="88"/>
      <c r="BQR34" s="88"/>
      <c r="BQS34" s="88"/>
      <c r="BQT34" s="88"/>
      <c r="BQU34" s="88"/>
      <c r="BQV34" s="88"/>
      <c r="BQW34" s="88"/>
      <c r="BQX34" s="88"/>
      <c r="BQY34" s="88"/>
      <c r="BQZ34" s="88"/>
      <c r="BRA34" s="88"/>
      <c r="BRB34" s="88"/>
      <c r="BRC34" s="88"/>
      <c r="BRD34" s="88"/>
      <c r="BRE34" s="88"/>
      <c r="BRF34" s="88"/>
      <c r="BRG34" s="88"/>
      <c r="BRH34" s="88"/>
      <c r="BRI34" s="88"/>
      <c r="BRJ34" s="88"/>
      <c r="BRK34" s="88"/>
      <c r="BRL34" s="88"/>
      <c r="BRM34" s="88"/>
      <c r="BRN34" s="88"/>
      <c r="BRO34" s="88"/>
      <c r="BRP34" s="88"/>
      <c r="BRQ34" s="88"/>
      <c r="BRR34" s="88"/>
      <c r="BRS34" s="88"/>
      <c r="BRT34" s="88"/>
      <c r="BRU34" s="88"/>
      <c r="BRV34" s="88"/>
      <c r="BRW34" s="88"/>
      <c r="BRX34" s="88"/>
      <c r="BRY34" s="88"/>
      <c r="BRZ34" s="88"/>
      <c r="BSA34" s="88"/>
      <c r="BSB34" s="88"/>
      <c r="BSC34" s="88"/>
      <c r="BSD34" s="88"/>
      <c r="BSE34" s="88"/>
      <c r="BSF34" s="88"/>
      <c r="BSG34" s="88"/>
      <c r="BSH34" s="88"/>
      <c r="BSI34" s="88"/>
      <c r="BSJ34" s="88"/>
      <c r="BSK34" s="88"/>
      <c r="BSL34" s="88"/>
      <c r="BSM34" s="88"/>
      <c r="BSN34" s="88"/>
      <c r="BSO34" s="88"/>
      <c r="BSP34" s="88"/>
      <c r="BSQ34" s="88"/>
      <c r="BSR34" s="88"/>
      <c r="BSS34" s="88"/>
      <c r="BST34" s="88"/>
      <c r="BSU34" s="88"/>
      <c r="BSV34" s="88"/>
      <c r="BSW34" s="88"/>
      <c r="BSX34" s="88"/>
      <c r="BSY34" s="88"/>
      <c r="BSZ34" s="88"/>
      <c r="BTA34" s="88"/>
      <c r="BTB34" s="88"/>
      <c r="BTC34" s="88"/>
      <c r="BTD34" s="88"/>
      <c r="BTE34" s="88"/>
      <c r="BTF34" s="88"/>
      <c r="BTG34" s="88"/>
      <c r="BTH34" s="88"/>
      <c r="BTI34" s="88"/>
      <c r="BTJ34" s="88"/>
      <c r="BTK34" s="88"/>
      <c r="BTL34" s="88"/>
      <c r="BTM34" s="88"/>
      <c r="BTN34" s="88"/>
      <c r="BTO34" s="88"/>
      <c r="BTP34" s="88"/>
      <c r="BTQ34" s="88"/>
      <c r="BTR34" s="88"/>
      <c r="BTS34" s="88"/>
      <c r="BTT34" s="88"/>
      <c r="BTU34" s="88"/>
      <c r="BTV34" s="88"/>
      <c r="BTW34" s="88"/>
      <c r="BTX34" s="88"/>
      <c r="BTY34" s="88"/>
      <c r="BTZ34" s="88"/>
      <c r="BUA34" s="88"/>
      <c r="BUB34" s="88"/>
      <c r="BUC34" s="88"/>
      <c r="BUD34" s="88"/>
      <c r="BUE34" s="88"/>
      <c r="BUF34" s="88"/>
      <c r="BUG34" s="88"/>
      <c r="BUH34" s="88"/>
      <c r="BUI34" s="88"/>
      <c r="BUJ34" s="88"/>
      <c r="BUK34" s="88"/>
      <c r="BUL34" s="88"/>
      <c r="BUM34" s="88"/>
      <c r="BUN34" s="88"/>
      <c r="BUO34" s="88"/>
      <c r="BUP34" s="88"/>
      <c r="BUQ34" s="88"/>
      <c r="BUR34" s="88"/>
      <c r="BUS34" s="88"/>
      <c r="BUT34" s="88"/>
      <c r="BUU34" s="88"/>
      <c r="BUV34" s="88"/>
      <c r="BUW34" s="88"/>
      <c r="BUX34" s="88"/>
      <c r="BUY34" s="88"/>
      <c r="BUZ34" s="88"/>
      <c r="BVA34" s="88"/>
      <c r="BVB34" s="88"/>
      <c r="BVC34" s="88"/>
      <c r="BVD34" s="88"/>
      <c r="BVE34" s="88"/>
      <c r="BVF34" s="88"/>
      <c r="BVG34" s="88"/>
      <c r="BVH34" s="88"/>
      <c r="BVI34" s="88"/>
      <c r="BVJ34" s="88"/>
      <c r="BVK34" s="88"/>
      <c r="BVL34" s="88"/>
      <c r="BVM34" s="88"/>
      <c r="BVN34" s="88"/>
      <c r="BVO34" s="88"/>
      <c r="BVP34" s="88"/>
      <c r="BVQ34" s="88"/>
      <c r="BVR34" s="88"/>
      <c r="BVS34" s="88"/>
      <c r="BVT34" s="88"/>
      <c r="BVU34" s="88"/>
      <c r="BVV34" s="88"/>
      <c r="BVW34" s="88"/>
      <c r="BVX34" s="88"/>
      <c r="BVY34" s="88"/>
      <c r="BVZ34" s="88"/>
      <c r="BWA34" s="88"/>
      <c r="BWB34" s="88"/>
      <c r="BWC34" s="88"/>
      <c r="BWD34" s="88"/>
      <c r="BWE34" s="88"/>
      <c r="BWF34" s="88"/>
      <c r="BWG34" s="88"/>
      <c r="BWH34" s="88"/>
      <c r="BWI34" s="88"/>
      <c r="BWJ34" s="88"/>
      <c r="BWK34" s="88"/>
      <c r="BWL34" s="88"/>
      <c r="BWM34" s="88"/>
      <c r="BWN34" s="88"/>
      <c r="BWO34" s="88"/>
      <c r="BWP34" s="88"/>
      <c r="BWQ34" s="88"/>
      <c r="BWR34" s="88"/>
      <c r="BWS34" s="88"/>
      <c r="BWT34" s="88"/>
      <c r="BWU34" s="88"/>
      <c r="BWV34" s="88"/>
      <c r="BWW34" s="88"/>
      <c r="BWX34" s="88"/>
      <c r="BWY34" s="88"/>
      <c r="BWZ34" s="88"/>
      <c r="BXA34" s="88"/>
      <c r="BXB34" s="88"/>
      <c r="BXC34" s="88"/>
      <c r="BXD34" s="88"/>
      <c r="BXE34" s="88"/>
      <c r="BXF34" s="88"/>
      <c r="BXG34" s="88"/>
      <c r="BXH34" s="88"/>
      <c r="BXI34" s="88"/>
      <c r="BXJ34" s="88"/>
      <c r="BXK34" s="88"/>
      <c r="BXL34" s="88"/>
      <c r="BXM34" s="88"/>
      <c r="BXN34" s="88"/>
      <c r="BXO34" s="88"/>
      <c r="BXP34" s="88"/>
      <c r="BXQ34" s="88"/>
      <c r="BXR34" s="88"/>
      <c r="BXS34" s="88"/>
      <c r="BXT34" s="88"/>
      <c r="BXU34" s="88"/>
      <c r="BXV34" s="88"/>
      <c r="BXW34" s="88"/>
      <c r="BXX34" s="88"/>
      <c r="BXY34" s="88"/>
      <c r="BXZ34" s="88"/>
      <c r="BYA34" s="88"/>
      <c r="BYB34" s="88"/>
      <c r="BYC34" s="88"/>
      <c r="BYD34" s="88"/>
      <c r="BYE34" s="88"/>
      <c r="BYF34" s="88"/>
      <c r="BYG34" s="88"/>
      <c r="BYH34" s="88"/>
      <c r="BYI34" s="88"/>
      <c r="BYJ34" s="88"/>
      <c r="BYK34" s="88"/>
      <c r="BYL34" s="88"/>
      <c r="BYM34" s="88"/>
      <c r="BYN34" s="88"/>
      <c r="BYO34" s="88"/>
      <c r="BYP34" s="88"/>
      <c r="BYQ34" s="88"/>
      <c r="BYR34" s="88"/>
      <c r="BYS34" s="88"/>
      <c r="BYT34" s="88"/>
      <c r="BYU34" s="88"/>
      <c r="BYV34" s="88"/>
      <c r="BYW34" s="88"/>
      <c r="BYX34" s="88"/>
      <c r="BYY34" s="88"/>
      <c r="BYZ34" s="88"/>
      <c r="BZA34" s="88"/>
      <c r="BZB34" s="88"/>
      <c r="BZC34" s="88"/>
      <c r="BZD34" s="88"/>
      <c r="BZE34" s="88"/>
      <c r="BZF34" s="88"/>
      <c r="BZG34" s="88"/>
      <c r="BZH34" s="88"/>
      <c r="BZI34" s="88"/>
      <c r="BZJ34" s="88"/>
      <c r="BZK34" s="88"/>
      <c r="BZL34" s="88"/>
      <c r="BZM34" s="88"/>
      <c r="BZN34" s="88"/>
      <c r="BZO34" s="88"/>
      <c r="BZP34" s="88"/>
      <c r="BZQ34" s="88"/>
      <c r="BZR34" s="88"/>
      <c r="BZS34" s="88"/>
      <c r="BZT34" s="88"/>
      <c r="BZU34" s="88"/>
      <c r="BZV34" s="88"/>
      <c r="BZW34" s="88"/>
      <c r="BZX34" s="88"/>
      <c r="BZY34" s="88"/>
      <c r="BZZ34" s="88"/>
      <c r="CAA34" s="88"/>
      <c r="CAB34" s="88"/>
      <c r="CAC34" s="88"/>
      <c r="CAD34" s="88"/>
      <c r="CAE34" s="88"/>
      <c r="CAF34" s="88"/>
      <c r="CAG34" s="88"/>
      <c r="CAH34" s="88"/>
      <c r="CAI34" s="88"/>
      <c r="CAJ34" s="88"/>
      <c r="CAK34" s="88"/>
      <c r="CAL34" s="88"/>
      <c r="CAM34" s="88"/>
      <c r="CAN34" s="88"/>
      <c r="CAO34" s="88"/>
      <c r="CAP34" s="88"/>
      <c r="CAQ34" s="88"/>
      <c r="CAR34" s="88"/>
      <c r="CAS34" s="88"/>
      <c r="CAT34" s="88"/>
      <c r="CAU34" s="88"/>
      <c r="CAV34" s="88"/>
      <c r="CAW34" s="88"/>
      <c r="CAX34" s="88"/>
      <c r="CAY34" s="88"/>
      <c r="CAZ34" s="88"/>
      <c r="CBA34" s="88"/>
      <c r="CBB34" s="88"/>
      <c r="CBC34" s="88"/>
      <c r="CBD34" s="88"/>
      <c r="CBE34" s="88"/>
      <c r="CBF34" s="88"/>
      <c r="CBG34" s="88"/>
      <c r="CBH34" s="88"/>
      <c r="CBI34" s="88"/>
      <c r="CBJ34" s="88"/>
      <c r="CBK34" s="88"/>
      <c r="CBL34" s="88"/>
      <c r="CBM34" s="88"/>
      <c r="CBN34" s="88"/>
      <c r="CBO34" s="88"/>
      <c r="CBP34" s="88"/>
      <c r="CBQ34" s="88"/>
      <c r="CBR34" s="88"/>
      <c r="CBS34" s="88"/>
      <c r="CBT34" s="88"/>
      <c r="CBU34" s="88"/>
      <c r="CBV34" s="88"/>
      <c r="CBW34" s="88"/>
      <c r="CBX34" s="88"/>
      <c r="CBY34" s="88"/>
      <c r="CBZ34" s="88"/>
      <c r="CCA34" s="88"/>
      <c r="CCB34" s="88"/>
      <c r="CCC34" s="88"/>
      <c r="CCD34" s="88"/>
      <c r="CCE34" s="88"/>
      <c r="CCF34" s="88"/>
      <c r="CCG34" s="88"/>
      <c r="CCH34" s="88"/>
      <c r="CCI34" s="88"/>
      <c r="CCJ34" s="88"/>
      <c r="CCK34" s="88"/>
      <c r="CCL34" s="88"/>
      <c r="CCM34" s="88"/>
      <c r="CCN34" s="88"/>
      <c r="CCO34" s="88"/>
      <c r="CCP34" s="88"/>
      <c r="CCQ34" s="88"/>
      <c r="CCR34" s="88"/>
      <c r="CCS34" s="88"/>
      <c r="CCT34" s="88"/>
      <c r="CCU34" s="88"/>
      <c r="CCV34" s="88"/>
      <c r="CCW34" s="88"/>
      <c r="CCX34" s="88"/>
      <c r="CCY34" s="88"/>
      <c r="CCZ34" s="88"/>
      <c r="CDA34" s="88"/>
      <c r="CDB34" s="88"/>
      <c r="CDC34" s="88"/>
      <c r="CDD34" s="88"/>
      <c r="CDE34" s="88"/>
      <c r="CDF34" s="88"/>
      <c r="CDG34" s="88"/>
      <c r="CDH34" s="88"/>
      <c r="CDI34" s="88"/>
      <c r="CDJ34" s="88"/>
      <c r="CDK34" s="88"/>
      <c r="CDL34" s="88"/>
      <c r="CDM34" s="88"/>
      <c r="CDN34" s="88"/>
      <c r="CDO34" s="88"/>
      <c r="CDP34" s="88"/>
      <c r="CDQ34" s="88"/>
      <c r="CDR34" s="88"/>
      <c r="CDS34" s="88"/>
      <c r="CDT34" s="88"/>
      <c r="CDU34" s="88"/>
      <c r="CDV34" s="88"/>
      <c r="CDW34" s="88"/>
      <c r="CDX34" s="88"/>
      <c r="CDY34" s="88"/>
      <c r="CDZ34" s="88"/>
      <c r="CEA34" s="88"/>
      <c r="CEB34" s="88"/>
      <c r="CEC34" s="88"/>
      <c r="CED34" s="88"/>
      <c r="CEE34" s="88"/>
      <c r="CEF34" s="88"/>
      <c r="CEG34" s="88"/>
      <c r="CEH34" s="88"/>
      <c r="CEI34" s="88"/>
      <c r="CEJ34" s="88"/>
      <c r="CEK34" s="88"/>
    </row>
    <row r="35" spans="1:2169" s="63" customFormat="1">
      <c r="A35" s="68" t="s">
        <v>410</v>
      </c>
      <c r="B35" s="73" t="s">
        <v>69</v>
      </c>
      <c r="C35" s="68" t="str">
        <f>IF('page 2'!$O$4="","",IF('page 2'!$O$4=Gestion!A35,1,0))</f>
        <v/>
      </c>
      <c r="D35" s="68" t="str">
        <f>IF('page 2'!$O$5="","",IF('page 2'!$O$5=Gestion!A35,1,0))</f>
        <v/>
      </c>
      <c r="E35" s="68" t="str">
        <f>IF('page 2'!$O$6="","",IF('page 2'!$O$6=Gestion!A35,1,0))</f>
        <v/>
      </c>
      <c r="F35" s="68" t="str">
        <f>IF('page 2'!$O$7="","",IF('page 2'!$O$7=Gestion!A35,1,0))</f>
        <v/>
      </c>
      <c r="G35" s="68" t="str">
        <f>IF('page 2'!$O$8="","",IF('page 2'!$O$8=Gestion!A35,1,0))</f>
        <v/>
      </c>
      <c r="H35" s="68" t="str">
        <f>IF('page 2'!$O$9="","",IF('page 2'!$O$9=Gestion!A35,1,0))</f>
        <v/>
      </c>
      <c r="I35" s="68" t="str">
        <f>IF('page 2'!$O$10="","",IF('page 2'!$O$10=Gestion!A35,1,0))</f>
        <v/>
      </c>
      <c r="J35" s="68" t="str">
        <f>IF('page 2'!$O$11="","",IF('page 2'!$O$11=Gestion!A35,1,0))</f>
        <v/>
      </c>
      <c r="K35" s="68" t="str">
        <f>IF('page 2'!$O$12="","",IF('page 2'!$O$12=Gestion!A35,1,0))</f>
        <v/>
      </c>
      <c r="L35" s="68" t="str">
        <f>IF('page 2'!$O$13="","",IF('page 2'!$O$13=Gestion!A35,1,0))</f>
        <v/>
      </c>
      <c r="M35" s="68" t="str">
        <f>IF('page 2'!$O$14="","",IF('page 2'!$O$14=Gestion!A35,1,0))</f>
        <v/>
      </c>
      <c r="N35" s="68" t="str">
        <f>IF('page 2'!$O$15="","",IF('page 2'!$O$15=Gestion!A35,1,0))</f>
        <v/>
      </c>
      <c r="O35" s="68" t="str">
        <f>IF('page 2'!$O$16="","",IF('page 2'!$O$16=Gestion!A35,1,0))</f>
        <v/>
      </c>
      <c r="P35" s="68" t="str">
        <f>IF('page 2'!$O$17="","",IF('page 2'!$O$17=Gestion!A35,1,0))</f>
        <v/>
      </c>
      <c r="Q35" s="68" t="str">
        <f>IF('page 2'!$O$18="","",IF('page 2'!$O$18=Gestion!A35,1,0))</f>
        <v/>
      </c>
      <c r="R35" s="68" t="str">
        <f>IF('page 2'!$O$19="","",IF('page 2'!$O$19=Gestion!A35,1,0))</f>
        <v/>
      </c>
      <c r="S35" s="68" t="str">
        <f>IF('page 2'!$O$20="","",IF('page 2'!$O$20=Gestion!A35,1,0))</f>
        <v/>
      </c>
      <c r="T35" s="68" t="str">
        <f>IF('page 2'!$O$25="","",IF('page 2'!$O$25=Gestion!A35,1,0))</f>
        <v/>
      </c>
      <c r="U35" s="68" t="str">
        <f>IF('page 2'!$O$26="","",IF('page 2'!$O$26=Gestion!A35,1,0))</f>
        <v/>
      </c>
      <c r="V35" s="68" t="str">
        <f>IF('page 2'!$O$27="","",IF('page 2'!$O$27=Gestion!A35,1,0))</f>
        <v/>
      </c>
      <c r="W35" s="722">
        <f t="shared" si="0"/>
        <v>0</v>
      </c>
      <c r="X35" s="714"/>
      <c r="Y35" s="68"/>
      <c r="Z35" s="68"/>
      <c r="AA35" s="68"/>
      <c r="AB35" s="68"/>
      <c r="AC35" s="68"/>
      <c r="AD35" s="68"/>
      <c r="AP35" s="130"/>
      <c r="AQ35" s="130"/>
      <c r="AR35" s="130"/>
      <c r="AS35" s="576"/>
      <c r="AT35" s="576"/>
      <c r="AU35" s="576"/>
      <c r="AV35" s="576"/>
      <c r="AW35" s="602"/>
      <c r="AX35" s="602"/>
      <c r="AY35" s="576"/>
      <c r="AZ35" s="576"/>
      <c r="BA35" s="576"/>
      <c r="BB35" s="576"/>
      <c r="BC35" s="576"/>
      <c r="BD35" s="602"/>
      <c r="BE35" s="602"/>
      <c r="BF35" s="602"/>
      <c r="BG35" s="602"/>
      <c r="BH35" s="602"/>
      <c r="BI35" s="602"/>
      <c r="BJ35" s="602"/>
      <c r="BK35" s="602"/>
      <c r="BL35" s="602"/>
      <c r="BM35" s="602"/>
      <c r="BN35" s="602"/>
      <c r="BO35" s="602"/>
      <c r="BP35" s="602"/>
      <c r="BQ35" s="602"/>
      <c r="BR35" s="602"/>
      <c r="BS35" s="576"/>
      <c r="BT35" s="576"/>
      <c r="BU35" s="576"/>
      <c r="BV35" s="576"/>
      <c r="BW35" s="602"/>
      <c r="BX35" s="602"/>
      <c r="BY35" s="602"/>
      <c r="BZ35" s="576"/>
      <c r="CA35" s="602"/>
      <c r="CB35" s="602"/>
      <c r="CC35" s="576"/>
      <c r="CD35" s="469"/>
      <c r="CE35" s="602"/>
      <c r="CF35" s="576"/>
      <c r="CG35" s="576"/>
      <c r="CH35" s="576"/>
      <c r="CI35" s="576"/>
      <c r="CJ35" s="576"/>
      <c r="CK35" s="602"/>
      <c r="CL35" s="602"/>
      <c r="CM35" s="576"/>
      <c r="CN35" s="602"/>
      <c r="CO35" s="602"/>
      <c r="CP35" s="602"/>
      <c r="CQ35" s="576"/>
      <c r="CR35" s="576"/>
      <c r="CS35" s="602"/>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c r="SK35" s="88"/>
      <c r="SL35" s="88"/>
      <c r="SM35" s="88"/>
      <c r="SN35" s="88"/>
      <c r="SO35" s="88"/>
      <c r="SP35" s="88"/>
      <c r="SQ35" s="88"/>
      <c r="SR35" s="88"/>
      <c r="SS35" s="88"/>
      <c r="ST35" s="88"/>
      <c r="SU35" s="88"/>
      <c r="SV35" s="88"/>
      <c r="SW35" s="88"/>
      <c r="SX35" s="88"/>
      <c r="SY35" s="88"/>
      <c r="SZ35" s="88"/>
      <c r="TA35" s="88"/>
      <c r="TB35" s="88"/>
      <c r="TC35" s="88"/>
      <c r="TD35" s="88"/>
      <c r="TE35" s="88"/>
      <c r="TF35" s="88"/>
      <c r="TG35" s="88"/>
      <c r="TH35" s="88"/>
      <c r="TI35" s="88"/>
      <c r="TJ35" s="88"/>
      <c r="TK35" s="88"/>
      <c r="TL35" s="88"/>
      <c r="TM35" s="88"/>
      <c r="TN35" s="88"/>
      <c r="TO35" s="88"/>
      <c r="TP35" s="88"/>
      <c r="TQ35" s="88"/>
      <c r="TR35" s="88"/>
      <c r="TS35" s="88"/>
      <c r="TT35" s="88"/>
      <c r="TU35" s="88"/>
      <c r="TV35" s="88"/>
      <c r="TW35" s="88"/>
      <c r="TX35" s="88"/>
      <c r="TY35" s="88"/>
      <c r="TZ35" s="88"/>
      <c r="UA35" s="88"/>
      <c r="UB35" s="88"/>
      <c r="UC35" s="88"/>
      <c r="UD35" s="88"/>
      <c r="UE35" s="88"/>
      <c r="UF35" s="88"/>
      <c r="UG35" s="88"/>
      <c r="UH35" s="88"/>
      <c r="UI35" s="88"/>
      <c r="UJ35" s="88"/>
      <c r="UK35" s="88"/>
      <c r="UL35" s="88"/>
      <c r="UM35" s="88"/>
      <c r="UN35" s="88"/>
      <c r="UO35" s="88"/>
      <c r="UP35" s="88"/>
      <c r="UQ35" s="88"/>
      <c r="UR35" s="88"/>
      <c r="US35" s="88"/>
      <c r="UT35" s="88"/>
      <c r="UU35" s="88"/>
      <c r="UV35" s="88"/>
      <c r="UW35" s="88"/>
      <c r="UX35" s="88"/>
      <c r="UY35" s="88"/>
      <c r="UZ35" s="88"/>
      <c r="VA35" s="88"/>
      <c r="VB35" s="88"/>
      <c r="VC35" s="88"/>
      <c r="VD35" s="88"/>
      <c r="VE35" s="88"/>
      <c r="VF35" s="88"/>
      <c r="VG35" s="88"/>
      <c r="VH35" s="88"/>
      <c r="VI35" s="88"/>
      <c r="VJ35" s="88"/>
      <c r="VK35" s="88"/>
      <c r="VL35" s="88"/>
      <c r="VM35" s="88"/>
      <c r="VN35" s="88"/>
      <c r="VO35" s="88"/>
      <c r="VP35" s="88"/>
      <c r="VQ35" s="88"/>
      <c r="VR35" s="88"/>
      <c r="VS35" s="88"/>
      <c r="VT35" s="88"/>
      <c r="VU35" s="88"/>
      <c r="VV35" s="88"/>
      <c r="VW35" s="88"/>
      <c r="VX35" s="88"/>
      <c r="VY35" s="88"/>
      <c r="VZ35" s="88"/>
      <c r="WA35" s="88"/>
      <c r="WB35" s="88"/>
      <c r="WC35" s="88"/>
      <c r="WD35" s="88"/>
      <c r="WE35" s="88"/>
      <c r="WF35" s="88"/>
      <c r="WG35" s="88"/>
      <c r="WH35" s="88"/>
      <c r="WI35" s="88"/>
      <c r="WJ35" s="88"/>
      <c r="WK35" s="88"/>
      <c r="WL35" s="88"/>
      <c r="WM35" s="88"/>
      <c r="WN35" s="88"/>
      <c r="WO35" s="88"/>
      <c r="WP35" s="88"/>
      <c r="WQ35" s="88"/>
      <c r="WR35" s="88"/>
      <c r="WS35" s="88"/>
      <c r="WT35" s="88"/>
      <c r="WU35" s="88"/>
      <c r="WV35" s="88"/>
      <c r="WW35" s="88"/>
      <c r="WX35" s="88"/>
      <c r="WY35" s="88"/>
      <c r="WZ35" s="88"/>
      <c r="XA35" s="88"/>
      <c r="XB35" s="88"/>
      <c r="XC35" s="88"/>
      <c r="XD35" s="88"/>
      <c r="XE35" s="88"/>
      <c r="XF35" s="88"/>
      <c r="XG35" s="88"/>
      <c r="XH35" s="88"/>
      <c r="XI35" s="88"/>
      <c r="XJ35" s="88"/>
      <c r="XK35" s="88"/>
      <c r="XL35" s="88"/>
      <c r="XM35" s="88"/>
      <c r="XN35" s="88"/>
      <c r="XO35" s="88"/>
      <c r="XP35" s="88"/>
      <c r="XQ35" s="88"/>
      <c r="XR35" s="88"/>
      <c r="XS35" s="88"/>
      <c r="XT35" s="88"/>
      <c r="XU35" s="88"/>
      <c r="XV35" s="88"/>
      <c r="XW35" s="88"/>
      <c r="XX35" s="88"/>
      <c r="XY35" s="88"/>
      <c r="XZ35" s="88"/>
      <c r="YA35" s="88"/>
      <c r="YB35" s="88"/>
      <c r="YC35" s="88"/>
      <c r="YD35" s="88"/>
      <c r="YE35" s="88"/>
      <c r="YF35" s="88"/>
      <c r="YG35" s="88"/>
      <c r="YH35" s="88"/>
      <c r="YI35" s="88"/>
      <c r="YJ35" s="88"/>
      <c r="YK35" s="88"/>
      <c r="YL35" s="88"/>
      <c r="YM35" s="88"/>
      <c r="YN35" s="88"/>
      <c r="YO35" s="88"/>
      <c r="YP35" s="88"/>
      <c r="YQ35" s="88"/>
      <c r="YR35" s="88"/>
      <c r="YS35" s="88"/>
      <c r="YT35" s="88"/>
      <c r="YU35" s="88"/>
      <c r="YV35" s="88"/>
      <c r="YW35" s="88"/>
      <c r="YX35" s="88"/>
      <c r="YY35" s="88"/>
      <c r="YZ35" s="88"/>
      <c r="ZA35" s="88"/>
      <c r="ZB35" s="88"/>
      <c r="ZC35" s="88"/>
      <c r="ZD35" s="88"/>
      <c r="ZE35" s="88"/>
      <c r="ZF35" s="88"/>
      <c r="ZG35" s="88"/>
      <c r="ZH35" s="88"/>
      <c r="ZI35" s="88"/>
      <c r="ZJ35" s="88"/>
      <c r="ZK35" s="88"/>
      <c r="ZL35" s="88"/>
      <c r="ZM35" s="88"/>
      <c r="ZN35" s="88"/>
      <c r="ZO35" s="88"/>
      <c r="ZP35" s="88"/>
      <c r="ZQ35" s="88"/>
      <c r="ZR35" s="88"/>
      <c r="ZS35" s="88"/>
      <c r="ZT35" s="88"/>
      <c r="ZU35" s="88"/>
      <c r="ZV35" s="88"/>
      <c r="ZW35" s="88"/>
      <c r="ZX35" s="88"/>
      <c r="ZY35" s="88"/>
      <c r="ZZ35" s="88"/>
      <c r="AAA35" s="88"/>
      <c r="AAB35" s="88"/>
      <c r="AAC35" s="88"/>
      <c r="AAD35" s="88"/>
      <c r="AAE35" s="88"/>
      <c r="AAF35" s="88"/>
      <c r="AAG35" s="88"/>
      <c r="AAH35" s="88"/>
      <c r="AAI35" s="88"/>
      <c r="AAJ35" s="88"/>
      <c r="AAK35" s="88"/>
      <c r="AAL35" s="88"/>
      <c r="AAM35" s="88"/>
      <c r="AAN35" s="88"/>
      <c r="AAO35" s="88"/>
      <c r="AAP35" s="88"/>
      <c r="AAQ35" s="88"/>
      <c r="AAR35" s="88"/>
      <c r="AAS35" s="88"/>
      <c r="AAT35" s="88"/>
      <c r="AAU35" s="88"/>
      <c r="AAV35" s="88"/>
      <c r="AAW35" s="88"/>
      <c r="AAX35" s="88"/>
      <c r="AAY35" s="88"/>
      <c r="AAZ35" s="88"/>
      <c r="ABA35" s="88"/>
      <c r="ABB35" s="88"/>
      <c r="ABC35" s="88"/>
      <c r="ABD35" s="88"/>
      <c r="ABE35" s="88"/>
      <c r="ABF35" s="88"/>
      <c r="ABG35" s="88"/>
      <c r="ABH35" s="88"/>
      <c r="ABI35" s="88"/>
      <c r="ABJ35" s="88"/>
      <c r="ABK35" s="88"/>
      <c r="ABL35" s="88"/>
      <c r="ABM35" s="88"/>
      <c r="ABN35" s="88"/>
      <c r="ABO35" s="88"/>
      <c r="ABP35" s="88"/>
      <c r="ABQ35" s="88"/>
      <c r="ABR35" s="88"/>
      <c r="ABS35" s="88"/>
      <c r="ABT35" s="88"/>
      <c r="ABU35" s="88"/>
      <c r="ABV35" s="88"/>
      <c r="ABW35" s="88"/>
      <c r="ABX35" s="88"/>
      <c r="ABY35" s="88"/>
      <c r="ABZ35" s="88"/>
      <c r="ACA35" s="88"/>
      <c r="ACB35" s="88"/>
      <c r="ACC35" s="88"/>
      <c r="ACD35" s="88"/>
      <c r="ACE35" s="88"/>
      <c r="ACF35" s="88"/>
      <c r="ACG35" s="88"/>
      <c r="ACH35" s="88"/>
      <c r="ACI35" s="88"/>
      <c r="ACJ35" s="88"/>
      <c r="ACK35" s="88"/>
      <c r="ACL35" s="88"/>
      <c r="ACM35" s="88"/>
      <c r="ACN35" s="88"/>
      <c r="ACO35" s="88"/>
      <c r="ACP35" s="88"/>
      <c r="ACQ35" s="88"/>
      <c r="ACR35" s="88"/>
      <c r="ACS35" s="88"/>
      <c r="ACT35" s="88"/>
      <c r="ACU35" s="88"/>
      <c r="ACV35" s="88"/>
      <c r="ACW35" s="88"/>
      <c r="ACX35" s="88"/>
      <c r="ACY35" s="88"/>
      <c r="ACZ35" s="88"/>
      <c r="ADA35" s="88"/>
      <c r="ADB35" s="88"/>
      <c r="ADC35" s="88"/>
      <c r="ADD35" s="88"/>
      <c r="ADE35" s="88"/>
      <c r="ADF35" s="88"/>
      <c r="ADG35" s="88"/>
      <c r="ADH35" s="88"/>
      <c r="ADI35" s="88"/>
      <c r="ADJ35" s="88"/>
      <c r="ADK35" s="88"/>
      <c r="ADL35" s="88"/>
      <c r="ADM35" s="88"/>
      <c r="ADN35" s="88"/>
      <c r="ADO35" s="88"/>
      <c r="ADP35" s="88"/>
      <c r="ADQ35" s="88"/>
      <c r="ADR35" s="88"/>
      <c r="ADS35" s="88"/>
      <c r="ADT35" s="88"/>
      <c r="ADU35" s="88"/>
      <c r="ADV35" s="88"/>
      <c r="ADW35" s="88"/>
      <c r="ADX35" s="88"/>
      <c r="ADY35" s="88"/>
      <c r="ADZ35" s="88"/>
      <c r="AEA35" s="88"/>
      <c r="AEB35" s="88"/>
      <c r="AEC35" s="88"/>
      <c r="AED35" s="88"/>
      <c r="AEE35" s="88"/>
      <c r="AEF35" s="88"/>
      <c r="AEG35" s="88"/>
      <c r="AEH35" s="88"/>
      <c r="AEI35" s="88"/>
      <c r="AEJ35" s="88"/>
      <c r="AEK35" s="88"/>
      <c r="AEL35" s="88"/>
      <c r="AEM35" s="88"/>
      <c r="AEN35" s="88"/>
      <c r="AEO35" s="88"/>
      <c r="AEP35" s="88"/>
      <c r="AEQ35" s="88"/>
      <c r="AER35" s="88"/>
      <c r="AES35" s="88"/>
      <c r="AET35" s="88"/>
      <c r="AEU35" s="88"/>
      <c r="AEV35" s="88"/>
      <c r="AEW35" s="88"/>
      <c r="AEX35" s="88"/>
      <c r="AEY35" s="88"/>
      <c r="AEZ35" s="88"/>
      <c r="AFA35" s="88"/>
      <c r="AFB35" s="88"/>
      <c r="AFC35" s="88"/>
      <c r="AFD35" s="88"/>
      <c r="AFE35" s="88"/>
      <c r="AFF35" s="88"/>
      <c r="AFG35" s="88"/>
      <c r="AFH35" s="88"/>
      <c r="AFI35" s="88"/>
      <c r="AFJ35" s="88"/>
      <c r="AFK35" s="88"/>
      <c r="AFL35" s="88"/>
      <c r="AFM35" s="88"/>
      <c r="AFN35" s="88"/>
      <c r="AFO35" s="88"/>
      <c r="AFP35" s="88"/>
      <c r="AFQ35" s="88"/>
      <c r="AFR35" s="88"/>
      <c r="AFS35" s="88"/>
      <c r="AFT35" s="88"/>
      <c r="AFU35" s="88"/>
      <c r="AFV35" s="88"/>
      <c r="AFW35" s="88"/>
      <c r="AFX35" s="88"/>
      <c r="AFY35" s="88"/>
      <c r="AFZ35" s="88"/>
      <c r="AGA35" s="88"/>
      <c r="AGB35" s="88"/>
      <c r="AGC35" s="88"/>
      <c r="AGD35" s="88"/>
      <c r="AGE35" s="88"/>
      <c r="AGF35" s="88"/>
      <c r="AGG35" s="88"/>
      <c r="AGH35" s="88"/>
      <c r="AGI35" s="88"/>
      <c r="AGJ35" s="88"/>
      <c r="AGK35" s="88"/>
      <c r="AGL35" s="88"/>
      <c r="AGM35" s="88"/>
      <c r="AGN35" s="88"/>
      <c r="AGO35" s="88"/>
      <c r="AGP35" s="88"/>
      <c r="AGQ35" s="88"/>
      <c r="AGR35" s="88"/>
      <c r="AGS35" s="88"/>
      <c r="AGT35" s="88"/>
      <c r="AGU35" s="88"/>
      <c r="AGV35" s="88"/>
      <c r="AGW35" s="88"/>
      <c r="AGX35" s="88"/>
      <c r="AGY35" s="88"/>
      <c r="AGZ35" s="88"/>
      <c r="AHA35" s="88"/>
      <c r="AHB35" s="88"/>
      <c r="AHC35" s="88"/>
      <c r="AHD35" s="88"/>
      <c r="AHE35" s="88"/>
      <c r="AHF35" s="88"/>
      <c r="AHG35" s="88"/>
      <c r="AHH35" s="88"/>
      <c r="AHI35" s="88"/>
      <c r="AHJ35" s="88"/>
      <c r="AHK35" s="88"/>
      <c r="AHL35" s="88"/>
      <c r="AHM35" s="88"/>
      <c r="AHN35" s="88"/>
      <c r="AHO35" s="88"/>
      <c r="AHP35" s="88"/>
      <c r="AHQ35" s="88"/>
      <c r="AHR35" s="88"/>
      <c r="AHS35" s="88"/>
      <c r="AHT35" s="88"/>
      <c r="AHU35" s="88"/>
      <c r="AHV35" s="88"/>
      <c r="AHW35" s="88"/>
      <c r="AHX35" s="88"/>
      <c r="AHY35" s="88"/>
      <c r="AHZ35" s="88"/>
      <c r="AIA35" s="88"/>
      <c r="AIB35" s="88"/>
      <c r="AIC35" s="88"/>
      <c r="AID35" s="88"/>
      <c r="AIE35" s="88"/>
      <c r="AIF35" s="88"/>
      <c r="AIG35" s="88"/>
      <c r="AIH35" s="88"/>
      <c r="AII35" s="88"/>
      <c r="AIJ35" s="88"/>
      <c r="AIK35" s="88"/>
      <c r="AIL35" s="88"/>
      <c r="AIM35" s="88"/>
      <c r="AIN35" s="88"/>
      <c r="AIO35" s="88"/>
      <c r="AIP35" s="88"/>
      <c r="AIQ35" s="88"/>
      <c r="AIR35" s="88"/>
      <c r="AIS35" s="88"/>
      <c r="AIT35" s="88"/>
      <c r="AIU35" s="88"/>
      <c r="AIV35" s="88"/>
      <c r="AIW35" s="88"/>
      <c r="AIX35" s="88"/>
      <c r="AIY35" s="88"/>
      <c r="AIZ35" s="88"/>
      <c r="AJA35" s="88"/>
      <c r="AJB35" s="88"/>
      <c r="AJC35" s="88"/>
      <c r="AJD35" s="88"/>
      <c r="AJE35" s="88"/>
      <c r="AJF35" s="88"/>
      <c r="AJG35" s="88"/>
      <c r="AJH35" s="88"/>
      <c r="AJI35" s="88"/>
      <c r="AJJ35" s="88"/>
      <c r="AJK35" s="88"/>
      <c r="AJL35" s="88"/>
      <c r="AJM35" s="88"/>
      <c r="AJN35" s="88"/>
      <c r="AJO35" s="88"/>
      <c r="AJP35" s="88"/>
      <c r="AJQ35" s="88"/>
      <c r="AJR35" s="88"/>
      <c r="AJS35" s="88"/>
      <c r="AJT35" s="88"/>
      <c r="AJU35" s="88"/>
      <c r="AJV35" s="88"/>
      <c r="AJW35" s="88"/>
      <c r="AJX35" s="88"/>
      <c r="AJY35" s="88"/>
      <c r="AJZ35" s="88"/>
      <c r="AKA35" s="88"/>
      <c r="AKB35" s="88"/>
      <c r="AKC35" s="88"/>
      <c r="AKD35" s="88"/>
      <c r="AKE35" s="88"/>
      <c r="AKF35" s="88"/>
      <c r="AKG35" s="88"/>
      <c r="AKH35" s="88"/>
      <c r="AKI35" s="88"/>
      <c r="AKJ35" s="88"/>
      <c r="AKK35" s="88"/>
      <c r="AKL35" s="88"/>
      <c r="AKM35" s="88"/>
      <c r="AKN35" s="88"/>
      <c r="AKO35" s="88"/>
      <c r="AKP35" s="88"/>
      <c r="AKQ35" s="88"/>
      <c r="AKR35" s="88"/>
      <c r="AKS35" s="88"/>
      <c r="AKT35" s="88"/>
      <c r="AKU35" s="88"/>
      <c r="AKV35" s="88"/>
      <c r="AKW35" s="88"/>
      <c r="AKX35" s="88"/>
      <c r="AKY35" s="88"/>
      <c r="AKZ35" s="88"/>
      <c r="ALA35" s="88"/>
      <c r="ALB35" s="88"/>
      <c r="ALC35" s="88"/>
      <c r="ALD35" s="88"/>
      <c r="ALE35" s="88"/>
      <c r="ALF35" s="88"/>
      <c r="ALG35" s="88"/>
      <c r="ALH35" s="88"/>
      <c r="ALI35" s="88"/>
      <c r="ALJ35" s="88"/>
      <c r="ALK35" s="88"/>
      <c r="ALL35" s="88"/>
      <c r="ALM35" s="88"/>
      <c r="ALN35" s="88"/>
      <c r="ALO35" s="88"/>
      <c r="ALP35" s="88"/>
      <c r="ALQ35" s="88"/>
      <c r="ALR35" s="88"/>
      <c r="ALS35" s="88"/>
      <c r="ALT35" s="88"/>
      <c r="ALU35" s="88"/>
      <c r="ALV35" s="88"/>
      <c r="ALW35" s="88"/>
      <c r="ALX35" s="88"/>
      <c r="ALY35" s="88"/>
      <c r="ALZ35" s="88"/>
      <c r="AMA35" s="88"/>
      <c r="AMB35" s="88"/>
      <c r="AMC35" s="88"/>
      <c r="AMD35" s="88"/>
      <c r="AME35" s="88"/>
      <c r="AMF35" s="88"/>
      <c r="AMG35" s="88"/>
      <c r="AMH35" s="88"/>
      <c r="AMI35" s="88"/>
      <c r="AMJ35" s="88"/>
      <c r="AMK35" s="88"/>
      <c r="AML35" s="88"/>
      <c r="AMM35" s="88"/>
      <c r="AMN35" s="88"/>
      <c r="AMO35" s="88"/>
      <c r="AMP35" s="88"/>
      <c r="AMQ35" s="88"/>
      <c r="AMR35" s="88"/>
      <c r="AMS35" s="88"/>
      <c r="AMT35" s="88"/>
      <c r="AMU35" s="88"/>
      <c r="AMV35" s="88"/>
      <c r="AMW35" s="88"/>
      <c r="AMX35" s="88"/>
      <c r="AMY35" s="88"/>
      <c r="AMZ35" s="88"/>
      <c r="ANA35" s="88"/>
      <c r="ANB35" s="88"/>
      <c r="ANC35" s="88"/>
      <c r="AND35" s="88"/>
      <c r="ANE35" s="88"/>
      <c r="ANF35" s="88"/>
      <c r="ANG35" s="88"/>
      <c r="ANH35" s="88"/>
      <c r="ANI35" s="88"/>
      <c r="ANJ35" s="88"/>
      <c r="ANK35" s="88"/>
      <c r="ANL35" s="88"/>
      <c r="ANM35" s="88"/>
      <c r="ANN35" s="88"/>
      <c r="ANO35" s="88"/>
      <c r="ANP35" s="88"/>
      <c r="ANQ35" s="88"/>
      <c r="ANR35" s="88"/>
      <c r="ANS35" s="88"/>
      <c r="ANT35" s="88"/>
      <c r="ANU35" s="88"/>
      <c r="ANV35" s="88"/>
      <c r="ANW35" s="88"/>
      <c r="ANX35" s="88"/>
      <c r="ANY35" s="88"/>
      <c r="ANZ35" s="88"/>
      <c r="AOA35" s="88"/>
      <c r="AOB35" s="88"/>
      <c r="AOC35" s="88"/>
      <c r="AOD35" s="88"/>
      <c r="AOE35" s="88"/>
      <c r="AOF35" s="88"/>
      <c r="AOG35" s="88"/>
      <c r="AOH35" s="88"/>
      <c r="AOI35" s="88"/>
      <c r="AOJ35" s="88"/>
      <c r="AOK35" s="88"/>
      <c r="AOL35" s="88"/>
      <c r="AOM35" s="88"/>
      <c r="AON35" s="88"/>
      <c r="AOO35" s="88"/>
      <c r="AOP35" s="88"/>
      <c r="AOQ35" s="88"/>
      <c r="AOR35" s="88"/>
      <c r="AOS35" s="88"/>
      <c r="AOT35" s="88"/>
      <c r="AOU35" s="88"/>
      <c r="AOV35" s="88"/>
      <c r="AOW35" s="88"/>
      <c r="AOX35" s="88"/>
      <c r="AOY35" s="88"/>
      <c r="AOZ35" s="88"/>
      <c r="APA35" s="88"/>
      <c r="APB35" s="88"/>
      <c r="APC35" s="88"/>
      <c r="APD35" s="88"/>
      <c r="APE35" s="88"/>
      <c r="APF35" s="88"/>
      <c r="APG35" s="88"/>
      <c r="APH35" s="88"/>
      <c r="API35" s="88"/>
      <c r="APJ35" s="88"/>
      <c r="APK35" s="88"/>
      <c r="APL35" s="88"/>
      <c r="APM35" s="88"/>
      <c r="APN35" s="88"/>
      <c r="APO35" s="88"/>
      <c r="APP35" s="88"/>
      <c r="APQ35" s="88"/>
      <c r="APR35" s="88"/>
      <c r="APS35" s="88"/>
      <c r="APT35" s="88"/>
      <c r="APU35" s="88"/>
      <c r="APV35" s="88"/>
      <c r="APW35" s="88"/>
      <c r="APX35" s="88"/>
      <c r="APY35" s="88"/>
      <c r="APZ35" s="88"/>
      <c r="AQA35" s="88"/>
      <c r="AQB35" s="88"/>
      <c r="AQC35" s="88"/>
      <c r="AQD35" s="88"/>
      <c r="AQE35" s="88"/>
      <c r="AQF35" s="88"/>
      <c r="AQG35" s="88"/>
      <c r="AQH35" s="88"/>
      <c r="AQI35" s="88"/>
      <c r="AQJ35" s="88"/>
      <c r="AQK35" s="88"/>
      <c r="AQL35" s="88"/>
      <c r="AQM35" s="88"/>
      <c r="AQN35" s="88"/>
      <c r="AQO35" s="88"/>
      <c r="AQP35" s="88"/>
      <c r="AQQ35" s="88"/>
      <c r="AQR35" s="88"/>
      <c r="AQS35" s="88"/>
      <c r="AQT35" s="88"/>
      <c r="AQU35" s="88"/>
      <c r="AQV35" s="88"/>
      <c r="AQW35" s="88"/>
      <c r="AQX35" s="88"/>
      <c r="AQY35" s="88"/>
      <c r="AQZ35" s="88"/>
      <c r="ARA35" s="88"/>
      <c r="ARB35" s="88"/>
      <c r="ARC35" s="88"/>
      <c r="ARD35" s="88"/>
      <c r="ARE35" s="88"/>
      <c r="ARF35" s="88"/>
      <c r="ARG35" s="88"/>
      <c r="ARH35" s="88"/>
      <c r="ARI35" s="88"/>
      <c r="ARJ35" s="88"/>
      <c r="ARK35" s="88"/>
      <c r="ARL35" s="88"/>
      <c r="ARM35" s="88"/>
      <c r="ARN35" s="88"/>
      <c r="ARO35" s="88"/>
      <c r="ARP35" s="88"/>
      <c r="ARQ35" s="88"/>
      <c r="ARR35" s="88"/>
      <c r="ARS35" s="88"/>
      <c r="ART35" s="88"/>
      <c r="ARU35" s="88"/>
      <c r="ARV35" s="88"/>
      <c r="ARW35" s="88"/>
      <c r="ARX35" s="88"/>
      <c r="ARY35" s="88"/>
      <c r="ARZ35" s="88"/>
      <c r="ASA35" s="88"/>
      <c r="ASB35" s="88"/>
      <c r="ASC35" s="88"/>
      <c r="ASD35" s="88"/>
      <c r="ASE35" s="88"/>
      <c r="ASF35" s="88"/>
      <c r="ASG35" s="88"/>
      <c r="ASH35" s="88"/>
      <c r="ASI35" s="88"/>
      <c r="ASJ35" s="88"/>
      <c r="ASK35" s="88"/>
      <c r="ASL35" s="88"/>
      <c r="ASM35" s="88"/>
      <c r="ASN35" s="88"/>
      <c r="ASO35" s="88"/>
      <c r="ASP35" s="88"/>
      <c r="ASQ35" s="88"/>
      <c r="ASR35" s="88"/>
      <c r="ASS35" s="88"/>
      <c r="AST35" s="88"/>
      <c r="ASU35" s="88"/>
      <c r="ASV35" s="88"/>
      <c r="ASW35" s="88"/>
      <c r="ASX35" s="88"/>
      <c r="ASY35" s="88"/>
      <c r="ASZ35" s="88"/>
      <c r="ATA35" s="88"/>
      <c r="ATB35" s="88"/>
      <c r="ATC35" s="88"/>
      <c r="ATD35" s="88"/>
      <c r="ATE35" s="88"/>
      <c r="ATF35" s="88"/>
      <c r="ATG35" s="88"/>
      <c r="ATH35" s="88"/>
      <c r="ATI35" s="88"/>
      <c r="ATJ35" s="88"/>
      <c r="ATK35" s="88"/>
      <c r="ATL35" s="88"/>
      <c r="ATM35" s="88"/>
      <c r="ATN35" s="88"/>
      <c r="ATO35" s="88"/>
      <c r="ATP35" s="88"/>
      <c r="ATQ35" s="88"/>
      <c r="ATR35" s="88"/>
      <c r="ATS35" s="88"/>
      <c r="ATT35" s="88"/>
      <c r="ATU35" s="88"/>
      <c r="ATV35" s="88"/>
      <c r="ATW35" s="88"/>
      <c r="ATX35" s="88"/>
      <c r="ATY35" s="88"/>
      <c r="ATZ35" s="88"/>
      <c r="AUA35" s="88"/>
      <c r="AUB35" s="88"/>
      <c r="AUC35" s="88"/>
      <c r="AUD35" s="88"/>
      <c r="AUE35" s="88"/>
      <c r="AUF35" s="88"/>
      <c r="AUG35" s="88"/>
      <c r="AUH35" s="88"/>
      <c r="AUI35" s="88"/>
      <c r="AUJ35" s="88"/>
      <c r="AUK35" s="88"/>
      <c r="AUL35" s="88"/>
      <c r="AUM35" s="88"/>
      <c r="AUN35" s="88"/>
      <c r="AUO35" s="88"/>
      <c r="AUP35" s="88"/>
      <c r="AUQ35" s="88"/>
      <c r="AUR35" s="88"/>
      <c r="AUS35" s="88"/>
      <c r="AUT35" s="88"/>
      <c r="AUU35" s="88"/>
      <c r="AUV35" s="88"/>
      <c r="AUW35" s="88"/>
      <c r="AUX35" s="88"/>
      <c r="AUY35" s="88"/>
      <c r="AUZ35" s="88"/>
      <c r="AVA35" s="88"/>
      <c r="AVB35" s="88"/>
      <c r="AVC35" s="88"/>
      <c r="AVD35" s="88"/>
      <c r="AVE35" s="88"/>
      <c r="AVF35" s="88"/>
      <c r="AVG35" s="88"/>
      <c r="AVH35" s="88"/>
      <c r="AVI35" s="88"/>
      <c r="AVJ35" s="88"/>
      <c r="AVK35" s="88"/>
      <c r="AVL35" s="88"/>
      <c r="AVM35" s="88"/>
      <c r="AVN35" s="88"/>
      <c r="AVO35" s="88"/>
      <c r="AVP35" s="88"/>
      <c r="AVQ35" s="88"/>
      <c r="AVR35" s="88"/>
      <c r="AVS35" s="88"/>
      <c r="AVT35" s="88"/>
      <c r="AVU35" s="88"/>
      <c r="AVV35" s="88"/>
      <c r="AVW35" s="88"/>
      <c r="AVX35" s="88"/>
      <c r="AVY35" s="88"/>
      <c r="AVZ35" s="88"/>
      <c r="AWA35" s="88"/>
      <c r="AWB35" s="88"/>
      <c r="AWC35" s="88"/>
      <c r="AWD35" s="88"/>
      <c r="AWE35" s="88"/>
      <c r="AWF35" s="88"/>
      <c r="AWG35" s="88"/>
      <c r="AWH35" s="88"/>
      <c r="AWI35" s="88"/>
      <c r="AWJ35" s="88"/>
      <c r="AWK35" s="88"/>
      <c r="AWL35" s="88"/>
      <c r="AWM35" s="88"/>
      <c r="AWN35" s="88"/>
      <c r="AWO35" s="88"/>
      <c r="AWP35" s="88"/>
      <c r="AWQ35" s="88"/>
      <c r="AWR35" s="88"/>
      <c r="AWS35" s="88"/>
      <c r="AWT35" s="88"/>
      <c r="AWU35" s="88"/>
      <c r="AWV35" s="88"/>
      <c r="AWW35" s="88"/>
      <c r="AWX35" s="88"/>
      <c r="AWY35" s="88"/>
      <c r="AWZ35" s="88"/>
      <c r="AXA35" s="88"/>
      <c r="AXB35" s="88"/>
      <c r="AXC35" s="88"/>
      <c r="AXD35" s="88"/>
      <c r="AXE35" s="88"/>
      <c r="AXF35" s="88"/>
      <c r="AXG35" s="88"/>
      <c r="AXH35" s="88"/>
      <c r="AXI35" s="88"/>
      <c r="AXJ35" s="88"/>
      <c r="AXK35" s="88"/>
      <c r="AXL35" s="88"/>
      <c r="AXM35" s="88"/>
      <c r="AXN35" s="88"/>
      <c r="AXO35" s="88"/>
      <c r="AXP35" s="88"/>
      <c r="AXQ35" s="88"/>
      <c r="AXR35" s="88"/>
      <c r="AXS35" s="88"/>
      <c r="AXT35" s="88"/>
      <c r="AXU35" s="88"/>
      <c r="AXV35" s="88"/>
      <c r="AXW35" s="88"/>
      <c r="AXX35" s="88"/>
      <c r="AXY35" s="88"/>
      <c r="AXZ35" s="88"/>
      <c r="AYA35" s="88"/>
      <c r="AYB35" s="88"/>
      <c r="AYC35" s="88"/>
      <c r="AYD35" s="88"/>
      <c r="AYE35" s="88"/>
      <c r="AYF35" s="88"/>
      <c r="AYG35" s="88"/>
      <c r="AYH35" s="88"/>
      <c r="AYI35" s="88"/>
      <c r="AYJ35" s="88"/>
      <c r="AYK35" s="88"/>
      <c r="AYL35" s="88"/>
      <c r="AYM35" s="88"/>
      <c r="AYN35" s="88"/>
      <c r="AYO35" s="88"/>
      <c r="AYP35" s="88"/>
      <c r="AYQ35" s="88"/>
      <c r="AYR35" s="88"/>
      <c r="AYS35" s="88"/>
      <c r="AYT35" s="88"/>
      <c r="AYU35" s="88"/>
      <c r="AYV35" s="88"/>
      <c r="AYW35" s="88"/>
      <c r="AYX35" s="88"/>
      <c r="AYY35" s="88"/>
      <c r="AYZ35" s="88"/>
      <c r="AZA35" s="88"/>
      <c r="AZB35" s="88"/>
      <c r="AZC35" s="88"/>
      <c r="AZD35" s="88"/>
      <c r="AZE35" s="88"/>
      <c r="AZF35" s="88"/>
      <c r="AZG35" s="88"/>
      <c r="AZH35" s="88"/>
      <c r="AZI35" s="88"/>
      <c r="AZJ35" s="88"/>
      <c r="AZK35" s="88"/>
      <c r="AZL35" s="88"/>
      <c r="AZM35" s="88"/>
      <c r="AZN35" s="88"/>
      <c r="AZO35" s="88"/>
      <c r="AZP35" s="88"/>
      <c r="AZQ35" s="88"/>
      <c r="AZR35" s="88"/>
      <c r="AZS35" s="88"/>
      <c r="AZT35" s="88"/>
      <c r="AZU35" s="88"/>
      <c r="AZV35" s="88"/>
      <c r="AZW35" s="88"/>
      <c r="AZX35" s="88"/>
      <c r="AZY35" s="88"/>
      <c r="AZZ35" s="88"/>
      <c r="BAA35" s="88"/>
      <c r="BAB35" s="88"/>
      <c r="BAC35" s="88"/>
      <c r="BAD35" s="88"/>
      <c r="BAE35" s="88"/>
      <c r="BAF35" s="88"/>
      <c r="BAG35" s="88"/>
      <c r="BAH35" s="88"/>
      <c r="BAI35" s="88"/>
      <c r="BAJ35" s="88"/>
      <c r="BAK35" s="88"/>
      <c r="BAL35" s="88"/>
      <c r="BAM35" s="88"/>
      <c r="BAN35" s="88"/>
      <c r="BAO35" s="88"/>
      <c r="BAP35" s="88"/>
      <c r="BAQ35" s="88"/>
      <c r="BAR35" s="88"/>
      <c r="BAS35" s="88"/>
      <c r="BAT35" s="88"/>
      <c r="BAU35" s="88"/>
      <c r="BAV35" s="88"/>
      <c r="BAW35" s="88"/>
      <c r="BAX35" s="88"/>
      <c r="BAY35" s="88"/>
      <c r="BAZ35" s="88"/>
      <c r="BBA35" s="88"/>
      <c r="BBB35" s="88"/>
      <c r="BBC35" s="88"/>
      <c r="BBD35" s="88"/>
      <c r="BBE35" s="88"/>
      <c r="BBF35" s="88"/>
      <c r="BBG35" s="88"/>
      <c r="BBH35" s="88"/>
      <c r="BBI35" s="88"/>
      <c r="BBJ35" s="88"/>
      <c r="BBK35" s="88"/>
      <c r="BBL35" s="88"/>
      <c r="BBM35" s="88"/>
      <c r="BBN35" s="88"/>
      <c r="BBO35" s="88"/>
      <c r="BBP35" s="88"/>
      <c r="BBQ35" s="88"/>
      <c r="BBR35" s="88"/>
      <c r="BBS35" s="88"/>
      <c r="BBT35" s="88"/>
      <c r="BBU35" s="88"/>
      <c r="BBV35" s="88"/>
      <c r="BBW35" s="88"/>
      <c r="BBX35" s="88"/>
      <c r="BBY35" s="88"/>
      <c r="BBZ35" s="88"/>
      <c r="BCA35" s="88"/>
      <c r="BCB35" s="88"/>
      <c r="BCC35" s="88"/>
      <c r="BCD35" s="88"/>
      <c r="BCE35" s="88"/>
      <c r="BCF35" s="88"/>
      <c r="BCG35" s="88"/>
      <c r="BCH35" s="88"/>
      <c r="BCI35" s="88"/>
      <c r="BCJ35" s="88"/>
      <c r="BCK35" s="88"/>
      <c r="BCL35" s="88"/>
      <c r="BCM35" s="88"/>
      <c r="BCN35" s="88"/>
      <c r="BCO35" s="88"/>
      <c r="BCP35" s="88"/>
      <c r="BCQ35" s="88"/>
      <c r="BCR35" s="88"/>
      <c r="BCS35" s="88"/>
      <c r="BCT35" s="88"/>
      <c r="BCU35" s="88"/>
      <c r="BCV35" s="88"/>
      <c r="BCW35" s="88"/>
      <c r="BCX35" s="88"/>
      <c r="BCY35" s="88"/>
      <c r="BCZ35" s="88"/>
      <c r="BDA35" s="88"/>
      <c r="BDB35" s="88"/>
      <c r="BDC35" s="88"/>
      <c r="BDD35" s="88"/>
      <c r="BDE35" s="88"/>
      <c r="BDF35" s="88"/>
      <c r="BDG35" s="88"/>
      <c r="BDH35" s="88"/>
      <c r="BDI35" s="88"/>
      <c r="BDJ35" s="88"/>
      <c r="BDK35" s="88"/>
      <c r="BDL35" s="88"/>
      <c r="BDM35" s="88"/>
      <c r="BDN35" s="88"/>
      <c r="BDO35" s="88"/>
      <c r="BDP35" s="88"/>
      <c r="BDQ35" s="88"/>
      <c r="BDR35" s="88"/>
      <c r="BDS35" s="88"/>
      <c r="BDT35" s="88"/>
      <c r="BDU35" s="88"/>
      <c r="BDV35" s="88"/>
      <c r="BDW35" s="88"/>
      <c r="BDX35" s="88"/>
      <c r="BDY35" s="88"/>
      <c r="BDZ35" s="88"/>
      <c r="BEA35" s="88"/>
      <c r="BEB35" s="88"/>
      <c r="BEC35" s="88"/>
      <c r="BED35" s="88"/>
      <c r="BEE35" s="88"/>
      <c r="BEF35" s="88"/>
      <c r="BEG35" s="88"/>
      <c r="BEH35" s="88"/>
      <c r="BEI35" s="88"/>
      <c r="BEJ35" s="88"/>
      <c r="BEK35" s="88"/>
      <c r="BEL35" s="88"/>
      <c r="BEM35" s="88"/>
      <c r="BEN35" s="88"/>
      <c r="BEO35" s="88"/>
      <c r="BEP35" s="88"/>
      <c r="BEQ35" s="88"/>
      <c r="BER35" s="88"/>
      <c r="BES35" s="88"/>
      <c r="BET35" s="88"/>
      <c r="BEU35" s="88"/>
      <c r="BEV35" s="88"/>
      <c r="BEW35" s="88"/>
      <c r="BEX35" s="88"/>
      <c r="BEY35" s="88"/>
      <c r="BEZ35" s="88"/>
      <c r="BFA35" s="88"/>
      <c r="BFB35" s="88"/>
      <c r="BFC35" s="88"/>
      <c r="BFD35" s="88"/>
      <c r="BFE35" s="88"/>
      <c r="BFF35" s="88"/>
      <c r="BFG35" s="88"/>
      <c r="BFH35" s="88"/>
      <c r="BFI35" s="88"/>
      <c r="BFJ35" s="88"/>
      <c r="BFK35" s="88"/>
      <c r="BFL35" s="88"/>
      <c r="BFM35" s="88"/>
      <c r="BFN35" s="88"/>
      <c r="BFO35" s="88"/>
      <c r="BFP35" s="88"/>
      <c r="BFQ35" s="88"/>
      <c r="BFR35" s="88"/>
      <c r="BFS35" s="88"/>
      <c r="BFT35" s="88"/>
      <c r="BFU35" s="88"/>
      <c r="BFV35" s="88"/>
      <c r="BFW35" s="88"/>
      <c r="BFX35" s="88"/>
      <c r="BFY35" s="88"/>
      <c r="BFZ35" s="88"/>
      <c r="BGA35" s="88"/>
      <c r="BGB35" s="88"/>
      <c r="BGC35" s="88"/>
      <c r="BGD35" s="88"/>
      <c r="BGE35" s="88"/>
      <c r="BGF35" s="88"/>
      <c r="BGG35" s="88"/>
      <c r="BGH35" s="88"/>
      <c r="BGI35" s="88"/>
      <c r="BGJ35" s="88"/>
      <c r="BGK35" s="88"/>
      <c r="BGL35" s="88"/>
      <c r="BGM35" s="88"/>
      <c r="BGN35" s="88"/>
      <c r="BGO35" s="88"/>
      <c r="BGP35" s="88"/>
      <c r="BGQ35" s="88"/>
      <c r="BGR35" s="88"/>
      <c r="BGS35" s="88"/>
      <c r="BGT35" s="88"/>
      <c r="BGU35" s="88"/>
      <c r="BGV35" s="88"/>
      <c r="BGW35" s="88"/>
      <c r="BGX35" s="88"/>
      <c r="BGY35" s="88"/>
      <c r="BGZ35" s="88"/>
      <c r="BHA35" s="88"/>
      <c r="BHB35" s="88"/>
      <c r="BHC35" s="88"/>
      <c r="BHD35" s="88"/>
      <c r="BHE35" s="88"/>
      <c r="BHF35" s="88"/>
      <c r="BHG35" s="88"/>
      <c r="BHH35" s="88"/>
      <c r="BHI35" s="88"/>
      <c r="BHJ35" s="88"/>
      <c r="BHK35" s="88"/>
      <c r="BHL35" s="88"/>
      <c r="BHM35" s="88"/>
      <c r="BHN35" s="88"/>
      <c r="BHO35" s="88"/>
      <c r="BHP35" s="88"/>
      <c r="BHQ35" s="88"/>
      <c r="BHR35" s="88"/>
      <c r="BHS35" s="88"/>
      <c r="BHT35" s="88"/>
      <c r="BHU35" s="88"/>
      <c r="BHV35" s="88"/>
      <c r="BHW35" s="88"/>
      <c r="BHX35" s="88"/>
      <c r="BHY35" s="88"/>
      <c r="BHZ35" s="88"/>
      <c r="BIA35" s="88"/>
      <c r="BIB35" s="88"/>
      <c r="BIC35" s="88"/>
      <c r="BID35" s="88"/>
      <c r="BIE35" s="88"/>
      <c r="BIF35" s="88"/>
      <c r="BIG35" s="88"/>
      <c r="BIH35" s="88"/>
      <c r="BII35" s="88"/>
      <c r="BIJ35" s="88"/>
      <c r="BIK35" s="88"/>
      <c r="BIL35" s="88"/>
      <c r="BIM35" s="88"/>
      <c r="BIN35" s="88"/>
      <c r="BIO35" s="88"/>
      <c r="BIP35" s="88"/>
      <c r="BIQ35" s="88"/>
      <c r="BIR35" s="88"/>
      <c r="BIS35" s="88"/>
      <c r="BIT35" s="88"/>
      <c r="BIU35" s="88"/>
      <c r="BIV35" s="88"/>
      <c r="BIW35" s="88"/>
      <c r="BIX35" s="88"/>
      <c r="BIY35" s="88"/>
      <c r="BIZ35" s="88"/>
      <c r="BJA35" s="88"/>
      <c r="BJB35" s="88"/>
      <c r="BJC35" s="88"/>
      <c r="BJD35" s="88"/>
      <c r="BJE35" s="88"/>
      <c r="BJF35" s="88"/>
      <c r="BJG35" s="88"/>
      <c r="BJH35" s="88"/>
      <c r="BJI35" s="88"/>
      <c r="BJJ35" s="88"/>
      <c r="BJK35" s="88"/>
      <c r="BJL35" s="88"/>
      <c r="BJM35" s="88"/>
      <c r="BJN35" s="88"/>
      <c r="BJO35" s="88"/>
      <c r="BJP35" s="88"/>
      <c r="BJQ35" s="88"/>
      <c r="BJR35" s="88"/>
      <c r="BJS35" s="88"/>
      <c r="BJT35" s="88"/>
      <c r="BJU35" s="88"/>
      <c r="BJV35" s="88"/>
      <c r="BJW35" s="88"/>
      <c r="BJX35" s="88"/>
      <c r="BJY35" s="88"/>
      <c r="BJZ35" s="88"/>
      <c r="BKA35" s="88"/>
      <c r="BKB35" s="88"/>
      <c r="BKC35" s="88"/>
      <c r="BKD35" s="88"/>
      <c r="BKE35" s="88"/>
      <c r="BKF35" s="88"/>
      <c r="BKG35" s="88"/>
      <c r="BKH35" s="88"/>
      <c r="BKI35" s="88"/>
      <c r="BKJ35" s="88"/>
      <c r="BKK35" s="88"/>
      <c r="BKL35" s="88"/>
      <c r="BKM35" s="88"/>
      <c r="BKN35" s="88"/>
      <c r="BKO35" s="88"/>
      <c r="BKP35" s="88"/>
      <c r="BKQ35" s="88"/>
      <c r="BKR35" s="88"/>
      <c r="BKS35" s="88"/>
      <c r="BKT35" s="88"/>
      <c r="BKU35" s="88"/>
      <c r="BKV35" s="88"/>
      <c r="BKW35" s="88"/>
      <c r="BKX35" s="88"/>
      <c r="BKY35" s="88"/>
      <c r="BKZ35" s="88"/>
      <c r="BLA35" s="88"/>
      <c r="BLB35" s="88"/>
      <c r="BLC35" s="88"/>
      <c r="BLD35" s="88"/>
      <c r="BLE35" s="88"/>
      <c r="BLF35" s="88"/>
      <c r="BLG35" s="88"/>
      <c r="BLH35" s="88"/>
      <c r="BLI35" s="88"/>
      <c r="BLJ35" s="88"/>
      <c r="BLK35" s="88"/>
      <c r="BLL35" s="88"/>
      <c r="BLM35" s="88"/>
      <c r="BLN35" s="88"/>
      <c r="BLO35" s="88"/>
      <c r="BLP35" s="88"/>
      <c r="BLQ35" s="88"/>
      <c r="BLR35" s="88"/>
      <c r="BLS35" s="88"/>
      <c r="BLT35" s="88"/>
      <c r="BLU35" s="88"/>
      <c r="BLV35" s="88"/>
      <c r="BLW35" s="88"/>
      <c r="BLX35" s="88"/>
      <c r="BLY35" s="88"/>
      <c r="BLZ35" s="88"/>
      <c r="BMA35" s="88"/>
      <c r="BMB35" s="88"/>
      <c r="BMC35" s="88"/>
      <c r="BMD35" s="88"/>
      <c r="BME35" s="88"/>
      <c r="BMF35" s="88"/>
      <c r="BMG35" s="88"/>
      <c r="BMH35" s="88"/>
      <c r="BMI35" s="88"/>
      <c r="BMJ35" s="88"/>
      <c r="BMK35" s="88"/>
      <c r="BML35" s="88"/>
      <c r="BMM35" s="88"/>
      <c r="BMN35" s="88"/>
      <c r="BMO35" s="88"/>
      <c r="BMP35" s="88"/>
      <c r="BMQ35" s="88"/>
      <c r="BMR35" s="88"/>
      <c r="BMS35" s="88"/>
      <c r="BMT35" s="88"/>
      <c r="BMU35" s="88"/>
      <c r="BMV35" s="88"/>
      <c r="BMW35" s="88"/>
      <c r="BMX35" s="88"/>
      <c r="BMY35" s="88"/>
      <c r="BMZ35" s="88"/>
      <c r="BNA35" s="88"/>
      <c r="BNB35" s="88"/>
      <c r="BNC35" s="88"/>
      <c r="BND35" s="88"/>
      <c r="BNE35" s="88"/>
      <c r="BNF35" s="88"/>
      <c r="BNG35" s="88"/>
      <c r="BNH35" s="88"/>
      <c r="BNI35" s="88"/>
      <c r="BNJ35" s="88"/>
      <c r="BNK35" s="88"/>
      <c r="BNL35" s="88"/>
      <c r="BNM35" s="88"/>
      <c r="BNN35" s="88"/>
      <c r="BNO35" s="88"/>
      <c r="BNP35" s="88"/>
      <c r="BNQ35" s="88"/>
      <c r="BNR35" s="88"/>
      <c r="BNS35" s="88"/>
      <c r="BNT35" s="88"/>
      <c r="BNU35" s="88"/>
      <c r="BNV35" s="88"/>
      <c r="BNW35" s="88"/>
      <c r="BNX35" s="88"/>
      <c r="BNY35" s="88"/>
      <c r="BNZ35" s="88"/>
      <c r="BOA35" s="88"/>
      <c r="BOB35" s="88"/>
      <c r="BOC35" s="88"/>
      <c r="BOD35" s="88"/>
      <c r="BOE35" s="88"/>
      <c r="BOF35" s="88"/>
      <c r="BOG35" s="88"/>
      <c r="BOH35" s="88"/>
      <c r="BOI35" s="88"/>
      <c r="BOJ35" s="88"/>
      <c r="BOK35" s="88"/>
      <c r="BOL35" s="88"/>
      <c r="BOM35" s="88"/>
      <c r="BON35" s="88"/>
      <c r="BOO35" s="88"/>
      <c r="BOP35" s="88"/>
      <c r="BOQ35" s="88"/>
      <c r="BOR35" s="88"/>
      <c r="BOS35" s="88"/>
      <c r="BOT35" s="88"/>
      <c r="BOU35" s="88"/>
      <c r="BOV35" s="88"/>
      <c r="BOW35" s="88"/>
      <c r="BOX35" s="88"/>
      <c r="BOY35" s="88"/>
      <c r="BOZ35" s="88"/>
      <c r="BPA35" s="88"/>
      <c r="BPB35" s="88"/>
      <c r="BPC35" s="88"/>
      <c r="BPD35" s="88"/>
      <c r="BPE35" s="88"/>
      <c r="BPF35" s="88"/>
      <c r="BPG35" s="88"/>
      <c r="BPH35" s="88"/>
      <c r="BPI35" s="88"/>
      <c r="BPJ35" s="88"/>
      <c r="BPK35" s="88"/>
      <c r="BPL35" s="88"/>
      <c r="BPM35" s="88"/>
      <c r="BPN35" s="88"/>
      <c r="BPO35" s="88"/>
      <c r="BPP35" s="88"/>
      <c r="BPQ35" s="88"/>
      <c r="BPR35" s="88"/>
      <c r="BPS35" s="88"/>
      <c r="BPT35" s="88"/>
      <c r="BPU35" s="88"/>
      <c r="BPV35" s="88"/>
      <c r="BPW35" s="88"/>
      <c r="BPX35" s="88"/>
      <c r="BPY35" s="88"/>
      <c r="BPZ35" s="88"/>
      <c r="BQA35" s="88"/>
      <c r="BQB35" s="88"/>
      <c r="BQC35" s="88"/>
      <c r="BQD35" s="88"/>
      <c r="BQE35" s="88"/>
      <c r="BQF35" s="88"/>
      <c r="BQG35" s="88"/>
      <c r="BQH35" s="88"/>
      <c r="BQI35" s="88"/>
      <c r="BQJ35" s="88"/>
      <c r="BQK35" s="88"/>
      <c r="BQL35" s="88"/>
      <c r="BQM35" s="88"/>
      <c r="BQN35" s="88"/>
      <c r="BQO35" s="88"/>
      <c r="BQP35" s="88"/>
      <c r="BQQ35" s="88"/>
      <c r="BQR35" s="88"/>
      <c r="BQS35" s="88"/>
      <c r="BQT35" s="88"/>
      <c r="BQU35" s="88"/>
      <c r="BQV35" s="88"/>
      <c r="BQW35" s="88"/>
      <c r="BQX35" s="88"/>
      <c r="BQY35" s="88"/>
      <c r="BQZ35" s="88"/>
      <c r="BRA35" s="88"/>
      <c r="BRB35" s="88"/>
      <c r="BRC35" s="88"/>
      <c r="BRD35" s="88"/>
      <c r="BRE35" s="88"/>
      <c r="BRF35" s="88"/>
      <c r="BRG35" s="88"/>
      <c r="BRH35" s="88"/>
      <c r="BRI35" s="88"/>
      <c r="BRJ35" s="88"/>
      <c r="BRK35" s="88"/>
      <c r="BRL35" s="88"/>
      <c r="BRM35" s="88"/>
      <c r="BRN35" s="88"/>
      <c r="BRO35" s="88"/>
      <c r="BRP35" s="88"/>
      <c r="BRQ35" s="88"/>
      <c r="BRR35" s="88"/>
      <c r="BRS35" s="88"/>
      <c r="BRT35" s="88"/>
      <c r="BRU35" s="88"/>
      <c r="BRV35" s="88"/>
      <c r="BRW35" s="88"/>
      <c r="BRX35" s="88"/>
      <c r="BRY35" s="88"/>
      <c r="BRZ35" s="88"/>
      <c r="BSA35" s="88"/>
      <c r="BSB35" s="88"/>
      <c r="BSC35" s="88"/>
      <c r="BSD35" s="88"/>
      <c r="BSE35" s="88"/>
      <c r="BSF35" s="88"/>
      <c r="BSG35" s="88"/>
      <c r="BSH35" s="88"/>
      <c r="BSI35" s="88"/>
      <c r="BSJ35" s="88"/>
      <c r="BSK35" s="88"/>
      <c r="BSL35" s="88"/>
      <c r="BSM35" s="88"/>
      <c r="BSN35" s="88"/>
      <c r="BSO35" s="88"/>
      <c r="BSP35" s="88"/>
      <c r="BSQ35" s="88"/>
      <c r="BSR35" s="88"/>
      <c r="BSS35" s="88"/>
      <c r="BST35" s="88"/>
      <c r="BSU35" s="88"/>
      <c r="BSV35" s="88"/>
      <c r="BSW35" s="88"/>
      <c r="BSX35" s="88"/>
      <c r="BSY35" s="88"/>
      <c r="BSZ35" s="88"/>
      <c r="BTA35" s="88"/>
      <c r="BTB35" s="88"/>
      <c r="BTC35" s="88"/>
      <c r="BTD35" s="88"/>
      <c r="BTE35" s="88"/>
      <c r="BTF35" s="88"/>
      <c r="BTG35" s="88"/>
      <c r="BTH35" s="88"/>
      <c r="BTI35" s="88"/>
      <c r="BTJ35" s="88"/>
      <c r="BTK35" s="88"/>
      <c r="BTL35" s="88"/>
      <c r="BTM35" s="88"/>
      <c r="BTN35" s="88"/>
      <c r="BTO35" s="88"/>
      <c r="BTP35" s="88"/>
      <c r="BTQ35" s="88"/>
      <c r="BTR35" s="88"/>
      <c r="BTS35" s="88"/>
      <c r="BTT35" s="88"/>
      <c r="BTU35" s="88"/>
      <c r="BTV35" s="88"/>
      <c r="BTW35" s="88"/>
      <c r="BTX35" s="88"/>
      <c r="BTY35" s="88"/>
      <c r="BTZ35" s="88"/>
      <c r="BUA35" s="88"/>
      <c r="BUB35" s="88"/>
      <c r="BUC35" s="88"/>
      <c r="BUD35" s="88"/>
      <c r="BUE35" s="88"/>
      <c r="BUF35" s="88"/>
      <c r="BUG35" s="88"/>
      <c r="BUH35" s="88"/>
      <c r="BUI35" s="88"/>
      <c r="BUJ35" s="88"/>
      <c r="BUK35" s="88"/>
      <c r="BUL35" s="88"/>
      <c r="BUM35" s="88"/>
      <c r="BUN35" s="88"/>
      <c r="BUO35" s="88"/>
      <c r="BUP35" s="88"/>
      <c r="BUQ35" s="88"/>
      <c r="BUR35" s="88"/>
      <c r="BUS35" s="88"/>
      <c r="BUT35" s="88"/>
      <c r="BUU35" s="88"/>
      <c r="BUV35" s="88"/>
      <c r="BUW35" s="88"/>
      <c r="BUX35" s="88"/>
      <c r="BUY35" s="88"/>
      <c r="BUZ35" s="88"/>
      <c r="BVA35" s="88"/>
      <c r="BVB35" s="88"/>
      <c r="BVC35" s="88"/>
      <c r="BVD35" s="88"/>
      <c r="BVE35" s="88"/>
      <c r="BVF35" s="88"/>
      <c r="BVG35" s="88"/>
      <c r="BVH35" s="88"/>
      <c r="BVI35" s="88"/>
      <c r="BVJ35" s="88"/>
      <c r="BVK35" s="88"/>
      <c r="BVL35" s="88"/>
      <c r="BVM35" s="88"/>
      <c r="BVN35" s="88"/>
      <c r="BVO35" s="88"/>
      <c r="BVP35" s="88"/>
      <c r="BVQ35" s="88"/>
      <c r="BVR35" s="88"/>
      <c r="BVS35" s="88"/>
      <c r="BVT35" s="88"/>
      <c r="BVU35" s="88"/>
      <c r="BVV35" s="88"/>
      <c r="BVW35" s="88"/>
      <c r="BVX35" s="88"/>
      <c r="BVY35" s="88"/>
      <c r="BVZ35" s="88"/>
      <c r="BWA35" s="88"/>
      <c r="BWB35" s="88"/>
      <c r="BWC35" s="88"/>
      <c r="BWD35" s="88"/>
      <c r="BWE35" s="88"/>
      <c r="BWF35" s="88"/>
      <c r="BWG35" s="88"/>
      <c r="BWH35" s="88"/>
      <c r="BWI35" s="88"/>
      <c r="BWJ35" s="88"/>
      <c r="BWK35" s="88"/>
      <c r="BWL35" s="88"/>
      <c r="BWM35" s="88"/>
      <c r="BWN35" s="88"/>
      <c r="BWO35" s="88"/>
      <c r="BWP35" s="88"/>
      <c r="BWQ35" s="88"/>
      <c r="BWR35" s="88"/>
      <c r="BWS35" s="88"/>
      <c r="BWT35" s="88"/>
      <c r="BWU35" s="88"/>
      <c r="BWV35" s="88"/>
      <c r="BWW35" s="88"/>
      <c r="BWX35" s="88"/>
      <c r="BWY35" s="88"/>
      <c r="BWZ35" s="88"/>
      <c r="BXA35" s="88"/>
      <c r="BXB35" s="88"/>
      <c r="BXC35" s="88"/>
      <c r="BXD35" s="88"/>
      <c r="BXE35" s="88"/>
      <c r="BXF35" s="88"/>
      <c r="BXG35" s="88"/>
      <c r="BXH35" s="88"/>
      <c r="BXI35" s="88"/>
      <c r="BXJ35" s="88"/>
      <c r="BXK35" s="88"/>
      <c r="BXL35" s="88"/>
      <c r="BXM35" s="88"/>
      <c r="BXN35" s="88"/>
      <c r="BXO35" s="88"/>
      <c r="BXP35" s="88"/>
      <c r="BXQ35" s="88"/>
      <c r="BXR35" s="88"/>
      <c r="BXS35" s="88"/>
      <c r="BXT35" s="88"/>
      <c r="BXU35" s="88"/>
      <c r="BXV35" s="88"/>
      <c r="BXW35" s="88"/>
      <c r="BXX35" s="88"/>
      <c r="BXY35" s="88"/>
      <c r="BXZ35" s="88"/>
      <c r="BYA35" s="88"/>
      <c r="BYB35" s="88"/>
      <c r="BYC35" s="88"/>
      <c r="BYD35" s="88"/>
      <c r="BYE35" s="88"/>
      <c r="BYF35" s="88"/>
      <c r="BYG35" s="88"/>
      <c r="BYH35" s="88"/>
      <c r="BYI35" s="88"/>
      <c r="BYJ35" s="88"/>
      <c r="BYK35" s="88"/>
      <c r="BYL35" s="88"/>
      <c r="BYM35" s="88"/>
      <c r="BYN35" s="88"/>
      <c r="BYO35" s="88"/>
      <c r="BYP35" s="88"/>
      <c r="BYQ35" s="88"/>
      <c r="BYR35" s="88"/>
      <c r="BYS35" s="88"/>
      <c r="BYT35" s="88"/>
      <c r="BYU35" s="88"/>
      <c r="BYV35" s="88"/>
      <c r="BYW35" s="88"/>
      <c r="BYX35" s="88"/>
      <c r="BYY35" s="88"/>
      <c r="BYZ35" s="88"/>
      <c r="BZA35" s="88"/>
      <c r="BZB35" s="88"/>
      <c r="BZC35" s="88"/>
      <c r="BZD35" s="88"/>
      <c r="BZE35" s="88"/>
      <c r="BZF35" s="88"/>
      <c r="BZG35" s="88"/>
      <c r="BZH35" s="88"/>
      <c r="BZI35" s="88"/>
      <c r="BZJ35" s="88"/>
      <c r="BZK35" s="88"/>
      <c r="BZL35" s="88"/>
      <c r="BZM35" s="88"/>
      <c r="BZN35" s="88"/>
      <c r="BZO35" s="88"/>
      <c r="BZP35" s="88"/>
      <c r="BZQ35" s="88"/>
      <c r="BZR35" s="88"/>
      <c r="BZS35" s="88"/>
      <c r="BZT35" s="88"/>
      <c r="BZU35" s="88"/>
      <c r="BZV35" s="88"/>
      <c r="BZW35" s="88"/>
      <c r="BZX35" s="88"/>
      <c r="BZY35" s="88"/>
      <c r="BZZ35" s="88"/>
      <c r="CAA35" s="88"/>
      <c r="CAB35" s="88"/>
      <c r="CAC35" s="88"/>
      <c r="CAD35" s="88"/>
      <c r="CAE35" s="88"/>
      <c r="CAF35" s="88"/>
      <c r="CAG35" s="88"/>
      <c r="CAH35" s="88"/>
      <c r="CAI35" s="88"/>
      <c r="CAJ35" s="88"/>
      <c r="CAK35" s="88"/>
      <c r="CAL35" s="88"/>
      <c r="CAM35" s="88"/>
      <c r="CAN35" s="88"/>
      <c r="CAO35" s="88"/>
      <c r="CAP35" s="88"/>
      <c r="CAQ35" s="88"/>
      <c r="CAR35" s="88"/>
      <c r="CAS35" s="88"/>
      <c r="CAT35" s="88"/>
      <c r="CAU35" s="88"/>
      <c r="CAV35" s="88"/>
      <c r="CAW35" s="88"/>
      <c r="CAX35" s="88"/>
      <c r="CAY35" s="88"/>
      <c r="CAZ35" s="88"/>
      <c r="CBA35" s="88"/>
      <c r="CBB35" s="88"/>
      <c r="CBC35" s="88"/>
      <c r="CBD35" s="88"/>
      <c r="CBE35" s="88"/>
      <c r="CBF35" s="88"/>
      <c r="CBG35" s="88"/>
      <c r="CBH35" s="88"/>
      <c r="CBI35" s="88"/>
      <c r="CBJ35" s="88"/>
      <c r="CBK35" s="88"/>
      <c r="CBL35" s="88"/>
      <c r="CBM35" s="88"/>
      <c r="CBN35" s="88"/>
      <c r="CBO35" s="88"/>
      <c r="CBP35" s="88"/>
      <c r="CBQ35" s="88"/>
      <c r="CBR35" s="88"/>
      <c r="CBS35" s="88"/>
      <c r="CBT35" s="88"/>
      <c r="CBU35" s="88"/>
      <c r="CBV35" s="88"/>
      <c r="CBW35" s="88"/>
      <c r="CBX35" s="88"/>
      <c r="CBY35" s="88"/>
      <c r="CBZ35" s="88"/>
      <c r="CCA35" s="88"/>
      <c r="CCB35" s="88"/>
      <c r="CCC35" s="88"/>
      <c r="CCD35" s="88"/>
      <c r="CCE35" s="88"/>
      <c r="CCF35" s="88"/>
      <c r="CCG35" s="88"/>
      <c r="CCH35" s="88"/>
      <c r="CCI35" s="88"/>
      <c r="CCJ35" s="88"/>
      <c r="CCK35" s="88"/>
      <c r="CCL35" s="88"/>
      <c r="CCM35" s="88"/>
      <c r="CCN35" s="88"/>
      <c r="CCO35" s="88"/>
      <c r="CCP35" s="88"/>
      <c r="CCQ35" s="88"/>
      <c r="CCR35" s="88"/>
      <c r="CCS35" s="88"/>
      <c r="CCT35" s="88"/>
      <c r="CCU35" s="88"/>
      <c r="CCV35" s="88"/>
      <c r="CCW35" s="88"/>
      <c r="CCX35" s="88"/>
      <c r="CCY35" s="88"/>
      <c r="CCZ35" s="88"/>
      <c r="CDA35" s="88"/>
      <c r="CDB35" s="88"/>
      <c r="CDC35" s="88"/>
      <c r="CDD35" s="88"/>
      <c r="CDE35" s="88"/>
      <c r="CDF35" s="88"/>
      <c r="CDG35" s="88"/>
      <c r="CDH35" s="88"/>
      <c r="CDI35" s="88"/>
      <c r="CDJ35" s="88"/>
      <c r="CDK35" s="88"/>
      <c r="CDL35" s="88"/>
      <c r="CDM35" s="88"/>
      <c r="CDN35" s="88"/>
      <c r="CDO35" s="88"/>
      <c r="CDP35" s="88"/>
      <c r="CDQ35" s="88"/>
      <c r="CDR35" s="88"/>
      <c r="CDS35" s="88"/>
      <c r="CDT35" s="88"/>
      <c r="CDU35" s="88"/>
      <c r="CDV35" s="88"/>
      <c r="CDW35" s="88"/>
      <c r="CDX35" s="88"/>
      <c r="CDY35" s="88"/>
      <c r="CDZ35" s="88"/>
      <c r="CEA35" s="88"/>
      <c r="CEB35" s="88"/>
      <c r="CEC35" s="88"/>
      <c r="CED35" s="88"/>
      <c r="CEE35" s="88"/>
      <c r="CEF35" s="88"/>
      <c r="CEG35" s="88"/>
      <c r="CEH35" s="88"/>
      <c r="CEI35" s="88"/>
      <c r="CEJ35" s="88"/>
      <c r="CEK35" s="88"/>
    </row>
    <row r="36" spans="1:2169" s="63" customFormat="1">
      <c r="A36" s="68" t="s">
        <v>411</v>
      </c>
      <c r="B36" s="71" t="s">
        <v>70</v>
      </c>
      <c r="C36" s="68" t="str">
        <f>IF('page 2'!$O$4="","",IF('page 2'!$O$4=Gestion!A36,1,0))</f>
        <v/>
      </c>
      <c r="D36" s="68" t="str">
        <f>IF('page 2'!$O$5="","",IF('page 2'!$O$5=Gestion!A36,1,0))</f>
        <v/>
      </c>
      <c r="E36" s="68" t="str">
        <f>IF('page 2'!$O$6="","",IF('page 2'!$O$6=Gestion!A36,1,0))</f>
        <v/>
      </c>
      <c r="F36" s="68" t="str">
        <f>IF('page 2'!$O$7="","",IF('page 2'!$O$7=Gestion!A36,1,0))</f>
        <v/>
      </c>
      <c r="G36" s="68" t="str">
        <f>IF('page 2'!$O$8="","",IF('page 2'!$O$8=Gestion!A36,1,0))</f>
        <v/>
      </c>
      <c r="H36" s="68" t="str">
        <f>IF('page 2'!$O$9="","",IF('page 2'!$O$9=Gestion!A36,1,0))</f>
        <v/>
      </c>
      <c r="I36" s="68" t="str">
        <f>IF('page 2'!$O$10="","",IF('page 2'!$O$10=Gestion!A36,1,0))</f>
        <v/>
      </c>
      <c r="J36" s="68" t="str">
        <f>IF('page 2'!$O$11="","",IF('page 2'!$O$11=Gestion!A36,1,0))</f>
        <v/>
      </c>
      <c r="K36" s="68" t="str">
        <f>IF('page 2'!$O$12="","",IF('page 2'!$O$12=Gestion!A36,1,0))</f>
        <v/>
      </c>
      <c r="L36" s="68" t="str">
        <f>IF('page 2'!$O$13="","",IF('page 2'!$O$13=Gestion!A36,1,0))</f>
        <v/>
      </c>
      <c r="M36" s="68" t="str">
        <f>IF('page 2'!$O$14="","",IF('page 2'!$O$14=Gestion!A36,1,0))</f>
        <v/>
      </c>
      <c r="N36" s="68" t="str">
        <f>IF('page 2'!$O$15="","",IF('page 2'!$O$15=Gestion!A36,1,0))</f>
        <v/>
      </c>
      <c r="O36" s="68" t="str">
        <f>IF('page 2'!$O$16="","",IF('page 2'!$O$16=Gestion!A36,1,0))</f>
        <v/>
      </c>
      <c r="P36" s="68" t="str">
        <f>IF('page 2'!$O$17="","",IF('page 2'!$O$17=Gestion!A36,1,0))</f>
        <v/>
      </c>
      <c r="Q36" s="68" t="str">
        <f>IF('page 2'!$O$18="","",IF('page 2'!$O$18=Gestion!A36,1,0))</f>
        <v/>
      </c>
      <c r="R36" s="68" t="str">
        <f>IF('page 2'!$O$19="","",IF('page 2'!$O$19=Gestion!A36,1,0))</f>
        <v/>
      </c>
      <c r="S36" s="68" t="str">
        <f>IF('page 2'!$O$20="","",IF('page 2'!$O$20=Gestion!A36,1,0))</f>
        <v/>
      </c>
      <c r="T36" s="68" t="str">
        <f>IF('page 2'!$O$25="","",IF('page 2'!$O$25=Gestion!A36,1,0))</f>
        <v/>
      </c>
      <c r="U36" s="68" t="str">
        <f>IF('page 2'!$O$26="","",IF('page 2'!$O$26=Gestion!A36,1,0))</f>
        <v/>
      </c>
      <c r="V36" s="68" t="str">
        <f>IF('page 2'!$O$27="","",IF('page 2'!$O$27=Gestion!A36,1,0))</f>
        <v/>
      </c>
      <c r="W36" s="722">
        <f t="shared" si="0"/>
        <v>0</v>
      </c>
      <c r="X36" s="714"/>
      <c r="Y36" s="68"/>
      <c r="Z36" s="68"/>
      <c r="AA36" s="68"/>
      <c r="AB36" s="68"/>
      <c r="AC36" s="68"/>
      <c r="AD36" s="68"/>
      <c r="AP36" s="130"/>
      <c r="AQ36" s="130"/>
      <c r="AR36" s="130"/>
      <c r="AS36" s="602"/>
      <c r="AT36" s="602"/>
      <c r="AU36" s="602"/>
      <c r="AV36" s="602"/>
      <c r="AW36" s="602"/>
      <c r="AX36" s="602"/>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2"/>
      <c r="CD36" s="469"/>
      <c r="CE36" s="602"/>
      <c r="CF36" s="602"/>
      <c r="CG36" s="602"/>
      <c r="CH36" s="602"/>
      <c r="CI36" s="602"/>
      <c r="CJ36" s="602"/>
      <c r="CK36" s="602"/>
      <c r="CL36" s="602"/>
      <c r="CM36" s="602"/>
      <c r="CN36" s="602"/>
      <c r="CO36" s="602"/>
      <c r="CP36" s="602"/>
      <c r="CQ36" s="602"/>
      <c r="CR36" s="602"/>
      <c r="CS36" s="602"/>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c r="SK36" s="88"/>
      <c r="SL36" s="88"/>
      <c r="SM36" s="88"/>
      <c r="SN36" s="88"/>
      <c r="SO36" s="88"/>
      <c r="SP36" s="88"/>
      <c r="SQ36" s="88"/>
      <c r="SR36" s="88"/>
      <c r="SS36" s="88"/>
      <c r="ST36" s="88"/>
      <c r="SU36" s="88"/>
      <c r="SV36" s="88"/>
      <c r="SW36" s="88"/>
      <c r="SX36" s="88"/>
      <c r="SY36" s="88"/>
      <c r="SZ36" s="88"/>
      <c r="TA36" s="88"/>
      <c r="TB36" s="88"/>
      <c r="TC36" s="88"/>
      <c r="TD36" s="88"/>
      <c r="TE36" s="88"/>
      <c r="TF36" s="88"/>
      <c r="TG36" s="88"/>
      <c r="TH36" s="88"/>
      <c r="TI36" s="88"/>
      <c r="TJ36" s="88"/>
      <c r="TK36" s="88"/>
      <c r="TL36" s="88"/>
      <c r="TM36" s="88"/>
      <c r="TN36" s="88"/>
      <c r="TO36" s="88"/>
      <c r="TP36" s="88"/>
      <c r="TQ36" s="88"/>
      <c r="TR36" s="88"/>
      <c r="TS36" s="88"/>
      <c r="TT36" s="88"/>
      <c r="TU36" s="88"/>
      <c r="TV36" s="88"/>
      <c r="TW36" s="88"/>
      <c r="TX36" s="88"/>
      <c r="TY36" s="88"/>
      <c r="TZ36" s="88"/>
      <c r="UA36" s="88"/>
      <c r="UB36" s="88"/>
      <c r="UC36" s="88"/>
      <c r="UD36" s="88"/>
      <c r="UE36" s="88"/>
      <c r="UF36" s="88"/>
      <c r="UG36" s="88"/>
      <c r="UH36" s="88"/>
      <c r="UI36" s="88"/>
      <c r="UJ36" s="88"/>
      <c r="UK36" s="88"/>
      <c r="UL36" s="88"/>
      <c r="UM36" s="88"/>
      <c r="UN36" s="88"/>
      <c r="UO36" s="88"/>
      <c r="UP36" s="88"/>
      <c r="UQ36" s="88"/>
      <c r="UR36" s="88"/>
      <c r="US36" s="88"/>
      <c r="UT36" s="88"/>
      <c r="UU36" s="88"/>
      <c r="UV36" s="88"/>
      <c r="UW36" s="88"/>
      <c r="UX36" s="88"/>
      <c r="UY36" s="88"/>
      <c r="UZ36" s="88"/>
      <c r="VA36" s="88"/>
      <c r="VB36" s="88"/>
      <c r="VC36" s="88"/>
      <c r="VD36" s="88"/>
      <c r="VE36" s="88"/>
      <c r="VF36" s="88"/>
      <c r="VG36" s="88"/>
      <c r="VH36" s="88"/>
      <c r="VI36" s="88"/>
      <c r="VJ36" s="88"/>
      <c r="VK36" s="88"/>
      <c r="VL36" s="88"/>
      <c r="VM36" s="88"/>
      <c r="VN36" s="88"/>
      <c r="VO36" s="88"/>
      <c r="VP36" s="88"/>
      <c r="VQ36" s="88"/>
      <c r="VR36" s="88"/>
      <c r="VS36" s="88"/>
      <c r="VT36" s="88"/>
      <c r="VU36" s="88"/>
      <c r="VV36" s="88"/>
      <c r="VW36" s="88"/>
      <c r="VX36" s="88"/>
      <c r="VY36" s="88"/>
      <c r="VZ36" s="88"/>
      <c r="WA36" s="88"/>
      <c r="WB36" s="88"/>
      <c r="WC36" s="88"/>
      <c r="WD36" s="88"/>
      <c r="WE36" s="88"/>
      <c r="WF36" s="88"/>
      <c r="WG36" s="88"/>
      <c r="WH36" s="88"/>
      <c r="WI36" s="88"/>
      <c r="WJ36" s="88"/>
      <c r="WK36" s="88"/>
      <c r="WL36" s="88"/>
      <c r="WM36" s="88"/>
      <c r="WN36" s="88"/>
      <c r="WO36" s="88"/>
      <c r="WP36" s="88"/>
      <c r="WQ36" s="88"/>
      <c r="WR36" s="88"/>
      <c r="WS36" s="88"/>
      <c r="WT36" s="88"/>
      <c r="WU36" s="88"/>
      <c r="WV36" s="88"/>
      <c r="WW36" s="88"/>
      <c r="WX36" s="88"/>
      <c r="WY36" s="88"/>
      <c r="WZ36" s="88"/>
      <c r="XA36" s="88"/>
      <c r="XB36" s="88"/>
      <c r="XC36" s="88"/>
      <c r="XD36" s="88"/>
      <c r="XE36" s="88"/>
      <c r="XF36" s="88"/>
      <c r="XG36" s="88"/>
      <c r="XH36" s="88"/>
      <c r="XI36" s="88"/>
      <c r="XJ36" s="88"/>
      <c r="XK36" s="88"/>
      <c r="XL36" s="88"/>
      <c r="XM36" s="88"/>
      <c r="XN36" s="88"/>
      <c r="XO36" s="88"/>
      <c r="XP36" s="88"/>
      <c r="XQ36" s="88"/>
      <c r="XR36" s="88"/>
      <c r="XS36" s="88"/>
      <c r="XT36" s="88"/>
      <c r="XU36" s="88"/>
      <c r="XV36" s="88"/>
      <c r="XW36" s="88"/>
      <c r="XX36" s="88"/>
      <c r="XY36" s="88"/>
      <c r="XZ36" s="88"/>
      <c r="YA36" s="88"/>
      <c r="YB36" s="88"/>
      <c r="YC36" s="88"/>
      <c r="YD36" s="88"/>
      <c r="YE36" s="88"/>
      <c r="YF36" s="88"/>
      <c r="YG36" s="88"/>
      <c r="YH36" s="88"/>
      <c r="YI36" s="88"/>
      <c r="YJ36" s="88"/>
      <c r="YK36" s="88"/>
      <c r="YL36" s="88"/>
      <c r="YM36" s="88"/>
      <c r="YN36" s="88"/>
      <c r="YO36" s="88"/>
      <c r="YP36" s="88"/>
      <c r="YQ36" s="88"/>
      <c r="YR36" s="88"/>
      <c r="YS36" s="88"/>
      <c r="YT36" s="88"/>
      <c r="YU36" s="88"/>
      <c r="YV36" s="88"/>
      <c r="YW36" s="88"/>
      <c r="YX36" s="88"/>
      <c r="YY36" s="88"/>
      <c r="YZ36" s="88"/>
      <c r="ZA36" s="88"/>
      <c r="ZB36" s="88"/>
      <c r="ZC36" s="88"/>
      <c r="ZD36" s="88"/>
      <c r="ZE36" s="88"/>
      <c r="ZF36" s="88"/>
      <c r="ZG36" s="88"/>
      <c r="ZH36" s="88"/>
      <c r="ZI36" s="88"/>
      <c r="ZJ36" s="88"/>
      <c r="ZK36" s="88"/>
      <c r="ZL36" s="88"/>
      <c r="ZM36" s="88"/>
      <c r="ZN36" s="88"/>
      <c r="ZO36" s="88"/>
      <c r="ZP36" s="88"/>
      <c r="ZQ36" s="88"/>
      <c r="ZR36" s="88"/>
      <c r="ZS36" s="88"/>
      <c r="ZT36" s="88"/>
      <c r="ZU36" s="88"/>
      <c r="ZV36" s="88"/>
      <c r="ZW36" s="88"/>
      <c r="ZX36" s="88"/>
      <c r="ZY36" s="88"/>
      <c r="ZZ36" s="88"/>
      <c r="AAA36" s="88"/>
      <c r="AAB36" s="88"/>
      <c r="AAC36" s="88"/>
      <c r="AAD36" s="88"/>
      <c r="AAE36" s="88"/>
      <c r="AAF36" s="88"/>
      <c r="AAG36" s="88"/>
      <c r="AAH36" s="88"/>
      <c r="AAI36" s="88"/>
      <c r="AAJ36" s="88"/>
      <c r="AAK36" s="88"/>
      <c r="AAL36" s="88"/>
      <c r="AAM36" s="88"/>
      <c r="AAN36" s="88"/>
      <c r="AAO36" s="88"/>
      <c r="AAP36" s="88"/>
      <c r="AAQ36" s="88"/>
      <c r="AAR36" s="88"/>
      <c r="AAS36" s="88"/>
      <c r="AAT36" s="88"/>
      <c r="AAU36" s="88"/>
      <c r="AAV36" s="88"/>
      <c r="AAW36" s="88"/>
      <c r="AAX36" s="88"/>
      <c r="AAY36" s="88"/>
      <c r="AAZ36" s="88"/>
      <c r="ABA36" s="88"/>
      <c r="ABB36" s="88"/>
      <c r="ABC36" s="88"/>
      <c r="ABD36" s="88"/>
      <c r="ABE36" s="88"/>
      <c r="ABF36" s="88"/>
      <c r="ABG36" s="88"/>
      <c r="ABH36" s="88"/>
      <c r="ABI36" s="88"/>
      <c r="ABJ36" s="88"/>
      <c r="ABK36" s="88"/>
      <c r="ABL36" s="88"/>
      <c r="ABM36" s="88"/>
      <c r="ABN36" s="88"/>
      <c r="ABO36" s="88"/>
      <c r="ABP36" s="88"/>
      <c r="ABQ36" s="88"/>
      <c r="ABR36" s="88"/>
      <c r="ABS36" s="88"/>
      <c r="ABT36" s="88"/>
      <c r="ABU36" s="88"/>
      <c r="ABV36" s="88"/>
      <c r="ABW36" s="88"/>
      <c r="ABX36" s="88"/>
      <c r="ABY36" s="88"/>
      <c r="ABZ36" s="88"/>
      <c r="ACA36" s="88"/>
      <c r="ACB36" s="88"/>
      <c r="ACC36" s="88"/>
      <c r="ACD36" s="88"/>
      <c r="ACE36" s="88"/>
      <c r="ACF36" s="88"/>
      <c r="ACG36" s="88"/>
      <c r="ACH36" s="88"/>
      <c r="ACI36" s="88"/>
      <c r="ACJ36" s="88"/>
      <c r="ACK36" s="88"/>
      <c r="ACL36" s="88"/>
      <c r="ACM36" s="88"/>
      <c r="ACN36" s="88"/>
      <c r="ACO36" s="88"/>
      <c r="ACP36" s="88"/>
      <c r="ACQ36" s="88"/>
      <c r="ACR36" s="88"/>
      <c r="ACS36" s="88"/>
      <c r="ACT36" s="88"/>
      <c r="ACU36" s="88"/>
      <c r="ACV36" s="88"/>
      <c r="ACW36" s="88"/>
      <c r="ACX36" s="88"/>
      <c r="ACY36" s="88"/>
      <c r="ACZ36" s="88"/>
      <c r="ADA36" s="88"/>
      <c r="ADB36" s="88"/>
      <c r="ADC36" s="88"/>
      <c r="ADD36" s="88"/>
      <c r="ADE36" s="88"/>
      <c r="ADF36" s="88"/>
      <c r="ADG36" s="88"/>
      <c r="ADH36" s="88"/>
      <c r="ADI36" s="88"/>
      <c r="ADJ36" s="88"/>
      <c r="ADK36" s="88"/>
      <c r="ADL36" s="88"/>
      <c r="ADM36" s="88"/>
      <c r="ADN36" s="88"/>
      <c r="ADO36" s="88"/>
      <c r="ADP36" s="88"/>
      <c r="ADQ36" s="88"/>
      <c r="ADR36" s="88"/>
      <c r="ADS36" s="88"/>
      <c r="ADT36" s="88"/>
      <c r="ADU36" s="88"/>
      <c r="ADV36" s="88"/>
      <c r="ADW36" s="88"/>
      <c r="ADX36" s="88"/>
      <c r="ADY36" s="88"/>
      <c r="ADZ36" s="88"/>
      <c r="AEA36" s="88"/>
      <c r="AEB36" s="88"/>
      <c r="AEC36" s="88"/>
      <c r="AED36" s="88"/>
      <c r="AEE36" s="88"/>
      <c r="AEF36" s="88"/>
      <c r="AEG36" s="88"/>
      <c r="AEH36" s="88"/>
      <c r="AEI36" s="88"/>
      <c r="AEJ36" s="88"/>
      <c r="AEK36" s="88"/>
      <c r="AEL36" s="88"/>
      <c r="AEM36" s="88"/>
      <c r="AEN36" s="88"/>
      <c r="AEO36" s="88"/>
      <c r="AEP36" s="88"/>
      <c r="AEQ36" s="88"/>
      <c r="AER36" s="88"/>
      <c r="AES36" s="88"/>
      <c r="AET36" s="88"/>
      <c r="AEU36" s="88"/>
      <c r="AEV36" s="88"/>
      <c r="AEW36" s="88"/>
      <c r="AEX36" s="88"/>
      <c r="AEY36" s="88"/>
      <c r="AEZ36" s="88"/>
      <c r="AFA36" s="88"/>
      <c r="AFB36" s="88"/>
      <c r="AFC36" s="88"/>
      <c r="AFD36" s="88"/>
      <c r="AFE36" s="88"/>
      <c r="AFF36" s="88"/>
      <c r="AFG36" s="88"/>
      <c r="AFH36" s="88"/>
      <c r="AFI36" s="88"/>
      <c r="AFJ36" s="88"/>
      <c r="AFK36" s="88"/>
      <c r="AFL36" s="88"/>
      <c r="AFM36" s="88"/>
      <c r="AFN36" s="88"/>
      <c r="AFO36" s="88"/>
      <c r="AFP36" s="88"/>
      <c r="AFQ36" s="88"/>
      <c r="AFR36" s="88"/>
      <c r="AFS36" s="88"/>
      <c r="AFT36" s="88"/>
      <c r="AFU36" s="88"/>
      <c r="AFV36" s="88"/>
      <c r="AFW36" s="88"/>
      <c r="AFX36" s="88"/>
      <c r="AFY36" s="88"/>
      <c r="AFZ36" s="88"/>
      <c r="AGA36" s="88"/>
      <c r="AGB36" s="88"/>
      <c r="AGC36" s="88"/>
      <c r="AGD36" s="88"/>
      <c r="AGE36" s="88"/>
      <c r="AGF36" s="88"/>
      <c r="AGG36" s="88"/>
      <c r="AGH36" s="88"/>
      <c r="AGI36" s="88"/>
      <c r="AGJ36" s="88"/>
      <c r="AGK36" s="88"/>
      <c r="AGL36" s="88"/>
      <c r="AGM36" s="88"/>
      <c r="AGN36" s="88"/>
      <c r="AGO36" s="88"/>
      <c r="AGP36" s="88"/>
      <c r="AGQ36" s="88"/>
      <c r="AGR36" s="88"/>
      <c r="AGS36" s="88"/>
      <c r="AGT36" s="88"/>
      <c r="AGU36" s="88"/>
      <c r="AGV36" s="88"/>
      <c r="AGW36" s="88"/>
      <c r="AGX36" s="88"/>
      <c r="AGY36" s="88"/>
      <c r="AGZ36" s="88"/>
      <c r="AHA36" s="88"/>
      <c r="AHB36" s="88"/>
      <c r="AHC36" s="88"/>
      <c r="AHD36" s="88"/>
      <c r="AHE36" s="88"/>
      <c r="AHF36" s="88"/>
      <c r="AHG36" s="88"/>
      <c r="AHH36" s="88"/>
      <c r="AHI36" s="88"/>
      <c r="AHJ36" s="88"/>
      <c r="AHK36" s="88"/>
      <c r="AHL36" s="88"/>
      <c r="AHM36" s="88"/>
      <c r="AHN36" s="88"/>
      <c r="AHO36" s="88"/>
      <c r="AHP36" s="88"/>
      <c r="AHQ36" s="88"/>
      <c r="AHR36" s="88"/>
      <c r="AHS36" s="88"/>
      <c r="AHT36" s="88"/>
      <c r="AHU36" s="88"/>
      <c r="AHV36" s="88"/>
      <c r="AHW36" s="88"/>
      <c r="AHX36" s="88"/>
      <c r="AHY36" s="88"/>
      <c r="AHZ36" s="88"/>
      <c r="AIA36" s="88"/>
      <c r="AIB36" s="88"/>
      <c r="AIC36" s="88"/>
      <c r="AID36" s="88"/>
      <c r="AIE36" s="88"/>
      <c r="AIF36" s="88"/>
      <c r="AIG36" s="88"/>
      <c r="AIH36" s="88"/>
      <c r="AII36" s="88"/>
      <c r="AIJ36" s="88"/>
      <c r="AIK36" s="88"/>
      <c r="AIL36" s="88"/>
      <c r="AIM36" s="88"/>
      <c r="AIN36" s="88"/>
      <c r="AIO36" s="88"/>
      <c r="AIP36" s="88"/>
      <c r="AIQ36" s="88"/>
      <c r="AIR36" s="88"/>
      <c r="AIS36" s="88"/>
      <c r="AIT36" s="88"/>
      <c r="AIU36" s="88"/>
      <c r="AIV36" s="88"/>
      <c r="AIW36" s="88"/>
      <c r="AIX36" s="88"/>
      <c r="AIY36" s="88"/>
      <c r="AIZ36" s="88"/>
      <c r="AJA36" s="88"/>
      <c r="AJB36" s="88"/>
      <c r="AJC36" s="88"/>
      <c r="AJD36" s="88"/>
      <c r="AJE36" s="88"/>
      <c r="AJF36" s="88"/>
      <c r="AJG36" s="88"/>
      <c r="AJH36" s="88"/>
      <c r="AJI36" s="88"/>
      <c r="AJJ36" s="88"/>
      <c r="AJK36" s="88"/>
      <c r="AJL36" s="88"/>
      <c r="AJM36" s="88"/>
      <c r="AJN36" s="88"/>
      <c r="AJO36" s="88"/>
      <c r="AJP36" s="88"/>
      <c r="AJQ36" s="88"/>
      <c r="AJR36" s="88"/>
      <c r="AJS36" s="88"/>
      <c r="AJT36" s="88"/>
      <c r="AJU36" s="88"/>
      <c r="AJV36" s="88"/>
      <c r="AJW36" s="88"/>
      <c r="AJX36" s="88"/>
      <c r="AJY36" s="88"/>
      <c r="AJZ36" s="88"/>
      <c r="AKA36" s="88"/>
      <c r="AKB36" s="88"/>
      <c r="AKC36" s="88"/>
      <c r="AKD36" s="88"/>
      <c r="AKE36" s="88"/>
      <c r="AKF36" s="88"/>
      <c r="AKG36" s="88"/>
      <c r="AKH36" s="88"/>
      <c r="AKI36" s="88"/>
      <c r="AKJ36" s="88"/>
      <c r="AKK36" s="88"/>
      <c r="AKL36" s="88"/>
      <c r="AKM36" s="88"/>
      <c r="AKN36" s="88"/>
      <c r="AKO36" s="88"/>
      <c r="AKP36" s="88"/>
      <c r="AKQ36" s="88"/>
      <c r="AKR36" s="88"/>
      <c r="AKS36" s="88"/>
      <c r="AKT36" s="88"/>
      <c r="AKU36" s="88"/>
      <c r="AKV36" s="88"/>
      <c r="AKW36" s="88"/>
      <c r="AKX36" s="88"/>
      <c r="AKY36" s="88"/>
      <c r="AKZ36" s="88"/>
      <c r="ALA36" s="88"/>
      <c r="ALB36" s="88"/>
      <c r="ALC36" s="88"/>
      <c r="ALD36" s="88"/>
      <c r="ALE36" s="88"/>
      <c r="ALF36" s="88"/>
      <c r="ALG36" s="88"/>
      <c r="ALH36" s="88"/>
      <c r="ALI36" s="88"/>
      <c r="ALJ36" s="88"/>
      <c r="ALK36" s="88"/>
      <c r="ALL36" s="88"/>
      <c r="ALM36" s="88"/>
      <c r="ALN36" s="88"/>
      <c r="ALO36" s="88"/>
      <c r="ALP36" s="88"/>
      <c r="ALQ36" s="88"/>
      <c r="ALR36" s="88"/>
      <c r="ALS36" s="88"/>
      <c r="ALT36" s="88"/>
      <c r="ALU36" s="88"/>
      <c r="ALV36" s="88"/>
      <c r="ALW36" s="88"/>
      <c r="ALX36" s="88"/>
      <c r="ALY36" s="88"/>
      <c r="ALZ36" s="88"/>
      <c r="AMA36" s="88"/>
      <c r="AMB36" s="88"/>
      <c r="AMC36" s="88"/>
      <c r="AMD36" s="88"/>
      <c r="AME36" s="88"/>
      <c r="AMF36" s="88"/>
      <c r="AMG36" s="88"/>
      <c r="AMH36" s="88"/>
      <c r="AMI36" s="88"/>
      <c r="AMJ36" s="88"/>
      <c r="AMK36" s="88"/>
      <c r="AML36" s="88"/>
      <c r="AMM36" s="88"/>
      <c r="AMN36" s="88"/>
      <c r="AMO36" s="88"/>
      <c r="AMP36" s="88"/>
      <c r="AMQ36" s="88"/>
      <c r="AMR36" s="88"/>
      <c r="AMS36" s="88"/>
      <c r="AMT36" s="88"/>
      <c r="AMU36" s="88"/>
      <c r="AMV36" s="88"/>
      <c r="AMW36" s="88"/>
      <c r="AMX36" s="88"/>
      <c r="AMY36" s="88"/>
      <c r="AMZ36" s="88"/>
      <c r="ANA36" s="88"/>
      <c r="ANB36" s="88"/>
      <c r="ANC36" s="88"/>
      <c r="AND36" s="88"/>
      <c r="ANE36" s="88"/>
      <c r="ANF36" s="88"/>
      <c r="ANG36" s="88"/>
      <c r="ANH36" s="88"/>
      <c r="ANI36" s="88"/>
      <c r="ANJ36" s="88"/>
      <c r="ANK36" s="88"/>
      <c r="ANL36" s="88"/>
      <c r="ANM36" s="88"/>
      <c r="ANN36" s="88"/>
      <c r="ANO36" s="88"/>
      <c r="ANP36" s="88"/>
      <c r="ANQ36" s="88"/>
      <c r="ANR36" s="88"/>
      <c r="ANS36" s="88"/>
      <c r="ANT36" s="88"/>
      <c r="ANU36" s="88"/>
      <c r="ANV36" s="88"/>
      <c r="ANW36" s="88"/>
      <c r="ANX36" s="88"/>
      <c r="ANY36" s="88"/>
      <c r="ANZ36" s="88"/>
      <c r="AOA36" s="88"/>
      <c r="AOB36" s="88"/>
      <c r="AOC36" s="88"/>
      <c r="AOD36" s="88"/>
      <c r="AOE36" s="88"/>
      <c r="AOF36" s="88"/>
      <c r="AOG36" s="88"/>
      <c r="AOH36" s="88"/>
      <c r="AOI36" s="88"/>
      <c r="AOJ36" s="88"/>
      <c r="AOK36" s="88"/>
      <c r="AOL36" s="88"/>
      <c r="AOM36" s="88"/>
      <c r="AON36" s="88"/>
      <c r="AOO36" s="88"/>
      <c r="AOP36" s="88"/>
      <c r="AOQ36" s="88"/>
      <c r="AOR36" s="88"/>
      <c r="AOS36" s="88"/>
      <c r="AOT36" s="88"/>
      <c r="AOU36" s="88"/>
      <c r="AOV36" s="88"/>
      <c r="AOW36" s="88"/>
      <c r="AOX36" s="88"/>
      <c r="AOY36" s="88"/>
      <c r="AOZ36" s="88"/>
      <c r="APA36" s="88"/>
      <c r="APB36" s="88"/>
      <c r="APC36" s="88"/>
      <c r="APD36" s="88"/>
      <c r="APE36" s="88"/>
      <c r="APF36" s="88"/>
      <c r="APG36" s="88"/>
      <c r="APH36" s="88"/>
      <c r="API36" s="88"/>
      <c r="APJ36" s="88"/>
      <c r="APK36" s="88"/>
      <c r="APL36" s="88"/>
      <c r="APM36" s="88"/>
      <c r="APN36" s="88"/>
      <c r="APO36" s="88"/>
      <c r="APP36" s="88"/>
      <c r="APQ36" s="88"/>
      <c r="APR36" s="88"/>
      <c r="APS36" s="88"/>
      <c r="APT36" s="88"/>
      <c r="APU36" s="88"/>
      <c r="APV36" s="88"/>
      <c r="APW36" s="88"/>
      <c r="APX36" s="88"/>
      <c r="APY36" s="88"/>
      <c r="APZ36" s="88"/>
      <c r="AQA36" s="88"/>
      <c r="AQB36" s="88"/>
      <c r="AQC36" s="88"/>
      <c r="AQD36" s="88"/>
      <c r="AQE36" s="88"/>
      <c r="AQF36" s="88"/>
      <c r="AQG36" s="88"/>
      <c r="AQH36" s="88"/>
      <c r="AQI36" s="88"/>
      <c r="AQJ36" s="88"/>
      <c r="AQK36" s="88"/>
      <c r="AQL36" s="88"/>
      <c r="AQM36" s="88"/>
      <c r="AQN36" s="88"/>
      <c r="AQO36" s="88"/>
      <c r="AQP36" s="88"/>
      <c r="AQQ36" s="88"/>
      <c r="AQR36" s="88"/>
      <c r="AQS36" s="88"/>
      <c r="AQT36" s="88"/>
      <c r="AQU36" s="88"/>
      <c r="AQV36" s="88"/>
      <c r="AQW36" s="88"/>
      <c r="AQX36" s="88"/>
      <c r="AQY36" s="88"/>
      <c r="AQZ36" s="88"/>
      <c r="ARA36" s="88"/>
      <c r="ARB36" s="88"/>
      <c r="ARC36" s="88"/>
      <c r="ARD36" s="88"/>
      <c r="ARE36" s="88"/>
      <c r="ARF36" s="88"/>
      <c r="ARG36" s="88"/>
      <c r="ARH36" s="88"/>
      <c r="ARI36" s="88"/>
      <c r="ARJ36" s="88"/>
      <c r="ARK36" s="88"/>
      <c r="ARL36" s="88"/>
      <c r="ARM36" s="88"/>
      <c r="ARN36" s="88"/>
      <c r="ARO36" s="88"/>
      <c r="ARP36" s="88"/>
      <c r="ARQ36" s="88"/>
      <c r="ARR36" s="88"/>
      <c r="ARS36" s="88"/>
      <c r="ART36" s="88"/>
      <c r="ARU36" s="88"/>
      <c r="ARV36" s="88"/>
      <c r="ARW36" s="88"/>
      <c r="ARX36" s="88"/>
      <c r="ARY36" s="88"/>
      <c r="ARZ36" s="88"/>
      <c r="ASA36" s="88"/>
      <c r="ASB36" s="88"/>
      <c r="ASC36" s="88"/>
      <c r="ASD36" s="88"/>
      <c r="ASE36" s="88"/>
      <c r="ASF36" s="88"/>
      <c r="ASG36" s="88"/>
      <c r="ASH36" s="88"/>
      <c r="ASI36" s="88"/>
      <c r="ASJ36" s="88"/>
      <c r="ASK36" s="88"/>
      <c r="ASL36" s="88"/>
      <c r="ASM36" s="88"/>
      <c r="ASN36" s="88"/>
      <c r="ASO36" s="88"/>
      <c r="ASP36" s="88"/>
      <c r="ASQ36" s="88"/>
      <c r="ASR36" s="88"/>
      <c r="ASS36" s="88"/>
      <c r="AST36" s="88"/>
      <c r="ASU36" s="88"/>
      <c r="ASV36" s="88"/>
      <c r="ASW36" s="88"/>
      <c r="ASX36" s="88"/>
      <c r="ASY36" s="88"/>
      <c r="ASZ36" s="88"/>
      <c r="ATA36" s="88"/>
      <c r="ATB36" s="88"/>
      <c r="ATC36" s="88"/>
      <c r="ATD36" s="88"/>
      <c r="ATE36" s="88"/>
      <c r="ATF36" s="88"/>
      <c r="ATG36" s="88"/>
      <c r="ATH36" s="88"/>
      <c r="ATI36" s="88"/>
      <c r="ATJ36" s="88"/>
      <c r="ATK36" s="88"/>
      <c r="ATL36" s="88"/>
      <c r="ATM36" s="88"/>
      <c r="ATN36" s="88"/>
      <c r="ATO36" s="88"/>
      <c r="ATP36" s="88"/>
      <c r="ATQ36" s="88"/>
      <c r="ATR36" s="88"/>
      <c r="ATS36" s="88"/>
      <c r="ATT36" s="88"/>
      <c r="ATU36" s="88"/>
      <c r="ATV36" s="88"/>
      <c r="ATW36" s="88"/>
      <c r="ATX36" s="88"/>
      <c r="ATY36" s="88"/>
      <c r="ATZ36" s="88"/>
      <c r="AUA36" s="88"/>
      <c r="AUB36" s="88"/>
      <c r="AUC36" s="88"/>
      <c r="AUD36" s="88"/>
      <c r="AUE36" s="88"/>
      <c r="AUF36" s="88"/>
      <c r="AUG36" s="88"/>
      <c r="AUH36" s="88"/>
      <c r="AUI36" s="88"/>
      <c r="AUJ36" s="88"/>
      <c r="AUK36" s="88"/>
      <c r="AUL36" s="88"/>
      <c r="AUM36" s="88"/>
      <c r="AUN36" s="88"/>
      <c r="AUO36" s="88"/>
      <c r="AUP36" s="88"/>
      <c r="AUQ36" s="88"/>
      <c r="AUR36" s="88"/>
      <c r="AUS36" s="88"/>
      <c r="AUT36" s="88"/>
      <c r="AUU36" s="88"/>
      <c r="AUV36" s="88"/>
      <c r="AUW36" s="88"/>
      <c r="AUX36" s="88"/>
      <c r="AUY36" s="88"/>
      <c r="AUZ36" s="88"/>
      <c r="AVA36" s="88"/>
      <c r="AVB36" s="88"/>
      <c r="AVC36" s="88"/>
      <c r="AVD36" s="88"/>
      <c r="AVE36" s="88"/>
      <c r="AVF36" s="88"/>
      <c r="AVG36" s="88"/>
      <c r="AVH36" s="88"/>
      <c r="AVI36" s="88"/>
      <c r="AVJ36" s="88"/>
      <c r="AVK36" s="88"/>
      <c r="AVL36" s="88"/>
      <c r="AVM36" s="88"/>
      <c r="AVN36" s="88"/>
      <c r="AVO36" s="88"/>
      <c r="AVP36" s="88"/>
      <c r="AVQ36" s="88"/>
      <c r="AVR36" s="88"/>
      <c r="AVS36" s="88"/>
      <c r="AVT36" s="88"/>
      <c r="AVU36" s="88"/>
      <c r="AVV36" s="88"/>
      <c r="AVW36" s="88"/>
      <c r="AVX36" s="88"/>
      <c r="AVY36" s="88"/>
      <c r="AVZ36" s="88"/>
      <c r="AWA36" s="88"/>
      <c r="AWB36" s="88"/>
      <c r="AWC36" s="88"/>
      <c r="AWD36" s="88"/>
      <c r="AWE36" s="88"/>
      <c r="AWF36" s="88"/>
      <c r="AWG36" s="88"/>
      <c r="AWH36" s="88"/>
      <c r="AWI36" s="88"/>
      <c r="AWJ36" s="88"/>
      <c r="AWK36" s="88"/>
      <c r="AWL36" s="88"/>
      <c r="AWM36" s="88"/>
      <c r="AWN36" s="88"/>
      <c r="AWO36" s="88"/>
      <c r="AWP36" s="88"/>
      <c r="AWQ36" s="88"/>
      <c r="AWR36" s="88"/>
      <c r="AWS36" s="88"/>
      <c r="AWT36" s="88"/>
      <c r="AWU36" s="88"/>
      <c r="AWV36" s="88"/>
      <c r="AWW36" s="88"/>
      <c r="AWX36" s="88"/>
      <c r="AWY36" s="88"/>
      <c r="AWZ36" s="88"/>
      <c r="AXA36" s="88"/>
      <c r="AXB36" s="88"/>
      <c r="AXC36" s="88"/>
      <c r="AXD36" s="88"/>
      <c r="AXE36" s="88"/>
      <c r="AXF36" s="88"/>
      <c r="AXG36" s="88"/>
      <c r="AXH36" s="88"/>
      <c r="AXI36" s="88"/>
      <c r="AXJ36" s="88"/>
      <c r="AXK36" s="88"/>
      <c r="AXL36" s="88"/>
      <c r="AXM36" s="88"/>
      <c r="AXN36" s="88"/>
      <c r="AXO36" s="88"/>
      <c r="AXP36" s="88"/>
      <c r="AXQ36" s="88"/>
      <c r="AXR36" s="88"/>
      <c r="AXS36" s="88"/>
      <c r="AXT36" s="88"/>
      <c r="AXU36" s="88"/>
      <c r="AXV36" s="88"/>
      <c r="AXW36" s="88"/>
      <c r="AXX36" s="88"/>
      <c r="AXY36" s="88"/>
      <c r="AXZ36" s="88"/>
      <c r="AYA36" s="88"/>
      <c r="AYB36" s="88"/>
      <c r="AYC36" s="88"/>
      <c r="AYD36" s="88"/>
      <c r="AYE36" s="88"/>
      <c r="AYF36" s="88"/>
      <c r="AYG36" s="88"/>
      <c r="AYH36" s="88"/>
      <c r="AYI36" s="88"/>
      <c r="AYJ36" s="88"/>
      <c r="AYK36" s="88"/>
      <c r="AYL36" s="88"/>
      <c r="AYM36" s="88"/>
      <c r="AYN36" s="88"/>
      <c r="AYO36" s="88"/>
      <c r="AYP36" s="88"/>
      <c r="AYQ36" s="88"/>
      <c r="AYR36" s="88"/>
      <c r="AYS36" s="88"/>
      <c r="AYT36" s="88"/>
      <c r="AYU36" s="88"/>
      <c r="AYV36" s="88"/>
      <c r="AYW36" s="88"/>
      <c r="AYX36" s="88"/>
      <c r="AYY36" s="88"/>
      <c r="AYZ36" s="88"/>
      <c r="AZA36" s="88"/>
      <c r="AZB36" s="88"/>
      <c r="AZC36" s="88"/>
      <c r="AZD36" s="88"/>
      <c r="AZE36" s="88"/>
      <c r="AZF36" s="88"/>
      <c r="AZG36" s="88"/>
      <c r="AZH36" s="88"/>
      <c r="AZI36" s="88"/>
      <c r="AZJ36" s="88"/>
      <c r="AZK36" s="88"/>
      <c r="AZL36" s="88"/>
      <c r="AZM36" s="88"/>
      <c r="AZN36" s="88"/>
      <c r="AZO36" s="88"/>
      <c r="AZP36" s="88"/>
      <c r="AZQ36" s="88"/>
      <c r="AZR36" s="88"/>
      <c r="AZS36" s="88"/>
      <c r="AZT36" s="88"/>
      <c r="AZU36" s="88"/>
      <c r="AZV36" s="88"/>
      <c r="AZW36" s="88"/>
      <c r="AZX36" s="88"/>
      <c r="AZY36" s="88"/>
      <c r="AZZ36" s="88"/>
      <c r="BAA36" s="88"/>
      <c r="BAB36" s="88"/>
      <c r="BAC36" s="88"/>
      <c r="BAD36" s="88"/>
      <c r="BAE36" s="88"/>
      <c r="BAF36" s="88"/>
      <c r="BAG36" s="88"/>
      <c r="BAH36" s="88"/>
      <c r="BAI36" s="88"/>
      <c r="BAJ36" s="88"/>
      <c r="BAK36" s="88"/>
      <c r="BAL36" s="88"/>
      <c r="BAM36" s="88"/>
      <c r="BAN36" s="88"/>
      <c r="BAO36" s="88"/>
      <c r="BAP36" s="88"/>
      <c r="BAQ36" s="88"/>
      <c r="BAR36" s="88"/>
      <c r="BAS36" s="88"/>
      <c r="BAT36" s="88"/>
      <c r="BAU36" s="88"/>
      <c r="BAV36" s="88"/>
      <c r="BAW36" s="88"/>
      <c r="BAX36" s="88"/>
      <c r="BAY36" s="88"/>
      <c r="BAZ36" s="88"/>
      <c r="BBA36" s="88"/>
      <c r="BBB36" s="88"/>
      <c r="BBC36" s="88"/>
      <c r="BBD36" s="88"/>
      <c r="BBE36" s="88"/>
      <c r="BBF36" s="88"/>
      <c r="BBG36" s="88"/>
      <c r="BBH36" s="88"/>
      <c r="BBI36" s="88"/>
      <c r="BBJ36" s="88"/>
      <c r="BBK36" s="88"/>
      <c r="BBL36" s="88"/>
      <c r="BBM36" s="88"/>
      <c r="BBN36" s="88"/>
      <c r="BBO36" s="88"/>
      <c r="BBP36" s="88"/>
      <c r="BBQ36" s="88"/>
      <c r="BBR36" s="88"/>
      <c r="BBS36" s="88"/>
      <c r="BBT36" s="88"/>
      <c r="BBU36" s="88"/>
      <c r="BBV36" s="88"/>
      <c r="BBW36" s="88"/>
      <c r="BBX36" s="88"/>
      <c r="BBY36" s="88"/>
      <c r="BBZ36" s="88"/>
      <c r="BCA36" s="88"/>
      <c r="BCB36" s="88"/>
      <c r="BCC36" s="88"/>
      <c r="BCD36" s="88"/>
      <c r="BCE36" s="88"/>
      <c r="BCF36" s="88"/>
      <c r="BCG36" s="88"/>
      <c r="BCH36" s="88"/>
      <c r="BCI36" s="88"/>
      <c r="BCJ36" s="88"/>
      <c r="BCK36" s="88"/>
      <c r="BCL36" s="88"/>
      <c r="BCM36" s="88"/>
      <c r="BCN36" s="88"/>
      <c r="BCO36" s="88"/>
      <c r="BCP36" s="88"/>
      <c r="BCQ36" s="88"/>
      <c r="BCR36" s="88"/>
      <c r="BCS36" s="88"/>
      <c r="BCT36" s="88"/>
      <c r="BCU36" s="88"/>
      <c r="BCV36" s="88"/>
      <c r="BCW36" s="88"/>
      <c r="BCX36" s="88"/>
      <c r="BCY36" s="88"/>
      <c r="BCZ36" s="88"/>
      <c r="BDA36" s="88"/>
      <c r="BDB36" s="88"/>
      <c r="BDC36" s="88"/>
      <c r="BDD36" s="88"/>
      <c r="BDE36" s="88"/>
      <c r="BDF36" s="88"/>
      <c r="BDG36" s="88"/>
      <c r="BDH36" s="88"/>
      <c r="BDI36" s="88"/>
      <c r="BDJ36" s="88"/>
      <c r="BDK36" s="88"/>
      <c r="BDL36" s="88"/>
      <c r="BDM36" s="88"/>
      <c r="BDN36" s="88"/>
      <c r="BDO36" s="88"/>
      <c r="BDP36" s="88"/>
      <c r="BDQ36" s="88"/>
      <c r="BDR36" s="88"/>
      <c r="BDS36" s="88"/>
      <c r="BDT36" s="88"/>
      <c r="BDU36" s="88"/>
      <c r="BDV36" s="88"/>
      <c r="BDW36" s="88"/>
      <c r="BDX36" s="88"/>
      <c r="BDY36" s="88"/>
      <c r="BDZ36" s="88"/>
      <c r="BEA36" s="88"/>
      <c r="BEB36" s="88"/>
      <c r="BEC36" s="88"/>
      <c r="BED36" s="88"/>
      <c r="BEE36" s="88"/>
      <c r="BEF36" s="88"/>
      <c r="BEG36" s="88"/>
      <c r="BEH36" s="88"/>
      <c r="BEI36" s="88"/>
      <c r="BEJ36" s="88"/>
      <c r="BEK36" s="88"/>
      <c r="BEL36" s="88"/>
      <c r="BEM36" s="88"/>
      <c r="BEN36" s="88"/>
      <c r="BEO36" s="88"/>
      <c r="BEP36" s="88"/>
      <c r="BEQ36" s="88"/>
      <c r="BER36" s="88"/>
      <c r="BES36" s="88"/>
      <c r="BET36" s="88"/>
      <c r="BEU36" s="88"/>
      <c r="BEV36" s="88"/>
      <c r="BEW36" s="88"/>
      <c r="BEX36" s="88"/>
      <c r="BEY36" s="88"/>
      <c r="BEZ36" s="88"/>
      <c r="BFA36" s="88"/>
      <c r="BFB36" s="88"/>
      <c r="BFC36" s="88"/>
      <c r="BFD36" s="88"/>
      <c r="BFE36" s="88"/>
      <c r="BFF36" s="88"/>
      <c r="BFG36" s="88"/>
      <c r="BFH36" s="88"/>
      <c r="BFI36" s="88"/>
      <c r="BFJ36" s="88"/>
      <c r="BFK36" s="88"/>
      <c r="BFL36" s="88"/>
      <c r="BFM36" s="88"/>
      <c r="BFN36" s="88"/>
      <c r="BFO36" s="88"/>
      <c r="BFP36" s="88"/>
      <c r="BFQ36" s="88"/>
      <c r="BFR36" s="88"/>
      <c r="BFS36" s="88"/>
      <c r="BFT36" s="88"/>
      <c r="BFU36" s="88"/>
      <c r="BFV36" s="88"/>
      <c r="BFW36" s="88"/>
      <c r="BFX36" s="88"/>
      <c r="BFY36" s="88"/>
      <c r="BFZ36" s="88"/>
      <c r="BGA36" s="88"/>
      <c r="BGB36" s="88"/>
      <c r="BGC36" s="88"/>
      <c r="BGD36" s="88"/>
      <c r="BGE36" s="88"/>
      <c r="BGF36" s="88"/>
      <c r="BGG36" s="88"/>
      <c r="BGH36" s="88"/>
      <c r="BGI36" s="88"/>
      <c r="BGJ36" s="88"/>
      <c r="BGK36" s="88"/>
      <c r="BGL36" s="88"/>
      <c r="BGM36" s="88"/>
      <c r="BGN36" s="88"/>
      <c r="BGO36" s="88"/>
      <c r="BGP36" s="88"/>
      <c r="BGQ36" s="88"/>
      <c r="BGR36" s="88"/>
      <c r="BGS36" s="88"/>
      <c r="BGT36" s="88"/>
      <c r="BGU36" s="88"/>
      <c r="BGV36" s="88"/>
      <c r="BGW36" s="88"/>
      <c r="BGX36" s="88"/>
      <c r="BGY36" s="88"/>
      <c r="BGZ36" s="88"/>
      <c r="BHA36" s="88"/>
      <c r="BHB36" s="88"/>
      <c r="BHC36" s="88"/>
      <c r="BHD36" s="88"/>
      <c r="BHE36" s="88"/>
      <c r="BHF36" s="88"/>
      <c r="BHG36" s="88"/>
      <c r="BHH36" s="88"/>
      <c r="BHI36" s="88"/>
      <c r="BHJ36" s="88"/>
      <c r="BHK36" s="88"/>
      <c r="BHL36" s="88"/>
      <c r="BHM36" s="88"/>
      <c r="BHN36" s="88"/>
      <c r="BHO36" s="88"/>
      <c r="BHP36" s="88"/>
      <c r="BHQ36" s="88"/>
      <c r="BHR36" s="88"/>
      <c r="BHS36" s="88"/>
      <c r="BHT36" s="88"/>
      <c r="BHU36" s="88"/>
      <c r="BHV36" s="88"/>
      <c r="BHW36" s="88"/>
      <c r="BHX36" s="88"/>
      <c r="BHY36" s="88"/>
      <c r="BHZ36" s="88"/>
      <c r="BIA36" s="88"/>
      <c r="BIB36" s="88"/>
      <c r="BIC36" s="88"/>
      <c r="BID36" s="88"/>
      <c r="BIE36" s="88"/>
      <c r="BIF36" s="88"/>
      <c r="BIG36" s="88"/>
      <c r="BIH36" s="88"/>
      <c r="BII36" s="88"/>
      <c r="BIJ36" s="88"/>
      <c r="BIK36" s="88"/>
      <c r="BIL36" s="88"/>
      <c r="BIM36" s="88"/>
      <c r="BIN36" s="88"/>
      <c r="BIO36" s="88"/>
      <c r="BIP36" s="88"/>
      <c r="BIQ36" s="88"/>
      <c r="BIR36" s="88"/>
      <c r="BIS36" s="88"/>
      <c r="BIT36" s="88"/>
      <c r="BIU36" s="88"/>
      <c r="BIV36" s="88"/>
      <c r="BIW36" s="88"/>
      <c r="BIX36" s="88"/>
      <c r="BIY36" s="88"/>
      <c r="BIZ36" s="88"/>
      <c r="BJA36" s="88"/>
      <c r="BJB36" s="88"/>
      <c r="BJC36" s="88"/>
      <c r="BJD36" s="88"/>
      <c r="BJE36" s="88"/>
      <c r="BJF36" s="88"/>
      <c r="BJG36" s="88"/>
      <c r="BJH36" s="88"/>
      <c r="BJI36" s="88"/>
      <c r="BJJ36" s="88"/>
      <c r="BJK36" s="88"/>
      <c r="BJL36" s="88"/>
      <c r="BJM36" s="88"/>
      <c r="BJN36" s="88"/>
      <c r="BJO36" s="88"/>
      <c r="BJP36" s="88"/>
      <c r="BJQ36" s="88"/>
      <c r="BJR36" s="88"/>
      <c r="BJS36" s="88"/>
      <c r="BJT36" s="88"/>
      <c r="BJU36" s="88"/>
      <c r="BJV36" s="88"/>
      <c r="BJW36" s="88"/>
      <c r="BJX36" s="88"/>
      <c r="BJY36" s="88"/>
      <c r="BJZ36" s="88"/>
      <c r="BKA36" s="88"/>
      <c r="BKB36" s="88"/>
      <c r="BKC36" s="88"/>
      <c r="BKD36" s="88"/>
      <c r="BKE36" s="88"/>
      <c r="BKF36" s="88"/>
      <c r="BKG36" s="88"/>
      <c r="BKH36" s="88"/>
      <c r="BKI36" s="88"/>
      <c r="BKJ36" s="88"/>
      <c r="BKK36" s="88"/>
      <c r="BKL36" s="88"/>
      <c r="BKM36" s="88"/>
      <c r="BKN36" s="88"/>
      <c r="BKO36" s="88"/>
      <c r="BKP36" s="88"/>
      <c r="BKQ36" s="88"/>
      <c r="BKR36" s="88"/>
      <c r="BKS36" s="88"/>
      <c r="BKT36" s="88"/>
      <c r="BKU36" s="88"/>
      <c r="BKV36" s="88"/>
      <c r="BKW36" s="88"/>
      <c r="BKX36" s="88"/>
      <c r="BKY36" s="88"/>
      <c r="BKZ36" s="88"/>
      <c r="BLA36" s="88"/>
      <c r="BLB36" s="88"/>
      <c r="BLC36" s="88"/>
      <c r="BLD36" s="88"/>
      <c r="BLE36" s="88"/>
      <c r="BLF36" s="88"/>
      <c r="BLG36" s="88"/>
      <c r="BLH36" s="88"/>
      <c r="BLI36" s="88"/>
      <c r="BLJ36" s="88"/>
      <c r="BLK36" s="88"/>
      <c r="BLL36" s="88"/>
      <c r="BLM36" s="88"/>
      <c r="BLN36" s="88"/>
      <c r="BLO36" s="88"/>
      <c r="BLP36" s="88"/>
      <c r="BLQ36" s="88"/>
      <c r="BLR36" s="88"/>
      <c r="BLS36" s="88"/>
      <c r="BLT36" s="88"/>
      <c r="BLU36" s="88"/>
      <c r="BLV36" s="88"/>
      <c r="BLW36" s="88"/>
      <c r="BLX36" s="88"/>
      <c r="BLY36" s="88"/>
      <c r="BLZ36" s="88"/>
      <c r="BMA36" s="88"/>
      <c r="BMB36" s="88"/>
      <c r="BMC36" s="88"/>
      <c r="BMD36" s="88"/>
      <c r="BME36" s="88"/>
      <c r="BMF36" s="88"/>
      <c r="BMG36" s="88"/>
      <c r="BMH36" s="88"/>
      <c r="BMI36" s="88"/>
      <c r="BMJ36" s="88"/>
      <c r="BMK36" s="88"/>
      <c r="BML36" s="88"/>
      <c r="BMM36" s="88"/>
      <c r="BMN36" s="88"/>
      <c r="BMO36" s="88"/>
      <c r="BMP36" s="88"/>
      <c r="BMQ36" s="88"/>
      <c r="BMR36" s="88"/>
      <c r="BMS36" s="88"/>
      <c r="BMT36" s="88"/>
      <c r="BMU36" s="88"/>
      <c r="BMV36" s="88"/>
      <c r="BMW36" s="88"/>
      <c r="BMX36" s="88"/>
      <c r="BMY36" s="88"/>
      <c r="BMZ36" s="88"/>
      <c r="BNA36" s="88"/>
      <c r="BNB36" s="88"/>
      <c r="BNC36" s="88"/>
      <c r="BND36" s="88"/>
      <c r="BNE36" s="88"/>
      <c r="BNF36" s="88"/>
      <c r="BNG36" s="88"/>
      <c r="BNH36" s="88"/>
      <c r="BNI36" s="88"/>
      <c r="BNJ36" s="88"/>
      <c r="BNK36" s="88"/>
      <c r="BNL36" s="88"/>
      <c r="BNM36" s="88"/>
      <c r="BNN36" s="88"/>
      <c r="BNO36" s="88"/>
      <c r="BNP36" s="88"/>
      <c r="BNQ36" s="88"/>
      <c r="BNR36" s="88"/>
      <c r="BNS36" s="88"/>
      <c r="BNT36" s="88"/>
      <c r="BNU36" s="88"/>
      <c r="BNV36" s="88"/>
      <c r="BNW36" s="88"/>
      <c r="BNX36" s="88"/>
      <c r="BNY36" s="88"/>
      <c r="BNZ36" s="88"/>
      <c r="BOA36" s="88"/>
      <c r="BOB36" s="88"/>
      <c r="BOC36" s="88"/>
      <c r="BOD36" s="88"/>
      <c r="BOE36" s="88"/>
      <c r="BOF36" s="88"/>
      <c r="BOG36" s="88"/>
      <c r="BOH36" s="88"/>
      <c r="BOI36" s="88"/>
      <c r="BOJ36" s="88"/>
      <c r="BOK36" s="88"/>
      <c r="BOL36" s="88"/>
      <c r="BOM36" s="88"/>
      <c r="BON36" s="88"/>
      <c r="BOO36" s="88"/>
      <c r="BOP36" s="88"/>
      <c r="BOQ36" s="88"/>
      <c r="BOR36" s="88"/>
      <c r="BOS36" s="88"/>
      <c r="BOT36" s="88"/>
      <c r="BOU36" s="88"/>
      <c r="BOV36" s="88"/>
      <c r="BOW36" s="88"/>
      <c r="BOX36" s="88"/>
      <c r="BOY36" s="88"/>
      <c r="BOZ36" s="88"/>
      <c r="BPA36" s="88"/>
      <c r="BPB36" s="88"/>
      <c r="BPC36" s="88"/>
      <c r="BPD36" s="88"/>
      <c r="BPE36" s="88"/>
      <c r="BPF36" s="88"/>
      <c r="BPG36" s="88"/>
      <c r="BPH36" s="88"/>
      <c r="BPI36" s="88"/>
      <c r="BPJ36" s="88"/>
      <c r="BPK36" s="88"/>
      <c r="BPL36" s="88"/>
      <c r="BPM36" s="88"/>
      <c r="BPN36" s="88"/>
      <c r="BPO36" s="88"/>
      <c r="BPP36" s="88"/>
      <c r="BPQ36" s="88"/>
      <c r="BPR36" s="88"/>
      <c r="BPS36" s="88"/>
      <c r="BPT36" s="88"/>
      <c r="BPU36" s="88"/>
      <c r="BPV36" s="88"/>
      <c r="BPW36" s="88"/>
      <c r="BPX36" s="88"/>
      <c r="BPY36" s="88"/>
      <c r="BPZ36" s="88"/>
      <c r="BQA36" s="88"/>
      <c r="BQB36" s="88"/>
      <c r="BQC36" s="88"/>
      <c r="BQD36" s="88"/>
      <c r="BQE36" s="88"/>
      <c r="BQF36" s="88"/>
      <c r="BQG36" s="88"/>
      <c r="BQH36" s="88"/>
      <c r="BQI36" s="88"/>
      <c r="BQJ36" s="88"/>
      <c r="BQK36" s="88"/>
      <c r="BQL36" s="88"/>
      <c r="BQM36" s="88"/>
      <c r="BQN36" s="88"/>
      <c r="BQO36" s="88"/>
      <c r="BQP36" s="88"/>
      <c r="BQQ36" s="88"/>
      <c r="BQR36" s="88"/>
      <c r="BQS36" s="88"/>
      <c r="BQT36" s="88"/>
      <c r="BQU36" s="88"/>
      <c r="BQV36" s="88"/>
      <c r="BQW36" s="88"/>
      <c r="BQX36" s="88"/>
      <c r="BQY36" s="88"/>
      <c r="BQZ36" s="88"/>
      <c r="BRA36" s="88"/>
      <c r="BRB36" s="88"/>
      <c r="BRC36" s="88"/>
      <c r="BRD36" s="88"/>
      <c r="BRE36" s="88"/>
      <c r="BRF36" s="88"/>
      <c r="BRG36" s="88"/>
      <c r="BRH36" s="88"/>
      <c r="BRI36" s="88"/>
      <c r="BRJ36" s="88"/>
      <c r="BRK36" s="88"/>
      <c r="BRL36" s="88"/>
      <c r="BRM36" s="88"/>
      <c r="BRN36" s="88"/>
      <c r="BRO36" s="88"/>
      <c r="BRP36" s="88"/>
      <c r="BRQ36" s="88"/>
      <c r="BRR36" s="88"/>
      <c r="BRS36" s="88"/>
      <c r="BRT36" s="88"/>
      <c r="BRU36" s="88"/>
      <c r="BRV36" s="88"/>
      <c r="BRW36" s="88"/>
      <c r="BRX36" s="88"/>
      <c r="BRY36" s="88"/>
      <c r="BRZ36" s="88"/>
      <c r="BSA36" s="88"/>
      <c r="BSB36" s="88"/>
      <c r="BSC36" s="88"/>
      <c r="BSD36" s="88"/>
      <c r="BSE36" s="88"/>
      <c r="BSF36" s="88"/>
      <c r="BSG36" s="88"/>
      <c r="BSH36" s="88"/>
      <c r="BSI36" s="88"/>
      <c r="BSJ36" s="88"/>
      <c r="BSK36" s="88"/>
      <c r="BSL36" s="88"/>
      <c r="BSM36" s="88"/>
      <c r="BSN36" s="88"/>
      <c r="BSO36" s="88"/>
      <c r="BSP36" s="88"/>
      <c r="BSQ36" s="88"/>
      <c r="BSR36" s="88"/>
      <c r="BSS36" s="88"/>
      <c r="BST36" s="88"/>
      <c r="BSU36" s="88"/>
      <c r="BSV36" s="88"/>
      <c r="BSW36" s="88"/>
      <c r="BSX36" s="88"/>
      <c r="BSY36" s="88"/>
      <c r="BSZ36" s="88"/>
      <c r="BTA36" s="88"/>
      <c r="BTB36" s="88"/>
      <c r="BTC36" s="88"/>
      <c r="BTD36" s="88"/>
      <c r="BTE36" s="88"/>
      <c r="BTF36" s="88"/>
      <c r="BTG36" s="88"/>
      <c r="BTH36" s="88"/>
      <c r="BTI36" s="88"/>
      <c r="BTJ36" s="88"/>
      <c r="BTK36" s="88"/>
      <c r="BTL36" s="88"/>
      <c r="BTM36" s="88"/>
      <c r="BTN36" s="88"/>
      <c r="BTO36" s="88"/>
      <c r="BTP36" s="88"/>
      <c r="BTQ36" s="88"/>
      <c r="BTR36" s="88"/>
      <c r="BTS36" s="88"/>
      <c r="BTT36" s="88"/>
      <c r="BTU36" s="88"/>
      <c r="BTV36" s="88"/>
      <c r="BTW36" s="88"/>
      <c r="BTX36" s="88"/>
      <c r="BTY36" s="88"/>
      <c r="BTZ36" s="88"/>
      <c r="BUA36" s="88"/>
      <c r="BUB36" s="88"/>
      <c r="BUC36" s="88"/>
      <c r="BUD36" s="88"/>
      <c r="BUE36" s="88"/>
      <c r="BUF36" s="88"/>
      <c r="BUG36" s="88"/>
      <c r="BUH36" s="88"/>
      <c r="BUI36" s="88"/>
      <c r="BUJ36" s="88"/>
      <c r="BUK36" s="88"/>
      <c r="BUL36" s="88"/>
      <c r="BUM36" s="88"/>
      <c r="BUN36" s="88"/>
      <c r="BUO36" s="88"/>
      <c r="BUP36" s="88"/>
      <c r="BUQ36" s="88"/>
      <c r="BUR36" s="88"/>
      <c r="BUS36" s="88"/>
      <c r="BUT36" s="88"/>
      <c r="BUU36" s="88"/>
      <c r="BUV36" s="88"/>
      <c r="BUW36" s="88"/>
      <c r="BUX36" s="88"/>
      <c r="BUY36" s="88"/>
      <c r="BUZ36" s="88"/>
      <c r="BVA36" s="88"/>
      <c r="BVB36" s="88"/>
      <c r="BVC36" s="88"/>
      <c r="BVD36" s="88"/>
      <c r="BVE36" s="88"/>
      <c r="BVF36" s="88"/>
      <c r="BVG36" s="88"/>
      <c r="BVH36" s="88"/>
      <c r="BVI36" s="88"/>
      <c r="BVJ36" s="88"/>
      <c r="BVK36" s="88"/>
      <c r="BVL36" s="88"/>
      <c r="BVM36" s="88"/>
      <c r="BVN36" s="88"/>
      <c r="BVO36" s="88"/>
      <c r="BVP36" s="88"/>
      <c r="BVQ36" s="88"/>
      <c r="BVR36" s="88"/>
      <c r="BVS36" s="88"/>
      <c r="BVT36" s="88"/>
      <c r="BVU36" s="88"/>
      <c r="BVV36" s="88"/>
      <c r="BVW36" s="88"/>
      <c r="BVX36" s="88"/>
      <c r="BVY36" s="88"/>
      <c r="BVZ36" s="88"/>
      <c r="BWA36" s="88"/>
      <c r="BWB36" s="88"/>
      <c r="BWC36" s="88"/>
      <c r="BWD36" s="88"/>
      <c r="BWE36" s="88"/>
      <c r="BWF36" s="88"/>
      <c r="BWG36" s="88"/>
      <c r="BWH36" s="88"/>
      <c r="BWI36" s="88"/>
      <c r="BWJ36" s="88"/>
      <c r="BWK36" s="88"/>
      <c r="BWL36" s="88"/>
      <c r="BWM36" s="88"/>
      <c r="BWN36" s="88"/>
      <c r="BWO36" s="88"/>
      <c r="BWP36" s="88"/>
      <c r="BWQ36" s="88"/>
      <c r="BWR36" s="88"/>
      <c r="BWS36" s="88"/>
      <c r="BWT36" s="88"/>
      <c r="BWU36" s="88"/>
      <c r="BWV36" s="88"/>
      <c r="BWW36" s="88"/>
      <c r="BWX36" s="88"/>
      <c r="BWY36" s="88"/>
      <c r="BWZ36" s="88"/>
      <c r="BXA36" s="88"/>
      <c r="BXB36" s="88"/>
      <c r="BXC36" s="88"/>
      <c r="BXD36" s="88"/>
      <c r="BXE36" s="88"/>
      <c r="BXF36" s="88"/>
      <c r="BXG36" s="88"/>
      <c r="BXH36" s="88"/>
      <c r="BXI36" s="88"/>
      <c r="BXJ36" s="88"/>
      <c r="BXK36" s="88"/>
      <c r="BXL36" s="88"/>
      <c r="BXM36" s="88"/>
      <c r="BXN36" s="88"/>
      <c r="BXO36" s="88"/>
      <c r="BXP36" s="88"/>
      <c r="BXQ36" s="88"/>
      <c r="BXR36" s="88"/>
      <c r="BXS36" s="88"/>
      <c r="BXT36" s="88"/>
      <c r="BXU36" s="88"/>
      <c r="BXV36" s="88"/>
      <c r="BXW36" s="88"/>
      <c r="BXX36" s="88"/>
      <c r="BXY36" s="88"/>
      <c r="BXZ36" s="88"/>
      <c r="BYA36" s="88"/>
      <c r="BYB36" s="88"/>
      <c r="BYC36" s="88"/>
      <c r="BYD36" s="88"/>
      <c r="BYE36" s="88"/>
      <c r="BYF36" s="88"/>
      <c r="BYG36" s="88"/>
      <c r="BYH36" s="88"/>
      <c r="BYI36" s="88"/>
      <c r="BYJ36" s="88"/>
      <c r="BYK36" s="88"/>
      <c r="BYL36" s="88"/>
      <c r="BYM36" s="88"/>
      <c r="BYN36" s="88"/>
      <c r="BYO36" s="88"/>
      <c r="BYP36" s="88"/>
      <c r="BYQ36" s="88"/>
      <c r="BYR36" s="88"/>
      <c r="BYS36" s="88"/>
      <c r="BYT36" s="88"/>
      <c r="BYU36" s="88"/>
      <c r="BYV36" s="88"/>
      <c r="BYW36" s="88"/>
      <c r="BYX36" s="88"/>
      <c r="BYY36" s="88"/>
      <c r="BYZ36" s="88"/>
      <c r="BZA36" s="88"/>
      <c r="BZB36" s="88"/>
      <c r="BZC36" s="88"/>
      <c r="BZD36" s="88"/>
      <c r="BZE36" s="88"/>
      <c r="BZF36" s="88"/>
      <c r="BZG36" s="88"/>
      <c r="BZH36" s="88"/>
      <c r="BZI36" s="88"/>
      <c r="BZJ36" s="88"/>
      <c r="BZK36" s="88"/>
      <c r="BZL36" s="88"/>
      <c r="BZM36" s="88"/>
      <c r="BZN36" s="88"/>
      <c r="BZO36" s="88"/>
      <c r="BZP36" s="88"/>
      <c r="BZQ36" s="88"/>
      <c r="BZR36" s="88"/>
      <c r="BZS36" s="88"/>
      <c r="BZT36" s="88"/>
      <c r="BZU36" s="88"/>
      <c r="BZV36" s="88"/>
      <c r="BZW36" s="88"/>
      <c r="BZX36" s="88"/>
      <c r="BZY36" s="88"/>
      <c r="BZZ36" s="88"/>
      <c r="CAA36" s="88"/>
      <c r="CAB36" s="88"/>
      <c r="CAC36" s="88"/>
      <c r="CAD36" s="88"/>
      <c r="CAE36" s="88"/>
      <c r="CAF36" s="88"/>
      <c r="CAG36" s="88"/>
      <c r="CAH36" s="88"/>
      <c r="CAI36" s="88"/>
      <c r="CAJ36" s="88"/>
      <c r="CAK36" s="88"/>
      <c r="CAL36" s="88"/>
      <c r="CAM36" s="88"/>
      <c r="CAN36" s="88"/>
      <c r="CAO36" s="88"/>
      <c r="CAP36" s="88"/>
      <c r="CAQ36" s="88"/>
      <c r="CAR36" s="88"/>
      <c r="CAS36" s="88"/>
      <c r="CAT36" s="88"/>
      <c r="CAU36" s="88"/>
      <c r="CAV36" s="88"/>
      <c r="CAW36" s="88"/>
      <c r="CAX36" s="88"/>
      <c r="CAY36" s="88"/>
      <c r="CAZ36" s="88"/>
      <c r="CBA36" s="88"/>
      <c r="CBB36" s="88"/>
      <c r="CBC36" s="88"/>
      <c r="CBD36" s="88"/>
      <c r="CBE36" s="88"/>
      <c r="CBF36" s="88"/>
      <c r="CBG36" s="88"/>
      <c r="CBH36" s="88"/>
      <c r="CBI36" s="88"/>
      <c r="CBJ36" s="88"/>
      <c r="CBK36" s="88"/>
      <c r="CBL36" s="88"/>
      <c r="CBM36" s="88"/>
      <c r="CBN36" s="88"/>
      <c r="CBO36" s="88"/>
      <c r="CBP36" s="88"/>
      <c r="CBQ36" s="88"/>
      <c r="CBR36" s="88"/>
      <c r="CBS36" s="88"/>
      <c r="CBT36" s="88"/>
      <c r="CBU36" s="88"/>
      <c r="CBV36" s="88"/>
      <c r="CBW36" s="88"/>
      <c r="CBX36" s="88"/>
      <c r="CBY36" s="88"/>
      <c r="CBZ36" s="88"/>
      <c r="CCA36" s="88"/>
      <c r="CCB36" s="88"/>
      <c r="CCC36" s="88"/>
      <c r="CCD36" s="88"/>
      <c r="CCE36" s="88"/>
      <c r="CCF36" s="88"/>
      <c r="CCG36" s="88"/>
      <c r="CCH36" s="88"/>
      <c r="CCI36" s="88"/>
      <c r="CCJ36" s="88"/>
      <c r="CCK36" s="88"/>
      <c r="CCL36" s="88"/>
      <c r="CCM36" s="88"/>
      <c r="CCN36" s="88"/>
      <c r="CCO36" s="88"/>
      <c r="CCP36" s="88"/>
      <c r="CCQ36" s="88"/>
      <c r="CCR36" s="88"/>
      <c r="CCS36" s="88"/>
      <c r="CCT36" s="88"/>
      <c r="CCU36" s="88"/>
      <c r="CCV36" s="88"/>
      <c r="CCW36" s="88"/>
      <c r="CCX36" s="88"/>
      <c r="CCY36" s="88"/>
      <c r="CCZ36" s="88"/>
      <c r="CDA36" s="88"/>
      <c r="CDB36" s="88"/>
      <c r="CDC36" s="88"/>
      <c r="CDD36" s="88"/>
      <c r="CDE36" s="88"/>
      <c r="CDF36" s="88"/>
      <c r="CDG36" s="88"/>
      <c r="CDH36" s="88"/>
      <c r="CDI36" s="88"/>
      <c r="CDJ36" s="88"/>
      <c r="CDK36" s="88"/>
      <c r="CDL36" s="88"/>
      <c r="CDM36" s="88"/>
      <c r="CDN36" s="88"/>
      <c r="CDO36" s="88"/>
      <c r="CDP36" s="88"/>
      <c r="CDQ36" s="88"/>
      <c r="CDR36" s="88"/>
      <c r="CDS36" s="88"/>
      <c r="CDT36" s="88"/>
      <c r="CDU36" s="88"/>
      <c r="CDV36" s="88"/>
      <c r="CDW36" s="88"/>
      <c r="CDX36" s="88"/>
      <c r="CDY36" s="88"/>
      <c r="CDZ36" s="88"/>
      <c r="CEA36" s="88"/>
      <c r="CEB36" s="88"/>
      <c r="CEC36" s="88"/>
      <c r="CED36" s="88"/>
      <c r="CEE36" s="88"/>
      <c r="CEF36" s="88"/>
      <c r="CEG36" s="88"/>
      <c r="CEH36" s="88"/>
      <c r="CEI36" s="88"/>
      <c r="CEJ36" s="88"/>
      <c r="CEK36" s="88"/>
    </row>
    <row r="37" spans="1:2169" s="63" customFormat="1">
      <c r="A37" s="73" t="s">
        <v>2852</v>
      </c>
      <c r="B37" s="71" t="s">
        <v>2853</v>
      </c>
      <c r="C37" s="68" t="str">
        <f>IF('page 2'!$O$4="","",IF('page 2'!$O$4=Gestion!A37,1,0))</f>
        <v/>
      </c>
      <c r="D37" s="68" t="str">
        <f>IF('page 2'!$O$5="","",IF('page 2'!$O$5=Gestion!A37,1,0))</f>
        <v/>
      </c>
      <c r="E37" s="68" t="str">
        <f>IF('page 2'!$O$6="","",IF('page 2'!$O$6=Gestion!A37,1,0))</f>
        <v/>
      </c>
      <c r="F37" s="68" t="str">
        <f>IF('page 2'!$O$7="","",IF('page 2'!$O$7=Gestion!A37,1,0))</f>
        <v/>
      </c>
      <c r="G37" s="68" t="str">
        <f>IF('page 2'!$O$8="","",IF('page 2'!$O$8=Gestion!A37,1,0))</f>
        <v/>
      </c>
      <c r="H37" s="68" t="str">
        <f>IF('page 2'!$O$9="","",IF('page 2'!$O$9=Gestion!A37,1,0))</f>
        <v/>
      </c>
      <c r="I37" s="68" t="str">
        <f>IF('page 2'!$O$10="","",IF('page 2'!$O$10=Gestion!A37,1,0))</f>
        <v/>
      </c>
      <c r="J37" s="68" t="str">
        <f>IF('page 2'!$O$11="","",IF('page 2'!$O$11=Gestion!A37,1,0))</f>
        <v/>
      </c>
      <c r="K37" s="68" t="str">
        <f>IF('page 2'!$O$12="","",IF('page 2'!$O$12=Gestion!A37,1,0))</f>
        <v/>
      </c>
      <c r="L37" s="68" t="str">
        <f>IF('page 2'!$O$13="","",IF('page 2'!$O$13=Gestion!A37,1,0))</f>
        <v/>
      </c>
      <c r="M37" s="68" t="str">
        <f>IF('page 2'!$O$14="","",IF('page 2'!$O$14=Gestion!A37,1,0))</f>
        <v/>
      </c>
      <c r="N37" s="68" t="str">
        <f>IF('page 2'!$O$15="","",IF('page 2'!$O$15=Gestion!A37,1,0))</f>
        <v/>
      </c>
      <c r="O37" s="68" t="str">
        <f>IF('page 2'!$O$16="","",IF('page 2'!$O$16=Gestion!A37,1,0))</f>
        <v/>
      </c>
      <c r="P37" s="68" t="str">
        <f>IF('page 2'!$O$17="","",IF('page 2'!$O$17=Gestion!A37,1,0))</f>
        <v/>
      </c>
      <c r="Q37" s="68" t="str">
        <f>IF('page 2'!$O$18="","",IF('page 2'!$O$18=Gestion!A37,1,0))</f>
        <v/>
      </c>
      <c r="R37" s="68" t="str">
        <f>IF('page 2'!$O$19="","",IF('page 2'!$O$19=Gestion!A37,1,0))</f>
        <v/>
      </c>
      <c r="S37" s="68" t="str">
        <f>IF('page 2'!$O$20="","",IF('page 2'!$O$20=Gestion!A37,1,0))</f>
        <v/>
      </c>
      <c r="T37" s="68" t="str">
        <f>IF('page 2'!$O$25="","",IF('page 2'!$O$25=Gestion!A37,1,0))</f>
        <v/>
      </c>
      <c r="U37" s="68" t="str">
        <f>IF('page 2'!$O$26="","",IF('page 2'!$O$26=Gestion!A37,1,0))</f>
        <v/>
      </c>
      <c r="V37" s="68" t="str">
        <f>IF('page 2'!$O$27="","",IF('page 2'!$O$27=Gestion!A37,1,0))</f>
        <v/>
      </c>
      <c r="W37" s="722">
        <f t="shared" si="0"/>
        <v>0</v>
      </c>
      <c r="X37" s="714"/>
      <c r="Y37" s="68"/>
      <c r="Z37" s="68"/>
      <c r="AA37" s="68"/>
      <c r="AB37" s="68"/>
      <c r="AC37" s="68"/>
      <c r="AD37" s="68"/>
      <c r="AP37" s="130"/>
      <c r="AQ37" s="130"/>
      <c r="AR37" s="130"/>
      <c r="AS37" s="576"/>
      <c r="AT37" s="576"/>
      <c r="AU37" s="576"/>
      <c r="AV37" s="576"/>
      <c r="AW37" s="602"/>
      <c r="AX37" s="602"/>
      <c r="AY37" s="576"/>
      <c r="AZ37" s="576"/>
      <c r="BA37" s="576"/>
      <c r="BB37" s="576"/>
      <c r="BC37" s="576"/>
      <c r="BD37" s="602"/>
      <c r="BE37" s="602"/>
      <c r="BF37" s="602"/>
      <c r="BG37" s="602"/>
      <c r="BH37" s="602"/>
      <c r="BI37" s="602"/>
      <c r="BJ37" s="602"/>
      <c r="BK37" s="602"/>
      <c r="BL37" s="602"/>
      <c r="BM37" s="602"/>
      <c r="BN37" s="602"/>
      <c r="BO37" s="602"/>
      <c r="BP37" s="602"/>
      <c r="BQ37" s="602"/>
      <c r="BR37" s="602"/>
      <c r="BS37" s="576"/>
      <c r="BT37" s="576"/>
      <c r="BU37" s="576"/>
      <c r="BV37" s="576"/>
      <c r="BW37" s="602"/>
      <c r="BX37" s="602"/>
      <c r="BY37" s="602"/>
      <c r="BZ37" s="576"/>
      <c r="CA37" s="602"/>
      <c r="CB37" s="602"/>
      <c r="CC37" s="576"/>
      <c r="CD37" s="469"/>
      <c r="CE37" s="602"/>
      <c r="CF37" s="576"/>
      <c r="CG37" s="576"/>
      <c r="CH37" s="576"/>
      <c r="CI37" s="576"/>
      <c r="CJ37" s="576"/>
      <c r="CK37" s="602"/>
      <c r="CL37" s="602"/>
      <c r="CM37" s="576"/>
      <c r="CN37" s="602"/>
      <c r="CO37" s="602"/>
      <c r="CP37" s="602"/>
      <c r="CQ37" s="576"/>
      <c r="CR37" s="576"/>
      <c r="CS37" s="602"/>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c r="SK37" s="88"/>
      <c r="SL37" s="88"/>
      <c r="SM37" s="88"/>
      <c r="SN37" s="88"/>
      <c r="SO37" s="88"/>
      <c r="SP37" s="88"/>
      <c r="SQ37" s="88"/>
      <c r="SR37" s="88"/>
      <c r="SS37" s="88"/>
      <c r="ST37" s="88"/>
      <c r="SU37" s="88"/>
      <c r="SV37" s="88"/>
      <c r="SW37" s="88"/>
      <c r="SX37" s="88"/>
      <c r="SY37" s="88"/>
      <c r="SZ37" s="88"/>
      <c r="TA37" s="88"/>
      <c r="TB37" s="88"/>
      <c r="TC37" s="88"/>
      <c r="TD37" s="88"/>
      <c r="TE37" s="88"/>
      <c r="TF37" s="88"/>
      <c r="TG37" s="88"/>
      <c r="TH37" s="88"/>
      <c r="TI37" s="88"/>
      <c r="TJ37" s="88"/>
      <c r="TK37" s="88"/>
      <c r="TL37" s="88"/>
      <c r="TM37" s="88"/>
      <c r="TN37" s="88"/>
      <c r="TO37" s="88"/>
      <c r="TP37" s="88"/>
      <c r="TQ37" s="88"/>
      <c r="TR37" s="88"/>
      <c r="TS37" s="88"/>
      <c r="TT37" s="88"/>
      <c r="TU37" s="88"/>
      <c r="TV37" s="88"/>
      <c r="TW37" s="88"/>
      <c r="TX37" s="88"/>
      <c r="TY37" s="88"/>
      <c r="TZ37" s="88"/>
      <c r="UA37" s="88"/>
      <c r="UB37" s="88"/>
      <c r="UC37" s="88"/>
      <c r="UD37" s="88"/>
      <c r="UE37" s="88"/>
      <c r="UF37" s="88"/>
      <c r="UG37" s="88"/>
      <c r="UH37" s="88"/>
      <c r="UI37" s="88"/>
      <c r="UJ37" s="88"/>
      <c r="UK37" s="88"/>
      <c r="UL37" s="88"/>
      <c r="UM37" s="88"/>
      <c r="UN37" s="88"/>
      <c r="UO37" s="88"/>
      <c r="UP37" s="88"/>
      <c r="UQ37" s="88"/>
      <c r="UR37" s="88"/>
      <c r="US37" s="88"/>
      <c r="UT37" s="88"/>
      <c r="UU37" s="88"/>
      <c r="UV37" s="88"/>
      <c r="UW37" s="88"/>
      <c r="UX37" s="88"/>
      <c r="UY37" s="88"/>
      <c r="UZ37" s="88"/>
      <c r="VA37" s="88"/>
      <c r="VB37" s="88"/>
      <c r="VC37" s="88"/>
      <c r="VD37" s="88"/>
      <c r="VE37" s="88"/>
      <c r="VF37" s="88"/>
      <c r="VG37" s="88"/>
      <c r="VH37" s="88"/>
      <c r="VI37" s="88"/>
      <c r="VJ37" s="88"/>
      <c r="VK37" s="88"/>
      <c r="VL37" s="88"/>
      <c r="VM37" s="88"/>
      <c r="VN37" s="88"/>
      <c r="VO37" s="88"/>
      <c r="VP37" s="88"/>
      <c r="VQ37" s="88"/>
      <c r="VR37" s="88"/>
      <c r="VS37" s="88"/>
      <c r="VT37" s="88"/>
      <c r="VU37" s="88"/>
      <c r="VV37" s="88"/>
      <c r="VW37" s="88"/>
      <c r="VX37" s="88"/>
      <c r="VY37" s="88"/>
      <c r="VZ37" s="88"/>
      <c r="WA37" s="88"/>
      <c r="WB37" s="88"/>
      <c r="WC37" s="88"/>
      <c r="WD37" s="88"/>
      <c r="WE37" s="88"/>
      <c r="WF37" s="88"/>
      <c r="WG37" s="88"/>
      <c r="WH37" s="88"/>
      <c r="WI37" s="88"/>
      <c r="WJ37" s="88"/>
      <c r="WK37" s="88"/>
      <c r="WL37" s="88"/>
      <c r="WM37" s="88"/>
      <c r="WN37" s="88"/>
      <c r="WO37" s="88"/>
      <c r="WP37" s="88"/>
      <c r="WQ37" s="88"/>
      <c r="WR37" s="88"/>
      <c r="WS37" s="88"/>
      <c r="WT37" s="88"/>
      <c r="WU37" s="88"/>
      <c r="WV37" s="88"/>
      <c r="WW37" s="88"/>
      <c r="WX37" s="88"/>
      <c r="WY37" s="88"/>
      <c r="WZ37" s="88"/>
      <c r="XA37" s="88"/>
      <c r="XB37" s="88"/>
      <c r="XC37" s="88"/>
      <c r="XD37" s="88"/>
      <c r="XE37" s="88"/>
      <c r="XF37" s="88"/>
      <c r="XG37" s="88"/>
      <c r="XH37" s="88"/>
      <c r="XI37" s="88"/>
      <c r="XJ37" s="88"/>
      <c r="XK37" s="88"/>
      <c r="XL37" s="88"/>
      <c r="XM37" s="88"/>
      <c r="XN37" s="88"/>
      <c r="XO37" s="88"/>
      <c r="XP37" s="88"/>
      <c r="XQ37" s="88"/>
      <c r="XR37" s="88"/>
      <c r="XS37" s="88"/>
      <c r="XT37" s="88"/>
      <c r="XU37" s="88"/>
      <c r="XV37" s="88"/>
      <c r="XW37" s="88"/>
      <c r="XX37" s="88"/>
      <c r="XY37" s="88"/>
      <c r="XZ37" s="88"/>
      <c r="YA37" s="88"/>
      <c r="YB37" s="88"/>
      <c r="YC37" s="88"/>
      <c r="YD37" s="88"/>
      <c r="YE37" s="88"/>
      <c r="YF37" s="88"/>
      <c r="YG37" s="88"/>
      <c r="YH37" s="88"/>
      <c r="YI37" s="88"/>
      <c r="YJ37" s="88"/>
      <c r="YK37" s="88"/>
      <c r="YL37" s="88"/>
      <c r="YM37" s="88"/>
      <c r="YN37" s="88"/>
      <c r="YO37" s="88"/>
      <c r="YP37" s="88"/>
      <c r="YQ37" s="88"/>
      <c r="YR37" s="88"/>
      <c r="YS37" s="88"/>
      <c r="YT37" s="88"/>
      <c r="YU37" s="88"/>
      <c r="YV37" s="88"/>
      <c r="YW37" s="88"/>
      <c r="YX37" s="88"/>
      <c r="YY37" s="88"/>
      <c r="YZ37" s="88"/>
      <c r="ZA37" s="88"/>
      <c r="ZB37" s="88"/>
      <c r="ZC37" s="88"/>
      <c r="ZD37" s="88"/>
      <c r="ZE37" s="88"/>
      <c r="ZF37" s="88"/>
      <c r="ZG37" s="88"/>
      <c r="ZH37" s="88"/>
      <c r="ZI37" s="88"/>
      <c r="ZJ37" s="88"/>
      <c r="ZK37" s="88"/>
      <c r="ZL37" s="88"/>
      <c r="ZM37" s="88"/>
      <c r="ZN37" s="88"/>
      <c r="ZO37" s="88"/>
      <c r="ZP37" s="88"/>
      <c r="ZQ37" s="88"/>
      <c r="ZR37" s="88"/>
      <c r="ZS37" s="88"/>
      <c r="ZT37" s="88"/>
      <c r="ZU37" s="88"/>
      <c r="ZV37" s="88"/>
      <c r="ZW37" s="88"/>
      <c r="ZX37" s="88"/>
      <c r="ZY37" s="88"/>
      <c r="ZZ37" s="88"/>
      <c r="AAA37" s="88"/>
      <c r="AAB37" s="88"/>
      <c r="AAC37" s="88"/>
      <c r="AAD37" s="88"/>
      <c r="AAE37" s="88"/>
      <c r="AAF37" s="88"/>
      <c r="AAG37" s="88"/>
      <c r="AAH37" s="88"/>
      <c r="AAI37" s="88"/>
      <c r="AAJ37" s="88"/>
      <c r="AAK37" s="88"/>
      <c r="AAL37" s="88"/>
      <c r="AAM37" s="88"/>
      <c r="AAN37" s="88"/>
      <c r="AAO37" s="88"/>
      <c r="AAP37" s="88"/>
      <c r="AAQ37" s="88"/>
      <c r="AAR37" s="88"/>
      <c r="AAS37" s="88"/>
      <c r="AAT37" s="88"/>
      <c r="AAU37" s="88"/>
      <c r="AAV37" s="88"/>
      <c r="AAW37" s="88"/>
      <c r="AAX37" s="88"/>
      <c r="AAY37" s="88"/>
      <c r="AAZ37" s="88"/>
      <c r="ABA37" s="88"/>
      <c r="ABB37" s="88"/>
      <c r="ABC37" s="88"/>
      <c r="ABD37" s="88"/>
      <c r="ABE37" s="88"/>
      <c r="ABF37" s="88"/>
      <c r="ABG37" s="88"/>
      <c r="ABH37" s="88"/>
      <c r="ABI37" s="88"/>
      <c r="ABJ37" s="88"/>
      <c r="ABK37" s="88"/>
      <c r="ABL37" s="88"/>
      <c r="ABM37" s="88"/>
      <c r="ABN37" s="88"/>
      <c r="ABO37" s="88"/>
      <c r="ABP37" s="88"/>
      <c r="ABQ37" s="88"/>
      <c r="ABR37" s="88"/>
      <c r="ABS37" s="88"/>
      <c r="ABT37" s="88"/>
      <c r="ABU37" s="88"/>
      <c r="ABV37" s="88"/>
      <c r="ABW37" s="88"/>
      <c r="ABX37" s="88"/>
      <c r="ABY37" s="88"/>
      <c r="ABZ37" s="88"/>
      <c r="ACA37" s="88"/>
      <c r="ACB37" s="88"/>
      <c r="ACC37" s="88"/>
      <c r="ACD37" s="88"/>
      <c r="ACE37" s="88"/>
      <c r="ACF37" s="88"/>
      <c r="ACG37" s="88"/>
      <c r="ACH37" s="88"/>
      <c r="ACI37" s="88"/>
      <c r="ACJ37" s="88"/>
      <c r="ACK37" s="88"/>
      <c r="ACL37" s="88"/>
      <c r="ACM37" s="88"/>
      <c r="ACN37" s="88"/>
      <c r="ACO37" s="88"/>
      <c r="ACP37" s="88"/>
      <c r="ACQ37" s="88"/>
      <c r="ACR37" s="88"/>
      <c r="ACS37" s="88"/>
      <c r="ACT37" s="88"/>
      <c r="ACU37" s="88"/>
      <c r="ACV37" s="88"/>
      <c r="ACW37" s="88"/>
      <c r="ACX37" s="88"/>
      <c r="ACY37" s="88"/>
      <c r="ACZ37" s="88"/>
      <c r="ADA37" s="88"/>
      <c r="ADB37" s="88"/>
      <c r="ADC37" s="88"/>
      <c r="ADD37" s="88"/>
      <c r="ADE37" s="88"/>
      <c r="ADF37" s="88"/>
      <c r="ADG37" s="88"/>
      <c r="ADH37" s="88"/>
      <c r="ADI37" s="88"/>
      <c r="ADJ37" s="88"/>
      <c r="ADK37" s="88"/>
      <c r="ADL37" s="88"/>
      <c r="ADM37" s="88"/>
      <c r="ADN37" s="88"/>
      <c r="ADO37" s="88"/>
      <c r="ADP37" s="88"/>
      <c r="ADQ37" s="88"/>
      <c r="ADR37" s="88"/>
      <c r="ADS37" s="88"/>
      <c r="ADT37" s="88"/>
      <c r="ADU37" s="88"/>
      <c r="ADV37" s="88"/>
      <c r="ADW37" s="88"/>
      <c r="ADX37" s="88"/>
      <c r="ADY37" s="88"/>
      <c r="ADZ37" s="88"/>
      <c r="AEA37" s="88"/>
      <c r="AEB37" s="88"/>
      <c r="AEC37" s="88"/>
      <c r="AED37" s="88"/>
      <c r="AEE37" s="88"/>
      <c r="AEF37" s="88"/>
      <c r="AEG37" s="88"/>
      <c r="AEH37" s="88"/>
      <c r="AEI37" s="88"/>
      <c r="AEJ37" s="88"/>
      <c r="AEK37" s="88"/>
      <c r="AEL37" s="88"/>
      <c r="AEM37" s="88"/>
      <c r="AEN37" s="88"/>
      <c r="AEO37" s="88"/>
      <c r="AEP37" s="88"/>
      <c r="AEQ37" s="88"/>
      <c r="AER37" s="88"/>
      <c r="AES37" s="88"/>
      <c r="AET37" s="88"/>
      <c r="AEU37" s="88"/>
      <c r="AEV37" s="88"/>
      <c r="AEW37" s="88"/>
      <c r="AEX37" s="88"/>
      <c r="AEY37" s="88"/>
      <c r="AEZ37" s="88"/>
      <c r="AFA37" s="88"/>
      <c r="AFB37" s="88"/>
      <c r="AFC37" s="88"/>
      <c r="AFD37" s="88"/>
      <c r="AFE37" s="88"/>
      <c r="AFF37" s="88"/>
      <c r="AFG37" s="88"/>
      <c r="AFH37" s="88"/>
      <c r="AFI37" s="88"/>
      <c r="AFJ37" s="88"/>
      <c r="AFK37" s="88"/>
      <c r="AFL37" s="88"/>
      <c r="AFM37" s="88"/>
      <c r="AFN37" s="88"/>
      <c r="AFO37" s="88"/>
      <c r="AFP37" s="88"/>
      <c r="AFQ37" s="88"/>
      <c r="AFR37" s="88"/>
      <c r="AFS37" s="88"/>
      <c r="AFT37" s="88"/>
      <c r="AFU37" s="88"/>
      <c r="AFV37" s="88"/>
      <c r="AFW37" s="88"/>
      <c r="AFX37" s="88"/>
      <c r="AFY37" s="88"/>
      <c r="AFZ37" s="88"/>
      <c r="AGA37" s="88"/>
      <c r="AGB37" s="88"/>
      <c r="AGC37" s="88"/>
      <c r="AGD37" s="88"/>
      <c r="AGE37" s="88"/>
      <c r="AGF37" s="88"/>
      <c r="AGG37" s="88"/>
      <c r="AGH37" s="88"/>
      <c r="AGI37" s="88"/>
      <c r="AGJ37" s="88"/>
      <c r="AGK37" s="88"/>
      <c r="AGL37" s="88"/>
      <c r="AGM37" s="88"/>
      <c r="AGN37" s="88"/>
      <c r="AGO37" s="88"/>
      <c r="AGP37" s="88"/>
      <c r="AGQ37" s="88"/>
      <c r="AGR37" s="88"/>
      <c r="AGS37" s="88"/>
      <c r="AGT37" s="88"/>
      <c r="AGU37" s="88"/>
      <c r="AGV37" s="88"/>
      <c r="AGW37" s="88"/>
      <c r="AGX37" s="88"/>
      <c r="AGY37" s="88"/>
      <c r="AGZ37" s="88"/>
      <c r="AHA37" s="88"/>
      <c r="AHB37" s="88"/>
      <c r="AHC37" s="88"/>
      <c r="AHD37" s="88"/>
      <c r="AHE37" s="88"/>
      <c r="AHF37" s="88"/>
      <c r="AHG37" s="88"/>
      <c r="AHH37" s="88"/>
      <c r="AHI37" s="88"/>
      <c r="AHJ37" s="88"/>
      <c r="AHK37" s="88"/>
      <c r="AHL37" s="88"/>
      <c r="AHM37" s="88"/>
      <c r="AHN37" s="88"/>
      <c r="AHO37" s="88"/>
      <c r="AHP37" s="88"/>
      <c r="AHQ37" s="88"/>
      <c r="AHR37" s="88"/>
      <c r="AHS37" s="88"/>
      <c r="AHT37" s="88"/>
      <c r="AHU37" s="88"/>
      <c r="AHV37" s="88"/>
      <c r="AHW37" s="88"/>
      <c r="AHX37" s="88"/>
      <c r="AHY37" s="88"/>
      <c r="AHZ37" s="88"/>
      <c r="AIA37" s="88"/>
      <c r="AIB37" s="88"/>
      <c r="AIC37" s="88"/>
      <c r="AID37" s="88"/>
      <c r="AIE37" s="88"/>
      <c r="AIF37" s="88"/>
      <c r="AIG37" s="88"/>
      <c r="AIH37" s="88"/>
      <c r="AII37" s="88"/>
      <c r="AIJ37" s="88"/>
      <c r="AIK37" s="88"/>
      <c r="AIL37" s="88"/>
      <c r="AIM37" s="88"/>
      <c r="AIN37" s="88"/>
      <c r="AIO37" s="88"/>
      <c r="AIP37" s="88"/>
      <c r="AIQ37" s="88"/>
      <c r="AIR37" s="88"/>
      <c r="AIS37" s="88"/>
      <c r="AIT37" s="88"/>
      <c r="AIU37" s="88"/>
      <c r="AIV37" s="88"/>
      <c r="AIW37" s="88"/>
      <c r="AIX37" s="88"/>
      <c r="AIY37" s="88"/>
      <c r="AIZ37" s="88"/>
      <c r="AJA37" s="88"/>
      <c r="AJB37" s="88"/>
      <c r="AJC37" s="88"/>
      <c r="AJD37" s="88"/>
      <c r="AJE37" s="88"/>
      <c r="AJF37" s="88"/>
      <c r="AJG37" s="88"/>
      <c r="AJH37" s="88"/>
      <c r="AJI37" s="88"/>
      <c r="AJJ37" s="88"/>
      <c r="AJK37" s="88"/>
      <c r="AJL37" s="88"/>
      <c r="AJM37" s="88"/>
      <c r="AJN37" s="88"/>
      <c r="AJO37" s="88"/>
      <c r="AJP37" s="88"/>
      <c r="AJQ37" s="88"/>
      <c r="AJR37" s="88"/>
      <c r="AJS37" s="88"/>
      <c r="AJT37" s="88"/>
      <c r="AJU37" s="88"/>
      <c r="AJV37" s="88"/>
      <c r="AJW37" s="88"/>
      <c r="AJX37" s="88"/>
      <c r="AJY37" s="88"/>
      <c r="AJZ37" s="88"/>
      <c r="AKA37" s="88"/>
      <c r="AKB37" s="88"/>
      <c r="AKC37" s="88"/>
      <c r="AKD37" s="88"/>
      <c r="AKE37" s="88"/>
      <c r="AKF37" s="88"/>
      <c r="AKG37" s="88"/>
      <c r="AKH37" s="88"/>
      <c r="AKI37" s="88"/>
      <c r="AKJ37" s="88"/>
      <c r="AKK37" s="88"/>
      <c r="AKL37" s="88"/>
      <c r="AKM37" s="88"/>
      <c r="AKN37" s="88"/>
      <c r="AKO37" s="88"/>
      <c r="AKP37" s="88"/>
      <c r="AKQ37" s="88"/>
      <c r="AKR37" s="88"/>
      <c r="AKS37" s="88"/>
      <c r="AKT37" s="88"/>
      <c r="AKU37" s="88"/>
      <c r="AKV37" s="88"/>
      <c r="AKW37" s="88"/>
      <c r="AKX37" s="88"/>
      <c r="AKY37" s="88"/>
      <c r="AKZ37" s="88"/>
      <c r="ALA37" s="88"/>
      <c r="ALB37" s="88"/>
      <c r="ALC37" s="88"/>
      <c r="ALD37" s="88"/>
      <c r="ALE37" s="88"/>
      <c r="ALF37" s="88"/>
      <c r="ALG37" s="88"/>
      <c r="ALH37" s="88"/>
      <c r="ALI37" s="88"/>
      <c r="ALJ37" s="88"/>
      <c r="ALK37" s="88"/>
      <c r="ALL37" s="88"/>
      <c r="ALM37" s="88"/>
      <c r="ALN37" s="88"/>
      <c r="ALO37" s="88"/>
      <c r="ALP37" s="88"/>
      <c r="ALQ37" s="88"/>
      <c r="ALR37" s="88"/>
      <c r="ALS37" s="88"/>
      <c r="ALT37" s="88"/>
      <c r="ALU37" s="88"/>
      <c r="ALV37" s="88"/>
      <c r="ALW37" s="88"/>
      <c r="ALX37" s="88"/>
      <c r="ALY37" s="88"/>
      <c r="ALZ37" s="88"/>
      <c r="AMA37" s="88"/>
      <c r="AMB37" s="88"/>
      <c r="AMC37" s="88"/>
      <c r="AMD37" s="88"/>
      <c r="AME37" s="88"/>
      <c r="AMF37" s="88"/>
      <c r="AMG37" s="88"/>
      <c r="AMH37" s="88"/>
      <c r="AMI37" s="88"/>
      <c r="AMJ37" s="88"/>
      <c r="AMK37" s="88"/>
      <c r="AML37" s="88"/>
      <c r="AMM37" s="88"/>
      <c r="AMN37" s="88"/>
      <c r="AMO37" s="88"/>
      <c r="AMP37" s="88"/>
      <c r="AMQ37" s="88"/>
      <c r="AMR37" s="88"/>
      <c r="AMS37" s="88"/>
      <c r="AMT37" s="88"/>
      <c r="AMU37" s="88"/>
      <c r="AMV37" s="88"/>
      <c r="AMW37" s="88"/>
      <c r="AMX37" s="88"/>
      <c r="AMY37" s="88"/>
      <c r="AMZ37" s="88"/>
      <c r="ANA37" s="88"/>
      <c r="ANB37" s="88"/>
      <c r="ANC37" s="88"/>
      <c r="AND37" s="88"/>
      <c r="ANE37" s="88"/>
      <c r="ANF37" s="88"/>
      <c r="ANG37" s="88"/>
      <c r="ANH37" s="88"/>
      <c r="ANI37" s="88"/>
      <c r="ANJ37" s="88"/>
      <c r="ANK37" s="88"/>
      <c r="ANL37" s="88"/>
      <c r="ANM37" s="88"/>
      <c r="ANN37" s="88"/>
      <c r="ANO37" s="88"/>
      <c r="ANP37" s="88"/>
      <c r="ANQ37" s="88"/>
      <c r="ANR37" s="88"/>
      <c r="ANS37" s="88"/>
      <c r="ANT37" s="88"/>
      <c r="ANU37" s="88"/>
      <c r="ANV37" s="88"/>
      <c r="ANW37" s="88"/>
      <c r="ANX37" s="88"/>
      <c r="ANY37" s="88"/>
      <c r="ANZ37" s="88"/>
      <c r="AOA37" s="88"/>
      <c r="AOB37" s="88"/>
      <c r="AOC37" s="88"/>
      <c r="AOD37" s="88"/>
      <c r="AOE37" s="88"/>
      <c r="AOF37" s="88"/>
      <c r="AOG37" s="88"/>
      <c r="AOH37" s="88"/>
      <c r="AOI37" s="88"/>
      <c r="AOJ37" s="88"/>
      <c r="AOK37" s="88"/>
      <c r="AOL37" s="88"/>
      <c r="AOM37" s="88"/>
      <c r="AON37" s="88"/>
      <c r="AOO37" s="88"/>
      <c r="AOP37" s="88"/>
      <c r="AOQ37" s="88"/>
      <c r="AOR37" s="88"/>
      <c r="AOS37" s="88"/>
      <c r="AOT37" s="88"/>
      <c r="AOU37" s="88"/>
      <c r="AOV37" s="88"/>
      <c r="AOW37" s="88"/>
      <c r="AOX37" s="88"/>
      <c r="AOY37" s="88"/>
      <c r="AOZ37" s="88"/>
      <c r="APA37" s="88"/>
      <c r="APB37" s="88"/>
      <c r="APC37" s="88"/>
      <c r="APD37" s="88"/>
      <c r="APE37" s="88"/>
      <c r="APF37" s="88"/>
      <c r="APG37" s="88"/>
      <c r="APH37" s="88"/>
      <c r="API37" s="88"/>
      <c r="APJ37" s="88"/>
      <c r="APK37" s="88"/>
      <c r="APL37" s="88"/>
      <c r="APM37" s="88"/>
      <c r="APN37" s="88"/>
      <c r="APO37" s="88"/>
      <c r="APP37" s="88"/>
      <c r="APQ37" s="88"/>
      <c r="APR37" s="88"/>
      <c r="APS37" s="88"/>
      <c r="APT37" s="88"/>
      <c r="APU37" s="88"/>
      <c r="APV37" s="88"/>
      <c r="APW37" s="88"/>
      <c r="APX37" s="88"/>
      <c r="APY37" s="88"/>
      <c r="APZ37" s="88"/>
      <c r="AQA37" s="88"/>
      <c r="AQB37" s="88"/>
      <c r="AQC37" s="88"/>
      <c r="AQD37" s="88"/>
      <c r="AQE37" s="88"/>
      <c r="AQF37" s="88"/>
      <c r="AQG37" s="88"/>
      <c r="AQH37" s="88"/>
      <c r="AQI37" s="88"/>
      <c r="AQJ37" s="88"/>
      <c r="AQK37" s="88"/>
      <c r="AQL37" s="88"/>
      <c r="AQM37" s="88"/>
      <c r="AQN37" s="88"/>
      <c r="AQO37" s="88"/>
      <c r="AQP37" s="88"/>
      <c r="AQQ37" s="88"/>
      <c r="AQR37" s="88"/>
      <c r="AQS37" s="88"/>
      <c r="AQT37" s="88"/>
      <c r="AQU37" s="88"/>
      <c r="AQV37" s="88"/>
      <c r="AQW37" s="88"/>
      <c r="AQX37" s="88"/>
      <c r="AQY37" s="88"/>
      <c r="AQZ37" s="88"/>
      <c r="ARA37" s="88"/>
      <c r="ARB37" s="88"/>
      <c r="ARC37" s="88"/>
      <c r="ARD37" s="88"/>
      <c r="ARE37" s="88"/>
      <c r="ARF37" s="88"/>
      <c r="ARG37" s="88"/>
      <c r="ARH37" s="88"/>
      <c r="ARI37" s="88"/>
      <c r="ARJ37" s="88"/>
      <c r="ARK37" s="88"/>
      <c r="ARL37" s="88"/>
      <c r="ARM37" s="88"/>
      <c r="ARN37" s="88"/>
      <c r="ARO37" s="88"/>
      <c r="ARP37" s="88"/>
      <c r="ARQ37" s="88"/>
      <c r="ARR37" s="88"/>
      <c r="ARS37" s="88"/>
      <c r="ART37" s="88"/>
      <c r="ARU37" s="88"/>
      <c r="ARV37" s="88"/>
      <c r="ARW37" s="88"/>
      <c r="ARX37" s="88"/>
      <c r="ARY37" s="88"/>
      <c r="ARZ37" s="88"/>
      <c r="ASA37" s="88"/>
      <c r="ASB37" s="88"/>
      <c r="ASC37" s="88"/>
      <c r="ASD37" s="88"/>
      <c r="ASE37" s="88"/>
      <c r="ASF37" s="88"/>
      <c r="ASG37" s="88"/>
      <c r="ASH37" s="88"/>
      <c r="ASI37" s="88"/>
      <c r="ASJ37" s="88"/>
      <c r="ASK37" s="88"/>
      <c r="ASL37" s="88"/>
      <c r="ASM37" s="88"/>
      <c r="ASN37" s="88"/>
      <c r="ASO37" s="88"/>
      <c r="ASP37" s="88"/>
      <c r="ASQ37" s="88"/>
      <c r="ASR37" s="88"/>
      <c r="ASS37" s="88"/>
      <c r="AST37" s="88"/>
      <c r="ASU37" s="88"/>
      <c r="ASV37" s="88"/>
      <c r="ASW37" s="88"/>
      <c r="ASX37" s="88"/>
      <c r="ASY37" s="88"/>
      <c r="ASZ37" s="88"/>
      <c r="ATA37" s="88"/>
      <c r="ATB37" s="88"/>
      <c r="ATC37" s="88"/>
      <c r="ATD37" s="88"/>
      <c r="ATE37" s="88"/>
      <c r="ATF37" s="88"/>
      <c r="ATG37" s="88"/>
      <c r="ATH37" s="88"/>
      <c r="ATI37" s="88"/>
      <c r="ATJ37" s="88"/>
      <c r="ATK37" s="88"/>
      <c r="ATL37" s="88"/>
      <c r="ATM37" s="88"/>
      <c r="ATN37" s="88"/>
      <c r="ATO37" s="88"/>
      <c r="ATP37" s="88"/>
      <c r="ATQ37" s="88"/>
      <c r="ATR37" s="88"/>
      <c r="ATS37" s="88"/>
      <c r="ATT37" s="88"/>
      <c r="ATU37" s="88"/>
      <c r="ATV37" s="88"/>
      <c r="ATW37" s="88"/>
      <c r="ATX37" s="88"/>
      <c r="ATY37" s="88"/>
      <c r="ATZ37" s="88"/>
      <c r="AUA37" s="88"/>
      <c r="AUB37" s="88"/>
      <c r="AUC37" s="88"/>
      <c r="AUD37" s="88"/>
      <c r="AUE37" s="88"/>
      <c r="AUF37" s="88"/>
      <c r="AUG37" s="88"/>
      <c r="AUH37" s="88"/>
      <c r="AUI37" s="88"/>
      <c r="AUJ37" s="88"/>
      <c r="AUK37" s="88"/>
      <c r="AUL37" s="88"/>
      <c r="AUM37" s="88"/>
      <c r="AUN37" s="88"/>
      <c r="AUO37" s="88"/>
      <c r="AUP37" s="88"/>
      <c r="AUQ37" s="88"/>
      <c r="AUR37" s="88"/>
      <c r="AUS37" s="88"/>
      <c r="AUT37" s="88"/>
      <c r="AUU37" s="88"/>
      <c r="AUV37" s="88"/>
      <c r="AUW37" s="88"/>
      <c r="AUX37" s="88"/>
      <c r="AUY37" s="88"/>
      <c r="AUZ37" s="88"/>
      <c r="AVA37" s="88"/>
      <c r="AVB37" s="88"/>
      <c r="AVC37" s="88"/>
      <c r="AVD37" s="88"/>
      <c r="AVE37" s="88"/>
      <c r="AVF37" s="88"/>
      <c r="AVG37" s="88"/>
      <c r="AVH37" s="88"/>
      <c r="AVI37" s="88"/>
      <c r="AVJ37" s="88"/>
      <c r="AVK37" s="88"/>
      <c r="AVL37" s="88"/>
      <c r="AVM37" s="88"/>
      <c r="AVN37" s="88"/>
      <c r="AVO37" s="88"/>
      <c r="AVP37" s="88"/>
      <c r="AVQ37" s="88"/>
      <c r="AVR37" s="88"/>
      <c r="AVS37" s="88"/>
      <c r="AVT37" s="88"/>
      <c r="AVU37" s="88"/>
      <c r="AVV37" s="88"/>
      <c r="AVW37" s="88"/>
      <c r="AVX37" s="88"/>
      <c r="AVY37" s="88"/>
      <c r="AVZ37" s="88"/>
      <c r="AWA37" s="88"/>
      <c r="AWB37" s="88"/>
      <c r="AWC37" s="88"/>
      <c r="AWD37" s="88"/>
      <c r="AWE37" s="88"/>
      <c r="AWF37" s="88"/>
      <c r="AWG37" s="88"/>
      <c r="AWH37" s="88"/>
      <c r="AWI37" s="88"/>
      <c r="AWJ37" s="88"/>
      <c r="AWK37" s="88"/>
      <c r="AWL37" s="88"/>
      <c r="AWM37" s="88"/>
      <c r="AWN37" s="88"/>
      <c r="AWO37" s="88"/>
      <c r="AWP37" s="88"/>
      <c r="AWQ37" s="88"/>
      <c r="AWR37" s="88"/>
      <c r="AWS37" s="88"/>
      <c r="AWT37" s="88"/>
      <c r="AWU37" s="88"/>
      <c r="AWV37" s="88"/>
      <c r="AWW37" s="88"/>
      <c r="AWX37" s="88"/>
      <c r="AWY37" s="88"/>
      <c r="AWZ37" s="88"/>
      <c r="AXA37" s="88"/>
      <c r="AXB37" s="88"/>
      <c r="AXC37" s="88"/>
      <c r="AXD37" s="88"/>
      <c r="AXE37" s="88"/>
      <c r="AXF37" s="88"/>
      <c r="AXG37" s="88"/>
      <c r="AXH37" s="88"/>
      <c r="AXI37" s="88"/>
      <c r="AXJ37" s="88"/>
      <c r="AXK37" s="88"/>
      <c r="AXL37" s="88"/>
      <c r="AXM37" s="88"/>
      <c r="AXN37" s="88"/>
      <c r="AXO37" s="88"/>
      <c r="AXP37" s="88"/>
      <c r="AXQ37" s="88"/>
      <c r="AXR37" s="88"/>
      <c r="AXS37" s="88"/>
      <c r="AXT37" s="88"/>
      <c r="AXU37" s="88"/>
      <c r="AXV37" s="88"/>
      <c r="AXW37" s="88"/>
      <c r="AXX37" s="88"/>
      <c r="AXY37" s="88"/>
      <c r="AXZ37" s="88"/>
      <c r="AYA37" s="88"/>
      <c r="AYB37" s="88"/>
      <c r="AYC37" s="88"/>
      <c r="AYD37" s="88"/>
      <c r="AYE37" s="88"/>
      <c r="AYF37" s="88"/>
      <c r="AYG37" s="88"/>
      <c r="AYH37" s="88"/>
      <c r="AYI37" s="88"/>
      <c r="AYJ37" s="88"/>
      <c r="AYK37" s="88"/>
      <c r="AYL37" s="88"/>
      <c r="AYM37" s="88"/>
      <c r="AYN37" s="88"/>
      <c r="AYO37" s="88"/>
      <c r="AYP37" s="88"/>
      <c r="AYQ37" s="88"/>
      <c r="AYR37" s="88"/>
      <c r="AYS37" s="88"/>
      <c r="AYT37" s="88"/>
      <c r="AYU37" s="88"/>
      <c r="AYV37" s="88"/>
      <c r="AYW37" s="88"/>
      <c r="AYX37" s="88"/>
      <c r="AYY37" s="88"/>
      <c r="AYZ37" s="88"/>
      <c r="AZA37" s="88"/>
      <c r="AZB37" s="88"/>
      <c r="AZC37" s="88"/>
      <c r="AZD37" s="88"/>
      <c r="AZE37" s="88"/>
      <c r="AZF37" s="88"/>
      <c r="AZG37" s="88"/>
      <c r="AZH37" s="88"/>
      <c r="AZI37" s="88"/>
      <c r="AZJ37" s="88"/>
      <c r="AZK37" s="88"/>
      <c r="AZL37" s="88"/>
      <c r="AZM37" s="88"/>
      <c r="AZN37" s="88"/>
      <c r="AZO37" s="88"/>
      <c r="AZP37" s="88"/>
      <c r="AZQ37" s="88"/>
      <c r="AZR37" s="88"/>
      <c r="AZS37" s="88"/>
      <c r="AZT37" s="88"/>
      <c r="AZU37" s="88"/>
      <c r="AZV37" s="88"/>
      <c r="AZW37" s="88"/>
      <c r="AZX37" s="88"/>
      <c r="AZY37" s="88"/>
      <c r="AZZ37" s="88"/>
      <c r="BAA37" s="88"/>
      <c r="BAB37" s="88"/>
      <c r="BAC37" s="88"/>
      <c r="BAD37" s="88"/>
      <c r="BAE37" s="88"/>
      <c r="BAF37" s="88"/>
      <c r="BAG37" s="88"/>
      <c r="BAH37" s="88"/>
      <c r="BAI37" s="88"/>
      <c r="BAJ37" s="88"/>
      <c r="BAK37" s="88"/>
      <c r="BAL37" s="88"/>
      <c r="BAM37" s="88"/>
      <c r="BAN37" s="88"/>
      <c r="BAO37" s="88"/>
      <c r="BAP37" s="88"/>
      <c r="BAQ37" s="88"/>
      <c r="BAR37" s="88"/>
      <c r="BAS37" s="88"/>
      <c r="BAT37" s="88"/>
      <c r="BAU37" s="88"/>
      <c r="BAV37" s="88"/>
      <c r="BAW37" s="88"/>
      <c r="BAX37" s="88"/>
      <c r="BAY37" s="88"/>
      <c r="BAZ37" s="88"/>
      <c r="BBA37" s="88"/>
      <c r="BBB37" s="88"/>
      <c r="BBC37" s="88"/>
      <c r="BBD37" s="88"/>
      <c r="BBE37" s="88"/>
      <c r="BBF37" s="88"/>
      <c r="BBG37" s="88"/>
      <c r="BBH37" s="88"/>
      <c r="BBI37" s="88"/>
      <c r="BBJ37" s="88"/>
      <c r="BBK37" s="88"/>
      <c r="BBL37" s="88"/>
      <c r="BBM37" s="88"/>
      <c r="BBN37" s="88"/>
      <c r="BBO37" s="88"/>
      <c r="BBP37" s="88"/>
      <c r="BBQ37" s="88"/>
      <c r="BBR37" s="88"/>
      <c r="BBS37" s="88"/>
      <c r="BBT37" s="88"/>
      <c r="BBU37" s="88"/>
      <c r="BBV37" s="88"/>
      <c r="BBW37" s="88"/>
      <c r="BBX37" s="88"/>
      <c r="BBY37" s="88"/>
      <c r="BBZ37" s="88"/>
      <c r="BCA37" s="88"/>
      <c r="BCB37" s="88"/>
      <c r="BCC37" s="88"/>
      <c r="BCD37" s="88"/>
      <c r="BCE37" s="88"/>
      <c r="BCF37" s="88"/>
      <c r="BCG37" s="88"/>
      <c r="BCH37" s="88"/>
      <c r="BCI37" s="88"/>
      <c r="BCJ37" s="88"/>
      <c r="BCK37" s="88"/>
      <c r="BCL37" s="88"/>
      <c r="BCM37" s="88"/>
      <c r="BCN37" s="88"/>
      <c r="BCO37" s="88"/>
      <c r="BCP37" s="88"/>
      <c r="BCQ37" s="88"/>
      <c r="BCR37" s="88"/>
      <c r="BCS37" s="88"/>
      <c r="BCT37" s="88"/>
      <c r="BCU37" s="88"/>
      <c r="BCV37" s="88"/>
      <c r="BCW37" s="88"/>
      <c r="BCX37" s="88"/>
      <c r="BCY37" s="88"/>
      <c r="BCZ37" s="88"/>
      <c r="BDA37" s="88"/>
      <c r="BDB37" s="88"/>
      <c r="BDC37" s="88"/>
      <c r="BDD37" s="88"/>
      <c r="BDE37" s="88"/>
      <c r="BDF37" s="88"/>
      <c r="BDG37" s="88"/>
      <c r="BDH37" s="88"/>
      <c r="BDI37" s="88"/>
      <c r="BDJ37" s="88"/>
      <c r="BDK37" s="88"/>
      <c r="BDL37" s="88"/>
      <c r="BDM37" s="88"/>
      <c r="BDN37" s="88"/>
      <c r="BDO37" s="88"/>
      <c r="BDP37" s="88"/>
      <c r="BDQ37" s="88"/>
      <c r="BDR37" s="88"/>
      <c r="BDS37" s="88"/>
      <c r="BDT37" s="88"/>
      <c r="BDU37" s="88"/>
      <c r="BDV37" s="88"/>
      <c r="BDW37" s="88"/>
      <c r="BDX37" s="88"/>
      <c r="BDY37" s="88"/>
      <c r="BDZ37" s="88"/>
      <c r="BEA37" s="88"/>
      <c r="BEB37" s="88"/>
      <c r="BEC37" s="88"/>
      <c r="BED37" s="88"/>
      <c r="BEE37" s="88"/>
      <c r="BEF37" s="88"/>
      <c r="BEG37" s="88"/>
      <c r="BEH37" s="88"/>
      <c r="BEI37" s="88"/>
      <c r="BEJ37" s="88"/>
      <c r="BEK37" s="88"/>
      <c r="BEL37" s="88"/>
      <c r="BEM37" s="88"/>
      <c r="BEN37" s="88"/>
      <c r="BEO37" s="88"/>
      <c r="BEP37" s="88"/>
      <c r="BEQ37" s="88"/>
      <c r="BER37" s="88"/>
      <c r="BES37" s="88"/>
      <c r="BET37" s="88"/>
      <c r="BEU37" s="88"/>
      <c r="BEV37" s="88"/>
      <c r="BEW37" s="88"/>
      <c r="BEX37" s="88"/>
      <c r="BEY37" s="88"/>
      <c r="BEZ37" s="88"/>
      <c r="BFA37" s="88"/>
      <c r="BFB37" s="88"/>
      <c r="BFC37" s="88"/>
      <c r="BFD37" s="88"/>
      <c r="BFE37" s="88"/>
      <c r="BFF37" s="88"/>
      <c r="BFG37" s="88"/>
      <c r="BFH37" s="88"/>
      <c r="BFI37" s="88"/>
      <c r="BFJ37" s="88"/>
      <c r="BFK37" s="88"/>
      <c r="BFL37" s="88"/>
      <c r="BFM37" s="88"/>
      <c r="BFN37" s="88"/>
      <c r="BFO37" s="88"/>
      <c r="BFP37" s="88"/>
      <c r="BFQ37" s="88"/>
      <c r="BFR37" s="88"/>
      <c r="BFS37" s="88"/>
      <c r="BFT37" s="88"/>
      <c r="BFU37" s="88"/>
      <c r="BFV37" s="88"/>
      <c r="BFW37" s="88"/>
      <c r="BFX37" s="88"/>
      <c r="BFY37" s="88"/>
      <c r="BFZ37" s="88"/>
      <c r="BGA37" s="88"/>
      <c r="BGB37" s="88"/>
      <c r="BGC37" s="88"/>
      <c r="BGD37" s="88"/>
      <c r="BGE37" s="88"/>
      <c r="BGF37" s="88"/>
      <c r="BGG37" s="88"/>
      <c r="BGH37" s="88"/>
      <c r="BGI37" s="88"/>
      <c r="BGJ37" s="88"/>
      <c r="BGK37" s="88"/>
      <c r="BGL37" s="88"/>
      <c r="BGM37" s="88"/>
      <c r="BGN37" s="88"/>
      <c r="BGO37" s="88"/>
      <c r="BGP37" s="88"/>
      <c r="BGQ37" s="88"/>
      <c r="BGR37" s="88"/>
      <c r="BGS37" s="88"/>
      <c r="BGT37" s="88"/>
      <c r="BGU37" s="88"/>
      <c r="BGV37" s="88"/>
      <c r="BGW37" s="88"/>
      <c r="BGX37" s="88"/>
      <c r="BGY37" s="88"/>
      <c r="BGZ37" s="88"/>
      <c r="BHA37" s="88"/>
      <c r="BHB37" s="88"/>
      <c r="BHC37" s="88"/>
      <c r="BHD37" s="88"/>
      <c r="BHE37" s="88"/>
      <c r="BHF37" s="88"/>
      <c r="BHG37" s="88"/>
      <c r="BHH37" s="88"/>
      <c r="BHI37" s="88"/>
      <c r="BHJ37" s="88"/>
      <c r="BHK37" s="88"/>
      <c r="BHL37" s="88"/>
      <c r="BHM37" s="88"/>
      <c r="BHN37" s="88"/>
      <c r="BHO37" s="88"/>
      <c r="BHP37" s="88"/>
      <c r="BHQ37" s="88"/>
      <c r="BHR37" s="88"/>
      <c r="BHS37" s="88"/>
      <c r="BHT37" s="88"/>
      <c r="BHU37" s="88"/>
      <c r="BHV37" s="88"/>
      <c r="BHW37" s="88"/>
      <c r="BHX37" s="88"/>
      <c r="BHY37" s="88"/>
      <c r="BHZ37" s="88"/>
      <c r="BIA37" s="88"/>
      <c r="BIB37" s="88"/>
      <c r="BIC37" s="88"/>
      <c r="BID37" s="88"/>
      <c r="BIE37" s="88"/>
      <c r="BIF37" s="88"/>
      <c r="BIG37" s="88"/>
      <c r="BIH37" s="88"/>
      <c r="BII37" s="88"/>
      <c r="BIJ37" s="88"/>
      <c r="BIK37" s="88"/>
      <c r="BIL37" s="88"/>
      <c r="BIM37" s="88"/>
      <c r="BIN37" s="88"/>
      <c r="BIO37" s="88"/>
      <c r="BIP37" s="88"/>
      <c r="BIQ37" s="88"/>
      <c r="BIR37" s="88"/>
      <c r="BIS37" s="88"/>
      <c r="BIT37" s="88"/>
      <c r="BIU37" s="88"/>
      <c r="BIV37" s="88"/>
      <c r="BIW37" s="88"/>
      <c r="BIX37" s="88"/>
      <c r="BIY37" s="88"/>
      <c r="BIZ37" s="88"/>
      <c r="BJA37" s="88"/>
      <c r="BJB37" s="88"/>
      <c r="BJC37" s="88"/>
      <c r="BJD37" s="88"/>
      <c r="BJE37" s="88"/>
      <c r="BJF37" s="88"/>
      <c r="BJG37" s="88"/>
      <c r="BJH37" s="88"/>
      <c r="BJI37" s="88"/>
      <c r="BJJ37" s="88"/>
      <c r="BJK37" s="88"/>
      <c r="BJL37" s="88"/>
      <c r="BJM37" s="88"/>
      <c r="BJN37" s="88"/>
      <c r="BJO37" s="88"/>
      <c r="BJP37" s="88"/>
      <c r="BJQ37" s="88"/>
      <c r="BJR37" s="88"/>
      <c r="BJS37" s="88"/>
      <c r="BJT37" s="88"/>
      <c r="BJU37" s="88"/>
      <c r="BJV37" s="88"/>
      <c r="BJW37" s="88"/>
      <c r="BJX37" s="88"/>
      <c r="BJY37" s="88"/>
      <c r="BJZ37" s="88"/>
      <c r="BKA37" s="88"/>
      <c r="BKB37" s="88"/>
      <c r="BKC37" s="88"/>
      <c r="BKD37" s="88"/>
      <c r="BKE37" s="88"/>
      <c r="BKF37" s="88"/>
      <c r="BKG37" s="88"/>
      <c r="BKH37" s="88"/>
      <c r="BKI37" s="88"/>
      <c r="BKJ37" s="88"/>
      <c r="BKK37" s="88"/>
      <c r="BKL37" s="88"/>
      <c r="BKM37" s="88"/>
      <c r="BKN37" s="88"/>
      <c r="BKO37" s="88"/>
      <c r="BKP37" s="88"/>
      <c r="BKQ37" s="88"/>
      <c r="BKR37" s="88"/>
      <c r="BKS37" s="88"/>
      <c r="BKT37" s="88"/>
      <c r="BKU37" s="88"/>
      <c r="BKV37" s="88"/>
      <c r="BKW37" s="88"/>
      <c r="BKX37" s="88"/>
      <c r="BKY37" s="88"/>
      <c r="BKZ37" s="88"/>
      <c r="BLA37" s="88"/>
      <c r="BLB37" s="88"/>
      <c r="BLC37" s="88"/>
      <c r="BLD37" s="88"/>
      <c r="BLE37" s="88"/>
      <c r="BLF37" s="88"/>
      <c r="BLG37" s="88"/>
      <c r="BLH37" s="88"/>
      <c r="BLI37" s="88"/>
      <c r="BLJ37" s="88"/>
      <c r="BLK37" s="88"/>
      <c r="BLL37" s="88"/>
      <c r="BLM37" s="88"/>
      <c r="BLN37" s="88"/>
      <c r="BLO37" s="88"/>
      <c r="BLP37" s="88"/>
      <c r="BLQ37" s="88"/>
      <c r="BLR37" s="88"/>
      <c r="BLS37" s="88"/>
      <c r="BLT37" s="88"/>
      <c r="BLU37" s="88"/>
      <c r="BLV37" s="88"/>
      <c r="BLW37" s="88"/>
      <c r="BLX37" s="88"/>
      <c r="BLY37" s="88"/>
      <c r="BLZ37" s="88"/>
      <c r="BMA37" s="88"/>
      <c r="BMB37" s="88"/>
      <c r="BMC37" s="88"/>
      <c r="BMD37" s="88"/>
      <c r="BME37" s="88"/>
      <c r="BMF37" s="88"/>
      <c r="BMG37" s="88"/>
      <c r="BMH37" s="88"/>
      <c r="BMI37" s="88"/>
      <c r="BMJ37" s="88"/>
      <c r="BMK37" s="88"/>
      <c r="BML37" s="88"/>
      <c r="BMM37" s="88"/>
      <c r="BMN37" s="88"/>
      <c r="BMO37" s="88"/>
      <c r="BMP37" s="88"/>
      <c r="BMQ37" s="88"/>
      <c r="BMR37" s="88"/>
      <c r="BMS37" s="88"/>
      <c r="BMT37" s="88"/>
      <c r="BMU37" s="88"/>
      <c r="BMV37" s="88"/>
      <c r="BMW37" s="88"/>
      <c r="BMX37" s="88"/>
      <c r="BMY37" s="88"/>
      <c r="BMZ37" s="88"/>
      <c r="BNA37" s="88"/>
      <c r="BNB37" s="88"/>
      <c r="BNC37" s="88"/>
      <c r="BND37" s="88"/>
      <c r="BNE37" s="88"/>
      <c r="BNF37" s="88"/>
      <c r="BNG37" s="88"/>
      <c r="BNH37" s="88"/>
      <c r="BNI37" s="88"/>
      <c r="BNJ37" s="88"/>
      <c r="BNK37" s="88"/>
      <c r="BNL37" s="88"/>
      <c r="BNM37" s="88"/>
      <c r="BNN37" s="88"/>
      <c r="BNO37" s="88"/>
      <c r="BNP37" s="88"/>
      <c r="BNQ37" s="88"/>
      <c r="BNR37" s="88"/>
      <c r="BNS37" s="88"/>
      <c r="BNT37" s="88"/>
      <c r="BNU37" s="88"/>
      <c r="BNV37" s="88"/>
      <c r="BNW37" s="88"/>
      <c r="BNX37" s="88"/>
      <c r="BNY37" s="88"/>
      <c r="BNZ37" s="88"/>
      <c r="BOA37" s="88"/>
      <c r="BOB37" s="88"/>
      <c r="BOC37" s="88"/>
      <c r="BOD37" s="88"/>
      <c r="BOE37" s="88"/>
      <c r="BOF37" s="88"/>
      <c r="BOG37" s="88"/>
      <c r="BOH37" s="88"/>
      <c r="BOI37" s="88"/>
      <c r="BOJ37" s="88"/>
      <c r="BOK37" s="88"/>
      <c r="BOL37" s="88"/>
      <c r="BOM37" s="88"/>
      <c r="BON37" s="88"/>
      <c r="BOO37" s="88"/>
      <c r="BOP37" s="88"/>
      <c r="BOQ37" s="88"/>
      <c r="BOR37" s="88"/>
      <c r="BOS37" s="88"/>
      <c r="BOT37" s="88"/>
      <c r="BOU37" s="88"/>
      <c r="BOV37" s="88"/>
      <c r="BOW37" s="88"/>
      <c r="BOX37" s="88"/>
      <c r="BOY37" s="88"/>
      <c r="BOZ37" s="88"/>
      <c r="BPA37" s="88"/>
      <c r="BPB37" s="88"/>
      <c r="BPC37" s="88"/>
      <c r="BPD37" s="88"/>
      <c r="BPE37" s="88"/>
      <c r="BPF37" s="88"/>
      <c r="BPG37" s="88"/>
      <c r="BPH37" s="88"/>
      <c r="BPI37" s="88"/>
      <c r="BPJ37" s="88"/>
      <c r="BPK37" s="88"/>
      <c r="BPL37" s="88"/>
      <c r="BPM37" s="88"/>
      <c r="BPN37" s="88"/>
      <c r="BPO37" s="88"/>
      <c r="BPP37" s="88"/>
      <c r="BPQ37" s="88"/>
      <c r="BPR37" s="88"/>
      <c r="BPS37" s="88"/>
      <c r="BPT37" s="88"/>
      <c r="BPU37" s="88"/>
      <c r="BPV37" s="88"/>
      <c r="BPW37" s="88"/>
      <c r="BPX37" s="88"/>
      <c r="BPY37" s="88"/>
      <c r="BPZ37" s="88"/>
      <c r="BQA37" s="88"/>
      <c r="BQB37" s="88"/>
      <c r="BQC37" s="88"/>
      <c r="BQD37" s="88"/>
      <c r="BQE37" s="88"/>
      <c r="BQF37" s="88"/>
      <c r="BQG37" s="88"/>
      <c r="BQH37" s="88"/>
      <c r="BQI37" s="88"/>
      <c r="BQJ37" s="88"/>
      <c r="BQK37" s="88"/>
      <c r="BQL37" s="88"/>
      <c r="BQM37" s="88"/>
      <c r="BQN37" s="88"/>
      <c r="BQO37" s="88"/>
      <c r="BQP37" s="88"/>
      <c r="BQQ37" s="88"/>
      <c r="BQR37" s="88"/>
      <c r="BQS37" s="88"/>
      <c r="BQT37" s="88"/>
      <c r="BQU37" s="88"/>
      <c r="BQV37" s="88"/>
      <c r="BQW37" s="88"/>
      <c r="BQX37" s="88"/>
      <c r="BQY37" s="88"/>
      <c r="BQZ37" s="88"/>
      <c r="BRA37" s="88"/>
      <c r="BRB37" s="88"/>
      <c r="BRC37" s="88"/>
      <c r="BRD37" s="88"/>
      <c r="BRE37" s="88"/>
      <c r="BRF37" s="88"/>
      <c r="BRG37" s="88"/>
      <c r="BRH37" s="88"/>
      <c r="BRI37" s="88"/>
      <c r="BRJ37" s="88"/>
      <c r="BRK37" s="88"/>
      <c r="BRL37" s="88"/>
      <c r="BRM37" s="88"/>
      <c r="BRN37" s="88"/>
      <c r="BRO37" s="88"/>
      <c r="BRP37" s="88"/>
      <c r="BRQ37" s="88"/>
      <c r="BRR37" s="88"/>
      <c r="BRS37" s="88"/>
      <c r="BRT37" s="88"/>
      <c r="BRU37" s="88"/>
      <c r="BRV37" s="88"/>
      <c r="BRW37" s="88"/>
      <c r="BRX37" s="88"/>
      <c r="BRY37" s="88"/>
      <c r="BRZ37" s="88"/>
      <c r="BSA37" s="88"/>
      <c r="BSB37" s="88"/>
      <c r="BSC37" s="88"/>
      <c r="BSD37" s="88"/>
      <c r="BSE37" s="88"/>
      <c r="BSF37" s="88"/>
      <c r="BSG37" s="88"/>
      <c r="BSH37" s="88"/>
      <c r="BSI37" s="88"/>
      <c r="BSJ37" s="88"/>
      <c r="BSK37" s="88"/>
      <c r="BSL37" s="88"/>
      <c r="BSM37" s="88"/>
      <c r="BSN37" s="88"/>
      <c r="BSO37" s="88"/>
      <c r="BSP37" s="88"/>
      <c r="BSQ37" s="88"/>
      <c r="BSR37" s="88"/>
      <c r="BSS37" s="88"/>
      <c r="BST37" s="88"/>
      <c r="BSU37" s="88"/>
      <c r="BSV37" s="88"/>
      <c r="BSW37" s="88"/>
      <c r="BSX37" s="88"/>
      <c r="BSY37" s="88"/>
      <c r="BSZ37" s="88"/>
      <c r="BTA37" s="88"/>
      <c r="BTB37" s="88"/>
      <c r="BTC37" s="88"/>
      <c r="BTD37" s="88"/>
      <c r="BTE37" s="88"/>
      <c r="BTF37" s="88"/>
      <c r="BTG37" s="88"/>
      <c r="BTH37" s="88"/>
      <c r="BTI37" s="88"/>
      <c r="BTJ37" s="88"/>
      <c r="BTK37" s="88"/>
      <c r="BTL37" s="88"/>
      <c r="BTM37" s="88"/>
      <c r="BTN37" s="88"/>
      <c r="BTO37" s="88"/>
      <c r="BTP37" s="88"/>
      <c r="BTQ37" s="88"/>
      <c r="BTR37" s="88"/>
      <c r="BTS37" s="88"/>
      <c r="BTT37" s="88"/>
      <c r="BTU37" s="88"/>
      <c r="BTV37" s="88"/>
      <c r="BTW37" s="88"/>
      <c r="BTX37" s="88"/>
      <c r="BTY37" s="88"/>
      <c r="BTZ37" s="88"/>
      <c r="BUA37" s="88"/>
      <c r="BUB37" s="88"/>
      <c r="BUC37" s="88"/>
      <c r="BUD37" s="88"/>
      <c r="BUE37" s="88"/>
      <c r="BUF37" s="88"/>
      <c r="BUG37" s="88"/>
      <c r="BUH37" s="88"/>
      <c r="BUI37" s="88"/>
      <c r="BUJ37" s="88"/>
      <c r="BUK37" s="88"/>
      <c r="BUL37" s="88"/>
      <c r="BUM37" s="88"/>
      <c r="BUN37" s="88"/>
      <c r="BUO37" s="88"/>
      <c r="BUP37" s="88"/>
      <c r="BUQ37" s="88"/>
      <c r="BUR37" s="88"/>
      <c r="BUS37" s="88"/>
      <c r="BUT37" s="88"/>
      <c r="BUU37" s="88"/>
      <c r="BUV37" s="88"/>
      <c r="BUW37" s="88"/>
      <c r="BUX37" s="88"/>
      <c r="BUY37" s="88"/>
      <c r="BUZ37" s="88"/>
      <c r="BVA37" s="88"/>
      <c r="BVB37" s="88"/>
      <c r="BVC37" s="88"/>
      <c r="BVD37" s="88"/>
      <c r="BVE37" s="88"/>
      <c r="BVF37" s="88"/>
      <c r="BVG37" s="88"/>
      <c r="BVH37" s="88"/>
      <c r="BVI37" s="88"/>
      <c r="BVJ37" s="88"/>
      <c r="BVK37" s="88"/>
      <c r="BVL37" s="88"/>
      <c r="BVM37" s="88"/>
      <c r="BVN37" s="88"/>
      <c r="BVO37" s="88"/>
      <c r="BVP37" s="88"/>
      <c r="BVQ37" s="88"/>
      <c r="BVR37" s="88"/>
      <c r="BVS37" s="88"/>
      <c r="BVT37" s="88"/>
      <c r="BVU37" s="88"/>
      <c r="BVV37" s="88"/>
      <c r="BVW37" s="88"/>
      <c r="BVX37" s="88"/>
      <c r="BVY37" s="88"/>
      <c r="BVZ37" s="88"/>
      <c r="BWA37" s="88"/>
      <c r="BWB37" s="88"/>
      <c r="BWC37" s="88"/>
      <c r="BWD37" s="88"/>
      <c r="BWE37" s="88"/>
      <c r="BWF37" s="88"/>
      <c r="BWG37" s="88"/>
      <c r="BWH37" s="88"/>
      <c r="BWI37" s="88"/>
      <c r="BWJ37" s="88"/>
      <c r="BWK37" s="88"/>
      <c r="BWL37" s="88"/>
      <c r="BWM37" s="88"/>
      <c r="BWN37" s="88"/>
      <c r="BWO37" s="88"/>
      <c r="BWP37" s="88"/>
      <c r="BWQ37" s="88"/>
      <c r="BWR37" s="88"/>
      <c r="BWS37" s="88"/>
      <c r="BWT37" s="88"/>
      <c r="BWU37" s="88"/>
      <c r="BWV37" s="88"/>
      <c r="BWW37" s="88"/>
      <c r="BWX37" s="88"/>
      <c r="BWY37" s="88"/>
      <c r="BWZ37" s="88"/>
      <c r="BXA37" s="88"/>
      <c r="BXB37" s="88"/>
      <c r="BXC37" s="88"/>
      <c r="BXD37" s="88"/>
      <c r="BXE37" s="88"/>
      <c r="BXF37" s="88"/>
      <c r="BXG37" s="88"/>
      <c r="BXH37" s="88"/>
      <c r="BXI37" s="88"/>
      <c r="BXJ37" s="88"/>
      <c r="BXK37" s="88"/>
      <c r="BXL37" s="88"/>
      <c r="BXM37" s="88"/>
      <c r="BXN37" s="88"/>
      <c r="BXO37" s="88"/>
      <c r="BXP37" s="88"/>
      <c r="BXQ37" s="88"/>
      <c r="BXR37" s="88"/>
      <c r="BXS37" s="88"/>
      <c r="BXT37" s="88"/>
      <c r="BXU37" s="88"/>
      <c r="BXV37" s="88"/>
      <c r="BXW37" s="88"/>
      <c r="BXX37" s="88"/>
      <c r="BXY37" s="88"/>
      <c r="BXZ37" s="88"/>
      <c r="BYA37" s="88"/>
      <c r="BYB37" s="88"/>
      <c r="BYC37" s="88"/>
      <c r="BYD37" s="88"/>
      <c r="BYE37" s="88"/>
      <c r="BYF37" s="88"/>
      <c r="BYG37" s="88"/>
      <c r="BYH37" s="88"/>
      <c r="BYI37" s="88"/>
      <c r="BYJ37" s="88"/>
      <c r="BYK37" s="88"/>
      <c r="BYL37" s="88"/>
      <c r="BYM37" s="88"/>
      <c r="BYN37" s="88"/>
      <c r="BYO37" s="88"/>
      <c r="BYP37" s="88"/>
      <c r="BYQ37" s="88"/>
      <c r="BYR37" s="88"/>
      <c r="BYS37" s="88"/>
      <c r="BYT37" s="88"/>
      <c r="BYU37" s="88"/>
      <c r="BYV37" s="88"/>
      <c r="BYW37" s="88"/>
      <c r="BYX37" s="88"/>
      <c r="BYY37" s="88"/>
      <c r="BYZ37" s="88"/>
      <c r="BZA37" s="88"/>
      <c r="BZB37" s="88"/>
      <c r="BZC37" s="88"/>
      <c r="BZD37" s="88"/>
      <c r="BZE37" s="88"/>
      <c r="BZF37" s="88"/>
      <c r="BZG37" s="88"/>
      <c r="BZH37" s="88"/>
      <c r="BZI37" s="88"/>
      <c r="BZJ37" s="88"/>
      <c r="BZK37" s="88"/>
      <c r="BZL37" s="88"/>
      <c r="BZM37" s="88"/>
      <c r="BZN37" s="88"/>
      <c r="BZO37" s="88"/>
      <c r="BZP37" s="88"/>
      <c r="BZQ37" s="88"/>
      <c r="BZR37" s="88"/>
      <c r="BZS37" s="88"/>
      <c r="BZT37" s="88"/>
      <c r="BZU37" s="88"/>
      <c r="BZV37" s="88"/>
      <c r="BZW37" s="88"/>
      <c r="BZX37" s="88"/>
      <c r="BZY37" s="88"/>
      <c r="BZZ37" s="88"/>
      <c r="CAA37" s="88"/>
      <c r="CAB37" s="88"/>
      <c r="CAC37" s="88"/>
      <c r="CAD37" s="88"/>
      <c r="CAE37" s="88"/>
      <c r="CAF37" s="88"/>
      <c r="CAG37" s="88"/>
      <c r="CAH37" s="88"/>
      <c r="CAI37" s="88"/>
      <c r="CAJ37" s="88"/>
      <c r="CAK37" s="88"/>
      <c r="CAL37" s="88"/>
      <c r="CAM37" s="88"/>
      <c r="CAN37" s="88"/>
      <c r="CAO37" s="88"/>
      <c r="CAP37" s="88"/>
      <c r="CAQ37" s="88"/>
      <c r="CAR37" s="88"/>
      <c r="CAS37" s="88"/>
      <c r="CAT37" s="88"/>
      <c r="CAU37" s="88"/>
      <c r="CAV37" s="88"/>
      <c r="CAW37" s="88"/>
      <c r="CAX37" s="88"/>
      <c r="CAY37" s="88"/>
      <c r="CAZ37" s="88"/>
      <c r="CBA37" s="88"/>
      <c r="CBB37" s="88"/>
      <c r="CBC37" s="88"/>
      <c r="CBD37" s="88"/>
      <c r="CBE37" s="88"/>
      <c r="CBF37" s="88"/>
      <c r="CBG37" s="88"/>
      <c r="CBH37" s="88"/>
      <c r="CBI37" s="88"/>
      <c r="CBJ37" s="88"/>
      <c r="CBK37" s="88"/>
      <c r="CBL37" s="88"/>
      <c r="CBM37" s="88"/>
      <c r="CBN37" s="88"/>
      <c r="CBO37" s="88"/>
      <c r="CBP37" s="88"/>
      <c r="CBQ37" s="88"/>
      <c r="CBR37" s="88"/>
      <c r="CBS37" s="88"/>
      <c r="CBT37" s="88"/>
      <c r="CBU37" s="88"/>
      <c r="CBV37" s="88"/>
      <c r="CBW37" s="88"/>
      <c r="CBX37" s="88"/>
      <c r="CBY37" s="88"/>
      <c r="CBZ37" s="88"/>
      <c r="CCA37" s="88"/>
      <c r="CCB37" s="88"/>
      <c r="CCC37" s="88"/>
      <c r="CCD37" s="88"/>
      <c r="CCE37" s="88"/>
      <c r="CCF37" s="88"/>
      <c r="CCG37" s="88"/>
      <c r="CCH37" s="88"/>
      <c r="CCI37" s="88"/>
      <c r="CCJ37" s="88"/>
      <c r="CCK37" s="88"/>
      <c r="CCL37" s="88"/>
      <c r="CCM37" s="88"/>
      <c r="CCN37" s="88"/>
      <c r="CCO37" s="88"/>
      <c r="CCP37" s="88"/>
      <c r="CCQ37" s="88"/>
      <c r="CCR37" s="88"/>
      <c r="CCS37" s="88"/>
      <c r="CCT37" s="88"/>
      <c r="CCU37" s="88"/>
      <c r="CCV37" s="88"/>
      <c r="CCW37" s="88"/>
      <c r="CCX37" s="88"/>
      <c r="CCY37" s="88"/>
      <c r="CCZ37" s="88"/>
      <c r="CDA37" s="88"/>
      <c r="CDB37" s="88"/>
      <c r="CDC37" s="88"/>
      <c r="CDD37" s="88"/>
      <c r="CDE37" s="88"/>
      <c r="CDF37" s="88"/>
      <c r="CDG37" s="88"/>
      <c r="CDH37" s="88"/>
      <c r="CDI37" s="88"/>
      <c r="CDJ37" s="88"/>
      <c r="CDK37" s="88"/>
      <c r="CDL37" s="88"/>
      <c r="CDM37" s="88"/>
      <c r="CDN37" s="88"/>
      <c r="CDO37" s="88"/>
      <c r="CDP37" s="88"/>
      <c r="CDQ37" s="88"/>
      <c r="CDR37" s="88"/>
      <c r="CDS37" s="88"/>
      <c r="CDT37" s="88"/>
      <c r="CDU37" s="88"/>
      <c r="CDV37" s="88"/>
      <c r="CDW37" s="88"/>
      <c r="CDX37" s="88"/>
      <c r="CDY37" s="88"/>
      <c r="CDZ37" s="88"/>
      <c r="CEA37" s="88"/>
      <c r="CEB37" s="88"/>
      <c r="CEC37" s="88"/>
      <c r="CED37" s="88"/>
      <c r="CEE37" s="88"/>
      <c r="CEF37" s="88"/>
      <c r="CEG37" s="88"/>
      <c r="CEH37" s="88"/>
      <c r="CEI37" s="88"/>
      <c r="CEJ37" s="88"/>
      <c r="CEK37" s="88"/>
    </row>
    <row r="38" spans="1:2169" s="63" customFormat="1">
      <c r="A38" s="68" t="s">
        <v>412</v>
      </c>
      <c r="B38" s="71" t="s">
        <v>71</v>
      </c>
      <c r="C38" s="68" t="str">
        <f>IF('page 2'!$O$4="","",IF('page 2'!$O$4=Gestion!A38,1,0))</f>
        <v/>
      </c>
      <c r="D38" s="68" t="str">
        <f>IF('page 2'!$O$5="","",IF('page 2'!$O$5=Gestion!A38,1,0))</f>
        <v/>
      </c>
      <c r="E38" s="68" t="str">
        <f>IF('page 2'!$O$6="","",IF('page 2'!$O$6=Gestion!A38,1,0))</f>
        <v/>
      </c>
      <c r="F38" s="68" t="str">
        <f>IF('page 2'!$O$7="","",IF('page 2'!$O$7=Gestion!A38,1,0))</f>
        <v/>
      </c>
      <c r="G38" s="68" t="str">
        <f>IF('page 2'!$O$8="","",IF('page 2'!$O$8=Gestion!A38,1,0))</f>
        <v/>
      </c>
      <c r="H38" s="68" t="str">
        <f>IF('page 2'!$O$9="","",IF('page 2'!$O$9=Gestion!A38,1,0))</f>
        <v/>
      </c>
      <c r="I38" s="68" t="str">
        <f>IF('page 2'!$O$10="","",IF('page 2'!$O$10=Gestion!A38,1,0))</f>
        <v/>
      </c>
      <c r="J38" s="68" t="str">
        <f>IF('page 2'!$O$11="","",IF('page 2'!$O$11=Gestion!A38,1,0))</f>
        <v/>
      </c>
      <c r="K38" s="68" t="str">
        <f>IF('page 2'!$O$12="","",IF('page 2'!$O$12=Gestion!A38,1,0))</f>
        <v/>
      </c>
      <c r="L38" s="68" t="str">
        <f>IF('page 2'!$O$13="","",IF('page 2'!$O$13=Gestion!A38,1,0))</f>
        <v/>
      </c>
      <c r="M38" s="68" t="str">
        <f>IF('page 2'!$O$14="","",IF('page 2'!$O$14=Gestion!A38,1,0))</f>
        <v/>
      </c>
      <c r="N38" s="68" t="str">
        <f>IF('page 2'!$O$15="","",IF('page 2'!$O$15=Gestion!A38,1,0))</f>
        <v/>
      </c>
      <c r="O38" s="68" t="str">
        <f>IF('page 2'!$O$16="","",IF('page 2'!$O$16=Gestion!A38,1,0))</f>
        <v/>
      </c>
      <c r="P38" s="68" t="str">
        <f>IF('page 2'!$O$17="","",IF('page 2'!$O$17=Gestion!A38,1,0))</f>
        <v/>
      </c>
      <c r="Q38" s="68" t="str">
        <f>IF('page 2'!$O$18="","",IF('page 2'!$O$18=Gestion!A38,1,0))</f>
        <v/>
      </c>
      <c r="R38" s="68" t="str">
        <f>IF('page 2'!$O$19="","",IF('page 2'!$O$19=Gestion!A38,1,0))</f>
        <v/>
      </c>
      <c r="S38" s="68" t="str">
        <f>IF('page 2'!$O$20="","",IF('page 2'!$O$20=Gestion!A38,1,0))</f>
        <v/>
      </c>
      <c r="T38" s="68" t="str">
        <f>IF('page 2'!$O$25="","",IF('page 2'!$O$25=Gestion!A38,1,0))</f>
        <v/>
      </c>
      <c r="U38" s="68" t="str">
        <f>IF('page 2'!$O$26="","",IF('page 2'!$O$26=Gestion!A38,1,0))</f>
        <v/>
      </c>
      <c r="V38" s="68" t="str">
        <f>IF('page 2'!$O$27="","",IF('page 2'!$O$27=Gestion!A38,1,0))</f>
        <v/>
      </c>
      <c r="W38" s="722">
        <f t="shared" si="0"/>
        <v>0</v>
      </c>
      <c r="X38" s="714"/>
      <c r="Y38" s="68"/>
      <c r="Z38" s="68"/>
      <c r="AA38" s="68"/>
      <c r="AB38" s="68"/>
      <c r="AC38" s="68"/>
      <c r="AD38" s="68"/>
      <c r="AP38" s="130"/>
      <c r="AQ38" s="130"/>
      <c r="AR38" s="130"/>
      <c r="AS38" s="576"/>
      <c r="AT38" s="576"/>
      <c r="AU38" s="576"/>
      <c r="AV38" s="576"/>
      <c r="AW38" s="602"/>
      <c r="AX38" s="602"/>
      <c r="AY38" s="576"/>
      <c r="AZ38" s="576"/>
      <c r="BA38" s="576"/>
      <c r="BB38" s="576"/>
      <c r="BC38" s="576"/>
      <c r="BD38" s="602"/>
      <c r="BE38" s="602"/>
      <c r="BF38" s="602"/>
      <c r="BG38" s="602"/>
      <c r="BH38" s="602"/>
      <c r="BI38" s="602"/>
      <c r="BJ38" s="602"/>
      <c r="BK38" s="602"/>
      <c r="BL38" s="602"/>
      <c r="BM38" s="602"/>
      <c r="BN38" s="602"/>
      <c r="BO38" s="602"/>
      <c r="BP38" s="602"/>
      <c r="BQ38" s="602"/>
      <c r="BR38" s="602"/>
      <c r="BS38" s="576"/>
      <c r="BT38" s="576"/>
      <c r="BU38" s="576"/>
      <c r="BV38" s="576"/>
      <c r="BW38" s="602"/>
      <c r="BX38" s="602"/>
      <c r="BY38" s="602"/>
      <c r="BZ38" s="576"/>
      <c r="CA38" s="602"/>
      <c r="CB38" s="602"/>
      <c r="CC38" s="576"/>
      <c r="CD38" s="469"/>
      <c r="CE38" s="602"/>
      <c r="CF38" s="576"/>
      <c r="CG38" s="576"/>
      <c r="CH38" s="576"/>
      <c r="CI38" s="576"/>
      <c r="CJ38" s="576"/>
      <c r="CK38" s="602"/>
      <c r="CL38" s="602"/>
      <c r="CM38" s="576"/>
      <c r="CN38" s="602"/>
      <c r="CO38" s="602"/>
      <c r="CP38" s="602"/>
      <c r="CQ38" s="576"/>
      <c r="CR38" s="576"/>
      <c r="CS38" s="602"/>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c r="SK38" s="88"/>
      <c r="SL38" s="88"/>
      <c r="SM38" s="88"/>
      <c r="SN38" s="88"/>
      <c r="SO38" s="88"/>
      <c r="SP38" s="88"/>
      <c r="SQ38" s="88"/>
      <c r="SR38" s="88"/>
      <c r="SS38" s="88"/>
      <c r="ST38" s="88"/>
      <c r="SU38" s="88"/>
      <c r="SV38" s="88"/>
      <c r="SW38" s="88"/>
      <c r="SX38" s="88"/>
      <c r="SY38" s="88"/>
      <c r="SZ38" s="88"/>
      <c r="TA38" s="88"/>
      <c r="TB38" s="88"/>
      <c r="TC38" s="88"/>
      <c r="TD38" s="88"/>
      <c r="TE38" s="88"/>
      <c r="TF38" s="88"/>
      <c r="TG38" s="88"/>
      <c r="TH38" s="88"/>
      <c r="TI38" s="88"/>
      <c r="TJ38" s="88"/>
      <c r="TK38" s="88"/>
      <c r="TL38" s="88"/>
      <c r="TM38" s="88"/>
      <c r="TN38" s="88"/>
      <c r="TO38" s="88"/>
      <c r="TP38" s="88"/>
      <c r="TQ38" s="88"/>
      <c r="TR38" s="88"/>
      <c r="TS38" s="88"/>
      <c r="TT38" s="88"/>
      <c r="TU38" s="88"/>
      <c r="TV38" s="88"/>
      <c r="TW38" s="88"/>
      <c r="TX38" s="88"/>
      <c r="TY38" s="88"/>
      <c r="TZ38" s="88"/>
      <c r="UA38" s="88"/>
      <c r="UB38" s="88"/>
      <c r="UC38" s="88"/>
      <c r="UD38" s="88"/>
      <c r="UE38" s="88"/>
      <c r="UF38" s="88"/>
      <c r="UG38" s="88"/>
      <c r="UH38" s="88"/>
      <c r="UI38" s="88"/>
      <c r="UJ38" s="88"/>
      <c r="UK38" s="88"/>
      <c r="UL38" s="88"/>
      <c r="UM38" s="88"/>
      <c r="UN38" s="88"/>
      <c r="UO38" s="88"/>
      <c r="UP38" s="88"/>
      <c r="UQ38" s="88"/>
      <c r="UR38" s="88"/>
      <c r="US38" s="88"/>
      <c r="UT38" s="88"/>
      <c r="UU38" s="88"/>
      <c r="UV38" s="88"/>
      <c r="UW38" s="88"/>
      <c r="UX38" s="88"/>
      <c r="UY38" s="88"/>
      <c r="UZ38" s="88"/>
      <c r="VA38" s="88"/>
      <c r="VB38" s="88"/>
      <c r="VC38" s="88"/>
      <c r="VD38" s="88"/>
      <c r="VE38" s="88"/>
      <c r="VF38" s="88"/>
      <c r="VG38" s="88"/>
      <c r="VH38" s="88"/>
      <c r="VI38" s="88"/>
      <c r="VJ38" s="88"/>
      <c r="VK38" s="88"/>
      <c r="VL38" s="88"/>
      <c r="VM38" s="88"/>
      <c r="VN38" s="88"/>
      <c r="VO38" s="88"/>
      <c r="VP38" s="88"/>
      <c r="VQ38" s="88"/>
      <c r="VR38" s="88"/>
      <c r="VS38" s="88"/>
      <c r="VT38" s="88"/>
      <c r="VU38" s="88"/>
      <c r="VV38" s="88"/>
      <c r="VW38" s="88"/>
      <c r="VX38" s="88"/>
      <c r="VY38" s="88"/>
      <c r="VZ38" s="88"/>
      <c r="WA38" s="88"/>
      <c r="WB38" s="88"/>
      <c r="WC38" s="88"/>
      <c r="WD38" s="88"/>
      <c r="WE38" s="88"/>
      <c r="WF38" s="88"/>
      <c r="WG38" s="88"/>
      <c r="WH38" s="88"/>
      <c r="WI38" s="88"/>
      <c r="WJ38" s="88"/>
      <c r="WK38" s="88"/>
      <c r="WL38" s="88"/>
      <c r="WM38" s="88"/>
      <c r="WN38" s="88"/>
      <c r="WO38" s="88"/>
      <c r="WP38" s="88"/>
      <c r="WQ38" s="88"/>
      <c r="WR38" s="88"/>
      <c r="WS38" s="88"/>
      <c r="WT38" s="88"/>
      <c r="WU38" s="88"/>
      <c r="WV38" s="88"/>
      <c r="WW38" s="88"/>
      <c r="WX38" s="88"/>
      <c r="WY38" s="88"/>
      <c r="WZ38" s="88"/>
      <c r="XA38" s="88"/>
      <c r="XB38" s="88"/>
      <c r="XC38" s="88"/>
      <c r="XD38" s="88"/>
      <c r="XE38" s="88"/>
      <c r="XF38" s="88"/>
      <c r="XG38" s="88"/>
      <c r="XH38" s="88"/>
      <c r="XI38" s="88"/>
      <c r="XJ38" s="88"/>
      <c r="XK38" s="88"/>
      <c r="XL38" s="88"/>
      <c r="XM38" s="88"/>
      <c r="XN38" s="88"/>
      <c r="XO38" s="88"/>
      <c r="XP38" s="88"/>
      <c r="XQ38" s="88"/>
      <c r="XR38" s="88"/>
      <c r="XS38" s="88"/>
      <c r="XT38" s="88"/>
      <c r="XU38" s="88"/>
      <c r="XV38" s="88"/>
      <c r="XW38" s="88"/>
      <c r="XX38" s="88"/>
      <c r="XY38" s="88"/>
      <c r="XZ38" s="88"/>
      <c r="YA38" s="88"/>
      <c r="YB38" s="88"/>
      <c r="YC38" s="88"/>
      <c r="YD38" s="88"/>
      <c r="YE38" s="88"/>
      <c r="YF38" s="88"/>
      <c r="YG38" s="88"/>
      <c r="YH38" s="88"/>
      <c r="YI38" s="88"/>
      <c r="YJ38" s="88"/>
      <c r="YK38" s="88"/>
      <c r="YL38" s="88"/>
      <c r="YM38" s="88"/>
      <c r="YN38" s="88"/>
      <c r="YO38" s="88"/>
      <c r="YP38" s="88"/>
      <c r="YQ38" s="88"/>
      <c r="YR38" s="88"/>
      <c r="YS38" s="88"/>
      <c r="YT38" s="88"/>
      <c r="YU38" s="88"/>
      <c r="YV38" s="88"/>
      <c r="YW38" s="88"/>
      <c r="YX38" s="88"/>
      <c r="YY38" s="88"/>
      <c r="YZ38" s="88"/>
      <c r="ZA38" s="88"/>
      <c r="ZB38" s="88"/>
      <c r="ZC38" s="88"/>
      <c r="ZD38" s="88"/>
      <c r="ZE38" s="88"/>
      <c r="ZF38" s="88"/>
      <c r="ZG38" s="88"/>
      <c r="ZH38" s="88"/>
      <c r="ZI38" s="88"/>
      <c r="ZJ38" s="88"/>
      <c r="ZK38" s="88"/>
      <c r="ZL38" s="88"/>
      <c r="ZM38" s="88"/>
      <c r="ZN38" s="88"/>
      <c r="ZO38" s="88"/>
      <c r="ZP38" s="88"/>
      <c r="ZQ38" s="88"/>
      <c r="ZR38" s="88"/>
      <c r="ZS38" s="88"/>
      <c r="ZT38" s="88"/>
      <c r="ZU38" s="88"/>
      <c r="ZV38" s="88"/>
      <c r="ZW38" s="88"/>
      <c r="ZX38" s="88"/>
      <c r="ZY38" s="88"/>
      <c r="ZZ38" s="88"/>
      <c r="AAA38" s="88"/>
      <c r="AAB38" s="88"/>
      <c r="AAC38" s="88"/>
      <c r="AAD38" s="88"/>
      <c r="AAE38" s="88"/>
      <c r="AAF38" s="88"/>
      <c r="AAG38" s="88"/>
      <c r="AAH38" s="88"/>
      <c r="AAI38" s="88"/>
      <c r="AAJ38" s="88"/>
      <c r="AAK38" s="88"/>
      <c r="AAL38" s="88"/>
      <c r="AAM38" s="88"/>
      <c r="AAN38" s="88"/>
      <c r="AAO38" s="88"/>
      <c r="AAP38" s="88"/>
      <c r="AAQ38" s="88"/>
      <c r="AAR38" s="88"/>
      <c r="AAS38" s="88"/>
      <c r="AAT38" s="88"/>
      <c r="AAU38" s="88"/>
      <c r="AAV38" s="88"/>
      <c r="AAW38" s="88"/>
      <c r="AAX38" s="88"/>
      <c r="AAY38" s="88"/>
      <c r="AAZ38" s="88"/>
      <c r="ABA38" s="88"/>
      <c r="ABB38" s="88"/>
      <c r="ABC38" s="88"/>
      <c r="ABD38" s="88"/>
      <c r="ABE38" s="88"/>
      <c r="ABF38" s="88"/>
      <c r="ABG38" s="88"/>
      <c r="ABH38" s="88"/>
      <c r="ABI38" s="88"/>
      <c r="ABJ38" s="88"/>
      <c r="ABK38" s="88"/>
      <c r="ABL38" s="88"/>
      <c r="ABM38" s="88"/>
      <c r="ABN38" s="88"/>
      <c r="ABO38" s="88"/>
      <c r="ABP38" s="88"/>
      <c r="ABQ38" s="88"/>
      <c r="ABR38" s="88"/>
      <c r="ABS38" s="88"/>
      <c r="ABT38" s="88"/>
      <c r="ABU38" s="88"/>
      <c r="ABV38" s="88"/>
      <c r="ABW38" s="88"/>
      <c r="ABX38" s="88"/>
      <c r="ABY38" s="88"/>
      <c r="ABZ38" s="88"/>
      <c r="ACA38" s="88"/>
      <c r="ACB38" s="88"/>
      <c r="ACC38" s="88"/>
      <c r="ACD38" s="88"/>
      <c r="ACE38" s="88"/>
      <c r="ACF38" s="88"/>
      <c r="ACG38" s="88"/>
      <c r="ACH38" s="88"/>
      <c r="ACI38" s="88"/>
      <c r="ACJ38" s="88"/>
      <c r="ACK38" s="88"/>
      <c r="ACL38" s="88"/>
      <c r="ACM38" s="88"/>
      <c r="ACN38" s="88"/>
      <c r="ACO38" s="88"/>
      <c r="ACP38" s="88"/>
      <c r="ACQ38" s="88"/>
      <c r="ACR38" s="88"/>
      <c r="ACS38" s="88"/>
      <c r="ACT38" s="88"/>
      <c r="ACU38" s="88"/>
      <c r="ACV38" s="88"/>
      <c r="ACW38" s="88"/>
      <c r="ACX38" s="88"/>
      <c r="ACY38" s="88"/>
      <c r="ACZ38" s="88"/>
      <c r="ADA38" s="88"/>
      <c r="ADB38" s="88"/>
      <c r="ADC38" s="88"/>
      <c r="ADD38" s="88"/>
      <c r="ADE38" s="88"/>
      <c r="ADF38" s="88"/>
      <c r="ADG38" s="88"/>
      <c r="ADH38" s="88"/>
      <c r="ADI38" s="88"/>
      <c r="ADJ38" s="88"/>
      <c r="ADK38" s="88"/>
      <c r="ADL38" s="88"/>
      <c r="ADM38" s="88"/>
      <c r="ADN38" s="88"/>
      <c r="ADO38" s="88"/>
      <c r="ADP38" s="88"/>
      <c r="ADQ38" s="88"/>
      <c r="ADR38" s="88"/>
      <c r="ADS38" s="88"/>
      <c r="ADT38" s="88"/>
      <c r="ADU38" s="88"/>
      <c r="ADV38" s="88"/>
      <c r="ADW38" s="88"/>
      <c r="ADX38" s="88"/>
      <c r="ADY38" s="88"/>
      <c r="ADZ38" s="88"/>
      <c r="AEA38" s="88"/>
      <c r="AEB38" s="88"/>
      <c r="AEC38" s="88"/>
      <c r="AED38" s="88"/>
      <c r="AEE38" s="88"/>
      <c r="AEF38" s="88"/>
      <c r="AEG38" s="88"/>
      <c r="AEH38" s="88"/>
      <c r="AEI38" s="88"/>
      <c r="AEJ38" s="88"/>
      <c r="AEK38" s="88"/>
      <c r="AEL38" s="88"/>
      <c r="AEM38" s="88"/>
      <c r="AEN38" s="88"/>
      <c r="AEO38" s="88"/>
      <c r="AEP38" s="88"/>
      <c r="AEQ38" s="88"/>
      <c r="AER38" s="88"/>
      <c r="AES38" s="88"/>
      <c r="AET38" s="88"/>
      <c r="AEU38" s="88"/>
      <c r="AEV38" s="88"/>
      <c r="AEW38" s="88"/>
      <c r="AEX38" s="88"/>
      <c r="AEY38" s="88"/>
      <c r="AEZ38" s="88"/>
      <c r="AFA38" s="88"/>
      <c r="AFB38" s="88"/>
      <c r="AFC38" s="88"/>
      <c r="AFD38" s="88"/>
      <c r="AFE38" s="88"/>
      <c r="AFF38" s="88"/>
      <c r="AFG38" s="88"/>
      <c r="AFH38" s="88"/>
      <c r="AFI38" s="88"/>
      <c r="AFJ38" s="88"/>
      <c r="AFK38" s="88"/>
      <c r="AFL38" s="88"/>
      <c r="AFM38" s="88"/>
      <c r="AFN38" s="88"/>
      <c r="AFO38" s="88"/>
      <c r="AFP38" s="88"/>
      <c r="AFQ38" s="88"/>
      <c r="AFR38" s="88"/>
      <c r="AFS38" s="88"/>
      <c r="AFT38" s="88"/>
      <c r="AFU38" s="88"/>
      <c r="AFV38" s="88"/>
      <c r="AFW38" s="88"/>
      <c r="AFX38" s="88"/>
      <c r="AFY38" s="88"/>
      <c r="AFZ38" s="88"/>
      <c r="AGA38" s="88"/>
      <c r="AGB38" s="88"/>
      <c r="AGC38" s="88"/>
      <c r="AGD38" s="88"/>
      <c r="AGE38" s="88"/>
      <c r="AGF38" s="88"/>
      <c r="AGG38" s="88"/>
      <c r="AGH38" s="88"/>
      <c r="AGI38" s="88"/>
      <c r="AGJ38" s="88"/>
      <c r="AGK38" s="88"/>
      <c r="AGL38" s="88"/>
      <c r="AGM38" s="88"/>
      <c r="AGN38" s="88"/>
      <c r="AGO38" s="88"/>
      <c r="AGP38" s="88"/>
      <c r="AGQ38" s="88"/>
      <c r="AGR38" s="88"/>
      <c r="AGS38" s="88"/>
      <c r="AGT38" s="88"/>
      <c r="AGU38" s="88"/>
      <c r="AGV38" s="88"/>
      <c r="AGW38" s="88"/>
      <c r="AGX38" s="88"/>
      <c r="AGY38" s="88"/>
      <c r="AGZ38" s="88"/>
      <c r="AHA38" s="88"/>
      <c r="AHB38" s="88"/>
      <c r="AHC38" s="88"/>
      <c r="AHD38" s="88"/>
      <c r="AHE38" s="88"/>
      <c r="AHF38" s="88"/>
      <c r="AHG38" s="88"/>
      <c r="AHH38" s="88"/>
      <c r="AHI38" s="88"/>
      <c r="AHJ38" s="88"/>
      <c r="AHK38" s="88"/>
      <c r="AHL38" s="88"/>
      <c r="AHM38" s="88"/>
      <c r="AHN38" s="88"/>
      <c r="AHO38" s="88"/>
      <c r="AHP38" s="88"/>
      <c r="AHQ38" s="88"/>
      <c r="AHR38" s="88"/>
      <c r="AHS38" s="88"/>
      <c r="AHT38" s="88"/>
      <c r="AHU38" s="88"/>
      <c r="AHV38" s="88"/>
      <c r="AHW38" s="88"/>
      <c r="AHX38" s="88"/>
      <c r="AHY38" s="88"/>
      <c r="AHZ38" s="88"/>
      <c r="AIA38" s="88"/>
      <c r="AIB38" s="88"/>
      <c r="AIC38" s="88"/>
      <c r="AID38" s="88"/>
      <c r="AIE38" s="88"/>
      <c r="AIF38" s="88"/>
      <c r="AIG38" s="88"/>
      <c r="AIH38" s="88"/>
      <c r="AII38" s="88"/>
      <c r="AIJ38" s="88"/>
      <c r="AIK38" s="88"/>
      <c r="AIL38" s="88"/>
      <c r="AIM38" s="88"/>
      <c r="AIN38" s="88"/>
      <c r="AIO38" s="88"/>
      <c r="AIP38" s="88"/>
      <c r="AIQ38" s="88"/>
      <c r="AIR38" s="88"/>
      <c r="AIS38" s="88"/>
      <c r="AIT38" s="88"/>
      <c r="AIU38" s="88"/>
      <c r="AIV38" s="88"/>
      <c r="AIW38" s="88"/>
      <c r="AIX38" s="88"/>
      <c r="AIY38" s="88"/>
      <c r="AIZ38" s="88"/>
      <c r="AJA38" s="88"/>
      <c r="AJB38" s="88"/>
      <c r="AJC38" s="88"/>
      <c r="AJD38" s="88"/>
      <c r="AJE38" s="88"/>
      <c r="AJF38" s="88"/>
      <c r="AJG38" s="88"/>
      <c r="AJH38" s="88"/>
      <c r="AJI38" s="88"/>
      <c r="AJJ38" s="88"/>
      <c r="AJK38" s="88"/>
      <c r="AJL38" s="88"/>
      <c r="AJM38" s="88"/>
      <c r="AJN38" s="88"/>
      <c r="AJO38" s="88"/>
      <c r="AJP38" s="88"/>
      <c r="AJQ38" s="88"/>
      <c r="AJR38" s="88"/>
      <c r="AJS38" s="88"/>
      <c r="AJT38" s="88"/>
      <c r="AJU38" s="88"/>
      <c r="AJV38" s="88"/>
      <c r="AJW38" s="88"/>
      <c r="AJX38" s="88"/>
      <c r="AJY38" s="88"/>
      <c r="AJZ38" s="88"/>
      <c r="AKA38" s="88"/>
      <c r="AKB38" s="88"/>
      <c r="AKC38" s="88"/>
      <c r="AKD38" s="88"/>
      <c r="AKE38" s="88"/>
      <c r="AKF38" s="88"/>
      <c r="AKG38" s="88"/>
      <c r="AKH38" s="88"/>
      <c r="AKI38" s="88"/>
      <c r="AKJ38" s="88"/>
      <c r="AKK38" s="88"/>
      <c r="AKL38" s="88"/>
      <c r="AKM38" s="88"/>
      <c r="AKN38" s="88"/>
      <c r="AKO38" s="88"/>
      <c r="AKP38" s="88"/>
      <c r="AKQ38" s="88"/>
      <c r="AKR38" s="88"/>
      <c r="AKS38" s="88"/>
      <c r="AKT38" s="88"/>
      <c r="AKU38" s="88"/>
      <c r="AKV38" s="88"/>
      <c r="AKW38" s="88"/>
      <c r="AKX38" s="88"/>
      <c r="AKY38" s="88"/>
      <c r="AKZ38" s="88"/>
      <c r="ALA38" s="88"/>
      <c r="ALB38" s="88"/>
      <c r="ALC38" s="88"/>
      <c r="ALD38" s="88"/>
      <c r="ALE38" s="88"/>
      <c r="ALF38" s="88"/>
      <c r="ALG38" s="88"/>
      <c r="ALH38" s="88"/>
      <c r="ALI38" s="88"/>
      <c r="ALJ38" s="88"/>
      <c r="ALK38" s="88"/>
      <c r="ALL38" s="88"/>
      <c r="ALM38" s="88"/>
      <c r="ALN38" s="88"/>
      <c r="ALO38" s="88"/>
      <c r="ALP38" s="88"/>
      <c r="ALQ38" s="88"/>
      <c r="ALR38" s="88"/>
      <c r="ALS38" s="88"/>
      <c r="ALT38" s="88"/>
      <c r="ALU38" s="88"/>
      <c r="ALV38" s="88"/>
      <c r="ALW38" s="88"/>
      <c r="ALX38" s="88"/>
      <c r="ALY38" s="88"/>
      <c r="ALZ38" s="88"/>
      <c r="AMA38" s="88"/>
      <c r="AMB38" s="88"/>
      <c r="AMC38" s="88"/>
      <c r="AMD38" s="88"/>
      <c r="AME38" s="88"/>
      <c r="AMF38" s="88"/>
      <c r="AMG38" s="88"/>
      <c r="AMH38" s="88"/>
      <c r="AMI38" s="88"/>
      <c r="AMJ38" s="88"/>
      <c r="AMK38" s="88"/>
      <c r="AML38" s="88"/>
      <c r="AMM38" s="88"/>
      <c r="AMN38" s="88"/>
      <c r="AMO38" s="88"/>
      <c r="AMP38" s="88"/>
      <c r="AMQ38" s="88"/>
      <c r="AMR38" s="88"/>
      <c r="AMS38" s="88"/>
      <c r="AMT38" s="88"/>
      <c r="AMU38" s="88"/>
      <c r="AMV38" s="88"/>
      <c r="AMW38" s="88"/>
      <c r="AMX38" s="88"/>
      <c r="AMY38" s="88"/>
      <c r="AMZ38" s="88"/>
      <c r="ANA38" s="88"/>
      <c r="ANB38" s="88"/>
      <c r="ANC38" s="88"/>
      <c r="AND38" s="88"/>
      <c r="ANE38" s="88"/>
      <c r="ANF38" s="88"/>
      <c r="ANG38" s="88"/>
      <c r="ANH38" s="88"/>
      <c r="ANI38" s="88"/>
      <c r="ANJ38" s="88"/>
      <c r="ANK38" s="88"/>
      <c r="ANL38" s="88"/>
      <c r="ANM38" s="88"/>
      <c r="ANN38" s="88"/>
      <c r="ANO38" s="88"/>
      <c r="ANP38" s="88"/>
      <c r="ANQ38" s="88"/>
      <c r="ANR38" s="88"/>
      <c r="ANS38" s="88"/>
      <c r="ANT38" s="88"/>
      <c r="ANU38" s="88"/>
      <c r="ANV38" s="88"/>
      <c r="ANW38" s="88"/>
      <c r="ANX38" s="88"/>
      <c r="ANY38" s="88"/>
      <c r="ANZ38" s="88"/>
      <c r="AOA38" s="88"/>
      <c r="AOB38" s="88"/>
      <c r="AOC38" s="88"/>
      <c r="AOD38" s="88"/>
      <c r="AOE38" s="88"/>
      <c r="AOF38" s="88"/>
      <c r="AOG38" s="88"/>
      <c r="AOH38" s="88"/>
      <c r="AOI38" s="88"/>
      <c r="AOJ38" s="88"/>
      <c r="AOK38" s="88"/>
      <c r="AOL38" s="88"/>
      <c r="AOM38" s="88"/>
      <c r="AON38" s="88"/>
      <c r="AOO38" s="88"/>
      <c r="AOP38" s="88"/>
      <c r="AOQ38" s="88"/>
      <c r="AOR38" s="88"/>
      <c r="AOS38" s="88"/>
      <c r="AOT38" s="88"/>
      <c r="AOU38" s="88"/>
      <c r="AOV38" s="88"/>
      <c r="AOW38" s="88"/>
      <c r="AOX38" s="88"/>
      <c r="AOY38" s="88"/>
      <c r="AOZ38" s="88"/>
      <c r="APA38" s="88"/>
      <c r="APB38" s="88"/>
      <c r="APC38" s="88"/>
      <c r="APD38" s="88"/>
      <c r="APE38" s="88"/>
      <c r="APF38" s="88"/>
      <c r="APG38" s="88"/>
      <c r="APH38" s="88"/>
      <c r="API38" s="88"/>
      <c r="APJ38" s="88"/>
      <c r="APK38" s="88"/>
      <c r="APL38" s="88"/>
      <c r="APM38" s="88"/>
      <c r="APN38" s="88"/>
      <c r="APO38" s="88"/>
      <c r="APP38" s="88"/>
      <c r="APQ38" s="88"/>
      <c r="APR38" s="88"/>
      <c r="APS38" s="88"/>
      <c r="APT38" s="88"/>
      <c r="APU38" s="88"/>
      <c r="APV38" s="88"/>
      <c r="APW38" s="88"/>
      <c r="APX38" s="88"/>
      <c r="APY38" s="88"/>
      <c r="APZ38" s="88"/>
      <c r="AQA38" s="88"/>
      <c r="AQB38" s="88"/>
      <c r="AQC38" s="88"/>
      <c r="AQD38" s="88"/>
      <c r="AQE38" s="88"/>
      <c r="AQF38" s="88"/>
      <c r="AQG38" s="88"/>
      <c r="AQH38" s="88"/>
      <c r="AQI38" s="88"/>
      <c r="AQJ38" s="88"/>
      <c r="AQK38" s="88"/>
      <c r="AQL38" s="88"/>
      <c r="AQM38" s="88"/>
      <c r="AQN38" s="88"/>
      <c r="AQO38" s="88"/>
      <c r="AQP38" s="88"/>
      <c r="AQQ38" s="88"/>
      <c r="AQR38" s="88"/>
      <c r="AQS38" s="88"/>
      <c r="AQT38" s="88"/>
      <c r="AQU38" s="88"/>
      <c r="AQV38" s="88"/>
      <c r="AQW38" s="88"/>
      <c r="AQX38" s="88"/>
      <c r="AQY38" s="88"/>
      <c r="AQZ38" s="88"/>
      <c r="ARA38" s="88"/>
      <c r="ARB38" s="88"/>
      <c r="ARC38" s="88"/>
      <c r="ARD38" s="88"/>
      <c r="ARE38" s="88"/>
      <c r="ARF38" s="88"/>
      <c r="ARG38" s="88"/>
      <c r="ARH38" s="88"/>
      <c r="ARI38" s="88"/>
      <c r="ARJ38" s="88"/>
      <c r="ARK38" s="88"/>
      <c r="ARL38" s="88"/>
      <c r="ARM38" s="88"/>
      <c r="ARN38" s="88"/>
      <c r="ARO38" s="88"/>
      <c r="ARP38" s="88"/>
      <c r="ARQ38" s="88"/>
      <c r="ARR38" s="88"/>
      <c r="ARS38" s="88"/>
      <c r="ART38" s="88"/>
      <c r="ARU38" s="88"/>
      <c r="ARV38" s="88"/>
      <c r="ARW38" s="88"/>
      <c r="ARX38" s="88"/>
      <c r="ARY38" s="88"/>
      <c r="ARZ38" s="88"/>
      <c r="ASA38" s="88"/>
      <c r="ASB38" s="88"/>
      <c r="ASC38" s="88"/>
      <c r="ASD38" s="88"/>
      <c r="ASE38" s="88"/>
      <c r="ASF38" s="88"/>
      <c r="ASG38" s="88"/>
      <c r="ASH38" s="88"/>
      <c r="ASI38" s="88"/>
      <c r="ASJ38" s="88"/>
      <c r="ASK38" s="88"/>
      <c r="ASL38" s="88"/>
      <c r="ASM38" s="88"/>
      <c r="ASN38" s="88"/>
      <c r="ASO38" s="88"/>
      <c r="ASP38" s="88"/>
      <c r="ASQ38" s="88"/>
      <c r="ASR38" s="88"/>
      <c r="ASS38" s="88"/>
      <c r="AST38" s="88"/>
      <c r="ASU38" s="88"/>
      <c r="ASV38" s="88"/>
      <c r="ASW38" s="88"/>
      <c r="ASX38" s="88"/>
      <c r="ASY38" s="88"/>
      <c r="ASZ38" s="88"/>
      <c r="ATA38" s="88"/>
      <c r="ATB38" s="88"/>
      <c r="ATC38" s="88"/>
      <c r="ATD38" s="88"/>
      <c r="ATE38" s="88"/>
      <c r="ATF38" s="88"/>
      <c r="ATG38" s="88"/>
      <c r="ATH38" s="88"/>
      <c r="ATI38" s="88"/>
      <c r="ATJ38" s="88"/>
      <c r="ATK38" s="88"/>
      <c r="ATL38" s="88"/>
      <c r="ATM38" s="88"/>
      <c r="ATN38" s="88"/>
      <c r="ATO38" s="88"/>
      <c r="ATP38" s="88"/>
      <c r="ATQ38" s="88"/>
      <c r="ATR38" s="88"/>
      <c r="ATS38" s="88"/>
      <c r="ATT38" s="88"/>
      <c r="ATU38" s="88"/>
      <c r="ATV38" s="88"/>
      <c r="ATW38" s="88"/>
      <c r="ATX38" s="88"/>
      <c r="ATY38" s="88"/>
      <c r="ATZ38" s="88"/>
      <c r="AUA38" s="88"/>
      <c r="AUB38" s="88"/>
      <c r="AUC38" s="88"/>
      <c r="AUD38" s="88"/>
      <c r="AUE38" s="88"/>
      <c r="AUF38" s="88"/>
      <c r="AUG38" s="88"/>
      <c r="AUH38" s="88"/>
      <c r="AUI38" s="88"/>
      <c r="AUJ38" s="88"/>
      <c r="AUK38" s="88"/>
      <c r="AUL38" s="88"/>
      <c r="AUM38" s="88"/>
      <c r="AUN38" s="88"/>
      <c r="AUO38" s="88"/>
      <c r="AUP38" s="88"/>
      <c r="AUQ38" s="88"/>
      <c r="AUR38" s="88"/>
      <c r="AUS38" s="88"/>
      <c r="AUT38" s="88"/>
      <c r="AUU38" s="88"/>
      <c r="AUV38" s="88"/>
      <c r="AUW38" s="88"/>
      <c r="AUX38" s="88"/>
      <c r="AUY38" s="88"/>
      <c r="AUZ38" s="88"/>
      <c r="AVA38" s="88"/>
      <c r="AVB38" s="88"/>
      <c r="AVC38" s="88"/>
      <c r="AVD38" s="88"/>
      <c r="AVE38" s="88"/>
      <c r="AVF38" s="88"/>
      <c r="AVG38" s="88"/>
      <c r="AVH38" s="88"/>
      <c r="AVI38" s="88"/>
      <c r="AVJ38" s="88"/>
      <c r="AVK38" s="88"/>
      <c r="AVL38" s="88"/>
      <c r="AVM38" s="88"/>
      <c r="AVN38" s="88"/>
      <c r="AVO38" s="88"/>
      <c r="AVP38" s="88"/>
      <c r="AVQ38" s="88"/>
      <c r="AVR38" s="88"/>
      <c r="AVS38" s="88"/>
      <c r="AVT38" s="88"/>
      <c r="AVU38" s="88"/>
      <c r="AVV38" s="88"/>
      <c r="AVW38" s="88"/>
      <c r="AVX38" s="88"/>
      <c r="AVY38" s="88"/>
      <c r="AVZ38" s="88"/>
      <c r="AWA38" s="88"/>
      <c r="AWB38" s="88"/>
      <c r="AWC38" s="88"/>
      <c r="AWD38" s="88"/>
      <c r="AWE38" s="88"/>
      <c r="AWF38" s="88"/>
      <c r="AWG38" s="88"/>
      <c r="AWH38" s="88"/>
      <c r="AWI38" s="88"/>
      <c r="AWJ38" s="88"/>
      <c r="AWK38" s="88"/>
      <c r="AWL38" s="88"/>
      <c r="AWM38" s="88"/>
      <c r="AWN38" s="88"/>
      <c r="AWO38" s="88"/>
      <c r="AWP38" s="88"/>
      <c r="AWQ38" s="88"/>
      <c r="AWR38" s="88"/>
      <c r="AWS38" s="88"/>
      <c r="AWT38" s="88"/>
      <c r="AWU38" s="88"/>
      <c r="AWV38" s="88"/>
      <c r="AWW38" s="88"/>
      <c r="AWX38" s="88"/>
      <c r="AWY38" s="88"/>
      <c r="AWZ38" s="88"/>
      <c r="AXA38" s="88"/>
      <c r="AXB38" s="88"/>
      <c r="AXC38" s="88"/>
      <c r="AXD38" s="88"/>
      <c r="AXE38" s="88"/>
      <c r="AXF38" s="88"/>
      <c r="AXG38" s="88"/>
      <c r="AXH38" s="88"/>
      <c r="AXI38" s="88"/>
      <c r="AXJ38" s="88"/>
      <c r="AXK38" s="88"/>
      <c r="AXL38" s="88"/>
      <c r="AXM38" s="88"/>
      <c r="AXN38" s="88"/>
      <c r="AXO38" s="88"/>
      <c r="AXP38" s="88"/>
      <c r="AXQ38" s="88"/>
      <c r="AXR38" s="88"/>
      <c r="AXS38" s="88"/>
      <c r="AXT38" s="88"/>
      <c r="AXU38" s="88"/>
      <c r="AXV38" s="88"/>
      <c r="AXW38" s="88"/>
      <c r="AXX38" s="88"/>
      <c r="AXY38" s="88"/>
      <c r="AXZ38" s="88"/>
      <c r="AYA38" s="88"/>
      <c r="AYB38" s="88"/>
      <c r="AYC38" s="88"/>
      <c r="AYD38" s="88"/>
      <c r="AYE38" s="88"/>
      <c r="AYF38" s="88"/>
      <c r="AYG38" s="88"/>
      <c r="AYH38" s="88"/>
      <c r="AYI38" s="88"/>
      <c r="AYJ38" s="88"/>
      <c r="AYK38" s="88"/>
      <c r="AYL38" s="88"/>
      <c r="AYM38" s="88"/>
      <c r="AYN38" s="88"/>
      <c r="AYO38" s="88"/>
      <c r="AYP38" s="88"/>
      <c r="AYQ38" s="88"/>
      <c r="AYR38" s="88"/>
      <c r="AYS38" s="88"/>
      <c r="AYT38" s="88"/>
      <c r="AYU38" s="88"/>
      <c r="AYV38" s="88"/>
      <c r="AYW38" s="88"/>
      <c r="AYX38" s="88"/>
      <c r="AYY38" s="88"/>
      <c r="AYZ38" s="88"/>
      <c r="AZA38" s="88"/>
      <c r="AZB38" s="88"/>
      <c r="AZC38" s="88"/>
      <c r="AZD38" s="88"/>
      <c r="AZE38" s="88"/>
      <c r="AZF38" s="88"/>
      <c r="AZG38" s="88"/>
      <c r="AZH38" s="88"/>
      <c r="AZI38" s="88"/>
      <c r="AZJ38" s="88"/>
      <c r="AZK38" s="88"/>
      <c r="AZL38" s="88"/>
      <c r="AZM38" s="88"/>
      <c r="AZN38" s="88"/>
      <c r="AZO38" s="88"/>
      <c r="AZP38" s="88"/>
      <c r="AZQ38" s="88"/>
      <c r="AZR38" s="88"/>
      <c r="AZS38" s="88"/>
      <c r="AZT38" s="88"/>
      <c r="AZU38" s="88"/>
      <c r="AZV38" s="88"/>
      <c r="AZW38" s="88"/>
      <c r="AZX38" s="88"/>
      <c r="AZY38" s="88"/>
      <c r="AZZ38" s="88"/>
      <c r="BAA38" s="88"/>
      <c r="BAB38" s="88"/>
      <c r="BAC38" s="88"/>
      <c r="BAD38" s="88"/>
      <c r="BAE38" s="88"/>
      <c r="BAF38" s="88"/>
      <c r="BAG38" s="88"/>
      <c r="BAH38" s="88"/>
      <c r="BAI38" s="88"/>
      <c r="BAJ38" s="88"/>
      <c r="BAK38" s="88"/>
      <c r="BAL38" s="88"/>
      <c r="BAM38" s="88"/>
      <c r="BAN38" s="88"/>
      <c r="BAO38" s="88"/>
      <c r="BAP38" s="88"/>
      <c r="BAQ38" s="88"/>
      <c r="BAR38" s="88"/>
      <c r="BAS38" s="88"/>
      <c r="BAT38" s="88"/>
      <c r="BAU38" s="88"/>
      <c r="BAV38" s="88"/>
      <c r="BAW38" s="88"/>
      <c r="BAX38" s="88"/>
      <c r="BAY38" s="88"/>
      <c r="BAZ38" s="88"/>
      <c r="BBA38" s="88"/>
      <c r="BBB38" s="88"/>
      <c r="BBC38" s="88"/>
      <c r="BBD38" s="88"/>
      <c r="BBE38" s="88"/>
      <c r="BBF38" s="88"/>
      <c r="BBG38" s="88"/>
      <c r="BBH38" s="88"/>
      <c r="BBI38" s="88"/>
      <c r="BBJ38" s="88"/>
      <c r="BBK38" s="88"/>
      <c r="BBL38" s="88"/>
      <c r="BBM38" s="88"/>
      <c r="BBN38" s="88"/>
      <c r="BBO38" s="88"/>
      <c r="BBP38" s="88"/>
      <c r="BBQ38" s="88"/>
      <c r="BBR38" s="88"/>
      <c r="BBS38" s="88"/>
      <c r="BBT38" s="88"/>
      <c r="BBU38" s="88"/>
      <c r="BBV38" s="88"/>
      <c r="BBW38" s="88"/>
      <c r="BBX38" s="88"/>
      <c r="BBY38" s="88"/>
      <c r="BBZ38" s="88"/>
      <c r="BCA38" s="88"/>
      <c r="BCB38" s="88"/>
      <c r="BCC38" s="88"/>
      <c r="BCD38" s="88"/>
      <c r="BCE38" s="88"/>
      <c r="BCF38" s="88"/>
      <c r="BCG38" s="88"/>
      <c r="BCH38" s="88"/>
      <c r="BCI38" s="88"/>
      <c r="BCJ38" s="88"/>
      <c r="BCK38" s="88"/>
      <c r="BCL38" s="88"/>
      <c r="BCM38" s="88"/>
      <c r="BCN38" s="88"/>
      <c r="BCO38" s="88"/>
      <c r="BCP38" s="88"/>
      <c r="BCQ38" s="88"/>
      <c r="BCR38" s="88"/>
      <c r="BCS38" s="88"/>
      <c r="BCT38" s="88"/>
      <c r="BCU38" s="88"/>
      <c r="BCV38" s="88"/>
      <c r="BCW38" s="88"/>
      <c r="BCX38" s="88"/>
      <c r="BCY38" s="88"/>
      <c r="BCZ38" s="88"/>
      <c r="BDA38" s="88"/>
      <c r="BDB38" s="88"/>
      <c r="BDC38" s="88"/>
      <c r="BDD38" s="88"/>
      <c r="BDE38" s="88"/>
      <c r="BDF38" s="88"/>
      <c r="BDG38" s="88"/>
      <c r="BDH38" s="88"/>
      <c r="BDI38" s="88"/>
      <c r="BDJ38" s="88"/>
      <c r="BDK38" s="88"/>
      <c r="BDL38" s="88"/>
      <c r="BDM38" s="88"/>
      <c r="BDN38" s="88"/>
      <c r="BDO38" s="88"/>
      <c r="BDP38" s="88"/>
      <c r="BDQ38" s="88"/>
      <c r="BDR38" s="88"/>
      <c r="BDS38" s="88"/>
      <c r="BDT38" s="88"/>
      <c r="BDU38" s="88"/>
      <c r="BDV38" s="88"/>
      <c r="BDW38" s="88"/>
      <c r="BDX38" s="88"/>
      <c r="BDY38" s="88"/>
      <c r="BDZ38" s="88"/>
      <c r="BEA38" s="88"/>
      <c r="BEB38" s="88"/>
      <c r="BEC38" s="88"/>
      <c r="BED38" s="88"/>
      <c r="BEE38" s="88"/>
      <c r="BEF38" s="88"/>
      <c r="BEG38" s="88"/>
      <c r="BEH38" s="88"/>
      <c r="BEI38" s="88"/>
      <c r="BEJ38" s="88"/>
      <c r="BEK38" s="88"/>
      <c r="BEL38" s="88"/>
      <c r="BEM38" s="88"/>
      <c r="BEN38" s="88"/>
      <c r="BEO38" s="88"/>
      <c r="BEP38" s="88"/>
      <c r="BEQ38" s="88"/>
      <c r="BER38" s="88"/>
      <c r="BES38" s="88"/>
      <c r="BET38" s="88"/>
      <c r="BEU38" s="88"/>
      <c r="BEV38" s="88"/>
      <c r="BEW38" s="88"/>
      <c r="BEX38" s="88"/>
      <c r="BEY38" s="88"/>
      <c r="BEZ38" s="88"/>
      <c r="BFA38" s="88"/>
      <c r="BFB38" s="88"/>
      <c r="BFC38" s="88"/>
      <c r="BFD38" s="88"/>
      <c r="BFE38" s="88"/>
      <c r="BFF38" s="88"/>
      <c r="BFG38" s="88"/>
      <c r="BFH38" s="88"/>
      <c r="BFI38" s="88"/>
      <c r="BFJ38" s="88"/>
      <c r="BFK38" s="88"/>
      <c r="BFL38" s="88"/>
      <c r="BFM38" s="88"/>
      <c r="BFN38" s="88"/>
      <c r="BFO38" s="88"/>
      <c r="BFP38" s="88"/>
      <c r="BFQ38" s="88"/>
      <c r="BFR38" s="88"/>
      <c r="BFS38" s="88"/>
      <c r="BFT38" s="88"/>
      <c r="BFU38" s="88"/>
      <c r="BFV38" s="88"/>
      <c r="BFW38" s="88"/>
      <c r="BFX38" s="88"/>
      <c r="BFY38" s="88"/>
      <c r="BFZ38" s="88"/>
      <c r="BGA38" s="88"/>
      <c r="BGB38" s="88"/>
      <c r="BGC38" s="88"/>
      <c r="BGD38" s="88"/>
      <c r="BGE38" s="88"/>
      <c r="BGF38" s="88"/>
      <c r="BGG38" s="88"/>
      <c r="BGH38" s="88"/>
      <c r="BGI38" s="88"/>
      <c r="BGJ38" s="88"/>
      <c r="BGK38" s="88"/>
      <c r="BGL38" s="88"/>
      <c r="BGM38" s="88"/>
      <c r="BGN38" s="88"/>
      <c r="BGO38" s="88"/>
      <c r="BGP38" s="88"/>
      <c r="BGQ38" s="88"/>
      <c r="BGR38" s="88"/>
      <c r="BGS38" s="88"/>
      <c r="BGT38" s="88"/>
      <c r="BGU38" s="88"/>
      <c r="BGV38" s="88"/>
      <c r="BGW38" s="88"/>
      <c r="BGX38" s="88"/>
      <c r="BGY38" s="88"/>
      <c r="BGZ38" s="88"/>
      <c r="BHA38" s="88"/>
      <c r="BHB38" s="88"/>
      <c r="BHC38" s="88"/>
      <c r="BHD38" s="88"/>
      <c r="BHE38" s="88"/>
      <c r="BHF38" s="88"/>
      <c r="BHG38" s="88"/>
      <c r="BHH38" s="88"/>
      <c r="BHI38" s="88"/>
      <c r="BHJ38" s="88"/>
      <c r="BHK38" s="88"/>
      <c r="BHL38" s="88"/>
      <c r="BHM38" s="88"/>
      <c r="BHN38" s="88"/>
      <c r="BHO38" s="88"/>
      <c r="BHP38" s="88"/>
      <c r="BHQ38" s="88"/>
      <c r="BHR38" s="88"/>
      <c r="BHS38" s="88"/>
      <c r="BHT38" s="88"/>
      <c r="BHU38" s="88"/>
      <c r="BHV38" s="88"/>
      <c r="BHW38" s="88"/>
      <c r="BHX38" s="88"/>
      <c r="BHY38" s="88"/>
      <c r="BHZ38" s="88"/>
      <c r="BIA38" s="88"/>
      <c r="BIB38" s="88"/>
      <c r="BIC38" s="88"/>
      <c r="BID38" s="88"/>
      <c r="BIE38" s="88"/>
      <c r="BIF38" s="88"/>
      <c r="BIG38" s="88"/>
      <c r="BIH38" s="88"/>
      <c r="BII38" s="88"/>
      <c r="BIJ38" s="88"/>
      <c r="BIK38" s="88"/>
      <c r="BIL38" s="88"/>
      <c r="BIM38" s="88"/>
      <c r="BIN38" s="88"/>
      <c r="BIO38" s="88"/>
      <c r="BIP38" s="88"/>
      <c r="BIQ38" s="88"/>
      <c r="BIR38" s="88"/>
      <c r="BIS38" s="88"/>
      <c r="BIT38" s="88"/>
      <c r="BIU38" s="88"/>
      <c r="BIV38" s="88"/>
      <c r="BIW38" s="88"/>
      <c r="BIX38" s="88"/>
      <c r="BIY38" s="88"/>
      <c r="BIZ38" s="88"/>
      <c r="BJA38" s="88"/>
      <c r="BJB38" s="88"/>
      <c r="BJC38" s="88"/>
      <c r="BJD38" s="88"/>
      <c r="BJE38" s="88"/>
      <c r="BJF38" s="88"/>
      <c r="BJG38" s="88"/>
      <c r="BJH38" s="88"/>
      <c r="BJI38" s="88"/>
      <c r="BJJ38" s="88"/>
      <c r="BJK38" s="88"/>
      <c r="BJL38" s="88"/>
      <c r="BJM38" s="88"/>
      <c r="BJN38" s="88"/>
      <c r="BJO38" s="88"/>
      <c r="BJP38" s="88"/>
      <c r="BJQ38" s="88"/>
      <c r="BJR38" s="88"/>
      <c r="BJS38" s="88"/>
      <c r="BJT38" s="88"/>
      <c r="BJU38" s="88"/>
      <c r="BJV38" s="88"/>
      <c r="BJW38" s="88"/>
      <c r="BJX38" s="88"/>
      <c r="BJY38" s="88"/>
      <c r="BJZ38" s="88"/>
      <c r="BKA38" s="88"/>
      <c r="BKB38" s="88"/>
      <c r="BKC38" s="88"/>
      <c r="BKD38" s="88"/>
      <c r="BKE38" s="88"/>
      <c r="BKF38" s="88"/>
      <c r="BKG38" s="88"/>
      <c r="BKH38" s="88"/>
      <c r="BKI38" s="88"/>
      <c r="BKJ38" s="88"/>
      <c r="BKK38" s="88"/>
      <c r="BKL38" s="88"/>
      <c r="BKM38" s="88"/>
      <c r="BKN38" s="88"/>
      <c r="BKO38" s="88"/>
      <c r="BKP38" s="88"/>
      <c r="BKQ38" s="88"/>
      <c r="BKR38" s="88"/>
      <c r="BKS38" s="88"/>
      <c r="BKT38" s="88"/>
      <c r="BKU38" s="88"/>
      <c r="BKV38" s="88"/>
      <c r="BKW38" s="88"/>
      <c r="BKX38" s="88"/>
      <c r="BKY38" s="88"/>
      <c r="BKZ38" s="88"/>
      <c r="BLA38" s="88"/>
      <c r="BLB38" s="88"/>
      <c r="BLC38" s="88"/>
      <c r="BLD38" s="88"/>
      <c r="BLE38" s="88"/>
      <c r="BLF38" s="88"/>
      <c r="BLG38" s="88"/>
      <c r="BLH38" s="88"/>
      <c r="BLI38" s="88"/>
      <c r="BLJ38" s="88"/>
      <c r="BLK38" s="88"/>
      <c r="BLL38" s="88"/>
      <c r="BLM38" s="88"/>
      <c r="BLN38" s="88"/>
      <c r="BLO38" s="88"/>
      <c r="BLP38" s="88"/>
      <c r="BLQ38" s="88"/>
      <c r="BLR38" s="88"/>
      <c r="BLS38" s="88"/>
      <c r="BLT38" s="88"/>
      <c r="BLU38" s="88"/>
      <c r="BLV38" s="88"/>
      <c r="BLW38" s="88"/>
      <c r="BLX38" s="88"/>
      <c r="BLY38" s="88"/>
      <c r="BLZ38" s="88"/>
      <c r="BMA38" s="88"/>
      <c r="BMB38" s="88"/>
      <c r="BMC38" s="88"/>
      <c r="BMD38" s="88"/>
      <c r="BME38" s="88"/>
      <c r="BMF38" s="88"/>
      <c r="BMG38" s="88"/>
      <c r="BMH38" s="88"/>
      <c r="BMI38" s="88"/>
      <c r="BMJ38" s="88"/>
      <c r="BMK38" s="88"/>
      <c r="BML38" s="88"/>
      <c r="BMM38" s="88"/>
      <c r="BMN38" s="88"/>
      <c r="BMO38" s="88"/>
      <c r="BMP38" s="88"/>
      <c r="BMQ38" s="88"/>
      <c r="BMR38" s="88"/>
      <c r="BMS38" s="88"/>
      <c r="BMT38" s="88"/>
      <c r="BMU38" s="88"/>
      <c r="BMV38" s="88"/>
      <c r="BMW38" s="88"/>
      <c r="BMX38" s="88"/>
      <c r="BMY38" s="88"/>
      <c r="BMZ38" s="88"/>
      <c r="BNA38" s="88"/>
      <c r="BNB38" s="88"/>
      <c r="BNC38" s="88"/>
      <c r="BND38" s="88"/>
      <c r="BNE38" s="88"/>
      <c r="BNF38" s="88"/>
      <c r="BNG38" s="88"/>
      <c r="BNH38" s="88"/>
      <c r="BNI38" s="88"/>
      <c r="BNJ38" s="88"/>
      <c r="BNK38" s="88"/>
      <c r="BNL38" s="88"/>
      <c r="BNM38" s="88"/>
      <c r="BNN38" s="88"/>
      <c r="BNO38" s="88"/>
      <c r="BNP38" s="88"/>
      <c r="BNQ38" s="88"/>
      <c r="BNR38" s="88"/>
      <c r="BNS38" s="88"/>
      <c r="BNT38" s="88"/>
      <c r="BNU38" s="88"/>
      <c r="BNV38" s="88"/>
      <c r="BNW38" s="88"/>
      <c r="BNX38" s="88"/>
      <c r="BNY38" s="88"/>
      <c r="BNZ38" s="88"/>
      <c r="BOA38" s="88"/>
      <c r="BOB38" s="88"/>
      <c r="BOC38" s="88"/>
      <c r="BOD38" s="88"/>
      <c r="BOE38" s="88"/>
      <c r="BOF38" s="88"/>
      <c r="BOG38" s="88"/>
      <c r="BOH38" s="88"/>
      <c r="BOI38" s="88"/>
      <c r="BOJ38" s="88"/>
      <c r="BOK38" s="88"/>
      <c r="BOL38" s="88"/>
      <c r="BOM38" s="88"/>
      <c r="BON38" s="88"/>
      <c r="BOO38" s="88"/>
      <c r="BOP38" s="88"/>
      <c r="BOQ38" s="88"/>
      <c r="BOR38" s="88"/>
      <c r="BOS38" s="88"/>
      <c r="BOT38" s="88"/>
      <c r="BOU38" s="88"/>
      <c r="BOV38" s="88"/>
      <c r="BOW38" s="88"/>
      <c r="BOX38" s="88"/>
      <c r="BOY38" s="88"/>
      <c r="BOZ38" s="88"/>
      <c r="BPA38" s="88"/>
      <c r="BPB38" s="88"/>
      <c r="BPC38" s="88"/>
      <c r="BPD38" s="88"/>
      <c r="BPE38" s="88"/>
      <c r="BPF38" s="88"/>
      <c r="BPG38" s="88"/>
      <c r="BPH38" s="88"/>
      <c r="BPI38" s="88"/>
      <c r="BPJ38" s="88"/>
      <c r="BPK38" s="88"/>
      <c r="BPL38" s="88"/>
      <c r="BPM38" s="88"/>
      <c r="BPN38" s="88"/>
      <c r="BPO38" s="88"/>
      <c r="BPP38" s="88"/>
      <c r="BPQ38" s="88"/>
      <c r="BPR38" s="88"/>
      <c r="BPS38" s="88"/>
      <c r="BPT38" s="88"/>
      <c r="BPU38" s="88"/>
      <c r="BPV38" s="88"/>
      <c r="BPW38" s="88"/>
      <c r="BPX38" s="88"/>
      <c r="BPY38" s="88"/>
      <c r="BPZ38" s="88"/>
      <c r="BQA38" s="88"/>
      <c r="BQB38" s="88"/>
      <c r="BQC38" s="88"/>
      <c r="BQD38" s="88"/>
      <c r="BQE38" s="88"/>
      <c r="BQF38" s="88"/>
      <c r="BQG38" s="88"/>
      <c r="BQH38" s="88"/>
      <c r="BQI38" s="88"/>
      <c r="BQJ38" s="88"/>
      <c r="BQK38" s="88"/>
      <c r="BQL38" s="88"/>
      <c r="BQM38" s="88"/>
      <c r="BQN38" s="88"/>
      <c r="BQO38" s="88"/>
      <c r="BQP38" s="88"/>
      <c r="BQQ38" s="88"/>
      <c r="BQR38" s="88"/>
      <c r="BQS38" s="88"/>
      <c r="BQT38" s="88"/>
      <c r="BQU38" s="88"/>
      <c r="BQV38" s="88"/>
      <c r="BQW38" s="88"/>
      <c r="BQX38" s="88"/>
      <c r="BQY38" s="88"/>
      <c r="BQZ38" s="88"/>
      <c r="BRA38" s="88"/>
      <c r="BRB38" s="88"/>
      <c r="BRC38" s="88"/>
      <c r="BRD38" s="88"/>
      <c r="BRE38" s="88"/>
      <c r="BRF38" s="88"/>
      <c r="BRG38" s="88"/>
      <c r="BRH38" s="88"/>
      <c r="BRI38" s="88"/>
      <c r="BRJ38" s="88"/>
      <c r="BRK38" s="88"/>
      <c r="BRL38" s="88"/>
      <c r="BRM38" s="88"/>
      <c r="BRN38" s="88"/>
      <c r="BRO38" s="88"/>
      <c r="BRP38" s="88"/>
      <c r="BRQ38" s="88"/>
      <c r="BRR38" s="88"/>
      <c r="BRS38" s="88"/>
      <c r="BRT38" s="88"/>
      <c r="BRU38" s="88"/>
      <c r="BRV38" s="88"/>
      <c r="BRW38" s="88"/>
      <c r="BRX38" s="88"/>
      <c r="BRY38" s="88"/>
      <c r="BRZ38" s="88"/>
      <c r="BSA38" s="88"/>
      <c r="BSB38" s="88"/>
      <c r="BSC38" s="88"/>
      <c r="BSD38" s="88"/>
      <c r="BSE38" s="88"/>
      <c r="BSF38" s="88"/>
      <c r="BSG38" s="88"/>
      <c r="BSH38" s="88"/>
      <c r="BSI38" s="88"/>
      <c r="BSJ38" s="88"/>
      <c r="BSK38" s="88"/>
      <c r="BSL38" s="88"/>
      <c r="BSM38" s="88"/>
      <c r="BSN38" s="88"/>
      <c r="BSO38" s="88"/>
      <c r="BSP38" s="88"/>
      <c r="BSQ38" s="88"/>
      <c r="BSR38" s="88"/>
      <c r="BSS38" s="88"/>
      <c r="BST38" s="88"/>
      <c r="BSU38" s="88"/>
      <c r="BSV38" s="88"/>
      <c r="BSW38" s="88"/>
      <c r="BSX38" s="88"/>
      <c r="BSY38" s="88"/>
      <c r="BSZ38" s="88"/>
      <c r="BTA38" s="88"/>
      <c r="BTB38" s="88"/>
      <c r="BTC38" s="88"/>
      <c r="BTD38" s="88"/>
      <c r="BTE38" s="88"/>
      <c r="BTF38" s="88"/>
      <c r="BTG38" s="88"/>
      <c r="BTH38" s="88"/>
      <c r="BTI38" s="88"/>
      <c r="BTJ38" s="88"/>
      <c r="BTK38" s="88"/>
      <c r="BTL38" s="88"/>
      <c r="BTM38" s="88"/>
      <c r="BTN38" s="88"/>
      <c r="BTO38" s="88"/>
      <c r="BTP38" s="88"/>
      <c r="BTQ38" s="88"/>
      <c r="BTR38" s="88"/>
      <c r="BTS38" s="88"/>
      <c r="BTT38" s="88"/>
      <c r="BTU38" s="88"/>
      <c r="BTV38" s="88"/>
      <c r="BTW38" s="88"/>
      <c r="BTX38" s="88"/>
      <c r="BTY38" s="88"/>
      <c r="BTZ38" s="88"/>
      <c r="BUA38" s="88"/>
      <c r="BUB38" s="88"/>
      <c r="BUC38" s="88"/>
      <c r="BUD38" s="88"/>
      <c r="BUE38" s="88"/>
      <c r="BUF38" s="88"/>
      <c r="BUG38" s="88"/>
      <c r="BUH38" s="88"/>
      <c r="BUI38" s="88"/>
      <c r="BUJ38" s="88"/>
      <c r="BUK38" s="88"/>
      <c r="BUL38" s="88"/>
      <c r="BUM38" s="88"/>
      <c r="BUN38" s="88"/>
      <c r="BUO38" s="88"/>
      <c r="BUP38" s="88"/>
      <c r="BUQ38" s="88"/>
      <c r="BUR38" s="88"/>
      <c r="BUS38" s="88"/>
      <c r="BUT38" s="88"/>
      <c r="BUU38" s="88"/>
      <c r="BUV38" s="88"/>
      <c r="BUW38" s="88"/>
      <c r="BUX38" s="88"/>
      <c r="BUY38" s="88"/>
      <c r="BUZ38" s="88"/>
      <c r="BVA38" s="88"/>
      <c r="BVB38" s="88"/>
      <c r="BVC38" s="88"/>
      <c r="BVD38" s="88"/>
      <c r="BVE38" s="88"/>
      <c r="BVF38" s="88"/>
      <c r="BVG38" s="88"/>
      <c r="BVH38" s="88"/>
      <c r="BVI38" s="88"/>
      <c r="BVJ38" s="88"/>
      <c r="BVK38" s="88"/>
      <c r="BVL38" s="88"/>
      <c r="BVM38" s="88"/>
      <c r="BVN38" s="88"/>
      <c r="BVO38" s="88"/>
      <c r="BVP38" s="88"/>
      <c r="BVQ38" s="88"/>
      <c r="BVR38" s="88"/>
      <c r="BVS38" s="88"/>
      <c r="BVT38" s="88"/>
      <c r="BVU38" s="88"/>
      <c r="BVV38" s="88"/>
      <c r="BVW38" s="88"/>
      <c r="BVX38" s="88"/>
      <c r="BVY38" s="88"/>
      <c r="BVZ38" s="88"/>
      <c r="BWA38" s="88"/>
      <c r="BWB38" s="88"/>
      <c r="BWC38" s="88"/>
      <c r="BWD38" s="88"/>
      <c r="BWE38" s="88"/>
      <c r="BWF38" s="88"/>
      <c r="BWG38" s="88"/>
      <c r="BWH38" s="88"/>
      <c r="BWI38" s="88"/>
      <c r="BWJ38" s="88"/>
      <c r="BWK38" s="88"/>
      <c r="BWL38" s="88"/>
      <c r="BWM38" s="88"/>
      <c r="BWN38" s="88"/>
      <c r="BWO38" s="88"/>
      <c r="BWP38" s="88"/>
      <c r="BWQ38" s="88"/>
      <c r="BWR38" s="88"/>
      <c r="BWS38" s="88"/>
      <c r="BWT38" s="88"/>
      <c r="BWU38" s="88"/>
      <c r="BWV38" s="88"/>
      <c r="BWW38" s="88"/>
      <c r="BWX38" s="88"/>
      <c r="BWY38" s="88"/>
      <c r="BWZ38" s="88"/>
      <c r="BXA38" s="88"/>
      <c r="BXB38" s="88"/>
      <c r="BXC38" s="88"/>
      <c r="BXD38" s="88"/>
      <c r="BXE38" s="88"/>
      <c r="BXF38" s="88"/>
      <c r="BXG38" s="88"/>
      <c r="BXH38" s="88"/>
      <c r="BXI38" s="88"/>
      <c r="BXJ38" s="88"/>
      <c r="BXK38" s="88"/>
      <c r="BXL38" s="88"/>
      <c r="BXM38" s="88"/>
      <c r="BXN38" s="88"/>
      <c r="BXO38" s="88"/>
      <c r="BXP38" s="88"/>
      <c r="BXQ38" s="88"/>
      <c r="BXR38" s="88"/>
      <c r="BXS38" s="88"/>
      <c r="BXT38" s="88"/>
      <c r="BXU38" s="88"/>
      <c r="BXV38" s="88"/>
      <c r="BXW38" s="88"/>
      <c r="BXX38" s="88"/>
      <c r="BXY38" s="88"/>
      <c r="BXZ38" s="88"/>
      <c r="BYA38" s="88"/>
      <c r="BYB38" s="88"/>
      <c r="BYC38" s="88"/>
      <c r="BYD38" s="88"/>
      <c r="BYE38" s="88"/>
      <c r="BYF38" s="88"/>
      <c r="BYG38" s="88"/>
      <c r="BYH38" s="88"/>
      <c r="BYI38" s="88"/>
      <c r="BYJ38" s="88"/>
      <c r="BYK38" s="88"/>
      <c r="BYL38" s="88"/>
      <c r="BYM38" s="88"/>
      <c r="BYN38" s="88"/>
      <c r="BYO38" s="88"/>
      <c r="BYP38" s="88"/>
      <c r="BYQ38" s="88"/>
      <c r="BYR38" s="88"/>
      <c r="BYS38" s="88"/>
      <c r="BYT38" s="88"/>
      <c r="BYU38" s="88"/>
      <c r="BYV38" s="88"/>
      <c r="BYW38" s="88"/>
      <c r="BYX38" s="88"/>
      <c r="BYY38" s="88"/>
      <c r="BYZ38" s="88"/>
      <c r="BZA38" s="88"/>
      <c r="BZB38" s="88"/>
      <c r="BZC38" s="88"/>
      <c r="BZD38" s="88"/>
      <c r="BZE38" s="88"/>
      <c r="BZF38" s="88"/>
      <c r="BZG38" s="88"/>
      <c r="BZH38" s="88"/>
      <c r="BZI38" s="88"/>
      <c r="BZJ38" s="88"/>
      <c r="BZK38" s="88"/>
      <c r="BZL38" s="88"/>
      <c r="BZM38" s="88"/>
      <c r="BZN38" s="88"/>
      <c r="BZO38" s="88"/>
      <c r="BZP38" s="88"/>
      <c r="BZQ38" s="88"/>
      <c r="BZR38" s="88"/>
      <c r="BZS38" s="88"/>
      <c r="BZT38" s="88"/>
      <c r="BZU38" s="88"/>
      <c r="BZV38" s="88"/>
      <c r="BZW38" s="88"/>
      <c r="BZX38" s="88"/>
      <c r="BZY38" s="88"/>
      <c r="BZZ38" s="88"/>
      <c r="CAA38" s="88"/>
      <c r="CAB38" s="88"/>
      <c r="CAC38" s="88"/>
      <c r="CAD38" s="88"/>
      <c r="CAE38" s="88"/>
      <c r="CAF38" s="88"/>
      <c r="CAG38" s="88"/>
      <c r="CAH38" s="88"/>
      <c r="CAI38" s="88"/>
      <c r="CAJ38" s="88"/>
      <c r="CAK38" s="88"/>
      <c r="CAL38" s="88"/>
      <c r="CAM38" s="88"/>
      <c r="CAN38" s="88"/>
      <c r="CAO38" s="88"/>
      <c r="CAP38" s="88"/>
      <c r="CAQ38" s="88"/>
      <c r="CAR38" s="88"/>
      <c r="CAS38" s="88"/>
      <c r="CAT38" s="88"/>
      <c r="CAU38" s="88"/>
      <c r="CAV38" s="88"/>
      <c r="CAW38" s="88"/>
      <c r="CAX38" s="88"/>
      <c r="CAY38" s="88"/>
      <c r="CAZ38" s="88"/>
      <c r="CBA38" s="88"/>
      <c r="CBB38" s="88"/>
      <c r="CBC38" s="88"/>
      <c r="CBD38" s="88"/>
      <c r="CBE38" s="88"/>
      <c r="CBF38" s="88"/>
      <c r="CBG38" s="88"/>
      <c r="CBH38" s="88"/>
      <c r="CBI38" s="88"/>
      <c r="CBJ38" s="88"/>
      <c r="CBK38" s="88"/>
      <c r="CBL38" s="88"/>
      <c r="CBM38" s="88"/>
      <c r="CBN38" s="88"/>
      <c r="CBO38" s="88"/>
      <c r="CBP38" s="88"/>
      <c r="CBQ38" s="88"/>
      <c r="CBR38" s="88"/>
      <c r="CBS38" s="88"/>
      <c r="CBT38" s="88"/>
      <c r="CBU38" s="88"/>
      <c r="CBV38" s="88"/>
      <c r="CBW38" s="88"/>
      <c r="CBX38" s="88"/>
      <c r="CBY38" s="88"/>
      <c r="CBZ38" s="88"/>
      <c r="CCA38" s="88"/>
      <c r="CCB38" s="88"/>
      <c r="CCC38" s="88"/>
      <c r="CCD38" s="88"/>
      <c r="CCE38" s="88"/>
      <c r="CCF38" s="88"/>
      <c r="CCG38" s="88"/>
      <c r="CCH38" s="88"/>
      <c r="CCI38" s="88"/>
      <c r="CCJ38" s="88"/>
      <c r="CCK38" s="88"/>
      <c r="CCL38" s="88"/>
      <c r="CCM38" s="88"/>
      <c r="CCN38" s="88"/>
      <c r="CCO38" s="88"/>
      <c r="CCP38" s="88"/>
      <c r="CCQ38" s="88"/>
      <c r="CCR38" s="88"/>
      <c r="CCS38" s="88"/>
      <c r="CCT38" s="88"/>
      <c r="CCU38" s="88"/>
      <c r="CCV38" s="88"/>
      <c r="CCW38" s="88"/>
      <c r="CCX38" s="88"/>
      <c r="CCY38" s="88"/>
      <c r="CCZ38" s="88"/>
      <c r="CDA38" s="88"/>
      <c r="CDB38" s="88"/>
      <c r="CDC38" s="88"/>
      <c r="CDD38" s="88"/>
      <c r="CDE38" s="88"/>
      <c r="CDF38" s="88"/>
      <c r="CDG38" s="88"/>
      <c r="CDH38" s="88"/>
      <c r="CDI38" s="88"/>
      <c r="CDJ38" s="88"/>
      <c r="CDK38" s="88"/>
      <c r="CDL38" s="88"/>
      <c r="CDM38" s="88"/>
      <c r="CDN38" s="88"/>
      <c r="CDO38" s="88"/>
      <c r="CDP38" s="88"/>
      <c r="CDQ38" s="88"/>
      <c r="CDR38" s="88"/>
      <c r="CDS38" s="88"/>
      <c r="CDT38" s="88"/>
      <c r="CDU38" s="88"/>
      <c r="CDV38" s="88"/>
      <c r="CDW38" s="88"/>
      <c r="CDX38" s="88"/>
      <c r="CDY38" s="88"/>
      <c r="CDZ38" s="88"/>
      <c r="CEA38" s="88"/>
      <c r="CEB38" s="88"/>
      <c r="CEC38" s="88"/>
      <c r="CED38" s="88"/>
      <c r="CEE38" s="88"/>
      <c r="CEF38" s="88"/>
      <c r="CEG38" s="88"/>
      <c r="CEH38" s="88"/>
      <c r="CEI38" s="88"/>
      <c r="CEJ38" s="88"/>
      <c r="CEK38" s="88"/>
    </row>
    <row r="39" spans="1:2169" s="88" customFormat="1">
      <c r="A39" s="469" t="s">
        <v>9516</v>
      </c>
      <c r="B39" s="541" t="s">
        <v>9517</v>
      </c>
      <c r="C39" s="542" t="str">
        <f>IF('page 2'!$O$4="","",IF('page 2'!$O$4=Gestion!A39,1,0))</f>
        <v/>
      </c>
      <c r="D39" s="542" t="str">
        <f>IF('page 2'!$O$5="","",IF('page 2'!$O$5=Gestion!A39,1,0))</f>
        <v/>
      </c>
      <c r="E39" s="542" t="str">
        <f>IF('page 2'!$O$6="","",IF('page 2'!$O$6=Gestion!A39,1,0))</f>
        <v/>
      </c>
      <c r="F39" s="542" t="str">
        <f>IF('page 2'!$O$7="","",IF('page 2'!$O$7=Gestion!A39,1,0))</f>
        <v/>
      </c>
      <c r="G39" s="542" t="str">
        <f>IF('page 2'!$O$8="","",IF('page 2'!$O$8=Gestion!A39,1,0))</f>
        <v/>
      </c>
      <c r="H39" s="542" t="str">
        <f>IF('page 2'!$O$9="","",IF('page 2'!$O$9=Gestion!A39,1,0))</f>
        <v/>
      </c>
      <c r="I39" s="542" t="str">
        <f>IF('page 2'!$O$10="","",IF('page 2'!$O$10=Gestion!A39,1,0))</f>
        <v/>
      </c>
      <c r="J39" s="542" t="str">
        <f>IF('page 2'!$O$11="","",IF('page 2'!$O$11=Gestion!A39,1,0))</f>
        <v/>
      </c>
      <c r="K39" s="542" t="str">
        <f>IF('page 2'!$O$12="","",IF('page 2'!$O$12=Gestion!A39,1,0))</f>
        <v/>
      </c>
      <c r="L39" s="542" t="str">
        <f>IF('page 2'!$O$13="","",IF('page 2'!$O$13=Gestion!A39,1,0))</f>
        <v/>
      </c>
      <c r="M39" s="542" t="str">
        <f>IF('page 2'!$O$14="","",IF('page 2'!$O$14=Gestion!A39,1,0))</f>
        <v/>
      </c>
      <c r="N39" s="542" t="str">
        <f>IF('page 2'!$O$15="","",IF('page 2'!$O$15=Gestion!A39,1,0))</f>
        <v/>
      </c>
      <c r="O39" s="542" t="str">
        <f>IF('page 2'!$O$16="","",IF('page 2'!$O$16=Gestion!A39,1,0))</f>
        <v/>
      </c>
      <c r="P39" s="542" t="str">
        <f>IF('page 2'!$O$17="","",IF('page 2'!$O$17=Gestion!A39,1,0))</f>
        <v/>
      </c>
      <c r="Q39" s="542" t="str">
        <f>IF('page 2'!$O$18="","",IF('page 2'!$O$18=Gestion!A39,1,0))</f>
        <v/>
      </c>
      <c r="R39" s="542" t="str">
        <f>IF('page 2'!$O$19="","",IF('page 2'!$O$19=Gestion!A39,1,0))</f>
        <v/>
      </c>
      <c r="S39" s="542" t="str">
        <f>IF('page 2'!$O$20="","",IF('page 2'!$O$20=Gestion!A39,1,0))</f>
        <v/>
      </c>
      <c r="T39" s="542" t="str">
        <f>IF('page 2'!$O$25="","",IF('page 2'!$O$25=Gestion!A39,1,0))</f>
        <v/>
      </c>
      <c r="U39" s="542" t="str">
        <f>IF('page 2'!$O$26="","",IF('page 2'!$O$26=Gestion!A39,1,0))</f>
        <v/>
      </c>
      <c r="V39" s="542" t="str">
        <f>IF('page 2'!$O$27="","",IF('page 2'!$O$27=Gestion!A39,1,0))</f>
        <v/>
      </c>
      <c r="W39" s="724">
        <f t="shared" ref="W39" si="8">SUM(C39:V39)</f>
        <v>0</v>
      </c>
      <c r="X39" s="715"/>
      <c r="Y39" s="542"/>
      <c r="Z39" s="542"/>
      <c r="AA39" s="542"/>
      <c r="AB39" s="542"/>
      <c r="AC39" s="542"/>
      <c r="AD39" s="542"/>
      <c r="AP39" s="469"/>
      <c r="AQ39" s="469"/>
      <c r="AR39" s="469"/>
      <c r="AS39" s="576"/>
      <c r="AT39" s="576"/>
      <c r="AU39" s="576"/>
      <c r="AV39" s="576"/>
      <c r="AW39" s="890"/>
      <c r="AX39" s="890"/>
      <c r="AY39" s="576"/>
      <c r="AZ39" s="576"/>
      <c r="BA39" s="576"/>
      <c r="BB39" s="576"/>
      <c r="BC39" s="576"/>
      <c r="BD39" s="890"/>
      <c r="BE39" s="890"/>
      <c r="BF39" s="890"/>
      <c r="BG39" s="890"/>
      <c r="BH39" s="890"/>
      <c r="BI39" s="890"/>
      <c r="BJ39" s="890"/>
      <c r="BK39" s="890"/>
      <c r="BL39" s="890"/>
      <c r="BM39" s="890"/>
      <c r="BN39" s="890"/>
      <c r="BO39" s="890"/>
      <c r="BP39" s="890"/>
      <c r="BQ39" s="890"/>
      <c r="BR39" s="890"/>
      <c r="BS39" s="576"/>
      <c r="BT39" s="576"/>
      <c r="BU39" s="576"/>
      <c r="BV39" s="576"/>
      <c r="BW39" s="890"/>
      <c r="BX39" s="890"/>
      <c r="BY39" s="890"/>
      <c r="BZ39" s="576"/>
      <c r="CA39" s="890"/>
      <c r="CB39" s="890"/>
      <c r="CC39" s="576"/>
      <c r="CD39" s="469"/>
      <c r="CE39" s="890"/>
      <c r="CF39" s="576"/>
      <c r="CG39" s="576"/>
      <c r="CH39" s="576"/>
      <c r="CI39" s="576"/>
      <c r="CJ39" s="576"/>
      <c r="CK39" s="890"/>
      <c r="CL39" s="890"/>
      <c r="CM39" s="576"/>
      <c r="CN39" s="890"/>
      <c r="CO39" s="890"/>
      <c r="CP39" s="890"/>
      <c r="CQ39" s="576"/>
      <c r="CR39" s="576"/>
      <c r="CS39" s="890"/>
    </row>
    <row r="40" spans="1:2169" s="51" customFormat="1">
      <c r="A40" s="69" t="s">
        <v>413</v>
      </c>
      <c r="B40" s="72" t="s">
        <v>72</v>
      </c>
      <c r="C40" s="69" t="str">
        <f>IF('page 2'!$O$4="","",IF('page 2'!$O$4=Gestion!A40,1,0))</f>
        <v/>
      </c>
      <c r="D40" s="69" t="str">
        <f>IF('page 2'!$O$5="","",IF('page 2'!$O$5=Gestion!A40,1,0))</f>
        <v/>
      </c>
      <c r="E40" s="69" t="str">
        <f>IF('page 2'!$O$6="","",IF('page 2'!$O$6=Gestion!A40,1,0))</f>
        <v/>
      </c>
      <c r="F40" s="69" t="str">
        <f>IF('page 2'!$O$7="","",IF('page 2'!$O$7=Gestion!A40,1,0))</f>
        <v/>
      </c>
      <c r="G40" s="69" t="str">
        <f>IF('page 2'!$O$8="","",IF('page 2'!$O$8=Gestion!A40,1,0))</f>
        <v/>
      </c>
      <c r="H40" s="69" t="str">
        <f>IF('page 2'!$O$9="","",IF('page 2'!$O$9=Gestion!A40,1,0))</f>
        <v/>
      </c>
      <c r="I40" s="69" t="str">
        <f>IF('page 2'!$O$10="","",IF('page 2'!$O$10=Gestion!A40,1,0))</f>
        <v/>
      </c>
      <c r="J40" s="69" t="str">
        <f>IF('page 2'!$O$11="","",IF('page 2'!$O$11=Gestion!A40,1,0))</f>
        <v/>
      </c>
      <c r="K40" s="69" t="str">
        <f>IF('page 2'!$O$12="","",IF('page 2'!$O$12=Gestion!A40,1,0))</f>
        <v/>
      </c>
      <c r="L40" s="69" t="str">
        <f>IF('page 2'!$O$13="","",IF('page 2'!$O$13=Gestion!A40,1,0))</f>
        <v/>
      </c>
      <c r="M40" s="69" t="str">
        <f>IF('page 2'!$O$14="","",IF('page 2'!$O$14=Gestion!A40,1,0))</f>
        <v/>
      </c>
      <c r="N40" s="69" t="str">
        <f>IF('page 2'!$O$15="","",IF('page 2'!$O$15=Gestion!A40,1,0))</f>
        <v/>
      </c>
      <c r="O40" s="69" t="str">
        <f>IF('page 2'!$O$16="","",IF('page 2'!$O$16=Gestion!A40,1,0))</f>
        <v/>
      </c>
      <c r="P40" s="69" t="str">
        <f>IF('page 2'!$O$17="","",IF('page 2'!$O$17=Gestion!A40,1,0))</f>
        <v/>
      </c>
      <c r="Q40" s="69" t="str">
        <f>IF('page 2'!$O$18="","",IF('page 2'!$O$18=Gestion!A40,1,0))</f>
        <v/>
      </c>
      <c r="R40" s="69" t="str">
        <f>IF('page 2'!$O$19="","",IF('page 2'!$O$19=Gestion!A40,1,0))</f>
        <v/>
      </c>
      <c r="S40" s="69" t="str">
        <f>IF('page 2'!$O$20="","",IF('page 2'!$O$20=Gestion!A40,1,0))</f>
        <v/>
      </c>
      <c r="T40" s="69" t="str">
        <f>IF('page 2'!$O$25="","",IF('page 2'!$O$25=Gestion!A40,1,0))</f>
        <v/>
      </c>
      <c r="U40" s="69" t="str">
        <f>IF('page 2'!$O$26="","",IF('page 2'!$O$26=Gestion!A40,1,0))</f>
        <v/>
      </c>
      <c r="V40" s="69" t="str">
        <f>IF('page 2'!$O$27="","",IF('page 2'!$O$27=Gestion!A40,1,0))</f>
        <v/>
      </c>
      <c r="W40" s="723">
        <f t="shared" si="0"/>
        <v>0</v>
      </c>
      <c r="X40" s="713"/>
      <c r="Y40" s="69"/>
      <c r="Z40" s="69"/>
      <c r="AA40" s="69"/>
      <c r="AB40" s="542"/>
      <c r="AC40" s="542"/>
      <c r="AD40" s="542"/>
      <c r="AE40" s="88"/>
      <c r="AP40" s="130"/>
      <c r="AQ40" s="130"/>
      <c r="AR40" s="130"/>
      <c r="AS40" s="576"/>
      <c r="AT40" s="576"/>
      <c r="AU40" s="576"/>
      <c r="AV40" s="576"/>
      <c r="AW40" s="602"/>
      <c r="AX40" s="602"/>
      <c r="AY40" s="576"/>
      <c r="AZ40" s="576"/>
      <c r="BA40" s="576"/>
      <c r="BB40" s="576"/>
      <c r="BC40" s="576"/>
      <c r="BD40" s="602"/>
      <c r="BE40" s="602"/>
      <c r="BF40" s="602"/>
      <c r="BG40" s="602"/>
      <c r="BH40" s="602"/>
      <c r="BI40" s="602"/>
      <c r="BJ40" s="602"/>
      <c r="BK40" s="602"/>
      <c r="BL40" s="602"/>
      <c r="BM40" s="602"/>
      <c r="BN40" s="602"/>
      <c r="BO40" s="602"/>
      <c r="BP40" s="602"/>
      <c r="BQ40" s="602"/>
      <c r="BR40" s="602"/>
      <c r="BS40" s="576"/>
      <c r="BT40" s="576"/>
      <c r="BU40" s="576"/>
      <c r="BV40" s="576"/>
      <c r="BW40" s="602"/>
      <c r="BX40" s="602"/>
      <c r="BY40" s="602"/>
      <c r="BZ40" s="576"/>
      <c r="CA40" s="602"/>
      <c r="CB40" s="602"/>
      <c r="CC40" s="576"/>
      <c r="CD40" s="469"/>
      <c r="CE40" s="602"/>
      <c r="CF40" s="576"/>
      <c r="CG40" s="576"/>
      <c r="CH40" s="576"/>
      <c r="CI40" s="576"/>
      <c r="CJ40" s="576"/>
      <c r="CK40" s="602"/>
      <c r="CL40" s="602"/>
      <c r="CM40" s="576"/>
      <c r="CN40" s="602"/>
      <c r="CO40" s="602"/>
      <c r="CP40" s="602"/>
      <c r="CQ40" s="576"/>
      <c r="CR40" s="576"/>
      <c r="CS40" s="602"/>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c r="JU40" s="88"/>
      <c r="JV40" s="88"/>
      <c r="JW40" s="88"/>
      <c r="JX40" s="88"/>
      <c r="JY40" s="88"/>
      <c r="JZ40" s="88"/>
      <c r="KA40" s="88"/>
      <c r="KB40" s="88"/>
      <c r="KC40" s="88"/>
      <c r="KD40" s="88"/>
      <c r="KE40" s="88"/>
      <c r="KF40" s="88"/>
      <c r="KG40" s="88"/>
      <c r="KH40" s="88"/>
      <c r="KI40" s="88"/>
      <c r="KJ40" s="88"/>
      <c r="KK40" s="88"/>
      <c r="KL40" s="88"/>
      <c r="KM40" s="88"/>
      <c r="KN40" s="88"/>
      <c r="KO40" s="88"/>
      <c r="KP40" s="88"/>
      <c r="KQ40" s="88"/>
      <c r="KR40" s="88"/>
      <c r="KS40" s="88"/>
      <c r="KT40" s="88"/>
      <c r="KU40" s="88"/>
      <c r="KV40" s="88"/>
      <c r="KW40" s="88"/>
      <c r="KX40" s="88"/>
      <c r="KY40" s="88"/>
      <c r="KZ40" s="88"/>
      <c r="LA40" s="88"/>
      <c r="LB40" s="88"/>
      <c r="LC40" s="88"/>
      <c r="LD40" s="88"/>
      <c r="LE40" s="88"/>
      <c r="LF40" s="88"/>
      <c r="LG40" s="88"/>
      <c r="LH40" s="88"/>
      <c r="LI40" s="88"/>
      <c r="LJ40" s="88"/>
      <c r="LK40" s="88"/>
      <c r="LL40" s="88"/>
      <c r="LM40" s="88"/>
      <c r="LN40" s="88"/>
      <c r="LO40" s="88"/>
      <c r="LP40" s="88"/>
      <c r="LQ40" s="88"/>
      <c r="LR40" s="88"/>
      <c r="LS40" s="88"/>
      <c r="LT40" s="88"/>
      <c r="LU40" s="88"/>
      <c r="LV40" s="88"/>
      <c r="LW40" s="88"/>
      <c r="LX40" s="88"/>
      <c r="LY40" s="88"/>
      <c r="LZ40" s="88"/>
      <c r="MA40" s="88"/>
      <c r="MB40" s="88"/>
      <c r="MC40" s="88"/>
      <c r="MD40" s="88"/>
      <c r="ME40" s="88"/>
      <c r="MF40" s="88"/>
      <c r="MG40" s="88"/>
      <c r="MH40" s="88"/>
      <c r="MI40" s="88"/>
      <c r="MJ40" s="88"/>
      <c r="MK40" s="88"/>
      <c r="ML40" s="88"/>
      <c r="MM40" s="88"/>
      <c r="MN40" s="88"/>
      <c r="MO40" s="88"/>
      <c r="MP40" s="88"/>
      <c r="MQ40" s="88"/>
      <c r="MR40" s="88"/>
      <c r="MS40" s="88"/>
      <c r="MT40" s="88"/>
      <c r="MU40" s="88"/>
      <c r="MV40" s="88"/>
      <c r="MW40" s="88"/>
      <c r="MX40" s="88"/>
      <c r="MY40" s="88"/>
      <c r="MZ40" s="88"/>
      <c r="NA40" s="88"/>
      <c r="NB40" s="88"/>
      <c r="NC40" s="88"/>
      <c r="ND40" s="88"/>
      <c r="NE40" s="88"/>
      <c r="NF40" s="88"/>
      <c r="NG40" s="88"/>
      <c r="NH40" s="88"/>
      <c r="NI40" s="88"/>
      <c r="NJ40" s="88"/>
      <c r="NK40" s="88"/>
      <c r="NL40" s="88"/>
      <c r="NM40" s="88"/>
      <c r="NN40" s="88"/>
      <c r="NO40" s="88"/>
      <c r="NP40" s="88"/>
      <c r="NQ40" s="88"/>
      <c r="NR40" s="88"/>
      <c r="NS40" s="88"/>
      <c r="NT40" s="88"/>
      <c r="NU40" s="88"/>
      <c r="NV40" s="88"/>
      <c r="NW40" s="88"/>
      <c r="NX40" s="88"/>
      <c r="NY40" s="88"/>
      <c r="NZ40" s="88"/>
      <c r="OA40" s="88"/>
      <c r="OB40" s="88"/>
      <c r="OC40" s="88"/>
      <c r="OD40" s="88"/>
      <c r="OE40" s="88"/>
      <c r="OF40" s="88"/>
      <c r="OG40" s="88"/>
      <c r="OH40" s="88"/>
      <c r="OI40" s="88"/>
      <c r="OJ40" s="88"/>
      <c r="OK40" s="88"/>
      <c r="OL40" s="88"/>
      <c r="OM40" s="88"/>
      <c r="ON40" s="88"/>
      <c r="OO40" s="88"/>
      <c r="OP40" s="88"/>
      <c r="OQ40" s="88"/>
      <c r="OR40" s="88"/>
      <c r="OS40" s="88"/>
      <c r="OT40" s="88"/>
      <c r="OU40" s="88"/>
      <c r="OV40" s="88"/>
      <c r="OW40" s="88"/>
      <c r="OX40" s="88"/>
      <c r="OY40" s="88"/>
      <c r="OZ40" s="88"/>
      <c r="PA40" s="88"/>
      <c r="PB40" s="88"/>
      <c r="PC40" s="88"/>
      <c r="PD40" s="88"/>
      <c r="PE40" s="88"/>
      <c r="PF40" s="88"/>
      <c r="PG40" s="88"/>
      <c r="PH40" s="88"/>
      <c r="PI40" s="88"/>
      <c r="PJ40" s="88"/>
      <c r="PK40" s="88"/>
      <c r="PL40" s="88"/>
      <c r="PM40" s="88"/>
      <c r="PN40" s="88"/>
      <c r="PO40" s="88"/>
      <c r="PP40" s="88"/>
      <c r="PQ40" s="88"/>
      <c r="PR40" s="88"/>
      <c r="PS40" s="88"/>
      <c r="PT40" s="88"/>
      <c r="PU40" s="88"/>
      <c r="PV40" s="88"/>
      <c r="PW40" s="88"/>
      <c r="PX40" s="88"/>
      <c r="PY40" s="88"/>
      <c r="PZ40" s="88"/>
      <c r="QA40" s="88"/>
      <c r="QB40" s="88"/>
      <c r="QC40" s="88"/>
      <c r="QD40" s="88"/>
      <c r="QE40" s="88"/>
      <c r="QF40" s="88"/>
      <c r="QG40" s="88"/>
      <c r="QH40" s="88"/>
      <c r="QI40" s="88"/>
      <c r="QJ40" s="88"/>
      <c r="QK40" s="88"/>
      <c r="QL40" s="88"/>
      <c r="QM40" s="88"/>
      <c r="QN40" s="88"/>
      <c r="QO40" s="88"/>
      <c r="QP40" s="88"/>
      <c r="QQ40" s="88"/>
      <c r="QR40" s="88"/>
      <c r="QS40" s="88"/>
      <c r="QT40" s="88"/>
      <c r="QU40" s="88"/>
      <c r="QV40" s="88"/>
      <c r="QW40" s="88"/>
      <c r="QX40" s="88"/>
      <c r="QY40" s="88"/>
      <c r="QZ40" s="88"/>
      <c r="RA40" s="88"/>
      <c r="RB40" s="88"/>
      <c r="RC40" s="88"/>
      <c r="RD40" s="88"/>
      <c r="RE40" s="88"/>
      <c r="RF40" s="88"/>
      <c r="RG40" s="88"/>
      <c r="RH40" s="88"/>
      <c r="RI40" s="88"/>
      <c r="RJ40" s="88"/>
      <c r="RK40" s="88"/>
      <c r="RL40" s="88"/>
      <c r="RM40" s="88"/>
      <c r="RN40" s="88"/>
      <c r="RO40" s="88"/>
      <c r="RP40" s="88"/>
      <c r="RQ40" s="88"/>
      <c r="RR40" s="88"/>
      <c r="RS40" s="88"/>
      <c r="RT40" s="88"/>
      <c r="RU40" s="88"/>
      <c r="RV40" s="88"/>
      <c r="RW40" s="88"/>
      <c r="RX40" s="88"/>
      <c r="RY40" s="88"/>
      <c r="RZ40" s="88"/>
      <c r="SA40" s="88"/>
      <c r="SB40" s="88"/>
      <c r="SC40" s="88"/>
      <c r="SD40" s="88"/>
      <c r="SE40" s="88"/>
      <c r="SF40" s="88"/>
      <c r="SG40" s="88"/>
      <c r="SH40" s="88"/>
      <c r="SI40" s="88"/>
      <c r="SJ40" s="88"/>
      <c r="SK40" s="88"/>
      <c r="SL40" s="88"/>
      <c r="SM40" s="88"/>
      <c r="SN40" s="88"/>
      <c r="SO40" s="88"/>
      <c r="SP40" s="88"/>
      <c r="SQ40" s="88"/>
      <c r="SR40" s="88"/>
      <c r="SS40" s="88"/>
      <c r="ST40" s="88"/>
      <c r="SU40" s="88"/>
      <c r="SV40" s="88"/>
      <c r="SW40" s="88"/>
      <c r="SX40" s="88"/>
      <c r="SY40" s="88"/>
      <c r="SZ40" s="88"/>
      <c r="TA40" s="88"/>
      <c r="TB40" s="88"/>
      <c r="TC40" s="88"/>
      <c r="TD40" s="88"/>
      <c r="TE40" s="88"/>
      <c r="TF40" s="88"/>
      <c r="TG40" s="88"/>
      <c r="TH40" s="88"/>
      <c r="TI40" s="88"/>
      <c r="TJ40" s="88"/>
      <c r="TK40" s="88"/>
      <c r="TL40" s="88"/>
      <c r="TM40" s="88"/>
      <c r="TN40" s="88"/>
      <c r="TO40" s="88"/>
      <c r="TP40" s="88"/>
      <c r="TQ40" s="88"/>
      <c r="TR40" s="88"/>
      <c r="TS40" s="88"/>
      <c r="TT40" s="88"/>
      <c r="TU40" s="88"/>
      <c r="TV40" s="88"/>
      <c r="TW40" s="88"/>
      <c r="TX40" s="88"/>
      <c r="TY40" s="88"/>
      <c r="TZ40" s="88"/>
      <c r="UA40" s="88"/>
      <c r="UB40" s="88"/>
      <c r="UC40" s="88"/>
      <c r="UD40" s="88"/>
      <c r="UE40" s="88"/>
      <c r="UF40" s="88"/>
      <c r="UG40" s="88"/>
      <c r="UH40" s="88"/>
      <c r="UI40" s="88"/>
      <c r="UJ40" s="88"/>
      <c r="UK40" s="88"/>
      <c r="UL40" s="88"/>
      <c r="UM40" s="88"/>
      <c r="UN40" s="88"/>
      <c r="UO40" s="88"/>
      <c r="UP40" s="88"/>
      <c r="UQ40" s="88"/>
      <c r="UR40" s="88"/>
      <c r="US40" s="88"/>
      <c r="UT40" s="88"/>
      <c r="UU40" s="88"/>
      <c r="UV40" s="88"/>
      <c r="UW40" s="88"/>
      <c r="UX40" s="88"/>
      <c r="UY40" s="88"/>
      <c r="UZ40" s="88"/>
      <c r="VA40" s="88"/>
      <c r="VB40" s="88"/>
      <c r="VC40" s="88"/>
      <c r="VD40" s="88"/>
      <c r="VE40" s="88"/>
      <c r="VF40" s="88"/>
      <c r="VG40" s="88"/>
      <c r="VH40" s="88"/>
      <c r="VI40" s="88"/>
      <c r="VJ40" s="88"/>
      <c r="VK40" s="88"/>
      <c r="VL40" s="88"/>
      <c r="VM40" s="88"/>
      <c r="VN40" s="88"/>
      <c r="VO40" s="88"/>
      <c r="VP40" s="88"/>
      <c r="VQ40" s="88"/>
      <c r="VR40" s="88"/>
      <c r="VS40" s="88"/>
      <c r="VT40" s="88"/>
      <c r="VU40" s="88"/>
      <c r="VV40" s="88"/>
      <c r="VW40" s="88"/>
      <c r="VX40" s="88"/>
      <c r="VY40" s="88"/>
      <c r="VZ40" s="88"/>
      <c r="WA40" s="88"/>
      <c r="WB40" s="88"/>
      <c r="WC40" s="88"/>
      <c r="WD40" s="88"/>
      <c r="WE40" s="88"/>
      <c r="WF40" s="88"/>
      <c r="WG40" s="88"/>
      <c r="WH40" s="88"/>
      <c r="WI40" s="88"/>
      <c r="WJ40" s="88"/>
      <c r="WK40" s="88"/>
      <c r="WL40" s="88"/>
      <c r="WM40" s="88"/>
      <c r="WN40" s="88"/>
      <c r="WO40" s="88"/>
      <c r="WP40" s="88"/>
      <c r="WQ40" s="88"/>
      <c r="WR40" s="88"/>
      <c r="WS40" s="88"/>
      <c r="WT40" s="88"/>
      <c r="WU40" s="88"/>
      <c r="WV40" s="88"/>
      <c r="WW40" s="88"/>
      <c r="WX40" s="88"/>
      <c r="WY40" s="88"/>
      <c r="WZ40" s="88"/>
      <c r="XA40" s="88"/>
      <c r="XB40" s="88"/>
      <c r="XC40" s="88"/>
      <c r="XD40" s="88"/>
      <c r="XE40" s="88"/>
      <c r="XF40" s="88"/>
      <c r="XG40" s="88"/>
      <c r="XH40" s="88"/>
      <c r="XI40" s="88"/>
      <c r="XJ40" s="88"/>
      <c r="XK40" s="88"/>
      <c r="XL40" s="88"/>
      <c r="XM40" s="88"/>
      <c r="XN40" s="88"/>
      <c r="XO40" s="88"/>
      <c r="XP40" s="88"/>
      <c r="XQ40" s="88"/>
      <c r="XR40" s="88"/>
      <c r="XS40" s="88"/>
      <c r="XT40" s="88"/>
      <c r="XU40" s="88"/>
      <c r="XV40" s="88"/>
      <c r="XW40" s="88"/>
      <c r="XX40" s="88"/>
      <c r="XY40" s="88"/>
      <c r="XZ40" s="88"/>
      <c r="YA40" s="88"/>
      <c r="YB40" s="88"/>
      <c r="YC40" s="88"/>
      <c r="YD40" s="88"/>
      <c r="YE40" s="88"/>
      <c r="YF40" s="88"/>
      <c r="YG40" s="88"/>
      <c r="YH40" s="88"/>
      <c r="YI40" s="88"/>
      <c r="YJ40" s="88"/>
      <c r="YK40" s="88"/>
      <c r="YL40" s="88"/>
      <c r="YM40" s="88"/>
      <c r="YN40" s="88"/>
      <c r="YO40" s="88"/>
      <c r="YP40" s="88"/>
      <c r="YQ40" s="88"/>
      <c r="YR40" s="88"/>
      <c r="YS40" s="88"/>
      <c r="YT40" s="88"/>
      <c r="YU40" s="88"/>
      <c r="YV40" s="88"/>
      <c r="YW40" s="88"/>
      <c r="YX40" s="88"/>
      <c r="YY40" s="88"/>
      <c r="YZ40" s="88"/>
      <c r="ZA40" s="88"/>
      <c r="ZB40" s="88"/>
      <c r="ZC40" s="88"/>
      <c r="ZD40" s="88"/>
      <c r="ZE40" s="88"/>
      <c r="ZF40" s="88"/>
      <c r="ZG40" s="88"/>
      <c r="ZH40" s="88"/>
      <c r="ZI40" s="88"/>
      <c r="ZJ40" s="88"/>
      <c r="ZK40" s="88"/>
      <c r="ZL40" s="88"/>
      <c r="ZM40" s="88"/>
      <c r="ZN40" s="88"/>
      <c r="ZO40" s="88"/>
      <c r="ZP40" s="88"/>
      <c r="ZQ40" s="88"/>
      <c r="ZR40" s="88"/>
      <c r="ZS40" s="88"/>
      <c r="ZT40" s="88"/>
      <c r="ZU40" s="88"/>
      <c r="ZV40" s="88"/>
      <c r="ZW40" s="88"/>
      <c r="ZX40" s="88"/>
      <c r="ZY40" s="88"/>
      <c r="ZZ40" s="88"/>
      <c r="AAA40" s="88"/>
      <c r="AAB40" s="88"/>
      <c r="AAC40" s="88"/>
      <c r="AAD40" s="88"/>
      <c r="AAE40" s="88"/>
      <c r="AAF40" s="88"/>
      <c r="AAG40" s="88"/>
      <c r="AAH40" s="88"/>
      <c r="AAI40" s="88"/>
      <c r="AAJ40" s="88"/>
      <c r="AAK40" s="88"/>
      <c r="AAL40" s="88"/>
      <c r="AAM40" s="88"/>
      <c r="AAN40" s="88"/>
      <c r="AAO40" s="88"/>
      <c r="AAP40" s="88"/>
      <c r="AAQ40" s="88"/>
      <c r="AAR40" s="88"/>
      <c r="AAS40" s="88"/>
      <c r="AAT40" s="88"/>
      <c r="AAU40" s="88"/>
      <c r="AAV40" s="88"/>
      <c r="AAW40" s="88"/>
      <c r="AAX40" s="88"/>
      <c r="AAY40" s="88"/>
      <c r="AAZ40" s="88"/>
      <c r="ABA40" s="88"/>
      <c r="ABB40" s="88"/>
      <c r="ABC40" s="88"/>
      <c r="ABD40" s="88"/>
      <c r="ABE40" s="88"/>
      <c r="ABF40" s="88"/>
      <c r="ABG40" s="88"/>
      <c r="ABH40" s="88"/>
      <c r="ABI40" s="88"/>
      <c r="ABJ40" s="88"/>
      <c r="ABK40" s="88"/>
      <c r="ABL40" s="88"/>
      <c r="ABM40" s="88"/>
      <c r="ABN40" s="88"/>
      <c r="ABO40" s="88"/>
      <c r="ABP40" s="88"/>
      <c r="ABQ40" s="88"/>
      <c r="ABR40" s="88"/>
      <c r="ABS40" s="88"/>
      <c r="ABT40" s="88"/>
      <c r="ABU40" s="88"/>
      <c r="ABV40" s="88"/>
      <c r="ABW40" s="88"/>
      <c r="ABX40" s="88"/>
      <c r="ABY40" s="88"/>
      <c r="ABZ40" s="88"/>
      <c r="ACA40" s="88"/>
      <c r="ACB40" s="88"/>
      <c r="ACC40" s="88"/>
      <c r="ACD40" s="88"/>
      <c r="ACE40" s="88"/>
      <c r="ACF40" s="88"/>
      <c r="ACG40" s="88"/>
      <c r="ACH40" s="88"/>
      <c r="ACI40" s="88"/>
      <c r="ACJ40" s="88"/>
      <c r="ACK40" s="88"/>
      <c r="ACL40" s="88"/>
      <c r="ACM40" s="88"/>
      <c r="ACN40" s="88"/>
      <c r="ACO40" s="88"/>
      <c r="ACP40" s="88"/>
      <c r="ACQ40" s="88"/>
      <c r="ACR40" s="88"/>
      <c r="ACS40" s="88"/>
      <c r="ACT40" s="88"/>
      <c r="ACU40" s="88"/>
      <c r="ACV40" s="88"/>
      <c r="ACW40" s="88"/>
      <c r="ACX40" s="88"/>
      <c r="ACY40" s="88"/>
      <c r="ACZ40" s="88"/>
      <c r="ADA40" s="88"/>
      <c r="ADB40" s="88"/>
      <c r="ADC40" s="88"/>
      <c r="ADD40" s="88"/>
      <c r="ADE40" s="88"/>
      <c r="ADF40" s="88"/>
      <c r="ADG40" s="88"/>
      <c r="ADH40" s="88"/>
      <c r="ADI40" s="88"/>
      <c r="ADJ40" s="88"/>
      <c r="ADK40" s="88"/>
      <c r="ADL40" s="88"/>
      <c r="ADM40" s="88"/>
      <c r="ADN40" s="88"/>
      <c r="ADO40" s="88"/>
      <c r="ADP40" s="88"/>
      <c r="ADQ40" s="88"/>
      <c r="ADR40" s="88"/>
      <c r="ADS40" s="88"/>
      <c r="ADT40" s="88"/>
      <c r="ADU40" s="88"/>
      <c r="ADV40" s="88"/>
      <c r="ADW40" s="88"/>
      <c r="ADX40" s="88"/>
      <c r="ADY40" s="88"/>
      <c r="ADZ40" s="88"/>
      <c r="AEA40" s="88"/>
      <c r="AEB40" s="88"/>
      <c r="AEC40" s="88"/>
      <c r="AED40" s="88"/>
      <c r="AEE40" s="88"/>
      <c r="AEF40" s="88"/>
      <c r="AEG40" s="88"/>
      <c r="AEH40" s="88"/>
      <c r="AEI40" s="88"/>
      <c r="AEJ40" s="88"/>
      <c r="AEK40" s="88"/>
      <c r="AEL40" s="88"/>
      <c r="AEM40" s="88"/>
      <c r="AEN40" s="88"/>
      <c r="AEO40" s="88"/>
      <c r="AEP40" s="88"/>
      <c r="AEQ40" s="88"/>
      <c r="AER40" s="88"/>
      <c r="AES40" s="88"/>
      <c r="AET40" s="88"/>
      <c r="AEU40" s="88"/>
      <c r="AEV40" s="88"/>
      <c r="AEW40" s="88"/>
      <c r="AEX40" s="88"/>
      <c r="AEY40" s="88"/>
      <c r="AEZ40" s="88"/>
      <c r="AFA40" s="88"/>
      <c r="AFB40" s="88"/>
      <c r="AFC40" s="88"/>
      <c r="AFD40" s="88"/>
      <c r="AFE40" s="88"/>
      <c r="AFF40" s="88"/>
      <c r="AFG40" s="88"/>
      <c r="AFH40" s="88"/>
      <c r="AFI40" s="88"/>
      <c r="AFJ40" s="88"/>
      <c r="AFK40" s="88"/>
      <c r="AFL40" s="88"/>
      <c r="AFM40" s="88"/>
      <c r="AFN40" s="88"/>
      <c r="AFO40" s="88"/>
      <c r="AFP40" s="88"/>
      <c r="AFQ40" s="88"/>
      <c r="AFR40" s="88"/>
      <c r="AFS40" s="88"/>
      <c r="AFT40" s="88"/>
      <c r="AFU40" s="88"/>
      <c r="AFV40" s="88"/>
      <c r="AFW40" s="88"/>
      <c r="AFX40" s="88"/>
      <c r="AFY40" s="88"/>
      <c r="AFZ40" s="88"/>
      <c r="AGA40" s="88"/>
      <c r="AGB40" s="88"/>
      <c r="AGC40" s="88"/>
      <c r="AGD40" s="88"/>
      <c r="AGE40" s="88"/>
      <c r="AGF40" s="88"/>
      <c r="AGG40" s="88"/>
      <c r="AGH40" s="88"/>
      <c r="AGI40" s="88"/>
      <c r="AGJ40" s="88"/>
      <c r="AGK40" s="88"/>
      <c r="AGL40" s="88"/>
      <c r="AGM40" s="88"/>
      <c r="AGN40" s="88"/>
      <c r="AGO40" s="88"/>
      <c r="AGP40" s="88"/>
      <c r="AGQ40" s="88"/>
      <c r="AGR40" s="88"/>
      <c r="AGS40" s="88"/>
      <c r="AGT40" s="88"/>
      <c r="AGU40" s="88"/>
      <c r="AGV40" s="88"/>
      <c r="AGW40" s="88"/>
      <c r="AGX40" s="88"/>
      <c r="AGY40" s="88"/>
      <c r="AGZ40" s="88"/>
      <c r="AHA40" s="88"/>
      <c r="AHB40" s="88"/>
      <c r="AHC40" s="88"/>
      <c r="AHD40" s="88"/>
      <c r="AHE40" s="88"/>
      <c r="AHF40" s="88"/>
      <c r="AHG40" s="88"/>
      <c r="AHH40" s="88"/>
      <c r="AHI40" s="88"/>
      <c r="AHJ40" s="88"/>
      <c r="AHK40" s="88"/>
      <c r="AHL40" s="88"/>
      <c r="AHM40" s="88"/>
      <c r="AHN40" s="88"/>
      <c r="AHO40" s="88"/>
      <c r="AHP40" s="88"/>
      <c r="AHQ40" s="88"/>
      <c r="AHR40" s="88"/>
      <c r="AHS40" s="88"/>
      <c r="AHT40" s="88"/>
      <c r="AHU40" s="88"/>
      <c r="AHV40" s="88"/>
      <c r="AHW40" s="88"/>
      <c r="AHX40" s="88"/>
      <c r="AHY40" s="88"/>
      <c r="AHZ40" s="88"/>
      <c r="AIA40" s="88"/>
      <c r="AIB40" s="88"/>
      <c r="AIC40" s="88"/>
      <c r="AID40" s="88"/>
      <c r="AIE40" s="88"/>
      <c r="AIF40" s="88"/>
      <c r="AIG40" s="88"/>
      <c r="AIH40" s="88"/>
      <c r="AII40" s="88"/>
      <c r="AIJ40" s="88"/>
      <c r="AIK40" s="88"/>
      <c r="AIL40" s="88"/>
      <c r="AIM40" s="88"/>
      <c r="AIN40" s="88"/>
      <c r="AIO40" s="88"/>
      <c r="AIP40" s="88"/>
      <c r="AIQ40" s="88"/>
      <c r="AIR40" s="88"/>
      <c r="AIS40" s="88"/>
      <c r="AIT40" s="88"/>
      <c r="AIU40" s="88"/>
      <c r="AIV40" s="88"/>
      <c r="AIW40" s="88"/>
      <c r="AIX40" s="88"/>
      <c r="AIY40" s="88"/>
      <c r="AIZ40" s="88"/>
      <c r="AJA40" s="88"/>
      <c r="AJB40" s="88"/>
      <c r="AJC40" s="88"/>
      <c r="AJD40" s="88"/>
      <c r="AJE40" s="88"/>
      <c r="AJF40" s="88"/>
      <c r="AJG40" s="88"/>
      <c r="AJH40" s="88"/>
      <c r="AJI40" s="88"/>
      <c r="AJJ40" s="88"/>
      <c r="AJK40" s="88"/>
      <c r="AJL40" s="88"/>
      <c r="AJM40" s="88"/>
      <c r="AJN40" s="88"/>
      <c r="AJO40" s="88"/>
      <c r="AJP40" s="88"/>
      <c r="AJQ40" s="88"/>
      <c r="AJR40" s="88"/>
      <c r="AJS40" s="88"/>
      <c r="AJT40" s="88"/>
      <c r="AJU40" s="88"/>
      <c r="AJV40" s="88"/>
      <c r="AJW40" s="88"/>
      <c r="AJX40" s="88"/>
      <c r="AJY40" s="88"/>
      <c r="AJZ40" s="88"/>
      <c r="AKA40" s="88"/>
      <c r="AKB40" s="88"/>
      <c r="AKC40" s="88"/>
      <c r="AKD40" s="88"/>
      <c r="AKE40" s="88"/>
      <c r="AKF40" s="88"/>
      <c r="AKG40" s="88"/>
      <c r="AKH40" s="88"/>
      <c r="AKI40" s="88"/>
      <c r="AKJ40" s="88"/>
      <c r="AKK40" s="88"/>
      <c r="AKL40" s="88"/>
      <c r="AKM40" s="88"/>
      <c r="AKN40" s="88"/>
      <c r="AKO40" s="88"/>
      <c r="AKP40" s="88"/>
      <c r="AKQ40" s="88"/>
      <c r="AKR40" s="88"/>
      <c r="AKS40" s="88"/>
      <c r="AKT40" s="88"/>
      <c r="AKU40" s="88"/>
      <c r="AKV40" s="88"/>
      <c r="AKW40" s="88"/>
      <c r="AKX40" s="88"/>
      <c r="AKY40" s="88"/>
      <c r="AKZ40" s="88"/>
      <c r="ALA40" s="88"/>
      <c r="ALB40" s="88"/>
      <c r="ALC40" s="88"/>
      <c r="ALD40" s="88"/>
      <c r="ALE40" s="88"/>
      <c r="ALF40" s="88"/>
      <c r="ALG40" s="88"/>
      <c r="ALH40" s="88"/>
      <c r="ALI40" s="88"/>
      <c r="ALJ40" s="88"/>
      <c r="ALK40" s="88"/>
      <c r="ALL40" s="88"/>
      <c r="ALM40" s="88"/>
      <c r="ALN40" s="88"/>
      <c r="ALO40" s="88"/>
      <c r="ALP40" s="88"/>
      <c r="ALQ40" s="88"/>
      <c r="ALR40" s="88"/>
      <c r="ALS40" s="88"/>
      <c r="ALT40" s="88"/>
      <c r="ALU40" s="88"/>
      <c r="ALV40" s="88"/>
      <c r="ALW40" s="88"/>
      <c r="ALX40" s="88"/>
      <c r="ALY40" s="88"/>
      <c r="ALZ40" s="88"/>
      <c r="AMA40" s="88"/>
      <c r="AMB40" s="88"/>
      <c r="AMC40" s="88"/>
      <c r="AMD40" s="88"/>
      <c r="AME40" s="88"/>
      <c r="AMF40" s="88"/>
      <c r="AMG40" s="88"/>
      <c r="AMH40" s="88"/>
      <c r="AMI40" s="88"/>
      <c r="AMJ40" s="88"/>
      <c r="AMK40" s="88"/>
      <c r="AML40" s="88"/>
      <c r="AMM40" s="88"/>
      <c r="AMN40" s="88"/>
      <c r="AMO40" s="88"/>
      <c r="AMP40" s="88"/>
      <c r="AMQ40" s="88"/>
      <c r="AMR40" s="88"/>
      <c r="AMS40" s="88"/>
      <c r="AMT40" s="88"/>
      <c r="AMU40" s="88"/>
      <c r="AMV40" s="88"/>
      <c r="AMW40" s="88"/>
      <c r="AMX40" s="88"/>
      <c r="AMY40" s="88"/>
      <c r="AMZ40" s="88"/>
      <c r="ANA40" s="88"/>
      <c r="ANB40" s="88"/>
      <c r="ANC40" s="88"/>
      <c r="AND40" s="88"/>
      <c r="ANE40" s="88"/>
      <c r="ANF40" s="88"/>
      <c r="ANG40" s="88"/>
      <c r="ANH40" s="88"/>
      <c r="ANI40" s="88"/>
      <c r="ANJ40" s="88"/>
      <c r="ANK40" s="88"/>
      <c r="ANL40" s="88"/>
      <c r="ANM40" s="88"/>
      <c r="ANN40" s="88"/>
      <c r="ANO40" s="88"/>
      <c r="ANP40" s="88"/>
      <c r="ANQ40" s="88"/>
      <c r="ANR40" s="88"/>
      <c r="ANS40" s="88"/>
      <c r="ANT40" s="88"/>
      <c r="ANU40" s="88"/>
      <c r="ANV40" s="88"/>
      <c r="ANW40" s="88"/>
      <c r="ANX40" s="88"/>
      <c r="ANY40" s="88"/>
      <c r="ANZ40" s="88"/>
      <c r="AOA40" s="88"/>
      <c r="AOB40" s="88"/>
      <c r="AOC40" s="88"/>
      <c r="AOD40" s="88"/>
      <c r="AOE40" s="88"/>
      <c r="AOF40" s="88"/>
      <c r="AOG40" s="88"/>
      <c r="AOH40" s="88"/>
      <c r="AOI40" s="88"/>
      <c r="AOJ40" s="88"/>
      <c r="AOK40" s="88"/>
      <c r="AOL40" s="88"/>
      <c r="AOM40" s="88"/>
      <c r="AON40" s="88"/>
      <c r="AOO40" s="88"/>
      <c r="AOP40" s="88"/>
      <c r="AOQ40" s="88"/>
      <c r="AOR40" s="88"/>
      <c r="AOS40" s="88"/>
      <c r="AOT40" s="88"/>
      <c r="AOU40" s="88"/>
      <c r="AOV40" s="88"/>
      <c r="AOW40" s="88"/>
      <c r="AOX40" s="88"/>
      <c r="AOY40" s="88"/>
      <c r="AOZ40" s="88"/>
      <c r="APA40" s="88"/>
      <c r="APB40" s="88"/>
      <c r="APC40" s="88"/>
      <c r="APD40" s="88"/>
      <c r="APE40" s="88"/>
      <c r="APF40" s="88"/>
      <c r="APG40" s="88"/>
      <c r="APH40" s="88"/>
      <c r="API40" s="88"/>
      <c r="APJ40" s="88"/>
      <c r="APK40" s="88"/>
      <c r="APL40" s="88"/>
      <c r="APM40" s="88"/>
      <c r="APN40" s="88"/>
      <c r="APO40" s="88"/>
      <c r="APP40" s="88"/>
      <c r="APQ40" s="88"/>
      <c r="APR40" s="88"/>
      <c r="APS40" s="88"/>
      <c r="APT40" s="88"/>
      <c r="APU40" s="88"/>
      <c r="APV40" s="88"/>
      <c r="APW40" s="88"/>
      <c r="APX40" s="88"/>
      <c r="APY40" s="88"/>
      <c r="APZ40" s="88"/>
      <c r="AQA40" s="88"/>
      <c r="AQB40" s="88"/>
      <c r="AQC40" s="88"/>
      <c r="AQD40" s="88"/>
      <c r="AQE40" s="88"/>
      <c r="AQF40" s="88"/>
      <c r="AQG40" s="88"/>
      <c r="AQH40" s="88"/>
      <c r="AQI40" s="88"/>
      <c r="AQJ40" s="88"/>
      <c r="AQK40" s="88"/>
      <c r="AQL40" s="88"/>
      <c r="AQM40" s="88"/>
      <c r="AQN40" s="88"/>
      <c r="AQO40" s="88"/>
      <c r="AQP40" s="88"/>
      <c r="AQQ40" s="88"/>
      <c r="AQR40" s="88"/>
      <c r="AQS40" s="88"/>
      <c r="AQT40" s="88"/>
      <c r="AQU40" s="88"/>
      <c r="AQV40" s="88"/>
      <c r="AQW40" s="88"/>
      <c r="AQX40" s="88"/>
      <c r="AQY40" s="88"/>
      <c r="AQZ40" s="88"/>
      <c r="ARA40" s="88"/>
      <c r="ARB40" s="88"/>
      <c r="ARC40" s="88"/>
      <c r="ARD40" s="88"/>
      <c r="ARE40" s="88"/>
      <c r="ARF40" s="88"/>
      <c r="ARG40" s="88"/>
      <c r="ARH40" s="88"/>
      <c r="ARI40" s="88"/>
      <c r="ARJ40" s="88"/>
      <c r="ARK40" s="88"/>
      <c r="ARL40" s="88"/>
      <c r="ARM40" s="88"/>
      <c r="ARN40" s="88"/>
      <c r="ARO40" s="88"/>
      <c r="ARP40" s="88"/>
      <c r="ARQ40" s="88"/>
      <c r="ARR40" s="88"/>
      <c r="ARS40" s="88"/>
      <c r="ART40" s="88"/>
      <c r="ARU40" s="88"/>
      <c r="ARV40" s="88"/>
      <c r="ARW40" s="88"/>
      <c r="ARX40" s="88"/>
      <c r="ARY40" s="88"/>
      <c r="ARZ40" s="88"/>
      <c r="ASA40" s="88"/>
      <c r="ASB40" s="88"/>
      <c r="ASC40" s="88"/>
      <c r="ASD40" s="88"/>
      <c r="ASE40" s="88"/>
      <c r="ASF40" s="88"/>
      <c r="ASG40" s="88"/>
      <c r="ASH40" s="88"/>
      <c r="ASI40" s="88"/>
      <c r="ASJ40" s="88"/>
      <c r="ASK40" s="88"/>
      <c r="ASL40" s="88"/>
      <c r="ASM40" s="88"/>
      <c r="ASN40" s="88"/>
      <c r="ASO40" s="88"/>
      <c r="ASP40" s="88"/>
      <c r="ASQ40" s="88"/>
      <c r="ASR40" s="88"/>
      <c r="ASS40" s="88"/>
      <c r="AST40" s="88"/>
      <c r="ASU40" s="88"/>
      <c r="ASV40" s="88"/>
      <c r="ASW40" s="88"/>
      <c r="ASX40" s="88"/>
      <c r="ASY40" s="88"/>
      <c r="ASZ40" s="88"/>
      <c r="ATA40" s="88"/>
      <c r="ATB40" s="88"/>
      <c r="ATC40" s="88"/>
      <c r="ATD40" s="88"/>
      <c r="ATE40" s="88"/>
      <c r="ATF40" s="88"/>
      <c r="ATG40" s="88"/>
      <c r="ATH40" s="88"/>
      <c r="ATI40" s="88"/>
      <c r="ATJ40" s="88"/>
      <c r="ATK40" s="88"/>
      <c r="ATL40" s="88"/>
      <c r="ATM40" s="88"/>
      <c r="ATN40" s="88"/>
      <c r="ATO40" s="88"/>
      <c r="ATP40" s="88"/>
      <c r="ATQ40" s="88"/>
      <c r="ATR40" s="88"/>
      <c r="ATS40" s="88"/>
      <c r="ATT40" s="88"/>
      <c r="ATU40" s="88"/>
      <c r="ATV40" s="88"/>
      <c r="ATW40" s="88"/>
      <c r="ATX40" s="88"/>
      <c r="ATY40" s="88"/>
      <c r="ATZ40" s="88"/>
      <c r="AUA40" s="88"/>
      <c r="AUB40" s="88"/>
      <c r="AUC40" s="88"/>
      <c r="AUD40" s="88"/>
      <c r="AUE40" s="88"/>
      <c r="AUF40" s="88"/>
      <c r="AUG40" s="88"/>
      <c r="AUH40" s="88"/>
      <c r="AUI40" s="88"/>
      <c r="AUJ40" s="88"/>
      <c r="AUK40" s="88"/>
      <c r="AUL40" s="88"/>
      <c r="AUM40" s="88"/>
      <c r="AUN40" s="88"/>
      <c r="AUO40" s="88"/>
      <c r="AUP40" s="88"/>
      <c r="AUQ40" s="88"/>
      <c r="AUR40" s="88"/>
      <c r="AUS40" s="88"/>
      <c r="AUT40" s="88"/>
      <c r="AUU40" s="88"/>
      <c r="AUV40" s="88"/>
      <c r="AUW40" s="88"/>
      <c r="AUX40" s="88"/>
      <c r="AUY40" s="88"/>
      <c r="AUZ40" s="88"/>
      <c r="AVA40" s="88"/>
      <c r="AVB40" s="88"/>
      <c r="AVC40" s="88"/>
      <c r="AVD40" s="88"/>
      <c r="AVE40" s="88"/>
      <c r="AVF40" s="88"/>
      <c r="AVG40" s="88"/>
      <c r="AVH40" s="88"/>
      <c r="AVI40" s="88"/>
      <c r="AVJ40" s="88"/>
      <c r="AVK40" s="88"/>
      <c r="AVL40" s="88"/>
      <c r="AVM40" s="88"/>
      <c r="AVN40" s="88"/>
      <c r="AVO40" s="88"/>
      <c r="AVP40" s="88"/>
      <c r="AVQ40" s="88"/>
      <c r="AVR40" s="88"/>
      <c r="AVS40" s="88"/>
      <c r="AVT40" s="88"/>
      <c r="AVU40" s="88"/>
      <c r="AVV40" s="88"/>
      <c r="AVW40" s="88"/>
      <c r="AVX40" s="88"/>
      <c r="AVY40" s="88"/>
      <c r="AVZ40" s="88"/>
      <c r="AWA40" s="88"/>
      <c r="AWB40" s="88"/>
      <c r="AWC40" s="88"/>
      <c r="AWD40" s="88"/>
      <c r="AWE40" s="88"/>
      <c r="AWF40" s="88"/>
      <c r="AWG40" s="88"/>
      <c r="AWH40" s="88"/>
      <c r="AWI40" s="88"/>
      <c r="AWJ40" s="88"/>
      <c r="AWK40" s="88"/>
      <c r="AWL40" s="88"/>
      <c r="AWM40" s="88"/>
      <c r="AWN40" s="88"/>
      <c r="AWO40" s="88"/>
      <c r="AWP40" s="88"/>
      <c r="AWQ40" s="88"/>
      <c r="AWR40" s="88"/>
      <c r="AWS40" s="88"/>
      <c r="AWT40" s="88"/>
      <c r="AWU40" s="88"/>
      <c r="AWV40" s="88"/>
      <c r="AWW40" s="88"/>
      <c r="AWX40" s="88"/>
      <c r="AWY40" s="88"/>
      <c r="AWZ40" s="88"/>
      <c r="AXA40" s="88"/>
      <c r="AXB40" s="88"/>
      <c r="AXC40" s="88"/>
      <c r="AXD40" s="88"/>
      <c r="AXE40" s="88"/>
      <c r="AXF40" s="88"/>
      <c r="AXG40" s="88"/>
      <c r="AXH40" s="88"/>
      <c r="AXI40" s="88"/>
      <c r="AXJ40" s="88"/>
      <c r="AXK40" s="88"/>
      <c r="AXL40" s="88"/>
      <c r="AXM40" s="88"/>
      <c r="AXN40" s="88"/>
      <c r="AXO40" s="88"/>
      <c r="AXP40" s="88"/>
      <c r="AXQ40" s="88"/>
      <c r="AXR40" s="88"/>
      <c r="AXS40" s="88"/>
      <c r="AXT40" s="88"/>
      <c r="AXU40" s="88"/>
      <c r="AXV40" s="88"/>
      <c r="AXW40" s="88"/>
      <c r="AXX40" s="88"/>
      <c r="AXY40" s="88"/>
      <c r="AXZ40" s="88"/>
      <c r="AYA40" s="88"/>
      <c r="AYB40" s="88"/>
      <c r="AYC40" s="88"/>
      <c r="AYD40" s="88"/>
      <c r="AYE40" s="88"/>
      <c r="AYF40" s="88"/>
      <c r="AYG40" s="88"/>
      <c r="AYH40" s="88"/>
      <c r="AYI40" s="88"/>
      <c r="AYJ40" s="88"/>
      <c r="AYK40" s="88"/>
      <c r="AYL40" s="88"/>
      <c r="AYM40" s="88"/>
      <c r="AYN40" s="88"/>
      <c r="AYO40" s="88"/>
      <c r="AYP40" s="88"/>
      <c r="AYQ40" s="88"/>
      <c r="AYR40" s="88"/>
      <c r="AYS40" s="88"/>
      <c r="AYT40" s="88"/>
      <c r="AYU40" s="88"/>
      <c r="AYV40" s="88"/>
      <c r="AYW40" s="88"/>
      <c r="AYX40" s="88"/>
      <c r="AYY40" s="88"/>
      <c r="AYZ40" s="88"/>
      <c r="AZA40" s="88"/>
      <c r="AZB40" s="88"/>
      <c r="AZC40" s="88"/>
      <c r="AZD40" s="88"/>
      <c r="AZE40" s="88"/>
      <c r="AZF40" s="88"/>
      <c r="AZG40" s="88"/>
      <c r="AZH40" s="88"/>
      <c r="AZI40" s="88"/>
      <c r="AZJ40" s="88"/>
      <c r="AZK40" s="88"/>
      <c r="AZL40" s="88"/>
      <c r="AZM40" s="88"/>
      <c r="AZN40" s="88"/>
      <c r="AZO40" s="88"/>
      <c r="AZP40" s="88"/>
      <c r="AZQ40" s="88"/>
      <c r="AZR40" s="88"/>
      <c r="AZS40" s="88"/>
      <c r="AZT40" s="88"/>
      <c r="AZU40" s="88"/>
      <c r="AZV40" s="88"/>
      <c r="AZW40" s="88"/>
      <c r="AZX40" s="88"/>
      <c r="AZY40" s="88"/>
      <c r="AZZ40" s="88"/>
      <c r="BAA40" s="88"/>
      <c r="BAB40" s="88"/>
      <c r="BAC40" s="88"/>
      <c r="BAD40" s="88"/>
      <c r="BAE40" s="88"/>
      <c r="BAF40" s="88"/>
      <c r="BAG40" s="88"/>
      <c r="BAH40" s="88"/>
      <c r="BAI40" s="88"/>
      <c r="BAJ40" s="88"/>
      <c r="BAK40" s="88"/>
      <c r="BAL40" s="88"/>
      <c r="BAM40" s="88"/>
      <c r="BAN40" s="88"/>
      <c r="BAO40" s="88"/>
      <c r="BAP40" s="88"/>
      <c r="BAQ40" s="88"/>
      <c r="BAR40" s="88"/>
      <c r="BAS40" s="88"/>
      <c r="BAT40" s="88"/>
      <c r="BAU40" s="88"/>
      <c r="BAV40" s="88"/>
      <c r="BAW40" s="88"/>
      <c r="BAX40" s="88"/>
      <c r="BAY40" s="88"/>
      <c r="BAZ40" s="88"/>
      <c r="BBA40" s="88"/>
      <c r="BBB40" s="88"/>
      <c r="BBC40" s="88"/>
      <c r="BBD40" s="88"/>
      <c r="BBE40" s="88"/>
      <c r="BBF40" s="88"/>
      <c r="BBG40" s="88"/>
      <c r="BBH40" s="88"/>
      <c r="BBI40" s="88"/>
      <c r="BBJ40" s="88"/>
      <c r="BBK40" s="88"/>
      <c r="BBL40" s="88"/>
      <c r="BBM40" s="88"/>
      <c r="BBN40" s="88"/>
      <c r="BBO40" s="88"/>
      <c r="BBP40" s="88"/>
      <c r="BBQ40" s="88"/>
      <c r="BBR40" s="88"/>
      <c r="BBS40" s="88"/>
      <c r="BBT40" s="88"/>
      <c r="BBU40" s="88"/>
      <c r="BBV40" s="88"/>
      <c r="BBW40" s="88"/>
      <c r="BBX40" s="88"/>
      <c r="BBY40" s="88"/>
      <c r="BBZ40" s="88"/>
      <c r="BCA40" s="88"/>
      <c r="BCB40" s="88"/>
      <c r="BCC40" s="88"/>
      <c r="BCD40" s="88"/>
      <c r="BCE40" s="88"/>
      <c r="BCF40" s="88"/>
      <c r="BCG40" s="88"/>
      <c r="BCH40" s="88"/>
      <c r="BCI40" s="88"/>
      <c r="BCJ40" s="88"/>
      <c r="BCK40" s="88"/>
      <c r="BCL40" s="88"/>
      <c r="BCM40" s="88"/>
      <c r="BCN40" s="88"/>
      <c r="BCO40" s="88"/>
      <c r="BCP40" s="88"/>
      <c r="BCQ40" s="88"/>
      <c r="BCR40" s="88"/>
      <c r="BCS40" s="88"/>
      <c r="BCT40" s="88"/>
      <c r="BCU40" s="88"/>
      <c r="BCV40" s="88"/>
      <c r="BCW40" s="88"/>
      <c r="BCX40" s="88"/>
      <c r="BCY40" s="88"/>
      <c r="BCZ40" s="88"/>
      <c r="BDA40" s="88"/>
      <c r="BDB40" s="88"/>
      <c r="BDC40" s="88"/>
      <c r="BDD40" s="88"/>
      <c r="BDE40" s="88"/>
      <c r="BDF40" s="88"/>
      <c r="BDG40" s="88"/>
      <c r="BDH40" s="88"/>
      <c r="BDI40" s="88"/>
      <c r="BDJ40" s="88"/>
      <c r="BDK40" s="88"/>
      <c r="BDL40" s="88"/>
      <c r="BDM40" s="88"/>
      <c r="BDN40" s="88"/>
      <c r="BDO40" s="88"/>
      <c r="BDP40" s="88"/>
      <c r="BDQ40" s="88"/>
      <c r="BDR40" s="88"/>
      <c r="BDS40" s="88"/>
      <c r="BDT40" s="88"/>
      <c r="BDU40" s="88"/>
      <c r="BDV40" s="88"/>
      <c r="BDW40" s="88"/>
      <c r="BDX40" s="88"/>
      <c r="BDY40" s="88"/>
      <c r="BDZ40" s="88"/>
      <c r="BEA40" s="88"/>
      <c r="BEB40" s="88"/>
      <c r="BEC40" s="88"/>
      <c r="BED40" s="88"/>
      <c r="BEE40" s="88"/>
      <c r="BEF40" s="88"/>
      <c r="BEG40" s="88"/>
      <c r="BEH40" s="88"/>
      <c r="BEI40" s="88"/>
      <c r="BEJ40" s="88"/>
      <c r="BEK40" s="88"/>
      <c r="BEL40" s="88"/>
      <c r="BEM40" s="88"/>
      <c r="BEN40" s="88"/>
      <c r="BEO40" s="88"/>
      <c r="BEP40" s="88"/>
      <c r="BEQ40" s="88"/>
      <c r="BER40" s="88"/>
      <c r="BES40" s="88"/>
      <c r="BET40" s="88"/>
      <c r="BEU40" s="88"/>
      <c r="BEV40" s="88"/>
      <c r="BEW40" s="88"/>
      <c r="BEX40" s="88"/>
      <c r="BEY40" s="88"/>
      <c r="BEZ40" s="88"/>
      <c r="BFA40" s="88"/>
      <c r="BFB40" s="88"/>
      <c r="BFC40" s="88"/>
      <c r="BFD40" s="88"/>
      <c r="BFE40" s="88"/>
      <c r="BFF40" s="88"/>
      <c r="BFG40" s="88"/>
      <c r="BFH40" s="88"/>
      <c r="BFI40" s="88"/>
      <c r="BFJ40" s="88"/>
      <c r="BFK40" s="88"/>
      <c r="BFL40" s="88"/>
      <c r="BFM40" s="88"/>
      <c r="BFN40" s="88"/>
      <c r="BFO40" s="88"/>
      <c r="BFP40" s="88"/>
      <c r="BFQ40" s="88"/>
      <c r="BFR40" s="88"/>
      <c r="BFS40" s="88"/>
      <c r="BFT40" s="88"/>
      <c r="BFU40" s="88"/>
      <c r="BFV40" s="88"/>
      <c r="BFW40" s="88"/>
      <c r="BFX40" s="88"/>
      <c r="BFY40" s="88"/>
      <c r="BFZ40" s="88"/>
      <c r="BGA40" s="88"/>
      <c r="BGB40" s="88"/>
      <c r="BGC40" s="88"/>
      <c r="BGD40" s="88"/>
      <c r="BGE40" s="88"/>
      <c r="BGF40" s="88"/>
      <c r="BGG40" s="88"/>
      <c r="BGH40" s="88"/>
      <c r="BGI40" s="88"/>
      <c r="BGJ40" s="88"/>
      <c r="BGK40" s="88"/>
      <c r="BGL40" s="88"/>
      <c r="BGM40" s="88"/>
      <c r="BGN40" s="88"/>
      <c r="BGO40" s="88"/>
      <c r="BGP40" s="88"/>
      <c r="BGQ40" s="88"/>
      <c r="BGR40" s="88"/>
      <c r="BGS40" s="88"/>
      <c r="BGT40" s="88"/>
      <c r="BGU40" s="88"/>
      <c r="BGV40" s="88"/>
      <c r="BGW40" s="88"/>
      <c r="BGX40" s="88"/>
      <c r="BGY40" s="88"/>
      <c r="BGZ40" s="88"/>
      <c r="BHA40" s="88"/>
      <c r="BHB40" s="88"/>
      <c r="BHC40" s="88"/>
      <c r="BHD40" s="88"/>
      <c r="BHE40" s="88"/>
      <c r="BHF40" s="88"/>
      <c r="BHG40" s="88"/>
      <c r="BHH40" s="88"/>
      <c r="BHI40" s="88"/>
      <c r="BHJ40" s="88"/>
      <c r="BHK40" s="88"/>
      <c r="BHL40" s="88"/>
      <c r="BHM40" s="88"/>
      <c r="BHN40" s="88"/>
      <c r="BHO40" s="88"/>
      <c r="BHP40" s="88"/>
      <c r="BHQ40" s="88"/>
      <c r="BHR40" s="88"/>
      <c r="BHS40" s="88"/>
      <c r="BHT40" s="88"/>
      <c r="BHU40" s="88"/>
      <c r="BHV40" s="88"/>
      <c r="BHW40" s="88"/>
      <c r="BHX40" s="88"/>
      <c r="BHY40" s="88"/>
      <c r="BHZ40" s="88"/>
      <c r="BIA40" s="88"/>
      <c r="BIB40" s="88"/>
      <c r="BIC40" s="88"/>
      <c r="BID40" s="88"/>
      <c r="BIE40" s="88"/>
      <c r="BIF40" s="88"/>
      <c r="BIG40" s="88"/>
      <c r="BIH40" s="88"/>
      <c r="BII40" s="88"/>
      <c r="BIJ40" s="88"/>
      <c r="BIK40" s="88"/>
      <c r="BIL40" s="88"/>
      <c r="BIM40" s="88"/>
      <c r="BIN40" s="88"/>
      <c r="BIO40" s="88"/>
      <c r="BIP40" s="88"/>
      <c r="BIQ40" s="88"/>
      <c r="BIR40" s="88"/>
      <c r="BIS40" s="88"/>
      <c r="BIT40" s="88"/>
      <c r="BIU40" s="88"/>
      <c r="BIV40" s="88"/>
      <c r="BIW40" s="88"/>
      <c r="BIX40" s="88"/>
      <c r="BIY40" s="88"/>
      <c r="BIZ40" s="88"/>
      <c r="BJA40" s="88"/>
      <c r="BJB40" s="88"/>
      <c r="BJC40" s="88"/>
      <c r="BJD40" s="88"/>
      <c r="BJE40" s="88"/>
      <c r="BJF40" s="88"/>
      <c r="BJG40" s="88"/>
      <c r="BJH40" s="88"/>
      <c r="BJI40" s="88"/>
      <c r="BJJ40" s="88"/>
      <c r="BJK40" s="88"/>
      <c r="BJL40" s="88"/>
      <c r="BJM40" s="88"/>
      <c r="BJN40" s="88"/>
      <c r="BJO40" s="88"/>
      <c r="BJP40" s="88"/>
      <c r="BJQ40" s="88"/>
      <c r="BJR40" s="88"/>
      <c r="BJS40" s="88"/>
      <c r="BJT40" s="88"/>
      <c r="BJU40" s="88"/>
      <c r="BJV40" s="88"/>
      <c r="BJW40" s="88"/>
      <c r="BJX40" s="88"/>
      <c r="BJY40" s="88"/>
      <c r="BJZ40" s="88"/>
      <c r="BKA40" s="88"/>
      <c r="BKB40" s="88"/>
      <c r="BKC40" s="88"/>
      <c r="BKD40" s="88"/>
      <c r="BKE40" s="88"/>
      <c r="BKF40" s="88"/>
      <c r="BKG40" s="88"/>
      <c r="BKH40" s="88"/>
      <c r="BKI40" s="88"/>
      <c r="BKJ40" s="88"/>
      <c r="BKK40" s="88"/>
      <c r="BKL40" s="88"/>
      <c r="BKM40" s="88"/>
      <c r="BKN40" s="88"/>
      <c r="BKO40" s="88"/>
      <c r="BKP40" s="88"/>
      <c r="BKQ40" s="88"/>
      <c r="BKR40" s="88"/>
      <c r="BKS40" s="88"/>
      <c r="BKT40" s="88"/>
      <c r="BKU40" s="88"/>
      <c r="BKV40" s="88"/>
      <c r="BKW40" s="88"/>
      <c r="BKX40" s="88"/>
      <c r="BKY40" s="88"/>
      <c r="BKZ40" s="88"/>
      <c r="BLA40" s="88"/>
      <c r="BLB40" s="88"/>
      <c r="BLC40" s="88"/>
      <c r="BLD40" s="88"/>
      <c r="BLE40" s="88"/>
      <c r="BLF40" s="88"/>
      <c r="BLG40" s="88"/>
      <c r="BLH40" s="88"/>
      <c r="BLI40" s="88"/>
      <c r="BLJ40" s="88"/>
      <c r="BLK40" s="88"/>
      <c r="BLL40" s="88"/>
      <c r="BLM40" s="88"/>
      <c r="BLN40" s="88"/>
      <c r="BLO40" s="88"/>
      <c r="BLP40" s="88"/>
      <c r="BLQ40" s="88"/>
      <c r="BLR40" s="88"/>
      <c r="BLS40" s="88"/>
      <c r="BLT40" s="88"/>
      <c r="BLU40" s="88"/>
      <c r="BLV40" s="88"/>
      <c r="BLW40" s="88"/>
      <c r="BLX40" s="88"/>
      <c r="BLY40" s="88"/>
      <c r="BLZ40" s="88"/>
      <c r="BMA40" s="88"/>
      <c r="BMB40" s="88"/>
      <c r="BMC40" s="88"/>
      <c r="BMD40" s="88"/>
      <c r="BME40" s="88"/>
      <c r="BMF40" s="88"/>
      <c r="BMG40" s="88"/>
      <c r="BMH40" s="88"/>
      <c r="BMI40" s="88"/>
      <c r="BMJ40" s="88"/>
      <c r="BMK40" s="88"/>
      <c r="BML40" s="88"/>
      <c r="BMM40" s="88"/>
      <c r="BMN40" s="88"/>
      <c r="BMO40" s="88"/>
      <c r="BMP40" s="88"/>
      <c r="BMQ40" s="88"/>
      <c r="BMR40" s="88"/>
      <c r="BMS40" s="88"/>
      <c r="BMT40" s="88"/>
      <c r="BMU40" s="88"/>
      <c r="BMV40" s="88"/>
      <c r="BMW40" s="88"/>
      <c r="BMX40" s="88"/>
      <c r="BMY40" s="88"/>
      <c r="BMZ40" s="88"/>
      <c r="BNA40" s="88"/>
      <c r="BNB40" s="88"/>
      <c r="BNC40" s="88"/>
      <c r="BND40" s="88"/>
      <c r="BNE40" s="88"/>
      <c r="BNF40" s="88"/>
      <c r="BNG40" s="88"/>
      <c r="BNH40" s="88"/>
      <c r="BNI40" s="88"/>
      <c r="BNJ40" s="88"/>
      <c r="BNK40" s="88"/>
      <c r="BNL40" s="88"/>
      <c r="BNM40" s="88"/>
      <c r="BNN40" s="88"/>
      <c r="BNO40" s="88"/>
      <c r="BNP40" s="88"/>
      <c r="BNQ40" s="88"/>
      <c r="BNR40" s="88"/>
      <c r="BNS40" s="88"/>
      <c r="BNT40" s="88"/>
      <c r="BNU40" s="88"/>
      <c r="BNV40" s="88"/>
      <c r="BNW40" s="88"/>
      <c r="BNX40" s="88"/>
      <c r="BNY40" s="88"/>
      <c r="BNZ40" s="88"/>
      <c r="BOA40" s="88"/>
      <c r="BOB40" s="88"/>
      <c r="BOC40" s="88"/>
      <c r="BOD40" s="88"/>
      <c r="BOE40" s="88"/>
      <c r="BOF40" s="88"/>
      <c r="BOG40" s="88"/>
      <c r="BOH40" s="88"/>
      <c r="BOI40" s="88"/>
      <c r="BOJ40" s="88"/>
      <c r="BOK40" s="88"/>
      <c r="BOL40" s="88"/>
      <c r="BOM40" s="88"/>
      <c r="BON40" s="88"/>
      <c r="BOO40" s="88"/>
      <c r="BOP40" s="88"/>
      <c r="BOQ40" s="88"/>
      <c r="BOR40" s="88"/>
      <c r="BOS40" s="88"/>
      <c r="BOT40" s="88"/>
      <c r="BOU40" s="88"/>
      <c r="BOV40" s="88"/>
      <c r="BOW40" s="88"/>
      <c r="BOX40" s="88"/>
      <c r="BOY40" s="88"/>
      <c r="BOZ40" s="88"/>
      <c r="BPA40" s="88"/>
      <c r="BPB40" s="88"/>
      <c r="BPC40" s="88"/>
      <c r="BPD40" s="88"/>
      <c r="BPE40" s="88"/>
      <c r="BPF40" s="88"/>
      <c r="BPG40" s="88"/>
      <c r="BPH40" s="88"/>
      <c r="BPI40" s="88"/>
      <c r="BPJ40" s="88"/>
      <c r="BPK40" s="88"/>
      <c r="BPL40" s="88"/>
      <c r="BPM40" s="88"/>
      <c r="BPN40" s="88"/>
      <c r="BPO40" s="88"/>
      <c r="BPP40" s="88"/>
      <c r="BPQ40" s="88"/>
      <c r="BPR40" s="88"/>
      <c r="BPS40" s="88"/>
      <c r="BPT40" s="88"/>
      <c r="BPU40" s="88"/>
      <c r="BPV40" s="88"/>
      <c r="BPW40" s="88"/>
      <c r="BPX40" s="88"/>
      <c r="BPY40" s="88"/>
      <c r="BPZ40" s="88"/>
      <c r="BQA40" s="88"/>
      <c r="BQB40" s="88"/>
      <c r="BQC40" s="88"/>
      <c r="BQD40" s="88"/>
      <c r="BQE40" s="88"/>
      <c r="BQF40" s="88"/>
      <c r="BQG40" s="88"/>
      <c r="BQH40" s="88"/>
      <c r="BQI40" s="88"/>
      <c r="BQJ40" s="88"/>
      <c r="BQK40" s="88"/>
      <c r="BQL40" s="88"/>
      <c r="BQM40" s="88"/>
      <c r="BQN40" s="88"/>
      <c r="BQO40" s="88"/>
      <c r="BQP40" s="88"/>
      <c r="BQQ40" s="88"/>
      <c r="BQR40" s="88"/>
      <c r="BQS40" s="88"/>
      <c r="BQT40" s="88"/>
      <c r="BQU40" s="88"/>
      <c r="BQV40" s="88"/>
      <c r="BQW40" s="88"/>
      <c r="BQX40" s="88"/>
      <c r="BQY40" s="88"/>
      <c r="BQZ40" s="88"/>
      <c r="BRA40" s="88"/>
      <c r="BRB40" s="88"/>
      <c r="BRC40" s="88"/>
      <c r="BRD40" s="88"/>
      <c r="BRE40" s="88"/>
      <c r="BRF40" s="88"/>
      <c r="BRG40" s="88"/>
      <c r="BRH40" s="88"/>
      <c r="BRI40" s="88"/>
      <c r="BRJ40" s="88"/>
      <c r="BRK40" s="88"/>
      <c r="BRL40" s="88"/>
      <c r="BRM40" s="88"/>
      <c r="BRN40" s="88"/>
      <c r="BRO40" s="88"/>
      <c r="BRP40" s="88"/>
      <c r="BRQ40" s="88"/>
      <c r="BRR40" s="88"/>
      <c r="BRS40" s="88"/>
      <c r="BRT40" s="88"/>
      <c r="BRU40" s="88"/>
      <c r="BRV40" s="88"/>
      <c r="BRW40" s="88"/>
      <c r="BRX40" s="88"/>
      <c r="BRY40" s="88"/>
      <c r="BRZ40" s="88"/>
      <c r="BSA40" s="88"/>
      <c r="BSB40" s="88"/>
      <c r="BSC40" s="88"/>
      <c r="BSD40" s="88"/>
      <c r="BSE40" s="88"/>
      <c r="BSF40" s="88"/>
      <c r="BSG40" s="88"/>
      <c r="BSH40" s="88"/>
      <c r="BSI40" s="88"/>
      <c r="BSJ40" s="88"/>
      <c r="BSK40" s="88"/>
      <c r="BSL40" s="88"/>
      <c r="BSM40" s="88"/>
      <c r="BSN40" s="88"/>
      <c r="BSO40" s="88"/>
      <c r="BSP40" s="88"/>
      <c r="BSQ40" s="88"/>
      <c r="BSR40" s="88"/>
      <c r="BSS40" s="88"/>
      <c r="BST40" s="88"/>
      <c r="BSU40" s="88"/>
      <c r="BSV40" s="88"/>
      <c r="BSW40" s="88"/>
      <c r="BSX40" s="88"/>
      <c r="BSY40" s="88"/>
      <c r="BSZ40" s="88"/>
      <c r="BTA40" s="88"/>
      <c r="BTB40" s="88"/>
      <c r="BTC40" s="88"/>
      <c r="BTD40" s="88"/>
      <c r="BTE40" s="88"/>
      <c r="BTF40" s="88"/>
      <c r="BTG40" s="88"/>
      <c r="BTH40" s="88"/>
      <c r="BTI40" s="88"/>
      <c r="BTJ40" s="88"/>
      <c r="BTK40" s="88"/>
      <c r="BTL40" s="88"/>
      <c r="BTM40" s="88"/>
      <c r="BTN40" s="88"/>
      <c r="BTO40" s="88"/>
      <c r="BTP40" s="88"/>
      <c r="BTQ40" s="88"/>
      <c r="BTR40" s="88"/>
      <c r="BTS40" s="88"/>
      <c r="BTT40" s="88"/>
      <c r="BTU40" s="88"/>
      <c r="BTV40" s="88"/>
      <c r="BTW40" s="88"/>
      <c r="BTX40" s="88"/>
      <c r="BTY40" s="88"/>
      <c r="BTZ40" s="88"/>
      <c r="BUA40" s="88"/>
      <c r="BUB40" s="88"/>
      <c r="BUC40" s="88"/>
      <c r="BUD40" s="88"/>
      <c r="BUE40" s="88"/>
      <c r="BUF40" s="88"/>
      <c r="BUG40" s="88"/>
      <c r="BUH40" s="88"/>
      <c r="BUI40" s="88"/>
      <c r="BUJ40" s="88"/>
      <c r="BUK40" s="88"/>
      <c r="BUL40" s="88"/>
      <c r="BUM40" s="88"/>
      <c r="BUN40" s="88"/>
      <c r="BUO40" s="88"/>
      <c r="BUP40" s="88"/>
      <c r="BUQ40" s="88"/>
      <c r="BUR40" s="88"/>
      <c r="BUS40" s="88"/>
      <c r="BUT40" s="88"/>
      <c r="BUU40" s="88"/>
      <c r="BUV40" s="88"/>
      <c r="BUW40" s="88"/>
      <c r="BUX40" s="88"/>
      <c r="BUY40" s="88"/>
      <c r="BUZ40" s="88"/>
      <c r="BVA40" s="88"/>
      <c r="BVB40" s="88"/>
      <c r="BVC40" s="88"/>
      <c r="BVD40" s="88"/>
      <c r="BVE40" s="88"/>
      <c r="BVF40" s="88"/>
      <c r="BVG40" s="88"/>
      <c r="BVH40" s="88"/>
      <c r="BVI40" s="88"/>
      <c r="BVJ40" s="88"/>
      <c r="BVK40" s="88"/>
      <c r="BVL40" s="88"/>
      <c r="BVM40" s="88"/>
      <c r="BVN40" s="88"/>
      <c r="BVO40" s="88"/>
      <c r="BVP40" s="88"/>
      <c r="BVQ40" s="88"/>
      <c r="BVR40" s="88"/>
      <c r="BVS40" s="88"/>
      <c r="BVT40" s="88"/>
      <c r="BVU40" s="88"/>
      <c r="BVV40" s="88"/>
      <c r="BVW40" s="88"/>
      <c r="BVX40" s="88"/>
      <c r="BVY40" s="88"/>
      <c r="BVZ40" s="88"/>
      <c r="BWA40" s="88"/>
      <c r="BWB40" s="88"/>
      <c r="BWC40" s="88"/>
      <c r="BWD40" s="88"/>
      <c r="BWE40" s="88"/>
      <c r="BWF40" s="88"/>
      <c r="BWG40" s="88"/>
      <c r="BWH40" s="88"/>
      <c r="BWI40" s="88"/>
      <c r="BWJ40" s="88"/>
      <c r="BWK40" s="88"/>
      <c r="BWL40" s="88"/>
      <c r="BWM40" s="88"/>
      <c r="BWN40" s="88"/>
      <c r="BWO40" s="88"/>
      <c r="BWP40" s="88"/>
      <c r="BWQ40" s="88"/>
      <c r="BWR40" s="88"/>
      <c r="BWS40" s="88"/>
      <c r="BWT40" s="88"/>
      <c r="BWU40" s="88"/>
      <c r="BWV40" s="88"/>
      <c r="BWW40" s="88"/>
      <c r="BWX40" s="88"/>
      <c r="BWY40" s="88"/>
      <c r="BWZ40" s="88"/>
      <c r="BXA40" s="88"/>
      <c r="BXB40" s="88"/>
      <c r="BXC40" s="88"/>
      <c r="BXD40" s="88"/>
      <c r="BXE40" s="88"/>
      <c r="BXF40" s="88"/>
      <c r="BXG40" s="88"/>
      <c r="BXH40" s="88"/>
      <c r="BXI40" s="88"/>
      <c r="BXJ40" s="88"/>
      <c r="BXK40" s="88"/>
      <c r="BXL40" s="88"/>
      <c r="BXM40" s="88"/>
      <c r="BXN40" s="88"/>
      <c r="BXO40" s="88"/>
      <c r="BXP40" s="88"/>
      <c r="BXQ40" s="88"/>
      <c r="BXR40" s="88"/>
      <c r="BXS40" s="88"/>
      <c r="BXT40" s="88"/>
      <c r="BXU40" s="88"/>
      <c r="BXV40" s="88"/>
      <c r="BXW40" s="88"/>
      <c r="BXX40" s="88"/>
      <c r="BXY40" s="88"/>
      <c r="BXZ40" s="88"/>
      <c r="BYA40" s="88"/>
      <c r="BYB40" s="88"/>
      <c r="BYC40" s="88"/>
      <c r="BYD40" s="88"/>
      <c r="BYE40" s="88"/>
      <c r="BYF40" s="88"/>
      <c r="BYG40" s="88"/>
      <c r="BYH40" s="88"/>
      <c r="BYI40" s="88"/>
      <c r="BYJ40" s="88"/>
      <c r="BYK40" s="88"/>
      <c r="BYL40" s="88"/>
      <c r="BYM40" s="88"/>
      <c r="BYN40" s="88"/>
      <c r="BYO40" s="88"/>
      <c r="BYP40" s="88"/>
      <c r="BYQ40" s="88"/>
      <c r="BYR40" s="88"/>
      <c r="BYS40" s="88"/>
      <c r="BYT40" s="88"/>
      <c r="BYU40" s="88"/>
      <c r="BYV40" s="88"/>
      <c r="BYW40" s="88"/>
      <c r="BYX40" s="88"/>
      <c r="BYY40" s="88"/>
      <c r="BYZ40" s="88"/>
      <c r="BZA40" s="88"/>
      <c r="BZB40" s="88"/>
      <c r="BZC40" s="88"/>
      <c r="BZD40" s="88"/>
      <c r="BZE40" s="88"/>
      <c r="BZF40" s="88"/>
      <c r="BZG40" s="88"/>
      <c r="BZH40" s="88"/>
      <c r="BZI40" s="88"/>
      <c r="BZJ40" s="88"/>
      <c r="BZK40" s="88"/>
      <c r="BZL40" s="88"/>
      <c r="BZM40" s="88"/>
      <c r="BZN40" s="88"/>
      <c r="BZO40" s="88"/>
      <c r="BZP40" s="88"/>
      <c r="BZQ40" s="88"/>
      <c r="BZR40" s="88"/>
      <c r="BZS40" s="88"/>
      <c r="BZT40" s="88"/>
      <c r="BZU40" s="88"/>
      <c r="BZV40" s="88"/>
      <c r="BZW40" s="88"/>
      <c r="BZX40" s="88"/>
      <c r="BZY40" s="88"/>
      <c r="BZZ40" s="88"/>
      <c r="CAA40" s="88"/>
      <c r="CAB40" s="88"/>
      <c r="CAC40" s="88"/>
      <c r="CAD40" s="88"/>
      <c r="CAE40" s="88"/>
      <c r="CAF40" s="88"/>
      <c r="CAG40" s="88"/>
      <c r="CAH40" s="88"/>
      <c r="CAI40" s="88"/>
      <c r="CAJ40" s="88"/>
      <c r="CAK40" s="88"/>
      <c r="CAL40" s="88"/>
      <c r="CAM40" s="88"/>
      <c r="CAN40" s="88"/>
      <c r="CAO40" s="88"/>
      <c r="CAP40" s="88"/>
      <c r="CAQ40" s="88"/>
      <c r="CAR40" s="88"/>
      <c r="CAS40" s="88"/>
      <c r="CAT40" s="88"/>
      <c r="CAU40" s="88"/>
      <c r="CAV40" s="88"/>
      <c r="CAW40" s="88"/>
      <c r="CAX40" s="88"/>
      <c r="CAY40" s="88"/>
      <c r="CAZ40" s="88"/>
      <c r="CBA40" s="88"/>
      <c r="CBB40" s="88"/>
      <c r="CBC40" s="88"/>
      <c r="CBD40" s="88"/>
      <c r="CBE40" s="88"/>
      <c r="CBF40" s="88"/>
      <c r="CBG40" s="88"/>
      <c r="CBH40" s="88"/>
      <c r="CBI40" s="88"/>
      <c r="CBJ40" s="88"/>
      <c r="CBK40" s="88"/>
      <c r="CBL40" s="88"/>
      <c r="CBM40" s="88"/>
      <c r="CBN40" s="88"/>
      <c r="CBO40" s="88"/>
      <c r="CBP40" s="88"/>
      <c r="CBQ40" s="88"/>
      <c r="CBR40" s="88"/>
      <c r="CBS40" s="88"/>
      <c r="CBT40" s="88"/>
      <c r="CBU40" s="88"/>
      <c r="CBV40" s="88"/>
      <c r="CBW40" s="88"/>
      <c r="CBX40" s="88"/>
      <c r="CBY40" s="88"/>
      <c r="CBZ40" s="88"/>
      <c r="CCA40" s="88"/>
      <c r="CCB40" s="88"/>
      <c r="CCC40" s="88"/>
      <c r="CCD40" s="88"/>
      <c r="CCE40" s="88"/>
      <c r="CCF40" s="88"/>
      <c r="CCG40" s="88"/>
      <c r="CCH40" s="88"/>
      <c r="CCI40" s="88"/>
      <c r="CCJ40" s="88"/>
      <c r="CCK40" s="88"/>
      <c r="CCL40" s="88"/>
      <c r="CCM40" s="88"/>
      <c r="CCN40" s="88"/>
      <c r="CCO40" s="88"/>
      <c r="CCP40" s="88"/>
      <c r="CCQ40" s="88"/>
      <c r="CCR40" s="88"/>
      <c r="CCS40" s="88"/>
      <c r="CCT40" s="88"/>
      <c r="CCU40" s="88"/>
      <c r="CCV40" s="88"/>
      <c r="CCW40" s="88"/>
      <c r="CCX40" s="88"/>
      <c r="CCY40" s="88"/>
      <c r="CCZ40" s="88"/>
      <c r="CDA40" s="88"/>
      <c r="CDB40" s="88"/>
      <c r="CDC40" s="88"/>
      <c r="CDD40" s="88"/>
      <c r="CDE40" s="88"/>
      <c r="CDF40" s="88"/>
      <c r="CDG40" s="88"/>
      <c r="CDH40" s="88"/>
      <c r="CDI40" s="88"/>
      <c r="CDJ40" s="88"/>
      <c r="CDK40" s="88"/>
      <c r="CDL40" s="88"/>
      <c r="CDM40" s="88"/>
      <c r="CDN40" s="88"/>
      <c r="CDO40" s="88"/>
      <c r="CDP40" s="88"/>
      <c r="CDQ40" s="88"/>
      <c r="CDR40" s="88"/>
      <c r="CDS40" s="88"/>
      <c r="CDT40" s="88"/>
      <c r="CDU40" s="88"/>
      <c r="CDV40" s="88"/>
      <c r="CDW40" s="88"/>
      <c r="CDX40" s="88"/>
      <c r="CDY40" s="88"/>
      <c r="CDZ40" s="88"/>
      <c r="CEA40" s="88"/>
      <c r="CEB40" s="88"/>
      <c r="CEC40" s="88"/>
      <c r="CED40" s="88"/>
      <c r="CEE40" s="88"/>
      <c r="CEF40" s="88"/>
      <c r="CEG40" s="88"/>
      <c r="CEH40" s="88"/>
      <c r="CEI40" s="88"/>
      <c r="CEJ40" s="88"/>
      <c r="CEK40" s="88"/>
    </row>
    <row r="41" spans="1:2169" s="63" customFormat="1">
      <c r="A41" s="578" t="s">
        <v>5892</v>
      </c>
      <c r="B41" s="71" t="s">
        <v>73</v>
      </c>
      <c r="C41" s="68" t="str">
        <f>IF('page 2'!$O$4="","",IF('page 2'!$O$4=Gestion!A41,1,0))</f>
        <v/>
      </c>
      <c r="D41" s="68" t="str">
        <f>IF('page 2'!$O$5="","",IF('page 2'!$O$5=Gestion!A41,1,0))</f>
        <v/>
      </c>
      <c r="E41" s="68" t="str">
        <f>IF('page 2'!$O$6="","",IF('page 2'!$O$6=Gestion!A41,1,0))</f>
        <v/>
      </c>
      <c r="F41" s="68" t="str">
        <f>IF('page 2'!$O$7="","",IF('page 2'!$O$7=Gestion!A41,1,0))</f>
        <v/>
      </c>
      <c r="G41" s="68" t="str">
        <f>IF('page 2'!$O$8="","",IF('page 2'!$O$8=Gestion!A41,1,0))</f>
        <v/>
      </c>
      <c r="H41" s="68" t="str">
        <f>IF('page 2'!$O$9="","",IF('page 2'!$O$9=Gestion!A41,1,0))</f>
        <v/>
      </c>
      <c r="I41" s="68" t="str">
        <f>IF('page 2'!$O$10="","",IF('page 2'!$O$10=Gestion!A41,1,0))</f>
        <v/>
      </c>
      <c r="J41" s="68" t="str">
        <f>IF('page 2'!$O$11="","",IF('page 2'!$O$11=Gestion!A41,1,0))</f>
        <v/>
      </c>
      <c r="K41" s="68" t="str">
        <f>IF('page 2'!$O$12="","",IF('page 2'!$O$12=Gestion!A41,1,0))</f>
        <v/>
      </c>
      <c r="L41" s="68" t="str">
        <f>IF('page 2'!$O$13="","",IF('page 2'!$O$13=Gestion!A41,1,0))</f>
        <v/>
      </c>
      <c r="M41" s="68" t="str">
        <f>IF('page 2'!$O$14="","",IF('page 2'!$O$14=Gestion!A41,1,0))</f>
        <v/>
      </c>
      <c r="N41" s="68" t="str">
        <f>IF('page 2'!$O$15="","",IF('page 2'!$O$15=Gestion!A41,1,0))</f>
        <v/>
      </c>
      <c r="O41" s="68" t="str">
        <f>IF('page 2'!$O$16="","",IF('page 2'!$O$16=Gestion!A41,1,0))</f>
        <v/>
      </c>
      <c r="P41" s="68" t="str">
        <f>IF('page 2'!$O$17="","",IF('page 2'!$O$17=Gestion!A41,1,0))</f>
        <v/>
      </c>
      <c r="Q41" s="68" t="str">
        <f>IF('page 2'!$O$18="","",IF('page 2'!$O$18=Gestion!A41,1,0))</f>
        <v/>
      </c>
      <c r="R41" s="68" t="str">
        <f>IF('page 2'!$O$19="","",IF('page 2'!$O$19=Gestion!A41,1,0))</f>
        <v/>
      </c>
      <c r="S41" s="68" t="str">
        <f>IF('page 2'!$O$20="","",IF('page 2'!$O$20=Gestion!A41,1,0))</f>
        <v/>
      </c>
      <c r="T41" s="68" t="str">
        <f>IF('page 2'!$O$25="","",IF('page 2'!$O$25=Gestion!A41,1,0))</f>
        <v/>
      </c>
      <c r="U41" s="68" t="str">
        <f>IF('page 2'!$O$26="","",IF('page 2'!$O$26=Gestion!A41,1,0))</f>
        <v/>
      </c>
      <c r="V41" s="68" t="str">
        <f>IF('page 2'!$O$27="","",IF('page 2'!$O$27=Gestion!A41,1,0))</f>
        <v/>
      </c>
      <c r="W41" s="722">
        <f t="shared" si="0"/>
        <v>0</v>
      </c>
      <c r="X41" s="714"/>
      <c r="Y41" s="68"/>
      <c r="Z41" s="68"/>
      <c r="AA41" s="68"/>
      <c r="AB41" s="68"/>
      <c r="AC41" s="68"/>
      <c r="AD41" s="68"/>
      <c r="AP41" s="130"/>
      <c r="AQ41" s="130"/>
      <c r="AR41" s="130"/>
      <c r="AS41" s="576"/>
      <c r="AT41" s="576"/>
      <c r="AU41" s="576"/>
      <c r="AV41" s="576"/>
      <c r="AW41" s="602"/>
      <c r="AX41" s="602"/>
      <c r="AY41" s="576"/>
      <c r="AZ41" s="576"/>
      <c r="BA41" s="576"/>
      <c r="BB41" s="576"/>
      <c r="BC41" s="576"/>
      <c r="BD41" s="602"/>
      <c r="BE41" s="602"/>
      <c r="BF41" s="602"/>
      <c r="BG41" s="602"/>
      <c r="BH41" s="602"/>
      <c r="BI41" s="602"/>
      <c r="BJ41" s="602"/>
      <c r="BK41" s="602"/>
      <c r="BL41" s="602"/>
      <c r="BM41" s="602"/>
      <c r="BN41" s="602"/>
      <c r="BO41" s="602"/>
      <c r="BP41" s="602"/>
      <c r="BQ41" s="602"/>
      <c r="BR41" s="602"/>
      <c r="BS41" s="576"/>
      <c r="BT41" s="576"/>
      <c r="BU41" s="576"/>
      <c r="BV41" s="576"/>
      <c r="BW41" s="602"/>
      <c r="BX41" s="602"/>
      <c r="BY41" s="602"/>
      <c r="BZ41" s="576"/>
      <c r="CA41" s="602"/>
      <c r="CB41" s="602"/>
      <c r="CC41" s="576"/>
      <c r="CD41" s="469"/>
      <c r="CE41" s="602"/>
      <c r="CF41" s="576"/>
      <c r="CG41" s="576"/>
      <c r="CH41" s="576"/>
      <c r="CI41" s="576"/>
      <c r="CJ41" s="576"/>
      <c r="CK41" s="602"/>
      <c r="CL41" s="602"/>
      <c r="CM41" s="576"/>
      <c r="CN41" s="602"/>
      <c r="CO41" s="602"/>
      <c r="CP41" s="602"/>
      <c r="CQ41" s="576"/>
      <c r="CR41" s="576"/>
      <c r="CS41" s="602"/>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c r="SF41" s="88"/>
      <c r="SG41" s="88"/>
      <c r="SH41" s="88"/>
      <c r="SI41" s="88"/>
      <c r="SJ41" s="88"/>
      <c r="SK41" s="88"/>
      <c r="SL41" s="88"/>
      <c r="SM41" s="88"/>
      <c r="SN41" s="88"/>
      <c r="SO41" s="88"/>
      <c r="SP41" s="88"/>
      <c r="SQ41" s="88"/>
      <c r="SR41" s="88"/>
      <c r="SS41" s="88"/>
      <c r="ST41" s="88"/>
      <c r="SU41" s="88"/>
      <c r="SV41" s="88"/>
      <c r="SW41" s="88"/>
      <c r="SX41" s="88"/>
      <c r="SY41" s="88"/>
      <c r="SZ41" s="88"/>
      <c r="TA41" s="88"/>
      <c r="TB41" s="88"/>
      <c r="TC41" s="88"/>
      <c r="TD41" s="88"/>
      <c r="TE41" s="88"/>
      <c r="TF41" s="88"/>
      <c r="TG41" s="88"/>
      <c r="TH41" s="88"/>
      <c r="TI41" s="88"/>
      <c r="TJ41" s="88"/>
      <c r="TK41" s="88"/>
      <c r="TL41" s="88"/>
      <c r="TM41" s="88"/>
      <c r="TN41" s="88"/>
      <c r="TO41" s="88"/>
      <c r="TP41" s="88"/>
      <c r="TQ41" s="88"/>
      <c r="TR41" s="88"/>
      <c r="TS41" s="88"/>
      <c r="TT41" s="88"/>
      <c r="TU41" s="88"/>
      <c r="TV41" s="88"/>
      <c r="TW41" s="88"/>
      <c r="TX41" s="88"/>
      <c r="TY41" s="88"/>
      <c r="TZ41" s="88"/>
      <c r="UA41" s="88"/>
      <c r="UB41" s="88"/>
      <c r="UC41" s="88"/>
      <c r="UD41" s="88"/>
      <c r="UE41" s="88"/>
      <c r="UF41" s="88"/>
      <c r="UG41" s="88"/>
      <c r="UH41" s="88"/>
      <c r="UI41" s="88"/>
      <c r="UJ41" s="88"/>
      <c r="UK41" s="88"/>
      <c r="UL41" s="88"/>
      <c r="UM41" s="88"/>
      <c r="UN41" s="88"/>
      <c r="UO41" s="88"/>
      <c r="UP41" s="88"/>
      <c r="UQ41" s="88"/>
      <c r="UR41" s="88"/>
      <c r="US41" s="88"/>
      <c r="UT41" s="88"/>
      <c r="UU41" s="88"/>
      <c r="UV41" s="88"/>
      <c r="UW41" s="88"/>
      <c r="UX41" s="88"/>
      <c r="UY41" s="88"/>
      <c r="UZ41" s="88"/>
      <c r="VA41" s="88"/>
      <c r="VB41" s="88"/>
      <c r="VC41" s="88"/>
      <c r="VD41" s="88"/>
      <c r="VE41" s="88"/>
      <c r="VF41" s="88"/>
      <c r="VG41" s="88"/>
      <c r="VH41" s="88"/>
      <c r="VI41" s="88"/>
      <c r="VJ41" s="88"/>
      <c r="VK41" s="88"/>
      <c r="VL41" s="88"/>
      <c r="VM41" s="88"/>
      <c r="VN41" s="88"/>
      <c r="VO41" s="88"/>
      <c r="VP41" s="88"/>
      <c r="VQ41" s="88"/>
      <c r="VR41" s="88"/>
      <c r="VS41" s="88"/>
      <c r="VT41" s="88"/>
      <c r="VU41" s="88"/>
      <c r="VV41" s="88"/>
      <c r="VW41" s="88"/>
      <c r="VX41" s="88"/>
      <c r="VY41" s="88"/>
      <c r="VZ41" s="88"/>
      <c r="WA41" s="88"/>
      <c r="WB41" s="88"/>
      <c r="WC41" s="88"/>
      <c r="WD41" s="88"/>
      <c r="WE41" s="88"/>
      <c r="WF41" s="88"/>
      <c r="WG41" s="88"/>
      <c r="WH41" s="88"/>
      <c r="WI41" s="88"/>
      <c r="WJ41" s="88"/>
      <c r="WK41" s="88"/>
      <c r="WL41" s="88"/>
      <c r="WM41" s="88"/>
      <c r="WN41" s="88"/>
      <c r="WO41" s="88"/>
      <c r="WP41" s="88"/>
      <c r="WQ41" s="88"/>
      <c r="WR41" s="88"/>
      <c r="WS41" s="88"/>
      <c r="WT41" s="88"/>
      <c r="WU41" s="88"/>
      <c r="WV41" s="88"/>
      <c r="WW41" s="88"/>
      <c r="WX41" s="88"/>
      <c r="WY41" s="88"/>
      <c r="WZ41" s="88"/>
      <c r="XA41" s="88"/>
      <c r="XB41" s="88"/>
      <c r="XC41" s="88"/>
      <c r="XD41" s="88"/>
      <c r="XE41" s="88"/>
      <c r="XF41" s="88"/>
      <c r="XG41" s="88"/>
      <c r="XH41" s="88"/>
      <c r="XI41" s="88"/>
      <c r="XJ41" s="88"/>
      <c r="XK41" s="88"/>
      <c r="XL41" s="88"/>
      <c r="XM41" s="88"/>
      <c r="XN41" s="88"/>
      <c r="XO41" s="88"/>
      <c r="XP41" s="88"/>
      <c r="XQ41" s="88"/>
      <c r="XR41" s="88"/>
      <c r="XS41" s="88"/>
      <c r="XT41" s="88"/>
      <c r="XU41" s="88"/>
      <c r="XV41" s="88"/>
      <c r="XW41" s="88"/>
      <c r="XX41" s="88"/>
      <c r="XY41" s="88"/>
      <c r="XZ41" s="88"/>
      <c r="YA41" s="88"/>
      <c r="YB41" s="88"/>
      <c r="YC41" s="88"/>
      <c r="YD41" s="88"/>
      <c r="YE41" s="88"/>
      <c r="YF41" s="88"/>
      <c r="YG41" s="88"/>
      <c r="YH41" s="88"/>
      <c r="YI41" s="88"/>
      <c r="YJ41" s="88"/>
      <c r="YK41" s="88"/>
      <c r="YL41" s="88"/>
      <c r="YM41" s="88"/>
      <c r="YN41" s="88"/>
      <c r="YO41" s="88"/>
      <c r="YP41" s="88"/>
      <c r="YQ41" s="88"/>
      <c r="YR41" s="88"/>
      <c r="YS41" s="88"/>
      <c r="YT41" s="88"/>
      <c r="YU41" s="88"/>
      <c r="YV41" s="88"/>
      <c r="YW41" s="88"/>
      <c r="YX41" s="88"/>
      <c r="YY41" s="88"/>
      <c r="YZ41" s="88"/>
      <c r="ZA41" s="88"/>
      <c r="ZB41" s="88"/>
      <c r="ZC41" s="88"/>
      <c r="ZD41" s="88"/>
      <c r="ZE41" s="88"/>
      <c r="ZF41" s="88"/>
      <c r="ZG41" s="88"/>
      <c r="ZH41" s="88"/>
      <c r="ZI41" s="88"/>
      <c r="ZJ41" s="88"/>
      <c r="ZK41" s="88"/>
      <c r="ZL41" s="88"/>
      <c r="ZM41" s="88"/>
      <c r="ZN41" s="88"/>
      <c r="ZO41" s="88"/>
      <c r="ZP41" s="88"/>
      <c r="ZQ41" s="88"/>
      <c r="ZR41" s="88"/>
      <c r="ZS41" s="88"/>
      <c r="ZT41" s="88"/>
      <c r="ZU41" s="88"/>
      <c r="ZV41" s="88"/>
      <c r="ZW41" s="88"/>
      <c r="ZX41" s="88"/>
      <c r="ZY41" s="88"/>
      <c r="ZZ41" s="88"/>
      <c r="AAA41" s="88"/>
      <c r="AAB41" s="88"/>
      <c r="AAC41" s="88"/>
      <c r="AAD41" s="88"/>
      <c r="AAE41" s="88"/>
      <c r="AAF41" s="88"/>
      <c r="AAG41" s="88"/>
      <c r="AAH41" s="88"/>
      <c r="AAI41" s="88"/>
      <c r="AAJ41" s="88"/>
      <c r="AAK41" s="88"/>
      <c r="AAL41" s="88"/>
      <c r="AAM41" s="88"/>
      <c r="AAN41" s="88"/>
      <c r="AAO41" s="88"/>
      <c r="AAP41" s="88"/>
      <c r="AAQ41" s="88"/>
      <c r="AAR41" s="88"/>
      <c r="AAS41" s="88"/>
      <c r="AAT41" s="88"/>
      <c r="AAU41" s="88"/>
      <c r="AAV41" s="88"/>
      <c r="AAW41" s="88"/>
      <c r="AAX41" s="88"/>
      <c r="AAY41" s="88"/>
      <c r="AAZ41" s="88"/>
      <c r="ABA41" s="88"/>
      <c r="ABB41" s="88"/>
      <c r="ABC41" s="88"/>
      <c r="ABD41" s="88"/>
      <c r="ABE41" s="88"/>
      <c r="ABF41" s="88"/>
      <c r="ABG41" s="88"/>
      <c r="ABH41" s="88"/>
      <c r="ABI41" s="88"/>
      <c r="ABJ41" s="88"/>
      <c r="ABK41" s="88"/>
      <c r="ABL41" s="88"/>
      <c r="ABM41" s="88"/>
      <c r="ABN41" s="88"/>
      <c r="ABO41" s="88"/>
      <c r="ABP41" s="88"/>
      <c r="ABQ41" s="88"/>
      <c r="ABR41" s="88"/>
      <c r="ABS41" s="88"/>
      <c r="ABT41" s="88"/>
      <c r="ABU41" s="88"/>
      <c r="ABV41" s="88"/>
      <c r="ABW41" s="88"/>
      <c r="ABX41" s="88"/>
      <c r="ABY41" s="88"/>
      <c r="ABZ41" s="88"/>
      <c r="ACA41" s="88"/>
      <c r="ACB41" s="88"/>
      <c r="ACC41" s="88"/>
      <c r="ACD41" s="88"/>
      <c r="ACE41" s="88"/>
      <c r="ACF41" s="88"/>
      <c r="ACG41" s="88"/>
      <c r="ACH41" s="88"/>
      <c r="ACI41" s="88"/>
      <c r="ACJ41" s="88"/>
      <c r="ACK41" s="88"/>
      <c r="ACL41" s="88"/>
      <c r="ACM41" s="88"/>
      <c r="ACN41" s="88"/>
      <c r="ACO41" s="88"/>
      <c r="ACP41" s="88"/>
      <c r="ACQ41" s="88"/>
      <c r="ACR41" s="88"/>
      <c r="ACS41" s="88"/>
      <c r="ACT41" s="88"/>
      <c r="ACU41" s="88"/>
      <c r="ACV41" s="88"/>
      <c r="ACW41" s="88"/>
      <c r="ACX41" s="88"/>
      <c r="ACY41" s="88"/>
      <c r="ACZ41" s="88"/>
      <c r="ADA41" s="88"/>
      <c r="ADB41" s="88"/>
      <c r="ADC41" s="88"/>
      <c r="ADD41" s="88"/>
      <c r="ADE41" s="88"/>
      <c r="ADF41" s="88"/>
      <c r="ADG41" s="88"/>
      <c r="ADH41" s="88"/>
      <c r="ADI41" s="88"/>
      <c r="ADJ41" s="88"/>
      <c r="ADK41" s="88"/>
      <c r="ADL41" s="88"/>
      <c r="ADM41" s="88"/>
      <c r="ADN41" s="88"/>
      <c r="ADO41" s="88"/>
      <c r="ADP41" s="88"/>
      <c r="ADQ41" s="88"/>
      <c r="ADR41" s="88"/>
      <c r="ADS41" s="88"/>
      <c r="ADT41" s="88"/>
      <c r="ADU41" s="88"/>
      <c r="ADV41" s="88"/>
      <c r="ADW41" s="88"/>
      <c r="ADX41" s="88"/>
      <c r="ADY41" s="88"/>
      <c r="ADZ41" s="88"/>
      <c r="AEA41" s="88"/>
      <c r="AEB41" s="88"/>
      <c r="AEC41" s="88"/>
      <c r="AED41" s="88"/>
      <c r="AEE41" s="88"/>
      <c r="AEF41" s="88"/>
      <c r="AEG41" s="88"/>
      <c r="AEH41" s="88"/>
      <c r="AEI41" s="88"/>
      <c r="AEJ41" s="88"/>
      <c r="AEK41" s="88"/>
      <c r="AEL41" s="88"/>
      <c r="AEM41" s="88"/>
      <c r="AEN41" s="88"/>
      <c r="AEO41" s="88"/>
      <c r="AEP41" s="88"/>
      <c r="AEQ41" s="88"/>
      <c r="AER41" s="88"/>
      <c r="AES41" s="88"/>
      <c r="AET41" s="88"/>
      <c r="AEU41" s="88"/>
      <c r="AEV41" s="88"/>
      <c r="AEW41" s="88"/>
      <c r="AEX41" s="88"/>
      <c r="AEY41" s="88"/>
      <c r="AEZ41" s="88"/>
      <c r="AFA41" s="88"/>
      <c r="AFB41" s="88"/>
      <c r="AFC41" s="88"/>
      <c r="AFD41" s="88"/>
      <c r="AFE41" s="88"/>
      <c r="AFF41" s="88"/>
      <c r="AFG41" s="88"/>
      <c r="AFH41" s="88"/>
      <c r="AFI41" s="88"/>
      <c r="AFJ41" s="88"/>
      <c r="AFK41" s="88"/>
      <c r="AFL41" s="88"/>
      <c r="AFM41" s="88"/>
      <c r="AFN41" s="88"/>
      <c r="AFO41" s="88"/>
      <c r="AFP41" s="88"/>
      <c r="AFQ41" s="88"/>
      <c r="AFR41" s="88"/>
      <c r="AFS41" s="88"/>
      <c r="AFT41" s="88"/>
      <c r="AFU41" s="88"/>
      <c r="AFV41" s="88"/>
      <c r="AFW41" s="88"/>
      <c r="AFX41" s="88"/>
      <c r="AFY41" s="88"/>
      <c r="AFZ41" s="88"/>
      <c r="AGA41" s="88"/>
      <c r="AGB41" s="88"/>
      <c r="AGC41" s="88"/>
      <c r="AGD41" s="88"/>
      <c r="AGE41" s="88"/>
      <c r="AGF41" s="88"/>
      <c r="AGG41" s="88"/>
      <c r="AGH41" s="88"/>
      <c r="AGI41" s="88"/>
      <c r="AGJ41" s="88"/>
      <c r="AGK41" s="88"/>
      <c r="AGL41" s="88"/>
      <c r="AGM41" s="88"/>
      <c r="AGN41" s="88"/>
      <c r="AGO41" s="88"/>
      <c r="AGP41" s="88"/>
      <c r="AGQ41" s="88"/>
      <c r="AGR41" s="88"/>
      <c r="AGS41" s="88"/>
      <c r="AGT41" s="88"/>
      <c r="AGU41" s="88"/>
      <c r="AGV41" s="88"/>
      <c r="AGW41" s="88"/>
      <c r="AGX41" s="88"/>
      <c r="AGY41" s="88"/>
      <c r="AGZ41" s="88"/>
      <c r="AHA41" s="88"/>
      <c r="AHB41" s="88"/>
      <c r="AHC41" s="88"/>
      <c r="AHD41" s="88"/>
      <c r="AHE41" s="88"/>
      <c r="AHF41" s="88"/>
      <c r="AHG41" s="88"/>
      <c r="AHH41" s="88"/>
      <c r="AHI41" s="88"/>
      <c r="AHJ41" s="88"/>
      <c r="AHK41" s="88"/>
      <c r="AHL41" s="88"/>
      <c r="AHM41" s="88"/>
      <c r="AHN41" s="88"/>
      <c r="AHO41" s="88"/>
      <c r="AHP41" s="88"/>
      <c r="AHQ41" s="88"/>
      <c r="AHR41" s="88"/>
      <c r="AHS41" s="88"/>
      <c r="AHT41" s="88"/>
      <c r="AHU41" s="88"/>
      <c r="AHV41" s="88"/>
      <c r="AHW41" s="88"/>
      <c r="AHX41" s="88"/>
      <c r="AHY41" s="88"/>
      <c r="AHZ41" s="88"/>
      <c r="AIA41" s="88"/>
      <c r="AIB41" s="88"/>
      <c r="AIC41" s="88"/>
      <c r="AID41" s="88"/>
      <c r="AIE41" s="88"/>
      <c r="AIF41" s="88"/>
      <c r="AIG41" s="88"/>
      <c r="AIH41" s="88"/>
      <c r="AII41" s="88"/>
      <c r="AIJ41" s="88"/>
      <c r="AIK41" s="88"/>
      <c r="AIL41" s="88"/>
      <c r="AIM41" s="88"/>
      <c r="AIN41" s="88"/>
      <c r="AIO41" s="88"/>
      <c r="AIP41" s="88"/>
      <c r="AIQ41" s="88"/>
      <c r="AIR41" s="88"/>
      <c r="AIS41" s="88"/>
      <c r="AIT41" s="88"/>
      <c r="AIU41" s="88"/>
      <c r="AIV41" s="88"/>
      <c r="AIW41" s="88"/>
      <c r="AIX41" s="88"/>
      <c r="AIY41" s="88"/>
      <c r="AIZ41" s="88"/>
      <c r="AJA41" s="88"/>
      <c r="AJB41" s="88"/>
      <c r="AJC41" s="88"/>
      <c r="AJD41" s="88"/>
      <c r="AJE41" s="88"/>
      <c r="AJF41" s="88"/>
      <c r="AJG41" s="88"/>
      <c r="AJH41" s="88"/>
      <c r="AJI41" s="88"/>
      <c r="AJJ41" s="88"/>
      <c r="AJK41" s="88"/>
      <c r="AJL41" s="88"/>
      <c r="AJM41" s="88"/>
      <c r="AJN41" s="88"/>
      <c r="AJO41" s="88"/>
      <c r="AJP41" s="88"/>
      <c r="AJQ41" s="88"/>
      <c r="AJR41" s="88"/>
      <c r="AJS41" s="88"/>
      <c r="AJT41" s="88"/>
      <c r="AJU41" s="88"/>
      <c r="AJV41" s="88"/>
      <c r="AJW41" s="88"/>
      <c r="AJX41" s="88"/>
      <c r="AJY41" s="88"/>
      <c r="AJZ41" s="88"/>
      <c r="AKA41" s="88"/>
      <c r="AKB41" s="88"/>
      <c r="AKC41" s="88"/>
      <c r="AKD41" s="88"/>
      <c r="AKE41" s="88"/>
      <c r="AKF41" s="88"/>
      <c r="AKG41" s="88"/>
      <c r="AKH41" s="88"/>
      <c r="AKI41" s="88"/>
      <c r="AKJ41" s="88"/>
      <c r="AKK41" s="88"/>
      <c r="AKL41" s="88"/>
      <c r="AKM41" s="88"/>
      <c r="AKN41" s="88"/>
      <c r="AKO41" s="88"/>
      <c r="AKP41" s="88"/>
      <c r="AKQ41" s="88"/>
      <c r="AKR41" s="88"/>
      <c r="AKS41" s="88"/>
      <c r="AKT41" s="88"/>
      <c r="AKU41" s="88"/>
      <c r="AKV41" s="88"/>
      <c r="AKW41" s="88"/>
      <c r="AKX41" s="88"/>
      <c r="AKY41" s="88"/>
      <c r="AKZ41" s="88"/>
      <c r="ALA41" s="88"/>
      <c r="ALB41" s="88"/>
      <c r="ALC41" s="88"/>
      <c r="ALD41" s="88"/>
      <c r="ALE41" s="88"/>
      <c r="ALF41" s="88"/>
      <c r="ALG41" s="88"/>
      <c r="ALH41" s="88"/>
      <c r="ALI41" s="88"/>
      <c r="ALJ41" s="88"/>
      <c r="ALK41" s="88"/>
      <c r="ALL41" s="88"/>
      <c r="ALM41" s="88"/>
      <c r="ALN41" s="88"/>
      <c r="ALO41" s="88"/>
      <c r="ALP41" s="88"/>
      <c r="ALQ41" s="88"/>
      <c r="ALR41" s="88"/>
      <c r="ALS41" s="88"/>
      <c r="ALT41" s="88"/>
      <c r="ALU41" s="88"/>
      <c r="ALV41" s="88"/>
      <c r="ALW41" s="88"/>
      <c r="ALX41" s="88"/>
      <c r="ALY41" s="88"/>
      <c r="ALZ41" s="88"/>
      <c r="AMA41" s="88"/>
      <c r="AMB41" s="88"/>
      <c r="AMC41" s="88"/>
      <c r="AMD41" s="88"/>
      <c r="AME41" s="88"/>
      <c r="AMF41" s="88"/>
      <c r="AMG41" s="88"/>
      <c r="AMH41" s="88"/>
      <c r="AMI41" s="88"/>
      <c r="AMJ41" s="88"/>
      <c r="AMK41" s="88"/>
      <c r="AML41" s="88"/>
      <c r="AMM41" s="88"/>
      <c r="AMN41" s="88"/>
      <c r="AMO41" s="88"/>
      <c r="AMP41" s="88"/>
      <c r="AMQ41" s="88"/>
      <c r="AMR41" s="88"/>
      <c r="AMS41" s="88"/>
      <c r="AMT41" s="88"/>
      <c r="AMU41" s="88"/>
      <c r="AMV41" s="88"/>
      <c r="AMW41" s="88"/>
      <c r="AMX41" s="88"/>
      <c r="AMY41" s="88"/>
      <c r="AMZ41" s="88"/>
      <c r="ANA41" s="88"/>
      <c r="ANB41" s="88"/>
      <c r="ANC41" s="88"/>
      <c r="AND41" s="88"/>
      <c r="ANE41" s="88"/>
      <c r="ANF41" s="88"/>
      <c r="ANG41" s="88"/>
      <c r="ANH41" s="88"/>
      <c r="ANI41" s="88"/>
      <c r="ANJ41" s="88"/>
      <c r="ANK41" s="88"/>
      <c r="ANL41" s="88"/>
      <c r="ANM41" s="88"/>
      <c r="ANN41" s="88"/>
      <c r="ANO41" s="88"/>
      <c r="ANP41" s="88"/>
      <c r="ANQ41" s="88"/>
      <c r="ANR41" s="88"/>
      <c r="ANS41" s="88"/>
      <c r="ANT41" s="88"/>
      <c r="ANU41" s="88"/>
      <c r="ANV41" s="88"/>
      <c r="ANW41" s="88"/>
      <c r="ANX41" s="88"/>
      <c r="ANY41" s="88"/>
      <c r="ANZ41" s="88"/>
      <c r="AOA41" s="88"/>
      <c r="AOB41" s="88"/>
      <c r="AOC41" s="88"/>
      <c r="AOD41" s="88"/>
      <c r="AOE41" s="88"/>
      <c r="AOF41" s="88"/>
      <c r="AOG41" s="88"/>
      <c r="AOH41" s="88"/>
      <c r="AOI41" s="88"/>
      <c r="AOJ41" s="88"/>
      <c r="AOK41" s="88"/>
      <c r="AOL41" s="88"/>
      <c r="AOM41" s="88"/>
      <c r="AON41" s="88"/>
      <c r="AOO41" s="88"/>
      <c r="AOP41" s="88"/>
      <c r="AOQ41" s="88"/>
      <c r="AOR41" s="88"/>
      <c r="AOS41" s="88"/>
      <c r="AOT41" s="88"/>
      <c r="AOU41" s="88"/>
      <c r="AOV41" s="88"/>
      <c r="AOW41" s="88"/>
      <c r="AOX41" s="88"/>
      <c r="AOY41" s="88"/>
      <c r="AOZ41" s="88"/>
      <c r="APA41" s="88"/>
      <c r="APB41" s="88"/>
      <c r="APC41" s="88"/>
      <c r="APD41" s="88"/>
      <c r="APE41" s="88"/>
      <c r="APF41" s="88"/>
      <c r="APG41" s="88"/>
      <c r="APH41" s="88"/>
      <c r="API41" s="88"/>
      <c r="APJ41" s="88"/>
      <c r="APK41" s="88"/>
      <c r="APL41" s="88"/>
      <c r="APM41" s="88"/>
      <c r="APN41" s="88"/>
      <c r="APO41" s="88"/>
      <c r="APP41" s="88"/>
      <c r="APQ41" s="88"/>
      <c r="APR41" s="88"/>
      <c r="APS41" s="88"/>
      <c r="APT41" s="88"/>
      <c r="APU41" s="88"/>
      <c r="APV41" s="88"/>
      <c r="APW41" s="88"/>
      <c r="APX41" s="88"/>
      <c r="APY41" s="88"/>
      <c r="APZ41" s="88"/>
      <c r="AQA41" s="88"/>
      <c r="AQB41" s="88"/>
      <c r="AQC41" s="88"/>
      <c r="AQD41" s="88"/>
      <c r="AQE41" s="88"/>
      <c r="AQF41" s="88"/>
      <c r="AQG41" s="88"/>
      <c r="AQH41" s="88"/>
      <c r="AQI41" s="88"/>
      <c r="AQJ41" s="88"/>
      <c r="AQK41" s="88"/>
      <c r="AQL41" s="88"/>
      <c r="AQM41" s="88"/>
      <c r="AQN41" s="88"/>
      <c r="AQO41" s="88"/>
      <c r="AQP41" s="88"/>
      <c r="AQQ41" s="88"/>
      <c r="AQR41" s="88"/>
      <c r="AQS41" s="88"/>
      <c r="AQT41" s="88"/>
      <c r="AQU41" s="88"/>
      <c r="AQV41" s="88"/>
      <c r="AQW41" s="88"/>
      <c r="AQX41" s="88"/>
      <c r="AQY41" s="88"/>
      <c r="AQZ41" s="88"/>
      <c r="ARA41" s="88"/>
      <c r="ARB41" s="88"/>
      <c r="ARC41" s="88"/>
      <c r="ARD41" s="88"/>
      <c r="ARE41" s="88"/>
      <c r="ARF41" s="88"/>
      <c r="ARG41" s="88"/>
      <c r="ARH41" s="88"/>
      <c r="ARI41" s="88"/>
      <c r="ARJ41" s="88"/>
      <c r="ARK41" s="88"/>
      <c r="ARL41" s="88"/>
      <c r="ARM41" s="88"/>
      <c r="ARN41" s="88"/>
      <c r="ARO41" s="88"/>
      <c r="ARP41" s="88"/>
      <c r="ARQ41" s="88"/>
      <c r="ARR41" s="88"/>
      <c r="ARS41" s="88"/>
      <c r="ART41" s="88"/>
      <c r="ARU41" s="88"/>
      <c r="ARV41" s="88"/>
      <c r="ARW41" s="88"/>
      <c r="ARX41" s="88"/>
      <c r="ARY41" s="88"/>
      <c r="ARZ41" s="88"/>
      <c r="ASA41" s="88"/>
      <c r="ASB41" s="88"/>
      <c r="ASC41" s="88"/>
      <c r="ASD41" s="88"/>
      <c r="ASE41" s="88"/>
      <c r="ASF41" s="88"/>
      <c r="ASG41" s="88"/>
      <c r="ASH41" s="88"/>
      <c r="ASI41" s="88"/>
      <c r="ASJ41" s="88"/>
      <c r="ASK41" s="88"/>
      <c r="ASL41" s="88"/>
      <c r="ASM41" s="88"/>
      <c r="ASN41" s="88"/>
      <c r="ASO41" s="88"/>
      <c r="ASP41" s="88"/>
      <c r="ASQ41" s="88"/>
      <c r="ASR41" s="88"/>
      <c r="ASS41" s="88"/>
      <c r="AST41" s="88"/>
      <c r="ASU41" s="88"/>
      <c r="ASV41" s="88"/>
      <c r="ASW41" s="88"/>
      <c r="ASX41" s="88"/>
      <c r="ASY41" s="88"/>
      <c r="ASZ41" s="88"/>
      <c r="ATA41" s="88"/>
      <c r="ATB41" s="88"/>
      <c r="ATC41" s="88"/>
      <c r="ATD41" s="88"/>
      <c r="ATE41" s="88"/>
      <c r="ATF41" s="88"/>
      <c r="ATG41" s="88"/>
      <c r="ATH41" s="88"/>
      <c r="ATI41" s="88"/>
      <c r="ATJ41" s="88"/>
      <c r="ATK41" s="88"/>
      <c r="ATL41" s="88"/>
      <c r="ATM41" s="88"/>
      <c r="ATN41" s="88"/>
      <c r="ATO41" s="88"/>
      <c r="ATP41" s="88"/>
      <c r="ATQ41" s="88"/>
      <c r="ATR41" s="88"/>
      <c r="ATS41" s="88"/>
      <c r="ATT41" s="88"/>
      <c r="ATU41" s="88"/>
      <c r="ATV41" s="88"/>
      <c r="ATW41" s="88"/>
      <c r="ATX41" s="88"/>
      <c r="ATY41" s="88"/>
      <c r="ATZ41" s="88"/>
      <c r="AUA41" s="88"/>
      <c r="AUB41" s="88"/>
      <c r="AUC41" s="88"/>
      <c r="AUD41" s="88"/>
      <c r="AUE41" s="88"/>
      <c r="AUF41" s="88"/>
      <c r="AUG41" s="88"/>
      <c r="AUH41" s="88"/>
      <c r="AUI41" s="88"/>
      <c r="AUJ41" s="88"/>
      <c r="AUK41" s="88"/>
      <c r="AUL41" s="88"/>
      <c r="AUM41" s="88"/>
      <c r="AUN41" s="88"/>
      <c r="AUO41" s="88"/>
      <c r="AUP41" s="88"/>
      <c r="AUQ41" s="88"/>
      <c r="AUR41" s="88"/>
      <c r="AUS41" s="88"/>
      <c r="AUT41" s="88"/>
      <c r="AUU41" s="88"/>
      <c r="AUV41" s="88"/>
      <c r="AUW41" s="88"/>
      <c r="AUX41" s="88"/>
      <c r="AUY41" s="88"/>
      <c r="AUZ41" s="88"/>
      <c r="AVA41" s="88"/>
      <c r="AVB41" s="88"/>
      <c r="AVC41" s="88"/>
      <c r="AVD41" s="88"/>
      <c r="AVE41" s="88"/>
      <c r="AVF41" s="88"/>
      <c r="AVG41" s="88"/>
      <c r="AVH41" s="88"/>
      <c r="AVI41" s="88"/>
      <c r="AVJ41" s="88"/>
      <c r="AVK41" s="88"/>
      <c r="AVL41" s="88"/>
      <c r="AVM41" s="88"/>
      <c r="AVN41" s="88"/>
      <c r="AVO41" s="88"/>
      <c r="AVP41" s="88"/>
      <c r="AVQ41" s="88"/>
      <c r="AVR41" s="88"/>
      <c r="AVS41" s="88"/>
      <c r="AVT41" s="88"/>
      <c r="AVU41" s="88"/>
      <c r="AVV41" s="88"/>
      <c r="AVW41" s="88"/>
      <c r="AVX41" s="88"/>
      <c r="AVY41" s="88"/>
      <c r="AVZ41" s="88"/>
      <c r="AWA41" s="88"/>
      <c r="AWB41" s="88"/>
      <c r="AWC41" s="88"/>
      <c r="AWD41" s="88"/>
      <c r="AWE41" s="88"/>
      <c r="AWF41" s="88"/>
      <c r="AWG41" s="88"/>
      <c r="AWH41" s="88"/>
      <c r="AWI41" s="88"/>
      <c r="AWJ41" s="88"/>
      <c r="AWK41" s="88"/>
      <c r="AWL41" s="88"/>
      <c r="AWM41" s="88"/>
      <c r="AWN41" s="88"/>
      <c r="AWO41" s="88"/>
      <c r="AWP41" s="88"/>
      <c r="AWQ41" s="88"/>
      <c r="AWR41" s="88"/>
      <c r="AWS41" s="88"/>
      <c r="AWT41" s="88"/>
      <c r="AWU41" s="88"/>
      <c r="AWV41" s="88"/>
      <c r="AWW41" s="88"/>
      <c r="AWX41" s="88"/>
      <c r="AWY41" s="88"/>
      <c r="AWZ41" s="88"/>
      <c r="AXA41" s="88"/>
      <c r="AXB41" s="88"/>
      <c r="AXC41" s="88"/>
      <c r="AXD41" s="88"/>
      <c r="AXE41" s="88"/>
      <c r="AXF41" s="88"/>
      <c r="AXG41" s="88"/>
      <c r="AXH41" s="88"/>
      <c r="AXI41" s="88"/>
      <c r="AXJ41" s="88"/>
      <c r="AXK41" s="88"/>
      <c r="AXL41" s="88"/>
      <c r="AXM41" s="88"/>
      <c r="AXN41" s="88"/>
      <c r="AXO41" s="88"/>
      <c r="AXP41" s="88"/>
      <c r="AXQ41" s="88"/>
      <c r="AXR41" s="88"/>
      <c r="AXS41" s="88"/>
      <c r="AXT41" s="88"/>
      <c r="AXU41" s="88"/>
      <c r="AXV41" s="88"/>
      <c r="AXW41" s="88"/>
      <c r="AXX41" s="88"/>
      <c r="AXY41" s="88"/>
      <c r="AXZ41" s="88"/>
      <c r="AYA41" s="88"/>
      <c r="AYB41" s="88"/>
      <c r="AYC41" s="88"/>
      <c r="AYD41" s="88"/>
      <c r="AYE41" s="88"/>
      <c r="AYF41" s="88"/>
      <c r="AYG41" s="88"/>
      <c r="AYH41" s="88"/>
      <c r="AYI41" s="88"/>
      <c r="AYJ41" s="88"/>
      <c r="AYK41" s="88"/>
      <c r="AYL41" s="88"/>
      <c r="AYM41" s="88"/>
      <c r="AYN41" s="88"/>
      <c r="AYO41" s="88"/>
      <c r="AYP41" s="88"/>
      <c r="AYQ41" s="88"/>
      <c r="AYR41" s="88"/>
      <c r="AYS41" s="88"/>
      <c r="AYT41" s="88"/>
      <c r="AYU41" s="88"/>
      <c r="AYV41" s="88"/>
      <c r="AYW41" s="88"/>
      <c r="AYX41" s="88"/>
      <c r="AYY41" s="88"/>
      <c r="AYZ41" s="88"/>
      <c r="AZA41" s="88"/>
      <c r="AZB41" s="88"/>
      <c r="AZC41" s="88"/>
      <c r="AZD41" s="88"/>
      <c r="AZE41" s="88"/>
      <c r="AZF41" s="88"/>
      <c r="AZG41" s="88"/>
      <c r="AZH41" s="88"/>
      <c r="AZI41" s="88"/>
      <c r="AZJ41" s="88"/>
      <c r="AZK41" s="88"/>
      <c r="AZL41" s="88"/>
      <c r="AZM41" s="88"/>
      <c r="AZN41" s="88"/>
      <c r="AZO41" s="88"/>
      <c r="AZP41" s="88"/>
      <c r="AZQ41" s="88"/>
      <c r="AZR41" s="88"/>
      <c r="AZS41" s="88"/>
      <c r="AZT41" s="88"/>
      <c r="AZU41" s="88"/>
      <c r="AZV41" s="88"/>
      <c r="AZW41" s="88"/>
      <c r="AZX41" s="88"/>
      <c r="AZY41" s="88"/>
      <c r="AZZ41" s="88"/>
      <c r="BAA41" s="88"/>
      <c r="BAB41" s="88"/>
      <c r="BAC41" s="88"/>
      <c r="BAD41" s="88"/>
      <c r="BAE41" s="88"/>
      <c r="BAF41" s="88"/>
      <c r="BAG41" s="88"/>
      <c r="BAH41" s="88"/>
      <c r="BAI41" s="88"/>
      <c r="BAJ41" s="88"/>
      <c r="BAK41" s="88"/>
      <c r="BAL41" s="88"/>
      <c r="BAM41" s="88"/>
      <c r="BAN41" s="88"/>
      <c r="BAO41" s="88"/>
      <c r="BAP41" s="88"/>
      <c r="BAQ41" s="88"/>
      <c r="BAR41" s="88"/>
      <c r="BAS41" s="88"/>
      <c r="BAT41" s="88"/>
      <c r="BAU41" s="88"/>
      <c r="BAV41" s="88"/>
      <c r="BAW41" s="88"/>
      <c r="BAX41" s="88"/>
      <c r="BAY41" s="88"/>
      <c r="BAZ41" s="88"/>
      <c r="BBA41" s="88"/>
      <c r="BBB41" s="88"/>
      <c r="BBC41" s="88"/>
      <c r="BBD41" s="88"/>
      <c r="BBE41" s="88"/>
      <c r="BBF41" s="88"/>
      <c r="BBG41" s="88"/>
      <c r="BBH41" s="88"/>
      <c r="BBI41" s="88"/>
      <c r="BBJ41" s="88"/>
      <c r="BBK41" s="88"/>
      <c r="BBL41" s="88"/>
      <c r="BBM41" s="88"/>
      <c r="BBN41" s="88"/>
      <c r="BBO41" s="88"/>
      <c r="BBP41" s="88"/>
      <c r="BBQ41" s="88"/>
      <c r="BBR41" s="88"/>
      <c r="BBS41" s="88"/>
      <c r="BBT41" s="88"/>
      <c r="BBU41" s="88"/>
      <c r="BBV41" s="88"/>
      <c r="BBW41" s="88"/>
      <c r="BBX41" s="88"/>
      <c r="BBY41" s="88"/>
      <c r="BBZ41" s="88"/>
      <c r="BCA41" s="88"/>
      <c r="BCB41" s="88"/>
      <c r="BCC41" s="88"/>
      <c r="BCD41" s="88"/>
      <c r="BCE41" s="88"/>
      <c r="BCF41" s="88"/>
      <c r="BCG41" s="88"/>
      <c r="BCH41" s="88"/>
      <c r="BCI41" s="88"/>
      <c r="BCJ41" s="88"/>
      <c r="BCK41" s="88"/>
      <c r="BCL41" s="88"/>
      <c r="BCM41" s="88"/>
      <c r="BCN41" s="88"/>
      <c r="BCO41" s="88"/>
      <c r="BCP41" s="88"/>
      <c r="BCQ41" s="88"/>
      <c r="BCR41" s="88"/>
      <c r="BCS41" s="88"/>
      <c r="BCT41" s="88"/>
      <c r="BCU41" s="88"/>
      <c r="BCV41" s="88"/>
      <c r="BCW41" s="88"/>
      <c r="BCX41" s="88"/>
      <c r="BCY41" s="88"/>
      <c r="BCZ41" s="88"/>
      <c r="BDA41" s="88"/>
      <c r="BDB41" s="88"/>
      <c r="BDC41" s="88"/>
      <c r="BDD41" s="88"/>
      <c r="BDE41" s="88"/>
      <c r="BDF41" s="88"/>
      <c r="BDG41" s="88"/>
      <c r="BDH41" s="88"/>
      <c r="BDI41" s="88"/>
      <c r="BDJ41" s="88"/>
      <c r="BDK41" s="88"/>
      <c r="BDL41" s="88"/>
      <c r="BDM41" s="88"/>
      <c r="BDN41" s="88"/>
      <c r="BDO41" s="88"/>
      <c r="BDP41" s="88"/>
      <c r="BDQ41" s="88"/>
      <c r="BDR41" s="88"/>
      <c r="BDS41" s="88"/>
      <c r="BDT41" s="88"/>
      <c r="BDU41" s="88"/>
      <c r="BDV41" s="88"/>
      <c r="BDW41" s="88"/>
      <c r="BDX41" s="88"/>
      <c r="BDY41" s="88"/>
      <c r="BDZ41" s="88"/>
      <c r="BEA41" s="88"/>
      <c r="BEB41" s="88"/>
      <c r="BEC41" s="88"/>
      <c r="BED41" s="88"/>
      <c r="BEE41" s="88"/>
      <c r="BEF41" s="88"/>
      <c r="BEG41" s="88"/>
      <c r="BEH41" s="88"/>
      <c r="BEI41" s="88"/>
      <c r="BEJ41" s="88"/>
      <c r="BEK41" s="88"/>
      <c r="BEL41" s="88"/>
      <c r="BEM41" s="88"/>
      <c r="BEN41" s="88"/>
      <c r="BEO41" s="88"/>
      <c r="BEP41" s="88"/>
      <c r="BEQ41" s="88"/>
      <c r="BER41" s="88"/>
      <c r="BES41" s="88"/>
      <c r="BET41" s="88"/>
      <c r="BEU41" s="88"/>
      <c r="BEV41" s="88"/>
      <c r="BEW41" s="88"/>
      <c r="BEX41" s="88"/>
      <c r="BEY41" s="88"/>
      <c r="BEZ41" s="88"/>
      <c r="BFA41" s="88"/>
      <c r="BFB41" s="88"/>
      <c r="BFC41" s="88"/>
      <c r="BFD41" s="88"/>
      <c r="BFE41" s="88"/>
      <c r="BFF41" s="88"/>
      <c r="BFG41" s="88"/>
      <c r="BFH41" s="88"/>
      <c r="BFI41" s="88"/>
      <c r="BFJ41" s="88"/>
      <c r="BFK41" s="88"/>
      <c r="BFL41" s="88"/>
      <c r="BFM41" s="88"/>
      <c r="BFN41" s="88"/>
      <c r="BFO41" s="88"/>
      <c r="BFP41" s="88"/>
      <c r="BFQ41" s="88"/>
      <c r="BFR41" s="88"/>
      <c r="BFS41" s="88"/>
      <c r="BFT41" s="88"/>
      <c r="BFU41" s="88"/>
      <c r="BFV41" s="88"/>
      <c r="BFW41" s="88"/>
      <c r="BFX41" s="88"/>
      <c r="BFY41" s="88"/>
      <c r="BFZ41" s="88"/>
      <c r="BGA41" s="88"/>
      <c r="BGB41" s="88"/>
      <c r="BGC41" s="88"/>
      <c r="BGD41" s="88"/>
      <c r="BGE41" s="88"/>
      <c r="BGF41" s="88"/>
      <c r="BGG41" s="88"/>
      <c r="BGH41" s="88"/>
      <c r="BGI41" s="88"/>
      <c r="BGJ41" s="88"/>
      <c r="BGK41" s="88"/>
      <c r="BGL41" s="88"/>
      <c r="BGM41" s="88"/>
      <c r="BGN41" s="88"/>
      <c r="BGO41" s="88"/>
      <c r="BGP41" s="88"/>
      <c r="BGQ41" s="88"/>
      <c r="BGR41" s="88"/>
      <c r="BGS41" s="88"/>
      <c r="BGT41" s="88"/>
      <c r="BGU41" s="88"/>
      <c r="BGV41" s="88"/>
      <c r="BGW41" s="88"/>
      <c r="BGX41" s="88"/>
      <c r="BGY41" s="88"/>
      <c r="BGZ41" s="88"/>
      <c r="BHA41" s="88"/>
      <c r="BHB41" s="88"/>
      <c r="BHC41" s="88"/>
      <c r="BHD41" s="88"/>
      <c r="BHE41" s="88"/>
      <c r="BHF41" s="88"/>
      <c r="BHG41" s="88"/>
      <c r="BHH41" s="88"/>
      <c r="BHI41" s="88"/>
      <c r="BHJ41" s="88"/>
      <c r="BHK41" s="88"/>
      <c r="BHL41" s="88"/>
      <c r="BHM41" s="88"/>
      <c r="BHN41" s="88"/>
      <c r="BHO41" s="88"/>
      <c r="BHP41" s="88"/>
      <c r="BHQ41" s="88"/>
      <c r="BHR41" s="88"/>
      <c r="BHS41" s="88"/>
      <c r="BHT41" s="88"/>
      <c r="BHU41" s="88"/>
      <c r="BHV41" s="88"/>
      <c r="BHW41" s="88"/>
      <c r="BHX41" s="88"/>
      <c r="BHY41" s="88"/>
      <c r="BHZ41" s="88"/>
      <c r="BIA41" s="88"/>
      <c r="BIB41" s="88"/>
      <c r="BIC41" s="88"/>
      <c r="BID41" s="88"/>
      <c r="BIE41" s="88"/>
      <c r="BIF41" s="88"/>
      <c r="BIG41" s="88"/>
      <c r="BIH41" s="88"/>
      <c r="BII41" s="88"/>
      <c r="BIJ41" s="88"/>
      <c r="BIK41" s="88"/>
      <c r="BIL41" s="88"/>
      <c r="BIM41" s="88"/>
      <c r="BIN41" s="88"/>
      <c r="BIO41" s="88"/>
      <c r="BIP41" s="88"/>
      <c r="BIQ41" s="88"/>
      <c r="BIR41" s="88"/>
      <c r="BIS41" s="88"/>
      <c r="BIT41" s="88"/>
      <c r="BIU41" s="88"/>
      <c r="BIV41" s="88"/>
      <c r="BIW41" s="88"/>
      <c r="BIX41" s="88"/>
      <c r="BIY41" s="88"/>
      <c r="BIZ41" s="88"/>
      <c r="BJA41" s="88"/>
      <c r="BJB41" s="88"/>
      <c r="BJC41" s="88"/>
      <c r="BJD41" s="88"/>
      <c r="BJE41" s="88"/>
      <c r="BJF41" s="88"/>
      <c r="BJG41" s="88"/>
      <c r="BJH41" s="88"/>
      <c r="BJI41" s="88"/>
      <c r="BJJ41" s="88"/>
      <c r="BJK41" s="88"/>
      <c r="BJL41" s="88"/>
      <c r="BJM41" s="88"/>
      <c r="BJN41" s="88"/>
      <c r="BJO41" s="88"/>
      <c r="BJP41" s="88"/>
      <c r="BJQ41" s="88"/>
      <c r="BJR41" s="88"/>
      <c r="BJS41" s="88"/>
      <c r="BJT41" s="88"/>
      <c r="BJU41" s="88"/>
      <c r="BJV41" s="88"/>
      <c r="BJW41" s="88"/>
      <c r="BJX41" s="88"/>
      <c r="BJY41" s="88"/>
      <c r="BJZ41" s="88"/>
      <c r="BKA41" s="88"/>
      <c r="BKB41" s="88"/>
      <c r="BKC41" s="88"/>
      <c r="BKD41" s="88"/>
      <c r="BKE41" s="88"/>
      <c r="BKF41" s="88"/>
      <c r="BKG41" s="88"/>
      <c r="BKH41" s="88"/>
      <c r="BKI41" s="88"/>
      <c r="BKJ41" s="88"/>
      <c r="BKK41" s="88"/>
      <c r="BKL41" s="88"/>
      <c r="BKM41" s="88"/>
      <c r="BKN41" s="88"/>
      <c r="BKO41" s="88"/>
      <c r="BKP41" s="88"/>
      <c r="BKQ41" s="88"/>
      <c r="BKR41" s="88"/>
      <c r="BKS41" s="88"/>
      <c r="BKT41" s="88"/>
      <c r="BKU41" s="88"/>
      <c r="BKV41" s="88"/>
      <c r="BKW41" s="88"/>
      <c r="BKX41" s="88"/>
      <c r="BKY41" s="88"/>
      <c r="BKZ41" s="88"/>
      <c r="BLA41" s="88"/>
      <c r="BLB41" s="88"/>
      <c r="BLC41" s="88"/>
      <c r="BLD41" s="88"/>
      <c r="BLE41" s="88"/>
      <c r="BLF41" s="88"/>
      <c r="BLG41" s="88"/>
      <c r="BLH41" s="88"/>
      <c r="BLI41" s="88"/>
      <c r="BLJ41" s="88"/>
      <c r="BLK41" s="88"/>
      <c r="BLL41" s="88"/>
      <c r="BLM41" s="88"/>
      <c r="BLN41" s="88"/>
      <c r="BLO41" s="88"/>
      <c r="BLP41" s="88"/>
      <c r="BLQ41" s="88"/>
      <c r="BLR41" s="88"/>
      <c r="BLS41" s="88"/>
      <c r="BLT41" s="88"/>
      <c r="BLU41" s="88"/>
      <c r="BLV41" s="88"/>
      <c r="BLW41" s="88"/>
      <c r="BLX41" s="88"/>
      <c r="BLY41" s="88"/>
      <c r="BLZ41" s="88"/>
      <c r="BMA41" s="88"/>
      <c r="BMB41" s="88"/>
      <c r="BMC41" s="88"/>
      <c r="BMD41" s="88"/>
      <c r="BME41" s="88"/>
      <c r="BMF41" s="88"/>
      <c r="BMG41" s="88"/>
      <c r="BMH41" s="88"/>
      <c r="BMI41" s="88"/>
      <c r="BMJ41" s="88"/>
      <c r="BMK41" s="88"/>
      <c r="BML41" s="88"/>
      <c r="BMM41" s="88"/>
      <c r="BMN41" s="88"/>
      <c r="BMO41" s="88"/>
      <c r="BMP41" s="88"/>
      <c r="BMQ41" s="88"/>
      <c r="BMR41" s="88"/>
      <c r="BMS41" s="88"/>
      <c r="BMT41" s="88"/>
      <c r="BMU41" s="88"/>
      <c r="BMV41" s="88"/>
      <c r="BMW41" s="88"/>
      <c r="BMX41" s="88"/>
      <c r="BMY41" s="88"/>
      <c r="BMZ41" s="88"/>
      <c r="BNA41" s="88"/>
      <c r="BNB41" s="88"/>
      <c r="BNC41" s="88"/>
      <c r="BND41" s="88"/>
      <c r="BNE41" s="88"/>
      <c r="BNF41" s="88"/>
      <c r="BNG41" s="88"/>
      <c r="BNH41" s="88"/>
      <c r="BNI41" s="88"/>
      <c r="BNJ41" s="88"/>
      <c r="BNK41" s="88"/>
      <c r="BNL41" s="88"/>
      <c r="BNM41" s="88"/>
      <c r="BNN41" s="88"/>
      <c r="BNO41" s="88"/>
      <c r="BNP41" s="88"/>
      <c r="BNQ41" s="88"/>
      <c r="BNR41" s="88"/>
      <c r="BNS41" s="88"/>
      <c r="BNT41" s="88"/>
      <c r="BNU41" s="88"/>
      <c r="BNV41" s="88"/>
      <c r="BNW41" s="88"/>
      <c r="BNX41" s="88"/>
      <c r="BNY41" s="88"/>
      <c r="BNZ41" s="88"/>
      <c r="BOA41" s="88"/>
      <c r="BOB41" s="88"/>
      <c r="BOC41" s="88"/>
      <c r="BOD41" s="88"/>
      <c r="BOE41" s="88"/>
      <c r="BOF41" s="88"/>
      <c r="BOG41" s="88"/>
      <c r="BOH41" s="88"/>
      <c r="BOI41" s="88"/>
      <c r="BOJ41" s="88"/>
      <c r="BOK41" s="88"/>
      <c r="BOL41" s="88"/>
      <c r="BOM41" s="88"/>
      <c r="BON41" s="88"/>
      <c r="BOO41" s="88"/>
      <c r="BOP41" s="88"/>
      <c r="BOQ41" s="88"/>
      <c r="BOR41" s="88"/>
      <c r="BOS41" s="88"/>
      <c r="BOT41" s="88"/>
      <c r="BOU41" s="88"/>
      <c r="BOV41" s="88"/>
      <c r="BOW41" s="88"/>
      <c r="BOX41" s="88"/>
      <c r="BOY41" s="88"/>
      <c r="BOZ41" s="88"/>
      <c r="BPA41" s="88"/>
      <c r="BPB41" s="88"/>
      <c r="BPC41" s="88"/>
      <c r="BPD41" s="88"/>
      <c r="BPE41" s="88"/>
      <c r="BPF41" s="88"/>
      <c r="BPG41" s="88"/>
      <c r="BPH41" s="88"/>
      <c r="BPI41" s="88"/>
      <c r="BPJ41" s="88"/>
      <c r="BPK41" s="88"/>
      <c r="BPL41" s="88"/>
      <c r="BPM41" s="88"/>
      <c r="BPN41" s="88"/>
      <c r="BPO41" s="88"/>
      <c r="BPP41" s="88"/>
      <c r="BPQ41" s="88"/>
      <c r="BPR41" s="88"/>
      <c r="BPS41" s="88"/>
      <c r="BPT41" s="88"/>
      <c r="BPU41" s="88"/>
      <c r="BPV41" s="88"/>
      <c r="BPW41" s="88"/>
      <c r="BPX41" s="88"/>
      <c r="BPY41" s="88"/>
      <c r="BPZ41" s="88"/>
      <c r="BQA41" s="88"/>
      <c r="BQB41" s="88"/>
      <c r="BQC41" s="88"/>
      <c r="BQD41" s="88"/>
      <c r="BQE41" s="88"/>
      <c r="BQF41" s="88"/>
      <c r="BQG41" s="88"/>
      <c r="BQH41" s="88"/>
      <c r="BQI41" s="88"/>
      <c r="BQJ41" s="88"/>
      <c r="BQK41" s="88"/>
      <c r="BQL41" s="88"/>
      <c r="BQM41" s="88"/>
      <c r="BQN41" s="88"/>
      <c r="BQO41" s="88"/>
      <c r="BQP41" s="88"/>
      <c r="BQQ41" s="88"/>
      <c r="BQR41" s="88"/>
      <c r="BQS41" s="88"/>
      <c r="BQT41" s="88"/>
      <c r="BQU41" s="88"/>
      <c r="BQV41" s="88"/>
      <c r="BQW41" s="88"/>
      <c r="BQX41" s="88"/>
      <c r="BQY41" s="88"/>
      <c r="BQZ41" s="88"/>
      <c r="BRA41" s="88"/>
      <c r="BRB41" s="88"/>
      <c r="BRC41" s="88"/>
      <c r="BRD41" s="88"/>
      <c r="BRE41" s="88"/>
      <c r="BRF41" s="88"/>
      <c r="BRG41" s="88"/>
      <c r="BRH41" s="88"/>
      <c r="BRI41" s="88"/>
      <c r="BRJ41" s="88"/>
      <c r="BRK41" s="88"/>
      <c r="BRL41" s="88"/>
      <c r="BRM41" s="88"/>
      <c r="BRN41" s="88"/>
      <c r="BRO41" s="88"/>
      <c r="BRP41" s="88"/>
      <c r="BRQ41" s="88"/>
      <c r="BRR41" s="88"/>
      <c r="BRS41" s="88"/>
      <c r="BRT41" s="88"/>
      <c r="BRU41" s="88"/>
      <c r="BRV41" s="88"/>
      <c r="BRW41" s="88"/>
      <c r="BRX41" s="88"/>
      <c r="BRY41" s="88"/>
      <c r="BRZ41" s="88"/>
      <c r="BSA41" s="88"/>
      <c r="BSB41" s="88"/>
      <c r="BSC41" s="88"/>
      <c r="BSD41" s="88"/>
      <c r="BSE41" s="88"/>
      <c r="BSF41" s="88"/>
      <c r="BSG41" s="88"/>
      <c r="BSH41" s="88"/>
      <c r="BSI41" s="88"/>
      <c r="BSJ41" s="88"/>
      <c r="BSK41" s="88"/>
      <c r="BSL41" s="88"/>
      <c r="BSM41" s="88"/>
      <c r="BSN41" s="88"/>
      <c r="BSO41" s="88"/>
      <c r="BSP41" s="88"/>
      <c r="BSQ41" s="88"/>
      <c r="BSR41" s="88"/>
      <c r="BSS41" s="88"/>
      <c r="BST41" s="88"/>
      <c r="BSU41" s="88"/>
      <c r="BSV41" s="88"/>
      <c r="BSW41" s="88"/>
      <c r="BSX41" s="88"/>
      <c r="BSY41" s="88"/>
      <c r="BSZ41" s="88"/>
      <c r="BTA41" s="88"/>
      <c r="BTB41" s="88"/>
      <c r="BTC41" s="88"/>
      <c r="BTD41" s="88"/>
      <c r="BTE41" s="88"/>
      <c r="BTF41" s="88"/>
      <c r="BTG41" s="88"/>
      <c r="BTH41" s="88"/>
      <c r="BTI41" s="88"/>
      <c r="BTJ41" s="88"/>
      <c r="BTK41" s="88"/>
      <c r="BTL41" s="88"/>
      <c r="BTM41" s="88"/>
      <c r="BTN41" s="88"/>
      <c r="BTO41" s="88"/>
      <c r="BTP41" s="88"/>
      <c r="BTQ41" s="88"/>
      <c r="BTR41" s="88"/>
      <c r="BTS41" s="88"/>
      <c r="BTT41" s="88"/>
      <c r="BTU41" s="88"/>
      <c r="BTV41" s="88"/>
      <c r="BTW41" s="88"/>
      <c r="BTX41" s="88"/>
      <c r="BTY41" s="88"/>
      <c r="BTZ41" s="88"/>
      <c r="BUA41" s="88"/>
      <c r="BUB41" s="88"/>
      <c r="BUC41" s="88"/>
      <c r="BUD41" s="88"/>
      <c r="BUE41" s="88"/>
      <c r="BUF41" s="88"/>
      <c r="BUG41" s="88"/>
      <c r="BUH41" s="88"/>
      <c r="BUI41" s="88"/>
      <c r="BUJ41" s="88"/>
      <c r="BUK41" s="88"/>
      <c r="BUL41" s="88"/>
      <c r="BUM41" s="88"/>
      <c r="BUN41" s="88"/>
      <c r="BUO41" s="88"/>
      <c r="BUP41" s="88"/>
      <c r="BUQ41" s="88"/>
      <c r="BUR41" s="88"/>
      <c r="BUS41" s="88"/>
      <c r="BUT41" s="88"/>
      <c r="BUU41" s="88"/>
      <c r="BUV41" s="88"/>
      <c r="BUW41" s="88"/>
      <c r="BUX41" s="88"/>
      <c r="BUY41" s="88"/>
      <c r="BUZ41" s="88"/>
      <c r="BVA41" s="88"/>
      <c r="BVB41" s="88"/>
      <c r="BVC41" s="88"/>
      <c r="BVD41" s="88"/>
      <c r="BVE41" s="88"/>
      <c r="BVF41" s="88"/>
      <c r="BVG41" s="88"/>
      <c r="BVH41" s="88"/>
      <c r="BVI41" s="88"/>
      <c r="BVJ41" s="88"/>
      <c r="BVK41" s="88"/>
      <c r="BVL41" s="88"/>
      <c r="BVM41" s="88"/>
      <c r="BVN41" s="88"/>
      <c r="BVO41" s="88"/>
      <c r="BVP41" s="88"/>
      <c r="BVQ41" s="88"/>
      <c r="BVR41" s="88"/>
      <c r="BVS41" s="88"/>
      <c r="BVT41" s="88"/>
      <c r="BVU41" s="88"/>
      <c r="BVV41" s="88"/>
      <c r="BVW41" s="88"/>
      <c r="BVX41" s="88"/>
      <c r="BVY41" s="88"/>
      <c r="BVZ41" s="88"/>
      <c r="BWA41" s="88"/>
      <c r="BWB41" s="88"/>
      <c r="BWC41" s="88"/>
      <c r="BWD41" s="88"/>
      <c r="BWE41" s="88"/>
      <c r="BWF41" s="88"/>
      <c r="BWG41" s="88"/>
      <c r="BWH41" s="88"/>
      <c r="BWI41" s="88"/>
      <c r="BWJ41" s="88"/>
      <c r="BWK41" s="88"/>
      <c r="BWL41" s="88"/>
      <c r="BWM41" s="88"/>
      <c r="BWN41" s="88"/>
      <c r="BWO41" s="88"/>
      <c r="BWP41" s="88"/>
      <c r="BWQ41" s="88"/>
      <c r="BWR41" s="88"/>
      <c r="BWS41" s="88"/>
      <c r="BWT41" s="88"/>
      <c r="BWU41" s="88"/>
      <c r="BWV41" s="88"/>
      <c r="BWW41" s="88"/>
      <c r="BWX41" s="88"/>
      <c r="BWY41" s="88"/>
      <c r="BWZ41" s="88"/>
      <c r="BXA41" s="88"/>
      <c r="BXB41" s="88"/>
      <c r="BXC41" s="88"/>
      <c r="BXD41" s="88"/>
      <c r="BXE41" s="88"/>
      <c r="BXF41" s="88"/>
      <c r="BXG41" s="88"/>
      <c r="BXH41" s="88"/>
      <c r="BXI41" s="88"/>
      <c r="BXJ41" s="88"/>
      <c r="BXK41" s="88"/>
      <c r="BXL41" s="88"/>
      <c r="BXM41" s="88"/>
      <c r="BXN41" s="88"/>
      <c r="BXO41" s="88"/>
      <c r="BXP41" s="88"/>
      <c r="BXQ41" s="88"/>
      <c r="BXR41" s="88"/>
      <c r="BXS41" s="88"/>
      <c r="BXT41" s="88"/>
      <c r="BXU41" s="88"/>
      <c r="BXV41" s="88"/>
      <c r="BXW41" s="88"/>
      <c r="BXX41" s="88"/>
      <c r="BXY41" s="88"/>
      <c r="BXZ41" s="88"/>
      <c r="BYA41" s="88"/>
      <c r="BYB41" s="88"/>
      <c r="BYC41" s="88"/>
      <c r="BYD41" s="88"/>
      <c r="BYE41" s="88"/>
      <c r="BYF41" s="88"/>
      <c r="BYG41" s="88"/>
      <c r="BYH41" s="88"/>
      <c r="BYI41" s="88"/>
      <c r="BYJ41" s="88"/>
      <c r="BYK41" s="88"/>
      <c r="BYL41" s="88"/>
      <c r="BYM41" s="88"/>
      <c r="BYN41" s="88"/>
      <c r="BYO41" s="88"/>
      <c r="BYP41" s="88"/>
      <c r="BYQ41" s="88"/>
      <c r="BYR41" s="88"/>
      <c r="BYS41" s="88"/>
      <c r="BYT41" s="88"/>
      <c r="BYU41" s="88"/>
      <c r="BYV41" s="88"/>
      <c r="BYW41" s="88"/>
      <c r="BYX41" s="88"/>
      <c r="BYY41" s="88"/>
      <c r="BYZ41" s="88"/>
      <c r="BZA41" s="88"/>
      <c r="BZB41" s="88"/>
      <c r="BZC41" s="88"/>
      <c r="BZD41" s="88"/>
      <c r="BZE41" s="88"/>
      <c r="BZF41" s="88"/>
      <c r="BZG41" s="88"/>
      <c r="BZH41" s="88"/>
      <c r="BZI41" s="88"/>
      <c r="BZJ41" s="88"/>
      <c r="BZK41" s="88"/>
      <c r="BZL41" s="88"/>
      <c r="BZM41" s="88"/>
      <c r="BZN41" s="88"/>
      <c r="BZO41" s="88"/>
      <c r="BZP41" s="88"/>
      <c r="BZQ41" s="88"/>
      <c r="BZR41" s="88"/>
      <c r="BZS41" s="88"/>
      <c r="BZT41" s="88"/>
      <c r="BZU41" s="88"/>
      <c r="BZV41" s="88"/>
      <c r="BZW41" s="88"/>
      <c r="BZX41" s="88"/>
      <c r="BZY41" s="88"/>
      <c r="BZZ41" s="88"/>
      <c r="CAA41" s="88"/>
      <c r="CAB41" s="88"/>
      <c r="CAC41" s="88"/>
      <c r="CAD41" s="88"/>
      <c r="CAE41" s="88"/>
      <c r="CAF41" s="88"/>
      <c r="CAG41" s="88"/>
      <c r="CAH41" s="88"/>
      <c r="CAI41" s="88"/>
      <c r="CAJ41" s="88"/>
      <c r="CAK41" s="88"/>
      <c r="CAL41" s="88"/>
      <c r="CAM41" s="88"/>
      <c r="CAN41" s="88"/>
      <c r="CAO41" s="88"/>
      <c r="CAP41" s="88"/>
      <c r="CAQ41" s="88"/>
      <c r="CAR41" s="88"/>
      <c r="CAS41" s="88"/>
      <c r="CAT41" s="88"/>
      <c r="CAU41" s="88"/>
      <c r="CAV41" s="88"/>
      <c r="CAW41" s="88"/>
      <c r="CAX41" s="88"/>
      <c r="CAY41" s="88"/>
      <c r="CAZ41" s="88"/>
      <c r="CBA41" s="88"/>
      <c r="CBB41" s="88"/>
      <c r="CBC41" s="88"/>
      <c r="CBD41" s="88"/>
      <c r="CBE41" s="88"/>
      <c r="CBF41" s="88"/>
      <c r="CBG41" s="88"/>
      <c r="CBH41" s="88"/>
      <c r="CBI41" s="88"/>
      <c r="CBJ41" s="88"/>
      <c r="CBK41" s="88"/>
      <c r="CBL41" s="88"/>
      <c r="CBM41" s="88"/>
      <c r="CBN41" s="88"/>
      <c r="CBO41" s="88"/>
      <c r="CBP41" s="88"/>
      <c r="CBQ41" s="88"/>
      <c r="CBR41" s="88"/>
      <c r="CBS41" s="88"/>
      <c r="CBT41" s="88"/>
      <c r="CBU41" s="88"/>
      <c r="CBV41" s="88"/>
      <c r="CBW41" s="88"/>
      <c r="CBX41" s="88"/>
      <c r="CBY41" s="88"/>
      <c r="CBZ41" s="88"/>
      <c r="CCA41" s="88"/>
      <c r="CCB41" s="88"/>
      <c r="CCC41" s="88"/>
      <c r="CCD41" s="88"/>
      <c r="CCE41" s="88"/>
      <c r="CCF41" s="88"/>
      <c r="CCG41" s="88"/>
      <c r="CCH41" s="88"/>
      <c r="CCI41" s="88"/>
      <c r="CCJ41" s="88"/>
      <c r="CCK41" s="88"/>
      <c r="CCL41" s="88"/>
      <c r="CCM41" s="88"/>
      <c r="CCN41" s="88"/>
      <c r="CCO41" s="88"/>
      <c r="CCP41" s="88"/>
      <c r="CCQ41" s="88"/>
      <c r="CCR41" s="88"/>
      <c r="CCS41" s="88"/>
      <c r="CCT41" s="88"/>
      <c r="CCU41" s="88"/>
      <c r="CCV41" s="88"/>
      <c r="CCW41" s="88"/>
      <c r="CCX41" s="88"/>
      <c r="CCY41" s="88"/>
      <c r="CCZ41" s="88"/>
      <c r="CDA41" s="88"/>
      <c r="CDB41" s="88"/>
      <c r="CDC41" s="88"/>
      <c r="CDD41" s="88"/>
      <c r="CDE41" s="88"/>
      <c r="CDF41" s="88"/>
      <c r="CDG41" s="88"/>
      <c r="CDH41" s="88"/>
      <c r="CDI41" s="88"/>
      <c r="CDJ41" s="88"/>
      <c r="CDK41" s="88"/>
      <c r="CDL41" s="88"/>
      <c r="CDM41" s="88"/>
      <c r="CDN41" s="88"/>
      <c r="CDO41" s="88"/>
      <c r="CDP41" s="88"/>
      <c r="CDQ41" s="88"/>
      <c r="CDR41" s="88"/>
      <c r="CDS41" s="88"/>
      <c r="CDT41" s="88"/>
      <c r="CDU41" s="88"/>
      <c r="CDV41" s="88"/>
      <c r="CDW41" s="88"/>
      <c r="CDX41" s="88"/>
      <c r="CDY41" s="88"/>
      <c r="CDZ41" s="88"/>
      <c r="CEA41" s="88"/>
      <c r="CEB41" s="88"/>
      <c r="CEC41" s="88"/>
      <c r="CED41" s="88"/>
      <c r="CEE41" s="88"/>
      <c r="CEF41" s="88"/>
      <c r="CEG41" s="88"/>
      <c r="CEH41" s="88"/>
      <c r="CEI41" s="88"/>
      <c r="CEJ41" s="88"/>
      <c r="CEK41" s="88"/>
    </row>
    <row r="42" spans="1:2169" s="63" customFormat="1">
      <c r="A42" s="68" t="s">
        <v>415</v>
      </c>
      <c r="B42" s="71" t="s">
        <v>74</v>
      </c>
      <c r="C42" s="68" t="str">
        <f>IF('page 2'!$O$4="","",IF('page 2'!$O$4=Gestion!A42,1,0))</f>
        <v/>
      </c>
      <c r="D42" s="68" t="str">
        <f>IF('page 2'!$O$5="","",IF('page 2'!$O$5=Gestion!A42,1,0))</f>
        <v/>
      </c>
      <c r="E42" s="68" t="str">
        <f>IF('page 2'!$O$6="","",IF('page 2'!$O$6=Gestion!A42,1,0))</f>
        <v/>
      </c>
      <c r="F42" s="68" t="str">
        <f>IF('page 2'!$O$7="","",IF('page 2'!$O$7=Gestion!A42,1,0))</f>
        <v/>
      </c>
      <c r="G42" s="68" t="str">
        <f>IF('page 2'!$O$8="","",IF('page 2'!$O$8=Gestion!A42,1,0))</f>
        <v/>
      </c>
      <c r="H42" s="68" t="str">
        <f>IF('page 2'!$O$9="","",IF('page 2'!$O$9=Gestion!A42,1,0))</f>
        <v/>
      </c>
      <c r="I42" s="68" t="str">
        <f>IF('page 2'!$O$10="","",IF('page 2'!$O$10=Gestion!A42,1,0))</f>
        <v/>
      </c>
      <c r="J42" s="68" t="str">
        <f>IF('page 2'!$O$11="","",IF('page 2'!$O$11=Gestion!A42,1,0))</f>
        <v/>
      </c>
      <c r="K42" s="68" t="str">
        <f>IF('page 2'!$O$12="","",IF('page 2'!$O$12=Gestion!A42,1,0))</f>
        <v/>
      </c>
      <c r="L42" s="68" t="str">
        <f>IF('page 2'!$O$13="","",IF('page 2'!$O$13=Gestion!A42,1,0))</f>
        <v/>
      </c>
      <c r="M42" s="68" t="str">
        <f>IF('page 2'!$O$14="","",IF('page 2'!$O$14=Gestion!A42,1,0))</f>
        <v/>
      </c>
      <c r="N42" s="68" t="str">
        <f>IF('page 2'!$O$15="","",IF('page 2'!$O$15=Gestion!A42,1,0))</f>
        <v/>
      </c>
      <c r="O42" s="68" t="str">
        <f>IF('page 2'!$O$16="","",IF('page 2'!$O$16=Gestion!A42,1,0))</f>
        <v/>
      </c>
      <c r="P42" s="68" t="str">
        <f>IF('page 2'!$O$17="","",IF('page 2'!$O$17=Gestion!A42,1,0))</f>
        <v/>
      </c>
      <c r="Q42" s="68" t="str">
        <f>IF('page 2'!$O$18="","",IF('page 2'!$O$18=Gestion!A42,1,0))</f>
        <v/>
      </c>
      <c r="R42" s="68" t="str">
        <f>IF('page 2'!$O$19="","",IF('page 2'!$O$19=Gestion!A42,1,0))</f>
        <v/>
      </c>
      <c r="S42" s="68" t="str">
        <f>IF('page 2'!$O$20="","",IF('page 2'!$O$20=Gestion!A42,1,0))</f>
        <v/>
      </c>
      <c r="T42" s="68" t="str">
        <f>IF('page 2'!$O$25="","",IF('page 2'!$O$25=Gestion!A42,1,0))</f>
        <v/>
      </c>
      <c r="U42" s="68" t="str">
        <f>IF('page 2'!$O$26="","",IF('page 2'!$O$26=Gestion!A42,1,0))</f>
        <v/>
      </c>
      <c r="V42" s="68" t="str">
        <f>IF('page 2'!$O$27="","",IF('page 2'!$O$27=Gestion!A42,1,0))</f>
        <v/>
      </c>
      <c r="W42" s="722">
        <f t="shared" si="0"/>
        <v>0</v>
      </c>
      <c r="X42" s="714"/>
      <c r="Y42" s="68"/>
      <c r="Z42" s="68"/>
      <c r="AA42" s="68"/>
      <c r="AB42" s="68"/>
      <c r="AC42" s="68"/>
      <c r="AD42" s="68"/>
      <c r="AP42" s="130"/>
      <c r="AQ42" s="130"/>
      <c r="AR42" s="130"/>
      <c r="AS42" s="603"/>
      <c r="AT42" s="603"/>
      <c r="AU42" s="603"/>
      <c r="AV42" s="603"/>
      <c r="AW42" s="603"/>
      <c r="AX42" s="603"/>
      <c r="AY42" s="603"/>
      <c r="AZ42" s="603"/>
      <c r="BA42" s="603"/>
      <c r="BB42" s="603"/>
      <c r="BC42" s="603"/>
      <c r="BD42" s="603"/>
      <c r="BE42" s="603"/>
      <c r="BF42" s="603"/>
      <c r="BG42" s="603"/>
      <c r="BH42" s="603"/>
      <c r="BI42" s="603"/>
      <c r="BJ42" s="603"/>
      <c r="BK42" s="603"/>
      <c r="BL42" s="603"/>
      <c r="BM42" s="603"/>
      <c r="BN42" s="603"/>
      <c r="BO42" s="603"/>
      <c r="BP42" s="603"/>
      <c r="BQ42" s="603"/>
      <c r="BR42" s="603"/>
      <c r="BS42" s="603"/>
      <c r="BT42" s="603"/>
      <c r="BU42" s="603"/>
      <c r="BV42" s="603"/>
      <c r="BW42" s="603"/>
      <c r="BX42" s="603"/>
      <c r="BY42" s="603"/>
      <c r="BZ42" s="603"/>
      <c r="CA42" s="603"/>
      <c r="CB42" s="603"/>
      <c r="CC42" s="603"/>
      <c r="CD42" s="838"/>
      <c r="CE42" s="603"/>
      <c r="CF42" s="603"/>
      <c r="CG42" s="603"/>
      <c r="CH42" s="603"/>
      <c r="CI42" s="603"/>
      <c r="CJ42" s="603"/>
      <c r="CK42" s="603"/>
      <c r="CL42" s="603"/>
      <c r="CM42" s="603"/>
      <c r="CN42" s="603"/>
      <c r="CO42" s="603"/>
      <c r="CP42" s="603"/>
      <c r="CQ42" s="603"/>
      <c r="CR42" s="603"/>
      <c r="CS42" s="603"/>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c r="IW42" s="88"/>
      <c r="IX42" s="88"/>
      <c r="IY42" s="88"/>
      <c r="IZ42" s="88"/>
      <c r="JA42" s="88"/>
      <c r="JB42" s="88"/>
      <c r="JC42" s="88"/>
      <c r="JD42" s="88"/>
      <c r="JE42" s="88"/>
      <c r="JF42" s="88"/>
      <c r="JG42" s="88"/>
      <c r="JH42" s="88"/>
      <c r="JI42" s="88"/>
      <c r="JJ42" s="88"/>
      <c r="JK42" s="88"/>
      <c r="JL42" s="88"/>
      <c r="JM42" s="88"/>
      <c r="JN42" s="88"/>
      <c r="JO42" s="88"/>
      <c r="JP42" s="88"/>
      <c r="JQ42" s="88"/>
      <c r="JR42" s="88"/>
      <c r="JS42" s="88"/>
      <c r="JT42" s="88"/>
      <c r="JU42" s="88"/>
      <c r="JV42" s="88"/>
      <c r="JW42" s="88"/>
      <c r="JX42" s="88"/>
      <c r="JY42" s="88"/>
      <c r="JZ42" s="88"/>
      <c r="KA42" s="88"/>
      <c r="KB42" s="88"/>
      <c r="KC42" s="88"/>
      <c r="KD42" s="88"/>
      <c r="KE42" s="88"/>
      <c r="KF42" s="88"/>
      <c r="KG42" s="88"/>
      <c r="KH42" s="88"/>
      <c r="KI42" s="88"/>
      <c r="KJ42" s="88"/>
      <c r="KK42" s="88"/>
      <c r="KL42" s="88"/>
      <c r="KM42" s="88"/>
      <c r="KN42" s="88"/>
      <c r="KO42" s="88"/>
      <c r="KP42" s="88"/>
      <c r="KQ42" s="88"/>
      <c r="KR42" s="88"/>
      <c r="KS42" s="88"/>
      <c r="KT42" s="88"/>
      <c r="KU42" s="88"/>
      <c r="KV42" s="88"/>
      <c r="KW42" s="88"/>
      <c r="KX42" s="88"/>
      <c r="KY42" s="88"/>
      <c r="KZ42" s="88"/>
      <c r="LA42" s="88"/>
      <c r="LB42" s="88"/>
      <c r="LC42" s="88"/>
      <c r="LD42" s="88"/>
      <c r="LE42" s="88"/>
      <c r="LF42" s="88"/>
      <c r="LG42" s="88"/>
      <c r="LH42" s="88"/>
      <c r="LI42" s="88"/>
      <c r="LJ42" s="88"/>
      <c r="LK42" s="88"/>
      <c r="LL42" s="88"/>
      <c r="LM42" s="88"/>
      <c r="LN42" s="88"/>
      <c r="LO42" s="88"/>
      <c r="LP42" s="88"/>
      <c r="LQ42" s="88"/>
      <c r="LR42" s="88"/>
      <c r="LS42" s="88"/>
      <c r="LT42" s="88"/>
      <c r="LU42" s="88"/>
      <c r="LV42" s="88"/>
      <c r="LW42" s="88"/>
      <c r="LX42" s="88"/>
      <c r="LY42" s="88"/>
      <c r="LZ42" s="88"/>
      <c r="MA42" s="88"/>
      <c r="MB42" s="88"/>
      <c r="MC42" s="88"/>
      <c r="MD42" s="88"/>
      <c r="ME42" s="88"/>
      <c r="MF42" s="88"/>
      <c r="MG42" s="88"/>
      <c r="MH42" s="88"/>
      <c r="MI42" s="88"/>
      <c r="MJ42" s="88"/>
      <c r="MK42" s="88"/>
      <c r="ML42" s="88"/>
      <c r="MM42" s="88"/>
      <c r="MN42" s="88"/>
      <c r="MO42" s="88"/>
      <c r="MP42" s="88"/>
      <c r="MQ42" s="88"/>
      <c r="MR42" s="88"/>
      <c r="MS42" s="88"/>
      <c r="MT42" s="88"/>
      <c r="MU42" s="88"/>
      <c r="MV42" s="88"/>
      <c r="MW42" s="88"/>
      <c r="MX42" s="88"/>
      <c r="MY42" s="88"/>
      <c r="MZ42" s="88"/>
      <c r="NA42" s="88"/>
      <c r="NB42" s="88"/>
      <c r="NC42" s="88"/>
      <c r="ND42" s="88"/>
      <c r="NE42" s="88"/>
      <c r="NF42" s="88"/>
      <c r="NG42" s="88"/>
      <c r="NH42" s="88"/>
      <c r="NI42" s="88"/>
      <c r="NJ42" s="88"/>
      <c r="NK42" s="88"/>
      <c r="NL42" s="88"/>
      <c r="NM42" s="88"/>
      <c r="NN42" s="88"/>
      <c r="NO42" s="88"/>
      <c r="NP42" s="88"/>
      <c r="NQ42" s="88"/>
      <c r="NR42" s="88"/>
      <c r="NS42" s="88"/>
      <c r="NT42" s="88"/>
      <c r="NU42" s="88"/>
      <c r="NV42" s="88"/>
      <c r="NW42" s="88"/>
      <c r="NX42" s="88"/>
      <c r="NY42" s="88"/>
      <c r="NZ42" s="88"/>
      <c r="OA42" s="88"/>
      <c r="OB42" s="88"/>
      <c r="OC42" s="88"/>
      <c r="OD42" s="88"/>
      <c r="OE42" s="88"/>
      <c r="OF42" s="88"/>
      <c r="OG42" s="88"/>
      <c r="OH42" s="88"/>
      <c r="OI42" s="88"/>
      <c r="OJ42" s="88"/>
      <c r="OK42" s="88"/>
      <c r="OL42" s="88"/>
      <c r="OM42" s="88"/>
      <c r="ON42" s="88"/>
      <c r="OO42" s="88"/>
      <c r="OP42" s="88"/>
      <c r="OQ42" s="88"/>
      <c r="OR42" s="88"/>
      <c r="OS42" s="88"/>
      <c r="OT42" s="88"/>
      <c r="OU42" s="88"/>
      <c r="OV42" s="88"/>
      <c r="OW42" s="88"/>
      <c r="OX42" s="88"/>
      <c r="OY42" s="88"/>
      <c r="OZ42" s="88"/>
      <c r="PA42" s="88"/>
      <c r="PB42" s="88"/>
      <c r="PC42" s="88"/>
      <c r="PD42" s="88"/>
      <c r="PE42" s="88"/>
      <c r="PF42" s="88"/>
      <c r="PG42" s="88"/>
      <c r="PH42" s="88"/>
      <c r="PI42" s="88"/>
      <c r="PJ42" s="88"/>
      <c r="PK42" s="88"/>
      <c r="PL42" s="88"/>
      <c r="PM42" s="88"/>
      <c r="PN42" s="88"/>
      <c r="PO42" s="88"/>
      <c r="PP42" s="88"/>
      <c r="PQ42" s="88"/>
      <c r="PR42" s="88"/>
      <c r="PS42" s="88"/>
      <c r="PT42" s="88"/>
      <c r="PU42" s="88"/>
      <c r="PV42" s="88"/>
      <c r="PW42" s="88"/>
      <c r="PX42" s="88"/>
      <c r="PY42" s="88"/>
      <c r="PZ42" s="88"/>
      <c r="QA42" s="88"/>
      <c r="QB42" s="88"/>
      <c r="QC42" s="88"/>
      <c r="QD42" s="88"/>
      <c r="QE42" s="88"/>
      <c r="QF42" s="88"/>
      <c r="QG42" s="88"/>
      <c r="QH42" s="88"/>
      <c r="QI42" s="88"/>
      <c r="QJ42" s="88"/>
      <c r="QK42" s="88"/>
      <c r="QL42" s="88"/>
      <c r="QM42" s="88"/>
      <c r="QN42" s="88"/>
      <c r="QO42" s="88"/>
      <c r="QP42" s="88"/>
      <c r="QQ42" s="88"/>
      <c r="QR42" s="88"/>
      <c r="QS42" s="88"/>
      <c r="QT42" s="88"/>
      <c r="QU42" s="88"/>
      <c r="QV42" s="88"/>
      <c r="QW42" s="88"/>
      <c r="QX42" s="88"/>
      <c r="QY42" s="88"/>
      <c r="QZ42" s="88"/>
      <c r="RA42" s="88"/>
      <c r="RB42" s="88"/>
      <c r="RC42" s="88"/>
      <c r="RD42" s="88"/>
      <c r="RE42" s="88"/>
      <c r="RF42" s="88"/>
      <c r="RG42" s="88"/>
      <c r="RH42" s="88"/>
      <c r="RI42" s="88"/>
      <c r="RJ42" s="88"/>
      <c r="RK42" s="88"/>
      <c r="RL42" s="88"/>
      <c r="RM42" s="88"/>
      <c r="RN42" s="88"/>
      <c r="RO42" s="88"/>
      <c r="RP42" s="88"/>
      <c r="RQ42" s="88"/>
      <c r="RR42" s="88"/>
      <c r="RS42" s="88"/>
      <c r="RT42" s="88"/>
      <c r="RU42" s="88"/>
      <c r="RV42" s="88"/>
      <c r="RW42" s="88"/>
      <c r="RX42" s="88"/>
      <c r="RY42" s="88"/>
      <c r="RZ42" s="88"/>
      <c r="SA42" s="88"/>
      <c r="SB42" s="88"/>
      <c r="SC42" s="88"/>
      <c r="SD42" s="88"/>
      <c r="SE42" s="88"/>
      <c r="SF42" s="88"/>
      <c r="SG42" s="88"/>
      <c r="SH42" s="88"/>
      <c r="SI42" s="88"/>
      <c r="SJ42" s="88"/>
      <c r="SK42" s="88"/>
      <c r="SL42" s="88"/>
      <c r="SM42" s="88"/>
      <c r="SN42" s="88"/>
      <c r="SO42" s="88"/>
      <c r="SP42" s="88"/>
      <c r="SQ42" s="88"/>
      <c r="SR42" s="88"/>
      <c r="SS42" s="88"/>
      <c r="ST42" s="88"/>
      <c r="SU42" s="88"/>
      <c r="SV42" s="88"/>
      <c r="SW42" s="88"/>
      <c r="SX42" s="88"/>
      <c r="SY42" s="88"/>
      <c r="SZ42" s="88"/>
      <c r="TA42" s="88"/>
      <c r="TB42" s="88"/>
      <c r="TC42" s="88"/>
      <c r="TD42" s="88"/>
      <c r="TE42" s="88"/>
      <c r="TF42" s="88"/>
      <c r="TG42" s="88"/>
      <c r="TH42" s="88"/>
      <c r="TI42" s="88"/>
      <c r="TJ42" s="88"/>
      <c r="TK42" s="88"/>
      <c r="TL42" s="88"/>
      <c r="TM42" s="88"/>
      <c r="TN42" s="88"/>
      <c r="TO42" s="88"/>
      <c r="TP42" s="88"/>
      <c r="TQ42" s="88"/>
      <c r="TR42" s="88"/>
      <c r="TS42" s="88"/>
      <c r="TT42" s="88"/>
      <c r="TU42" s="88"/>
      <c r="TV42" s="88"/>
      <c r="TW42" s="88"/>
      <c r="TX42" s="88"/>
      <c r="TY42" s="88"/>
      <c r="TZ42" s="88"/>
      <c r="UA42" s="88"/>
      <c r="UB42" s="88"/>
      <c r="UC42" s="88"/>
      <c r="UD42" s="88"/>
      <c r="UE42" s="88"/>
      <c r="UF42" s="88"/>
      <c r="UG42" s="88"/>
      <c r="UH42" s="88"/>
      <c r="UI42" s="88"/>
      <c r="UJ42" s="88"/>
      <c r="UK42" s="88"/>
      <c r="UL42" s="88"/>
      <c r="UM42" s="88"/>
      <c r="UN42" s="88"/>
      <c r="UO42" s="88"/>
      <c r="UP42" s="88"/>
      <c r="UQ42" s="88"/>
      <c r="UR42" s="88"/>
      <c r="US42" s="88"/>
      <c r="UT42" s="88"/>
      <c r="UU42" s="88"/>
      <c r="UV42" s="88"/>
      <c r="UW42" s="88"/>
      <c r="UX42" s="88"/>
      <c r="UY42" s="88"/>
      <c r="UZ42" s="88"/>
      <c r="VA42" s="88"/>
      <c r="VB42" s="88"/>
      <c r="VC42" s="88"/>
      <c r="VD42" s="88"/>
      <c r="VE42" s="88"/>
      <c r="VF42" s="88"/>
      <c r="VG42" s="88"/>
      <c r="VH42" s="88"/>
      <c r="VI42" s="88"/>
      <c r="VJ42" s="88"/>
      <c r="VK42" s="88"/>
      <c r="VL42" s="88"/>
      <c r="VM42" s="88"/>
      <c r="VN42" s="88"/>
      <c r="VO42" s="88"/>
      <c r="VP42" s="88"/>
      <c r="VQ42" s="88"/>
      <c r="VR42" s="88"/>
      <c r="VS42" s="88"/>
      <c r="VT42" s="88"/>
      <c r="VU42" s="88"/>
      <c r="VV42" s="88"/>
      <c r="VW42" s="88"/>
      <c r="VX42" s="88"/>
      <c r="VY42" s="88"/>
      <c r="VZ42" s="88"/>
      <c r="WA42" s="88"/>
      <c r="WB42" s="88"/>
      <c r="WC42" s="88"/>
      <c r="WD42" s="88"/>
      <c r="WE42" s="88"/>
      <c r="WF42" s="88"/>
      <c r="WG42" s="88"/>
      <c r="WH42" s="88"/>
      <c r="WI42" s="88"/>
      <c r="WJ42" s="88"/>
      <c r="WK42" s="88"/>
      <c r="WL42" s="88"/>
      <c r="WM42" s="88"/>
      <c r="WN42" s="88"/>
      <c r="WO42" s="88"/>
      <c r="WP42" s="88"/>
      <c r="WQ42" s="88"/>
      <c r="WR42" s="88"/>
      <c r="WS42" s="88"/>
      <c r="WT42" s="88"/>
      <c r="WU42" s="88"/>
      <c r="WV42" s="88"/>
      <c r="WW42" s="88"/>
      <c r="WX42" s="88"/>
      <c r="WY42" s="88"/>
      <c r="WZ42" s="88"/>
      <c r="XA42" s="88"/>
      <c r="XB42" s="88"/>
      <c r="XC42" s="88"/>
      <c r="XD42" s="88"/>
      <c r="XE42" s="88"/>
      <c r="XF42" s="88"/>
      <c r="XG42" s="88"/>
      <c r="XH42" s="88"/>
      <c r="XI42" s="88"/>
      <c r="XJ42" s="88"/>
      <c r="XK42" s="88"/>
      <c r="XL42" s="88"/>
      <c r="XM42" s="88"/>
      <c r="XN42" s="88"/>
      <c r="XO42" s="88"/>
      <c r="XP42" s="88"/>
      <c r="XQ42" s="88"/>
      <c r="XR42" s="88"/>
      <c r="XS42" s="88"/>
      <c r="XT42" s="88"/>
      <c r="XU42" s="88"/>
      <c r="XV42" s="88"/>
      <c r="XW42" s="88"/>
      <c r="XX42" s="88"/>
      <c r="XY42" s="88"/>
      <c r="XZ42" s="88"/>
      <c r="YA42" s="88"/>
      <c r="YB42" s="88"/>
      <c r="YC42" s="88"/>
      <c r="YD42" s="88"/>
      <c r="YE42" s="88"/>
      <c r="YF42" s="88"/>
      <c r="YG42" s="88"/>
      <c r="YH42" s="88"/>
      <c r="YI42" s="88"/>
      <c r="YJ42" s="88"/>
      <c r="YK42" s="88"/>
      <c r="YL42" s="88"/>
      <c r="YM42" s="88"/>
      <c r="YN42" s="88"/>
      <c r="YO42" s="88"/>
      <c r="YP42" s="88"/>
      <c r="YQ42" s="88"/>
      <c r="YR42" s="88"/>
      <c r="YS42" s="88"/>
      <c r="YT42" s="88"/>
      <c r="YU42" s="88"/>
      <c r="YV42" s="88"/>
      <c r="YW42" s="88"/>
      <c r="YX42" s="88"/>
      <c r="YY42" s="88"/>
      <c r="YZ42" s="88"/>
      <c r="ZA42" s="88"/>
      <c r="ZB42" s="88"/>
      <c r="ZC42" s="88"/>
      <c r="ZD42" s="88"/>
      <c r="ZE42" s="88"/>
      <c r="ZF42" s="88"/>
      <c r="ZG42" s="88"/>
      <c r="ZH42" s="88"/>
      <c r="ZI42" s="88"/>
      <c r="ZJ42" s="88"/>
      <c r="ZK42" s="88"/>
      <c r="ZL42" s="88"/>
      <c r="ZM42" s="88"/>
      <c r="ZN42" s="88"/>
      <c r="ZO42" s="88"/>
      <c r="ZP42" s="88"/>
      <c r="ZQ42" s="88"/>
      <c r="ZR42" s="88"/>
      <c r="ZS42" s="88"/>
      <c r="ZT42" s="88"/>
      <c r="ZU42" s="88"/>
      <c r="ZV42" s="88"/>
      <c r="ZW42" s="88"/>
      <c r="ZX42" s="88"/>
      <c r="ZY42" s="88"/>
      <c r="ZZ42" s="88"/>
      <c r="AAA42" s="88"/>
      <c r="AAB42" s="88"/>
      <c r="AAC42" s="88"/>
      <c r="AAD42" s="88"/>
      <c r="AAE42" s="88"/>
      <c r="AAF42" s="88"/>
      <c r="AAG42" s="88"/>
      <c r="AAH42" s="88"/>
      <c r="AAI42" s="88"/>
      <c r="AAJ42" s="88"/>
      <c r="AAK42" s="88"/>
      <c r="AAL42" s="88"/>
      <c r="AAM42" s="88"/>
      <c r="AAN42" s="88"/>
      <c r="AAO42" s="88"/>
      <c r="AAP42" s="88"/>
      <c r="AAQ42" s="88"/>
      <c r="AAR42" s="88"/>
      <c r="AAS42" s="88"/>
      <c r="AAT42" s="88"/>
      <c r="AAU42" s="88"/>
      <c r="AAV42" s="88"/>
      <c r="AAW42" s="88"/>
      <c r="AAX42" s="88"/>
      <c r="AAY42" s="88"/>
      <c r="AAZ42" s="88"/>
      <c r="ABA42" s="88"/>
      <c r="ABB42" s="88"/>
      <c r="ABC42" s="88"/>
      <c r="ABD42" s="88"/>
      <c r="ABE42" s="88"/>
      <c r="ABF42" s="88"/>
      <c r="ABG42" s="88"/>
      <c r="ABH42" s="88"/>
      <c r="ABI42" s="88"/>
      <c r="ABJ42" s="88"/>
      <c r="ABK42" s="88"/>
      <c r="ABL42" s="88"/>
      <c r="ABM42" s="88"/>
      <c r="ABN42" s="88"/>
      <c r="ABO42" s="88"/>
      <c r="ABP42" s="88"/>
      <c r="ABQ42" s="88"/>
      <c r="ABR42" s="88"/>
      <c r="ABS42" s="88"/>
      <c r="ABT42" s="88"/>
      <c r="ABU42" s="88"/>
      <c r="ABV42" s="88"/>
      <c r="ABW42" s="88"/>
      <c r="ABX42" s="88"/>
      <c r="ABY42" s="88"/>
      <c r="ABZ42" s="88"/>
      <c r="ACA42" s="88"/>
      <c r="ACB42" s="88"/>
      <c r="ACC42" s="88"/>
      <c r="ACD42" s="88"/>
      <c r="ACE42" s="88"/>
      <c r="ACF42" s="88"/>
      <c r="ACG42" s="88"/>
      <c r="ACH42" s="88"/>
      <c r="ACI42" s="88"/>
      <c r="ACJ42" s="88"/>
      <c r="ACK42" s="88"/>
      <c r="ACL42" s="88"/>
      <c r="ACM42" s="88"/>
      <c r="ACN42" s="88"/>
      <c r="ACO42" s="88"/>
      <c r="ACP42" s="88"/>
      <c r="ACQ42" s="88"/>
      <c r="ACR42" s="88"/>
      <c r="ACS42" s="88"/>
      <c r="ACT42" s="88"/>
      <c r="ACU42" s="88"/>
      <c r="ACV42" s="88"/>
      <c r="ACW42" s="88"/>
      <c r="ACX42" s="88"/>
      <c r="ACY42" s="88"/>
      <c r="ACZ42" s="88"/>
      <c r="ADA42" s="88"/>
      <c r="ADB42" s="88"/>
      <c r="ADC42" s="88"/>
      <c r="ADD42" s="88"/>
      <c r="ADE42" s="88"/>
      <c r="ADF42" s="88"/>
      <c r="ADG42" s="88"/>
      <c r="ADH42" s="88"/>
      <c r="ADI42" s="88"/>
      <c r="ADJ42" s="88"/>
      <c r="ADK42" s="88"/>
      <c r="ADL42" s="88"/>
      <c r="ADM42" s="88"/>
      <c r="ADN42" s="88"/>
      <c r="ADO42" s="88"/>
      <c r="ADP42" s="88"/>
      <c r="ADQ42" s="88"/>
      <c r="ADR42" s="88"/>
      <c r="ADS42" s="88"/>
      <c r="ADT42" s="88"/>
      <c r="ADU42" s="88"/>
      <c r="ADV42" s="88"/>
      <c r="ADW42" s="88"/>
      <c r="ADX42" s="88"/>
      <c r="ADY42" s="88"/>
      <c r="ADZ42" s="88"/>
      <c r="AEA42" s="88"/>
      <c r="AEB42" s="88"/>
      <c r="AEC42" s="88"/>
      <c r="AED42" s="88"/>
      <c r="AEE42" s="88"/>
      <c r="AEF42" s="88"/>
      <c r="AEG42" s="88"/>
      <c r="AEH42" s="88"/>
      <c r="AEI42" s="88"/>
      <c r="AEJ42" s="88"/>
      <c r="AEK42" s="88"/>
      <c r="AEL42" s="88"/>
      <c r="AEM42" s="88"/>
      <c r="AEN42" s="88"/>
      <c r="AEO42" s="88"/>
      <c r="AEP42" s="88"/>
      <c r="AEQ42" s="88"/>
      <c r="AER42" s="88"/>
      <c r="AES42" s="88"/>
      <c r="AET42" s="88"/>
      <c r="AEU42" s="88"/>
      <c r="AEV42" s="88"/>
      <c r="AEW42" s="88"/>
      <c r="AEX42" s="88"/>
      <c r="AEY42" s="88"/>
      <c r="AEZ42" s="88"/>
      <c r="AFA42" s="88"/>
      <c r="AFB42" s="88"/>
      <c r="AFC42" s="88"/>
      <c r="AFD42" s="88"/>
      <c r="AFE42" s="88"/>
      <c r="AFF42" s="88"/>
      <c r="AFG42" s="88"/>
      <c r="AFH42" s="88"/>
      <c r="AFI42" s="88"/>
      <c r="AFJ42" s="88"/>
      <c r="AFK42" s="88"/>
      <c r="AFL42" s="88"/>
      <c r="AFM42" s="88"/>
      <c r="AFN42" s="88"/>
      <c r="AFO42" s="88"/>
      <c r="AFP42" s="88"/>
      <c r="AFQ42" s="88"/>
      <c r="AFR42" s="88"/>
      <c r="AFS42" s="88"/>
      <c r="AFT42" s="88"/>
      <c r="AFU42" s="88"/>
      <c r="AFV42" s="88"/>
      <c r="AFW42" s="88"/>
      <c r="AFX42" s="88"/>
      <c r="AFY42" s="88"/>
      <c r="AFZ42" s="88"/>
      <c r="AGA42" s="88"/>
      <c r="AGB42" s="88"/>
      <c r="AGC42" s="88"/>
      <c r="AGD42" s="88"/>
      <c r="AGE42" s="88"/>
      <c r="AGF42" s="88"/>
      <c r="AGG42" s="88"/>
      <c r="AGH42" s="88"/>
      <c r="AGI42" s="88"/>
      <c r="AGJ42" s="88"/>
      <c r="AGK42" s="88"/>
      <c r="AGL42" s="88"/>
      <c r="AGM42" s="88"/>
      <c r="AGN42" s="88"/>
      <c r="AGO42" s="88"/>
      <c r="AGP42" s="88"/>
      <c r="AGQ42" s="88"/>
      <c r="AGR42" s="88"/>
      <c r="AGS42" s="88"/>
      <c r="AGT42" s="88"/>
      <c r="AGU42" s="88"/>
      <c r="AGV42" s="88"/>
      <c r="AGW42" s="88"/>
      <c r="AGX42" s="88"/>
      <c r="AGY42" s="88"/>
      <c r="AGZ42" s="88"/>
      <c r="AHA42" s="88"/>
      <c r="AHB42" s="88"/>
      <c r="AHC42" s="88"/>
      <c r="AHD42" s="88"/>
      <c r="AHE42" s="88"/>
      <c r="AHF42" s="88"/>
      <c r="AHG42" s="88"/>
      <c r="AHH42" s="88"/>
      <c r="AHI42" s="88"/>
      <c r="AHJ42" s="88"/>
      <c r="AHK42" s="88"/>
      <c r="AHL42" s="88"/>
      <c r="AHM42" s="88"/>
      <c r="AHN42" s="88"/>
      <c r="AHO42" s="88"/>
      <c r="AHP42" s="88"/>
      <c r="AHQ42" s="88"/>
      <c r="AHR42" s="88"/>
      <c r="AHS42" s="88"/>
      <c r="AHT42" s="88"/>
      <c r="AHU42" s="88"/>
      <c r="AHV42" s="88"/>
      <c r="AHW42" s="88"/>
      <c r="AHX42" s="88"/>
      <c r="AHY42" s="88"/>
      <c r="AHZ42" s="88"/>
      <c r="AIA42" s="88"/>
      <c r="AIB42" s="88"/>
      <c r="AIC42" s="88"/>
      <c r="AID42" s="88"/>
      <c r="AIE42" s="88"/>
      <c r="AIF42" s="88"/>
      <c r="AIG42" s="88"/>
      <c r="AIH42" s="88"/>
      <c r="AII42" s="88"/>
      <c r="AIJ42" s="88"/>
      <c r="AIK42" s="88"/>
      <c r="AIL42" s="88"/>
      <c r="AIM42" s="88"/>
      <c r="AIN42" s="88"/>
      <c r="AIO42" s="88"/>
      <c r="AIP42" s="88"/>
      <c r="AIQ42" s="88"/>
      <c r="AIR42" s="88"/>
      <c r="AIS42" s="88"/>
      <c r="AIT42" s="88"/>
      <c r="AIU42" s="88"/>
      <c r="AIV42" s="88"/>
      <c r="AIW42" s="88"/>
      <c r="AIX42" s="88"/>
      <c r="AIY42" s="88"/>
      <c r="AIZ42" s="88"/>
      <c r="AJA42" s="88"/>
      <c r="AJB42" s="88"/>
      <c r="AJC42" s="88"/>
      <c r="AJD42" s="88"/>
      <c r="AJE42" s="88"/>
      <c r="AJF42" s="88"/>
      <c r="AJG42" s="88"/>
      <c r="AJH42" s="88"/>
      <c r="AJI42" s="88"/>
      <c r="AJJ42" s="88"/>
      <c r="AJK42" s="88"/>
      <c r="AJL42" s="88"/>
      <c r="AJM42" s="88"/>
      <c r="AJN42" s="88"/>
      <c r="AJO42" s="88"/>
      <c r="AJP42" s="88"/>
      <c r="AJQ42" s="88"/>
      <c r="AJR42" s="88"/>
      <c r="AJS42" s="88"/>
      <c r="AJT42" s="88"/>
      <c r="AJU42" s="88"/>
      <c r="AJV42" s="88"/>
      <c r="AJW42" s="88"/>
      <c r="AJX42" s="88"/>
      <c r="AJY42" s="88"/>
      <c r="AJZ42" s="88"/>
      <c r="AKA42" s="88"/>
      <c r="AKB42" s="88"/>
      <c r="AKC42" s="88"/>
      <c r="AKD42" s="88"/>
      <c r="AKE42" s="88"/>
      <c r="AKF42" s="88"/>
      <c r="AKG42" s="88"/>
      <c r="AKH42" s="88"/>
      <c r="AKI42" s="88"/>
      <c r="AKJ42" s="88"/>
      <c r="AKK42" s="88"/>
      <c r="AKL42" s="88"/>
      <c r="AKM42" s="88"/>
      <c r="AKN42" s="88"/>
      <c r="AKO42" s="88"/>
      <c r="AKP42" s="88"/>
      <c r="AKQ42" s="88"/>
      <c r="AKR42" s="88"/>
      <c r="AKS42" s="88"/>
      <c r="AKT42" s="88"/>
      <c r="AKU42" s="88"/>
      <c r="AKV42" s="88"/>
      <c r="AKW42" s="88"/>
      <c r="AKX42" s="88"/>
      <c r="AKY42" s="88"/>
      <c r="AKZ42" s="88"/>
      <c r="ALA42" s="88"/>
      <c r="ALB42" s="88"/>
      <c r="ALC42" s="88"/>
      <c r="ALD42" s="88"/>
      <c r="ALE42" s="88"/>
      <c r="ALF42" s="88"/>
      <c r="ALG42" s="88"/>
      <c r="ALH42" s="88"/>
      <c r="ALI42" s="88"/>
      <c r="ALJ42" s="88"/>
      <c r="ALK42" s="88"/>
      <c r="ALL42" s="88"/>
      <c r="ALM42" s="88"/>
      <c r="ALN42" s="88"/>
      <c r="ALO42" s="88"/>
      <c r="ALP42" s="88"/>
      <c r="ALQ42" s="88"/>
      <c r="ALR42" s="88"/>
      <c r="ALS42" s="88"/>
      <c r="ALT42" s="88"/>
      <c r="ALU42" s="88"/>
      <c r="ALV42" s="88"/>
      <c r="ALW42" s="88"/>
      <c r="ALX42" s="88"/>
      <c r="ALY42" s="88"/>
      <c r="ALZ42" s="88"/>
      <c r="AMA42" s="88"/>
      <c r="AMB42" s="88"/>
      <c r="AMC42" s="88"/>
      <c r="AMD42" s="88"/>
      <c r="AME42" s="88"/>
      <c r="AMF42" s="88"/>
      <c r="AMG42" s="88"/>
      <c r="AMH42" s="88"/>
      <c r="AMI42" s="88"/>
      <c r="AMJ42" s="88"/>
      <c r="AMK42" s="88"/>
      <c r="AML42" s="88"/>
      <c r="AMM42" s="88"/>
      <c r="AMN42" s="88"/>
      <c r="AMO42" s="88"/>
      <c r="AMP42" s="88"/>
      <c r="AMQ42" s="88"/>
      <c r="AMR42" s="88"/>
      <c r="AMS42" s="88"/>
      <c r="AMT42" s="88"/>
      <c r="AMU42" s="88"/>
      <c r="AMV42" s="88"/>
      <c r="AMW42" s="88"/>
      <c r="AMX42" s="88"/>
      <c r="AMY42" s="88"/>
      <c r="AMZ42" s="88"/>
      <c r="ANA42" s="88"/>
      <c r="ANB42" s="88"/>
      <c r="ANC42" s="88"/>
      <c r="AND42" s="88"/>
      <c r="ANE42" s="88"/>
      <c r="ANF42" s="88"/>
      <c r="ANG42" s="88"/>
      <c r="ANH42" s="88"/>
      <c r="ANI42" s="88"/>
      <c r="ANJ42" s="88"/>
      <c r="ANK42" s="88"/>
      <c r="ANL42" s="88"/>
      <c r="ANM42" s="88"/>
      <c r="ANN42" s="88"/>
      <c r="ANO42" s="88"/>
      <c r="ANP42" s="88"/>
      <c r="ANQ42" s="88"/>
      <c r="ANR42" s="88"/>
      <c r="ANS42" s="88"/>
      <c r="ANT42" s="88"/>
      <c r="ANU42" s="88"/>
      <c r="ANV42" s="88"/>
      <c r="ANW42" s="88"/>
      <c r="ANX42" s="88"/>
      <c r="ANY42" s="88"/>
      <c r="ANZ42" s="88"/>
      <c r="AOA42" s="88"/>
      <c r="AOB42" s="88"/>
      <c r="AOC42" s="88"/>
      <c r="AOD42" s="88"/>
      <c r="AOE42" s="88"/>
      <c r="AOF42" s="88"/>
      <c r="AOG42" s="88"/>
      <c r="AOH42" s="88"/>
      <c r="AOI42" s="88"/>
      <c r="AOJ42" s="88"/>
      <c r="AOK42" s="88"/>
      <c r="AOL42" s="88"/>
      <c r="AOM42" s="88"/>
      <c r="AON42" s="88"/>
      <c r="AOO42" s="88"/>
      <c r="AOP42" s="88"/>
      <c r="AOQ42" s="88"/>
      <c r="AOR42" s="88"/>
      <c r="AOS42" s="88"/>
      <c r="AOT42" s="88"/>
      <c r="AOU42" s="88"/>
      <c r="AOV42" s="88"/>
      <c r="AOW42" s="88"/>
      <c r="AOX42" s="88"/>
      <c r="AOY42" s="88"/>
      <c r="AOZ42" s="88"/>
      <c r="APA42" s="88"/>
      <c r="APB42" s="88"/>
      <c r="APC42" s="88"/>
      <c r="APD42" s="88"/>
      <c r="APE42" s="88"/>
      <c r="APF42" s="88"/>
      <c r="APG42" s="88"/>
      <c r="APH42" s="88"/>
      <c r="API42" s="88"/>
      <c r="APJ42" s="88"/>
      <c r="APK42" s="88"/>
      <c r="APL42" s="88"/>
      <c r="APM42" s="88"/>
      <c r="APN42" s="88"/>
      <c r="APO42" s="88"/>
      <c r="APP42" s="88"/>
      <c r="APQ42" s="88"/>
      <c r="APR42" s="88"/>
      <c r="APS42" s="88"/>
      <c r="APT42" s="88"/>
      <c r="APU42" s="88"/>
      <c r="APV42" s="88"/>
      <c r="APW42" s="88"/>
      <c r="APX42" s="88"/>
      <c r="APY42" s="88"/>
      <c r="APZ42" s="88"/>
      <c r="AQA42" s="88"/>
      <c r="AQB42" s="88"/>
      <c r="AQC42" s="88"/>
      <c r="AQD42" s="88"/>
      <c r="AQE42" s="88"/>
      <c r="AQF42" s="88"/>
      <c r="AQG42" s="88"/>
      <c r="AQH42" s="88"/>
      <c r="AQI42" s="88"/>
      <c r="AQJ42" s="88"/>
      <c r="AQK42" s="88"/>
      <c r="AQL42" s="88"/>
      <c r="AQM42" s="88"/>
      <c r="AQN42" s="88"/>
      <c r="AQO42" s="88"/>
      <c r="AQP42" s="88"/>
      <c r="AQQ42" s="88"/>
      <c r="AQR42" s="88"/>
      <c r="AQS42" s="88"/>
      <c r="AQT42" s="88"/>
      <c r="AQU42" s="88"/>
      <c r="AQV42" s="88"/>
      <c r="AQW42" s="88"/>
      <c r="AQX42" s="88"/>
      <c r="AQY42" s="88"/>
      <c r="AQZ42" s="88"/>
      <c r="ARA42" s="88"/>
      <c r="ARB42" s="88"/>
      <c r="ARC42" s="88"/>
      <c r="ARD42" s="88"/>
      <c r="ARE42" s="88"/>
      <c r="ARF42" s="88"/>
      <c r="ARG42" s="88"/>
      <c r="ARH42" s="88"/>
      <c r="ARI42" s="88"/>
      <c r="ARJ42" s="88"/>
      <c r="ARK42" s="88"/>
      <c r="ARL42" s="88"/>
      <c r="ARM42" s="88"/>
      <c r="ARN42" s="88"/>
      <c r="ARO42" s="88"/>
      <c r="ARP42" s="88"/>
      <c r="ARQ42" s="88"/>
      <c r="ARR42" s="88"/>
      <c r="ARS42" s="88"/>
      <c r="ART42" s="88"/>
      <c r="ARU42" s="88"/>
      <c r="ARV42" s="88"/>
      <c r="ARW42" s="88"/>
      <c r="ARX42" s="88"/>
      <c r="ARY42" s="88"/>
      <c r="ARZ42" s="88"/>
      <c r="ASA42" s="88"/>
      <c r="ASB42" s="88"/>
      <c r="ASC42" s="88"/>
      <c r="ASD42" s="88"/>
      <c r="ASE42" s="88"/>
      <c r="ASF42" s="88"/>
      <c r="ASG42" s="88"/>
      <c r="ASH42" s="88"/>
      <c r="ASI42" s="88"/>
      <c r="ASJ42" s="88"/>
      <c r="ASK42" s="88"/>
      <c r="ASL42" s="88"/>
      <c r="ASM42" s="88"/>
      <c r="ASN42" s="88"/>
      <c r="ASO42" s="88"/>
      <c r="ASP42" s="88"/>
      <c r="ASQ42" s="88"/>
      <c r="ASR42" s="88"/>
      <c r="ASS42" s="88"/>
      <c r="AST42" s="88"/>
      <c r="ASU42" s="88"/>
      <c r="ASV42" s="88"/>
      <c r="ASW42" s="88"/>
      <c r="ASX42" s="88"/>
      <c r="ASY42" s="88"/>
      <c r="ASZ42" s="88"/>
      <c r="ATA42" s="88"/>
      <c r="ATB42" s="88"/>
      <c r="ATC42" s="88"/>
      <c r="ATD42" s="88"/>
      <c r="ATE42" s="88"/>
      <c r="ATF42" s="88"/>
      <c r="ATG42" s="88"/>
      <c r="ATH42" s="88"/>
      <c r="ATI42" s="88"/>
      <c r="ATJ42" s="88"/>
      <c r="ATK42" s="88"/>
      <c r="ATL42" s="88"/>
      <c r="ATM42" s="88"/>
      <c r="ATN42" s="88"/>
      <c r="ATO42" s="88"/>
      <c r="ATP42" s="88"/>
      <c r="ATQ42" s="88"/>
      <c r="ATR42" s="88"/>
      <c r="ATS42" s="88"/>
      <c r="ATT42" s="88"/>
      <c r="ATU42" s="88"/>
      <c r="ATV42" s="88"/>
      <c r="ATW42" s="88"/>
      <c r="ATX42" s="88"/>
      <c r="ATY42" s="88"/>
      <c r="ATZ42" s="88"/>
      <c r="AUA42" s="88"/>
      <c r="AUB42" s="88"/>
      <c r="AUC42" s="88"/>
      <c r="AUD42" s="88"/>
      <c r="AUE42" s="88"/>
      <c r="AUF42" s="88"/>
      <c r="AUG42" s="88"/>
      <c r="AUH42" s="88"/>
      <c r="AUI42" s="88"/>
      <c r="AUJ42" s="88"/>
      <c r="AUK42" s="88"/>
      <c r="AUL42" s="88"/>
      <c r="AUM42" s="88"/>
      <c r="AUN42" s="88"/>
      <c r="AUO42" s="88"/>
      <c r="AUP42" s="88"/>
      <c r="AUQ42" s="88"/>
      <c r="AUR42" s="88"/>
      <c r="AUS42" s="88"/>
      <c r="AUT42" s="88"/>
      <c r="AUU42" s="88"/>
      <c r="AUV42" s="88"/>
      <c r="AUW42" s="88"/>
      <c r="AUX42" s="88"/>
      <c r="AUY42" s="88"/>
      <c r="AUZ42" s="88"/>
      <c r="AVA42" s="88"/>
      <c r="AVB42" s="88"/>
      <c r="AVC42" s="88"/>
      <c r="AVD42" s="88"/>
      <c r="AVE42" s="88"/>
      <c r="AVF42" s="88"/>
      <c r="AVG42" s="88"/>
      <c r="AVH42" s="88"/>
      <c r="AVI42" s="88"/>
      <c r="AVJ42" s="88"/>
      <c r="AVK42" s="88"/>
      <c r="AVL42" s="88"/>
      <c r="AVM42" s="88"/>
      <c r="AVN42" s="88"/>
      <c r="AVO42" s="88"/>
      <c r="AVP42" s="88"/>
      <c r="AVQ42" s="88"/>
      <c r="AVR42" s="88"/>
      <c r="AVS42" s="88"/>
      <c r="AVT42" s="88"/>
      <c r="AVU42" s="88"/>
      <c r="AVV42" s="88"/>
      <c r="AVW42" s="88"/>
      <c r="AVX42" s="88"/>
      <c r="AVY42" s="88"/>
      <c r="AVZ42" s="88"/>
      <c r="AWA42" s="88"/>
      <c r="AWB42" s="88"/>
      <c r="AWC42" s="88"/>
      <c r="AWD42" s="88"/>
      <c r="AWE42" s="88"/>
      <c r="AWF42" s="88"/>
      <c r="AWG42" s="88"/>
      <c r="AWH42" s="88"/>
      <c r="AWI42" s="88"/>
      <c r="AWJ42" s="88"/>
      <c r="AWK42" s="88"/>
      <c r="AWL42" s="88"/>
      <c r="AWM42" s="88"/>
      <c r="AWN42" s="88"/>
      <c r="AWO42" s="88"/>
      <c r="AWP42" s="88"/>
      <c r="AWQ42" s="88"/>
      <c r="AWR42" s="88"/>
      <c r="AWS42" s="88"/>
      <c r="AWT42" s="88"/>
      <c r="AWU42" s="88"/>
      <c r="AWV42" s="88"/>
      <c r="AWW42" s="88"/>
      <c r="AWX42" s="88"/>
      <c r="AWY42" s="88"/>
      <c r="AWZ42" s="88"/>
      <c r="AXA42" s="88"/>
      <c r="AXB42" s="88"/>
      <c r="AXC42" s="88"/>
      <c r="AXD42" s="88"/>
      <c r="AXE42" s="88"/>
      <c r="AXF42" s="88"/>
      <c r="AXG42" s="88"/>
      <c r="AXH42" s="88"/>
      <c r="AXI42" s="88"/>
      <c r="AXJ42" s="88"/>
      <c r="AXK42" s="88"/>
      <c r="AXL42" s="88"/>
      <c r="AXM42" s="88"/>
      <c r="AXN42" s="88"/>
      <c r="AXO42" s="88"/>
      <c r="AXP42" s="88"/>
      <c r="AXQ42" s="88"/>
      <c r="AXR42" s="88"/>
      <c r="AXS42" s="88"/>
      <c r="AXT42" s="88"/>
      <c r="AXU42" s="88"/>
      <c r="AXV42" s="88"/>
      <c r="AXW42" s="88"/>
      <c r="AXX42" s="88"/>
      <c r="AXY42" s="88"/>
      <c r="AXZ42" s="88"/>
      <c r="AYA42" s="88"/>
      <c r="AYB42" s="88"/>
      <c r="AYC42" s="88"/>
      <c r="AYD42" s="88"/>
      <c r="AYE42" s="88"/>
      <c r="AYF42" s="88"/>
      <c r="AYG42" s="88"/>
      <c r="AYH42" s="88"/>
      <c r="AYI42" s="88"/>
      <c r="AYJ42" s="88"/>
      <c r="AYK42" s="88"/>
      <c r="AYL42" s="88"/>
      <c r="AYM42" s="88"/>
      <c r="AYN42" s="88"/>
      <c r="AYO42" s="88"/>
      <c r="AYP42" s="88"/>
      <c r="AYQ42" s="88"/>
      <c r="AYR42" s="88"/>
      <c r="AYS42" s="88"/>
      <c r="AYT42" s="88"/>
      <c r="AYU42" s="88"/>
      <c r="AYV42" s="88"/>
      <c r="AYW42" s="88"/>
      <c r="AYX42" s="88"/>
      <c r="AYY42" s="88"/>
      <c r="AYZ42" s="88"/>
      <c r="AZA42" s="88"/>
      <c r="AZB42" s="88"/>
      <c r="AZC42" s="88"/>
      <c r="AZD42" s="88"/>
      <c r="AZE42" s="88"/>
      <c r="AZF42" s="88"/>
      <c r="AZG42" s="88"/>
      <c r="AZH42" s="88"/>
      <c r="AZI42" s="88"/>
      <c r="AZJ42" s="88"/>
      <c r="AZK42" s="88"/>
      <c r="AZL42" s="88"/>
      <c r="AZM42" s="88"/>
      <c r="AZN42" s="88"/>
      <c r="AZO42" s="88"/>
      <c r="AZP42" s="88"/>
      <c r="AZQ42" s="88"/>
      <c r="AZR42" s="88"/>
      <c r="AZS42" s="88"/>
      <c r="AZT42" s="88"/>
      <c r="AZU42" s="88"/>
      <c r="AZV42" s="88"/>
      <c r="AZW42" s="88"/>
      <c r="AZX42" s="88"/>
      <c r="AZY42" s="88"/>
      <c r="AZZ42" s="88"/>
      <c r="BAA42" s="88"/>
      <c r="BAB42" s="88"/>
      <c r="BAC42" s="88"/>
      <c r="BAD42" s="88"/>
      <c r="BAE42" s="88"/>
      <c r="BAF42" s="88"/>
      <c r="BAG42" s="88"/>
      <c r="BAH42" s="88"/>
      <c r="BAI42" s="88"/>
      <c r="BAJ42" s="88"/>
      <c r="BAK42" s="88"/>
      <c r="BAL42" s="88"/>
      <c r="BAM42" s="88"/>
      <c r="BAN42" s="88"/>
      <c r="BAO42" s="88"/>
      <c r="BAP42" s="88"/>
      <c r="BAQ42" s="88"/>
      <c r="BAR42" s="88"/>
      <c r="BAS42" s="88"/>
      <c r="BAT42" s="88"/>
      <c r="BAU42" s="88"/>
      <c r="BAV42" s="88"/>
      <c r="BAW42" s="88"/>
      <c r="BAX42" s="88"/>
      <c r="BAY42" s="88"/>
      <c r="BAZ42" s="88"/>
      <c r="BBA42" s="88"/>
      <c r="BBB42" s="88"/>
      <c r="BBC42" s="88"/>
      <c r="BBD42" s="88"/>
      <c r="BBE42" s="88"/>
      <c r="BBF42" s="88"/>
      <c r="BBG42" s="88"/>
      <c r="BBH42" s="88"/>
      <c r="BBI42" s="88"/>
      <c r="BBJ42" s="88"/>
      <c r="BBK42" s="88"/>
      <c r="BBL42" s="88"/>
      <c r="BBM42" s="88"/>
      <c r="BBN42" s="88"/>
      <c r="BBO42" s="88"/>
      <c r="BBP42" s="88"/>
      <c r="BBQ42" s="88"/>
      <c r="BBR42" s="88"/>
      <c r="BBS42" s="88"/>
      <c r="BBT42" s="88"/>
      <c r="BBU42" s="88"/>
      <c r="BBV42" s="88"/>
      <c r="BBW42" s="88"/>
      <c r="BBX42" s="88"/>
      <c r="BBY42" s="88"/>
      <c r="BBZ42" s="88"/>
      <c r="BCA42" s="88"/>
      <c r="BCB42" s="88"/>
      <c r="BCC42" s="88"/>
      <c r="BCD42" s="88"/>
      <c r="BCE42" s="88"/>
      <c r="BCF42" s="88"/>
      <c r="BCG42" s="88"/>
      <c r="BCH42" s="88"/>
      <c r="BCI42" s="88"/>
      <c r="BCJ42" s="88"/>
      <c r="BCK42" s="88"/>
      <c r="BCL42" s="88"/>
      <c r="BCM42" s="88"/>
      <c r="BCN42" s="88"/>
      <c r="BCO42" s="88"/>
      <c r="BCP42" s="88"/>
      <c r="BCQ42" s="88"/>
      <c r="BCR42" s="88"/>
      <c r="BCS42" s="88"/>
      <c r="BCT42" s="88"/>
      <c r="BCU42" s="88"/>
      <c r="BCV42" s="88"/>
      <c r="BCW42" s="88"/>
      <c r="BCX42" s="88"/>
      <c r="BCY42" s="88"/>
      <c r="BCZ42" s="88"/>
      <c r="BDA42" s="88"/>
      <c r="BDB42" s="88"/>
      <c r="BDC42" s="88"/>
      <c r="BDD42" s="88"/>
      <c r="BDE42" s="88"/>
      <c r="BDF42" s="88"/>
      <c r="BDG42" s="88"/>
      <c r="BDH42" s="88"/>
      <c r="BDI42" s="88"/>
      <c r="BDJ42" s="88"/>
      <c r="BDK42" s="88"/>
      <c r="BDL42" s="88"/>
      <c r="BDM42" s="88"/>
      <c r="BDN42" s="88"/>
      <c r="BDO42" s="88"/>
      <c r="BDP42" s="88"/>
      <c r="BDQ42" s="88"/>
      <c r="BDR42" s="88"/>
      <c r="BDS42" s="88"/>
      <c r="BDT42" s="88"/>
      <c r="BDU42" s="88"/>
      <c r="BDV42" s="88"/>
      <c r="BDW42" s="88"/>
      <c r="BDX42" s="88"/>
      <c r="BDY42" s="88"/>
      <c r="BDZ42" s="88"/>
      <c r="BEA42" s="88"/>
      <c r="BEB42" s="88"/>
      <c r="BEC42" s="88"/>
      <c r="BED42" s="88"/>
      <c r="BEE42" s="88"/>
      <c r="BEF42" s="88"/>
      <c r="BEG42" s="88"/>
      <c r="BEH42" s="88"/>
      <c r="BEI42" s="88"/>
      <c r="BEJ42" s="88"/>
      <c r="BEK42" s="88"/>
      <c r="BEL42" s="88"/>
      <c r="BEM42" s="88"/>
      <c r="BEN42" s="88"/>
      <c r="BEO42" s="88"/>
      <c r="BEP42" s="88"/>
      <c r="BEQ42" s="88"/>
      <c r="BER42" s="88"/>
      <c r="BES42" s="88"/>
      <c r="BET42" s="88"/>
      <c r="BEU42" s="88"/>
      <c r="BEV42" s="88"/>
      <c r="BEW42" s="88"/>
      <c r="BEX42" s="88"/>
      <c r="BEY42" s="88"/>
      <c r="BEZ42" s="88"/>
      <c r="BFA42" s="88"/>
      <c r="BFB42" s="88"/>
      <c r="BFC42" s="88"/>
      <c r="BFD42" s="88"/>
      <c r="BFE42" s="88"/>
      <c r="BFF42" s="88"/>
      <c r="BFG42" s="88"/>
      <c r="BFH42" s="88"/>
      <c r="BFI42" s="88"/>
      <c r="BFJ42" s="88"/>
      <c r="BFK42" s="88"/>
      <c r="BFL42" s="88"/>
      <c r="BFM42" s="88"/>
      <c r="BFN42" s="88"/>
      <c r="BFO42" s="88"/>
      <c r="BFP42" s="88"/>
      <c r="BFQ42" s="88"/>
      <c r="BFR42" s="88"/>
      <c r="BFS42" s="88"/>
      <c r="BFT42" s="88"/>
      <c r="BFU42" s="88"/>
      <c r="BFV42" s="88"/>
      <c r="BFW42" s="88"/>
      <c r="BFX42" s="88"/>
      <c r="BFY42" s="88"/>
      <c r="BFZ42" s="88"/>
      <c r="BGA42" s="88"/>
      <c r="BGB42" s="88"/>
      <c r="BGC42" s="88"/>
      <c r="BGD42" s="88"/>
      <c r="BGE42" s="88"/>
      <c r="BGF42" s="88"/>
      <c r="BGG42" s="88"/>
      <c r="BGH42" s="88"/>
      <c r="BGI42" s="88"/>
      <c r="BGJ42" s="88"/>
      <c r="BGK42" s="88"/>
      <c r="BGL42" s="88"/>
      <c r="BGM42" s="88"/>
      <c r="BGN42" s="88"/>
      <c r="BGO42" s="88"/>
      <c r="BGP42" s="88"/>
      <c r="BGQ42" s="88"/>
      <c r="BGR42" s="88"/>
      <c r="BGS42" s="88"/>
      <c r="BGT42" s="88"/>
      <c r="BGU42" s="88"/>
      <c r="BGV42" s="88"/>
      <c r="BGW42" s="88"/>
      <c r="BGX42" s="88"/>
      <c r="BGY42" s="88"/>
      <c r="BGZ42" s="88"/>
      <c r="BHA42" s="88"/>
      <c r="BHB42" s="88"/>
      <c r="BHC42" s="88"/>
      <c r="BHD42" s="88"/>
      <c r="BHE42" s="88"/>
      <c r="BHF42" s="88"/>
      <c r="BHG42" s="88"/>
      <c r="BHH42" s="88"/>
      <c r="BHI42" s="88"/>
      <c r="BHJ42" s="88"/>
      <c r="BHK42" s="88"/>
      <c r="BHL42" s="88"/>
      <c r="BHM42" s="88"/>
      <c r="BHN42" s="88"/>
      <c r="BHO42" s="88"/>
      <c r="BHP42" s="88"/>
      <c r="BHQ42" s="88"/>
      <c r="BHR42" s="88"/>
      <c r="BHS42" s="88"/>
      <c r="BHT42" s="88"/>
      <c r="BHU42" s="88"/>
      <c r="BHV42" s="88"/>
      <c r="BHW42" s="88"/>
      <c r="BHX42" s="88"/>
      <c r="BHY42" s="88"/>
      <c r="BHZ42" s="88"/>
      <c r="BIA42" s="88"/>
      <c r="BIB42" s="88"/>
      <c r="BIC42" s="88"/>
      <c r="BID42" s="88"/>
      <c r="BIE42" s="88"/>
      <c r="BIF42" s="88"/>
      <c r="BIG42" s="88"/>
      <c r="BIH42" s="88"/>
      <c r="BII42" s="88"/>
      <c r="BIJ42" s="88"/>
      <c r="BIK42" s="88"/>
      <c r="BIL42" s="88"/>
      <c r="BIM42" s="88"/>
      <c r="BIN42" s="88"/>
      <c r="BIO42" s="88"/>
      <c r="BIP42" s="88"/>
      <c r="BIQ42" s="88"/>
      <c r="BIR42" s="88"/>
      <c r="BIS42" s="88"/>
      <c r="BIT42" s="88"/>
      <c r="BIU42" s="88"/>
      <c r="BIV42" s="88"/>
      <c r="BIW42" s="88"/>
      <c r="BIX42" s="88"/>
      <c r="BIY42" s="88"/>
      <c r="BIZ42" s="88"/>
      <c r="BJA42" s="88"/>
      <c r="BJB42" s="88"/>
      <c r="BJC42" s="88"/>
      <c r="BJD42" s="88"/>
      <c r="BJE42" s="88"/>
      <c r="BJF42" s="88"/>
      <c r="BJG42" s="88"/>
      <c r="BJH42" s="88"/>
      <c r="BJI42" s="88"/>
      <c r="BJJ42" s="88"/>
      <c r="BJK42" s="88"/>
      <c r="BJL42" s="88"/>
      <c r="BJM42" s="88"/>
      <c r="BJN42" s="88"/>
      <c r="BJO42" s="88"/>
      <c r="BJP42" s="88"/>
      <c r="BJQ42" s="88"/>
      <c r="BJR42" s="88"/>
      <c r="BJS42" s="88"/>
      <c r="BJT42" s="88"/>
      <c r="BJU42" s="88"/>
      <c r="BJV42" s="88"/>
      <c r="BJW42" s="88"/>
      <c r="BJX42" s="88"/>
      <c r="BJY42" s="88"/>
      <c r="BJZ42" s="88"/>
      <c r="BKA42" s="88"/>
      <c r="BKB42" s="88"/>
      <c r="BKC42" s="88"/>
      <c r="BKD42" s="88"/>
      <c r="BKE42" s="88"/>
      <c r="BKF42" s="88"/>
      <c r="BKG42" s="88"/>
      <c r="BKH42" s="88"/>
      <c r="BKI42" s="88"/>
      <c r="BKJ42" s="88"/>
      <c r="BKK42" s="88"/>
      <c r="BKL42" s="88"/>
      <c r="BKM42" s="88"/>
      <c r="BKN42" s="88"/>
      <c r="BKO42" s="88"/>
      <c r="BKP42" s="88"/>
      <c r="BKQ42" s="88"/>
      <c r="BKR42" s="88"/>
      <c r="BKS42" s="88"/>
      <c r="BKT42" s="88"/>
      <c r="BKU42" s="88"/>
      <c r="BKV42" s="88"/>
      <c r="BKW42" s="88"/>
      <c r="BKX42" s="88"/>
      <c r="BKY42" s="88"/>
      <c r="BKZ42" s="88"/>
      <c r="BLA42" s="88"/>
      <c r="BLB42" s="88"/>
      <c r="BLC42" s="88"/>
      <c r="BLD42" s="88"/>
      <c r="BLE42" s="88"/>
      <c r="BLF42" s="88"/>
      <c r="BLG42" s="88"/>
      <c r="BLH42" s="88"/>
      <c r="BLI42" s="88"/>
      <c r="BLJ42" s="88"/>
      <c r="BLK42" s="88"/>
      <c r="BLL42" s="88"/>
      <c r="BLM42" s="88"/>
      <c r="BLN42" s="88"/>
      <c r="BLO42" s="88"/>
      <c r="BLP42" s="88"/>
      <c r="BLQ42" s="88"/>
      <c r="BLR42" s="88"/>
      <c r="BLS42" s="88"/>
      <c r="BLT42" s="88"/>
      <c r="BLU42" s="88"/>
      <c r="BLV42" s="88"/>
      <c r="BLW42" s="88"/>
      <c r="BLX42" s="88"/>
      <c r="BLY42" s="88"/>
      <c r="BLZ42" s="88"/>
      <c r="BMA42" s="88"/>
      <c r="BMB42" s="88"/>
      <c r="BMC42" s="88"/>
      <c r="BMD42" s="88"/>
      <c r="BME42" s="88"/>
      <c r="BMF42" s="88"/>
      <c r="BMG42" s="88"/>
      <c r="BMH42" s="88"/>
      <c r="BMI42" s="88"/>
      <c r="BMJ42" s="88"/>
      <c r="BMK42" s="88"/>
      <c r="BML42" s="88"/>
      <c r="BMM42" s="88"/>
      <c r="BMN42" s="88"/>
      <c r="BMO42" s="88"/>
      <c r="BMP42" s="88"/>
      <c r="BMQ42" s="88"/>
      <c r="BMR42" s="88"/>
      <c r="BMS42" s="88"/>
      <c r="BMT42" s="88"/>
      <c r="BMU42" s="88"/>
      <c r="BMV42" s="88"/>
      <c r="BMW42" s="88"/>
      <c r="BMX42" s="88"/>
      <c r="BMY42" s="88"/>
      <c r="BMZ42" s="88"/>
      <c r="BNA42" s="88"/>
      <c r="BNB42" s="88"/>
      <c r="BNC42" s="88"/>
      <c r="BND42" s="88"/>
      <c r="BNE42" s="88"/>
      <c r="BNF42" s="88"/>
      <c r="BNG42" s="88"/>
      <c r="BNH42" s="88"/>
      <c r="BNI42" s="88"/>
      <c r="BNJ42" s="88"/>
      <c r="BNK42" s="88"/>
      <c r="BNL42" s="88"/>
      <c r="BNM42" s="88"/>
      <c r="BNN42" s="88"/>
      <c r="BNO42" s="88"/>
      <c r="BNP42" s="88"/>
      <c r="BNQ42" s="88"/>
      <c r="BNR42" s="88"/>
      <c r="BNS42" s="88"/>
      <c r="BNT42" s="88"/>
      <c r="BNU42" s="88"/>
      <c r="BNV42" s="88"/>
      <c r="BNW42" s="88"/>
      <c r="BNX42" s="88"/>
      <c r="BNY42" s="88"/>
      <c r="BNZ42" s="88"/>
      <c r="BOA42" s="88"/>
      <c r="BOB42" s="88"/>
      <c r="BOC42" s="88"/>
      <c r="BOD42" s="88"/>
      <c r="BOE42" s="88"/>
      <c r="BOF42" s="88"/>
      <c r="BOG42" s="88"/>
      <c r="BOH42" s="88"/>
      <c r="BOI42" s="88"/>
      <c r="BOJ42" s="88"/>
      <c r="BOK42" s="88"/>
      <c r="BOL42" s="88"/>
      <c r="BOM42" s="88"/>
      <c r="BON42" s="88"/>
      <c r="BOO42" s="88"/>
      <c r="BOP42" s="88"/>
      <c r="BOQ42" s="88"/>
      <c r="BOR42" s="88"/>
      <c r="BOS42" s="88"/>
      <c r="BOT42" s="88"/>
      <c r="BOU42" s="88"/>
      <c r="BOV42" s="88"/>
      <c r="BOW42" s="88"/>
      <c r="BOX42" s="88"/>
      <c r="BOY42" s="88"/>
      <c r="BOZ42" s="88"/>
      <c r="BPA42" s="88"/>
      <c r="BPB42" s="88"/>
      <c r="BPC42" s="88"/>
      <c r="BPD42" s="88"/>
      <c r="BPE42" s="88"/>
      <c r="BPF42" s="88"/>
      <c r="BPG42" s="88"/>
      <c r="BPH42" s="88"/>
      <c r="BPI42" s="88"/>
      <c r="BPJ42" s="88"/>
      <c r="BPK42" s="88"/>
      <c r="BPL42" s="88"/>
      <c r="BPM42" s="88"/>
      <c r="BPN42" s="88"/>
      <c r="BPO42" s="88"/>
      <c r="BPP42" s="88"/>
      <c r="BPQ42" s="88"/>
      <c r="BPR42" s="88"/>
      <c r="BPS42" s="88"/>
      <c r="BPT42" s="88"/>
      <c r="BPU42" s="88"/>
      <c r="BPV42" s="88"/>
      <c r="BPW42" s="88"/>
      <c r="BPX42" s="88"/>
      <c r="BPY42" s="88"/>
      <c r="BPZ42" s="88"/>
      <c r="BQA42" s="88"/>
      <c r="BQB42" s="88"/>
      <c r="BQC42" s="88"/>
      <c r="BQD42" s="88"/>
      <c r="BQE42" s="88"/>
      <c r="BQF42" s="88"/>
      <c r="BQG42" s="88"/>
      <c r="BQH42" s="88"/>
      <c r="BQI42" s="88"/>
      <c r="BQJ42" s="88"/>
      <c r="BQK42" s="88"/>
      <c r="BQL42" s="88"/>
      <c r="BQM42" s="88"/>
      <c r="BQN42" s="88"/>
      <c r="BQO42" s="88"/>
      <c r="BQP42" s="88"/>
      <c r="BQQ42" s="88"/>
      <c r="BQR42" s="88"/>
      <c r="BQS42" s="88"/>
      <c r="BQT42" s="88"/>
      <c r="BQU42" s="88"/>
      <c r="BQV42" s="88"/>
      <c r="BQW42" s="88"/>
      <c r="BQX42" s="88"/>
      <c r="BQY42" s="88"/>
      <c r="BQZ42" s="88"/>
      <c r="BRA42" s="88"/>
      <c r="BRB42" s="88"/>
      <c r="BRC42" s="88"/>
      <c r="BRD42" s="88"/>
      <c r="BRE42" s="88"/>
      <c r="BRF42" s="88"/>
      <c r="BRG42" s="88"/>
      <c r="BRH42" s="88"/>
      <c r="BRI42" s="88"/>
      <c r="BRJ42" s="88"/>
      <c r="BRK42" s="88"/>
      <c r="BRL42" s="88"/>
      <c r="BRM42" s="88"/>
      <c r="BRN42" s="88"/>
      <c r="BRO42" s="88"/>
      <c r="BRP42" s="88"/>
      <c r="BRQ42" s="88"/>
      <c r="BRR42" s="88"/>
      <c r="BRS42" s="88"/>
      <c r="BRT42" s="88"/>
      <c r="BRU42" s="88"/>
      <c r="BRV42" s="88"/>
      <c r="BRW42" s="88"/>
      <c r="BRX42" s="88"/>
      <c r="BRY42" s="88"/>
      <c r="BRZ42" s="88"/>
      <c r="BSA42" s="88"/>
      <c r="BSB42" s="88"/>
      <c r="BSC42" s="88"/>
      <c r="BSD42" s="88"/>
      <c r="BSE42" s="88"/>
      <c r="BSF42" s="88"/>
      <c r="BSG42" s="88"/>
      <c r="BSH42" s="88"/>
      <c r="BSI42" s="88"/>
      <c r="BSJ42" s="88"/>
      <c r="BSK42" s="88"/>
      <c r="BSL42" s="88"/>
      <c r="BSM42" s="88"/>
      <c r="BSN42" s="88"/>
      <c r="BSO42" s="88"/>
      <c r="BSP42" s="88"/>
      <c r="BSQ42" s="88"/>
      <c r="BSR42" s="88"/>
      <c r="BSS42" s="88"/>
      <c r="BST42" s="88"/>
      <c r="BSU42" s="88"/>
      <c r="BSV42" s="88"/>
      <c r="BSW42" s="88"/>
      <c r="BSX42" s="88"/>
      <c r="BSY42" s="88"/>
      <c r="BSZ42" s="88"/>
      <c r="BTA42" s="88"/>
      <c r="BTB42" s="88"/>
      <c r="BTC42" s="88"/>
      <c r="BTD42" s="88"/>
      <c r="BTE42" s="88"/>
      <c r="BTF42" s="88"/>
      <c r="BTG42" s="88"/>
      <c r="BTH42" s="88"/>
      <c r="BTI42" s="88"/>
      <c r="BTJ42" s="88"/>
      <c r="BTK42" s="88"/>
      <c r="BTL42" s="88"/>
      <c r="BTM42" s="88"/>
      <c r="BTN42" s="88"/>
      <c r="BTO42" s="88"/>
      <c r="BTP42" s="88"/>
      <c r="BTQ42" s="88"/>
      <c r="BTR42" s="88"/>
      <c r="BTS42" s="88"/>
      <c r="BTT42" s="88"/>
      <c r="BTU42" s="88"/>
      <c r="BTV42" s="88"/>
      <c r="BTW42" s="88"/>
      <c r="BTX42" s="88"/>
      <c r="BTY42" s="88"/>
      <c r="BTZ42" s="88"/>
      <c r="BUA42" s="88"/>
      <c r="BUB42" s="88"/>
      <c r="BUC42" s="88"/>
      <c r="BUD42" s="88"/>
      <c r="BUE42" s="88"/>
      <c r="BUF42" s="88"/>
      <c r="BUG42" s="88"/>
      <c r="BUH42" s="88"/>
      <c r="BUI42" s="88"/>
      <c r="BUJ42" s="88"/>
      <c r="BUK42" s="88"/>
      <c r="BUL42" s="88"/>
      <c r="BUM42" s="88"/>
      <c r="BUN42" s="88"/>
      <c r="BUO42" s="88"/>
      <c r="BUP42" s="88"/>
      <c r="BUQ42" s="88"/>
      <c r="BUR42" s="88"/>
      <c r="BUS42" s="88"/>
      <c r="BUT42" s="88"/>
      <c r="BUU42" s="88"/>
      <c r="BUV42" s="88"/>
      <c r="BUW42" s="88"/>
      <c r="BUX42" s="88"/>
      <c r="BUY42" s="88"/>
      <c r="BUZ42" s="88"/>
      <c r="BVA42" s="88"/>
      <c r="BVB42" s="88"/>
      <c r="BVC42" s="88"/>
      <c r="BVD42" s="88"/>
      <c r="BVE42" s="88"/>
      <c r="BVF42" s="88"/>
      <c r="BVG42" s="88"/>
      <c r="BVH42" s="88"/>
      <c r="BVI42" s="88"/>
      <c r="BVJ42" s="88"/>
      <c r="BVK42" s="88"/>
      <c r="BVL42" s="88"/>
      <c r="BVM42" s="88"/>
      <c r="BVN42" s="88"/>
      <c r="BVO42" s="88"/>
      <c r="BVP42" s="88"/>
      <c r="BVQ42" s="88"/>
      <c r="BVR42" s="88"/>
      <c r="BVS42" s="88"/>
      <c r="BVT42" s="88"/>
      <c r="BVU42" s="88"/>
      <c r="BVV42" s="88"/>
      <c r="BVW42" s="88"/>
      <c r="BVX42" s="88"/>
      <c r="BVY42" s="88"/>
      <c r="BVZ42" s="88"/>
      <c r="BWA42" s="88"/>
      <c r="BWB42" s="88"/>
      <c r="BWC42" s="88"/>
      <c r="BWD42" s="88"/>
      <c r="BWE42" s="88"/>
      <c r="BWF42" s="88"/>
      <c r="BWG42" s="88"/>
      <c r="BWH42" s="88"/>
      <c r="BWI42" s="88"/>
      <c r="BWJ42" s="88"/>
      <c r="BWK42" s="88"/>
      <c r="BWL42" s="88"/>
      <c r="BWM42" s="88"/>
      <c r="BWN42" s="88"/>
      <c r="BWO42" s="88"/>
      <c r="BWP42" s="88"/>
      <c r="BWQ42" s="88"/>
      <c r="BWR42" s="88"/>
      <c r="BWS42" s="88"/>
      <c r="BWT42" s="88"/>
      <c r="BWU42" s="88"/>
      <c r="BWV42" s="88"/>
      <c r="BWW42" s="88"/>
      <c r="BWX42" s="88"/>
      <c r="BWY42" s="88"/>
      <c r="BWZ42" s="88"/>
      <c r="BXA42" s="88"/>
      <c r="BXB42" s="88"/>
      <c r="BXC42" s="88"/>
      <c r="BXD42" s="88"/>
      <c r="BXE42" s="88"/>
      <c r="BXF42" s="88"/>
      <c r="BXG42" s="88"/>
      <c r="BXH42" s="88"/>
      <c r="BXI42" s="88"/>
      <c r="BXJ42" s="88"/>
      <c r="BXK42" s="88"/>
      <c r="BXL42" s="88"/>
      <c r="BXM42" s="88"/>
      <c r="BXN42" s="88"/>
      <c r="BXO42" s="88"/>
      <c r="BXP42" s="88"/>
      <c r="BXQ42" s="88"/>
      <c r="BXR42" s="88"/>
      <c r="BXS42" s="88"/>
      <c r="BXT42" s="88"/>
      <c r="BXU42" s="88"/>
      <c r="BXV42" s="88"/>
      <c r="BXW42" s="88"/>
      <c r="BXX42" s="88"/>
      <c r="BXY42" s="88"/>
      <c r="BXZ42" s="88"/>
      <c r="BYA42" s="88"/>
      <c r="BYB42" s="88"/>
      <c r="BYC42" s="88"/>
      <c r="BYD42" s="88"/>
      <c r="BYE42" s="88"/>
      <c r="BYF42" s="88"/>
      <c r="BYG42" s="88"/>
      <c r="BYH42" s="88"/>
      <c r="BYI42" s="88"/>
      <c r="BYJ42" s="88"/>
      <c r="BYK42" s="88"/>
      <c r="BYL42" s="88"/>
      <c r="BYM42" s="88"/>
      <c r="BYN42" s="88"/>
      <c r="BYO42" s="88"/>
      <c r="BYP42" s="88"/>
      <c r="BYQ42" s="88"/>
      <c r="BYR42" s="88"/>
      <c r="BYS42" s="88"/>
      <c r="BYT42" s="88"/>
      <c r="BYU42" s="88"/>
      <c r="BYV42" s="88"/>
      <c r="BYW42" s="88"/>
      <c r="BYX42" s="88"/>
      <c r="BYY42" s="88"/>
      <c r="BYZ42" s="88"/>
      <c r="BZA42" s="88"/>
      <c r="BZB42" s="88"/>
      <c r="BZC42" s="88"/>
      <c r="BZD42" s="88"/>
      <c r="BZE42" s="88"/>
      <c r="BZF42" s="88"/>
      <c r="BZG42" s="88"/>
      <c r="BZH42" s="88"/>
      <c r="BZI42" s="88"/>
      <c r="BZJ42" s="88"/>
      <c r="BZK42" s="88"/>
      <c r="BZL42" s="88"/>
      <c r="BZM42" s="88"/>
      <c r="BZN42" s="88"/>
      <c r="BZO42" s="88"/>
      <c r="BZP42" s="88"/>
      <c r="BZQ42" s="88"/>
      <c r="BZR42" s="88"/>
      <c r="BZS42" s="88"/>
      <c r="BZT42" s="88"/>
      <c r="BZU42" s="88"/>
      <c r="BZV42" s="88"/>
      <c r="BZW42" s="88"/>
      <c r="BZX42" s="88"/>
      <c r="BZY42" s="88"/>
      <c r="BZZ42" s="88"/>
      <c r="CAA42" s="88"/>
      <c r="CAB42" s="88"/>
      <c r="CAC42" s="88"/>
      <c r="CAD42" s="88"/>
      <c r="CAE42" s="88"/>
      <c r="CAF42" s="88"/>
      <c r="CAG42" s="88"/>
      <c r="CAH42" s="88"/>
      <c r="CAI42" s="88"/>
      <c r="CAJ42" s="88"/>
      <c r="CAK42" s="88"/>
      <c r="CAL42" s="88"/>
      <c r="CAM42" s="88"/>
      <c r="CAN42" s="88"/>
      <c r="CAO42" s="88"/>
      <c r="CAP42" s="88"/>
      <c r="CAQ42" s="88"/>
      <c r="CAR42" s="88"/>
      <c r="CAS42" s="88"/>
      <c r="CAT42" s="88"/>
      <c r="CAU42" s="88"/>
      <c r="CAV42" s="88"/>
      <c r="CAW42" s="88"/>
      <c r="CAX42" s="88"/>
      <c r="CAY42" s="88"/>
      <c r="CAZ42" s="88"/>
      <c r="CBA42" s="88"/>
      <c r="CBB42" s="88"/>
      <c r="CBC42" s="88"/>
      <c r="CBD42" s="88"/>
      <c r="CBE42" s="88"/>
      <c r="CBF42" s="88"/>
      <c r="CBG42" s="88"/>
      <c r="CBH42" s="88"/>
      <c r="CBI42" s="88"/>
      <c r="CBJ42" s="88"/>
      <c r="CBK42" s="88"/>
      <c r="CBL42" s="88"/>
      <c r="CBM42" s="88"/>
      <c r="CBN42" s="88"/>
      <c r="CBO42" s="88"/>
      <c r="CBP42" s="88"/>
      <c r="CBQ42" s="88"/>
      <c r="CBR42" s="88"/>
      <c r="CBS42" s="88"/>
      <c r="CBT42" s="88"/>
      <c r="CBU42" s="88"/>
      <c r="CBV42" s="88"/>
      <c r="CBW42" s="88"/>
      <c r="CBX42" s="88"/>
      <c r="CBY42" s="88"/>
      <c r="CBZ42" s="88"/>
      <c r="CCA42" s="88"/>
      <c r="CCB42" s="88"/>
      <c r="CCC42" s="88"/>
      <c r="CCD42" s="88"/>
      <c r="CCE42" s="88"/>
      <c r="CCF42" s="88"/>
      <c r="CCG42" s="88"/>
      <c r="CCH42" s="88"/>
      <c r="CCI42" s="88"/>
      <c r="CCJ42" s="88"/>
      <c r="CCK42" s="88"/>
      <c r="CCL42" s="88"/>
      <c r="CCM42" s="88"/>
      <c r="CCN42" s="88"/>
      <c r="CCO42" s="88"/>
      <c r="CCP42" s="88"/>
      <c r="CCQ42" s="88"/>
      <c r="CCR42" s="88"/>
      <c r="CCS42" s="88"/>
      <c r="CCT42" s="88"/>
      <c r="CCU42" s="88"/>
      <c r="CCV42" s="88"/>
      <c r="CCW42" s="88"/>
      <c r="CCX42" s="88"/>
      <c r="CCY42" s="88"/>
      <c r="CCZ42" s="88"/>
      <c r="CDA42" s="88"/>
      <c r="CDB42" s="88"/>
      <c r="CDC42" s="88"/>
      <c r="CDD42" s="88"/>
      <c r="CDE42" s="88"/>
      <c r="CDF42" s="88"/>
      <c r="CDG42" s="88"/>
      <c r="CDH42" s="88"/>
      <c r="CDI42" s="88"/>
      <c r="CDJ42" s="88"/>
      <c r="CDK42" s="88"/>
      <c r="CDL42" s="88"/>
      <c r="CDM42" s="88"/>
      <c r="CDN42" s="88"/>
      <c r="CDO42" s="88"/>
      <c r="CDP42" s="88"/>
      <c r="CDQ42" s="88"/>
      <c r="CDR42" s="88"/>
      <c r="CDS42" s="88"/>
      <c r="CDT42" s="88"/>
      <c r="CDU42" s="88"/>
      <c r="CDV42" s="88"/>
      <c r="CDW42" s="88"/>
      <c r="CDX42" s="88"/>
      <c r="CDY42" s="88"/>
      <c r="CDZ42" s="88"/>
      <c r="CEA42" s="88"/>
      <c r="CEB42" s="88"/>
      <c r="CEC42" s="88"/>
      <c r="CED42" s="88"/>
      <c r="CEE42" s="88"/>
      <c r="CEF42" s="88"/>
      <c r="CEG42" s="88"/>
      <c r="CEH42" s="88"/>
      <c r="CEI42" s="88"/>
      <c r="CEJ42" s="88"/>
      <c r="CEK42" s="88"/>
    </row>
    <row r="43" spans="1:2169" s="63" customFormat="1">
      <c r="A43" s="73" t="s">
        <v>2873</v>
      </c>
      <c r="B43" s="71" t="s">
        <v>2874</v>
      </c>
      <c r="C43" s="68" t="str">
        <f>IF('page 2'!$O$4="","",IF('page 2'!$O$4=Gestion!A43,1,0))</f>
        <v/>
      </c>
      <c r="D43" s="68" t="str">
        <f>IF('page 2'!$O$5="","",IF('page 2'!$O$5=Gestion!A43,1,0))</f>
        <v/>
      </c>
      <c r="E43" s="68" t="str">
        <f>IF('page 2'!$O$6="","",IF('page 2'!$O$6=Gestion!A43,1,0))</f>
        <v/>
      </c>
      <c r="F43" s="68" t="str">
        <f>IF('page 2'!$O$7="","",IF('page 2'!$O$7=Gestion!A43,1,0))</f>
        <v/>
      </c>
      <c r="G43" s="68" t="str">
        <f>IF('page 2'!$O$8="","",IF('page 2'!$O$8=Gestion!A43,1,0))</f>
        <v/>
      </c>
      <c r="H43" s="68" t="str">
        <f>IF('page 2'!$O$9="","",IF('page 2'!$O$9=Gestion!A43,1,0))</f>
        <v/>
      </c>
      <c r="I43" s="68" t="str">
        <f>IF('page 2'!$O$10="","",IF('page 2'!$O$10=Gestion!A43,1,0))</f>
        <v/>
      </c>
      <c r="J43" s="68" t="str">
        <f>IF('page 2'!$O$11="","",IF('page 2'!$O$11=Gestion!A43,1,0))</f>
        <v/>
      </c>
      <c r="K43" s="68" t="str">
        <f>IF('page 2'!$O$12="","",IF('page 2'!$O$12=Gestion!A43,1,0))</f>
        <v/>
      </c>
      <c r="L43" s="68" t="str">
        <f>IF('page 2'!$O$13="","",IF('page 2'!$O$13=Gestion!A43,1,0))</f>
        <v/>
      </c>
      <c r="M43" s="68" t="str">
        <f>IF('page 2'!$O$14="","",IF('page 2'!$O$14=Gestion!A43,1,0))</f>
        <v/>
      </c>
      <c r="N43" s="68" t="str">
        <f>IF('page 2'!$O$15="","",IF('page 2'!$O$15=Gestion!A43,1,0))</f>
        <v/>
      </c>
      <c r="O43" s="68" t="str">
        <f>IF('page 2'!$O$16="","",IF('page 2'!$O$16=Gestion!A43,1,0))</f>
        <v/>
      </c>
      <c r="P43" s="68" t="str">
        <f>IF('page 2'!$O$17="","",IF('page 2'!$O$17=Gestion!A43,1,0))</f>
        <v/>
      </c>
      <c r="Q43" s="68" t="str">
        <f>IF('page 2'!$O$18="","",IF('page 2'!$O$18=Gestion!A43,1,0))</f>
        <v/>
      </c>
      <c r="R43" s="68" t="str">
        <f>IF('page 2'!$O$19="","",IF('page 2'!$O$19=Gestion!A43,1,0))</f>
        <v/>
      </c>
      <c r="S43" s="68" t="str">
        <f>IF('page 2'!$O$20="","",IF('page 2'!$O$20=Gestion!A43,1,0))</f>
        <v/>
      </c>
      <c r="T43" s="68" t="str">
        <f>IF('page 2'!$O$25="","",IF('page 2'!$O$25=Gestion!A43,1,0))</f>
        <v/>
      </c>
      <c r="U43" s="68" t="str">
        <f>IF('page 2'!$O$26="","",IF('page 2'!$O$26=Gestion!A43,1,0))</f>
        <v/>
      </c>
      <c r="V43" s="68" t="str">
        <f>IF('page 2'!$O$27="","",IF('page 2'!$O$27=Gestion!A43,1,0))</f>
        <v/>
      </c>
      <c r="W43" s="722">
        <f t="shared" si="0"/>
        <v>0</v>
      </c>
      <c r="X43" s="714"/>
      <c r="Y43" s="68"/>
      <c r="Z43" s="68"/>
      <c r="AA43" s="68"/>
      <c r="AB43" s="68"/>
      <c r="AC43" s="68"/>
      <c r="AD43" s="68"/>
      <c r="AP43" s="130"/>
      <c r="AQ43" s="130"/>
      <c r="AR43" s="130"/>
      <c r="AS43" s="602"/>
      <c r="AT43" s="602"/>
      <c r="AU43" s="602"/>
      <c r="AV43" s="602"/>
      <c r="AW43" s="602"/>
      <c r="AX43" s="602"/>
      <c r="AY43" s="602"/>
      <c r="AZ43" s="602"/>
      <c r="BA43" s="602"/>
      <c r="BB43" s="602"/>
      <c r="BC43" s="602"/>
      <c r="BD43" s="602"/>
      <c r="BE43" s="602"/>
      <c r="BF43" s="602"/>
      <c r="BG43" s="602"/>
      <c r="BH43" s="602"/>
      <c r="BI43" s="602"/>
      <c r="BJ43" s="602"/>
      <c r="BK43" s="602"/>
      <c r="BL43" s="602"/>
      <c r="BM43" s="602"/>
      <c r="BN43" s="602"/>
      <c r="BO43" s="602"/>
      <c r="BP43" s="602"/>
      <c r="BQ43" s="602"/>
      <c r="BR43" s="602"/>
      <c r="BS43" s="602"/>
      <c r="BT43" s="602"/>
      <c r="BU43" s="602"/>
      <c r="BV43" s="602"/>
      <c r="BW43" s="602"/>
      <c r="BX43" s="602"/>
      <c r="BY43" s="602"/>
      <c r="BZ43" s="602"/>
      <c r="CA43" s="602"/>
      <c r="CB43" s="602"/>
      <c r="CC43" s="602"/>
      <c r="CD43" s="469"/>
      <c r="CE43" s="602"/>
      <c r="CF43" s="602"/>
      <c r="CG43" s="602"/>
      <c r="CH43" s="602"/>
      <c r="CI43" s="602"/>
      <c r="CJ43" s="602"/>
      <c r="CK43" s="602"/>
      <c r="CL43" s="602"/>
      <c r="CM43" s="602"/>
      <c r="CN43" s="602"/>
      <c r="CO43" s="602"/>
      <c r="CP43" s="602"/>
      <c r="CQ43" s="602"/>
      <c r="CR43" s="602"/>
      <c r="CS43" s="602"/>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c r="MI43" s="88"/>
      <c r="MJ43" s="88"/>
      <c r="MK43" s="88"/>
      <c r="ML43" s="88"/>
      <c r="MM43" s="88"/>
      <c r="MN43" s="88"/>
      <c r="MO43" s="88"/>
      <c r="MP43" s="88"/>
      <c r="MQ43" s="88"/>
      <c r="MR43" s="88"/>
      <c r="MS43" s="88"/>
      <c r="MT43" s="88"/>
      <c r="MU43" s="88"/>
      <c r="MV43" s="88"/>
      <c r="MW43" s="88"/>
      <c r="MX43" s="88"/>
      <c r="MY43" s="88"/>
      <c r="MZ43" s="88"/>
      <c r="NA43" s="88"/>
      <c r="NB43" s="88"/>
      <c r="NC43" s="88"/>
      <c r="ND43" s="88"/>
      <c r="NE43" s="88"/>
      <c r="NF43" s="88"/>
      <c r="NG43" s="88"/>
      <c r="NH43" s="88"/>
      <c r="NI43" s="88"/>
      <c r="NJ43" s="88"/>
      <c r="NK43" s="88"/>
      <c r="NL43" s="88"/>
      <c r="NM43" s="88"/>
      <c r="NN43" s="88"/>
      <c r="NO43" s="88"/>
      <c r="NP43" s="88"/>
      <c r="NQ43" s="88"/>
      <c r="NR43" s="88"/>
      <c r="NS43" s="88"/>
      <c r="NT43" s="88"/>
      <c r="NU43" s="88"/>
      <c r="NV43" s="88"/>
      <c r="NW43" s="88"/>
      <c r="NX43" s="88"/>
      <c r="NY43" s="88"/>
      <c r="NZ43" s="88"/>
      <c r="OA43" s="88"/>
      <c r="OB43" s="88"/>
      <c r="OC43" s="88"/>
      <c r="OD43" s="88"/>
      <c r="OE43" s="88"/>
      <c r="OF43" s="88"/>
      <c r="OG43" s="88"/>
      <c r="OH43" s="88"/>
      <c r="OI43" s="88"/>
      <c r="OJ43" s="88"/>
      <c r="OK43" s="88"/>
      <c r="OL43" s="88"/>
      <c r="OM43" s="88"/>
      <c r="ON43" s="88"/>
      <c r="OO43" s="88"/>
      <c r="OP43" s="88"/>
      <c r="OQ43" s="88"/>
      <c r="OR43" s="88"/>
      <c r="OS43" s="88"/>
      <c r="OT43" s="88"/>
      <c r="OU43" s="88"/>
      <c r="OV43" s="88"/>
      <c r="OW43" s="88"/>
      <c r="OX43" s="88"/>
      <c r="OY43" s="88"/>
      <c r="OZ43" s="88"/>
      <c r="PA43" s="88"/>
      <c r="PB43" s="88"/>
      <c r="PC43" s="88"/>
      <c r="PD43" s="88"/>
      <c r="PE43" s="88"/>
      <c r="PF43" s="88"/>
      <c r="PG43" s="88"/>
      <c r="PH43" s="88"/>
      <c r="PI43" s="88"/>
      <c r="PJ43" s="88"/>
      <c r="PK43" s="88"/>
      <c r="PL43" s="88"/>
      <c r="PM43" s="88"/>
      <c r="PN43" s="88"/>
      <c r="PO43" s="88"/>
      <c r="PP43" s="88"/>
      <c r="PQ43" s="88"/>
      <c r="PR43" s="88"/>
      <c r="PS43" s="88"/>
      <c r="PT43" s="88"/>
      <c r="PU43" s="88"/>
      <c r="PV43" s="88"/>
      <c r="PW43" s="88"/>
      <c r="PX43" s="88"/>
      <c r="PY43" s="88"/>
      <c r="PZ43" s="88"/>
      <c r="QA43" s="88"/>
      <c r="QB43" s="88"/>
      <c r="QC43" s="88"/>
      <c r="QD43" s="88"/>
      <c r="QE43" s="88"/>
      <c r="QF43" s="88"/>
      <c r="QG43" s="88"/>
      <c r="QH43" s="88"/>
      <c r="QI43" s="88"/>
      <c r="QJ43" s="88"/>
      <c r="QK43" s="88"/>
      <c r="QL43" s="88"/>
      <c r="QM43" s="88"/>
      <c r="QN43" s="88"/>
      <c r="QO43" s="88"/>
      <c r="QP43" s="88"/>
      <c r="QQ43" s="88"/>
      <c r="QR43" s="88"/>
      <c r="QS43" s="88"/>
      <c r="QT43" s="88"/>
      <c r="QU43" s="88"/>
      <c r="QV43" s="88"/>
      <c r="QW43" s="88"/>
      <c r="QX43" s="88"/>
      <c r="QY43" s="88"/>
      <c r="QZ43" s="88"/>
      <c r="RA43" s="88"/>
      <c r="RB43" s="88"/>
      <c r="RC43" s="88"/>
      <c r="RD43" s="88"/>
      <c r="RE43" s="88"/>
      <c r="RF43" s="88"/>
      <c r="RG43" s="88"/>
      <c r="RH43" s="88"/>
      <c r="RI43" s="88"/>
      <c r="RJ43" s="88"/>
      <c r="RK43" s="88"/>
      <c r="RL43" s="88"/>
      <c r="RM43" s="88"/>
      <c r="RN43" s="88"/>
      <c r="RO43" s="88"/>
      <c r="RP43" s="88"/>
      <c r="RQ43" s="88"/>
      <c r="RR43" s="88"/>
      <c r="RS43" s="88"/>
      <c r="RT43" s="88"/>
      <c r="RU43" s="88"/>
      <c r="RV43" s="88"/>
      <c r="RW43" s="88"/>
      <c r="RX43" s="88"/>
      <c r="RY43" s="88"/>
      <c r="RZ43" s="88"/>
      <c r="SA43" s="88"/>
      <c r="SB43" s="88"/>
      <c r="SC43" s="88"/>
      <c r="SD43" s="88"/>
      <c r="SE43" s="88"/>
      <c r="SF43" s="88"/>
      <c r="SG43" s="88"/>
      <c r="SH43" s="88"/>
      <c r="SI43" s="88"/>
      <c r="SJ43" s="88"/>
      <c r="SK43" s="88"/>
      <c r="SL43" s="88"/>
      <c r="SM43" s="88"/>
      <c r="SN43" s="88"/>
      <c r="SO43" s="88"/>
      <c r="SP43" s="88"/>
      <c r="SQ43" s="88"/>
      <c r="SR43" s="88"/>
      <c r="SS43" s="88"/>
      <c r="ST43" s="88"/>
      <c r="SU43" s="88"/>
      <c r="SV43" s="88"/>
      <c r="SW43" s="88"/>
      <c r="SX43" s="88"/>
      <c r="SY43" s="88"/>
      <c r="SZ43" s="88"/>
      <c r="TA43" s="88"/>
      <c r="TB43" s="88"/>
      <c r="TC43" s="88"/>
      <c r="TD43" s="88"/>
      <c r="TE43" s="88"/>
      <c r="TF43" s="88"/>
      <c r="TG43" s="88"/>
      <c r="TH43" s="88"/>
      <c r="TI43" s="88"/>
      <c r="TJ43" s="88"/>
      <c r="TK43" s="88"/>
      <c r="TL43" s="88"/>
      <c r="TM43" s="88"/>
      <c r="TN43" s="88"/>
      <c r="TO43" s="88"/>
      <c r="TP43" s="88"/>
      <c r="TQ43" s="88"/>
      <c r="TR43" s="88"/>
      <c r="TS43" s="88"/>
      <c r="TT43" s="88"/>
      <c r="TU43" s="88"/>
      <c r="TV43" s="88"/>
      <c r="TW43" s="88"/>
      <c r="TX43" s="88"/>
      <c r="TY43" s="88"/>
      <c r="TZ43" s="88"/>
      <c r="UA43" s="88"/>
      <c r="UB43" s="88"/>
      <c r="UC43" s="88"/>
      <c r="UD43" s="88"/>
      <c r="UE43" s="88"/>
      <c r="UF43" s="88"/>
      <c r="UG43" s="88"/>
      <c r="UH43" s="88"/>
      <c r="UI43" s="88"/>
      <c r="UJ43" s="88"/>
      <c r="UK43" s="88"/>
      <c r="UL43" s="88"/>
      <c r="UM43" s="88"/>
      <c r="UN43" s="88"/>
      <c r="UO43" s="88"/>
      <c r="UP43" s="88"/>
      <c r="UQ43" s="88"/>
      <c r="UR43" s="88"/>
      <c r="US43" s="88"/>
      <c r="UT43" s="88"/>
      <c r="UU43" s="88"/>
      <c r="UV43" s="88"/>
      <c r="UW43" s="88"/>
      <c r="UX43" s="88"/>
      <c r="UY43" s="88"/>
      <c r="UZ43" s="88"/>
      <c r="VA43" s="88"/>
      <c r="VB43" s="88"/>
      <c r="VC43" s="88"/>
      <c r="VD43" s="88"/>
      <c r="VE43" s="88"/>
      <c r="VF43" s="88"/>
      <c r="VG43" s="88"/>
      <c r="VH43" s="88"/>
      <c r="VI43" s="88"/>
      <c r="VJ43" s="88"/>
      <c r="VK43" s="88"/>
      <c r="VL43" s="88"/>
      <c r="VM43" s="88"/>
      <c r="VN43" s="88"/>
      <c r="VO43" s="88"/>
      <c r="VP43" s="88"/>
      <c r="VQ43" s="88"/>
      <c r="VR43" s="88"/>
      <c r="VS43" s="88"/>
      <c r="VT43" s="88"/>
      <c r="VU43" s="88"/>
      <c r="VV43" s="88"/>
      <c r="VW43" s="88"/>
      <c r="VX43" s="88"/>
      <c r="VY43" s="88"/>
      <c r="VZ43" s="88"/>
      <c r="WA43" s="88"/>
      <c r="WB43" s="88"/>
      <c r="WC43" s="88"/>
      <c r="WD43" s="88"/>
      <c r="WE43" s="88"/>
      <c r="WF43" s="88"/>
      <c r="WG43" s="88"/>
      <c r="WH43" s="88"/>
      <c r="WI43" s="88"/>
      <c r="WJ43" s="88"/>
      <c r="WK43" s="88"/>
      <c r="WL43" s="88"/>
      <c r="WM43" s="88"/>
      <c r="WN43" s="88"/>
      <c r="WO43" s="88"/>
      <c r="WP43" s="88"/>
      <c r="WQ43" s="88"/>
      <c r="WR43" s="88"/>
      <c r="WS43" s="88"/>
      <c r="WT43" s="88"/>
      <c r="WU43" s="88"/>
      <c r="WV43" s="88"/>
      <c r="WW43" s="88"/>
      <c r="WX43" s="88"/>
      <c r="WY43" s="88"/>
      <c r="WZ43" s="88"/>
      <c r="XA43" s="88"/>
      <c r="XB43" s="88"/>
      <c r="XC43" s="88"/>
      <c r="XD43" s="88"/>
      <c r="XE43" s="88"/>
      <c r="XF43" s="88"/>
      <c r="XG43" s="88"/>
      <c r="XH43" s="88"/>
      <c r="XI43" s="88"/>
      <c r="XJ43" s="88"/>
      <c r="XK43" s="88"/>
      <c r="XL43" s="88"/>
      <c r="XM43" s="88"/>
      <c r="XN43" s="88"/>
      <c r="XO43" s="88"/>
      <c r="XP43" s="88"/>
      <c r="XQ43" s="88"/>
      <c r="XR43" s="88"/>
      <c r="XS43" s="88"/>
      <c r="XT43" s="88"/>
      <c r="XU43" s="88"/>
      <c r="XV43" s="88"/>
      <c r="XW43" s="88"/>
      <c r="XX43" s="88"/>
      <c r="XY43" s="88"/>
      <c r="XZ43" s="88"/>
      <c r="YA43" s="88"/>
      <c r="YB43" s="88"/>
      <c r="YC43" s="88"/>
      <c r="YD43" s="88"/>
      <c r="YE43" s="88"/>
      <c r="YF43" s="88"/>
      <c r="YG43" s="88"/>
      <c r="YH43" s="88"/>
      <c r="YI43" s="88"/>
      <c r="YJ43" s="88"/>
      <c r="YK43" s="88"/>
      <c r="YL43" s="88"/>
      <c r="YM43" s="88"/>
      <c r="YN43" s="88"/>
      <c r="YO43" s="88"/>
      <c r="YP43" s="88"/>
      <c r="YQ43" s="88"/>
      <c r="YR43" s="88"/>
      <c r="YS43" s="88"/>
      <c r="YT43" s="88"/>
      <c r="YU43" s="88"/>
      <c r="YV43" s="88"/>
      <c r="YW43" s="88"/>
      <c r="YX43" s="88"/>
      <c r="YY43" s="88"/>
      <c r="YZ43" s="88"/>
      <c r="ZA43" s="88"/>
      <c r="ZB43" s="88"/>
      <c r="ZC43" s="88"/>
      <c r="ZD43" s="88"/>
      <c r="ZE43" s="88"/>
      <c r="ZF43" s="88"/>
      <c r="ZG43" s="88"/>
      <c r="ZH43" s="88"/>
      <c r="ZI43" s="88"/>
      <c r="ZJ43" s="88"/>
      <c r="ZK43" s="88"/>
      <c r="ZL43" s="88"/>
      <c r="ZM43" s="88"/>
      <c r="ZN43" s="88"/>
      <c r="ZO43" s="88"/>
      <c r="ZP43" s="88"/>
      <c r="ZQ43" s="88"/>
      <c r="ZR43" s="88"/>
      <c r="ZS43" s="88"/>
      <c r="ZT43" s="88"/>
      <c r="ZU43" s="88"/>
      <c r="ZV43" s="88"/>
      <c r="ZW43" s="88"/>
      <c r="ZX43" s="88"/>
      <c r="ZY43" s="88"/>
      <c r="ZZ43" s="88"/>
      <c r="AAA43" s="88"/>
      <c r="AAB43" s="88"/>
      <c r="AAC43" s="88"/>
      <c r="AAD43" s="88"/>
      <c r="AAE43" s="88"/>
      <c r="AAF43" s="88"/>
      <c r="AAG43" s="88"/>
      <c r="AAH43" s="88"/>
      <c r="AAI43" s="88"/>
      <c r="AAJ43" s="88"/>
      <c r="AAK43" s="88"/>
      <c r="AAL43" s="88"/>
      <c r="AAM43" s="88"/>
      <c r="AAN43" s="88"/>
      <c r="AAO43" s="88"/>
      <c r="AAP43" s="88"/>
      <c r="AAQ43" s="88"/>
      <c r="AAR43" s="88"/>
      <c r="AAS43" s="88"/>
      <c r="AAT43" s="88"/>
      <c r="AAU43" s="88"/>
      <c r="AAV43" s="88"/>
      <c r="AAW43" s="88"/>
      <c r="AAX43" s="88"/>
      <c r="AAY43" s="88"/>
      <c r="AAZ43" s="88"/>
      <c r="ABA43" s="88"/>
      <c r="ABB43" s="88"/>
      <c r="ABC43" s="88"/>
      <c r="ABD43" s="88"/>
      <c r="ABE43" s="88"/>
      <c r="ABF43" s="88"/>
      <c r="ABG43" s="88"/>
      <c r="ABH43" s="88"/>
      <c r="ABI43" s="88"/>
      <c r="ABJ43" s="88"/>
      <c r="ABK43" s="88"/>
      <c r="ABL43" s="88"/>
      <c r="ABM43" s="88"/>
      <c r="ABN43" s="88"/>
      <c r="ABO43" s="88"/>
      <c r="ABP43" s="88"/>
      <c r="ABQ43" s="88"/>
      <c r="ABR43" s="88"/>
      <c r="ABS43" s="88"/>
      <c r="ABT43" s="88"/>
      <c r="ABU43" s="88"/>
      <c r="ABV43" s="88"/>
      <c r="ABW43" s="88"/>
      <c r="ABX43" s="88"/>
      <c r="ABY43" s="88"/>
      <c r="ABZ43" s="88"/>
      <c r="ACA43" s="88"/>
      <c r="ACB43" s="88"/>
      <c r="ACC43" s="88"/>
      <c r="ACD43" s="88"/>
      <c r="ACE43" s="88"/>
      <c r="ACF43" s="88"/>
      <c r="ACG43" s="88"/>
      <c r="ACH43" s="88"/>
      <c r="ACI43" s="88"/>
      <c r="ACJ43" s="88"/>
      <c r="ACK43" s="88"/>
      <c r="ACL43" s="88"/>
      <c r="ACM43" s="88"/>
      <c r="ACN43" s="88"/>
      <c r="ACO43" s="88"/>
      <c r="ACP43" s="88"/>
      <c r="ACQ43" s="88"/>
      <c r="ACR43" s="88"/>
      <c r="ACS43" s="88"/>
      <c r="ACT43" s="88"/>
      <c r="ACU43" s="88"/>
      <c r="ACV43" s="88"/>
      <c r="ACW43" s="88"/>
      <c r="ACX43" s="88"/>
      <c r="ACY43" s="88"/>
      <c r="ACZ43" s="88"/>
      <c r="ADA43" s="88"/>
      <c r="ADB43" s="88"/>
      <c r="ADC43" s="88"/>
      <c r="ADD43" s="88"/>
      <c r="ADE43" s="88"/>
      <c r="ADF43" s="88"/>
      <c r="ADG43" s="88"/>
      <c r="ADH43" s="88"/>
      <c r="ADI43" s="88"/>
      <c r="ADJ43" s="88"/>
      <c r="ADK43" s="88"/>
      <c r="ADL43" s="88"/>
      <c r="ADM43" s="88"/>
      <c r="ADN43" s="88"/>
      <c r="ADO43" s="88"/>
      <c r="ADP43" s="88"/>
      <c r="ADQ43" s="88"/>
      <c r="ADR43" s="88"/>
      <c r="ADS43" s="88"/>
      <c r="ADT43" s="88"/>
      <c r="ADU43" s="88"/>
      <c r="ADV43" s="88"/>
      <c r="ADW43" s="88"/>
      <c r="ADX43" s="88"/>
      <c r="ADY43" s="88"/>
      <c r="ADZ43" s="88"/>
      <c r="AEA43" s="88"/>
      <c r="AEB43" s="88"/>
      <c r="AEC43" s="88"/>
      <c r="AED43" s="88"/>
      <c r="AEE43" s="88"/>
      <c r="AEF43" s="88"/>
      <c r="AEG43" s="88"/>
      <c r="AEH43" s="88"/>
      <c r="AEI43" s="88"/>
      <c r="AEJ43" s="88"/>
      <c r="AEK43" s="88"/>
      <c r="AEL43" s="88"/>
      <c r="AEM43" s="88"/>
      <c r="AEN43" s="88"/>
      <c r="AEO43" s="88"/>
      <c r="AEP43" s="88"/>
      <c r="AEQ43" s="88"/>
      <c r="AER43" s="88"/>
      <c r="AES43" s="88"/>
      <c r="AET43" s="88"/>
      <c r="AEU43" s="88"/>
      <c r="AEV43" s="88"/>
      <c r="AEW43" s="88"/>
      <c r="AEX43" s="88"/>
      <c r="AEY43" s="88"/>
      <c r="AEZ43" s="88"/>
      <c r="AFA43" s="88"/>
      <c r="AFB43" s="88"/>
      <c r="AFC43" s="88"/>
      <c r="AFD43" s="88"/>
      <c r="AFE43" s="88"/>
      <c r="AFF43" s="88"/>
      <c r="AFG43" s="88"/>
      <c r="AFH43" s="88"/>
      <c r="AFI43" s="88"/>
      <c r="AFJ43" s="88"/>
      <c r="AFK43" s="88"/>
      <c r="AFL43" s="88"/>
      <c r="AFM43" s="88"/>
      <c r="AFN43" s="88"/>
      <c r="AFO43" s="88"/>
      <c r="AFP43" s="88"/>
      <c r="AFQ43" s="88"/>
      <c r="AFR43" s="88"/>
      <c r="AFS43" s="88"/>
      <c r="AFT43" s="88"/>
      <c r="AFU43" s="88"/>
      <c r="AFV43" s="88"/>
      <c r="AFW43" s="88"/>
      <c r="AFX43" s="88"/>
      <c r="AFY43" s="88"/>
      <c r="AFZ43" s="88"/>
      <c r="AGA43" s="88"/>
      <c r="AGB43" s="88"/>
      <c r="AGC43" s="88"/>
      <c r="AGD43" s="88"/>
      <c r="AGE43" s="88"/>
      <c r="AGF43" s="88"/>
      <c r="AGG43" s="88"/>
      <c r="AGH43" s="88"/>
      <c r="AGI43" s="88"/>
      <c r="AGJ43" s="88"/>
      <c r="AGK43" s="88"/>
      <c r="AGL43" s="88"/>
      <c r="AGM43" s="88"/>
      <c r="AGN43" s="88"/>
      <c r="AGO43" s="88"/>
      <c r="AGP43" s="88"/>
      <c r="AGQ43" s="88"/>
      <c r="AGR43" s="88"/>
      <c r="AGS43" s="88"/>
      <c r="AGT43" s="88"/>
      <c r="AGU43" s="88"/>
      <c r="AGV43" s="88"/>
      <c r="AGW43" s="88"/>
      <c r="AGX43" s="88"/>
      <c r="AGY43" s="88"/>
      <c r="AGZ43" s="88"/>
      <c r="AHA43" s="88"/>
      <c r="AHB43" s="88"/>
      <c r="AHC43" s="88"/>
      <c r="AHD43" s="88"/>
      <c r="AHE43" s="88"/>
      <c r="AHF43" s="88"/>
      <c r="AHG43" s="88"/>
      <c r="AHH43" s="88"/>
      <c r="AHI43" s="88"/>
      <c r="AHJ43" s="88"/>
      <c r="AHK43" s="88"/>
      <c r="AHL43" s="88"/>
      <c r="AHM43" s="88"/>
      <c r="AHN43" s="88"/>
      <c r="AHO43" s="88"/>
      <c r="AHP43" s="88"/>
      <c r="AHQ43" s="88"/>
      <c r="AHR43" s="88"/>
      <c r="AHS43" s="88"/>
      <c r="AHT43" s="88"/>
      <c r="AHU43" s="88"/>
      <c r="AHV43" s="88"/>
      <c r="AHW43" s="88"/>
      <c r="AHX43" s="88"/>
      <c r="AHY43" s="88"/>
      <c r="AHZ43" s="88"/>
      <c r="AIA43" s="88"/>
      <c r="AIB43" s="88"/>
      <c r="AIC43" s="88"/>
      <c r="AID43" s="88"/>
      <c r="AIE43" s="88"/>
      <c r="AIF43" s="88"/>
      <c r="AIG43" s="88"/>
      <c r="AIH43" s="88"/>
      <c r="AII43" s="88"/>
      <c r="AIJ43" s="88"/>
      <c r="AIK43" s="88"/>
      <c r="AIL43" s="88"/>
      <c r="AIM43" s="88"/>
      <c r="AIN43" s="88"/>
      <c r="AIO43" s="88"/>
      <c r="AIP43" s="88"/>
      <c r="AIQ43" s="88"/>
      <c r="AIR43" s="88"/>
      <c r="AIS43" s="88"/>
      <c r="AIT43" s="88"/>
      <c r="AIU43" s="88"/>
      <c r="AIV43" s="88"/>
      <c r="AIW43" s="88"/>
      <c r="AIX43" s="88"/>
      <c r="AIY43" s="88"/>
      <c r="AIZ43" s="88"/>
      <c r="AJA43" s="88"/>
      <c r="AJB43" s="88"/>
      <c r="AJC43" s="88"/>
      <c r="AJD43" s="88"/>
      <c r="AJE43" s="88"/>
      <c r="AJF43" s="88"/>
      <c r="AJG43" s="88"/>
      <c r="AJH43" s="88"/>
      <c r="AJI43" s="88"/>
      <c r="AJJ43" s="88"/>
      <c r="AJK43" s="88"/>
      <c r="AJL43" s="88"/>
      <c r="AJM43" s="88"/>
      <c r="AJN43" s="88"/>
      <c r="AJO43" s="88"/>
      <c r="AJP43" s="88"/>
      <c r="AJQ43" s="88"/>
      <c r="AJR43" s="88"/>
      <c r="AJS43" s="88"/>
      <c r="AJT43" s="88"/>
      <c r="AJU43" s="88"/>
      <c r="AJV43" s="88"/>
      <c r="AJW43" s="88"/>
      <c r="AJX43" s="88"/>
      <c r="AJY43" s="88"/>
      <c r="AJZ43" s="88"/>
      <c r="AKA43" s="88"/>
      <c r="AKB43" s="88"/>
      <c r="AKC43" s="88"/>
      <c r="AKD43" s="88"/>
      <c r="AKE43" s="88"/>
      <c r="AKF43" s="88"/>
      <c r="AKG43" s="88"/>
      <c r="AKH43" s="88"/>
      <c r="AKI43" s="88"/>
      <c r="AKJ43" s="88"/>
      <c r="AKK43" s="88"/>
      <c r="AKL43" s="88"/>
      <c r="AKM43" s="88"/>
      <c r="AKN43" s="88"/>
      <c r="AKO43" s="88"/>
      <c r="AKP43" s="88"/>
      <c r="AKQ43" s="88"/>
      <c r="AKR43" s="88"/>
      <c r="AKS43" s="88"/>
      <c r="AKT43" s="88"/>
      <c r="AKU43" s="88"/>
      <c r="AKV43" s="88"/>
      <c r="AKW43" s="88"/>
      <c r="AKX43" s="88"/>
      <c r="AKY43" s="88"/>
      <c r="AKZ43" s="88"/>
      <c r="ALA43" s="88"/>
      <c r="ALB43" s="88"/>
      <c r="ALC43" s="88"/>
      <c r="ALD43" s="88"/>
      <c r="ALE43" s="88"/>
      <c r="ALF43" s="88"/>
      <c r="ALG43" s="88"/>
      <c r="ALH43" s="88"/>
      <c r="ALI43" s="88"/>
      <c r="ALJ43" s="88"/>
      <c r="ALK43" s="88"/>
      <c r="ALL43" s="88"/>
      <c r="ALM43" s="88"/>
      <c r="ALN43" s="88"/>
      <c r="ALO43" s="88"/>
      <c r="ALP43" s="88"/>
      <c r="ALQ43" s="88"/>
      <c r="ALR43" s="88"/>
      <c r="ALS43" s="88"/>
      <c r="ALT43" s="88"/>
      <c r="ALU43" s="88"/>
      <c r="ALV43" s="88"/>
      <c r="ALW43" s="88"/>
      <c r="ALX43" s="88"/>
      <c r="ALY43" s="88"/>
      <c r="ALZ43" s="88"/>
      <c r="AMA43" s="88"/>
      <c r="AMB43" s="88"/>
      <c r="AMC43" s="88"/>
      <c r="AMD43" s="88"/>
      <c r="AME43" s="88"/>
      <c r="AMF43" s="88"/>
      <c r="AMG43" s="88"/>
      <c r="AMH43" s="88"/>
      <c r="AMI43" s="88"/>
      <c r="AMJ43" s="88"/>
      <c r="AMK43" s="88"/>
      <c r="AML43" s="88"/>
      <c r="AMM43" s="88"/>
      <c r="AMN43" s="88"/>
      <c r="AMO43" s="88"/>
      <c r="AMP43" s="88"/>
      <c r="AMQ43" s="88"/>
      <c r="AMR43" s="88"/>
      <c r="AMS43" s="88"/>
      <c r="AMT43" s="88"/>
      <c r="AMU43" s="88"/>
      <c r="AMV43" s="88"/>
      <c r="AMW43" s="88"/>
      <c r="AMX43" s="88"/>
      <c r="AMY43" s="88"/>
      <c r="AMZ43" s="88"/>
      <c r="ANA43" s="88"/>
      <c r="ANB43" s="88"/>
      <c r="ANC43" s="88"/>
      <c r="AND43" s="88"/>
      <c r="ANE43" s="88"/>
      <c r="ANF43" s="88"/>
      <c r="ANG43" s="88"/>
      <c r="ANH43" s="88"/>
      <c r="ANI43" s="88"/>
      <c r="ANJ43" s="88"/>
      <c r="ANK43" s="88"/>
      <c r="ANL43" s="88"/>
      <c r="ANM43" s="88"/>
      <c r="ANN43" s="88"/>
      <c r="ANO43" s="88"/>
      <c r="ANP43" s="88"/>
      <c r="ANQ43" s="88"/>
      <c r="ANR43" s="88"/>
      <c r="ANS43" s="88"/>
      <c r="ANT43" s="88"/>
      <c r="ANU43" s="88"/>
      <c r="ANV43" s="88"/>
      <c r="ANW43" s="88"/>
      <c r="ANX43" s="88"/>
      <c r="ANY43" s="88"/>
      <c r="ANZ43" s="88"/>
      <c r="AOA43" s="88"/>
      <c r="AOB43" s="88"/>
      <c r="AOC43" s="88"/>
      <c r="AOD43" s="88"/>
      <c r="AOE43" s="88"/>
      <c r="AOF43" s="88"/>
      <c r="AOG43" s="88"/>
      <c r="AOH43" s="88"/>
      <c r="AOI43" s="88"/>
      <c r="AOJ43" s="88"/>
      <c r="AOK43" s="88"/>
      <c r="AOL43" s="88"/>
      <c r="AOM43" s="88"/>
      <c r="AON43" s="88"/>
      <c r="AOO43" s="88"/>
      <c r="AOP43" s="88"/>
      <c r="AOQ43" s="88"/>
      <c r="AOR43" s="88"/>
      <c r="AOS43" s="88"/>
      <c r="AOT43" s="88"/>
      <c r="AOU43" s="88"/>
      <c r="AOV43" s="88"/>
      <c r="AOW43" s="88"/>
      <c r="AOX43" s="88"/>
      <c r="AOY43" s="88"/>
      <c r="AOZ43" s="88"/>
      <c r="APA43" s="88"/>
      <c r="APB43" s="88"/>
      <c r="APC43" s="88"/>
      <c r="APD43" s="88"/>
      <c r="APE43" s="88"/>
      <c r="APF43" s="88"/>
      <c r="APG43" s="88"/>
      <c r="APH43" s="88"/>
      <c r="API43" s="88"/>
      <c r="APJ43" s="88"/>
      <c r="APK43" s="88"/>
      <c r="APL43" s="88"/>
      <c r="APM43" s="88"/>
      <c r="APN43" s="88"/>
      <c r="APO43" s="88"/>
      <c r="APP43" s="88"/>
      <c r="APQ43" s="88"/>
      <c r="APR43" s="88"/>
      <c r="APS43" s="88"/>
      <c r="APT43" s="88"/>
      <c r="APU43" s="88"/>
      <c r="APV43" s="88"/>
      <c r="APW43" s="88"/>
      <c r="APX43" s="88"/>
      <c r="APY43" s="88"/>
      <c r="APZ43" s="88"/>
      <c r="AQA43" s="88"/>
      <c r="AQB43" s="88"/>
      <c r="AQC43" s="88"/>
      <c r="AQD43" s="88"/>
      <c r="AQE43" s="88"/>
      <c r="AQF43" s="88"/>
      <c r="AQG43" s="88"/>
      <c r="AQH43" s="88"/>
      <c r="AQI43" s="88"/>
      <c r="AQJ43" s="88"/>
      <c r="AQK43" s="88"/>
      <c r="AQL43" s="88"/>
      <c r="AQM43" s="88"/>
      <c r="AQN43" s="88"/>
      <c r="AQO43" s="88"/>
      <c r="AQP43" s="88"/>
      <c r="AQQ43" s="88"/>
      <c r="AQR43" s="88"/>
      <c r="AQS43" s="88"/>
      <c r="AQT43" s="88"/>
      <c r="AQU43" s="88"/>
      <c r="AQV43" s="88"/>
      <c r="AQW43" s="88"/>
      <c r="AQX43" s="88"/>
      <c r="AQY43" s="88"/>
      <c r="AQZ43" s="88"/>
      <c r="ARA43" s="88"/>
      <c r="ARB43" s="88"/>
      <c r="ARC43" s="88"/>
      <c r="ARD43" s="88"/>
      <c r="ARE43" s="88"/>
      <c r="ARF43" s="88"/>
      <c r="ARG43" s="88"/>
      <c r="ARH43" s="88"/>
      <c r="ARI43" s="88"/>
      <c r="ARJ43" s="88"/>
      <c r="ARK43" s="88"/>
      <c r="ARL43" s="88"/>
      <c r="ARM43" s="88"/>
      <c r="ARN43" s="88"/>
      <c r="ARO43" s="88"/>
      <c r="ARP43" s="88"/>
      <c r="ARQ43" s="88"/>
      <c r="ARR43" s="88"/>
      <c r="ARS43" s="88"/>
      <c r="ART43" s="88"/>
      <c r="ARU43" s="88"/>
      <c r="ARV43" s="88"/>
      <c r="ARW43" s="88"/>
      <c r="ARX43" s="88"/>
      <c r="ARY43" s="88"/>
      <c r="ARZ43" s="88"/>
      <c r="ASA43" s="88"/>
      <c r="ASB43" s="88"/>
      <c r="ASC43" s="88"/>
      <c r="ASD43" s="88"/>
      <c r="ASE43" s="88"/>
      <c r="ASF43" s="88"/>
      <c r="ASG43" s="88"/>
      <c r="ASH43" s="88"/>
      <c r="ASI43" s="88"/>
      <c r="ASJ43" s="88"/>
      <c r="ASK43" s="88"/>
      <c r="ASL43" s="88"/>
      <c r="ASM43" s="88"/>
      <c r="ASN43" s="88"/>
      <c r="ASO43" s="88"/>
      <c r="ASP43" s="88"/>
      <c r="ASQ43" s="88"/>
      <c r="ASR43" s="88"/>
      <c r="ASS43" s="88"/>
      <c r="AST43" s="88"/>
      <c r="ASU43" s="88"/>
      <c r="ASV43" s="88"/>
      <c r="ASW43" s="88"/>
      <c r="ASX43" s="88"/>
      <c r="ASY43" s="88"/>
      <c r="ASZ43" s="88"/>
      <c r="ATA43" s="88"/>
      <c r="ATB43" s="88"/>
      <c r="ATC43" s="88"/>
      <c r="ATD43" s="88"/>
      <c r="ATE43" s="88"/>
      <c r="ATF43" s="88"/>
      <c r="ATG43" s="88"/>
      <c r="ATH43" s="88"/>
      <c r="ATI43" s="88"/>
      <c r="ATJ43" s="88"/>
      <c r="ATK43" s="88"/>
      <c r="ATL43" s="88"/>
      <c r="ATM43" s="88"/>
      <c r="ATN43" s="88"/>
      <c r="ATO43" s="88"/>
      <c r="ATP43" s="88"/>
      <c r="ATQ43" s="88"/>
      <c r="ATR43" s="88"/>
      <c r="ATS43" s="88"/>
      <c r="ATT43" s="88"/>
      <c r="ATU43" s="88"/>
      <c r="ATV43" s="88"/>
      <c r="ATW43" s="88"/>
      <c r="ATX43" s="88"/>
      <c r="ATY43" s="88"/>
      <c r="ATZ43" s="88"/>
      <c r="AUA43" s="88"/>
      <c r="AUB43" s="88"/>
      <c r="AUC43" s="88"/>
      <c r="AUD43" s="88"/>
      <c r="AUE43" s="88"/>
      <c r="AUF43" s="88"/>
      <c r="AUG43" s="88"/>
      <c r="AUH43" s="88"/>
      <c r="AUI43" s="88"/>
      <c r="AUJ43" s="88"/>
      <c r="AUK43" s="88"/>
      <c r="AUL43" s="88"/>
      <c r="AUM43" s="88"/>
      <c r="AUN43" s="88"/>
      <c r="AUO43" s="88"/>
      <c r="AUP43" s="88"/>
      <c r="AUQ43" s="88"/>
      <c r="AUR43" s="88"/>
      <c r="AUS43" s="88"/>
      <c r="AUT43" s="88"/>
      <c r="AUU43" s="88"/>
      <c r="AUV43" s="88"/>
      <c r="AUW43" s="88"/>
      <c r="AUX43" s="88"/>
      <c r="AUY43" s="88"/>
      <c r="AUZ43" s="88"/>
      <c r="AVA43" s="88"/>
      <c r="AVB43" s="88"/>
      <c r="AVC43" s="88"/>
      <c r="AVD43" s="88"/>
      <c r="AVE43" s="88"/>
      <c r="AVF43" s="88"/>
      <c r="AVG43" s="88"/>
      <c r="AVH43" s="88"/>
      <c r="AVI43" s="88"/>
      <c r="AVJ43" s="88"/>
      <c r="AVK43" s="88"/>
      <c r="AVL43" s="88"/>
      <c r="AVM43" s="88"/>
      <c r="AVN43" s="88"/>
      <c r="AVO43" s="88"/>
      <c r="AVP43" s="88"/>
      <c r="AVQ43" s="88"/>
      <c r="AVR43" s="88"/>
      <c r="AVS43" s="88"/>
      <c r="AVT43" s="88"/>
      <c r="AVU43" s="88"/>
      <c r="AVV43" s="88"/>
      <c r="AVW43" s="88"/>
      <c r="AVX43" s="88"/>
      <c r="AVY43" s="88"/>
      <c r="AVZ43" s="88"/>
      <c r="AWA43" s="88"/>
      <c r="AWB43" s="88"/>
      <c r="AWC43" s="88"/>
      <c r="AWD43" s="88"/>
      <c r="AWE43" s="88"/>
      <c r="AWF43" s="88"/>
      <c r="AWG43" s="88"/>
      <c r="AWH43" s="88"/>
      <c r="AWI43" s="88"/>
      <c r="AWJ43" s="88"/>
      <c r="AWK43" s="88"/>
      <c r="AWL43" s="88"/>
      <c r="AWM43" s="88"/>
      <c r="AWN43" s="88"/>
      <c r="AWO43" s="88"/>
      <c r="AWP43" s="88"/>
      <c r="AWQ43" s="88"/>
      <c r="AWR43" s="88"/>
      <c r="AWS43" s="88"/>
      <c r="AWT43" s="88"/>
      <c r="AWU43" s="88"/>
      <c r="AWV43" s="88"/>
      <c r="AWW43" s="88"/>
      <c r="AWX43" s="88"/>
      <c r="AWY43" s="88"/>
      <c r="AWZ43" s="88"/>
      <c r="AXA43" s="88"/>
      <c r="AXB43" s="88"/>
      <c r="AXC43" s="88"/>
      <c r="AXD43" s="88"/>
      <c r="AXE43" s="88"/>
      <c r="AXF43" s="88"/>
      <c r="AXG43" s="88"/>
      <c r="AXH43" s="88"/>
      <c r="AXI43" s="88"/>
      <c r="AXJ43" s="88"/>
      <c r="AXK43" s="88"/>
      <c r="AXL43" s="88"/>
      <c r="AXM43" s="88"/>
      <c r="AXN43" s="88"/>
      <c r="AXO43" s="88"/>
      <c r="AXP43" s="88"/>
      <c r="AXQ43" s="88"/>
      <c r="AXR43" s="88"/>
      <c r="AXS43" s="88"/>
      <c r="AXT43" s="88"/>
      <c r="AXU43" s="88"/>
      <c r="AXV43" s="88"/>
      <c r="AXW43" s="88"/>
      <c r="AXX43" s="88"/>
      <c r="AXY43" s="88"/>
      <c r="AXZ43" s="88"/>
      <c r="AYA43" s="88"/>
      <c r="AYB43" s="88"/>
      <c r="AYC43" s="88"/>
      <c r="AYD43" s="88"/>
      <c r="AYE43" s="88"/>
      <c r="AYF43" s="88"/>
      <c r="AYG43" s="88"/>
      <c r="AYH43" s="88"/>
      <c r="AYI43" s="88"/>
      <c r="AYJ43" s="88"/>
      <c r="AYK43" s="88"/>
      <c r="AYL43" s="88"/>
      <c r="AYM43" s="88"/>
      <c r="AYN43" s="88"/>
      <c r="AYO43" s="88"/>
      <c r="AYP43" s="88"/>
      <c r="AYQ43" s="88"/>
      <c r="AYR43" s="88"/>
      <c r="AYS43" s="88"/>
      <c r="AYT43" s="88"/>
      <c r="AYU43" s="88"/>
      <c r="AYV43" s="88"/>
      <c r="AYW43" s="88"/>
      <c r="AYX43" s="88"/>
      <c r="AYY43" s="88"/>
      <c r="AYZ43" s="88"/>
      <c r="AZA43" s="88"/>
      <c r="AZB43" s="88"/>
      <c r="AZC43" s="88"/>
      <c r="AZD43" s="88"/>
      <c r="AZE43" s="88"/>
      <c r="AZF43" s="88"/>
      <c r="AZG43" s="88"/>
      <c r="AZH43" s="88"/>
      <c r="AZI43" s="88"/>
      <c r="AZJ43" s="88"/>
      <c r="AZK43" s="88"/>
      <c r="AZL43" s="88"/>
      <c r="AZM43" s="88"/>
      <c r="AZN43" s="88"/>
      <c r="AZO43" s="88"/>
      <c r="AZP43" s="88"/>
      <c r="AZQ43" s="88"/>
      <c r="AZR43" s="88"/>
      <c r="AZS43" s="88"/>
      <c r="AZT43" s="88"/>
      <c r="AZU43" s="88"/>
      <c r="AZV43" s="88"/>
      <c r="AZW43" s="88"/>
      <c r="AZX43" s="88"/>
      <c r="AZY43" s="88"/>
      <c r="AZZ43" s="88"/>
      <c r="BAA43" s="88"/>
      <c r="BAB43" s="88"/>
      <c r="BAC43" s="88"/>
      <c r="BAD43" s="88"/>
      <c r="BAE43" s="88"/>
      <c r="BAF43" s="88"/>
      <c r="BAG43" s="88"/>
      <c r="BAH43" s="88"/>
      <c r="BAI43" s="88"/>
      <c r="BAJ43" s="88"/>
      <c r="BAK43" s="88"/>
      <c r="BAL43" s="88"/>
      <c r="BAM43" s="88"/>
      <c r="BAN43" s="88"/>
      <c r="BAO43" s="88"/>
      <c r="BAP43" s="88"/>
      <c r="BAQ43" s="88"/>
      <c r="BAR43" s="88"/>
      <c r="BAS43" s="88"/>
      <c r="BAT43" s="88"/>
      <c r="BAU43" s="88"/>
      <c r="BAV43" s="88"/>
      <c r="BAW43" s="88"/>
      <c r="BAX43" s="88"/>
      <c r="BAY43" s="88"/>
      <c r="BAZ43" s="88"/>
      <c r="BBA43" s="88"/>
      <c r="BBB43" s="88"/>
      <c r="BBC43" s="88"/>
      <c r="BBD43" s="88"/>
      <c r="BBE43" s="88"/>
      <c r="BBF43" s="88"/>
      <c r="BBG43" s="88"/>
      <c r="BBH43" s="88"/>
      <c r="BBI43" s="88"/>
      <c r="BBJ43" s="88"/>
      <c r="BBK43" s="88"/>
      <c r="BBL43" s="88"/>
      <c r="BBM43" s="88"/>
      <c r="BBN43" s="88"/>
      <c r="BBO43" s="88"/>
      <c r="BBP43" s="88"/>
      <c r="BBQ43" s="88"/>
      <c r="BBR43" s="88"/>
      <c r="BBS43" s="88"/>
      <c r="BBT43" s="88"/>
      <c r="BBU43" s="88"/>
      <c r="BBV43" s="88"/>
      <c r="BBW43" s="88"/>
      <c r="BBX43" s="88"/>
      <c r="BBY43" s="88"/>
      <c r="BBZ43" s="88"/>
      <c r="BCA43" s="88"/>
      <c r="BCB43" s="88"/>
      <c r="BCC43" s="88"/>
      <c r="BCD43" s="88"/>
      <c r="BCE43" s="88"/>
      <c r="BCF43" s="88"/>
      <c r="BCG43" s="88"/>
      <c r="BCH43" s="88"/>
      <c r="BCI43" s="88"/>
      <c r="BCJ43" s="88"/>
      <c r="BCK43" s="88"/>
      <c r="BCL43" s="88"/>
      <c r="BCM43" s="88"/>
      <c r="BCN43" s="88"/>
      <c r="BCO43" s="88"/>
      <c r="BCP43" s="88"/>
      <c r="BCQ43" s="88"/>
      <c r="BCR43" s="88"/>
      <c r="BCS43" s="88"/>
      <c r="BCT43" s="88"/>
      <c r="BCU43" s="88"/>
      <c r="BCV43" s="88"/>
      <c r="BCW43" s="88"/>
      <c r="BCX43" s="88"/>
      <c r="BCY43" s="88"/>
      <c r="BCZ43" s="88"/>
      <c r="BDA43" s="88"/>
      <c r="BDB43" s="88"/>
      <c r="BDC43" s="88"/>
      <c r="BDD43" s="88"/>
      <c r="BDE43" s="88"/>
      <c r="BDF43" s="88"/>
      <c r="BDG43" s="88"/>
      <c r="BDH43" s="88"/>
      <c r="BDI43" s="88"/>
      <c r="BDJ43" s="88"/>
      <c r="BDK43" s="88"/>
      <c r="BDL43" s="88"/>
      <c r="BDM43" s="88"/>
      <c r="BDN43" s="88"/>
      <c r="BDO43" s="88"/>
      <c r="BDP43" s="88"/>
      <c r="BDQ43" s="88"/>
      <c r="BDR43" s="88"/>
      <c r="BDS43" s="88"/>
      <c r="BDT43" s="88"/>
      <c r="BDU43" s="88"/>
      <c r="BDV43" s="88"/>
      <c r="BDW43" s="88"/>
      <c r="BDX43" s="88"/>
      <c r="BDY43" s="88"/>
      <c r="BDZ43" s="88"/>
      <c r="BEA43" s="88"/>
      <c r="BEB43" s="88"/>
      <c r="BEC43" s="88"/>
      <c r="BED43" s="88"/>
      <c r="BEE43" s="88"/>
      <c r="BEF43" s="88"/>
      <c r="BEG43" s="88"/>
      <c r="BEH43" s="88"/>
      <c r="BEI43" s="88"/>
      <c r="BEJ43" s="88"/>
      <c r="BEK43" s="88"/>
      <c r="BEL43" s="88"/>
      <c r="BEM43" s="88"/>
      <c r="BEN43" s="88"/>
      <c r="BEO43" s="88"/>
      <c r="BEP43" s="88"/>
      <c r="BEQ43" s="88"/>
      <c r="BER43" s="88"/>
      <c r="BES43" s="88"/>
      <c r="BET43" s="88"/>
      <c r="BEU43" s="88"/>
      <c r="BEV43" s="88"/>
      <c r="BEW43" s="88"/>
      <c r="BEX43" s="88"/>
      <c r="BEY43" s="88"/>
      <c r="BEZ43" s="88"/>
      <c r="BFA43" s="88"/>
      <c r="BFB43" s="88"/>
      <c r="BFC43" s="88"/>
      <c r="BFD43" s="88"/>
      <c r="BFE43" s="88"/>
      <c r="BFF43" s="88"/>
      <c r="BFG43" s="88"/>
      <c r="BFH43" s="88"/>
      <c r="BFI43" s="88"/>
      <c r="BFJ43" s="88"/>
      <c r="BFK43" s="88"/>
      <c r="BFL43" s="88"/>
      <c r="BFM43" s="88"/>
      <c r="BFN43" s="88"/>
      <c r="BFO43" s="88"/>
      <c r="BFP43" s="88"/>
      <c r="BFQ43" s="88"/>
      <c r="BFR43" s="88"/>
      <c r="BFS43" s="88"/>
      <c r="BFT43" s="88"/>
      <c r="BFU43" s="88"/>
      <c r="BFV43" s="88"/>
      <c r="BFW43" s="88"/>
      <c r="BFX43" s="88"/>
      <c r="BFY43" s="88"/>
      <c r="BFZ43" s="88"/>
      <c r="BGA43" s="88"/>
      <c r="BGB43" s="88"/>
      <c r="BGC43" s="88"/>
      <c r="BGD43" s="88"/>
      <c r="BGE43" s="88"/>
      <c r="BGF43" s="88"/>
      <c r="BGG43" s="88"/>
      <c r="BGH43" s="88"/>
      <c r="BGI43" s="88"/>
      <c r="BGJ43" s="88"/>
      <c r="BGK43" s="88"/>
      <c r="BGL43" s="88"/>
      <c r="BGM43" s="88"/>
      <c r="BGN43" s="88"/>
      <c r="BGO43" s="88"/>
      <c r="BGP43" s="88"/>
      <c r="BGQ43" s="88"/>
      <c r="BGR43" s="88"/>
      <c r="BGS43" s="88"/>
      <c r="BGT43" s="88"/>
      <c r="BGU43" s="88"/>
      <c r="BGV43" s="88"/>
      <c r="BGW43" s="88"/>
      <c r="BGX43" s="88"/>
      <c r="BGY43" s="88"/>
      <c r="BGZ43" s="88"/>
      <c r="BHA43" s="88"/>
      <c r="BHB43" s="88"/>
      <c r="BHC43" s="88"/>
      <c r="BHD43" s="88"/>
      <c r="BHE43" s="88"/>
      <c r="BHF43" s="88"/>
      <c r="BHG43" s="88"/>
      <c r="BHH43" s="88"/>
      <c r="BHI43" s="88"/>
      <c r="BHJ43" s="88"/>
      <c r="BHK43" s="88"/>
      <c r="BHL43" s="88"/>
      <c r="BHM43" s="88"/>
      <c r="BHN43" s="88"/>
      <c r="BHO43" s="88"/>
      <c r="BHP43" s="88"/>
      <c r="BHQ43" s="88"/>
      <c r="BHR43" s="88"/>
      <c r="BHS43" s="88"/>
      <c r="BHT43" s="88"/>
      <c r="BHU43" s="88"/>
      <c r="BHV43" s="88"/>
      <c r="BHW43" s="88"/>
      <c r="BHX43" s="88"/>
      <c r="BHY43" s="88"/>
      <c r="BHZ43" s="88"/>
      <c r="BIA43" s="88"/>
      <c r="BIB43" s="88"/>
      <c r="BIC43" s="88"/>
      <c r="BID43" s="88"/>
      <c r="BIE43" s="88"/>
      <c r="BIF43" s="88"/>
      <c r="BIG43" s="88"/>
      <c r="BIH43" s="88"/>
      <c r="BII43" s="88"/>
      <c r="BIJ43" s="88"/>
      <c r="BIK43" s="88"/>
      <c r="BIL43" s="88"/>
      <c r="BIM43" s="88"/>
      <c r="BIN43" s="88"/>
      <c r="BIO43" s="88"/>
      <c r="BIP43" s="88"/>
      <c r="BIQ43" s="88"/>
      <c r="BIR43" s="88"/>
      <c r="BIS43" s="88"/>
      <c r="BIT43" s="88"/>
      <c r="BIU43" s="88"/>
      <c r="BIV43" s="88"/>
      <c r="BIW43" s="88"/>
      <c r="BIX43" s="88"/>
      <c r="BIY43" s="88"/>
      <c r="BIZ43" s="88"/>
      <c r="BJA43" s="88"/>
      <c r="BJB43" s="88"/>
      <c r="BJC43" s="88"/>
      <c r="BJD43" s="88"/>
      <c r="BJE43" s="88"/>
      <c r="BJF43" s="88"/>
      <c r="BJG43" s="88"/>
      <c r="BJH43" s="88"/>
      <c r="BJI43" s="88"/>
      <c r="BJJ43" s="88"/>
      <c r="BJK43" s="88"/>
      <c r="BJL43" s="88"/>
      <c r="BJM43" s="88"/>
      <c r="BJN43" s="88"/>
      <c r="BJO43" s="88"/>
      <c r="BJP43" s="88"/>
      <c r="BJQ43" s="88"/>
      <c r="BJR43" s="88"/>
      <c r="BJS43" s="88"/>
      <c r="BJT43" s="88"/>
      <c r="BJU43" s="88"/>
      <c r="BJV43" s="88"/>
      <c r="BJW43" s="88"/>
      <c r="BJX43" s="88"/>
      <c r="BJY43" s="88"/>
      <c r="BJZ43" s="88"/>
      <c r="BKA43" s="88"/>
      <c r="BKB43" s="88"/>
      <c r="BKC43" s="88"/>
      <c r="BKD43" s="88"/>
      <c r="BKE43" s="88"/>
      <c r="BKF43" s="88"/>
      <c r="BKG43" s="88"/>
      <c r="BKH43" s="88"/>
      <c r="BKI43" s="88"/>
      <c r="BKJ43" s="88"/>
      <c r="BKK43" s="88"/>
      <c r="BKL43" s="88"/>
      <c r="BKM43" s="88"/>
      <c r="BKN43" s="88"/>
      <c r="BKO43" s="88"/>
      <c r="BKP43" s="88"/>
      <c r="BKQ43" s="88"/>
      <c r="BKR43" s="88"/>
      <c r="BKS43" s="88"/>
      <c r="BKT43" s="88"/>
      <c r="BKU43" s="88"/>
      <c r="BKV43" s="88"/>
      <c r="BKW43" s="88"/>
      <c r="BKX43" s="88"/>
      <c r="BKY43" s="88"/>
      <c r="BKZ43" s="88"/>
      <c r="BLA43" s="88"/>
      <c r="BLB43" s="88"/>
      <c r="BLC43" s="88"/>
      <c r="BLD43" s="88"/>
      <c r="BLE43" s="88"/>
      <c r="BLF43" s="88"/>
      <c r="BLG43" s="88"/>
      <c r="BLH43" s="88"/>
      <c r="BLI43" s="88"/>
      <c r="BLJ43" s="88"/>
      <c r="BLK43" s="88"/>
      <c r="BLL43" s="88"/>
      <c r="BLM43" s="88"/>
      <c r="BLN43" s="88"/>
      <c r="BLO43" s="88"/>
      <c r="BLP43" s="88"/>
      <c r="BLQ43" s="88"/>
      <c r="BLR43" s="88"/>
      <c r="BLS43" s="88"/>
      <c r="BLT43" s="88"/>
      <c r="BLU43" s="88"/>
      <c r="BLV43" s="88"/>
      <c r="BLW43" s="88"/>
      <c r="BLX43" s="88"/>
      <c r="BLY43" s="88"/>
      <c r="BLZ43" s="88"/>
      <c r="BMA43" s="88"/>
      <c r="BMB43" s="88"/>
      <c r="BMC43" s="88"/>
      <c r="BMD43" s="88"/>
      <c r="BME43" s="88"/>
      <c r="BMF43" s="88"/>
      <c r="BMG43" s="88"/>
      <c r="BMH43" s="88"/>
      <c r="BMI43" s="88"/>
      <c r="BMJ43" s="88"/>
      <c r="BMK43" s="88"/>
      <c r="BML43" s="88"/>
      <c r="BMM43" s="88"/>
      <c r="BMN43" s="88"/>
      <c r="BMO43" s="88"/>
      <c r="BMP43" s="88"/>
      <c r="BMQ43" s="88"/>
      <c r="BMR43" s="88"/>
      <c r="BMS43" s="88"/>
      <c r="BMT43" s="88"/>
      <c r="BMU43" s="88"/>
      <c r="BMV43" s="88"/>
      <c r="BMW43" s="88"/>
      <c r="BMX43" s="88"/>
      <c r="BMY43" s="88"/>
      <c r="BMZ43" s="88"/>
      <c r="BNA43" s="88"/>
      <c r="BNB43" s="88"/>
      <c r="BNC43" s="88"/>
      <c r="BND43" s="88"/>
      <c r="BNE43" s="88"/>
      <c r="BNF43" s="88"/>
      <c r="BNG43" s="88"/>
      <c r="BNH43" s="88"/>
      <c r="BNI43" s="88"/>
      <c r="BNJ43" s="88"/>
      <c r="BNK43" s="88"/>
      <c r="BNL43" s="88"/>
      <c r="BNM43" s="88"/>
      <c r="BNN43" s="88"/>
      <c r="BNO43" s="88"/>
      <c r="BNP43" s="88"/>
      <c r="BNQ43" s="88"/>
      <c r="BNR43" s="88"/>
      <c r="BNS43" s="88"/>
      <c r="BNT43" s="88"/>
      <c r="BNU43" s="88"/>
      <c r="BNV43" s="88"/>
      <c r="BNW43" s="88"/>
      <c r="BNX43" s="88"/>
      <c r="BNY43" s="88"/>
      <c r="BNZ43" s="88"/>
      <c r="BOA43" s="88"/>
      <c r="BOB43" s="88"/>
      <c r="BOC43" s="88"/>
      <c r="BOD43" s="88"/>
      <c r="BOE43" s="88"/>
      <c r="BOF43" s="88"/>
      <c r="BOG43" s="88"/>
      <c r="BOH43" s="88"/>
      <c r="BOI43" s="88"/>
      <c r="BOJ43" s="88"/>
      <c r="BOK43" s="88"/>
      <c r="BOL43" s="88"/>
      <c r="BOM43" s="88"/>
      <c r="BON43" s="88"/>
      <c r="BOO43" s="88"/>
      <c r="BOP43" s="88"/>
      <c r="BOQ43" s="88"/>
      <c r="BOR43" s="88"/>
      <c r="BOS43" s="88"/>
      <c r="BOT43" s="88"/>
      <c r="BOU43" s="88"/>
      <c r="BOV43" s="88"/>
      <c r="BOW43" s="88"/>
      <c r="BOX43" s="88"/>
      <c r="BOY43" s="88"/>
      <c r="BOZ43" s="88"/>
      <c r="BPA43" s="88"/>
      <c r="BPB43" s="88"/>
      <c r="BPC43" s="88"/>
      <c r="BPD43" s="88"/>
      <c r="BPE43" s="88"/>
      <c r="BPF43" s="88"/>
      <c r="BPG43" s="88"/>
      <c r="BPH43" s="88"/>
      <c r="BPI43" s="88"/>
      <c r="BPJ43" s="88"/>
      <c r="BPK43" s="88"/>
      <c r="BPL43" s="88"/>
      <c r="BPM43" s="88"/>
      <c r="BPN43" s="88"/>
      <c r="BPO43" s="88"/>
      <c r="BPP43" s="88"/>
      <c r="BPQ43" s="88"/>
      <c r="BPR43" s="88"/>
      <c r="BPS43" s="88"/>
      <c r="BPT43" s="88"/>
      <c r="BPU43" s="88"/>
      <c r="BPV43" s="88"/>
      <c r="BPW43" s="88"/>
      <c r="BPX43" s="88"/>
      <c r="BPY43" s="88"/>
      <c r="BPZ43" s="88"/>
      <c r="BQA43" s="88"/>
      <c r="BQB43" s="88"/>
      <c r="BQC43" s="88"/>
      <c r="BQD43" s="88"/>
      <c r="BQE43" s="88"/>
      <c r="BQF43" s="88"/>
      <c r="BQG43" s="88"/>
      <c r="BQH43" s="88"/>
      <c r="BQI43" s="88"/>
      <c r="BQJ43" s="88"/>
      <c r="BQK43" s="88"/>
      <c r="BQL43" s="88"/>
      <c r="BQM43" s="88"/>
      <c r="BQN43" s="88"/>
      <c r="BQO43" s="88"/>
      <c r="BQP43" s="88"/>
      <c r="BQQ43" s="88"/>
      <c r="BQR43" s="88"/>
      <c r="BQS43" s="88"/>
      <c r="BQT43" s="88"/>
      <c r="BQU43" s="88"/>
      <c r="BQV43" s="88"/>
      <c r="BQW43" s="88"/>
      <c r="BQX43" s="88"/>
      <c r="BQY43" s="88"/>
      <c r="BQZ43" s="88"/>
      <c r="BRA43" s="88"/>
      <c r="BRB43" s="88"/>
      <c r="BRC43" s="88"/>
      <c r="BRD43" s="88"/>
      <c r="BRE43" s="88"/>
      <c r="BRF43" s="88"/>
      <c r="BRG43" s="88"/>
      <c r="BRH43" s="88"/>
      <c r="BRI43" s="88"/>
      <c r="BRJ43" s="88"/>
      <c r="BRK43" s="88"/>
      <c r="BRL43" s="88"/>
      <c r="BRM43" s="88"/>
      <c r="BRN43" s="88"/>
      <c r="BRO43" s="88"/>
      <c r="BRP43" s="88"/>
      <c r="BRQ43" s="88"/>
      <c r="BRR43" s="88"/>
      <c r="BRS43" s="88"/>
      <c r="BRT43" s="88"/>
      <c r="BRU43" s="88"/>
      <c r="BRV43" s="88"/>
      <c r="BRW43" s="88"/>
      <c r="BRX43" s="88"/>
      <c r="BRY43" s="88"/>
      <c r="BRZ43" s="88"/>
      <c r="BSA43" s="88"/>
      <c r="BSB43" s="88"/>
      <c r="BSC43" s="88"/>
      <c r="BSD43" s="88"/>
      <c r="BSE43" s="88"/>
      <c r="BSF43" s="88"/>
      <c r="BSG43" s="88"/>
      <c r="BSH43" s="88"/>
      <c r="BSI43" s="88"/>
      <c r="BSJ43" s="88"/>
      <c r="BSK43" s="88"/>
      <c r="BSL43" s="88"/>
      <c r="BSM43" s="88"/>
      <c r="BSN43" s="88"/>
      <c r="BSO43" s="88"/>
      <c r="BSP43" s="88"/>
      <c r="BSQ43" s="88"/>
      <c r="BSR43" s="88"/>
      <c r="BSS43" s="88"/>
      <c r="BST43" s="88"/>
      <c r="BSU43" s="88"/>
      <c r="BSV43" s="88"/>
      <c r="BSW43" s="88"/>
      <c r="BSX43" s="88"/>
      <c r="BSY43" s="88"/>
      <c r="BSZ43" s="88"/>
      <c r="BTA43" s="88"/>
      <c r="BTB43" s="88"/>
      <c r="BTC43" s="88"/>
      <c r="BTD43" s="88"/>
      <c r="BTE43" s="88"/>
      <c r="BTF43" s="88"/>
      <c r="BTG43" s="88"/>
      <c r="BTH43" s="88"/>
      <c r="BTI43" s="88"/>
      <c r="BTJ43" s="88"/>
      <c r="BTK43" s="88"/>
      <c r="BTL43" s="88"/>
      <c r="BTM43" s="88"/>
      <c r="BTN43" s="88"/>
      <c r="BTO43" s="88"/>
      <c r="BTP43" s="88"/>
      <c r="BTQ43" s="88"/>
      <c r="BTR43" s="88"/>
      <c r="BTS43" s="88"/>
      <c r="BTT43" s="88"/>
      <c r="BTU43" s="88"/>
      <c r="BTV43" s="88"/>
      <c r="BTW43" s="88"/>
      <c r="BTX43" s="88"/>
      <c r="BTY43" s="88"/>
      <c r="BTZ43" s="88"/>
      <c r="BUA43" s="88"/>
      <c r="BUB43" s="88"/>
      <c r="BUC43" s="88"/>
      <c r="BUD43" s="88"/>
      <c r="BUE43" s="88"/>
      <c r="BUF43" s="88"/>
      <c r="BUG43" s="88"/>
      <c r="BUH43" s="88"/>
      <c r="BUI43" s="88"/>
      <c r="BUJ43" s="88"/>
      <c r="BUK43" s="88"/>
      <c r="BUL43" s="88"/>
      <c r="BUM43" s="88"/>
      <c r="BUN43" s="88"/>
      <c r="BUO43" s="88"/>
      <c r="BUP43" s="88"/>
      <c r="BUQ43" s="88"/>
      <c r="BUR43" s="88"/>
      <c r="BUS43" s="88"/>
      <c r="BUT43" s="88"/>
      <c r="BUU43" s="88"/>
      <c r="BUV43" s="88"/>
      <c r="BUW43" s="88"/>
      <c r="BUX43" s="88"/>
      <c r="BUY43" s="88"/>
      <c r="BUZ43" s="88"/>
      <c r="BVA43" s="88"/>
      <c r="BVB43" s="88"/>
      <c r="BVC43" s="88"/>
      <c r="BVD43" s="88"/>
      <c r="BVE43" s="88"/>
      <c r="BVF43" s="88"/>
      <c r="BVG43" s="88"/>
      <c r="BVH43" s="88"/>
      <c r="BVI43" s="88"/>
      <c r="BVJ43" s="88"/>
      <c r="BVK43" s="88"/>
      <c r="BVL43" s="88"/>
      <c r="BVM43" s="88"/>
      <c r="BVN43" s="88"/>
      <c r="BVO43" s="88"/>
      <c r="BVP43" s="88"/>
      <c r="BVQ43" s="88"/>
      <c r="BVR43" s="88"/>
      <c r="BVS43" s="88"/>
      <c r="BVT43" s="88"/>
      <c r="BVU43" s="88"/>
      <c r="BVV43" s="88"/>
      <c r="BVW43" s="88"/>
      <c r="BVX43" s="88"/>
      <c r="BVY43" s="88"/>
      <c r="BVZ43" s="88"/>
      <c r="BWA43" s="88"/>
      <c r="BWB43" s="88"/>
      <c r="BWC43" s="88"/>
      <c r="BWD43" s="88"/>
      <c r="BWE43" s="88"/>
      <c r="BWF43" s="88"/>
      <c r="BWG43" s="88"/>
      <c r="BWH43" s="88"/>
      <c r="BWI43" s="88"/>
      <c r="BWJ43" s="88"/>
      <c r="BWK43" s="88"/>
      <c r="BWL43" s="88"/>
      <c r="BWM43" s="88"/>
      <c r="BWN43" s="88"/>
      <c r="BWO43" s="88"/>
      <c r="BWP43" s="88"/>
      <c r="BWQ43" s="88"/>
      <c r="BWR43" s="88"/>
      <c r="BWS43" s="88"/>
      <c r="BWT43" s="88"/>
      <c r="BWU43" s="88"/>
      <c r="BWV43" s="88"/>
      <c r="BWW43" s="88"/>
      <c r="BWX43" s="88"/>
      <c r="BWY43" s="88"/>
      <c r="BWZ43" s="88"/>
      <c r="BXA43" s="88"/>
      <c r="BXB43" s="88"/>
      <c r="BXC43" s="88"/>
      <c r="BXD43" s="88"/>
      <c r="BXE43" s="88"/>
      <c r="BXF43" s="88"/>
      <c r="BXG43" s="88"/>
      <c r="BXH43" s="88"/>
      <c r="BXI43" s="88"/>
      <c r="BXJ43" s="88"/>
      <c r="BXK43" s="88"/>
      <c r="BXL43" s="88"/>
      <c r="BXM43" s="88"/>
      <c r="BXN43" s="88"/>
      <c r="BXO43" s="88"/>
      <c r="BXP43" s="88"/>
      <c r="BXQ43" s="88"/>
      <c r="BXR43" s="88"/>
      <c r="BXS43" s="88"/>
      <c r="BXT43" s="88"/>
      <c r="BXU43" s="88"/>
      <c r="BXV43" s="88"/>
      <c r="BXW43" s="88"/>
      <c r="BXX43" s="88"/>
      <c r="BXY43" s="88"/>
      <c r="BXZ43" s="88"/>
      <c r="BYA43" s="88"/>
      <c r="BYB43" s="88"/>
      <c r="BYC43" s="88"/>
      <c r="BYD43" s="88"/>
      <c r="BYE43" s="88"/>
      <c r="BYF43" s="88"/>
      <c r="BYG43" s="88"/>
      <c r="BYH43" s="88"/>
      <c r="BYI43" s="88"/>
      <c r="BYJ43" s="88"/>
      <c r="BYK43" s="88"/>
      <c r="BYL43" s="88"/>
      <c r="BYM43" s="88"/>
      <c r="BYN43" s="88"/>
      <c r="BYO43" s="88"/>
      <c r="BYP43" s="88"/>
      <c r="BYQ43" s="88"/>
      <c r="BYR43" s="88"/>
      <c r="BYS43" s="88"/>
      <c r="BYT43" s="88"/>
      <c r="BYU43" s="88"/>
      <c r="BYV43" s="88"/>
      <c r="BYW43" s="88"/>
      <c r="BYX43" s="88"/>
      <c r="BYY43" s="88"/>
      <c r="BYZ43" s="88"/>
      <c r="BZA43" s="88"/>
      <c r="BZB43" s="88"/>
      <c r="BZC43" s="88"/>
      <c r="BZD43" s="88"/>
      <c r="BZE43" s="88"/>
      <c r="BZF43" s="88"/>
      <c r="BZG43" s="88"/>
      <c r="BZH43" s="88"/>
      <c r="BZI43" s="88"/>
      <c r="BZJ43" s="88"/>
      <c r="BZK43" s="88"/>
      <c r="BZL43" s="88"/>
      <c r="BZM43" s="88"/>
      <c r="BZN43" s="88"/>
      <c r="BZO43" s="88"/>
      <c r="BZP43" s="88"/>
      <c r="BZQ43" s="88"/>
      <c r="BZR43" s="88"/>
      <c r="BZS43" s="88"/>
      <c r="BZT43" s="88"/>
      <c r="BZU43" s="88"/>
      <c r="BZV43" s="88"/>
      <c r="BZW43" s="88"/>
      <c r="BZX43" s="88"/>
      <c r="BZY43" s="88"/>
      <c r="BZZ43" s="88"/>
      <c r="CAA43" s="88"/>
      <c r="CAB43" s="88"/>
      <c r="CAC43" s="88"/>
      <c r="CAD43" s="88"/>
      <c r="CAE43" s="88"/>
      <c r="CAF43" s="88"/>
      <c r="CAG43" s="88"/>
      <c r="CAH43" s="88"/>
      <c r="CAI43" s="88"/>
      <c r="CAJ43" s="88"/>
      <c r="CAK43" s="88"/>
      <c r="CAL43" s="88"/>
      <c r="CAM43" s="88"/>
      <c r="CAN43" s="88"/>
      <c r="CAO43" s="88"/>
      <c r="CAP43" s="88"/>
      <c r="CAQ43" s="88"/>
      <c r="CAR43" s="88"/>
      <c r="CAS43" s="88"/>
      <c r="CAT43" s="88"/>
      <c r="CAU43" s="88"/>
      <c r="CAV43" s="88"/>
      <c r="CAW43" s="88"/>
      <c r="CAX43" s="88"/>
      <c r="CAY43" s="88"/>
      <c r="CAZ43" s="88"/>
      <c r="CBA43" s="88"/>
      <c r="CBB43" s="88"/>
      <c r="CBC43" s="88"/>
      <c r="CBD43" s="88"/>
      <c r="CBE43" s="88"/>
      <c r="CBF43" s="88"/>
      <c r="CBG43" s="88"/>
      <c r="CBH43" s="88"/>
      <c r="CBI43" s="88"/>
      <c r="CBJ43" s="88"/>
      <c r="CBK43" s="88"/>
      <c r="CBL43" s="88"/>
      <c r="CBM43" s="88"/>
      <c r="CBN43" s="88"/>
      <c r="CBO43" s="88"/>
      <c r="CBP43" s="88"/>
      <c r="CBQ43" s="88"/>
      <c r="CBR43" s="88"/>
      <c r="CBS43" s="88"/>
      <c r="CBT43" s="88"/>
      <c r="CBU43" s="88"/>
      <c r="CBV43" s="88"/>
      <c r="CBW43" s="88"/>
      <c r="CBX43" s="88"/>
      <c r="CBY43" s="88"/>
      <c r="CBZ43" s="88"/>
      <c r="CCA43" s="88"/>
      <c r="CCB43" s="88"/>
      <c r="CCC43" s="88"/>
      <c r="CCD43" s="88"/>
      <c r="CCE43" s="88"/>
      <c r="CCF43" s="88"/>
      <c r="CCG43" s="88"/>
      <c r="CCH43" s="88"/>
      <c r="CCI43" s="88"/>
      <c r="CCJ43" s="88"/>
      <c r="CCK43" s="88"/>
      <c r="CCL43" s="88"/>
      <c r="CCM43" s="88"/>
      <c r="CCN43" s="88"/>
      <c r="CCO43" s="88"/>
      <c r="CCP43" s="88"/>
      <c r="CCQ43" s="88"/>
      <c r="CCR43" s="88"/>
      <c r="CCS43" s="88"/>
      <c r="CCT43" s="88"/>
      <c r="CCU43" s="88"/>
      <c r="CCV43" s="88"/>
      <c r="CCW43" s="88"/>
      <c r="CCX43" s="88"/>
      <c r="CCY43" s="88"/>
      <c r="CCZ43" s="88"/>
      <c r="CDA43" s="88"/>
      <c r="CDB43" s="88"/>
      <c r="CDC43" s="88"/>
      <c r="CDD43" s="88"/>
      <c r="CDE43" s="88"/>
      <c r="CDF43" s="88"/>
      <c r="CDG43" s="88"/>
      <c r="CDH43" s="88"/>
      <c r="CDI43" s="88"/>
      <c r="CDJ43" s="88"/>
      <c r="CDK43" s="88"/>
      <c r="CDL43" s="88"/>
      <c r="CDM43" s="88"/>
      <c r="CDN43" s="88"/>
      <c r="CDO43" s="88"/>
      <c r="CDP43" s="88"/>
      <c r="CDQ43" s="88"/>
      <c r="CDR43" s="88"/>
      <c r="CDS43" s="88"/>
      <c r="CDT43" s="88"/>
      <c r="CDU43" s="88"/>
      <c r="CDV43" s="88"/>
      <c r="CDW43" s="88"/>
      <c r="CDX43" s="88"/>
      <c r="CDY43" s="88"/>
      <c r="CDZ43" s="88"/>
      <c r="CEA43" s="88"/>
      <c r="CEB43" s="88"/>
      <c r="CEC43" s="88"/>
      <c r="CED43" s="88"/>
      <c r="CEE43" s="88"/>
      <c r="CEF43" s="88"/>
      <c r="CEG43" s="88"/>
      <c r="CEH43" s="88"/>
      <c r="CEI43" s="88"/>
      <c r="CEJ43" s="88"/>
      <c r="CEK43" s="88"/>
    </row>
    <row r="44" spans="1:2169" s="51" customFormat="1">
      <c r="A44" s="69" t="s">
        <v>416</v>
      </c>
      <c r="B44" s="72" t="s">
        <v>499</v>
      </c>
      <c r="C44" s="69" t="str">
        <f>IF('page 2'!$O$4="","",IF('page 2'!$O$4=Gestion!A44,1,0))</f>
        <v/>
      </c>
      <c r="D44" s="69" t="str">
        <f>IF('page 2'!$O$5="","",IF('page 2'!$O$5=Gestion!A44,1,0))</f>
        <v/>
      </c>
      <c r="E44" s="69" t="str">
        <f>IF('page 2'!$O$6="","",IF('page 2'!$O$6=Gestion!A44,1,0))</f>
        <v/>
      </c>
      <c r="F44" s="69" t="str">
        <f>IF('page 2'!$O$7="","",IF('page 2'!$O$7=Gestion!A44,1,0))</f>
        <v/>
      </c>
      <c r="G44" s="69" t="str">
        <f>IF('page 2'!$O$8="","",IF('page 2'!$O$8=Gestion!A44,1,0))</f>
        <v/>
      </c>
      <c r="H44" s="69" t="str">
        <f>IF('page 2'!$O$9="","",IF('page 2'!$O$9=Gestion!A44,1,0))</f>
        <v/>
      </c>
      <c r="I44" s="69" t="str">
        <f>IF('page 2'!$O$10="","",IF('page 2'!$O$10=Gestion!A44,1,0))</f>
        <v/>
      </c>
      <c r="J44" s="69" t="str">
        <f>IF('page 2'!$O$11="","",IF('page 2'!$O$11=Gestion!A44,1,0))</f>
        <v/>
      </c>
      <c r="K44" s="69" t="str">
        <f>IF('page 2'!$O$12="","",IF('page 2'!$O$12=Gestion!A44,1,0))</f>
        <v/>
      </c>
      <c r="L44" s="69" t="str">
        <f>IF('page 2'!$O$13="","",IF('page 2'!$O$13=Gestion!A44,1,0))</f>
        <v/>
      </c>
      <c r="M44" s="69" t="str">
        <f>IF('page 2'!$O$14="","",IF('page 2'!$O$14=Gestion!A44,1,0))</f>
        <v/>
      </c>
      <c r="N44" s="69" t="str">
        <f>IF('page 2'!$O$15="","",IF('page 2'!$O$15=Gestion!A44,1,0))</f>
        <v/>
      </c>
      <c r="O44" s="69" t="str">
        <f>IF('page 2'!$O$16="","",IF('page 2'!$O$16=Gestion!A44,1,0))</f>
        <v/>
      </c>
      <c r="P44" s="69" t="str">
        <f>IF('page 2'!$O$17="","",IF('page 2'!$O$17=Gestion!A44,1,0))</f>
        <v/>
      </c>
      <c r="Q44" s="69" t="str">
        <f>IF('page 2'!$O$18="","",IF('page 2'!$O$18=Gestion!A44,1,0))</f>
        <v/>
      </c>
      <c r="R44" s="69" t="str">
        <f>IF('page 2'!$O$19="","",IF('page 2'!$O$19=Gestion!A44,1,0))</f>
        <v/>
      </c>
      <c r="S44" s="69" t="str">
        <f>IF('page 2'!$O$20="","",IF('page 2'!$O$20=Gestion!A44,1,0))</f>
        <v/>
      </c>
      <c r="T44" s="69" t="str">
        <f>IF('page 2'!$O$25="","",IF('page 2'!$O$25=Gestion!A44,1,0))</f>
        <v/>
      </c>
      <c r="U44" s="69" t="str">
        <f>IF('page 2'!$O$26="","",IF('page 2'!$O$26=Gestion!A44,1,0))</f>
        <v/>
      </c>
      <c r="V44" s="69" t="str">
        <f>IF('page 2'!$O$27="","",IF('page 2'!$O$27=Gestion!A44,1,0))</f>
        <v/>
      </c>
      <c r="W44" s="723">
        <f t="shared" si="0"/>
        <v>0</v>
      </c>
      <c r="X44" s="713"/>
      <c r="Y44" s="69"/>
      <c r="Z44" s="69"/>
      <c r="AA44" s="69"/>
      <c r="AB44" s="542"/>
      <c r="AC44" s="542"/>
      <c r="AD44" s="542"/>
      <c r="AE44" s="88"/>
      <c r="AP44" s="130"/>
      <c r="AQ44" s="130"/>
      <c r="AR44" s="130"/>
      <c r="AS44" s="606"/>
      <c r="AT44" s="606"/>
      <c r="AU44" s="606"/>
      <c r="AV44" s="606"/>
      <c r="AW44" s="606"/>
      <c r="AX44" s="606"/>
      <c r="AY44" s="606"/>
      <c r="AZ44" s="606"/>
      <c r="BA44" s="606"/>
      <c r="BB44" s="606"/>
      <c r="BC44" s="606"/>
      <c r="BD44" s="606"/>
      <c r="BE44" s="606"/>
      <c r="BF44" s="606"/>
      <c r="BG44" s="606"/>
      <c r="BH44" s="606"/>
      <c r="BI44" s="606"/>
      <c r="BJ44" s="606"/>
      <c r="BK44" s="606"/>
      <c r="BL44" s="606"/>
      <c r="BM44" s="606"/>
      <c r="BN44" s="606"/>
      <c r="BO44" s="606"/>
      <c r="BP44" s="606"/>
      <c r="BQ44" s="606"/>
      <c r="BR44" s="606"/>
      <c r="BS44" s="606"/>
      <c r="BT44" s="606"/>
      <c r="BU44" s="606"/>
      <c r="BV44" s="606"/>
      <c r="BW44" s="606"/>
      <c r="BX44" s="606"/>
      <c r="BY44" s="606"/>
      <c r="BZ44" s="606"/>
      <c r="CA44" s="606"/>
      <c r="CB44" s="606"/>
      <c r="CC44" s="606"/>
      <c r="CD44" s="843"/>
      <c r="CE44" s="606"/>
      <c r="CF44" s="606"/>
      <c r="CG44" s="606"/>
      <c r="CH44" s="606"/>
      <c r="CI44" s="606"/>
      <c r="CJ44" s="606"/>
      <c r="CK44" s="606"/>
      <c r="CL44" s="606"/>
      <c r="CM44" s="606"/>
      <c r="CN44" s="606"/>
      <c r="CO44" s="606"/>
      <c r="CP44" s="606"/>
      <c r="CQ44" s="606"/>
      <c r="CR44" s="606"/>
      <c r="CS44" s="606"/>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c r="IW44" s="88"/>
      <c r="IX44" s="88"/>
      <c r="IY44" s="88"/>
      <c r="IZ44" s="88"/>
      <c r="JA44" s="88"/>
      <c r="JB44" s="88"/>
      <c r="JC44" s="88"/>
      <c r="JD44" s="88"/>
      <c r="JE44" s="88"/>
      <c r="JF44" s="88"/>
      <c r="JG44" s="88"/>
      <c r="JH44" s="88"/>
      <c r="JI44" s="88"/>
      <c r="JJ44" s="88"/>
      <c r="JK44" s="88"/>
      <c r="JL44" s="88"/>
      <c r="JM44" s="88"/>
      <c r="JN44" s="88"/>
      <c r="JO44" s="88"/>
      <c r="JP44" s="88"/>
      <c r="JQ44" s="88"/>
      <c r="JR44" s="88"/>
      <c r="JS44" s="88"/>
      <c r="JT44" s="88"/>
      <c r="JU44" s="88"/>
      <c r="JV44" s="88"/>
      <c r="JW44" s="88"/>
      <c r="JX44" s="88"/>
      <c r="JY44" s="88"/>
      <c r="JZ44" s="88"/>
      <c r="KA44" s="88"/>
      <c r="KB44" s="88"/>
      <c r="KC44" s="88"/>
      <c r="KD44" s="88"/>
      <c r="KE44" s="88"/>
      <c r="KF44" s="88"/>
      <c r="KG44" s="88"/>
      <c r="KH44" s="88"/>
      <c r="KI44" s="88"/>
      <c r="KJ44" s="88"/>
      <c r="KK44" s="88"/>
      <c r="KL44" s="88"/>
      <c r="KM44" s="88"/>
      <c r="KN44" s="88"/>
      <c r="KO44" s="88"/>
      <c r="KP44" s="88"/>
      <c r="KQ44" s="88"/>
      <c r="KR44" s="88"/>
      <c r="KS44" s="88"/>
      <c r="KT44" s="88"/>
      <c r="KU44" s="88"/>
      <c r="KV44" s="88"/>
      <c r="KW44" s="88"/>
      <c r="KX44" s="88"/>
      <c r="KY44" s="88"/>
      <c r="KZ44" s="88"/>
      <c r="LA44" s="88"/>
      <c r="LB44" s="88"/>
      <c r="LC44" s="88"/>
      <c r="LD44" s="88"/>
      <c r="LE44" s="88"/>
      <c r="LF44" s="88"/>
      <c r="LG44" s="88"/>
      <c r="LH44" s="88"/>
      <c r="LI44" s="88"/>
      <c r="LJ44" s="88"/>
      <c r="LK44" s="88"/>
      <c r="LL44" s="88"/>
      <c r="LM44" s="88"/>
      <c r="LN44" s="88"/>
      <c r="LO44" s="88"/>
      <c r="LP44" s="88"/>
      <c r="LQ44" s="88"/>
      <c r="LR44" s="88"/>
      <c r="LS44" s="88"/>
      <c r="LT44" s="88"/>
      <c r="LU44" s="88"/>
      <c r="LV44" s="88"/>
      <c r="LW44" s="88"/>
      <c r="LX44" s="88"/>
      <c r="LY44" s="88"/>
      <c r="LZ44" s="88"/>
      <c r="MA44" s="88"/>
      <c r="MB44" s="88"/>
      <c r="MC44" s="88"/>
      <c r="MD44" s="88"/>
      <c r="ME44" s="88"/>
      <c r="MF44" s="88"/>
      <c r="MG44" s="88"/>
      <c r="MH44" s="88"/>
      <c r="MI44" s="88"/>
      <c r="MJ44" s="88"/>
      <c r="MK44" s="88"/>
      <c r="ML44" s="88"/>
      <c r="MM44" s="88"/>
      <c r="MN44" s="88"/>
      <c r="MO44" s="88"/>
      <c r="MP44" s="88"/>
      <c r="MQ44" s="88"/>
      <c r="MR44" s="88"/>
      <c r="MS44" s="88"/>
      <c r="MT44" s="88"/>
      <c r="MU44" s="88"/>
      <c r="MV44" s="88"/>
      <c r="MW44" s="88"/>
      <c r="MX44" s="88"/>
      <c r="MY44" s="88"/>
      <c r="MZ44" s="88"/>
      <c r="NA44" s="88"/>
      <c r="NB44" s="88"/>
      <c r="NC44" s="88"/>
      <c r="ND44" s="88"/>
      <c r="NE44" s="88"/>
      <c r="NF44" s="88"/>
      <c r="NG44" s="88"/>
      <c r="NH44" s="88"/>
      <c r="NI44" s="88"/>
      <c r="NJ44" s="88"/>
      <c r="NK44" s="88"/>
      <c r="NL44" s="88"/>
      <c r="NM44" s="88"/>
      <c r="NN44" s="88"/>
      <c r="NO44" s="88"/>
      <c r="NP44" s="88"/>
      <c r="NQ44" s="88"/>
      <c r="NR44" s="88"/>
      <c r="NS44" s="88"/>
      <c r="NT44" s="88"/>
      <c r="NU44" s="88"/>
      <c r="NV44" s="88"/>
      <c r="NW44" s="88"/>
      <c r="NX44" s="88"/>
      <c r="NY44" s="88"/>
      <c r="NZ44" s="88"/>
      <c r="OA44" s="88"/>
      <c r="OB44" s="88"/>
      <c r="OC44" s="88"/>
      <c r="OD44" s="88"/>
      <c r="OE44" s="88"/>
      <c r="OF44" s="88"/>
      <c r="OG44" s="88"/>
      <c r="OH44" s="88"/>
      <c r="OI44" s="88"/>
      <c r="OJ44" s="88"/>
      <c r="OK44" s="88"/>
      <c r="OL44" s="88"/>
      <c r="OM44" s="88"/>
      <c r="ON44" s="88"/>
      <c r="OO44" s="88"/>
      <c r="OP44" s="88"/>
      <c r="OQ44" s="88"/>
      <c r="OR44" s="88"/>
      <c r="OS44" s="88"/>
      <c r="OT44" s="88"/>
      <c r="OU44" s="88"/>
      <c r="OV44" s="88"/>
      <c r="OW44" s="88"/>
      <c r="OX44" s="88"/>
      <c r="OY44" s="88"/>
      <c r="OZ44" s="88"/>
      <c r="PA44" s="88"/>
      <c r="PB44" s="88"/>
      <c r="PC44" s="88"/>
      <c r="PD44" s="88"/>
      <c r="PE44" s="88"/>
      <c r="PF44" s="88"/>
      <c r="PG44" s="88"/>
      <c r="PH44" s="88"/>
      <c r="PI44" s="88"/>
      <c r="PJ44" s="88"/>
      <c r="PK44" s="88"/>
      <c r="PL44" s="88"/>
      <c r="PM44" s="88"/>
      <c r="PN44" s="88"/>
      <c r="PO44" s="88"/>
      <c r="PP44" s="88"/>
      <c r="PQ44" s="88"/>
      <c r="PR44" s="88"/>
      <c r="PS44" s="88"/>
      <c r="PT44" s="88"/>
      <c r="PU44" s="88"/>
      <c r="PV44" s="88"/>
      <c r="PW44" s="88"/>
      <c r="PX44" s="88"/>
      <c r="PY44" s="88"/>
      <c r="PZ44" s="88"/>
      <c r="QA44" s="88"/>
      <c r="QB44" s="88"/>
      <c r="QC44" s="88"/>
      <c r="QD44" s="88"/>
      <c r="QE44" s="88"/>
      <c r="QF44" s="88"/>
      <c r="QG44" s="88"/>
      <c r="QH44" s="88"/>
      <c r="QI44" s="88"/>
      <c r="QJ44" s="88"/>
      <c r="QK44" s="88"/>
      <c r="QL44" s="88"/>
      <c r="QM44" s="88"/>
      <c r="QN44" s="88"/>
      <c r="QO44" s="88"/>
      <c r="QP44" s="88"/>
      <c r="QQ44" s="88"/>
      <c r="QR44" s="88"/>
      <c r="QS44" s="88"/>
      <c r="QT44" s="88"/>
      <c r="QU44" s="88"/>
      <c r="QV44" s="88"/>
      <c r="QW44" s="88"/>
      <c r="QX44" s="88"/>
      <c r="QY44" s="88"/>
      <c r="QZ44" s="88"/>
      <c r="RA44" s="88"/>
      <c r="RB44" s="88"/>
      <c r="RC44" s="88"/>
      <c r="RD44" s="88"/>
      <c r="RE44" s="88"/>
      <c r="RF44" s="88"/>
      <c r="RG44" s="88"/>
      <c r="RH44" s="88"/>
      <c r="RI44" s="88"/>
      <c r="RJ44" s="88"/>
      <c r="RK44" s="88"/>
      <c r="RL44" s="88"/>
      <c r="RM44" s="88"/>
      <c r="RN44" s="88"/>
      <c r="RO44" s="88"/>
      <c r="RP44" s="88"/>
      <c r="RQ44" s="88"/>
      <c r="RR44" s="88"/>
      <c r="RS44" s="88"/>
      <c r="RT44" s="88"/>
      <c r="RU44" s="88"/>
      <c r="RV44" s="88"/>
      <c r="RW44" s="88"/>
      <c r="RX44" s="88"/>
      <c r="RY44" s="88"/>
      <c r="RZ44" s="88"/>
      <c r="SA44" s="88"/>
      <c r="SB44" s="88"/>
      <c r="SC44" s="88"/>
      <c r="SD44" s="88"/>
      <c r="SE44" s="88"/>
      <c r="SF44" s="88"/>
      <c r="SG44" s="88"/>
      <c r="SH44" s="88"/>
      <c r="SI44" s="88"/>
      <c r="SJ44" s="88"/>
      <c r="SK44" s="88"/>
      <c r="SL44" s="88"/>
      <c r="SM44" s="88"/>
      <c r="SN44" s="88"/>
      <c r="SO44" s="88"/>
      <c r="SP44" s="88"/>
      <c r="SQ44" s="88"/>
      <c r="SR44" s="88"/>
      <c r="SS44" s="88"/>
      <c r="ST44" s="88"/>
      <c r="SU44" s="88"/>
      <c r="SV44" s="88"/>
      <c r="SW44" s="88"/>
      <c r="SX44" s="88"/>
      <c r="SY44" s="88"/>
      <c r="SZ44" s="88"/>
      <c r="TA44" s="88"/>
      <c r="TB44" s="88"/>
      <c r="TC44" s="88"/>
      <c r="TD44" s="88"/>
      <c r="TE44" s="88"/>
      <c r="TF44" s="88"/>
      <c r="TG44" s="88"/>
      <c r="TH44" s="88"/>
      <c r="TI44" s="88"/>
      <c r="TJ44" s="88"/>
      <c r="TK44" s="88"/>
      <c r="TL44" s="88"/>
      <c r="TM44" s="88"/>
      <c r="TN44" s="88"/>
      <c r="TO44" s="88"/>
      <c r="TP44" s="88"/>
      <c r="TQ44" s="88"/>
      <c r="TR44" s="88"/>
      <c r="TS44" s="88"/>
      <c r="TT44" s="88"/>
      <c r="TU44" s="88"/>
      <c r="TV44" s="88"/>
      <c r="TW44" s="88"/>
      <c r="TX44" s="88"/>
      <c r="TY44" s="88"/>
      <c r="TZ44" s="88"/>
      <c r="UA44" s="88"/>
      <c r="UB44" s="88"/>
      <c r="UC44" s="88"/>
      <c r="UD44" s="88"/>
      <c r="UE44" s="88"/>
      <c r="UF44" s="88"/>
      <c r="UG44" s="88"/>
      <c r="UH44" s="88"/>
      <c r="UI44" s="88"/>
      <c r="UJ44" s="88"/>
      <c r="UK44" s="88"/>
      <c r="UL44" s="88"/>
      <c r="UM44" s="88"/>
      <c r="UN44" s="88"/>
      <c r="UO44" s="88"/>
      <c r="UP44" s="88"/>
      <c r="UQ44" s="88"/>
      <c r="UR44" s="88"/>
      <c r="US44" s="88"/>
      <c r="UT44" s="88"/>
      <c r="UU44" s="88"/>
      <c r="UV44" s="88"/>
      <c r="UW44" s="88"/>
      <c r="UX44" s="88"/>
      <c r="UY44" s="88"/>
      <c r="UZ44" s="88"/>
      <c r="VA44" s="88"/>
      <c r="VB44" s="88"/>
      <c r="VC44" s="88"/>
      <c r="VD44" s="88"/>
      <c r="VE44" s="88"/>
      <c r="VF44" s="88"/>
      <c r="VG44" s="88"/>
      <c r="VH44" s="88"/>
      <c r="VI44" s="88"/>
      <c r="VJ44" s="88"/>
      <c r="VK44" s="88"/>
      <c r="VL44" s="88"/>
      <c r="VM44" s="88"/>
      <c r="VN44" s="88"/>
      <c r="VO44" s="88"/>
      <c r="VP44" s="88"/>
      <c r="VQ44" s="88"/>
      <c r="VR44" s="88"/>
      <c r="VS44" s="88"/>
      <c r="VT44" s="88"/>
      <c r="VU44" s="88"/>
      <c r="VV44" s="88"/>
      <c r="VW44" s="88"/>
      <c r="VX44" s="88"/>
      <c r="VY44" s="88"/>
      <c r="VZ44" s="88"/>
      <c r="WA44" s="88"/>
      <c r="WB44" s="88"/>
      <c r="WC44" s="88"/>
      <c r="WD44" s="88"/>
      <c r="WE44" s="88"/>
      <c r="WF44" s="88"/>
      <c r="WG44" s="88"/>
      <c r="WH44" s="88"/>
      <c r="WI44" s="88"/>
      <c r="WJ44" s="88"/>
      <c r="WK44" s="88"/>
      <c r="WL44" s="88"/>
      <c r="WM44" s="88"/>
      <c r="WN44" s="88"/>
      <c r="WO44" s="88"/>
      <c r="WP44" s="88"/>
      <c r="WQ44" s="88"/>
      <c r="WR44" s="88"/>
      <c r="WS44" s="88"/>
      <c r="WT44" s="88"/>
      <c r="WU44" s="88"/>
      <c r="WV44" s="88"/>
      <c r="WW44" s="88"/>
      <c r="WX44" s="88"/>
      <c r="WY44" s="88"/>
      <c r="WZ44" s="88"/>
      <c r="XA44" s="88"/>
      <c r="XB44" s="88"/>
      <c r="XC44" s="88"/>
      <c r="XD44" s="88"/>
      <c r="XE44" s="88"/>
      <c r="XF44" s="88"/>
      <c r="XG44" s="88"/>
      <c r="XH44" s="88"/>
      <c r="XI44" s="88"/>
      <c r="XJ44" s="88"/>
      <c r="XK44" s="88"/>
      <c r="XL44" s="88"/>
      <c r="XM44" s="88"/>
      <c r="XN44" s="88"/>
      <c r="XO44" s="88"/>
      <c r="XP44" s="88"/>
      <c r="XQ44" s="88"/>
      <c r="XR44" s="88"/>
      <c r="XS44" s="88"/>
      <c r="XT44" s="88"/>
      <c r="XU44" s="88"/>
      <c r="XV44" s="88"/>
      <c r="XW44" s="88"/>
      <c r="XX44" s="88"/>
      <c r="XY44" s="88"/>
      <c r="XZ44" s="88"/>
      <c r="YA44" s="88"/>
      <c r="YB44" s="88"/>
      <c r="YC44" s="88"/>
      <c r="YD44" s="88"/>
      <c r="YE44" s="88"/>
      <c r="YF44" s="88"/>
      <c r="YG44" s="88"/>
      <c r="YH44" s="88"/>
      <c r="YI44" s="88"/>
      <c r="YJ44" s="88"/>
      <c r="YK44" s="88"/>
      <c r="YL44" s="88"/>
      <c r="YM44" s="88"/>
      <c r="YN44" s="88"/>
      <c r="YO44" s="88"/>
      <c r="YP44" s="88"/>
      <c r="YQ44" s="88"/>
      <c r="YR44" s="88"/>
      <c r="YS44" s="88"/>
      <c r="YT44" s="88"/>
      <c r="YU44" s="88"/>
      <c r="YV44" s="88"/>
      <c r="YW44" s="88"/>
      <c r="YX44" s="88"/>
      <c r="YY44" s="88"/>
      <c r="YZ44" s="88"/>
      <c r="ZA44" s="88"/>
      <c r="ZB44" s="88"/>
      <c r="ZC44" s="88"/>
      <c r="ZD44" s="88"/>
      <c r="ZE44" s="88"/>
      <c r="ZF44" s="88"/>
      <c r="ZG44" s="88"/>
      <c r="ZH44" s="88"/>
      <c r="ZI44" s="88"/>
      <c r="ZJ44" s="88"/>
      <c r="ZK44" s="88"/>
      <c r="ZL44" s="88"/>
      <c r="ZM44" s="88"/>
      <c r="ZN44" s="88"/>
      <c r="ZO44" s="88"/>
      <c r="ZP44" s="88"/>
      <c r="ZQ44" s="88"/>
      <c r="ZR44" s="88"/>
      <c r="ZS44" s="88"/>
      <c r="ZT44" s="88"/>
      <c r="ZU44" s="88"/>
      <c r="ZV44" s="88"/>
      <c r="ZW44" s="88"/>
      <c r="ZX44" s="88"/>
      <c r="ZY44" s="88"/>
      <c r="ZZ44" s="88"/>
      <c r="AAA44" s="88"/>
      <c r="AAB44" s="88"/>
      <c r="AAC44" s="88"/>
      <c r="AAD44" s="88"/>
      <c r="AAE44" s="88"/>
      <c r="AAF44" s="88"/>
      <c r="AAG44" s="88"/>
      <c r="AAH44" s="88"/>
      <c r="AAI44" s="88"/>
      <c r="AAJ44" s="88"/>
      <c r="AAK44" s="88"/>
      <c r="AAL44" s="88"/>
      <c r="AAM44" s="88"/>
      <c r="AAN44" s="88"/>
      <c r="AAO44" s="88"/>
      <c r="AAP44" s="88"/>
      <c r="AAQ44" s="88"/>
      <c r="AAR44" s="88"/>
      <c r="AAS44" s="88"/>
      <c r="AAT44" s="88"/>
      <c r="AAU44" s="88"/>
      <c r="AAV44" s="88"/>
      <c r="AAW44" s="88"/>
      <c r="AAX44" s="88"/>
      <c r="AAY44" s="88"/>
      <c r="AAZ44" s="88"/>
      <c r="ABA44" s="88"/>
      <c r="ABB44" s="88"/>
      <c r="ABC44" s="88"/>
      <c r="ABD44" s="88"/>
      <c r="ABE44" s="88"/>
      <c r="ABF44" s="88"/>
      <c r="ABG44" s="88"/>
      <c r="ABH44" s="88"/>
      <c r="ABI44" s="88"/>
      <c r="ABJ44" s="88"/>
      <c r="ABK44" s="88"/>
      <c r="ABL44" s="88"/>
      <c r="ABM44" s="88"/>
      <c r="ABN44" s="88"/>
      <c r="ABO44" s="88"/>
      <c r="ABP44" s="88"/>
      <c r="ABQ44" s="88"/>
      <c r="ABR44" s="88"/>
      <c r="ABS44" s="88"/>
      <c r="ABT44" s="88"/>
      <c r="ABU44" s="88"/>
      <c r="ABV44" s="88"/>
      <c r="ABW44" s="88"/>
      <c r="ABX44" s="88"/>
      <c r="ABY44" s="88"/>
      <c r="ABZ44" s="88"/>
      <c r="ACA44" s="88"/>
      <c r="ACB44" s="88"/>
      <c r="ACC44" s="88"/>
      <c r="ACD44" s="88"/>
      <c r="ACE44" s="88"/>
      <c r="ACF44" s="88"/>
      <c r="ACG44" s="88"/>
      <c r="ACH44" s="88"/>
      <c r="ACI44" s="88"/>
      <c r="ACJ44" s="88"/>
      <c r="ACK44" s="88"/>
      <c r="ACL44" s="88"/>
      <c r="ACM44" s="88"/>
      <c r="ACN44" s="88"/>
      <c r="ACO44" s="88"/>
      <c r="ACP44" s="88"/>
      <c r="ACQ44" s="88"/>
      <c r="ACR44" s="88"/>
      <c r="ACS44" s="88"/>
      <c r="ACT44" s="88"/>
      <c r="ACU44" s="88"/>
      <c r="ACV44" s="88"/>
      <c r="ACW44" s="88"/>
      <c r="ACX44" s="88"/>
      <c r="ACY44" s="88"/>
      <c r="ACZ44" s="88"/>
      <c r="ADA44" s="88"/>
      <c r="ADB44" s="88"/>
      <c r="ADC44" s="88"/>
      <c r="ADD44" s="88"/>
      <c r="ADE44" s="88"/>
      <c r="ADF44" s="88"/>
      <c r="ADG44" s="88"/>
      <c r="ADH44" s="88"/>
      <c r="ADI44" s="88"/>
      <c r="ADJ44" s="88"/>
      <c r="ADK44" s="88"/>
      <c r="ADL44" s="88"/>
      <c r="ADM44" s="88"/>
      <c r="ADN44" s="88"/>
      <c r="ADO44" s="88"/>
      <c r="ADP44" s="88"/>
      <c r="ADQ44" s="88"/>
      <c r="ADR44" s="88"/>
      <c r="ADS44" s="88"/>
      <c r="ADT44" s="88"/>
      <c r="ADU44" s="88"/>
      <c r="ADV44" s="88"/>
      <c r="ADW44" s="88"/>
      <c r="ADX44" s="88"/>
      <c r="ADY44" s="88"/>
      <c r="ADZ44" s="88"/>
      <c r="AEA44" s="88"/>
      <c r="AEB44" s="88"/>
      <c r="AEC44" s="88"/>
      <c r="AED44" s="88"/>
      <c r="AEE44" s="88"/>
      <c r="AEF44" s="88"/>
      <c r="AEG44" s="88"/>
      <c r="AEH44" s="88"/>
      <c r="AEI44" s="88"/>
      <c r="AEJ44" s="88"/>
      <c r="AEK44" s="88"/>
      <c r="AEL44" s="88"/>
      <c r="AEM44" s="88"/>
      <c r="AEN44" s="88"/>
      <c r="AEO44" s="88"/>
      <c r="AEP44" s="88"/>
      <c r="AEQ44" s="88"/>
      <c r="AER44" s="88"/>
      <c r="AES44" s="88"/>
      <c r="AET44" s="88"/>
      <c r="AEU44" s="88"/>
      <c r="AEV44" s="88"/>
      <c r="AEW44" s="88"/>
      <c r="AEX44" s="88"/>
      <c r="AEY44" s="88"/>
      <c r="AEZ44" s="88"/>
      <c r="AFA44" s="88"/>
      <c r="AFB44" s="88"/>
      <c r="AFC44" s="88"/>
      <c r="AFD44" s="88"/>
      <c r="AFE44" s="88"/>
      <c r="AFF44" s="88"/>
      <c r="AFG44" s="88"/>
      <c r="AFH44" s="88"/>
      <c r="AFI44" s="88"/>
      <c r="AFJ44" s="88"/>
      <c r="AFK44" s="88"/>
      <c r="AFL44" s="88"/>
      <c r="AFM44" s="88"/>
      <c r="AFN44" s="88"/>
      <c r="AFO44" s="88"/>
      <c r="AFP44" s="88"/>
      <c r="AFQ44" s="88"/>
      <c r="AFR44" s="88"/>
      <c r="AFS44" s="88"/>
      <c r="AFT44" s="88"/>
      <c r="AFU44" s="88"/>
      <c r="AFV44" s="88"/>
      <c r="AFW44" s="88"/>
      <c r="AFX44" s="88"/>
      <c r="AFY44" s="88"/>
      <c r="AFZ44" s="88"/>
      <c r="AGA44" s="88"/>
      <c r="AGB44" s="88"/>
      <c r="AGC44" s="88"/>
      <c r="AGD44" s="88"/>
      <c r="AGE44" s="88"/>
      <c r="AGF44" s="88"/>
      <c r="AGG44" s="88"/>
      <c r="AGH44" s="88"/>
      <c r="AGI44" s="88"/>
      <c r="AGJ44" s="88"/>
      <c r="AGK44" s="88"/>
      <c r="AGL44" s="88"/>
      <c r="AGM44" s="88"/>
      <c r="AGN44" s="88"/>
      <c r="AGO44" s="88"/>
      <c r="AGP44" s="88"/>
      <c r="AGQ44" s="88"/>
      <c r="AGR44" s="88"/>
      <c r="AGS44" s="88"/>
      <c r="AGT44" s="88"/>
      <c r="AGU44" s="88"/>
      <c r="AGV44" s="88"/>
      <c r="AGW44" s="88"/>
      <c r="AGX44" s="88"/>
      <c r="AGY44" s="88"/>
      <c r="AGZ44" s="88"/>
      <c r="AHA44" s="88"/>
      <c r="AHB44" s="88"/>
      <c r="AHC44" s="88"/>
      <c r="AHD44" s="88"/>
      <c r="AHE44" s="88"/>
      <c r="AHF44" s="88"/>
      <c r="AHG44" s="88"/>
      <c r="AHH44" s="88"/>
      <c r="AHI44" s="88"/>
      <c r="AHJ44" s="88"/>
      <c r="AHK44" s="88"/>
      <c r="AHL44" s="88"/>
      <c r="AHM44" s="88"/>
      <c r="AHN44" s="88"/>
      <c r="AHO44" s="88"/>
      <c r="AHP44" s="88"/>
      <c r="AHQ44" s="88"/>
      <c r="AHR44" s="88"/>
      <c r="AHS44" s="88"/>
      <c r="AHT44" s="88"/>
      <c r="AHU44" s="88"/>
      <c r="AHV44" s="88"/>
      <c r="AHW44" s="88"/>
      <c r="AHX44" s="88"/>
      <c r="AHY44" s="88"/>
      <c r="AHZ44" s="88"/>
      <c r="AIA44" s="88"/>
      <c r="AIB44" s="88"/>
      <c r="AIC44" s="88"/>
      <c r="AID44" s="88"/>
      <c r="AIE44" s="88"/>
      <c r="AIF44" s="88"/>
      <c r="AIG44" s="88"/>
      <c r="AIH44" s="88"/>
      <c r="AII44" s="88"/>
      <c r="AIJ44" s="88"/>
      <c r="AIK44" s="88"/>
      <c r="AIL44" s="88"/>
      <c r="AIM44" s="88"/>
      <c r="AIN44" s="88"/>
      <c r="AIO44" s="88"/>
      <c r="AIP44" s="88"/>
      <c r="AIQ44" s="88"/>
      <c r="AIR44" s="88"/>
      <c r="AIS44" s="88"/>
      <c r="AIT44" s="88"/>
      <c r="AIU44" s="88"/>
      <c r="AIV44" s="88"/>
      <c r="AIW44" s="88"/>
      <c r="AIX44" s="88"/>
      <c r="AIY44" s="88"/>
      <c r="AIZ44" s="88"/>
      <c r="AJA44" s="88"/>
      <c r="AJB44" s="88"/>
      <c r="AJC44" s="88"/>
      <c r="AJD44" s="88"/>
      <c r="AJE44" s="88"/>
      <c r="AJF44" s="88"/>
      <c r="AJG44" s="88"/>
      <c r="AJH44" s="88"/>
      <c r="AJI44" s="88"/>
      <c r="AJJ44" s="88"/>
      <c r="AJK44" s="88"/>
      <c r="AJL44" s="88"/>
      <c r="AJM44" s="88"/>
      <c r="AJN44" s="88"/>
      <c r="AJO44" s="88"/>
      <c r="AJP44" s="88"/>
      <c r="AJQ44" s="88"/>
      <c r="AJR44" s="88"/>
      <c r="AJS44" s="88"/>
      <c r="AJT44" s="88"/>
      <c r="AJU44" s="88"/>
      <c r="AJV44" s="88"/>
      <c r="AJW44" s="88"/>
      <c r="AJX44" s="88"/>
      <c r="AJY44" s="88"/>
      <c r="AJZ44" s="88"/>
      <c r="AKA44" s="88"/>
      <c r="AKB44" s="88"/>
      <c r="AKC44" s="88"/>
      <c r="AKD44" s="88"/>
      <c r="AKE44" s="88"/>
      <c r="AKF44" s="88"/>
      <c r="AKG44" s="88"/>
      <c r="AKH44" s="88"/>
      <c r="AKI44" s="88"/>
      <c r="AKJ44" s="88"/>
      <c r="AKK44" s="88"/>
      <c r="AKL44" s="88"/>
      <c r="AKM44" s="88"/>
      <c r="AKN44" s="88"/>
      <c r="AKO44" s="88"/>
      <c r="AKP44" s="88"/>
      <c r="AKQ44" s="88"/>
      <c r="AKR44" s="88"/>
      <c r="AKS44" s="88"/>
      <c r="AKT44" s="88"/>
      <c r="AKU44" s="88"/>
      <c r="AKV44" s="88"/>
      <c r="AKW44" s="88"/>
      <c r="AKX44" s="88"/>
      <c r="AKY44" s="88"/>
      <c r="AKZ44" s="88"/>
      <c r="ALA44" s="88"/>
      <c r="ALB44" s="88"/>
      <c r="ALC44" s="88"/>
      <c r="ALD44" s="88"/>
      <c r="ALE44" s="88"/>
      <c r="ALF44" s="88"/>
      <c r="ALG44" s="88"/>
      <c r="ALH44" s="88"/>
      <c r="ALI44" s="88"/>
      <c r="ALJ44" s="88"/>
      <c r="ALK44" s="88"/>
      <c r="ALL44" s="88"/>
      <c r="ALM44" s="88"/>
      <c r="ALN44" s="88"/>
      <c r="ALO44" s="88"/>
      <c r="ALP44" s="88"/>
      <c r="ALQ44" s="88"/>
      <c r="ALR44" s="88"/>
      <c r="ALS44" s="88"/>
      <c r="ALT44" s="88"/>
      <c r="ALU44" s="88"/>
      <c r="ALV44" s="88"/>
      <c r="ALW44" s="88"/>
      <c r="ALX44" s="88"/>
      <c r="ALY44" s="88"/>
      <c r="ALZ44" s="88"/>
      <c r="AMA44" s="88"/>
      <c r="AMB44" s="88"/>
      <c r="AMC44" s="88"/>
      <c r="AMD44" s="88"/>
      <c r="AME44" s="88"/>
      <c r="AMF44" s="88"/>
      <c r="AMG44" s="88"/>
      <c r="AMH44" s="88"/>
      <c r="AMI44" s="88"/>
      <c r="AMJ44" s="88"/>
      <c r="AMK44" s="88"/>
      <c r="AML44" s="88"/>
      <c r="AMM44" s="88"/>
      <c r="AMN44" s="88"/>
      <c r="AMO44" s="88"/>
      <c r="AMP44" s="88"/>
      <c r="AMQ44" s="88"/>
      <c r="AMR44" s="88"/>
      <c r="AMS44" s="88"/>
      <c r="AMT44" s="88"/>
      <c r="AMU44" s="88"/>
      <c r="AMV44" s="88"/>
      <c r="AMW44" s="88"/>
      <c r="AMX44" s="88"/>
      <c r="AMY44" s="88"/>
      <c r="AMZ44" s="88"/>
      <c r="ANA44" s="88"/>
      <c r="ANB44" s="88"/>
      <c r="ANC44" s="88"/>
      <c r="AND44" s="88"/>
      <c r="ANE44" s="88"/>
      <c r="ANF44" s="88"/>
      <c r="ANG44" s="88"/>
      <c r="ANH44" s="88"/>
      <c r="ANI44" s="88"/>
      <c r="ANJ44" s="88"/>
      <c r="ANK44" s="88"/>
      <c r="ANL44" s="88"/>
      <c r="ANM44" s="88"/>
      <c r="ANN44" s="88"/>
      <c r="ANO44" s="88"/>
      <c r="ANP44" s="88"/>
      <c r="ANQ44" s="88"/>
      <c r="ANR44" s="88"/>
      <c r="ANS44" s="88"/>
      <c r="ANT44" s="88"/>
      <c r="ANU44" s="88"/>
      <c r="ANV44" s="88"/>
      <c r="ANW44" s="88"/>
      <c r="ANX44" s="88"/>
      <c r="ANY44" s="88"/>
      <c r="ANZ44" s="88"/>
      <c r="AOA44" s="88"/>
      <c r="AOB44" s="88"/>
      <c r="AOC44" s="88"/>
      <c r="AOD44" s="88"/>
      <c r="AOE44" s="88"/>
      <c r="AOF44" s="88"/>
      <c r="AOG44" s="88"/>
      <c r="AOH44" s="88"/>
      <c r="AOI44" s="88"/>
      <c r="AOJ44" s="88"/>
      <c r="AOK44" s="88"/>
      <c r="AOL44" s="88"/>
      <c r="AOM44" s="88"/>
      <c r="AON44" s="88"/>
      <c r="AOO44" s="88"/>
      <c r="AOP44" s="88"/>
      <c r="AOQ44" s="88"/>
      <c r="AOR44" s="88"/>
      <c r="AOS44" s="88"/>
      <c r="AOT44" s="88"/>
      <c r="AOU44" s="88"/>
      <c r="AOV44" s="88"/>
      <c r="AOW44" s="88"/>
      <c r="AOX44" s="88"/>
      <c r="AOY44" s="88"/>
      <c r="AOZ44" s="88"/>
      <c r="APA44" s="88"/>
      <c r="APB44" s="88"/>
      <c r="APC44" s="88"/>
      <c r="APD44" s="88"/>
      <c r="APE44" s="88"/>
      <c r="APF44" s="88"/>
      <c r="APG44" s="88"/>
      <c r="APH44" s="88"/>
      <c r="API44" s="88"/>
      <c r="APJ44" s="88"/>
      <c r="APK44" s="88"/>
      <c r="APL44" s="88"/>
      <c r="APM44" s="88"/>
      <c r="APN44" s="88"/>
      <c r="APO44" s="88"/>
      <c r="APP44" s="88"/>
      <c r="APQ44" s="88"/>
      <c r="APR44" s="88"/>
      <c r="APS44" s="88"/>
      <c r="APT44" s="88"/>
      <c r="APU44" s="88"/>
      <c r="APV44" s="88"/>
      <c r="APW44" s="88"/>
      <c r="APX44" s="88"/>
      <c r="APY44" s="88"/>
      <c r="APZ44" s="88"/>
      <c r="AQA44" s="88"/>
      <c r="AQB44" s="88"/>
      <c r="AQC44" s="88"/>
      <c r="AQD44" s="88"/>
      <c r="AQE44" s="88"/>
      <c r="AQF44" s="88"/>
      <c r="AQG44" s="88"/>
      <c r="AQH44" s="88"/>
      <c r="AQI44" s="88"/>
      <c r="AQJ44" s="88"/>
      <c r="AQK44" s="88"/>
      <c r="AQL44" s="88"/>
      <c r="AQM44" s="88"/>
      <c r="AQN44" s="88"/>
      <c r="AQO44" s="88"/>
      <c r="AQP44" s="88"/>
      <c r="AQQ44" s="88"/>
      <c r="AQR44" s="88"/>
      <c r="AQS44" s="88"/>
      <c r="AQT44" s="88"/>
      <c r="AQU44" s="88"/>
      <c r="AQV44" s="88"/>
      <c r="AQW44" s="88"/>
      <c r="AQX44" s="88"/>
      <c r="AQY44" s="88"/>
      <c r="AQZ44" s="88"/>
      <c r="ARA44" s="88"/>
      <c r="ARB44" s="88"/>
      <c r="ARC44" s="88"/>
      <c r="ARD44" s="88"/>
      <c r="ARE44" s="88"/>
      <c r="ARF44" s="88"/>
      <c r="ARG44" s="88"/>
      <c r="ARH44" s="88"/>
      <c r="ARI44" s="88"/>
      <c r="ARJ44" s="88"/>
      <c r="ARK44" s="88"/>
      <c r="ARL44" s="88"/>
      <c r="ARM44" s="88"/>
      <c r="ARN44" s="88"/>
      <c r="ARO44" s="88"/>
      <c r="ARP44" s="88"/>
      <c r="ARQ44" s="88"/>
      <c r="ARR44" s="88"/>
      <c r="ARS44" s="88"/>
      <c r="ART44" s="88"/>
      <c r="ARU44" s="88"/>
      <c r="ARV44" s="88"/>
      <c r="ARW44" s="88"/>
      <c r="ARX44" s="88"/>
      <c r="ARY44" s="88"/>
      <c r="ARZ44" s="88"/>
      <c r="ASA44" s="88"/>
      <c r="ASB44" s="88"/>
      <c r="ASC44" s="88"/>
      <c r="ASD44" s="88"/>
      <c r="ASE44" s="88"/>
      <c r="ASF44" s="88"/>
      <c r="ASG44" s="88"/>
      <c r="ASH44" s="88"/>
      <c r="ASI44" s="88"/>
      <c r="ASJ44" s="88"/>
      <c r="ASK44" s="88"/>
      <c r="ASL44" s="88"/>
      <c r="ASM44" s="88"/>
      <c r="ASN44" s="88"/>
      <c r="ASO44" s="88"/>
      <c r="ASP44" s="88"/>
      <c r="ASQ44" s="88"/>
      <c r="ASR44" s="88"/>
      <c r="ASS44" s="88"/>
      <c r="AST44" s="88"/>
      <c r="ASU44" s="88"/>
      <c r="ASV44" s="88"/>
      <c r="ASW44" s="88"/>
      <c r="ASX44" s="88"/>
      <c r="ASY44" s="88"/>
      <c r="ASZ44" s="88"/>
      <c r="ATA44" s="88"/>
      <c r="ATB44" s="88"/>
      <c r="ATC44" s="88"/>
      <c r="ATD44" s="88"/>
      <c r="ATE44" s="88"/>
      <c r="ATF44" s="88"/>
      <c r="ATG44" s="88"/>
      <c r="ATH44" s="88"/>
      <c r="ATI44" s="88"/>
      <c r="ATJ44" s="88"/>
      <c r="ATK44" s="88"/>
      <c r="ATL44" s="88"/>
      <c r="ATM44" s="88"/>
      <c r="ATN44" s="88"/>
      <c r="ATO44" s="88"/>
      <c r="ATP44" s="88"/>
      <c r="ATQ44" s="88"/>
      <c r="ATR44" s="88"/>
      <c r="ATS44" s="88"/>
      <c r="ATT44" s="88"/>
      <c r="ATU44" s="88"/>
      <c r="ATV44" s="88"/>
      <c r="ATW44" s="88"/>
      <c r="ATX44" s="88"/>
      <c r="ATY44" s="88"/>
      <c r="ATZ44" s="88"/>
      <c r="AUA44" s="88"/>
      <c r="AUB44" s="88"/>
      <c r="AUC44" s="88"/>
      <c r="AUD44" s="88"/>
      <c r="AUE44" s="88"/>
      <c r="AUF44" s="88"/>
      <c r="AUG44" s="88"/>
      <c r="AUH44" s="88"/>
      <c r="AUI44" s="88"/>
      <c r="AUJ44" s="88"/>
      <c r="AUK44" s="88"/>
      <c r="AUL44" s="88"/>
      <c r="AUM44" s="88"/>
      <c r="AUN44" s="88"/>
      <c r="AUO44" s="88"/>
      <c r="AUP44" s="88"/>
      <c r="AUQ44" s="88"/>
      <c r="AUR44" s="88"/>
      <c r="AUS44" s="88"/>
      <c r="AUT44" s="88"/>
      <c r="AUU44" s="88"/>
      <c r="AUV44" s="88"/>
      <c r="AUW44" s="88"/>
      <c r="AUX44" s="88"/>
      <c r="AUY44" s="88"/>
      <c r="AUZ44" s="88"/>
      <c r="AVA44" s="88"/>
      <c r="AVB44" s="88"/>
      <c r="AVC44" s="88"/>
      <c r="AVD44" s="88"/>
      <c r="AVE44" s="88"/>
      <c r="AVF44" s="88"/>
      <c r="AVG44" s="88"/>
      <c r="AVH44" s="88"/>
      <c r="AVI44" s="88"/>
      <c r="AVJ44" s="88"/>
      <c r="AVK44" s="88"/>
      <c r="AVL44" s="88"/>
      <c r="AVM44" s="88"/>
      <c r="AVN44" s="88"/>
      <c r="AVO44" s="88"/>
      <c r="AVP44" s="88"/>
      <c r="AVQ44" s="88"/>
      <c r="AVR44" s="88"/>
      <c r="AVS44" s="88"/>
      <c r="AVT44" s="88"/>
      <c r="AVU44" s="88"/>
      <c r="AVV44" s="88"/>
      <c r="AVW44" s="88"/>
      <c r="AVX44" s="88"/>
      <c r="AVY44" s="88"/>
      <c r="AVZ44" s="88"/>
      <c r="AWA44" s="88"/>
      <c r="AWB44" s="88"/>
      <c r="AWC44" s="88"/>
      <c r="AWD44" s="88"/>
      <c r="AWE44" s="88"/>
      <c r="AWF44" s="88"/>
      <c r="AWG44" s="88"/>
      <c r="AWH44" s="88"/>
      <c r="AWI44" s="88"/>
      <c r="AWJ44" s="88"/>
      <c r="AWK44" s="88"/>
      <c r="AWL44" s="88"/>
      <c r="AWM44" s="88"/>
      <c r="AWN44" s="88"/>
      <c r="AWO44" s="88"/>
      <c r="AWP44" s="88"/>
      <c r="AWQ44" s="88"/>
      <c r="AWR44" s="88"/>
      <c r="AWS44" s="88"/>
      <c r="AWT44" s="88"/>
      <c r="AWU44" s="88"/>
      <c r="AWV44" s="88"/>
      <c r="AWW44" s="88"/>
      <c r="AWX44" s="88"/>
      <c r="AWY44" s="88"/>
      <c r="AWZ44" s="88"/>
      <c r="AXA44" s="88"/>
      <c r="AXB44" s="88"/>
      <c r="AXC44" s="88"/>
      <c r="AXD44" s="88"/>
      <c r="AXE44" s="88"/>
      <c r="AXF44" s="88"/>
      <c r="AXG44" s="88"/>
      <c r="AXH44" s="88"/>
      <c r="AXI44" s="88"/>
      <c r="AXJ44" s="88"/>
      <c r="AXK44" s="88"/>
      <c r="AXL44" s="88"/>
      <c r="AXM44" s="88"/>
      <c r="AXN44" s="88"/>
      <c r="AXO44" s="88"/>
      <c r="AXP44" s="88"/>
      <c r="AXQ44" s="88"/>
      <c r="AXR44" s="88"/>
      <c r="AXS44" s="88"/>
      <c r="AXT44" s="88"/>
      <c r="AXU44" s="88"/>
      <c r="AXV44" s="88"/>
      <c r="AXW44" s="88"/>
      <c r="AXX44" s="88"/>
      <c r="AXY44" s="88"/>
      <c r="AXZ44" s="88"/>
      <c r="AYA44" s="88"/>
      <c r="AYB44" s="88"/>
      <c r="AYC44" s="88"/>
      <c r="AYD44" s="88"/>
      <c r="AYE44" s="88"/>
      <c r="AYF44" s="88"/>
      <c r="AYG44" s="88"/>
      <c r="AYH44" s="88"/>
      <c r="AYI44" s="88"/>
      <c r="AYJ44" s="88"/>
      <c r="AYK44" s="88"/>
      <c r="AYL44" s="88"/>
      <c r="AYM44" s="88"/>
      <c r="AYN44" s="88"/>
      <c r="AYO44" s="88"/>
      <c r="AYP44" s="88"/>
      <c r="AYQ44" s="88"/>
      <c r="AYR44" s="88"/>
      <c r="AYS44" s="88"/>
      <c r="AYT44" s="88"/>
      <c r="AYU44" s="88"/>
      <c r="AYV44" s="88"/>
      <c r="AYW44" s="88"/>
      <c r="AYX44" s="88"/>
      <c r="AYY44" s="88"/>
      <c r="AYZ44" s="88"/>
      <c r="AZA44" s="88"/>
      <c r="AZB44" s="88"/>
      <c r="AZC44" s="88"/>
      <c r="AZD44" s="88"/>
      <c r="AZE44" s="88"/>
      <c r="AZF44" s="88"/>
      <c r="AZG44" s="88"/>
      <c r="AZH44" s="88"/>
      <c r="AZI44" s="88"/>
      <c r="AZJ44" s="88"/>
      <c r="AZK44" s="88"/>
      <c r="AZL44" s="88"/>
      <c r="AZM44" s="88"/>
      <c r="AZN44" s="88"/>
      <c r="AZO44" s="88"/>
      <c r="AZP44" s="88"/>
      <c r="AZQ44" s="88"/>
      <c r="AZR44" s="88"/>
      <c r="AZS44" s="88"/>
      <c r="AZT44" s="88"/>
      <c r="AZU44" s="88"/>
      <c r="AZV44" s="88"/>
      <c r="AZW44" s="88"/>
      <c r="AZX44" s="88"/>
      <c r="AZY44" s="88"/>
      <c r="AZZ44" s="88"/>
      <c r="BAA44" s="88"/>
      <c r="BAB44" s="88"/>
      <c r="BAC44" s="88"/>
      <c r="BAD44" s="88"/>
      <c r="BAE44" s="88"/>
      <c r="BAF44" s="88"/>
      <c r="BAG44" s="88"/>
      <c r="BAH44" s="88"/>
      <c r="BAI44" s="88"/>
      <c r="BAJ44" s="88"/>
      <c r="BAK44" s="88"/>
      <c r="BAL44" s="88"/>
      <c r="BAM44" s="88"/>
      <c r="BAN44" s="88"/>
      <c r="BAO44" s="88"/>
      <c r="BAP44" s="88"/>
      <c r="BAQ44" s="88"/>
      <c r="BAR44" s="88"/>
      <c r="BAS44" s="88"/>
      <c r="BAT44" s="88"/>
      <c r="BAU44" s="88"/>
      <c r="BAV44" s="88"/>
      <c r="BAW44" s="88"/>
      <c r="BAX44" s="88"/>
      <c r="BAY44" s="88"/>
      <c r="BAZ44" s="88"/>
      <c r="BBA44" s="88"/>
      <c r="BBB44" s="88"/>
      <c r="BBC44" s="88"/>
      <c r="BBD44" s="88"/>
      <c r="BBE44" s="88"/>
      <c r="BBF44" s="88"/>
      <c r="BBG44" s="88"/>
      <c r="BBH44" s="88"/>
      <c r="BBI44" s="88"/>
      <c r="BBJ44" s="88"/>
      <c r="BBK44" s="88"/>
      <c r="BBL44" s="88"/>
      <c r="BBM44" s="88"/>
      <c r="BBN44" s="88"/>
      <c r="BBO44" s="88"/>
      <c r="BBP44" s="88"/>
      <c r="BBQ44" s="88"/>
      <c r="BBR44" s="88"/>
      <c r="BBS44" s="88"/>
      <c r="BBT44" s="88"/>
      <c r="BBU44" s="88"/>
      <c r="BBV44" s="88"/>
      <c r="BBW44" s="88"/>
      <c r="BBX44" s="88"/>
      <c r="BBY44" s="88"/>
      <c r="BBZ44" s="88"/>
      <c r="BCA44" s="88"/>
      <c r="BCB44" s="88"/>
      <c r="BCC44" s="88"/>
      <c r="BCD44" s="88"/>
      <c r="BCE44" s="88"/>
      <c r="BCF44" s="88"/>
      <c r="BCG44" s="88"/>
      <c r="BCH44" s="88"/>
      <c r="BCI44" s="88"/>
      <c r="BCJ44" s="88"/>
      <c r="BCK44" s="88"/>
      <c r="BCL44" s="88"/>
      <c r="BCM44" s="88"/>
      <c r="BCN44" s="88"/>
      <c r="BCO44" s="88"/>
      <c r="BCP44" s="88"/>
      <c r="BCQ44" s="88"/>
      <c r="BCR44" s="88"/>
      <c r="BCS44" s="88"/>
      <c r="BCT44" s="88"/>
      <c r="BCU44" s="88"/>
      <c r="BCV44" s="88"/>
      <c r="BCW44" s="88"/>
      <c r="BCX44" s="88"/>
      <c r="BCY44" s="88"/>
      <c r="BCZ44" s="88"/>
      <c r="BDA44" s="88"/>
      <c r="BDB44" s="88"/>
      <c r="BDC44" s="88"/>
      <c r="BDD44" s="88"/>
      <c r="BDE44" s="88"/>
      <c r="BDF44" s="88"/>
      <c r="BDG44" s="88"/>
      <c r="BDH44" s="88"/>
      <c r="BDI44" s="88"/>
      <c r="BDJ44" s="88"/>
      <c r="BDK44" s="88"/>
      <c r="BDL44" s="88"/>
      <c r="BDM44" s="88"/>
      <c r="BDN44" s="88"/>
      <c r="BDO44" s="88"/>
      <c r="BDP44" s="88"/>
      <c r="BDQ44" s="88"/>
      <c r="BDR44" s="88"/>
      <c r="BDS44" s="88"/>
      <c r="BDT44" s="88"/>
      <c r="BDU44" s="88"/>
      <c r="BDV44" s="88"/>
      <c r="BDW44" s="88"/>
      <c r="BDX44" s="88"/>
      <c r="BDY44" s="88"/>
      <c r="BDZ44" s="88"/>
      <c r="BEA44" s="88"/>
      <c r="BEB44" s="88"/>
      <c r="BEC44" s="88"/>
      <c r="BED44" s="88"/>
      <c r="BEE44" s="88"/>
      <c r="BEF44" s="88"/>
      <c r="BEG44" s="88"/>
      <c r="BEH44" s="88"/>
      <c r="BEI44" s="88"/>
      <c r="BEJ44" s="88"/>
      <c r="BEK44" s="88"/>
      <c r="BEL44" s="88"/>
      <c r="BEM44" s="88"/>
      <c r="BEN44" s="88"/>
      <c r="BEO44" s="88"/>
      <c r="BEP44" s="88"/>
      <c r="BEQ44" s="88"/>
      <c r="BER44" s="88"/>
      <c r="BES44" s="88"/>
      <c r="BET44" s="88"/>
      <c r="BEU44" s="88"/>
      <c r="BEV44" s="88"/>
      <c r="BEW44" s="88"/>
      <c r="BEX44" s="88"/>
      <c r="BEY44" s="88"/>
      <c r="BEZ44" s="88"/>
      <c r="BFA44" s="88"/>
      <c r="BFB44" s="88"/>
      <c r="BFC44" s="88"/>
      <c r="BFD44" s="88"/>
      <c r="BFE44" s="88"/>
      <c r="BFF44" s="88"/>
      <c r="BFG44" s="88"/>
      <c r="BFH44" s="88"/>
      <c r="BFI44" s="88"/>
      <c r="BFJ44" s="88"/>
      <c r="BFK44" s="88"/>
      <c r="BFL44" s="88"/>
      <c r="BFM44" s="88"/>
      <c r="BFN44" s="88"/>
      <c r="BFO44" s="88"/>
      <c r="BFP44" s="88"/>
      <c r="BFQ44" s="88"/>
      <c r="BFR44" s="88"/>
      <c r="BFS44" s="88"/>
      <c r="BFT44" s="88"/>
      <c r="BFU44" s="88"/>
      <c r="BFV44" s="88"/>
      <c r="BFW44" s="88"/>
      <c r="BFX44" s="88"/>
      <c r="BFY44" s="88"/>
      <c r="BFZ44" s="88"/>
      <c r="BGA44" s="88"/>
      <c r="BGB44" s="88"/>
      <c r="BGC44" s="88"/>
      <c r="BGD44" s="88"/>
      <c r="BGE44" s="88"/>
      <c r="BGF44" s="88"/>
      <c r="BGG44" s="88"/>
      <c r="BGH44" s="88"/>
      <c r="BGI44" s="88"/>
      <c r="BGJ44" s="88"/>
      <c r="BGK44" s="88"/>
      <c r="BGL44" s="88"/>
      <c r="BGM44" s="88"/>
      <c r="BGN44" s="88"/>
      <c r="BGO44" s="88"/>
      <c r="BGP44" s="88"/>
      <c r="BGQ44" s="88"/>
      <c r="BGR44" s="88"/>
      <c r="BGS44" s="88"/>
      <c r="BGT44" s="88"/>
      <c r="BGU44" s="88"/>
      <c r="BGV44" s="88"/>
      <c r="BGW44" s="88"/>
      <c r="BGX44" s="88"/>
      <c r="BGY44" s="88"/>
      <c r="BGZ44" s="88"/>
      <c r="BHA44" s="88"/>
      <c r="BHB44" s="88"/>
      <c r="BHC44" s="88"/>
      <c r="BHD44" s="88"/>
      <c r="BHE44" s="88"/>
      <c r="BHF44" s="88"/>
      <c r="BHG44" s="88"/>
      <c r="BHH44" s="88"/>
      <c r="BHI44" s="88"/>
      <c r="BHJ44" s="88"/>
      <c r="BHK44" s="88"/>
      <c r="BHL44" s="88"/>
      <c r="BHM44" s="88"/>
      <c r="BHN44" s="88"/>
      <c r="BHO44" s="88"/>
      <c r="BHP44" s="88"/>
      <c r="BHQ44" s="88"/>
      <c r="BHR44" s="88"/>
      <c r="BHS44" s="88"/>
      <c r="BHT44" s="88"/>
      <c r="BHU44" s="88"/>
      <c r="BHV44" s="88"/>
      <c r="BHW44" s="88"/>
      <c r="BHX44" s="88"/>
      <c r="BHY44" s="88"/>
      <c r="BHZ44" s="88"/>
      <c r="BIA44" s="88"/>
      <c r="BIB44" s="88"/>
      <c r="BIC44" s="88"/>
      <c r="BID44" s="88"/>
      <c r="BIE44" s="88"/>
      <c r="BIF44" s="88"/>
      <c r="BIG44" s="88"/>
      <c r="BIH44" s="88"/>
      <c r="BII44" s="88"/>
      <c r="BIJ44" s="88"/>
      <c r="BIK44" s="88"/>
      <c r="BIL44" s="88"/>
      <c r="BIM44" s="88"/>
      <c r="BIN44" s="88"/>
      <c r="BIO44" s="88"/>
      <c r="BIP44" s="88"/>
      <c r="BIQ44" s="88"/>
      <c r="BIR44" s="88"/>
      <c r="BIS44" s="88"/>
      <c r="BIT44" s="88"/>
      <c r="BIU44" s="88"/>
      <c r="BIV44" s="88"/>
      <c r="BIW44" s="88"/>
      <c r="BIX44" s="88"/>
      <c r="BIY44" s="88"/>
      <c r="BIZ44" s="88"/>
      <c r="BJA44" s="88"/>
      <c r="BJB44" s="88"/>
      <c r="BJC44" s="88"/>
      <c r="BJD44" s="88"/>
      <c r="BJE44" s="88"/>
      <c r="BJF44" s="88"/>
      <c r="BJG44" s="88"/>
      <c r="BJH44" s="88"/>
      <c r="BJI44" s="88"/>
      <c r="BJJ44" s="88"/>
      <c r="BJK44" s="88"/>
      <c r="BJL44" s="88"/>
      <c r="BJM44" s="88"/>
      <c r="BJN44" s="88"/>
      <c r="BJO44" s="88"/>
      <c r="BJP44" s="88"/>
      <c r="BJQ44" s="88"/>
      <c r="BJR44" s="88"/>
      <c r="BJS44" s="88"/>
      <c r="BJT44" s="88"/>
      <c r="BJU44" s="88"/>
      <c r="BJV44" s="88"/>
      <c r="BJW44" s="88"/>
      <c r="BJX44" s="88"/>
      <c r="BJY44" s="88"/>
      <c r="BJZ44" s="88"/>
      <c r="BKA44" s="88"/>
      <c r="BKB44" s="88"/>
      <c r="BKC44" s="88"/>
      <c r="BKD44" s="88"/>
      <c r="BKE44" s="88"/>
      <c r="BKF44" s="88"/>
      <c r="BKG44" s="88"/>
      <c r="BKH44" s="88"/>
      <c r="BKI44" s="88"/>
      <c r="BKJ44" s="88"/>
      <c r="BKK44" s="88"/>
      <c r="BKL44" s="88"/>
      <c r="BKM44" s="88"/>
      <c r="BKN44" s="88"/>
      <c r="BKO44" s="88"/>
      <c r="BKP44" s="88"/>
      <c r="BKQ44" s="88"/>
      <c r="BKR44" s="88"/>
      <c r="BKS44" s="88"/>
      <c r="BKT44" s="88"/>
      <c r="BKU44" s="88"/>
      <c r="BKV44" s="88"/>
      <c r="BKW44" s="88"/>
      <c r="BKX44" s="88"/>
      <c r="BKY44" s="88"/>
      <c r="BKZ44" s="88"/>
      <c r="BLA44" s="88"/>
      <c r="BLB44" s="88"/>
      <c r="BLC44" s="88"/>
      <c r="BLD44" s="88"/>
      <c r="BLE44" s="88"/>
      <c r="BLF44" s="88"/>
      <c r="BLG44" s="88"/>
      <c r="BLH44" s="88"/>
      <c r="BLI44" s="88"/>
      <c r="BLJ44" s="88"/>
      <c r="BLK44" s="88"/>
      <c r="BLL44" s="88"/>
      <c r="BLM44" s="88"/>
      <c r="BLN44" s="88"/>
      <c r="BLO44" s="88"/>
      <c r="BLP44" s="88"/>
      <c r="BLQ44" s="88"/>
      <c r="BLR44" s="88"/>
      <c r="BLS44" s="88"/>
      <c r="BLT44" s="88"/>
      <c r="BLU44" s="88"/>
      <c r="BLV44" s="88"/>
      <c r="BLW44" s="88"/>
      <c r="BLX44" s="88"/>
      <c r="BLY44" s="88"/>
      <c r="BLZ44" s="88"/>
      <c r="BMA44" s="88"/>
      <c r="BMB44" s="88"/>
      <c r="BMC44" s="88"/>
      <c r="BMD44" s="88"/>
      <c r="BME44" s="88"/>
      <c r="BMF44" s="88"/>
      <c r="BMG44" s="88"/>
      <c r="BMH44" s="88"/>
      <c r="BMI44" s="88"/>
      <c r="BMJ44" s="88"/>
      <c r="BMK44" s="88"/>
      <c r="BML44" s="88"/>
      <c r="BMM44" s="88"/>
      <c r="BMN44" s="88"/>
      <c r="BMO44" s="88"/>
      <c r="BMP44" s="88"/>
      <c r="BMQ44" s="88"/>
      <c r="BMR44" s="88"/>
      <c r="BMS44" s="88"/>
      <c r="BMT44" s="88"/>
      <c r="BMU44" s="88"/>
      <c r="BMV44" s="88"/>
      <c r="BMW44" s="88"/>
      <c r="BMX44" s="88"/>
      <c r="BMY44" s="88"/>
      <c r="BMZ44" s="88"/>
      <c r="BNA44" s="88"/>
      <c r="BNB44" s="88"/>
      <c r="BNC44" s="88"/>
      <c r="BND44" s="88"/>
      <c r="BNE44" s="88"/>
      <c r="BNF44" s="88"/>
      <c r="BNG44" s="88"/>
      <c r="BNH44" s="88"/>
      <c r="BNI44" s="88"/>
      <c r="BNJ44" s="88"/>
      <c r="BNK44" s="88"/>
      <c r="BNL44" s="88"/>
      <c r="BNM44" s="88"/>
      <c r="BNN44" s="88"/>
      <c r="BNO44" s="88"/>
      <c r="BNP44" s="88"/>
      <c r="BNQ44" s="88"/>
      <c r="BNR44" s="88"/>
      <c r="BNS44" s="88"/>
      <c r="BNT44" s="88"/>
      <c r="BNU44" s="88"/>
      <c r="BNV44" s="88"/>
      <c r="BNW44" s="88"/>
      <c r="BNX44" s="88"/>
      <c r="BNY44" s="88"/>
      <c r="BNZ44" s="88"/>
      <c r="BOA44" s="88"/>
      <c r="BOB44" s="88"/>
      <c r="BOC44" s="88"/>
      <c r="BOD44" s="88"/>
      <c r="BOE44" s="88"/>
      <c r="BOF44" s="88"/>
      <c r="BOG44" s="88"/>
      <c r="BOH44" s="88"/>
      <c r="BOI44" s="88"/>
      <c r="BOJ44" s="88"/>
      <c r="BOK44" s="88"/>
      <c r="BOL44" s="88"/>
      <c r="BOM44" s="88"/>
      <c r="BON44" s="88"/>
      <c r="BOO44" s="88"/>
      <c r="BOP44" s="88"/>
      <c r="BOQ44" s="88"/>
      <c r="BOR44" s="88"/>
      <c r="BOS44" s="88"/>
      <c r="BOT44" s="88"/>
      <c r="BOU44" s="88"/>
      <c r="BOV44" s="88"/>
      <c r="BOW44" s="88"/>
      <c r="BOX44" s="88"/>
      <c r="BOY44" s="88"/>
      <c r="BOZ44" s="88"/>
      <c r="BPA44" s="88"/>
      <c r="BPB44" s="88"/>
      <c r="BPC44" s="88"/>
      <c r="BPD44" s="88"/>
      <c r="BPE44" s="88"/>
      <c r="BPF44" s="88"/>
      <c r="BPG44" s="88"/>
      <c r="BPH44" s="88"/>
      <c r="BPI44" s="88"/>
      <c r="BPJ44" s="88"/>
      <c r="BPK44" s="88"/>
      <c r="BPL44" s="88"/>
      <c r="BPM44" s="88"/>
      <c r="BPN44" s="88"/>
      <c r="BPO44" s="88"/>
      <c r="BPP44" s="88"/>
      <c r="BPQ44" s="88"/>
      <c r="BPR44" s="88"/>
      <c r="BPS44" s="88"/>
      <c r="BPT44" s="88"/>
      <c r="BPU44" s="88"/>
      <c r="BPV44" s="88"/>
      <c r="BPW44" s="88"/>
      <c r="BPX44" s="88"/>
      <c r="BPY44" s="88"/>
      <c r="BPZ44" s="88"/>
      <c r="BQA44" s="88"/>
      <c r="BQB44" s="88"/>
      <c r="BQC44" s="88"/>
      <c r="BQD44" s="88"/>
      <c r="BQE44" s="88"/>
      <c r="BQF44" s="88"/>
      <c r="BQG44" s="88"/>
      <c r="BQH44" s="88"/>
      <c r="BQI44" s="88"/>
      <c r="BQJ44" s="88"/>
      <c r="BQK44" s="88"/>
      <c r="BQL44" s="88"/>
      <c r="BQM44" s="88"/>
      <c r="BQN44" s="88"/>
      <c r="BQO44" s="88"/>
      <c r="BQP44" s="88"/>
      <c r="BQQ44" s="88"/>
      <c r="BQR44" s="88"/>
      <c r="BQS44" s="88"/>
      <c r="BQT44" s="88"/>
      <c r="BQU44" s="88"/>
      <c r="BQV44" s="88"/>
      <c r="BQW44" s="88"/>
      <c r="BQX44" s="88"/>
      <c r="BQY44" s="88"/>
      <c r="BQZ44" s="88"/>
      <c r="BRA44" s="88"/>
      <c r="BRB44" s="88"/>
      <c r="BRC44" s="88"/>
      <c r="BRD44" s="88"/>
      <c r="BRE44" s="88"/>
      <c r="BRF44" s="88"/>
      <c r="BRG44" s="88"/>
      <c r="BRH44" s="88"/>
      <c r="BRI44" s="88"/>
      <c r="BRJ44" s="88"/>
      <c r="BRK44" s="88"/>
      <c r="BRL44" s="88"/>
      <c r="BRM44" s="88"/>
      <c r="BRN44" s="88"/>
      <c r="BRO44" s="88"/>
      <c r="BRP44" s="88"/>
      <c r="BRQ44" s="88"/>
      <c r="BRR44" s="88"/>
      <c r="BRS44" s="88"/>
      <c r="BRT44" s="88"/>
      <c r="BRU44" s="88"/>
      <c r="BRV44" s="88"/>
      <c r="BRW44" s="88"/>
      <c r="BRX44" s="88"/>
      <c r="BRY44" s="88"/>
      <c r="BRZ44" s="88"/>
      <c r="BSA44" s="88"/>
      <c r="BSB44" s="88"/>
      <c r="BSC44" s="88"/>
      <c r="BSD44" s="88"/>
      <c r="BSE44" s="88"/>
      <c r="BSF44" s="88"/>
      <c r="BSG44" s="88"/>
      <c r="BSH44" s="88"/>
      <c r="BSI44" s="88"/>
      <c r="BSJ44" s="88"/>
      <c r="BSK44" s="88"/>
      <c r="BSL44" s="88"/>
      <c r="BSM44" s="88"/>
      <c r="BSN44" s="88"/>
      <c r="BSO44" s="88"/>
      <c r="BSP44" s="88"/>
      <c r="BSQ44" s="88"/>
      <c r="BSR44" s="88"/>
      <c r="BSS44" s="88"/>
      <c r="BST44" s="88"/>
      <c r="BSU44" s="88"/>
      <c r="BSV44" s="88"/>
      <c r="BSW44" s="88"/>
      <c r="BSX44" s="88"/>
      <c r="BSY44" s="88"/>
      <c r="BSZ44" s="88"/>
      <c r="BTA44" s="88"/>
      <c r="BTB44" s="88"/>
      <c r="BTC44" s="88"/>
      <c r="BTD44" s="88"/>
      <c r="BTE44" s="88"/>
      <c r="BTF44" s="88"/>
      <c r="BTG44" s="88"/>
      <c r="BTH44" s="88"/>
      <c r="BTI44" s="88"/>
      <c r="BTJ44" s="88"/>
      <c r="BTK44" s="88"/>
      <c r="BTL44" s="88"/>
      <c r="BTM44" s="88"/>
      <c r="BTN44" s="88"/>
      <c r="BTO44" s="88"/>
      <c r="BTP44" s="88"/>
      <c r="BTQ44" s="88"/>
      <c r="BTR44" s="88"/>
      <c r="BTS44" s="88"/>
      <c r="BTT44" s="88"/>
      <c r="BTU44" s="88"/>
      <c r="BTV44" s="88"/>
      <c r="BTW44" s="88"/>
      <c r="BTX44" s="88"/>
      <c r="BTY44" s="88"/>
      <c r="BTZ44" s="88"/>
      <c r="BUA44" s="88"/>
      <c r="BUB44" s="88"/>
      <c r="BUC44" s="88"/>
      <c r="BUD44" s="88"/>
      <c r="BUE44" s="88"/>
      <c r="BUF44" s="88"/>
      <c r="BUG44" s="88"/>
      <c r="BUH44" s="88"/>
      <c r="BUI44" s="88"/>
      <c r="BUJ44" s="88"/>
      <c r="BUK44" s="88"/>
      <c r="BUL44" s="88"/>
      <c r="BUM44" s="88"/>
      <c r="BUN44" s="88"/>
      <c r="BUO44" s="88"/>
      <c r="BUP44" s="88"/>
      <c r="BUQ44" s="88"/>
      <c r="BUR44" s="88"/>
      <c r="BUS44" s="88"/>
      <c r="BUT44" s="88"/>
      <c r="BUU44" s="88"/>
      <c r="BUV44" s="88"/>
      <c r="BUW44" s="88"/>
      <c r="BUX44" s="88"/>
      <c r="BUY44" s="88"/>
      <c r="BUZ44" s="88"/>
      <c r="BVA44" s="88"/>
      <c r="BVB44" s="88"/>
      <c r="BVC44" s="88"/>
      <c r="BVD44" s="88"/>
      <c r="BVE44" s="88"/>
      <c r="BVF44" s="88"/>
      <c r="BVG44" s="88"/>
      <c r="BVH44" s="88"/>
      <c r="BVI44" s="88"/>
      <c r="BVJ44" s="88"/>
      <c r="BVK44" s="88"/>
      <c r="BVL44" s="88"/>
      <c r="BVM44" s="88"/>
      <c r="BVN44" s="88"/>
      <c r="BVO44" s="88"/>
      <c r="BVP44" s="88"/>
      <c r="BVQ44" s="88"/>
      <c r="BVR44" s="88"/>
      <c r="BVS44" s="88"/>
      <c r="BVT44" s="88"/>
      <c r="BVU44" s="88"/>
      <c r="BVV44" s="88"/>
      <c r="BVW44" s="88"/>
      <c r="BVX44" s="88"/>
      <c r="BVY44" s="88"/>
      <c r="BVZ44" s="88"/>
      <c r="BWA44" s="88"/>
      <c r="BWB44" s="88"/>
      <c r="BWC44" s="88"/>
      <c r="BWD44" s="88"/>
      <c r="BWE44" s="88"/>
      <c r="BWF44" s="88"/>
      <c r="BWG44" s="88"/>
      <c r="BWH44" s="88"/>
      <c r="BWI44" s="88"/>
      <c r="BWJ44" s="88"/>
      <c r="BWK44" s="88"/>
      <c r="BWL44" s="88"/>
      <c r="BWM44" s="88"/>
      <c r="BWN44" s="88"/>
      <c r="BWO44" s="88"/>
      <c r="BWP44" s="88"/>
      <c r="BWQ44" s="88"/>
      <c r="BWR44" s="88"/>
      <c r="BWS44" s="88"/>
      <c r="BWT44" s="88"/>
      <c r="BWU44" s="88"/>
      <c r="BWV44" s="88"/>
      <c r="BWW44" s="88"/>
      <c r="BWX44" s="88"/>
      <c r="BWY44" s="88"/>
      <c r="BWZ44" s="88"/>
      <c r="BXA44" s="88"/>
      <c r="BXB44" s="88"/>
      <c r="BXC44" s="88"/>
      <c r="BXD44" s="88"/>
      <c r="BXE44" s="88"/>
      <c r="BXF44" s="88"/>
      <c r="BXG44" s="88"/>
      <c r="BXH44" s="88"/>
      <c r="BXI44" s="88"/>
      <c r="BXJ44" s="88"/>
      <c r="BXK44" s="88"/>
      <c r="BXL44" s="88"/>
      <c r="BXM44" s="88"/>
      <c r="BXN44" s="88"/>
      <c r="BXO44" s="88"/>
      <c r="BXP44" s="88"/>
      <c r="BXQ44" s="88"/>
      <c r="BXR44" s="88"/>
      <c r="BXS44" s="88"/>
      <c r="BXT44" s="88"/>
      <c r="BXU44" s="88"/>
      <c r="BXV44" s="88"/>
      <c r="BXW44" s="88"/>
      <c r="BXX44" s="88"/>
      <c r="BXY44" s="88"/>
      <c r="BXZ44" s="88"/>
      <c r="BYA44" s="88"/>
      <c r="BYB44" s="88"/>
      <c r="BYC44" s="88"/>
      <c r="BYD44" s="88"/>
      <c r="BYE44" s="88"/>
      <c r="BYF44" s="88"/>
      <c r="BYG44" s="88"/>
      <c r="BYH44" s="88"/>
      <c r="BYI44" s="88"/>
      <c r="BYJ44" s="88"/>
      <c r="BYK44" s="88"/>
      <c r="BYL44" s="88"/>
      <c r="BYM44" s="88"/>
      <c r="BYN44" s="88"/>
      <c r="BYO44" s="88"/>
      <c r="BYP44" s="88"/>
      <c r="BYQ44" s="88"/>
      <c r="BYR44" s="88"/>
      <c r="BYS44" s="88"/>
      <c r="BYT44" s="88"/>
      <c r="BYU44" s="88"/>
      <c r="BYV44" s="88"/>
      <c r="BYW44" s="88"/>
      <c r="BYX44" s="88"/>
      <c r="BYY44" s="88"/>
      <c r="BYZ44" s="88"/>
      <c r="BZA44" s="88"/>
      <c r="BZB44" s="88"/>
      <c r="BZC44" s="88"/>
      <c r="BZD44" s="88"/>
      <c r="BZE44" s="88"/>
      <c r="BZF44" s="88"/>
      <c r="BZG44" s="88"/>
      <c r="BZH44" s="88"/>
      <c r="BZI44" s="88"/>
      <c r="BZJ44" s="88"/>
      <c r="BZK44" s="88"/>
      <c r="BZL44" s="88"/>
      <c r="BZM44" s="88"/>
      <c r="BZN44" s="88"/>
      <c r="BZO44" s="88"/>
      <c r="BZP44" s="88"/>
      <c r="BZQ44" s="88"/>
      <c r="BZR44" s="88"/>
      <c r="BZS44" s="88"/>
      <c r="BZT44" s="88"/>
      <c r="BZU44" s="88"/>
      <c r="BZV44" s="88"/>
      <c r="BZW44" s="88"/>
      <c r="BZX44" s="88"/>
      <c r="BZY44" s="88"/>
      <c r="BZZ44" s="88"/>
      <c r="CAA44" s="88"/>
      <c r="CAB44" s="88"/>
      <c r="CAC44" s="88"/>
      <c r="CAD44" s="88"/>
      <c r="CAE44" s="88"/>
      <c r="CAF44" s="88"/>
      <c r="CAG44" s="88"/>
      <c r="CAH44" s="88"/>
      <c r="CAI44" s="88"/>
      <c r="CAJ44" s="88"/>
      <c r="CAK44" s="88"/>
      <c r="CAL44" s="88"/>
      <c r="CAM44" s="88"/>
      <c r="CAN44" s="88"/>
      <c r="CAO44" s="88"/>
      <c r="CAP44" s="88"/>
      <c r="CAQ44" s="88"/>
      <c r="CAR44" s="88"/>
      <c r="CAS44" s="88"/>
      <c r="CAT44" s="88"/>
      <c r="CAU44" s="88"/>
      <c r="CAV44" s="88"/>
      <c r="CAW44" s="88"/>
      <c r="CAX44" s="88"/>
      <c r="CAY44" s="88"/>
      <c r="CAZ44" s="88"/>
      <c r="CBA44" s="88"/>
      <c r="CBB44" s="88"/>
      <c r="CBC44" s="88"/>
      <c r="CBD44" s="88"/>
      <c r="CBE44" s="88"/>
      <c r="CBF44" s="88"/>
      <c r="CBG44" s="88"/>
      <c r="CBH44" s="88"/>
      <c r="CBI44" s="88"/>
      <c r="CBJ44" s="88"/>
      <c r="CBK44" s="88"/>
      <c r="CBL44" s="88"/>
      <c r="CBM44" s="88"/>
      <c r="CBN44" s="88"/>
      <c r="CBO44" s="88"/>
      <c r="CBP44" s="88"/>
      <c r="CBQ44" s="88"/>
      <c r="CBR44" s="88"/>
      <c r="CBS44" s="88"/>
      <c r="CBT44" s="88"/>
      <c r="CBU44" s="88"/>
      <c r="CBV44" s="88"/>
      <c r="CBW44" s="88"/>
      <c r="CBX44" s="88"/>
      <c r="CBY44" s="88"/>
      <c r="CBZ44" s="88"/>
      <c r="CCA44" s="88"/>
      <c r="CCB44" s="88"/>
      <c r="CCC44" s="88"/>
      <c r="CCD44" s="88"/>
      <c r="CCE44" s="88"/>
      <c r="CCF44" s="88"/>
      <c r="CCG44" s="88"/>
      <c r="CCH44" s="88"/>
      <c r="CCI44" s="88"/>
      <c r="CCJ44" s="88"/>
      <c r="CCK44" s="88"/>
      <c r="CCL44" s="88"/>
      <c r="CCM44" s="88"/>
      <c r="CCN44" s="88"/>
      <c r="CCO44" s="88"/>
      <c r="CCP44" s="88"/>
      <c r="CCQ44" s="88"/>
      <c r="CCR44" s="88"/>
      <c r="CCS44" s="88"/>
      <c r="CCT44" s="88"/>
      <c r="CCU44" s="88"/>
      <c r="CCV44" s="88"/>
      <c r="CCW44" s="88"/>
      <c r="CCX44" s="88"/>
      <c r="CCY44" s="88"/>
      <c r="CCZ44" s="88"/>
      <c r="CDA44" s="88"/>
      <c r="CDB44" s="88"/>
      <c r="CDC44" s="88"/>
      <c r="CDD44" s="88"/>
      <c r="CDE44" s="88"/>
      <c r="CDF44" s="88"/>
      <c r="CDG44" s="88"/>
      <c r="CDH44" s="88"/>
      <c r="CDI44" s="88"/>
      <c r="CDJ44" s="88"/>
      <c r="CDK44" s="88"/>
      <c r="CDL44" s="88"/>
      <c r="CDM44" s="88"/>
      <c r="CDN44" s="88"/>
      <c r="CDO44" s="88"/>
      <c r="CDP44" s="88"/>
      <c r="CDQ44" s="88"/>
      <c r="CDR44" s="88"/>
      <c r="CDS44" s="88"/>
      <c r="CDT44" s="88"/>
      <c r="CDU44" s="88"/>
      <c r="CDV44" s="88"/>
      <c r="CDW44" s="88"/>
      <c r="CDX44" s="88"/>
      <c r="CDY44" s="88"/>
      <c r="CDZ44" s="88"/>
      <c r="CEA44" s="88"/>
      <c r="CEB44" s="88"/>
      <c r="CEC44" s="88"/>
      <c r="CED44" s="88"/>
      <c r="CEE44" s="88"/>
      <c r="CEF44" s="88"/>
      <c r="CEG44" s="88"/>
      <c r="CEH44" s="88"/>
      <c r="CEI44" s="88"/>
      <c r="CEJ44" s="88"/>
      <c r="CEK44" s="88"/>
    </row>
    <row r="45" spans="1:2169" s="51" customFormat="1">
      <c r="A45" s="834" t="s">
        <v>417</v>
      </c>
      <c r="B45" s="834" t="s">
        <v>75</v>
      </c>
      <c r="C45" s="835" t="str">
        <f>IF('page 2'!$O$4="","",IF('page 2'!$O$4=Gestion!A45,1,0))</f>
        <v/>
      </c>
      <c r="D45" s="835" t="str">
        <f>IF('page 2'!$O$5="","",IF('page 2'!$O$5=Gestion!A45,1,0))</f>
        <v/>
      </c>
      <c r="E45" s="835" t="str">
        <f>IF('page 2'!$O$6="","",IF('page 2'!$O$6=Gestion!A45,1,0))</f>
        <v/>
      </c>
      <c r="F45" s="835" t="str">
        <f>IF('page 2'!$O$7="","",IF('page 2'!$O$7=Gestion!A45,1,0))</f>
        <v/>
      </c>
      <c r="G45" s="835" t="str">
        <f>IF('page 2'!$O$8="","",IF('page 2'!$O$8=Gestion!A45,1,0))</f>
        <v/>
      </c>
      <c r="H45" s="835" t="str">
        <f>IF('page 2'!$O$9="","",IF('page 2'!$O$9=Gestion!A45,1,0))</f>
        <v/>
      </c>
      <c r="I45" s="835" t="str">
        <f>IF('page 2'!$O$10="","",IF('page 2'!$O$10=Gestion!A45,1,0))</f>
        <v/>
      </c>
      <c r="J45" s="835" t="str">
        <f>IF('page 2'!$O$11="","",IF('page 2'!$O$11=Gestion!A45,1,0))</f>
        <v/>
      </c>
      <c r="K45" s="835" t="str">
        <f>IF('page 2'!$O$12="","",IF('page 2'!$O$12=Gestion!A45,1,0))</f>
        <v/>
      </c>
      <c r="L45" s="835" t="str">
        <f>IF('page 2'!$O$13="","",IF('page 2'!$O$13=Gestion!A45,1,0))</f>
        <v/>
      </c>
      <c r="M45" s="835"/>
      <c r="N45" s="835" t="str">
        <f>IF('page 2'!$O$15="","",IF('page 2'!$O$15=Gestion!A45,1,0))</f>
        <v/>
      </c>
      <c r="O45" s="835" t="str">
        <f>IF('page 2'!$O$16="","",IF('page 2'!$O$16=Gestion!A45,1,0))</f>
        <v/>
      </c>
      <c r="P45" s="835" t="str">
        <f>IF('page 2'!$O$17="","",IF('page 2'!$O$17=Gestion!A45,1,0))</f>
        <v/>
      </c>
      <c r="Q45" s="835" t="str">
        <f>IF('page 2'!$O$18="","",IF('page 2'!$O$18=Gestion!A45,1,0))</f>
        <v/>
      </c>
      <c r="R45" s="835" t="str">
        <f>IF('page 2'!$O$19="","",IF('page 2'!$O$19=Gestion!A45,1,0))</f>
        <v/>
      </c>
      <c r="S45" s="835" t="str">
        <f>IF('page 2'!$O$20="","",IF('page 2'!$O$20=Gestion!A45,1,0))</f>
        <v/>
      </c>
      <c r="T45" s="835" t="str">
        <f>IF('page 2'!$O$25="","",IF('page 2'!$O$25=Gestion!A45,1,0))</f>
        <v/>
      </c>
      <c r="U45" s="835" t="str">
        <f>IF('page 2'!$O$26="","",IF('page 2'!$O$26=Gestion!A45,1,0))</f>
        <v/>
      </c>
      <c r="V45" s="835" t="str">
        <f>IF('page 2'!$O$27="","",IF('page 2'!$O$27=Gestion!A45,1,0))</f>
        <v/>
      </c>
      <c r="W45" s="836">
        <f t="shared" si="0"/>
        <v>0</v>
      </c>
      <c r="X45" s="837"/>
      <c r="Y45" s="835"/>
      <c r="Z45" s="835"/>
      <c r="AA45" s="835"/>
      <c r="AB45" s="838"/>
      <c r="AC45" s="838"/>
      <c r="AD45" s="838"/>
      <c r="AE45" s="88"/>
      <c r="AP45" s="838"/>
      <c r="AQ45" s="838"/>
      <c r="AR45" s="838"/>
      <c r="AS45" s="576"/>
      <c r="AT45" s="576"/>
      <c r="AU45" s="576"/>
      <c r="AV45" s="576"/>
      <c r="AW45" s="602"/>
      <c r="AX45" s="602"/>
      <c r="AY45" s="576"/>
      <c r="AZ45" s="576"/>
      <c r="BA45" s="576"/>
      <c r="BB45" s="576"/>
      <c r="BC45" s="576"/>
      <c r="BD45" s="602"/>
      <c r="BE45" s="602"/>
      <c r="BF45" s="602"/>
      <c r="BG45" s="602"/>
      <c r="BH45" s="602"/>
      <c r="BI45" s="602"/>
      <c r="BJ45" s="602"/>
      <c r="BK45" s="602"/>
      <c r="BL45" s="602"/>
      <c r="BM45" s="602"/>
      <c r="BN45" s="602"/>
      <c r="BO45" s="602"/>
      <c r="BP45" s="602"/>
      <c r="BQ45" s="602"/>
      <c r="BR45" s="602"/>
      <c r="BS45" s="576"/>
      <c r="BT45" s="576"/>
      <c r="BU45" s="576"/>
      <c r="BV45" s="576"/>
      <c r="BW45" s="602"/>
      <c r="BX45" s="602"/>
      <c r="BY45" s="602"/>
      <c r="BZ45" s="576"/>
      <c r="CA45" s="602"/>
      <c r="CB45" s="602"/>
      <c r="CC45" s="576"/>
      <c r="CD45" s="469"/>
      <c r="CE45" s="602"/>
      <c r="CF45" s="576"/>
      <c r="CG45" s="576"/>
      <c r="CH45" s="576"/>
      <c r="CI45" s="576"/>
      <c r="CJ45" s="576"/>
      <c r="CK45" s="602"/>
      <c r="CL45" s="602"/>
      <c r="CM45" s="576"/>
      <c r="CN45" s="602"/>
      <c r="CO45" s="602"/>
      <c r="CP45" s="602"/>
      <c r="CQ45" s="576"/>
      <c r="CR45" s="576"/>
      <c r="CS45" s="602"/>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c r="JU45" s="88"/>
      <c r="JV45" s="88"/>
      <c r="JW45" s="88"/>
      <c r="JX45" s="88"/>
      <c r="JY45" s="88"/>
      <c r="JZ45" s="88"/>
      <c r="KA45" s="88"/>
      <c r="KB45" s="88"/>
      <c r="KC45" s="88"/>
      <c r="KD45" s="88"/>
      <c r="KE45" s="88"/>
      <c r="KF45" s="88"/>
      <c r="KG45" s="88"/>
      <c r="KH45" s="88"/>
      <c r="KI45" s="88"/>
      <c r="KJ45" s="88"/>
      <c r="KK45" s="88"/>
      <c r="KL45" s="88"/>
      <c r="KM45" s="88"/>
      <c r="KN45" s="88"/>
      <c r="KO45" s="88"/>
      <c r="KP45" s="88"/>
      <c r="KQ45" s="88"/>
      <c r="KR45" s="88"/>
      <c r="KS45" s="88"/>
      <c r="KT45" s="88"/>
      <c r="KU45" s="88"/>
      <c r="KV45" s="88"/>
      <c r="KW45" s="88"/>
      <c r="KX45" s="88"/>
      <c r="KY45" s="88"/>
      <c r="KZ45" s="88"/>
      <c r="LA45" s="88"/>
      <c r="LB45" s="88"/>
      <c r="LC45" s="88"/>
      <c r="LD45" s="88"/>
      <c r="LE45" s="88"/>
      <c r="LF45" s="88"/>
      <c r="LG45" s="88"/>
      <c r="LH45" s="88"/>
      <c r="LI45" s="88"/>
      <c r="LJ45" s="88"/>
      <c r="LK45" s="88"/>
      <c r="LL45" s="88"/>
      <c r="LM45" s="88"/>
      <c r="LN45" s="88"/>
      <c r="LO45" s="88"/>
      <c r="LP45" s="88"/>
      <c r="LQ45" s="88"/>
      <c r="LR45" s="88"/>
      <c r="LS45" s="88"/>
      <c r="LT45" s="88"/>
      <c r="LU45" s="88"/>
      <c r="LV45" s="88"/>
      <c r="LW45" s="88"/>
      <c r="LX45" s="88"/>
      <c r="LY45" s="88"/>
      <c r="LZ45" s="88"/>
      <c r="MA45" s="88"/>
      <c r="MB45" s="88"/>
      <c r="MC45" s="88"/>
      <c r="MD45" s="88"/>
      <c r="ME45" s="88"/>
      <c r="MF45" s="88"/>
      <c r="MG45" s="88"/>
      <c r="MH45" s="88"/>
      <c r="MI45" s="88"/>
      <c r="MJ45" s="88"/>
      <c r="MK45" s="88"/>
      <c r="ML45" s="88"/>
      <c r="MM45" s="88"/>
      <c r="MN45" s="88"/>
      <c r="MO45" s="88"/>
      <c r="MP45" s="88"/>
      <c r="MQ45" s="88"/>
      <c r="MR45" s="88"/>
      <c r="MS45" s="88"/>
      <c r="MT45" s="88"/>
      <c r="MU45" s="88"/>
      <c r="MV45" s="88"/>
      <c r="MW45" s="88"/>
      <c r="MX45" s="88"/>
      <c r="MY45" s="88"/>
      <c r="MZ45" s="88"/>
      <c r="NA45" s="88"/>
      <c r="NB45" s="88"/>
      <c r="NC45" s="88"/>
      <c r="ND45" s="88"/>
      <c r="NE45" s="88"/>
      <c r="NF45" s="88"/>
      <c r="NG45" s="88"/>
      <c r="NH45" s="88"/>
      <c r="NI45" s="88"/>
      <c r="NJ45" s="88"/>
      <c r="NK45" s="88"/>
      <c r="NL45" s="88"/>
      <c r="NM45" s="88"/>
      <c r="NN45" s="88"/>
      <c r="NO45" s="88"/>
      <c r="NP45" s="88"/>
      <c r="NQ45" s="88"/>
      <c r="NR45" s="88"/>
      <c r="NS45" s="88"/>
      <c r="NT45" s="88"/>
      <c r="NU45" s="88"/>
      <c r="NV45" s="88"/>
      <c r="NW45" s="88"/>
      <c r="NX45" s="88"/>
      <c r="NY45" s="88"/>
      <c r="NZ45" s="88"/>
      <c r="OA45" s="88"/>
      <c r="OB45" s="88"/>
      <c r="OC45" s="88"/>
      <c r="OD45" s="88"/>
      <c r="OE45" s="88"/>
      <c r="OF45" s="88"/>
      <c r="OG45" s="88"/>
      <c r="OH45" s="88"/>
      <c r="OI45" s="88"/>
      <c r="OJ45" s="88"/>
      <c r="OK45" s="88"/>
      <c r="OL45" s="88"/>
      <c r="OM45" s="88"/>
      <c r="ON45" s="88"/>
      <c r="OO45" s="88"/>
      <c r="OP45" s="88"/>
      <c r="OQ45" s="88"/>
      <c r="OR45" s="88"/>
      <c r="OS45" s="88"/>
      <c r="OT45" s="88"/>
      <c r="OU45" s="88"/>
      <c r="OV45" s="88"/>
      <c r="OW45" s="88"/>
      <c r="OX45" s="88"/>
      <c r="OY45" s="88"/>
      <c r="OZ45" s="88"/>
      <c r="PA45" s="88"/>
      <c r="PB45" s="88"/>
      <c r="PC45" s="88"/>
      <c r="PD45" s="88"/>
      <c r="PE45" s="88"/>
      <c r="PF45" s="88"/>
      <c r="PG45" s="88"/>
      <c r="PH45" s="88"/>
      <c r="PI45" s="88"/>
      <c r="PJ45" s="88"/>
      <c r="PK45" s="88"/>
      <c r="PL45" s="88"/>
      <c r="PM45" s="88"/>
      <c r="PN45" s="88"/>
      <c r="PO45" s="88"/>
      <c r="PP45" s="88"/>
      <c r="PQ45" s="88"/>
      <c r="PR45" s="88"/>
      <c r="PS45" s="88"/>
      <c r="PT45" s="88"/>
      <c r="PU45" s="88"/>
      <c r="PV45" s="88"/>
      <c r="PW45" s="88"/>
      <c r="PX45" s="88"/>
      <c r="PY45" s="88"/>
      <c r="PZ45" s="88"/>
      <c r="QA45" s="88"/>
      <c r="QB45" s="88"/>
      <c r="QC45" s="88"/>
      <c r="QD45" s="88"/>
      <c r="QE45" s="88"/>
      <c r="QF45" s="88"/>
      <c r="QG45" s="88"/>
      <c r="QH45" s="88"/>
      <c r="QI45" s="88"/>
      <c r="QJ45" s="88"/>
      <c r="QK45" s="88"/>
      <c r="QL45" s="88"/>
      <c r="QM45" s="88"/>
      <c r="QN45" s="88"/>
      <c r="QO45" s="88"/>
      <c r="QP45" s="88"/>
      <c r="QQ45" s="88"/>
      <c r="QR45" s="88"/>
      <c r="QS45" s="88"/>
      <c r="QT45" s="88"/>
      <c r="QU45" s="88"/>
      <c r="QV45" s="88"/>
      <c r="QW45" s="88"/>
      <c r="QX45" s="88"/>
      <c r="QY45" s="88"/>
      <c r="QZ45" s="88"/>
      <c r="RA45" s="88"/>
      <c r="RB45" s="88"/>
      <c r="RC45" s="88"/>
      <c r="RD45" s="88"/>
      <c r="RE45" s="88"/>
      <c r="RF45" s="88"/>
      <c r="RG45" s="88"/>
      <c r="RH45" s="88"/>
      <c r="RI45" s="88"/>
      <c r="RJ45" s="88"/>
      <c r="RK45" s="88"/>
      <c r="RL45" s="88"/>
      <c r="RM45" s="88"/>
      <c r="RN45" s="88"/>
      <c r="RO45" s="88"/>
      <c r="RP45" s="88"/>
      <c r="RQ45" s="88"/>
      <c r="RR45" s="88"/>
      <c r="RS45" s="88"/>
      <c r="RT45" s="88"/>
      <c r="RU45" s="88"/>
      <c r="RV45" s="88"/>
      <c r="RW45" s="88"/>
      <c r="RX45" s="88"/>
      <c r="RY45" s="88"/>
      <c r="RZ45" s="88"/>
      <c r="SA45" s="88"/>
      <c r="SB45" s="88"/>
      <c r="SC45" s="88"/>
      <c r="SD45" s="88"/>
      <c r="SE45" s="88"/>
      <c r="SF45" s="88"/>
      <c r="SG45" s="88"/>
      <c r="SH45" s="88"/>
      <c r="SI45" s="88"/>
      <c r="SJ45" s="88"/>
      <c r="SK45" s="88"/>
      <c r="SL45" s="88"/>
      <c r="SM45" s="88"/>
      <c r="SN45" s="88"/>
      <c r="SO45" s="88"/>
      <c r="SP45" s="88"/>
      <c r="SQ45" s="88"/>
      <c r="SR45" s="88"/>
      <c r="SS45" s="88"/>
      <c r="ST45" s="88"/>
      <c r="SU45" s="88"/>
      <c r="SV45" s="88"/>
      <c r="SW45" s="88"/>
      <c r="SX45" s="88"/>
      <c r="SY45" s="88"/>
      <c r="SZ45" s="88"/>
      <c r="TA45" s="88"/>
      <c r="TB45" s="88"/>
      <c r="TC45" s="88"/>
      <c r="TD45" s="88"/>
      <c r="TE45" s="88"/>
      <c r="TF45" s="88"/>
      <c r="TG45" s="88"/>
      <c r="TH45" s="88"/>
      <c r="TI45" s="88"/>
      <c r="TJ45" s="88"/>
      <c r="TK45" s="88"/>
      <c r="TL45" s="88"/>
      <c r="TM45" s="88"/>
      <c r="TN45" s="88"/>
      <c r="TO45" s="88"/>
      <c r="TP45" s="88"/>
      <c r="TQ45" s="88"/>
      <c r="TR45" s="88"/>
      <c r="TS45" s="88"/>
      <c r="TT45" s="88"/>
      <c r="TU45" s="88"/>
      <c r="TV45" s="88"/>
      <c r="TW45" s="88"/>
      <c r="TX45" s="88"/>
      <c r="TY45" s="88"/>
      <c r="TZ45" s="88"/>
      <c r="UA45" s="88"/>
      <c r="UB45" s="88"/>
      <c r="UC45" s="88"/>
      <c r="UD45" s="88"/>
      <c r="UE45" s="88"/>
      <c r="UF45" s="88"/>
      <c r="UG45" s="88"/>
      <c r="UH45" s="88"/>
      <c r="UI45" s="88"/>
      <c r="UJ45" s="88"/>
      <c r="UK45" s="88"/>
      <c r="UL45" s="88"/>
      <c r="UM45" s="88"/>
      <c r="UN45" s="88"/>
      <c r="UO45" s="88"/>
      <c r="UP45" s="88"/>
      <c r="UQ45" s="88"/>
      <c r="UR45" s="88"/>
      <c r="US45" s="88"/>
      <c r="UT45" s="88"/>
      <c r="UU45" s="88"/>
      <c r="UV45" s="88"/>
      <c r="UW45" s="88"/>
      <c r="UX45" s="88"/>
      <c r="UY45" s="88"/>
      <c r="UZ45" s="88"/>
      <c r="VA45" s="88"/>
      <c r="VB45" s="88"/>
      <c r="VC45" s="88"/>
      <c r="VD45" s="88"/>
      <c r="VE45" s="88"/>
      <c r="VF45" s="88"/>
      <c r="VG45" s="88"/>
      <c r="VH45" s="88"/>
      <c r="VI45" s="88"/>
      <c r="VJ45" s="88"/>
      <c r="VK45" s="88"/>
      <c r="VL45" s="88"/>
      <c r="VM45" s="88"/>
      <c r="VN45" s="88"/>
      <c r="VO45" s="88"/>
      <c r="VP45" s="88"/>
      <c r="VQ45" s="88"/>
      <c r="VR45" s="88"/>
      <c r="VS45" s="88"/>
      <c r="VT45" s="88"/>
      <c r="VU45" s="88"/>
      <c r="VV45" s="88"/>
      <c r="VW45" s="88"/>
      <c r="VX45" s="88"/>
      <c r="VY45" s="88"/>
      <c r="VZ45" s="88"/>
      <c r="WA45" s="88"/>
      <c r="WB45" s="88"/>
      <c r="WC45" s="88"/>
      <c r="WD45" s="88"/>
      <c r="WE45" s="88"/>
      <c r="WF45" s="88"/>
      <c r="WG45" s="88"/>
      <c r="WH45" s="88"/>
      <c r="WI45" s="88"/>
      <c r="WJ45" s="88"/>
      <c r="WK45" s="88"/>
      <c r="WL45" s="88"/>
      <c r="WM45" s="88"/>
      <c r="WN45" s="88"/>
      <c r="WO45" s="88"/>
      <c r="WP45" s="88"/>
      <c r="WQ45" s="88"/>
      <c r="WR45" s="88"/>
      <c r="WS45" s="88"/>
      <c r="WT45" s="88"/>
      <c r="WU45" s="88"/>
      <c r="WV45" s="88"/>
      <c r="WW45" s="88"/>
      <c r="WX45" s="88"/>
      <c r="WY45" s="88"/>
      <c r="WZ45" s="88"/>
      <c r="XA45" s="88"/>
      <c r="XB45" s="88"/>
      <c r="XC45" s="88"/>
      <c r="XD45" s="88"/>
      <c r="XE45" s="88"/>
      <c r="XF45" s="88"/>
      <c r="XG45" s="88"/>
      <c r="XH45" s="88"/>
      <c r="XI45" s="88"/>
      <c r="XJ45" s="88"/>
      <c r="XK45" s="88"/>
      <c r="XL45" s="88"/>
      <c r="XM45" s="88"/>
      <c r="XN45" s="88"/>
      <c r="XO45" s="88"/>
      <c r="XP45" s="88"/>
      <c r="XQ45" s="88"/>
      <c r="XR45" s="88"/>
      <c r="XS45" s="88"/>
      <c r="XT45" s="88"/>
      <c r="XU45" s="88"/>
      <c r="XV45" s="88"/>
      <c r="XW45" s="88"/>
      <c r="XX45" s="88"/>
      <c r="XY45" s="88"/>
      <c r="XZ45" s="88"/>
      <c r="YA45" s="88"/>
      <c r="YB45" s="88"/>
      <c r="YC45" s="88"/>
      <c r="YD45" s="88"/>
      <c r="YE45" s="88"/>
      <c r="YF45" s="88"/>
      <c r="YG45" s="88"/>
      <c r="YH45" s="88"/>
      <c r="YI45" s="88"/>
      <c r="YJ45" s="88"/>
      <c r="YK45" s="88"/>
      <c r="YL45" s="88"/>
      <c r="YM45" s="88"/>
      <c r="YN45" s="88"/>
      <c r="YO45" s="88"/>
      <c r="YP45" s="88"/>
      <c r="YQ45" s="88"/>
      <c r="YR45" s="88"/>
      <c r="YS45" s="88"/>
      <c r="YT45" s="88"/>
      <c r="YU45" s="88"/>
      <c r="YV45" s="88"/>
      <c r="YW45" s="88"/>
      <c r="YX45" s="88"/>
      <c r="YY45" s="88"/>
      <c r="YZ45" s="88"/>
      <c r="ZA45" s="88"/>
      <c r="ZB45" s="88"/>
      <c r="ZC45" s="88"/>
      <c r="ZD45" s="88"/>
      <c r="ZE45" s="88"/>
      <c r="ZF45" s="88"/>
      <c r="ZG45" s="88"/>
      <c r="ZH45" s="88"/>
      <c r="ZI45" s="88"/>
      <c r="ZJ45" s="88"/>
      <c r="ZK45" s="88"/>
      <c r="ZL45" s="88"/>
      <c r="ZM45" s="88"/>
      <c r="ZN45" s="88"/>
      <c r="ZO45" s="88"/>
      <c r="ZP45" s="88"/>
      <c r="ZQ45" s="88"/>
      <c r="ZR45" s="88"/>
      <c r="ZS45" s="88"/>
      <c r="ZT45" s="88"/>
      <c r="ZU45" s="88"/>
      <c r="ZV45" s="88"/>
      <c r="ZW45" s="88"/>
      <c r="ZX45" s="88"/>
      <c r="ZY45" s="88"/>
      <c r="ZZ45" s="88"/>
      <c r="AAA45" s="88"/>
      <c r="AAB45" s="88"/>
      <c r="AAC45" s="88"/>
      <c r="AAD45" s="88"/>
      <c r="AAE45" s="88"/>
      <c r="AAF45" s="88"/>
      <c r="AAG45" s="88"/>
      <c r="AAH45" s="88"/>
      <c r="AAI45" s="88"/>
      <c r="AAJ45" s="88"/>
      <c r="AAK45" s="88"/>
      <c r="AAL45" s="88"/>
      <c r="AAM45" s="88"/>
      <c r="AAN45" s="88"/>
      <c r="AAO45" s="88"/>
      <c r="AAP45" s="88"/>
      <c r="AAQ45" s="88"/>
      <c r="AAR45" s="88"/>
      <c r="AAS45" s="88"/>
      <c r="AAT45" s="88"/>
      <c r="AAU45" s="88"/>
      <c r="AAV45" s="88"/>
      <c r="AAW45" s="88"/>
      <c r="AAX45" s="88"/>
      <c r="AAY45" s="88"/>
      <c r="AAZ45" s="88"/>
      <c r="ABA45" s="88"/>
      <c r="ABB45" s="88"/>
      <c r="ABC45" s="88"/>
      <c r="ABD45" s="88"/>
      <c r="ABE45" s="88"/>
      <c r="ABF45" s="88"/>
      <c r="ABG45" s="88"/>
      <c r="ABH45" s="88"/>
      <c r="ABI45" s="88"/>
      <c r="ABJ45" s="88"/>
      <c r="ABK45" s="88"/>
      <c r="ABL45" s="88"/>
      <c r="ABM45" s="88"/>
      <c r="ABN45" s="88"/>
      <c r="ABO45" s="88"/>
      <c r="ABP45" s="88"/>
      <c r="ABQ45" s="88"/>
      <c r="ABR45" s="88"/>
      <c r="ABS45" s="88"/>
      <c r="ABT45" s="88"/>
      <c r="ABU45" s="88"/>
      <c r="ABV45" s="88"/>
      <c r="ABW45" s="88"/>
      <c r="ABX45" s="88"/>
      <c r="ABY45" s="88"/>
      <c r="ABZ45" s="88"/>
      <c r="ACA45" s="88"/>
      <c r="ACB45" s="88"/>
      <c r="ACC45" s="88"/>
      <c r="ACD45" s="88"/>
      <c r="ACE45" s="88"/>
      <c r="ACF45" s="88"/>
      <c r="ACG45" s="88"/>
      <c r="ACH45" s="88"/>
      <c r="ACI45" s="88"/>
      <c r="ACJ45" s="88"/>
      <c r="ACK45" s="88"/>
      <c r="ACL45" s="88"/>
      <c r="ACM45" s="88"/>
      <c r="ACN45" s="88"/>
      <c r="ACO45" s="88"/>
      <c r="ACP45" s="88"/>
      <c r="ACQ45" s="88"/>
      <c r="ACR45" s="88"/>
      <c r="ACS45" s="88"/>
      <c r="ACT45" s="88"/>
      <c r="ACU45" s="88"/>
      <c r="ACV45" s="88"/>
      <c r="ACW45" s="88"/>
      <c r="ACX45" s="88"/>
      <c r="ACY45" s="88"/>
      <c r="ACZ45" s="88"/>
      <c r="ADA45" s="88"/>
      <c r="ADB45" s="88"/>
      <c r="ADC45" s="88"/>
      <c r="ADD45" s="88"/>
      <c r="ADE45" s="88"/>
      <c r="ADF45" s="88"/>
      <c r="ADG45" s="88"/>
      <c r="ADH45" s="88"/>
      <c r="ADI45" s="88"/>
      <c r="ADJ45" s="88"/>
      <c r="ADK45" s="88"/>
      <c r="ADL45" s="88"/>
      <c r="ADM45" s="88"/>
      <c r="ADN45" s="88"/>
      <c r="ADO45" s="88"/>
      <c r="ADP45" s="88"/>
      <c r="ADQ45" s="88"/>
      <c r="ADR45" s="88"/>
      <c r="ADS45" s="88"/>
      <c r="ADT45" s="88"/>
      <c r="ADU45" s="88"/>
      <c r="ADV45" s="88"/>
      <c r="ADW45" s="88"/>
      <c r="ADX45" s="88"/>
      <c r="ADY45" s="88"/>
      <c r="ADZ45" s="88"/>
      <c r="AEA45" s="88"/>
      <c r="AEB45" s="88"/>
      <c r="AEC45" s="88"/>
      <c r="AED45" s="88"/>
      <c r="AEE45" s="88"/>
      <c r="AEF45" s="88"/>
      <c r="AEG45" s="88"/>
      <c r="AEH45" s="88"/>
      <c r="AEI45" s="88"/>
      <c r="AEJ45" s="88"/>
      <c r="AEK45" s="88"/>
      <c r="AEL45" s="88"/>
      <c r="AEM45" s="88"/>
      <c r="AEN45" s="88"/>
      <c r="AEO45" s="88"/>
      <c r="AEP45" s="88"/>
      <c r="AEQ45" s="88"/>
      <c r="AER45" s="88"/>
      <c r="AES45" s="88"/>
      <c r="AET45" s="88"/>
      <c r="AEU45" s="88"/>
      <c r="AEV45" s="88"/>
      <c r="AEW45" s="88"/>
      <c r="AEX45" s="88"/>
      <c r="AEY45" s="88"/>
      <c r="AEZ45" s="88"/>
      <c r="AFA45" s="88"/>
      <c r="AFB45" s="88"/>
      <c r="AFC45" s="88"/>
      <c r="AFD45" s="88"/>
      <c r="AFE45" s="88"/>
      <c r="AFF45" s="88"/>
      <c r="AFG45" s="88"/>
      <c r="AFH45" s="88"/>
      <c r="AFI45" s="88"/>
      <c r="AFJ45" s="88"/>
      <c r="AFK45" s="88"/>
      <c r="AFL45" s="88"/>
      <c r="AFM45" s="88"/>
      <c r="AFN45" s="88"/>
      <c r="AFO45" s="88"/>
      <c r="AFP45" s="88"/>
      <c r="AFQ45" s="88"/>
      <c r="AFR45" s="88"/>
      <c r="AFS45" s="88"/>
      <c r="AFT45" s="88"/>
      <c r="AFU45" s="88"/>
      <c r="AFV45" s="88"/>
      <c r="AFW45" s="88"/>
      <c r="AFX45" s="88"/>
      <c r="AFY45" s="88"/>
      <c r="AFZ45" s="88"/>
      <c r="AGA45" s="88"/>
      <c r="AGB45" s="88"/>
      <c r="AGC45" s="88"/>
      <c r="AGD45" s="88"/>
      <c r="AGE45" s="88"/>
      <c r="AGF45" s="88"/>
      <c r="AGG45" s="88"/>
      <c r="AGH45" s="88"/>
      <c r="AGI45" s="88"/>
      <c r="AGJ45" s="88"/>
      <c r="AGK45" s="88"/>
      <c r="AGL45" s="88"/>
      <c r="AGM45" s="88"/>
      <c r="AGN45" s="88"/>
      <c r="AGO45" s="88"/>
      <c r="AGP45" s="88"/>
      <c r="AGQ45" s="88"/>
      <c r="AGR45" s="88"/>
      <c r="AGS45" s="88"/>
      <c r="AGT45" s="88"/>
      <c r="AGU45" s="88"/>
      <c r="AGV45" s="88"/>
      <c r="AGW45" s="88"/>
      <c r="AGX45" s="88"/>
      <c r="AGY45" s="88"/>
      <c r="AGZ45" s="88"/>
      <c r="AHA45" s="88"/>
      <c r="AHB45" s="88"/>
      <c r="AHC45" s="88"/>
      <c r="AHD45" s="88"/>
      <c r="AHE45" s="88"/>
      <c r="AHF45" s="88"/>
      <c r="AHG45" s="88"/>
      <c r="AHH45" s="88"/>
      <c r="AHI45" s="88"/>
      <c r="AHJ45" s="88"/>
      <c r="AHK45" s="88"/>
      <c r="AHL45" s="88"/>
      <c r="AHM45" s="88"/>
      <c r="AHN45" s="88"/>
      <c r="AHO45" s="88"/>
      <c r="AHP45" s="88"/>
      <c r="AHQ45" s="88"/>
      <c r="AHR45" s="88"/>
      <c r="AHS45" s="88"/>
      <c r="AHT45" s="88"/>
      <c r="AHU45" s="88"/>
      <c r="AHV45" s="88"/>
      <c r="AHW45" s="88"/>
      <c r="AHX45" s="88"/>
      <c r="AHY45" s="88"/>
      <c r="AHZ45" s="88"/>
      <c r="AIA45" s="88"/>
      <c r="AIB45" s="88"/>
      <c r="AIC45" s="88"/>
      <c r="AID45" s="88"/>
      <c r="AIE45" s="88"/>
      <c r="AIF45" s="88"/>
      <c r="AIG45" s="88"/>
      <c r="AIH45" s="88"/>
      <c r="AII45" s="88"/>
      <c r="AIJ45" s="88"/>
      <c r="AIK45" s="88"/>
      <c r="AIL45" s="88"/>
      <c r="AIM45" s="88"/>
      <c r="AIN45" s="88"/>
      <c r="AIO45" s="88"/>
      <c r="AIP45" s="88"/>
      <c r="AIQ45" s="88"/>
      <c r="AIR45" s="88"/>
      <c r="AIS45" s="88"/>
      <c r="AIT45" s="88"/>
      <c r="AIU45" s="88"/>
      <c r="AIV45" s="88"/>
      <c r="AIW45" s="88"/>
      <c r="AIX45" s="88"/>
      <c r="AIY45" s="88"/>
      <c r="AIZ45" s="88"/>
      <c r="AJA45" s="88"/>
      <c r="AJB45" s="88"/>
      <c r="AJC45" s="88"/>
      <c r="AJD45" s="88"/>
      <c r="AJE45" s="88"/>
      <c r="AJF45" s="88"/>
      <c r="AJG45" s="88"/>
      <c r="AJH45" s="88"/>
      <c r="AJI45" s="88"/>
      <c r="AJJ45" s="88"/>
      <c r="AJK45" s="88"/>
      <c r="AJL45" s="88"/>
      <c r="AJM45" s="88"/>
      <c r="AJN45" s="88"/>
      <c r="AJO45" s="88"/>
      <c r="AJP45" s="88"/>
      <c r="AJQ45" s="88"/>
      <c r="AJR45" s="88"/>
      <c r="AJS45" s="88"/>
      <c r="AJT45" s="88"/>
      <c r="AJU45" s="88"/>
      <c r="AJV45" s="88"/>
      <c r="AJW45" s="88"/>
      <c r="AJX45" s="88"/>
      <c r="AJY45" s="88"/>
      <c r="AJZ45" s="88"/>
      <c r="AKA45" s="88"/>
      <c r="AKB45" s="88"/>
      <c r="AKC45" s="88"/>
      <c r="AKD45" s="88"/>
      <c r="AKE45" s="88"/>
      <c r="AKF45" s="88"/>
      <c r="AKG45" s="88"/>
      <c r="AKH45" s="88"/>
      <c r="AKI45" s="88"/>
      <c r="AKJ45" s="88"/>
      <c r="AKK45" s="88"/>
      <c r="AKL45" s="88"/>
      <c r="AKM45" s="88"/>
      <c r="AKN45" s="88"/>
      <c r="AKO45" s="88"/>
      <c r="AKP45" s="88"/>
      <c r="AKQ45" s="88"/>
      <c r="AKR45" s="88"/>
      <c r="AKS45" s="88"/>
      <c r="AKT45" s="88"/>
      <c r="AKU45" s="88"/>
      <c r="AKV45" s="88"/>
      <c r="AKW45" s="88"/>
      <c r="AKX45" s="88"/>
      <c r="AKY45" s="88"/>
      <c r="AKZ45" s="88"/>
      <c r="ALA45" s="88"/>
      <c r="ALB45" s="88"/>
      <c r="ALC45" s="88"/>
      <c r="ALD45" s="88"/>
      <c r="ALE45" s="88"/>
      <c r="ALF45" s="88"/>
      <c r="ALG45" s="88"/>
      <c r="ALH45" s="88"/>
      <c r="ALI45" s="88"/>
      <c r="ALJ45" s="88"/>
      <c r="ALK45" s="88"/>
      <c r="ALL45" s="88"/>
      <c r="ALM45" s="88"/>
      <c r="ALN45" s="88"/>
      <c r="ALO45" s="88"/>
      <c r="ALP45" s="88"/>
      <c r="ALQ45" s="88"/>
      <c r="ALR45" s="88"/>
      <c r="ALS45" s="88"/>
      <c r="ALT45" s="88"/>
      <c r="ALU45" s="88"/>
      <c r="ALV45" s="88"/>
      <c r="ALW45" s="88"/>
      <c r="ALX45" s="88"/>
      <c r="ALY45" s="88"/>
      <c r="ALZ45" s="88"/>
      <c r="AMA45" s="88"/>
      <c r="AMB45" s="88"/>
      <c r="AMC45" s="88"/>
      <c r="AMD45" s="88"/>
      <c r="AME45" s="88"/>
      <c r="AMF45" s="88"/>
      <c r="AMG45" s="88"/>
      <c r="AMH45" s="88"/>
      <c r="AMI45" s="88"/>
      <c r="AMJ45" s="88"/>
      <c r="AMK45" s="88"/>
      <c r="AML45" s="88"/>
      <c r="AMM45" s="88"/>
      <c r="AMN45" s="88"/>
      <c r="AMO45" s="88"/>
      <c r="AMP45" s="88"/>
      <c r="AMQ45" s="88"/>
      <c r="AMR45" s="88"/>
      <c r="AMS45" s="88"/>
      <c r="AMT45" s="88"/>
      <c r="AMU45" s="88"/>
      <c r="AMV45" s="88"/>
      <c r="AMW45" s="88"/>
      <c r="AMX45" s="88"/>
      <c r="AMY45" s="88"/>
      <c r="AMZ45" s="88"/>
      <c r="ANA45" s="88"/>
      <c r="ANB45" s="88"/>
      <c r="ANC45" s="88"/>
      <c r="AND45" s="88"/>
      <c r="ANE45" s="88"/>
      <c r="ANF45" s="88"/>
      <c r="ANG45" s="88"/>
      <c r="ANH45" s="88"/>
      <c r="ANI45" s="88"/>
      <c r="ANJ45" s="88"/>
      <c r="ANK45" s="88"/>
      <c r="ANL45" s="88"/>
      <c r="ANM45" s="88"/>
      <c r="ANN45" s="88"/>
      <c r="ANO45" s="88"/>
      <c r="ANP45" s="88"/>
      <c r="ANQ45" s="88"/>
      <c r="ANR45" s="88"/>
      <c r="ANS45" s="88"/>
      <c r="ANT45" s="88"/>
      <c r="ANU45" s="88"/>
      <c r="ANV45" s="88"/>
      <c r="ANW45" s="88"/>
      <c r="ANX45" s="88"/>
      <c r="ANY45" s="88"/>
      <c r="ANZ45" s="88"/>
      <c r="AOA45" s="88"/>
      <c r="AOB45" s="88"/>
      <c r="AOC45" s="88"/>
      <c r="AOD45" s="88"/>
      <c r="AOE45" s="88"/>
      <c r="AOF45" s="88"/>
      <c r="AOG45" s="88"/>
      <c r="AOH45" s="88"/>
      <c r="AOI45" s="88"/>
      <c r="AOJ45" s="88"/>
      <c r="AOK45" s="88"/>
      <c r="AOL45" s="88"/>
      <c r="AOM45" s="88"/>
      <c r="AON45" s="88"/>
      <c r="AOO45" s="88"/>
      <c r="AOP45" s="88"/>
      <c r="AOQ45" s="88"/>
      <c r="AOR45" s="88"/>
      <c r="AOS45" s="88"/>
      <c r="AOT45" s="88"/>
      <c r="AOU45" s="88"/>
      <c r="AOV45" s="88"/>
      <c r="AOW45" s="88"/>
      <c r="AOX45" s="88"/>
      <c r="AOY45" s="88"/>
      <c r="AOZ45" s="88"/>
      <c r="APA45" s="88"/>
      <c r="APB45" s="88"/>
      <c r="APC45" s="88"/>
      <c r="APD45" s="88"/>
      <c r="APE45" s="88"/>
      <c r="APF45" s="88"/>
      <c r="APG45" s="88"/>
      <c r="APH45" s="88"/>
      <c r="API45" s="88"/>
      <c r="APJ45" s="88"/>
      <c r="APK45" s="88"/>
      <c r="APL45" s="88"/>
      <c r="APM45" s="88"/>
      <c r="APN45" s="88"/>
      <c r="APO45" s="88"/>
      <c r="APP45" s="88"/>
      <c r="APQ45" s="88"/>
      <c r="APR45" s="88"/>
      <c r="APS45" s="88"/>
      <c r="APT45" s="88"/>
      <c r="APU45" s="88"/>
      <c r="APV45" s="88"/>
      <c r="APW45" s="88"/>
      <c r="APX45" s="88"/>
      <c r="APY45" s="88"/>
      <c r="APZ45" s="88"/>
      <c r="AQA45" s="88"/>
      <c r="AQB45" s="88"/>
      <c r="AQC45" s="88"/>
      <c r="AQD45" s="88"/>
      <c r="AQE45" s="88"/>
      <c r="AQF45" s="88"/>
      <c r="AQG45" s="88"/>
      <c r="AQH45" s="88"/>
      <c r="AQI45" s="88"/>
      <c r="AQJ45" s="88"/>
      <c r="AQK45" s="88"/>
      <c r="AQL45" s="88"/>
      <c r="AQM45" s="88"/>
      <c r="AQN45" s="88"/>
      <c r="AQO45" s="88"/>
      <c r="AQP45" s="88"/>
      <c r="AQQ45" s="88"/>
      <c r="AQR45" s="88"/>
      <c r="AQS45" s="88"/>
      <c r="AQT45" s="88"/>
      <c r="AQU45" s="88"/>
      <c r="AQV45" s="88"/>
      <c r="AQW45" s="88"/>
      <c r="AQX45" s="88"/>
      <c r="AQY45" s="88"/>
      <c r="AQZ45" s="88"/>
      <c r="ARA45" s="88"/>
      <c r="ARB45" s="88"/>
      <c r="ARC45" s="88"/>
      <c r="ARD45" s="88"/>
      <c r="ARE45" s="88"/>
      <c r="ARF45" s="88"/>
      <c r="ARG45" s="88"/>
      <c r="ARH45" s="88"/>
      <c r="ARI45" s="88"/>
      <c r="ARJ45" s="88"/>
      <c r="ARK45" s="88"/>
      <c r="ARL45" s="88"/>
      <c r="ARM45" s="88"/>
      <c r="ARN45" s="88"/>
      <c r="ARO45" s="88"/>
      <c r="ARP45" s="88"/>
      <c r="ARQ45" s="88"/>
      <c r="ARR45" s="88"/>
      <c r="ARS45" s="88"/>
      <c r="ART45" s="88"/>
      <c r="ARU45" s="88"/>
      <c r="ARV45" s="88"/>
      <c r="ARW45" s="88"/>
      <c r="ARX45" s="88"/>
      <c r="ARY45" s="88"/>
      <c r="ARZ45" s="88"/>
      <c r="ASA45" s="88"/>
      <c r="ASB45" s="88"/>
      <c r="ASC45" s="88"/>
      <c r="ASD45" s="88"/>
      <c r="ASE45" s="88"/>
      <c r="ASF45" s="88"/>
      <c r="ASG45" s="88"/>
      <c r="ASH45" s="88"/>
      <c r="ASI45" s="88"/>
      <c r="ASJ45" s="88"/>
      <c r="ASK45" s="88"/>
      <c r="ASL45" s="88"/>
      <c r="ASM45" s="88"/>
      <c r="ASN45" s="88"/>
      <c r="ASO45" s="88"/>
      <c r="ASP45" s="88"/>
      <c r="ASQ45" s="88"/>
      <c r="ASR45" s="88"/>
      <c r="ASS45" s="88"/>
      <c r="AST45" s="88"/>
      <c r="ASU45" s="88"/>
      <c r="ASV45" s="88"/>
      <c r="ASW45" s="88"/>
      <c r="ASX45" s="88"/>
      <c r="ASY45" s="88"/>
      <c r="ASZ45" s="88"/>
      <c r="ATA45" s="88"/>
      <c r="ATB45" s="88"/>
      <c r="ATC45" s="88"/>
      <c r="ATD45" s="88"/>
      <c r="ATE45" s="88"/>
      <c r="ATF45" s="88"/>
      <c r="ATG45" s="88"/>
      <c r="ATH45" s="88"/>
      <c r="ATI45" s="88"/>
      <c r="ATJ45" s="88"/>
      <c r="ATK45" s="88"/>
      <c r="ATL45" s="88"/>
      <c r="ATM45" s="88"/>
      <c r="ATN45" s="88"/>
      <c r="ATO45" s="88"/>
      <c r="ATP45" s="88"/>
      <c r="ATQ45" s="88"/>
      <c r="ATR45" s="88"/>
      <c r="ATS45" s="88"/>
      <c r="ATT45" s="88"/>
      <c r="ATU45" s="88"/>
      <c r="ATV45" s="88"/>
      <c r="ATW45" s="88"/>
      <c r="ATX45" s="88"/>
      <c r="ATY45" s="88"/>
      <c r="ATZ45" s="88"/>
      <c r="AUA45" s="88"/>
      <c r="AUB45" s="88"/>
      <c r="AUC45" s="88"/>
      <c r="AUD45" s="88"/>
      <c r="AUE45" s="88"/>
      <c r="AUF45" s="88"/>
      <c r="AUG45" s="88"/>
      <c r="AUH45" s="88"/>
      <c r="AUI45" s="88"/>
      <c r="AUJ45" s="88"/>
      <c r="AUK45" s="88"/>
      <c r="AUL45" s="88"/>
      <c r="AUM45" s="88"/>
      <c r="AUN45" s="88"/>
      <c r="AUO45" s="88"/>
      <c r="AUP45" s="88"/>
      <c r="AUQ45" s="88"/>
      <c r="AUR45" s="88"/>
      <c r="AUS45" s="88"/>
      <c r="AUT45" s="88"/>
      <c r="AUU45" s="88"/>
      <c r="AUV45" s="88"/>
      <c r="AUW45" s="88"/>
      <c r="AUX45" s="88"/>
      <c r="AUY45" s="88"/>
      <c r="AUZ45" s="88"/>
      <c r="AVA45" s="88"/>
      <c r="AVB45" s="88"/>
      <c r="AVC45" s="88"/>
      <c r="AVD45" s="88"/>
      <c r="AVE45" s="88"/>
      <c r="AVF45" s="88"/>
      <c r="AVG45" s="88"/>
      <c r="AVH45" s="88"/>
      <c r="AVI45" s="88"/>
      <c r="AVJ45" s="88"/>
      <c r="AVK45" s="88"/>
      <c r="AVL45" s="88"/>
      <c r="AVM45" s="88"/>
      <c r="AVN45" s="88"/>
      <c r="AVO45" s="88"/>
      <c r="AVP45" s="88"/>
      <c r="AVQ45" s="88"/>
      <c r="AVR45" s="88"/>
      <c r="AVS45" s="88"/>
      <c r="AVT45" s="88"/>
      <c r="AVU45" s="88"/>
      <c r="AVV45" s="88"/>
      <c r="AVW45" s="88"/>
      <c r="AVX45" s="88"/>
      <c r="AVY45" s="88"/>
      <c r="AVZ45" s="88"/>
      <c r="AWA45" s="88"/>
      <c r="AWB45" s="88"/>
      <c r="AWC45" s="88"/>
      <c r="AWD45" s="88"/>
      <c r="AWE45" s="88"/>
      <c r="AWF45" s="88"/>
      <c r="AWG45" s="88"/>
      <c r="AWH45" s="88"/>
      <c r="AWI45" s="88"/>
      <c r="AWJ45" s="88"/>
      <c r="AWK45" s="88"/>
      <c r="AWL45" s="88"/>
      <c r="AWM45" s="88"/>
      <c r="AWN45" s="88"/>
      <c r="AWO45" s="88"/>
      <c r="AWP45" s="88"/>
      <c r="AWQ45" s="88"/>
      <c r="AWR45" s="88"/>
      <c r="AWS45" s="88"/>
      <c r="AWT45" s="88"/>
      <c r="AWU45" s="88"/>
      <c r="AWV45" s="88"/>
      <c r="AWW45" s="88"/>
      <c r="AWX45" s="88"/>
      <c r="AWY45" s="88"/>
      <c r="AWZ45" s="88"/>
      <c r="AXA45" s="88"/>
      <c r="AXB45" s="88"/>
      <c r="AXC45" s="88"/>
      <c r="AXD45" s="88"/>
      <c r="AXE45" s="88"/>
      <c r="AXF45" s="88"/>
      <c r="AXG45" s="88"/>
      <c r="AXH45" s="88"/>
      <c r="AXI45" s="88"/>
      <c r="AXJ45" s="88"/>
      <c r="AXK45" s="88"/>
      <c r="AXL45" s="88"/>
      <c r="AXM45" s="88"/>
      <c r="AXN45" s="88"/>
      <c r="AXO45" s="88"/>
      <c r="AXP45" s="88"/>
      <c r="AXQ45" s="88"/>
      <c r="AXR45" s="88"/>
      <c r="AXS45" s="88"/>
      <c r="AXT45" s="88"/>
      <c r="AXU45" s="88"/>
      <c r="AXV45" s="88"/>
      <c r="AXW45" s="88"/>
      <c r="AXX45" s="88"/>
      <c r="AXY45" s="88"/>
      <c r="AXZ45" s="88"/>
      <c r="AYA45" s="88"/>
      <c r="AYB45" s="88"/>
      <c r="AYC45" s="88"/>
      <c r="AYD45" s="88"/>
      <c r="AYE45" s="88"/>
      <c r="AYF45" s="88"/>
      <c r="AYG45" s="88"/>
      <c r="AYH45" s="88"/>
      <c r="AYI45" s="88"/>
      <c r="AYJ45" s="88"/>
      <c r="AYK45" s="88"/>
      <c r="AYL45" s="88"/>
      <c r="AYM45" s="88"/>
      <c r="AYN45" s="88"/>
      <c r="AYO45" s="88"/>
      <c r="AYP45" s="88"/>
      <c r="AYQ45" s="88"/>
      <c r="AYR45" s="88"/>
      <c r="AYS45" s="88"/>
      <c r="AYT45" s="88"/>
      <c r="AYU45" s="88"/>
      <c r="AYV45" s="88"/>
      <c r="AYW45" s="88"/>
      <c r="AYX45" s="88"/>
      <c r="AYY45" s="88"/>
      <c r="AYZ45" s="88"/>
      <c r="AZA45" s="88"/>
      <c r="AZB45" s="88"/>
      <c r="AZC45" s="88"/>
      <c r="AZD45" s="88"/>
      <c r="AZE45" s="88"/>
      <c r="AZF45" s="88"/>
      <c r="AZG45" s="88"/>
      <c r="AZH45" s="88"/>
      <c r="AZI45" s="88"/>
      <c r="AZJ45" s="88"/>
      <c r="AZK45" s="88"/>
      <c r="AZL45" s="88"/>
      <c r="AZM45" s="88"/>
      <c r="AZN45" s="88"/>
      <c r="AZO45" s="88"/>
      <c r="AZP45" s="88"/>
      <c r="AZQ45" s="88"/>
      <c r="AZR45" s="88"/>
      <c r="AZS45" s="88"/>
      <c r="AZT45" s="88"/>
      <c r="AZU45" s="88"/>
      <c r="AZV45" s="88"/>
      <c r="AZW45" s="88"/>
      <c r="AZX45" s="88"/>
      <c r="AZY45" s="88"/>
      <c r="AZZ45" s="88"/>
      <c r="BAA45" s="88"/>
      <c r="BAB45" s="88"/>
      <c r="BAC45" s="88"/>
      <c r="BAD45" s="88"/>
      <c r="BAE45" s="88"/>
      <c r="BAF45" s="88"/>
      <c r="BAG45" s="88"/>
      <c r="BAH45" s="88"/>
      <c r="BAI45" s="88"/>
      <c r="BAJ45" s="88"/>
      <c r="BAK45" s="88"/>
      <c r="BAL45" s="88"/>
      <c r="BAM45" s="88"/>
      <c r="BAN45" s="88"/>
      <c r="BAO45" s="88"/>
      <c r="BAP45" s="88"/>
      <c r="BAQ45" s="88"/>
      <c r="BAR45" s="88"/>
      <c r="BAS45" s="88"/>
      <c r="BAT45" s="88"/>
      <c r="BAU45" s="88"/>
      <c r="BAV45" s="88"/>
      <c r="BAW45" s="88"/>
      <c r="BAX45" s="88"/>
      <c r="BAY45" s="88"/>
      <c r="BAZ45" s="88"/>
      <c r="BBA45" s="88"/>
      <c r="BBB45" s="88"/>
      <c r="BBC45" s="88"/>
      <c r="BBD45" s="88"/>
      <c r="BBE45" s="88"/>
      <c r="BBF45" s="88"/>
      <c r="BBG45" s="88"/>
      <c r="BBH45" s="88"/>
      <c r="BBI45" s="88"/>
      <c r="BBJ45" s="88"/>
      <c r="BBK45" s="88"/>
      <c r="BBL45" s="88"/>
      <c r="BBM45" s="88"/>
      <c r="BBN45" s="88"/>
      <c r="BBO45" s="88"/>
      <c r="BBP45" s="88"/>
      <c r="BBQ45" s="88"/>
      <c r="BBR45" s="88"/>
      <c r="BBS45" s="88"/>
      <c r="BBT45" s="88"/>
      <c r="BBU45" s="88"/>
      <c r="BBV45" s="88"/>
      <c r="BBW45" s="88"/>
      <c r="BBX45" s="88"/>
      <c r="BBY45" s="88"/>
      <c r="BBZ45" s="88"/>
      <c r="BCA45" s="88"/>
      <c r="BCB45" s="88"/>
      <c r="BCC45" s="88"/>
      <c r="BCD45" s="88"/>
      <c r="BCE45" s="88"/>
      <c r="BCF45" s="88"/>
      <c r="BCG45" s="88"/>
      <c r="BCH45" s="88"/>
      <c r="BCI45" s="88"/>
      <c r="BCJ45" s="88"/>
      <c r="BCK45" s="88"/>
      <c r="BCL45" s="88"/>
      <c r="BCM45" s="88"/>
      <c r="BCN45" s="88"/>
      <c r="BCO45" s="88"/>
      <c r="BCP45" s="88"/>
      <c r="BCQ45" s="88"/>
      <c r="BCR45" s="88"/>
      <c r="BCS45" s="88"/>
      <c r="BCT45" s="88"/>
      <c r="BCU45" s="88"/>
      <c r="BCV45" s="88"/>
      <c r="BCW45" s="88"/>
      <c r="BCX45" s="88"/>
      <c r="BCY45" s="88"/>
      <c r="BCZ45" s="88"/>
      <c r="BDA45" s="88"/>
      <c r="BDB45" s="88"/>
      <c r="BDC45" s="88"/>
      <c r="BDD45" s="88"/>
      <c r="BDE45" s="88"/>
      <c r="BDF45" s="88"/>
      <c r="BDG45" s="88"/>
      <c r="BDH45" s="88"/>
      <c r="BDI45" s="88"/>
      <c r="BDJ45" s="88"/>
      <c r="BDK45" s="88"/>
      <c r="BDL45" s="88"/>
      <c r="BDM45" s="88"/>
      <c r="BDN45" s="88"/>
      <c r="BDO45" s="88"/>
      <c r="BDP45" s="88"/>
      <c r="BDQ45" s="88"/>
      <c r="BDR45" s="88"/>
      <c r="BDS45" s="88"/>
      <c r="BDT45" s="88"/>
      <c r="BDU45" s="88"/>
      <c r="BDV45" s="88"/>
      <c r="BDW45" s="88"/>
      <c r="BDX45" s="88"/>
      <c r="BDY45" s="88"/>
      <c r="BDZ45" s="88"/>
      <c r="BEA45" s="88"/>
      <c r="BEB45" s="88"/>
      <c r="BEC45" s="88"/>
      <c r="BED45" s="88"/>
      <c r="BEE45" s="88"/>
      <c r="BEF45" s="88"/>
      <c r="BEG45" s="88"/>
      <c r="BEH45" s="88"/>
      <c r="BEI45" s="88"/>
      <c r="BEJ45" s="88"/>
      <c r="BEK45" s="88"/>
      <c r="BEL45" s="88"/>
      <c r="BEM45" s="88"/>
      <c r="BEN45" s="88"/>
      <c r="BEO45" s="88"/>
      <c r="BEP45" s="88"/>
      <c r="BEQ45" s="88"/>
      <c r="BER45" s="88"/>
      <c r="BES45" s="88"/>
      <c r="BET45" s="88"/>
      <c r="BEU45" s="88"/>
      <c r="BEV45" s="88"/>
      <c r="BEW45" s="88"/>
      <c r="BEX45" s="88"/>
      <c r="BEY45" s="88"/>
      <c r="BEZ45" s="88"/>
      <c r="BFA45" s="88"/>
      <c r="BFB45" s="88"/>
      <c r="BFC45" s="88"/>
      <c r="BFD45" s="88"/>
      <c r="BFE45" s="88"/>
      <c r="BFF45" s="88"/>
      <c r="BFG45" s="88"/>
      <c r="BFH45" s="88"/>
      <c r="BFI45" s="88"/>
      <c r="BFJ45" s="88"/>
      <c r="BFK45" s="88"/>
      <c r="BFL45" s="88"/>
      <c r="BFM45" s="88"/>
      <c r="BFN45" s="88"/>
      <c r="BFO45" s="88"/>
      <c r="BFP45" s="88"/>
      <c r="BFQ45" s="88"/>
      <c r="BFR45" s="88"/>
      <c r="BFS45" s="88"/>
      <c r="BFT45" s="88"/>
      <c r="BFU45" s="88"/>
      <c r="BFV45" s="88"/>
      <c r="BFW45" s="88"/>
      <c r="BFX45" s="88"/>
      <c r="BFY45" s="88"/>
      <c r="BFZ45" s="88"/>
      <c r="BGA45" s="88"/>
      <c r="BGB45" s="88"/>
      <c r="BGC45" s="88"/>
      <c r="BGD45" s="88"/>
      <c r="BGE45" s="88"/>
      <c r="BGF45" s="88"/>
      <c r="BGG45" s="88"/>
      <c r="BGH45" s="88"/>
      <c r="BGI45" s="88"/>
      <c r="BGJ45" s="88"/>
      <c r="BGK45" s="88"/>
      <c r="BGL45" s="88"/>
      <c r="BGM45" s="88"/>
      <c r="BGN45" s="88"/>
      <c r="BGO45" s="88"/>
      <c r="BGP45" s="88"/>
      <c r="BGQ45" s="88"/>
      <c r="BGR45" s="88"/>
      <c r="BGS45" s="88"/>
      <c r="BGT45" s="88"/>
      <c r="BGU45" s="88"/>
      <c r="BGV45" s="88"/>
      <c r="BGW45" s="88"/>
      <c r="BGX45" s="88"/>
      <c r="BGY45" s="88"/>
      <c r="BGZ45" s="88"/>
      <c r="BHA45" s="88"/>
      <c r="BHB45" s="88"/>
      <c r="BHC45" s="88"/>
      <c r="BHD45" s="88"/>
      <c r="BHE45" s="88"/>
      <c r="BHF45" s="88"/>
      <c r="BHG45" s="88"/>
      <c r="BHH45" s="88"/>
      <c r="BHI45" s="88"/>
      <c r="BHJ45" s="88"/>
      <c r="BHK45" s="88"/>
      <c r="BHL45" s="88"/>
      <c r="BHM45" s="88"/>
      <c r="BHN45" s="88"/>
      <c r="BHO45" s="88"/>
      <c r="BHP45" s="88"/>
      <c r="BHQ45" s="88"/>
      <c r="BHR45" s="88"/>
      <c r="BHS45" s="88"/>
      <c r="BHT45" s="88"/>
      <c r="BHU45" s="88"/>
      <c r="BHV45" s="88"/>
      <c r="BHW45" s="88"/>
      <c r="BHX45" s="88"/>
      <c r="BHY45" s="88"/>
      <c r="BHZ45" s="88"/>
      <c r="BIA45" s="88"/>
      <c r="BIB45" s="88"/>
      <c r="BIC45" s="88"/>
      <c r="BID45" s="88"/>
      <c r="BIE45" s="88"/>
      <c r="BIF45" s="88"/>
      <c r="BIG45" s="88"/>
      <c r="BIH45" s="88"/>
      <c r="BII45" s="88"/>
      <c r="BIJ45" s="88"/>
      <c r="BIK45" s="88"/>
      <c r="BIL45" s="88"/>
      <c r="BIM45" s="88"/>
      <c r="BIN45" s="88"/>
      <c r="BIO45" s="88"/>
      <c r="BIP45" s="88"/>
      <c r="BIQ45" s="88"/>
      <c r="BIR45" s="88"/>
      <c r="BIS45" s="88"/>
      <c r="BIT45" s="88"/>
      <c r="BIU45" s="88"/>
      <c r="BIV45" s="88"/>
      <c r="BIW45" s="88"/>
      <c r="BIX45" s="88"/>
      <c r="BIY45" s="88"/>
      <c r="BIZ45" s="88"/>
      <c r="BJA45" s="88"/>
      <c r="BJB45" s="88"/>
      <c r="BJC45" s="88"/>
      <c r="BJD45" s="88"/>
      <c r="BJE45" s="88"/>
      <c r="BJF45" s="88"/>
      <c r="BJG45" s="88"/>
      <c r="BJH45" s="88"/>
      <c r="BJI45" s="88"/>
      <c r="BJJ45" s="88"/>
      <c r="BJK45" s="88"/>
      <c r="BJL45" s="88"/>
      <c r="BJM45" s="88"/>
      <c r="BJN45" s="88"/>
      <c r="BJO45" s="88"/>
      <c r="BJP45" s="88"/>
      <c r="BJQ45" s="88"/>
      <c r="BJR45" s="88"/>
      <c r="BJS45" s="88"/>
      <c r="BJT45" s="88"/>
      <c r="BJU45" s="88"/>
      <c r="BJV45" s="88"/>
      <c r="BJW45" s="88"/>
      <c r="BJX45" s="88"/>
      <c r="BJY45" s="88"/>
      <c r="BJZ45" s="88"/>
      <c r="BKA45" s="88"/>
      <c r="BKB45" s="88"/>
      <c r="BKC45" s="88"/>
      <c r="BKD45" s="88"/>
      <c r="BKE45" s="88"/>
      <c r="BKF45" s="88"/>
      <c r="BKG45" s="88"/>
      <c r="BKH45" s="88"/>
      <c r="BKI45" s="88"/>
      <c r="BKJ45" s="88"/>
      <c r="BKK45" s="88"/>
      <c r="BKL45" s="88"/>
      <c r="BKM45" s="88"/>
      <c r="BKN45" s="88"/>
      <c r="BKO45" s="88"/>
      <c r="BKP45" s="88"/>
      <c r="BKQ45" s="88"/>
      <c r="BKR45" s="88"/>
      <c r="BKS45" s="88"/>
      <c r="BKT45" s="88"/>
      <c r="BKU45" s="88"/>
      <c r="BKV45" s="88"/>
      <c r="BKW45" s="88"/>
      <c r="BKX45" s="88"/>
      <c r="BKY45" s="88"/>
      <c r="BKZ45" s="88"/>
      <c r="BLA45" s="88"/>
      <c r="BLB45" s="88"/>
      <c r="BLC45" s="88"/>
      <c r="BLD45" s="88"/>
      <c r="BLE45" s="88"/>
      <c r="BLF45" s="88"/>
      <c r="BLG45" s="88"/>
      <c r="BLH45" s="88"/>
      <c r="BLI45" s="88"/>
      <c r="BLJ45" s="88"/>
      <c r="BLK45" s="88"/>
      <c r="BLL45" s="88"/>
      <c r="BLM45" s="88"/>
      <c r="BLN45" s="88"/>
      <c r="BLO45" s="88"/>
      <c r="BLP45" s="88"/>
      <c r="BLQ45" s="88"/>
      <c r="BLR45" s="88"/>
      <c r="BLS45" s="88"/>
      <c r="BLT45" s="88"/>
      <c r="BLU45" s="88"/>
      <c r="BLV45" s="88"/>
      <c r="BLW45" s="88"/>
      <c r="BLX45" s="88"/>
      <c r="BLY45" s="88"/>
      <c r="BLZ45" s="88"/>
      <c r="BMA45" s="88"/>
      <c r="BMB45" s="88"/>
      <c r="BMC45" s="88"/>
      <c r="BMD45" s="88"/>
      <c r="BME45" s="88"/>
      <c r="BMF45" s="88"/>
      <c r="BMG45" s="88"/>
      <c r="BMH45" s="88"/>
      <c r="BMI45" s="88"/>
      <c r="BMJ45" s="88"/>
      <c r="BMK45" s="88"/>
      <c r="BML45" s="88"/>
      <c r="BMM45" s="88"/>
      <c r="BMN45" s="88"/>
      <c r="BMO45" s="88"/>
      <c r="BMP45" s="88"/>
      <c r="BMQ45" s="88"/>
      <c r="BMR45" s="88"/>
      <c r="BMS45" s="88"/>
      <c r="BMT45" s="88"/>
      <c r="BMU45" s="88"/>
      <c r="BMV45" s="88"/>
      <c r="BMW45" s="88"/>
      <c r="BMX45" s="88"/>
      <c r="BMY45" s="88"/>
      <c r="BMZ45" s="88"/>
      <c r="BNA45" s="88"/>
      <c r="BNB45" s="88"/>
      <c r="BNC45" s="88"/>
      <c r="BND45" s="88"/>
      <c r="BNE45" s="88"/>
      <c r="BNF45" s="88"/>
      <c r="BNG45" s="88"/>
      <c r="BNH45" s="88"/>
      <c r="BNI45" s="88"/>
      <c r="BNJ45" s="88"/>
      <c r="BNK45" s="88"/>
      <c r="BNL45" s="88"/>
      <c r="BNM45" s="88"/>
      <c r="BNN45" s="88"/>
      <c r="BNO45" s="88"/>
      <c r="BNP45" s="88"/>
      <c r="BNQ45" s="88"/>
      <c r="BNR45" s="88"/>
      <c r="BNS45" s="88"/>
      <c r="BNT45" s="88"/>
      <c r="BNU45" s="88"/>
      <c r="BNV45" s="88"/>
      <c r="BNW45" s="88"/>
      <c r="BNX45" s="88"/>
      <c r="BNY45" s="88"/>
      <c r="BNZ45" s="88"/>
      <c r="BOA45" s="88"/>
      <c r="BOB45" s="88"/>
      <c r="BOC45" s="88"/>
      <c r="BOD45" s="88"/>
      <c r="BOE45" s="88"/>
      <c r="BOF45" s="88"/>
      <c r="BOG45" s="88"/>
      <c r="BOH45" s="88"/>
      <c r="BOI45" s="88"/>
      <c r="BOJ45" s="88"/>
      <c r="BOK45" s="88"/>
      <c r="BOL45" s="88"/>
      <c r="BOM45" s="88"/>
      <c r="BON45" s="88"/>
      <c r="BOO45" s="88"/>
      <c r="BOP45" s="88"/>
      <c r="BOQ45" s="88"/>
      <c r="BOR45" s="88"/>
      <c r="BOS45" s="88"/>
      <c r="BOT45" s="88"/>
      <c r="BOU45" s="88"/>
      <c r="BOV45" s="88"/>
      <c r="BOW45" s="88"/>
      <c r="BOX45" s="88"/>
      <c r="BOY45" s="88"/>
      <c r="BOZ45" s="88"/>
      <c r="BPA45" s="88"/>
      <c r="BPB45" s="88"/>
      <c r="BPC45" s="88"/>
      <c r="BPD45" s="88"/>
      <c r="BPE45" s="88"/>
      <c r="BPF45" s="88"/>
      <c r="BPG45" s="88"/>
      <c r="BPH45" s="88"/>
      <c r="BPI45" s="88"/>
      <c r="BPJ45" s="88"/>
      <c r="BPK45" s="88"/>
      <c r="BPL45" s="88"/>
      <c r="BPM45" s="88"/>
      <c r="BPN45" s="88"/>
      <c r="BPO45" s="88"/>
      <c r="BPP45" s="88"/>
      <c r="BPQ45" s="88"/>
      <c r="BPR45" s="88"/>
      <c r="BPS45" s="88"/>
      <c r="BPT45" s="88"/>
      <c r="BPU45" s="88"/>
      <c r="BPV45" s="88"/>
      <c r="BPW45" s="88"/>
      <c r="BPX45" s="88"/>
      <c r="BPY45" s="88"/>
      <c r="BPZ45" s="88"/>
      <c r="BQA45" s="88"/>
      <c r="BQB45" s="88"/>
      <c r="BQC45" s="88"/>
      <c r="BQD45" s="88"/>
      <c r="BQE45" s="88"/>
      <c r="BQF45" s="88"/>
      <c r="BQG45" s="88"/>
      <c r="BQH45" s="88"/>
      <c r="BQI45" s="88"/>
      <c r="BQJ45" s="88"/>
      <c r="BQK45" s="88"/>
      <c r="BQL45" s="88"/>
      <c r="BQM45" s="88"/>
      <c r="BQN45" s="88"/>
      <c r="BQO45" s="88"/>
      <c r="BQP45" s="88"/>
      <c r="BQQ45" s="88"/>
      <c r="BQR45" s="88"/>
      <c r="BQS45" s="88"/>
      <c r="BQT45" s="88"/>
      <c r="BQU45" s="88"/>
      <c r="BQV45" s="88"/>
      <c r="BQW45" s="88"/>
      <c r="BQX45" s="88"/>
      <c r="BQY45" s="88"/>
      <c r="BQZ45" s="88"/>
      <c r="BRA45" s="88"/>
      <c r="BRB45" s="88"/>
      <c r="BRC45" s="88"/>
      <c r="BRD45" s="88"/>
      <c r="BRE45" s="88"/>
      <c r="BRF45" s="88"/>
      <c r="BRG45" s="88"/>
      <c r="BRH45" s="88"/>
      <c r="BRI45" s="88"/>
      <c r="BRJ45" s="88"/>
      <c r="BRK45" s="88"/>
      <c r="BRL45" s="88"/>
      <c r="BRM45" s="88"/>
      <c r="BRN45" s="88"/>
      <c r="BRO45" s="88"/>
      <c r="BRP45" s="88"/>
      <c r="BRQ45" s="88"/>
      <c r="BRR45" s="88"/>
      <c r="BRS45" s="88"/>
      <c r="BRT45" s="88"/>
      <c r="BRU45" s="88"/>
      <c r="BRV45" s="88"/>
      <c r="BRW45" s="88"/>
      <c r="BRX45" s="88"/>
      <c r="BRY45" s="88"/>
      <c r="BRZ45" s="88"/>
      <c r="BSA45" s="88"/>
      <c r="BSB45" s="88"/>
      <c r="BSC45" s="88"/>
      <c r="BSD45" s="88"/>
      <c r="BSE45" s="88"/>
      <c r="BSF45" s="88"/>
      <c r="BSG45" s="88"/>
      <c r="BSH45" s="88"/>
      <c r="BSI45" s="88"/>
      <c r="BSJ45" s="88"/>
      <c r="BSK45" s="88"/>
      <c r="BSL45" s="88"/>
      <c r="BSM45" s="88"/>
      <c r="BSN45" s="88"/>
      <c r="BSO45" s="88"/>
      <c r="BSP45" s="88"/>
      <c r="BSQ45" s="88"/>
      <c r="BSR45" s="88"/>
      <c r="BSS45" s="88"/>
      <c r="BST45" s="88"/>
      <c r="BSU45" s="88"/>
      <c r="BSV45" s="88"/>
      <c r="BSW45" s="88"/>
      <c r="BSX45" s="88"/>
      <c r="BSY45" s="88"/>
      <c r="BSZ45" s="88"/>
      <c r="BTA45" s="88"/>
      <c r="BTB45" s="88"/>
      <c r="BTC45" s="88"/>
      <c r="BTD45" s="88"/>
      <c r="BTE45" s="88"/>
      <c r="BTF45" s="88"/>
      <c r="BTG45" s="88"/>
      <c r="BTH45" s="88"/>
      <c r="BTI45" s="88"/>
      <c r="BTJ45" s="88"/>
      <c r="BTK45" s="88"/>
      <c r="BTL45" s="88"/>
      <c r="BTM45" s="88"/>
      <c r="BTN45" s="88"/>
      <c r="BTO45" s="88"/>
      <c r="BTP45" s="88"/>
      <c r="BTQ45" s="88"/>
      <c r="BTR45" s="88"/>
      <c r="BTS45" s="88"/>
      <c r="BTT45" s="88"/>
      <c r="BTU45" s="88"/>
      <c r="BTV45" s="88"/>
      <c r="BTW45" s="88"/>
      <c r="BTX45" s="88"/>
      <c r="BTY45" s="88"/>
      <c r="BTZ45" s="88"/>
      <c r="BUA45" s="88"/>
      <c r="BUB45" s="88"/>
      <c r="BUC45" s="88"/>
      <c r="BUD45" s="88"/>
      <c r="BUE45" s="88"/>
      <c r="BUF45" s="88"/>
      <c r="BUG45" s="88"/>
      <c r="BUH45" s="88"/>
      <c r="BUI45" s="88"/>
      <c r="BUJ45" s="88"/>
      <c r="BUK45" s="88"/>
      <c r="BUL45" s="88"/>
      <c r="BUM45" s="88"/>
      <c r="BUN45" s="88"/>
      <c r="BUO45" s="88"/>
      <c r="BUP45" s="88"/>
      <c r="BUQ45" s="88"/>
      <c r="BUR45" s="88"/>
      <c r="BUS45" s="88"/>
      <c r="BUT45" s="88"/>
      <c r="BUU45" s="88"/>
      <c r="BUV45" s="88"/>
      <c r="BUW45" s="88"/>
      <c r="BUX45" s="88"/>
      <c r="BUY45" s="88"/>
      <c r="BUZ45" s="88"/>
      <c r="BVA45" s="88"/>
      <c r="BVB45" s="88"/>
      <c r="BVC45" s="88"/>
      <c r="BVD45" s="88"/>
      <c r="BVE45" s="88"/>
      <c r="BVF45" s="88"/>
      <c r="BVG45" s="88"/>
      <c r="BVH45" s="88"/>
      <c r="BVI45" s="88"/>
      <c r="BVJ45" s="88"/>
      <c r="BVK45" s="88"/>
      <c r="BVL45" s="88"/>
      <c r="BVM45" s="88"/>
      <c r="BVN45" s="88"/>
      <c r="BVO45" s="88"/>
      <c r="BVP45" s="88"/>
      <c r="BVQ45" s="88"/>
      <c r="BVR45" s="88"/>
      <c r="BVS45" s="88"/>
      <c r="BVT45" s="88"/>
      <c r="BVU45" s="88"/>
      <c r="BVV45" s="88"/>
      <c r="BVW45" s="88"/>
      <c r="BVX45" s="88"/>
      <c r="BVY45" s="88"/>
      <c r="BVZ45" s="88"/>
      <c r="BWA45" s="88"/>
      <c r="BWB45" s="88"/>
      <c r="BWC45" s="88"/>
      <c r="BWD45" s="88"/>
      <c r="BWE45" s="88"/>
      <c r="BWF45" s="88"/>
      <c r="BWG45" s="88"/>
      <c r="BWH45" s="88"/>
      <c r="BWI45" s="88"/>
      <c r="BWJ45" s="88"/>
      <c r="BWK45" s="88"/>
      <c r="BWL45" s="88"/>
      <c r="BWM45" s="88"/>
      <c r="BWN45" s="88"/>
      <c r="BWO45" s="88"/>
      <c r="BWP45" s="88"/>
      <c r="BWQ45" s="88"/>
      <c r="BWR45" s="88"/>
      <c r="BWS45" s="88"/>
      <c r="BWT45" s="88"/>
      <c r="BWU45" s="88"/>
      <c r="BWV45" s="88"/>
      <c r="BWW45" s="88"/>
      <c r="BWX45" s="88"/>
      <c r="BWY45" s="88"/>
      <c r="BWZ45" s="88"/>
      <c r="BXA45" s="88"/>
      <c r="BXB45" s="88"/>
      <c r="BXC45" s="88"/>
      <c r="BXD45" s="88"/>
      <c r="BXE45" s="88"/>
      <c r="BXF45" s="88"/>
      <c r="BXG45" s="88"/>
      <c r="BXH45" s="88"/>
      <c r="BXI45" s="88"/>
      <c r="BXJ45" s="88"/>
      <c r="BXK45" s="88"/>
      <c r="BXL45" s="88"/>
      <c r="BXM45" s="88"/>
      <c r="BXN45" s="88"/>
      <c r="BXO45" s="88"/>
      <c r="BXP45" s="88"/>
      <c r="BXQ45" s="88"/>
      <c r="BXR45" s="88"/>
      <c r="BXS45" s="88"/>
      <c r="BXT45" s="88"/>
      <c r="BXU45" s="88"/>
      <c r="BXV45" s="88"/>
      <c r="BXW45" s="88"/>
      <c r="BXX45" s="88"/>
      <c r="BXY45" s="88"/>
      <c r="BXZ45" s="88"/>
      <c r="BYA45" s="88"/>
      <c r="BYB45" s="88"/>
      <c r="BYC45" s="88"/>
      <c r="BYD45" s="88"/>
      <c r="BYE45" s="88"/>
      <c r="BYF45" s="88"/>
      <c r="BYG45" s="88"/>
      <c r="BYH45" s="88"/>
      <c r="BYI45" s="88"/>
      <c r="BYJ45" s="88"/>
      <c r="BYK45" s="88"/>
      <c r="BYL45" s="88"/>
      <c r="BYM45" s="88"/>
      <c r="BYN45" s="88"/>
      <c r="BYO45" s="88"/>
      <c r="BYP45" s="88"/>
      <c r="BYQ45" s="88"/>
      <c r="BYR45" s="88"/>
      <c r="BYS45" s="88"/>
      <c r="BYT45" s="88"/>
      <c r="BYU45" s="88"/>
      <c r="BYV45" s="88"/>
      <c r="BYW45" s="88"/>
      <c r="BYX45" s="88"/>
      <c r="BYY45" s="88"/>
      <c r="BYZ45" s="88"/>
      <c r="BZA45" s="88"/>
      <c r="BZB45" s="88"/>
      <c r="BZC45" s="88"/>
      <c r="BZD45" s="88"/>
      <c r="BZE45" s="88"/>
      <c r="BZF45" s="88"/>
      <c r="BZG45" s="88"/>
      <c r="BZH45" s="88"/>
      <c r="BZI45" s="88"/>
      <c r="BZJ45" s="88"/>
      <c r="BZK45" s="88"/>
      <c r="BZL45" s="88"/>
      <c r="BZM45" s="88"/>
      <c r="BZN45" s="88"/>
      <c r="BZO45" s="88"/>
      <c r="BZP45" s="88"/>
      <c r="BZQ45" s="88"/>
      <c r="BZR45" s="88"/>
      <c r="BZS45" s="88"/>
      <c r="BZT45" s="88"/>
      <c r="BZU45" s="88"/>
      <c r="BZV45" s="88"/>
      <c r="BZW45" s="88"/>
      <c r="BZX45" s="88"/>
      <c r="BZY45" s="88"/>
      <c r="BZZ45" s="88"/>
      <c r="CAA45" s="88"/>
      <c r="CAB45" s="88"/>
      <c r="CAC45" s="88"/>
      <c r="CAD45" s="88"/>
      <c r="CAE45" s="88"/>
      <c r="CAF45" s="88"/>
      <c r="CAG45" s="88"/>
      <c r="CAH45" s="88"/>
      <c r="CAI45" s="88"/>
      <c r="CAJ45" s="88"/>
      <c r="CAK45" s="88"/>
      <c r="CAL45" s="88"/>
      <c r="CAM45" s="88"/>
      <c r="CAN45" s="88"/>
      <c r="CAO45" s="88"/>
      <c r="CAP45" s="88"/>
      <c r="CAQ45" s="88"/>
      <c r="CAR45" s="88"/>
      <c r="CAS45" s="88"/>
      <c r="CAT45" s="88"/>
      <c r="CAU45" s="88"/>
      <c r="CAV45" s="88"/>
      <c r="CAW45" s="88"/>
      <c r="CAX45" s="88"/>
      <c r="CAY45" s="88"/>
      <c r="CAZ45" s="88"/>
      <c r="CBA45" s="88"/>
      <c r="CBB45" s="88"/>
      <c r="CBC45" s="88"/>
      <c r="CBD45" s="88"/>
      <c r="CBE45" s="88"/>
      <c r="CBF45" s="88"/>
      <c r="CBG45" s="88"/>
      <c r="CBH45" s="88"/>
      <c r="CBI45" s="88"/>
      <c r="CBJ45" s="88"/>
      <c r="CBK45" s="88"/>
      <c r="CBL45" s="88"/>
      <c r="CBM45" s="88"/>
      <c r="CBN45" s="88"/>
      <c r="CBO45" s="88"/>
      <c r="CBP45" s="88"/>
      <c r="CBQ45" s="88"/>
      <c r="CBR45" s="88"/>
      <c r="CBS45" s="88"/>
      <c r="CBT45" s="88"/>
      <c r="CBU45" s="88"/>
      <c r="CBV45" s="88"/>
      <c r="CBW45" s="88"/>
      <c r="CBX45" s="88"/>
      <c r="CBY45" s="88"/>
      <c r="CBZ45" s="88"/>
      <c r="CCA45" s="88"/>
      <c r="CCB45" s="88"/>
      <c r="CCC45" s="88"/>
      <c r="CCD45" s="88"/>
      <c r="CCE45" s="88"/>
      <c r="CCF45" s="88"/>
      <c r="CCG45" s="88"/>
      <c r="CCH45" s="88"/>
      <c r="CCI45" s="88"/>
      <c r="CCJ45" s="88"/>
      <c r="CCK45" s="88"/>
      <c r="CCL45" s="88"/>
      <c r="CCM45" s="88"/>
      <c r="CCN45" s="88"/>
      <c r="CCO45" s="88"/>
      <c r="CCP45" s="88"/>
      <c r="CCQ45" s="88"/>
      <c r="CCR45" s="88"/>
      <c r="CCS45" s="88"/>
      <c r="CCT45" s="88"/>
      <c r="CCU45" s="88"/>
      <c r="CCV45" s="88"/>
      <c r="CCW45" s="88"/>
      <c r="CCX45" s="88"/>
      <c r="CCY45" s="88"/>
      <c r="CCZ45" s="88"/>
      <c r="CDA45" s="88"/>
      <c r="CDB45" s="88"/>
      <c r="CDC45" s="88"/>
      <c r="CDD45" s="88"/>
      <c r="CDE45" s="88"/>
      <c r="CDF45" s="88"/>
      <c r="CDG45" s="88"/>
      <c r="CDH45" s="88"/>
      <c r="CDI45" s="88"/>
      <c r="CDJ45" s="88"/>
      <c r="CDK45" s="88"/>
      <c r="CDL45" s="88"/>
      <c r="CDM45" s="88"/>
      <c r="CDN45" s="88"/>
      <c r="CDO45" s="88"/>
      <c r="CDP45" s="88"/>
      <c r="CDQ45" s="88"/>
      <c r="CDR45" s="88"/>
      <c r="CDS45" s="88"/>
      <c r="CDT45" s="88"/>
      <c r="CDU45" s="88"/>
      <c r="CDV45" s="88"/>
      <c r="CDW45" s="88"/>
      <c r="CDX45" s="88"/>
      <c r="CDY45" s="88"/>
      <c r="CDZ45" s="88"/>
      <c r="CEA45" s="88"/>
      <c r="CEB45" s="88"/>
      <c r="CEC45" s="88"/>
      <c r="CED45" s="88"/>
      <c r="CEE45" s="88"/>
      <c r="CEF45" s="88"/>
      <c r="CEG45" s="88"/>
      <c r="CEH45" s="88"/>
      <c r="CEI45" s="88"/>
      <c r="CEJ45" s="88"/>
      <c r="CEK45" s="88"/>
    </row>
    <row r="46" spans="1:2169" s="437" customFormat="1">
      <c r="A46" s="461" t="s">
        <v>16043</v>
      </c>
      <c r="B46" s="844" t="s">
        <v>16045</v>
      </c>
      <c r="AB46" s="469"/>
      <c r="AC46" s="469"/>
      <c r="AD46" s="469"/>
      <c r="AE46" s="469"/>
      <c r="AP46" s="469"/>
      <c r="AQ46" s="469"/>
      <c r="AR46" s="469"/>
      <c r="AS46" s="576"/>
      <c r="AT46" s="576"/>
      <c r="AU46" s="576"/>
      <c r="AV46" s="576"/>
      <c r="AW46" s="602"/>
      <c r="AX46" s="602"/>
      <c r="AY46" s="576"/>
      <c r="AZ46" s="576"/>
      <c r="BA46" s="576"/>
      <c r="BB46" s="576"/>
      <c r="BC46" s="576"/>
      <c r="BD46" s="602"/>
      <c r="BE46" s="602"/>
      <c r="BF46" s="602"/>
      <c r="BG46" s="602"/>
      <c r="BH46" s="602"/>
      <c r="BI46" s="602"/>
      <c r="BJ46" s="602"/>
      <c r="BK46" s="602"/>
      <c r="BL46" s="602"/>
      <c r="BM46" s="602"/>
      <c r="BN46" s="602"/>
      <c r="BO46" s="602"/>
      <c r="BP46" s="602"/>
      <c r="BQ46" s="602"/>
      <c r="BR46" s="602"/>
      <c r="BS46" s="576"/>
      <c r="BT46" s="576"/>
      <c r="BU46" s="576"/>
      <c r="BV46" s="576"/>
      <c r="BW46" s="602"/>
      <c r="BX46" s="602"/>
      <c r="BY46" s="602"/>
      <c r="BZ46" s="576"/>
      <c r="CA46" s="602"/>
      <c r="CB46" s="602"/>
      <c r="CC46" s="576"/>
      <c r="CD46" s="469"/>
      <c r="CE46" s="602"/>
      <c r="CF46" s="576"/>
      <c r="CG46" s="576"/>
      <c r="CH46" s="576"/>
      <c r="CI46" s="576"/>
      <c r="CJ46" s="576"/>
      <c r="CK46" s="602"/>
      <c r="CL46" s="602"/>
      <c r="CM46" s="576"/>
      <c r="CN46" s="602"/>
      <c r="CO46" s="602"/>
      <c r="CP46" s="602"/>
      <c r="CQ46" s="576"/>
      <c r="CR46" s="576"/>
      <c r="CS46" s="602"/>
      <c r="CT46" s="715"/>
      <c r="CU46" s="469"/>
      <c r="CV46" s="469"/>
      <c r="CW46" s="469"/>
      <c r="CX46" s="469"/>
      <c r="CY46" s="469"/>
      <c r="CZ46" s="469"/>
      <c r="DA46" s="469"/>
      <c r="DB46" s="469"/>
      <c r="DC46" s="469"/>
      <c r="DD46" s="469"/>
      <c r="DE46" s="469"/>
      <c r="DF46" s="469"/>
      <c r="DG46" s="469"/>
      <c r="DH46" s="469"/>
      <c r="DI46" s="469"/>
      <c r="DJ46" s="469"/>
      <c r="DK46" s="469"/>
      <c r="DL46" s="469"/>
      <c r="DM46" s="469"/>
      <c r="DN46" s="469"/>
      <c r="DO46" s="469"/>
      <c r="DP46" s="469"/>
      <c r="DQ46" s="469"/>
      <c r="DR46" s="469"/>
      <c r="DS46" s="469"/>
      <c r="DT46" s="469"/>
      <c r="DU46" s="469"/>
      <c r="DV46" s="469"/>
      <c r="DW46" s="469"/>
      <c r="DX46" s="469"/>
      <c r="DY46" s="469"/>
      <c r="DZ46" s="469"/>
      <c r="EA46" s="469"/>
      <c r="EB46" s="469"/>
      <c r="EC46" s="469"/>
      <c r="ED46" s="469"/>
      <c r="EE46" s="469"/>
      <c r="EF46" s="469"/>
      <c r="EG46" s="469"/>
      <c r="EH46" s="469"/>
      <c r="EI46" s="469"/>
      <c r="EJ46" s="469"/>
      <c r="EK46" s="469"/>
      <c r="EL46" s="469"/>
      <c r="EM46" s="469"/>
      <c r="EN46" s="469"/>
      <c r="EO46" s="469"/>
      <c r="EP46" s="469"/>
      <c r="EQ46" s="469"/>
      <c r="ER46" s="469"/>
      <c r="ES46" s="469"/>
      <c r="ET46" s="469"/>
      <c r="EU46" s="469"/>
      <c r="EV46" s="469"/>
      <c r="EW46" s="469"/>
      <c r="EX46" s="469"/>
      <c r="EY46" s="469"/>
      <c r="EZ46" s="469"/>
      <c r="FA46" s="469"/>
      <c r="FB46" s="469"/>
      <c r="FC46" s="469"/>
      <c r="FD46" s="469"/>
      <c r="FE46" s="469"/>
      <c r="FF46" s="469"/>
      <c r="FG46" s="469"/>
      <c r="FH46" s="469"/>
      <c r="FI46" s="469"/>
      <c r="FJ46" s="469"/>
      <c r="FK46" s="469"/>
      <c r="FL46" s="469"/>
      <c r="FM46" s="469"/>
      <c r="FN46" s="469"/>
      <c r="FO46" s="469"/>
      <c r="FP46" s="469"/>
      <c r="FQ46" s="469"/>
      <c r="FR46" s="469"/>
      <c r="FS46" s="469"/>
      <c r="FT46" s="469"/>
      <c r="FU46" s="469"/>
      <c r="FV46" s="469"/>
      <c r="FW46" s="469"/>
      <c r="FX46" s="469"/>
      <c r="FY46" s="469"/>
      <c r="FZ46" s="469"/>
      <c r="GA46" s="469"/>
      <c r="GB46" s="469"/>
      <c r="GC46" s="469"/>
      <c r="GD46" s="469"/>
      <c r="GE46" s="469"/>
      <c r="GF46" s="469"/>
      <c r="GG46" s="469"/>
      <c r="GH46" s="469"/>
      <c r="GI46" s="469"/>
      <c r="GJ46" s="469"/>
      <c r="GK46" s="469"/>
      <c r="GL46" s="469"/>
      <c r="GM46" s="469"/>
      <c r="GN46" s="469"/>
      <c r="GO46" s="469"/>
      <c r="GP46" s="469"/>
      <c r="GQ46" s="469"/>
      <c r="GR46" s="469"/>
      <c r="GS46" s="469"/>
      <c r="GT46" s="469"/>
      <c r="GU46" s="469"/>
      <c r="GV46" s="469"/>
      <c r="GW46" s="469"/>
      <c r="GX46" s="469"/>
      <c r="GY46" s="469"/>
      <c r="GZ46" s="469"/>
      <c r="HA46" s="469"/>
      <c r="HB46" s="469"/>
      <c r="HC46" s="469"/>
      <c r="HD46" s="469"/>
      <c r="HE46" s="469"/>
      <c r="HF46" s="469"/>
      <c r="HG46" s="469"/>
      <c r="HH46" s="469"/>
      <c r="HI46" s="469"/>
      <c r="HJ46" s="469"/>
      <c r="HK46" s="469"/>
      <c r="HL46" s="469"/>
      <c r="HM46" s="469"/>
      <c r="HN46" s="469"/>
      <c r="HO46" s="469"/>
      <c r="HP46" s="469"/>
      <c r="HQ46" s="469"/>
      <c r="HR46" s="469"/>
      <c r="HS46" s="469"/>
      <c r="HT46" s="469"/>
      <c r="HU46" s="469"/>
      <c r="HV46" s="469"/>
      <c r="HW46" s="469"/>
      <c r="HX46" s="469"/>
      <c r="HY46" s="469"/>
      <c r="HZ46" s="469"/>
      <c r="IA46" s="469"/>
      <c r="IB46" s="469"/>
      <c r="IC46" s="469"/>
      <c r="ID46" s="469"/>
      <c r="IE46" s="469"/>
      <c r="IF46" s="469"/>
      <c r="IG46" s="469"/>
      <c r="IH46" s="469"/>
      <c r="II46" s="469"/>
      <c r="IJ46" s="469"/>
      <c r="IK46" s="469"/>
      <c r="IL46" s="469"/>
      <c r="IM46" s="469"/>
      <c r="IN46" s="469"/>
      <c r="IO46" s="469"/>
      <c r="IP46" s="469"/>
      <c r="IQ46" s="469"/>
      <c r="IR46" s="469"/>
      <c r="IS46" s="469"/>
      <c r="IT46" s="469"/>
      <c r="IU46" s="469"/>
      <c r="IV46" s="469"/>
      <c r="IW46" s="469"/>
      <c r="IX46" s="469"/>
      <c r="IY46" s="469"/>
      <c r="IZ46" s="469"/>
      <c r="JA46" s="469"/>
      <c r="JB46" s="469"/>
      <c r="JC46" s="469"/>
      <c r="JD46" s="469"/>
      <c r="JE46" s="469"/>
      <c r="JF46" s="469"/>
      <c r="JG46" s="469"/>
      <c r="JH46" s="469"/>
      <c r="JI46" s="469"/>
      <c r="JJ46" s="469"/>
      <c r="JK46" s="469"/>
      <c r="JL46" s="469"/>
      <c r="JM46" s="469"/>
      <c r="JN46" s="469"/>
      <c r="JO46" s="469"/>
      <c r="JP46" s="469"/>
      <c r="JQ46" s="469"/>
      <c r="JR46" s="469"/>
      <c r="JS46" s="469"/>
      <c r="JT46" s="469"/>
      <c r="JU46" s="469"/>
      <c r="JV46" s="469"/>
      <c r="JW46" s="469"/>
      <c r="JX46" s="469"/>
      <c r="JY46" s="469"/>
      <c r="JZ46" s="469"/>
      <c r="KA46" s="469"/>
      <c r="KB46" s="469"/>
      <c r="KC46" s="469"/>
      <c r="KD46" s="469"/>
      <c r="KE46" s="469"/>
      <c r="KF46" s="469"/>
      <c r="KG46" s="469"/>
      <c r="KH46" s="469"/>
      <c r="KI46" s="469"/>
      <c r="KJ46" s="469"/>
      <c r="KK46" s="469"/>
      <c r="KL46" s="469"/>
      <c r="KM46" s="469"/>
      <c r="KN46" s="469"/>
      <c r="KO46" s="469"/>
      <c r="KP46" s="469"/>
      <c r="KQ46" s="469"/>
      <c r="KR46" s="469"/>
      <c r="KS46" s="469"/>
      <c r="KT46" s="469"/>
      <c r="KU46" s="469"/>
      <c r="KV46" s="469"/>
      <c r="KW46" s="469"/>
      <c r="KX46" s="469"/>
      <c r="KY46" s="469"/>
      <c r="KZ46" s="469"/>
      <c r="LA46" s="469"/>
      <c r="LB46" s="469"/>
      <c r="LC46" s="469"/>
      <c r="LD46" s="469"/>
      <c r="LE46" s="469"/>
      <c r="LF46" s="469"/>
      <c r="LG46" s="469"/>
      <c r="LH46" s="469"/>
      <c r="LI46" s="469"/>
      <c r="LJ46" s="469"/>
      <c r="LK46" s="469"/>
      <c r="LL46" s="469"/>
      <c r="LM46" s="469"/>
      <c r="LN46" s="469"/>
      <c r="LO46" s="469"/>
      <c r="LP46" s="469"/>
      <c r="LQ46" s="469"/>
      <c r="LR46" s="469"/>
      <c r="LS46" s="469"/>
      <c r="LT46" s="469"/>
      <c r="LU46" s="469"/>
      <c r="LV46" s="469"/>
      <c r="LW46" s="469"/>
      <c r="LX46" s="469"/>
      <c r="LY46" s="469"/>
      <c r="LZ46" s="469"/>
      <c r="MA46" s="469"/>
      <c r="MB46" s="469"/>
      <c r="MC46" s="469"/>
      <c r="MD46" s="469"/>
      <c r="ME46" s="469"/>
      <c r="MF46" s="469"/>
      <c r="MG46" s="469"/>
      <c r="MH46" s="469"/>
      <c r="MI46" s="469"/>
      <c r="MJ46" s="469"/>
      <c r="MK46" s="469"/>
      <c r="ML46" s="469"/>
      <c r="MM46" s="469"/>
      <c r="MN46" s="469"/>
      <c r="MO46" s="469"/>
      <c r="MP46" s="469"/>
      <c r="MQ46" s="469"/>
      <c r="MR46" s="469"/>
      <c r="MS46" s="469"/>
      <c r="MT46" s="469"/>
      <c r="MU46" s="469"/>
      <c r="MV46" s="469"/>
      <c r="MW46" s="469"/>
      <c r="MX46" s="469"/>
      <c r="MY46" s="469"/>
      <c r="MZ46" s="469"/>
      <c r="NA46" s="469"/>
      <c r="NB46" s="469"/>
      <c r="NC46" s="469"/>
      <c r="ND46" s="469"/>
      <c r="NE46" s="469"/>
      <c r="NF46" s="469"/>
      <c r="NG46" s="469"/>
      <c r="NH46" s="469"/>
      <c r="NI46" s="469"/>
      <c r="NJ46" s="469"/>
      <c r="NK46" s="469"/>
      <c r="NL46" s="469"/>
      <c r="NM46" s="469"/>
      <c r="NN46" s="469"/>
      <c r="NO46" s="469"/>
      <c r="NP46" s="469"/>
      <c r="NQ46" s="469"/>
      <c r="NR46" s="469"/>
      <c r="NS46" s="469"/>
      <c r="NT46" s="469"/>
      <c r="NU46" s="469"/>
      <c r="NV46" s="469"/>
      <c r="NW46" s="469"/>
      <c r="NX46" s="469"/>
      <c r="NY46" s="469"/>
      <c r="NZ46" s="469"/>
      <c r="OA46" s="469"/>
      <c r="OB46" s="469"/>
      <c r="OC46" s="469"/>
      <c r="OD46" s="469"/>
      <c r="OE46" s="469"/>
      <c r="OF46" s="469"/>
      <c r="OG46" s="469"/>
      <c r="OH46" s="469"/>
      <c r="OI46" s="469"/>
      <c r="OJ46" s="469"/>
      <c r="OK46" s="469"/>
      <c r="OL46" s="469"/>
      <c r="OM46" s="469"/>
      <c r="ON46" s="469"/>
      <c r="OO46" s="469"/>
      <c r="OP46" s="469"/>
      <c r="OQ46" s="469"/>
      <c r="OR46" s="469"/>
      <c r="OS46" s="469"/>
      <c r="OT46" s="469"/>
      <c r="OU46" s="469"/>
      <c r="OV46" s="469"/>
      <c r="OW46" s="469"/>
      <c r="OX46" s="469"/>
      <c r="OY46" s="469"/>
      <c r="OZ46" s="469"/>
      <c r="PA46" s="469"/>
      <c r="PB46" s="469"/>
      <c r="PC46" s="469"/>
      <c r="PD46" s="469"/>
      <c r="PE46" s="469"/>
      <c r="PF46" s="469"/>
      <c r="PG46" s="469"/>
      <c r="PH46" s="469"/>
      <c r="PI46" s="469"/>
      <c r="PJ46" s="469"/>
      <c r="PK46" s="469"/>
      <c r="PL46" s="469"/>
      <c r="PM46" s="469"/>
      <c r="PN46" s="469"/>
      <c r="PO46" s="469"/>
      <c r="PP46" s="469"/>
      <c r="PQ46" s="469"/>
      <c r="PR46" s="469"/>
      <c r="PS46" s="469"/>
      <c r="PT46" s="469"/>
      <c r="PU46" s="469"/>
      <c r="PV46" s="469"/>
      <c r="PW46" s="469"/>
      <c r="PX46" s="469"/>
      <c r="PY46" s="469"/>
      <c r="PZ46" s="469"/>
      <c r="QA46" s="469"/>
      <c r="QB46" s="469"/>
      <c r="QC46" s="469"/>
      <c r="QD46" s="469"/>
      <c r="QE46" s="469"/>
      <c r="QF46" s="469"/>
      <c r="QG46" s="469"/>
      <c r="QH46" s="469"/>
      <c r="QI46" s="469"/>
      <c r="QJ46" s="469"/>
      <c r="QK46" s="469"/>
      <c r="QL46" s="469"/>
      <c r="QM46" s="469"/>
      <c r="QN46" s="469"/>
      <c r="QO46" s="469"/>
      <c r="QP46" s="469"/>
      <c r="QQ46" s="469"/>
      <c r="QR46" s="469"/>
      <c r="QS46" s="469"/>
      <c r="QT46" s="469"/>
      <c r="QU46" s="469"/>
      <c r="QV46" s="469"/>
      <c r="QW46" s="469"/>
      <c r="QX46" s="469"/>
      <c r="QY46" s="469"/>
      <c r="QZ46" s="469"/>
      <c r="RA46" s="469"/>
      <c r="RB46" s="469"/>
      <c r="RC46" s="469"/>
      <c r="RD46" s="469"/>
      <c r="RE46" s="469"/>
      <c r="RF46" s="469"/>
      <c r="RG46" s="469"/>
      <c r="RH46" s="469"/>
      <c r="RI46" s="469"/>
      <c r="RJ46" s="469"/>
      <c r="RK46" s="469"/>
      <c r="RL46" s="469"/>
      <c r="RM46" s="469"/>
      <c r="RN46" s="469"/>
      <c r="RO46" s="469"/>
      <c r="RP46" s="469"/>
      <c r="RQ46" s="469"/>
      <c r="RR46" s="469"/>
      <c r="RS46" s="469"/>
      <c r="RT46" s="469"/>
      <c r="RU46" s="469"/>
      <c r="RV46" s="469"/>
      <c r="RW46" s="469"/>
      <c r="RX46" s="469"/>
      <c r="RY46" s="469"/>
      <c r="RZ46" s="469"/>
      <c r="SA46" s="469"/>
      <c r="SB46" s="469"/>
      <c r="SC46" s="469"/>
      <c r="SD46" s="469"/>
      <c r="SE46" s="469"/>
      <c r="SF46" s="469"/>
      <c r="SG46" s="469"/>
      <c r="SH46" s="469"/>
      <c r="SI46" s="469"/>
      <c r="SJ46" s="469"/>
      <c r="SK46" s="469"/>
      <c r="SL46" s="469"/>
      <c r="SM46" s="469"/>
      <c r="SN46" s="469"/>
      <c r="SO46" s="469"/>
      <c r="SP46" s="469"/>
      <c r="SQ46" s="469"/>
      <c r="SR46" s="469"/>
      <c r="SS46" s="469"/>
      <c r="ST46" s="469"/>
      <c r="SU46" s="469"/>
      <c r="SV46" s="469"/>
      <c r="SW46" s="469"/>
      <c r="SX46" s="469"/>
      <c r="SY46" s="469"/>
      <c r="SZ46" s="469"/>
      <c r="TA46" s="469"/>
      <c r="TB46" s="469"/>
      <c r="TC46" s="469"/>
      <c r="TD46" s="469"/>
      <c r="TE46" s="469"/>
      <c r="TF46" s="469"/>
      <c r="TG46" s="469"/>
      <c r="TH46" s="469"/>
      <c r="TI46" s="469"/>
      <c r="TJ46" s="469"/>
      <c r="TK46" s="469"/>
      <c r="TL46" s="469"/>
      <c r="TM46" s="469"/>
      <c r="TN46" s="469"/>
      <c r="TO46" s="469"/>
      <c r="TP46" s="469"/>
      <c r="TQ46" s="469"/>
      <c r="TR46" s="469"/>
      <c r="TS46" s="469"/>
      <c r="TT46" s="469"/>
      <c r="TU46" s="469"/>
      <c r="TV46" s="469"/>
      <c r="TW46" s="469"/>
      <c r="TX46" s="469"/>
      <c r="TY46" s="469"/>
      <c r="TZ46" s="469"/>
      <c r="UA46" s="469"/>
      <c r="UB46" s="469"/>
      <c r="UC46" s="469"/>
      <c r="UD46" s="469"/>
      <c r="UE46" s="469"/>
      <c r="UF46" s="469"/>
      <c r="UG46" s="469"/>
      <c r="UH46" s="469"/>
      <c r="UI46" s="469"/>
      <c r="UJ46" s="469"/>
      <c r="UK46" s="469"/>
      <c r="UL46" s="469"/>
      <c r="UM46" s="469"/>
      <c r="UN46" s="469"/>
      <c r="UO46" s="469"/>
      <c r="UP46" s="469"/>
      <c r="UQ46" s="469"/>
      <c r="UR46" s="469"/>
      <c r="US46" s="469"/>
      <c r="UT46" s="469"/>
      <c r="UU46" s="469"/>
      <c r="UV46" s="469"/>
      <c r="UW46" s="469"/>
      <c r="UX46" s="469"/>
      <c r="UY46" s="469"/>
      <c r="UZ46" s="469"/>
      <c r="VA46" s="469"/>
      <c r="VB46" s="469"/>
      <c r="VC46" s="469"/>
      <c r="VD46" s="469"/>
      <c r="VE46" s="469"/>
      <c r="VF46" s="469"/>
      <c r="VG46" s="469"/>
      <c r="VH46" s="469"/>
      <c r="VI46" s="469"/>
      <c r="VJ46" s="469"/>
      <c r="VK46" s="469"/>
      <c r="VL46" s="469"/>
      <c r="VM46" s="469"/>
      <c r="VN46" s="469"/>
      <c r="VO46" s="469"/>
      <c r="VP46" s="469"/>
      <c r="VQ46" s="469"/>
      <c r="VR46" s="469"/>
      <c r="VS46" s="469"/>
      <c r="VT46" s="469"/>
      <c r="VU46" s="469"/>
      <c r="VV46" s="469"/>
      <c r="VW46" s="469"/>
      <c r="VX46" s="469"/>
      <c r="VY46" s="469"/>
      <c r="VZ46" s="469"/>
      <c r="WA46" s="469"/>
      <c r="WB46" s="469"/>
      <c r="WC46" s="469"/>
      <c r="WD46" s="469"/>
      <c r="WE46" s="469"/>
      <c r="WF46" s="469"/>
      <c r="WG46" s="469"/>
      <c r="WH46" s="469"/>
      <c r="WI46" s="469"/>
      <c r="WJ46" s="469"/>
      <c r="WK46" s="469"/>
      <c r="WL46" s="469"/>
      <c r="WM46" s="469"/>
      <c r="WN46" s="469"/>
      <c r="WO46" s="469"/>
      <c r="WP46" s="469"/>
      <c r="WQ46" s="469"/>
      <c r="WR46" s="469"/>
      <c r="WS46" s="469"/>
      <c r="WT46" s="469"/>
      <c r="WU46" s="469"/>
      <c r="WV46" s="469"/>
      <c r="WW46" s="469"/>
      <c r="WX46" s="469"/>
      <c r="WY46" s="469"/>
      <c r="WZ46" s="469"/>
      <c r="XA46" s="469"/>
      <c r="XB46" s="469"/>
      <c r="XC46" s="469"/>
      <c r="XD46" s="469"/>
      <c r="XE46" s="469"/>
      <c r="XF46" s="469"/>
      <c r="XG46" s="469"/>
      <c r="XH46" s="469"/>
      <c r="XI46" s="469"/>
      <c r="XJ46" s="469"/>
      <c r="XK46" s="469"/>
      <c r="XL46" s="469"/>
      <c r="XM46" s="469"/>
      <c r="XN46" s="469"/>
      <c r="XO46" s="469"/>
      <c r="XP46" s="469"/>
      <c r="XQ46" s="469"/>
      <c r="XR46" s="469"/>
      <c r="XS46" s="469"/>
      <c r="XT46" s="469"/>
      <c r="XU46" s="469"/>
      <c r="XV46" s="469"/>
      <c r="XW46" s="469"/>
      <c r="XX46" s="469"/>
      <c r="XY46" s="469"/>
      <c r="XZ46" s="469"/>
      <c r="YA46" s="469"/>
      <c r="YB46" s="469"/>
      <c r="YC46" s="469"/>
      <c r="YD46" s="469"/>
      <c r="YE46" s="469"/>
      <c r="YF46" s="469"/>
      <c r="YG46" s="469"/>
      <c r="YH46" s="469"/>
      <c r="YI46" s="469"/>
      <c r="YJ46" s="469"/>
      <c r="YK46" s="469"/>
      <c r="YL46" s="469"/>
      <c r="YM46" s="469"/>
      <c r="YN46" s="469"/>
      <c r="YO46" s="469"/>
      <c r="YP46" s="469"/>
      <c r="YQ46" s="469"/>
      <c r="YR46" s="469"/>
      <c r="YS46" s="469"/>
      <c r="YT46" s="469"/>
      <c r="YU46" s="469"/>
      <c r="YV46" s="469"/>
      <c r="YW46" s="469"/>
      <c r="YX46" s="469"/>
      <c r="YY46" s="469"/>
      <c r="YZ46" s="469"/>
      <c r="ZA46" s="469"/>
      <c r="ZB46" s="469"/>
      <c r="ZC46" s="469"/>
      <c r="ZD46" s="469"/>
      <c r="ZE46" s="469"/>
      <c r="ZF46" s="469"/>
      <c r="ZG46" s="469"/>
      <c r="ZH46" s="469"/>
      <c r="ZI46" s="469"/>
      <c r="ZJ46" s="469"/>
      <c r="ZK46" s="469"/>
      <c r="ZL46" s="469"/>
      <c r="ZM46" s="469"/>
      <c r="ZN46" s="469"/>
      <c r="ZO46" s="469"/>
      <c r="ZP46" s="469"/>
      <c r="ZQ46" s="469"/>
      <c r="ZR46" s="469"/>
      <c r="ZS46" s="469"/>
      <c r="ZT46" s="469"/>
      <c r="ZU46" s="469"/>
      <c r="ZV46" s="469"/>
      <c r="ZW46" s="469"/>
      <c r="ZX46" s="469"/>
      <c r="ZY46" s="469"/>
      <c r="ZZ46" s="469"/>
      <c r="AAA46" s="469"/>
      <c r="AAB46" s="469"/>
      <c r="AAC46" s="469"/>
      <c r="AAD46" s="469"/>
      <c r="AAE46" s="469"/>
      <c r="AAF46" s="469"/>
      <c r="AAG46" s="469"/>
      <c r="AAH46" s="469"/>
      <c r="AAI46" s="469"/>
      <c r="AAJ46" s="469"/>
      <c r="AAK46" s="469"/>
      <c r="AAL46" s="469"/>
      <c r="AAM46" s="469"/>
      <c r="AAN46" s="469"/>
      <c r="AAO46" s="469"/>
      <c r="AAP46" s="469"/>
      <c r="AAQ46" s="469"/>
      <c r="AAR46" s="469"/>
      <c r="AAS46" s="469"/>
      <c r="AAT46" s="469"/>
      <c r="AAU46" s="469"/>
      <c r="AAV46" s="469"/>
      <c r="AAW46" s="469"/>
      <c r="AAX46" s="469"/>
      <c r="AAY46" s="469"/>
      <c r="AAZ46" s="469"/>
      <c r="ABA46" s="469"/>
      <c r="ABB46" s="469"/>
      <c r="ABC46" s="469"/>
      <c r="ABD46" s="469"/>
      <c r="ABE46" s="469"/>
      <c r="ABF46" s="469"/>
      <c r="ABG46" s="469"/>
      <c r="ABH46" s="469"/>
      <c r="ABI46" s="469"/>
      <c r="ABJ46" s="469"/>
      <c r="ABK46" s="469"/>
      <c r="ABL46" s="469"/>
      <c r="ABM46" s="469"/>
      <c r="ABN46" s="469"/>
      <c r="ABO46" s="469"/>
      <c r="ABP46" s="469"/>
      <c r="ABQ46" s="469"/>
      <c r="ABR46" s="469"/>
      <c r="ABS46" s="469"/>
      <c r="ABT46" s="469"/>
      <c r="ABU46" s="469"/>
      <c r="ABV46" s="469"/>
      <c r="ABW46" s="469"/>
      <c r="ABX46" s="469"/>
      <c r="ABY46" s="469"/>
      <c r="ABZ46" s="469"/>
      <c r="ACA46" s="469"/>
      <c r="ACB46" s="469"/>
      <c r="ACC46" s="469"/>
      <c r="ACD46" s="469"/>
      <c r="ACE46" s="469"/>
      <c r="ACF46" s="469"/>
      <c r="ACG46" s="469"/>
      <c r="ACH46" s="469"/>
      <c r="ACI46" s="469"/>
      <c r="ACJ46" s="469"/>
      <c r="ACK46" s="469"/>
      <c r="ACL46" s="469"/>
      <c r="ACM46" s="469"/>
      <c r="ACN46" s="469"/>
      <c r="ACO46" s="469"/>
      <c r="ACP46" s="469"/>
      <c r="ACQ46" s="469"/>
      <c r="ACR46" s="469"/>
      <c r="ACS46" s="469"/>
      <c r="ACT46" s="469"/>
      <c r="ACU46" s="469"/>
      <c r="ACV46" s="469"/>
      <c r="ACW46" s="469"/>
      <c r="ACX46" s="469"/>
      <c r="ACY46" s="469"/>
      <c r="ACZ46" s="469"/>
      <c r="ADA46" s="469"/>
      <c r="ADB46" s="469"/>
      <c r="ADC46" s="469"/>
      <c r="ADD46" s="469"/>
      <c r="ADE46" s="469"/>
      <c r="ADF46" s="469"/>
      <c r="ADG46" s="469"/>
      <c r="ADH46" s="469"/>
      <c r="ADI46" s="469"/>
      <c r="ADJ46" s="469"/>
      <c r="ADK46" s="469"/>
      <c r="ADL46" s="469"/>
      <c r="ADM46" s="469"/>
      <c r="ADN46" s="469"/>
      <c r="ADO46" s="469"/>
      <c r="ADP46" s="469"/>
      <c r="ADQ46" s="469"/>
      <c r="ADR46" s="469"/>
      <c r="ADS46" s="469"/>
      <c r="ADT46" s="469"/>
      <c r="ADU46" s="469"/>
      <c r="ADV46" s="469"/>
      <c r="ADW46" s="469"/>
      <c r="ADX46" s="469"/>
      <c r="ADY46" s="469"/>
      <c r="ADZ46" s="469"/>
      <c r="AEA46" s="469"/>
      <c r="AEB46" s="469"/>
      <c r="AEC46" s="469"/>
      <c r="AED46" s="469"/>
      <c r="AEE46" s="469"/>
      <c r="AEF46" s="469"/>
      <c r="AEG46" s="469"/>
      <c r="AEH46" s="469"/>
      <c r="AEI46" s="469"/>
      <c r="AEJ46" s="469"/>
      <c r="AEK46" s="469"/>
      <c r="AEL46" s="469"/>
      <c r="AEM46" s="469"/>
      <c r="AEN46" s="469"/>
      <c r="AEO46" s="469"/>
      <c r="AEP46" s="469"/>
      <c r="AEQ46" s="469"/>
      <c r="AER46" s="469"/>
      <c r="AES46" s="469"/>
      <c r="AET46" s="469"/>
      <c r="AEU46" s="469"/>
      <c r="AEV46" s="469"/>
      <c r="AEW46" s="469"/>
      <c r="AEX46" s="469"/>
      <c r="AEY46" s="469"/>
      <c r="AEZ46" s="469"/>
      <c r="AFA46" s="469"/>
      <c r="AFB46" s="469"/>
      <c r="AFC46" s="469"/>
      <c r="AFD46" s="469"/>
      <c r="AFE46" s="469"/>
      <c r="AFF46" s="469"/>
      <c r="AFG46" s="469"/>
      <c r="AFH46" s="469"/>
      <c r="AFI46" s="469"/>
      <c r="AFJ46" s="469"/>
      <c r="AFK46" s="469"/>
      <c r="AFL46" s="469"/>
      <c r="AFM46" s="469"/>
      <c r="AFN46" s="469"/>
      <c r="AFO46" s="469"/>
      <c r="AFP46" s="469"/>
      <c r="AFQ46" s="469"/>
      <c r="AFR46" s="469"/>
      <c r="AFS46" s="469"/>
      <c r="AFT46" s="469"/>
      <c r="AFU46" s="469"/>
      <c r="AFV46" s="469"/>
      <c r="AFW46" s="469"/>
      <c r="AFX46" s="469"/>
      <c r="AFY46" s="469"/>
      <c r="AFZ46" s="469"/>
      <c r="AGA46" s="469"/>
      <c r="AGB46" s="469"/>
      <c r="AGC46" s="469"/>
      <c r="AGD46" s="469"/>
      <c r="AGE46" s="469"/>
      <c r="AGF46" s="469"/>
      <c r="AGG46" s="469"/>
      <c r="AGH46" s="469"/>
      <c r="AGI46" s="469"/>
      <c r="AGJ46" s="469"/>
      <c r="AGK46" s="469"/>
      <c r="AGL46" s="469"/>
      <c r="AGM46" s="469"/>
      <c r="AGN46" s="469"/>
      <c r="AGO46" s="469"/>
      <c r="AGP46" s="469"/>
      <c r="AGQ46" s="469"/>
      <c r="AGR46" s="469"/>
      <c r="AGS46" s="469"/>
      <c r="AGT46" s="469"/>
      <c r="AGU46" s="469"/>
      <c r="AGV46" s="469"/>
      <c r="AGW46" s="469"/>
      <c r="AGX46" s="469"/>
      <c r="AGY46" s="469"/>
      <c r="AGZ46" s="469"/>
      <c r="AHA46" s="469"/>
      <c r="AHB46" s="469"/>
      <c r="AHC46" s="469"/>
      <c r="AHD46" s="469"/>
      <c r="AHE46" s="469"/>
      <c r="AHF46" s="469"/>
      <c r="AHG46" s="469"/>
      <c r="AHH46" s="469"/>
      <c r="AHI46" s="469"/>
      <c r="AHJ46" s="469"/>
      <c r="AHK46" s="469"/>
      <c r="AHL46" s="469"/>
      <c r="AHM46" s="469"/>
      <c r="AHN46" s="469"/>
      <c r="AHO46" s="469"/>
      <c r="AHP46" s="469"/>
      <c r="AHQ46" s="469"/>
      <c r="AHR46" s="469"/>
      <c r="AHS46" s="469"/>
      <c r="AHT46" s="469"/>
      <c r="AHU46" s="469"/>
      <c r="AHV46" s="469"/>
      <c r="AHW46" s="469"/>
      <c r="AHX46" s="469"/>
      <c r="AHY46" s="469"/>
      <c r="AHZ46" s="469"/>
      <c r="AIA46" s="469"/>
      <c r="AIB46" s="469"/>
      <c r="AIC46" s="469"/>
      <c r="AID46" s="469"/>
      <c r="AIE46" s="469"/>
      <c r="AIF46" s="469"/>
      <c r="AIG46" s="469"/>
      <c r="AIH46" s="469"/>
      <c r="AII46" s="469"/>
      <c r="AIJ46" s="469"/>
      <c r="AIK46" s="469"/>
      <c r="AIL46" s="469"/>
      <c r="AIM46" s="469"/>
      <c r="AIN46" s="469"/>
      <c r="AIO46" s="469"/>
      <c r="AIP46" s="469"/>
      <c r="AIQ46" s="469"/>
      <c r="AIR46" s="469"/>
      <c r="AIS46" s="469"/>
      <c r="AIT46" s="469"/>
      <c r="AIU46" s="469"/>
      <c r="AIV46" s="469"/>
      <c r="AIW46" s="469"/>
      <c r="AIX46" s="469"/>
      <c r="AIY46" s="469"/>
      <c r="AIZ46" s="469"/>
      <c r="AJA46" s="469"/>
      <c r="AJB46" s="469"/>
      <c r="AJC46" s="469"/>
      <c r="AJD46" s="469"/>
      <c r="AJE46" s="469"/>
      <c r="AJF46" s="469"/>
      <c r="AJG46" s="469"/>
      <c r="AJH46" s="469"/>
      <c r="AJI46" s="469"/>
      <c r="AJJ46" s="469"/>
      <c r="AJK46" s="469"/>
      <c r="AJL46" s="469"/>
      <c r="AJM46" s="469"/>
      <c r="AJN46" s="469"/>
      <c r="AJO46" s="469"/>
      <c r="AJP46" s="469"/>
      <c r="AJQ46" s="469"/>
      <c r="AJR46" s="469"/>
      <c r="AJS46" s="469"/>
      <c r="AJT46" s="469"/>
      <c r="AJU46" s="469"/>
      <c r="AJV46" s="469"/>
      <c r="AJW46" s="469"/>
      <c r="AJX46" s="469"/>
      <c r="AJY46" s="469"/>
      <c r="AJZ46" s="469"/>
      <c r="AKA46" s="469"/>
      <c r="AKB46" s="469"/>
      <c r="AKC46" s="469"/>
      <c r="AKD46" s="469"/>
      <c r="AKE46" s="469"/>
      <c r="AKF46" s="469"/>
      <c r="AKG46" s="469"/>
      <c r="AKH46" s="469"/>
      <c r="AKI46" s="469"/>
      <c r="AKJ46" s="469"/>
      <c r="AKK46" s="469"/>
      <c r="AKL46" s="469"/>
      <c r="AKM46" s="469"/>
      <c r="AKN46" s="469"/>
      <c r="AKO46" s="469"/>
      <c r="AKP46" s="469"/>
      <c r="AKQ46" s="469"/>
      <c r="AKR46" s="469"/>
      <c r="AKS46" s="469"/>
      <c r="AKT46" s="469"/>
      <c r="AKU46" s="469"/>
      <c r="AKV46" s="469"/>
      <c r="AKW46" s="469"/>
      <c r="AKX46" s="469"/>
      <c r="AKY46" s="469"/>
      <c r="AKZ46" s="469"/>
      <c r="ALA46" s="469"/>
      <c r="ALB46" s="469"/>
      <c r="ALC46" s="469"/>
      <c r="ALD46" s="469"/>
      <c r="ALE46" s="469"/>
      <c r="ALF46" s="469"/>
      <c r="ALG46" s="469"/>
      <c r="ALH46" s="469"/>
      <c r="ALI46" s="469"/>
      <c r="ALJ46" s="469"/>
      <c r="ALK46" s="469"/>
      <c r="ALL46" s="469"/>
      <c r="ALM46" s="469"/>
      <c r="ALN46" s="469"/>
      <c r="ALO46" s="469"/>
      <c r="ALP46" s="469"/>
      <c r="ALQ46" s="469"/>
      <c r="ALR46" s="469"/>
      <c r="ALS46" s="469"/>
      <c r="ALT46" s="469"/>
      <c r="ALU46" s="469"/>
      <c r="ALV46" s="469"/>
      <c r="ALW46" s="469"/>
      <c r="ALX46" s="469"/>
      <c r="ALY46" s="469"/>
      <c r="ALZ46" s="469"/>
      <c r="AMA46" s="469"/>
      <c r="AMB46" s="469"/>
      <c r="AMC46" s="469"/>
      <c r="AMD46" s="469"/>
      <c r="AME46" s="469"/>
      <c r="AMF46" s="469"/>
      <c r="AMG46" s="469"/>
      <c r="AMH46" s="469"/>
      <c r="AMI46" s="469"/>
      <c r="AMJ46" s="469"/>
      <c r="AMK46" s="469"/>
      <c r="AML46" s="469"/>
      <c r="AMM46" s="469"/>
      <c r="AMN46" s="469"/>
      <c r="AMO46" s="469"/>
      <c r="AMP46" s="469"/>
      <c r="AMQ46" s="469"/>
      <c r="AMR46" s="469"/>
      <c r="AMS46" s="469"/>
      <c r="AMT46" s="469"/>
      <c r="AMU46" s="469"/>
      <c r="AMV46" s="469"/>
      <c r="AMW46" s="469"/>
      <c r="AMX46" s="469"/>
      <c r="AMY46" s="469"/>
      <c r="AMZ46" s="469"/>
      <c r="ANA46" s="469"/>
      <c r="ANB46" s="469"/>
      <c r="ANC46" s="469"/>
      <c r="AND46" s="469"/>
      <c r="ANE46" s="469"/>
      <c r="ANF46" s="469"/>
      <c r="ANG46" s="469"/>
      <c r="ANH46" s="469"/>
      <c r="ANI46" s="469"/>
      <c r="ANJ46" s="469"/>
      <c r="ANK46" s="469"/>
      <c r="ANL46" s="469"/>
      <c r="ANM46" s="469"/>
      <c r="ANN46" s="469"/>
      <c r="ANO46" s="469"/>
      <c r="ANP46" s="469"/>
      <c r="ANQ46" s="469"/>
      <c r="ANR46" s="469"/>
      <c r="ANS46" s="469"/>
      <c r="ANT46" s="469"/>
      <c r="ANU46" s="469"/>
      <c r="ANV46" s="469"/>
      <c r="ANW46" s="469"/>
      <c r="ANX46" s="469"/>
      <c r="ANY46" s="469"/>
      <c r="ANZ46" s="469"/>
      <c r="AOA46" s="469"/>
      <c r="AOB46" s="469"/>
      <c r="AOC46" s="469"/>
      <c r="AOD46" s="469"/>
      <c r="AOE46" s="469"/>
      <c r="AOF46" s="469"/>
      <c r="AOG46" s="469"/>
      <c r="AOH46" s="469"/>
      <c r="AOI46" s="469"/>
      <c r="AOJ46" s="469"/>
      <c r="AOK46" s="469"/>
      <c r="AOL46" s="469"/>
      <c r="AOM46" s="469"/>
      <c r="AON46" s="469"/>
      <c r="AOO46" s="469"/>
      <c r="AOP46" s="469"/>
      <c r="AOQ46" s="469"/>
      <c r="AOR46" s="469"/>
      <c r="AOS46" s="469"/>
      <c r="AOT46" s="469"/>
      <c r="AOU46" s="469"/>
      <c r="AOV46" s="469"/>
      <c r="AOW46" s="469"/>
      <c r="AOX46" s="469"/>
      <c r="AOY46" s="469"/>
      <c r="AOZ46" s="469"/>
      <c r="APA46" s="469"/>
      <c r="APB46" s="469"/>
      <c r="APC46" s="469"/>
      <c r="APD46" s="469"/>
      <c r="APE46" s="469"/>
      <c r="APF46" s="469"/>
      <c r="APG46" s="469"/>
      <c r="APH46" s="469"/>
      <c r="API46" s="469"/>
      <c r="APJ46" s="469"/>
      <c r="APK46" s="469"/>
      <c r="APL46" s="469"/>
      <c r="APM46" s="469"/>
      <c r="APN46" s="469"/>
      <c r="APO46" s="469"/>
      <c r="APP46" s="469"/>
      <c r="APQ46" s="469"/>
      <c r="APR46" s="469"/>
      <c r="APS46" s="469"/>
      <c r="APT46" s="469"/>
      <c r="APU46" s="469"/>
      <c r="APV46" s="469"/>
      <c r="APW46" s="469"/>
      <c r="APX46" s="469"/>
      <c r="APY46" s="469"/>
      <c r="APZ46" s="469"/>
      <c r="AQA46" s="469"/>
      <c r="AQB46" s="469"/>
      <c r="AQC46" s="469"/>
      <c r="AQD46" s="469"/>
      <c r="AQE46" s="469"/>
      <c r="AQF46" s="469"/>
      <c r="AQG46" s="469"/>
      <c r="AQH46" s="469"/>
      <c r="AQI46" s="469"/>
      <c r="AQJ46" s="469"/>
      <c r="AQK46" s="469"/>
      <c r="AQL46" s="469"/>
      <c r="AQM46" s="469"/>
      <c r="AQN46" s="469"/>
      <c r="AQO46" s="469"/>
      <c r="AQP46" s="469"/>
      <c r="AQQ46" s="469"/>
      <c r="AQR46" s="469"/>
      <c r="AQS46" s="469"/>
      <c r="AQT46" s="469"/>
      <c r="AQU46" s="469"/>
      <c r="AQV46" s="469"/>
      <c r="AQW46" s="469"/>
      <c r="AQX46" s="469"/>
      <c r="AQY46" s="469"/>
      <c r="AQZ46" s="469"/>
      <c r="ARA46" s="469"/>
      <c r="ARB46" s="469"/>
      <c r="ARC46" s="469"/>
      <c r="ARD46" s="469"/>
      <c r="ARE46" s="469"/>
      <c r="ARF46" s="469"/>
      <c r="ARG46" s="469"/>
      <c r="ARH46" s="469"/>
      <c r="ARI46" s="469"/>
      <c r="ARJ46" s="469"/>
      <c r="ARK46" s="469"/>
      <c r="ARL46" s="469"/>
      <c r="ARM46" s="469"/>
      <c r="ARN46" s="469"/>
      <c r="ARO46" s="469"/>
      <c r="ARP46" s="469"/>
      <c r="ARQ46" s="469"/>
      <c r="ARR46" s="469"/>
      <c r="ARS46" s="469"/>
      <c r="ART46" s="469"/>
      <c r="ARU46" s="469"/>
      <c r="ARV46" s="469"/>
      <c r="ARW46" s="469"/>
      <c r="ARX46" s="469"/>
      <c r="ARY46" s="469"/>
      <c r="ARZ46" s="469"/>
      <c r="ASA46" s="469"/>
      <c r="ASB46" s="469"/>
      <c r="ASC46" s="469"/>
      <c r="ASD46" s="469"/>
      <c r="ASE46" s="469"/>
      <c r="ASF46" s="469"/>
      <c r="ASG46" s="469"/>
      <c r="ASH46" s="469"/>
      <c r="ASI46" s="469"/>
      <c r="ASJ46" s="469"/>
      <c r="ASK46" s="469"/>
      <c r="ASL46" s="469"/>
      <c r="ASM46" s="469"/>
      <c r="ASN46" s="469"/>
      <c r="ASO46" s="469"/>
      <c r="ASP46" s="469"/>
      <c r="ASQ46" s="469"/>
      <c r="ASR46" s="469"/>
      <c r="ASS46" s="469"/>
      <c r="AST46" s="469"/>
      <c r="ASU46" s="469"/>
      <c r="ASV46" s="469"/>
      <c r="ASW46" s="469"/>
      <c r="ASX46" s="469"/>
      <c r="ASY46" s="469"/>
      <c r="ASZ46" s="469"/>
      <c r="ATA46" s="469"/>
      <c r="ATB46" s="469"/>
      <c r="ATC46" s="469"/>
      <c r="ATD46" s="469"/>
      <c r="ATE46" s="469"/>
      <c r="ATF46" s="469"/>
      <c r="ATG46" s="469"/>
      <c r="ATH46" s="469"/>
      <c r="ATI46" s="469"/>
      <c r="ATJ46" s="469"/>
      <c r="ATK46" s="469"/>
      <c r="ATL46" s="469"/>
      <c r="ATM46" s="469"/>
      <c r="ATN46" s="469"/>
      <c r="ATO46" s="469"/>
      <c r="ATP46" s="469"/>
      <c r="ATQ46" s="469"/>
      <c r="ATR46" s="469"/>
      <c r="ATS46" s="469"/>
      <c r="ATT46" s="469"/>
      <c r="ATU46" s="469"/>
      <c r="ATV46" s="469"/>
      <c r="ATW46" s="469"/>
      <c r="ATX46" s="469"/>
      <c r="ATY46" s="469"/>
      <c r="ATZ46" s="469"/>
      <c r="AUA46" s="469"/>
      <c r="AUB46" s="469"/>
      <c r="AUC46" s="469"/>
      <c r="AUD46" s="469"/>
      <c r="AUE46" s="469"/>
      <c r="AUF46" s="469"/>
      <c r="AUG46" s="469"/>
      <c r="AUH46" s="469"/>
      <c r="AUI46" s="469"/>
      <c r="AUJ46" s="469"/>
      <c r="AUK46" s="469"/>
      <c r="AUL46" s="469"/>
      <c r="AUM46" s="469"/>
      <c r="AUN46" s="469"/>
      <c r="AUO46" s="469"/>
      <c r="AUP46" s="469"/>
      <c r="AUQ46" s="469"/>
      <c r="AUR46" s="469"/>
      <c r="AUS46" s="469"/>
      <c r="AUT46" s="469"/>
      <c r="AUU46" s="469"/>
      <c r="AUV46" s="469"/>
      <c r="AUW46" s="469"/>
      <c r="AUX46" s="469"/>
      <c r="AUY46" s="469"/>
      <c r="AUZ46" s="469"/>
      <c r="AVA46" s="469"/>
      <c r="AVB46" s="469"/>
      <c r="AVC46" s="469"/>
      <c r="AVD46" s="469"/>
      <c r="AVE46" s="469"/>
      <c r="AVF46" s="469"/>
      <c r="AVG46" s="469"/>
      <c r="AVH46" s="469"/>
      <c r="AVI46" s="469"/>
      <c r="AVJ46" s="469"/>
      <c r="AVK46" s="469"/>
      <c r="AVL46" s="469"/>
      <c r="AVM46" s="469"/>
      <c r="AVN46" s="469"/>
      <c r="AVO46" s="469"/>
      <c r="AVP46" s="469"/>
      <c r="AVQ46" s="469"/>
      <c r="AVR46" s="469"/>
      <c r="AVS46" s="469"/>
      <c r="AVT46" s="469"/>
      <c r="AVU46" s="469"/>
      <c r="AVV46" s="469"/>
      <c r="AVW46" s="469"/>
      <c r="AVX46" s="469"/>
      <c r="AVY46" s="469"/>
      <c r="AVZ46" s="469"/>
      <c r="AWA46" s="469"/>
      <c r="AWB46" s="469"/>
      <c r="AWC46" s="469"/>
      <c r="AWD46" s="469"/>
      <c r="AWE46" s="469"/>
      <c r="AWF46" s="469"/>
      <c r="AWG46" s="469"/>
      <c r="AWH46" s="469"/>
      <c r="AWI46" s="469"/>
      <c r="AWJ46" s="469"/>
      <c r="AWK46" s="469"/>
      <c r="AWL46" s="469"/>
      <c r="AWM46" s="469"/>
      <c r="AWN46" s="469"/>
      <c r="AWO46" s="469"/>
      <c r="AWP46" s="469"/>
      <c r="AWQ46" s="469"/>
      <c r="AWR46" s="469"/>
      <c r="AWS46" s="469"/>
      <c r="AWT46" s="469"/>
      <c r="AWU46" s="469"/>
      <c r="AWV46" s="469"/>
      <c r="AWW46" s="469"/>
      <c r="AWX46" s="469"/>
      <c r="AWY46" s="469"/>
      <c r="AWZ46" s="469"/>
      <c r="AXA46" s="469"/>
      <c r="AXB46" s="469"/>
      <c r="AXC46" s="469"/>
      <c r="AXD46" s="469"/>
      <c r="AXE46" s="469"/>
      <c r="AXF46" s="469"/>
      <c r="AXG46" s="469"/>
      <c r="AXH46" s="469"/>
      <c r="AXI46" s="469"/>
      <c r="AXJ46" s="469"/>
      <c r="AXK46" s="469"/>
      <c r="AXL46" s="469"/>
      <c r="AXM46" s="469"/>
      <c r="AXN46" s="469"/>
      <c r="AXO46" s="469"/>
      <c r="AXP46" s="469"/>
      <c r="AXQ46" s="469"/>
      <c r="AXR46" s="469"/>
      <c r="AXS46" s="469"/>
      <c r="AXT46" s="469"/>
      <c r="AXU46" s="469"/>
      <c r="AXV46" s="469"/>
      <c r="AXW46" s="469"/>
      <c r="AXX46" s="469"/>
      <c r="AXY46" s="469"/>
      <c r="AXZ46" s="469"/>
      <c r="AYA46" s="469"/>
      <c r="AYB46" s="469"/>
      <c r="AYC46" s="469"/>
      <c r="AYD46" s="469"/>
      <c r="AYE46" s="469"/>
      <c r="AYF46" s="469"/>
      <c r="AYG46" s="469"/>
      <c r="AYH46" s="469"/>
      <c r="AYI46" s="469"/>
      <c r="AYJ46" s="469"/>
      <c r="AYK46" s="469"/>
      <c r="AYL46" s="469"/>
      <c r="AYM46" s="469"/>
      <c r="AYN46" s="469"/>
      <c r="AYO46" s="469"/>
      <c r="AYP46" s="469"/>
      <c r="AYQ46" s="469"/>
      <c r="AYR46" s="469"/>
      <c r="AYS46" s="469"/>
      <c r="AYT46" s="469"/>
      <c r="AYU46" s="469"/>
      <c r="AYV46" s="469"/>
      <c r="AYW46" s="469"/>
      <c r="AYX46" s="469"/>
      <c r="AYY46" s="469"/>
      <c r="AYZ46" s="469"/>
      <c r="AZA46" s="469"/>
      <c r="AZB46" s="469"/>
      <c r="AZC46" s="469"/>
      <c r="AZD46" s="469"/>
      <c r="AZE46" s="469"/>
      <c r="AZF46" s="469"/>
      <c r="AZG46" s="469"/>
      <c r="AZH46" s="469"/>
      <c r="AZI46" s="469"/>
      <c r="AZJ46" s="469"/>
      <c r="AZK46" s="469"/>
      <c r="AZL46" s="469"/>
      <c r="AZM46" s="469"/>
      <c r="AZN46" s="469"/>
      <c r="AZO46" s="469"/>
      <c r="AZP46" s="469"/>
      <c r="AZQ46" s="469"/>
      <c r="AZR46" s="469"/>
      <c r="AZS46" s="469"/>
      <c r="AZT46" s="469"/>
      <c r="AZU46" s="469"/>
      <c r="AZV46" s="469"/>
      <c r="AZW46" s="469"/>
      <c r="AZX46" s="469"/>
      <c r="AZY46" s="469"/>
      <c r="AZZ46" s="469"/>
      <c r="BAA46" s="469"/>
      <c r="BAB46" s="469"/>
      <c r="BAC46" s="469"/>
      <c r="BAD46" s="469"/>
      <c r="BAE46" s="469"/>
      <c r="BAF46" s="469"/>
      <c r="BAG46" s="469"/>
      <c r="BAH46" s="469"/>
      <c r="BAI46" s="469"/>
      <c r="BAJ46" s="469"/>
      <c r="BAK46" s="469"/>
      <c r="BAL46" s="469"/>
      <c r="BAM46" s="469"/>
      <c r="BAN46" s="469"/>
      <c r="BAO46" s="469"/>
      <c r="BAP46" s="469"/>
      <c r="BAQ46" s="469"/>
      <c r="BAR46" s="469"/>
      <c r="BAS46" s="469"/>
      <c r="BAT46" s="469"/>
      <c r="BAU46" s="469"/>
      <c r="BAV46" s="469"/>
      <c r="BAW46" s="469"/>
      <c r="BAX46" s="469"/>
      <c r="BAY46" s="469"/>
      <c r="BAZ46" s="469"/>
      <c r="BBA46" s="469"/>
      <c r="BBB46" s="469"/>
      <c r="BBC46" s="469"/>
      <c r="BBD46" s="469"/>
      <c r="BBE46" s="469"/>
      <c r="BBF46" s="469"/>
      <c r="BBG46" s="469"/>
      <c r="BBH46" s="469"/>
      <c r="BBI46" s="469"/>
      <c r="BBJ46" s="469"/>
      <c r="BBK46" s="469"/>
      <c r="BBL46" s="469"/>
      <c r="BBM46" s="469"/>
      <c r="BBN46" s="469"/>
      <c r="BBO46" s="469"/>
      <c r="BBP46" s="469"/>
      <c r="BBQ46" s="469"/>
      <c r="BBR46" s="469"/>
      <c r="BBS46" s="469"/>
      <c r="BBT46" s="469"/>
      <c r="BBU46" s="469"/>
      <c r="BBV46" s="469"/>
      <c r="BBW46" s="469"/>
      <c r="BBX46" s="469"/>
      <c r="BBY46" s="469"/>
      <c r="BBZ46" s="469"/>
      <c r="BCA46" s="469"/>
      <c r="BCB46" s="469"/>
      <c r="BCC46" s="469"/>
      <c r="BCD46" s="469"/>
      <c r="BCE46" s="469"/>
      <c r="BCF46" s="469"/>
      <c r="BCG46" s="469"/>
      <c r="BCH46" s="469"/>
      <c r="BCI46" s="469"/>
      <c r="BCJ46" s="469"/>
      <c r="BCK46" s="469"/>
      <c r="BCL46" s="469"/>
      <c r="BCM46" s="469"/>
      <c r="BCN46" s="469"/>
      <c r="BCO46" s="469"/>
      <c r="BCP46" s="469"/>
      <c r="BCQ46" s="469"/>
      <c r="BCR46" s="469"/>
      <c r="BCS46" s="469"/>
      <c r="BCT46" s="469"/>
      <c r="BCU46" s="469"/>
      <c r="BCV46" s="469"/>
      <c r="BCW46" s="469"/>
      <c r="BCX46" s="469"/>
      <c r="BCY46" s="469"/>
      <c r="BCZ46" s="469"/>
      <c r="BDA46" s="469"/>
      <c r="BDB46" s="469"/>
      <c r="BDC46" s="469"/>
      <c r="BDD46" s="469"/>
      <c r="BDE46" s="469"/>
      <c r="BDF46" s="469"/>
      <c r="BDG46" s="469"/>
      <c r="BDH46" s="469"/>
      <c r="BDI46" s="469"/>
      <c r="BDJ46" s="469"/>
      <c r="BDK46" s="469"/>
      <c r="BDL46" s="469"/>
      <c r="BDM46" s="469"/>
      <c r="BDN46" s="469"/>
      <c r="BDO46" s="469"/>
      <c r="BDP46" s="469"/>
      <c r="BDQ46" s="469"/>
      <c r="BDR46" s="469"/>
      <c r="BDS46" s="469"/>
      <c r="BDT46" s="469"/>
      <c r="BDU46" s="469"/>
      <c r="BDV46" s="469"/>
      <c r="BDW46" s="469"/>
      <c r="BDX46" s="469"/>
      <c r="BDY46" s="469"/>
      <c r="BDZ46" s="469"/>
      <c r="BEA46" s="469"/>
      <c r="BEB46" s="469"/>
      <c r="BEC46" s="469"/>
      <c r="BED46" s="469"/>
      <c r="BEE46" s="469"/>
      <c r="BEF46" s="469"/>
      <c r="BEG46" s="469"/>
      <c r="BEH46" s="469"/>
      <c r="BEI46" s="469"/>
      <c r="BEJ46" s="469"/>
      <c r="BEK46" s="469"/>
      <c r="BEL46" s="469"/>
      <c r="BEM46" s="469"/>
      <c r="BEN46" s="469"/>
      <c r="BEO46" s="469"/>
      <c r="BEP46" s="469"/>
      <c r="BEQ46" s="469"/>
      <c r="BER46" s="469"/>
      <c r="BES46" s="469"/>
      <c r="BET46" s="469"/>
      <c r="BEU46" s="469"/>
      <c r="BEV46" s="469"/>
      <c r="BEW46" s="469"/>
      <c r="BEX46" s="469"/>
      <c r="BEY46" s="469"/>
      <c r="BEZ46" s="469"/>
      <c r="BFA46" s="469"/>
      <c r="BFB46" s="469"/>
      <c r="BFC46" s="469"/>
      <c r="BFD46" s="469"/>
      <c r="BFE46" s="469"/>
      <c r="BFF46" s="469"/>
      <c r="BFG46" s="469"/>
      <c r="BFH46" s="469"/>
      <c r="BFI46" s="469"/>
      <c r="BFJ46" s="469"/>
      <c r="BFK46" s="469"/>
      <c r="BFL46" s="469"/>
      <c r="BFM46" s="469"/>
      <c r="BFN46" s="469"/>
      <c r="BFO46" s="469"/>
      <c r="BFP46" s="469"/>
      <c r="BFQ46" s="469"/>
      <c r="BFR46" s="469"/>
      <c r="BFS46" s="469"/>
      <c r="BFT46" s="469"/>
      <c r="BFU46" s="469"/>
      <c r="BFV46" s="469"/>
      <c r="BFW46" s="469"/>
      <c r="BFX46" s="469"/>
      <c r="BFY46" s="469"/>
      <c r="BFZ46" s="469"/>
      <c r="BGA46" s="469"/>
      <c r="BGB46" s="469"/>
      <c r="BGC46" s="469"/>
      <c r="BGD46" s="469"/>
      <c r="BGE46" s="469"/>
      <c r="BGF46" s="469"/>
      <c r="BGG46" s="469"/>
      <c r="BGH46" s="469"/>
      <c r="BGI46" s="469"/>
      <c r="BGJ46" s="469"/>
      <c r="BGK46" s="469"/>
      <c r="BGL46" s="469"/>
      <c r="BGM46" s="469"/>
      <c r="BGN46" s="469"/>
      <c r="BGO46" s="469"/>
      <c r="BGP46" s="469"/>
      <c r="BGQ46" s="469"/>
      <c r="BGR46" s="469"/>
      <c r="BGS46" s="469"/>
      <c r="BGT46" s="469"/>
      <c r="BGU46" s="469"/>
      <c r="BGV46" s="469"/>
      <c r="BGW46" s="469"/>
      <c r="BGX46" s="469"/>
      <c r="BGY46" s="469"/>
      <c r="BGZ46" s="469"/>
      <c r="BHA46" s="469"/>
      <c r="BHB46" s="469"/>
      <c r="BHC46" s="469"/>
      <c r="BHD46" s="469"/>
      <c r="BHE46" s="469"/>
      <c r="BHF46" s="469"/>
      <c r="BHG46" s="469"/>
      <c r="BHH46" s="469"/>
      <c r="BHI46" s="469"/>
      <c r="BHJ46" s="469"/>
      <c r="BHK46" s="469"/>
      <c r="BHL46" s="469"/>
      <c r="BHM46" s="469"/>
      <c r="BHN46" s="469"/>
      <c r="BHO46" s="469"/>
      <c r="BHP46" s="469"/>
      <c r="BHQ46" s="469"/>
      <c r="BHR46" s="469"/>
      <c r="BHS46" s="469"/>
      <c r="BHT46" s="469"/>
      <c r="BHU46" s="469"/>
      <c r="BHV46" s="469"/>
      <c r="BHW46" s="469"/>
      <c r="BHX46" s="469"/>
      <c r="BHY46" s="469"/>
      <c r="BHZ46" s="469"/>
      <c r="BIA46" s="469"/>
      <c r="BIB46" s="469"/>
      <c r="BIC46" s="469"/>
      <c r="BID46" s="469"/>
      <c r="BIE46" s="469"/>
      <c r="BIF46" s="469"/>
      <c r="BIG46" s="469"/>
      <c r="BIH46" s="469"/>
      <c r="BII46" s="469"/>
      <c r="BIJ46" s="469"/>
      <c r="BIK46" s="469"/>
      <c r="BIL46" s="469"/>
      <c r="BIM46" s="469"/>
      <c r="BIN46" s="469"/>
      <c r="BIO46" s="469"/>
      <c r="BIP46" s="469"/>
      <c r="BIQ46" s="469"/>
      <c r="BIR46" s="469"/>
      <c r="BIS46" s="469"/>
      <c r="BIT46" s="469"/>
      <c r="BIU46" s="469"/>
      <c r="BIV46" s="469"/>
      <c r="BIW46" s="469"/>
      <c r="BIX46" s="469"/>
      <c r="BIY46" s="469"/>
      <c r="BIZ46" s="469"/>
      <c r="BJA46" s="469"/>
      <c r="BJB46" s="469"/>
      <c r="BJC46" s="469"/>
      <c r="BJD46" s="469"/>
      <c r="BJE46" s="469"/>
      <c r="BJF46" s="469"/>
      <c r="BJG46" s="469"/>
      <c r="BJH46" s="469"/>
      <c r="BJI46" s="469"/>
      <c r="BJJ46" s="469"/>
      <c r="BJK46" s="469"/>
      <c r="BJL46" s="469"/>
      <c r="BJM46" s="469"/>
      <c r="BJN46" s="469"/>
      <c r="BJO46" s="469"/>
      <c r="BJP46" s="469"/>
      <c r="BJQ46" s="469"/>
      <c r="BJR46" s="469"/>
      <c r="BJS46" s="469"/>
      <c r="BJT46" s="469"/>
      <c r="BJU46" s="469"/>
      <c r="BJV46" s="469"/>
      <c r="BJW46" s="469"/>
      <c r="BJX46" s="469"/>
      <c r="BJY46" s="469"/>
      <c r="BJZ46" s="469"/>
      <c r="BKA46" s="469"/>
      <c r="BKB46" s="469"/>
      <c r="BKC46" s="469"/>
      <c r="BKD46" s="469"/>
      <c r="BKE46" s="469"/>
      <c r="BKF46" s="469"/>
      <c r="BKG46" s="469"/>
      <c r="BKH46" s="469"/>
      <c r="BKI46" s="469"/>
      <c r="BKJ46" s="469"/>
      <c r="BKK46" s="469"/>
      <c r="BKL46" s="469"/>
      <c r="BKM46" s="469"/>
      <c r="BKN46" s="469"/>
      <c r="BKO46" s="469"/>
      <c r="BKP46" s="469"/>
      <c r="BKQ46" s="469"/>
      <c r="BKR46" s="469"/>
      <c r="BKS46" s="469"/>
      <c r="BKT46" s="469"/>
      <c r="BKU46" s="469"/>
      <c r="BKV46" s="469"/>
      <c r="BKW46" s="469"/>
      <c r="BKX46" s="469"/>
      <c r="BKY46" s="469"/>
      <c r="BKZ46" s="469"/>
      <c r="BLA46" s="469"/>
      <c r="BLB46" s="469"/>
      <c r="BLC46" s="469"/>
      <c r="BLD46" s="469"/>
      <c r="BLE46" s="469"/>
      <c r="BLF46" s="469"/>
      <c r="BLG46" s="469"/>
      <c r="BLH46" s="469"/>
      <c r="BLI46" s="469"/>
      <c r="BLJ46" s="469"/>
      <c r="BLK46" s="469"/>
      <c r="BLL46" s="469"/>
      <c r="BLM46" s="469"/>
      <c r="BLN46" s="469"/>
      <c r="BLO46" s="469"/>
      <c r="BLP46" s="469"/>
      <c r="BLQ46" s="469"/>
      <c r="BLR46" s="469"/>
      <c r="BLS46" s="469"/>
      <c r="BLT46" s="469"/>
      <c r="BLU46" s="469"/>
      <c r="BLV46" s="469"/>
      <c r="BLW46" s="469"/>
      <c r="BLX46" s="469"/>
      <c r="BLY46" s="469"/>
      <c r="BLZ46" s="469"/>
      <c r="BMA46" s="469"/>
      <c r="BMB46" s="469"/>
      <c r="BMC46" s="469"/>
      <c r="BMD46" s="469"/>
      <c r="BME46" s="469"/>
      <c r="BMF46" s="469"/>
      <c r="BMG46" s="469"/>
      <c r="BMH46" s="469"/>
      <c r="BMI46" s="469"/>
      <c r="BMJ46" s="469"/>
      <c r="BMK46" s="469"/>
      <c r="BML46" s="469"/>
      <c r="BMM46" s="469"/>
      <c r="BMN46" s="469"/>
      <c r="BMO46" s="469"/>
      <c r="BMP46" s="469"/>
      <c r="BMQ46" s="469"/>
      <c r="BMR46" s="469"/>
      <c r="BMS46" s="469"/>
      <c r="BMT46" s="469"/>
      <c r="BMU46" s="469"/>
      <c r="BMV46" s="469"/>
      <c r="BMW46" s="469"/>
      <c r="BMX46" s="469"/>
      <c r="BMY46" s="469"/>
      <c r="BMZ46" s="469"/>
      <c r="BNA46" s="469"/>
      <c r="BNB46" s="469"/>
      <c r="BNC46" s="469"/>
      <c r="BND46" s="469"/>
      <c r="BNE46" s="469"/>
      <c r="BNF46" s="469"/>
      <c r="BNG46" s="469"/>
      <c r="BNH46" s="469"/>
      <c r="BNI46" s="469"/>
      <c r="BNJ46" s="469"/>
      <c r="BNK46" s="469"/>
      <c r="BNL46" s="469"/>
      <c r="BNM46" s="469"/>
      <c r="BNN46" s="469"/>
      <c r="BNO46" s="469"/>
      <c r="BNP46" s="469"/>
      <c r="BNQ46" s="469"/>
      <c r="BNR46" s="469"/>
      <c r="BNS46" s="469"/>
      <c r="BNT46" s="469"/>
      <c r="BNU46" s="469"/>
      <c r="BNV46" s="469"/>
      <c r="BNW46" s="469"/>
      <c r="BNX46" s="469"/>
      <c r="BNY46" s="469"/>
      <c r="BNZ46" s="469"/>
      <c r="BOA46" s="469"/>
      <c r="BOB46" s="469"/>
      <c r="BOC46" s="469"/>
      <c r="BOD46" s="469"/>
      <c r="BOE46" s="469"/>
      <c r="BOF46" s="469"/>
      <c r="BOG46" s="469"/>
      <c r="BOH46" s="469"/>
      <c r="BOI46" s="469"/>
      <c r="BOJ46" s="469"/>
      <c r="BOK46" s="469"/>
      <c r="BOL46" s="469"/>
      <c r="BOM46" s="469"/>
      <c r="BON46" s="469"/>
      <c r="BOO46" s="469"/>
      <c r="BOP46" s="469"/>
      <c r="BOQ46" s="469"/>
      <c r="BOR46" s="469"/>
      <c r="BOS46" s="469"/>
      <c r="BOT46" s="469"/>
      <c r="BOU46" s="469"/>
      <c r="BOV46" s="469"/>
      <c r="BOW46" s="469"/>
      <c r="BOX46" s="469"/>
      <c r="BOY46" s="469"/>
      <c r="BOZ46" s="469"/>
      <c r="BPA46" s="469"/>
      <c r="BPB46" s="469"/>
      <c r="BPC46" s="469"/>
      <c r="BPD46" s="469"/>
      <c r="BPE46" s="469"/>
      <c r="BPF46" s="469"/>
      <c r="BPG46" s="469"/>
      <c r="BPH46" s="469"/>
      <c r="BPI46" s="469"/>
      <c r="BPJ46" s="469"/>
      <c r="BPK46" s="469"/>
      <c r="BPL46" s="469"/>
      <c r="BPM46" s="469"/>
      <c r="BPN46" s="469"/>
      <c r="BPO46" s="469"/>
      <c r="BPP46" s="469"/>
      <c r="BPQ46" s="469"/>
      <c r="BPR46" s="469"/>
      <c r="BPS46" s="469"/>
      <c r="BPT46" s="469"/>
      <c r="BPU46" s="469"/>
      <c r="BPV46" s="469"/>
      <c r="BPW46" s="469"/>
      <c r="BPX46" s="469"/>
      <c r="BPY46" s="469"/>
      <c r="BPZ46" s="469"/>
      <c r="BQA46" s="469"/>
      <c r="BQB46" s="469"/>
      <c r="BQC46" s="469"/>
      <c r="BQD46" s="469"/>
      <c r="BQE46" s="469"/>
      <c r="BQF46" s="469"/>
      <c r="BQG46" s="469"/>
      <c r="BQH46" s="469"/>
      <c r="BQI46" s="469"/>
      <c r="BQJ46" s="469"/>
      <c r="BQK46" s="469"/>
      <c r="BQL46" s="469"/>
      <c r="BQM46" s="469"/>
      <c r="BQN46" s="469"/>
      <c r="BQO46" s="469"/>
      <c r="BQP46" s="469"/>
      <c r="BQQ46" s="469"/>
      <c r="BQR46" s="469"/>
      <c r="BQS46" s="469"/>
      <c r="BQT46" s="469"/>
      <c r="BQU46" s="469"/>
      <c r="BQV46" s="469"/>
      <c r="BQW46" s="469"/>
      <c r="BQX46" s="469"/>
      <c r="BQY46" s="469"/>
      <c r="BQZ46" s="469"/>
      <c r="BRA46" s="469"/>
      <c r="BRB46" s="469"/>
      <c r="BRC46" s="469"/>
      <c r="BRD46" s="469"/>
      <c r="BRE46" s="469"/>
      <c r="BRF46" s="469"/>
      <c r="BRG46" s="469"/>
      <c r="BRH46" s="469"/>
      <c r="BRI46" s="469"/>
      <c r="BRJ46" s="469"/>
      <c r="BRK46" s="469"/>
      <c r="BRL46" s="469"/>
      <c r="BRM46" s="469"/>
      <c r="BRN46" s="469"/>
      <c r="BRO46" s="469"/>
      <c r="BRP46" s="469"/>
      <c r="BRQ46" s="469"/>
      <c r="BRR46" s="469"/>
      <c r="BRS46" s="469"/>
      <c r="BRT46" s="469"/>
      <c r="BRU46" s="469"/>
      <c r="BRV46" s="469"/>
      <c r="BRW46" s="469"/>
      <c r="BRX46" s="469"/>
      <c r="BRY46" s="469"/>
      <c r="BRZ46" s="469"/>
      <c r="BSA46" s="469"/>
      <c r="BSB46" s="469"/>
      <c r="BSC46" s="469"/>
      <c r="BSD46" s="469"/>
      <c r="BSE46" s="469"/>
      <c r="BSF46" s="469"/>
      <c r="BSG46" s="469"/>
      <c r="BSH46" s="469"/>
      <c r="BSI46" s="469"/>
      <c r="BSJ46" s="469"/>
      <c r="BSK46" s="469"/>
      <c r="BSL46" s="469"/>
      <c r="BSM46" s="469"/>
      <c r="BSN46" s="469"/>
      <c r="BSO46" s="469"/>
      <c r="BSP46" s="469"/>
      <c r="BSQ46" s="469"/>
      <c r="BSR46" s="469"/>
      <c r="BSS46" s="469"/>
      <c r="BST46" s="469"/>
      <c r="BSU46" s="469"/>
      <c r="BSV46" s="469"/>
      <c r="BSW46" s="469"/>
      <c r="BSX46" s="469"/>
      <c r="BSY46" s="469"/>
      <c r="BSZ46" s="469"/>
      <c r="BTA46" s="469"/>
      <c r="BTB46" s="469"/>
      <c r="BTC46" s="469"/>
      <c r="BTD46" s="469"/>
      <c r="BTE46" s="469"/>
      <c r="BTF46" s="469"/>
      <c r="BTG46" s="469"/>
      <c r="BTH46" s="469"/>
      <c r="BTI46" s="469"/>
      <c r="BTJ46" s="469"/>
      <c r="BTK46" s="469"/>
      <c r="BTL46" s="469"/>
      <c r="BTM46" s="469"/>
      <c r="BTN46" s="469"/>
      <c r="BTO46" s="469"/>
      <c r="BTP46" s="469"/>
      <c r="BTQ46" s="469"/>
      <c r="BTR46" s="469"/>
      <c r="BTS46" s="469"/>
      <c r="BTT46" s="469"/>
      <c r="BTU46" s="469"/>
      <c r="BTV46" s="469"/>
      <c r="BTW46" s="469"/>
      <c r="BTX46" s="469"/>
      <c r="BTY46" s="469"/>
      <c r="BTZ46" s="469"/>
      <c r="BUA46" s="469"/>
      <c r="BUB46" s="469"/>
      <c r="BUC46" s="469"/>
      <c r="BUD46" s="469"/>
      <c r="BUE46" s="469"/>
      <c r="BUF46" s="469"/>
      <c r="BUG46" s="469"/>
      <c r="BUH46" s="469"/>
      <c r="BUI46" s="469"/>
      <c r="BUJ46" s="469"/>
      <c r="BUK46" s="469"/>
      <c r="BUL46" s="469"/>
      <c r="BUM46" s="469"/>
      <c r="BUN46" s="469"/>
      <c r="BUO46" s="469"/>
      <c r="BUP46" s="469"/>
      <c r="BUQ46" s="469"/>
      <c r="BUR46" s="469"/>
      <c r="BUS46" s="469"/>
      <c r="BUT46" s="469"/>
      <c r="BUU46" s="469"/>
      <c r="BUV46" s="469"/>
      <c r="BUW46" s="469"/>
      <c r="BUX46" s="469"/>
      <c r="BUY46" s="469"/>
      <c r="BUZ46" s="469"/>
      <c r="BVA46" s="469"/>
      <c r="BVB46" s="469"/>
      <c r="BVC46" s="469"/>
      <c r="BVD46" s="469"/>
      <c r="BVE46" s="469"/>
      <c r="BVF46" s="469"/>
      <c r="BVG46" s="469"/>
      <c r="BVH46" s="469"/>
      <c r="BVI46" s="469"/>
      <c r="BVJ46" s="469"/>
      <c r="BVK46" s="469"/>
      <c r="BVL46" s="469"/>
      <c r="BVM46" s="469"/>
      <c r="BVN46" s="469"/>
      <c r="BVO46" s="469"/>
      <c r="BVP46" s="469"/>
      <c r="BVQ46" s="469"/>
      <c r="BVR46" s="469"/>
      <c r="BVS46" s="469"/>
      <c r="BVT46" s="469"/>
      <c r="BVU46" s="469"/>
      <c r="BVV46" s="469"/>
      <c r="BVW46" s="469"/>
      <c r="BVX46" s="469"/>
      <c r="BVY46" s="469"/>
      <c r="BVZ46" s="469"/>
      <c r="BWA46" s="469"/>
      <c r="BWB46" s="469"/>
      <c r="BWC46" s="469"/>
      <c r="BWD46" s="469"/>
      <c r="BWE46" s="469"/>
      <c r="BWF46" s="469"/>
      <c r="BWG46" s="469"/>
      <c r="BWH46" s="469"/>
      <c r="BWI46" s="469"/>
      <c r="BWJ46" s="469"/>
      <c r="BWK46" s="469"/>
      <c r="BWL46" s="469"/>
      <c r="BWM46" s="469"/>
      <c r="BWN46" s="469"/>
      <c r="BWO46" s="469"/>
      <c r="BWP46" s="469"/>
      <c r="BWQ46" s="469"/>
      <c r="BWR46" s="469"/>
      <c r="BWS46" s="469"/>
      <c r="BWT46" s="469"/>
      <c r="BWU46" s="469"/>
      <c r="BWV46" s="469"/>
      <c r="BWW46" s="469"/>
      <c r="BWX46" s="469"/>
      <c r="BWY46" s="469"/>
      <c r="BWZ46" s="469"/>
      <c r="BXA46" s="469"/>
      <c r="BXB46" s="469"/>
      <c r="BXC46" s="469"/>
      <c r="BXD46" s="469"/>
      <c r="BXE46" s="469"/>
      <c r="BXF46" s="469"/>
      <c r="BXG46" s="469"/>
      <c r="BXH46" s="469"/>
      <c r="BXI46" s="469"/>
      <c r="BXJ46" s="469"/>
      <c r="BXK46" s="469"/>
      <c r="BXL46" s="469"/>
      <c r="BXM46" s="469"/>
      <c r="BXN46" s="469"/>
      <c r="BXO46" s="469"/>
      <c r="BXP46" s="469"/>
      <c r="BXQ46" s="469"/>
      <c r="BXR46" s="469"/>
      <c r="BXS46" s="469"/>
      <c r="BXT46" s="469"/>
      <c r="BXU46" s="469"/>
      <c r="BXV46" s="469"/>
      <c r="BXW46" s="469"/>
      <c r="BXX46" s="469"/>
      <c r="BXY46" s="469"/>
      <c r="BXZ46" s="469"/>
      <c r="BYA46" s="469"/>
      <c r="BYB46" s="469"/>
      <c r="BYC46" s="469"/>
      <c r="BYD46" s="469"/>
      <c r="BYE46" s="469"/>
      <c r="BYF46" s="469"/>
      <c r="BYG46" s="469"/>
      <c r="BYH46" s="469"/>
      <c r="BYI46" s="469"/>
      <c r="BYJ46" s="469"/>
      <c r="BYK46" s="469"/>
      <c r="BYL46" s="469"/>
      <c r="BYM46" s="469"/>
      <c r="BYN46" s="469"/>
      <c r="BYO46" s="469"/>
      <c r="BYP46" s="469"/>
      <c r="BYQ46" s="469"/>
      <c r="BYR46" s="469"/>
      <c r="BYS46" s="469"/>
      <c r="BYT46" s="469"/>
      <c r="BYU46" s="469"/>
      <c r="BYV46" s="469"/>
      <c r="BYW46" s="469"/>
      <c r="BYX46" s="469"/>
      <c r="BYY46" s="469"/>
      <c r="BYZ46" s="469"/>
      <c r="BZA46" s="469"/>
      <c r="BZB46" s="469"/>
      <c r="BZC46" s="469"/>
      <c r="BZD46" s="469"/>
      <c r="BZE46" s="469"/>
      <c r="BZF46" s="469"/>
      <c r="BZG46" s="469"/>
      <c r="BZH46" s="469"/>
      <c r="BZI46" s="469"/>
      <c r="BZJ46" s="469"/>
      <c r="BZK46" s="469"/>
      <c r="BZL46" s="469"/>
      <c r="BZM46" s="469"/>
      <c r="BZN46" s="469"/>
      <c r="BZO46" s="469"/>
      <c r="BZP46" s="469"/>
      <c r="BZQ46" s="469"/>
      <c r="BZR46" s="469"/>
      <c r="BZS46" s="469"/>
      <c r="BZT46" s="469"/>
      <c r="BZU46" s="469"/>
      <c r="BZV46" s="469"/>
      <c r="BZW46" s="469"/>
      <c r="BZX46" s="469"/>
      <c r="BZY46" s="469"/>
      <c r="BZZ46" s="469"/>
      <c r="CAA46" s="469"/>
      <c r="CAB46" s="469"/>
      <c r="CAC46" s="469"/>
      <c r="CAD46" s="469"/>
      <c r="CAE46" s="469"/>
      <c r="CAF46" s="469"/>
      <c r="CAG46" s="469"/>
      <c r="CAH46" s="469"/>
      <c r="CAI46" s="469"/>
      <c r="CAJ46" s="469"/>
      <c r="CAK46" s="469"/>
      <c r="CAL46" s="469"/>
      <c r="CAM46" s="469"/>
      <c r="CAN46" s="469"/>
      <c r="CAO46" s="469"/>
      <c r="CAP46" s="469"/>
      <c r="CAQ46" s="469"/>
      <c r="CAR46" s="469"/>
      <c r="CAS46" s="469"/>
      <c r="CAT46" s="469"/>
      <c r="CAU46" s="469"/>
      <c r="CAV46" s="469"/>
      <c r="CAW46" s="469"/>
      <c r="CAX46" s="469"/>
      <c r="CAY46" s="469"/>
      <c r="CAZ46" s="469"/>
      <c r="CBA46" s="469"/>
      <c r="CBB46" s="469"/>
      <c r="CBC46" s="469"/>
      <c r="CBD46" s="469"/>
      <c r="CBE46" s="469"/>
      <c r="CBF46" s="469"/>
      <c r="CBG46" s="469"/>
      <c r="CBH46" s="469"/>
      <c r="CBI46" s="469"/>
      <c r="CBJ46" s="469"/>
      <c r="CBK46" s="469"/>
      <c r="CBL46" s="469"/>
      <c r="CBM46" s="469"/>
      <c r="CBN46" s="469"/>
      <c r="CBO46" s="469"/>
      <c r="CBP46" s="469"/>
      <c r="CBQ46" s="469"/>
      <c r="CBR46" s="469"/>
      <c r="CBS46" s="469"/>
      <c r="CBT46" s="469"/>
      <c r="CBU46" s="469"/>
      <c r="CBV46" s="469"/>
      <c r="CBW46" s="469"/>
      <c r="CBX46" s="469"/>
      <c r="CBY46" s="469"/>
      <c r="CBZ46" s="469"/>
      <c r="CCA46" s="469"/>
      <c r="CCB46" s="469"/>
      <c r="CCC46" s="469"/>
      <c r="CCD46" s="469"/>
      <c r="CCE46" s="469"/>
      <c r="CCF46" s="469"/>
      <c r="CCG46" s="469"/>
      <c r="CCH46" s="469"/>
      <c r="CCI46" s="469"/>
      <c r="CCJ46" s="469"/>
      <c r="CCK46" s="469"/>
      <c r="CCL46" s="469"/>
      <c r="CCM46" s="469"/>
      <c r="CCN46" s="469"/>
      <c r="CCO46" s="469"/>
      <c r="CCP46" s="469"/>
      <c r="CCQ46" s="469"/>
      <c r="CCR46" s="469"/>
      <c r="CCS46" s="469"/>
      <c r="CCT46" s="469"/>
      <c r="CCU46" s="469"/>
      <c r="CCV46" s="469"/>
      <c r="CCW46" s="469"/>
      <c r="CCX46" s="469"/>
      <c r="CCY46" s="469"/>
      <c r="CCZ46" s="469"/>
      <c r="CDA46" s="469"/>
      <c r="CDB46" s="469"/>
      <c r="CDC46" s="469"/>
      <c r="CDD46" s="469"/>
      <c r="CDE46" s="469"/>
      <c r="CDF46" s="469"/>
      <c r="CDG46" s="469"/>
      <c r="CDH46" s="469"/>
      <c r="CDI46" s="469"/>
      <c r="CDJ46" s="469"/>
      <c r="CDK46" s="469"/>
      <c r="CDL46" s="469"/>
      <c r="CDM46" s="469"/>
      <c r="CDN46" s="469"/>
      <c r="CDO46" s="469"/>
      <c r="CDP46" s="469"/>
      <c r="CDQ46" s="469"/>
      <c r="CDR46" s="469"/>
      <c r="CDS46" s="469"/>
      <c r="CDT46" s="469"/>
      <c r="CDU46" s="469"/>
      <c r="CDV46" s="469"/>
      <c r="CDW46" s="469"/>
      <c r="CDX46" s="469"/>
      <c r="CDY46" s="469"/>
      <c r="CDZ46" s="469"/>
      <c r="CEA46" s="469"/>
      <c r="CEB46" s="469"/>
      <c r="CEC46" s="469"/>
      <c r="CED46" s="469"/>
      <c r="CEE46" s="469"/>
      <c r="CEF46" s="469"/>
      <c r="CEG46" s="469"/>
      <c r="CEH46" s="469"/>
      <c r="CEI46" s="469"/>
      <c r="CEJ46" s="469"/>
      <c r="CEK46" s="469"/>
    </row>
    <row r="47" spans="1:2169" s="51" customFormat="1">
      <c r="A47" s="839" t="s">
        <v>5900</v>
      </c>
      <c r="B47" s="172" t="s">
        <v>5901</v>
      </c>
      <c r="C47" s="840" t="str">
        <f>IF('page 2'!$O$4="","",IF('page 2'!$O$4=Gestion!A47,1,0))</f>
        <v/>
      </c>
      <c r="D47" s="840" t="str">
        <f>IF('page 2'!$O$5="","",IF('page 2'!$O$5=Gestion!A47,1,0))</f>
        <v/>
      </c>
      <c r="E47" s="840" t="str">
        <f>IF('page 2'!$O$6="","",IF('page 2'!$O$6=Gestion!A47,1,0))</f>
        <v/>
      </c>
      <c r="F47" s="840" t="str">
        <f>IF('page 2'!$O$7="","",IF('page 2'!$O$7=Gestion!A47,1,0))</f>
        <v/>
      </c>
      <c r="G47" s="840" t="str">
        <f>IF('page 2'!$O$8="","",IF('page 2'!$O$8=Gestion!A47,1,0))</f>
        <v/>
      </c>
      <c r="H47" s="840" t="str">
        <f>IF('page 2'!$O$9="","",IF('page 2'!$O$9=Gestion!A47,1,0))</f>
        <v/>
      </c>
      <c r="I47" s="840" t="str">
        <f>IF('page 2'!$O$10="","",IF('page 2'!$O$10=Gestion!A47,1,0))</f>
        <v/>
      </c>
      <c r="J47" s="840" t="str">
        <f>IF('page 2'!$O$11="","",IF('page 2'!$O$11=Gestion!A47,1,0))</f>
        <v/>
      </c>
      <c r="K47" s="840" t="str">
        <f>IF('page 2'!$O$12="","",IF('page 2'!$O$12=Gestion!A47,1,0))</f>
        <v/>
      </c>
      <c r="L47" s="840" t="str">
        <f>IF('page 2'!$O$13="","",IF('page 2'!$O$13=Gestion!A47,1,0))</f>
        <v/>
      </c>
      <c r="M47" s="840"/>
      <c r="N47" s="840" t="str">
        <f>IF('page 2'!$O$15="","",IF('page 2'!$O$15=Gestion!A47,1,0))</f>
        <v/>
      </c>
      <c r="O47" s="840" t="str">
        <f>IF('page 2'!$O$16="","",IF('page 2'!$O$16=Gestion!A47,1,0))</f>
        <v/>
      </c>
      <c r="P47" s="840" t="str">
        <f>IF('page 2'!$O$17="","",IF('page 2'!$O$17=Gestion!A47,1,0))</f>
        <v/>
      </c>
      <c r="Q47" s="840" t="str">
        <f>IF('page 2'!$O$18="","",IF('page 2'!$O$18=Gestion!A47,1,0))</f>
        <v/>
      </c>
      <c r="R47" s="840" t="str">
        <f>IF('page 2'!$O$19="","",IF('page 2'!$O$19=Gestion!A47,1,0))</f>
        <v/>
      </c>
      <c r="S47" s="840" t="str">
        <f>IF('page 2'!$O$20="","",IF('page 2'!$O$20=Gestion!A47,1,0))</f>
        <v/>
      </c>
      <c r="T47" s="840" t="str">
        <f>IF('page 2'!$O$25="","",IF('page 2'!$O$25=Gestion!A47,1,0))</f>
        <v/>
      </c>
      <c r="U47" s="840" t="str">
        <f>IF('page 2'!$O$26="","",IF('page 2'!$O$26=Gestion!A47,1,0))</f>
        <v/>
      </c>
      <c r="V47" s="840" t="str">
        <f>IF('page 2'!$O$27="","",IF('page 2'!$O$27=Gestion!A47,1,0))</f>
        <v/>
      </c>
      <c r="W47" s="841">
        <f t="shared" si="0"/>
        <v>0</v>
      </c>
      <c r="X47" s="842"/>
      <c r="Y47" s="840"/>
      <c r="Z47" s="840"/>
      <c r="AA47" s="840"/>
      <c r="AB47" s="843"/>
      <c r="AC47" s="843"/>
      <c r="AD47" s="843"/>
      <c r="AE47" s="88"/>
      <c r="AP47" s="843"/>
      <c r="AQ47" s="843"/>
      <c r="AR47" s="843"/>
      <c r="AS47" s="576"/>
      <c r="AT47" s="576"/>
      <c r="AU47" s="576"/>
      <c r="AV47" s="576"/>
      <c r="AW47" s="602"/>
      <c r="AX47" s="602"/>
      <c r="AY47" s="576"/>
      <c r="AZ47" s="576"/>
      <c r="BA47" s="576"/>
      <c r="BB47" s="576"/>
      <c r="BC47" s="576"/>
      <c r="BD47" s="602"/>
      <c r="BE47" s="602"/>
      <c r="BF47" s="602"/>
      <c r="BG47" s="602"/>
      <c r="BH47" s="602"/>
      <c r="BI47" s="602"/>
      <c r="BJ47" s="602"/>
      <c r="BK47" s="602"/>
      <c r="BL47" s="602"/>
      <c r="BM47" s="602"/>
      <c r="BN47" s="602"/>
      <c r="BO47" s="602"/>
      <c r="BP47" s="602"/>
      <c r="BQ47" s="602"/>
      <c r="BR47" s="602"/>
      <c r="BS47" s="576"/>
      <c r="BT47" s="576"/>
      <c r="BU47" s="576"/>
      <c r="BV47" s="576"/>
      <c r="BW47" s="602"/>
      <c r="BX47" s="602"/>
      <c r="BY47" s="602"/>
      <c r="BZ47" s="576"/>
      <c r="CA47" s="602"/>
      <c r="CB47" s="602"/>
      <c r="CC47" s="576"/>
      <c r="CD47" s="469"/>
      <c r="CE47" s="602"/>
      <c r="CF47" s="576"/>
      <c r="CG47" s="576"/>
      <c r="CH47" s="576"/>
      <c r="CI47" s="576"/>
      <c r="CJ47" s="576"/>
      <c r="CK47" s="602"/>
      <c r="CL47" s="602"/>
      <c r="CM47" s="576"/>
      <c r="CN47" s="602"/>
      <c r="CO47" s="602"/>
      <c r="CP47" s="602"/>
      <c r="CQ47" s="576"/>
      <c r="CR47" s="576"/>
      <c r="CS47" s="602"/>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c r="SF47" s="88"/>
      <c r="SG47" s="88"/>
      <c r="SH47" s="88"/>
      <c r="SI47" s="88"/>
      <c r="SJ47" s="88"/>
      <c r="SK47" s="88"/>
      <c r="SL47" s="88"/>
      <c r="SM47" s="88"/>
      <c r="SN47" s="88"/>
      <c r="SO47" s="88"/>
      <c r="SP47" s="88"/>
      <c r="SQ47" s="88"/>
      <c r="SR47" s="88"/>
      <c r="SS47" s="88"/>
      <c r="ST47" s="88"/>
      <c r="SU47" s="88"/>
      <c r="SV47" s="88"/>
      <c r="SW47" s="88"/>
      <c r="SX47" s="88"/>
      <c r="SY47" s="88"/>
      <c r="SZ47" s="88"/>
      <c r="TA47" s="88"/>
      <c r="TB47" s="88"/>
      <c r="TC47" s="88"/>
      <c r="TD47" s="88"/>
      <c r="TE47" s="88"/>
      <c r="TF47" s="88"/>
      <c r="TG47" s="88"/>
      <c r="TH47" s="88"/>
      <c r="TI47" s="88"/>
      <c r="TJ47" s="88"/>
      <c r="TK47" s="88"/>
      <c r="TL47" s="88"/>
      <c r="TM47" s="88"/>
      <c r="TN47" s="88"/>
      <c r="TO47" s="88"/>
      <c r="TP47" s="88"/>
      <c r="TQ47" s="88"/>
      <c r="TR47" s="88"/>
      <c r="TS47" s="88"/>
      <c r="TT47" s="88"/>
      <c r="TU47" s="88"/>
      <c r="TV47" s="88"/>
      <c r="TW47" s="88"/>
      <c r="TX47" s="88"/>
      <c r="TY47" s="88"/>
      <c r="TZ47" s="88"/>
      <c r="UA47" s="88"/>
      <c r="UB47" s="88"/>
      <c r="UC47" s="88"/>
      <c r="UD47" s="88"/>
      <c r="UE47" s="88"/>
      <c r="UF47" s="88"/>
      <c r="UG47" s="88"/>
      <c r="UH47" s="88"/>
      <c r="UI47" s="88"/>
      <c r="UJ47" s="88"/>
      <c r="UK47" s="88"/>
      <c r="UL47" s="88"/>
      <c r="UM47" s="88"/>
      <c r="UN47" s="88"/>
      <c r="UO47" s="88"/>
      <c r="UP47" s="88"/>
      <c r="UQ47" s="88"/>
      <c r="UR47" s="88"/>
      <c r="US47" s="88"/>
      <c r="UT47" s="88"/>
      <c r="UU47" s="88"/>
      <c r="UV47" s="88"/>
      <c r="UW47" s="88"/>
      <c r="UX47" s="88"/>
      <c r="UY47" s="88"/>
      <c r="UZ47" s="88"/>
      <c r="VA47" s="88"/>
      <c r="VB47" s="88"/>
      <c r="VC47" s="88"/>
      <c r="VD47" s="88"/>
      <c r="VE47" s="88"/>
      <c r="VF47" s="88"/>
      <c r="VG47" s="88"/>
      <c r="VH47" s="88"/>
      <c r="VI47" s="88"/>
      <c r="VJ47" s="88"/>
      <c r="VK47" s="88"/>
      <c r="VL47" s="88"/>
      <c r="VM47" s="88"/>
      <c r="VN47" s="88"/>
      <c r="VO47" s="88"/>
      <c r="VP47" s="88"/>
      <c r="VQ47" s="88"/>
      <c r="VR47" s="88"/>
      <c r="VS47" s="88"/>
      <c r="VT47" s="88"/>
      <c r="VU47" s="88"/>
      <c r="VV47" s="88"/>
      <c r="VW47" s="88"/>
      <c r="VX47" s="88"/>
      <c r="VY47" s="88"/>
      <c r="VZ47" s="88"/>
      <c r="WA47" s="88"/>
      <c r="WB47" s="88"/>
      <c r="WC47" s="88"/>
      <c r="WD47" s="88"/>
      <c r="WE47" s="88"/>
      <c r="WF47" s="88"/>
      <c r="WG47" s="88"/>
      <c r="WH47" s="88"/>
      <c r="WI47" s="88"/>
      <c r="WJ47" s="88"/>
      <c r="WK47" s="88"/>
      <c r="WL47" s="88"/>
      <c r="WM47" s="88"/>
      <c r="WN47" s="88"/>
      <c r="WO47" s="88"/>
      <c r="WP47" s="88"/>
      <c r="WQ47" s="88"/>
      <c r="WR47" s="88"/>
      <c r="WS47" s="88"/>
      <c r="WT47" s="88"/>
      <c r="WU47" s="88"/>
      <c r="WV47" s="88"/>
      <c r="WW47" s="88"/>
      <c r="WX47" s="88"/>
      <c r="WY47" s="88"/>
      <c r="WZ47" s="88"/>
      <c r="XA47" s="88"/>
      <c r="XB47" s="88"/>
      <c r="XC47" s="88"/>
      <c r="XD47" s="88"/>
      <c r="XE47" s="88"/>
      <c r="XF47" s="88"/>
      <c r="XG47" s="88"/>
      <c r="XH47" s="88"/>
      <c r="XI47" s="88"/>
      <c r="XJ47" s="88"/>
      <c r="XK47" s="88"/>
      <c r="XL47" s="88"/>
      <c r="XM47" s="88"/>
      <c r="XN47" s="88"/>
      <c r="XO47" s="88"/>
      <c r="XP47" s="88"/>
      <c r="XQ47" s="88"/>
      <c r="XR47" s="88"/>
      <c r="XS47" s="88"/>
      <c r="XT47" s="88"/>
      <c r="XU47" s="88"/>
      <c r="XV47" s="88"/>
      <c r="XW47" s="88"/>
      <c r="XX47" s="88"/>
      <c r="XY47" s="88"/>
      <c r="XZ47" s="88"/>
      <c r="YA47" s="88"/>
      <c r="YB47" s="88"/>
      <c r="YC47" s="88"/>
      <c r="YD47" s="88"/>
      <c r="YE47" s="88"/>
      <c r="YF47" s="88"/>
      <c r="YG47" s="88"/>
      <c r="YH47" s="88"/>
      <c r="YI47" s="88"/>
      <c r="YJ47" s="88"/>
      <c r="YK47" s="88"/>
      <c r="YL47" s="88"/>
      <c r="YM47" s="88"/>
      <c r="YN47" s="88"/>
      <c r="YO47" s="88"/>
      <c r="YP47" s="88"/>
      <c r="YQ47" s="88"/>
      <c r="YR47" s="88"/>
      <c r="YS47" s="88"/>
      <c r="YT47" s="88"/>
      <c r="YU47" s="88"/>
      <c r="YV47" s="88"/>
      <c r="YW47" s="88"/>
      <c r="YX47" s="88"/>
      <c r="YY47" s="88"/>
      <c r="YZ47" s="88"/>
      <c r="ZA47" s="88"/>
      <c r="ZB47" s="88"/>
      <c r="ZC47" s="88"/>
      <c r="ZD47" s="88"/>
      <c r="ZE47" s="88"/>
      <c r="ZF47" s="88"/>
      <c r="ZG47" s="88"/>
      <c r="ZH47" s="88"/>
      <c r="ZI47" s="88"/>
      <c r="ZJ47" s="88"/>
      <c r="ZK47" s="88"/>
      <c r="ZL47" s="88"/>
      <c r="ZM47" s="88"/>
      <c r="ZN47" s="88"/>
      <c r="ZO47" s="88"/>
      <c r="ZP47" s="88"/>
      <c r="ZQ47" s="88"/>
      <c r="ZR47" s="88"/>
      <c r="ZS47" s="88"/>
      <c r="ZT47" s="88"/>
      <c r="ZU47" s="88"/>
      <c r="ZV47" s="88"/>
      <c r="ZW47" s="88"/>
      <c r="ZX47" s="88"/>
      <c r="ZY47" s="88"/>
      <c r="ZZ47" s="88"/>
      <c r="AAA47" s="88"/>
      <c r="AAB47" s="88"/>
      <c r="AAC47" s="88"/>
      <c r="AAD47" s="88"/>
      <c r="AAE47" s="88"/>
      <c r="AAF47" s="88"/>
      <c r="AAG47" s="88"/>
      <c r="AAH47" s="88"/>
      <c r="AAI47" s="88"/>
      <c r="AAJ47" s="88"/>
      <c r="AAK47" s="88"/>
      <c r="AAL47" s="88"/>
      <c r="AAM47" s="88"/>
      <c r="AAN47" s="88"/>
      <c r="AAO47" s="88"/>
      <c r="AAP47" s="88"/>
      <c r="AAQ47" s="88"/>
      <c r="AAR47" s="88"/>
      <c r="AAS47" s="88"/>
      <c r="AAT47" s="88"/>
      <c r="AAU47" s="88"/>
      <c r="AAV47" s="88"/>
      <c r="AAW47" s="88"/>
      <c r="AAX47" s="88"/>
      <c r="AAY47" s="88"/>
      <c r="AAZ47" s="88"/>
      <c r="ABA47" s="88"/>
      <c r="ABB47" s="88"/>
      <c r="ABC47" s="88"/>
      <c r="ABD47" s="88"/>
      <c r="ABE47" s="88"/>
      <c r="ABF47" s="88"/>
      <c r="ABG47" s="88"/>
      <c r="ABH47" s="88"/>
      <c r="ABI47" s="88"/>
      <c r="ABJ47" s="88"/>
      <c r="ABK47" s="88"/>
      <c r="ABL47" s="88"/>
      <c r="ABM47" s="88"/>
      <c r="ABN47" s="88"/>
      <c r="ABO47" s="88"/>
      <c r="ABP47" s="88"/>
      <c r="ABQ47" s="88"/>
      <c r="ABR47" s="88"/>
      <c r="ABS47" s="88"/>
      <c r="ABT47" s="88"/>
      <c r="ABU47" s="88"/>
      <c r="ABV47" s="88"/>
      <c r="ABW47" s="88"/>
      <c r="ABX47" s="88"/>
      <c r="ABY47" s="88"/>
      <c r="ABZ47" s="88"/>
      <c r="ACA47" s="88"/>
      <c r="ACB47" s="88"/>
      <c r="ACC47" s="88"/>
      <c r="ACD47" s="88"/>
      <c r="ACE47" s="88"/>
      <c r="ACF47" s="88"/>
      <c r="ACG47" s="88"/>
      <c r="ACH47" s="88"/>
      <c r="ACI47" s="88"/>
      <c r="ACJ47" s="88"/>
      <c r="ACK47" s="88"/>
      <c r="ACL47" s="88"/>
      <c r="ACM47" s="88"/>
      <c r="ACN47" s="88"/>
      <c r="ACO47" s="88"/>
      <c r="ACP47" s="88"/>
      <c r="ACQ47" s="88"/>
      <c r="ACR47" s="88"/>
      <c r="ACS47" s="88"/>
      <c r="ACT47" s="88"/>
      <c r="ACU47" s="88"/>
      <c r="ACV47" s="88"/>
      <c r="ACW47" s="88"/>
      <c r="ACX47" s="88"/>
      <c r="ACY47" s="88"/>
      <c r="ACZ47" s="88"/>
      <c r="ADA47" s="88"/>
      <c r="ADB47" s="88"/>
      <c r="ADC47" s="88"/>
      <c r="ADD47" s="88"/>
      <c r="ADE47" s="88"/>
      <c r="ADF47" s="88"/>
      <c r="ADG47" s="88"/>
      <c r="ADH47" s="88"/>
      <c r="ADI47" s="88"/>
      <c r="ADJ47" s="88"/>
      <c r="ADK47" s="88"/>
      <c r="ADL47" s="88"/>
      <c r="ADM47" s="88"/>
      <c r="ADN47" s="88"/>
      <c r="ADO47" s="88"/>
      <c r="ADP47" s="88"/>
      <c r="ADQ47" s="88"/>
      <c r="ADR47" s="88"/>
      <c r="ADS47" s="88"/>
      <c r="ADT47" s="88"/>
      <c r="ADU47" s="88"/>
      <c r="ADV47" s="88"/>
      <c r="ADW47" s="88"/>
      <c r="ADX47" s="88"/>
      <c r="ADY47" s="88"/>
      <c r="ADZ47" s="88"/>
      <c r="AEA47" s="88"/>
      <c r="AEB47" s="88"/>
      <c r="AEC47" s="88"/>
      <c r="AED47" s="88"/>
      <c r="AEE47" s="88"/>
      <c r="AEF47" s="88"/>
      <c r="AEG47" s="88"/>
      <c r="AEH47" s="88"/>
      <c r="AEI47" s="88"/>
      <c r="AEJ47" s="88"/>
      <c r="AEK47" s="88"/>
      <c r="AEL47" s="88"/>
      <c r="AEM47" s="88"/>
      <c r="AEN47" s="88"/>
      <c r="AEO47" s="88"/>
      <c r="AEP47" s="88"/>
      <c r="AEQ47" s="88"/>
      <c r="AER47" s="88"/>
      <c r="AES47" s="88"/>
      <c r="AET47" s="88"/>
      <c r="AEU47" s="88"/>
      <c r="AEV47" s="88"/>
      <c r="AEW47" s="88"/>
      <c r="AEX47" s="88"/>
      <c r="AEY47" s="88"/>
      <c r="AEZ47" s="88"/>
      <c r="AFA47" s="88"/>
      <c r="AFB47" s="88"/>
      <c r="AFC47" s="88"/>
      <c r="AFD47" s="88"/>
      <c r="AFE47" s="88"/>
      <c r="AFF47" s="88"/>
      <c r="AFG47" s="88"/>
      <c r="AFH47" s="88"/>
      <c r="AFI47" s="88"/>
      <c r="AFJ47" s="88"/>
      <c r="AFK47" s="88"/>
      <c r="AFL47" s="88"/>
      <c r="AFM47" s="88"/>
      <c r="AFN47" s="88"/>
      <c r="AFO47" s="88"/>
      <c r="AFP47" s="88"/>
      <c r="AFQ47" s="88"/>
      <c r="AFR47" s="88"/>
      <c r="AFS47" s="88"/>
      <c r="AFT47" s="88"/>
      <c r="AFU47" s="88"/>
      <c r="AFV47" s="88"/>
      <c r="AFW47" s="88"/>
      <c r="AFX47" s="88"/>
      <c r="AFY47" s="88"/>
      <c r="AFZ47" s="88"/>
      <c r="AGA47" s="88"/>
      <c r="AGB47" s="88"/>
      <c r="AGC47" s="88"/>
      <c r="AGD47" s="88"/>
      <c r="AGE47" s="88"/>
      <c r="AGF47" s="88"/>
      <c r="AGG47" s="88"/>
      <c r="AGH47" s="88"/>
      <c r="AGI47" s="88"/>
      <c r="AGJ47" s="88"/>
      <c r="AGK47" s="88"/>
      <c r="AGL47" s="88"/>
      <c r="AGM47" s="88"/>
      <c r="AGN47" s="88"/>
      <c r="AGO47" s="88"/>
      <c r="AGP47" s="88"/>
      <c r="AGQ47" s="88"/>
      <c r="AGR47" s="88"/>
      <c r="AGS47" s="88"/>
      <c r="AGT47" s="88"/>
      <c r="AGU47" s="88"/>
      <c r="AGV47" s="88"/>
      <c r="AGW47" s="88"/>
      <c r="AGX47" s="88"/>
      <c r="AGY47" s="88"/>
      <c r="AGZ47" s="88"/>
      <c r="AHA47" s="88"/>
      <c r="AHB47" s="88"/>
      <c r="AHC47" s="88"/>
      <c r="AHD47" s="88"/>
      <c r="AHE47" s="88"/>
      <c r="AHF47" s="88"/>
      <c r="AHG47" s="88"/>
      <c r="AHH47" s="88"/>
      <c r="AHI47" s="88"/>
      <c r="AHJ47" s="88"/>
      <c r="AHK47" s="88"/>
      <c r="AHL47" s="88"/>
      <c r="AHM47" s="88"/>
      <c r="AHN47" s="88"/>
      <c r="AHO47" s="88"/>
      <c r="AHP47" s="88"/>
      <c r="AHQ47" s="88"/>
      <c r="AHR47" s="88"/>
      <c r="AHS47" s="88"/>
      <c r="AHT47" s="88"/>
      <c r="AHU47" s="88"/>
      <c r="AHV47" s="88"/>
      <c r="AHW47" s="88"/>
      <c r="AHX47" s="88"/>
      <c r="AHY47" s="88"/>
      <c r="AHZ47" s="88"/>
      <c r="AIA47" s="88"/>
      <c r="AIB47" s="88"/>
      <c r="AIC47" s="88"/>
      <c r="AID47" s="88"/>
      <c r="AIE47" s="88"/>
      <c r="AIF47" s="88"/>
      <c r="AIG47" s="88"/>
      <c r="AIH47" s="88"/>
      <c r="AII47" s="88"/>
      <c r="AIJ47" s="88"/>
      <c r="AIK47" s="88"/>
      <c r="AIL47" s="88"/>
      <c r="AIM47" s="88"/>
      <c r="AIN47" s="88"/>
      <c r="AIO47" s="88"/>
      <c r="AIP47" s="88"/>
      <c r="AIQ47" s="88"/>
      <c r="AIR47" s="88"/>
      <c r="AIS47" s="88"/>
      <c r="AIT47" s="88"/>
      <c r="AIU47" s="88"/>
      <c r="AIV47" s="88"/>
      <c r="AIW47" s="88"/>
      <c r="AIX47" s="88"/>
      <c r="AIY47" s="88"/>
      <c r="AIZ47" s="88"/>
      <c r="AJA47" s="88"/>
      <c r="AJB47" s="88"/>
      <c r="AJC47" s="88"/>
      <c r="AJD47" s="88"/>
      <c r="AJE47" s="88"/>
      <c r="AJF47" s="88"/>
      <c r="AJG47" s="88"/>
      <c r="AJH47" s="88"/>
      <c r="AJI47" s="88"/>
      <c r="AJJ47" s="88"/>
      <c r="AJK47" s="88"/>
      <c r="AJL47" s="88"/>
      <c r="AJM47" s="88"/>
      <c r="AJN47" s="88"/>
      <c r="AJO47" s="88"/>
      <c r="AJP47" s="88"/>
      <c r="AJQ47" s="88"/>
      <c r="AJR47" s="88"/>
      <c r="AJS47" s="88"/>
      <c r="AJT47" s="88"/>
      <c r="AJU47" s="88"/>
      <c r="AJV47" s="88"/>
      <c r="AJW47" s="88"/>
      <c r="AJX47" s="88"/>
      <c r="AJY47" s="88"/>
      <c r="AJZ47" s="88"/>
      <c r="AKA47" s="88"/>
      <c r="AKB47" s="88"/>
      <c r="AKC47" s="88"/>
      <c r="AKD47" s="88"/>
      <c r="AKE47" s="88"/>
      <c r="AKF47" s="88"/>
      <c r="AKG47" s="88"/>
      <c r="AKH47" s="88"/>
      <c r="AKI47" s="88"/>
      <c r="AKJ47" s="88"/>
      <c r="AKK47" s="88"/>
      <c r="AKL47" s="88"/>
      <c r="AKM47" s="88"/>
      <c r="AKN47" s="88"/>
      <c r="AKO47" s="88"/>
      <c r="AKP47" s="88"/>
      <c r="AKQ47" s="88"/>
      <c r="AKR47" s="88"/>
      <c r="AKS47" s="88"/>
      <c r="AKT47" s="88"/>
      <c r="AKU47" s="88"/>
      <c r="AKV47" s="88"/>
      <c r="AKW47" s="88"/>
      <c r="AKX47" s="88"/>
      <c r="AKY47" s="88"/>
      <c r="AKZ47" s="88"/>
      <c r="ALA47" s="88"/>
      <c r="ALB47" s="88"/>
      <c r="ALC47" s="88"/>
      <c r="ALD47" s="88"/>
      <c r="ALE47" s="88"/>
      <c r="ALF47" s="88"/>
      <c r="ALG47" s="88"/>
      <c r="ALH47" s="88"/>
      <c r="ALI47" s="88"/>
      <c r="ALJ47" s="88"/>
      <c r="ALK47" s="88"/>
      <c r="ALL47" s="88"/>
      <c r="ALM47" s="88"/>
      <c r="ALN47" s="88"/>
      <c r="ALO47" s="88"/>
      <c r="ALP47" s="88"/>
      <c r="ALQ47" s="88"/>
      <c r="ALR47" s="88"/>
      <c r="ALS47" s="88"/>
      <c r="ALT47" s="88"/>
      <c r="ALU47" s="88"/>
      <c r="ALV47" s="88"/>
      <c r="ALW47" s="88"/>
      <c r="ALX47" s="88"/>
      <c r="ALY47" s="88"/>
      <c r="ALZ47" s="88"/>
      <c r="AMA47" s="88"/>
      <c r="AMB47" s="88"/>
      <c r="AMC47" s="88"/>
      <c r="AMD47" s="88"/>
      <c r="AME47" s="88"/>
      <c r="AMF47" s="88"/>
      <c r="AMG47" s="88"/>
      <c r="AMH47" s="88"/>
      <c r="AMI47" s="88"/>
      <c r="AMJ47" s="88"/>
      <c r="AMK47" s="88"/>
      <c r="AML47" s="88"/>
      <c r="AMM47" s="88"/>
      <c r="AMN47" s="88"/>
      <c r="AMO47" s="88"/>
      <c r="AMP47" s="88"/>
      <c r="AMQ47" s="88"/>
      <c r="AMR47" s="88"/>
      <c r="AMS47" s="88"/>
      <c r="AMT47" s="88"/>
      <c r="AMU47" s="88"/>
      <c r="AMV47" s="88"/>
      <c r="AMW47" s="88"/>
      <c r="AMX47" s="88"/>
      <c r="AMY47" s="88"/>
      <c r="AMZ47" s="88"/>
      <c r="ANA47" s="88"/>
      <c r="ANB47" s="88"/>
      <c r="ANC47" s="88"/>
      <c r="AND47" s="88"/>
      <c r="ANE47" s="88"/>
      <c r="ANF47" s="88"/>
      <c r="ANG47" s="88"/>
      <c r="ANH47" s="88"/>
      <c r="ANI47" s="88"/>
      <c r="ANJ47" s="88"/>
      <c r="ANK47" s="88"/>
      <c r="ANL47" s="88"/>
      <c r="ANM47" s="88"/>
      <c r="ANN47" s="88"/>
      <c r="ANO47" s="88"/>
      <c r="ANP47" s="88"/>
      <c r="ANQ47" s="88"/>
      <c r="ANR47" s="88"/>
      <c r="ANS47" s="88"/>
      <c r="ANT47" s="88"/>
      <c r="ANU47" s="88"/>
      <c r="ANV47" s="88"/>
      <c r="ANW47" s="88"/>
      <c r="ANX47" s="88"/>
      <c r="ANY47" s="88"/>
      <c r="ANZ47" s="88"/>
      <c r="AOA47" s="88"/>
      <c r="AOB47" s="88"/>
      <c r="AOC47" s="88"/>
      <c r="AOD47" s="88"/>
      <c r="AOE47" s="88"/>
      <c r="AOF47" s="88"/>
      <c r="AOG47" s="88"/>
      <c r="AOH47" s="88"/>
      <c r="AOI47" s="88"/>
      <c r="AOJ47" s="88"/>
      <c r="AOK47" s="88"/>
      <c r="AOL47" s="88"/>
      <c r="AOM47" s="88"/>
      <c r="AON47" s="88"/>
      <c r="AOO47" s="88"/>
      <c r="AOP47" s="88"/>
      <c r="AOQ47" s="88"/>
      <c r="AOR47" s="88"/>
      <c r="AOS47" s="88"/>
      <c r="AOT47" s="88"/>
      <c r="AOU47" s="88"/>
      <c r="AOV47" s="88"/>
      <c r="AOW47" s="88"/>
      <c r="AOX47" s="88"/>
      <c r="AOY47" s="88"/>
      <c r="AOZ47" s="88"/>
      <c r="APA47" s="88"/>
      <c r="APB47" s="88"/>
      <c r="APC47" s="88"/>
      <c r="APD47" s="88"/>
      <c r="APE47" s="88"/>
      <c r="APF47" s="88"/>
      <c r="APG47" s="88"/>
      <c r="APH47" s="88"/>
      <c r="API47" s="88"/>
      <c r="APJ47" s="88"/>
      <c r="APK47" s="88"/>
      <c r="APL47" s="88"/>
      <c r="APM47" s="88"/>
      <c r="APN47" s="88"/>
      <c r="APO47" s="88"/>
      <c r="APP47" s="88"/>
      <c r="APQ47" s="88"/>
      <c r="APR47" s="88"/>
      <c r="APS47" s="88"/>
      <c r="APT47" s="88"/>
      <c r="APU47" s="88"/>
      <c r="APV47" s="88"/>
      <c r="APW47" s="88"/>
      <c r="APX47" s="88"/>
      <c r="APY47" s="88"/>
      <c r="APZ47" s="88"/>
      <c r="AQA47" s="88"/>
      <c r="AQB47" s="88"/>
      <c r="AQC47" s="88"/>
      <c r="AQD47" s="88"/>
      <c r="AQE47" s="88"/>
      <c r="AQF47" s="88"/>
      <c r="AQG47" s="88"/>
      <c r="AQH47" s="88"/>
      <c r="AQI47" s="88"/>
      <c r="AQJ47" s="88"/>
      <c r="AQK47" s="88"/>
      <c r="AQL47" s="88"/>
      <c r="AQM47" s="88"/>
      <c r="AQN47" s="88"/>
      <c r="AQO47" s="88"/>
      <c r="AQP47" s="88"/>
      <c r="AQQ47" s="88"/>
      <c r="AQR47" s="88"/>
      <c r="AQS47" s="88"/>
      <c r="AQT47" s="88"/>
      <c r="AQU47" s="88"/>
      <c r="AQV47" s="88"/>
      <c r="AQW47" s="88"/>
      <c r="AQX47" s="88"/>
      <c r="AQY47" s="88"/>
      <c r="AQZ47" s="88"/>
      <c r="ARA47" s="88"/>
      <c r="ARB47" s="88"/>
      <c r="ARC47" s="88"/>
      <c r="ARD47" s="88"/>
      <c r="ARE47" s="88"/>
      <c r="ARF47" s="88"/>
      <c r="ARG47" s="88"/>
      <c r="ARH47" s="88"/>
      <c r="ARI47" s="88"/>
      <c r="ARJ47" s="88"/>
      <c r="ARK47" s="88"/>
      <c r="ARL47" s="88"/>
      <c r="ARM47" s="88"/>
      <c r="ARN47" s="88"/>
      <c r="ARO47" s="88"/>
      <c r="ARP47" s="88"/>
      <c r="ARQ47" s="88"/>
      <c r="ARR47" s="88"/>
      <c r="ARS47" s="88"/>
      <c r="ART47" s="88"/>
      <c r="ARU47" s="88"/>
      <c r="ARV47" s="88"/>
      <c r="ARW47" s="88"/>
      <c r="ARX47" s="88"/>
      <c r="ARY47" s="88"/>
      <c r="ARZ47" s="88"/>
      <c r="ASA47" s="88"/>
      <c r="ASB47" s="88"/>
      <c r="ASC47" s="88"/>
      <c r="ASD47" s="88"/>
      <c r="ASE47" s="88"/>
      <c r="ASF47" s="88"/>
      <c r="ASG47" s="88"/>
      <c r="ASH47" s="88"/>
      <c r="ASI47" s="88"/>
      <c r="ASJ47" s="88"/>
      <c r="ASK47" s="88"/>
      <c r="ASL47" s="88"/>
      <c r="ASM47" s="88"/>
      <c r="ASN47" s="88"/>
      <c r="ASO47" s="88"/>
      <c r="ASP47" s="88"/>
      <c r="ASQ47" s="88"/>
      <c r="ASR47" s="88"/>
      <c r="ASS47" s="88"/>
      <c r="AST47" s="88"/>
      <c r="ASU47" s="88"/>
      <c r="ASV47" s="88"/>
      <c r="ASW47" s="88"/>
      <c r="ASX47" s="88"/>
      <c r="ASY47" s="88"/>
      <c r="ASZ47" s="88"/>
      <c r="ATA47" s="88"/>
      <c r="ATB47" s="88"/>
      <c r="ATC47" s="88"/>
      <c r="ATD47" s="88"/>
      <c r="ATE47" s="88"/>
      <c r="ATF47" s="88"/>
      <c r="ATG47" s="88"/>
      <c r="ATH47" s="88"/>
      <c r="ATI47" s="88"/>
      <c r="ATJ47" s="88"/>
      <c r="ATK47" s="88"/>
      <c r="ATL47" s="88"/>
      <c r="ATM47" s="88"/>
      <c r="ATN47" s="88"/>
      <c r="ATO47" s="88"/>
      <c r="ATP47" s="88"/>
      <c r="ATQ47" s="88"/>
      <c r="ATR47" s="88"/>
      <c r="ATS47" s="88"/>
      <c r="ATT47" s="88"/>
      <c r="ATU47" s="88"/>
      <c r="ATV47" s="88"/>
      <c r="ATW47" s="88"/>
      <c r="ATX47" s="88"/>
      <c r="ATY47" s="88"/>
      <c r="ATZ47" s="88"/>
      <c r="AUA47" s="88"/>
      <c r="AUB47" s="88"/>
      <c r="AUC47" s="88"/>
      <c r="AUD47" s="88"/>
      <c r="AUE47" s="88"/>
      <c r="AUF47" s="88"/>
      <c r="AUG47" s="88"/>
      <c r="AUH47" s="88"/>
      <c r="AUI47" s="88"/>
      <c r="AUJ47" s="88"/>
      <c r="AUK47" s="88"/>
      <c r="AUL47" s="88"/>
      <c r="AUM47" s="88"/>
      <c r="AUN47" s="88"/>
      <c r="AUO47" s="88"/>
      <c r="AUP47" s="88"/>
      <c r="AUQ47" s="88"/>
      <c r="AUR47" s="88"/>
      <c r="AUS47" s="88"/>
      <c r="AUT47" s="88"/>
      <c r="AUU47" s="88"/>
      <c r="AUV47" s="88"/>
      <c r="AUW47" s="88"/>
      <c r="AUX47" s="88"/>
      <c r="AUY47" s="88"/>
      <c r="AUZ47" s="88"/>
      <c r="AVA47" s="88"/>
      <c r="AVB47" s="88"/>
      <c r="AVC47" s="88"/>
      <c r="AVD47" s="88"/>
      <c r="AVE47" s="88"/>
      <c r="AVF47" s="88"/>
      <c r="AVG47" s="88"/>
      <c r="AVH47" s="88"/>
      <c r="AVI47" s="88"/>
      <c r="AVJ47" s="88"/>
      <c r="AVK47" s="88"/>
      <c r="AVL47" s="88"/>
      <c r="AVM47" s="88"/>
      <c r="AVN47" s="88"/>
      <c r="AVO47" s="88"/>
      <c r="AVP47" s="88"/>
      <c r="AVQ47" s="88"/>
      <c r="AVR47" s="88"/>
      <c r="AVS47" s="88"/>
      <c r="AVT47" s="88"/>
      <c r="AVU47" s="88"/>
      <c r="AVV47" s="88"/>
      <c r="AVW47" s="88"/>
      <c r="AVX47" s="88"/>
      <c r="AVY47" s="88"/>
      <c r="AVZ47" s="88"/>
      <c r="AWA47" s="88"/>
      <c r="AWB47" s="88"/>
      <c r="AWC47" s="88"/>
      <c r="AWD47" s="88"/>
      <c r="AWE47" s="88"/>
      <c r="AWF47" s="88"/>
      <c r="AWG47" s="88"/>
      <c r="AWH47" s="88"/>
      <c r="AWI47" s="88"/>
      <c r="AWJ47" s="88"/>
      <c r="AWK47" s="88"/>
      <c r="AWL47" s="88"/>
      <c r="AWM47" s="88"/>
      <c r="AWN47" s="88"/>
      <c r="AWO47" s="88"/>
      <c r="AWP47" s="88"/>
      <c r="AWQ47" s="88"/>
      <c r="AWR47" s="88"/>
      <c r="AWS47" s="88"/>
      <c r="AWT47" s="88"/>
      <c r="AWU47" s="88"/>
      <c r="AWV47" s="88"/>
      <c r="AWW47" s="88"/>
      <c r="AWX47" s="88"/>
      <c r="AWY47" s="88"/>
      <c r="AWZ47" s="88"/>
      <c r="AXA47" s="88"/>
      <c r="AXB47" s="88"/>
      <c r="AXC47" s="88"/>
      <c r="AXD47" s="88"/>
      <c r="AXE47" s="88"/>
      <c r="AXF47" s="88"/>
      <c r="AXG47" s="88"/>
      <c r="AXH47" s="88"/>
      <c r="AXI47" s="88"/>
      <c r="AXJ47" s="88"/>
      <c r="AXK47" s="88"/>
      <c r="AXL47" s="88"/>
      <c r="AXM47" s="88"/>
      <c r="AXN47" s="88"/>
      <c r="AXO47" s="88"/>
      <c r="AXP47" s="88"/>
      <c r="AXQ47" s="88"/>
      <c r="AXR47" s="88"/>
      <c r="AXS47" s="88"/>
      <c r="AXT47" s="88"/>
      <c r="AXU47" s="88"/>
      <c r="AXV47" s="88"/>
      <c r="AXW47" s="88"/>
      <c r="AXX47" s="88"/>
      <c r="AXY47" s="88"/>
      <c r="AXZ47" s="88"/>
      <c r="AYA47" s="88"/>
      <c r="AYB47" s="88"/>
      <c r="AYC47" s="88"/>
      <c r="AYD47" s="88"/>
      <c r="AYE47" s="88"/>
      <c r="AYF47" s="88"/>
      <c r="AYG47" s="88"/>
      <c r="AYH47" s="88"/>
      <c r="AYI47" s="88"/>
      <c r="AYJ47" s="88"/>
      <c r="AYK47" s="88"/>
      <c r="AYL47" s="88"/>
      <c r="AYM47" s="88"/>
      <c r="AYN47" s="88"/>
      <c r="AYO47" s="88"/>
      <c r="AYP47" s="88"/>
      <c r="AYQ47" s="88"/>
      <c r="AYR47" s="88"/>
      <c r="AYS47" s="88"/>
      <c r="AYT47" s="88"/>
      <c r="AYU47" s="88"/>
      <c r="AYV47" s="88"/>
      <c r="AYW47" s="88"/>
      <c r="AYX47" s="88"/>
      <c r="AYY47" s="88"/>
      <c r="AYZ47" s="88"/>
      <c r="AZA47" s="88"/>
      <c r="AZB47" s="88"/>
      <c r="AZC47" s="88"/>
      <c r="AZD47" s="88"/>
      <c r="AZE47" s="88"/>
      <c r="AZF47" s="88"/>
      <c r="AZG47" s="88"/>
      <c r="AZH47" s="88"/>
      <c r="AZI47" s="88"/>
      <c r="AZJ47" s="88"/>
      <c r="AZK47" s="88"/>
      <c r="AZL47" s="88"/>
      <c r="AZM47" s="88"/>
      <c r="AZN47" s="88"/>
      <c r="AZO47" s="88"/>
      <c r="AZP47" s="88"/>
      <c r="AZQ47" s="88"/>
      <c r="AZR47" s="88"/>
      <c r="AZS47" s="88"/>
      <c r="AZT47" s="88"/>
      <c r="AZU47" s="88"/>
      <c r="AZV47" s="88"/>
      <c r="AZW47" s="88"/>
      <c r="AZX47" s="88"/>
      <c r="AZY47" s="88"/>
      <c r="AZZ47" s="88"/>
      <c r="BAA47" s="88"/>
      <c r="BAB47" s="88"/>
      <c r="BAC47" s="88"/>
      <c r="BAD47" s="88"/>
      <c r="BAE47" s="88"/>
      <c r="BAF47" s="88"/>
      <c r="BAG47" s="88"/>
      <c r="BAH47" s="88"/>
      <c r="BAI47" s="88"/>
      <c r="BAJ47" s="88"/>
      <c r="BAK47" s="88"/>
      <c r="BAL47" s="88"/>
      <c r="BAM47" s="88"/>
      <c r="BAN47" s="88"/>
      <c r="BAO47" s="88"/>
      <c r="BAP47" s="88"/>
      <c r="BAQ47" s="88"/>
      <c r="BAR47" s="88"/>
      <c r="BAS47" s="88"/>
      <c r="BAT47" s="88"/>
      <c r="BAU47" s="88"/>
      <c r="BAV47" s="88"/>
      <c r="BAW47" s="88"/>
      <c r="BAX47" s="88"/>
      <c r="BAY47" s="88"/>
      <c r="BAZ47" s="88"/>
      <c r="BBA47" s="88"/>
      <c r="BBB47" s="88"/>
      <c r="BBC47" s="88"/>
      <c r="BBD47" s="88"/>
      <c r="BBE47" s="88"/>
      <c r="BBF47" s="88"/>
      <c r="BBG47" s="88"/>
      <c r="BBH47" s="88"/>
      <c r="BBI47" s="88"/>
      <c r="BBJ47" s="88"/>
      <c r="BBK47" s="88"/>
      <c r="BBL47" s="88"/>
      <c r="BBM47" s="88"/>
      <c r="BBN47" s="88"/>
      <c r="BBO47" s="88"/>
      <c r="BBP47" s="88"/>
      <c r="BBQ47" s="88"/>
      <c r="BBR47" s="88"/>
      <c r="BBS47" s="88"/>
      <c r="BBT47" s="88"/>
      <c r="BBU47" s="88"/>
      <c r="BBV47" s="88"/>
      <c r="BBW47" s="88"/>
      <c r="BBX47" s="88"/>
      <c r="BBY47" s="88"/>
      <c r="BBZ47" s="88"/>
      <c r="BCA47" s="88"/>
      <c r="BCB47" s="88"/>
      <c r="BCC47" s="88"/>
      <c r="BCD47" s="88"/>
      <c r="BCE47" s="88"/>
      <c r="BCF47" s="88"/>
      <c r="BCG47" s="88"/>
      <c r="BCH47" s="88"/>
      <c r="BCI47" s="88"/>
      <c r="BCJ47" s="88"/>
      <c r="BCK47" s="88"/>
      <c r="BCL47" s="88"/>
      <c r="BCM47" s="88"/>
      <c r="BCN47" s="88"/>
      <c r="BCO47" s="88"/>
      <c r="BCP47" s="88"/>
      <c r="BCQ47" s="88"/>
      <c r="BCR47" s="88"/>
      <c r="BCS47" s="88"/>
      <c r="BCT47" s="88"/>
      <c r="BCU47" s="88"/>
      <c r="BCV47" s="88"/>
      <c r="BCW47" s="88"/>
      <c r="BCX47" s="88"/>
      <c r="BCY47" s="88"/>
      <c r="BCZ47" s="88"/>
      <c r="BDA47" s="88"/>
      <c r="BDB47" s="88"/>
      <c r="BDC47" s="88"/>
      <c r="BDD47" s="88"/>
      <c r="BDE47" s="88"/>
      <c r="BDF47" s="88"/>
      <c r="BDG47" s="88"/>
      <c r="BDH47" s="88"/>
      <c r="BDI47" s="88"/>
      <c r="BDJ47" s="88"/>
      <c r="BDK47" s="88"/>
      <c r="BDL47" s="88"/>
      <c r="BDM47" s="88"/>
      <c r="BDN47" s="88"/>
      <c r="BDO47" s="88"/>
      <c r="BDP47" s="88"/>
      <c r="BDQ47" s="88"/>
      <c r="BDR47" s="88"/>
      <c r="BDS47" s="88"/>
      <c r="BDT47" s="88"/>
      <c r="BDU47" s="88"/>
      <c r="BDV47" s="88"/>
      <c r="BDW47" s="88"/>
      <c r="BDX47" s="88"/>
      <c r="BDY47" s="88"/>
      <c r="BDZ47" s="88"/>
      <c r="BEA47" s="88"/>
      <c r="BEB47" s="88"/>
      <c r="BEC47" s="88"/>
      <c r="BED47" s="88"/>
      <c r="BEE47" s="88"/>
      <c r="BEF47" s="88"/>
      <c r="BEG47" s="88"/>
      <c r="BEH47" s="88"/>
      <c r="BEI47" s="88"/>
      <c r="BEJ47" s="88"/>
      <c r="BEK47" s="88"/>
      <c r="BEL47" s="88"/>
      <c r="BEM47" s="88"/>
      <c r="BEN47" s="88"/>
      <c r="BEO47" s="88"/>
      <c r="BEP47" s="88"/>
      <c r="BEQ47" s="88"/>
      <c r="BER47" s="88"/>
      <c r="BES47" s="88"/>
      <c r="BET47" s="88"/>
      <c r="BEU47" s="88"/>
      <c r="BEV47" s="88"/>
      <c r="BEW47" s="88"/>
      <c r="BEX47" s="88"/>
      <c r="BEY47" s="88"/>
      <c r="BEZ47" s="88"/>
      <c r="BFA47" s="88"/>
      <c r="BFB47" s="88"/>
      <c r="BFC47" s="88"/>
      <c r="BFD47" s="88"/>
      <c r="BFE47" s="88"/>
      <c r="BFF47" s="88"/>
      <c r="BFG47" s="88"/>
      <c r="BFH47" s="88"/>
      <c r="BFI47" s="88"/>
      <c r="BFJ47" s="88"/>
      <c r="BFK47" s="88"/>
      <c r="BFL47" s="88"/>
      <c r="BFM47" s="88"/>
      <c r="BFN47" s="88"/>
      <c r="BFO47" s="88"/>
      <c r="BFP47" s="88"/>
      <c r="BFQ47" s="88"/>
      <c r="BFR47" s="88"/>
      <c r="BFS47" s="88"/>
      <c r="BFT47" s="88"/>
      <c r="BFU47" s="88"/>
      <c r="BFV47" s="88"/>
      <c r="BFW47" s="88"/>
      <c r="BFX47" s="88"/>
      <c r="BFY47" s="88"/>
      <c r="BFZ47" s="88"/>
      <c r="BGA47" s="88"/>
      <c r="BGB47" s="88"/>
      <c r="BGC47" s="88"/>
      <c r="BGD47" s="88"/>
      <c r="BGE47" s="88"/>
      <c r="BGF47" s="88"/>
      <c r="BGG47" s="88"/>
      <c r="BGH47" s="88"/>
      <c r="BGI47" s="88"/>
      <c r="BGJ47" s="88"/>
      <c r="BGK47" s="88"/>
      <c r="BGL47" s="88"/>
      <c r="BGM47" s="88"/>
      <c r="BGN47" s="88"/>
      <c r="BGO47" s="88"/>
      <c r="BGP47" s="88"/>
      <c r="BGQ47" s="88"/>
      <c r="BGR47" s="88"/>
      <c r="BGS47" s="88"/>
      <c r="BGT47" s="88"/>
      <c r="BGU47" s="88"/>
      <c r="BGV47" s="88"/>
      <c r="BGW47" s="88"/>
      <c r="BGX47" s="88"/>
      <c r="BGY47" s="88"/>
      <c r="BGZ47" s="88"/>
      <c r="BHA47" s="88"/>
      <c r="BHB47" s="88"/>
      <c r="BHC47" s="88"/>
      <c r="BHD47" s="88"/>
      <c r="BHE47" s="88"/>
      <c r="BHF47" s="88"/>
      <c r="BHG47" s="88"/>
      <c r="BHH47" s="88"/>
      <c r="BHI47" s="88"/>
      <c r="BHJ47" s="88"/>
      <c r="BHK47" s="88"/>
      <c r="BHL47" s="88"/>
      <c r="BHM47" s="88"/>
      <c r="BHN47" s="88"/>
      <c r="BHO47" s="88"/>
      <c r="BHP47" s="88"/>
      <c r="BHQ47" s="88"/>
      <c r="BHR47" s="88"/>
      <c r="BHS47" s="88"/>
      <c r="BHT47" s="88"/>
      <c r="BHU47" s="88"/>
      <c r="BHV47" s="88"/>
      <c r="BHW47" s="88"/>
      <c r="BHX47" s="88"/>
      <c r="BHY47" s="88"/>
      <c r="BHZ47" s="88"/>
      <c r="BIA47" s="88"/>
      <c r="BIB47" s="88"/>
      <c r="BIC47" s="88"/>
      <c r="BID47" s="88"/>
      <c r="BIE47" s="88"/>
      <c r="BIF47" s="88"/>
      <c r="BIG47" s="88"/>
      <c r="BIH47" s="88"/>
      <c r="BII47" s="88"/>
      <c r="BIJ47" s="88"/>
      <c r="BIK47" s="88"/>
      <c r="BIL47" s="88"/>
      <c r="BIM47" s="88"/>
      <c r="BIN47" s="88"/>
      <c r="BIO47" s="88"/>
      <c r="BIP47" s="88"/>
      <c r="BIQ47" s="88"/>
      <c r="BIR47" s="88"/>
      <c r="BIS47" s="88"/>
      <c r="BIT47" s="88"/>
      <c r="BIU47" s="88"/>
      <c r="BIV47" s="88"/>
      <c r="BIW47" s="88"/>
      <c r="BIX47" s="88"/>
      <c r="BIY47" s="88"/>
      <c r="BIZ47" s="88"/>
      <c r="BJA47" s="88"/>
      <c r="BJB47" s="88"/>
      <c r="BJC47" s="88"/>
      <c r="BJD47" s="88"/>
      <c r="BJE47" s="88"/>
      <c r="BJF47" s="88"/>
      <c r="BJG47" s="88"/>
      <c r="BJH47" s="88"/>
      <c r="BJI47" s="88"/>
      <c r="BJJ47" s="88"/>
      <c r="BJK47" s="88"/>
      <c r="BJL47" s="88"/>
      <c r="BJM47" s="88"/>
      <c r="BJN47" s="88"/>
      <c r="BJO47" s="88"/>
      <c r="BJP47" s="88"/>
      <c r="BJQ47" s="88"/>
      <c r="BJR47" s="88"/>
      <c r="BJS47" s="88"/>
      <c r="BJT47" s="88"/>
      <c r="BJU47" s="88"/>
      <c r="BJV47" s="88"/>
      <c r="BJW47" s="88"/>
      <c r="BJX47" s="88"/>
      <c r="BJY47" s="88"/>
      <c r="BJZ47" s="88"/>
      <c r="BKA47" s="88"/>
      <c r="BKB47" s="88"/>
      <c r="BKC47" s="88"/>
      <c r="BKD47" s="88"/>
      <c r="BKE47" s="88"/>
      <c r="BKF47" s="88"/>
      <c r="BKG47" s="88"/>
      <c r="BKH47" s="88"/>
      <c r="BKI47" s="88"/>
      <c r="BKJ47" s="88"/>
      <c r="BKK47" s="88"/>
      <c r="BKL47" s="88"/>
      <c r="BKM47" s="88"/>
      <c r="BKN47" s="88"/>
      <c r="BKO47" s="88"/>
      <c r="BKP47" s="88"/>
      <c r="BKQ47" s="88"/>
      <c r="BKR47" s="88"/>
      <c r="BKS47" s="88"/>
      <c r="BKT47" s="88"/>
      <c r="BKU47" s="88"/>
      <c r="BKV47" s="88"/>
      <c r="BKW47" s="88"/>
      <c r="BKX47" s="88"/>
      <c r="BKY47" s="88"/>
      <c r="BKZ47" s="88"/>
      <c r="BLA47" s="88"/>
      <c r="BLB47" s="88"/>
      <c r="BLC47" s="88"/>
      <c r="BLD47" s="88"/>
      <c r="BLE47" s="88"/>
      <c r="BLF47" s="88"/>
      <c r="BLG47" s="88"/>
      <c r="BLH47" s="88"/>
      <c r="BLI47" s="88"/>
      <c r="BLJ47" s="88"/>
      <c r="BLK47" s="88"/>
      <c r="BLL47" s="88"/>
      <c r="BLM47" s="88"/>
      <c r="BLN47" s="88"/>
      <c r="BLO47" s="88"/>
      <c r="BLP47" s="88"/>
      <c r="BLQ47" s="88"/>
      <c r="BLR47" s="88"/>
      <c r="BLS47" s="88"/>
      <c r="BLT47" s="88"/>
      <c r="BLU47" s="88"/>
      <c r="BLV47" s="88"/>
      <c r="BLW47" s="88"/>
      <c r="BLX47" s="88"/>
      <c r="BLY47" s="88"/>
      <c r="BLZ47" s="88"/>
      <c r="BMA47" s="88"/>
      <c r="BMB47" s="88"/>
      <c r="BMC47" s="88"/>
      <c r="BMD47" s="88"/>
      <c r="BME47" s="88"/>
      <c r="BMF47" s="88"/>
      <c r="BMG47" s="88"/>
      <c r="BMH47" s="88"/>
      <c r="BMI47" s="88"/>
      <c r="BMJ47" s="88"/>
      <c r="BMK47" s="88"/>
      <c r="BML47" s="88"/>
      <c r="BMM47" s="88"/>
      <c r="BMN47" s="88"/>
      <c r="BMO47" s="88"/>
      <c r="BMP47" s="88"/>
      <c r="BMQ47" s="88"/>
      <c r="BMR47" s="88"/>
      <c r="BMS47" s="88"/>
      <c r="BMT47" s="88"/>
      <c r="BMU47" s="88"/>
      <c r="BMV47" s="88"/>
      <c r="BMW47" s="88"/>
      <c r="BMX47" s="88"/>
      <c r="BMY47" s="88"/>
      <c r="BMZ47" s="88"/>
      <c r="BNA47" s="88"/>
      <c r="BNB47" s="88"/>
      <c r="BNC47" s="88"/>
      <c r="BND47" s="88"/>
      <c r="BNE47" s="88"/>
      <c r="BNF47" s="88"/>
      <c r="BNG47" s="88"/>
      <c r="BNH47" s="88"/>
      <c r="BNI47" s="88"/>
      <c r="BNJ47" s="88"/>
      <c r="BNK47" s="88"/>
      <c r="BNL47" s="88"/>
      <c r="BNM47" s="88"/>
      <c r="BNN47" s="88"/>
      <c r="BNO47" s="88"/>
      <c r="BNP47" s="88"/>
      <c r="BNQ47" s="88"/>
      <c r="BNR47" s="88"/>
      <c r="BNS47" s="88"/>
      <c r="BNT47" s="88"/>
      <c r="BNU47" s="88"/>
      <c r="BNV47" s="88"/>
      <c r="BNW47" s="88"/>
      <c r="BNX47" s="88"/>
      <c r="BNY47" s="88"/>
      <c r="BNZ47" s="88"/>
      <c r="BOA47" s="88"/>
      <c r="BOB47" s="88"/>
      <c r="BOC47" s="88"/>
      <c r="BOD47" s="88"/>
      <c r="BOE47" s="88"/>
      <c r="BOF47" s="88"/>
      <c r="BOG47" s="88"/>
      <c r="BOH47" s="88"/>
      <c r="BOI47" s="88"/>
      <c r="BOJ47" s="88"/>
      <c r="BOK47" s="88"/>
      <c r="BOL47" s="88"/>
      <c r="BOM47" s="88"/>
      <c r="BON47" s="88"/>
      <c r="BOO47" s="88"/>
      <c r="BOP47" s="88"/>
      <c r="BOQ47" s="88"/>
      <c r="BOR47" s="88"/>
      <c r="BOS47" s="88"/>
      <c r="BOT47" s="88"/>
      <c r="BOU47" s="88"/>
      <c r="BOV47" s="88"/>
      <c r="BOW47" s="88"/>
      <c r="BOX47" s="88"/>
      <c r="BOY47" s="88"/>
      <c r="BOZ47" s="88"/>
      <c r="BPA47" s="88"/>
      <c r="BPB47" s="88"/>
      <c r="BPC47" s="88"/>
      <c r="BPD47" s="88"/>
      <c r="BPE47" s="88"/>
      <c r="BPF47" s="88"/>
      <c r="BPG47" s="88"/>
      <c r="BPH47" s="88"/>
      <c r="BPI47" s="88"/>
      <c r="BPJ47" s="88"/>
      <c r="BPK47" s="88"/>
      <c r="BPL47" s="88"/>
      <c r="BPM47" s="88"/>
      <c r="BPN47" s="88"/>
      <c r="BPO47" s="88"/>
      <c r="BPP47" s="88"/>
      <c r="BPQ47" s="88"/>
      <c r="BPR47" s="88"/>
      <c r="BPS47" s="88"/>
      <c r="BPT47" s="88"/>
      <c r="BPU47" s="88"/>
      <c r="BPV47" s="88"/>
      <c r="BPW47" s="88"/>
      <c r="BPX47" s="88"/>
      <c r="BPY47" s="88"/>
      <c r="BPZ47" s="88"/>
      <c r="BQA47" s="88"/>
      <c r="BQB47" s="88"/>
      <c r="BQC47" s="88"/>
      <c r="BQD47" s="88"/>
      <c r="BQE47" s="88"/>
      <c r="BQF47" s="88"/>
      <c r="BQG47" s="88"/>
      <c r="BQH47" s="88"/>
      <c r="BQI47" s="88"/>
      <c r="BQJ47" s="88"/>
      <c r="BQK47" s="88"/>
      <c r="BQL47" s="88"/>
      <c r="BQM47" s="88"/>
      <c r="BQN47" s="88"/>
      <c r="BQO47" s="88"/>
      <c r="BQP47" s="88"/>
      <c r="BQQ47" s="88"/>
      <c r="BQR47" s="88"/>
      <c r="BQS47" s="88"/>
      <c r="BQT47" s="88"/>
      <c r="BQU47" s="88"/>
      <c r="BQV47" s="88"/>
      <c r="BQW47" s="88"/>
      <c r="BQX47" s="88"/>
      <c r="BQY47" s="88"/>
      <c r="BQZ47" s="88"/>
      <c r="BRA47" s="88"/>
      <c r="BRB47" s="88"/>
      <c r="BRC47" s="88"/>
      <c r="BRD47" s="88"/>
      <c r="BRE47" s="88"/>
      <c r="BRF47" s="88"/>
      <c r="BRG47" s="88"/>
      <c r="BRH47" s="88"/>
      <c r="BRI47" s="88"/>
      <c r="BRJ47" s="88"/>
      <c r="BRK47" s="88"/>
      <c r="BRL47" s="88"/>
      <c r="BRM47" s="88"/>
      <c r="BRN47" s="88"/>
      <c r="BRO47" s="88"/>
      <c r="BRP47" s="88"/>
      <c r="BRQ47" s="88"/>
      <c r="BRR47" s="88"/>
      <c r="BRS47" s="88"/>
      <c r="BRT47" s="88"/>
      <c r="BRU47" s="88"/>
      <c r="BRV47" s="88"/>
      <c r="BRW47" s="88"/>
      <c r="BRX47" s="88"/>
      <c r="BRY47" s="88"/>
      <c r="BRZ47" s="88"/>
      <c r="BSA47" s="88"/>
      <c r="BSB47" s="88"/>
      <c r="BSC47" s="88"/>
      <c r="BSD47" s="88"/>
      <c r="BSE47" s="88"/>
      <c r="BSF47" s="88"/>
      <c r="BSG47" s="88"/>
      <c r="BSH47" s="88"/>
      <c r="BSI47" s="88"/>
      <c r="BSJ47" s="88"/>
      <c r="BSK47" s="88"/>
      <c r="BSL47" s="88"/>
      <c r="BSM47" s="88"/>
      <c r="BSN47" s="88"/>
      <c r="BSO47" s="88"/>
      <c r="BSP47" s="88"/>
      <c r="BSQ47" s="88"/>
      <c r="BSR47" s="88"/>
      <c r="BSS47" s="88"/>
      <c r="BST47" s="88"/>
      <c r="BSU47" s="88"/>
      <c r="BSV47" s="88"/>
      <c r="BSW47" s="88"/>
      <c r="BSX47" s="88"/>
      <c r="BSY47" s="88"/>
      <c r="BSZ47" s="88"/>
      <c r="BTA47" s="88"/>
      <c r="BTB47" s="88"/>
      <c r="BTC47" s="88"/>
      <c r="BTD47" s="88"/>
      <c r="BTE47" s="88"/>
      <c r="BTF47" s="88"/>
      <c r="BTG47" s="88"/>
      <c r="BTH47" s="88"/>
      <c r="BTI47" s="88"/>
      <c r="BTJ47" s="88"/>
      <c r="BTK47" s="88"/>
      <c r="BTL47" s="88"/>
      <c r="BTM47" s="88"/>
      <c r="BTN47" s="88"/>
      <c r="BTO47" s="88"/>
      <c r="BTP47" s="88"/>
      <c r="BTQ47" s="88"/>
      <c r="BTR47" s="88"/>
      <c r="BTS47" s="88"/>
      <c r="BTT47" s="88"/>
      <c r="BTU47" s="88"/>
      <c r="BTV47" s="88"/>
      <c r="BTW47" s="88"/>
      <c r="BTX47" s="88"/>
      <c r="BTY47" s="88"/>
      <c r="BTZ47" s="88"/>
      <c r="BUA47" s="88"/>
      <c r="BUB47" s="88"/>
      <c r="BUC47" s="88"/>
      <c r="BUD47" s="88"/>
      <c r="BUE47" s="88"/>
      <c r="BUF47" s="88"/>
      <c r="BUG47" s="88"/>
      <c r="BUH47" s="88"/>
      <c r="BUI47" s="88"/>
      <c r="BUJ47" s="88"/>
      <c r="BUK47" s="88"/>
      <c r="BUL47" s="88"/>
      <c r="BUM47" s="88"/>
      <c r="BUN47" s="88"/>
      <c r="BUO47" s="88"/>
      <c r="BUP47" s="88"/>
      <c r="BUQ47" s="88"/>
      <c r="BUR47" s="88"/>
      <c r="BUS47" s="88"/>
      <c r="BUT47" s="88"/>
      <c r="BUU47" s="88"/>
      <c r="BUV47" s="88"/>
      <c r="BUW47" s="88"/>
      <c r="BUX47" s="88"/>
      <c r="BUY47" s="88"/>
      <c r="BUZ47" s="88"/>
      <c r="BVA47" s="88"/>
      <c r="BVB47" s="88"/>
      <c r="BVC47" s="88"/>
      <c r="BVD47" s="88"/>
      <c r="BVE47" s="88"/>
      <c r="BVF47" s="88"/>
      <c r="BVG47" s="88"/>
      <c r="BVH47" s="88"/>
      <c r="BVI47" s="88"/>
      <c r="BVJ47" s="88"/>
      <c r="BVK47" s="88"/>
      <c r="BVL47" s="88"/>
      <c r="BVM47" s="88"/>
      <c r="BVN47" s="88"/>
      <c r="BVO47" s="88"/>
      <c r="BVP47" s="88"/>
      <c r="BVQ47" s="88"/>
      <c r="BVR47" s="88"/>
      <c r="BVS47" s="88"/>
      <c r="BVT47" s="88"/>
      <c r="BVU47" s="88"/>
      <c r="BVV47" s="88"/>
      <c r="BVW47" s="88"/>
      <c r="BVX47" s="88"/>
      <c r="BVY47" s="88"/>
      <c r="BVZ47" s="88"/>
      <c r="BWA47" s="88"/>
      <c r="BWB47" s="88"/>
      <c r="BWC47" s="88"/>
      <c r="BWD47" s="88"/>
      <c r="BWE47" s="88"/>
      <c r="BWF47" s="88"/>
      <c r="BWG47" s="88"/>
      <c r="BWH47" s="88"/>
      <c r="BWI47" s="88"/>
      <c r="BWJ47" s="88"/>
      <c r="BWK47" s="88"/>
      <c r="BWL47" s="88"/>
      <c r="BWM47" s="88"/>
      <c r="BWN47" s="88"/>
      <c r="BWO47" s="88"/>
      <c r="BWP47" s="88"/>
      <c r="BWQ47" s="88"/>
      <c r="BWR47" s="88"/>
      <c r="BWS47" s="88"/>
      <c r="BWT47" s="88"/>
      <c r="BWU47" s="88"/>
      <c r="BWV47" s="88"/>
      <c r="BWW47" s="88"/>
      <c r="BWX47" s="88"/>
      <c r="BWY47" s="88"/>
      <c r="BWZ47" s="88"/>
      <c r="BXA47" s="88"/>
      <c r="BXB47" s="88"/>
      <c r="BXC47" s="88"/>
      <c r="BXD47" s="88"/>
      <c r="BXE47" s="88"/>
      <c r="BXF47" s="88"/>
      <c r="BXG47" s="88"/>
      <c r="BXH47" s="88"/>
      <c r="BXI47" s="88"/>
      <c r="BXJ47" s="88"/>
      <c r="BXK47" s="88"/>
      <c r="BXL47" s="88"/>
      <c r="BXM47" s="88"/>
      <c r="BXN47" s="88"/>
      <c r="BXO47" s="88"/>
      <c r="BXP47" s="88"/>
      <c r="BXQ47" s="88"/>
      <c r="BXR47" s="88"/>
      <c r="BXS47" s="88"/>
      <c r="BXT47" s="88"/>
      <c r="BXU47" s="88"/>
      <c r="BXV47" s="88"/>
      <c r="BXW47" s="88"/>
      <c r="BXX47" s="88"/>
      <c r="BXY47" s="88"/>
      <c r="BXZ47" s="88"/>
      <c r="BYA47" s="88"/>
      <c r="BYB47" s="88"/>
      <c r="BYC47" s="88"/>
      <c r="BYD47" s="88"/>
      <c r="BYE47" s="88"/>
      <c r="BYF47" s="88"/>
      <c r="BYG47" s="88"/>
      <c r="BYH47" s="88"/>
      <c r="BYI47" s="88"/>
      <c r="BYJ47" s="88"/>
      <c r="BYK47" s="88"/>
      <c r="BYL47" s="88"/>
      <c r="BYM47" s="88"/>
      <c r="BYN47" s="88"/>
      <c r="BYO47" s="88"/>
      <c r="BYP47" s="88"/>
      <c r="BYQ47" s="88"/>
      <c r="BYR47" s="88"/>
      <c r="BYS47" s="88"/>
      <c r="BYT47" s="88"/>
      <c r="BYU47" s="88"/>
      <c r="BYV47" s="88"/>
      <c r="BYW47" s="88"/>
      <c r="BYX47" s="88"/>
      <c r="BYY47" s="88"/>
      <c r="BYZ47" s="88"/>
      <c r="BZA47" s="88"/>
      <c r="BZB47" s="88"/>
      <c r="BZC47" s="88"/>
      <c r="BZD47" s="88"/>
      <c r="BZE47" s="88"/>
      <c r="BZF47" s="88"/>
      <c r="BZG47" s="88"/>
      <c r="BZH47" s="88"/>
      <c r="BZI47" s="88"/>
      <c r="BZJ47" s="88"/>
      <c r="BZK47" s="88"/>
      <c r="BZL47" s="88"/>
      <c r="BZM47" s="88"/>
      <c r="BZN47" s="88"/>
      <c r="BZO47" s="88"/>
      <c r="BZP47" s="88"/>
      <c r="BZQ47" s="88"/>
      <c r="BZR47" s="88"/>
      <c r="BZS47" s="88"/>
      <c r="BZT47" s="88"/>
      <c r="BZU47" s="88"/>
      <c r="BZV47" s="88"/>
      <c r="BZW47" s="88"/>
      <c r="BZX47" s="88"/>
      <c r="BZY47" s="88"/>
      <c r="BZZ47" s="88"/>
      <c r="CAA47" s="88"/>
      <c r="CAB47" s="88"/>
      <c r="CAC47" s="88"/>
      <c r="CAD47" s="88"/>
      <c r="CAE47" s="88"/>
      <c r="CAF47" s="88"/>
      <c r="CAG47" s="88"/>
      <c r="CAH47" s="88"/>
      <c r="CAI47" s="88"/>
      <c r="CAJ47" s="88"/>
      <c r="CAK47" s="88"/>
      <c r="CAL47" s="88"/>
      <c r="CAM47" s="88"/>
      <c r="CAN47" s="88"/>
      <c r="CAO47" s="88"/>
      <c r="CAP47" s="88"/>
      <c r="CAQ47" s="88"/>
      <c r="CAR47" s="88"/>
      <c r="CAS47" s="88"/>
      <c r="CAT47" s="88"/>
      <c r="CAU47" s="88"/>
      <c r="CAV47" s="88"/>
      <c r="CAW47" s="88"/>
      <c r="CAX47" s="88"/>
      <c r="CAY47" s="88"/>
      <c r="CAZ47" s="88"/>
      <c r="CBA47" s="88"/>
      <c r="CBB47" s="88"/>
      <c r="CBC47" s="88"/>
      <c r="CBD47" s="88"/>
      <c r="CBE47" s="88"/>
      <c r="CBF47" s="88"/>
      <c r="CBG47" s="88"/>
      <c r="CBH47" s="88"/>
      <c r="CBI47" s="88"/>
      <c r="CBJ47" s="88"/>
      <c r="CBK47" s="88"/>
      <c r="CBL47" s="88"/>
      <c r="CBM47" s="88"/>
      <c r="CBN47" s="88"/>
      <c r="CBO47" s="88"/>
      <c r="CBP47" s="88"/>
      <c r="CBQ47" s="88"/>
      <c r="CBR47" s="88"/>
      <c r="CBS47" s="88"/>
      <c r="CBT47" s="88"/>
      <c r="CBU47" s="88"/>
      <c r="CBV47" s="88"/>
      <c r="CBW47" s="88"/>
      <c r="CBX47" s="88"/>
      <c r="CBY47" s="88"/>
      <c r="CBZ47" s="88"/>
      <c r="CCA47" s="88"/>
      <c r="CCB47" s="88"/>
      <c r="CCC47" s="88"/>
      <c r="CCD47" s="88"/>
      <c r="CCE47" s="88"/>
      <c r="CCF47" s="88"/>
      <c r="CCG47" s="88"/>
      <c r="CCH47" s="88"/>
      <c r="CCI47" s="88"/>
      <c r="CCJ47" s="88"/>
      <c r="CCK47" s="88"/>
      <c r="CCL47" s="88"/>
      <c r="CCM47" s="88"/>
      <c r="CCN47" s="88"/>
      <c r="CCO47" s="88"/>
      <c r="CCP47" s="88"/>
      <c r="CCQ47" s="88"/>
      <c r="CCR47" s="88"/>
      <c r="CCS47" s="88"/>
      <c r="CCT47" s="88"/>
      <c r="CCU47" s="88"/>
      <c r="CCV47" s="88"/>
      <c r="CCW47" s="88"/>
      <c r="CCX47" s="88"/>
      <c r="CCY47" s="88"/>
      <c r="CCZ47" s="88"/>
      <c r="CDA47" s="88"/>
      <c r="CDB47" s="88"/>
      <c r="CDC47" s="88"/>
      <c r="CDD47" s="88"/>
      <c r="CDE47" s="88"/>
      <c r="CDF47" s="88"/>
      <c r="CDG47" s="88"/>
      <c r="CDH47" s="88"/>
      <c r="CDI47" s="88"/>
      <c r="CDJ47" s="88"/>
      <c r="CDK47" s="88"/>
      <c r="CDL47" s="88"/>
      <c r="CDM47" s="88"/>
      <c r="CDN47" s="88"/>
      <c r="CDO47" s="88"/>
      <c r="CDP47" s="88"/>
      <c r="CDQ47" s="88"/>
      <c r="CDR47" s="88"/>
      <c r="CDS47" s="88"/>
      <c r="CDT47" s="88"/>
      <c r="CDU47" s="88"/>
      <c r="CDV47" s="88"/>
      <c r="CDW47" s="88"/>
      <c r="CDX47" s="88"/>
      <c r="CDY47" s="88"/>
      <c r="CDZ47" s="88"/>
      <c r="CEA47" s="88"/>
      <c r="CEB47" s="88"/>
      <c r="CEC47" s="88"/>
      <c r="CED47" s="88"/>
      <c r="CEE47" s="88"/>
      <c r="CEF47" s="88"/>
      <c r="CEG47" s="88"/>
      <c r="CEH47" s="88"/>
      <c r="CEI47" s="88"/>
      <c r="CEJ47" s="88"/>
      <c r="CEK47" s="88"/>
    </row>
    <row r="48" spans="1:2169" s="51" customFormat="1">
      <c r="A48" s="72" t="s">
        <v>2900</v>
      </c>
      <c r="B48" s="104" t="s">
        <v>15948</v>
      </c>
      <c r="C48" s="69" t="str">
        <f>IF('page 2'!$O$4="","",IF('page 2'!$O$4=Gestion!A48,1,0))</f>
        <v/>
      </c>
      <c r="D48" s="69" t="str">
        <f>IF('page 2'!$O$5="","",IF('page 2'!$O$5=Gestion!A48,1,0))</f>
        <v/>
      </c>
      <c r="E48" s="69" t="str">
        <f>IF('page 2'!$O$6="","",IF('page 2'!$O$6=Gestion!A48,1,0))</f>
        <v/>
      </c>
      <c r="F48" s="69" t="str">
        <f>IF('page 2'!$O$7="","",IF('page 2'!$O$7=Gestion!A48,1,0))</f>
        <v/>
      </c>
      <c r="G48" s="69" t="str">
        <f>IF('page 2'!$O$8="","",IF('page 2'!$O$8=Gestion!A48,1,0))</f>
        <v/>
      </c>
      <c r="H48" s="69" t="str">
        <f>IF('page 2'!$O$9="","",IF('page 2'!$O$9=Gestion!A48,1,0))</f>
        <v/>
      </c>
      <c r="I48" s="69" t="str">
        <f>IF('page 2'!$O$10="","",IF('page 2'!$O$10=Gestion!A48,1,0))</f>
        <v/>
      </c>
      <c r="J48" s="69" t="str">
        <f>IF('page 2'!$O$11="","",IF('page 2'!$O$11=Gestion!A48,1,0))</f>
        <v/>
      </c>
      <c r="K48" s="69" t="str">
        <f>IF('page 2'!$O$12="","",IF('page 2'!$O$12=Gestion!A48,1,0))</f>
        <v/>
      </c>
      <c r="L48" s="69" t="str">
        <f>IF('page 2'!$O$13="","",IF('page 2'!$O$13=Gestion!A48,1,0))</f>
        <v/>
      </c>
      <c r="M48" s="69" t="str">
        <f>IF('page 2'!$O$14="","",IF('page 2'!$O$14=Gestion!A45,1,0))</f>
        <v/>
      </c>
      <c r="N48" s="69" t="str">
        <f>IF('page 2'!$O$15="","",IF('page 2'!$O$15=Gestion!A48,1,0))</f>
        <v/>
      </c>
      <c r="O48" s="69" t="str">
        <f>IF('page 2'!$O$16="","",IF('page 2'!$O$16=Gestion!A48,1,0))</f>
        <v/>
      </c>
      <c r="P48" s="69" t="str">
        <f>IF('page 2'!$O$17="","",IF('page 2'!$O$17=Gestion!A48,1,0))</f>
        <v/>
      </c>
      <c r="Q48" s="69" t="str">
        <f>IF('page 2'!$O$18="","",IF('page 2'!$O$18=Gestion!A48,1,0))</f>
        <v/>
      </c>
      <c r="R48" s="69" t="str">
        <f>IF('page 2'!$O$19="","",IF('page 2'!$O$19=Gestion!A48,1,0))</f>
        <v/>
      </c>
      <c r="S48" s="69" t="str">
        <f>IF('page 2'!$O$20="","",IF('page 2'!$O$20=Gestion!A48,1,0))</f>
        <v/>
      </c>
      <c r="T48" s="69" t="str">
        <f>IF('page 2'!$O$25="","",IF('page 2'!$O$25=Gestion!A48,1,0))</f>
        <v/>
      </c>
      <c r="U48" s="69" t="str">
        <f>IF('page 2'!$O$26="","",IF('page 2'!$O$26=Gestion!A48,1,0))</f>
        <v/>
      </c>
      <c r="V48" s="69" t="str">
        <f>IF('page 2'!$O$27="","",IF('page 2'!$O$27=Gestion!A48,1,0))</f>
        <v/>
      </c>
      <c r="W48" s="723">
        <f t="shared" si="0"/>
        <v>0</v>
      </c>
      <c r="X48" s="713"/>
      <c r="Y48" s="69"/>
      <c r="Z48" s="69"/>
      <c r="AA48" s="69"/>
      <c r="AB48" s="542"/>
      <c r="AC48" s="542"/>
      <c r="AD48" s="542"/>
      <c r="AE48" s="88"/>
      <c r="AP48" s="130"/>
      <c r="AQ48" s="130"/>
      <c r="AR48" s="130"/>
      <c r="AS48" s="576"/>
      <c r="AT48" s="576"/>
      <c r="AU48" s="576"/>
      <c r="AV48" s="576"/>
      <c r="AW48" s="602"/>
      <c r="AX48" s="602"/>
      <c r="AY48" s="576"/>
      <c r="AZ48" s="576"/>
      <c r="BA48" s="576"/>
      <c r="BB48" s="576"/>
      <c r="BC48" s="576"/>
      <c r="BD48" s="602"/>
      <c r="BE48" s="602"/>
      <c r="BF48" s="602"/>
      <c r="BG48" s="602"/>
      <c r="BH48" s="602"/>
      <c r="BI48" s="602"/>
      <c r="BJ48" s="602"/>
      <c r="BK48" s="602"/>
      <c r="BL48" s="602"/>
      <c r="BM48" s="602"/>
      <c r="BN48" s="602"/>
      <c r="BO48" s="602"/>
      <c r="BP48" s="602"/>
      <c r="BQ48" s="602"/>
      <c r="BR48" s="602"/>
      <c r="BS48" s="576"/>
      <c r="BT48" s="576"/>
      <c r="BU48" s="576"/>
      <c r="BV48" s="576"/>
      <c r="BW48" s="602"/>
      <c r="BX48" s="602"/>
      <c r="BY48" s="602"/>
      <c r="BZ48" s="576"/>
      <c r="CA48" s="602"/>
      <c r="CB48" s="602"/>
      <c r="CC48" s="576"/>
      <c r="CD48" s="469"/>
      <c r="CE48" s="602"/>
      <c r="CF48" s="576"/>
      <c r="CG48" s="576"/>
      <c r="CH48" s="576"/>
      <c r="CI48" s="576"/>
      <c r="CJ48" s="576"/>
      <c r="CK48" s="602"/>
      <c r="CL48" s="602"/>
      <c r="CM48" s="576"/>
      <c r="CN48" s="602"/>
      <c r="CO48" s="602"/>
      <c r="CP48" s="602"/>
      <c r="CQ48" s="576"/>
      <c r="CR48" s="576"/>
      <c r="CS48" s="602"/>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c r="JU48" s="88"/>
      <c r="JV48" s="88"/>
      <c r="JW48" s="88"/>
      <c r="JX48" s="88"/>
      <c r="JY48" s="88"/>
      <c r="JZ48" s="88"/>
      <c r="KA48" s="88"/>
      <c r="KB48" s="88"/>
      <c r="KC48" s="88"/>
      <c r="KD48" s="88"/>
      <c r="KE48" s="88"/>
      <c r="KF48" s="88"/>
      <c r="KG48" s="88"/>
      <c r="KH48" s="88"/>
      <c r="KI48" s="88"/>
      <c r="KJ48" s="88"/>
      <c r="KK48" s="88"/>
      <c r="KL48" s="88"/>
      <c r="KM48" s="88"/>
      <c r="KN48" s="88"/>
      <c r="KO48" s="88"/>
      <c r="KP48" s="88"/>
      <c r="KQ48" s="88"/>
      <c r="KR48" s="88"/>
      <c r="KS48" s="88"/>
      <c r="KT48" s="88"/>
      <c r="KU48" s="88"/>
      <c r="KV48" s="88"/>
      <c r="KW48" s="88"/>
      <c r="KX48" s="88"/>
      <c r="KY48" s="88"/>
      <c r="KZ48" s="88"/>
      <c r="LA48" s="88"/>
      <c r="LB48" s="88"/>
      <c r="LC48" s="88"/>
      <c r="LD48" s="88"/>
      <c r="LE48" s="88"/>
      <c r="LF48" s="88"/>
      <c r="LG48" s="88"/>
      <c r="LH48" s="88"/>
      <c r="LI48" s="88"/>
      <c r="LJ48" s="88"/>
      <c r="LK48" s="88"/>
      <c r="LL48" s="88"/>
      <c r="LM48" s="88"/>
      <c r="LN48" s="88"/>
      <c r="LO48" s="88"/>
      <c r="LP48" s="88"/>
      <c r="LQ48" s="88"/>
      <c r="LR48" s="88"/>
      <c r="LS48" s="88"/>
      <c r="LT48" s="88"/>
      <c r="LU48" s="88"/>
      <c r="LV48" s="88"/>
      <c r="LW48" s="88"/>
      <c r="LX48" s="88"/>
      <c r="LY48" s="88"/>
      <c r="LZ48" s="88"/>
      <c r="MA48" s="88"/>
      <c r="MB48" s="88"/>
      <c r="MC48" s="88"/>
      <c r="MD48" s="88"/>
      <c r="ME48" s="88"/>
      <c r="MF48" s="88"/>
      <c r="MG48" s="88"/>
      <c r="MH48" s="88"/>
      <c r="MI48" s="88"/>
      <c r="MJ48" s="88"/>
      <c r="MK48" s="88"/>
      <c r="ML48" s="88"/>
      <c r="MM48" s="88"/>
      <c r="MN48" s="88"/>
      <c r="MO48" s="88"/>
      <c r="MP48" s="88"/>
      <c r="MQ48" s="88"/>
      <c r="MR48" s="88"/>
      <c r="MS48" s="88"/>
      <c r="MT48" s="88"/>
      <c r="MU48" s="88"/>
      <c r="MV48" s="88"/>
      <c r="MW48" s="88"/>
      <c r="MX48" s="88"/>
      <c r="MY48" s="88"/>
      <c r="MZ48" s="88"/>
      <c r="NA48" s="88"/>
      <c r="NB48" s="88"/>
      <c r="NC48" s="88"/>
      <c r="ND48" s="88"/>
      <c r="NE48" s="88"/>
      <c r="NF48" s="88"/>
      <c r="NG48" s="88"/>
      <c r="NH48" s="88"/>
      <c r="NI48" s="88"/>
      <c r="NJ48" s="88"/>
      <c r="NK48" s="88"/>
      <c r="NL48" s="88"/>
      <c r="NM48" s="88"/>
      <c r="NN48" s="88"/>
      <c r="NO48" s="88"/>
      <c r="NP48" s="88"/>
      <c r="NQ48" s="88"/>
      <c r="NR48" s="88"/>
      <c r="NS48" s="88"/>
      <c r="NT48" s="88"/>
      <c r="NU48" s="88"/>
      <c r="NV48" s="88"/>
      <c r="NW48" s="88"/>
      <c r="NX48" s="88"/>
      <c r="NY48" s="88"/>
      <c r="NZ48" s="88"/>
      <c r="OA48" s="88"/>
      <c r="OB48" s="88"/>
      <c r="OC48" s="88"/>
      <c r="OD48" s="88"/>
      <c r="OE48" s="88"/>
      <c r="OF48" s="88"/>
      <c r="OG48" s="88"/>
      <c r="OH48" s="88"/>
      <c r="OI48" s="88"/>
      <c r="OJ48" s="88"/>
      <c r="OK48" s="88"/>
      <c r="OL48" s="88"/>
      <c r="OM48" s="88"/>
      <c r="ON48" s="88"/>
      <c r="OO48" s="88"/>
      <c r="OP48" s="88"/>
      <c r="OQ48" s="88"/>
      <c r="OR48" s="88"/>
      <c r="OS48" s="88"/>
      <c r="OT48" s="88"/>
      <c r="OU48" s="88"/>
      <c r="OV48" s="88"/>
      <c r="OW48" s="88"/>
      <c r="OX48" s="88"/>
      <c r="OY48" s="88"/>
      <c r="OZ48" s="88"/>
      <c r="PA48" s="88"/>
      <c r="PB48" s="88"/>
      <c r="PC48" s="88"/>
      <c r="PD48" s="88"/>
      <c r="PE48" s="88"/>
      <c r="PF48" s="88"/>
      <c r="PG48" s="88"/>
      <c r="PH48" s="88"/>
      <c r="PI48" s="88"/>
      <c r="PJ48" s="88"/>
      <c r="PK48" s="88"/>
      <c r="PL48" s="88"/>
      <c r="PM48" s="88"/>
      <c r="PN48" s="88"/>
      <c r="PO48" s="88"/>
      <c r="PP48" s="88"/>
      <c r="PQ48" s="88"/>
      <c r="PR48" s="88"/>
      <c r="PS48" s="88"/>
      <c r="PT48" s="88"/>
      <c r="PU48" s="88"/>
      <c r="PV48" s="88"/>
      <c r="PW48" s="88"/>
      <c r="PX48" s="88"/>
      <c r="PY48" s="88"/>
      <c r="PZ48" s="88"/>
      <c r="QA48" s="88"/>
      <c r="QB48" s="88"/>
      <c r="QC48" s="88"/>
      <c r="QD48" s="88"/>
      <c r="QE48" s="88"/>
      <c r="QF48" s="88"/>
      <c r="QG48" s="88"/>
      <c r="QH48" s="88"/>
      <c r="QI48" s="88"/>
      <c r="QJ48" s="88"/>
      <c r="QK48" s="88"/>
      <c r="QL48" s="88"/>
      <c r="QM48" s="88"/>
      <c r="QN48" s="88"/>
      <c r="QO48" s="88"/>
      <c r="QP48" s="88"/>
      <c r="QQ48" s="88"/>
      <c r="QR48" s="88"/>
      <c r="QS48" s="88"/>
      <c r="QT48" s="88"/>
      <c r="QU48" s="88"/>
      <c r="QV48" s="88"/>
      <c r="QW48" s="88"/>
      <c r="QX48" s="88"/>
      <c r="QY48" s="88"/>
      <c r="QZ48" s="88"/>
      <c r="RA48" s="88"/>
      <c r="RB48" s="88"/>
      <c r="RC48" s="88"/>
      <c r="RD48" s="88"/>
      <c r="RE48" s="88"/>
      <c r="RF48" s="88"/>
      <c r="RG48" s="88"/>
      <c r="RH48" s="88"/>
      <c r="RI48" s="88"/>
      <c r="RJ48" s="88"/>
      <c r="RK48" s="88"/>
      <c r="RL48" s="88"/>
      <c r="RM48" s="88"/>
      <c r="RN48" s="88"/>
      <c r="RO48" s="88"/>
      <c r="RP48" s="88"/>
      <c r="RQ48" s="88"/>
      <c r="RR48" s="88"/>
      <c r="RS48" s="88"/>
      <c r="RT48" s="88"/>
      <c r="RU48" s="88"/>
      <c r="RV48" s="88"/>
      <c r="RW48" s="88"/>
      <c r="RX48" s="88"/>
      <c r="RY48" s="88"/>
      <c r="RZ48" s="88"/>
      <c r="SA48" s="88"/>
      <c r="SB48" s="88"/>
      <c r="SC48" s="88"/>
      <c r="SD48" s="88"/>
      <c r="SE48" s="88"/>
      <c r="SF48" s="88"/>
      <c r="SG48" s="88"/>
      <c r="SH48" s="88"/>
      <c r="SI48" s="88"/>
      <c r="SJ48" s="88"/>
      <c r="SK48" s="88"/>
      <c r="SL48" s="88"/>
      <c r="SM48" s="88"/>
      <c r="SN48" s="88"/>
      <c r="SO48" s="88"/>
      <c r="SP48" s="88"/>
      <c r="SQ48" s="88"/>
      <c r="SR48" s="88"/>
      <c r="SS48" s="88"/>
      <c r="ST48" s="88"/>
      <c r="SU48" s="88"/>
      <c r="SV48" s="88"/>
      <c r="SW48" s="88"/>
      <c r="SX48" s="88"/>
      <c r="SY48" s="88"/>
      <c r="SZ48" s="88"/>
      <c r="TA48" s="88"/>
      <c r="TB48" s="88"/>
      <c r="TC48" s="88"/>
      <c r="TD48" s="88"/>
      <c r="TE48" s="88"/>
      <c r="TF48" s="88"/>
      <c r="TG48" s="88"/>
      <c r="TH48" s="88"/>
      <c r="TI48" s="88"/>
      <c r="TJ48" s="88"/>
      <c r="TK48" s="88"/>
      <c r="TL48" s="88"/>
      <c r="TM48" s="88"/>
      <c r="TN48" s="88"/>
      <c r="TO48" s="88"/>
      <c r="TP48" s="88"/>
      <c r="TQ48" s="88"/>
      <c r="TR48" s="88"/>
      <c r="TS48" s="88"/>
      <c r="TT48" s="88"/>
      <c r="TU48" s="88"/>
      <c r="TV48" s="88"/>
      <c r="TW48" s="88"/>
      <c r="TX48" s="88"/>
      <c r="TY48" s="88"/>
      <c r="TZ48" s="88"/>
      <c r="UA48" s="88"/>
      <c r="UB48" s="88"/>
      <c r="UC48" s="88"/>
      <c r="UD48" s="88"/>
      <c r="UE48" s="88"/>
      <c r="UF48" s="88"/>
      <c r="UG48" s="88"/>
      <c r="UH48" s="88"/>
      <c r="UI48" s="88"/>
      <c r="UJ48" s="88"/>
      <c r="UK48" s="88"/>
      <c r="UL48" s="88"/>
      <c r="UM48" s="88"/>
      <c r="UN48" s="88"/>
      <c r="UO48" s="88"/>
      <c r="UP48" s="88"/>
      <c r="UQ48" s="88"/>
      <c r="UR48" s="88"/>
      <c r="US48" s="88"/>
      <c r="UT48" s="88"/>
      <c r="UU48" s="88"/>
      <c r="UV48" s="88"/>
      <c r="UW48" s="88"/>
      <c r="UX48" s="88"/>
      <c r="UY48" s="88"/>
      <c r="UZ48" s="88"/>
      <c r="VA48" s="88"/>
      <c r="VB48" s="88"/>
      <c r="VC48" s="88"/>
      <c r="VD48" s="88"/>
      <c r="VE48" s="88"/>
      <c r="VF48" s="88"/>
      <c r="VG48" s="88"/>
      <c r="VH48" s="88"/>
      <c r="VI48" s="88"/>
      <c r="VJ48" s="88"/>
      <c r="VK48" s="88"/>
      <c r="VL48" s="88"/>
      <c r="VM48" s="88"/>
      <c r="VN48" s="88"/>
      <c r="VO48" s="88"/>
      <c r="VP48" s="88"/>
      <c r="VQ48" s="88"/>
      <c r="VR48" s="88"/>
      <c r="VS48" s="88"/>
      <c r="VT48" s="88"/>
      <c r="VU48" s="88"/>
      <c r="VV48" s="88"/>
      <c r="VW48" s="88"/>
      <c r="VX48" s="88"/>
      <c r="VY48" s="88"/>
      <c r="VZ48" s="88"/>
      <c r="WA48" s="88"/>
      <c r="WB48" s="88"/>
      <c r="WC48" s="88"/>
      <c r="WD48" s="88"/>
      <c r="WE48" s="88"/>
      <c r="WF48" s="88"/>
      <c r="WG48" s="88"/>
      <c r="WH48" s="88"/>
      <c r="WI48" s="88"/>
      <c r="WJ48" s="88"/>
      <c r="WK48" s="88"/>
      <c r="WL48" s="88"/>
      <c r="WM48" s="88"/>
      <c r="WN48" s="88"/>
      <c r="WO48" s="88"/>
      <c r="WP48" s="88"/>
      <c r="WQ48" s="88"/>
      <c r="WR48" s="88"/>
      <c r="WS48" s="88"/>
      <c r="WT48" s="88"/>
      <c r="WU48" s="88"/>
      <c r="WV48" s="88"/>
      <c r="WW48" s="88"/>
      <c r="WX48" s="88"/>
      <c r="WY48" s="88"/>
      <c r="WZ48" s="88"/>
      <c r="XA48" s="88"/>
      <c r="XB48" s="88"/>
      <c r="XC48" s="88"/>
      <c r="XD48" s="88"/>
      <c r="XE48" s="88"/>
      <c r="XF48" s="88"/>
      <c r="XG48" s="88"/>
      <c r="XH48" s="88"/>
      <c r="XI48" s="88"/>
      <c r="XJ48" s="88"/>
      <c r="XK48" s="88"/>
      <c r="XL48" s="88"/>
      <c r="XM48" s="88"/>
      <c r="XN48" s="88"/>
      <c r="XO48" s="88"/>
      <c r="XP48" s="88"/>
      <c r="XQ48" s="88"/>
      <c r="XR48" s="88"/>
      <c r="XS48" s="88"/>
      <c r="XT48" s="88"/>
      <c r="XU48" s="88"/>
      <c r="XV48" s="88"/>
      <c r="XW48" s="88"/>
      <c r="XX48" s="88"/>
      <c r="XY48" s="88"/>
      <c r="XZ48" s="88"/>
      <c r="YA48" s="88"/>
      <c r="YB48" s="88"/>
      <c r="YC48" s="88"/>
      <c r="YD48" s="88"/>
      <c r="YE48" s="88"/>
      <c r="YF48" s="88"/>
      <c r="YG48" s="88"/>
      <c r="YH48" s="88"/>
      <c r="YI48" s="88"/>
      <c r="YJ48" s="88"/>
      <c r="YK48" s="88"/>
      <c r="YL48" s="88"/>
      <c r="YM48" s="88"/>
      <c r="YN48" s="88"/>
      <c r="YO48" s="88"/>
      <c r="YP48" s="88"/>
      <c r="YQ48" s="88"/>
      <c r="YR48" s="88"/>
      <c r="YS48" s="88"/>
      <c r="YT48" s="88"/>
      <c r="YU48" s="88"/>
      <c r="YV48" s="88"/>
      <c r="YW48" s="88"/>
      <c r="YX48" s="88"/>
      <c r="YY48" s="88"/>
      <c r="YZ48" s="88"/>
      <c r="ZA48" s="88"/>
      <c r="ZB48" s="88"/>
      <c r="ZC48" s="88"/>
      <c r="ZD48" s="88"/>
      <c r="ZE48" s="88"/>
      <c r="ZF48" s="88"/>
      <c r="ZG48" s="88"/>
      <c r="ZH48" s="88"/>
      <c r="ZI48" s="88"/>
      <c r="ZJ48" s="88"/>
      <c r="ZK48" s="88"/>
      <c r="ZL48" s="88"/>
      <c r="ZM48" s="88"/>
      <c r="ZN48" s="88"/>
      <c r="ZO48" s="88"/>
      <c r="ZP48" s="88"/>
      <c r="ZQ48" s="88"/>
      <c r="ZR48" s="88"/>
      <c r="ZS48" s="88"/>
      <c r="ZT48" s="88"/>
      <c r="ZU48" s="88"/>
      <c r="ZV48" s="88"/>
      <c r="ZW48" s="88"/>
      <c r="ZX48" s="88"/>
      <c r="ZY48" s="88"/>
      <c r="ZZ48" s="88"/>
      <c r="AAA48" s="88"/>
      <c r="AAB48" s="88"/>
      <c r="AAC48" s="88"/>
      <c r="AAD48" s="88"/>
      <c r="AAE48" s="88"/>
      <c r="AAF48" s="88"/>
      <c r="AAG48" s="88"/>
      <c r="AAH48" s="88"/>
      <c r="AAI48" s="88"/>
      <c r="AAJ48" s="88"/>
      <c r="AAK48" s="88"/>
      <c r="AAL48" s="88"/>
      <c r="AAM48" s="88"/>
      <c r="AAN48" s="88"/>
      <c r="AAO48" s="88"/>
      <c r="AAP48" s="88"/>
      <c r="AAQ48" s="88"/>
      <c r="AAR48" s="88"/>
      <c r="AAS48" s="88"/>
      <c r="AAT48" s="88"/>
      <c r="AAU48" s="88"/>
      <c r="AAV48" s="88"/>
      <c r="AAW48" s="88"/>
      <c r="AAX48" s="88"/>
      <c r="AAY48" s="88"/>
      <c r="AAZ48" s="88"/>
      <c r="ABA48" s="88"/>
      <c r="ABB48" s="88"/>
      <c r="ABC48" s="88"/>
      <c r="ABD48" s="88"/>
      <c r="ABE48" s="88"/>
      <c r="ABF48" s="88"/>
      <c r="ABG48" s="88"/>
      <c r="ABH48" s="88"/>
      <c r="ABI48" s="88"/>
      <c r="ABJ48" s="88"/>
      <c r="ABK48" s="88"/>
      <c r="ABL48" s="88"/>
      <c r="ABM48" s="88"/>
      <c r="ABN48" s="88"/>
      <c r="ABO48" s="88"/>
      <c r="ABP48" s="88"/>
      <c r="ABQ48" s="88"/>
      <c r="ABR48" s="88"/>
      <c r="ABS48" s="88"/>
      <c r="ABT48" s="88"/>
      <c r="ABU48" s="88"/>
      <c r="ABV48" s="88"/>
      <c r="ABW48" s="88"/>
      <c r="ABX48" s="88"/>
      <c r="ABY48" s="88"/>
      <c r="ABZ48" s="88"/>
      <c r="ACA48" s="88"/>
      <c r="ACB48" s="88"/>
      <c r="ACC48" s="88"/>
      <c r="ACD48" s="88"/>
      <c r="ACE48" s="88"/>
      <c r="ACF48" s="88"/>
      <c r="ACG48" s="88"/>
      <c r="ACH48" s="88"/>
      <c r="ACI48" s="88"/>
      <c r="ACJ48" s="88"/>
      <c r="ACK48" s="88"/>
      <c r="ACL48" s="88"/>
      <c r="ACM48" s="88"/>
      <c r="ACN48" s="88"/>
      <c r="ACO48" s="88"/>
      <c r="ACP48" s="88"/>
      <c r="ACQ48" s="88"/>
      <c r="ACR48" s="88"/>
      <c r="ACS48" s="88"/>
      <c r="ACT48" s="88"/>
      <c r="ACU48" s="88"/>
      <c r="ACV48" s="88"/>
      <c r="ACW48" s="88"/>
      <c r="ACX48" s="88"/>
      <c r="ACY48" s="88"/>
      <c r="ACZ48" s="88"/>
      <c r="ADA48" s="88"/>
      <c r="ADB48" s="88"/>
      <c r="ADC48" s="88"/>
      <c r="ADD48" s="88"/>
      <c r="ADE48" s="88"/>
      <c r="ADF48" s="88"/>
      <c r="ADG48" s="88"/>
      <c r="ADH48" s="88"/>
      <c r="ADI48" s="88"/>
      <c r="ADJ48" s="88"/>
      <c r="ADK48" s="88"/>
      <c r="ADL48" s="88"/>
      <c r="ADM48" s="88"/>
      <c r="ADN48" s="88"/>
      <c r="ADO48" s="88"/>
      <c r="ADP48" s="88"/>
      <c r="ADQ48" s="88"/>
      <c r="ADR48" s="88"/>
      <c r="ADS48" s="88"/>
      <c r="ADT48" s="88"/>
      <c r="ADU48" s="88"/>
      <c r="ADV48" s="88"/>
      <c r="ADW48" s="88"/>
      <c r="ADX48" s="88"/>
      <c r="ADY48" s="88"/>
      <c r="ADZ48" s="88"/>
      <c r="AEA48" s="88"/>
      <c r="AEB48" s="88"/>
      <c r="AEC48" s="88"/>
      <c r="AED48" s="88"/>
      <c r="AEE48" s="88"/>
      <c r="AEF48" s="88"/>
      <c r="AEG48" s="88"/>
      <c r="AEH48" s="88"/>
      <c r="AEI48" s="88"/>
      <c r="AEJ48" s="88"/>
      <c r="AEK48" s="88"/>
      <c r="AEL48" s="88"/>
      <c r="AEM48" s="88"/>
      <c r="AEN48" s="88"/>
      <c r="AEO48" s="88"/>
      <c r="AEP48" s="88"/>
      <c r="AEQ48" s="88"/>
      <c r="AER48" s="88"/>
      <c r="AES48" s="88"/>
      <c r="AET48" s="88"/>
      <c r="AEU48" s="88"/>
      <c r="AEV48" s="88"/>
      <c r="AEW48" s="88"/>
      <c r="AEX48" s="88"/>
      <c r="AEY48" s="88"/>
      <c r="AEZ48" s="88"/>
      <c r="AFA48" s="88"/>
      <c r="AFB48" s="88"/>
      <c r="AFC48" s="88"/>
      <c r="AFD48" s="88"/>
      <c r="AFE48" s="88"/>
      <c r="AFF48" s="88"/>
      <c r="AFG48" s="88"/>
      <c r="AFH48" s="88"/>
      <c r="AFI48" s="88"/>
      <c r="AFJ48" s="88"/>
      <c r="AFK48" s="88"/>
      <c r="AFL48" s="88"/>
      <c r="AFM48" s="88"/>
      <c r="AFN48" s="88"/>
      <c r="AFO48" s="88"/>
      <c r="AFP48" s="88"/>
      <c r="AFQ48" s="88"/>
      <c r="AFR48" s="88"/>
      <c r="AFS48" s="88"/>
      <c r="AFT48" s="88"/>
      <c r="AFU48" s="88"/>
      <c r="AFV48" s="88"/>
      <c r="AFW48" s="88"/>
      <c r="AFX48" s="88"/>
      <c r="AFY48" s="88"/>
      <c r="AFZ48" s="88"/>
      <c r="AGA48" s="88"/>
      <c r="AGB48" s="88"/>
      <c r="AGC48" s="88"/>
      <c r="AGD48" s="88"/>
      <c r="AGE48" s="88"/>
      <c r="AGF48" s="88"/>
      <c r="AGG48" s="88"/>
      <c r="AGH48" s="88"/>
      <c r="AGI48" s="88"/>
      <c r="AGJ48" s="88"/>
      <c r="AGK48" s="88"/>
      <c r="AGL48" s="88"/>
      <c r="AGM48" s="88"/>
      <c r="AGN48" s="88"/>
      <c r="AGO48" s="88"/>
      <c r="AGP48" s="88"/>
      <c r="AGQ48" s="88"/>
      <c r="AGR48" s="88"/>
      <c r="AGS48" s="88"/>
      <c r="AGT48" s="88"/>
      <c r="AGU48" s="88"/>
      <c r="AGV48" s="88"/>
      <c r="AGW48" s="88"/>
      <c r="AGX48" s="88"/>
      <c r="AGY48" s="88"/>
      <c r="AGZ48" s="88"/>
      <c r="AHA48" s="88"/>
      <c r="AHB48" s="88"/>
      <c r="AHC48" s="88"/>
      <c r="AHD48" s="88"/>
      <c r="AHE48" s="88"/>
      <c r="AHF48" s="88"/>
      <c r="AHG48" s="88"/>
      <c r="AHH48" s="88"/>
      <c r="AHI48" s="88"/>
      <c r="AHJ48" s="88"/>
      <c r="AHK48" s="88"/>
      <c r="AHL48" s="88"/>
      <c r="AHM48" s="88"/>
      <c r="AHN48" s="88"/>
      <c r="AHO48" s="88"/>
      <c r="AHP48" s="88"/>
      <c r="AHQ48" s="88"/>
      <c r="AHR48" s="88"/>
      <c r="AHS48" s="88"/>
      <c r="AHT48" s="88"/>
      <c r="AHU48" s="88"/>
      <c r="AHV48" s="88"/>
      <c r="AHW48" s="88"/>
      <c r="AHX48" s="88"/>
      <c r="AHY48" s="88"/>
      <c r="AHZ48" s="88"/>
      <c r="AIA48" s="88"/>
      <c r="AIB48" s="88"/>
      <c r="AIC48" s="88"/>
      <c r="AID48" s="88"/>
      <c r="AIE48" s="88"/>
      <c r="AIF48" s="88"/>
      <c r="AIG48" s="88"/>
      <c r="AIH48" s="88"/>
      <c r="AII48" s="88"/>
      <c r="AIJ48" s="88"/>
      <c r="AIK48" s="88"/>
      <c r="AIL48" s="88"/>
      <c r="AIM48" s="88"/>
      <c r="AIN48" s="88"/>
      <c r="AIO48" s="88"/>
      <c r="AIP48" s="88"/>
      <c r="AIQ48" s="88"/>
      <c r="AIR48" s="88"/>
      <c r="AIS48" s="88"/>
      <c r="AIT48" s="88"/>
      <c r="AIU48" s="88"/>
      <c r="AIV48" s="88"/>
      <c r="AIW48" s="88"/>
      <c r="AIX48" s="88"/>
      <c r="AIY48" s="88"/>
      <c r="AIZ48" s="88"/>
      <c r="AJA48" s="88"/>
      <c r="AJB48" s="88"/>
      <c r="AJC48" s="88"/>
      <c r="AJD48" s="88"/>
      <c r="AJE48" s="88"/>
      <c r="AJF48" s="88"/>
      <c r="AJG48" s="88"/>
      <c r="AJH48" s="88"/>
      <c r="AJI48" s="88"/>
      <c r="AJJ48" s="88"/>
      <c r="AJK48" s="88"/>
      <c r="AJL48" s="88"/>
      <c r="AJM48" s="88"/>
      <c r="AJN48" s="88"/>
      <c r="AJO48" s="88"/>
      <c r="AJP48" s="88"/>
      <c r="AJQ48" s="88"/>
      <c r="AJR48" s="88"/>
      <c r="AJS48" s="88"/>
      <c r="AJT48" s="88"/>
      <c r="AJU48" s="88"/>
      <c r="AJV48" s="88"/>
      <c r="AJW48" s="88"/>
      <c r="AJX48" s="88"/>
      <c r="AJY48" s="88"/>
      <c r="AJZ48" s="88"/>
      <c r="AKA48" s="88"/>
      <c r="AKB48" s="88"/>
      <c r="AKC48" s="88"/>
      <c r="AKD48" s="88"/>
      <c r="AKE48" s="88"/>
      <c r="AKF48" s="88"/>
      <c r="AKG48" s="88"/>
      <c r="AKH48" s="88"/>
      <c r="AKI48" s="88"/>
      <c r="AKJ48" s="88"/>
      <c r="AKK48" s="88"/>
      <c r="AKL48" s="88"/>
      <c r="AKM48" s="88"/>
      <c r="AKN48" s="88"/>
      <c r="AKO48" s="88"/>
      <c r="AKP48" s="88"/>
      <c r="AKQ48" s="88"/>
      <c r="AKR48" s="88"/>
      <c r="AKS48" s="88"/>
      <c r="AKT48" s="88"/>
      <c r="AKU48" s="88"/>
      <c r="AKV48" s="88"/>
      <c r="AKW48" s="88"/>
      <c r="AKX48" s="88"/>
      <c r="AKY48" s="88"/>
      <c r="AKZ48" s="88"/>
      <c r="ALA48" s="88"/>
      <c r="ALB48" s="88"/>
      <c r="ALC48" s="88"/>
      <c r="ALD48" s="88"/>
      <c r="ALE48" s="88"/>
      <c r="ALF48" s="88"/>
      <c r="ALG48" s="88"/>
      <c r="ALH48" s="88"/>
      <c r="ALI48" s="88"/>
      <c r="ALJ48" s="88"/>
      <c r="ALK48" s="88"/>
      <c r="ALL48" s="88"/>
      <c r="ALM48" s="88"/>
      <c r="ALN48" s="88"/>
      <c r="ALO48" s="88"/>
      <c r="ALP48" s="88"/>
      <c r="ALQ48" s="88"/>
      <c r="ALR48" s="88"/>
      <c r="ALS48" s="88"/>
      <c r="ALT48" s="88"/>
      <c r="ALU48" s="88"/>
      <c r="ALV48" s="88"/>
      <c r="ALW48" s="88"/>
      <c r="ALX48" s="88"/>
      <c r="ALY48" s="88"/>
      <c r="ALZ48" s="88"/>
      <c r="AMA48" s="88"/>
      <c r="AMB48" s="88"/>
      <c r="AMC48" s="88"/>
      <c r="AMD48" s="88"/>
      <c r="AME48" s="88"/>
      <c r="AMF48" s="88"/>
      <c r="AMG48" s="88"/>
      <c r="AMH48" s="88"/>
      <c r="AMI48" s="88"/>
      <c r="AMJ48" s="88"/>
      <c r="AMK48" s="88"/>
      <c r="AML48" s="88"/>
      <c r="AMM48" s="88"/>
      <c r="AMN48" s="88"/>
      <c r="AMO48" s="88"/>
      <c r="AMP48" s="88"/>
      <c r="AMQ48" s="88"/>
      <c r="AMR48" s="88"/>
      <c r="AMS48" s="88"/>
      <c r="AMT48" s="88"/>
      <c r="AMU48" s="88"/>
      <c r="AMV48" s="88"/>
      <c r="AMW48" s="88"/>
      <c r="AMX48" s="88"/>
      <c r="AMY48" s="88"/>
      <c r="AMZ48" s="88"/>
      <c r="ANA48" s="88"/>
      <c r="ANB48" s="88"/>
      <c r="ANC48" s="88"/>
      <c r="AND48" s="88"/>
      <c r="ANE48" s="88"/>
      <c r="ANF48" s="88"/>
      <c r="ANG48" s="88"/>
      <c r="ANH48" s="88"/>
      <c r="ANI48" s="88"/>
      <c r="ANJ48" s="88"/>
      <c r="ANK48" s="88"/>
      <c r="ANL48" s="88"/>
      <c r="ANM48" s="88"/>
      <c r="ANN48" s="88"/>
      <c r="ANO48" s="88"/>
      <c r="ANP48" s="88"/>
      <c r="ANQ48" s="88"/>
      <c r="ANR48" s="88"/>
      <c r="ANS48" s="88"/>
      <c r="ANT48" s="88"/>
      <c r="ANU48" s="88"/>
      <c r="ANV48" s="88"/>
      <c r="ANW48" s="88"/>
      <c r="ANX48" s="88"/>
      <c r="ANY48" s="88"/>
      <c r="ANZ48" s="88"/>
      <c r="AOA48" s="88"/>
      <c r="AOB48" s="88"/>
      <c r="AOC48" s="88"/>
      <c r="AOD48" s="88"/>
      <c r="AOE48" s="88"/>
      <c r="AOF48" s="88"/>
      <c r="AOG48" s="88"/>
      <c r="AOH48" s="88"/>
      <c r="AOI48" s="88"/>
      <c r="AOJ48" s="88"/>
      <c r="AOK48" s="88"/>
      <c r="AOL48" s="88"/>
      <c r="AOM48" s="88"/>
      <c r="AON48" s="88"/>
      <c r="AOO48" s="88"/>
      <c r="AOP48" s="88"/>
      <c r="AOQ48" s="88"/>
      <c r="AOR48" s="88"/>
      <c r="AOS48" s="88"/>
      <c r="AOT48" s="88"/>
      <c r="AOU48" s="88"/>
      <c r="AOV48" s="88"/>
      <c r="AOW48" s="88"/>
      <c r="AOX48" s="88"/>
      <c r="AOY48" s="88"/>
      <c r="AOZ48" s="88"/>
      <c r="APA48" s="88"/>
      <c r="APB48" s="88"/>
      <c r="APC48" s="88"/>
      <c r="APD48" s="88"/>
      <c r="APE48" s="88"/>
      <c r="APF48" s="88"/>
      <c r="APG48" s="88"/>
      <c r="APH48" s="88"/>
      <c r="API48" s="88"/>
      <c r="APJ48" s="88"/>
      <c r="APK48" s="88"/>
      <c r="APL48" s="88"/>
      <c r="APM48" s="88"/>
      <c r="APN48" s="88"/>
      <c r="APO48" s="88"/>
      <c r="APP48" s="88"/>
      <c r="APQ48" s="88"/>
      <c r="APR48" s="88"/>
      <c r="APS48" s="88"/>
      <c r="APT48" s="88"/>
      <c r="APU48" s="88"/>
      <c r="APV48" s="88"/>
      <c r="APW48" s="88"/>
      <c r="APX48" s="88"/>
      <c r="APY48" s="88"/>
      <c r="APZ48" s="88"/>
      <c r="AQA48" s="88"/>
      <c r="AQB48" s="88"/>
      <c r="AQC48" s="88"/>
      <c r="AQD48" s="88"/>
      <c r="AQE48" s="88"/>
      <c r="AQF48" s="88"/>
      <c r="AQG48" s="88"/>
      <c r="AQH48" s="88"/>
      <c r="AQI48" s="88"/>
      <c r="AQJ48" s="88"/>
      <c r="AQK48" s="88"/>
      <c r="AQL48" s="88"/>
      <c r="AQM48" s="88"/>
      <c r="AQN48" s="88"/>
      <c r="AQO48" s="88"/>
      <c r="AQP48" s="88"/>
      <c r="AQQ48" s="88"/>
      <c r="AQR48" s="88"/>
      <c r="AQS48" s="88"/>
      <c r="AQT48" s="88"/>
      <c r="AQU48" s="88"/>
      <c r="AQV48" s="88"/>
      <c r="AQW48" s="88"/>
      <c r="AQX48" s="88"/>
      <c r="AQY48" s="88"/>
      <c r="AQZ48" s="88"/>
      <c r="ARA48" s="88"/>
      <c r="ARB48" s="88"/>
      <c r="ARC48" s="88"/>
      <c r="ARD48" s="88"/>
      <c r="ARE48" s="88"/>
      <c r="ARF48" s="88"/>
      <c r="ARG48" s="88"/>
      <c r="ARH48" s="88"/>
      <c r="ARI48" s="88"/>
      <c r="ARJ48" s="88"/>
      <c r="ARK48" s="88"/>
      <c r="ARL48" s="88"/>
      <c r="ARM48" s="88"/>
      <c r="ARN48" s="88"/>
      <c r="ARO48" s="88"/>
      <c r="ARP48" s="88"/>
      <c r="ARQ48" s="88"/>
      <c r="ARR48" s="88"/>
      <c r="ARS48" s="88"/>
      <c r="ART48" s="88"/>
      <c r="ARU48" s="88"/>
      <c r="ARV48" s="88"/>
      <c r="ARW48" s="88"/>
      <c r="ARX48" s="88"/>
      <c r="ARY48" s="88"/>
      <c r="ARZ48" s="88"/>
      <c r="ASA48" s="88"/>
      <c r="ASB48" s="88"/>
      <c r="ASC48" s="88"/>
      <c r="ASD48" s="88"/>
      <c r="ASE48" s="88"/>
      <c r="ASF48" s="88"/>
      <c r="ASG48" s="88"/>
      <c r="ASH48" s="88"/>
      <c r="ASI48" s="88"/>
      <c r="ASJ48" s="88"/>
      <c r="ASK48" s="88"/>
      <c r="ASL48" s="88"/>
      <c r="ASM48" s="88"/>
      <c r="ASN48" s="88"/>
      <c r="ASO48" s="88"/>
      <c r="ASP48" s="88"/>
      <c r="ASQ48" s="88"/>
      <c r="ASR48" s="88"/>
      <c r="ASS48" s="88"/>
      <c r="AST48" s="88"/>
      <c r="ASU48" s="88"/>
      <c r="ASV48" s="88"/>
      <c r="ASW48" s="88"/>
      <c r="ASX48" s="88"/>
      <c r="ASY48" s="88"/>
      <c r="ASZ48" s="88"/>
      <c r="ATA48" s="88"/>
      <c r="ATB48" s="88"/>
      <c r="ATC48" s="88"/>
      <c r="ATD48" s="88"/>
      <c r="ATE48" s="88"/>
      <c r="ATF48" s="88"/>
      <c r="ATG48" s="88"/>
      <c r="ATH48" s="88"/>
      <c r="ATI48" s="88"/>
      <c r="ATJ48" s="88"/>
      <c r="ATK48" s="88"/>
      <c r="ATL48" s="88"/>
      <c r="ATM48" s="88"/>
      <c r="ATN48" s="88"/>
      <c r="ATO48" s="88"/>
      <c r="ATP48" s="88"/>
      <c r="ATQ48" s="88"/>
      <c r="ATR48" s="88"/>
      <c r="ATS48" s="88"/>
      <c r="ATT48" s="88"/>
      <c r="ATU48" s="88"/>
      <c r="ATV48" s="88"/>
      <c r="ATW48" s="88"/>
      <c r="ATX48" s="88"/>
      <c r="ATY48" s="88"/>
      <c r="ATZ48" s="88"/>
      <c r="AUA48" s="88"/>
      <c r="AUB48" s="88"/>
      <c r="AUC48" s="88"/>
      <c r="AUD48" s="88"/>
      <c r="AUE48" s="88"/>
      <c r="AUF48" s="88"/>
      <c r="AUG48" s="88"/>
      <c r="AUH48" s="88"/>
      <c r="AUI48" s="88"/>
      <c r="AUJ48" s="88"/>
      <c r="AUK48" s="88"/>
      <c r="AUL48" s="88"/>
      <c r="AUM48" s="88"/>
      <c r="AUN48" s="88"/>
      <c r="AUO48" s="88"/>
      <c r="AUP48" s="88"/>
      <c r="AUQ48" s="88"/>
      <c r="AUR48" s="88"/>
      <c r="AUS48" s="88"/>
      <c r="AUT48" s="88"/>
      <c r="AUU48" s="88"/>
      <c r="AUV48" s="88"/>
      <c r="AUW48" s="88"/>
      <c r="AUX48" s="88"/>
      <c r="AUY48" s="88"/>
      <c r="AUZ48" s="88"/>
      <c r="AVA48" s="88"/>
      <c r="AVB48" s="88"/>
      <c r="AVC48" s="88"/>
      <c r="AVD48" s="88"/>
      <c r="AVE48" s="88"/>
      <c r="AVF48" s="88"/>
      <c r="AVG48" s="88"/>
      <c r="AVH48" s="88"/>
      <c r="AVI48" s="88"/>
      <c r="AVJ48" s="88"/>
      <c r="AVK48" s="88"/>
      <c r="AVL48" s="88"/>
      <c r="AVM48" s="88"/>
      <c r="AVN48" s="88"/>
      <c r="AVO48" s="88"/>
      <c r="AVP48" s="88"/>
      <c r="AVQ48" s="88"/>
      <c r="AVR48" s="88"/>
      <c r="AVS48" s="88"/>
      <c r="AVT48" s="88"/>
      <c r="AVU48" s="88"/>
      <c r="AVV48" s="88"/>
      <c r="AVW48" s="88"/>
      <c r="AVX48" s="88"/>
      <c r="AVY48" s="88"/>
      <c r="AVZ48" s="88"/>
      <c r="AWA48" s="88"/>
      <c r="AWB48" s="88"/>
      <c r="AWC48" s="88"/>
      <c r="AWD48" s="88"/>
      <c r="AWE48" s="88"/>
      <c r="AWF48" s="88"/>
      <c r="AWG48" s="88"/>
      <c r="AWH48" s="88"/>
      <c r="AWI48" s="88"/>
      <c r="AWJ48" s="88"/>
      <c r="AWK48" s="88"/>
      <c r="AWL48" s="88"/>
      <c r="AWM48" s="88"/>
      <c r="AWN48" s="88"/>
      <c r="AWO48" s="88"/>
      <c r="AWP48" s="88"/>
      <c r="AWQ48" s="88"/>
      <c r="AWR48" s="88"/>
      <c r="AWS48" s="88"/>
      <c r="AWT48" s="88"/>
      <c r="AWU48" s="88"/>
      <c r="AWV48" s="88"/>
      <c r="AWW48" s="88"/>
      <c r="AWX48" s="88"/>
      <c r="AWY48" s="88"/>
      <c r="AWZ48" s="88"/>
      <c r="AXA48" s="88"/>
      <c r="AXB48" s="88"/>
      <c r="AXC48" s="88"/>
      <c r="AXD48" s="88"/>
      <c r="AXE48" s="88"/>
      <c r="AXF48" s="88"/>
      <c r="AXG48" s="88"/>
      <c r="AXH48" s="88"/>
      <c r="AXI48" s="88"/>
      <c r="AXJ48" s="88"/>
      <c r="AXK48" s="88"/>
      <c r="AXL48" s="88"/>
      <c r="AXM48" s="88"/>
      <c r="AXN48" s="88"/>
      <c r="AXO48" s="88"/>
      <c r="AXP48" s="88"/>
      <c r="AXQ48" s="88"/>
      <c r="AXR48" s="88"/>
      <c r="AXS48" s="88"/>
      <c r="AXT48" s="88"/>
      <c r="AXU48" s="88"/>
      <c r="AXV48" s="88"/>
      <c r="AXW48" s="88"/>
      <c r="AXX48" s="88"/>
      <c r="AXY48" s="88"/>
      <c r="AXZ48" s="88"/>
      <c r="AYA48" s="88"/>
      <c r="AYB48" s="88"/>
      <c r="AYC48" s="88"/>
      <c r="AYD48" s="88"/>
      <c r="AYE48" s="88"/>
      <c r="AYF48" s="88"/>
      <c r="AYG48" s="88"/>
      <c r="AYH48" s="88"/>
      <c r="AYI48" s="88"/>
      <c r="AYJ48" s="88"/>
      <c r="AYK48" s="88"/>
      <c r="AYL48" s="88"/>
      <c r="AYM48" s="88"/>
      <c r="AYN48" s="88"/>
      <c r="AYO48" s="88"/>
      <c r="AYP48" s="88"/>
      <c r="AYQ48" s="88"/>
      <c r="AYR48" s="88"/>
      <c r="AYS48" s="88"/>
      <c r="AYT48" s="88"/>
      <c r="AYU48" s="88"/>
      <c r="AYV48" s="88"/>
      <c r="AYW48" s="88"/>
      <c r="AYX48" s="88"/>
      <c r="AYY48" s="88"/>
      <c r="AYZ48" s="88"/>
      <c r="AZA48" s="88"/>
      <c r="AZB48" s="88"/>
      <c r="AZC48" s="88"/>
      <c r="AZD48" s="88"/>
      <c r="AZE48" s="88"/>
      <c r="AZF48" s="88"/>
      <c r="AZG48" s="88"/>
      <c r="AZH48" s="88"/>
      <c r="AZI48" s="88"/>
      <c r="AZJ48" s="88"/>
      <c r="AZK48" s="88"/>
      <c r="AZL48" s="88"/>
      <c r="AZM48" s="88"/>
      <c r="AZN48" s="88"/>
      <c r="AZO48" s="88"/>
      <c r="AZP48" s="88"/>
      <c r="AZQ48" s="88"/>
      <c r="AZR48" s="88"/>
      <c r="AZS48" s="88"/>
      <c r="AZT48" s="88"/>
      <c r="AZU48" s="88"/>
      <c r="AZV48" s="88"/>
      <c r="AZW48" s="88"/>
      <c r="AZX48" s="88"/>
      <c r="AZY48" s="88"/>
      <c r="AZZ48" s="88"/>
      <c r="BAA48" s="88"/>
      <c r="BAB48" s="88"/>
      <c r="BAC48" s="88"/>
      <c r="BAD48" s="88"/>
      <c r="BAE48" s="88"/>
      <c r="BAF48" s="88"/>
      <c r="BAG48" s="88"/>
      <c r="BAH48" s="88"/>
      <c r="BAI48" s="88"/>
      <c r="BAJ48" s="88"/>
      <c r="BAK48" s="88"/>
      <c r="BAL48" s="88"/>
      <c r="BAM48" s="88"/>
      <c r="BAN48" s="88"/>
      <c r="BAO48" s="88"/>
      <c r="BAP48" s="88"/>
      <c r="BAQ48" s="88"/>
      <c r="BAR48" s="88"/>
      <c r="BAS48" s="88"/>
      <c r="BAT48" s="88"/>
      <c r="BAU48" s="88"/>
      <c r="BAV48" s="88"/>
      <c r="BAW48" s="88"/>
      <c r="BAX48" s="88"/>
      <c r="BAY48" s="88"/>
      <c r="BAZ48" s="88"/>
      <c r="BBA48" s="88"/>
      <c r="BBB48" s="88"/>
      <c r="BBC48" s="88"/>
      <c r="BBD48" s="88"/>
      <c r="BBE48" s="88"/>
      <c r="BBF48" s="88"/>
      <c r="BBG48" s="88"/>
      <c r="BBH48" s="88"/>
      <c r="BBI48" s="88"/>
      <c r="BBJ48" s="88"/>
      <c r="BBK48" s="88"/>
      <c r="BBL48" s="88"/>
      <c r="BBM48" s="88"/>
      <c r="BBN48" s="88"/>
      <c r="BBO48" s="88"/>
      <c r="BBP48" s="88"/>
      <c r="BBQ48" s="88"/>
      <c r="BBR48" s="88"/>
      <c r="BBS48" s="88"/>
      <c r="BBT48" s="88"/>
      <c r="BBU48" s="88"/>
      <c r="BBV48" s="88"/>
      <c r="BBW48" s="88"/>
      <c r="BBX48" s="88"/>
      <c r="BBY48" s="88"/>
      <c r="BBZ48" s="88"/>
      <c r="BCA48" s="88"/>
      <c r="BCB48" s="88"/>
      <c r="BCC48" s="88"/>
      <c r="BCD48" s="88"/>
      <c r="BCE48" s="88"/>
      <c r="BCF48" s="88"/>
      <c r="BCG48" s="88"/>
      <c r="BCH48" s="88"/>
      <c r="BCI48" s="88"/>
      <c r="BCJ48" s="88"/>
      <c r="BCK48" s="88"/>
      <c r="BCL48" s="88"/>
      <c r="BCM48" s="88"/>
      <c r="BCN48" s="88"/>
      <c r="BCO48" s="88"/>
      <c r="BCP48" s="88"/>
      <c r="BCQ48" s="88"/>
      <c r="BCR48" s="88"/>
      <c r="BCS48" s="88"/>
      <c r="BCT48" s="88"/>
      <c r="BCU48" s="88"/>
      <c r="BCV48" s="88"/>
      <c r="BCW48" s="88"/>
      <c r="BCX48" s="88"/>
      <c r="BCY48" s="88"/>
      <c r="BCZ48" s="88"/>
      <c r="BDA48" s="88"/>
      <c r="BDB48" s="88"/>
      <c r="BDC48" s="88"/>
      <c r="BDD48" s="88"/>
      <c r="BDE48" s="88"/>
      <c r="BDF48" s="88"/>
      <c r="BDG48" s="88"/>
      <c r="BDH48" s="88"/>
      <c r="BDI48" s="88"/>
      <c r="BDJ48" s="88"/>
      <c r="BDK48" s="88"/>
      <c r="BDL48" s="88"/>
      <c r="BDM48" s="88"/>
      <c r="BDN48" s="88"/>
      <c r="BDO48" s="88"/>
      <c r="BDP48" s="88"/>
      <c r="BDQ48" s="88"/>
      <c r="BDR48" s="88"/>
      <c r="BDS48" s="88"/>
      <c r="BDT48" s="88"/>
      <c r="BDU48" s="88"/>
      <c r="BDV48" s="88"/>
      <c r="BDW48" s="88"/>
      <c r="BDX48" s="88"/>
      <c r="BDY48" s="88"/>
      <c r="BDZ48" s="88"/>
      <c r="BEA48" s="88"/>
      <c r="BEB48" s="88"/>
      <c r="BEC48" s="88"/>
      <c r="BED48" s="88"/>
      <c r="BEE48" s="88"/>
      <c r="BEF48" s="88"/>
      <c r="BEG48" s="88"/>
      <c r="BEH48" s="88"/>
      <c r="BEI48" s="88"/>
      <c r="BEJ48" s="88"/>
      <c r="BEK48" s="88"/>
      <c r="BEL48" s="88"/>
      <c r="BEM48" s="88"/>
      <c r="BEN48" s="88"/>
      <c r="BEO48" s="88"/>
      <c r="BEP48" s="88"/>
      <c r="BEQ48" s="88"/>
      <c r="BER48" s="88"/>
      <c r="BES48" s="88"/>
      <c r="BET48" s="88"/>
      <c r="BEU48" s="88"/>
      <c r="BEV48" s="88"/>
      <c r="BEW48" s="88"/>
      <c r="BEX48" s="88"/>
      <c r="BEY48" s="88"/>
      <c r="BEZ48" s="88"/>
      <c r="BFA48" s="88"/>
      <c r="BFB48" s="88"/>
      <c r="BFC48" s="88"/>
      <c r="BFD48" s="88"/>
      <c r="BFE48" s="88"/>
      <c r="BFF48" s="88"/>
      <c r="BFG48" s="88"/>
      <c r="BFH48" s="88"/>
      <c r="BFI48" s="88"/>
      <c r="BFJ48" s="88"/>
      <c r="BFK48" s="88"/>
      <c r="BFL48" s="88"/>
      <c r="BFM48" s="88"/>
      <c r="BFN48" s="88"/>
      <c r="BFO48" s="88"/>
      <c r="BFP48" s="88"/>
      <c r="BFQ48" s="88"/>
      <c r="BFR48" s="88"/>
      <c r="BFS48" s="88"/>
      <c r="BFT48" s="88"/>
      <c r="BFU48" s="88"/>
      <c r="BFV48" s="88"/>
      <c r="BFW48" s="88"/>
      <c r="BFX48" s="88"/>
      <c r="BFY48" s="88"/>
      <c r="BFZ48" s="88"/>
      <c r="BGA48" s="88"/>
      <c r="BGB48" s="88"/>
      <c r="BGC48" s="88"/>
      <c r="BGD48" s="88"/>
      <c r="BGE48" s="88"/>
      <c r="BGF48" s="88"/>
      <c r="BGG48" s="88"/>
      <c r="BGH48" s="88"/>
      <c r="BGI48" s="88"/>
      <c r="BGJ48" s="88"/>
      <c r="BGK48" s="88"/>
      <c r="BGL48" s="88"/>
      <c r="BGM48" s="88"/>
      <c r="BGN48" s="88"/>
      <c r="BGO48" s="88"/>
      <c r="BGP48" s="88"/>
      <c r="BGQ48" s="88"/>
      <c r="BGR48" s="88"/>
      <c r="BGS48" s="88"/>
      <c r="BGT48" s="88"/>
      <c r="BGU48" s="88"/>
      <c r="BGV48" s="88"/>
      <c r="BGW48" s="88"/>
      <c r="BGX48" s="88"/>
      <c r="BGY48" s="88"/>
      <c r="BGZ48" s="88"/>
      <c r="BHA48" s="88"/>
      <c r="BHB48" s="88"/>
      <c r="BHC48" s="88"/>
      <c r="BHD48" s="88"/>
      <c r="BHE48" s="88"/>
      <c r="BHF48" s="88"/>
      <c r="BHG48" s="88"/>
      <c r="BHH48" s="88"/>
      <c r="BHI48" s="88"/>
      <c r="BHJ48" s="88"/>
      <c r="BHK48" s="88"/>
      <c r="BHL48" s="88"/>
      <c r="BHM48" s="88"/>
      <c r="BHN48" s="88"/>
      <c r="BHO48" s="88"/>
      <c r="BHP48" s="88"/>
      <c r="BHQ48" s="88"/>
      <c r="BHR48" s="88"/>
      <c r="BHS48" s="88"/>
      <c r="BHT48" s="88"/>
      <c r="BHU48" s="88"/>
      <c r="BHV48" s="88"/>
      <c r="BHW48" s="88"/>
      <c r="BHX48" s="88"/>
      <c r="BHY48" s="88"/>
      <c r="BHZ48" s="88"/>
      <c r="BIA48" s="88"/>
      <c r="BIB48" s="88"/>
      <c r="BIC48" s="88"/>
      <c r="BID48" s="88"/>
      <c r="BIE48" s="88"/>
      <c r="BIF48" s="88"/>
      <c r="BIG48" s="88"/>
      <c r="BIH48" s="88"/>
      <c r="BII48" s="88"/>
      <c r="BIJ48" s="88"/>
      <c r="BIK48" s="88"/>
      <c r="BIL48" s="88"/>
      <c r="BIM48" s="88"/>
      <c r="BIN48" s="88"/>
      <c r="BIO48" s="88"/>
      <c r="BIP48" s="88"/>
      <c r="BIQ48" s="88"/>
      <c r="BIR48" s="88"/>
      <c r="BIS48" s="88"/>
      <c r="BIT48" s="88"/>
      <c r="BIU48" s="88"/>
      <c r="BIV48" s="88"/>
      <c r="BIW48" s="88"/>
      <c r="BIX48" s="88"/>
      <c r="BIY48" s="88"/>
      <c r="BIZ48" s="88"/>
      <c r="BJA48" s="88"/>
      <c r="BJB48" s="88"/>
      <c r="BJC48" s="88"/>
      <c r="BJD48" s="88"/>
      <c r="BJE48" s="88"/>
      <c r="BJF48" s="88"/>
      <c r="BJG48" s="88"/>
      <c r="BJH48" s="88"/>
      <c r="BJI48" s="88"/>
      <c r="BJJ48" s="88"/>
      <c r="BJK48" s="88"/>
      <c r="BJL48" s="88"/>
      <c r="BJM48" s="88"/>
      <c r="BJN48" s="88"/>
      <c r="BJO48" s="88"/>
      <c r="BJP48" s="88"/>
      <c r="BJQ48" s="88"/>
      <c r="BJR48" s="88"/>
      <c r="BJS48" s="88"/>
      <c r="BJT48" s="88"/>
      <c r="BJU48" s="88"/>
      <c r="BJV48" s="88"/>
      <c r="BJW48" s="88"/>
      <c r="BJX48" s="88"/>
      <c r="BJY48" s="88"/>
      <c r="BJZ48" s="88"/>
      <c r="BKA48" s="88"/>
      <c r="BKB48" s="88"/>
      <c r="BKC48" s="88"/>
      <c r="BKD48" s="88"/>
      <c r="BKE48" s="88"/>
      <c r="BKF48" s="88"/>
      <c r="BKG48" s="88"/>
      <c r="BKH48" s="88"/>
      <c r="BKI48" s="88"/>
      <c r="BKJ48" s="88"/>
      <c r="BKK48" s="88"/>
      <c r="BKL48" s="88"/>
      <c r="BKM48" s="88"/>
      <c r="BKN48" s="88"/>
      <c r="BKO48" s="88"/>
      <c r="BKP48" s="88"/>
      <c r="BKQ48" s="88"/>
      <c r="BKR48" s="88"/>
      <c r="BKS48" s="88"/>
      <c r="BKT48" s="88"/>
      <c r="BKU48" s="88"/>
      <c r="BKV48" s="88"/>
      <c r="BKW48" s="88"/>
      <c r="BKX48" s="88"/>
      <c r="BKY48" s="88"/>
      <c r="BKZ48" s="88"/>
      <c r="BLA48" s="88"/>
      <c r="BLB48" s="88"/>
      <c r="BLC48" s="88"/>
      <c r="BLD48" s="88"/>
      <c r="BLE48" s="88"/>
      <c r="BLF48" s="88"/>
      <c r="BLG48" s="88"/>
      <c r="BLH48" s="88"/>
      <c r="BLI48" s="88"/>
      <c r="BLJ48" s="88"/>
      <c r="BLK48" s="88"/>
      <c r="BLL48" s="88"/>
      <c r="BLM48" s="88"/>
      <c r="BLN48" s="88"/>
      <c r="BLO48" s="88"/>
      <c r="BLP48" s="88"/>
      <c r="BLQ48" s="88"/>
      <c r="BLR48" s="88"/>
      <c r="BLS48" s="88"/>
      <c r="BLT48" s="88"/>
      <c r="BLU48" s="88"/>
      <c r="BLV48" s="88"/>
      <c r="BLW48" s="88"/>
      <c r="BLX48" s="88"/>
      <c r="BLY48" s="88"/>
      <c r="BLZ48" s="88"/>
      <c r="BMA48" s="88"/>
      <c r="BMB48" s="88"/>
      <c r="BMC48" s="88"/>
      <c r="BMD48" s="88"/>
      <c r="BME48" s="88"/>
      <c r="BMF48" s="88"/>
      <c r="BMG48" s="88"/>
      <c r="BMH48" s="88"/>
      <c r="BMI48" s="88"/>
      <c r="BMJ48" s="88"/>
      <c r="BMK48" s="88"/>
      <c r="BML48" s="88"/>
      <c r="BMM48" s="88"/>
      <c r="BMN48" s="88"/>
      <c r="BMO48" s="88"/>
      <c r="BMP48" s="88"/>
      <c r="BMQ48" s="88"/>
      <c r="BMR48" s="88"/>
      <c r="BMS48" s="88"/>
      <c r="BMT48" s="88"/>
      <c r="BMU48" s="88"/>
      <c r="BMV48" s="88"/>
      <c r="BMW48" s="88"/>
      <c r="BMX48" s="88"/>
      <c r="BMY48" s="88"/>
      <c r="BMZ48" s="88"/>
      <c r="BNA48" s="88"/>
      <c r="BNB48" s="88"/>
      <c r="BNC48" s="88"/>
      <c r="BND48" s="88"/>
      <c r="BNE48" s="88"/>
      <c r="BNF48" s="88"/>
      <c r="BNG48" s="88"/>
      <c r="BNH48" s="88"/>
      <c r="BNI48" s="88"/>
      <c r="BNJ48" s="88"/>
      <c r="BNK48" s="88"/>
      <c r="BNL48" s="88"/>
      <c r="BNM48" s="88"/>
      <c r="BNN48" s="88"/>
      <c r="BNO48" s="88"/>
      <c r="BNP48" s="88"/>
      <c r="BNQ48" s="88"/>
      <c r="BNR48" s="88"/>
      <c r="BNS48" s="88"/>
      <c r="BNT48" s="88"/>
      <c r="BNU48" s="88"/>
      <c r="BNV48" s="88"/>
      <c r="BNW48" s="88"/>
      <c r="BNX48" s="88"/>
      <c r="BNY48" s="88"/>
      <c r="BNZ48" s="88"/>
      <c r="BOA48" s="88"/>
      <c r="BOB48" s="88"/>
      <c r="BOC48" s="88"/>
      <c r="BOD48" s="88"/>
      <c r="BOE48" s="88"/>
      <c r="BOF48" s="88"/>
      <c r="BOG48" s="88"/>
      <c r="BOH48" s="88"/>
      <c r="BOI48" s="88"/>
      <c r="BOJ48" s="88"/>
      <c r="BOK48" s="88"/>
      <c r="BOL48" s="88"/>
      <c r="BOM48" s="88"/>
      <c r="BON48" s="88"/>
      <c r="BOO48" s="88"/>
      <c r="BOP48" s="88"/>
      <c r="BOQ48" s="88"/>
      <c r="BOR48" s="88"/>
      <c r="BOS48" s="88"/>
      <c r="BOT48" s="88"/>
      <c r="BOU48" s="88"/>
      <c r="BOV48" s="88"/>
      <c r="BOW48" s="88"/>
      <c r="BOX48" s="88"/>
      <c r="BOY48" s="88"/>
      <c r="BOZ48" s="88"/>
      <c r="BPA48" s="88"/>
      <c r="BPB48" s="88"/>
      <c r="BPC48" s="88"/>
      <c r="BPD48" s="88"/>
      <c r="BPE48" s="88"/>
      <c r="BPF48" s="88"/>
      <c r="BPG48" s="88"/>
      <c r="BPH48" s="88"/>
      <c r="BPI48" s="88"/>
      <c r="BPJ48" s="88"/>
      <c r="BPK48" s="88"/>
      <c r="BPL48" s="88"/>
      <c r="BPM48" s="88"/>
      <c r="BPN48" s="88"/>
      <c r="BPO48" s="88"/>
      <c r="BPP48" s="88"/>
      <c r="BPQ48" s="88"/>
      <c r="BPR48" s="88"/>
      <c r="BPS48" s="88"/>
      <c r="BPT48" s="88"/>
      <c r="BPU48" s="88"/>
      <c r="BPV48" s="88"/>
      <c r="BPW48" s="88"/>
      <c r="BPX48" s="88"/>
      <c r="BPY48" s="88"/>
      <c r="BPZ48" s="88"/>
      <c r="BQA48" s="88"/>
      <c r="BQB48" s="88"/>
      <c r="BQC48" s="88"/>
      <c r="BQD48" s="88"/>
      <c r="BQE48" s="88"/>
      <c r="BQF48" s="88"/>
      <c r="BQG48" s="88"/>
      <c r="BQH48" s="88"/>
      <c r="BQI48" s="88"/>
      <c r="BQJ48" s="88"/>
      <c r="BQK48" s="88"/>
      <c r="BQL48" s="88"/>
      <c r="BQM48" s="88"/>
      <c r="BQN48" s="88"/>
      <c r="BQO48" s="88"/>
      <c r="BQP48" s="88"/>
      <c r="BQQ48" s="88"/>
      <c r="BQR48" s="88"/>
      <c r="BQS48" s="88"/>
      <c r="BQT48" s="88"/>
      <c r="BQU48" s="88"/>
      <c r="BQV48" s="88"/>
      <c r="BQW48" s="88"/>
      <c r="BQX48" s="88"/>
      <c r="BQY48" s="88"/>
      <c r="BQZ48" s="88"/>
      <c r="BRA48" s="88"/>
      <c r="BRB48" s="88"/>
      <c r="BRC48" s="88"/>
      <c r="BRD48" s="88"/>
      <c r="BRE48" s="88"/>
      <c r="BRF48" s="88"/>
      <c r="BRG48" s="88"/>
      <c r="BRH48" s="88"/>
      <c r="BRI48" s="88"/>
      <c r="BRJ48" s="88"/>
      <c r="BRK48" s="88"/>
      <c r="BRL48" s="88"/>
      <c r="BRM48" s="88"/>
      <c r="BRN48" s="88"/>
      <c r="BRO48" s="88"/>
      <c r="BRP48" s="88"/>
      <c r="BRQ48" s="88"/>
      <c r="BRR48" s="88"/>
      <c r="BRS48" s="88"/>
      <c r="BRT48" s="88"/>
      <c r="BRU48" s="88"/>
      <c r="BRV48" s="88"/>
      <c r="BRW48" s="88"/>
      <c r="BRX48" s="88"/>
      <c r="BRY48" s="88"/>
      <c r="BRZ48" s="88"/>
      <c r="BSA48" s="88"/>
      <c r="BSB48" s="88"/>
      <c r="BSC48" s="88"/>
      <c r="BSD48" s="88"/>
      <c r="BSE48" s="88"/>
      <c r="BSF48" s="88"/>
      <c r="BSG48" s="88"/>
      <c r="BSH48" s="88"/>
      <c r="BSI48" s="88"/>
      <c r="BSJ48" s="88"/>
      <c r="BSK48" s="88"/>
      <c r="BSL48" s="88"/>
      <c r="BSM48" s="88"/>
      <c r="BSN48" s="88"/>
      <c r="BSO48" s="88"/>
      <c r="BSP48" s="88"/>
      <c r="BSQ48" s="88"/>
      <c r="BSR48" s="88"/>
      <c r="BSS48" s="88"/>
      <c r="BST48" s="88"/>
      <c r="BSU48" s="88"/>
      <c r="BSV48" s="88"/>
      <c r="BSW48" s="88"/>
      <c r="BSX48" s="88"/>
      <c r="BSY48" s="88"/>
      <c r="BSZ48" s="88"/>
      <c r="BTA48" s="88"/>
      <c r="BTB48" s="88"/>
      <c r="BTC48" s="88"/>
      <c r="BTD48" s="88"/>
      <c r="BTE48" s="88"/>
      <c r="BTF48" s="88"/>
      <c r="BTG48" s="88"/>
      <c r="BTH48" s="88"/>
      <c r="BTI48" s="88"/>
      <c r="BTJ48" s="88"/>
      <c r="BTK48" s="88"/>
      <c r="BTL48" s="88"/>
      <c r="BTM48" s="88"/>
      <c r="BTN48" s="88"/>
      <c r="BTO48" s="88"/>
      <c r="BTP48" s="88"/>
      <c r="BTQ48" s="88"/>
      <c r="BTR48" s="88"/>
      <c r="BTS48" s="88"/>
      <c r="BTT48" s="88"/>
      <c r="BTU48" s="88"/>
      <c r="BTV48" s="88"/>
      <c r="BTW48" s="88"/>
      <c r="BTX48" s="88"/>
      <c r="BTY48" s="88"/>
      <c r="BTZ48" s="88"/>
      <c r="BUA48" s="88"/>
      <c r="BUB48" s="88"/>
      <c r="BUC48" s="88"/>
      <c r="BUD48" s="88"/>
      <c r="BUE48" s="88"/>
      <c r="BUF48" s="88"/>
      <c r="BUG48" s="88"/>
      <c r="BUH48" s="88"/>
      <c r="BUI48" s="88"/>
      <c r="BUJ48" s="88"/>
      <c r="BUK48" s="88"/>
      <c r="BUL48" s="88"/>
      <c r="BUM48" s="88"/>
      <c r="BUN48" s="88"/>
      <c r="BUO48" s="88"/>
      <c r="BUP48" s="88"/>
      <c r="BUQ48" s="88"/>
      <c r="BUR48" s="88"/>
      <c r="BUS48" s="88"/>
      <c r="BUT48" s="88"/>
      <c r="BUU48" s="88"/>
      <c r="BUV48" s="88"/>
      <c r="BUW48" s="88"/>
      <c r="BUX48" s="88"/>
      <c r="BUY48" s="88"/>
      <c r="BUZ48" s="88"/>
      <c r="BVA48" s="88"/>
      <c r="BVB48" s="88"/>
      <c r="BVC48" s="88"/>
      <c r="BVD48" s="88"/>
      <c r="BVE48" s="88"/>
      <c r="BVF48" s="88"/>
      <c r="BVG48" s="88"/>
      <c r="BVH48" s="88"/>
      <c r="BVI48" s="88"/>
      <c r="BVJ48" s="88"/>
      <c r="BVK48" s="88"/>
      <c r="BVL48" s="88"/>
      <c r="BVM48" s="88"/>
      <c r="BVN48" s="88"/>
      <c r="BVO48" s="88"/>
      <c r="BVP48" s="88"/>
      <c r="BVQ48" s="88"/>
      <c r="BVR48" s="88"/>
      <c r="BVS48" s="88"/>
      <c r="BVT48" s="88"/>
      <c r="BVU48" s="88"/>
      <c r="BVV48" s="88"/>
      <c r="BVW48" s="88"/>
      <c r="BVX48" s="88"/>
      <c r="BVY48" s="88"/>
      <c r="BVZ48" s="88"/>
      <c r="BWA48" s="88"/>
      <c r="BWB48" s="88"/>
      <c r="BWC48" s="88"/>
      <c r="BWD48" s="88"/>
      <c r="BWE48" s="88"/>
      <c r="BWF48" s="88"/>
      <c r="BWG48" s="88"/>
      <c r="BWH48" s="88"/>
      <c r="BWI48" s="88"/>
      <c r="BWJ48" s="88"/>
      <c r="BWK48" s="88"/>
      <c r="BWL48" s="88"/>
      <c r="BWM48" s="88"/>
      <c r="BWN48" s="88"/>
      <c r="BWO48" s="88"/>
      <c r="BWP48" s="88"/>
      <c r="BWQ48" s="88"/>
      <c r="BWR48" s="88"/>
      <c r="BWS48" s="88"/>
      <c r="BWT48" s="88"/>
      <c r="BWU48" s="88"/>
      <c r="BWV48" s="88"/>
      <c r="BWW48" s="88"/>
      <c r="BWX48" s="88"/>
      <c r="BWY48" s="88"/>
      <c r="BWZ48" s="88"/>
      <c r="BXA48" s="88"/>
      <c r="BXB48" s="88"/>
      <c r="BXC48" s="88"/>
      <c r="BXD48" s="88"/>
      <c r="BXE48" s="88"/>
      <c r="BXF48" s="88"/>
      <c r="BXG48" s="88"/>
      <c r="BXH48" s="88"/>
      <c r="BXI48" s="88"/>
      <c r="BXJ48" s="88"/>
      <c r="BXK48" s="88"/>
      <c r="BXL48" s="88"/>
      <c r="BXM48" s="88"/>
      <c r="BXN48" s="88"/>
      <c r="BXO48" s="88"/>
      <c r="BXP48" s="88"/>
      <c r="BXQ48" s="88"/>
      <c r="BXR48" s="88"/>
      <c r="BXS48" s="88"/>
      <c r="BXT48" s="88"/>
      <c r="BXU48" s="88"/>
      <c r="BXV48" s="88"/>
      <c r="BXW48" s="88"/>
      <c r="BXX48" s="88"/>
      <c r="BXY48" s="88"/>
      <c r="BXZ48" s="88"/>
      <c r="BYA48" s="88"/>
      <c r="BYB48" s="88"/>
      <c r="BYC48" s="88"/>
      <c r="BYD48" s="88"/>
      <c r="BYE48" s="88"/>
      <c r="BYF48" s="88"/>
      <c r="BYG48" s="88"/>
      <c r="BYH48" s="88"/>
      <c r="BYI48" s="88"/>
      <c r="BYJ48" s="88"/>
      <c r="BYK48" s="88"/>
      <c r="BYL48" s="88"/>
      <c r="BYM48" s="88"/>
      <c r="BYN48" s="88"/>
      <c r="BYO48" s="88"/>
      <c r="BYP48" s="88"/>
      <c r="BYQ48" s="88"/>
      <c r="BYR48" s="88"/>
      <c r="BYS48" s="88"/>
      <c r="BYT48" s="88"/>
      <c r="BYU48" s="88"/>
      <c r="BYV48" s="88"/>
      <c r="BYW48" s="88"/>
      <c r="BYX48" s="88"/>
      <c r="BYY48" s="88"/>
      <c r="BYZ48" s="88"/>
      <c r="BZA48" s="88"/>
      <c r="BZB48" s="88"/>
      <c r="BZC48" s="88"/>
      <c r="BZD48" s="88"/>
      <c r="BZE48" s="88"/>
      <c r="BZF48" s="88"/>
      <c r="BZG48" s="88"/>
      <c r="BZH48" s="88"/>
      <c r="BZI48" s="88"/>
      <c r="BZJ48" s="88"/>
      <c r="BZK48" s="88"/>
      <c r="BZL48" s="88"/>
      <c r="BZM48" s="88"/>
      <c r="BZN48" s="88"/>
      <c r="BZO48" s="88"/>
      <c r="BZP48" s="88"/>
      <c r="BZQ48" s="88"/>
      <c r="BZR48" s="88"/>
      <c r="BZS48" s="88"/>
      <c r="BZT48" s="88"/>
      <c r="BZU48" s="88"/>
      <c r="BZV48" s="88"/>
      <c r="BZW48" s="88"/>
      <c r="BZX48" s="88"/>
      <c r="BZY48" s="88"/>
      <c r="BZZ48" s="88"/>
      <c r="CAA48" s="88"/>
      <c r="CAB48" s="88"/>
      <c r="CAC48" s="88"/>
      <c r="CAD48" s="88"/>
      <c r="CAE48" s="88"/>
      <c r="CAF48" s="88"/>
      <c r="CAG48" s="88"/>
      <c r="CAH48" s="88"/>
      <c r="CAI48" s="88"/>
      <c r="CAJ48" s="88"/>
      <c r="CAK48" s="88"/>
      <c r="CAL48" s="88"/>
      <c r="CAM48" s="88"/>
      <c r="CAN48" s="88"/>
      <c r="CAO48" s="88"/>
      <c r="CAP48" s="88"/>
      <c r="CAQ48" s="88"/>
      <c r="CAR48" s="88"/>
      <c r="CAS48" s="88"/>
      <c r="CAT48" s="88"/>
      <c r="CAU48" s="88"/>
      <c r="CAV48" s="88"/>
      <c r="CAW48" s="88"/>
      <c r="CAX48" s="88"/>
      <c r="CAY48" s="88"/>
      <c r="CAZ48" s="88"/>
      <c r="CBA48" s="88"/>
      <c r="CBB48" s="88"/>
      <c r="CBC48" s="88"/>
      <c r="CBD48" s="88"/>
      <c r="CBE48" s="88"/>
      <c r="CBF48" s="88"/>
      <c r="CBG48" s="88"/>
      <c r="CBH48" s="88"/>
      <c r="CBI48" s="88"/>
      <c r="CBJ48" s="88"/>
      <c r="CBK48" s="88"/>
      <c r="CBL48" s="88"/>
      <c r="CBM48" s="88"/>
      <c r="CBN48" s="88"/>
      <c r="CBO48" s="88"/>
      <c r="CBP48" s="88"/>
      <c r="CBQ48" s="88"/>
      <c r="CBR48" s="88"/>
      <c r="CBS48" s="88"/>
      <c r="CBT48" s="88"/>
      <c r="CBU48" s="88"/>
      <c r="CBV48" s="88"/>
      <c r="CBW48" s="88"/>
      <c r="CBX48" s="88"/>
      <c r="CBY48" s="88"/>
      <c r="CBZ48" s="88"/>
      <c r="CCA48" s="88"/>
      <c r="CCB48" s="88"/>
      <c r="CCC48" s="88"/>
      <c r="CCD48" s="88"/>
      <c r="CCE48" s="88"/>
      <c r="CCF48" s="88"/>
      <c r="CCG48" s="88"/>
      <c r="CCH48" s="88"/>
      <c r="CCI48" s="88"/>
      <c r="CCJ48" s="88"/>
      <c r="CCK48" s="88"/>
      <c r="CCL48" s="88"/>
      <c r="CCM48" s="88"/>
      <c r="CCN48" s="88"/>
      <c r="CCO48" s="88"/>
      <c r="CCP48" s="88"/>
      <c r="CCQ48" s="88"/>
      <c r="CCR48" s="88"/>
      <c r="CCS48" s="88"/>
      <c r="CCT48" s="88"/>
      <c r="CCU48" s="88"/>
      <c r="CCV48" s="88"/>
      <c r="CCW48" s="88"/>
      <c r="CCX48" s="88"/>
      <c r="CCY48" s="88"/>
      <c r="CCZ48" s="88"/>
      <c r="CDA48" s="88"/>
      <c r="CDB48" s="88"/>
      <c r="CDC48" s="88"/>
      <c r="CDD48" s="88"/>
      <c r="CDE48" s="88"/>
      <c r="CDF48" s="88"/>
      <c r="CDG48" s="88"/>
      <c r="CDH48" s="88"/>
      <c r="CDI48" s="88"/>
      <c r="CDJ48" s="88"/>
      <c r="CDK48" s="88"/>
      <c r="CDL48" s="88"/>
      <c r="CDM48" s="88"/>
      <c r="CDN48" s="88"/>
      <c r="CDO48" s="88"/>
      <c r="CDP48" s="88"/>
      <c r="CDQ48" s="88"/>
      <c r="CDR48" s="88"/>
      <c r="CDS48" s="88"/>
      <c r="CDT48" s="88"/>
      <c r="CDU48" s="88"/>
      <c r="CDV48" s="88"/>
      <c r="CDW48" s="88"/>
      <c r="CDX48" s="88"/>
      <c r="CDY48" s="88"/>
      <c r="CDZ48" s="88"/>
      <c r="CEA48" s="88"/>
      <c r="CEB48" s="88"/>
      <c r="CEC48" s="88"/>
      <c r="CED48" s="88"/>
      <c r="CEE48" s="88"/>
      <c r="CEF48" s="88"/>
      <c r="CEG48" s="88"/>
      <c r="CEH48" s="88"/>
      <c r="CEI48" s="88"/>
      <c r="CEJ48" s="88"/>
      <c r="CEK48" s="88"/>
    </row>
    <row r="49" spans="1:2169" s="51" customFormat="1">
      <c r="A49" s="72" t="s">
        <v>3837</v>
      </c>
      <c r="B49" s="173" t="s">
        <v>3838</v>
      </c>
      <c r="C49" s="69" t="str">
        <f>IF('page 2'!$O$4="","",IF('page 2'!$O$4=Gestion!A49,1,0))</f>
        <v/>
      </c>
      <c r="D49" s="69" t="str">
        <f>IF('page 2'!$O$5="","",IF('page 2'!$O$5=Gestion!A49,1,0))</f>
        <v/>
      </c>
      <c r="E49" s="69" t="str">
        <f>IF('page 2'!$O$6="","",IF('page 2'!$O$6=Gestion!A49,1,0))</f>
        <v/>
      </c>
      <c r="F49" s="69" t="str">
        <f>IF('page 2'!$O$7="","",IF('page 2'!$O$7=Gestion!A49,1,0))</f>
        <v/>
      </c>
      <c r="G49" s="69" t="str">
        <f>IF('page 2'!$O$8="","",IF('page 2'!$O$8=Gestion!A49,1,0))</f>
        <v/>
      </c>
      <c r="H49" s="69" t="str">
        <f>IF('page 2'!$O$9="","",IF('page 2'!$O$9=Gestion!A49,1,0))</f>
        <v/>
      </c>
      <c r="I49" s="69" t="str">
        <f>IF('page 2'!$O$10="","",IF('page 2'!$O$10=Gestion!A49,1,0))</f>
        <v/>
      </c>
      <c r="J49" s="69" t="str">
        <f>IF('page 2'!$O$11="","",IF('page 2'!$O$11=Gestion!A49,1,0))</f>
        <v/>
      </c>
      <c r="K49" s="69" t="str">
        <f>IF('page 2'!$O$12="","",IF('page 2'!$O$12=Gestion!A49,1,0))</f>
        <v/>
      </c>
      <c r="L49" s="69" t="str">
        <f>IF('page 2'!$O$13="","",IF('page 2'!$O$13=Gestion!A49,1,0))</f>
        <v/>
      </c>
      <c r="M49" s="69" t="str">
        <f>IF('page 2'!$O$14="","",IF('page 2'!$O$14=Gestion!A48,1,0))</f>
        <v/>
      </c>
      <c r="N49" s="69" t="str">
        <f>IF('page 2'!$O$15="","",IF('page 2'!$O$15=Gestion!A49,1,0))</f>
        <v/>
      </c>
      <c r="O49" s="69" t="str">
        <f>IF('page 2'!$O$16="","",IF('page 2'!$O$16=Gestion!A49,1,0))</f>
        <v/>
      </c>
      <c r="P49" s="69" t="str">
        <f>IF('page 2'!$O$17="","",IF('page 2'!$O$17=Gestion!A49,1,0))</f>
        <v/>
      </c>
      <c r="Q49" s="69" t="str">
        <f>IF('page 2'!$O$18="","",IF('page 2'!$O$18=Gestion!A49,1,0))</f>
        <v/>
      </c>
      <c r="R49" s="69" t="str">
        <f>IF('page 2'!$O$19="","",IF('page 2'!$O$19=Gestion!A49,1,0))</f>
        <v/>
      </c>
      <c r="S49" s="69" t="str">
        <f>IF('page 2'!$O$20="","",IF('page 2'!$O$20=Gestion!A49,1,0))</f>
        <v/>
      </c>
      <c r="T49" s="69" t="str">
        <f>IF('page 2'!$O$25="","",IF('page 2'!$O$25=Gestion!A49,1,0))</f>
        <v/>
      </c>
      <c r="U49" s="69" t="str">
        <f>IF('page 2'!$O$26="","",IF('page 2'!$O$26=Gestion!A49,1,0))</f>
        <v/>
      </c>
      <c r="V49" s="69" t="str">
        <f>IF('page 2'!$O$27="","",IF('page 2'!$O$27=Gestion!A49,1,0))</f>
        <v/>
      </c>
      <c r="W49" s="723">
        <f t="shared" si="0"/>
        <v>0</v>
      </c>
      <c r="X49" s="713"/>
      <c r="Y49" s="69"/>
      <c r="Z49" s="69"/>
      <c r="AA49" s="69"/>
      <c r="AB49" s="709"/>
      <c r="AC49" s="709"/>
      <c r="AD49" s="709"/>
      <c r="AE49" s="88"/>
      <c r="AP49" s="130"/>
      <c r="AQ49" s="130"/>
      <c r="AR49" s="130"/>
      <c r="AS49" s="576"/>
      <c r="AT49" s="576"/>
      <c r="AU49" s="576"/>
      <c r="AV49" s="576"/>
      <c r="AW49" s="602"/>
      <c r="AX49" s="602"/>
      <c r="AY49" s="576"/>
      <c r="AZ49" s="576"/>
      <c r="BA49" s="576"/>
      <c r="BB49" s="576"/>
      <c r="BC49" s="576"/>
      <c r="BD49" s="602"/>
      <c r="BE49" s="602"/>
      <c r="BF49" s="602"/>
      <c r="BG49" s="602"/>
      <c r="BH49" s="602"/>
      <c r="BI49" s="602"/>
      <c r="BJ49" s="602"/>
      <c r="BK49" s="602"/>
      <c r="BL49" s="602"/>
      <c r="BM49" s="602"/>
      <c r="BN49" s="602"/>
      <c r="BO49" s="602"/>
      <c r="BP49" s="602"/>
      <c r="BQ49" s="602"/>
      <c r="BR49" s="602"/>
      <c r="BS49" s="576"/>
      <c r="BT49" s="576"/>
      <c r="BU49" s="576"/>
      <c r="BV49" s="576"/>
      <c r="BW49" s="602"/>
      <c r="BX49" s="602"/>
      <c r="BY49" s="602"/>
      <c r="BZ49" s="576"/>
      <c r="CA49" s="602"/>
      <c r="CB49" s="602"/>
      <c r="CC49" s="576"/>
      <c r="CD49" s="469"/>
      <c r="CE49" s="602"/>
      <c r="CF49" s="576"/>
      <c r="CG49" s="576"/>
      <c r="CH49" s="576"/>
      <c r="CI49" s="576"/>
      <c r="CJ49" s="576"/>
      <c r="CK49" s="602"/>
      <c r="CL49" s="602"/>
      <c r="CM49" s="576"/>
      <c r="CN49" s="602"/>
      <c r="CO49" s="602"/>
      <c r="CP49" s="602"/>
      <c r="CQ49" s="576"/>
      <c r="CR49" s="576"/>
      <c r="CS49" s="602"/>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c r="IW49" s="88"/>
      <c r="IX49" s="88"/>
      <c r="IY49" s="88"/>
      <c r="IZ49" s="88"/>
      <c r="JA49" s="88"/>
      <c r="JB49" s="88"/>
      <c r="JC49" s="88"/>
      <c r="JD49" s="88"/>
      <c r="JE49" s="88"/>
      <c r="JF49" s="88"/>
      <c r="JG49" s="88"/>
      <c r="JH49" s="88"/>
      <c r="JI49" s="88"/>
      <c r="JJ49" s="88"/>
      <c r="JK49" s="88"/>
      <c r="JL49" s="88"/>
      <c r="JM49" s="88"/>
      <c r="JN49" s="88"/>
      <c r="JO49" s="88"/>
      <c r="JP49" s="88"/>
      <c r="JQ49" s="88"/>
      <c r="JR49" s="88"/>
      <c r="JS49" s="88"/>
      <c r="JT49" s="88"/>
      <c r="JU49" s="88"/>
      <c r="JV49" s="88"/>
      <c r="JW49" s="88"/>
      <c r="JX49" s="88"/>
      <c r="JY49" s="88"/>
      <c r="JZ49" s="88"/>
      <c r="KA49" s="88"/>
      <c r="KB49" s="88"/>
      <c r="KC49" s="88"/>
      <c r="KD49" s="88"/>
      <c r="KE49" s="88"/>
      <c r="KF49" s="88"/>
      <c r="KG49" s="88"/>
      <c r="KH49" s="88"/>
      <c r="KI49" s="88"/>
      <c r="KJ49" s="88"/>
      <c r="KK49" s="88"/>
      <c r="KL49" s="88"/>
      <c r="KM49" s="88"/>
      <c r="KN49" s="88"/>
      <c r="KO49" s="88"/>
      <c r="KP49" s="88"/>
      <c r="KQ49" s="88"/>
      <c r="KR49" s="88"/>
      <c r="KS49" s="88"/>
      <c r="KT49" s="88"/>
      <c r="KU49" s="88"/>
      <c r="KV49" s="88"/>
      <c r="KW49" s="88"/>
      <c r="KX49" s="88"/>
      <c r="KY49" s="88"/>
      <c r="KZ49" s="88"/>
      <c r="LA49" s="88"/>
      <c r="LB49" s="88"/>
      <c r="LC49" s="88"/>
      <c r="LD49" s="88"/>
      <c r="LE49" s="88"/>
      <c r="LF49" s="88"/>
      <c r="LG49" s="88"/>
      <c r="LH49" s="88"/>
      <c r="LI49" s="88"/>
      <c r="LJ49" s="88"/>
      <c r="LK49" s="88"/>
      <c r="LL49" s="88"/>
      <c r="LM49" s="88"/>
      <c r="LN49" s="88"/>
      <c r="LO49" s="88"/>
      <c r="LP49" s="88"/>
      <c r="LQ49" s="88"/>
      <c r="LR49" s="88"/>
      <c r="LS49" s="88"/>
      <c r="LT49" s="88"/>
      <c r="LU49" s="88"/>
      <c r="LV49" s="88"/>
      <c r="LW49" s="88"/>
      <c r="LX49" s="88"/>
      <c r="LY49" s="88"/>
      <c r="LZ49" s="88"/>
      <c r="MA49" s="88"/>
      <c r="MB49" s="88"/>
      <c r="MC49" s="88"/>
      <c r="MD49" s="88"/>
      <c r="ME49" s="88"/>
      <c r="MF49" s="88"/>
      <c r="MG49" s="88"/>
      <c r="MH49" s="88"/>
      <c r="MI49" s="88"/>
      <c r="MJ49" s="88"/>
      <c r="MK49" s="88"/>
      <c r="ML49" s="88"/>
      <c r="MM49" s="88"/>
      <c r="MN49" s="88"/>
      <c r="MO49" s="88"/>
      <c r="MP49" s="88"/>
      <c r="MQ49" s="88"/>
      <c r="MR49" s="88"/>
      <c r="MS49" s="88"/>
      <c r="MT49" s="88"/>
      <c r="MU49" s="88"/>
      <c r="MV49" s="88"/>
      <c r="MW49" s="88"/>
      <c r="MX49" s="88"/>
      <c r="MY49" s="88"/>
      <c r="MZ49" s="88"/>
      <c r="NA49" s="88"/>
      <c r="NB49" s="88"/>
      <c r="NC49" s="88"/>
      <c r="ND49" s="88"/>
      <c r="NE49" s="88"/>
      <c r="NF49" s="88"/>
      <c r="NG49" s="88"/>
      <c r="NH49" s="88"/>
      <c r="NI49" s="88"/>
      <c r="NJ49" s="88"/>
      <c r="NK49" s="88"/>
      <c r="NL49" s="88"/>
      <c r="NM49" s="88"/>
      <c r="NN49" s="88"/>
      <c r="NO49" s="88"/>
      <c r="NP49" s="88"/>
      <c r="NQ49" s="88"/>
      <c r="NR49" s="88"/>
      <c r="NS49" s="88"/>
      <c r="NT49" s="88"/>
      <c r="NU49" s="88"/>
      <c r="NV49" s="88"/>
      <c r="NW49" s="88"/>
      <c r="NX49" s="88"/>
      <c r="NY49" s="88"/>
      <c r="NZ49" s="88"/>
      <c r="OA49" s="88"/>
      <c r="OB49" s="88"/>
      <c r="OC49" s="88"/>
      <c r="OD49" s="88"/>
      <c r="OE49" s="88"/>
      <c r="OF49" s="88"/>
      <c r="OG49" s="88"/>
      <c r="OH49" s="88"/>
      <c r="OI49" s="88"/>
      <c r="OJ49" s="88"/>
      <c r="OK49" s="88"/>
      <c r="OL49" s="88"/>
      <c r="OM49" s="88"/>
      <c r="ON49" s="88"/>
      <c r="OO49" s="88"/>
      <c r="OP49" s="88"/>
      <c r="OQ49" s="88"/>
      <c r="OR49" s="88"/>
      <c r="OS49" s="88"/>
      <c r="OT49" s="88"/>
      <c r="OU49" s="88"/>
      <c r="OV49" s="88"/>
      <c r="OW49" s="88"/>
      <c r="OX49" s="88"/>
      <c r="OY49" s="88"/>
      <c r="OZ49" s="88"/>
      <c r="PA49" s="88"/>
      <c r="PB49" s="88"/>
      <c r="PC49" s="88"/>
      <c r="PD49" s="88"/>
      <c r="PE49" s="88"/>
      <c r="PF49" s="88"/>
      <c r="PG49" s="88"/>
      <c r="PH49" s="88"/>
      <c r="PI49" s="88"/>
      <c r="PJ49" s="88"/>
      <c r="PK49" s="88"/>
      <c r="PL49" s="88"/>
      <c r="PM49" s="88"/>
      <c r="PN49" s="88"/>
      <c r="PO49" s="88"/>
      <c r="PP49" s="88"/>
      <c r="PQ49" s="88"/>
      <c r="PR49" s="88"/>
      <c r="PS49" s="88"/>
      <c r="PT49" s="88"/>
      <c r="PU49" s="88"/>
      <c r="PV49" s="88"/>
      <c r="PW49" s="88"/>
      <c r="PX49" s="88"/>
      <c r="PY49" s="88"/>
      <c r="PZ49" s="88"/>
      <c r="QA49" s="88"/>
      <c r="QB49" s="88"/>
      <c r="QC49" s="88"/>
      <c r="QD49" s="88"/>
      <c r="QE49" s="88"/>
      <c r="QF49" s="88"/>
      <c r="QG49" s="88"/>
      <c r="QH49" s="88"/>
      <c r="QI49" s="88"/>
      <c r="QJ49" s="88"/>
      <c r="QK49" s="88"/>
      <c r="QL49" s="88"/>
      <c r="QM49" s="88"/>
      <c r="QN49" s="88"/>
      <c r="QO49" s="88"/>
      <c r="QP49" s="88"/>
      <c r="QQ49" s="88"/>
      <c r="QR49" s="88"/>
      <c r="QS49" s="88"/>
      <c r="QT49" s="88"/>
      <c r="QU49" s="88"/>
      <c r="QV49" s="88"/>
      <c r="QW49" s="88"/>
      <c r="QX49" s="88"/>
      <c r="QY49" s="88"/>
      <c r="QZ49" s="88"/>
      <c r="RA49" s="88"/>
      <c r="RB49" s="88"/>
      <c r="RC49" s="88"/>
      <c r="RD49" s="88"/>
      <c r="RE49" s="88"/>
      <c r="RF49" s="88"/>
      <c r="RG49" s="88"/>
      <c r="RH49" s="88"/>
      <c r="RI49" s="88"/>
      <c r="RJ49" s="88"/>
      <c r="RK49" s="88"/>
      <c r="RL49" s="88"/>
      <c r="RM49" s="88"/>
      <c r="RN49" s="88"/>
      <c r="RO49" s="88"/>
      <c r="RP49" s="88"/>
      <c r="RQ49" s="88"/>
      <c r="RR49" s="88"/>
      <c r="RS49" s="88"/>
      <c r="RT49" s="88"/>
      <c r="RU49" s="88"/>
      <c r="RV49" s="88"/>
      <c r="RW49" s="88"/>
      <c r="RX49" s="88"/>
      <c r="RY49" s="88"/>
      <c r="RZ49" s="88"/>
      <c r="SA49" s="88"/>
      <c r="SB49" s="88"/>
      <c r="SC49" s="88"/>
      <c r="SD49" s="88"/>
      <c r="SE49" s="88"/>
      <c r="SF49" s="88"/>
      <c r="SG49" s="88"/>
      <c r="SH49" s="88"/>
      <c r="SI49" s="88"/>
      <c r="SJ49" s="88"/>
      <c r="SK49" s="88"/>
      <c r="SL49" s="88"/>
      <c r="SM49" s="88"/>
      <c r="SN49" s="88"/>
      <c r="SO49" s="88"/>
      <c r="SP49" s="88"/>
      <c r="SQ49" s="88"/>
      <c r="SR49" s="88"/>
      <c r="SS49" s="88"/>
      <c r="ST49" s="88"/>
      <c r="SU49" s="88"/>
      <c r="SV49" s="88"/>
      <c r="SW49" s="88"/>
      <c r="SX49" s="88"/>
      <c r="SY49" s="88"/>
      <c r="SZ49" s="88"/>
      <c r="TA49" s="88"/>
      <c r="TB49" s="88"/>
      <c r="TC49" s="88"/>
      <c r="TD49" s="88"/>
      <c r="TE49" s="88"/>
      <c r="TF49" s="88"/>
      <c r="TG49" s="88"/>
      <c r="TH49" s="88"/>
      <c r="TI49" s="88"/>
      <c r="TJ49" s="88"/>
      <c r="TK49" s="88"/>
      <c r="TL49" s="88"/>
      <c r="TM49" s="88"/>
      <c r="TN49" s="88"/>
      <c r="TO49" s="88"/>
      <c r="TP49" s="88"/>
      <c r="TQ49" s="88"/>
      <c r="TR49" s="88"/>
      <c r="TS49" s="88"/>
      <c r="TT49" s="88"/>
      <c r="TU49" s="88"/>
      <c r="TV49" s="88"/>
      <c r="TW49" s="88"/>
      <c r="TX49" s="88"/>
      <c r="TY49" s="88"/>
      <c r="TZ49" s="88"/>
      <c r="UA49" s="88"/>
      <c r="UB49" s="88"/>
      <c r="UC49" s="88"/>
      <c r="UD49" s="88"/>
      <c r="UE49" s="88"/>
      <c r="UF49" s="88"/>
      <c r="UG49" s="88"/>
      <c r="UH49" s="88"/>
      <c r="UI49" s="88"/>
      <c r="UJ49" s="88"/>
      <c r="UK49" s="88"/>
      <c r="UL49" s="88"/>
      <c r="UM49" s="88"/>
      <c r="UN49" s="88"/>
      <c r="UO49" s="88"/>
      <c r="UP49" s="88"/>
      <c r="UQ49" s="88"/>
      <c r="UR49" s="88"/>
      <c r="US49" s="88"/>
      <c r="UT49" s="88"/>
      <c r="UU49" s="88"/>
      <c r="UV49" s="88"/>
      <c r="UW49" s="88"/>
      <c r="UX49" s="88"/>
      <c r="UY49" s="88"/>
      <c r="UZ49" s="88"/>
      <c r="VA49" s="88"/>
      <c r="VB49" s="88"/>
      <c r="VC49" s="88"/>
      <c r="VD49" s="88"/>
      <c r="VE49" s="88"/>
      <c r="VF49" s="88"/>
      <c r="VG49" s="88"/>
      <c r="VH49" s="88"/>
      <c r="VI49" s="88"/>
      <c r="VJ49" s="88"/>
      <c r="VK49" s="88"/>
      <c r="VL49" s="88"/>
      <c r="VM49" s="88"/>
      <c r="VN49" s="88"/>
      <c r="VO49" s="88"/>
      <c r="VP49" s="88"/>
      <c r="VQ49" s="88"/>
      <c r="VR49" s="88"/>
      <c r="VS49" s="88"/>
      <c r="VT49" s="88"/>
      <c r="VU49" s="88"/>
      <c r="VV49" s="88"/>
      <c r="VW49" s="88"/>
      <c r="VX49" s="88"/>
      <c r="VY49" s="88"/>
      <c r="VZ49" s="88"/>
      <c r="WA49" s="88"/>
      <c r="WB49" s="88"/>
      <c r="WC49" s="88"/>
      <c r="WD49" s="88"/>
      <c r="WE49" s="88"/>
      <c r="WF49" s="88"/>
      <c r="WG49" s="88"/>
      <c r="WH49" s="88"/>
      <c r="WI49" s="88"/>
      <c r="WJ49" s="88"/>
      <c r="WK49" s="88"/>
      <c r="WL49" s="88"/>
      <c r="WM49" s="88"/>
      <c r="WN49" s="88"/>
      <c r="WO49" s="88"/>
      <c r="WP49" s="88"/>
      <c r="WQ49" s="88"/>
      <c r="WR49" s="88"/>
      <c r="WS49" s="88"/>
      <c r="WT49" s="88"/>
      <c r="WU49" s="88"/>
      <c r="WV49" s="88"/>
      <c r="WW49" s="88"/>
      <c r="WX49" s="88"/>
      <c r="WY49" s="88"/>
      <c r="WZ49" s="88"/>
      <c r="XA49" s="88"/>
      <c r="XB49" s="88"/>
      <c r="XC49" s="88"/>
      <c r="XD49" s="88"/>
      <c r="XE49" s="88"/>
      <c r="XF49" s="88"/>
      <c r="XG49" s="88"/>
      <c r="XH49" s="88"/>
      <c r="XI49" s="88"/>
      <c r="XJ49" s="88"/>
      <c r="XK49" s="88"/>
      <c r="XL49" s="88"/>
      <c r="XM49" s="88"/>
      <c r="XN49" s="88"/>
      <c r="XO49" s="88"/>
      <c r="XP49" s="88"/>
      <c r="XQ49" s="88"/>
      <c r="XR49" s="88"/>
      <c r="XS49" s="88"/>
      <c r="XT49" s="88"/>
      <c r="XU49" s="88"/>
      <c r="XV49" s="88"/>
      <c r="XW49" s="88"/>
      <c r="XX49" s="88"/>
      <c r="XY49" s="88"/>
      <c r="XZ49" s="88"/>
      <c r="YA49" s="88"/>
      <c r="YB49" s="88"/>
      <c r="YC49" s="88"/>
      <c r="YD49" s="88"/>
      <c r="YE49" s="88"/>
      <c r="YF49" s="88"/>
      <c r="YG49" s="88"/>
      <c r="YH49" s="88"/>
      <c r="YI49" s="88"/>
      <c r="YJ49" s="88"/>
      <c r="YK49" s="88"/>
      <c r="YL49" s="88"/>
      <c r="YM49" s="88"/>
      <c r="YN49" s="88"/>
      <c r="YO49" s="88"/>
      <c r="YP49" s="88"/>
      <c r="YQ49" s="88"/>
      <c r="YR49" s="88"/>
      <c r="YS49" s="88"/>
      <c r="YT49" s="88"/>
      <c r="YU49" s="88"/>
      <c r="YV49" s="88"/>
      <c r="YW49" s="88"/>
      <c r="YX49" s="88"/>
      <c r="YY49" s="88"/>
      <c r="YZ49" s="88"/>
      <c r="ZA49" s="88"/>
      <c r="ZB49" s="88"/>
      <c r="ZC49" s="88"/>
      <c r="ZD49" s="88"/>
      <c r="ZE49" s="88"/>
      <c r="ZF49" s="88"/>
      <c r="ZG49" s="88"/>
      <c r="ZH49" s="88"/>
      <c r="ZI49" s="88"/>
      <c r="ZJ49" s="88"/>
      <c r="ZK49" s="88"/>
      <c r="ZL49" s="88"/>
      <c r="ZM49" s="88"/>
      <c r="ZN49" s="88"/>
      <c r="ZO49" s="88"/>
      <c r="ZP49" s="88"/>
      <c r="ZQ49" s="88"/>
      <c r="ZR49" s="88"/>
      <c r="ZS49" s="88"/>
      <c r="ZT49" s="88"/>
      <c r="ZU49" s="88"/>
      <c r="ZV49" s="88"/>
      <c r="ZW49" s="88"/>
      <c r="ZX49" s="88"/>
      <c r="ZY49" s="88"/>
      <c r="ZZ49" s="88"/>
      <c r="AAA49" s="88"/>
      <c r="AAB49" s="88"/>
      <c r="AAC49" s="88"/>
      <c r="AAD49" s="88"/>
      <c r="AAE49" s="88"/>
      <c r="AAF49" s="88"/>
      <c r="AAG49" s="88"/>
      <c r="AAH49" s="88"/>
      <c r="AAI49" s="88"/>
      <c r="AAJ49" s="88"/>
      <c r="AAK49" s="88"/>
      <c r="AAL49" s="88"/>
      <c r="AAM49" s="88"/>
      <c r="AAN49" s="88"/>
      <c r="AAO49" s="88"/>
      <c r="AAP49" s="88"/>
      <c r="AAQ49" s="88"/>
      <c r="AAR49" s="88"/>
      <c r="AAS49" s="88"/>
      <c r="AAT49" s="88"/>
      <c r="AAU49" s="88"/>
      <c r="AAV49" s="88"/>
      <c r="AAW49" s="88"/>
      <c r="AAX49" s="88"/>
      <c r="AAY49" s="88"/>
      <c r="AAZ49" s="88"/>
      <c r="ABA49" s="88"/>
      <c r="ABB49" s="88"/>
      <c r="ABC49" s="88"/>
      <c r="ABD49" s="88"/>
      <c r="ABE49" s="88"/>
      <c r="ABF49" s="88"/>
      <c r="ABG49" s="88"/>
      <c r="ABH49" s="88"/>
      <c r="ABI49" s="88"/>
      <c r="ABJ49" s="88"/>
      <c r="ABK49" s="88"/>
      <c r="ABL49" s="88"/>
      <c r="ABM49" s="88"/>
      <c r="ABN49" s="88"/>
      <c r="ABO49" s="88"/>
      <c r="ABP49" s="88"/>
      <c r="ABQ49" s="88"/>
      <c r="ABR49" s="88"/>
      <c r="ABS49" s="88"/>
      <c r="ABT49" s="88"/>
      <c r="ABU49" s="88"/>
      <c r="ABV49" s="88"/>
      <c r="ABW49" s="88"/>
      <c r="ABX49" s="88"/>
      <c r="ABY49" s="88"/>
      <c r="ABZ49" s="88"/>
      <c r="ACA49" s="88"/>
      <c r="ACB49" s="88"/>
      <c r="ACC49" s="88"/>
      <c r="ACD49" s="88"/>
      <c r="ACE49" s="88"/>
      <c r="ACF49" s="88"/>
      <c r="ACG49" s="88"/>
      <c r="ACH49" s="88"/>
      <c r="ACI49" s="88"/>
      <c r="ACJ49" s="88"/>
      <c r="ACK49" s="88"/>
      <c r="ACL49" s="88"/>
      <c r="ACM49" s="88"/>
      <c r="ACN49" s="88"/>
      <c r="ACO49" s="88"/>
      <c r="ACP49" s="88"/>
      <c r="ACQ49" s="88"/>
      <c r="ACR49" s="88"/>
      <c r="ACS49" s="88"/>
      <c r="ACT49" s="88"/>
      <c r="ACU49" s="88"/>
      <c r="ACV49" s="88"/>
      <c r="ACW49" s="88"/>
      <c r="ACX49" s="88"/>
      <c r="ACY49" s="88"/>
      <c r="ACZ49" s="88"/>
      <c r="ADA49" s="88"/>
      <c r="ADB49" s="88"/>
      <c r="ADC49" s="88"/>
      <c r="ADD49" s="88"/>
      <c r="ADE49" s="88"/>
      <c r="ADF49" s="88"/>
      <c r="ADG49" s="88"/>
      <c r="ADH49" s="88"/>
      <c r="ADI49" s="88"/>
      <c r="ADJ49" s="88"/>
      <c r="ADK49" s="88"/>
      <c r="ADL49" s="88"/>
      <c r="ADM49" s="88"/>
      <c r="ADN49" s="88"/>
      <c r="ADO49" s="88"/>
      <c r="ADP49" s="88"/>
      <c r="ADQ49" s="88"/>
      <c r="ADR49" s="88"/>
      <c r="ADS49" s="88"/>
      <c r="ADT49" s="88"/>
      <c r="ADU49" s="88"/>
      <c r="ADV49" s="88"/>
      <c r="ADW49" s="88"/>
      <c r="ADX49" s="88"/>
      <c r="ADY49" s="88"/>
      <c r="ADZ49" s="88"/>
      <c r="AEA49" s="88"/>
      <c r="AEB49" s="88"/>
      <c r="AEC49" s="88"/>
      <c r="AED49" s="88"/>
      <c r="AEE49" s="88"/>
      <c r="AEF49" s="88"/>
      <c r="AEG49" s="88"/>
      <c r="AEH49" s="88"/>
      <c r="AEI49" s="88"/>
      <c r="AEJ49" s="88"/>
      <c r="AEK49" s="88"/>
      <c r="AEL49" s="88"/>
      <c r="AEM49" s="88"/>
      <c r="AEN49" s="88"/>
      <c r="AEO49" s="88"/>
      <c r="AEP49" s="88"/>
      <c r="AEQ49" s="88"/>
      <c r="AER49" s="88"/>
      <c r="AES49" s="88"/>
      <c r="AET49" s="88"/>
      <c r="AEU49" s="88"/>
      <c r="AEV49" s="88"/>
      <c r="AEW49" s="88"/>
      <c r="AEX49" s="88"/>
      <c r="AEY49" s="88"/>
      <c r="AEZ49" s="88"/>
      <c r="AFA49" s="88"/>
      <c r="AFB49" s="88"/>
      <c r="AFC49" s="88"/>
      <c r="AFD49" s="88"/>
      <c r="AFE49" s="88"/>
      <c r="AFF49" s="88"/>
      <c r="AFG49" s="88"/>
      <c r="AFH49" s="88"/>
      <c r="AFI49" s="88"/>
      <c r="AFJ49" s="88"/>
      <c r="AFK49" s="88"/>
      <c r="AFL49" s="88"/>
      <c r="AFM49" s="88"/>
      <c r="AFN49" s="88"/>
      <c r="AFO49" s="88"/>
      <c r="AFP49" s="88"/>
      <c r="AFQ49" s="88"/>
      <c r="AFR49" s="88"/>
      <c r="AFS49" s="88"/>
      <c r="AFT49" s="88"/>
      <c r="AFU49" s="88"/>
      <c r="AFV49" s="88"/>
      <c r="AFW49" s="88"/>
      <c r="AFX49" s="88"/>
      <c r="AFY49" s="88"/>
      <c r="AFZ49" s="88"/>
      <c r="AGA49" s="88"/>
      <c r="AGB49" s="88"/>
      <c r="AGC49" s="88"/>
      <c r="AGD49" s="88"/>
      <c r="AGE49" s="88"/>
      <c r="AGF49" s="88"/>
      <c r="AGG49" s="88"/>
      <c r="AGH49" s="88"/>
      <c r="AGI49" s="88"/>
      <c r="AGJ49" s="88"/>
      <c r="AGK49" s="88"/>
      <c r="AGL49" s="88"/>
      <c r="AGM49" s="88"/>
      <c r="AGN49" s="88"/>
      <c r="AGO49" s="88"/>
      <c r="AGP49" s="88"/>
      <c r="AGQ49" s="88"/>
      <c r="AGR49" s="88"/>
      <c r="AGS49" s="88"/>
      <c r="AGT49" s="88"/>
      <c r="AGU49" s="88"/>
      <c r="AGV49" s="88"/>
      <c r="AGW49" s="88"/>
      <c r="AGX49" s="88"/>
      <c r="AGY49" s="88"/>
      <c r="AGZ49" s="88"/>
      <c r="AHA49" s="88"/>
      <c r="AHB49" s="88"/>
      <c r="AHC49" s="88"/>
      <c r="AHD49" s="88"/>
      <c r="AHE49" s="88"/>
      <c r="AHF49" s="88"/>
      <c r="AHG49" s="88"/>
      <c r="AHH49" s="88"/>
      <c r="AHI49" s="88"/>
      <c r="AHJ49" s="88"/>
      <c r="AHK49" s="88"/>
      <c r="AHL49" s="88"/>
      <c r="AHM49" s="88"/>
      <c r="AHN49" s="88"/>
      <c r="AHO49" s="88"/>
      <c r="AHP49" s="88"/>
      <c r="AHQ49" s="88"/>
      <c r="AHR49" s="88"/>
      <c r="AHS49" s="88"/>
      <c r="AHT49" s="88"/>
      <c r="AHU49" s="88"/>
      <c r="AHV49" s="88"/>
      <c r="AHW49" s="88"/>
      <c r="AHX49" s="88"/>
      <c r="AHY49" s="88"/>
      <c r="AHZ49" s="88"/>
      <c r="AIA49" s="88"/>
      <c r="AIB49" s="88"/>
      <c r="AIC49" s="88"/>
      <c r="AID49" s="88"/>
      <c r="AIE49" s="88"/>
      <c r="AIF49" s="88"/>
      <c r="AIG49" s="88"/>
      <c r="AIH49" s="88"/>
      <c r="AII49" s="88"/>
      <c r="AIJ49" s="88"/>
      <c r="AIK49" s="88"/>
      <c r="AIL49" s="88"/>
      <c r="AIM49" s="88"/>
      <c r="AIN49" s="88"/>
      <c r="AIO49" s="88"/>
      <c r="AIP49" s="88"/>
      <c r="AIQ49" s="88"/>
      <c r="AIR49" s="88"/>
      <c r="AIS49" s="88"/>
      <c r="AIT49" s="88"/>
      <c r="AIU49" s="88"/>
      <c r="AIV49" s="88"/>
      <c r="AIW49" s="88"/>
      <c r="AIX49" s="88"/>
      <c r="AIY49" s="88"/>
      <c r="AIZ49" s="88"/>
      <c r="AJA49" s="88"/>
      <c r="AJB49" s="88"/>
      <c r="AJC49" s="88"/>
      <c r="AJD49" s="88"/>
      <c r="AJE49" s="88"/>
      <c r="AJF49" s="88"/>
      <c r="AJG49" s="88"/>
      <c r="AJH49" s="88"/>
      <c r="AJI49" s="88"/>
      <c r="AJJ49" s="88"/>
      <c r="AJK49" s="88"/>
      <c r="AJL49" s="88"/>
      <c r="AJM49" s="88"/>
      <c r="AJN49" s="88"/>
      <c r="AJO49" s="88"/>
      <c r="AJP49" s="88"/>
      <c r="AJQ49" s="88"/>
      <c r="AJR49" s="88"/>
      <c r="AJS49" s="88"/>
      <c r="AJT49" s="88"/>
      <c r="AJU49" s="88"/>
      <c r="AJV49" s="88"/>
      <c r="AJW49" s="88"/>
      <c r="AJX49" s="88"/>
      <c r="AJY49" s="88"/>
      <c r="AJZ49" s="88"/>
      <c r="AKA49" s="88"/>
      <c r="AKB49" s="88"/>
      <c r="AKC49" s="88"/>
      <c r="AKD49" s="88"/>
      <c r="AKE49" s="88"/>
      <c r="AKF49" s="88"/>
      <c r="AKG49" s="88"/>
      <c r="AKH49" s="88"/>
      <c r="AKI49" s="88"/>
      <c r="AKJ49" s="88"/>
      <c r="AKK49" s="88"/>
      <c r="AKL49" s="88"/>
      <c r="AKM49" s="88"/>
      <c r="AKN49" s="88"/>
      <c r="AKO49" s="88"/>
      <c r="AKP49" s="88"/>
      <c r="AKQ49" s="88"/>
      <c r="AKR49" s="88"/>
      <c r="AKS49" s="88"/>
      <c r="AKT49" s="88"/>
      <c r="AKU49" s="88"/>
      <c r="AKV49" s="88"/>
      <c r="AKW49" s="88"/>
      <c r="AKX49" s="88"/>
      <c r="AKY49" s="88"/>
      <c r="AKZ49" s="88"/>
      <c r="ALA49" s="88"/>
      <c r="ALB49" s="88"/>
      <c r="ALC49" s="88"/>
      <c r="ALD49" s="88"/>
      <c r="ALE49" s="88"/>
      <c r="ALF49" s="88"/>
      <c r="ALG49" s="88"/>
      <c r="ALH49" s="88"/>
      <c r="ALI49" s="88"/>
      <c r="ALJ49" s="88"/>
      <c r="ALK49" s="88"/>
      <c r="ALL49" s="88"/>
      <c r="ALM49" s="88"/>
      <c r="ALN49" s="88"/>
      <c r="ALO49" s="88"/>
      <c r="ALP49" s="88"/>
      <c r="ALQ49" s="88"/>
      <c r="ALR49" s="88"/>
      <c r="ALS49" s="88"/>
      <c r="ALT49" s="88"/>
      <c r="ALU49" s="88"/>
      <c r="ALV49" s="88"/>
      <c r="ALW49" s="88"/>
      <c r="ALX49" s="88"/>
      <c r="ALY49" s="88"/>
      <c r="ALZ49" s="88"/>
      <c r="AMA49" s="88"/>
      <c r="AMB49" s="88"/>
      <c r="AMC49" s="88"/>
      <c r="AMD49" s="88"/>
      <c r="AME49" s="88"/>
      <c r="AMF49" s="88"/>
      <c r="AMG49" s="88"/>
      <c r="AMH49" s="88"/>
      <c r="AMI49" s="88"/>
      <c r="AMJ49" s="88"/>
      <c r="AMK49" s="88"/>
      <c r="AML49" s="88"/>
      <c r="AMM49" s="88"/>
      <c r="AMN49" s="88"/>
      <c r="AMO49" s="88"/>
      <c r="AMP49" s="88"/>
      <c r="AMQ49" s="88"/>
      <c r="AMR49" s="88"/>
      <c r="AMS49" s="88"/>
      <c r="AMT49" s="88"/>
      <c r="AMU49" s="88"/>
      <c r="AMV49" s="88"/>
      <c r="AMW49" s="88"/>
      <c r="AMX49" s="88"/>
      <c r="AMY49" s="88"/>
      <c r="AMZ49" s="88"/>
      <c r="ANA49" s="88"/>
      <c r="ANB49" s="88"/>
      <c r="ANC49" s="88"/>
      <c r="AND49" s="88"/>
      <c r="ANE49" s="88"/>
      <c r="ANF49" s="88"/>
      <c r="ANG49" s="88"/>
      <c r="ANH49" s="88"/>
      <c r="ANI49" s="88"/>
      <c r="ANJ49" s="88"/>
      <c r="ANK49" s="88"/>
      <c r="ANL49" s="88"/>
      <c r="ANM49" s="88"/>
      <c r="ANN49" s="88"/>
      <c r="ANO49" s="88"/>
      <c r="ANP49" s="88"/>
      <c r="ANQ49" s="88"/>
      <c r="ANR49" s="88"/>
      <c r="ANS49" s="88"/>
      <c r="ANT49" s="88"/>
      <c r="ANU49" s="88"/>
      <c r="ANV49" s="88"/>
      <c r="ANW49" s="88"/>
      <c r="ANX49" s="88"/>
      <c r="ANY49" s="88"/>
      <c r="ANZ49" s="88"/>
      <c r="AOA49" s="88"/>
      <c r="AOB49" s="88"/>
      <c r="AOC49" s="88"/>
      <c r="AOD49" s="88"/>
      <c r="AOE49" s="88"/>
      <c r="AOF49" s="88"/>
      <c r="AOG49" s="88"/>
      <c r="AOH49" s="88"/>
      <c r="AOI49" s="88"/>
      <c r="AOJ49" s="88"/>
      <c r="AOK49" s="88"/>
      <c r="AOL49" s="88"/>
      <c r="AOM49" s="88"/>
      <c r="AON49" s="88"/>
      <c r="AOO49" s="88"/>
      <c r="AOP49" s="88"/>
      <c r="AOQ49" s="88"/>
      <c r="AOR49" s="88"/>
      <c r="AOS49" s="88"/>
      <c r="AOT49" s="88"/>
      <c r="AOU49" s="88"/>
      <c r="AOV49" s="88"/>
      <c r="AOW49" s="88"/>
      <c r="AOX49" s="88"/>
      <c r="AOY49" s="88"/>
      <c r="AOZ49" s="88"/>
      <c r="APA49" s="88"/>
      <c r="APB49" s="88"/>
      <c r="APC49" s="88"/>
      <c r="APD49" s="88"/>
      <c r="APE49" s="88"/>
      <c r="APF49" s="88"/>
      <c r="APG49" s="88"/>
      <c r="APH49" s="88"/>
      <c r="API49" s="88"/>
      <c r="APJ49" s="88"/>
      <c r="APK49" s="88"/>
      <c r="APL49" s="88"/>
      <c r="APM49" s="88"/>
      <c r="APN49" s="88"/>
      <c r="APO49" s="88"/>
      <c r="APP49" s="88"/>
      <c r="APQ49" s="88"/>
      <c r="APR49" s="88"/>
      <c r="APS49" s="88"/>
      <c r="APT49" s="88"/>
      <c r="APU49" s="88"/>
      <c r="APV49" s="88"/>
      <c r="APW49" s="88"/>
      <c r="APX49" s="88"/>
      <c r="APY49" s="88"/>
      <c r="APZ49" s="88"/>
      <c r="AQA49" s="88"/>
      <c r="AQB49" s="88"/>
      <c r="AQC49" s="88"/>
      <c r="AQD49" s="88"/>
      <c r="AQE49" s="88"/>
      <c r="AQF49" s="88"/>
      <c r="AQG49" s="88"/>
      <c r="AQH49" s="88"/>
      <c r="AQI49" s="88"/>
      <c r="AQJ49" s="88"/>
      <c r="AQK49" s="88"/>
      <c r="AQL49" s="88"/>
      <c r="AQM49" s="88"/>
      <c r="AQN49" s="88"/>
      <c r="AQO49" s="88"/>
      <c r="AQP49" s="88"/>
      <c r="AQQ49" s="88"/>
      <c r="AQR49" s="88"/>
      <c r="AQS49" s="88"/>
      <c r="AQT49" s="88"/>
      <c r="AQU49" s="88"/>
      <c r="AQV49" s="88"/>
      <c r="AQW49" s="88"/>
      <c r="AQX49" s="88"/>
      <c r="AQY49" s="88"/>
      <c r="AQZ49" s="88"/>
      <c r="ARA49" s="88"/>
      <c r="ARB49" s="88"/>
      <c r="ARC49" s="88"/>
      <c r="ARD49" s="88"/>
      <c r="ARE49" s="88"/>
      <c r="ARF49" s="88"/>
      <c r="ARG49" s="88"/>
      <c r="ARH49" s="88"/>
      <c r="ARI49" s="88"/>
      <c r="ARJ49" s="88"/>
      <c r="ARK49" s="88"/>
      <c r="ARL49" s="88"/>
      <c r="ARM49" s="88"/>
      <c r="ARN49" s="88"/>
      <c r="ARO49" s="88"/>
      <c r="ARP49" s="88"/>
      <c r="ARQ49" s="88"/>
      <c r="ARR49" s="88"/>
      <c r="ARS49" s="88"/>
      <c r="ART49" s="88"/>
      <c r="ARU49" s="88"/>
      <c r="ARV49" s="88"/>
      <c r="ARW49" s="88"/>
      <c r="ARX49" s="88"/>
      <c r="ARY49" s="88"/>
      <c r="ARZ49" s="88"/>
      <c r="ASA49" s="88"/>
      <c r="ASB49" s="88"/>
      <c r="ASC49" s="88"/>
      <c r="ASD49" s="88"/>
      <c r="ASE49" s="88"/>
      <c r="ASF49" s="88"/>
      <c r="ASG49" s="88"/>
      <c r="ASH49" s="88"/>
      <c r="ASI49" s="88"/>
      <c r="ASJ49" s="88"/>
      <c r="ASK49" s="88"/>
      <c r="ASL49" s="88"/>
      <c r="ASM49" s="88"/>
      <c r="ASN49" s="88"/>
      <c r="ASO49" s="88"/>
      <c r="ASP49" s="88"/>
      <c r="ASQ49" s="88"/>
      <c r="ASR49" s="88"/>
      <c r="ASS49" s="88"/>
      <c r="AST49" s="88"/>
      <c r="ASU49" s="88"/>
      <c r="ASV49" s="88"/>
      <c r="ASW49" s="88"/>
      <c r="ASX49" s="88"/>
      <c r="ASY49" s="88"/>
      <c r="ASZ49" s="88"/>
      <c r="ATA49" s="88"/>
      <c r="ATB49" s="88"/>
      <c r="ATC49" s="88"/>
      <c r="ATD49" s="88"/>
      <c r="ATE49" s="88"/>
      <c r="ATF49" s="88"/>
      <c r="ATG49" s="88"/>
      <c r="ATH49" s="88"/>
      <c r="ATI49" s="88"/>
      <c r="ATJ49" s="88"/>
      <c r="ATK49" s="88"/>
      <c r="ATL49" s="88"/>
      <c r="ATM49" s="88"/>
      <c r="ATN49" s="88"/>
      <c r="ATO49" s="88"/>
      <c r="ATP49" s="88"/>
      <c r="ATQ49" s="88"/>
      <c r="ATR49" s="88"/>
      <c r="ATS49" s="88"/>
      <c r="ATT49" s="88"/>
      <c r="ATU49" s="88"/>
      <c r="ATV49" s="88"/>
      <c r="ATW49" s="88"/>
      <c r="ATX49" s="88"/>
      <c r="ATY49" s="88"/>
      <c r="ATZ49" s="88"/>
      <c r="AUA49" s="88"/>
      <c r="AUB49" s="88"/>
      <c r="AUC49" s="88"/>
      <c r="AUD49" s="88"/>
      <c r="AUE49" s="88"/>
      <c r="AUF49" s="88"/>
      <c r="AUG49" s="88"/>
      <c r="AUH49" s="88"/>
      <c r="AUI49" s="88"/>
      <c r="AUJ49" s="88"/>
      <c r="AUK49" s="88"/>
      <c r="AUL49" s="88"/>
      <c r="AUM49" s="88"/>
      <c r="AUN49" s="88"/>
      <c r="AUO49" s="88"/>
      <c r="AUP49" s="88"/>
      <c r="AUQ49" s="88"/>
      <c r="AUR49" s="88"/>
      <c r="AUS49" s="88"/>
      <c r="AUT49" s="88"/>
      <c r="AUU49" s="88"/>
      <c r="AUV49" s="88"/>
      <c r="AUW49" s="88"/>
      <c r="AUX49" s="88"/>
      <c r="AUY49" s="88"/>
      <c r="AUZ49" s="88"/>
      <c r="AVA49" s="88"/>
      <c r="AVB49" s="88"/>
      <c r="AVC49" s="88"/>
      <c r="AVD49" s="88"/>
      <c r="AVE49" s="88"/>
      <c r="AVF49" s="88"/>
      <c r="AVG49" s="88"/>
      <c r="AVH49" s="88"/>
      <c r="AVI49" s="88"/>
      <c r="AVJ49" s="88"/>
      <c r="AVK49" s="88"/>
      <c r="AVL49" s="88"/>
      <c r="AVM49" s="88"/>
      <c r="AVN49" s="88"/>
      <c r="AVO49" s="88"/>
      <c r="AVP49" s="88"/>
      <c r="AVQ49" s="88"/>
      <c r="AVR49" s="88"/>
      <c r="AVS49" s="88"/>
      <c r="AVT49" s="88"/>
      <c r="AVU49" s="88"/>
      <c r="AVV49" s="88"/>
      <c r="AVW49" s="88"/>
      <c r="AVX49" s="88"/>
      <c r="AVY49" s="88"/>
      <c r="AVZ49" s="88"/>
      <c r="AWA49" s="88"/>
      <c r="AWB49" s="88"/>
      <c r="AWC49" s="88"/>
      <c r="AWD49" s="88"/>
      <c r="AWE49" s="88"/>
      <c r="AWF49" s="88"/>
      <c r="AWG49" s="88"/>
      <c r="AWH49" s="88"/>
      <c r="AWI49" s="88"/>
      <c r="AWJ49" s="88"/>
      <c r="AWK49" s="88"/>
      <c r="AWL49" s="88"/>
      <c r="AWM49" s="88"/>
      <c r="AWN49" s="88"/>
      <c r="AWO49" s="88"/>
      <c r="AWP49" s="88"/>
      <c r="AWQ49" s="88"/>
      <c r="AWR49" s="88"/>
      <c r="AWS49" s="88"/>
      <c r="AWT49" s="88"/>
      <c r="AWU49" s="88"/>
      <c r="AWV49" s="88"/>
      <c r="AWW49" s="88"/>
      <c r="AWX49" s="88"/>
      <c r="AWY49" s="88"/>
      <c r="AWZ49" s="88"/>
      <c r="AXA49" s="88"/>
      <c r="AXB49" s="88"/>
      <c r="AXC49" s="88"/>
      <c r="AXD49" s="88"/>
      <c r="AXE49" s="88"/>
      <c r="AXF49" s="88"/>
      <c r="AXG49" s="88"/>
      <c r="AXH49" s="88"/>
      <c r="AXI49" s="88"/>
      <c r="AXJ49" s="88"/>
      <c r="AXK49" s="88"/>
      <c r="AXL49" s="88"/>
      <c r="AXM49" s="88"/>
      <c r="AXN49" s="88"/>
      <c r="AXO49" s="88"/>
      <c r="AXP49" s="88"/>
      <c r="AXQ49" s="88"/>
      <c r="AXR49" s="88"/>
      <c r="AXS49" s="88"/>
      <c r="AXT49" s="88"/>
      <c r="AXU49" s="88"/>
      <c r="AXV49" s="88"/>
      <c r="AXW49" s="88"/>
      <c r="AXX49" s="88"/>
      <c r="AXY49" s="88"/>
      <c r="AXZ49" s="88"/>
      <c r="AYA49" s="88"/>
      <c r="AYB49" s="88"/>
      <c r="AYC49" s="88"/>
      <c r="AYD49" s="88"/>
      <c r="AYE49" s="88"/>
      <c r="AYF49" s="88"/>
      <c r="AYG49" s="88"/>
      <c r="AYH49" s="88"/>
      <c r="AYI49" s="88"/>
      <c r="AYJ49" s="88"/>
      <c r="AYK49" s="88"/>
      <c r="AYL49" s="88"/>
      <c r="AYM49" s="88"/>
      <c r="AYN49" s="88"/>
      <c r="AYO49" s="88"/>
      <c r="AYP49" s="88"/>
      <c r="AYQ49" s="88"/>
      <c r="AYR49" s="88"/>
      <c r="AYS49" s="88"/>
      <c r="AYT49" s="88"/>
      <c r="AYU49" s="88"/>
      <c r="AYV49" s="88"/>
      <c r="AYW49" s="88"/>
      <c r="AYX49" s="88"/>
      <c r="AYY49" s="88"/>
      <c r="AYZ49" s="88"/>
      <c r="AZA49" s="88"/>
      <c r="AZB49" s="88"/>
      <c r="AZC49" s="88"/>
      <c r="AZD49" s="88"/>
      <c r="AZE49" s="88"/>
      <c r="AZF49" s="88"/>
      <c r="AZG49" s="88"/>
      <c r="AZH49" s="88"/>
      <c r="AZI49" s="88"/>
      <c r="AZJ49" s="88"/>
      <c r="AZK49" s="88"/>
      <c r="AZL49" s="88"/>
      <c r="AZM49" s="88"/>
      <c r="AZN49" s="88"/>
      <c r="AZO49" s="88"/>
      <c r="AZP49" s="88"/>
      <c r="AZQ49" s="88"/>
      <c r="AZR49" s="88"/>
      <c r="AZS49" s="88"/>
      <c r="AZT49" s="88"/>
      <c r="AZU49" s="88"/>
      <c r="AZV49" s="88"/>
      <c r="AZW49" s="88"/>
      <c r="AZX49" s="88"/>
      <c r="AZY49" s="88"/>
      <c r="AZZ49" s="88"/>
      <c r="BAA49" s="88"/>
      <c r="BAB49" s="88"/>
      <c r="BAC49" s="88"/>
      <c r="BAD49" s="88"/>
      <c r="BAE49" s="88"/>
      <c r="BAF49" s="88"/>
      <c r="BAG49" s="88"/>
      <c r="BAH49" s="88"/>
      <c r="BAI49" s="88"/>
      <c r="BAJ49" s="88"/>
      <c r="BAK49" s="88"/>
      <c r="BAL49" s="88"/>
      <c r="BAM49" s="88"/>
      <c r="BAN49" s="88"/>
      <c r="BAO49" s="88"/>
      <c r="BAP49" s="88"/>
      <c r="BAQ49" s="88"/>
      <c r="BAR49" s="88"/>
      <c r="BAS49" s="88"/>
      <c r="BAT49" s="88"/>
      <c r="BAU49" s="88"/>
      <c r="BAV49" s="88"/>
      <c r="BAW49" s="88"/>
      <c r="BAX49" s="88"/>
      <c r="BAY49" s="88"/>
      <c r="BAZ49" s="88"/>
      <c r="BBA49" s="88"/>
      <c r="BBB49" s="88"/>
      <c r="BBC49" s="88"/>
      <c r="BBD49" s="88"/>
      <c r="BBE49" s="88"/>
      <c r="BBF49" s="88"/>
      <c r="BBG49" s="88"/>
      <c r="BBH49" s="88"/>
      <c r="BBI49" s="88"/>
      <c r="BBJ49" s="88"/>
      <c r="BBK49" s="88"/>
      <c r="BBL49" s="88"/>
      <c r="BBM49" s="88"/>
      <c r="BBN49" s="88"/>
      <c r="BBO49" s="88"/>
      <c r="BBP49" s="88"/>
      <c r="BBQ49" s="88"/>
      <c r="BBR49" s="88"/>
      <c r="BBS49" s="88"/>
      <c r="BBT49" s="88"/>
      <c r="BBU49" s="88"/>
      <c r="BBV49" s="88"/>
      <c r="BBW49" s="88"/>
      <c r="BBX49" s="88"/>
      <c r="BBY49" s="88"/>
      <c r="BBZ49" s="88"/>
      <c r="BCA49" s="88"/>
      <c r="BCB49" s="88"/>
      <c r="BCC49" s="88"/>
      <c r="BCD49" s="88"/>
      <c r="BCE49" s="88"/>
      <c r="BCF49" s="88"/>
      <c r="BCG49" s="88"/>
      <c r="BCH49" s="88"/>
      <c r="BCI49" s="88"/>
      <c r="BCJ49" s="88"/>
      <c r="BCK49" s="88"/>
      <c r="BCL49" s="88"/>
      <c r="BCM49" s="88"/>
      <c r="BCN49" s="88"/>
      <c r="BCO49" s="88"/>
      <c r="BCP49" s="88"/>
      <c r="BCQ49" s="88"/>
      <c r="BCR49" s="88"/>
      <c r="BCS49" s="88"/>
      <c r="BCT49" s="88"/>
      <c r="BCU49" s="88"/>
      <c r="BCV49" s="88"/>
      <c r="BCW49" s="88"/>
      <c r="BCX49" s="88"/>
      <c r="BCY49" s="88"/>
      <c r="BCZ49" s="88"/>
      <c r="BDA49" s="88"/>
      <c r="BDB49" s="88"/>
      <c r="BDC49" s="88"/>
      <c r="BDD49" s="88"/>
      <c r="BDE49" s="88"/>
      <c r="BDF49" s="88"/>
      <c r="BDG49" s="88"/>
      <c r="BDH49" s="88"/>
      <c r="BDI49" s="88"/>
      <c r="BDJ49" s="88"/>
      <c r="BDK49" s="88"/>
      <c r="BDL49" s="88"/>
      <c r="BDM49" s="88"/>
      <c r="BDN49" s="88"/>
      <c r="BDO49" s="88"/>
      <c r="BDP49" s="88"/>
      <c r="BDQ49" s="88"/>
      <c r="BDR49" s="88"/>
      <c r="BDS49" s="88"/>
      <c r="BDT49" s="88"/>
      <c r="BDU49" s="88"/>
      <c r="BDV49" s="88"/>
      <c r="BDW49" s="88"/>
      <c r="BDX49" s="88"/>
      <c r="BDY49" s="88"/>
      <c r="BDZ49" s="88"/>
      <c r="BEA49" s="88"/>
      <c r="BEB49" s="88"/>
      <c r="BEC49" s="88"/>
      <c r="BED49" s="88"/>
      <c r="BEE49" s="88"/>
      <c r="BEF49" s="88"/>
      <c r="BEG49" s="88"/>
      <c r="BEH49" s="88"/>
      <c r="BEI49" s="88"/>
      <c r="BEJ49" s="88"/>
      <c r="BEK49" s="88"/>
      <c r="BEL49" s="88"/>
      <c r="BEM49" s="88"/>
      <c r="BEN49" s="88"/>
      <c r="BEO49" s="88"/>
      <c r="BEP49" s="88"/>
      <c r="BEQ49" s="88"/>
      <c r="BER49" s="88"/>
      <c r="BES49" s="88"/>
      <c r="BET49" s="88"/>
      <c r="BEU49" s="88"/>
      <c r="BEV49" s="88"/>
      <c r="BEW49" s="88"/>
      <c r="BEX49" s="88"/>
      <c r="BEY49" s="88"/>
      <c r="BEZ49" s="88"/>
      <c r="BFA49" s="88"/>
      <c r="BFB49" s="88"/>
      <c r="BFC49" s="88"/>
      <c r="BFD49" s="88"/>
      <c r="BFE49" s="88"/>
      <c r="BFF49" s="88"/>
      <c r="BFG49" s="88"/>
      <c r="BFH49" s="88"/>
      <c r="BFI49" s="88"/>
      <c r="BFJ49" s="88"/>
      <c r="BFK49" s="88"/>
      <c r="BFL49" s="88"/>
      <c r="BFM49" s="88"/>
      <c r="BFN49" s="88"/>
      <c r="BFO49" s="88"/>
      <c r="BFP49" s="88"/>
      <c r="BFQ49" s="88"/>
      <c r="BFR49" s="88"/>
      <c r="BFS49" s="88"/>
      <c r="BFT49" s="88"/>
      <c r="BFU49" s="88"/>
      <c r="BFV49" s="88"/>
      <c r="BFW49" s="88"/>
      <c r="BFX49" s="88"/>
      <c r="BFY49" s="88"/>
      <c r="BFZ49" s="88"/>
      <c r="BGA49" s="88"/>
      <c r="BGB49" s="88"/>
      <c r="BGC49" s="88"/>
      <c r="BGD49" s="88"/>
      <c r="BGE49" s="88"/>
      <c r="BGF49" s="88"/>
      <c r="BGG49" s="88"/>
      <c r="BGH49" s="88"/>
      <c r="BGI49" s="88"/>
      <c r="BGJ49" s="88"/>
      <c r="BGK49" s="88"/>
      <c r="BGL49" s="88"/>
      <c r="BGM49" s="88"/>
      <c r="BGN49" s="88"/>
      <c r="BGO49" s="88"/>
      <c r="BGP49" s="88"/>
      <c r="BGQ49" s="88"/>
      <c r="BGR49" s="88"/>
      <c r="BGS49" s="88"/>
      <c r="BGT49" s="88"/>
      <c r="BGU49" s="88"/>
      <c r="BGV49" s="88"/>
      <c r="BGW49" s="88"/>
      <c r="BGX49" s="88"/>
      <c r="BGY49" s="88"/>
      <c r="BGZ49" s="88"/>
      <c r="BHA49" s="88"/>
      <c r="BHB49" s="88"/>
      <c r="BHC49" s="88"/>
      <c r="BHD49" s="88"/>
      <c r="BHE49" s="88"/>
      <c r="BHF49" s="88"/>
      <c r="BHG49" s="88"/>
      <c r="BHH49" s="88"/>
      <c r="BHI49" s="88"/>
      <c r="BHJ49" s="88"/>
      <c r="BHK49" s="88"/>
      <c r="BHL49" s="88"/>
      <c r="BHM49" s="88"/>
      <c r="BHN49" s="88"/>
      <c r="BHO49" s="88"/>
      <c r="BHP49" s="88"/>
      <c r="BHQ49" s="88"/>
      <c r="BHR49" s="88"/>
      <c r="BHS49" s="88"/>
      <c r="BHT49" s="88"/>
      <c r="BHU49" s="88"/>
      <c r="BHV49" s="88"/>
      <c r="BHW49" s="88"/>
      <c r="BHX49" s="88"/>
      <c r="BHY49" s="88"/>
      <c r="BHZ49" s="88"/>
      <c r="BIA49" s="88"/>
      <c r="BIB49" s="88"/>
      <c r="BIC49" s="88"/>
      <c r="BID49" s="88"/>
      <c r="BIE49" s="88"/>
      <c r="BIF49" s="88"/>
      <c r="BIG49" s="88"/>
      <c r="BIH49" s="88"/>
      <c r="BII49" s="88"/>
      <c r="BIJ49" s="88"/>
      <c r="BIK49" s="88"/>
      <c r="BIL49" s="88"/>
      <c r="BIM49" s="88"/>
      <c r="BIN49" s="88"/>
      <c r="BIO49" s="88"/>
      <c r="BIP49" s="88"/>
      <c r="BIQ49" s="88"/>
      <c r="BIR49" s="88"/>
      <c r="BIS49" s="88"/>
      <c r="BIT49" s="88"/>
      <c r="BIU49" s="88"/>
      <c r="BIV49" s="88"/>
      <c r="BIW49" s="88"/>
      <c r="BIX49" s="88"/>
      <c r="BIY49" s="88"/>
      <c r="BIZ49" s="88"/>
      <c r="BJA49" s="88"/>
      <c r="BJB49" s="88"/>
      <c r="BJC49" s="88"/>
      <c r="BJD49" s="88"/>
      <c r="BJE49" s="88"/>
      <c r="BJF49" s="88"/>
      <c r="BJG49" s="88"/>
      <c r="BJH49" s="88"/>
      <c r="BJI49" s="88"/>
      <c r="BJJ49" s="88"/>
      <c r="BJK49" s="88"/>
      <c r="BJL49" s="88"/>
      <c r="BJM49" s="88"/>
      <c r="BJN49" s="88"/>
      <c r="BJO49" s="88"/>
      <c r="BJP49" s="88"/>
      <c r="BJQ49" s="88"/>
      <c r="BJR49" s="88"/>
      <c r="BJS49" s="88"/>
      <c r="BJT49" s="88"/>
      <c r="BJU49" s="88"/>
      <c r="BJV49" s="88"/>
      <c r="BJW49" s="88"/>
      <c r="BJX49" s="88"/>
      <c r="BJY49" s="88"/>
      <c r="BJZ49" s="88"/>
      <c r="BKA49" s="88"/>
      <c r="BKB49" s="88"/>
      <c r="BKC49" s="88"/>
      <c r="BKD49" s="88"/>
      <c r="BKE49" s="88"/>
      <c r="BKF49" s="88"/>
      <c r="BKG49" s="88"/>
      <c r="BKH49" s="88"/>
      <c r="BKI49" s="88"/>
      <c r="BKJ49" s="88"/>
      <c r="BKK49" s="88"/>
      <c r="BKL49" s="88"/>
      <c r="BKM49" s="88"/>
      <c r="BKN49" s="88"/>
      <c r="BKO49" s="88"/>
      <c r="BKP49" s="88"/>
      <c r="BKQ49" s="88"/>
      <c r="BKR49" s="88"/>
      <c r="BKS49" s="88"/>
      <c r="BKT49" s="88"/>
      <c r="BKU49" s="88"/>
      <c r="BKV49" s="88"/>
      <c r="BKW49" s="88"/>
      <c r="BKX49" s="88"/>
      <c r="BKY49" s="88"/>
      <c r="BKZ49" s="88"/>
      <c r="BLA49" s="88"/>
      <c r="BLB49" s="88"/>
      <c r="BLC49" s="88"/>
      <c r="BLD49" s="88"/>
      <c r="BLE49" s="88"/>
      <c r="BLF49" s="88"/>
      <c r="BLG49" s="88"/>
      <c r="BLH49" s="88"/>
      <c r="BLI49" s="88"/>
      <c r="BLJ49" s="88"/>
      <c r="BLK49" s="88"/>
      <c r="BLL49" s="88"/>
      <c r="BLM49" s="88"/>
      <c r="BLN49" s="88"/>
      <c r="BLO49" s="88"/>
      <c r="BLP49" s="88"/>
      <c r="BLQ49" s="88"/>
      <c r="BLR49" s="88"/>
      <c r="BLS49" s="88"/>
      <c r="BLT49" s="88"/>
      <c r="BLU49" s="88"/>
      <c r="BLV49" s="88"/>
      <c r="BLW49" s="88"/>
      <c r="BLX49" s="88"/>
      <c r="BLY49" s="88"/>
      <c r="BLZ49" s="88"/>
      <c r="BMA49" s="88"/>
      <c r="BMB49" s="88"/>
      <c r="BMC49" s="88"/>
      <c r="BMD49" s="88"/>
      <c r="BME49" s="88"/>
      <c r="BMF49" s="88"/>
      <c r="BMG49" s="88"/>
      <c r="BMH49" s="88"/>
      <c r="BMI49" s="88"/>
      <c r="BMJ49" s="88"/>
      <c r="BMK49" s="88"/>
      <c r="BML49" s="88"/>
      <c r="BMM49" s="88"/>
      <c r="BMN49" s="88"/>
      <c r="BMO49" s="88"/>
      <c r="BMP49" s="88"/>
      <c r="BMQ49" s="88"/>
      <c r="BMR49" s="88"/>
      <c r="BMS49" s="88"/>
      <c r="BMT49" s="88"/>
      <c r="BMU49" s="88"/>
      <c r="BMV49" s="88"/>
      <c r="BMW49" s="88"/>
      <c r="BMX49" s="88"/>
      <c r="BMY49" s="88"/>
      <c r="BMZ49" s="88"/>
      <c r="BNA49" s="88"/>
      <c r="BNB49" s="88"/>
      <c r="BNC49" s="88"/>
      <c r="BND49" s="88"/>
      <c r="BNE49" s="88"/>
      <c r="BNF49" s="88"/>
      <c r="BNG49" s="88"/>
      <c r="BNH49" s="88"/>
      <c r="BNI49" s="88"/>
      <c r="BNJ49" s="88"/>
      <c r="BNK49" s="88"/>
      <c r="BNL49" s="88"/>
      <c r="BNM49" s="88"/>
      <c r="BNN49" s="88"/>
      <c r="BNO49" s="88"/>
      <c r="BNP49" s="88"/>
      <c r="BNQ49" s="88"/>
      <c r="BNR49" s="88"/>
      <c r="BNS49" s="88"/>
      <c r="BNT49" s="88"/>
      <c r="BNU49" s="88"/>
      <c r="BNV49" s="88"/>
      <c r="BNW49" s="88"/>
      <c r="BNX49" s="88"/>
      <c r="BNY49" s="88"/>
      <c r="BNZ49" s="88"/>
      <c r="BOA49" s="88"/>
      <c r="BOB49" s="88"/>
      <c r="BOC49" s="88"/>
      <c r="BOD49" s="88"/>
      <c r="BOE49" s="88"/>
      <c r="BOF49" s="88"/>
      <c r="BOG49" s="88"/>
      <c r="BOH49" s="88"/>
      <c r="BOI49" s="88"/>
      <c r="BOJ49" s="88"/>
      <c r="BOK49" s="88"/>
      <c r="BOL49" s="88"/>
      <c r="BOM49" s="88"/>
      <c r="BON49" s="88"/>
      <c r="BOO49" s="88"/>
      <c r="BOP49" s="88"/>
      <c r="BOQ49" s="88"/>
      <c r="BOR49" s="88"/>
      <c r="BOS49" s="88"/>
      <c r="BOT49" s="88"/>
      <c r="BOU49" s="88"/>
      <c r="BOV49" s="88"/>
      <c r="BOW49" s="88"/>
      <c r="BOX49" s="88"/>
      <c r="BOY49" s="88"/>
      <c r="BOZ49" s="88"/>
      <c r="BPA49" s="88"/>
      <c r="BPB49" s="88"/>
      <c r="BPC49" s="88"/>
      <c r="BPD49" s="88"/>
      <c r="BPE49" s="88"/>
      <c r="BPF49" s="88"/>
      <c r="BPG49" s="88"/>
      <c r="BPH49" s="88"/>
      <c r="BPI49" s="88"/>
      <c r="BPJ49" s="88"/>
      <c r="BPK49" s="88"/>
      <c r="BPL49" s="88"/>
      <c r="BPM49" s="88"/>
      <c r="BPN49" s="88"/>
      <c r="BPO49" s="88"/>
      <c r="BPP49" s="88"/>
      <c r="BPQ49" s="88"/>
      <c r="BPR49" s="88"/>
      <c r="BPS49" s="88"/>
      <c r="BPT49" s="88"/>
      <c r="BPU49" s="88"/>
      <c r="BPV49" s="88"/>
      <c r="BPW49" s="88"/>
      <c r="BPX49" s="88"/>
      <c r="BPY49" s="88"/>
      <c r="BPZ49" s="88"/>
      <c r="BQA49" s="88"/>
      <c r="BQB49" s="88"/>
      <c r="BQC49" s="88"/>
      <c r="BQD49" s="88"/>
      <c r="BQE49" s="88"/>
      <c r="BQF49" s="88"/>
      <c r="BQG49" s="88"/>
      <c r="BQH49" s="88"/>
      <c r="BQI49" s="88"/>
      <c r="BQJ49" s="88"/>
      <c r="BQK49" s="88"/>
      <c r="BQL49" s="88"/>
      <c r="BQM49" s="88"/>
      <c r="BQN49" s="88"/>
      <c r="BQO49" s="88"/>
      <c r="BQP49" s="88"/>
      <c r="BQQ49" s="88"/>
      <c r="BQR49" s="88"/>
      <c r="BQS49" s="88"/>
      <c r="BQT49" s="88"/>
      <c r="BQU49" s="88"/>
      <c r="BQV49" s="88"/>
      <c r="BQW49" s="88"/>
      <c r="BQX49" s="88"/>
      <c r="BQY49" s="88"/>
      <c r="BQZ49" s="88"/>
      <c r="BRA49" s="88"/>
      <c r="BRB49" s="88"/>
      <c r="BRC49" s="88"/>
      <c r="BRD49" s="88"/>
      <c r="BRE49" s="88"/>
      <c r="BRF49" s="88"/>
      <c r="BRG49" s="88"/>
      <c r="BRH49" s="88"/>
      <c r="BRI49" s="88"/>
      <c r="BRJ49" s="88"/>
      <c r="BRK49" s="88"/>
      <c r="BRL49" s="88"/>
      <c r="BRM49" s="88"/>
      <c r="BRN49" s="88"/>
      <c r="BRO49" s="88"/>
      <c r="BRP49" s="88"/>
      <c r="BRQ49" s="88"/>
      <c r="BRR49" s="88"/>
      <c r="BRS49" s="88"/>
      <c r="BRT49" s="88"/>
      <c r="BRU49" s="88"/>
      <c r="BRV49" s="88"/>
      <c r="BRW49" s="88"/>
      <c r="BRX49" s="88"/>
      <c r="BRY49" s="88"/>
      <c r="BRZ49" s="88"/>
      <c r="BSA49" s="88"/>
      <c r="BSB49" s="88"/>
      <c r="BSC49" s="88"/>
      <c r="BSD49" s="88"/>
      <c r="BSE49" s="88"/>
      <c r="BSF49" s="88"/>
      <c r="BSG49" s="88"/>
      <c r="BSH49" s="88"/>
      <c r="BSI49" s="88"/>
      <c r="BSJ49" s="88"/>
      <c r="BSK49" s="88"/>
      <c r="BSL49" s="88"/>
      <c r="BSM49" s="88"/>
      <c r="BSN49" s="88"/>
      <c r="BSO49" s="88"/>
      <c r="BSP49" s="88"/>
      <c r="BSQ49" s="88"/>
      <c r="BSR49" s="88"/>
      <c r="BSS49" s="88"/>
      <c r="BST49" s="88"/>
      <c r="BSU49" s="88"/>
      <c r="BSV49" s="88"/>
      <c r="BSW49" s="88"/>
      <c r="BSX49" s="88"/>
      <c r="BSY49" s="88"/>
      <c r="BSZ49" s="88"/>
      <c r="BTA49" s="88"/>
      <c r="BTB49" s="88"/>
      <c r="BTC49" s="88"/>
      <c r="BTD49" s="88"/>
      <c r="BTE49" s="88"/>
      <c r="BTF49" s="88"/>
      <c r="BTG49" s="88"/>
      <c r="BTH49" s="88"/>
      <c r="BTI49" s="88"/>
      <c r="BTJ49" s="88"/>
      <c r="BTK49" s="88"/>
      <c r="BTL49" s="88"/>
      <c r="BTM49" s="88"/>
      <c r="BTN49" s="88"/>
      <c r="BTO49" s="88"/>
      <c r="BTP49" s="88"/>
      <c r="BTQ49" s="88"/>
      <c r="BTR49" s="88"/>
      <c r="BTS49" s="88"/>
      <c r="BTT49" s="88"/>
      <c r="BTU49" s="88"/>
      <c r="BTV49" s="88"/>
      <c r="BTW49" s="88"/>
      <c r="BTX49" s="88"/>
      <c r="BTY49" s="88"/>
      <c r="BTZ49" s="88"/>
      <c r="BUA49" s="88"/>
      <c r="BUB49" s="88"/>
      <c r="BUC49" s="88"/>
      <c r="BUD49" s="88"/>
      <c r="BUE49" s="88"/>
      <c r="BUF49" s="88"/>
      <c r="BUG49" s="88"/>
      <c r="BUH49" s="88"/>
      <c r="BUI49" s="88"/>
      <c r="BUJ49" s="88"/>
      <c r="BUK49" s="88"/>
      <c r="BUL49" s="88"/>
      <c r="BUM49" s="88"/>
      <c r="BUN49" s="88"/>
      <c r="BUO49" s="88"/>
      <c r="BUP49" s="88"/>
      <c r="BUQ49" s="88"/>
      <c r="BUR49" s="88"/>
      <c r="BUS49" s="88"/>
      <c r="BUT49" s="88"/>
      <c r="BUU49" s="88"/>
      <c r="BUV49" s="88"/>
      <c r="BUW49" s="88"/>
      <c r="BUX49" s="88"/>
      <c r="BUY49" s="88"/>
      <c r="BUZ49" s="88"/>
      <c r="BVA49" s="88"/>
      <c r="BVB49" s="88"/>
      <c r="BVC49" s="88"/>
      <c r="BVD49" s="88"/>
      <c r="BVE49" s="88"/>
      <c r="BVF49" s="88"/>
      <c r="BVG49" s="88"/>
      <c r="BVH49" s="88"/>
      <c r="BVI49" s="88"/>
      <c r="BVJ49" s="88"/>
      <c r="BVK49" s="88"/>
      <c r="BVL49" s="88"/>
      <c r="BVM49" s="88"/>
      <c r="BVN49" s="88"/>
      <c r="BVO49" s="88"/>
      <c r="BVP49" s="88"/>
      <c r="BVQ49" s="88"/>
      <c r="BVR49" s="88"/>
      <c r="BVS49" s="88"/>
      <c r="BVT49" s="88"/>
      <c r="BVU49" s="88"/>
      <c r="BVV49" s="88"/>
      <c r="BVW49" s="88"/>
      <c r="BVX49" s="88"/>
      <c r="BVY49" s="88"/>
      <c r="BVZ49" s="88"/>
      <c r="BWA49" s="88"/>
      <c r="BWB49" s="88"/>
      <c r="BWC49" s="88"/>
      <c r="BWD49" s="88"/>
      <c r="BWE49" s="88"/>
      <c r="BWF49" s="88"/>
      <c r="BWG49" s="88"/>
      <c r="BWH49" s="88"/>
      <c r="BWI49" s="88"/>
      <c r="BWJ49" s="88"/>
      <c r="BWK49" s="88"/>
      <c r="BWL49" s="88"/>
      <c r="BWM49" s="88"/>
      <c r="BWN49" s="88"/>
      <c r="BWO49" s="88"/>
      <c r="BWP49" s="88"/>
      <c r="BWQ49" s="88"/>
      <c r="BWR49" s="88"/>
      <c r="BWS49" s="88"/>
      <c r="BWT49" s="88"/>
      <c r="BWU49" s="88"/>
      <c r="BWV49" s="88"/>
      <c r="BWW49" s="88"/>
      <c r="BWX49" s="88"/>
      <c r="BWY49" s="88"/>
      <c r="BWZ49" s="88"/>
      <c r="BXA49" s="88"/>
      <c r="BXB49" s="88"/>
      <c r="BXC49" s="88"/>
      <c r="BXD49" s="88"/>
      <c r="BXE49" s="88"/>
      <c r="BXF49" s="88"/>
      <c r="BXG49" s="88"/>
      <c r="BXH49" s="88"/>
      <c r="BXI49" s="88"/>
      <c r="BXJ49" s="88"/>
      <c r="BXK49" s="88"/>
      <c r="BXL49" s="88"/>
      <c r="BXM49" s="88"/>
      <c r="BXN49" s="88"/>
      <c r="BXO49" s="88"/>
      <c r="BXP49" s="88"/>
      <c r="BXQ49" s="88"/>
      <c r="BXR49" s="88"/>
      <c r="BXS49" s="88"/>
      <c r="BXT49" s="88"/>
      <c r="BXU49" s="88"/>
      <c r="BXV49" s="88"/>
      <c r="BXW49" s="88"/>
      <c r="BXX49" s="88"/>
      <c r="BXY49" s="88"/>
      <c r="BXZ49" s="88"/>
      <c r="BYA49" s="88"/>
      <c r="BYB49" s="88"/>
      <c r="BYC49" s="88"/>
      <c r="BYD49" s="88"/>
      <c r="BYE49" s="88"/>
      <c r="BYF49" s="88"/>
      <c r="BYG49" s="88"/>
      <c r="BYH49" s="88"/>
      <c r="BYI49" s="88"/>
      <c r="BYJ49" s="88"/>
      <c r="BYK49" s="88"/>
      <c r="BYL49" s="88"/>
      <c r="BYM49" s="88"/>
      <c r="BYN49" s="88"/>
      <c r="BYO49" s="88"/>
      <c r="BYP49" s="88"/>
      <c r="BYQ49" s="88"/>
      <c r="BYR49" s="88"/>
      <c r="BYS49" s="88"/>
      <c r="BYT49" s="88"/>
      <c r="BYU49" s="88"/>
      <c r="BYV49" s="88"/>
      <c r="BYW49" s="88"/>
      <c r="BYX49" s="88"/>
      <c r="BYY49" s="88"/>
      <c r="BYZ49" s="88"/>
      <c r="BZA49" s="88"/>
      <c r="BZB49" s="88"/>
      <c r="BZC49" s="88"/>
      <c r="BZD49" s="88"/>
      <c r="BZE49" s="88"/>
      <c r="BZF49" s="88"/>
      <c r="BZG49" s="88"/>
      <c r="BZH49" s="88"/>
      <c r="BZI49" s="88"/>
      <c r="BZJ49" s="88"/>
      <c r="BZK49" s="88"/>
      <c r="BZL49" s="88"/>
      <c r="BZM49" s="88"/>
      <c r="BZN49" s="88"/>
      <c r="BZO49" s="88"/>
      <c r="BZP49" s="88"/>
      <c r="BZQ49" s="88"/>
      <c r="BZR49" s="88"/>
      <c r="BZS49" s="88"/>
      <c r="BZT49" s="88"/>
      <c r="BZU49" s="88"/>
      <c r="BZV49" s="88"/>
      <c r="BZW49" s="88"/>
      <c r="BZX49" s="88"/>
      <c r="BZY49" s="88"/>
      <c r="BZZ49" s="88"/>
      <c r="CAA49" s="88"/>
      <c r="CAB49" s="88"/>
      <c r="CAC49" s="88"/>
      <c r="CAD49" s="88"/>
      <c r="CAE49" s="88"/>
      <c r="CAF49" s="88"/>
      <c r="CAG49" s="88"/>
      <c r="CAH49" s="88"/>
      <c r="CAI49" s="88"/>
      <c r="CAJ49" s="88"/>
      <c r="CAK49" s="88"/>
      <c r="CAL49" s="88"/>
      <c r="CAM49" s="88"/>
      <c r="CAN49" s="88"/>
      <c r="CAO49" s="88"/>
      <c r="CAP49" s="88"/>
      <c r="CAQ49" s="88"/>
      <c r="CAR49" s="88"/>
      <c r="CAS49" s="88"/>
      <c r="CAT49" s="88"/>
      <c r="CAU49" s="88"/>
      <c r="CAV49" s="88"/>
      <c r="CAW49" s="88"/>
      <c r="CAX49" s="88"/>
      <c r="CAY49" s="88"/>
      <c r="CAZ49" s="88"/>
      <c r="CBA49" s="88"/>
      <c r="CBB49" s="88"/>
      <c r="CBC49" s="88"/>
      <c r="CBD49" s="88"/>
      <c r="CBE49" s="88"/>
      <c r="CBF49" s="88"/>
      <c r="CBG49" s="88"/>
      <c r="CBH49" s="88"/>
      <c r="CBI49" s="88"/>
      <c r="CBJ49" s="88"/>
      <c r="CBK49" s="88"/>
      <c r="CBL49" s="88"/>
      <c r="CBM49" s="88"/>
      <c r="CBN49" s="88"/>
      <c r="CBO49" s="88"/>
      <c r="CBP49" s="88"/>
      <c r="CBQ49" s="88"/>
      <c r="CBR49" s="88"/>
      <c r="CBS49" s="88"/>
      <c r="CBT49" s="88"/>
      <c r="CBU49" s="88"/>
      <c r="CBV49" s="88"/>
      <c r="CBW49" s="88"/>
      <c r="CBX49" s="88"/>
      <c r="CBY49" s="88"/>
      <c r="CBZ49" s="88"/>
      <c r="CCA49" s="88"/>
      <c r="CCB49" s="88"/>
      <c r="CCC49" s="88"/>
      <c r="CCD49" s="88"/>
      <c r="CCE49" s="88"/>
      <c r="CCF49" s="88"/>
      <c r="CCG49" s="88"/>
      <c r="CCH49" s="88"/>
      <c r="CCI49" s="88"/>
      <c r="CCJ49" s="88"/>
      <c r="CCK49" s="88"/>
      <c r="CCL49" s="88"/>
      <c r="CCM49" s="88"/>
      <c r="CCN49" s="88"/>
      <c r="CCO49" s="88"/>
      <c r="CCP49" s="88"/>
      <c r="CCQ49" s="88"/>
      <c r="CCR49" s="88"/>
      <c r="CCS49" s="88"/>
      <c r="CCT49" s="88"/>
      <c r="CCU49" s="88"/>
      <c r="CCV49" s="88"/>
      <c r="CCW49" s="88"/>
      <c r="CCX49" s="88"/>
      <c r="CCY49" s="88"/>
      <c r="CCZ49" s="88"/>
      <c r="CDA49" s="88"/>
      <c r="CDB49" s="88"/>
      <c r="CDC49" s="88"/>
      <c r="CDD49" s="88"/>
      <c r="CDE49" s="88"/>
      <c r="CDF49" s="88"/>
      <c r="CDG49" s="88"/>
      <c r="CDH49" s="88"/>
      <c r="CDI49" s="88"/>
      <c r="CDJ49" s="88"/>
      <c r="CDK49" s="88"/>
      <c r="CDL49" s="88"/>
      <c r="CDM49" s="88"/>
      <c r="CDN49" s="88"/>
      <c r="CDO49" s="88"/>
      <c r="CDP49" s="88"/>
      <c r="CDQ49" s="88"/>
      <c r="CDR49" s="88"/>
      <c r="CDS49" s="88"/>
      <c r="CDT49" s="88"/>
      <c r="CDU49" s="88"/>
      <c r="CDV49" s="88"/>
      <c r="CDW49" s="88"/>
      <c r="CDX49" s="88"/>
      <c r="CDY49" s="88"/>
      <c r="CDZ49" s="88"/>
      <c r="CEA49" s="88"/>
      <c r="CEB49" s="88"/>
      <c r="CEC49" s="88"/>
      <c r="CED49" s="88"/>
      <c r="CEE49" s="88"/>
      <c r="CEF49" s="88"/>
      <c r="CEG49" s="88"/>
      <c r="CEH49" s="88"/>
      <c r="CEI49" s="88"/>
      <c r="CEJ49" s="88"/>
      <c r="CEK49" s="88"/>
    </row>
    <row r="50" spans="1:2169" s="51" customFormat="1">
      <c r="A50" s="72" t="s">
        <v>2875</v>
      </c>
      <c r="B50" s="72" t="s">
        <v>2876</v>
      </c>
      <c r="C50" s="69" t="str">
        <f>IF('page 2'!$O$4="","",IF('page 2'!$O$4=Gestion!A50,1,0))</f>
        <v/>
      </c>
      <c r="D50" s="69" t="str">
        <f>IF('page 2'!$O$5="","",IF('page 2'!$O$5=Gestion!A50,1,0))</f>
        <v/>
      </c>
      <c r="E50" s="69" t="str">
        <f>IF('page 2'!$O$6="","",IF('page 2'!$O$6=Gestion!A50,1,0))</f>
        <v/>
      </c>
      <c r="F50" s="69" t="str">
        <f>IF('page 2'!$O$7="","",IF('page 2'!$O$7=Gestion!A50,1,0))</f>
        <v/>
      </c>
      <c r="G50" s="69" t="str">
        <f>IF('page 2'!$O$8="","",IF('page 2'!$O$8=Gestion!A50,1,0))</f>
        <v/>
      </c>
      <c r="H50" s="69" t="str">
        <f>IF('page 2'!$O$9="","",IF('page 2'!$O$9=Gestion!A50,1,0))</f>
        <v/>
      </c>
      <c r="I50" s="69" t="str">
        <f>IF('page 2'!$O$10="","",IF('page 2'!$O$10=Gestion!A50,1,0))</f>
        <v/>
      </c>
      <c r="J50" s="69" t="str">
        <f>IF('page 2'!$O$11="","",IF('page 2'!$O$11=Gestion!A50,1,0))</f>
        <v/>
      </c>
      <c r="K50" s="69" t="str">
        <f>IF('page 2'!$O$12="","",IF('page 2'!$O$12=Gestion!A50,1,0))</f>
        <v/>
      </c>
      <c r="L50" s="69" t="str">
        <f>IF('page 2'!$O$13="","",IF('page 2'!$O$13=Gestion!A50,1,0))</f>
        <v/>
      </c>
      <c r="M50" s="69" t="str">
        <f>IF('page 2'!$O$14="","",IF('page 2'!$O$14=Gestion!A50,1,0))</f>
        <v/>
      </c>
      <c r="N50" s="69" t="str">
        <f>IF('page 2'!$O$15="","",IF('page 2'!$O$15=Gestion!A50,1,0))</f>
        <v/>
      </c>
      <c r="O50" s="69" t="str">
        <f>IF('page 2'!$O$16="","",IF('page 2'!$O$16=Gestion!A50,1,0))</f>
        <v/>
      </c>
      <c r="P50" s="69" t="str">
        <f>IF('page 2'!$O$17="","",IF('page 2'!$O$17=Gestion!A50,1,0))</f>
        <v/>
      </c>
      <c r="Q50" s="69" t="str">
        <f>IF('page 2'!$O$18="","",IF('page 2'!$O$18=Gestion!A50,1,0))</f>
        <v/>
      </c>
      <c r="R50" s="69" t="str">
        <f>IF('page 2'!$O$19="","",IF('page 2'!$O$19=Gestion!A50,1,0))</f>
        <v/>
      </c>
      <c r="S50" s="69" t="str">
        <f>IF('page 2'!$O$20="","",IF('page 2'!$O$20=Gestion!A50,1,0))</f>
        <v/>
      </c>
      <c r="T50" s="69" t="str">
        <f>IF('page 2'!$O$25="","",IF('page 2'!$O$25=Gestion!A50,1,0))</f>
        <v/>
      </c>
      <c r="U50" s="69" t="str">
        <f>IF('page 2'!$O$26="","",IF('page 2'!$O$26=Gestion!A50,1,0))</f>
        <v/>
      </c>
      <c r="V50" s="69" t="str">
        <f>IF('page 2'!$O$27="","",IF('page 2'!$O$27=Gestion!A50,1,0))</f>
        <v/>
      </c>
      <c r="W50" s="723">
        <f t="shared" si="0"/>
        <v>0</v>
      </c>
      <c r="X50" s="713"/>
      <c r="Y50" s="69"/>
      <c r="Z50" s="69"/>
      <c r="AA50" s="69"/>
      <c r="AB50" s="542"/>
      <c r="AC50" s="542"/>
      <c r="AD50" s="542"/>
      <c r="AE50" s="88"/>
      <c r="AP50" s="130"/>
      <c r="AQ50" s="130"/>
      <c r="AR50" s="130"/>
      <c r="AS50" s="602"/>
      <c r="AT50" s="602"/>
      <c r="AU50" s="602"/>
      <c r="AV50" s="602"/>
      <c r="AW50" s="602"/>
      <c r="AX50" s="602"/>
      <c r="AY50" s="602"/>
      <c r="AZ50" s="602"/>
      <c r="BA50" s="602"/>
      <c r="BB50" s="602"/>
      <c r="BC50" s="602"/>
      <c r="BD50" s="602"/>
      <c r="BE50" s="602"/>
      <c r="BF50" s="602"/>
      <c r="BG50" s="602"/>
      <c r="BH50" s="602"/>
      <c r="BI50" s="602"/>
      <c r="BJ50" s="602"/>
      <c r="BK50" s="602"/>
      <c r="BL50" s="602"/>
      <c r="BM50" s="602"/>
      <c r="BN50" s="602"/>
      <c r="BO50" s="602"/>
      <c r="BP50" s="602"/>
      <c r="BQ50" s="602"/>
      <c r="BR50" s="602"/>
      <c r="BS50" s="602"/>
      <c r="BT50" s="602"/>
      <c r="BU50" s="602"/>
      <c r="BV50" s="602"/>
      <c r="BW50" s="602"/>
      <c r="BX50" s="602"/>
      <c r="BY50" s="602"/>
      <c r="BZ50" s="602"/>
      <c r="CA50" s="602"/>
      <c r="CB50" s="602"/>
      <c r="CC50" s="602"/>
      <c r="CD50" s="469"/>
      <c r="CE50" s="602"/>
      <c r="CF50" s="602"/>
      <c r="CG50" s="602"/>
      <c r="CH50" s="602"/>
      <c r="CI50" s="602"/>
      <c r="CJ50" s="602"/>
      <c r="CK50" s="602"/>
      <c r="CL50" s="602"/>
      <c r="CM50" s="602"/>
      <c r="CN50" s="602"/>
      <c r="CO50" s="602"/>
      <c r="CP50" s="602"/>
      <c r="CQ50" s="602"/>
      <c r="CR50" s="602"/>
      <c r="CS50" s="602"/>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c r="RA50" s="88"/>
      <c r="RB50" s="88"/>
      <c r="RC50" s="88"/>
      <c r="RD50" s="88"/>
      <c r="RE50" s="88"/>
      <c r="RF50" s="88"/>
      <c r="RG50" s="88"/>
      <c r="RH50" s="88"/>
      <c r="RI50" s="88"/>
      <c r="RJ50" s="88"/>
      <c r="RK50" s="88"/>
      <c r="RL50" s="88"/>
      <c r="RM50" s="88"/>
      <c r="RN50" s="88"/>
      <c r="RO50" s="88"/>
      <c r="RP50" s="88"/>
      <c r="RQ50" s="88"/>
      <c r="RR50" s="88"/>
      <c r="RS50" s="88"/>
      <c r="RT50" s="88"/>
      <c r="RU50" s="88"/>
      <c r="RV50" s="88"/>
      <c r="RW50" s="88"/>
      <c r="RX50" s="88"/>
      <c r="RY50" s="88"/>
      <c r="RZ50" s="88"/>
      <c r="SA50" s="88"/>
      <c r="SB50" s="88"/>
      <c r="SC50" s="88"/>
      <c r="SD50" s="88"/>
      <c r="SE50" s="88"/>
      <c r="SF50" s="88"/>
      <c r="SG50" s="88"/>
      <c r="SH50" s="88"/>
      <c r="SI50" s="88"/>
      <c r="SJ50" s="88"/>
      <c r="SK50" s="88"/>
      <c r="SL50" s="88"/>
      <c r="SM50" s="88"/>
      <c r="SN50" s="88"/>
      <c r="SO50" s="88"/>
      <c r="SP50" s="88"/>
      <c r="SQ50" s="88"/>
      <c r="SR50" s="88"/>
      <c r="SS50" s="88"/>
      <c r="ST50" s="88"/>
      <c r="SU50" s="88"/>
      <c r="SV50" s="88"/>
      <c r="SW50" s="88"/>
      <c r="SX50" s="88"/>
      <c r="SY50" s="88"/>
      <c r="SZ50" s="88"/>
      <c r="TA50" s="88"/>
      <c r="TB50" s="88"/>
      <c r="TC50" s="88"/>
      <c r="TD50" s="88"/>
      <c r="TE50" s="88"/>
      <c r="TF50" s="88"/>
      <c r="TG50" s="88"/>
      <c r="TH50" s="88"/>
      <c r="TI50" s="88"/>
      <c r="TJ50" s="88"/>
      <c r="TK50" s="88"/>
      <c r="TL50" s="88"/>
      <c r="TM50" s="88"/>
      <c r="TN50" s="88"/>
      <c r="TO50" s="88"/>
      <c r="TP50" s="88"/>
      <c r="TQ50" s="88"/>
      <c r="TR50" s="88"/>
      <c r="TS50" s="88"/>
      <c r="TT50" s="88"/>
      <c r="TU50" s="88"/>
      <c r="TV50" s="88"/>
      <c r="TW50" s="88"/>
      <c r="TX50" s="88"/>
      <c r="TY50" s="88"/>
      <c r="TZ50" s="88"/>
      <c r="UA50" s="88"/>
      <c r="UB50" s="88"/>
      <c r="UC50" s="88"/>
      <c r="UD50" s="88"/>
      <c r="UE50" s="88"/>
      <c r="UF50" s="88"/>
      <c r="UG50" s="88"/>
      <c r="UH50" s="88"/>
      <c r="UI50" s="88"/>
      <c r="UJ50" s="88"/>
      <c r="UK50" s="88"/>
      <c r="UL50" s="88"/>
      <c r="UM50" s="88"/>
      <c r="UN50" s="88"/>
      <c r="UO50" s="88"/>
      <c r="UP50" s="88"/>
      <c r="UQ50" s="88"/>
      <c r="UR50" s="88"/>
      <c r="US50" s="88"/>
      <c r="UT50" s="88"/>
      <c r="UU50" s="88"/>
      <c r="UV50" s="88"/>
      <c r="UW50" s="88"/>
      <c r="UX50" s="88"/>
      <c r="UY50" s="88"/>
      <c r="UZ50" s="88"/>
      <c r="VA50" s="88"/>
      <c r="VB50" s="88"/>
      <c r="VC50" s="88"/>
      <c r="VD50" s="88"/>
      <c r="VE50" s="88"/>
      <c r="VF50" s="88"/>
      <c r="VG50" s="88"/>
      <c r="VH50" s="88"/>
      <c r="VI50" s="88"/>
      <c r="VJ50" s="88"/>
      <c r="VK50" s="88"/>
      <c r="VL50" s="88"/>
      <c r="VM50" s="88"/>
      <c r="VN50" s="88"/>
      <c r="VO50" s="88"/>
      <c r="VP50" s="88"/>
      <c r="VQ50" s="88"/>
      <c r="VR50" s="88"/>
      <c r="VS50" s="88"/>
      <c r="VT50" s="88"/>
      <c r="VU50" s="88"/>
      <c r="VV50" s="88"/>
      <c r="VW50" s="88"/>
      <c r="VX50" s="88"/>
      <c r="VY50" s="88"/>
      <c r="VZ50" s="88"/>
      <c r="WA50" s="88"/>
      <c r="WB50" s="88"/>
      <c r="WC50" s="88"/>
      <c r="WD50" s="88"/>
      <c r="WE50" s="88"/>
      <c r="WF50" s="88"/>
      <c r="WG50" s="88"/>
      <c r="WH50" s="88"/>
      <c r="WI50" s="88"/>
      <c r="WJ50" s="88"/>
      <c r="WK50" s="88"/>
      <c r="WL50" s="88"/>
      <c r="WM50" s="88"/>
      <c r="WN50" s="88"/>
      <c r="WO50" s="88"/>
      <c r="WP50" s="88"/>
      <c r="WQ50" s="88"/>
      <c r="WR50" s="88"/>
      <c r="WS50" s="88"/>
      <c r="WT50" s="88"/>
      <c r="WU50" s="88"/>
      <c r="WV50" s="88"/>
      <c r="WW50" s="88"/>
      <c r="WX50" s="88"/>
      <c r="WY50" s="88"/>
      <c r="WZ50" s="88"/>
      <c r="XA50" s="88"/>
      <c r="XB50" s="88"/>
      <c r="XC50" s="88"/>
      <c r="XD50" s="88"/>
      <c r="XE50" s="88"/>
      <c r="XF50" s="88"/>
      <c r="XG50" s="88"/>
      <c r="XH50" s="88"/>
      <c r="XI50" s="88"/>
      <c r="XJ50" s="88"/>
      <c r="XK50" s="88"/>
      <c r="XL50" s="88"/>
      <c r="XM50" s="88"/>
      <c r="XN50" s="88"/>
      <c r="XO50" s="88"/>
      <c r="XP50" s="88"/>
      <c r="XQ50" s="88"/>
      <c r="XR50" s="88"/>
      <c r="XS50" s="88"/>
      <c r="XT50" s="88"/>
      <c r="XU50" s="88"/>
      <c r="XV50" s="88"/>
      <c r="XW50" s="88"/>
      <c r="XX50" s="88"/>
      <c r="XY50" s="88"/>
      <c r="XZ50" s="88"/>
      <c r="YA50" s="88"/>
      <c r="YB50" s="88"/>
      <c r="YC50" s="88"/>
      <c r="YD50" s="88"/>
      <c r="YE50" s="88"/>
      <c r="YF50" s="88"/>
      <c r="YG50" s="88"/>
      <c r="YH50" s="88"/>
      <c r="YI50" s="88"/>
      <c r="YJ50" s="88"/>
      <c r="YK50" s="88"/>
      <c r="YL50" s="88"/>
      <c r="YM50" s="88"/>
      <c r="YN50" s="88"/>
      <c r="YO50" s="88"/>
      <c r="YP50" s="88"/>
      <c r="YQ50" s="88"/>
      <c r="YR50" s="88"/>
      <c r="YS50" s="88"/>
      <c r="YT50" s="88"/>
      <c r="YU50" s="88"/>
      <c r="YV50" s="88"/>
      <c r="YW50" s="88"/>
      <c r="YX50" s="88"/>
      <c r="YY50" s="88"/>
      <c r="YZ50" s="88"/>
      <c r="ZA50" s="88"/>
      <c r="ZB50" s="88"/>
      <c r="ZC50" s="88"/>
      <c r="ZD50" s="88"/>
      <c r="ZE50" s="88"/>
      <c r="ZF50" s="88"/>
      <c r="ZG50" s="88"/>
      <c r="ZH50" s="88"/>
      <c r="ZI50" s="88"/>
      <c r="ZJ50" s="88"/>
      <c r="ZK50" s="88"/>
      <c r="ZL50" s="88"/>
      <c r="ZM50" s="88"/>
      <c r="ZN50" s="88"/>
      <c r="ZO50" s="88"/>
      <c r="ZP50" s="88"/>
      <c r="ZQ50" s="88"/>
      <c r="ZR50" s="88"/>
      <c r="ZS50" s="88"/>
      <c r="ZT50" s="88"/>
      <c r="ZU50" s="88"/>
      <c r="ZV50" s="88"/>
      <c r="ZW50" s="88"/>
      <c r="ZX50" s="88"/>
      <c r="ZY50" s="88"/>
      <c r="ZZ50" s="88"/>
      <c r="AAA50" s="88"/>
      <c r="AAB50" s="88"/>
      <c r="AAC50" s="88"/>
      <c r="AAD50" s="88"/>
      <c r="AAE50" s="88"/>
      <c r="AAF50" s="88"/>
      <c r="AAG50" s="88"/>
      <c r="AAH50" s="88"/>
      <c r="AAI50" s="88"/>
      <c r="AAJ50" s="88"/>
      <c r="AAK50" s="88"/>
      <c r="AAL50" s="88"/>
      <c r="AAM50" s="88"/>
      <c r="AAN50" s="88"/>
      <c r="AAO50" s="88"/>
      <c r="AAP50" s="88"/>
      <c r="AAQ50" s="88"/>
      <c r="AAR50" s="88"/>
      <c r="AAS50" s="88"/>
      <c r="AAT50" s="88"/>
      <c r="AAU50" s="88"/>
      <c r="AAV50" s="88"/>
      <c r="AAW50" s="88"/>
      <c r="AAX50" s="88"/>
      <c r="AAY50" s="88"/>
      <c r="AAZ50" s="88"/>
      <c r="ABA50" s="88"/>
      <c r="ABB50" s="88"/>
      <c r="ABC50" s="88"/>
      <c r="ABD50" s="88"/>
      <c r="ABE50" s="88"/>
      <c r="ABF50" s="88"/>
      <c r="ABG50" s="88"/>
      <c r="ABH50" s="88"/>
      <c r="ABI50" s="88"/>
      <c r="ABJ50" s="88"/>
      <c r="ABK50" s="88"/>
      <c r="ABL50" s="88"/>
      <c r="ABM50" s="88"/>
      <c r="ABN50" s="88"/>
      <c r="ABO50" s="88"/>
      <c r="ABP50" s="88"/>
      <c r="ABQ50" s="88"/>
      <c r="ABR50" s="88"/>
      <c r="ABS50" s="88"/>
      <c r="ABT50" s="88"/>
      <c r="ABU50" s="88"/>
      <c r="ABV50" s="88"/>
      <c r="ABW50" s="88"/>
      <c r="ABX50" s="88"/>
      <c r="ABY50" s="88"/>
      <c r="ABZ50" s="88"/>
      <c r="ACA50" s="88"/>
      <c r="ACB50" s="88"/>
      <c r="ACC50" s="88"/>
      <c r="ACD50" s="88"/>
      <c r="ACE50" s="88"/>
      <c r="ACF50" s="88"/>
      <c r="ACG50" s="88"/>
      <c r="ACH50" s="88"/>
      <c r="ACI50" s="88"/>
      <c r="ACJ50" s="88"/>
      <c r="ACK50" s="88"/>
      <c r="ACL50" s="88"/>
      <c r="ACM50" s="88"/>
      <c r="ACN50" s="88"/>
      <c r="ACO50" s="88"/>
      <c r="ACP50" s="88"/>
      <c r="ACQ50" s="88"/>
      <c r="ACR50" s="88"/>
      <c r="ACS50" s="88"/>
      <c r="ACT50" s="88"/>
      <c r="ACU50" s="88"/>
      <c r="ACV50" s="88"/>
      <c r="ACW50" s="88"/>
      <c r="ACX50" s="88"/>
      <c r="ACY50" s="88"/>
      <c r="ACZ50" s="88"/>
      <c r="ADA50" s="88"/>
      <c r="ADB50" s="88"/>
      <c r="ADC50" s="88"/>
      <c r="ADD50" s="88"/>
      <c r="ADE50" s="88"/>
      <c r="ADF50" s="88"/>
      <c r="ADG50" s="88"/>
      <c r="ADH50" s="88"/>
      <c r="ADI50" s="88"/>
      <c r="ADJ50" s="88"/>
      <c r="ADK50" s="88"/>
      <c r="ADL50" s="88"/>
      <c r="ADM50" s="88"/>
      <c r="ADN50" s="88"/>
      <c r="ADO50" s="88"/>
      <c r="ADP50" s="88"/>
      <c r="ADQ50" s="88"/>
      <c r="ADR50" s="88"/>
      <c r="ADS50" s="88"/>
      <c r="ADT50" s="88"/>
      <c r="ADU50" s="88"/>
      <c r="ADV50" s="88"/>
      <c r="ADW50" s="88"/>
      <c r="ADX50" s="88"/>
      <c r="ADY50" s="88"/>
      <c r="ADZ50" s="88"/>
      <c r="AEA50" s="88"/>
      <c r="AEB50" s="88"/>
      <c r="AEC50" s="88"/>
      <c r="AED50" s="88"/>
      <c r="AEE50" s="88"/>
      <c r="AEF50" s="88"/>
      <c r="AEG50" s="88"/>
      <c r="AEH50" s="88"/>
      <c r="AEI50" s="88"/>
      <c r="AEJ50" s="88"/>
      <c r="AEK50" s="88"/>
      <c r="AEL50" s="88"/>
      <c r="AEM50" s="88"/>
      <c r="AEN50" s="88"/>
      <c r="AEO50" s="88"/>
      <c r="AEP50" s="88"/>
      <c r="AEQ50" s="88"/>
      <c r="AER50" s="88"/>
      <c r="AES50" s="88"/>
      <c r="AET50" s="88"/>
      <c r="AEU50" s="88"/>
      <c r="AEV50" s="88"/>
      <c r="AEW50" s="88"/>
      <c r="AEX50" s="88"/>
      <c r="AEY50" s="88"/>
      <c r="AEZ50" s="88"/>
      <c r="AFA50" s="88"/>
      <c r="AFB50" s="88"/>
      <c r="AFC50" s="88"/>
      <c r="AFD50" s="88"/>
      <c r="AFE50" s="88"/>
      <c r="AFF50" s="88"/>
      <c r="AFG50" s="88"/>
      <c r="AFH50" s="88"/>
      <c r="AFI50" s="88"/>
      <c r="AFJ50" s="88"/>
      <c r="AFK50" s="88"/>
      <c r="AFL50" s="88"/>
      <c r="AFM50" s="88"/>
      <c r="AFN50" s="88"/>
      <c r="AFO50" s="88"/>
      <c r="AFP50" s="88"/>
      <c r="AFQ50" s="88"/>
      <c r="AFR50" s="88"/>
      <c r="AFS50" s="88"/>
      <c r="AFT50" s="88"/>
      <c r="AFU50" s="88"/>
      <c r="AFV50" s="88"/>
      <c r="AFW50" s="88"/>
      <c r="AFX50" s="88"/>
      <c r="AFY50" s="88"/>
      <c r="AFZ50" s="88"/>
      <c r="AGA50" s="88"/>
      <c r="AGB50" s="88"/>
      <c r="AGC50" s="88"/>
      <c r="AGD50" s="88"/>
      <c r="AGE50" s="88"/>
      <c r="AGF50" s="88"/>
      <c r="AGG50" s="88"/>
      <c r="AGH50" s="88"/>
      <c r="AGI50" s="88"/>
      <c r="AGJ50" s="88"/>
      <c r="AGK50" s="88"/>
      <c r="AGL50" s="88"/>
      <c r="AGM50" s="88"/>
      <c r="AGN50" s="88"/>
      <c r="AGO50" s="88"/>
      <c r="AGP50" s="88"/>
      <c r="AGQ50" s="88"/>
      <c r="AGR50" s="88"/>
      <c r="AGS50" s="88"/>
      <c r="AGT50" s="88"/>
      <c r="AGU50" s="88"/>
      <c r="AGV50" s="88"/>
      <c r="AGW50" s="88"/>
      <c r="AGX50" s="88"/>
      <c r="AGY50" s="88"/>
      <c r="AGZ50" s="88"/>
      <c r="AHA50" s="88"/>
      <c r="AHB50" s="88"/>
      <c r="AHC50" s="88"/>
      <c r="AHD50" s="88"/>
      <c r="AHE50" s="88"/>
      <c r="AHF50" s="88"/>
      <c r="AHG50" s="88"/>
      <c r="AHH50" s="88"/>
      <c r="AHI50" s="88"/>
      <c r="AHJ50" s="88"/>
      <c r="AHK50" s="88"/>
      <c r="AHL50" s="88"/>
      <c r="AHM50" s="88"/>
      <c r="AHN50" s="88"/>
      <c r="AHO50" s="88"/>
      <c r="AHP50" s="88"/>
      <c r="AHQ50" s="88"/>
      <c r="AHR50" s="88"/>
      <c r="AHS50" s="88"/>
      <c r="AHT50" s="88"/>
      <c r="AHU50" s="88"/>
      <c r="AHV50" s="88"/>
      <c r="AHW50" s="88"/>
      <c r="AHX50" s="88"/>
      <c r="AHY50" s="88"/>
      <c r="AHZ50" s="88"/>
      <c r="AIA50" s="88"/>
      <c r="AIB50" s="88"/>
      <c r="AIC50" s="88"/>
      <c r="AID50" s="88"/>
      <c r="AIE50" s="88"/>
      <c r="AIF50" s="88"/>
      <c r="AIG50" s="88"/>
      <c r="AIH50" s="88"/>
      <c r="AII50" s="88"/>
      <c r="AIJ50" s="88"/>
      <c r="AIK50" s="88"/>
      <c r="AIL50" s="88"/>
      <c r="AIM50" s="88"/>
      <c r="AIN50" s="88"/>
      <c r="AIO50" s="88"/>
      <c r="AIP50" s="88"/>
      <c r="AIQ50" s="88"/>
      <c r="AIR50" s="88"/>
      <c r="AIS50" s="88"/>
      <c r="AIT50" s="88"/>
      <c r="AIU50" s="88"/>
      <c r="AIV50" s="88"/>
      <c r="AIW50" s="88"/>
      <c r="AIX50" s="88"/>
      <c r="AIY50" s="88"/>
      <c r="AIZ50" s="88"/>
      <c r="AJA50" s="88"/>
      <c r="AJB50" s="88"/>
      <c r="AJC50" s="88"/>
      <c r="AJD50" s="88"/>
      <c r="AJE50" s="88"/>
      <c r="AJF50" s="88"/>
      <c r="AJG50" s="88"/>
      <c r="AJH50" s="88"/>
      <c r="AJI50" s="88"/>
      <c r="AJJ50" s="88"/>
      <c r="AJK50" s="88"/>
      <c r="AJL50" s="88"/>
      <c r="AJM50" s="88"/>
      <c r="AJN50" s="88"/>
      <c r="AJO50" s="88"/>
      <c r="AJP50" s="88"/>
      <c r="AJQ50" s="88"/>
      <c r="AJR50" s="88"/>
      <c r="AJS50" s="88"/>
      <c r="AJT50" s="88"/>
      <c r="AJU50" s="88"/>
      <c r="AJV50" s="88"/>
      <c r="AJW50" s="88"/>
      <c r="AJX50" s="88"/>
      <c r="AJY50" s="88"/>
      <c r="AJZ50" s="88"/>
      <c r="AKA50" s="88"/>
      <c r="AKB50" s="88"/>
      <c r="AKC50" s="88"/>
      <c r="AKD50" s="88"/>
      <c r="AKE50" s="88"/>
      <c r="AKF50" s="88"/>
      <c r="AKG50" s="88"/>
      <c r="AKH50" s="88"/>
      <c r="AKI50" s="88"/>
      <c r="AKJ50" s="88"/>
      <c r="AKK50" s="88"/>
      <c r="AKL50" s="88"/>
      <c r="AKM50" s="88"/>
      <c r="AKN50" s="88"/>
      <c r="AKO50" s="88"/>
      <c r="AKP50" s="88"/>
      <c r="AKQ50" s="88"/>
      <c r="AKR50" s="88"/>
      <c r="AKS50" s="88"/>
      <c r="AKT50" s="88"/>
      <c r="AKU50" s="88"/>
      <c r="AKV50" s="88"/>
      <c r="AKW50" s="88"/>
      <c r="AKX50" s="88"/>
      <c r="AKY50" s="88"/>
      <c r="AKZ50" s="88"/>
      <c r="ALA50" s="88"/>
      <c r="ALB50" s="88"/>
      <c r="ALC50" s="88"/>
      <c r="ALD50" s="88"/>
      <c r="ALE50" s="88"/>
      <c r="ALF50" s="88"/>
      <c r="ALG50" s="88"/>
      <c r="ALH50" s="88"/>
      <c r="ALI50" s="88"/>
      <c r="ALJ50" s="88"/>
      <c r="ALK50" s="88"/>
      <c r="ALL50" s="88"/>
      <c r="ALM50" s="88"/>
      <c r="ALN50" s="88"/>
      <c r="ALO50" s="88"/>
      <c r="ALP50" s="88"/>
      <c r="ALQ50" s="88"/>
      <c r="ALR50" s="88"/>
      <c r="ALS50" s="88"/>
      <c r="ALT50" s="88"/>
      <c r="ALU50" s="88"/>
      <c r="ALV50" s="88"/>
      <c r="ALW50" s="88"/>
      <c r="ALX50" s="88"/>
      <c r="ALY50" s="88"/>
      <c r="ALZ50" s="88"/>
      <c r="AMA50" s="88"/>
      <c r="AMB50" s="88"/>
      <c r="AMC50" s="88"/>
      <c r="AMD50" s="88"/>
      <c r="AME50" s="88"/>
      <c r="AMF50" s="88"/>
      <c r="AMG50" s="88"/>
      <c r="AMH50" s="88"/>
      <c r="AMI50" s="88"/>
      <c r="AMJ50" s="88"/>
      <c r="AMK50" s="88"/>
      <c r="AML50" s="88"/>
      <c r="AMM50" s="88"/>
      <c r="AMN50" s="88"/>
      <c r="AMO50" s="88"/>
      <c r="AMP50" s="88"/>
      <c r="AMQ50" s="88"/>
      <c r="AMR50" s="88"/>
      <c r="AMS50" s="88"/>
      <c r="AMT50" s="88"/>
      <c r="AMU50" s="88"/>
      <c r="AMV50" s="88"/>
      <c r="AMW50" s="88"/>
      <c r="AMX50" s="88"/>
      <c r="AMY50" s="88"/>
      <c r="AMZ50" s="88"/>
      <c r="ANA50" s="88"/>
      <c r="ANB50" s="88"/>
      <c r="ANC50" s="88"/>
      <c r="AND50" s="88"/>
      <c r="ANE50" s="88"/>
      <c r="ANF50" s="88"/>
      <c r="ANG50" s="88"/>
      <c r="ANH50" s="88"/>
      <c r="ANI50" s="88"/>
      <c r="ANJ50" s="88"/>
      <c r="ANK50" s="88"/>
      <c r="ANL50" s="88"/>
      <c r="ANM50" s="88"/>
      <c r="ANN50" s="88"/>
      <c r="ANO50" s="88"/>
      <c r="ANP50" s="88"/>
      <c r="ANQ50" s="88"/>
      <c r="ANR50" s="88"/>
      <c r="ANS50" s="88"/>
      <c r="ANT50" s="88"/>
      <c r="ANU50" s="88"/>
      <c r="ANV50" s="88"/>
      <c r="ANW50" s="88"/>
      <c r="ANX50" s="88"/>
      <c r="ANY50" s="88"/>
      <c r="ANZ50" s="88"/>
      <c r="AOA50" s="88"/>
      <c r="AOB50" s="88"/>
      <c r="AOC50" s="88"/>
      <c r="AOD50" s="88"/>
      <c r="AOE50" s="88"/>
      <c r="AOF50" s="88"/>
      <c r="AOG50" s="88"/>
      <c r="AOH50" s="88"/>
      <c r="AOI50" s="88"/>
      <c r="AOJ50" s="88"/>
      <c r="AOK50" s="88"/>
      <c r="AOL50" s="88"/>
      <c r="AOM50" s="88"/>
      <c r="AON50" s="88"/>
      <c r="AOO50" s="88"/>
      <c r="AOP50" s="88"/>
      <c r="AOQ50" s="88"/>
      <c r="AOR50" s="88"/>
      <c r="AOS50" s="88"/>
      <c r="AOT50" s="88"/>
      <c r="AOU50" s="88"/>
      <c r="AOV50" s="88"/>
      <c r="AOW50" s="88"/>
      <c r="AOX50" s="88"/>
      <c r="AOY50" s="88"/>
      <c r="AOZ50" s="88"/>
      <c r="APA50" s="88"/>
      <c r="APB50" s="88"/>
      <c r="APC50" s="88"/>
      <c r="APD50" s="88"/>
      <c r="APE50" s="88"/>
      <c r="APF50" s="88"/>
      <c r="APG50" s="88"/>
      <c r="APH50" s="88"/>
      <c r="API50" s="88"/>
      <c r="APJ50" s="88"/>
      <c r="APK50" s="88"/>
      <c r="APL50" s="88"/>
      <c r="APM50" s="88"/>
      <c r="APN50" s="88"/>
      <c r="APO50" s="88"/>
      <c r="APP50" s="88"/>
      <c r="APQ50" s="88"/>
      <c r="APR50" s="88"/>
      <c r="APS50" s="88"/>
      <c r="APT50" s="88"/>
      <c r="APU50" s="88"/>
      <c r="APV50" s="88"/>
      <c r="APW50" s="88"/>
      <c r="APX50" s="88"/>
      <c r="APY50" s="88"/>
      <c r="APZ50" s="88"/>
      <c r="AQA50" s="88"/>
      <c r="AQB50" s="88"/>
      <c r="AQC50" s="88"/>
      <c r="AQD50" s="88"/>
      <c r="AQE50" s="88"/>
      <c r="AQF50" s="88"/>
      <c r="AQG50" s="88"/>
      <c r="AQH50" s="88"/>
      <c r="AQI50" s="88"/>
      <c r="AQJ50" s="88"/>
      <c r="AQK50" s="88"/>
      <c r="AQL50" s="88"/>
      <c r="AQM50" s="88"/>
      <c r="AQN50" s="88"/>
      <c r="AQO50" s="88"/>
      <c r="AQP50" s="88"/>
      <c r="AQQ50" s="88"/>
      <c r="AQR50" s="88"/>
      <c r="AQS50" s="88"/>
      <c r="AQT50" s="88"/>
      <c r="AQU50" s="88"/>
      <c r="AQV50" s="88"/>
      <c r="AQW50" s="88"/>
      <c r="AQX50" s="88"/>
      <c r="AQY50" s="88"/>
      <c r="AQZ50" s="88"/>
      <c r="ARA50" s="88"/>
      <c r="ARB50" s="88"/>
      <c r="ARC50" s="88"/>
      <c r="ARD50" s="88"/>
      <c r="ARE50" s="88"/>
      <c r="ARF50" s="88"/>
      <c r="ARG50" s="88"/>
      <c r="ARH50" s="88"/>
      <c r="ARI50" s="88"/>
      <c r="ARJ50" s="88"/>
      <c r="ARK50" s="88"/>
      <c r="ARL50" s="88"/>
      <c r="ARM50" s="88"/>
      <c r="ARN50" s="88"/>
      <c r="ARO50" s="88"/>
      <c r="ARP50" s="88"/>
      <c r="ARQ50" s="88"/>
      <c r="ARR50" s="88"/>
      <c r="ARS50" s="88"/>
      <c r="ART50" s="88"/>
      <c r="ARU50" s="88"/>
      <c r="ARV50" s="88"/>
      <c r="ARW50" s="88"/>
      <c r="ARX50" s="88"/>
      <c r="ARY50" s="88"/>
      <c r="ARZ50" s="88"/>
      <c r="ASA50" s="88"/>
      <c r="ASB50" s="88"/>
      <c r="ASC50" s="88"/>
      <c r="ASD50" s="88"/>
      <c r="ASE50" s="88"/>
      <c r="ASF50" s="88"/>
      <c r="ASG50" s="88"/>
      <c r="ASH50" s="88"/>
      <c r="ASI50" s="88"/>
      <c r="ASJ50" s="88"/>
      <c r="ASK50" s="88"/>
      <c r="ASL50" s="88"/>
      <c r="ASM50" s="88"/>
      <c r="ASN50" s="88"/>
      <c r="ASO50" s="88"/>
      <c r="ASP50" s="88"/>
      <c r="ASQ50" s="88"/>
      <c r="ASR50" s="88"/>
      <c r="ASS50" s="88"/>
      <c r="AST50" s="88"/>
      <c r="ASU50" s="88"/>
      <c r="ASV50" s="88"/>
      <c r="ASW50" s="88"/>
      <c r="ASX50" s="88"/>
      <c r="ASY50" s="88"/>
      <c r="ASZ50" s="88"/>
      <c r="ATA50" s="88"/>
      <c r="ATB50" s="88"/>
      <c r="ATC50" s="88"/>
      <c r="ATD50" s="88"/>
      <c r="ATE50" s="88"/>
      <c r="ATF50" s="88"/>
      <c r="ATG50" s="88"/>
      <c r="ATH50" s="88"/>
      <c r="ATI50" s="88"/>
      <c r="ATJ50" s="88"/>
      <c r="ATK50" s="88"/>
      <c r="ATL50" s="88"/>
      <c r="ATM50" s="88"/>
      <c r="ATN50" s="88"/>
      <c r="ATO50" s="88"/>
      <c r="ATP50" s="88"/>
      <c r="ATQ50" s="88"/>
      <c r="ATR50" s="88"/>
      <c r="ATS50" s="88"/>
      <c r="ATT50" s="88"/>
      <c r="ATU50" s="88"/>
      <c r="ATV50" s="88"/>
      <c r="ATW50" s="88"/>
      <c r="ATX50" s="88"/>
      <c r="ATY50" s="88"/>
      <c r="ATZ50" s="88"/>
      <c r="AUA50" s="88"/>
      <c r="AUB50" s="88"/>
      <c r="AUC50" s="88"/>
      <c r="AUD50" s="88"/>
      <c r="AUE50" s="88"/>
      <c r="AUF50" s="88"/>
      <c r="AUG50" s="88"/>
      <c r="AUH50" s="88"/>
      <c r="AUI50" s="88"/>
      <c r="AUJ50" s="88"/>
      <c r="AUK50" s="88"/>
      <c r="AUL50" s="88"/>
      <c r="AUM50" s="88"/>
      <c r="AUN50" s="88"/>
      <c r="AUO50" s="88"/>
      <c r="AUP50" s="88"/>
      <c r="AUQ50" s="88"/>
      <c r="AUR50" s="88"/>
      <c r="AUS50" s="88"/>
      <c r="AUT50" s="88"/>
      <c r="AUU50" s="88"/>
      <c r="AUV50" s="88"/>
      <c r="AUW50" s="88"/>
      <c r="AUX50" s="88"/>
      <c r="AUY50" s="88"/>
      <c r="AUZ50" s="88"/>
      <c r="AVA50" s="88"/>
      <c r="AVB50" s="88"/>
      <c r="AVC50" s="88"/>
      <c r="AVD50" s="88"/>
      <c r="AVE50" s="88"/>
      <c r="AVF50" s="88"/>
      <c r="AVG50" s="88"/>
      <c r="AVH50" s="88"/>
      <c r="AVI50" s="88"/>
      <c r="AVJ50" s="88"/>
      <c r="AVK50" s="88"/>
      <c r="AVL50" s="88"/>
      <c r="AVM50" s="88"/>
      <c r="AVN50" s="88"/>
      <c r="AVO50" s="88"/>
      <c r="AVP50" s="88"/>
      <c r="AVQ50" s="88"/>
      <c r="AVR50" s="88"/>
      <c r="AVS50" s="88"/>
      <c r="AVT50" s="88"/>
      <c r="AVU50" s="88"/>
      <c r="AVV50" s="88"/>
      <c r="AVW50" s="88"/>
      <c r="AVX50" s="88"/>
      <c r="AVY50" s="88"/>
      <c r="AVZ50" s="88"/>
      <c r="AWA50" s="88"/>
      <c r="AWB50" s="88"/>
      <c r="AWC50" s="88"/>
      <c r="AWD50" s="88"/>
      <c r="AWE50" s="88"/>
      <c r="AWF50" s="88"/>
      <c r="AWG50" s="88"/>
      <c r="AWH50" s="88"/>
      <c r="AWI50" s="88"/>
      <c r="AWJ50" s="88"/>
      <c r="AWK50" s="88"/>
      <c r="AWL50" s="88"/>
      <c r="AWM50" s="88"/>
      <c r="AWN50" s="88"/>
      <c r="AWO50" s="88"/>
      <c r="AWP50" s="88"/>
      <c r="AWQ50" s="88"/>
      <c r="AWR50" s="88"/>
      <c r="AWS50" s="88"/>
      <c r="AWT50" s="88"/>
      <c r="AWU50" s="88"/>
      <c r="AWV50" s="88"/>
      <c r="AWW50" s="88"/>
      <c r="AWX50" s="88"/>
      <c r="AWY50" s="88"/>
      <c r="AWZ50" s="88"/>
      <c r="AXA50" s="88"/>
      <c r="AXB50" s="88"/>
      <c r="AXC50" s="88"/>
      <c r="AXD50" s="88"/>
      <c r="AXE50" s="88"/>
      <c r="AXF50" s="88"/>
      <c r="AXG50" s="88"/>
      <c r="AXH50" s="88"/>
      <c r="AXI50" s="88"/>
      <c r="AXJ50" s="88"/>
      <c r="AXK50" s="88"/>
      <c r="AXL50" s="88"/>
      <c r="AXM50" s="88"/>
      <c r="AXN50" s="88"/>
      <c r="AXO50" s="88"/>
      <c r="AXP50" s="88"/>
      <c r="AXQ50" s="88"/>
      <c r="AXR50" s="88"/>
      <c r="AXS50" s="88"/>
      <c r="AXT50" s="88"/>
      <c r="AXU50" s="88"/>
      <c r="AXV50" s="88"/>
      <c r="AXW50" s="88"/>
      <c r="AXX50" s="88"/>
      <c r="AXY50" s="88"/>
      <c r="AXZ50" s="88"/>
      <c r="AYA50" s="88"/>
      <c r="AYB50" s="88"/>
      <c r="AYC50" s="88"/>
      <c r="AYD50" s="88"/>
      <c r="AYE50" s="88"/>
      <c r="AYF50" s="88"/>
      <c r="AYG50" s="88"/>
      <c r="AYH50" s="88"/>
      <c r="AYI50" s="88"/>
      <c r="AYJ50" s="88"/>
      <c r="AYK50" s="88"/>
      <c r="AYL50" s="88"/>
      <c r="AYM50" s="88"/>
      <c r="AYN50" s="88"/>
      <c r="AYO50" s="88"/>
      <c r="AYP50" s="88"/>
      <c r="AYQ50" s="88"/>
      <c r="AYR50" s="88"/>
      <c r="AYS50" s="88"/>
      <c r="AYT50" s="88"/>
      <c r="AYU50" s="88"/>
      <c r="AYV50" s="88"/>
      <c r="AYW50" s="88"/>
      <c r="AYX50" s="88"/>
      <c r="AYY50" s="88"/>
      <c r="AYZ50" s="88"/>
      <c r="AZA50" s="88"/>
      <c r="AZB50" s="88"/>
      <c r="AZC50" s="88"/>
      <c r="AZD50" s="88"/>
      <c r="AZE50" s="88"/>
      <c r="AZF50" s="88"/>
      <c r="AZG50" s="88"/>
      <c r="AZH50" s="88"/>
      <c r="AZI50" s="88"/>
      <c r="AZJ50" s="88"/>
      <c r="AZK50" s="88"/>
      <c r="AZL50" s="88"/>
      <c r="AZM50" s="88"/>
      <c r="AZN50" s="88"/>
      <c r="AZO50" s="88"/>
      <c r="AZP50" s="88"/>
      <c r="AZQ50" s="88"/>
      <c r="AZR50" s="88"/>
      <c r="AZS50" s="88"/>
      <c r="AZT50" s="88"/>
      <c r="AZU50" s="88"/>
      <c r="AZV50" s="88"/>
      <c r="AZW50" s="88"/>
      <c r="AZX50" s="88"/>
      <c r="AZY50" s="88"/>
      <c r="AZZ50" s="88"/>
      <c r="BAA50" s="88"/>
      <c r="BAB50" s="88"/>
      <c r="BAC50" s="88"/>
      <c r="BAD50" s="88"/>
      <c r="BAE50" s="88"/>
      <c r="BAF50" s="88"/>
      <c r="BAG50" s="88"/>
      <c r="BAH50" s="88"/>
      <c r="BAI50" s="88"/>
      <c r="BAJ50" s="88"/>
      <c r="BAK50" s="88"/>
      <c r="BAL50" s="88"/>
      <c r="BAM50" s="88"/>
      <c r="BAN50" s="88"/>
      <c r="BAO50" s="88"/>
      <c r="BAP50" s="88"/>
      <c r="BAQ50" s="88"/>
      <c r="BAR50" s="88"/>
      <c r="BAS50" s="88"/>
      <c r="BAT50" s="88"/>
      <c r="BAU50" s="88"/>
      <c r="BAV50" s="88"/>
      <c r="BAW50" s="88"/>
      <c r="BAX50" s="88"/>
      <c r="BAY50" s="88"/>
      <c r="BAZ50" s="88"/>
      <c r="BBA50" s="88"/>
      <c r="BBB50" s="88"/>
      <c r="BBC50" s="88"/>
      <c r="BBD50" s="88"/>
      <c r="BBE50" s="88"/>
      <c r="BBF50" s="88"/>
      <c r="BBG50" s="88"/>
      <c r="BBH50" s="88"/>
      <c r="BBI50" s="88"/>
      <c r="BBJ50" s="88"/>
      <c r="BBK50" s="88"/>
      <c r="BBL50" s="88"/>
      <c r="BBM50" s="88"/>
      <c r="BBN50" s="88"/>
      <c r="BBO50" s="88"/>
      <c r="BBP50" s="88"/>
      <c r="BBQ50" s="88"/>
      <c r="BBR50" s="88"/>
      <c r="BBS50" s="88"/>
      <c r="BBT50" s="88"/>
      <c r="BBU50" s="88"/>
      <c r="BBV50" s="88"/>
      <c r="BBW50" s="88"/>
      <c r="BBX50" s="88"/>
      <c r="BBY50" s="88"/>
      <c r="BBZ50" s="88"/>
      <c r="BCA50" s="88"/>
      <c r="BCB50" s="88"/>
      <c r="BCC50" s="88"/>
      <c r="BCD50" s="88"/>
      <c r="BCE50" s="88"/>
      <c r="BCF50" s="88"/>
      <c r="BCG50" s="88"/>
      <c r="BCH50" s="88"/>
      <c r="BCI50" s="88"/>
      <c r="BCJ50" s="88"/>
      <c r="BCK50" s="88"/>
      <c r="BCL50" s="88"/>
      <c r="BCM50" s="88"/>
      <c r="BCN50" s="88"/>
      <c r="BCO50" s="88"/>
      <c r="BCP50" s="88"/>
      <c r="BCQ50" s="88"/>
      <c r="BCR50" s="88"/>
      <c r="BCS50" s="88"/>
      <c r="BCT50" s="88"/>
      <c r="BCU50" s="88"/>
      <c r="BCV50" s="88"/>
      <c r="BCW50" s="88"/>
      <c r="BCX50" s="88"/>
      <c r="BCY50" s="88"/>
      <c r="BCZ50" s="88"/>
      <c r="BDA50" s="88"/>
      <c r="BDB50" s="88"/>
      <c r="BDC50" s="88"/>
      <c r="BDD50" s="88"/>
      <c r="BDE50" s="88"/>
      <c r="BDF50" s="88"/>
      <c r="BDG50" s="88"/>
      <c r="BDH50" s="88"/>
      <c r="BDI50" s="88"/>
      <c r="BDJ50" s="88"/>
      <c r="BDK50" s="88"/>
      <c r="BDL50" s="88"/>
      <c r="BDM50" s="88"/>
      <c r="BDN50" s="88"/>
      <c r="BDO50" s="88"/>
      <c r="BDP50" s="88"/>
      <c r="BDQ50" s="88"/>
      <c r="BDR50" s="88"/>
      <c r="BDS50" s="88"/>
      <c r="BDT50" s="88"/>
      <c r="BDU50" s="88"/>
      <c r="BDV50" s="88"/>
      <c r="BDW50" s="88"/>
      <c r="BDX50" s="88"/>
      <c r="BDY50" s="88"/>
      <c r="BDZ50" s="88"/>
      <c r="BEA50" s="88"/>
      <c r="BEB50" s="88"/>
      <c r="BEC50" s="88"/>
      <c r="BED50" s="88"/>
      <c r="BEE50" s="88"/>
      <c r="BEF50" s="88"/>
      <c r="BEG50" s="88"/>
      <c r="BEH50" s="88"/>
      <c r="BEI50" s="88"/>
      <c r="BEJ50" s="88"/>
      <c r="BEK50" s="88"/>
      <c r="BEL50" s="88"/>
      <c r="BEM50" s="88"/>
      <c r="BEN50" s="88"/>
      <c r="BEO50" s="88"/>
      <c r="BEP50" s="88"/>
      <c r="BEQ50" s="88"/>
      <c r="BER50" s="88"/>
      <c r="BES50" s="88"/>
      <c r="BET50" s="88"/>
      <c r="BEU50" s="88"/>
      <c r="BEV50" s="88"/>
      <c r="BEW50" s="88"/>
      <c r="BEX50" s="88"/>
      <c r="BEY50" s="88"/>
      <c r="BEZ50" s="88"/>
      <c r="BFA50" s="88"/>
      <c r="BFB50" s="88"/>
      <c r="BFC50" s="88"/>
      <c r="BFD50" s="88"/>
      <c r="BFE50" s="88"/>
      <c r="BFF50" s="88"/>
      <c r="BFG50" s="88"/>
      <c r="BFH50" s="88"/>
      <c r="BFI50" s="88"/>
      <c r="BFJ50" s="88"/>
      <c r="BFK50" s="88"/>
      <c r="BFL50" s="88"/>
      <c r="BFM50" s="88"/>
      <c r="BFN50" s="88"/>
      <c r="BFO50" s="88"/>
      <c r="BFP50" s="88"/>
      <c r="BFQ50" s="88"/>
      <c r="BFR50" s="88"/>
      <c r="BFS50" s="88"/>
      <c r="BFT50" s="88"/>
      <c r="BFU50" s="88"/>
      <c r="BFV50" s="88"/>
      <c r="BFW50" s="88"/>
      <c r="BFX50" s="88"/>
      <c r="BFY50" s="88"/>
      <c r="BFZ50" s="88"/>
      <c r="BGA50" s="88"/>
      <c r="BGB50" s="88"/>
      <c r="BGC50" s="88"/>
      <c r="BGD50" s="88"/>
      <c r="BGE50" s="88"/>
      <c r="BGF50" s="88"/>
      <c r="BGG50" s="88"/>
      <c r="BGH50" s="88"/>
      <c r="BGI50" s="88"/>
      <c r="BGJ50" s="88"/>
      <c r="BGK50" s="88"/>
      <c r="BGL50" s="88"/>
      <c r="BGM50" s="88"/>
      <c r="BGN50" s="88"/>
      <c r="BGO50" s="88"/>
      <c r="BGP50" s="88"/>
      <c r="BGQ50" s="88"/>
      <c r="BGR50" s="88"/>
      <c r="BGS50" s="88"/>
      <c r="BGT50" s="88"/>
      <c r="BGU50" s="88"/>
      <c r="BGV50" s="88"/>
      <c r="BGW50" s="88"/>
      <c r="BGX50" s="88"/>
      <c r="BGY50" s="88"/>
      <c r="BGZ50" s="88"/>
      <c r="BHA50" s="88"/>
      <c r="BHB50" s="88"/>
      <c r="BHC50" s="88"/>
      <c r="BHD50" s="88"/>
      <c r="BHE50" s="88"/>
      <c r="BHF50" s="88"/>
      <c r="BHG50" s="88"/>
      <c r="BHH50" s="88"/>
      <c r="BHI50" s="88"/>
      <c r="BHJ50" s="88"/>
      <c r="BHK50" s="88"/>
      <c r="BHL50" s="88"/>
      <c r="BHM50" s="88"/>
      <c r="BHN50" s="88"/>
      <c r="BHO50" s="88"/>
      <c r="BHP50" s="88"/>
      <c r="BHQ50" s="88"/>
      <c r="BHR50" s="88"/>
      <c r="BHS50" s="88"/>
      <c r="BHT50" s="88"/>
      <c r="BHU50" s="88"/>
      <c r="BHV50" s="88"/>
      <c r="BHW50" s="88"/>
      <c r="BHX50" s="88"/>
      <c r="BHY50" s="88"/>
      <c r="BHZ50" s="88"/>
      <c r="BIA50" s="88"/>
      <c r="BIB50" s="88"/>
      <c r="BIC50" s="88"/>
      <c r="BID50" s="88"/>
      <c r="BIE50" s="88"/>
      <c r="BIF50" s="88"/>
      <c r="BIG50" s="88"/>
      <c r="BIH50" s="88"/>
      <c r="BII50" s="88"/>
      <c r="BIJ50" s="88"/>
      <c r="BIK50" s="88"/>
      <c r="BIL50" s="88"/>
      <c r="BIM50" s="88"/>
      <c r="BIN50" s="88"/>
      <c r="BIO50" s="88"/>
      <c r="BIP50" s="88"/>
      <c r="BIQ50" s="88"/>
      <c r="BIR50" s="88"/>
      <c r="BIS50" s="88"/>
      <c r="BIT50" s="88"/>
      <c r="BIU50" s="88"/>
      <c r="BIV50" s="88"/>
      <c r="BIW50" s="88"/>
      <c r="BIX50" s="88"/>
      <c r="BIY50" s="88"/>
      <c r="BIZ50" s="88"/>
      <c r="BJA50" s="88"/>
      <c r="BJB50" s="88"/>
      <c r="BJC50" s="88"/>
      <c r="BJD50" s="88"/>
      <c r="BJE50" s="88"/>
      <c r="BJF50" s="88"/>
      <c r="BJG50" s="88"/>
      <c r="BJH50" s="88"/>
      <c r="BJI50" s="88"/>
      <c r="BJJ50" s="88"/>
      <c r="BJK50" s="88"/>
      <c r="BJL50" s="88"/>
      <c r="BJM50" s="88"/>
      <c r="BJN50" s="88"/>
      <c r="BJO50" s="88"/>
      <c r="BJP50" s="88"/>
      <c r="BJQ50" s="88"/>
      <c r="BJR50" s="88"/>
      <c r="BJS50" s="88"/>
      <c r="BJT50" s="88"/>
      <c r="BJU50" s="88"/>
      <c r="BJV50" s="88"/>
      <c r="BJW50" s="88"/>
      <c r="BJX50" s="88"/>
      <c r="BJY50" s="88"/>
      <c r="BJZ50" s="88"/>
      <c r="BKA50" s="88"/>
      <c r="BKB50" s="88"/>
      <c r="BKC50" s="88"/>
      <c r="BKD50" s="88"/>
      <c r="BKE50" s="88"/>
      <c r="BKF50" s="88"/>
      <c r="BKG50" s="88"/>
      <c r="BKH50" s="88"/>
      <c r="BKI50" s="88"/>
      <c r="BKJ50" s="88"/>
      <c r="BKK50" s="88"/>
      <c r="BKL50" s="88"/>
      <c r="BKM50" s="88"/>
      <c r="BKN50" s="88"/>
      <c r="BKO50" s="88"/>
      <c r="BKP50" s="88"/>
      <c r="BKQ50" s="88"/>
      <c r="BKR50" s="88"/>
      <c r="BKS50" s="88"/>
      <c r="BKT50" s="88"/>
      <c r="BKU50" s="88"/>
      <c r="BKV50" s="88"/>
      <c r="BKW50" s="88"/>
      <c r="BKX50" s="88"/>
      <c r="BKY50" s="88"/>
      <c r="BKZ50" s="88"/>
      <c r="BLA50" s="88"/>
      <c r="BLB50" s="88"/>
      <c r="BLC50" s="88"/>
      <c r="BLD50" s="88"/>
      <c r="BLE50" s="88"/>
      <c r="BLF50" s="88"/>
      <c r="BLG50" s="88"/>
      <c r="BLH50" s="88"/>
      <c r="BLI50" s="88"/>
      <c r="BLJ50" s="88"/>
      <c r="BLK50" s="88"/>
      <c r="BLL50" s="88"/>
      <c r="BLM50" s="88"/>
      <c r="BLN50" s="88"/>
      <c r="BLO50" s="88"/>
      <c r="BLP50" s="88"/>
      <c r="BLQ50" s="88"/>
      <c r="BLR50" s="88"/>
      <c r="BLS50" s="88"/>
      <c r="BLT50" s="88"/>
      <c r="BLU50" s="88"/>
      <c r="BLV50" s="88"/>
      <c r="BLW50" s="88"/>
      <c r="BLX50" s="88"/>
      <c r="BLY50" s="88"/>
      <c r="BLZ50" s="88"/>
      <c r="BMA50" s="88"/>
      <c r="BMB50" s="88"/>
      <c r="BMC50" s="88"/>
      <c r="BMD50" s="88"/>
      <c r="BME50" s="88"/>
      <c r="BMF50" s="88"/>
      <c r="BMG50" s="88"/>
      <c r="BMH50" s="88"/>
      <c r="BMI50" s="88"/>
      <c r="BMJ50" s="88"/>
      <c r="BMK50" s="88"/>
      <c r="BML50" s="88"/>
      <c r="BMM50" s="88"/>
      <c r="BMN50" s="88"/>
      <c r="BMO50" s="88"/>
      <c r="BMP50" s="88"/>
      <c r="BMQ50" s="88"/>
      <c r="BMR50" s="88"/>
      <c r="BMS50" s="88"/>
      <c r="BMT50" s="88"/>
      <c r="BMU50" s="88"/>
      <c r="BMV50" s="88"/>
      <c r="BMW50" s="88"/>
      <c r="BMX50" s="88"/>
      <c r="BMY50" s="88"/>
      <c r="BMZ50" s="88"/>
      <c r="BNA50" s="88"/>
      <c r="BNB50" s="88"/>
      <c r="BNC50" s="88"/>
      <c r="BND50" s="88"/>
      <c r="BNE50" s="88"/>
      <c r="BNF50" s="88"/>
      <c r="BNG50" s="88"/>
      <c r="BNH50" s="88"/>
      <c r="BNI50" s="88"/>
      <c r="BNJ50" s="88"/>
      <c r="BNK50" s="88"/>
      <c r="BNL50" s="88"/>
      <c r="BNM50" s="88"/>
      <c r="BNN50" s="88"/>
      <c r="BNO50" s="88"/>
      <c r="BNP50" s="88"/>
      <c r="BNQ50" s="88"/>
      <c r="BNR50" s="88"/>
      <c r="BNS50" s="88"/>
      <c r="BNT50" s="88"/>
      <c r="BNU50" s="88"/>
      <c r="BNV50" s="88"/>
      <c r="BNW50" s="88"/>
      <c r="BNX50" s="88"/>
      <c r="BNY50" s="88"/>
      <c r="BNZ50" s="88"/>
      <c r="BOA50" s="88"/>
      <c r="BOB50" s="88"/>
      <c r="BOC50" s="88"/>
      <c r="BOD50" s="88"/>
      <c r="BOE50" s="88"/>
      <c r="BOF50" s="88"/>
      <c r="BOG50" s="88"/>
      <c r="BOH50" s="88"/>
      <c r="BOI50" s="88"/>
      <c r="BOJ50" s="88"/>
      <c r="BOK50" s="88"/>
      <c r="BOL50" s="88"/>
      <c r="BOM50" s="88"/>
      <c r="BON50" s="88"/>
      <c r="BOO50" s="88"/>
      <c r="BOP50" s="88"/>
      <c r="BOQ50" s="88"/>
      <c r="BOR50" s="88"/>
      <c r="BOS50" s="88"/>
      <c r="BOT50" s="88"/>
      <c r="BOU50" s="88"/>
      <c r="BOV50" s="88"/>
      <c r="BOW50" s="88"/>
      <c r="BOX50" s="88"/>
      <c r="BOY50" s="88"/>
      <c r="BOZ50" s="88"/>
      <c r="BPA50" s="88"/>
      <c r="BPB50" s="88"/>
      <c r="BPC50" s="88"/>
      <c r="BPD50" s="88"/>
      <c r="BPE50" s="88"/>
      <c r="BPF50" s="88"/>
      <c r="BPG50" s="88"/>
      <c r="BPH50" s="88"/>
      <c r="BPI50" s="88"/>
      <c r="BPJ50" s="88"/>
      <c r="BPK50" s="88"/>
      <c r="BPL50" s="88"/>
      <c r="BPM50" s="88"/>
      <c r="BPN50" s="88"/>
      <c r="BPO50" s="88"/>
      <c r="BPP50" s="88"/>
      <c r="BPQ50" s="88"/>
      <c r="BPR50" s="88"/>
      <c r="BPS50" s="88"/>
      <c r="BPT50" s="88"/>
      <c r="BPU50" s="88"/>
      <c r="BPV50" s="88"/>
      <c r="BPW50" s="88"/>
      <c r="BPX50" s="88"/>
      <c r="BPY50" s="88"/>
      <c r="BPZ50" s="88"/>
      <c r="BQA50" s="88"/>
      <c r="BQB50" s="88"/>
      <c r="BQC50" s="88"/>
      <c r="BQD50" s="88"/>
      <c r="BQE50" s="88"/>
      <c r="BQF50" s="88"/>
      <c r="BQG50" s="88"/>
      <c r="BQH50" s="88"/>
      <c r="BQI50" s="88"/>
      <c r="BQJ50" s="88"/>
      <c r="BQK50" s="88"/>
      <c r="BQL50" s="88"/>
      <c r="BQM50" s="88"/>
      <c r="BQN50" s="88"/>
      <c r="BQO50" s="88"/>
      <c r="BQP50" s="88"/>
      <c r="BQQ50" s="88"/>
      <c r="BQR50" s="88"/>
      <c r="BQS50" s="88"/>
      <c r="BQT50" s="88"/>
      <c r="BQU50" s="88"/>
      <c r="BQV50" s="88"/>
      <c r="BQW50" s="88"/>
      <c r="BQX50" s="88"/>
      <c r="BQY50" s="88"/>
      <c r="BQZ50" s="88"/>
      <c r="BRA50" s="88"/>
      <c r="BRB50" s="88"/>
      <c r="BRC50" s="88"/>
      <c r="BRD50" s="88"/>
      <c r="BRE50" s="88"/>
      <c r="BRF50" s="88"/>
      <c r="BRG50" s="88"/>
      <c r="BRH50" s="88"/>
      <c r="BRI50" s="88"/>
      <c r="BRJ50" s="88"/>
      <c r="BRK50" s="88"/>
      <c r="BRL50" s="88"/>
      <c r="BRM50" s="88"/>
      <c r="BRN50" s="88"/>
      <c r="BRO50" s="88"/>
      <c r="BRP50" s="88"/>
      <c r="BRQ50" s="88"/>
      <c r="BRR50" s="88"/>
      <c r="BRS50" s="88"/>
      <c r="BRT50" s="88"/>
      <c r="BRU50" s="88"/>
      <c r="BRV50" s="88"/>
      <c r="BRW50" s="88"/>
      <c r="BRX50" s="88"/>
      <c r="BRY50" s="88"/>
      <c r="BRZ50" s="88"/>
      <c r="BSA50" s="88"/>
      <c r="BSB50" s="88"/>
      <c r="BSC50" s="88"/>
      <c r="BSD50" s="88"/>
      <c r="BSE50" s="88"/>
      <c r="BSF50" s="88"/>
      <c r="BSG50" s="88"/>
      <c r="BSH50" s="88"/>
      <c r="BSI50" s="88"/>
      <c r="BSJ50" s="88"/>
      <c r="BSK50" s="88"/>
      <c r="BSL50" s="88"/>
      <c r="BSM50" s="88"/>
      <c r="BSN50" s="88"/>
      <c r="BSO50" s="88"/>
      <c r="BSP50" s="88"/>
      <c r="BSQ50" s="88"/>
      <c r="BSR50" s="88"/>
      <c r="BSS50" s="88"/>
      <c r="BST50" s="88"/>
      <c r="BSU50" s="88"/>
      <c r="BSV50" s="88"/>
      <c r="BSW50" s="88"/>
      <c r="BSX50" s="88"/>
      <c r="BSY50" s="88"/>
      <c r="BSZ50" s="88"/>
      <c r="BTA50" s="88"/>
      <c r="BTB50" s="88"/>
      <c r="BTC50" s="88"/>
      <c r="BTD50" s="88"/>
      <c r="BTE50" s="88"/>
      <c r="BTF50" s="88"/>
      <c r="BTG50" s="88"/>
      <c r="BTH50" s="88"/>
      <c r="BTI50" s="88"/>
      <c r="BTJ50" s="88"/>
      <c r="BTK50" s="88"/>
      <c r="BTL50" s="88"/>
      <c r="BTM50" s="88"/>
      <c r="BTN50" s="88"/>
      <c r="BTO50" s="88"/>
      <c r="BTP50" s="88"/>
      <c r="BTQ50" s="88"/>
      <c r="BTR50" s="88"/>
      <c r="BTS50" s="88"/>
      <c r="BTT50" s="88"/>
      <c r="BTU50" s="88"/>
      <c r="BTV50" s="88"/>
      <c r="BTW50" s="88"/>
      <c r="BTX50" s="88"/>
      <c r="BTY50" s="88"/>
      <c r="BTZ50" s="88"/>
      <c r="BUA50" s="88"/>
      <c r="BUB50" s="88"/>
      <c r="BUC50" s="88"/>
      <c r="BUD50" s="88"/>
      <c r="BUE50" s="88"/>
      <c r="BUF50" s="88"/>
      <c r="BUG50" s="88"/>
      <c r="BUH50" s="88"/>
      <c r="BUI50" s="88"/>
      <c r="BUJ50" s="88"/>
      <c r="BUK50" s="88"/>
      <c r="BUL50" s="88"/>
      <c r="BUM50" s="88"/>
      <c r="BUN50" s="88"/>
      <c r="BUO50" s="88"/>
      <c r="BUP50" s="88"/>
      <c r="BUQ50" s="88"/>
      <c r="BUR50" s="88"/>
      <c r="BUS50" s="88"/>
      <c r="BUT50" s="88"/>
      <c r="BUU50" s="88"/>
      <c r="BUV50" s="88"/>
      <c r="BUW50" s="88"/>
      <c r="BUX50" s="88"/>
      <c r="BUY50" s="88"/>
      <c r="BUZ50" s="88"/>
      <c r="BVA50" s="88"/>
      <c r="BVB50" s="88"/>
      <c r="BVC50" s="88"/>
      <c r="BVD50" s="88"/>
      <c r="BVE50" s="88"/>
      <c r="BVF50" s="88"/>
      <c r="BVG50" s="88"/>
      <c r="BVH50" s="88"/>
      <c r="BVI50" s="88"/>
      <c r="BVJ50" s="88"/>
      <c r="BVK50" s="88"/>
      <c r="BVL50" s="88"/>
      <c r="BVM50" s="88"/>
      <c r="BVN50" s="88"/>
      <c r="BVO50" s="88"/>
      <c r="BVP50" s="88"/>
      <c r="BVQ50" s="88"/>
      <c r="BVR50" s="88"/>
      <c r="BVS50" s="88"/>
      <c r="BVT50" s="88"/>
      <c r="BVU50" s="88"/>
      <c r="BVV50" s="88"/>
      <c r="BVW50" s="88"/>
      <c r="BVX50" s="88"/>
      <c r="BVY50" s="88"/>
      <c r="BVZ50" s="88"/>
      <c r="BWA50" s="88"/>
      <c r="BWB50" s="88"/>
      <c r="BWC50" s="88"/>
      <c r="BWD50" s="88"/>
      <c r="BWE50" s="88"/>
      <c r="BWF50" s="88"/>
      <c r="BWG50" s="88"/>
      <c r="BWH50" s="88"/>
      <c r="BWI50" s="88"/>
      <c r="BWJ50" s="88"/>
      <c r="BWK50" s="88"/>
      <c r="BWL50" s="88"/>
      <c r="BWM50" s="88"/>
      <c r="BWN50" s="88"/>
      <c r="BWO50" s="88"/>
      <c r="BWP50" s="88"/>
      <c r="BWQ50" s="88"/>
      <c r="BWR50" s="88"/>
      <c r="BWS50" s="88"/>
      <c r="BWT50" s="88"/>
      <c r="BWU50" s="88"/>
      <c r="BWV50" s="88"/>
      <c r="BWW50" s="88"/>
      <c r="BWX50" s="88"/>
      <c r="BWY50" s="88"/>
      <c r="BWZ50" s="88"/>
      <c r="BXA50" s="88"/>
      <c r="BXB50" s="88"/>
      <c r="BXC50" s="88"/>
      <c r="BXD50" s="88"/>
      <c r="BXE50" s="88"/>
      <c r="BXF50" s="88"/>
      <c r="BXG50" s="88"/>
      <c r="BXH50" s="88"/>
      <c r="BXI50" s="88"/>
      <c r="BXJ50" s="88"/>
      <c r="BXK50" s="88"/>
      <c r="BXL50" s="88"/>
      <c r="BXM50" s="88"/>
      <c r="BXN50" s="88"/>
      <c r="BXO50" s="88"/>
      <c r="BXP50" s="88"/>
      <c r="BXQ50" s="88"/>
      <c r="BXR50" s="88"/>
      <c r="BXS50" s="88"/>
      <c r="BXT50" s="88"/>
      <c r="BXU50" s="88"/>
      <c r="BXV50" s="88"/>
      <c r="BXW50" s="88"/>
      <c r="BXX50" s="88"/>
      <c r="BXY50" s="88"/>
      <c r="BXZ50" s="88"/>
      <c r="BYA50" s="88"/>
      <c r="BYB50" s="88"/>
      <c r="BYC50" s="88"/>
      <c r="BYD50" s="88"/>
      <c r="BYE50" s="88"/>
      <c r="BYF50" s="88"/>
      <c r="BYG50" s="88"/>
      <c r="BYH50" s="88"/>
      <c r="BYI50" s="88"/>
      <c r="BYJ50" s="88"/>
      <c r="BYK50" s="88"/>
      <c r="BYL50" s="88"/>
      <c r="BYM50" s="88"/>
      <c r="BYN50" s="88"/>
      <c r="BYO50" s="88"/>
      <c r="BYP50" s="88"/>
      <c r="BYQ50" s="88"/>
      <c r="BYR50" s="88"/>
      <c r="BYS50" s="88"/>
      <c r="BYT50" s="88"/>
      <c r="BYU50" s="88"/>
      <c r="BYV50" s="88"/>
      <c r="BYW50" s="88"/>
      <c r="BYX50" s="88"/>
      <c r="BYY50" s="88"/>
      <c r="BYZ50" s="88"/>
      <c r="BZA50" s="88"/>
      <c r="BZB50" s="88"/>
      <c r="BZC50" s="88"/>
      <c r="BZD50" s="88"/>
      <c r="BZE50" s="88"/>
      <c r="BZF50" s="88"/>
      <c r="BZG50" s="88"/>
      <c r="BZH50" s="88"/>
      <c r="BZI50" s="88"/>
      <c r="BZJ50" s="88"/>
      <c r="BZK50" s="88"/>
      <c r="BZL50" s="88"/>
      <c r="BZM50" s="88"/>
      <c r="BZN50" s="88"/>
      <c r="BZO50" s="88"/>
      <c r="BZP50" s="88"/>
      <c r="BZQ50" s="88"/>
      <c r="BZR50" s="88"/>
      <c r="BZS50" s="88"/>
      <c r="BZT50" s="88"/>
      <c r="BZU50" s="88"/>
      <c r="BZV50" s="88"/>
      <c r="BZW50" s="88"/>
      <c r="BZX50" s="88"/>
      <c r="BZY50" s="88"/>
      <c r="BZZ50" s="88"/>
      <c r="CAA50" s="88"/>
      <c r="CAB50" s="88"/>
      <c r="CAC50" s="88"/>
      <c r="CAD50" s="88"/>
      <c r="CAE50" s="88"/>
      <c r="CAF50" s="88"/>
      <c r="CAG50" s="88"/>
      <c r="CAH50" s="88"/>
      <c r="CAI50" s="88"/>
      <c r="CAJ50" s="88"/>
      <c r="CAK50" s="88"/>
      <c r="CAL50" s="88"/>
      <c r="CAM50" s="88"/>
      <c r="CAN50" s="88"/>
      <c r="CAO50" s="88"/>
      <c r="CAP50" s="88"/>
      <c r="CAQ50" s="88"/>
      <c r="CAR50" s="88"/>
      <c r="CAS50" s="88"/>
      <c r="CAT50" s="88"/>
      <c r="CAU50" s="88"/>
      <c r="CAV50" s="88"/>
      <c r="CAW50" s="88"/>
      <c r="CAX50" s="88"/>
      <c r="CAY50" s="88"/>
      <c r="CAZ50" s="88"/>
      <c r="CBA50" s="88"/>
      <c r="CBB50" s="88"/>
      <c r="CBC50" s="88"/>
      <c r="CBD50" s="88"/>
      <c r="CBE50" s="88"/>
      <c r="CBF50" s="88"/>
      <c r="CBG50" s="88"/>
      <c r="CBH50" s="88"/>
      <c r="CBI50" s="88"/>
      <c r="CBJ50" s="88"/>
      <c r="CBK50" s="88"/>
      <c r="CBL50" s="88"/>
      <c r="CBM50" s="88"/>
      <c r="CBN50" s="88"/>
      <c r="CBO50" s="88"/>
      <c r="CBP50" s="88"/>
      <c r="CBQ50" s="88"/>
      <c r="CBR50" s="88"/>
      <c r="CBS50" s="88"/>
      <c r="CBT50" s="88"/>
      <c r="CBU50" s="88"/>
      <c r="CBV50" s="88"/>
      <c r="CBW50" s="88"/>
      <c r="CBX50" s="88"/>
      <c r="CBY50" s="88"/>
      <c r="CBZ50" s="88"/>
      <c r="CCA50" s="88"/>
      <c r="CCB50" s="88"/>
      <c r="CCC50" s="88"/>
      <c r="CCD50" s="88"/>
      <c r="CCE50" s="88"/>
      <c r="CCF50" s="88"/>
      <c r="CCG50" s="88"/>
      <c r="CCH50" s="88"/>
      <c r="CCI50" s="88"/>
      <c r="CCJ50" s="88"/>
      <c r="CCK50" s="88"/>
      <c r="CCL50" s="88"/>
      <c r="CCM50" s="88"/>
      <c r="CCN50" s="88"/>
      <c r="CCO50" s="88"/>
      <c r="CCP50" s="88"/>
      <c r="CCQ50" s="88"/>
      <c r="CCR50" s="88"/>
      <c r="CCS50" s="88"/>
      <c r="CCT50" s="88"/>
      <c r="CCU50" s="88"/>
      <c r="CCV50" s="88"/>
      <c r="CCW50" s="88"/>
      <c r="CCX50" s="88"/>
      <c r="CCY50" s="88"/>
      <c r="CCZ50" s="88"/>
      <c r="CDA50" s="88"/>
      <c r="CDB50" s="88"/>
      <c r="CDC50" s="88"/>
      <c r="CDD50" s="88"/>
      <c r="CDE50" s="88"/>
      <c r="CDF50" s="88"/>
      <c r="CDG50" s="88"/>
      <c r="CDH50" s="88"/>
      <c r="CDI50" s="88"/>
      <c r="CDJ50" s="88"/>
      <c r="CDK50" s="88"/>
      <c r="CDL50" s="88"/>
      <c r="CDM50" s="88"/>
      <c r="CDN50" s="88"/>
      <c r="CDO50" s="88"/>
      <c r="CDP50" s="88"/>
      <c r="CDQ50" s="88"/>
      <c r="CDR50" s="88"/>
      <c r="CDS50" s="88"/>
      <c r="CDT50" s="88"/>
      <c r="CDU50" s="88"/>
      <c r="CDV50" s="88"/>
      <c r="CDW50" s="88"/>
      <c r="CDX50" s="88"/>
      <c r="CDY50" s="88"/>
      <c r="CDZ50" s="88"/>
      <c r="CEA50" s="88"/>
      <c r="CEB50" s="88"/>
      <c r="CEC50" s="88"/>
      <c r="CED50" s="88"/>
      <c r="CEE50" s="88"/>
      <c r="CEF50" s="88"/>
      <c r="CEG50" s="88"/>
      <c r="CEH50" s="88"/>
      <c r="CEI50" s="88"/>
      <c r="CEJ50" s="88"/>
      <c r="CEK50" s="88"/>
    </row>
    <row r="51" spans="1:2169" s="63" customFormat="1">
      <c r="A51" s="73" t="s">
        <v>418</v>
      </c>
      <c r="B51" s="71" t="s">
        <v>76</v>
      </c>
      <c r="C51" s="68" t="str">
        <f>IF('page 2'!$O$4="","",IF('page 2'!$O$4=Gestion!A51,1,0))</f>
        <v/>
      </c>
      <c r="D51" s="68" t="str">
        <f>IF('page 2'!$O$5="","",IF('page 2'!$O$5=Gestion!A51,1,0))</f>
        <v/>
      </c>
      <c r="E51" s="68" t="str">
        <f>IF('page 2'!$O$6="","",IF('page 2'!$O$6=Gestion!A51,1,0))</f>
        <v/>
      </c>
      <c r="F51" s="68" t="str">
        <f>IF('page 2'!$O$7="","",IF('page 2'!$O$7=Gestion!A51,1,0))</f>
        <v/>
      </c>
      <c r="G51" s="68" t="str">
        <f>IF('page 2'!$O$8="","",IF('page 2'!$O$8=Gestion!A51,1,0))</f>
        <v/>
      </c>
      <c r="H51" s="68" t="str">
        <f>IF('page 2'!$O$9="","",IF('page 2'!$O$9=Gestion!A51,1,0))</f>
        <v/>
      </c>
      <c r="I51" s="68" t="str">
        <f>IF('page 2'!$O$10="","",IF('page 2'!$O$10=Gestion!A51,1,0))</f>
        <v/>
      </c>
      <c r="J51" s="68" t="str">
        <f>IF('page 2'!$O$11="","",IF('page 2'!$O$11=Gestion!A51,1,0))</f>
        <v/>
      </c>
      <c r="K51" s="68" t="str">
        <f>IF('page 2'!$O$12="","",IF('page 2'!$O$12=Gestion!A51,1,0))</f>
        <v/>
      </c>
      <c r="L51" s="68" t="str">
        <f>IF('page 2'!$O$13="","",IF('page 2'!$O$13=Gestion!A51,1,0))</f>
        <v/>
      </c>
      <c r="M51" s="68" t="str">
        <f>IF('page 2'!$O$14="","",IF('page 2'!$O$14=Gestion!A51,1,0))</f>
        <v/>
      </c>
      <c r="N51" s="68" t="str">
        <f>IF('page 2'!$O$15="","",IF('page 2'!$O$15=Gestion!A51,1,0))</f>
        <v/>
      </c>
      <c r="O51" s="68" t="str">
        <f>IF('page 2'!$O$16="","",IF('page 2'!$O$16=Gestion!A51,1,0))</f>
        <v/>
      </c>
      <c r="P51" s="68" t="str">
        <f>IF('page 2'!$O$17="","",IF('page 2'!$O$17=Gestion!A51,1,0))</f>
        <v/>
      </c>
      <c r="Q51" s="68" t="str">
        <f>IF('page 2'!$O$18="","",IF('page 2'!$O$18=Gestion!A51,1,0))</f>
        <v/>
      </c>
      <c r="R51" s="68" t="str">
        <f>IF('page 2'!$O$19="","",IF('page 2'!$O$19=Gestion!A51,1,0))</f>
        <v/>
      </c>
      <c r="S51" s="68" t="str">
        <f>IF('page 2'!$O$20="","",IF('page 2'!$O$20=Gestion!A51,1,0))</f>
        <v/>
      </c>
      <c r="T51" s="68" t="str">
        <f>IF('page 2'!$O$25="","",IF('page 2'!$O$25=Gestion!A51,1,0))</f>
        <v/>
      </c>
      <c r="U51" s="68" t="str">
        <f>IF('page 2'!$O$26="","",IF('page 2'!$O$26=Gestion!A51,1,0))</f>
        <v/>
      </c>
      <c r="V51" s="68" t="str">
        <f>IF('page 2'!$O$27="","",IF('page 2'!$O$27=Gestion!A51,1,0))</f>
        <v/>
      </c>
      <c r="W51" s="722">
        <f t="shared" si="0"/>
        <v>0</v>
      </c>
      <c r="X51" s="714"/>
      <c r="Y51" s="68"/>
      <c r="Z51" s="68"/>
      <c r="AA51" s="68"/>
      <c r="AB51" s="68"/>
      <c r="AC51" s="68"/>
      <c r="AD51" s="68"/>
      <c r="AP51" s="130"/>
      <c r="AQ51" s="130"/>
      <c r="AR51" s="130"/>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602"/>
      <c r="CH51" s="602"/>
      <c r="CI51" s="602"/>
      <c r="CJ51" s="602"/>
      <c r="CK51" s="602"/>
      <c r="CL51" s="602"/>
      <c r="CM51" s="602"/>
      <c r="CN51" s="602"/>
      <c r="CO51" s="602"/>
      <c r="CP51" s="602"/>
      <c r="CQ51" s="602"/>
      <c r="CR51" s="602"/>
      <c r="CS51" s="602"/>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c r="SF51" s="88"/>
      <c r="SG51" s="88"/>
      <c r="SH51" s="88"/>
      <c r="SI51" s="88"/>
      <c r="SJ51" s="88"/>
      <c r="SK51" s="88"/>
      <c r="SL51" s="88"/>
      <c r="SM51" s="88"/>
      <c r="SN51" s="88"/>
      <c r="SO51" s="88"/>
      <c r="SP51" s="88"/>
      <c r="SQ51" s="88"/>
      <c r="SR51" s="88"/>
      <c r="SS51" s="88"/>
      <c r="ST51" s="88"/>
      <c r="SU51" s="88"/>
      <c r="SV51" s="88"/>
      <c r="SW51" s="88"/>
      <c r="SX51" s="88"/>
      <c r="SY51" s="88"/>
      <c r="SZ51" s="88"/>
      <c r="TA51" s="88"/>
      <c r="TB51" s="88"/>
      <c r="TC51" s="88"/>
      <c r="TD51" s="88"/>
      <c r="TE51" s="88"/>
      <c r="TF51" s="88"/>
      <c r="TG51" s="88"/>
      <c r="TH51" s="88"/>
      <c r="TI51" s="88"/>
      <c r="TJ51" s="88"/>
      <c r="TK51" s="88"/>
      <c r="TL51" s="88"/>
      <c r="TM51" s="88"/>
      <c r="TN51" s="88"/>
      <c r="TO51" s="88"/>
      <c r="TP51" s="88"/>
      <c r="TQ51" s="88"/>
      <c r="TR51" s="88"/>
      <c r="TS51" s="88"/>
      <c r="TT51" s="88"/>
      <c r="TU51" s="88"/>
      <c r="TV51" s="88"/>
      <c r="TW51" s="88"/>
      <c r="TX51" s="88"/>
      <c r="TY51" s="88"/>
      <c r="TZ51" s="88"/>
      <c r="UA51" s="88"/>
      <c r="UB51" s="88"/>
      <c r="UC51" s="88"/>
      <c r="UD51" s="88"/>
      <c r="UE51" s="88"/>
      <c r="UF51" s="88"/>
      <c r="UG51" s="88"/>
      <c r="UH51" s="88"/>
      <c r="UI51" s="88"/>
      <c r="UJ51" s="88"/>
      <c r="UK51" s="88"/>
      <c r="UL51" s="88"/>
      <c r="UM51" s="88"/>
      <c r="UN51" s="88"/>
      <c r="UO51" s="88"/>
      <c r="UP51" s="88"/>
      <c r="UQ51" s="88"/>
      <c r="UR51" s="88"/>
      <c r="US51" s="88"/>
      <c r="UT51" s="88"/>
      <c r="UU51" s="88"/>
      <c r="UV51" s="88"/>
      <c r="UW51" s="88"/>
      <c r="UX51" s="88"/>
      <c r="UY51" s="88"/>
      <c r="UZ51" s="88"/>
      <c r="VA51" s="88"/>
      <c r="VB51" s="88"/>
      <c r="VC51" s="88"/>
      <c r="VD51" s="88"/>
      <c r="VE51" s="88"/>
      <c r="VF51" s="88"/>
      <c r="VG51" s="88"/>
      <c r="VH51" s="88"/>
      <c r="VI51" s="88"/>
      <c r="VJ51" s="88"/>
      <c r="VK51" s="88"/>
      <c r="VL51" s="88"/>
      <c r="VM51" s="88"/>
      <c r="VN51" s="88"/>
      <c r="VO51" s="88"/>
      <c r="VP51" s="88"/>
      <c r="VQ51" s="88"/>
      <c r="VR51" s="88"/>
      <c r="VS51" s="88"/>
      <c r="VT51" s="88"/>
      <c r="VU51" s="88"/>
      <c r="VV51" s="88"/>
      <c r="VW51" s="88"/>
      <c r="VX51" s="88"/>
      <c r="VY51" s="88"/>
      <c r="VZ51" s="88"/>
      <c r="WA51" s="88"/>
      <c r="WB51" s="88"/>
      <c r="WC51" s="88"/>
      <c r="WD51" s="88"/>
      <c r="WE51" s="88"/>
      <c r="WF51" s="88"/>
      <c r="WG51" s="88"/>
      <c r="WH51" s="88"/>
      <c r="WI51" s="88"/>
      <c r="WJ51" s="88"/>
      <c r="WK51" s="88"/>
      <c r="WL51" s="88"/>
      <c r="WM51" s="88"/>
      <c r="WN51" s="88"/>
      <c r="WO51" s="88"/>
      <c r="WP51" s="88"/>
      <c r="WQ51" s="88"/>
      <c r="WR51" s="88"/>
      <c r="WS51" s="88"/>
      <c r="WT51" s="88"/>
      <c r="WU51" s="88"/>
      <c r="WV51" s="88"/>
      <c r="WW51" s="88"/>
      <c r="WX51" s="88"/>
      <c r="WY51" s="88"/>
      <c r="WZ51" s="88"/>
      <c r="XA51" s="88"/>
      <c r="XB51" s="88"/>
      <c r="XC51" s="88"/>
      <c r="XD51" s="88"/>
      <c r="XE51" s="88"/>
      <c r="XF51" s="88"/>
      <c r="XG51" s="88"/>
      <c r="XH51" s="88"/>
      <c r="XI51" s="88"/>
      <c r="XJ51" s="88"/>
      <c r="XK51" s="88"/>
      <c r="XL51" s="88"/>
      <c r="XM51" s="88"/>
      <c r="XN51" s="88"/>
      <c r="XO51" s="88"/>
      <c r="XP51" s="88"/>
      <c r="XQ51" s="88"/>
      <c r="XR51" s="88"/>
      <c r="XS51" s="88"/>
      <c r="XT51" s="88"/>
      <c r="XU51" s="88"/>
      <c r="XV51" s="88"/>
      <c r="XW51" s="88"/>
      <c r="XX51" s="88"/>
      <c r="XY51" s="88"/>
      <c r="XZ51" s="88"/>
      <c r="YA51" s="88"/>
      <c r="YB51" s="88"/>
      <c r="YC51" s="88"/>
      <c r="YD51" s="88"/>
      <c r="YE51" s="88"/>
      <c r="YF51" s="88"/>
      <c r="YG51" s="88"/>
      <c r="YH51" s="88"/>
      <c r="YI51" s="88"/>
      <c r="YJ51" s="88"/>
      <c r="YK51" s="88"/>
      <c r="YL51" s="88"/>
      <c r="YM51" s="88"/>
      <c r="YN51" s="88"/>
      <c r="YO51" s="88"/>
      <c r="YP51" s="88"/>
      <c r="YQ51" s="88"/>
      <c r="YR51" s="88"/>
      <c r="YS51" s="88"/>
      <c r="YT51" s="88"/>
      <c r="YU51" s="88"/>
      <c r="YV51" s="88"/>
      <c r="YW51" s="88"/>
      <c r="YX51" s="88"/>
      <c r="YY51" s="88"/>
      <c r="YZ51" s="88"/>
      <c r="ZA51" s="88"/>
      <c r="ZB51" s="88"/>
      <c r="ZC51" s="88"/>
      <c r="ZD51" s="88"/>
      <c r="ZE51" s="88"/>
      <c r="ZF51" s="88"/>
      <c r="ZG51" s="88"/>
      <c r="ZH51" s="88"/>
      <c r="ZI51" s="88"/>
      <c r="ZJ51" s="88"/>
      <c r="ZK51" s="88"/>
      <c r="ZL51" s="88"/>
      <c r="ZM51" s="88"/>
      <c r="ZN51" s="88"/>
      <c r="ZO51" s="88"/>
      <c r="ZP51" s="88"/>
      <c r="ZQ51" s="88"/>
      <c r="ZR51" s="88"/>
      <c r="ZS51" s="88"/>
      <c r="ZT51" s="88"/>
      <c r="ZU51" s="88"/>
      <c r="ZV51" s="88"/>
      <c r="ZW51" s="88"/>
      <c r="ZX51" s="88"/>
      <c r="ZY51" s="88"/>
      <c r="ZZ51" s="88"/>
      <c r="AAA51" s="88"/>
      <c r="AAB51" s="88"/>
      <c r="AAC51" s="88"/>
      <c r="AAD51" s="88"/>
      <c r="AAE51" s="88"/>
      <c r="AAF51" s="88"/>
      <c r="AAG51" s="88"/>
      <c r="AAH51" s="88"/>
      <c r="AAI51" s="88"/>
      <c r="AAJ51" s="88"/>
      <c r="AAK51" s="88"/>
      <c r="AAL51" s="88"/>
      <c r="AAM51" s="88"/>
      <c r="AAN51" s="88"/>
      <c r="AAO51" s="88"/>
      <c r="AAP51" s="88"/>
      <c r="AAQ51" s="88"/>
      <c r="AAR51" s="88"/>
      <c r="AAS51" s="88"/>
      <c r="AAT51" s="88"/>
      <c r="AAU51" s="88"/>
      <c r="AAV51" s="88"/>
      <c r="AAW51" s="88"/>
      <c r="AAX51" s="88"/>
      <c r="AAY51" s="88"/>
      <c r="AAZ51" s="88"/>
      <c r="ABA51" s="88"/>
      <c r="ABB51" s="88"/>
      <c r="ABC51" s="88"/>
      <c r="ABD51" s="88"/>
      <c r="ABE51" s="88"/>
      <c r="ABF51" s="88"/>
      <c r="ABG51" s="88"/>
      <c r="ABH51" s="88"/>
      <c r="ABI51" s="88"/>
      <c r="ABJ51" s="88"/>
      <c r="ABK51" s="88"/>
      <c r="ABL51" s="88"/>
      <c r="ABM51" s="88"/>
      <c r="ABN51" s="88"/>
      <c r="ABO51" s="88"/>
      <c r="ABP51" s="88"/>
      <c r="ABQ51" s="88"/>
      <c r="ABR51" s="88"/>
      <c r="ABS51" s="88"/>
      <c r="ABT51" s="88"/>
      <c r="ABU51" s="88"/>
      <c r="ABV51" s="88"/>
      <c r="ABW51" s="88"/>
      <c r="ABX51" s="88"/>
      <c r="ABY51" s="88"/>
      <c r="ABZ51" s="88"/>
      <c r="ACA51" s="88"/>
      <c r="ACB51" s="88"/>
      <c r="ACC51" s="88"/>
      <c r="ACD51" s="88"/>
      <c r="ACE51" s="88"/>
      <c r="ACF51" s="88"/>
      <c r="ACG51" s="88"/>
      <c r="ACH51" s="88"/>
      <c r="ACI51" s="88"/>
      <c r="ACJ51" s="88"/>
      <c r="ACK51" s="88"/>
      <c r="ACL51" s="88"/>
      <c r="ACM51" s="88"/>
      <c r="ACN51" s="88"/>
      <c r="ACO51" s="88"/>
      <c r="ACP51" s="88"/>
      <c r="ACQ51" s="88"/>
      <c r="ACR51" s="88"/>
      <c r="ACS51" s="88"/>
      <c r="ACT51" s="88"/>
      <c r="ACU51" s="88"/>
      <c r="ACV51" s="88"/>
      <c r="ACW51" s="88"/>
      <c r="ACX51" s="88"/>
      <c r="ACY51" s="88"/>
      <c r="ACZ51" s="88"/>
      <c r="ADA51" s="88"/>
      <c r="ADB51" s="88"/>
      <c r="ADC51" s="88"/>
      <c r="ADD51" s="88"/>
      <c r="ADE51" s="88"/>
      <c r="ADF51" s="88"/>
      <c r="ADG51" s="88"/>
      <c r="ADH51" s="88"/>
      <c r="ADI51" s="88"/>
      <c r="ADJ51" s="88"/>
      <c r="ADK51" s="88"/>
      <c r="ADL51" s="88"/>
      <c r="ADM51" s="88"/>
      <c r="ADN51" s="88"/>
      <c r="ADO51" s="88"/>
      <c r="ADP51" s="88"/>
      <c r="ADQ51" s="88"/>
      <c r="ADR51" s="88"/>
      <c r="ADS51" s="88"/>
      <c r="ADT51" s="88"/>
      <c r="ADU51" s="88"/>
      <c r="ADV51" s="88"/>
      <c r="ADW51" s="88"/>
      <c r="ADX51" s="88"/>
      <c r="ADY51" s="88"/>
      <c r="ADZ51" s="88"/>
      <c r="AEA51" s="88"/>
      <c r="AEB51" s="88"/>
      <c r="AEC51" s="88"/>
      <c r="AED51" s="88"/>
      <c r="AEE51" s="88"/>
      <c r="AEF51" s="88"/>
      <c r="AEG51" s="88"/>
      <c r="AEH51" s="88"/>
      <c r="AEI51" s="88"/>
      <c r="AEJ51" s="88"/>
      <c r="AEK51" s="88"/>
      <c r="AEL51" s="88"/>
      <c r="AEM51" s="88"/>
      <c r="AEN51" s="88"/>
      <c r="AEO51" s="88"/>
      <c r="AEP51" s="88"/>
      <c r="AEQ51" s="88"/>
      <c r="AER51" s="88"/>
      <c r="AES51" s="88"/>
      <c r="AET51" s="88"/>
      <c r="AEU51" s="88"/>
      <c r="AEV51" s="88"/>
      <c r="AEW51" s="88"/>
      <c r="AEX51" s="88"/>
      <c r="AEY51" s="88"/>
      <c r="AEZ51" s="88"/>
      <c r="AFA51" s="88"/>
      <c r="AFB51" s="88"/>
      <c r="AFC51" s="88"/>
      <c r="AFD51" s="88"/>
      <c r="AFE51" s="88"/>
      <c r="AFF51" s="88"/>
      <c r="AFG51" s="88"/>
      <c r="AFH51" s="88"/>
      <c r="AFI51" s="88"/>
      <c r="AFJ51" s="88"/>
      <c r="AFK51" s="88"/>
      <c r="AFL51" s="88"/>
      <c r="AFM51" s="88"/>
      <c r="AFN51" s="88"/>
      <c r="AFO51" s="88"/>
      <c r="AFP51" s="88"/>
      <c r="AFQ51" s="88"/>
      <c r="AFR51" s="88"/>
      <c r="AFS51" s="88"/>
      <c r="AFT51" s="88"/>
      <c r="AFU51" s="88"/>
      <c r="AFV51" s="88"/>
      <c r="AFW51" s="88"/>
      <c r="AFX51" s="88"/>
      <c r="AFY51" s="88"/>
      <c r="AFZ51" s="88"/>
      <c r="AGA51" s="88"/>
      <c r="AGB51" s="88"/>
      <c r="AGC51" s="88"/>
      <c r="AGD51" s="88"/>
      <c r="AGE51" s="88"/>
      <c r="AGF51" s="88"/>
      <c r="AGG51" s="88"/>
      <c r="AGH51" s="88"/>
      <c r="AGI51" s="88"/>
      <c r="AGJ51" s="88"/>
      <c r="AGK51" s="88"/>
      <c r="AGL51" s="88"/>
      <c r="AGM51" s="88"/>
      <c r="AGN51" s="88"/>
      <c r="AGO51" s="88"/>
      <c r="AGP51" s="88"/>
      <c r="AGQ51" s="88"/>
      <c r="AGR51" s="88"/>
      <c r="AGS51" s="88"/>
      <c r="AGT51" s="88"/>
      <c r="AGU51" s="88"/>
      <c r="AGV51" s="88"/>
      <c r="AGW51" s="88"/>
      <c r="AGX51" s="88"/>
      <c r="AGY51" s="88"/>
      <c r="AGZ51" s="88"/>
      <c r="AHA51" s="88"/>
      <c r="AHB51" s="88"/>
      <c r="AHC51" s="88"/>
      <c r="AHD51" s="88"/>
      <c r="AHE51" s="88"/>
      <c r="AHF51" s="88"/>
      <c r="AHG51" s="88"/>
      <c r="AHH51" s="88"/>
      <c r="AHI51" s="88"/>
      <c r="AHJ51" s="88"/>
      <c r="AHK51" s="88"/>
      <c r="AHL51" s="88"/>
      <c r="AHM51" s="88"/>
      <c r="AHN51" s="88"/>
      <c r="AHO51" s="88"/>
      <c r="AHP51" s="88"/>
      <c r="AHQ51" s="88"/>
      <c r="AHR51" s="88"/>
      <c r="AHS51" s="88"/>
      <c r="AHT51" s="88"/>
      <c r="AHU51" s="88"/>
      <c r="AHV51" s="88"/>
      <c r="AHW51" s="88"/>
      <c r="AHX51" s="88"/>
      <c r="AHY51" s="88"/>
      <c r="AHZ51" s="88"/>
      <c r="AIA51" s="88"/>
      <c r="AIB51" s="88"/>
      <c r="AIC51" s="88"/>
      <c r="AID51" s="88"/>
      <c r="AIE51" s="88"/>
      <c r="AIF51" s="88"/>
      <c r="AIG51" s="88"/>
      <c r="AIH51" s="88"/>
      <c r="AII51" s="88"/>
      <c r="AIJ51" s="88"/>
      <c r="AIK51" s="88"/>
      <c r="AIL51" s="88"/>
      <c r="AIM51" s="88"/>
      <c r="AIN51" s="88"/>
      <c r="AIO51" s="88"/>
      <c r="AIP51" s="88"/>
      <c r="AIQ51" s="88"/>
      <c r="AIR51" s="88"/>
      <c r="AIS51" s="88"/>
      <c r="AIT51" s="88"/>
      <c r="AIU51" s="88"/>
      <c r="AIV51" s="88"/>
      <c r="AIW51" s="88"/>
      <c r="AIX51" s="88"/>
      <c r="AIY51" s="88"/>
      <c r="AIZ51" s="88"/>
      <c r="AJA51" s="88"/>
      <c r="AJB51" s="88"/>
      <c r="AJC51" s="88"/>
      <c r="AJD51" s="88"/>
      <c r="AJE51" s="88"/>
      <c r="AJF51" s="88"/>
      <c r="AJG51" s="88"/>
      <c r="AJH51" s="88"/>
      <c r="AJI51" s="88"/>
      <c r="AJJ51" s="88"/>
      <c r="AJK51" s="88"/>
      <c r="AJL51" s="88"/>
      <c r="AJM51" s="88"/>
      <c r="AJN51" s="88"/>
      <c r="AJO51" s="88"/>
      <c r="AJP51" s="88"/>
      <c r="AJQ51" s="88"/>
      <c r="AJR51" s="88"/>
      <c r="AJS51" s="88"/>
      <c r="AJT51" s="88"/>
      <c r="AJU51" s="88"/>
      <c r="AJV51" s="88"/>
      <c r="AJW51" s="88"/>
      <c r="AJX51" s="88"/>
      <c r="AJY51" s="88"/>
      <c r="AJZ51" s="88"/>
      <c r="AKA51" s="88"/>
      <c r="AKB51" s="88"/>
      <c r="AKC51" s="88"/>
      <c r="AKD51" s="88"/>
      <c r="AKE51" s="88"/>
      <c r="AKF51" s="88"/>
      <c r="AKG51" s="88"/>
      <c r="AKH51" s="88"/>
      <c r="AKI51" s="88"/>
      <c r="AKJ51" s="88"/>
      <c r="AKK51" s="88"/>
      <c r="AKL51" s="88"/>
      <c r="AKM51" s="88"/>
      <c r="AKN51" s="88"/>
      <c r="AKO51" s="88"/>
      <c r="AKP51" s="88"/>
      <c r="AKQ51" s="88"/>
      <c r="AKR51" s="88"/>
      <c r="AKS51" s="88"/>
      <c r="AKT51" s="88"/>
      <c r="AKU51" s="88"/>
      <c r="AKV51" s="88"/>
      <c r="AKW51" s="88"/>
      <c r="AKX51" s="88"/>
      <c r="AKY51" s="88"/>
      <c r="AKZ51" s="88"/>
      <c r="ALA51" s="88"/>
      <c r="ALB51" s="88"/>
      <c r="ALC51" s="88"/>
      <c r="ALD51" s="88"/>
      <c r="ALE51" s="88"/>
      <c r="ALF51" s="88"/>
      <c r="ALG51" s="88"/>
      <c r="ALH51" s="88"/>
      <c r="ALI51" s="88"/>
      <c r="ALJ51" s="88"/>
      <c r="ALK51" s="88"/>
      <c r="ALL51" s="88"/>
      <c r="ALM51" s="88"/>
      <c r="ALN51" s="88"/>
      <c r="ALO51" s="88"/>
      <c r="ALP51" s="88"/>
      <c r="ALQ51" s="88"/>
      <c r="ALR51" s="88"/>
      <c r="ALS51" s="88"/>
      <c r="ALT51" s="88"/>
      <c r="ALU51" s="88"/>
      <c r="ALV51" s="88"/>
      <c r="ALW51" s="88"/>
      <c r="ALX51" s="88"/>
      <c r="ALY51" s="88"/>
      <c r="ALZ51" s="88"/>
      <c r="AMA51" s="88"/>
      <c r="AMB51" s="88"/>
      <c r="AMC51" s="88"/>
      <c r="AMD51" s="88"/>
      <c r="AME51" s="88"/>
      <c r="AMF51" s="88"/>
      <c r="AMG51" s="88"/>
      <c r="AMH51" s="88"/>
      <c r="AMI51" s="88"/>
      <c r="AMJ51" s="88"/>
      <c r="AMK51" s="88"/>
      <c r="AML51" s="88"/>
      <c r="AMM51" s="88"/>
      <c r="AMN51" s="88"/>
      <c r="AMO51" s="88"/>
      <c r="AMP51" s="88"/>
      <c r="AMQ51" s="88"/>
      <c r="AMR51" s="88"/>
      <c r="AMS51" s="88"/>
      <c r="AMT51" s="88"/>
      <c r="AMU51" s="88"/>
      <c r="AMV51" s="88"/>
      <c r="AMW51" s="88"/>
      <c r="AMX51" s="88"/>
      <c r="AMY51" s="88"/>
      <c r="AMZ51" s="88"/>
      <c r="ANA51" s="88"/>
      <c r="ANB51" s="88"/>
      <c r="ANC51" s="88"/>
      <c r="AND51" s="88"/>
      <c r="ANE51" s="88"/>
      <c r="ANF51" s="88"/>
      <c r="ANG51" s="88"/>
      <c r="ANH51" s="88"/>
      <c r="ANI51" s="88"/>
      <c r="ANJ51" s="88"/>
      <c r="ANK51" s="88"/>
      <c r="ANL51" s="88"/>
      <c r="ANM51" s="88"/>
      <c r="ANN51" s="88"/>
      <c r="ANO51" s="88"/>
      <c r="ANP51" s="88"/>
      <c r="ANQ51" s="88"/>
      <c r="ANR51" s="88"/>
      <c r="ANS51" s="88"/>
      <c r="ANT51" s="88"/>
      <c r="ANU51" s="88"/>
      <c r="ANV51" s="88"/>
      <c r="ANW51" s="88"/>
      <c r="ANX51" s="88"/>
      <c r="ANY51" s="88"/>
      <c r="ANZ51" s="88"/>
      <c r="AOA51" s="88"/>
      <c r="AOB51" s="88"/>
      <c r="AOC51" s="88"/>
      <c r="AOD51" s="88"/>
      <c r="AOE51" s="88"/>
      <c r="AOF51" s="88"/>
      <c r="AOG51" s="88"/>
      <c r="AOH51" s="88"/>
      <c r="AOI51" s="88"/>
      <c r="AOJ51" s="88"/>
      <c r="AOK51" s="88"/>
      <c r="AOL51" s="88"/>
      <c r="AOM51" s="88"/>
      <c r="AON51" s="88"/>
      <c r="AOO51" s="88"/>
      <c r="AOP51" s="88"/>
      <c r="AOQ51" s="88"/>
      <c r="AOR51" s="88"/>
      <c r="AOS51" s="88"/>
      <c r="AOT51" s="88"/>
      <c r="AOU51" s="88"/>
      <c r="AOV51" s="88"/>
      <c r="AOW51" s="88"/>
      <c r="AOX51" s="88"/>
      <c r="AOY51" s="88"/>
      <c r="AOZ51" s="88"/>
      <c r="APA51" s="88"/>
      <c r="APB51" s="88"/>
      <c r="APC51" s="88"/>
      <c r="APD51" s="88"/>
      <c r="APE51" s="88"/>
      <c r="APF51" s="88"/>
      <c r="APG51" s="88"/>
      <c r="APH51" s="88"/>
      <c r="API51" s="88"/>
      <c r="APJ51" s="88"/>
      <c r="APK51" s="88"/>
      <c r="APL51" s="88"/>
      <c r="APM51" s="88"/>
      <c r="APN51" s="88"/>
      <c r="APO51" s="88"/>
      <c r="APP51" s="88"/>
      <c r="APQ51" s="88"/>
      <c r="APR51" s="88"/>
      <c r="APS51" s="88"/>
      <c r="APT51" s="88"/>
      <c r="APU51" s="88"/>
      <c r="APV51" s="88"/>
      <c r="APW51" s="88"/>
      <c r="APX51" s="88"/>
      <c r="APY51" s="88"/>
      <c r="APZ51" s="88"/>
      <c r="AQA51" s="88"/>
      <c r="AQB51" s="88"/>
      <c r="AQC51" s="88"/>
      <c r="AQD51" s="88"/>
      <c r="AQE51" s="88"/>
      <c r="AQF51" s="88"/>
      <c r="AQG51" s="88"/>
      <c r="AQH51" s="88"/>
      <c r="AQI51" s="88"/>
      <c r="AQJ51" s="88"/>
      <c r="AQK51" s="88"/>
      <c r="AQL51" s="88"/>
      <c r="AQM51" s="88"/>
      <c r="AQN51" s="88"/>
      <c r="AQO51" s="88"/>
      <c r="AQP51" s="88"/>
      <c r="AQQ51" s="88"/>
      <c r="AQR51" s="88"/>
      <c r="AQS51" s="88"/>
      <c r="AQT51" s="88"/>
      <c r="AQU51" s="88"/>
      <c r="AQV51" s="88"/>
      <c r="AQW51" s="88"/>
      <c r="AQX51" s="88"/>
      <c r="AQY51" s="88"/>
      <c r="AQZ51" s="88"/>
      <c r="ARA51" s="88"/>
      <c r="ARB51" s="88"/>
      <c r="ARC51" s="88"/>
      <c r="ARD51" s="88"/>
      <c r="ARE51" s="88"/>
      <c r="ARF51" s="88"/>
      <c r="ARG51" s="88"/>
      <c r="ARH51" s="88"/>
      <c r="ARI51" s="88"/>
      <c r="ARJ51" s="88"/>
      <c r="ARK51" s="88"/>
      <c r="ARL51" s="88"/>
      <c r="ARM51" s="88"/>
      <c r="ARN51" s="88"/>
      <c r="ARO51" s="88"/>
      <c r="ARP51" s="88"/>
      <c r="ARQ51" s="88"/>
      <c r="ARR51" s="88"/>
      <c r="ARS51" s="88"/>
      <c r="ART51" s="88"/>
      <c r="ARU51" s="88"/>
      <c r="ARV51" s="88"/>
      <c r="ARW51" s="88"/>
      <c r="ARX51" s="88"/>
      <c r="ARY51" s="88"/>
      <c r="ARZ51" s="88"/>
      <c r="ASA51" s="88"/>
      <c r="ASB51" s="88"/>
      <c r="ASC51" s="88"/>
      <c r="ASD51" s="88"/>
      <c r="ASE51" s="88"/>
      <c r="ASF51" s="88"/>
      <c r="ASG51" s="88"/>
      <c r="ASH51" s="88"/>
      <c r="ASI51" s="88"/>
      <c r="ASJ51" s="88"/>
      <c r="ASK51" s="88"/>
      <c r="ASL51" s="88"/>
      <c r="ASM51" s="88"/>
      <c r="ASN51" s="88"/>
      <c r="ASO51" s="88"/>
      <c r="ASP51" s="88"/>
      <c r="ASQ51" s="88"/>
      <c r="ASR51" s="88"/>
      <c r="ASS51" s="88"/>
      <c r="AST51" s="88"/>
      <c r="ASU51" s="88"/>
      <c r="ASV51" s="88"/>
      <c r="ASW51" s="88"/>
      <c r="ASX51" s="88"/>
      <c r="ASY51" s="88"/>
      <c r="ASZ51" s="88"/>
      <c r="ATA51" s="88"/>
      <c r="ATB51" s="88"/>
      <c r="ATC51" s="88"/>
      <c r="ATD51" s="88"/>
      <c r="ATE51" s="88"/>
      <c r="ATF51" s="88"/>
      <c r="ATG51" s="88"/>
      <c r="ATH51" s="88"/>
      <c r="ATI51" s="88"/>
      <c r="ATJ51" s="88"/>
      <c r="ATK51" s="88"/>
      <c r="ATL51" s="88"/>
      <c r="ATM51" s="88"/>
      <c r="ATN51" s="88"/>
      <c r="ATO51" s="88"/>
      <c r="ATP51" s="88"/>
      <c r="ATQ51" s="88"/>
      <c r="ATR51" s="88"/>
      <c r="ATS51" s="88"/>
      <c r="ATT51" s="88"/>
      <c r="ATU51" s="88"/>
      <c r="ATV51" s="88"/>
      <c r="ATW51" s="88"/>
      <c r="ATX51" s="88"/>
      <c r="ATY51" s="88"/>
      <c r="ATZ51" s="88"/>
      <c r="AUA51" s="88"/>
      <c r="AUB51" s="88"/>
      <c r="AUC51" s="88"/>
      <c r="AUD51" s="88"/>
      <c r="AUE51" s="88"/>
      <c r="AUF51" s="88"/>
      <c r="AUG51" s="88"/>
      <c r="AUH51" s="88"/>
      <c r="AUI51" s="88"/>
      <c r="AUJ51" s="88"/>
      <c r="AUK51" s="88"/>
      <c r="AUL51" s="88"/>
      <c r="AUM51" s="88"/>
      <c r="AUN51" s="88"/>
      <c r="AUO51" s="88"/>
      <c r="AUP51" s="88"/>
      <c r="AUQ51" s="88"/>
      <c r="AUR51" s="88"/>
      <c r="AUS51" s="88"/>
      <c r="AUT51" s="88"/>
      <c r="AUU51" s="88"/>
      <c r="AUV51" s="88"/>
      <c r="AUW51" s="88"/>
      <c r="AUX51" s="88"/>
      <c r="AUY51" s="88"/>
      <c r="AUZ51" s="88"/>
      <c r="AVA51" s="88"/>
      <c r="AVB51" s="88"/>
      <c r="AVC51" s="88"/>
      <c r="AVD51" s="88"/>
      <c r="AVE51" s="88"/>
      <c r="AVF51" s="88"/>
      <c r="AVG51" s="88"/>
      <c r="AVH51" s="88"/>
      <c r="AVI51" s="88"/>
      <c r="AVJ51" s="88"/>
      <c r="AVK51" s="88"/>
      <c r="AVL51" s="88"/>
      <c r="AVM51" s="88"/>
      <c r="AVN51" s="88"/>
      <c r="AVO51" s="88"/>
      <c r="AVP51" s="88"/>
      <c r="AVQ51" s="88"/>
      <c r="AVR51" s="88"/>
      <c r="AVS51" s="88"/>
      <c r="AVT51" s="88"/>
      <c r="AVU51" s="88"/>
      <c r="AVV51" s="88"/>
      <c r="AVW51" s="88"/>
      <c r="AVX51" s="88"/>
      <c r="AVY51" s="88"/>
      <c r="AVZ51" s="88"/>
      <c r="AWA51" s="88"/>
      <c r="AWB51" s="88"/>
      <c r="AWC51" s="88"/>
      <c r="AWD51" s="88"/>
      <c r="AWE51" s="88"/>
      <c r="AWF51" s="88"/>
      <c r="AWG51" s="88"/>
      <c r="AWH51" s="88"/>
      <c r="AWI51" s="88"/>
      <c r="AWJ51" s="88"/>
      <c r="AWK51" s="88"/>
      <c r="AWL51" s="88"/>
      <c r="AWM51" s="88"/>
      <c r="AWN51" s="88"/>
      <c r="AWO51" s="88"/>
      <c r="AWP51" s="88"/>
      <c r="AWQ51" s="88"/>
      <c r="AWR51" s="88"/>
      <c r="AWS51" s="88"/>
      <c r="AWT51" s="88"/>
      <c r="AWU51" s="88"/>
      <c r="AWV51" s="88"/>
      <c r="AWW51" s="88"/>
      <c r="AWX51" s="88"/>
      <c r="AWY51" s="88"/>
      <c r="AWZ51" s="88"/>
      <c r="AXA51" s="88"/>
      <c r="AXB51" s="88"/>
      <c r="AXC51" s="88"/>
      <c r="AXD51" s="88"/>
      <c r="AXE51" s="88"/>
      <c r="AXF51" s="88"/>
      <c r="AXG51" s="88"/>
      <c r="AXH51" s="88"/>
      <c r="AXI51" s="88"/>
      <c r="AXJ51" s="88"/>
      <c r="AXK51" s="88"/>
      <c r="AXL51" s="88"/>
      <c r="AXM51" s="88"/>
      <c r="AXN51" s="88"/>
      <c r="AXO51" s="88"/>
      <c r="AXP51" s="88"/>
      <c r="AXQ51" s="88"/>
      <c r="AXR51" s="88"/>
      <c r="AXS51" s="88"/>
      <c r="AXT51" s="88"/>
      <c r="AXU51" s="88"/>
      <c r="AXV51" s="88"/>
      <c r="AXW51" s="88"/>
      <c r="AXX51" s="88"/>
      <c r="AXY51" s="88"/>
      <c r="AXZ51" s="88"/>
      <c r="AYA51" s="88"/>
      <c r="AYB51" s="88"/>
      <c r="AYC51" s="88"/>
      <c r="AYD51" s="88"/>
      <c r="AYE51" s="88"/>
      <c r="AYF51" s="88"/>
      <c r="AYG51" s="88"/>
      <c r="AYH51" s="88"/>
      <c r="AYI51" s="88"/>
      <c r="AYJ51" s="88"/>
      <c r="AYK51" s="88"/>
      <c r="AYL51" s="88"/>
      <c r="AYM51" s="88"/>
      <c r="AYN51" s="88"/>
      <c r="AYO51" s="88"/>
      <c r="AYP51" s="88"/>
      <c r="AYQ51" s="88"/>
      <c r="AYR51" s="88"/>
      <c r="AYS51" s="88"/>
      <c r="AYT51" s="88"/>
      <c r="AYU51" s="88"/>
      <c r="AYV51" s="88"/>
      <c r="AYW51" s="88"/>
      <c r="AYX51" s="88"/>
      <c r="AYY51" s="88"/>
      <c r="AYZ51" s="88"/>
      <c r="AZA51" s="88"/>
      <c r="AZB51" s="88"/>
      <c r="AZC51" s="88"/>
      <c r="AZD51" s="88"/>
      <c r="AZE51" s="88"/>
      <c r="AZF51" s="88"/>
      <c r="AZG51" s="88"/>
      <c r="AZH51" s="88"/>
      <c r="AZI51" s="88"/>
      <c r="AZJ51" s="88"/>
      <c r="AZK51" s="88"/>
      <c r="AZL51" s="88"/>
      <c r="AZM51" s="88"/>
      <c r="AZN51" s="88"/>
      <c r="AZO51" s="88"/>
      <c r="AZP51" s="88"/>
      <c r="AZQ51" s="88"/>
      <c r="AZR51" s="88"/>
      <c r="AZS51" s="88"/>
      <c r="AZT51" s="88"/>
      <c r="AZU51" s="88"/>
      <c r="AZV51" s="88"/>
      <c r="AZW51" s="88"/>
      <c r="AZX51" s="88"/>
      <c r="AZY51" s="88"/>
      <c r="AZZ51" s="88"/>
      <c r="BAA51" s="88"/>
      <c r="BAB51" s="88"/>
      <c r="BAC51" s="88"/>
      <c r="BAD51" s="88"/>
      <c r="BAE51" s="88"/>
      <c r="BAF51" s="88"/>
      <c r="BAG51" s="88"/>
      <c r="BAH51" s="88"/>
      <c r="BAI51" s="88"/>
      <c r="BAJ51" s="88"/>
      <c r="BAK51" s="88"/>
      <c r="BAL51" s="88"/>
      <c r="BAM51" s="88"/>
      <c r="BAN51" s="88"/>
      <c r="BAO51" s="88"/>
      <c r="BAP51" s="88"/>
      <c r="BAQ51" s="88"/>
      <c r="BAR51" s="88"/>
      <c r="BAS51" s="88"/>
      <c r="BAT51" s="88"/>
      <c r="BAU51" s="88"/>
      <c r="BAV51" s="88"/>
      <c r="BAW51" s="88"/>
      <c r="BAX51" s="88"/>
      <c r="BAY51" s="88"/>
      <c r="BAZ51" s="88"/>
      <c r="BBA51" s="88"/>
      <c r="BBB51" s="88"/>
      <c r="BBC51" s="88"/>
      <c r="BBD51" s="88"/>
      <c r="BBE51" s="88"/>
      <c r="BBF51" s="88"/>
      <c r="BBG51" s="88"/>
      <c r="BBH51" s="88"/>
      <c r="BBI51" s="88"/>
      <c r="BBJ51" s="88"/>
      <c r="BBK51" s="88"/>
      <c r="BBL51" s="88"/>
      <c r="BBM51" s="88"/>
      <c r="BBN51" s="88"/>
      <c r="BBO51" s="88"/>
      <c r="BBP51" s="88"/>
      <c r="BBQ51" s="88"/>
      <c r="BBR51" s="88"/>
      <c r="BBS51" s="88"/>
      <c r="BBT51" s="88"/>
      <c r="BBU51" s="88"/>
      <c r="BBV51" s="88"/>
      <c r="BBW51" s="88"/>
      <c r="BBX51" s="88"/>
      <c r="BBY51" s="88"/>
      <c r="BBZ51" s="88"/>
      <c r="BCA51" s="88"/>
      <c r="BCB51" s="88"/>
      <c r="BCC51" s="88"/>
      <c r="BCD51" s="88"/>
      <c r="BCE51" s="88"/>
      <c r="BCF51" s="88"/>
      <c r="BCG51" s="88"/>
      <c r="BCH51" s="88"/>
      <c r="BCI51" s="88"/>
      <c r="BCJ51" s="88"/>
      <c r="BCK51" s="88"/>
      <c r="BCL51" s="88"/>
      <c r="BCM51" s="88"/>
      <c r="BCN51" s="88"/>
      <c r="BCO51" s="88"/>
      <c r="BCP51" s="88"/>
      <c r="BCQ51" s="88"/>
      <c r="BCR51" s="88"/>
      <c r="BCS51" s="88"/>
      <c r="BCT51" s="88"/>
      <c r="BCU51" s="88"/>
      <c r="BCV51" s="88"/>
      <c r="BCW51" s="88"/>
      <c r="BCX51" s="88"/>
      <c r="BCY51" s="88"/>
      <c r="BCZ51" s="88"/>
      <c r="BDA51" s="88"/>
      <c r="BDB51" s="88"/>
      <c r="BDC51" s="88"/>
      <c r="BDD51" s="88"/>
      <c r="BDE51" s="88"/>
      <c r="BDF51" s="88"/>
      <c r="BDG51" s="88"/>
      <c r="BDH51" s="88"/>
      <c r="BDI51" s="88"/>
      <c r="BDJ51" s="88"/>
      <c r="BDK51" s="88"/>
      <c r="BDL51" s="88"/>
      <c r="BDM51" s="88"/>
      <c r="BDN51" s="88"/>
      <c r="BDO51" s="88"/>
      <c r="BDP51" s="88"/>
      <c r="BDQ51" s="88"/>
      <c r="BDR51" s="88"/>
      <c r="BDS51" s="88"/>
      <c r="BDT51" s="88"/>
      <c r="BDU51" s="88"/>
      <c r="BDV51" s="88"/>
      <c r="BDW51" s="88"/>
      <c r="BDX51" s="88"/>
      <c r="BDY51" s="88"/>
      <c r="BDZ51" s="88"/>
      <c r="BEA51" s="88"/>
      <c r="BEB51" s="88"/>
      <c r="BEC51" s="88"/>
      <c r="BED51" s="88"/>
      <c r="BEE51" s="88"/>
      <c r="BEF51" s="88"/>
      <c r="BEG51" s="88"/>
      <c r="BEH51" s="88"/>
      <c r="BEI51" s="88"/>
      <c r="BEJ51" s="88"/>
      <c r="BEK51" s="88"/>
      <c r="BEL51" s="88"/>
      <c r="BEM51" s="88"/>
      <c r="BEN51" s="88"/>
      <c r="BEO51" s="88"/>
      <c r="BEP51" s="88"/>
      <c r="BEQ51" s="88"/>
      <c r="BER51" s="88"/>
      <c r="BES51" s="88"/>
      <c r="BET51" s="88"/>
      <c r="BEU51" s="88"/>
      <c r="BEV51" s="88"/>
      <c r="BEW51" s="88"/>
      <c r="BEX51" s="88"/>
      <c r="BEY51" s="88"/>
      <c r="BEZ51" s="88"/>
      <c r="BFA51" s="88"/>
      <c r="BFB51" s="88"/>
      <c r="BFC51" s="88"/>
      <c r="BFD51" s="88"/>
      <c r="BFE51" s="88"/>
      <c r="BFF51" s="88"/>
      <c r="BFG51" s="88"/>
      <c r="BFH51" s="88"/>
      <c r="BFI51" s="88"/>
      <c r="BFJ51" s="88"/>
      <c r="BFK51" s="88"/>
      <c r="BFL51" s="88"/>
      <c r="BFM51" s="88"/>
      <c r="BFN51" s="88"/>
      <c r="BFO51" s="88"/>
      <c r="BFP51" s="88"/>
      <c r="BFQ51" s="88"/>
      <c r="BFR51" s="88"/>
      <c r="BFS51" s="88"/>
      <c r="BFT51" s="88"/>
      <c r="BFU51" s="88"/>
      <c r="BFV51" s="88"/>
      <c r="BFW51" s="88"/>
      <c r="BFX51" s="88"/>
      <c r="BFY51" s="88"/>
      <c r="BFZ51" s="88"/>
      <c r="BGA51" s="88"/>
      <c r="BGB51" s="88"/>
      <c r="BGC51" s="88"/>
      <c r="BGD51" s="88"/>
      <c r="BGE51" s="88"/>
      <c r="BGF51" s="88"/>
      <c r="BGG51" s="88"/>
      <c r="BGH51" s="88"/>
      <c r="BGI51" s="88"/>
      <c r="BGJ51" s="88"/>
      <c r="BGK51" s="88"/>
      <c r="BGL51" s="88"/>
      <c r="BGM51" s="88"/>
      <c r="BGN51" s="88"/>
      <c r="BGO51" s="88"/>
      <c r="BGP51" s="88"/>
      <c r="BGQ51" s="88"/>
      <c r="BGR51" s="88"/>
      <c r="BGS51" s="88"/>
      <c r="BGT51" s="88"/>
      <c r="BGU51" s="88"/>
      <c r="BGV51" s="88"/>
      <c r="BGW51" s="88"/>
      <c r="BGX51" s="88"/>
      <c r="BGY51" s="88"/>
      <c r="BGZ51" s="88"/>
      <c r="BHA51" s="88"/>
      <c r="BHB51" s="88"/>
      <c r="BHC51" s="88"/>
      <c r="BHD51" s="88"/>
      <c r="BHE51" s="88"/>
      <c r="BHF51" s="88"/>
      <c r="BHG51" s="88"/>
      <c r="BHH51" s="88"/>
      <c r="BHI51" s="88"/>
      <c r="BHJ51" s="88"/>
      <c r="BHK51" s="88"/>
      <c r="BHL51" s="88"/>
      <c r="BHM51" s="88"/>
      <c r="BHN51" s="88"/>
      <c r="BHO51" s="88"/>
      <c r="BHP51" s="88"/>
      <c r="BHQ51" s="88"/>
      <c r="BHR51" s="88"/>
      <c r="BHS51" s="88"/>
      <c r="BHT51" s="88"/>
      <c r="BHU51" s="88"/>
      <c r="BHV51" s="88"/>
      <c r="BHW51" s="88"/>
      <c r="BHX51" s="88"/>
      <c r="BHY51" s="88"/>
      <c r="BHZ51" s="88"/>
      <c r="BIA51" s="88"/>
      <c r="BIB51" s="88"/>
      <c r="BIC51" s="88"/>
      <c r="BID51" s="88"/>
      <c r="BIE51" s="88"/>
      <c r="BIF51" s="88"/>
      <c r="BIG51" s="88"/>
      <c r="BIH51" s="88"/>
      <c r="BII51" s="88"/>
      <c r="BIJ51" s="88"/>
      <c r="BIK51" s="88"/>
      <c r="BIL51" s="88"/>
      <c r="BIM51" s="88"/>
      <c r="BIN51" s="88"/>
      <c r="BIO51" s="88"/>
      <c r="BIP51" s="88"/>
      <c r="BIQ51" s="88"/>
      <c r="BIR51" s="88"/>
      <c r="BIS51" s="88"/>
      <c r="BIT51" s="88"/>
      <c r="BIU51" s="88"/>
      <c r="BIV51" s="88"/>
      <c r="BIW51" s="88"/>
      <c r="BIX51" s="88"/>
      <c r="BIY51" s="88"/>
      <c r="BIZ51" s="88"/>
      <c r="BJA51" s="88"/>
      <c r="BJB51" s="88"/>
      <c r="BJC51" s="88"/>
      <c r="BJD51" s="88"/>
      <c r="BJE51" s="88"/>
      <c r="BJF51" s="88"/>
      <c r="BJG51" s="88"/>
      <c r="BJH51" s="88"/>
      <c r="BJI51" s="88"/>
      <c r="BJJ51" s="88"/>
      <c r="BJK51" s="88"/>
      <c r="BJL51" s="88"/>
      <c r="BJM51" s="88"/>
      <c r="BJN51" s="88"/>
      <c r="BJO51" s="88"/>
      <c r="BJP51" s="88"/>
      <c r="BJQ51" s="88"/>
      <c r="BJR51" s="88"/>
      <c r="BJS51" s="88"/>
      <c r="BJT51" s="88"/>
      <c r="BJU51" s="88"/>
      <c r="BJV51" s="88"/>
      <c r="BJW51" s="88"/>
      <c r="BJX51" s="88"/>
      <c r="BJY51" s="88"/>
      <c r="BJZ51" s="88"/>
      <c r="BKA51" s="88"/>
      <c r="BKB51" s="88"/>
      <c r="BKC51" s="88"/>
      <c r="BKD51" s="88"/>
      <c r="BKE51" s="88"/>
      <c r="BKF51" s="88"/>
      <c r="BKG51" s="88"/>
      <c r="BKH51" s="88"/>
      <c r="BKI51" s="88"/>
      <c r="BKJ51" s="88"/>
      <c r="BKK51" s="88"/>
      <c r="BKL51" s="88"/>
      <c r="BKM51" s="88"/>
      <c r="BKN51" s="88"/>
      <c r="BKO51" s="88"/>
      <c r="BKP51" s="88"/>
      <c r="BKQ51" s="88"/>
      <c r="BKR51" s="88"/>
      <c r="BKS51" s="88"/>
      <c r="BKT51" s="88"/>
      <c r="BKU51" s="88"/>
      <c r="BKV51" s="88"/>
      <c r="BKW51" s="88"/>
      <c r="BKX51" s="88"/>
      <c r="BKY51" s="88"/>
      <c r="BKZ51" s="88"/>
      <c r="BLA51" s="88"/>
      <c r="BLB51" s="88"/>
      <c r="BLC51" s="88"/>
      <c r="BLD51" s="88"/>
      <c r="BLE51" s="88"/>
      <c r="BLF51" s="88"/>
      <c r="BLG51" s="88"/>
      <c r="BLH51" s="88"/>
      <c r="BLI51" s="88"/>
      <c r="BLJ51" s="88"/>
      <c r="BLK51" s="88"/>
      <c r="BLL51" s="88"/>
      <c r="BLM51" s="88"/>
      <c r="BLN51" s="88"/>
      <c r="BLO51" s="88"/>
      <c r="BLP51" s="88"/>
      <c r="BLQ51" s="88"/>
      <c r="BLR51" s="88"/>
      <c r="BLS51" s="88"/>
      <c r="BLT51" s="88"/>
      <c r="BLU51" s="88"/>
      <c r="BLV51" s="88"/>
      <c r="BLW51" s="88"/>
      <c r="BLX51" s="88"/>
      <c r="BLY51" s="88"/>
      <c r="BLZ51" s="88"/>
      <c r="BMA51" s="88"/>
      <c r="BMB51" s="88"/>
      <c r="BMC51" s="88"/>
      <c r="BMD51" s="88"/>
      <c r="BME51" s="88"/>
      <c r="BMF51" s="88"/>
      <c r="BMG51" s="88"/>
      <c r="BMH51" s="88"/>
      <c r="BMI51" s="88"/>
      <c r="BMJ51" s="88"/>
      <c r="BMK51" s="88"/>
      <c r="BML51" s="88"/>
      <c r="BMM51" s="88"/>
      <c r="BMN51" s="88"/>
      <c r="BMO51" s="88"/>
      <c r="BMP51" s="88"/>
      <c r="BMQ51" s="88"/>
      <c r="BMR51" s="88"/>
      <c r="BMS51" s="88"/>
      <c r="BMT51" s="88"/>
      <c r="BMU51" s="88"/>
      <c r="BMV51" s="88"/>
      <c r="BMW51" s="88"/>
      <c r="BMX51" s="88"/>
      <c r="BMY51" s="88"/>
      <c r="BMZ51" s="88"/>
      <c r="BNA51" s="88"/>
      <c r="BNB51" s="88"/>
      <c r="BNC51" s="88"/>
      <c r="BND51" s="88"/>
      <c r="BNE51" s="88"/>
      <c r="BNF51" s="88"/>
      <c r="BNG51" s="88"/>
      <c r="BNH51" s="88"/>
      <c r="BNI51" s="88"/>
      <c r="BNJ51" s="88"/>
      <c r="BNK51" s="88"/>
      <c r="BNL51" s="88"/>
      <c r="BNM51" s="88"/>
      <c r="BNN51" s="88"/>
      <c r="BNO51" s="88"/>
      <c r="BNP51" s="88"/>
      <c r="BNQ51" s="88"/>
      <c r="BNR51" s="88"/>
      <c r="BNS51" s="88"/>
      <c r="BNT51" s="88"/>
      <c r="BNU51" s="88"/>
      <c r="BNV51" s="88"/>
      <c r="BNW51" s="88"/>
      <c r="BNX51" s="88"/>
      <c r="BNY51" s="88"/>
      <c r="BNZ51" s="88"/>
      <c r="BOA51" s="88"/>
      <c r="BOB51" s="88"/>
      <c r="BOC51" s="88"/>
      <c r="BOD51" s="88"/>
      <c r="BOE51" s="88"/>
      <c r="BOF51" s="88"/>
      <c r="BOG51" s="88"/>
      <c r="BOH51" s="88"/>
      <c r="BOI51" s="88"/>
      <c r="BOJ51" s="88"/>
      <c r="BOK51" s="88"/>
      <c r="BOL51" s="88"/>
      <c r="BOM51" s="88"/>
      <c r="BON51" s="88"/>
      <c r="BOO51" s="88"/>
      <c r="BOP51" s="88"/>
      <c r="BOQ51" s="88"/>
      <c r="BOR51" s="88"/>
      <c r="BOS51" s="88"/>
      <c r="BOT51" s="88"/>
      <c r="BOU51" s="88"/>
      <c r="BOV51" s="88"/>
      <c r="BOW51" s="88"/>
      <c r="BOX51" s="88"/>
      <c r="BOY51" s="88"/>
      <c r="BOZ51" s="88"/>
      <c r="BPA51" s="88"/>
      <c r="BPB51" s="88"/>
      <c r="BPC51" s="88"/>
      <c r="BPD51" s="88"/>
      <c r="BPE51" s="88"/>
      <c r="BPF51" s="88"/>
      <c r="BPG51" s="88"/>
      <c r="BPH51" s="88"/>
      <c r="BPI51" s="88"/>
      <c r="BPJ51" s="88"/>
      <c r="BPK51" s="88"/>
      <c r="BPL51" s="88"/>
      <c r="BPM51" s="88"/>
      <c r="BPN51" s="88"/>
      <c r="BPO51" s="88"/>
      <c r="BPP51" s="88"/>
      <c r="BPQ51" s="88"/>
      <c r="BPR51" s="88"/>
      <c r="BPS51" s="88"/>
      <c r="BPT51" s="88"/>
      <c r="BPU51" s="88"/>
      <c r="BPV51" s="88"/>
      <c r="BPW51" s="88"/>
      <c r="BPX51" s="88"/>
      <c r="BPY51" s="88"/>
      <c r="BPZ51" s="88"/>
      <c r="BQA51" s="88"/>
      <c r="BQB51" s="88"/>
      <c r="BQC51" s="88"/>
      <c r="BQD51" s="88"/>
      <c r="BQE51" s="88"/>
      <c r="BQF51" s="88"/>
      <c r="BQG51" s="88"/>
      <c r="BQH51" s="88"/>
      <c r="BQI51" s="88"/>
      <c r="BQJ51" s="88"/>
      <c r="BQK51" s="88"/>
      <c r="BQL51" s="88"/>
      <c r="BQM51" s="88"/>
      <c r="BQN51" s="88"/>
      <c r="BQO51" s="88"/>
      <c r="BQP51" s="88"/>
      <c r="BQQ51" s="88"/>
      <c r="BQR51" s="88"/>
      <c r="BQS51" s="88"/>
      <c r="BQT51" s="88"/>
      <c r="BQU51" s="88"/>
      <c r="BQV51" s="88"/>
      <c r="BQW51" s="88"/>
      <c r="BQX51" s="88"/>
      <c r="BQY51" s="88"/>
      <c r="BQZ51" s="88"/>
      <c r="BRA51" s="88"/>
      <c r="BRB51" s="88"/>
      <c r="BRC51" s="88"/>
      <c r="BRD51" s="88"/>
      <c r="BRE51" s="88"/>
      <c r="BRF51" s="88"/>
      <c r="BRG51" s="88"/>
      <c r="BRH51" s="88"/>
      <c r="BRI51" s="88"/>
      <c r="BRJ51" s="88"/>
      <c r="BRK51" s="88"/>
      <c r="BRL51" s="88"/>
      <c r="BRM51" s="88"/>
      <c r="BRN51" s="88"/>
      <c r="BRO51" s="88"/>
      <c r="BRP51" s="88"/>
      <c r="BRQ51" s="88"/>
      <c r="BRR51" s="88"/>
      <c r="BRS51" s="88"/>
      <c r="BRT51" s="88"/>
      <c r="BRU51" s="88"/>
      <c r="BRV51" s="88"/>
      <c r="BRW51" s="88"/>
      <c r="BRX51" s="88"/>
      <c r="BRY51" s="88"/>
      <c r="BRZ51" s="88"/>
      <c r="BSA51" s="88"/>
      <c r="BSB51" s="88"/>
      <c r="BSC51" s="88"/>
      <c r="BSD51" s="88"/>
      <c r="BSE51" s="88"/>
      <c r="BSF51" s="88"/>
      <c r="BSG51" s="88"/>
      <c r="BSH51" s="88"/>
      <c r="BSI51" s="88"/>
      <c r="BSJ51" s="88"/>
      <c r="BSK51" s="88"/>
      <c r="BSL51" s="88"/>
      <c r="BSM51" s="88"/>
      <c r="BSN51" s="88"/>
      <c r="BSO51" s="88"/>
      <c r="BSP51" s="88"/>
      <c r="BSQ51" s="88"/>
      <c r="BSR51" s="88"/>
      <c r="BSS51" s="88"/>
      <c r="BST51" s="88"/>
      <c r="BSU51" s="88"/>
      <c r="BSV51" s="88"/>
      <c r="BSW51" s="88"/>
      <c r="BSX51" s="88"/>
      <c r="BSY51" s="88"/>
      <c r="BSZ51" s="88"/>
      <c r="BTA51" s="88"/>
      <c r="BTB51" s="88"/>
      <c r="BTC51" s="88"/>
      <c r="BTD51" s="88"/>
      <c r="BTE51" s="88"/>
      <c r="BTF51" s="88"/>
      <c r="BTG51" s="88"/>
      <c r="BTH51" s="88"/>
      <c r="BTI51" s="88"/>
      <c r="BTJ51" s="88"/>
      <c r="BTK51" s="88"/>
      <c r="BTL51" s="88"/>
      <c r="BTM51" s="88"/>
      <c r="BTN51" s="88"/>
      <c r="BTO51" s="88"/>
      <c r="BTP51" s="88"/>
      <c r="BTQ51" s="88"/>
      <c r="BTR51" s="88"/>
      <c r="BTS51" s="88"/>
      <c r="BTT51" s="88"/>
      <c r="BTU51" s="88"/>
      <c r="BTV51" s="88"/>
      <c r="BTW51" s="88"/>
      <c r="BTX51" s="88"/>
      <c r="BTY51" s="88"/>
      <c r="BTZ51" s="88"/>
      <c r="BUA51" s="88"/>
      <c r="BUB51" s="88"/>
      <c r="BUC51" s="88"/>
      <c r="BUD51" s="88"/>
      <c r="BUE51" s="88"/>
      <c r="BUF51" s="88"/>
      <c r="BUG51" s="88"/>
      <c r="BUH51" s="88"/>
      <c r="BUI51" s="88"/>
      <c r="BUJ51" s="88"/>
      <c r="BUK51" s="88"/>
      <c r="BUL51" s="88"/>
      <c r="BUM51" s="88"/>
      <c r="BUN51" s="88"/>
      <c r="BUO51" s="88"/>
      <c r="BUP51" s="88"/>
      <c r="BUQ51" s="88"/>
      <c r="BUR51" s="88"/>
      <c r="BUS51" s="88"/>
      <c r="BUT51" s="88"/>
      <c r="BUU51" s="88"/>
      <c r="BUV51" s="88"/>
      <c r="BUW51" s="88"/>
      <c r="BUX51" s="88"/>
      <c r="BUY51" s="88"/>
      <c r="BUZ51" s="88"/>
      <c r="BVA51" s="88"/>
      <c r="BVB51" s="88"/>
      <c r="BVC51" s="88"/>
      <c r="BVD51" s="88"/>
      <c r="BVE51" s="88"/>
      <c r="BVF51" s="88"/>
      <c r="BVG51" s="88"/>
      <c r="BVH51" s="88"/>
      <c r="BVI51" s="88"/>
      <c r="BVJ51" s="88"/>
      <c r="BVK51" s="88"/>
      <c r="BVL51" s="88"/>
      <c r="BVM51" s="88"/>
      <c r="BVN51" s="88"/>
      <c r="BVO51" s="88"/>
      <c r="BVP51" s="88"/>
      <c r="BVQ51" s="88"/>
      <c r="BVR51" s="88"/>
      <c r="BVS51" s="88"/>
      <c r="BVT51" s="88"/>
      <c r="BVU51" s="88"/>
      <c r="BVV51" s="88"/>
      <c r="BVW51" s="88"/>
      <c r="BVX51" s="88"/>
      <c r="BVY51" s="88"/>
      <c r="BVZ51" s="88"/>
      <c r="BWA51" s="88"/>
      <c r="BWB51" s="88"/>
      <c r="BWC51" s="88"/>
      <c r="BWD51" s="88"/>
      <c r="BWE51" s="88"/>
      <c r="BWF51" s="88"/>
      <c r="BWG51" s="88"/>
      <c r="BWH51" s="88"/>
      <c r="BWI51" s="88"/>
      <c r="BWJ51" s="88"/>
      <c r="BWK51" s="88"/>
      <c r="BWL51" s="88"/>
      <c r="BWM51" s="88"/>
      <c r="BWN51" s="88"/>
      <c r="BWO51" s="88"/>
      <c r="BWP51" s="88"/>
      <c r="BWQ51" s="88"/>
      <c r="BWR51" s="88"/>
      <c r="BWS51" s="88"/>
      <c r="BWT51" s="88"/>
      <c r="BWU51" s="88"/>
      <c r="BWV51" s="88"/>
      <c r="BWW51" s="88"/>
      <c r="BWX51" s="88"/>
      <c r="BWY51" s="88"/>
      <c r="BWZ51" s="88"/>
      <c r="BXA51" s="88"/>
      <c r="BXB51" s="88"/>
      <c r="BXC51" s="88"/>
      <c r="BXD51" s="88"/>
      <c r="BXE51" s="88"/>
      <c r="BXF51" s="88"/>
      <c r="BXG51" s="88"/>
      <c r="BXH51" s="88"/>
      <c r="BXI51" s="88"/>
      <c r="BXJ51" s="88"/>
      <c r="BXK51" s="88"/>
      <c r="BXL51" s="88"/>
      <c r="BXM51" s="88"/>
      <c r="BXN51" s="88"/>
      <c r="BXO51" s="88"/>
      <c r="BXP51" s="88"/>
      <c r="BXQ51" s="88"/>
      <c r="BXR51" s="88"/>
      <c r="BXS51" s="88"/>
      <c r="BXT51" s="88"/>
      <c r="BXU51" s="88"/>
      <c r="BXV51" s="88"/>
      <c r="BXW51" s="88"/>
      <c r="BXX51" s="88"/>
      <c r="BXY51" s="88"/>
      <c r="BXZ51" s="88"/>
      <c r="BYA51" s="88"/>
      <c r="BYB51" s="88"/>
      <c r="BYC51" s="88"/>
      <c r="BYD51" s="88"/>
      <c r="BYE51" s="88"/>
      <c r="BYF51" s="88"/>
      <c r="BYG51" s="88"/>
      <c r="BYH51" s="88"/>
      <c r="BYI51" s="88"/>
      <c r="BYJ51" s="88"/>
      <c r="BYK51" s="88"/>
      <c r="BYL51" s="88"/>
      <c r="BYM51" s="88"/>
      <c r="BYN51" s="88"/>
      <c r="BYO51" s="88"/>
      <c r="BYP51" s="88"/>
      <c r="BYQ51" s="88"/>
      <c r="BYR51" s="88"/>
      <c r="BYS51" s="88"/>
      <c r="BYT51" s="88"/>
      <c r="BYU51" s="88"/>
      <c r="BYV51" s="88"/>
      <c r="BYW51" s="88"/>
      <c r="BYX51" s="88"/>
      <c r="BYY51" s="88"/>
      <c r="BYZ51" s="88"/>
      <c r="BZA51" s="88"/>
      <c r="BZB51" s="88"/>
      <c r="BZC51" s="88"/>
      <c r="BZD51" s="88"/>
      <c r="BZE51" s="88"/>
      <c r="BZF51" s="88"/>
      <c r="BZG51" s="88"/>
      <c r="BZH51" s="88"/>
      <c r="BZI51" s="88"/>
      <c r="BZJ51" s="88"/>
      <c r="BZK51" s="88"/>
      <c r="BZL51" s="88"/>
      <c r="BZM51" s="88"/>
      <c r="BZN51" s="88"/>
      <c r="BZO51" s="88"/>
      <c r="BZP51" s="88"/>
      <c r="BZQ51" s="88"/>
      <c r="BZR51" s="88"/>
      <c r="BZS51" s="88"/>
      <c r="BZT51" s="88"/>
      <c r="BZU51" s="88"/>
      <c r="BZV51" s="88"/>
      <c r="BZW51" s="88"/>
      <c r="BZX51" s="88"/>
      <c r="BZY51" s="88"/>
      <c r="BZZ51" s="88"/>
      <c r="CAA51" s="88"/>
      <c r="CAB51" s="88"/>
      <c r="CAC51" s="88"/>
      <c r="CAD51" s="88"/>
      <c r="CAE51" s="88"/>
      <c r="CAF51" s="88"/>
      <c r="CAG51" s="88"/>
      <c r="CAH51" s="88"/>
      <c r="CAI51" s="88"/>
      <c r="CAJ51" s="88"/>
      <c r="CAK51" s="88"/>
      <c r="CAL51" s="88"/>
      <c r="CAM51" s="88"/>
      <c r="CAN51" s="88"/>
      <c r="CAO51" s="88"/>
      <c r="CAP51" s="88"/>
      <c r="CAQ51" s="88"/>
      <c r="CAR51" s="88"/>
      <c r="CAS51" s="88"/>
      <c r="CAT51" s="88"/>
      <c r="CAU51" s="88"/>
      <c r="CAV51" s="88"/>
      <c r="CAW51" s="88"/>
      <c r="CAX51" s="88"/>
      <c r="CAY51" s="88"/>
      <c r="CAZ51" s="88"/>
      <c r="CBA51" s="88"/>
      <c r="CBB51" s="88"/>
      <c r="CBC51" s="88"/>
      <c r="CBD51" s="88"/>
      <c r="CBE51" s="88"/>
      <c r="CBF51" s="88"/>
      <c r="CBG51" s="88"/>
      <c r="CBH51" s="88"/>
      <c r="CBI51" s="88"/>
      <c r="CBJ51" s="88"/>
      <c r="CBK51" s="88"/>
      <c r="CBL51" s="88"/>
      <c r="CBM51" s="88"/>
      <c r="CBN51" s="88"/>
      <c r="CBO51" s="88"/>
      <c r="CBP51" s="88"/>
      <c r="CBQ51" s="88"/>
      <c r="CBR51" s="88"/>
      <c r="CBS51" s="88"/>
      <c r="CBT51" s="88"/>
      <c r="CBU51" s="88"/>
      <c r="CBV51" s="88"/>
      <c r="CBW51" s="88"/>
      <c r="CBX51" s="88"/>
      <c r="CBY51" s="88"/>
      <c r="CBZ51" s="88"/>
      <c r="CCA51" s="88"/>
      <c r="CCB51" s="88"/>
      <c r="CCC51" s="88"/>
      <c r="CCD51" s="88"/>
      <c r="CCE51" s="88"/>
      <c r="CCF51" s="88"/>
      <c r="CCG51" s="88"/>
      <c r="CCH51" s="88"/>
      <c r="CCI51" s="88"/>
      <c r="CCJ51" s="88"/>
      <c r="CCK51" s="88"/>
      <c r="CCL51" s="88"/>
      <c r="CCM51" s="88"/>
      <c r="CCN51" s="88"/>
      <c r="CCO51" s="88"/>
      <c r="CCP51" s="88"/>
      <c r="CCQ51" s="88"/>
      <c r="CCR51" s="88"/>
      <c r="CCS51" s="88"/>
      <c r="CCT51" s="88"/>
      <c r="CCU51" s="88"/>
      <c r="CCV51" s="88"/>
      <c r="CCW51" s="88"/>
      <c r="CCX51" s="88"/>
      <c r="CCY51" s="88"/>
      <c r="CCZ51" s="88"/>
      <c r="CDA51" s="88"/>
      <c r="CDB51" s="88"/>
      <c r="CDC51" s="88"/>
      <c r="CDD51" s="88"/>
      <c r="CDE51" s="88"/>
      <c r="CDF51" s="88"/>
      <c r="CDG51" s="88"/>
      <c r="CDH51" s="88"/>
      <c r="CDI51" s="88"/>
      <c r="CDJ51" s="88"/>
      <c r="CDK51" s="88"/>
      <c r="CDL51" s="88"/>
      <c r="CDM51" s="88"/>
      <c r="CDN51" s="88"/>
      <c r="CDO51" s="88"/>
      <c r="CDP51" s="88"/>
      <c r="CDQ51" s="88"/>
      <c r="CDR51" s="88"/>
      <c r="CDS51" s="88"/>
      <c r="CDT51" s="88"/>
      <c r="CDU51" s="88"/>
      <c r="CDV51" s="88"/>
      <c r="CDW51" s="88"/>
      <c r="CDX51" s="88"/>
      <c r="CDY51" s="88"/>
      <c r="CDZ51" s="88"/>
      <c r="CEA51" s="88"/>
      <c r="CEB51" s="88"/>
      <c r="CEC51" s="88"/>
      <c r="CED51" s="88"/>
      <c r="CEE51" s="88"/>
      <c r="CEF51" s="88"/>
      <c r="CEG51" s="88"/>
      <c r="CEH51" s="88"/>
      <c r="CEI51" s="88"/>
      <c r="CEJ51" s="88"/>
      <c r="CEK51" s="88"/>
    </row>
    <row r="52" spans="1:2169" s="63" customFormat="1">
      <c r="A52" s="73" t="s">
        <v>2669</v>
      </c>
      <c r="B52" s="71" t="s">
        <v>2670</v>
      </c>
      <c r="C52" s="68" t="str">
        <f>IF('page 2'!$O$4="","",IF('page 2'!$O$4=Gestion!A52,1,0))</f>
        <v/>
      </c>
      <c r="D52" s="68" t="str">
        <f>IF('page 2'!$O$5="","",IF('page 2'!$O$5=Gestion!A52,1,0))</f>
        <v/>
      </c>
      <c r="E52" s="68" t="str">
        <f>IF('page 2'!$O$6="","",IF('page 2'!$O$6=Gestion!A52,1,0))</f>
        <v/>
      </c>
      <c r="F52" s="68" t="str">
        <f>IF('page 2'!$O$7="","",IF('page 2'!$O$7=Gestion!A52,1,0))</f>
        <v/>
      </c>
      <c r="G52" s="68" t="str">
        <f>IF('page 2'!$O$8="","",IF('page 2'!$O$8=Gestion!A52,1,0))</f>
        <v/>
      </c>
      <c r="H52" s="68" t="str">
        <f>IF('page 2'!$O$9="","",IF('page 2'!$O$9=Gestion!A52,1,0))</f>
        <v/>
      </c>
      <c r="I52" s="68" t="str">
        <f>IF('page 2'!$O$10="","",IF('page 2'!$O$10=Gestion!A52,1,0))</f>
        <v/>
      </c>
      <c r="J52" s="68" t="str">
        <f>IF('page 2'!$O$11="","",IF('page 2'!$O$11=Gestion!A52,1,0))</f>
        <v/>
      </c>
      <c r="K52" s="68" t="str">
        <f>IF('page 2'!$O$12="","",IF('page 2'!$O$12=Gestion!A52,1,0))</f>
        <v/>
      </c>
      <c r="L52" s="68" t="str">
        <f>IF('page 2'!$O$13="","",IF('page 2'!$O$13=Gestion!A52,1,0))</f>
        <v/>
      </c>
      <c r="M52" s="68" t="str">
        <f>IF('page 2'!$O$14="","",IF('page 2'!$O$14=Gestion!A52,1,0))</f>
        <v/>
      </c>
      <c r="N52" s="68" t="str">
        <f>IF('page 2'!$O$15="","",IF('page 2'!$O$15=Gestion!A52,1,0))</f>
        <v/>
      </c>
      <c r="O52" s="68" t="str">
        <f>IF('page 2'!$O$16="","",IF('page 2'!$O$16=Gestion!A52,1,0))</f>
        <v/>
      </c>
      <c r="P52" s="68" t="str">
        <f>IF('page 2'!$O$17="","",IF('page 2'!$O$17=Gestion!A52,1,0))</f>
        <v/>
      </c>
      <c r="Q52" s="68" t="str">
        <f>IF('page 2'!$O$18="","",IF('page 2'!$O$18=Gestion!A52,1,0))</f>
        <v/>
      </c>
      <c r="R52" s="68" t="str">
        <f>IF('page 2'!$O$19="","",IF('page 2'!$O$19=Gestion!A52,1,0))</f>
        <v/>
      </c>
      <c r="S52" s="68" t="str">
        <f>IF('page 2'!$O$20="","",IF('page 2'!$O$20=Gestion!A52,1,0))</f>
        <v/>
      </c>
      <c r="T52" s="68" t="str">
        <f>IF('page 2'!$O$25="","",IF('page 2'!$O$25=Gestion!A52,1,0))</f>
        <v/>
      </c>
      <c r="U52" s="68" t="str">
        <f>IF('page 2'!$O$26="","",IF('page 2'!$O$26=Gestion!A52,1,0))</f>
        <v/>
      </c>
      <c r="V52" s="68" t="str">
        <f>IF('page 2'!$O$27="","",IF('page 2'!$O$27=Gestion!A52,1,0))</f>
        <v/>
      </c>
      <c r="W52" s="722">
        <f t="shared" si="0"/>
        <v>0</v>
      </c>
      <c r="X52" s="714"/>
      <c r="Y52" s="68"/>
      <c r="Z52" s="68"/>
      <c r="AA52" s="68"/>
      <c r="AB52" s="68"/>
      <c r="AC52" s="68"/>
      <c r="AD52" s="68"/>
      <c r="AP52" s="130"/>
      <c r="AQ52" s="130"/>
      <c r="AR52" s="130"/>
      <c r="AS52" s="576"/>
      <c r="AT52" s="576"/>
      <c r="AU52" s="576"/>
      <c r="AV52" s="576"/>
      <c r="AW52" s="602"/>
      <c r="AX52" s="602"/>
      <c r="AY52" s="576"/>
      <c r="AZ52" s="576"/>
      <c r="BA52" s="576"/>
      <c r="BB52" s="576"/>
      <c r="BC52" s="576"/>
      <c r="BD52" s="602"/>
      <c r="BE52" s="602"/>
      <c r="BF52" s="602"/>
      <c r="BG52" s="602"/>
      <c r="BH52" s="602"/>
      <c r="BI52" s="602"/>
      <c r="BJ52" s="602"/>
      <c r="BK52" s="602"/>
      <c r="BL52" s="602"/>
      <c r="BM52" s="602"/>
      <c r="BN52" s="602"/>
      <c r="BO52" s="602"/>
      <c r="BP52" s="602"/>
      <c r="BQ52" s="602"/>
      <c r="BR52" s="602"/>
      <c r="BS52" s="576"/>
      <c r="BT52" s="576"/>
      <c r="BU52" s="576"/>
      <c r="BV52" s="576"/>
      <c r="BW52" s="602"/>
      <c r="BX52" s="602"/>
      <c r="BY52" s="602"/>
      <c r="BZ52" s="576"/>
      <c r="CA52" s="602"/>
      <c r="CB52" s="602"/>
      <c r="CC52" s="576"/>
      <c r="CD52" s="602"/>
      <c r="CE52" s="602"/>
      <c r="CF52" s="576"/>
      <c r="CG52" s="576"/>
      <c r="CH52" s="576"/>
      <c r="CI52" s="576"/>
      <c r="CJ52" s="576"/>
      <c r="CK52" s="602"/>
      <c r="CL52" s="602"/>
      <c r="CM52" s="576"/>
      <c r="CN52" s="602"/>
      <c r="CO52" s="602"/>
      <c r="CP52" s="602"/>
      <c r="CQ52" s="576"/>
      <c r="CR52" s="576"/>
      <c r="CS52" s="602"/>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c r="SF52" s="88"/>
      <c r="SG52" s="88"/>
      <c r="SH52" s="88"/>
      <c r="SI52" s="88"/>
      <c r="SJ52" s="88"/>
      <c r="SK52" s="88"/>
      <c r="SL52" s="88"/>
      <c r="SM52" s="88"/>
      <c r="SN52" s="88"/>
      <c r="SO52" s="88"/>
      <c r="SP52" s="88"/>
      <c r="SQ52" s="88"/>
      <c r="SR52" s="88"/>
      <c r="SS52" s="88"/>
      <c r="ST52" s="88"/>
      <c r="SU52" s="88"/>
      <c r="SV52" s="88"/>
      <c r="SW52" s="88"/>
      <c r="SX52" s="88"/>
      <c r="SY52" s="88"/>
      <c r="SZ52" s="88"/>
      <c r="TA52" s="88"/>
      <c r="TB52" s="88"/>
      <c r="TC52" s="88"/>
      <c r="TD52" s="88"/>
      <c r="TE52" s="88"/>
      <c r="TF52" s="88"/>
      <c r="TG52" s="88"/>
      <c r="TH52" s="88"/>
      <c r="TI52" s="88"/>
      <c r="TJ52" s="88"/>
      <c r="TK52" s="88"/>
      <c r="TL52" s="88"/>
      <c r="TM52" s="88"/>
      <c r="TN52" s="88"/>
      <c r="TO52" s="88"/>
      <c r="TP52" s="88"/>
      <c r="TQ52" s="88"/>
      <c r="TR52" s="88"/>
      <c r="TS52" s="88"/>
      <c r="TT52" s="88"/>
      <c r="TU52" s="88"/>
      <c r="TV52" s="88"/>
      <c r="TW52" s="88"/>
      <c r="TX52" s="88"/>
      <c r="TY52" s="88"/>
      <c r="TZ52" s="88"/>
      <c r="UA52" s="88"/>
      <c r="UB52" s="88"/>
      <c r="UC52" s="88"/>
      <c r="UD52" s="88"/>
      <c r="UE52" s="88"/>
      <c r="UF52" s="88"/>
      <c r="UG52" s="88"/>
      <c r="UH52" s="88"/>
      <c r="UI52" s="88"/>
      <c r="UJ52" s="88"/>
      <c r="UK52" s="88"/>
      <c r="UL52" s="88"/>
      <c r="UM52" s="88"/>
      <c r="UN52" s="88"/>
      <c r="UO52" s="88"/>
      <c r="UP52" s="88"/>
      <c r="UQ52" s="88"/>
      <c r="UR52" s="88"/>
      <c r="US52" s="88"/>
      <c r="UT52" s="88"/>
      <c r="UU52" s="88"/>
      <c r="UV52" s="88"/>
      <c r="UW52" s="88"/>
      <c r="UX52" s="88"/>
      <c r="UY52" s="88"/>
      <c r="UZ52" s="88"/>
      <c r="VA52" s="88"/>
      <c r="VB52" s="88"/>
      <c r="VC52" s="88"/>
      <c r="VD52" s="88"/>
      <c r="VE52" s="88"/>
      <c r="VF52" s="88"/>
      <c r="VG52" s="88"/>
      <c r="VH52" s="88"/>
      <c r="VI52" s="88"/>
      <c r="VJ52" s="88"/>
      <c r="VK52" s="88"/>
      <c r="VL52" s="88"/>
      <c r="VM52" s="88"/>
      <c r="VN52" s="88"/>
      <c r="VO52" s="88"/>
      <c r="VP52" s="88"/>
      <c r="VQ52" s="88"/>
      <c r="VR52" s="88"/>
      <c r="VS52" s="88"/>
      <c r="VT52" s="88"/>
      <c r="VU52" s="88"/>
      <c r="VV52" s="88"/>
      <c r="VW52" s="88"/>
      <c r="VX52" s="88"/>
      <c r="VY52" s="88"/>
      <c r="VZ52" s="88"/>
      <c r="WA52" s="88"/>
      <c r="WB52" s="88"/>
      <c r="WC52" s="88"/>
      <c r="WD52" s="88"/>
      <c r="WE52" s="88"/>
      <c r="WF52" s="88"/>
      <c r="WG52" s="88"/>
      <c r="WH52" s="88"/>
      <c r="WI52" s="88"/>
      <c r="WJ52" s="88"/>
      <c r="WK52" s="88"/>
      <c r="WL52" s="88"/>
      <c r="WM52" s="88"/>
      <c r="WN52" s="88"/>
      <c r="WO52" s="88"/>
      <c r="WP52" s="88"/>
      <c r="WQ52" s="88"/>
      <c r="WR52" s="88"/>
      <c r="WS52" s="88"/>
      <c r="WT52" s="88"/>
      <c r="WU52" s="88"/>
      <c r="WV52" s="88"/>
      <c r="WW52" s="88"/>
      <c r="WX52" s="88"/>
      <c r="WY52" s="88"/>
      <c r="WZ52" s="88"/>
      <c r="XA52" s="88"/>
      <c r="XB52" s="88"/>
      <c r="XC52" s="88"/>
      <c r="XD52" s="88"/>
      <c r="XE52" s="88"/>
      <c r="XF52" s="88"/>
      <c r="XG52" s="88"/>
      <c r="XH52" s="88"/>
      <c r="XI52" s="88"/>
      <c r="XJ52" s="88"/>
      <c r="XK52" s="88"/>
      <c r="XL52" s="88"/>
      <c r="XM52" s="88"/>
      <c r="XN52" s="88"/>
      <c r="XO52" s="88"/>
      <c r="XP52" s="88"/>
      <c r="XQ52" s="88"/>
      <c r="XR52" s="88"/>
      <c r="XS52" s="88"/>
      <c r="XT52" s="88"/>
      <c r="XU52" s="88"/>
      <c r="XV52" s="88"/>
      <c r="XW52" s="88"/>
      <c r="XX52" s="88"/>
      <c r="XY52" s="88"/>
      <c r="XZ52" s="88"/>
      <c r="YA52" s="88"/>
      <c r="YB52" s="88"/>
      <c r="YC52" s="88"/>
      <c r="YD52" s="88"/>
      <c r="YE52" s="88"/>
      <c r="YF52" s="88"/>
      <c r="YG52" s="88"/>
      <c r="YH52" s="88"/>
      <c r="YI52" s="88"/>
      <c r="YJ52" s="88"/>
      <c r="YK52" s="88"/>
      <c r="YL52" s="88"/>
      <c r="YM52" s="88"/>
      <c r="YN52" s="88"/>
      <c r="YO52" s="88"/>
      <c r="YP52" s="88"/>
      <c r="YQ52" s="88"/>
      <c r="YR52" s="88"/>
      <c r="YS52" s="88"/>
      <c r="YT52" s="88"/>
      <c r="YU52" s="88"/>
      <c r="YV52" s="88"/>
      <c r="YW52" s="88"/>
      <c r="YX52" s="88"/>
      <c r="YY52" s="88"/>
      <c r="YZ52" s="88"/>
      <c r="ZA52" s="88"/>
      <c r="ZB52" s="88"/>
      <c r="ZC52" s="88"/>
      <c r="ZD52" s="88"/>
      <c r="ZE52" s="88"/>
      <c r="ZF52" s="88"/>
      <c r="ZG52" s="88"/>
      <c r="ZH52" s="88"/>
      <c r="ZI52" s="88"/>
      <c r="ZJ52" s="88"/>
      <c r="ZK52" s="88"/>
      <c r="ZL52" s="88"/>
      <c r="ZM52" s="88"/>
      <c r="ZN52" s="88"/>
      <c r="ZO52" s="88"/>
      <c r="ZP52" s="88"/>
      <c r="ZQ52" s="88"/>
      <c r="ZR52" s="88"/>
      <c r="ZS52" s="88"/>
      <c r="ZT52" s="88"/>
      <c r="ZU52" s="88"/>
      <c r="ZV52" s="88"/>
      <c r="ZW52" s="88"/>
      <c r="ZX52" s="88"/>
      <c r="ZY52" s="88"/>
      <c r="ZZ52" s="88"/>
      <c r="AAA52" s="88"/>
      <c r="AAB52" s="88"/>
      <c r="AAC52" s="88"/>
      <c r="AAD52" s="88"/>
      <c r="AAE52" s="88"/>
      <c r="AAF52" s="88"/>
      <c r="AAG52" s="88"/>
      <c r="AAH52" s="88"/>
      <c r="AAI52" s="88"/>
      <c r="AAJ52" s="88"/>
      <c r="AAK52" s="88"/>
      <c r="AAL52" s="88"/>
      <c r="AAM52" s="88"/>
      <c r="AAN52" s="88"/>
      <c r="AAO52" s="88"/>
      <c r="AAP52" s="88"/>
      <c r="AAQ52" s="88"/>
      <c r="AAR52" s="88"/>
      <c r="AAS52" s="88"/>
      <c r="AAT52" s="88"/>
      <c r="AAU52" s="88"/>
      <c r="AAV52" s="88"/>
      <c r="AAW52" s="88"/>
      <c r="AAX52" s="88"/>
      <c r="AAY52" s="88"/>
      <c r="AAZ52" s="88"/>
      <c r="ABA52" s="88"/>
      <c r="ABB52" s="88"/>
      <c r="ABC52" s="88"/>
      <c r="ABD52" s="88"/>
      <c r="ABE52" s="88"/>
      <c r="ABF52" s="88"/>
      <c r="ABG52" s="88"/>
      <c r="ABH52" s="88"/>
      <c r="ABI52" s="88"/>
      <c r="ABJ52" s="88"/>
      <c r="ABK52" s="88"/>
      <c r="ABL52" s="88"/>
      <c r="ABM52" s="88"/>
      <c r="ABN52" s="88"/>
      <c r="ABO52" s="88"/>
      <c r="ABP52" s="88"/>
      <c r="ABQ52" s="88"/>
      <c r="ABR52" s="88"/>
      <c r="ABS52" s="88"/>
      <c r="ABT52" s="88"/>
      <c r="ABU52" s="88"/>
      <c r="ABV52" s="88"/>
      <c r="ABW52" s="88"/>
      <c r="ABX52" s="88"/>
      <c r="ABY52" s="88"/>
      <c r="ABZ52" s="88"/>
      <c r="ACA52" s="88"/>
      <c r="ACB52" s="88"/>
      <c r="ACC52" s="88"/>
      <c r="ACD52" s="88"/>
      <c r="ACE52" s="88"/>
      <c r="ACF52" s="88"/>
      <c r="ACG52" s="88"/>
      <c r="ACH52" s="88"/>
      <c r="ACI52" s="88"/>
      <c r="ACJ52" s="88"/>
      <c r="ACK52" s="88"/>
      <c r="ACL52" s="88"/>
      <c r="ACM52" s="88"/>
      <c r="ACN52" s="88"/>
      <c r="ACO52" s="88"/>
      <c r="ACP52" s="88"/>
      <c r="ACQ52" s="88"/>
      <c r="ACR52" s="88"/>
      <c r="ACS52" s="88"/>
      <c r="ACT52" s="88"/>
      <c r="ACU52" s="88"/>
      <c r="ACV52" s="88"/>
      <c r="ACW52" s="88"/>
      <c r="ACX52" s="88"/>
      <c r="ACY52" s="88"/>
      <c r="ACZ52" s="88"/>
      <c r="ADA52" s="88"/>
      <c r="ADB52" s="88"/>
      <c r="ADC52" s="88"/>
      <c r="ADD52" s="88"/>
      <c r="ADE52" s="88"/>
      <c r="ADF52" s="88"/>
      <c r="ADG52" s="88"/>
      <c r="ADH52" s="88"/>
      <c r="ADI52" s="88"/>
      <c r="ADJ52" s="88"/>
      <c r="ADK52" s="88"/>
      <c r="ADL52" s="88"/>
      <c r="ADM52" s="88"/>
      <c r="ADN52" s="88"/>
      <c r="ADO52" s="88"/>
      <c r="ADP52" s="88"/>
      <c r="ADQ52" s="88"/>
      <c r="ADR52" s="88"/>
      <c r="ADS52" s="88"/>
      <c r="ADT52" s="88"/>
      <c r="ADU52" s="88"/>
      <c r="ADV52" s="88"/>
      <c r="ADW52" s="88"/>
      <c r="ADX52" s="88"/>
      <c r="ADY52" s="88"/>
      <c r="ADZ52" s="88"/>
      <c r="AEA52" s="88"/>
      <c r="AEB52" s="88"/>
      <c r="AEC52" s="88"/>
      <c r="AED52" s="88"/>
      <c r="AEE52" s="88"/>
      <c r="AEF52" s="88"/>
      <c r="AEG52" s="88"/>
      <c r="AEH52" s="88"/>
      <c r="AEI52" s="88"/>
      <c r="AEJ52" s="88"/>
      <c r="AEK52" s="88"/>
      <c r="AEL52" s="88"/>
      <c r="AEM52" s="88"/>
      <c r="AEN52" s="88"/>
      <c r="AEO52" s="88"/>
      <c r="AEP52" s="88"/>
      <c r="AEQ52" s="88"/>
      <c r="AER52" s="88"/>
      <c r="AES52" s="88"/>
      <c r="AET52" s="88"/>
      <c r="AEU52" s="88"/>
      <c r="AEV52" s="88"/>
      <c r="AEW52" s="88"/>
      <c r="AEX52" s="88"/>
      <c r="AEY52" s="88"/>
      <c r="AEZ52" s="88"/>
      <c r="AFA52" s="88"/>
      <c r="AFB52" s="88"/>
      <c r="AFC52" s="88"/>
      <c r="AFD52" s="88"/>
      <c r="AFE52" s="88"/>
      <c r="AFF52" s="88"/>
      <c r="AFG52" s="88"/>
      <c r="AFH52" s="88"/>
      <c r="AFI52" s="88"/>
      <c r="AFJ52" s="88"/>
      <c r="AFK52" s="88"/>
      <c r="AFL52" s="88"/>
      <c r="AFM52" s="88"/>
      <c r="AFN52" s="88"/>
      <c r="AFO52" s="88"/>
      <c r="AFP52" s="88"/>
      <c r="AFQ52" s="88"/>
      <c r="AFR52" s="88"/>
      <c r="AFS52" s="88"/>
      <c r="AFT52" s="88"/>
      <c r="AFU52" s="88"/>
      <c r="AFV52" s="88"/>
      <c r="AFW52" s="88"/>
      <c r="AFX52" s="88"/>
      <c r="AFY52" s="88"/>
      <c r="AFZ52" s="88"/>
      <c r="AGA52" s="88"/>
      <c r="AGB52" s="88"/>
      <c r="AGC52" s="88"/>
      <c r="AGD52" s="88"/>
      <c r="AGE52" s="88"/>
      <c r="AGF52" s="88"/>
      <c r="AGG52" s="88"/>
      <c r="AGH52" s="88"/>
      <c r="AGI52" s="88"/>
      <c r="AGJ52" s="88"/>
      <c r="AGK52" s="88"/>
      <c r="AGL52" s="88"/>
      <c r="AGM52" s="88"/>
      <c r="AGN52" s="88"/>
      <c r="AGO52" s="88"/>
      <c r="AGP52" s="88"/>
      <c r="AGQ52" s="88"/>
      <c r="AGR52" s="88"/>
      <c r="AGS52" s="88"/>
      <c r="AGT52" s="88"/>
      <c r="AGU52" s="88"/>
      <c r="AGV52" s="88"/>
      <c r="AGW52" s="88"/>
      <c r="AGX52" s="88"/>
      <c r="AGY52" s="88"/>
      <c r="AGZ52" s="88"/>
      <c r="AHA52" s="88"/>
      <c r="AHB52" s="88"/>
      <c r="AHC52" s="88"/>
      <c r="AHD52" s="88"/>
      <c r="AHE52" s="88"/>
      <c r="AHF52" s="88"/>
      <c r="AHG52" s="88"/>
      <c r="AHH52" s="88"/>
      <c r="AHI52" s="88"/>
      <c r="AHJ52" s="88"/>
      <c r="AHK52" s="88"/>
      <c r="AHL52" s="88"/>
      <c r="AHM52" s="88"/>
      <c r="AHN52" s="88"/>
      <c r="AHO52" s="88"/>
      <c r="AHP52" s="88"/>
      <c r="AHQ52" s="88"/>
      <c r="AHR52" s="88"/>
      <c r="AHS52" s="88"/>
      <c r="AHT52" s="88"/>
      <c r="AHU52" s="88"/>
      <c r="AHV52" s="88"/>
      <c r="AHW52" s="88"/>
      <c r="AHX52" s="88"/>
      <c r="AHY52" s="88"/>
      <c r="AHZ52" s="88"/>
      <c r="AIA52" s="88"/>
      <c r="AIB52" s="88"/>
      <c r="AIC52" s="88"/>
      <c r="AID52" s="88"/>
      <c r="AIE52" s="88"/>
      <c r="AIF52" s="88"/>
      <c r="AIG52" s="88"/>
      <c r="AIH52" s="88"/>
      <c r="AII52" s="88"/>
      <c r="AIJ52" s="88"/>
      <c r="AIK52" s="88"/>
      <c r="AIL52" s="88"/>
      <c r="AIM52" s="88"/>
      <c r="AIN52" s="88"/>
      <c r="AIO52" s="88"/>
      <c r="AIP52" s="88"/>
      <c r="AIQ52" s="88"/>
      <c r="AIR52" s="88"/>
      <c r="AIS52" s="88"/>
      <c r="AIT52" s="88"/>
      <c r="AIU52" s="88"/>
      <c r="AIV52" s="88"/>
      <c r="AIW52" s="88"/>
      <c r="AIX52" s="88"/>
      <c r="AIY52" s="88"/>
      <c r="AIZ52" s="88"/>
      <c r="AJA52" s="88"/>
      <c r="AJB52" s="88"/>
      <c r="AJC52" s="88"/>
      <c r="AJD52" s="88"/>
      <c r="AJE52" s="88"/>
      <c r="AJF52" s="88"/>
      <c r="AJG52" s="88"/>
      <c r="AJH52" s="88"/>
      <c r="AJI52" s="88"/>
      <c r="AJJ52" s="88"/>
      <c r="AJK52" s="88"/>
      <c r="AJL52" s="88"/>
      <c r="AJM52" s="88"/>
      <c r="AJN52" s="88"/>
      <c r="AJO52" s="88"/>
      <c r="AJP52" s="88"/>
      <c r="AJQ52" s="88"/>
      <c r="AJR52" s="88"/>
      <c r="AJS52" s="88"/>
      <c r="AJT52" s="88"/>
      <c r="AJU52" s="88"/>
      <c r="AJV52" s="88"/>
      <c r="AJW52" s="88"/>
      <c r="AJX52" s="88"/>
      <c r="AJY52" s="88"/>
      <c r="AJZ52" s="88"/>
      <c r="AKA52" s="88"/>
      <c r="AKB52" s="88"/>
      <c r="AKC52" s="88"/>
      <c r="AKD52" s="88"/>
      <c r="AKE52" s="88"/>
      <c r="AKF52" s="88"/>
      <c r="AKG52" s="88"/>
      <c r="AKH52" s="88"/>
      <c r="AKI52" s="88"/>
      <c r="AKJ52" s="88"/>
      <c r="AKK52" s="88"/>
      <c r="AKL52" s="88"/>
      <c r="AKM52" s="88"/>
      <c r="AKN52" s="88"/>
      <c r="AKO52" s="88"/>
      <c r="AKP52" s="88"/>
      <c r="AKQ52" s="88"/>
      <c r="AKR52" s="88"/>
      <c r="AKS52" s="88"/>
      <c r="AKT52" s="88"/>
      <c r="AKU52" s="88"/>
      <c r="AKV52" s="88"/>
      <c r="AKW52" s="88"/>
      <c r="AKX52" s="88"/>
      <c r="AKY52" s="88"/>
      <c r="AKZ52" s="88"/>
      <c r="ALA52" s="88"/>
      <c r="ALB52" s="88"/>
      <c r="ALC52" s="88"/>
      <c r="ALD52" s="88"/>
      <c r="ALE52" s="88"/>
      <c r="ALF52" s="88"/>
      <c r="ALG52" s="88"/>
      <c r="ALH52" s="88"/>
      <c r="ALI52" s="88"/>
      <c r="ALJ52" s="88"/>
      <c r="ALK52" s="88"/>
      <c r="ALL52" s="88"/>
      <c r="ALM52" s="88"/>
      <c r="ALN52" s="88"/>
      <c r="ALO52" s="88"/>
      <c r="ALP52" s="88"/>
      <c r="ALQ52" s="88"/>
      <c r="ALR52" s="88"/>
      <c r="ALS52" s="88"/>
      <c r="ALT52" s="88"/>
      <c r="ALU52" s="88"/>
      <c r="ALV52" s="88"/>
      <c r="ALW52" s="88"/>
      <c r="ALX52" s="88"/>
      <c r="ALY52" s="88"/>
      <c r="ALZ52" s="88"/>
      <c r="AMA52" s="88"/>
      <c r="AMB52" s="88"/>
      <c r="AMC52" s="88"/>
      <c r="AMD52" s="88"/>
      <c r="AME52" s="88"/>
      <c r="AMF52" s="88"/>
      <c r="AMG52" s="88"/>
      <c r="AMH52" s="88"/>
      <c r="AMI52" s="88"/>
      <c r="AMJ52" s="88"/>
      <c r="AMK52" s="88"/>
      <c r="AML52" s="88"/>
      <c r="AMM52" s="88"/>
      <c r="AMN52" s="88"/>
      <c r="AMO52" s="88"/>
      <c r="AMP52" s="88"/>
      <c r="AMQ52" s="88"/>
      <c r="AMR52" s="88"/>
      <c r="AMS52" s="88"/>
      <c r="AMT52" s="88"/>
      <c r="AMU52" s="88"/>
      <c r="AMV52" s="88"/>
      <c r="AMW52" s="88"/>
      <c r="AMX52" s="88"/>
      <c r="AMY52" s="88"/>
      <c r="AMZ52" s="88"/>
      <c r="ANA52" s="88"/>
      <c r="ANB52" s="88"/>
      <c r="ANC52" s="88"/>
      <c r="AND52" s="88"/>
      <c r="ANE52" s="88"/>
      <c r="ANF52" s="88"/>
      <c r="ANG52" s="88"/>
      <c r="ANH52" s="88"/>
      <c r="ANI52" s="88"/>
      <c r="ANJ52" s="88"/>
      <c r="ANK52" s="88"/>
      <c r="ANL52" s="88"/>
      <c r="ANM52" s="88"/>
      <c r="ANN52" s="88"/>
      <c r="ANO52" s="88"/>
      <c r="ANP52" s="88"/>
      <c r="ANQ52" s="88"/>
      <c r="ANR52" s="88"/>
      <c r="ANS52" s="88"/>
      <c r="ANT52" s="88"/>
      <c r="ANU52" s="88"/>
      <c r="ANV52" s="88"/>
      <c r="ANW52" s="88"/>
      <c r="ANX52" s="88"/>
      <c r="ANY52" s="88"/>
      <c r="ANZ52" s="88"/>
      <c r="AOA52" s="88"/>
      <c r="AOB52" s="88"/>
      <c r="AOC52" s="88"/>
      <c r="AOD52" s="88"/>
      <c r="AOE52" s="88"/>
      <c r="AOF52" s="88"/>
      <c r="AOG52" s="88"/>
      <c r="AOH52" s="88"/>
      <c r="AOI52" s="88"/>
      <c r="AOJ52" s="88"/>
      <c r="AOK52" s="88"/>
      <c r="AOL52" s="88"/>
      <c r="AOM52" s="88"/>
      <c r="AON52" s="88"/>
      <c r="AOO52" s="88"/>
      <c r="AOP52" s="88"/>
      <c r="AOQ52" s="88"/>
      <c r="AOR52" s="88"/>
      <c r="AOS52" s="88"/>
      <c r="AOT52" s="88"/>
      <c r="AOU52" s="88"/>
      <c r="AOV52" s="88"/>
      <c r="AOW52" s="88"/>
      <c r="AOX52" s="88"/>
      <c r="AOY52" s="88"/>
      <c r="AOZ52" s="88"/>
      <c r="APA52" s="88"/>
      <c r="APB52" s="88"/>
      <c r="APC52" s="88"/>
      <c r="APD52" s="88"/>
      <c r="APE52" s="88"/>
      <c r="APF52" s="88"/>
      <c r="APG52" s="88"/>
      <c r="APH52" s="88"/>
      <c r="API52" s="88"/>
      <c r="APJ52" s="88"/>
      <c r="APK52" s="88"/>
      <c r="APL52" s="88"/>
      <c r="APM52" s="88"/>
      <c r="APN52" s="88"/>
      <c r="APO52" s="88"/>
      <c r="APP52" s="88"/>
      <c r="APQ52" s="88"/>
      <c r="APR52" s="88"/>
      <c r="APS52" s="88"/>
      <c r="APT52" s="88"/>
      <c r="APU52" s="88"/>
      <c r="APV52" s="88"/>
      <c r="APW52" s="88"/>
      <c r="APX52" s="88"/>
      <c r="APY52" s="88"/>
      <c r="APZ52" s="88"/>
      <c r="AQA52" s="88"/>
      <c r="AQB52" s="88"/>
      <c r="AQC52" s="88"/>
      <c r="AQD52" s="88"/>
      <c r="AQE52" s="88"/>
      <c r="AQF52" s="88"/>
      <c r="AQG52" s="88"/>
      <c r="AQH52" s="88"/>
      <c r="AQI52" s="88"/>
      <c r="AQJ52" s="88"/>
      <c r="AQK52" s="88"/>
      <c r="AQL52" s="88"/>
      <c r="AQM52" s="88"/>
      <c r="AQN52" s="88"/>
      <c r="AQO52" s="88"/>
      <c r="AQP52" s="88"/>
      <c r="AQQ52" s="88"/>
      <c r="AQR52" s="88"/>
      <c r="AQS52" s="88"/>
      <c r="AQT52" s="88"/>
      <c r="AQU52" s="88"/>
      <c r="AQV52" s="88"/>
      <c r="AQW52" s="88"/>
      <c r="AQX52" s="88"/>
      <c r="AQY52" s="88"/>
      <c r="AQZ52" s="88"/>
      <c r="ARA52" s="88"/>
      <c r="ARB52" s="88"/>
      <c r="ARC52" s="88"/>
      <c r="ARD52" s="88"/>
      <c r="ARE52" s="88"/>
      <c r="ARF52" s="88"/>
      <c r="ARG52" s="88"/>
      <c r="ARH52" s="88"/>
      <c r="ARI52" s="88"/>
      <c r="ARJ52" s="88"/>
      <c r="ARK52" s="88"/>
      <c r="ARL52" s="88"/>
      <c r="ARM52" s="88"/>
      <c r="ARN52" s="88"/>
      <c r="ARO52" s="88"/>
      <c r="ARP52" s="88"/>
      <c r="ARQ52" s="88"/>
      <c r="ARR52" s="88"/>
      <c r="ARS52" s="88"/>
      <c r="ART52" s="88"/>
      <c r="ARU52" s="88"/>
      <c r="ARV52" s="88"/>
      <c r="ARW52" s="88"/>
      <c r="ARX52" s="88"/>
      <c r="ARY52" s="88"/>
      <c r="ARZ52" s="88"/>
      <c r="ASA52" s="88"/>
      <c r="ASB52" s="88"/>
      <c r="ASC52" s="88"/>
      <c r="ASD52" s="88"/>
      <c r="ASE52" s="88"/>
      <c r="ASF52" s="88"/>
      <c r="ASG52" s="88"/>
      <c r="ASH52" s="88"/>
      <c r="ASI52" s="88"/>
      <c r="ASJ52" s="88"/>
      <c r="ASK52" s="88"/>
      <c r="ASL52" s="88"/>
      <c r="ASM52" s="88"/>
      <c r="ASN52" s="88"/>
      <c r="ASO52" s="88"/>
      <c r="ASP52" s="88"/>
      <c r="ASQ52" s="88"/>
      <c r="ASR52" s="88"/>
      <c r="ASS52" s="88"/>
      <c r="AST52" s="88"/>
      <c r="ASU52" s="88"/>
      <c r="ASV52" s="88"/>
      <c r="ASW52" s="88"/>
      <c r="ASX52" s="88"/>
      <c r="ASY52" s="88"/>
      <c r="ASZ52" s="88"/>
      <c r="ATA52" s="88"/>
      <c r="ATB52" s="88"/>
      <c r="ATC52" s="88"/>
      <c r="ATD52" s="88"/>
      <c r="ATE52" s="88"/>
      <c r="ATF52" s="88"/>
      <c r="ATG52" s="88"/>
      <c r="ATH52" s="88"/>
      <c r="ATI52" s="88"/>
      <c r="ATJ52" s="88"/>
      <c r="ATK52" s="88"/>
      <c r="ATL52" s="88"/>
      <c r="ATM52" s="88"/>
      <c r="ATN52" s="88"/>
      <c r="ATO52" s="88"/>
      <c r="ATP52" s="88"/>
      <c r="ATQ52" s="88"/>
      <c r="ATR52" s="88"/>
      <c r="ATS52" s="88"/>
      <c r="ATT52" s="88"/>
      <c r="ATU52" s="88"/>
      <c r="ATV52" s="88"/>
      <c r="ATW52" s="88"/>
      <c r="ATX52" s="88"/>
      <c r="ATY52" s="88"/>
      <c r="ATZ52" s="88"/>
      <c r="AUA52" s="88"/>
      <c r="AUB52" s="88"/>
      <c r="AUC52" s="88"/>
      <c r="AUD52" s="88"/>
      <c r="AUE52" s="88"/>
      <c r="AUF52" s="88"/>
      <c r="AUG52" s="88"/>
      <c r="AUH52" s="88"/>
      <c r="AUI52" s="88"/>
      <c r="AUJ52" s="88"/>
      <c r="AUK52" s="88"/>
      <c r="AUL52" s="88"/>
      <c r="AUM52" s="88"/>
      <c r="AUN52" s="88"/>
      <c r="AUO52" s="88"/>
      <c r="AUP52" s="88"/>
      <c r="AUQ52" s="88"/>
      <c r="AUR52" s="88"/>
      <c r="AUS52" s="88"/>
      <c r="AUT52" s="88"/>
      <c r="AUU52" s="88"/>
      <c r="AUV52" s="88"/>
      <c r="AUW52" s="88"/>
      <c r="AUX52" s="88"/>
      <c r="AUY52" s="88"/>
      <c r="AUZ52" s="88"/>
      <c r="AVA52" s="88"/>
      <c r="AVB52" s="88"/>
      <c r="AVC52" s="88"/>
      <c r="AVD52" s="88"/>
      <c r="AVE52" s="88"/>
      <c r="AVF52" s="88"/>
      <c r="AVG52" s="88"/>
      <c r="AVH52" s="88"/>
      <c r="AVI52" s="88"/>
      <c r="AVJ52" s="88"/>
      <c r="AVK52" s="88"/>
      <c r="AVL52" s="88"/>
      <c r="AVM52" s="88"/>
      <c r="AVN52" s="88"/>
      <c r="AVO52" s="88"/>
      <c r="AVP52" s="88"/>
      <c r="AVQ52" s="88"/>
      <c r="AVR52" s="88"/>
      <c r="AVS52" s="88"/>
      <c r="AVT52" s="88"/>
      <c r="AVU52" s="88"/>
      <c r="AVV52" s="88"/>
      <c r="AVW52" s="88"/>
      <c r="AVX52" s="88"/>
      <c r="AVY52" s="88"/>
      <c r="AVZ52" s="88"/>
      <c r="AWA52" s="88"/>
      <c r="AWB52" s="88"/>
      <c r="AWC52" s="88"/>
      <c r="AWD52" s="88"/>
      <c r="AWE52" s="88"/>
      <c r="AWF52" s="88"/>
      <c r="AWG52" s="88"/>
      <c r="AWH52" s="88"/>
      <c r="AWI52" s="88"/>
      <c r="AWJ52" s="88"/>
      <c r="AWK52" s="88"/>
      <c r="AWL52" s="88"/>
      <c r="AWM52" s="88"/>
      <c r="AWN52" s="88"/>
      <c r="AWO52" s="88"/>
      <c r="AWP52" s="88"/>
      <c r="AWQ52" s="88"/>
      <c r="AWR52" s="88"/>
      <c r="AWS52" s="88"/>
      <c r="AWT52" s="88"/>
      <c r="AWU52" s="88"/>
      <c r="AWV52" s="88"/>
      <c r="AWW52" s="88"/>
      <c r="AWX52" s="88"/>
      <c r="AWY52" s="88"/>
      <c r="AWZ52" s="88"/>
      <c r="AXA52" s="88"/>
      <c r="AXB52" s="88"/>
      <c r="AXC52" s="88"/>
      <c r="AXD52" s="88"/>
      <c r="AXE52" s="88"/>
      <c r="AXF52" s="88"/>
      <c r="AXG52" s="88"/>
      <c r="AXH52" s="88"/>
      <c r="AXI52" s="88"/>
      <c r="AXJ52" s="88"/>
      <c r="AXK52" s="88"/>
      <c r="AXL52" s="88"/>
      <c r="AXM52" s="88"/>
      <c r="AXN52" s="88"/>
      <c r="AXO52" s="88"/>
      <c r="AXP52" s="88"/>
      <c r="AXQ52" s="88"/>
      <c r="AXR52" s="88"/>
      <c r="AXS52" s="88"/>
      <c r="AXT52" s="88"/>
      <c r="AXU52" s="88"/>
      <c r="AXV52" s="88"/>
      <c r="AXW52" s="88"/>
      <c r="AXX52" s="88"/>
      <c r="AXY52" s="88"/>
      <c r="AXZ52" s="88"/>
      <c r="AYA52" s="88"/>
      <c r="AYB52" s="88"/>
      <c r="AYC52" s="88"/>
      <c r="AYD52" s="88"/>
      <c r="AYE52" s="88"/>
      <c r="AYF52" s="88"/>
      <c r="AYG52" s="88"/>
      <c r="AYH52" s="88"/>
      <c r="AYI52" s="88"/>
      <c r="AYJ52" s="88"/>
      <c r="AYK52" s="88"/>
      <c r="AYL52" s="88"/>
      <c r="AYM52" s="88"/>
      <c r="AYN52" s="88"/>
      <c r="AYO52" s="88"/>
      <c r="AYP52" s="88"/>
      <c r="AYQ52" s="88"/>
      <c r="AYR52" s="88"/>
      <c r="AYS52" s="88"/>
      <c r="AYT52" s="88"/>
      <c r="AYU52" s="88"/>
      <c r="AYV52" s="88"/>
      <c r="AYW52" s="88"/>
      <c r="AYX52" s="88"/>
      <c r="AYY52" s="88"/>
      <c r="AYZ52" s="88"/>
      <c r="AZA52" s="88"/>
      <c r="AZB52" s="88"/>
      <c r="AZC52" s="88"/>
      <c r="AZD52" s="88"/>
      <c r="AZE52" s="88"/>
      <c r="AZF52" s="88"/>
      <c r="AZG52" s="88"/>
      <c r="AZH52" s="88"/>
      <c r="AZI52" s="88"/>
      <c r="AZJ52" s="88"/>
      <c r="AZK52" s="88"/>
      <c r="AZL52" s="88"/>
      <c r="AZM52" s="88"/>
      <c r="AZN52" s="88"/>
      <c r="AZO52" s="88"/>
      <c r="AZP52" s="88"/>
      <c r="AZQ52" s="88"/>
      <c r="AZR52" s="88"/>
      <c r="AZS52" s="88"/>
      <c r="AZT52" s="88"/>
      <c r="AZU52" s="88"/>
      <c r="AZV52" s="88"/>
      <c r="AZW52" s="88"/>
      <c r="AZX52" s="88"/>
      <c r="AZY52" s="88"/>
      <c r="AZZ52" s="88"/>
      <c r="BAA52" s="88"/>
      <c r="BAB52" s="88"/>
      <c r="BAC52" s="88"/>
      <c r="BAD52" s="88"/>
      <c r="BAE52" s="88"/>
      <c r="BAF52" s="88"/>
      <c r="BAG52" s="88"/>
      <c r="BAH52" s="88"/>
      <c r="BAI52" s="88"/>
      <c r="BAJ52" s="88"/>
      <c r="BAK52" s="88"/>
      <c r="BAL52" s="88"/>
      <c r="BAM52" s="88"/>
      <c r="BAN52" s="88"/>
      <c r="BAO52" s="88"/>
      <c r="BAP52" s="88"/>
      <c r="BAQ52" s="88"/>
      <c r="BAR52" s="88"/>
      <c r="BAS52" s="88"/>
      <c r="BAT52" s="88"/>
      <c r="BAU52" s="88"/>
      <c r="BAV52" s="88"/>
      <c r="BAW52" s="88"/>
      <c r="BAX52" s="88"/>
      <c r="BAY52" s="88"/>
      <c r="BAZ52" s="88"/>
      <c r="BBA52" s="88"/>
      <c r="BBB52" s="88"/>
      <c r="BBC52" s="88"/>
      <c r="BBD52" s="88"/>
      <c r="BBE52" s="88"/>
      <c r="BBF52" s="88"/>
      <c r="BBG52" s="88"/>
      <c r="BBH52" s="88"/>
      <c r="BBI52" s="88"/>
      <c r="BBJ52" s="88"/>
      <c r="BBK52" s="88"/>
      <c r="BBL52" s="88"/>
      <c r="BBM52" s="88"/>
      <c r="BBN52" s="88"/>
      <c r="BBO52" s="88"/>
      <c r="BBP52" s="88"/>
      <c r="BBQ52" s="88"/>
      <c r="BBR52" s="88"/>
      <c r="BBS52" s="88"/>
      <c r="BBT52" s="88"/>
      <c r="BBU52" s="88"/>
      <c r="BBV52" s="88"/>
      <c r="BBW52" s="88"/>
      <c r="BBX52" s="88"/>
      <c r="BBY52" s="88"/>
      <c r="BBZ52" s="88"/>
      <c r="BCA52" s="88"/>
      <c r="BCB52" s="88"/>
      <c r="BCC52" s="88"/>
      <c r="BCD52" s="88"/>
      <c r="BCE52" s="88"/>
      <c r="BCF52" s="88"/>
      <c r="BCG52" s="88"/>
      <c r="BCH52" s="88"/>
      <c r="BCI52" s="88"/>
      <c r="BCJ52" s="88"/>
      <c r="BCK52" s="88"/>
      <c r="BCL52" s="88"/>
      <c r="BCM52" s="88"/>
      <c r="BCN52" s="88"/>
      <c r="BCO52" s="88"/>
      <c r="BCP52" s="88"/>
      <c r="BCQ52" s="88"/>
      <c r="BCR52" s="88"/>
      <c r="BCS52" s="88"/>
      <c r="BCT52" s="88"/>
      <c r="BCU52" s="88"/>
      <c r="BCV52" s="88"/>
      <c r="BCW52" s="88"/>
      <c r="BCX52" s="88"/>
      <c r="BCY52" s="88"/>
      <c r="BCZ52" s="88"/>
      <c r="BDA52" s="88"/>
      <c r="BDB52" s="88"/>
      <c r="BDC52" s="88"/>
      <c r="BDD52" s="88"/>
      <c r="BDE52" s="88"/>
      <c r="BDF52" s="88"/>
      <c r="BDG52" s="88"/>
      <c r="BDH52" s="88"/>
      <c r="BDI52" s="88"/>
      <c r="BDJ52" s="88"/>
      <c r="BDK52" s="88"/>
      <c r="BDL52" s="88"/>
      <c r="BDM52" s="88"/>
      <c r="BDN52" s="88"/>
      <c r="BDO52" s="88"/>
      <c r="BDP52" s="88"/>
      <c r="BDQ52" s="88"/>
      <c r="BDR52" s="88"/>
      <c r="BDS52" s="88"/>
      <c r="BDT52" s="88"/>
      <c r="BDU52" s="88"/>
      <c r="BDV52" s="88"/>
      <c r="BDW52" s="88"/>
      <c r="BDX52" s="88"/>
      <c r="BDY52" s="88"/>
      <c r="BDZ52" s="88"/>
      <c r="BEA52" s="88"/>
      <c r="BEB52" s="88"/>
      <c r="BEC52" s="88"/>
      <c r="BED52" s="88"/>
      <c r="BEE52" s="88"/>
      <c r="BEF52" s="88"/>
      <c r="BEG52" s="88"/>
      <c r="BEH52" s="88"/>
      <c r="BEI52" s="88"/>
      <c r="BEJ52" s="88"/>
      <c r="BEK52" s="88"/>
      <c r="BEL52" s="88"/>
      <c r="BEM52" s="88"/>
      <c r="BEN52" s="88"/>
      <c r="BEO52" s="88"/>
      <c r="BEP52" s="88"/>
      <c r="BEQ52" s="88"/>
      <c r="BER52" s="88"/>
      <c r="BES52" s="88"/>
      <c r="BET52" s="88"/>
      <c r="BEU52" s="88"/>
      <c r="BEV52" s="88"/>
      <c r="BEW52" s="88"/>
      <c r="BEX52" s="88"/>
      <c r="BEY52" s="88"/>
      <c r="BEZ52" s="88"/>
      <c r="BFA52" s="88"/>
      <c r="BFB52" s="88"/>
      <c r="BFC52" s="88"/>
      <c r="BFD52" s="88"/>
      <c r="BFE52" s="88"/>
      <c r="BFF52" s="88"/>
      <c r="BFG52" s="88"/>
      <c r="BFH52" s="88"/>
      <c r="BFI52" s="88"/>
      <c r="BFJ52" s="88"/>
      <c r="BFK52" s="88"/>
      <c r="BFL52" s="88"/>
      <c r="BFM52" s="88"/>
      <c r="BFN52" s="88"/>
      <c r="BFO52" s="88"/>
      <c r="BFP52" s="88"/>
      <c r="BFQ52" s="88"/>
      <c r="BFR52" s="88"/>
      <c r="BFS52" s="88"/>
      <c r="BFT52" s="88"/>
      <c r="BFU52" s="88"/>
      <c r="BFV52" s="88"/>
      <c r="BFW52" s="88"/>
      <c r="BFX52" s="88"/>
      <c r="BFY52" s="88"/>
      <c r="BFZ52" s="88"/>
      <c r="BGA52" s="88"/>
      <c r="BGB52" s="88"/>
      <c r="BGC52" s="88"/>
      <c r="BGD52" s="88"/>
      <c r="BGE52" s="88"/>
      <c r="BGF52" s="88"/>
      <c r="BGG52" s="88"/>
      <c r="BGH52" s="88"/>
      <c r="BGI52" s="88"/>
      <c r="BGJ52" s="88"/>
      <c r="BGK52" s="88"/>
      <c r="BGL52" s="88"/>
      <c r="BGM52" s="88"/>
      <c r="BGN52" s="88"/>
      <c r="BGO52" s="88"/>
      <c r="BGP52" s="88"/>
      <c r="BGQ52" s="88"/>
      <c r="BGR52" s="88"/>
      <c r="BGS52" s="88"/>
      <c r="BGT52" s="88"/>
      <c r="BGU52" s="88"/>
      <c r="BGV52" s="88"/>
      <c r="BGW52" s="88"/>
      <c r="BGX52" s="88"/>
      <c r="BGY52" s="88"/>
      <c r="BGZ52" s="88"/>
      <c r="BHA52" s="88"/>
      <c r="BHB52" s="88"/>
      <c r="BHC52" s="88"/>
      <c r="BHD52" s="88"/>
      <c r="BHE52" s="88"/>
      <c r="BHF52" s="88"/>
      <c r="BHG52" s="88"/>
      <c r="BHH52" s="88"/>
      <c r="BHI52" s="88"/>
      <c r="BHJ52" s="88"/>
      <c r="BHK52" s="88"/>
      <c r="BHL52" s="88"/>
      <c r="BHM52" s="88"/>
      <c r="BHN52" s="88"/>
      <c r="BHO52" s="88"/>
      <c r="BHP52" s="88"/>
      <c r="BHQ52" s="88"/>
      <c r="BHR52" s="88"/>
      <c r="BHS52" s="88"/>
      <c r="BHT52" s="88"/>
      <c r="BHU52" s="88"/>
      <c r="BHV52" s="88"/>
      <c r="BHW52" s="88"/>
      <c r="BHX52" s="88"/>
      <c r="BHY52" s="88"/>
      <c r="BHZ52" s="88"/>
      <c r="BIA52" s="88"/>
      <c r="BIB52" s="88"/>
      <c r="BIC52" s="88"/>
      <c r="BID52" s="88"/>
      <c r="BIE52" s="88"/>
      <c r="BIF52" s="88"/>
      <c r="BIG52" s="88"/>
      <c r="BIH52" s="88"/>
      <c r="BII52" s="88"/>
      <c r="BIJ52" s="88"/>
      <c r="BIK52" s="88"/>
      <c r="BIL52" s="88"/>
      <c r="BIM52" s="88"/>
      <c r="BIN52" s="88"/>
      <c r="BIO52" s="88"/>
      <c r="BIP52" s="88"/>
      <c r="BIQ52" s="88"/>
      <c r="BIR52" s="88"/>
      <c r="BIS52" s="88"/>
      <c r="BIT52" s="88"/>
      <c r="BIU52" s="88"/>
      <c r="BIV52" s="88"/>
      <c r="BIW52" s="88"/>
      <c r="BIX52" s="88"/>
      <c r="BIY52" s="88"/>
      <c r="BIZ52" s="88"/>
      <c r="BJA52" s="88"/>
      <c r="BJB52" s="88"/>
      <c r="BJC52" s="88"/>
      <c r="BJD52" s="88"/>
      <c r="BJE52" s="88"/>
      <c r="BJF52" s="88"/>
      <c r="BJG52" s="88"/>
      <c r="BJH52" s="88"/>
      <c r="BJI52" s="88"/>
      <c r="BJJ52" s="88"/>
      <c r="BJK52" s="88"/>
      <c r="BJL52" s="88"/>
      <c r="BJM52" s="88"/>
      <c r="BJN52" s="88"/>
      <c r="BJO52" s="88"/>
      <c r="BJP52" s="88"/>
      <c r="BJQ52" s="88"/>
      <c r="BJR52" s="88"/>
      <c r="BJS52" s="88"/>
      <c r="BJT52" s="88"/>
      <c r="BJU52" s="88"/>
      <c r="BJV52" s="88"/>
      <c r="BJW52" s="88"/>
      <c r="BJX52" s="88"/>
      <c r="BJY52" s="88"/>
      <c r="BJZ52" s="88"/>
      <c r="BKA52" s="88"/>
      <c r="BKB52" s="88"/>
      <c r="BKC52" s="88"/>
      <c r="BKD52" s="88"/>
      <c r="BKE52" s="88"/>
      <c r="BKF52" s="88"/>
      <c r="BKG52" s="88"/>
      <c r="BKH52" s="88"/>
      <c r="BKI52" s="88"/>
      <c r="BKJ52" s="88"/>
      <c r="BKK52" s="88"/>
      <c r="BKL52" s="88"/>
      <c r="BKM52" s="88"/>
      <c r="BKN52" s="88"/>
      <c r="BKO52" s="88"/>
      <c r="BKP52" s="88"/>
      <c r="BKQ52" s="88"/>
      <c r="BKR52" s="88"/>
      <c r="BKS52" s="88"/>
      <c r="BKT52" s="88"/>
      <c r="BKU52" s="88"/>
      <c r="BKV52" s="88"/>
      <c r="BKW52" s="88"/>
      <c r="BKX52" s="88"/>
      <c r="BKY52" s="88"/>
      <c r="BKZ52" s="88"/>
      <c r="BLA52" s="88"/>
      <c r="BLB52" s="88"/>
      <c r="BLC52" s="88"/>
      <c r="BLD52" s="88"/>
      <c r="BLE52" s="88"/>
      <c r="BLF52" s="88"/>
      <c r="BLG52" s="88"/>
      <c r="BLH52" s="88"/>
      <c r="BLI52" s="88"/>
      <c r="BLJ52" s="88"/>
      <c r="BLK52" s="88"/>
      <c r="BLL52" s="88"/>
      <c r="BLM52" s="88"/>
      <c r="BLN52" s="88"/>
      <c r="BLO52" s="88"/>
      <c r="BLP52" s="88"/>
      <c r="BLQ52" s="88"/>
      <c r="BLR52" s="88"/>
      <c r="BLS52" s="88"/>
      <c r="BLT52" s="88"/>
      <c r="BLU52" s="88"/>
      <c r="BLV52" s="88"/>
      <c r="BLW52" s="88"/>
      <c r="BLX52" s="88"/>
      <c r="BLY52" s="88"/>
      <c r="BLZ52" s="88"/>
      <c r="BMA52" s="88"/>
      <c r="BMB52" s="88"/>
      <c r="BMC52" s="88"/>
      <c r="BMD52" s="88"/>
      <c r="BME52" s="88"/>
      <c r="BMF52" s="88"/>
      <c r="BMG52" s="88"/>
      <c r="BMH52" s="88"/>
      <c r="BMI52" s="88"/>
      <c r="BMJ52" s="88"/>
      <c r="BMK52" s="88"/>
      <c r="BML52" s="88"/>
      <c r="BMM52" s="88"/>
      <c r="BMN52" s="88"/>
      <c r="BMO52" s="88"/>
      <c r="BMP52" s="88"/>
      <c r="BMQ52" s="88"/>
      <c r="BMR52" s="88"/>
      <c r="BMS52" s="88"/>
      <c r="BMT52" s="88"/>
      <c r="BMU52" s="88"/>
      <c r="BMV52" s="88"/>
      <c r="BMW52" s="88"/>
      <c r="BMX52" s="88"/>
      <c r="BMY52" s="88"/>
      <c r="BMZ52" s="88"/>
      <c r="BNA52" s="88"/>
      <c r="BNB52" s="88"/>
      <c r="BNC52" s="88"/>
      <c r="BND52" s="88"/>
      <c r="BNE52" s="88"/>
      <c r="BNF52" s="88"/>
      <c r="BNG52" s="88"/>
      <c r="BNH52" s="88"/>
      <c r="BNI52" s="88"/>
      <c r="BNJ52" s="88"/>
      <c r="BNK52" s="88"/>
      <c r="BNL52" s="88"/>
      <c r="BNM52" s="88"/>
      <c r="BNN52" s="88"/>
      <c r="BNO52" s="88"/>
      <c r="BNP52" s="88"/>
      <c r="BNQ52" s="88"/>
      <c r="BNR52" s="88"/>
      <c r="BNS52" s="88"/>
      <c r="BNT52" s="88"/>
      <c r="BNU52" s="88"/>
      <c r="BNV52" s="88"/>
      <c r="BNW52" s="88"/>
      <c r="BNX52" s="88"/>
      <c r="BNY52" s="88"/>
      <c r="BNZ52" s="88"/>
      <c r="BOA52" s="88"/>
      <c r="BOB52" s="88"/>
      <c r="BOC52" s="88"/>
      <c r="BOD52" s="88"/>
      <c r="BOE52" s="88"/>
      <c r="BOF52" s="88"/>
      <c r="BOG52" s="88"/>
      <c r="BOH52" s="88"/>
      <c r="BOI52" s="88"/>
      <c r="BOJ52" s="88"/>
      <c r="BOK52" s="88"/>
      <c r="BOL52" s="88"/>
      <c r="BOM52" s="88"/>
      <c r="BON52" s="88"/>
      <c r="BOO52" s="88"/>
      <c r="BOP52" s="88"/>
      <c r="BOQ52" s="88"/>
      <c r="BOR52" s="88"/>
      <c r="BOS52" s="88"/>
      <c r="BOT52" s="88"/>
      <c r="BOU52" s="88"/>
      <c r="BOV52" s="88"/>
      <c r="BOW52" s="88"/>
      <c r="BOX52" s="88"/>
      <c r="BOY52" s="88"/>
      <c r="BOZ52" s="88"/>
      <c r="BPA52" s="88"/>
      <c r="BPB52" s="88"/>
      <c r="BPC52" s="88"/>
      <c r="BPD52" s="88"/>
      <c r="BPE52" s="88"/>
      <c r="BPF52" s="88"/>
      <c r="BPG52" s="88"/>
      <c r="BPH52" s="88"/>
      <c r="BPI52" s="88"/>
      <c r="BPJ52" s="88"/>
      <c r="BPK52" s="88"/>
      <c r="BPL52" s="88"/>
      <c r="BPM52" s="88"/>
      <c r="BPN52" s="88"/>
      <c r="BPO52" s="88"/>
      <c r="BPP52" s="88"/>
      <c r="BPQ52" s="88"/>
      <c r="BPR52" s="88"/>
      <c r="BPS52" s="88"/>
      <c r="BPT52" s="88"/>
      <c r="BPU52" s="88"/>
      <c r="BPV52" s="88"/>
      <c r="BPW52" s="88"/>
      <c r="BPX52" s="88"/>
      <c r="BPY52" s="88"/>
      <c r="BPZ52" s="88"/>
      <c r="BQA52" s="88"/>
      <c r="BQB52" s="88"/>
      <c r="BQC52" s="88"/>
      <c r="BQD52" s="88"/>
      <c r="BQE52" s="88"/>
      <c r="BQF52" s="88"/>
      <c r="BQG52" s="88"/>
      <c r="BQH52" s="88"/>
      <c r="BQI52" s="88"/>
      <c r="BQJ52" s="88"/>
      <c r="BQK52" s="88"/>
      <c r="BQL52" s="88"/>
      <c r="BQM52" s="88"/>
      <c r="BQN52" s="88"/>
      <c r="BQO52" s="88"/>
      <c r="BQP52" s="88"/>
      <c r="BQQ52" s="88"/>
      <c r="BQR52" s="88"/>
      <c r="BQS52" s="88"/>
      <c r="BQT52" s="88"/>
      <c r="BQU52" s="88"/>
      <c r="BQV52" s="88"/>
      <c r="BQW52" s="88"/>
      <c r="BQX52" s="88"/>
      <c r="BQY52" s="88"/>
      <c r="BQZ52" s="88"/>
      <c r="BRA52" s="88"/>
      <c r="BRB52" s="88"/>
      <c r="BRC52" s="88"/>
      <c r="BRD52" s="88"/>
      <c r="BRE52" s="88"/>
      <c r="BRF52" s="88"/>
      <c r="BRG52" s="88"/>
      <c r="BRH52" s="88"/>
      <c r="BRI52" s="88"/>
      <c r="BRJ52" s="88"/>
      <c r="BRK52" s="88"/>
      <c r="BRL52" s="88"/>
      <c r="BRM52" s="88"/>
      <c r="BRN52" s="88"/>
      <c r="BRO52" s="88"/>
      <c r="BRP52" s="88"/>
      <c r="BRQ52" s="88"/>
      <c r="BRR52" s="88"/>
      <c r="BRS52" s="88"/>
      <c r="BRT52" s="88"/>
      <c r="BRU52" s="88"/>
      <c r="BRV52" s="88"/>
      <c r="BRW52" s="88"/>
      <c r="BRX52" s="88"/>
      <c r="BRY52" s="88"/>
      <c r="BRZ52" s="88"/>
      <c r="BSA52" s="88"/>
      <c r="BSB52" s="88"/>
      <c r="BSC52" s="88"/>
      <c r="BSD52" s="88"/>
      <c r="BSE52" s="88"/>
      <c r="BSF52" s="88"/>
      <c r="BSG52" s="88"/>
      <c r="BSH52" s="88"/>
      <c r="BSI52" s="88"/>
      <c r="BSJ52" s="88"/>
      <c r="BSK52" s="88"/>
      <c r="BSL52" s="88"/>
      <c r="BSM52" s="88"/>
      <c r="BSN52" s="88"/>
      <c r="BSO52" s="88"/>
      <c r="BSP52" s="88"/>
      <c r="BSQ52" s="88"/>
      <c r="BSR52" s="88"/>
      <c r="BSS52" s="88"/>
      <c r="BST52" s="88"/>
      <c r="BSU52" s="88"/>
      <c r="BSV52" s="88"/>
      <c r="BSW52" s="88"/>
      <c r="BSX52" s="88"/>
      <c r="BSY52" s="88"/>
      <c r="BSZ52" s="88"/>
      <c r="BTA52" s="88"/>
      <c r="BTB52" s="88"/>
      <c r="BTC52" s="88"/>
      <c r="BTD52" s="88"/>
      <c r="BTE52" s="88"/>
      <c r="BTF52" s="88"/>
      <c r="BTG52" s="88"/>
      <c r="BTH52" s="88"/>
      <c r="BTI52" s="88"/>
      <c r="BTJ52" s="88"/>
      <c r="BTK52" s="88"/>
      <c r="BTL52" s="88"/>
      <c r="BTM52" s="88"/>
      <c r="BTN52" s="88"/>
      <c r="BTO52" s="88"/>
      <c r="BTP52" s="88"/>
      <c r="BTQ52" s="88"/>
      <c r="BTR52" s="88"/>
      <c r="BTS52" s="88"/>
      <c r="BTT52" s="88"/>
      <c r="BTU52" s="88"/>
      <c r="BTV52" s="88"/>
      <c r="BTW52" s="88"/>
      <c r="BTX52" s="88"/>
      <c r="BTY52" s="88"/>
      <c r="BTZ52" s="88"/>
      <c r="BUA52" s="88"/>
      <c r="BUB52" s="88"/>
      <c r="BUC52" s="88"/>
      <c r="BUD52" s="88"/>
      <c r="BUE52" s="88"/>
      <c r="BUF52" s="88"/>
      <c r="BUG52" s="88"/>
      <c r="BUH52" s="88"/>
      <c r="BUI52" s="88"/>
      <c r="BUJ52" s="88"/>
      <c r="BUK52" s="88"/>
      <c r="BUL52" s="88"/>
      <c r="BUM52" s="88"/>
      <c r="BUN52" s="88"/>
      <c r="BUO52" s="88"/>
      <c r="BUP52" s="88"/>
      <c r="BUQ52" s="88"/>
      <c r="BUR52" s="88"/>
      <c r="BUS52" s="88"/>
      <c r="BUT52" s="88"/>
      <c r="BUU52" s="88"/>
      <c r="BUV52" s="88"/>
      <c r="BUW52" s="88"/>
      <c r="BUX52" s="88"/>
      <c r="BUY52" s="88"/>
      <c r="BUZ52" s="88"/>
      <c r="BVA52" s="88"/>
      <c r="BVB52" s="88"/>
      <c r="BVC52" s="88"/>
      <c r="BVD52" s="88"/>
      <c r="BVE52" s="88"/>
      <c r="BVF52" s="88"/>
      <c r="BVG52" s="88"/>
      <c r="BVH52" s="88"/>
      <c r="BVI52" s="88"/>
      <c r="BVJ52" s="88"/>
      <c r="BVK52" s="88"/>
      <c r="BVL52" s="88"/>
      <c r="BVM52" s="88"/>
      <c r="BVN52" s="88"/>
      <c r="BVO52" s="88"/>
      <c r="BVP52" s="88"/>
      <c r="BVQ52" s="88"/>
      <c r="BVR52" s="88"/>
      <c r="BVS52" s="88"/>
      <c r="BVT52" s="88"/>
      <c r="BVU52" s="88"/>
      <c r="BVV52" s="88"/>
      <c r="BVW52" s="88"/>
      <c r="BVX52" s="88"/>
      <c r="BVY52" s="88"/>
      <c r="BVZ52" s="88"/>
      <c r="BWA52" s="88"/>
      <c r="BWB52" s="88"/>
      <c r="BWC52" s="88"/>
      <c r="BWD52" s="88"/>
      <c r="BWE52" s="88"/>
      <c r="BWF52" s="88"/>
      <c r="BWG52" s="88"/>
      <c r="BWH52" s="88"/>
      <c r="BWI52" s="88"/>
      <c r="BWJ52" s="88"/>
      <c r="BWK52" s="88"/>
      <c r="BWL52" s="88"/>
      <c r="BWM52" s="88"/>
      <c r="BWN52" s="88"/>
      <c r="BWO52" s="88"/>
      <c r="BWP52" s="88"/>
      <c r="BWQ52" s="88"/>
      <c r="BWR52" s="88"/>
      <c r="BWS52" s="88"/>
      <c r="BWT52" s="88"/>
      <c r="BWU52" s="88"/>
      <c r="BWV52" s="88"/>
      <c r="BWW52" s="88"/>
      <c r="BWX52" s="88"/>
      <c r="BWY52" s="88"/>
      <c r="BWZ52" s="88"/>
      <c r="BXA52" s="88"/>
      <c r="BXB52" s="88"/>
      <c r="BXC52" s="88"/>
      <c r="BXD52" s="88"/>
      <c r="BXE52" s="88"/>
      <c r="BXF52" s="88"/>
      <c r="BXG52" s="88"/>
      <c r="BXH52" s="88"/>
      <c r="BXI52" s="88"/>
      <c r="BXJ52" s="88"/>
      <c r="BXK52" s="88"/>
      <c r="BXL52" s="88"/>
      <c r="BXM52" s="88"/>
      <c r="BXN52" s="88"/>
      <c r="BXO52" s="88"/>
      <c r="BXP52" s="88"/>
      <c r="BXQ52" s="88"/>
      <c r="BXR52" s="88"/>
      <c r="BXS52" s="88"/>
      <c r="BXT52" s="88"/>
      <c r="BXU52" s="88"/>
      <c r="BXV52" s="88"/>
      <c r="BXW52" s="88"/>
      <c r="BXX52" s="88"/>
      <c r="BXY52" s="88"/>
      <c r="BXZ52" s="88"/>
      <c r="BYA52" s="88"/>
      <c r="BYB52" s="88"/>
      <c r="BYC52" s="88"/>
      <c r="BYD52" s="88"/>
      <c r="BYE52" s="88"/>
      <c r="BYF52" s="88"/>
      <c r="BYG52" s="88"/>
      <c r="BYH52" s="88"/>
      <c r="BYI52" s="88"/>
      <c r="BYJ52" s="88"/>
      <c r="BYK52" s="88"/>
      <c r="BYL52" s="88"/>
      <c r="BYM52" s="88"/>
      <c r="BYN52" s="88"/>
      <c r="BYO52" s="88"/>
      <c r="BYP52" s="88"/>
      <c r="BYQ52" s="88"/>
      <c r="BYR52" s="88"/>
      <c r="BYS52" s="88"/>
      <c r="BYT52" s="88"/>
      <c r="BYU52" s="88"/>
      <c r="BYV52" s="88"/>
      <c r="BYW52" s="88"/>
      <c r="BYX52" s="88"/>
      <c r="BYY52" s="88"/>
      <c r="BYZ52" s="88"/>
      <c r="BZA52" s="88"/>
      <c r="BZB52" s="88"/>
      <c r="BZC52" s="88"/>
      <c r="BZD52" s="88"/>
      <c r="BZE52" s="88"/>
      <c r="BZF52" s="88"/>
      <c r="BZG52" s="88"/>
      <c r="BZH52" s="88"/>
      <c r="BZI52" s="88"/>
      <c r="BZJ52" s="88"/>
      <c r="BZK52" s="88"/>
      <c r="BZL52" s="88"/>
      <c r="BZM52" s="88"/>
      <c r="BZN52" s="88"/>
      <c r="BZO52" s="88"/>
      <c r="BZP52" s="88"/>
      <c r="BZQ52" s="88"/>
      <c r="BZR52" s="88"/>
      <c r="BZS52" s="88"/>
      <c r="BZT52" s="88"/>
      <c r="BZU52" s="88"/>
      <c r="BZV52" s="88"/>
      <c r="BZW52" s="88"/>
      <c r="BZX52" s="88"/>
      <c r="BZY52" s="88"/>
      <c r="BZZ52" s="88"/>
      <c r="CAA52" s="88"/>
      <c r="CAB52" s="88"/>
      <c r="CAC52" s="88"/>
      <c r="CAD52" s="88"/>
      <c r="CAE52" s="88"/>
      <c r="CAF52" s="88"/>
      <c r="CAG52" s="88"/>
      <c r="CAH52" s="88"/>
      <c r="CAI52" s="88"/>
      <c r="CAJ52" s="88"/>
      <c r="CAK52" s="88"/>
      <c r="CAL52" s="88"/>
      <c r="CAM52" s="88"/>
      <c r="CAN52" s="88"/>
      <c r="CAO52" s="88"/>
      <c r="CAP52" s="88"/>
      <c r="CAQ52" s="88"/>
      <c r="CAR52" s="88"/>
      <c r="CAS52" s="88"/>
      <c r="CAT52" s="88"/>
      <c r="CAU52" s="88"/>
      <c r="CAV52" s="88"/>
      <c r="CAW52" s="88"/>
      <c r="CAX52" s="88"/>
      <c r="CAY52" s="88"/>
      <c r="CAZ52" s="88"/>
      <c r="CBA52" s="88"/>
      <c r="CBB52" s="88"/>
      <c r="CBC52" s="88"/>
      <c r="CBD52" s="88"/>
      <c r="CBE52" s="88"/>
      <c r="CBF52" s="88"/>
      <c r="CBG52" s="88"/>
      <c r="CBH52" s="88"/>
      <c r="CBI52" s="88"/>
      <c r="CBJ52" s="88"/>
      <c r="CBK52" s="88"/>
      <c r="CBL52" s="88"/>
      <c r="CBM52" s="88"/>
      <c r="CBN52" s="88"/>
      <c r="CBO52" s="88"/>
      <c r="CBP52" s="88"/>
      <c r="CBQ52" s="88"/>
      <c r="CBR52" s="88"/>
      <c r="CBS52" s="88"/>
      <c r="CBT52" s="88"/>
      <c r="CBU52" s="88"/>
      <c r="CBV52" s="88"/>
      <c r="CBW52" s="88"/>
      <c r="CBX52" s="88"/>
      <c r="CBY52" s="88"/>
      <c r="CBZ52" s="88"/>
      <c r="CCA52" s="88"/>
      <c r="CCB52" s="88"/>
      <c r="CCC52" s="88"/>
      <c r="CCD52" s="88"/>
      <c r="CCE52" s="88"/>
      <c r="CCF52" s="88"/>
      <c r="CCG52" s="88"/>
      <c r="CCH52" s="88"/>
      <c r="CCI52" s="88"/>
      <c r="CCJ52" s="88"/>
      <c r="CCK52" s="88"/>
      <c r="CCL52" s="88"/>
      <c r="CCM52" s="88"/>
      <c r="CCN52" s="88"/>
      <c r="CCO52" s="88"/>
      <c r="CCP52" s="88"/>
      <c r="CCQ52" s="88"/>
      <c r="CCR52" s="88"/>
      <c r="CCS52" s="88"/>
      <c r="CCT52" s="88"/>
      <c r="CCU52" s="88"/>
      <c r="CCV52" s="88"/>
      <c r="CCW52" s="88"/>
      <c r="CCX52" s="88"/>
      <c r="CCY52" s="88"/>
      <c r="CCZ52" s="88"/>
      <c r="CDA52" s="88"/>
      <c r="CDB52" s="88"/>
      <c r="CDC52" s="88"/>
      <c r="CDD52" s="88"/>
      <c r="CDE52" s="88"/>
      <c r="CDF52" s="88"/>
      <c r="CDG52" s="88"/>
      <c r="CDH52" s="88"/>
      <c r="CDI52" s="88"/>
      <c r="CDJ52" s="88"/>
      <c r="CDK52" s="88"/>
      <c r="CDL52" s="88"/>
      <c r="CDM52" s="88"/>
      <c r="CDN52" s="88"/>
      <c r="CDO52" s="88"/>
      <c r="CDP52" s="88"/>
      <c r="CDQ52" s="88"/>
      <c r="CDR52" s="88"/>
      <c r="CDS52" s="88"/>
      <c r="CDT52" s="88"/>
      <c r="CDU52" s="88"/>
      <c r="CDV52" s="88"/>
      <c r="CDW52" s="88"/>
      <c r="CDX52" s="88"/>
      <c r="CDY52" s="88"/>
      <c r="CDZ52" s="88"/>
      <c r="CEA52" s="88"/>
      <c r="CEB52" s="88"/>
      <c r="CEC52" s="88"/>
      <c r="CED52" s="88"/>
      <c r="CEE52" s="88"/>
      <c r="CEF52" s="88"/>
      <c r="CEG52" s="88"/>
      <c r="CEH52" s="88"/>
      <c r="CEI52" s="88"/>
      <c r="CEJ52" s="88"/>
      <c r="CEK52" s="88"/>
    </row>
    <row r="53" spans="1:2169" s="63" customFormat="1">
      <c r="A53" s="677" t="s">
        <v>7472</v>
      </c>
      <c r="B53" s="736" t="s">
        <v>14743</v>
      </c>
      <c r="C53" s="68" t="str">
        <f>IF('page 2'!$O$4="","",IF('page 2'!$O$4=Gestion!A53,1,0))</f>
        <v/>
      </c>
      <c r="D53" s="68" t="str">
        <f>IF('page 2'!$O$5="","",IF('page 2'!$O$5=Gestion!A53,1,0))</f>
        <v/>
      </c>
      <c r="E53" s="68" t="str">
        <f>IF('page 2'!$O$6="","",IF('page 2'!$O$6=Gestion!A53,1,0))</f>
        <v/>
      </c>
      <c r="F53" s="68" t="str">
        <f>IF('page 2'!$O$7="","",IF('page 2'!$O$7=Gestion!A53,1,0))</f>
        <v/>
      </c>
      <c r="G53" s="68" t="str">
        <f>IF('page 2'!$O$8="","",IF('page 2'!$O$8=Gestion!A53,1,0))</f>
        <v/>
      </c>
      <c r="H53" s="68" t="str">
        <f>IF('page 2'!$O$9="","",IF('page 2'!$O$9=Gestion!A53,1,0))</f>
        <v/>
      </c>
      <c r="I53" s="68" t="str">
        <f>IF('page 2'!$O$10="","",IF('page 2'!$O$10=Gestion!A53,1,0))</f>
        <v/>
      </c>
      <c r="J53" s="68" t="str">
        <f>IF('page 2'!$O$11="","",IF('page 2'!$O$11=Gestion!A53,1,0))</f>
        <v/>
      </c>
      <c r="K53" s="68" t="str">
        <f>IF('page 2'!$O$12="","",IF('page 2'!$O$12=Gestion!A53,1,0))</f>
        <v/>
      </c>
      <c r="L53" s="68" t="str">
        <f>IF('page 2'!$O$13="","",IF('page 2'!$O$13=Gestion!A53,1,0))</f>
        <v/>
      </c>
      <c r="M53" s="68" t="str">
        <f>IF('page 2'!$O$14="","",IF('page 2'!$O$14=Gestion!A53,1,0))</f>
        <v/>
      </c>
      <c r="N53" s="68" t="str">
        <f>IF('page 2'!$O$15="","",IF('page 2'!$O$15=Gestion!A53,1,0))</f>
        <v/>
      </c>
      <c r="O53" s="68" t="str">
        <f>IF('page 2'!$O$16="","",IF('page 2'!$O$16=Gestion!A53,1,0))</f>
        <v/>
      </c>
      <c r="P53" s="68" t="str">
        <f>IF('page 2'!$O$17="","",IF('page 2'!$O$17=Gestion!A53,1,0))</f>
        <v/>
      </c>
      <c r="Q53" s="68" t="str">
        <f>IF('page 2'!$O$18="","",IF('page 2'!$O$18=Gestion!A53,1,0))</f>
        <v/>
      </c>
      <c r="R53" s="68" t="str">
        <f>IF('page 2'!$O$19="","",IF('page 2'!$O$19=Gestion!A53,1,0))</f>
        <v/>
      </c>
      <c r="S53" s="68" t="str">
        <f>IF('page 2'!$O$20="","",IF('page 2'!$O$20=Gestion!A53,1,0))</f>
        <v/>
      </c>
      <c r="T53" s="68" t="str">
        <f>IF('page 2'!$O$25="","",IF('page 2'!$O$25=Gestion!A53,1,0))</f>
        <v/>
      </c>
      <c r="U53" s="68" t="str">
        <f>IF('page 2'!$O$26="","",IF('page 2'!$O$26=Gestion!A53,1,0))</f>
        <v/>
      </c>
      <c r="V53" s="68" t="str">
        <f>IF('page 2'!$O$27="","",IF('page 2'!$O$27=Gestion!A53,1,0))</f>
        <v/>
      </c>
      <c r="W53" s="722">
        <f t="shared" ref="W53" si="9">SUM(C53:V53)</f>
        <v>0</v>
      </c>
      <c r="X53" s="714"/>
      <c r="Y53" s="68"/>
      <c r="Z53" s="68"/>
      <c r="AA53" s="68"/>
      <c r="AB53" s="68"/>
      <c r="AC53" s="68"/>
      <c r="AD53" s="68"/>
      <c r="AP53" s="469"/>
      <c r="AQ53" s="469"/>
      <c r="AR53" s="469"/>
      <c r="AS53" s="602"/>
      <c r="AT53" s="602"/>
      <c r="AU53" s="602"/>
      <c r="AV53" s="602"/>
      <c r="AW53" s="602"/>
      <c r="AX53" s="602"/>
      <c r="AY53" s="602"/>
      <c r="AZ53" s="602"/>
      <c r="BA53" s="602"/>
      <c r="BB53" s="602"/>
      <c r="BC53" s="602"/>
      <c r="BD53" s="602"/>
      <c r="BE53" s="602"/>
      <c r="BF53" s="602"/>
      <c r="BG53" s="602"/>
      <c r="BH53" s="602"/>
      <c r="BI53" s="602"/>
      <c r="BJ53" s="602"/>
      <c r="BK53" s="602"/>
      <c r="BL53" s="602"/>
      <c r="BM53" s="602"/>
      <c r="BN53" s="602"/>
      <c r="BO53" s="602"/>
      <c r="BP53" s="602"/>
      <c r="BQ53" s="602"/>
      <c r="BR53" s="602"/>
      <c r="BS53" s="602"/>
      <c r="BT53" s="602"/>
      <c r="BU53" s="602"/>
      <c r="BV53" s="602"/>
      <c r="BW53" s="602"/>
      <c r="BX53" s="602"/>
      <c r="BY53" s="602"/>
      <c r="BZ53" s="602"/>
      <c r="CA53" s="602"/>
      <c r="CB53" s="602"/>
      <c r="CC53" s="576"/>
      <c r="CD53" s="602"/>
      <c r="CE53" s="602"/>
      <c r="CF53" s="576"/>
      <c r="CG53" s="576"/>
      <c r="CH53" s="576"/>
      <c r="CI53" s="576"/>
      <c r="CJ53" s="576"/>
      <c r="CK53" s="602"/>
      <c r="CL53" s="602"/>
      <c r="CM53" s="576"/>
      <c r="CN53" s="602"/>
      <c r="CO53" s="602"/>
      <c r="CP53" s="602"/>
      <c r="CQ53" s="576"/>
      <c r="CR53" s="576"/>
      <c r="CS53" s="602"/>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c r="IW53" s="88"/>
      <c r="IX53" s="88"/>
      <c r="IY53" s="88"/>
      <c r="IZ53" s="88"/>
      <c r="JA53" s="88"/>
      <c r="JB53" s="88"/>
      <c r="JC53" s="88"/>
      <c r="JD53" s="88"/>
      <c r="JE53" s="88"/>
      <c r="JF53" s="88"/>
      <c r="JG53" s="88"/>
      <c r="JH53" s="88"/>
      <c r="JI53" s="88"/>
      <c r="JJ53" s="88"/>
      <c r="JK53" s="88"/>
      <c r="JL53" s="88"/>
      <c r="JM53" s="88"/>
      <c r="JN53" s="88"/>
      <c r="JO53" s="88"/>
      <c r="JP53" s="88"/>
      <c r="JQ53" s="88"/>
      <c r="JR53" s="88"/>
      <c r="JS53" s="88"/>
      <c r="JT53" s="88"/>
      <c r="JU53" s="88"/>
      <c r="JV53" s="88"/>
      <c r="JW53" s="88"/>
      <c r="JX53" s="88"/>
      <c r="JY53" s="88"/>
      <c r="JZ53" s="88"/>
      <c r="KA53" s="88"/>
      <c r="KB53" s="88"/>
      <c r="KC53" s="88"/>
      <c r="KD53" s="88"/>
      <c r="KE53" s="88"/>
      <c r="KF53" s="88"/>
      <c r="KG53" s="88"/>
      <c r="KH53" s="88"/>
      <c r="KI53" s="88"/>
      <c r="KJ53" s="88"/>
      <c r="KK53" s="88"/>
      <c r="KL53" s="88"/>
      <c r="KM53" s="88"/>
      <c r="KN53" s="88"/>
      <c r="KO53" s="88"/>
      <c r="KP53" s="88"/>
      <c r="KQ53" s="88"/>
      <c r="KR53" s="88"/>
      <c r="KS53" s="88"/>
      <c r="KT53" s="88"/>
      <c r="KU53" s="88"/>
      <c r="KV53" s="88"/>
      <c r="KW53" s="88"/>
      <c r="KX53" s="88"/>
      <c r="KY53" s="88"/>
      <c r="KZ53" s="88"/>
      <c r="LA53" s="88"/>
      <c r="LB53" s="88"/>
      <c r="LC53" s="88"/>
      <c r="LD53" s="88"/>
      <c r="LE53" s="88"/>
      <c r="LF53" s="88"/>
      <c r="LG53" s="88"/>
      <c r="LH53" s="88"/>
      <c r="LI53" s="88"/>
      <c r="LJ53" s="88"/>
      <c r="LK53" s="88"/>
      <c r="LL53" s="88"/>
      <c r="LM53" s="88"/>
      <c r="LN53" s="88"/>
      <c r="LO53" s="88"/>
      <c r="LP53" s="88"/>
      <c r="LQ53" s="88"/>
      <c r="LR53" s="88"/>
      <c r="LS53" s="88"/>
      <c r="LT53" s="88"/>
      <c r="LU53" s="88"/>
      <c r="LV53" s="88"/>
      <c r="LW53" s="88"/>
      <c r="LX53" s="88"/>
      <c r="LY53" s="88"/>
      <c r="LZ53" s="88"/>
      <c r="MA53" s="88"/>
      <c r="MB53" s="88"/>
      <c r="MC53" s="88"/>
      <c r="MD53" s="88"/>
      <c r="ME53" s="88"/>
      <c r="MF53" s="88"/>
      <c r="MG53" s="88"/>
      <c r="MH53" s="88"/>
      <c r="MI53" s="88"/>
      <c r="MJ53" s="88"/>
      <c r="MK53" s="88"/>
      <c r="ML53" s="88"/>
      <c r="MM53" s="88"/>
      <c r="MN53" s="88"/>
      <c r="MO53" s="88"/>
      <c r="MP53" s="88"/>
      <c r="MQ53" s="88"/>
      <c r="MR53" s="88"/>
      <c r="MS53" s="88"/>
      <c r="MT53" s="88"/>
      <c r="MU53" s="88"/>
      <c r="MV53" s="88"/>
      <c r="MW53" s="88"/>
      <c r="MX53" s="88"/>
      <c r="MY53" s="88"/>
      <c r="MZ53" s="88"/>
      <c r="NA53" s="88"/>
      <c r="NB53" s="88"/>
      <c r="NC53" s="88"/>
      <c r="ND53" s="88"/>
      <c r="NE53" s="88"/>
      <c r="NF53" s="88"/>
      <c r="NG53" s="88"/>
      <c r="NH53" s="88"/>
      <c r="NI53" s="88"/>
      <c r="NJ53" s="88"/>
      <c r="NK53" s="88"/>
      <c r="NL53" s="88"/>
      <c r="NM53" s="88"/>
      <c r="NN53" s="88"/>
      <c r="NO53" s="88"/>
      <c r="NP53" s="88"/>
      <c r="NQ53" s="88"/>
      <c r="NR53" s="88"/>
      <c r="NS53" s="88"/>
      <c r="NT53" s="88"/>
      <c r="NU53" s="88"/>
      <c r="NV53" s="88"/>
      <c r="NW53" s="88"/>
      <c r="NX53" s="88"/>
      <c r="NY53" s="88"/>
      <c r="NZ53" s="88"/>
      <c r="OA53" s="88"/>
      <c r="OB53" s="88"/>
      <c r="OC53" s="88"/>
      <c r="OD53" s="88"/>
      <c r="OE53" s="88"/>
      <c r="OF53" s="88"/>
      <c r="OG53" s="88"/>
      <c r="OH53" s="88"/>
      <c r="OI53" s="88"/>
      <c r="OJ53" s="88"/>
      <c r="OK53" s="88"/>
      <c r="OL53" s="88"/>
      <c r="OM53" s="88"/>
      <c r="ON53" s="88"/>
      <c r="OO53" s="88"/>
      <c r="OP53" s="88"/>
      <c r="OQ53" s="88"/>
      <c r="OR53" s="88"/>
      <c r="OS53" s="88"/>
      <c r="OT53" s="88"/>
      <c r="OU53" s="88"/>
      <c r="OV53" s="88"/>
      <c r="OW53" s="88"/>
      <c r="OX53" s="88"/>
      <c r="OY53" s="88"/>
      <c r="OZ53" s="88"/>
      <c r="PA53" s="88"/>
      <c r="PB53" s="88"/>
      <c r="PC53" s="88"/>
      <c r="PD53" s="88"/>
      <c r="PE53" s="88"/>
      <c r="PF53" s="88"/>
      <c r="PG53" s="88"/>
      <c r="PH53" s="88"/>
      <c r="PI53" s="88"/>
      <c r="PJ53" s="88"/>
      <c r="PK53" s="88"/>
      <c r="PL53" s="88"/>
      <c r="PM53" s="88"/>
      <c r="PN53" s="88"/>
      <c r="PO53" s="88"/>
      <c r="PP53" s="88"/>
      <c r="PQ53" s="88"/>
      <c r="PR53" s="88"/>
      <c r="PS53" s="88"/>
      <c r="PT53" s="88"/>
      <c r="PU53" s="88"/>
      <c r="PV53" s="88"/>
      <c r="PW53" s="88"/>
      <c r="PX53" s="88"/>
      <c r="PY53" s="88"/>
      <c r="PZ53" s="88"/>
      <c r="QA53" s="88"/>
      <c r="QB53" s="88"/>
      <c r="QC53" s="88"/>
      <c r="QD53" s="88"/>
      <c r="QE53" s="88"/>
      <c r="QF53" s="88"/>
      <c r="QG53" s="88"/>
      <c r="QH53" s="88"/>
      <c r="QI53" s="88"/>
      <c r="QJ53" s="88"/>
      <c r="QK53" s="88"/>
      <c r="QL53" s="88"/>
      <c r="QM53" s="88"/>
      <c r="QN53" s="88"/>
      <c r="QO53" s="88"/>
      <c r="QP53" s="88"/>
      <c r="QQ53" s="88"/>
      <c r="QR53" s="88"/>
      <c r="QS53" s="88"/>
      <c r="QT53" s="88"/>
      <c r="QU53" s="88"/>
      <c r="QV53" s="88"/>
      <c r="QW53" s="88"/>
      <c r="QX53" s="88"/>
      <c r="QY53" s="88"/>
      <c r="QZ53" s="88"/>
      <c r="RA53" s="88"/>
      <c r="RB53" s="88"/>
      <c r="RC53" s="88"/>
      <c r="RD53" s="88"/>
      <c r="RE53" s="88"/>
      <c r="RF53" s="88"/>
      <c r="RG53" s="88"/>
      <c r="RH53" s="88"/>
      <c r="RI53" s="88"/>
      <c r="RJ53" s="88"/>
      <c r="RK53" s="88"/>
      <c r="RL53" s="88"/>
      <c r="RM53" s="88"/>
      <c r="RN53" s="88"/>
      <c r="RO53" s="88"/>
      <c r="RP53" s="88"/>
      <c r="RQ53" s="88"/>
      <c r="RR53" s="88"/>
      <c r="RS53" s="88"/>
      <c r="RT53" s="88"/>
      <c r="RU53" s="88"/>
      <c r="RV53" s="88"/>
      <c r="RW53" s="88"/>
      <c r="RX53" s="88"/>
      <c r="RY53" s="88"/>
      <c r="RZ53" s="88"/>
      <c r="SA53" s="88"/>
      <c r="SB53" s="88"/>
      <c r="SC53" s="88"/>
      <c r="SD53" s="88"/>
      <c r="SE53" s="88"/>
      <c r="SF53" s="88"/>
      <c r="SG53" s="88"/>
      <c r="SH53" s="88"/>
      <c r="SI53" s="88"/>
      <c r="SJ53" s="88"/>
      <c r="SK53" s="88"/>
      <c r="SL53" s="88"/>
      <c r="SM53" s="88"/>
      <c r="SN53" s="88"/>
      <c r="SO53" s="88"/>
      <c r="SP53" s="88"/>
      <c r="SQ53" s="88"/>
      <c r="SR53" s="88"/>
      <c r="SS53" s="88"/>
      <c r="ST53" s="88"/>
      <c r="SU53" s="88"/>
      <c r="SV53" s="88"/>
      <c r="SW53" s="88"/>
      <c r="SX53" s="88"/>
      <c r="SY53" s="88"/>
      <c r="SZ53" s="88"/>
      <c r="TA53" s="88"/>
      <c r="TB53" s="88"/>
      <c r="TC53" s="88"/>
      <c r="TD53" s="88"/>
      <c r="TE53" s="88"/>
      <c r="TF53" s="88"/>
      <c r="TG53" s="88"/>
      <c r="TH53" s="88"/>
      <c r="TI53" s="88"/>
      <c r="TJ53" s="88"/>
      <c r="TK53" s="88"/>
      <c r="TL53" s="88"/>
      <c r="TM53" s="88"/>
      <c r="TN53" s="88"/>
      <c r="TO53" s="88"/>
      <c r="TP53" s="88"/>
      <c r="TQ53" s="88"/>
      <c r="TR53" s="88"/>
      <c r="TS53" s="88"/>
      <c r="TT53" s="88"/>
      <c r="TU53" s="88"/>
      <c r="TV53" s="88"/>
      <c r="TW53" s="88"/>
      <c r="TX53" s="88"/>
      <c r="TY53" s="88"/>
      <c r="TZ53" s="88"/>
      <c r="UA53" s="88"/>
      <c r="UB53" s="88"/>
      <c r="UC53" s="88"/>
      <c r="UD53" s="88"/>
      <c r="UE53" s="88"/>
      <c r="UF53" s="88"/>
      <c r="UG53" s="88"/>
      <c r="UH53" s="88"/>
      <c r="UI53" s="88"/>
      <c r="UJ53" s="88"/>
      <c r="UK53" s="88"/>
      <c r="UL53" s="88"/>
      <c r="UM53" s="88"/>
      <c r="UN53" s="88"/>
      <c r="UO53" s="88"/>
      <c r="UP53" s="88"/>
      <c r="UQ53" s="88"/>
      <c r="UR53" s="88"/>
      <c r="US53" s="88"/>
      <c r="UT53" s="88"/>
      <c r="UU53" s="88"/>
      <c r="UV53" s="88"/>
      <c r="UW53" s="88"/>
      <c r="UX53" s="88"/>
      <c r="UY53" s="88"/>
      <c r="UZ53" s="88"/>
      <c r="VA53" s="88"/>
      <c r="VB53" s="88"/>
      <c r="VC53" s="88"/>
      <c r="VD53" s="88"/>
      <c r="VE53" s="88"/>
      <c r="VF53" s="88"/>
      <c r="VG53" s="88"/>
      <c r="VH53" s="88"/>
      <c r="VI53" s="88"/>
      <c r="VJ53" s="88"/>
      <c r="VK53" s="88"/>
      <c r="VL53" s="88"/>
      <c r="VM53" s="88"/>
      <c r="VN53" s="88"/>
      <c r="VO53" s="88"/>
      <c r="VP53" s="88"/>
      <c r="VQ53" s="88"/>
      <c r="VR53" s="88"/>
      <c r="VS53" s="88"/>
      <c r="VT53" s="88"/>
      <c r="VU53" s="88"/>
      <c r="VV53" s="88"/>
      <c r="VW53" s="88"/>
      <c r="VX53" s="88"/>
      <c r="VY53" s="88"/>
      <c r="VZ53" s="88"/>
      <c r="WA53" s="88"/>
      <c r="WB53" s="88"/>
      <c r="WC53" s="88"/>
      <c r="WD53" s="88"/>
      <c r="WE53" s="88"/>
      <c r="WF53" s="88"/>
      <c r="WG53" s="88"/>
      <c r="WH53" s="88"/>
      <c r="WI53" s="88"/>
      <c r="WJ53" s="88"/>
      <c r="WK53" s="88"/>
      <c r="WL53" s="88"/>
      <c r="WM53" s="88"/>
      <c r="WN53" s="88"/>
      <c r="WO53" s="88"/>
      <c r="WP53" s="88"/>
      <c r="WQ53" s="88"/>
      <c r="WR53" s="88"/>
      <c r="WS53" s="88"/>
      <c r="WT53" s="88"/>
      <c r="WU53" s="88"/>
      <c r="WV53" s="88"/>
      <c r="WW53" s="88"/>
      <c r="WX53" s="88"/>
      <c r="WY53" s="88"/>
      <c r="WZ53" s="88"/>
      <c r="XA53" s="88"/>
      <c r="XB53" s="88"/>
      <c r="XC53" s="88"/>
      <c r="XD53" s="88"/>
      <c r="XE53" s="88"/>
      <c r="XF53" s="88"/>
      <c r="XG53" s="88"/>
      <c r="XH53" s="88"/>
      <c r="XI53" s="88"/>
      <c r="XJ53" s="88"/>
      <c r="XK53" s="88"/>
      <c r="XL53" s="88"/>
      <c r="XM53" s="88"/>
      <c r="XN53" s="88"/>
      <c r="XO53" s="88"/>
      <c r="XP53" s="88"/>
      <c r="XQ53" s="88"/>
      <c r="XR53" s="88"/>
      <c r="XS53" s="88"/>
      <c r="XT53" s="88"/>
      <c r="XU53" s="88"/>
      <c r="XV53" s="88"/>
      <c r="XW53" s="88"/>
      <c r="XX53" s="88"/>
      <c r="XY53" s="88"/>
      <c r="XZ53" s="88"/>
      <c r="YA53" s="88"/>
      <c r="YB53" s="88"/>
      <c r="YC53" s="88"/>
      <c r="YD53" s="88"/>
      <c r="YE53" s="88"/>
      <c r="YF53" s="88"/>
      <c r="YG53" s="88"/>
      <c r="YH53" s="88"/>
      <c r="YI53" s="88"/>
      <c r="YJ53" s="88"/>
      <c r="YK53" s="88"/>
      <c r="YL53" s="88"/>
      <c r="YM53" s="88"/>
      <c r="YN53" s="88"/>
      <c r="YO53" s="88"/>
      <c r="YP53" s="88"/>
      <c r="YQ53" s="88"/>
      <c r="YR53" s="88"/>
      <c r="YS53" s="88"/>
      <c r="YT53" s="88"/>
      <c r="YU53" s="88"/>
      <c r="YV53" s="88"/>
      <c r="YW53" s="88"/>
      <c r="YX53" s="88"/>
      <c r="YY53" s="88"/>
      <c r="YZ53" s="88"/>
      <c r="ZA53" s="88"/>
      <c r="ZB53" s="88"/>
      <c r="ZC53" s="88"/>
      <c r="ZD53" s="88"/>
      <c r="ZE53" s="88"/>
      <c r="ZF53" s="88"/>
      <c r="ZG53" s="88"/>
      <c r="ZH53" s="88"/>
      <c r="ZI53" s="88"/>
      <c r="ZJ53" s="88"/>
      <c r="ZK53" s="88"/>
      <c r="ZL53" s="88"/>
      <c r="ZM53" s="88"/>
      <c r="ZN53" s="88"/>
      <c r="ZO53" s="88"/>
      <c r="ZP53" s="88"/>
      <c r="ZQ53" s="88"/>
      <c r="ZR53" s="88"/>
      <c r="ZS53" s="88"/>
      <c r="ZT53" s="88"/>
      <c r="ZU53" s="88"/>
      <c r="ZV53" s="88"/>
      <c r="ZW53" s="88"/>
      <c r="ZX53" s="88"/>
      <c r="ZY53" s="88"/>
      <c r="ZZ53" s="88"/>
      <c r="AAA53" s="88"/>
      <c r="AAB53" s="88"/>
      <c r="AAC53" s="88"/>
      <c r="AAD53" s="88"/>
      <c r="AAE53" s="88"/>
      <c r="AAF53" s="88"/>
      <c r="AAG53" s="88"/>
      <c r="AAH53" s="88"/>
      <c r="AAI53" s="88"/>
      <c r="AAJ53" s="88"/>
      <c r="AAK53" s="88"/>
      <c r="AAL53" s="88"/>
      <c r="AAM53" s="88"/>
      <c r="AAN53" s="88"/>
      <c r="AAO53" s="88"/>
      <c r="AAP53" s="88"/>
      <c r="AAQ53" s="88"/>
      <c r="AAR53" s="88"/>
      <c r="AAS53" s="88"/>
      <c r="AAT53" s="88"/>
      <c r="AAU53" s="88"/>
      <c r="AAV53" s="88"/>
      <c r="AAW53" s="88"/>
      <c r="AAX53" s="88"/>
      <c r="AAY53" s="88"/>
      <c r="AAZ53" s="88"/>
      <c r="ABA53" s="88"/>
      <c r="ABB53" s="88"/>
      <c r="ABC53" s="88"/>
      <c r="ABD53" s="88"/>
      <c r="ABE53" s="88"/>
      <c r="ABF53" s="88"/>
      <c r="ABG53" s="88"/>
      <c r="ABH53" s="88"/>
      <c r="ABI53" s="88"/>
      <c r="ABJ53" s="88"/>
      <c r="ABK53" s="88"/>
      <c r="ABL53" s="88"/>
      <c r="ABM53" s="88"/>
      <c r="ABN53" s="88"/>
      <c r="ABO53" s="88"/>
      <c r="ABP53" s="88"/>
      <c r="ABQ53" s="88"/>
      <c r="ABR53" s="88"/>
      <c r="ABS53" s="88"/>
      <c r="ABT53" s="88"/>
      <c r="ABU53" s="88"/>
      <c r="ABV53" s="88"/>
      <c r="ABW53" s="88"/>
      <c r="ABX53" s="88"/>
      <c r="ABY53" s="88"/>
      <c r="ABZ53" s="88"/>
      <c r="ACA53" s="88"/>
      <c r="ACB53" s="88"/>
      <c r="ACC53" s="88"/>
      <c r="ACD53" s="88"/>
      <c r="ACE53" s="88"/>
      <c r="ACF53" s="88"/>
      <c r="ACG53" s="88"/>
      <c r="ACH53" s="88"/>
      <c r="ACI53" s="88"/>
      <c r="ACJ53" s="88"/>
      <c r="ACK53" s="88"/>
      <c r="ACL53" s="88"/>
      <c r="ACM53" s="88"/>
      <c r="ACN53" s="88"/>
      <c r="ACO53" s="88"/>
      <c r="ACP53" s="88"/>
      <c r="ACQ53" s="88"/>
      <c r="ACR53" s="88"/>
      <c r="ACS53" s="88"/>
      <c r="ACT53" s="88"/>
      <c r="ACU53" s="88"/>
      <c r="ACV53" s="88"/>
      <c r="ACW53" s="88"/>
      <c r="ACX53" s="88"/>
      <c r="ACY53" s="88"/>
      <c r="ACZ53" s="88"/>
      <c r="ADA53" s="88"/>
      <c r="ADB53" s="88"/>
      <c r="ADC53" s="88"/>
      <c r="ADD53" s="88"/>
      <c r="ADE53" s="88"/>
      <c r="ADF53" s="88"/>
      <c r="ADG53" s="88"/>
      <c r="ADH53" s="88"/>
      <c r="ADI53" s="88"/>
      <c r="ADJ53" s="88"/>
      <c r="ADK53" s="88"/>
      <c r="ADL53" s="88"/>
      <c r="ADM53" s="88"/>
      <c r="ADN53" s="88"/>
      <c r="ADO53" s="88"/>
      <c r="ADP53" s="88"/>
      <c r="ADQ53" s="88"/>
      <c r="ADR53" s="88"/>
      <c r="ADS53" s="88"/>
      <c r="ADT53" s="88"/>
      <c r="ADU53" s="88"/>
      <c r="ADV53" s="88"/>
      <c r="ADW53" s="88"/>
      <c r="ADX53" s="88"/>
      <c r="ADY53" s="88"/>
      <c r="ADZ53" s="88"/>
      <c r="AEA53" s="88"/>
      <c r="AEB53" s="88"/>
      <c r="AEC53" s="88"/>
      <c r="AED53" s="88"/>
      <c r="AEE53" s="88"/>
      <c r="AEF53" s="88"/>
      <c r="AEG53" s="88"/>
      <c r="AEH53" s="88"/>
      <c r="AEI53" s="88"/>
      <c r="AEJ53" s="88"/>
      <c r="AEK53" s="88"/>
      <c r="AEL53" s="88"/>
      <c r="AEM53" s="88"/>
      <c r="AEN53" s="88"/>
      <c r="AEO53" s="88"/>
      <c r="AEP53" s="88"/>
      <c r="AEQ53" s="88"/>
      <c r="AER53" s="88"/>
      <c r="AES53" s="88"/>
      <c r="AET53" s="88"/>
      <c r="AEU53" s="88"/>
      <c r="AEV53" s="88"/>
      <c r="AEW53" s="88"/>
      <c r="AEX53" s="88"/>
      <c r="AEY53" s="88"/>
      <c r="AEZ53" s="88"/>
      <c r="AFA53" s="88"/>
      <c r="AFB53" s="88"/>
      <c r="AFC53" s="88"/>
      <c r="AFD53" s="88"/>
      <c r="AFE53" s="88"/>
      <c r="AFF53" s="88"/>
      <c r="AFG53" s="88"/>
      <c r="AFH53" s="88"/>
      <c r="AFI53" s="88"/>
      <c r="AFJ53" s="88"/>
      <c r="AFK53" s="88"/>
      <c r="AFL53" s="88"/>
      <c r="AFM53" s="88"/>
      <c r="AFN53" s="88"/>
      <c r="AFO53" s="88"/>
      <c r="AFP53" s="88"/>
      <c r="AFQ53" s="88"/>
      <c r="AFR53" s="88"/>
      <c r="AFS53" s="88"/>
      <c r="AFT53" s="88"/>
      <c r="AFU53" s="88"/>
      <c r="AFV53" s="88"/>
      <c r="AFW53" s="88"/>
      <c r="AFX53" s="88"/>
      <c r="AFY53" s="88"/>
      <c r="AFZ53" s="88"/>
      <c r="AGA53" s="88"/>
      <c r="AGB53" s="88"/>
      <c r="AGC53" s="88"/>
      <c r="AGD53" s="88"/>
      <c r="AGE53" s="88"/>
      <c r="AGF53" s="88"/>
      <c r="AGG53" s="88"/>
      <c r="AGH53" s="88"/>
      <c r="AGI53" s="88"/>
      <c r="AGJ53" s="88"/>
      <c r="AGK53" s="88"/>
      <c r="AGL53" s="88"/>
      <c r="AGM53" s="88"/>
      <c r="AGN53" s="88"/>
      <c r="AGO53" s="88"/>
      <c r="AGP53" s="88"/>
      <c r="AGQ53" s="88"/>
      <c r="AGR53" s="88"/>
      <c r="AGS53" s="88"/>
      <c r="AGT53" s="88"/>
      <c r="AGU53" s="88"/>
      <c r="AGV53" s="88"/>
      <c r="AGW53" s="88"/>
      <c r="AGX53" s="88"/>
      <c r="AGY53" s="88"/>
      <c r="AGZ53" s="88"/>
      <c r="AHA53" s="88"/>
      <c r="AHB53" s="88"/>
      <c r="AHC53" s="88"/>
      <c r="AHD53" s="88"/>
      <c r="AHE53" s="88"/>
      <c r="AHF53" s="88"/>
      <c r="AHG53" s="88"/>
      <c r="AHH53" s="88"/>
      <c r="AHI53" s="88"/>
      <c r="AHJ53" s="88"/>
      <c r="AHK53" s="88"/>
      <c r="AHL53" s="88"/>
      <c r="AHM53" s="88"/>
      <c r="AHN53" s="88"/>
      <c r="AHO53" s="88"/>
      <c r="AHP53" s="88"/>
      <c r="AHQ53" s="88"/>
      <c r="AHR53" s="88"/>
      <c r="AHS53" s="88"/>
      <c r="AHT53" s="88"/>
      <c r="AHU53" s="88"/>
      <c r="AHV53" s="88"/>
      <c r="AHW53" s="88"/>
      <c r="AHX53" s="88"/>
      <c r="AHY53" s="88"/>
      <c r="AHZ53" s="88"/>
      <c r="AIA53" s="88"/>
      <c r="AIB53" s="88"/>
      <c r="AIC53" s="88"/>
      <c r="AID53" s="88"/>
      <c r="AIE53" s="88"/>
      <c r="AIF53" s="88"/>
      <c r="AIG53" s="88"/>
      <c r="AIH53" s="88"/>
      <c r="AII53" s="88"/>
      <c r="AIJ53" s="88"/>
      <c r="AIK53" s="88"/>
      <c r="AIL53" s="88"/>
      <c r="AIM53" s="88"/>
      <c r="AIN53" s="88"/>
      <c r="AIO53" s="88"/>
      <c r="AIP53" s="88"/>
      <c r="AIQ53" s="88"/>
      <c r="AIR53" s="88"/>
      <c r="AIS53" s="88"/>
      <c r="AIT53" s="88"/>
      <c r="AIU53" s="88"/>
      <c r="AIV53" s="88"/>
      <c r="AIW53" s="88"/>
      <c r="AIX53" s="88"/>
      <c r="AIY53" s="88"/>
      <c r="AIZ53" s="88"/>
      <c r="AJA53" s="88"/>
      <c r="AJB53" s="88"/>
      <c r="AJC53" s="88"/>
      <c r="AJD53" s="88"/>
      <c r="AJE53" s="88"/>
      <c r="AJF53" s="88"/>
      <c r="AJG53" s="88"/>
      <c r="AJH53" s="88"/>
      <c r="AJI53" s="88"/>
      <c r="AJJ53" s="88"/>
      <c r="AJK53" s="88"/>
      <c r="AJL53" s="88"/>
      <c r="AJM53" s="88"/>
      <c r="AJN53" s="88"/>
      <c r="AJO53" s="88"/>
      <c r="AJP53" s="88"/>
      <c r="AJQ53" s="88"/>
      <c r="AJR53" s="88"/>
      <c r="AJS53" s="88"/>
      <c r="AJT53" s="88"/>
      <c r="AJU53" s="88"/>
      <c r="AJV53" s="88"/>
      <c r="AJW53" s="88"/>
      <c r="AJX53" s="88"/>
      <c r="AJY53" s="88"/>
      <c r="AJZ53" s="88"/>
      <c r="AKA53" s="88"/>
      <c r="AKB53" s="88"/>
      <c r="AKC53" s="88"/>
      <c r="AKD53" s="88"/>
      <c r="AKE53" s="88"/>
      <c r="AKF53" s="88"/>
      <c r="AKG53" s="88"/>
      <c r="AKH53" s="88"/>
      <c r="AKI53" s="88"/>
      <c r="AKJ53" s="88"/>
      <c r="AKK53" s="88"/>
      <c r="AKL53" s="88"/>
      <c r="AKM53" s="88"/>
      <c r="AKN53" s="88"/>
      <c r="AKO53" s="88"/>
      <c r="AKP53" s="88"/>
      <c r="AKQ53" s="88"/>
      <c r="AKR53" s="88"/>
      <c r="AKS53" s="88"/>
      <c r="AKT53" s="88"/>
      <c r="AKU53" s="88"/>
      <c r="AKV53" s="88"/>
      <c r="AKW53" s="88"/>
      <c r="AKX53" s="88"/>
      <c r="AKY53" s="88"/>
      <c r="AKZ53" s="88"/>
      <c r="ALA53" s="88"/>
      <c r="ALB53" s="88"/>
      <c r="ALC53" s="88"/>
      <c r="ALD53" s="88"/>
      <c r="ALE53" s="88"/>
      <c r="ALF53" s="88"/>
      <c r="ALG53" s="88"/>
      <c r="ALH53" s="88"/>
      <c r="ALI53" s="88"/>
      <c r="ALJ53" s="88"/>
      <c r="ALK53" s="88"/>
      <c r="ALL53" s="88"/>
      <c r="ALM53" s="88"/>
      <c r="ALN53" s="88"/>
      <c r="ALO53" s="88"/>
      <c r="ALP53" s="88"/>
      <c r="ALQ53" s="88"/>
      <c r="ALR53" s="88"/>
      <c r="ALS53" s="88"/>
      <c r="ALT53" s="88"/>
      <c r="ALU53" s="88"/>
      <c r="ALV53" s="88"/>
      <c r="ALW53" s="88"/>
      <c r="ALX53" s="88"/>
      <c r="ALY53" s="88"/>
      <c r="ALZ53" s="88"/>
      <c r="AMA53" s="88"/>
      <c r="AMB53" s="88"/>
      <c r="AMC53" s="88"/>
      <c r="AMD53" s="88"/>
      <c r="AME53" s="88"/>
      <c r="AMF53" s="88"/>
      <c r="AMG53" s="88"/>
      <c r="AMH53" s="88"/>
      <c r="AMI53" s="88"/>
      <c r="AMJ53" s="88"/>
      <c r="AMK53" s="88"/>
      <c r="AML53" s="88"/>
      <c r="AMM53" s="88"/>
      <c r="AMN53" s="88"/>
      <c r="AMO53" s="88"/>
      <c r="AMP53" s="88"/>
      <c r="AMQ53" s="88"/>
      <c r="AMR53" s="88"/>
      <c r="AMS53" s="88"/>
      <c r="AMT53" s="88"/>
      <c r="AMU53" s="88"/>
      <c r="AMV53" s="88"/>
      <c r="AMW53" s="88"/>
      <c r="AMX53" s="88"/>
      <c r="AMY53" s="88"/>
      <c r="AMZ53" s="88"/>
      <c r="ANA53" s="88"/>
      <c r="ANB53" s="88"/>
      <c r="ANC53" s="88"/>
      <c r="AND53" s="88"/>
      <c r="ANE53" s="88"/>
      <c r="ANF53" s="88"/>
      <c r="ANG53" s="88"/>
      <c r="ANH53" s="88"/>
      <c r="ANI53" s="88"/>
      <c r="ANJ53" s="88"/>
      <c r="ANK53" s="88"/>
      <c r="ANL53" s="88"/>
      <c r="ANM53" s="88"/>
      <c r="ANN53" s="88"/>
      <c r="ANO53" s="88"/>
      <c r="ANP53" s="88"/>
      <c r="ANQ53" s="88"/>
      <c r="ANR53" s="88"/>
      <c r="ANS53" s="88"/>
      <c r="ANT53" s="88"/>
      <c r="ANU53" s="88"/>
      <c r="ANV53" s="88"/>
      <c r="ANW53" s="88"/>
      <c r="ANX53" s="88"/>
      <c r="ANY53" s="88"/>
      <c r="ANZ53" s="88"/>
      <c r="AOA53" s="88"/>
      <c r="AOB53" s="88"/>
      <c r="AOC53" s="88"/>
      <c r="AOD53" s="88"/>
      <c r="AOE53" s="88"/>
      <c r="AOF53" s="88"/>
      <c r="AOG53" s="88"/>
      <c r="AOH53" s="88"/>
      <c r="AOI53" s="88"/>
      <c r="AOJ53" s="88"/>
      <c r="AOK53" s="88"/>
      <c r="AOL53" s="88"/>
      <c r="AOM53" s="88"/>
      <c r="AON53" s="88"/>
      <c r="AOO53" s="88"/>
      <c r="AOP53" s="88"/>
      <c r="AOQ53" s="88"/>
      <c r="AOR53" s="88"/>
      <c r="AOS53" s="88"/>
      <c r="AOT53" s="88"/>
      <c r="AOU53" s="88"/>
      <c r="AOV53" s="88"/>
      <c r="AOW53" s="88"/>
      <c r="AOX53" s="88"/>
      <c r="AOY53" s="88"/>
      <c r="AOZ53" s="88"/>
      <c r="APA53" s="88"/>
      <c r="APB53" s="88"/>
      <c r="APC53" s="88"/>
      <c r="APD53" s="88"/>
      <c r="APE53" s="88"/>
      <c r="APF53" s="88"/>
      <c r="APG53" s="88"/>
      <c r="APH53" s="88"/>
      <c r="API53" s="88"/>
      <c r="APJ53" s="88"/>
      <c r="APK53" s="88"/>
      <c r="APL53" s="88"/>
      <c r="APM53" s="88"/>
      <c r="APN53" s="88"/>
      <c r="APO53" s="88"/>
      <c r="APP53" s="88"/>
      <c r="APQ53" s="88"/>
      <c r="APR53" s="88"/>
      <c r="APS53" s="88"/>
      <c r="APT53" s="88"/>
      <c r="APU53" s="88"/>
      <c r="APV53" s="88"/>
      <c r="APW53" s="88"/>
      <c r="APX53" s="88"/>
      <c r="APY53" s="88"/>
      <c r="APZ53" s="88"/>
      <c r="AQA53" s="88"/>
      <c r="AQB53" s="88"/>
      <c r="AQC53" s="88"/>
      <c r="AQD53" s="88"/>
      <c r="AQE53" s="88"/>
      <c r="AQF53" s="88"/>
      <c r="AQG53" s="88"/>
      <c r="AQH53" s="88"/>
      <c r="AQI53" s="88"/>
      <c r="AQJ53" s="88"/>
      <c r="AQK53" s="88"/>
      <c r="AQL53" s="88"/>
      <c r="AQM53" s="88"/>
      <c r="AQN53" s="88"/>
      <c r="AQO53" s="88"/>
      <c r="AQP53" s="88"/>
      <c r="AQQ53" s="88"/>
      <c r="AQR53" s="88"/>
      <c r="AQS53" s="88"/>
      <c r="AQT53" s="88"/>
      <c r="AQU53" s="88"/>
      <c r="AQV53" s="88"/>
      <c r="AQW53" s="88"/>
      <c r="AQX53" s="88"/>
      <c r="AQY53" s="88"/>
      <c r="AQZ53" s="88"/>
      <c r="ARA53" s="88"/>
      <c r="ARB53" s="88"/>
      <c r="ARC53" s="88"/>
      <c r="ARD53" s="88"/>
      <c r="ARE53" s="88"/>
      <c r="ARF53" s="88"/>
      <c r="ARG53" s="88"/>
      <c r="ARH53" s="88"/>
      <c r="ARI53" s="88"/>
      <c r="ARJ53" s="88"/>
      <c r="ARK53" s="88"/>
      <c r="ARL53" s="88"/>
      <c r="ARM53" s="88"/>
      <c r="ARN53" s="88"/>
      <c r="ARO53" s="88"/>
      <c r="ARP53" s="88"/>
      <c r="ARQ53" s="88"/>
      <c r="ARR53" s="88"/>
      <c r="ARS53" s="88"/>
      <c r="ART53" s="88"/>
      <c r="ARU53" s="88"/>
      <c r="ARV53" s="88"/>
      <c r="ARW53" s="88"/>
      <c r="ARX53" s="88"/>
      <c r="ARY53" s="88"/>
      <c r="ARZ53" s="88"/>
      <c r="ASA53" s="88"/>
      <c r="ASB53" s="88"/>
      <c r="ASC53" s="88"/>
      <c r="ASD53" s="88"/>
      <c r="ASE53" s="88"/>
      <c r="ASF53" s="88"/>
      <c r="ASG53" s="88"/>
      <c r="ASH53" s="88"/>
      <c r="ASI53" s="88"/>
      <c r="ASJ53" s="88"/>
      <c r="ASK53" s="88"/>
      <c r="ASL53" s="88"/>
      <c r="ASM53" s="88"/>
      <c r="ASN53" s="88"/>
      <c r="ASO53" s="88"/>
      <c r="ASP53" s="88"/>
      <c r="ASQ53" s="88"/>
      <c r="ASR53" s="88"/>
      <c r="ASS53" s="88"/>
      <c r="AST53" s="88"/>
      <c r="ASU53" s="88"/>
      <c r="ASV53" s="88"/>
      <c r="ASW53" s="88"/>
      <c r="ASX53" s="88"/>
      <c r="ASY53" s="88"/>
      <c r="ASZ53" s="88"/>
      <c r="ATA53" s="88"/>
      <c r="ATB53" s="88"/>
      <c r="ATC53" s="88"/>
      <c r="ATD53" s="88"/>
      <c r="ATE53" s="88"/>
      <c r="ATF53" s="88"/>
      <c r="ATG53" s="88"/>
      <c r="ATH53" s="88"/>
      <c r="ATI53" s="88"/>
      <c r="ATJ53" s="88"/>
      <c r="ATK53" s="88"/>
      <c r="ATL53" s="88"/>
      <c r="ATM53" s="88"/>
      <c r="ATN53" s="88"/>
      <c r="ATO53" s="88"/>
      <c r="ATP53" s="88"/>
      <c r="ATQ53" s="88"/>
      <c r="ATR53" s="88"/>
      <c r="ATS53" s="88"/>
      <c r="ATT53" s="88"/>
      <c r="ATU53" s="88"/>
      <c r="ATV53" s="88"/>
      <c r="ATW53" s="88"/>
      <c r="ATX53" s="88"/>
      <c r="ATY53" s="88"/>
      <c r="ATZ53" s="88"/>
      <c r="AUA53" s="88"/>
      <c r="AUB53" s="88"/>
      <c r="AUC53" s="88"/>
      <c r="AUD53" s="88"/>
      <c r="AUE53" s="88"/>
      <c r="AUF53" s="88"/>
      <c r="AUG53" s="88"/>
      <c r="AUH53" s="88"/>
      <c r="AUI53" s="88"/>
      <c r="AUJ53" s="88"/>
      <c r="AUK53" s="88"/>
      <c r="AUL53" s="88"/>
      <c r="AUM53" s="88"/>
      <c r="AUN53" s="88"/>
      <c r="AUO53" s="88"/>
      <c r="AUP53" s="88"/>
      <c r="AUQ53" s="88"/>
      <c r="AUR53" s="88"/>
      <c r="AUS53" s="88"/>
      <c r="AUT53" s="88"/>
      <c r="AUU53" s="88"/>
      <c r="AUV53" s="88"/>
      <c r="AUW53" s="88"/>
      <c r="AUX53" s="88"/>
      <c r="AUY53" s="88"/>
      <c r="AUZ53" s="88"/>
      <c r="AVA53" s="88"/>
      <c r="AVB53" s="88"/>
      <c r="AVC53" s="88"/>
      <c r="AVD53" s="88"/>
      <c r="AVE53" s="88"/>
      <c r="AVF53" s="88"/>
      <c r="AVG53" s="88"/>
      <c r="AVH53" s="88"/>
      <c r="AVI53" s="88"/>
      <c r="AVJ53" s="88"/>
      <c r="AVK53" s="88"/>
      <c r="AVL53" s="88"/>
      <c r="AVM53" s="88"/>
      <c r="AVN53" s="88"/>
      <c r="AVO53" s="88"/>
      <c r="AVP53" s="88"/>
      <c r="AVQ53" s="88"/>
      <c r="AVR53" s="88"/>
      <c r="AVS53" s="88"/>
      <c r="AVT53" s="88"/>
      <c r="AVU53" s="88"/>
      <c r="AVV53" s="88"/>
      <c r="AVW53" s="88"/>
      <c r="AVX53" s="88"/>
      <c r="AVY53" s="88"/>
      <c r="AVZ53" s="88"/>
      <c r="AWA53" s="88"/>
      <c r="AWB53" s="88"/>
      <c r="AWC53" s="88"/>
      <c r="AWD53" s="88"/>
      <c r="AWE53" s="88"/>
      <c r="AWF53" s="88"/>
      <c r="AWG53" s="88"/>
      <c r="AWH53" s="88"/>
      <c r="AWI53" s="88"/>
      <c r="AWJ53" s="88"/>
      <c r="AWK53" s="88"/>
      <c r="AWL53" s="88"/>
      <c r="AWM53" s="88"/>
      <c r="AWN53" s="88"/>
      <c r="AWO53" s="88"/>
      <c r="AWP53" s="88"/>
      <c r="AWQ53" s="88"/>
      <c r="AWR53" s="88"/>
      <c r="AWS53" s="88"/>
      <c r="AWT53" s="88"/>
      <c r="AWU53" s="88"/>
      <c r="AWV53" s="88"/>
      <c r="AWW53" s="88"/>
      <c r="AWX53" s="88"/>
      <c r="AWY53" s="88"/>
      <c r="AWZ53" s="88"/>
      <c r="AXA53" s="88"/>
      <c r="AXB53" s="88"/>
      <c r="AXC53" s="88"/>
      <c r="AXD53" s="88"/>
      <c r="AXE53" s="88"/>
      <c r="AXF53" s="88"/>
      <c r="AXG53" s="88"/>
      <c r="AXH53" s="88"/>
      <c r="AXI53" s="88"/>
      <c r="AXJ53" s="88"/>
      <c r="AXK53" s="88"/>
      <c r="AXL53" s="88"/>
      <c r="AXM53" s="88"/>
      <c r="AXN53" s="88"/>
      <c r="AXO53" s="88"/>
      <c r="AXP53" s="88"/>
      <c r="AXQ53" s="88"/>
      <c r="AXR53" s="88"/>
      <c r="AXS53" s="88"/>
      <c r="AXT53" s="88"/>
      <c r="AXU53" s="88"/>
      <c r="AXV53" s="88"/>
      <c r="AXW53" s="88"/>
      <c r="AXX53" s="88"/>
      <c r="AXY53" s="88"/>
      <c r="AXZ53" s="88"/>
      <c r="AYA53" s="88"/>
      <c r="AYB53" s="88"/>
      <c r="AYC53" s="88"/>
      <c r="AYD53" s="88"/>
      <c r="AYE53" s="88"/>
      <c r="AYF53" s="88"/>
      <c r="AYG53" s="88"/>
      <c r="AYH53" s="88"/>
      <c r="AYI53" s="88"/>
      <c r="AYJ53" s="88"/>
      <c r="AYK53" s="88"/>
      <c r="AYL53" s="88"/>
      <c r="AYM53" s="88"/>
      <c r="AYN53" s="88"/>
      <c r="AYO53" s="88"/>
      <c r="AYP53" s="88"/>
      <c r="AYQ53" s="88"/>
      <c r="AYR53" s="88"/>
      <c r="AYS53" s="88"/>
      <c r="AYT53" s="88"/>
      <c r="AYU53" s="88"/>
      <c r="AYV53" s="88"/>
      <c r="AYW53" s="88"/>
      <c r="AYX53" s="88"/>
      <c r="AYY53" s="88"/>
      <c r="AYZ53" s="88"/>
      <c r="AZA53" s="88"/>
      <c r="AZB53" s="88"/>
      <c r="AZC53" s="88"/>
      <c r="AZD53" s="88"/>
      <c r="AZE53" s="88"/>
      <c r="AZF53" s="88"/>
      <c r="AZG53" s="88"/>
      <c r="AZH53" s="88"/>
      <c r="AZI53" s="88"/>
      <c r="AZJ53" s="88"/>
      <c r="AZK53" s="88"/>
      <c r="AZL53" s="88"/>
      <c r="AZM53" s="88"/>
      <c r="AZN53" s="88"/>
      <c r="AZO53" s="88"/>
      <c r="AZP53" s="88"/>
      <c r="AZQ53" s="88"/>
      <c r="AZR53" s="88"/>
      <c r="AZS53" s="88"/>
      <c r="AZT53" s="88"/>
      <c r="AZU53" s="88"/>
      <c r="AZV53" s="88"/>
      <c r="AZW53" s="88"/>
      <c r="AZX53" s="88"/>
      <c r="AZY53" s="88"/>
      <c r="AZZ53" s="88"/>
      <c r="BAA53" s="88"/>
      <c r="BAB53" s="88"/>
      <c r="BAC53" s="88"/>
      <c r="BAD53" s="88"/>
      <c r="BAE53" s="88"/>
      <c r="BAF53" s="88"/>
      <c r="BAG53" s="88"/>
      <c r="BAH53" s="88"/>
      <c r="BAI53" s="88"/>
      <c r="BAJ53" s="88"/>
      <c r="BAK53" s="88"/>
      <c r="BAL53" s="88"/>
      <c r="BAM53" s="88"/>
      <c r="BAN53" s="88"/>
      <c r="BAO53" s="88"/>
      <c r="BAP53" s="88"/>
      <c r="BAQ53" s="88"/>
      <c r="BAR53" s="88"/>
      <c r="BAS53" s="88"/>
      <c r="BAT53" s="88"/>
      <c r="BAU53" s="88"/>
      <c r="BAV53" s="88"/>
      <c r="BAW53" s="88"/>
      <c r="BAX53" s="88"/>
      <c r="BAY53" s="88"/>
      <c r="BAZ53" s="88"/>
      <c r="BBA53" s="88"/>
      <c r="BBB53" s="88"/>
      <c r="BBC53" s="88"/>
      <c r="BBD53" s="88"/>
      <c r="BBE53" s="88"/>
      <c r="BBF53" s="88"/>
      <c r="BBG53" s="88"/>
      <c r="BBH53" s="88"/>
      <c r="BBI53" s="88"/>
      <c r="BBJ53" s="88"/>
      <c r="BBK53" s="88"/>
      <c r="BBL53" s="88"/>
      <c r="BBM53" s="88"/>
      <c r="BBN53" s="88"/>
      <c r="BBO53" s="88"/>
      <c r="BBP53" s="88"/>
      <c r="BBQ53" s="88"/>
      <c r="BBR53" s="88"/>
      <c r="BBS53" s="88"/>
      <c r="BBT53" s="88"/>
      <c r="BBU53" s="88"/>
      <c r="BBV53" s="88"/>
      <c r="BBW53" s="88"/>
      <c r="BBX53" s="88"/>
      <c r="BBY53" s="88"/>
      <c r="BBZ53" s="88"/>
      <c r="BCA53" s="88"/>
      <c r="BCB53" s="88"/>
      <c r="BCC53" s="88"/>
      <c r="BCD53" s="88"/>
      <c r="BCE53" s="88"/>
      <c r="BCF53" s="88"/>
      <c r="BCG53" s="88"/>
      <c r="BCH53" s="88"/>
      <c r="BCI53" s="88"/>
      <c r="BCJ53" s="88"/>
      <c r="BCK53" s="88"/>
      <c r="BCL53" s="88"/>
      <c r="BCM53" s="88"/>
      <c r="BCN53" s="88"/>
      <c r="BCO53" s="88"/>
      <c r="BCP53" s="88"/>
      <c r="BCQ53" s="88"/>
      <c r="BCR53" s="88"/>
      <c r="BCS53" s="88"/>
      <c r="BCT53" s="88"/>
      <c r="BCU53" s="88"/>
      <c r="BCV53" s="88"/>
      <c r="BCW53" s="88"/>
      <c r="BCX53" s="88"/>
      <c r="BCY53" s="88"/>
      <c r="BCZ53" s="88"/>
      <c r="BDA53" s="88"/>
      <c r="BDB53" s="88"/>
      <c r="BDC53" s="88"/>
      <c r="BDD53" s="88"/>
      <c r="BDE53" s="88"/>
      <c r="BDF53" s="88"/>
      <c r="BDG53" s="88"/>
      <c r="BDH53" s="88"/>
      <c r="BDI53" s="88"/>
      <c r="BDJ53" s="88"/>
      <c r="BDK53" s="88"/>
      <c r="BDL53" s="88"/>
      <c r="BDM53" s="88"/>
      <c r="BDN53" s="88"/>
      <c r="BDO53" s="88"/>
      <c r="BDP53" s="88"/>
      <c r="BDQ53" s="88"/>
      <c r="BDR53" s="88"/>
      <c r="BDS53" s="88"/>
      <c r="BDT53" s="88"/>
      <c r="BDU53" s="88"/>
      <c r="BDV53" s="88"/>
      <c r="BDW53" s="88"/>
      <c r="BDX53" s="88"/>
      <c r="BDY53" s="88"/>
      <c r="BDZ53" s="88"/>
      <c r="BEA53" s="88"/>
      <c r="BEB53" s="88"/>
      <c r="BEC53" s="88"/>
      <c r="BED53" s="88"/>
      <c r="BEE53" s="88"/>
      <c r="BEF53" s="88"/>
      <c r="BEG53" s="88"/>
      <c r="BEH53" s="88"/>
      <c r="BEI53" s="88"/>
      <c r="BEJ53" s="88"/>
      <c r="BEK53" s="88"/>
      <c r="BEL53" s="88"/>
      <c r="BEM53" s="88"/>
      <c r="BEN53" s="88"/>
      <c r="BEO53" s="88"/>
      <c r="BEP53" s="88"/>
      <c r="BEQ53" s="88"/>
      <c r="BER53" s="88"/>
      <c r="BES53" s="88"/>
      <c r="BET53" s="88"/>
      <c r="BEU53" s="88"/>
      <c r="BEV53" s="88"/>
      <c r="BEW53" s="88"/>
      <c r="BEX53" s="88"/>
      <c r="BEY53" s="88"/>
      <c r="BEZ53" s="88"/>
      <c r="BFA53" s="88"/>
      <c r="BFB53" s="88"/>
      <c r="BFC53" s="88"/>
      <c r="BFD53" s="88"/>
      <c r="BFE53" s="88"/>
      <c r="BFF53" s="88"/>
      <c r="BFG53" s="88"/>
      <c r="BFH53" s="88"/>
      <c r="BFI53" s="88"/>
      <c r="BFJ53" s="88"/>
      <c r="BFK53" s="88"/>
      <c r="BFL53" s="88"/>
      <c r="BFM53" s="88"/>
      <c r="BFN53" s="88"/>
      <c r="BFO53" s="88"/>
      <c r="BFP53" s="88"/>
      <c r="BFQ53" s="88"/>
      <c r="BFR53" s="88"/>
      <c r="BFS53" s="88"/>
      <c r="BFT53" s="88"/>
      <c r="BFU53" s="88"/>
      <c r="BFV53" s="88"/>
      <c r="BFW53" s="88"/>
      <c r="BFX53" s="88"/>
      <c r="BFY53" s="88"/>
      <c r="BFZ53" s="88"/>
      <c r="BGA53" s="88"/>
      <c r="BGB53" s="88"/>
      <c r="BGC53" s="88"/>
      <c r="BGD53" s="88"/>
      <c r="BGE53" s="88"/>
      <c r="BGF53" s="88"/>
      <c r="BGG53" s="88"/>
      <c r="BGH53" s="88"/>
      <c r="BGI53" s="88"/>
      <c r="BGJ53" s="88"/>
      <c r="BGK53" s="88"/>
      <c r="BGL53" s="88"/>
      <c r="BGM53" s="88"/>
      <c r="BGN53" s="88"/>
      <c r="BGO53" s="88"/>
      <c r="BGP53" s="88"/>
      <c r="BGQ53" s="88"/>
      <c r="BGR53" s="88"/>
      <c r="BGS53" s="88"/>
      <c r="BGT53" s="88"/>
      <c r="BGU53" s="88"/>
      <c r="BGV53" s="88"/>
      <c r="BGW53" s="88"/>
      <c r="BGX53" s="88"/>
      <c r="BGY53" s="88"/>
      <c r="BGZ53" s="88"/>
      <c r="BHA53" s="88"/>
      <c r="BHB53" s="88"/>
      <c r="BHC53" s="88"/>
      <c r="BHD53" s="88"/>
      <c r="BHE53" s="88"/>
      <c r="BHF53" s="88"/>
      <c r="BHG53" s="88"/>
      <c r="BHH53" s="88"/>
      <c r="BHI53" s="88"/>
      <c r="BHJ53" s="88"/>
      <c r="BHK53" s="88"/>
      <c r="BHL53" s="88"/>
      <c r="BHM53" s="88"/>
      <c r="BHN53" s="88"/>
      <c r="BHO53" s="88"/>
      <c r="BHP53" s="88"/>
      <c r="BHQ53" s="88"/>
      <c r="BHR53" s="88"/>
      <c r="BHS53" s="88"/>
      <c r="BHT53" s="88"/>
      <c r="BHU53" s="88"/>
      <c r="BHV53" s="88"/>
      <c r="BHW53" s="88"/>
      <c r="BHX53" s="88"/>
      <c r="BHY53" s="88"/>
      <c r="BHZ53" s="88"/>
      <c r="BIA53" s="88"/>
      <c r="BIB53" s="88"/>
      <c r="BIC53" s="88"/>
      <c r="BID53" s="88"/>
      <c r="BIE53" s="88"/>
      <c r="BIF53" s="88"/>
      <c r="BIG53" s="88"/>
      <c r="BIH53" s="88"/>
      <c r="BII53" s="88"/>
      <c r="BIJ53" s="88"/>
      <c r="BIK53" s="88"/>
      <c r="BIL53" s="88"/>
      <c r="BIM53" s="88"/>
      <c r="BIN53" s="88"/>
      <c r="BIO53" s="88"/>
      <c r="BIP53" s="88"/>
      <c r="BIQ53" s="88"/>
      <c r="BIR53" s="88"/>
      <c r="BIS53" s="88"/>
      <c r="BIT53" s="88"/>
      <c r="BIU53" s="88"/>
      <c r="BIV53" s="88"/>
      <c r="BIW53" s="88"/>
      <c r="BIX53" s="88"/>
      <c r="BIY53" s="88"/>
      <c r="BIZ53" s="88"/>
      <c r="BJA53" s="88"/>
      <c r="BJB53" s="88"/>
      <c r="BJC53" s="88"/>
      <c r="BJD53" s="88"/>
      <c r="BJE53" s="88"/>
      <c r="BJF53" s="88"/>
      <c r="BJG53" s="88"/>
      <c r="BJH53" s="88"/>
      <c r="BJI53" s="88"/>
      <c r="BJJ53" s="88"/>
      <c r="BJK53" s="88"/>
      <c r="BJL53" s="88"/>
      <c r="BJM53" s="88"/>
      <c r="BJN53" s="88"/>
      <c r="BJO53" s="88"/>
      <c r="BJP53" s="88"/>
      <c r="BJQ53" s="88"/>
      <c r="BJR53" s="88"/>
      <c r="BJS53" s="88"/>
      <c r="BJT53" s="88"/>
      <c r="BJU53" s="88"/>
      <c r="BJV53" s="88"/>
      <c r="BJW53" s="88"/>
      <c r="BJX53" s="88"/>
      <c r="BJY53" s="88"/>
      <c r="BJZ53" s="88"/>
      <c r="BKA53" s="88"/>
      <c r="BKB53" s="88"/>
      <c r="BKC53" s="88"/>
      <c r="BKD53" s="88"/>
      <c r="BKE53" s="88"/>
      <c r="BKF53" s="88"/>
      <c r="BKG53" s="88"/>
      <c r="BKH53" s="88"/>
      <c r="BKI53" s="88"/>
      <c r="BKJ53" s="88"/>
      <c r="BKK53" s="88"/>
      <c r="BKL53" s="88"/>
      <c r="BKM53" s="88"/>
      <c r="BKN53" s="88"/>
      <c r="BKO53" s="88"/>
      <c r="BKP53" s="88"/>
      <c r="BKQ53" s="88"/>
      <c r="BKR53" s="88"/>
      <c r="BKS53" s="88"/>
      <c r="BKT53" s="88"/>
      <c r="BKU53" s="88"/>
      <c r="BKV53" s="88"/>
      <c r="BKW53" s="88"/>
      <c r="BKX53" s="88"/>
      <c r="BKY53" s="88"/>
      <c r="BKZ53" s="88"/>
      <c r="BLA53" s="88"/>
      <c r="BLB53" s="88"/>
      <c r="BLC53" s="88"/>
      <c r="BLD53" s="88"/>
      <c r="BLE53" s="88"/>
      <c r="BLF53" s="88"/>
      <c r="BLG53" s="88"/>
      <c r="BLH53" s="88"/>
      <c r="BLI53" s="88"/>
      <c r="BLJ53" s="88"/>
      <c r="BLK53" s="88"/>
      <c r="BLL53" s="88"/>
      <c r="BLM53" s="88"/>
      <c r="BLN53" s="88"/>
      <c r="BLO53" s="88"/>
      <c r="BLP53" s="88"/>
      <c r="BLQ53" s="88"/>
      <c r="BLR53" s="88"/>
      <c r="BLS53" s="88"/>
      <c r="BLT53" s="88"/>
      <c r="BLU53" s="88"/>
      <c r="BLV53" s="88"/>
      <c r="BLW53" s="88"/>
      <c r="BLX53" s="88"/>
      <c r="BLY53" s="88"/>
      <c r="BLZ53" s="88"/>
      <c r="BMA53" s="88"/>
      <c r="BMB53" s="88"/>
      <c r="BMC53" s="88"/>
      <c r="BMD53" s="88"/>
      <c r="BME53" s="88"/>
      <c r="BMF53" s="88"/>
      <c r="BMG53" s="88"/>
      <c r="BMH53" s="88"/>
      <c r="BMI53" s="88"/>
      <c r="BMJ53" s="88"/>
      <c r="BMK53" s="88"/>
      <c r="BML53" s="88"/>
      <c r="BMM53" s="88"/>
      <c r="BMN53" s="88"/>
      <c r="BMO53" s="88"/>
      <c r="BMP53" s="88"/>
      <c r="BMQ53" s="88"/>
      <c r="BMR53" s="88"/>
      <c r="BMS53" s="88"/>
      <c r="BMT53" s="88"/>
      <c r="BMU53" s="88"/>
      <c r="BMV53" s="88"/>
      <c r="BMW53" s="88"/>
      <c r="BMX53" s="88"/>
      <c r="BMY53" s="88"/>
      <c r="BMZ53" s="88"/>
      <c r="BNA53" s="88"/>
      <c r="BNB53" s="88"/>
      <c r="BNC53" s="88"/>
      <c r="BND53" s="88"/>
      <c r="BNE53" s="88"/>
      <c r="BNF53" s="88"/>
      <c r="BNG53" s="88"/>
      <c r="BNH53" s="88"/>
      <c r="BNI53" s="88"/>
      <c r="BNJ53" s="88"/>
      <c r="BNK53" s="88"/>
      <c r="BNL53" s="88"/>
      <c r="BNM53" s="88"/>
      <c r="BNN53" s="88"/>
      <c r="BNO53" s="88"/>
      <c r="BNP53" s="88"/>
      <c r="BNQ53" s="88"/>
      <c r="BNR53" s="88"/>
      <c r="BNS53" s="88"/>
      <c r="BNT53" s="88"/>
      <c r="BNU53" s="88"/>
      <c r="BNV53" s="88"/>
      <c r="BNW53" s="88"/>
      <c r="BNX53" s="88"/>
      <c r="BNY53" s="88"/>
      <c r="BNZ53" s="88"/>
      <c r="BOA53" s="88"/>
      <c r="BOB53" s="88"/>
      <c r="BOC53" s="88"/>
      <c r="BOD53" s="88"/>
      <c r="BOE53" s="88"/>
      <c r="BOF53" s="88"/>
      <c r="BOG53" s="88"/>
      <c r="BOH53" s="88"/>
      <c r="BOI53" s="88"/>
      <c r="BOJ53" s="88"/>
      <c r="BOK53" s="88"/>
      <c r="BOL53" s="88"/>
      <c r="BOM53" s="88"/>
      <c r="BON53" s="88"/>
      <c r="BOO53" s="88"/>
      <c r="BOP53" s="88"/>
      <c r="BOQ53" s="88"/>
      <c r="BOR53" s="88"/>
      <c r="BOS53" s="88"/>
      <c r="BOT53" s="88"/>
      <c r="BOU53" s="88"/>
      <c r="BOV53" s="88"/>
      <c r="BOW53" s="88"/>
      <c r="BOX53" s="88"/>
      <c r="BOY53" s="88"/>
      <c r="BOZ53" s="88"/>
      <c r="BPA53" s="88"/>
      <c r="BPB53" s="88"/>
      <c r="BPC53" s="88"/>
      <c r="BPD53" s="88"/>
      <c r="BPE53" s="88"/>
      <c r="BPF53" s="88"/>
      <c r="BPG53" s="88"/>
      <c r="BPH53" s="88"/>
      <c r="BPI53" s="88"/>
      <c r="BPJ53" s="88"/>
      <c r="BPK53" s="88"/>
      <c r="BPL53" s="88"/>
      <c r="BPM53" s="88"/>
      <c r="BPN53" s="88"/>
      <c r="BPO53" s="88"/>
      <c r="BPP53" s="88"/>
      <c r="BPQ53" s="88"/>
      <c r="BPR53" s="88"/>
      <c r="BPS53" s="88"/>
      <c r="BPT53" s="88"/>
      <c r="BPU53" s="88"/>
      <c r="BPV53" s="88"/>
      <c r="BPW53" s="88"/>
      <c r="BPX53" s="88"/>
      <c r="BPY53" s="88"/>
      <c r="BPZ53" s="88"/>
      <c r="BQA53" s="88"/>
      <c r="BQB53" s="88"/>
      <c r="BQC53" s="88"/>
      <c r="BQD53" s="88"/>
      <c r="BQE53" s="88"/>
      <c r="BQF53" s="88"/>
      <c r="BQG53" s="88"/>
      <c r="BQH53" s="88"/>
      <c r="BQI53" s="88"/>
      <c r="BQJ53" s="88"/>
      <c r="BQK53" s="88"/>
      <c r="BQL53" s="88"/>
      <c r="BQM53" s="88"/>
      <c r="BQN53" s="88"/>
      <c r="BQO53" s="88"/>
      <c r="BQP53" s="88"/>
      <c r="BQQ53" s="88"/>
      <c r="BQR53" s="88"/>
      <c r="BQS53" s="88"/>
      <c r="BQT53" s="88"/>
      <c r="BQU53" s="88"/>
      <c r="BQV53" s="88"/>
      <c r="BQW53" s="88"/>
      <c r="BQX53" s="88"/>
      <c r="BQY53" s="88"/>
      <c r="BQZ53" s="88"/>
      <c r="BRA53" s="88"/>
      <c r="BRB53" s="88"/>
      <c r="BRC53" s="88"/>
      <c r="BRD53" s="88"/>
      <c r="BRE53" s="88"/>
      <c r="BRF53" s="88"/>
      <c r="BRG53" s="88"/>
      <c r="BRH53" s="88"/>
      <c r="BRI53" s="88"/>
      <c r="BRJ53" s="88"/>
      <c r="BRK53" s="88"/>
      <c r="BRL53" s="88"/>
      <c r="BRM53" s="88"/>
      <c r="BRN53" s="88"/>
      <c r="BRO53" s="88"/>
      <c r="BRP53" s="88"/>
      <c r="BRQ53" s="88"/>
      <c r="BRR53" s="88"/>
      <c r="BRS53" s="88"/>
      <c r="BRT53" s="88"/>
      <c r="BRU53" s="88"/>
      <c r="BRV53" s="88"/>
      <c r="BRW53" s="88"/>
      <c r="BRX53" s="88"/>
      <c r="BRY53" s="88"/>
      <c r="BRZ53" s="88"/>
      <c r="BSA53" s="88"/>
      <c r="BSB53" s="88"/>
      <c r="BSC53" s="88"/>
      <c r="BSD53" s="88"/>
      <c r="BSE53" s="88"/>
      <c r="BSF53" s="88"/>
      <c r="BSG53" s="88"/>
      <c r="BSH53" s="88"/>
      <c r="BSI53" s="88"/>
      <c r="BSJ53" s="88"/>
      <c r="BSK53" s="88"/>
      <c r="BSL53" s="88"/>
      <c r="BSM53" s="88"/>
      <c r="BSN53" s="88"/>
      <c r="BSO53" s="88"/>
      <c r="BSP53" s="88"/>
      <c r="BSQ53" s="88"/>
      <c r="BSR53" s="88"/>
      <c r="BSS53" s="88"/>
      <c r="BST53" s="88"/>
      <c r="BSU53" s="88"/>
      <c r="BSV53" s="88"/>
      <c r="BSW53" s="88"/>
      <c r="BSX53" s="88"/>
      <c r="BSY53" s="88"/>
      <c r="BSZ53" s="88"/>
      <c r="BTA53" s="88"/>
      <c r="BTB53" s="88"/>
      <c r="BTC53" s="88"/>
      <c r="BTD53" s="88"/>
      <c r="BTE53" s="88"/>
      <c r="BTF53" s="88"/>
      <c r="BTG53" s="88"/>
      <c r="BTH53" s="88"/>
      <c r="BTI53" s="88"/>
      <c r="BTJ53" s="88"/>
      <c r="BTK53" s="88"/>
      <c r="BTL53" s="88"/>
      <c r="BTM53" s="88"/>
      <c r="BTN53" s="88"/>
      <c r="BTO53" s="88"/>
      <c r="BTP53" s="88"/>
      <c r="BTQ53" s="88"/>
      <c r="BTR53" s="88"/>
      <c r="BTS53" s="88"/>
      <c r="BTT53" s="88"/>
      <c r="BTU53" s="88"/>
      <c r="BTV53" s="88"/>
      <c r="BTW53" s="88"/>
      <c r="BTX53" s="88"/>
      <c r="BTY53" s="88"/>
      <c r="BTZ53" s="88"/>
      <c r="BUA53" s="88"/>
      <c r="BUB53" s="88"/>
      <c r="BUC53" s="88"/>
      <c r="BUD53" s="88"/>
      <c r="BUE53" s="88"/>
      <c r="BUF53" s="88"/>
      <c r="BUG53" s="88"/>
      <c r="BUH53" s="88"/>
      <c r="BUI53" s="88"/>
      <c r="BUJ53" s="88"/>
      <c r="BUK53" s="88"/>
      <c r="BUL53" s="88"/>
      <c r="BUM53" s="88"/>
      <c r="BUN53" s="88"/>
      <c r="BUO53" s="88"/>
      <c r="BUP53" s="88"/>
      <c r="BUQ53" s="88"/>
      <c r="BUR53" s="88"/>
      <c r="BUS53" s="88"/>
      <c r="BUT53" s="88"/>
      <c r="BUU53" s="88"/>
      <c r="BUV53" s="88"/>
      <c r="BUW53" s="88"/>
      <c r="BUX53" s="88"/>
      <c r="BUY53" s="88"/>
      <c r="BUZ53" s="88"/>
      <c r="BVA53" s="88"/>
      <c r="BVB53" s="88"/>
      <c r="BVC53" s="88"/>
      <c r="BVD53" s="88"/>
      <c r="BVE53" s="88"/>
      <c r="BVF53" s="88"/>
      <c r="BVG53" s="88"/>
      <c r="BVH53" s="88"/>
      <c r="BVI53" s="88"/>
      <c r="BVJ53" s="88"/>
      <c r="BVK53" s="88"/>
      <c r="BVL53" s="88"/>
      <c r="BVM53" s="88"/>
      <c r="BVN53" s="88"/>
      <c r="BVO53" s="88"/>
      <c r="BVP53" s="88"/>
      <c r="BVQ53" s="88"/>
      <c r="BVR53" s="88"/>
      <c r="BVS53" s="88"/>
      <c r="BVT53" s="88"/>
      <c r="BVU53" s="88"/>
      <c r="BVV53" s="88"/>
      <c r="BVW53" s="88"/>
      <c r="BVX53" s="88"/>
      <c r="BVY53" s="88"/>
      <c r="BVZ53" s="88"/>
      <c r="BWA53" s="88"/>
      <c r="BWB53" s="88"/>
      <c r="BWC53" s="88"/>
      <c r="BWD53" s="88"/>
      <c r="BWE53" s="88"/>
      <c r="BWF53" s="88"/>
      <c r="BWG53" s="88"/>
      <c r="BWH53" s="88"/>
      <c r="BWI53" s="88"/>
      <c r="BWJ53" s="88"/>
      <c r="BWK53" s="88"/>
      <c r="BWL53" s="88"/>
      <c r="BWM53" s="88"/>
      <c r="BWN53" s="88"/>
      <c r="BWO53" s="88"/>
      <c r="BWP53" s="88"/>
      <c r="BWQ53" s="88"/>
      <c r="BWR53" s="88"/>
      <c r="BWS53" s="88"/>
      <c r="BWT53" s="88"/>
      <c r="BWU53" s="88"/>
      <c r="BWV53" s="88"/>
      <c r="BWW53" s="88"/>
      <c r="BWX53" s="88"/>
      <c r="BWY53" s="88"/>
      <c r="BWZ53" s="88"/>
      <c r="BXA53" s="88"/>
      <c r="BXB53" s="88"/>
      <c r="BXC53" s="88"/>
      <c r="BXD53" s="88"/>
      <c r="BXE53" s="88"/>
      <c r="BXF53" s="88"/>
      <c r="BXG53" s="88"/>
      <c r="BXH53" s="88"/>
      <c r="BXI53" s="88"/>
      <c r="BXJ53" s="88"/>
      <c r="BXK53" s="88"/>
      <c r="BXL53" s="88"/>
      <c r="BXM53" s="88"/>
      <c r="BXN53" s="88"/>
      <c r="BXO53" s="88"/>
      <c r="BXP53" s="88"/>
      <c r="BXQ53" s="88"/>
      <c r="BXR53" s="88"/>
      <c r="BXS53" s="88"/>
      <c r="BXT53" s="88"/>
      <c r="BXU53" s="88"/>
      <c r="BXV53" s="88"/>
      <c r="BXW53" s="88"/>
      <c r="BXX53" s="88"/>
      <c r="BXY53" s="88"/>
      <c r="BXZ53" s="88"/>
      <c r="BYA53" s="88"/>
      <c r="BYB53" s="88"/>
      <c r="BYC53" s="88"/>
      <c r="BYD53" s="88"/>
      <c r="BYE53" s="88"/>
      <c r="BYF53" s="88"/>
      <c r="BYG53" s="88"/>
      <c r="BYH53" s="88"/>
      <c r="BYI53" s="88"/>
      <c r="BYJ53" s="88"/>
      <c r="BYK53" s="88"/>
      <c r="BYL53" s="88"/>
      <c r="BYM53" s="88"/>
      <c r="BYN53" s="88"/>
      <c r="BYO53" s="88"/>
      <c r="BYP53" s="88"/>
      <c r="BYQ53" s="88"/>
      <c r="BYR53" s="88"/>
      <c r="BYS53" s="88"/>
      <c r="BYT53" s="88"/>
      <c r="BYU53" s="88"/>
      <c r="BYV53" s="88"/>
      <c r="BYW53" s="88"/>
      <c r="BYX53" s="88"/>
      <c r="BYY53" s="88"/>
      <c r="BYZ53" s="88"/>
      <c r="BZA53" s="88"/>
      <c r="BZB53" s="88"/>
      <c r="BZC53" s="88"/>
      <c r="BZD53" s="88"/>
      <c r="BZE53" s="88"/>
      <c r="BZF53" s="88"/>
      <c r="BZG53" s="88"/>
      <c r="BZH53" s="88"/>
      <c r="BZI53" s="88"/>
      <c r="BZJ53" s="88"/>
      <c r="BZK53" s="88"/>
      <c r="BZL53" s="88"/>
      <c r="BZM53" s="88"/>
      <c r="BZN53" s="88"/>
      <c r="BZO53" s="88"/>
      <c r="BZP53" s="88"/>
      <c r="BZQ53" s="88"/>
      <c r="BZR53" s="88"/>
      <c r="BZS53" s="88"/>
      <c r="BZT53" s="88"/>
      <c r="BZU53" s="88"/>
      <c r="BZV53" s="88"/>
      <c r="BZW53" s="88"/>
      <c r="BZX53" s="88"/>
      <c r="BZY53" s="88"/>
      <c r="BZZ53" s="88"/>
      <c r="CAA53" s="88"/>
      <c r="CAB53" s="88"/>
      <c r="CAC53" s="88"/>
      <c r="CAD53" s="88"/>
      <c r="CAE53" s="88"/>
      <c r="CAF53" s="88"/>
      <c r="CAG53" s="88"/>
      <c r="CAH53" s="88"/>
      <c r="CAI53" s="88"/>
      <c r="CAJ53" s="88"/>
      <c r="CAK53" s="88"/>
      <c r="CAL53" s="88"/>
      <c r="CAM53" s="88"/>
      <c r="CAN53" s="88"/>
      <c r="CAO53" s="88"/>
      <c r="CAP53" s="88"/>
      <c r="CAQ53" s="88"/>
      <c r="CAR53" s="88"/>
      <c r="CAS53" s="88"/>
      <c r="CAT53" s="88"/>
      <c r="CAU53" s="88"/>
      <c r="CAV53" s="88"/>
      <c r="CAW53" s="88"/>
      <c r="CAX53" s="88"/>
      <c r="CAY53" s="88"/>
      <c r="CAZ53" s="88"/>
      <c r="CBA53" s="88"/>
      <c r="CBB53" s="88"/>
      <c r="CBC53" s="88"/>
      <c r="CBD53" s="88"/>
      <c r="CBE53" s="88"/>
      <c r="CBF53" s="88"/>
      <c r="CBG53" s="88"/>
      <c r="CBH53" s="88"/>
      <c r="CBI53" s="88"/>
      <c r="CBJ53" s="88"/>
      <c r="CBK53" s="88"/>
      <c r="CBL53" s="88"/>
      <c r="CBM53" s="88"/>
      <c r="CBN53" s="88"/>
      <c r="CBO53" s="88"/>
      <c r="CBP53" s="88"/>
      <c r="CBQ53" s="88"/>
      <c r="CBR53" s="88"/>
      <c r="CBS53" s="88"/>
      <c r="CBT53" s="88"/>
      <c r="CBU53" s="88"/>
      <c r="CBV53" s="88"/>
      <c r="CBW53" s="88"/>
      <c r="CBX53" s="88"/>
      <c r="CBY53" s="88"/>
      <c r="CBZ53" s="88"/>
      <c r="CCA53" s="88"/>
      <c r="CCB53" s="88"/>
      <c r="CCC53" s="88"/>
      <c r="CCD53" s="88"/>
      <c r="CCE53" s="88"/>
      <c r="CCF53" s="88"/>
      <c r="CCG53" s="88"/>
      <c r="CCH53" s="88"/>
      <c r="CCI53" s="88"/>
      <c r="CCJ53" s="88"/>
      <c r="CCK53" s="88"/>
      <c r="CCL53" s="88"/>
      <c r="CCM53" s="88"/>
      <c r="CCN53" s="88"/>
      <c r="CCO53" s="88"/>
      <c r="CCP53" s="88"/>
      <c r="CCQ53" s="88"/>
      <c r="CCR53" s="88"/>
      <c r="CCS53" s="88"/>
      <c r="CCT53" s="88"/>
      <c r="CCU53" s="88"/>
      <c r="CCV53" s="88"/>
      <c r="CCW53" s="88"/>
      <c r="CCX53" s="88"/>
      <c r="CCY53" s="88"/>
      <c r="CCZ53" s="88"/>
      <c r="CDA53" s="88"/>
      <c r="CDB53" s="88"/>
      <c r="CDC53" s="88"/>
      <c r="CDD53" s="88"/>
      <c r="CDE53" s="88"/>
      <c r="CDF53" s="88"/>
      <c r="CDG53" s="88"/>
      <c r="CDH53" s="88"/>
      <c r="CDI53" s="88"/>
      <c r="CDJ53" s="88"/>
      <c r="CDK53" s="88"/>
      <c r="CDL53" s="88"/>
      <c r="CDM53" s="88"/>
      <c r="CDN53" s="88"/>
      <c r="CDO53" s="88"/>
      <c r="CDP53" s="88"/>
      <c r="CDQ53" s="88"/>
      <c r="CDR53" s="88"/>
      <c r="CDS53" s="88"/>
      <c r="CDT53" s="88"/>
      <c r="CDU53" s="88"/>
      <c r="CDV53" s="88"/>
      <c r="CDW53" s="88"/>
      <c r="CDX53" s="88"/>
      <c r="CDY53" s="88"/>
      <c r="CDZ53" s="88"/>
      <c r="CEA53" s="88"/>
      <c r="CEB53" s="88"/>
      <c r="CEC53" s="88"/>
      <c r="CED53" s="88"/>
      <c r="CEE53" s="88"/>
      <c r="CEF53" s="88"/>
      <c r="CEG53" s="88"/>
      <c r="CEH53" s="88"/>
      <c r="CEI53" s="88"/>
      <c r="CEJ53" s="88"/>
      <c r="CEK53" s="88"/>
    </row>
    <row r="54" spans="1:2169" s="63" customFormat="1">
      <c r="A54" s="522" t="s">
        <v>9578</v>
      </c>
      <c r="B54" s="708" t="s">
        <v>9679</v>
      </c>
      <c r="C54" s="68" t="str">
        <f>IF('page 2'!$O$4="","",IF('page 2'!$O$4=Gestion!A54,1,0))</f>
        <v/>
      </c>
      <c r="D54" s="68" t="str">
        <f>IF('page 2'!$O$5="","",IF('page 2'!$O$5=Gestion!A54,1,0))</f>
        <v/>
      </c>
      <c r="E54" s="68" t="str">
        <f>IF('page 2'!$O$6="","",IF('page 2'!$O$6=Gestion!A54,1,0))</f>
        <v/>
      </c>
      <c r="F54" s="68" t="str">
        <f>IF('page 2'!$O$7="","",IF('page 2'!$O$7=Gestion!A54,1,0))</f>
        <v/>
      </c>
      <c r="G54" s="68" t="str">
        <f>IF('page 2'!$O$8="","",IF('page 2'!$O$8=Gestion!A54,1,0))</f>
        <v/>
      </c>
      <c r="H54" s="68" t="str">
        <f>IF('page 2'!$O$9="","",IF('page 2'!$O$9=Gestion!A54,1,0))</f>
        <v/>
      </c>
      <c r="I54" s="68" t="str">
        <f>IF('page 2'!$O$10="","",IF('page 2'!$O$10=Gestion!A54,1,0))</f>
        <v/>
      </c>
      <c r="J54" s="68" t="str">
        <f>IF('page 2'!$O$11="","",IF('page 2'!$O$11=Gestion!A54,1,0))</f>
        <v/>
      </c>
      <c r="K54" s="68" t="str">
        <f>IF('page 2'!$O$12="","",IF('page 2'!$O$12=Gestion!A54,1,0))</f>
        <v/>
      </c>
      <c r="L54" s="68" t="str">
        <f>IF('page 2'!$O$13="","",IF('page 2'!$O$13=Gestion!A54,1,0))</f>
        <v/>
      </c>
      <c r="M54" s="68" t="str">
        <f>IF('page 2'!$O$14="","",IF('page 2'!$O$14=Gestion!A54,1,0))</f>
        <v/>
      </c>
      <c r="N54" s="68" t="str">
        <f>IF('page 2'!$O$15="","",IF('page 2'!$O$15=Gestion!A54,1,0))</f>
        <v/>
      </c>
      <c r="O54" s="68" t="str">
        <f>IF('page 2'!$O$16="","",IF('page 2'!$O$16=Gestion!A54,1,0))</f>
        <v/>
      </c>
      <c r="P54" s="68" t="str">
        <f>IF('page 2'!$O$17="","",IF('page 2'!$O$17=Gestion!A54,1,0))</f>
        <v/>
      </c>
      <c r="Q54" s="68" t="str">
        <f>IF('page 2'!$O$18="","",IF('page 2'!$O$18=Gestion!A54,1,0))</f>
        <v/>
      </c>
      <c r="R54" s="68" t="str">
        <f>IF('page 2'!$O$19="","",IF('page 2'!$O$19=Gestion!A54,1,0))</f>
        <v/>
      </c>
      <c r="S54" s="68" t="str">
        <f>IF('page 2'!$O$20="","",IF('page 2'!$O$20=Gestion!A54,1,0))</f>
        <v/>
      </c>
      <c r="T54" s="68" t="str">
        <f>IF('page 2'!$O$25="","",IF('page 2'!$O$25=Gestion!A54,1,0))</f>
        <v/>
      </c>
      <c r="U54" s="68" t="str">
        <f>IF('page 2'!$O$26="","",IF('page 2'!$O$26=Gestion!A54,1,0))</f>
        <v/>
      </c>
      <c r="V54" s="68" t="str">
        <f>IF('page 2'!$O$27="","",IF('page 2'!$O$27=Gestion!A54,1,0))</f>
        <v/>
      </c>
      <c r="W54" s="722">
        <f t="shared" ref="W54" si="10">SUM(C54:V54)</f>
        <v>0</v>
      </c>
      <c r="X54" s="714"/>
      <c r="Y54" s="68"/>
      <c r="Z54" s="68"/>
      <c r="AA54" s="68"/>
      <c r="AB54" s="68"/>
      <c r="AC54" s="68"/>
      <c r="AD54" s="68"/>
      <c r="AP54" s="469"/>
      <c r="AQ54" s="469"/>
      <c r="AR54" s="469"/>
      <c r="AS54" s="576"/>
      <c r="AT54" s="576"/>
      <c r="AU54" s="576"/>
      <c r="AV54" s="576"/>
      <c r="AW54" s="602"/>
      <c r="AX54" s="602"/>
      <c r="AY54" s="576"/>
      <c r="AZ54" s="576"/>
      <c r="BA54" s="576"/>
      <c r="BB54" s="576"/>
      <c r="BC54" s="576"/>
      <c r="BD54" s="602"/>
      <c r="BE54" s="602"/>
      <c r="BF54" s="602"/>
      <c r="BG54" s="602"/>
      <c r="BH54" s="602"/>
      <c r="BI54" s="602"/>
      <c r="BJ54" s="602"/>
      <c r="BK54" s="602"/>
      <c r="BL54" s="602"/>
      <c r="BM54" s="602"/>
      <c r="BN54" s="602"/>
      <c r="BO54" s="602"/>
      <c r="BP54" s="602"/>
      <c r="BQ54" s="602"/>
      <c r="BR54" s="602"/>
      <c r="BS54" s="576"/>
      <c r="BT54" s="576"/>
      <c r="BU54" s="576"/>
      <c r="BV54" s="576"/>
      <c r="BW54" s="602"/>
      <c r="BX54" s="602"/>
      <c r="BY54" s="602"/>
      <c r="BZ54" s="576"/>
      <c r="CA54" s="602"/>
      <c r="CB54" s="602"/>
      <c r="CC54" s="576"/>
      <c r="CD54" s="602"/>
      <c r="CE54" s="602"/>
      <c r="CF54" s="576"/>
      <c r="CG54" s="576"/>
      <c r="CH54" s="576"/>
      <c r="CI54" s="576"/>
      <c r="CJ54" s="576"/>
      <c r="CK54" s="602"/>
      <c r="CL54" s="602"/>
      <c r="CM54" s="576"/>
      <c r="CN54" s="602"/>
      <c r="CO54" s="602"/>
      <c r="CP54" s="602"/>
      <c r="CQ54" s="576"/>
      <c r="CR54" s="576"/>
      <c r="CS54" s="602"/>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c r="IW54" s="88"/>
      <c r="IX54" s="88"/>
      <c r="IY54" s="88"/>
      <c r="IZ54" s="88"/>
      <c r="JA54" s="88"/>
      <c r="JB54" s="88"/>
      <c r="JC54" s="88"/>
      <c r="JD54" s="88"/>
      <c r="JE54" s="88"/>
      <c r="JF54" s="88"/>
      <c r="JG54" s="88"/>
      <c r="JH54" s="88"/>
      <c r="JI54" s="88"/>
      <c r="JJ54" s="88"/>
      <c r="JK54" s="88"/>
      <c r="JL54" s="88"/>
      <c r="JM54" s="88"/>
      <c r="JN54" s="88"/>
      <c r="JO54" s="88"/>
      <c r="JP54" s="88"/>
      <c r="JQ54" s="88"/>
      <c r="JR54" s="88"/>
      <c r="JS54" s="88"/>
      <c r="JT54" s="88"/>
      <c r="JU54" s="88"/>
      <c r="JV54" s="88"/>
      <c r="JW54" s="88"/>
      <c r="JX54" s="88"/>
      <c r="JY54" s="88"/>
      <c r="JZ54" s="88"/>
      <c r="KA54" s="88"/>
      <c r="KB54" s="88"/>
      <c r="KC54" s="88"/>
      <c r="KD54" s="88"/>
      <c r="KE54" s="88"/>
      <c r="KF54" s="88"/>
      <c r="KG54" s="88"/>
      <c r="KH54" s="88"/>
      <c r="KI54" s="88"/>
      <c r="KJ54" s="88"/>
      <c r="KK54" s="88"/>
      <c r="KL54" s="88"/>
      <c r="KM54" s="88"/>
      <c r="KN54" s="88"/>
      <c r="KO54" s="88"/>
      <c r="KP54" s="88"/>
      <c r="KQ54" s="88"/>
      <c r="KR54" s="88"/>
      <c r="KS54" s="88"/>
      <c r="KT54" s="88"/>
      <c r="KU54" s="88"/>
      <c r="KV54" s="88"/>
      <c r="KW54" s="88"/>
      <c r="KX54" s="88"/>
      <c r="KY54" s="88"/>
      <c r="KZ54" s="88"/>
      <c r="LA54" s="88"/>
      <c r="LB54" s="88"/>
      <c r="LC54" s="88"/>
      <c r="LD54" s="88"/>
      <c r="LE54" s="88"/>
      <c r="LF54" s="88"/>
      <c r="LG54" s="88"/>
      <c r="LH54" s="88"/>
      <c r="LI54" s="88"/>
      <c r="LJ54" s="88"/>
      <c r="LK54" s="88"/>
      <c r="LL54" s="88"/>
      <c r="LM54" s="88"/>
      <c r="LN54" s="88"/>
      <c r="LO54" s="88"/>
      <c r="LP54" s="88"/>
      <c r="LQ54" s="88"/>
      <c r="LR54" s="88"/>
      <c r="LS54" s="88"/>
      <c r="LT54" s="88"/>
      <c r="LU54" s="88"/>
      <c r="LV54" s="88"/>
      <c r="LW54" s="88"/>
      <c r="LX54" s="88"/>
      <c r="LY54" s="88"/>
      <c r="LZ54" s="88"/>
      <c r="MA54" s="88"/>
      <c r="MB54" s="88"/>
      <c r="MC54" s="88"/>
      <c r="MD54" s="88"/>
      <c r="ME54" s="88"/>
      <c r="MF54" s="88"/>
      <c r="MG54" s="88"/>
      <c r="MH54" s="88"/>
      <c r="MI54" s="88"/>
      <c r="MJ54" s="88"/>
      <c r="MK54" s="88"/>
      <c r="ML54" s="88"/>
      <c r="MM54" s="88"/>
      <c r="MN54" s="88"/>
      <c r="MO54" s="88"/>
      <c r="MP54" s="88"/>
      <c r="MQ54" s="88"/>
      <c r="MR54" s="88"/>
      <c r="MS54" s="88"/>
      <c r="MT54" s="88"/>
      <c r="MU54" s="88"/>
      <c r="MV54" s="88"/>
      <c r="MW54" s="88"/>
      <c r="MX54" s="88"/>
      <c r="MY54" s="88"/>
      <c r="MZ54" s="88"/>
      <c r="NA54" s="88"/>
      <c r="NB54" s="88"/>
      <c r="NC54" s="88"/>
      <c r="ND54" s="88"/>
      <c r="NE54" s="88"/>
      <c r="NF54" s="88"/>
      <c r="NG54" s="88"/>
      <c r="NH54" s="88"/>
      <c r="NI54" s="88"/>
      <c r="NJ54" s="88"/>
      <c r="NK54" s="88"/>
      <c r="NL54" s="88"/>
      <c r="NM54" s="88"/>
      <c r="NN54" s="88"/>
      <c r="NO54" s="88"/>
      <c r="NP54" s="88"/>
      <c r="NQ54" s="88"/>
      <c r="NR54" s="88"/>
      <c r="NS54" s="88"/>
      <c r="NT54" s="88"/>
      <c r="NU54" s="88"/>
      <c r="NV54" s="88"/>
      <c r="NW54" s="88"/>
      <c r="NX54" s="88"/>
      <c r="NY54" s="88"/>
      <c r="NZ54" s="88"/>
      <c r="OA54" s="88"/>
      <c r="OB54" s="88"/>
      <c r="OC54" s="88"/>
      <c r="OD54" s="88"/>
      <c r="OE54" s="88"/>
      <c r="OF54" s="88"/>
      <c r="OG54" s="88"/>
      <c r="OH54" s="88"/>
      <c r="OI54" s="88"/>
      <c r="OJ54" s="88"/>
      <c r="OK54" s="88"/>
      <c r="OL54" s="88"/>
      <c r="OM54" s="88"/>
      <c r="ON54" s="88"/>
      <c r="OO54" s="88"/>
      <c r="OP54" s="88"/>
      <c r="OQ54" s="88"/>
      <c r="OR54" s="88"/>
      <c r="OS54" s="88"/>
      <c r="OT54" s="88"/>
      <c r="OU54" s="88"/>
      <c r="OV54" s="88"/>
      <c r="OW54" s="88"/>
      <c r="OX54" s="88"/>
      <c r="OY54" s="88"/>
      <c r="OZ54" s="88"/>
      <c r="PA54" s="88"/>
      <c r="PB54" s="88"/>
      <c r="PC54" s="88"/>
      <c r="PD54" s="88"/>
      <c r="PE54" s="88"/>
      <c r="PF54" s="88"/>
      <c r="PG54" s="88"/>
      <c r="PH54" s="88"/>
      <c r="PI54" s="88"/>
      <c r="PJ54" s="88"/>
      <c r="PK54" s="88"/>
      <c r="PL54" s="88"/>
      <c r="PM54" s="88"/>
      <c r="PN54" s="88"/>
      <c r="PO54" s="88"/>
      <c r="PP54" s="88"/>
      <c r="PQ54" s="88"/>
      <c r="PR54" s="88"/>
      <c r="PS54" s="88"/>
      <c r="PT54" s="88"/>
      <c r="PU54" s="88"/>
      <c r="PV54" s="88"/>
      <c r="PW54" s="88"/>
      <c r="PX54" s="88"/>
      <c r="PY54" s="88"/>
      <c r="PZ54" s="88"/>
      <c r="QA54" s="88"/>
      <c r="QB54" s="88"/>
      <c r="QC54" s="88"/>
      <c r="QD54" s="88"/>
      <c r="QE54" s="88"/>
      <c r="QF54" s="88"/>
      <c r="QG54" s="88"/>
      <c r="QH54" s="88"/>
      <c r="QI54" s="88"/>
      <c r="QJ54" s="88"/>
      <c r="QK54" s="88"/>
      <c r="QL54" s="88"/>
      <c r="QM54" s="88"/>
      <c r="QN54" s="88"/>
      <c r="QO54" s="88"/>
      <c r="QP54" s="88"/>
      <c r="QQ54" s="88"/>
      <c r="QR54" s="88"/>
      <c r="QS54" s="88"/>
      <c r="QT54" s="88"/>
      <c r="QU54" s="88"/>
      <c r="QV54" s="88"/>
      <c r="QW54" s="88"/>
      <c r="QX54" s="88"/>
      <c r="QY54" s="88"/>
      <c r="QZ54" s="88"/>
      <c r="RA54" s="88"/>
      <c r="RB54" s="88"/>
      <c r="RC54" s="88"/>
      <c r="RD54" s="88"/>
      <c r="RE54" s="88"/>
      <c r="RF54" s="88"/>
      <c r="RG54" s="88"/>
      <c r="RH54" s="88"/>
      <c r="RI54" s="88"/>
      <c r="RJ54" s="88"/>
      <c r="RK54" s="88"/>
      <c r="RL54" s="88"/>
      <c r="RM54" s="88"/>
      <c r="RN54" s="88"/>
      <c r="RO54" s="88"/>
      <c r="RP54" s="88"/>
      <c r="RQ54" s="88"/>
      <c r="RR54" s="88"/>
      <c r="RS54" s="88"/>
      <c r="RT54" s="88"/>
      <c r="RU54" s="88"/>
      <c r="RV54" s="88"/>
      <c r="RW54" s="88"/>
      <c r="RX54" s="88"/>
      <c r="RY54" s="88"/>
      <c r="RZ54" s="88"/>
      <c r="SA54" s="88"/>
      <c r="SB54" s="88"/>
      <c r="SC54" s="88"/>
      <c r="SD54" s="88"/>
      <c r="SE54" s="88"/>
      <c r="SF54" s="88"/>
      <c r="SG54" s="88"/>
      <c r="SH54" s="88"/>
      <c r="SI54" s="88"/>
      <c r="SJ54" s="88"/>
      <c r="SK54" s="88"/>
      <c r="SL54" s="88"/>
      <c r="SM54" s="88"/>
      <c r="SN54" s="88"/>
      <c r="SO54" s="88"/>
      <c r="SP54" s="88"/>
      <c r="SQ54" s="88"/>
      <c r="SR54" s="88"/>
      <c r="SS54" s="88"/>
      <c r="ST54" s="88"/>
      <c r="SU54" s="88"/>
      <c r="SV54" s="88"/>
      <c r="SW54" s="88"/>
      <c r="SX54" s="88"/>
      <c r="SY54" s="88"/>
      <c r="SZ54" s="88"/>
      <c r="TA54" s="88"/>
      <c r="TB54" s="88"/>
      <c r="TC54" s="88"/>
      <c r="TD54" s="88"/>
      <c r="TE54" s="88"/>
      <c r="TF54" s="88"/>
      <c r="TG54" s="88"/>
      <c r="TH54" s="88"/>
      <c r="TI54" s="88"/>
      <c r="TJ54" s="88"/>
      <c r="TK54" s="88"/>
      <c r="TL54" s="88"/>
      <c r="TM54" s="88"/>
      <c r="TN54" s="88"/>
      <c r="TO54" s="88"/>
      <c r="TP54" s="88"/>
      <c r="TQ54" s="88"/>
      <c r="TR54" s="88"/>
      <c r="TS54" s="88"/>
      <c r="TT54" s="88"/>
      <c r="TU54" s="88"/>
      <c r="TV54" s="88"/>
      <c r="TW54" s="88"/>
      <c r="TX54" s="88"/>
      <c r="TY54" s="88"/>
      <c r="TZ54" s="88"/>
      <c r="UA54" s="88"/>
      <c r="UB54" s="88"/>
      <c r="UC54" s="88"/>
      <c r="UD54" s="88"/>
      <c r="UE54" s="88"/>
      <c r="UF54" s="88"/>
      <c r="UG54" s="88"/>
      <c r="UH54" s="88"/>
      <c r="UI54" s="88"/>
      <c r="UJ54" s="88"/>
      <c r="UK54" s="88"/>
      <c r="UL54" s="88"/>
      <c r="UM54" s="88"/>
      <c r="UN54" s="88"/>
      <c r="UO54" s="88"/>
      <c r="UP54" s="88"/>
      <c r="UQ54" s="88"/>
      <c r="UR54" s="88"/>
      <c r="US54" s="88"/>
      <c r="UT54" s="88"/>
      <c r="UU54" s="88"/>
      <c r="UV54" s="88"/>
      <c r="UW54" s="88"/>
      <c r="UX54" s="88"/>
      <c r="UY54" s="88"/>
      <c r="UZ54" s="88"/>
      <c r="VA54" s="88"/>
      <c r="VB54" s="88"/>
      <c r="VC54" s="88"/>
      <c r="VD54" s="88"/>
      <c r="VE54" s="88"/>
      <c r="VF54" s="88"/>
      <c r="VG54" s="88"/>
      <c r="VH54" s="88"/>
      <c r="VI54" s="88"/>
      <c r="VJ54" s="88"/>
      <c r="VK54" s="88"/>
      <c r="VL54" s="88"/>
      <c r="VM54" s="88"/>
      <c r="VN54" s="88"/>
      <c r="VO54" s="88"/>
      <c r="VP54" s="88"/>
      <c r="VQ54" s="88"/>
      <c r="VR54" s="88"/>
      <c r="VS54" s="88"/>
      <c r="VT54" s="88"/>
      <c r="VU54" s="88"/>
      <c r="VV54" s="88"/>
      <c r="VW54" s="88"/>
      <c r="VX54" s="88"/>
      <c r="VY54" s="88"/>
      <c r="VZ54" s="88"/>
      <c r="WA54" s="88"/>
      <c r="WB54" s="88"/>
      <c r="WC54" s="88"/>
      <c r="WD54" s="88"/>
      <c r="WE54" s="88"/>
      <c r="WF54" s="88"/>
      <c r="WG54" s="88"/>
      <c r="WH54" s="88"/>
      <c r="WI54" s="88"/>
      <c r="WJ54" s="88"/>
      <c r="WK54" s="88"/>
      <c r="WL54" s="88"/>
      <c r="WM54" s="88"/>
      <c r="WN54" s="88"/>
      <c r="WO54" s="88"/>
      <c r="WP54" s="88"/>
      <c r="WQ54" s="88"/>
      <c r="WR54" s="88"/>
      <c r="WS54" s="88"/>
      <c r="WT54" s="88"/>
      <c r="WU54" s="88"/>
      <c r="WV54" s="88"/>
      <c r="WW54" s="88"/>
      <c r="WX54" s="88"/>
      <c r="WY54" s="88"/>
      <c r="WZ54" s="88"/>
      <c r="XA54" s="88"/>
      <c r="XB54" s="88"/>
      <c r="XC54" s="88"/>
      <c r="XD54" s="88"/>
      <c r="XE54" s="88"/>
      <c r="XF54" s="88"/>
      <c r="XG54" s="88"/>
      <c r="XH54" s="88"/>
      <c r="XI54" s="88"/>
      <c r="XJ54" s="88"/>
      <c r="XK54" s="88"/>
      <c r="XL54" s="88"/>
      <c r="XM54" s="88"/>
      <c r="XN54" s="88"/>
      <c r="XO54" s="88"/>
      <c r="XP54" s="88"/>
      <c r="XQ54" s="88"/>
      <c r="XR54" s="88"/>
      <c r="XS54" s="88"/>
      <c r="XT54" s="88"/>
      <c r="XU54" s="88"/>
      <c r="XV54" s="88"/>
      <c r="XW54" s="88"/>
      <c r="XX54" s="88"/>
      <c r="XY54" s="88"/>
      <c r="XZ54" s="88"/>
      <c r="YA54" s="88"/>
      <c r="YB54" s="88"/>
      <c r="YC54" s="88"/>
      <c r="YD54" s="88"/>
      <c r="YE54" s="88"/>
      <c r="YF54" s="88"/>
      <c r="YG54" s="88"/>
      <c r="YH54" s="88"/>
      <c r="YI54" s="88"/>
      <c r="YJ54" s="88"/>
      <c r="YK54" s="88"/>
      <c r="YL54" s="88"/>
      <c r="YM54" s="88"/>
      <c r="YN54" s="88"/>
      <c r="YO54" s="88"/>
      <c r="YP54" s="88"/>
      <c r="YQ54" s="88"/>
      <c r="YR54" s="88"/>
      <c r="YS54" s="88"/>
      <c r="YT54" s="88"/>
      <c r="YU54" s="88"/>
      <c r="YV54" s="88"/>
      <c r="YW54" s="88"/>
      <c r="YX54" s="88"/>
      <c r="YY54" s="88"/>
      <c r="YZ54" s="88"/>
      <c r="ZA54" s="88"/>
      <c r="ZB54" s="88"/>
      <c r="ZC54" s="88"/>
      <c r="ZD54" s="88"/>
      <c r="ZE54" s="88"/>
      <c r="ZF54" s="88"/>
      <c r="ZG54" s="88"/>
      <c r="ZH54" s="88"/>
      <c r="ZI54" s="88"/>
      <c r="ZJ54" s="88"/>
      <c r="ZK54" s="88"/>
      <c r="ZL54" s="88"/>
      <c r="ZM54" s="88"/>
      <c r="ZN54" s="88"/>
      <c r="ZO54" s="88"/>
      <c r="ZP54" s="88"/>
      <c r="ZQ54" s="88"/>
      <c r="ZR54" s="88"/>
      <c r="ZS54" s="88"/>
      <c r="ZT54" s="88"/>
      <c r="ZU54" s="88"/>
      <c r="ZV54" s="88"/>
      <c r="ZW54" s="88"/>
      <c r="ZX54" s="88"/>
      <c r="ZY54" s="88"/>
      <c r="ZZ54" s="88"/>
      <c r="AAA54" s="88"/>
      <c r="AAB54" s="88"/>
      <c r="AAC54" s="88"/>
      <c r="AAD54" s="88"/>
      <c r="AAE54" s="88"/>
      <c r="AAF54" s="88"/>
      <c r="AAG54" s="88"/>
      <c r="AAH54" s="88"/>
      <c r="AAI54" s="88"/>
      <c r="AAJ54" s="88"/>
      <c r="AAK54" s="88"/>
      <c r="AAL54" s="88"/>
      <c r="AAM54" s="88"/>
      <c r="AAN54" s="88"/>
      <c r="AAO54" s="88"/>
      <c r="AAP54" s="88"/>
      <c r="AAQ54" s="88"/>
      <c r="AAR54" s="88"/>
      <c r="AAS54" s="88"/>
      <c r="AAT54" s="88"/>
      <c r="AAU54" s="88"/>
      <c r="AAV54" s="88"/>
      <c r="AAW54" s="88"/>
      <c r="AAX54" s="88"/>
      <c r="AAY54" s="88"/>
      <c r="AAZ54" s="88"/>
      <c r="ABA54" s="88"/>
      <c r="ABB54" s="88"/>
      <c r="ABC54" s="88"/>
      <c r="ABD54" s="88"/>
      <c r="ABE54" s="88"/>
      <c r="ABF54" s="88"/>
      <c r="ABG54" s="88"/>
      <c r="ABH54" s="88"/>
      <c r="ABI54" s="88"/>
      <c r="ABJ54" s="88"/>
      <c r="ABK54" s="88"/>
      <c r="ABL54" s="88"/>
      <c r="ABM54" s="88"/>
      <c r="ABN54" s="88"/>
      <c r="ABO54" s="88"/>
      <c r="ABP54" s="88"/>
      <c r="ABQ54" s="88"/>
      <c r="ABR54" s="88"/>
      <c r="ABS54" s="88"/>
      <c r="ABT54" s="88"/>
      <c r="ABU54" s="88"/>
      <c r="ABV54" s="88"/>
      <c r="ABW54" s="88"/>
      <c r="ABX54" s="88"/>
      <c r="ABY54" s="88"/>
      <c r="ABZ54" s="88"/>
      <c r="ACA54" s="88"/>
      <c r="ACB54" s="88"/>
      <c r="ACC54" s="88"/>
      <c r="ACD54" s="88"/>
      <c r="ACE54" s="88"/>
      <c r="ACF54" s="88"/>
      <c r="ACG54" s="88"/>
      <c r="ACH54" s="88"/>
      <c r="ACI54" s="88"/>
      <c r="ACJ54" s="88"/>
      <c r="ACK54" s="88"/>
      <c r="ACL54" s="88"/>
      <c r="ACM54" s="88"/>
      <c r="ACN54" s="88"/>
      <c r="ACO54" s="88"/>
      <c r="ACP54" s="88"/>
      <c r="ACQ54" s="88"/>
      <c r="ACR54" s="88"/>
      <c r="ACS54" s="88"/>
      <c r="ACT54" s="88"/>
      <c r="ACU54" s="88"/>
      <c r="ACV54" s="88"/>
      <c r="ACW54" s="88"/>
      <c r="ACX54" s="88"/>
      <c r="ACY54" s="88"/>
      <c r="ACZ54" s="88"/>
      <c r="ADA54" s="88"/>
      <c r="ADB54" s="88"/>
      <c r="ADC54" s="88"/>
      <c r="ADD54" s="88"/>
      <c r="ADE54" s="88"/>
      <c r="ADF54" s="88"/>
      <c r="ADG54" s="88"/>
      <c r="ADH54" s="88"/>
      <c r="ADI54" s="88"/>
      <c r="ADJ54" s="88"/>
      <c r="ADK54" s="88"/>
      <c r="ADL54" s="88"/>
      <c r="ADM54" s="88"/>
      <c r="ADN54" s="88"/>
      <c r="ADO54" s="88"/>
      <c r="ADP54" s="88"/>
      <c r="ADQ54" s="88"/>
      <c r="ADR54" s="88"/>
      <c r="ADS54" s="88"/>
      <c r="ADT54" s="88"/>
      <c r="ADU54" s="88"/>
      <c r="ADV54" s="88"/>
      <c r="ADW54" s="88"/>
      <c r="ADX54" s="88"/>
      <c r="ADY54" s="88"/>
      <c r="ADZ54" s="88"/>
      <c r="AEA54" s="88"/>
      <c r="AEB54" s="88"/>
      <c r="AEC54" s="88"/>
      <c r="AED54" s="88"/>
      <c r="AEE54" s="88"/>
      <c r="AEF54" s="88"/>
      <c r="AEG54" s="88"/>
      <c r="AEH54" s="88"/>
      <c r="AEI54" s="88"/>
      <c r="AEJ54" s="88"/>
      <c r="AEK54" s="88"/>
      <c r="AEL54" s="88"/>
      <c r="AEM54" s="88"/>
      <c r="AEN54" s="88"/>
      <c r="AEO54" s="88"/>
      <c r="AEP54" s="88"/>
      <c r="AEQ54" s="88"/>
      <c r="AER54" s="88"/>
      <c r="AES54" s="88"/>
      <c r="AET54" s="88"/>
      <c r="AEU54" s="88"/>
      <c r="AEV54" s="88"/>
      <c r="AEW54" s="88"/>
      <c r="AEX54" s="88"/>
      <c r="AEY54" s="88"/>
      <c r="AEZ54" s="88"/>
      <c r="AFA54" s="88"/>
      <c r="AFB54" s="88"/>
      <c r="AFC54" s="88"/>
      <c r="AFD54" s="88"/>
      <c r="AFE54" s="88"/>
      <c r="AFF54" s="88"/>
      <c r="AFG54" s="88"/>
      <c r="AFH54" s="88"/>
      <c r="AFI54" s="88"/>
      <c r="AFJ54" s="88"/>
      <c r="AFK54" s="88"/>
      <c r="AFL54" s="88"/>
      <c r="AFM54" s="88"/>
      <c r="AFN54" s="88"/>
      <c r="AFO54" s="88"/>
      <c r="AFP54" s="88"/>
      <c r="AFQ54" s="88"/>
      <c r="AFR54" s="88"/>
      <c r="AFS54" s="88"/>
      <c r="AFT54" s="88"/>
      <c r="AFU54" s="88"/>
      <c r="AFV54" s="88"/>
      <c r="AFW54" s="88"/>
      <c r="AFX54" s="88"/>
      <c r="AFY54" s="88"/>
      <c r="AFZ54" s="88"/>
      <c r="AGA54" s="88"/>
      <c r="AGB54" s="88"/>
      <c r="AGC54" s="88"/>
      <c r="AGD54" s="88"/>
      <c r="AGE54" s="88"/>
      <c r="AGF54" s="88"/>
      <c r="AGG54" s="88"/>
      <c r="AGH54" s="88"/>
      <c r="AGI54" s="88"/>
      <c r="AGJ54" s="88"/>
      <c r="AGK54" s="88"/>
      <c r="AGL54" s="88"/>
      <c r="AGM54" s="88"/>
      <c r="AGN54" s="88"/>
      <c r="AGO54" s="88"/>
      <c r="AGP54" s="88"/>
      <c r="AGQ54" s="88"/>
      <c r="AGR54" s="88"/>
      <c r="AGS54" s="88"/>
      <c r="AGT54" s="88"/>
      <c r="AGU54" s="88"/>
      <c r="AGV54" s="88"/>
      <c r="AGW54" s="88"/>
      <c r="AGX54" s="88"/>
      <c r="AGY54" s="88"/>
      <c r="AGZ54" s="88"/>
      <c r="AHA54" s="88"/>
      <c r="AHB54" s="88"/>
      <c r="AHC54" s="88"/>
      <c r="AHD54" s="88"/>
      <c r="AHE54" s="88"/>
      <c r="AHF54" s="88"/>
      <c r="AHG54" s="88"/>
      <c r="AHH54" s="88"/>
      <c r="AHI54" s="88"/>
      <c r="AHJ54" s="88"/>
      <c r="AHK54" s="88"/>
      <c r="AHL54" s="88"/>
      <c r="AHM54" s="88"/>
      <c r="AHN54" s="88"/>
      <c r="AHO54" s="88"/>
      <c r="AHP54" s="88"/>
      <c r="AHQ54" s="88"/>
      <c r="AHR54" s="88"/>
      <c r="AHS54" s="88"/>
      <c r="AHT54" s="88"/>
      <c r="AHU54" s="88"/>
      <c r="AHV54" s="88"/>
      <c r="AHW54" s="88"/>
      <c r="AHX54" s="88"/>
      <c r="AHY54" s="88"/>
      <c r="AHZ54" s="88"/>
      <c r="AIA54" s="88"/>
      <c r="AIB54" s="88"/>
      <c r="AIC54" s="88"/>
      <c r="AID54" s="88"/>
      <c r="AIE54" s="88"/>
      <c r="AIF54" s="88"/>
      <c r="AIG54" s="88"/>
      <c r="AIH54" s="88"/>
      <c r="AII54" s="88"/>
      <c r="AIJ54" s="88"/>
      <c r="AIK54" s="88"/>
      <c r="AIL54" s="88"/>
      <c r="AIM54" s="88"/>
      <c r="AIN54" s="88"/>
      <c r="AIO54" s="88"/>
      <c r="AIP54" s="88"/>
      <c r="AIQ54" s="88"/>
      <c r="AIR54" s="88"/>
      <c r="AIS54" s="88"/>
      <c r="AIT54" s="88"/>
      <c r="AIU54" s="88"/>
      <c r="AIV54" s="88"/>
      <c r="AIW54" s="88"/>
      <c r="AIX54" s="88"/>
      <c r="AIY54" s="88"/>
      <c r="AIZ54" s="88"/>
      <c r="AJA54" s="88"/>
      <c r="AJB54" s="88"/>
      <c r="AJC54" s="88"/>
      <c r="AJD54" s="88"/>
      <c r="AJE54" s="88"/>
      <c r="AJF54" s="88"/>
      <c r="AJG54" s="88"/>
      <c r="AJH54" s="88"/>
      <c r="AJI54" s="88"/>
      <c r="AJJ54" s="88"/>
      <c r="AJK54" s="88"/>
      <c r="AJL54" s="88"/>
      <c r="AJM54" s="88"/>
      <c r="AJN54" s="88"/>
      <c r="AJO54" s="88"/>
      <c r="AJP54" s="88"/>
      <c r="AJQ54" s="88"/>
      <c r="AJR54" s="88"/>
      <c r="AJS54" s="88"/>
      <c r="AJT54" s="88"/>
      <c r="AJU54" s="88"/>
      <c r="AJV54" s="88"/>
      <c r="AJW54" s="88"/>
      <c r="AJX54" s="88"/>
      <c r="AJY54" s="88"/>
      <c r="AJZ54" s="88"/>
      <c r="AKA54" s="88"/>
      <c r="AKB54" s="88"/>
      <c r="AKC54" s="88"/>
      <c r="AKD54" s="88"/>
      <c r="AKE54" s="88"/>
      <c r="AKF54" s="88"/>
      <c r="AKG54" s="88"/>
      <c r="AKH54" s="88"/>
      <c r="AKI54" s="88"/>
      <c r="AKJ54" s="88"/>
      <c r="AKK54" s="88"/>
      <c r="AKL54" s="88"/>
      <c r="AKM54" s="88"/>
      <c r="AKN54" s="88"/>
      <c r="AKO54" s="88"/>
      <c r="AKP54" s="88"/>
      <c r="AKQ54" s="88"/>
      <c r="AKR54" s="88"/>
      <c r="AKS54" s="88"/>
      <c r="AKT54" s="88"/>
      <c r="AKU54" s="88"/>
      <c r="AKV54" s="88"/>
      <c r="AKW54" s="88"/>
      <c r="AKX54" s="88"/>
      <c r="AKY54" s="88"/>
      <c r="AKZ54" s="88"/>
      <c r="ALA54" s="88"/>
      <c r="ALB54" s="88"/>
      <c r="ALC54" s="88"/>
      <c r="ALD54" s="88"/>
      <c r="ALE54" s="88"/>
      <c r="ALF54" s="88"/>
      <c r="ALG54" s="88"/>
      <c r="ALH54" s="88"/>
      <c r="ALI54" s="88"/>
      <c r="ALJ54" s="88"/>
      <c r="ALK54" s="88"/>
      <c r="ALL54" s="88"/>
      <c r="ALM54" s="88"/>
      <c r="ALN54" s="88"/>
      <c r="ALO54" s="88"/>
      <c r="ALP54" s="88"/>
      <c r="ALQ54" s="88"/>
      <c r="ALR54" s="88"/>
      <c r="ALS54" s="88"/>
      <c r="ALT54" s="88"/>
      <c r="ALU54" s="88"/>
      <c r="ALV54" s="88"/>
      <c r="ALW54" s="88"/>
      <c r="ALX54" s="88"/>
      <c r="ALY54" s="88"/>
      <c r="ALZ54" s="88"/>
      <c r="AMA54" s="88"/>
      <c r="AMB54" s="88"/>
      <c r="AMC54" s="88"/>
      <c r="AMD54" s="88"/>
      <c r="AME54" s="88"/>
      <c r="AMF54" s="88"/>
      <c r="AMG54" s="88"/>
      <c r="AMH54" s="88"/>
      <c r="AMI54" s="88"/>
      <c r="AMJ54" s="88"/>
      <c r="AMK54" s="88"/>
      <c r="AML54" s="88"/>
      <c r="AMM54" s="88"/>
      <c r="AMN54" s="88"/>
      <c r="AMO54" s="88"/>
      <c r="AMP54" s="88"/>
      <c r="AMQ54" s="88"/>
      <c r="AMR54" s="88"/>
      <c r="AMS54" s="88"/>
      <c r="AMT54" s="88"/>
      <c r="AMU54" s="88"/>
      <c r="AMV54" s="88"/>
      <c r="AMW54" s="88"/>
      <c r="AMX54" s="88"/>
      <c r="AMY54" s="88"/>
      <c r="AMZ54" s="88"/>
      <c r="ANA54" s="88"/>
      <c r="ANB54" s="88"/>
      <c r="ANC54" s="88"/>
      <c r="AND54" s="88"/>
      <c r="ANE54" s="88"/>
      <c r="ANF54" s="88"/>
      <c r="ANG54" s="88"/>
      <c r="ANH54" s="88"/>
      <c r="ANI54" s="88"/>
      <c r="ANJ54" s="88"/>
      <c r="ANK54" s="88"/>
      <c r="ANL54" s="88"/>
      <c r="ANM54" s="88"/>
      <c r="ANN54" s="88"/>
      <c r="ANO54" s="88"/>
      <c r="ANP54" s="88"/>
      <c r="ANQ54" s="88"/>
      <c r="ANR54" s="88"/>
      <c r="ANS54" s="88"/>
      <c r="ANT54" s="88"/>
      <c r="ANU54" s="88"/>
      <c r="ANV54" s="88"/>
      <c r="ANW54" s="88"/>
      <c r="ANX54" s="88"/>
      <c r="ANY54" s="88"/>
      <c r="ANZ54" s="88"/>
      <c r="AOA54" s="88"/>
      <c r="AOB54" s="88"/>
      <c r="AOC54" s="88"/>
      <c r="AOD54" s="88"/>
      <c r="AOE54" s="88"/>
      <c r="AOF54" s="88"/>
      <c r="AOG54" s="88"/>
      <c r="AOH54" s="88"/>
      <c r="AOI54" s="88"/>
      <c r="AOJ54" s="88"/>
      <c r="AOK54" s="88"/>
      <c r="AOL54" s="88"/>
      <c r="AOM54" s="88"/>
      <c r="AON54" s="88"/>
      <c r="AOO54" s="88"/>
      <c r="AOP54" s="88"/>
      <c r="AOQ54" s="88"/>
      <c r="AOR54" s="88"/>
      <c r="AOS54" s="88"/>
      <c r="AOT54" s="88"/>
      <c r="AOU54" s="88"/>
      <c r="AOV54" s="88"/>
      <c r="AOW54" s="88"/>
      <c r="AOX54" s="88"/>
      <c r="AOY54" s="88"/>
      <c r="AOZ54" s="88"/>
      <c r="APA54" s="88"/>
      <c r="APB54" s="88"/>
      <c r="APC54" s="88"/>
      <c r="APD54" s="88"/>
      <c r="APE54" s="88"/>
      <c r="APF54" s="88"/>
      <c r="APG54" s="88"/>
      <c r="APH54" s="88"/>
      <c r="API54" s="88"/>
      <c r="APJ54" s="88"/>
      <c r="APK54" s="88"/>
      <c r="APL54" s="88"/>
      <c r="APM54" s="88"/>
      <c r="APN54" s="88"/>
      <c r="APO54" s="88"/>
      <c r="APP54" s="88"/>
      <c r="APQ54" s="88"/>
      <c r="APR54" s="88"/>
      <c r="APS54" s="88"/>
      <c r="APT54" s="88"/>
      <c r="APU54" s="88"/>
      <c r="APV54" s="88"/>
      <c r="APW54" s="88"/>
      <c r="APX54" s="88"/>
      <c r="APY54" s="88"/>
      <c r="APZ54" s="88"/>
      <c r="AQA54" s="88"/>
      <c r="AQB54" s="88"/>
      <c r="AQC54" s="88"/>
      <c r="AQD54" s="88"/>
      <c r="AQE54" s="88"/>
      <c r="AQF54" s="88"/>
      <c r="AQG54" s="88"/>
      <c r="AQH54" s="88"/>
      <c r="AQI54" s="88"/>
      <c r="AQJ54" s="88"/>
      <c r="AQK54" s="88"/>
      <c r="AQL54" s="88"/>
      <c r="AQM54" s="88"/>
      <c r="AQN54" s="88"/>
      <c r="AQO54" s="88"/>
      <c r="AQP54" s="88"/>
      <c r="AQQ54" s="88"/>
      <c r="AQR54" s="88"/>
      <c r="AQS54" s="88"/>
      <c r="AQT54" s="88"/>
      <c r="AQU54" s="88"/>
      <c r="AQV54" s="88"/>
      <c r="AQW54" s="88"/>
      <c r="AQX54" s="88"/>
      <c r="AQY54" s="88"/>
      <c r="AQZ54" s="88"/>
      <c r="ARA54" s="88"/>
      <c r="ARB54" s="88"/>
      <c r="ARC54" s="88"/>
      <c r="ARD54" s="88"/>
      <c r="ARE54" s="88"/>
      <c r="ARF54" s="88"/>
      <c r="ARG54" s="88"/>
      <c r="ARH54" s="88"/>
      <c r="ARI54" s="88"/>
      <c r="ARJ54" s="88"/>
      <c r="ARK54" s="88"/>
      <c r="ARL54" s="88"/>
      <c r="ARM54" s="88"/>
      <c r="ARN54" s="88"/>
      <c r="ARO54" s="88"/>
      <c r="ARP54" s="88"/>
      <c r="ARQ54" s="88"/>
      <c r="ARR54" s="88"/>
      <c r="ARS54" s="88"/>
      <c r="ART54" s="88"/>
      <c r="ARU54" s="88"/>
      <c r="ARV54" s="88"/>
      <c r="ARW54" s="88"/>
      <c r="ARX54" s="88"/>
      <c r="ARY54" s="88"/>
      <c r="ARZ54" s="88"/>
      <c r="ASA54" s="88"/>
      <c r="ASB54" s="88"/>
      <c r="ASC54" s="88"/>
      <c r="ASD54" s="88"/>
      <c r="ASE54" s="88"/>
      <c r="ASF54" s="88"/>
      <c r="ASG54" s="88"/>
      <c r="ASH54" s="88"/>
      <c r="ASI54" s="88"/>
      <c r="ASJ54" s="88"/>
      <c r="ASK54" s="88"/>
      <c r="ASL54" s="88"/>
      <c r="ASM54" s="88"/>
      <c r="ASN54" s="88"/>
      <c r="ASO54" s="88"/>
      <c r="ASP54" s="88"/>
      <c r="ASQ54" s="88"/>
      <c r="ASR54" s="88"/>
      <c r="ASS54" s="88"/>
      <c r="AST54" s="88"/>
      <c r="ASU54" s="88"/>
      <c r="ASV54" s="88"/>
      <c r="ASW54" s="88"/>
      <c r="ASX54" s="88"/>
      <c r="ASY54" s="88"/>
      <c r="ASZ54" s="88"/>
      <c r="ATA54" s="88"/>
      <c r="ATB54" s="88"/>
      <c r="ATC54" s="88"/>
      <c r="ATD54" s="88"/>
      <c r="ATE54" s="88"/>
      <c r="ATF54" s="88"/>
      <c r="ATG54" s="88"/>
      <c r="ATH54" s="88"/>
      <c r="ATI54" s="88"/>
      <c r="ATJ54" s="88"/>
      <c r="ATK54" s="88"/>
      <c r="ATL54" s="88"/>
      <c r="ATM54" s="88"/>
      <c r="ATN54" s="88"/>
      <c r="ATO54" s="88"/>
      <c r="ATP54" s="88"/>
      <c r="ATQ54" s="88"/>
      <c r="ATR54" s="88"/>
      <c r="ATS54" s="88"/>
      <c r="ATT54" s="88"/>
      <c r="ATU54" s="88"/>
      <c r="ATV54" s="88"/>
      <c r="ATW54" s="88"/>
      <c r="ATX54" s="88"/>
      <c r="ATY54" s="88"/>
      <c r="ATZ54" s="88"/>
      <c r="AUA54" s="88"/>
      <c r="AUB54" s="88"/>
      <c r="AUC54" s="88"/>
      <c r="AUD54" s="88"/>
      <c r="AUE54" s="88"/>
      <c r="AUF54" s="88"/>
      <c r="AUG54" s="88"/>
      <c r="AUH54" s="88"/>
      <c r="AUI54" s="88"/>
      <c r="AUJ54" s="88"/>
      <c r="AUK54" s="88"/>
      <c r="AUL54" s="88"/>
      <c r="AUM54" s="88"/>
      <c r="AUN54" s="88"/>
      <c r="AUO54" s="88"/>
      <c r="AUP54" s="88"/>
      <c r="AUQ54" s="88"/>
      <c r="AUR54" s="88"/>
      <c r="AUS54" s="88"/>
      <c r="AUT54" s="88"/>
      <c r="AUU54" s="88"/>
      <c r="AUV54" s="88"/>
      <c r="AUW54" s="88"/>
      <c r="AUX54" s="88"/>
      <c r="AUY54" s="88"/>
      <c r="AUZ54" s="88"/>
      <c r="AVA54" s="88"/>
      <c r="AVB54" s="88"/>
      <c r="AVC54" s="88"/>
      <c r="AVD54" s="88"/>
      <c r="AVE54" s="88"/>
      <c r="AVF54" s="88"/>
      <c r="AVG54" s="88"/>
      <c r="AVH54" s="88"/>
      <c r="AVI54" s="88"/>
      <c r="AVJ54" s="88"/>
      <c r="AVK54" s="88"/>
      <c r="AVL54" s="88"/>
      <c r="AVM54" s="88"/>
      <c r="AVN54" s="88"/>
      <c r="AVO54" s="88"/>
      <c r="AVP54" s="88"/>
      <c r="AVQ54" s="88"/>
      <c r="AVR54" s="88"/>
      <c r="AVS54" s="88"/>
      <c r="AVT54" s="88"/>
      <c r="AVU54" s="88"/>
      <c r="AVV54" s="88"/>
      <c r="AVW54" s="88"/>
      <c r="AVX54" s="88"/>
      <c r="AVY54" s="88"/>
      <c r="AVZ54" s="88"/>
      <c r="AWA54" s="88"/>
      <c r="AWB54" s="88"/>
      <c r="AWC54" s="88"/>
      <c r="AWD54" s="88"/>
      <c r="AWE54" s="88"/>
      <c r="AWF54" s="88"/>
      <c r="AWG54" s="88"/>
      <c r="AWH54" s="88"/>
      <c r="AWI54" s="88"/>
      <c r="AWJ54" s="88"/>
      <c r="AWK54" s="88"/>
      <c r="AWL54" s="88"/>
      <c r="AWM54" s="88"/>
      <c r="AWN54" s="88"/>
      <c r="AWO54" s="88"/>
      <c r="AWP54" s="88"/>
      <c r="AWQ54" s="88"/>
      <c r="AWR54" s="88"/>
      <c r="AWS54" s="88"/>
      <c r="AWT54" s="88"/>
      <c r="AWU54" s="88"/>
      <c r="AWV54" s="88"/>
      <c r="AWW54" s="88"/>
      <c r="AWX54" s="88"/>
      <c r="AWY54" s="88"/>
      <c r="AWZ54" s="88"/>
      <c r="AXA54" s="88"/>
      <c r="AXB54" s="88"/>
      <c r="AXC54" s="88"/>
      <c r="AXD54" s="88"/>
      <c r="AXE54" s="88"/>
      <c r="AXF54" s="88"/>
      <c r="AXG54" s="88"/>
      <c r="AXH54" s="88"/>
      <c r="AXI54" s="88"/>
      <c r="AXJ54" s="88"/>
      <c r="AXK54" s="88"/>
      <c r="AXL54" s="88"/>
      <c r="AXM54" s="88"/>
      <c r="AXN54" s="88"/>
      <c r="AXO54" s="88"/>
      <c r="AXP54" s="88"/>
      <c r="AXQ54" s="88"/>
      <c r="AXR54" s="88"/>
      <c r="AXS54" s="88"/>
      <c r="AXT54" s="88"/>
      <c r="AXU54" s="88"/>
      <c r="AXV54" s="88"/>
      <c r="AXW54" s="88"/>
      <c r="AXX54" s="88"/>
      <c r="AXY54" s="88"/>
      <c r="AXZ54" s="88"/>
      <c r="AYA54" s="88"/>
      <c r="AYB54" s="88"/>
      <c r="AYC54" s="88"/>
      <c r="AYD54" s="88"/>
      <c r="AYE54" s="88"/>
      <c r="AYF54" s="88"/>
      <c r="AYG54" s="88"/>
      <c r="AYH54" s="88"/>
      <c r="AYI54" s="88"/>
      <c r="AYJ54" s="88"/>
      <c r="AYK54" s="88"/>
      <c r="AYL54" s="88"/>
      <c r="AYM54" s="88"/>
      <c r="AYN54" s="88"/>
      <c r="AYO54" s="88"/>
      <c r="AYP54" s="88"/>
      <c r="AYQ54" s="88"/>
      <c r="AYR54" s="88"/>
      <c r="AYS54" s="88"/>
      <c r="AYT54" s="88"/>
      <c r="AYU54" s="88"/>
      <c r="AYV54" s="88"/>
      <c r="AYW54" s="88"/>
      <c r="AYX54" s="88"/>
      <c r="AYY54" s="88"/>
      <c r="AYZ54" s="88"/>
      <c r="AZA54" s="88"/>
      <c r="AZB54" s="88"/>
      <c r="AZC54" s="88"/>
      <c r="AZD54" s="88"/>
      <c r="AZE54" s="88"/>
      <c r="AZF54" s="88"/>
      <c r="AZG54" s="88"/>
      <c r="AZH54" s="88"/>
      <c r="AZI54" s="88"/>
      <c r="AZJ54" s="88"/>
      <c r="AZK54" s="88"/>
      <c r="AZL54" s="88"/>
      <c r="AZM54" s="88"/>
      <c r="AZN54" s="88"/>
      <c r="AZO54" s="88"/>
      <c r="AZP54" s="88"/>
      <c r="AZQ54" s="88"/>
      <c r="AZR54" s="88"/>
      <c r="AZS54" s="88"/>
      <c r="AZT54" s="88"/>
      <c r="AZU54" s="88"/>
      <c r="AZV54" s="88"/>
      <c r="AZW54" s="88"/>
      <c r="AZX54" s="88"/>
      <c r="AZY54" s="88"/>
      <c r="AZZ54" s="88"/>
      <c r="BAA54" s="88"/>
      <c r="BAB54" s="88"/>
      <c r="BAC54" s="88"/>
      <c r="BAD54" s="88"/>
      <c r="BAE54" s="88"/>
      <c r="BAF54" s="88"/>
      <c r="BAG54" s="88"/>
      <c r="BAH54" s="88"/>
      <c r="BAI54" s="88"/>
      <c r="BAJ54" s="88"/>
      <c r="BAK54" s="88"/>
      <c r="BAL54" s="88"/>
      <c r="BAM54" s="88"/>
      <c r="BAN54" s="88"/>
      <c r="BAO54" s="88"/>
      <c r="BAP54" s="88"/>
      <c r="BAQ54" s="88"/>
      <c r="BAR54" s="88"/>
      <c r="BAS54" s="88"/>
      <c r="BAT54" s="88"/>
      <c r="BAU54" s="88"/>
      <c r="BAV54" s="88"/>
      <c r="BAW54" s="88"/>
      <c r="BAX54" s="88"/>
      <c r="BAY54" s="88"/>
      <c r="BAZ54" s="88"/>
      <c r="BBA54" s="88"/>
      <c r="BBB54" s="88"/>
      <c r="BBC54" s="88"/>
      <c r="BBD54" s="88"/>
      <c r="BBE54" s="88"/>
      <c r="BBF54" s="88"/>
      <c r="BBG54" s="88"/>
      <c r="BBH54" s="88"/>
      <c r="BBI54" s="88"/>
      <c r="BBJ54" s="88"/>
      <c r="BBK54" s="88"/>
      <c r="BBL54" s="88"/>
      <c r="BBM54" s="88"/>
      <c r="BBN54" s="88"/>
      <c r="BBO54" s="88"/>
      <c r="BBP54" s="88"/>
      <c r="BBQ54" s="88"/>
      <c r="BBR54" s="88"/>
      <c r="BBS54" s="88"/>
      <c r="BBT54" s="88"/>
      <c r="BBU54" s="88"/>
      <c r="BBV54" s="88"/>
      <c r="BBW54" s="88"/>
      <c r="BBX54" s="88"/>
      <c r="BBY54" s="88"/>
      <c r="BBZ54" s="88"/>
      <c r="BCA54" s="88"/>
      <c r="BCB54" s="88"/>
      <c r="BCC54" s="88"/>
      <c r="BCD54" s="88"/>
      <c r="BCE54" s="88"/>
      <c r="BCF54" s="88"/>
      <c r="BCG54" s="88"/>
      <c r="BCH54" s="88"/>
      <c r="BCI54" s="88"/>
      <c r="BCJ54" s="88"/>
      <c r="BCK54" s="88"/>
      <c r="BCL54" s="88"/>
      <c r="BCM54" s="88"/>
      <c r="BCN54" s="88"/>
      <c r="BCO54" s="88"/>
      <c r="BCP54" s="88"/>
      <c r="BCQ54" s="88"/>
      <c r="BCR54" s="88"/>
      <c r="BCS54" s="88"/>
      <c r="BCT54" s="88"/>
      <c r="BCU54" s="88"/>
      <c r="BCV54" s="88"/>
      <c r="BCW54" s="88"/>
      <c r="BCX54" s="88"/>
      <c r="BCY54" s="88"/>
      <c r="BCZ54" s="88"/>
      <c r="BDA54" s="88"/>
      <c r="BDB54" s="88"/>
      <c r="BDC54" s="88"/>
      <c r="BDD54" s="88"/>
      <c r="BDE54" s="88"/>
      <c r="BDF54" s="88"/>
      <c r="BDG54" s="88"/>
      <c r="BDH54" s="88"/>
      <c r="BDI54" s="88"/>
      <c r="BDJ54" s="88"/>
      <c r="BDK54" s="88"/>
      <c r="BDL54" s="88"/>
      <c r="BDM54" s="88"/>
      <c r="BDN54" s="88"/>
      <c r="BDO54" s="88"/>
      <c r="BDP54" s="88"/>
      <c r="BDQ54" s="88"/>
      <c r="BDR54" s="88"/>
      <c r="BDS54" s="88"/>
      <c r="BDT54" s="88"/>
      <c r="BDU54" s="88"/>
      <c r="BDV54" s="88"/>
      <c r="BDW54" s="88"/>
      <c r="BDX54" s="88"/>
      <c r="BDY54" s="88"/>
      <c r="BDZ54" s="88"/>
      <c r="BEA54" s="88"/>
      <c r="BEB54" s="88"/>
      <c r="BEC54" s="88"/>
      <c r="BED54" s="88"/>
      <c r="BEE54" s="88"/>
      <c r="BEF54" s="88"/>
      <c r="BEG54" s="88"/>
      <c r="BEH54" s="88"/>
      <c r="BEI54" s="88"/>
      <c r="BEJ54" s="88"/>
      <c r="BEK54" s="88"/>
      <c r="BEL54" s="88"/>
      <c r="BEM54" s="88"/>
      <c r="BEN54" s="88"/>
      <c r="BEO54" s="88"/>
      <c r="BEP54" s="88"/>
      <c r="BEQ54" s="88"/>
      <c r="BER54" s="88"/>
      <c r="BES54" s="88"/>
      <c r="BET54" s="88"/>
      <c r="BEU54" s="88"/>
      <c r="BEV54" s="88"/>
      <c r="BEW54" s="88"/>
      <c r="BEX54" s="88"/>
      <c r="BEY54" s="88"/>
      <c r="BEZ54" s="88"/>
      <c r="BFA54" s="88"/>
      <c r="BFB54" s="88"/>
      <c r="BFC54" s="88"/>
      <c r="BFD54" s="88"/>
      <c r="BFE54" s="88"/>
      <c r="BFF54" s="88"/>
      <c r="BFG54" s="88"/>
      <c r="BFH54" s="88"/>
      <c r="BFI54" s="88"/>
      <c r="BFJ54" s="88"/>
      <c r="BFK54" s="88"/>
      <c r="BFL54" s="88"/>
      <c r="BFM54" s="88"/>
      <c r="BFN54" s="88"/>
      <c r="BFO54" s="88"/>
      <c r="BFP54" s="88"/>
      <c r="BFQ54" s="88"/>
      <c r="BFR54" s="88"/>
      <c r="BFS54" s="88"/>
      <c r="BFT54" s="88"/>
      <c r="BFU54" s="88"/>
      <c r="BFV54" s="88"/>
      <c r="BFW54" s="88"/>
      <c r="BFX54" s="88"/>
      <c r="BFY54" s="88"/>
      <c r="BFZ54" s="88"/>
      <c r="BGA54" s="88"/>
      <c r="BGB54" s="88"/>
      <c r="BGC54" s="88"/>
      <c r="BGD54" s="88"/>
      <c r="BGE54" s="88"/>
      <c r="BGF54" s="88"/>
      <c r="BGG54" s="88"/>
      <c r="BGH54" s="88"/>
      <c r="BGI54" s="88"/>
      <c r="BGJ54" s="88"/>
      <c r="BGK54" s="88"/>
      <c r="BGL54" s="88"/>
      <c r="BGM54" s="88"/>
      <c r="BGN54" s="88"/>
      <c r="BGO54" s="88"/>
      <c r="BGP54" s="88"/>
      <c r="BGQ54" s="88"/>
      <c r="BGR54" s="88"/>
      <c r="BGS54" s="88"/>
      <c r="BGT54" s="88"/>
      <c r="BGU54" s="88"/>
      <c r="BGV54" s="88"/>
      <c r="BGW54" s="88"/>
      <c r="BGX54" s="88"/>
      <c r="BGY54" s="88"/>
      <c r="BGZ54" s="88"/>
      <c r="BHA54" s="88"/>
      <c r="BHB54" s="88"/>
      <c r="BHC54" s="88"/>
      <c r="BHD54" s="88"/>
      <c r="BHE54" s="88"/>
      <c r="BHF54" s="88"/>
      <c r="BHG54" s="88"/>
      <c r="BHH54" s="88"/>
      <c r="BHI54" s="88"/>
      <c r="BHJ54" s="88"/>
      <c r="BHK54" s="88"/>
      <c r="BHL54" s="88"/>
      <c r="BHM54" s="88"/>
      <c r="BHN54" s="88"/>
      <c r="BHO54" s="88"/>
      <c r="BHP54" s="88"/>
      <c r="BHQ54" s="88"/>
      <c r="BHR54" s="88"/>
      <c r="BHS54" s="88"/>
      <c r="BHT54" s="88"/>
      <c r="BHU54" s="88"/>
      <c r="BHV54" s="88"/>
      <c r="BHW54" s="88"/>
      <c r="BHX54" s="88"/>
      <c r="BHY54" s="88"/>
      <c r="BHZ54" s="88"/>
      <c r="BIA54" s="88"/>
      <c r="BIB54" s="88"/>
      <c r="BIC54" s="88"/>
      <c r="BID54" s="88"/>
      <c r="BIE54" s="88"/>
      <c r="BIF54" s="88"/>
      <c r="BIG54" s="88"/>
      <c r="BIH54" s="88"/>
      <c r="BII54" s="88"/>
      <c r="BIJ54" s="88"/>
      <c r="BIK54" s="88"/>
      <c r="BIL54" s="88"/>
      <c r="BIM54" s="88"/>
      <c r="BIN54" s="88"/>
      <c r="BIO54" s="88"/>
      <c r="BIP54" s="88"/>
      <c r="BIQ54" s="88"/>
      <c r="BIR54" s="88"/>
      <c r="BIS54" s="88"/>
      <c r="BIT54" s="88"/>
      <c r="BIU54" s="88"/>
      <c r="BIV54" s="88"/>
      <c r="BIW54" s="88"/>
      <c r="BIX54" s="88"/>
      <c r="BIY54" s="88"/>
      <c r="BIZ54" s="88"/>
      <c r="BJA54" s="88"/>
      <c r="BJB54" s="88"/>
      <c r="BJC54" s="88"/>
      <c r="BJD54" s="88"/>
      <c r="BJE54" s="88"/>
      <c r="BJF54" s="88"/>
      <c r="BJG54" s="88"/>
      <c r="BJH54" s="88"/>
      <c r="BJI54" s="88"/>
      <c r="BJJ54" s="88"/>
      <c r="BJK54" s="88"/>
      <c r="BJL54" s="88"/>
      <c r="BJM54" s="88"/>
      <c r="BJN54" s="88"/>
      <c r="BJO54" s="88"/>
      <c r="BJP54" s="88"/>
      <c r="BJQ54" s="88"/>
      <c r="BJR54" s="88"/>
      <c r="BJS54" s="88"/>
      <c r="BJT54" s="88"/>
      <c r="BJU54" s="88"/>
      <c r="BJV54" s="88"/>
      <c r="BJW54" s="88"/>
      <c r="BJX54" s="88"/>
      <c r="BJY54" s="88"/>
      <c r="BJZ54" s="88"/>
      <c r="BKA54" s="88"/>
      <c r="BKB54" s="88"/>
      <c r="BKC54" s="88"/>
      <c r="BKD54" s="88"/>
      <c r="BKE54" s="88"/>
      <c r="BKF54" s="88"/>
      <c r="BKG54" s="88"/>
      <c r="BKH54" s="88"/>
      <c r="BKI54" s="88"/>
      <c r="BKJ54" s="88"/>
      <c r="BKK54" s="88"/>
      <c r="BKL54" s="88"/>
      <c r="BKM54" s="88"/>
      <c r="BKN54" s="88"/>
      <c r="BKO54" s="88"/>
      <c r="BKP54" s="88"/>
      <c r="BKQ54" s="88"/>
      <c r="BKR54" s="88"/>
      <c r="BKS54" s="88"/>
      <c r="BKT54" s="88"/>
      <c r="BKU54" s="88"/>
      <c r="BKV54" s="88"/>
      <c r="BKW54" s="88"/>
      <c r="BKX54" s="88"/>
      <c r="BKY54" s="88"/>
      <c r="BKZ54" s="88"/>
      <c r="BLA54" s="88"/>
      <c r="BLB54" s="88"/>
      <c r="BLC54" s="88"/>
      <c r="BLD54" s="88"/>
      <c r="BLE54" s="88"/>
      <c r="BLF54" s="88"/>
      <c r="BLG54" s="88"/>
      <c r="BLH54" s="88"/>
      <c r="BLI54" s="88"/>
      <c r="BLJ54" s="88"/>
      <c r="BLK54" s="88"/>
      <c r="BLL54" s="88"/>
      <c r="BLM54" s="88"/>
      <c r="BLN54" s="88"/>
      <c r="BLO54" s="88"/>
      <c r="BLP54" s="88"/>
      <c r="BLQ54" s="88"/>
      <c r="BLR54" s="88"/>
      <c r="BLS54" s="88"/>
      <c r="BLT54" s="88"/>
      <c r="BLU54" s="88"/>
      <c r="BLV54" s="88"/>
      <c r="BLW54" s="88"/>
      <c r="BLX54" s="88"/>
      <c r="BLY54" s="88"/>
      <c r="BLZ54" s="88"/>
      <c r="BMA54" s="88"/>
      <c r="BMB54" s="88"/>
      <c r="BMC54" s="88"/>
      <c r="BMD54" s="88"/>
      <c r="BME54" s="88"/>
      <c r="BMF54" s="88"/>
      <c r="BMG54" s="88"/>
      <c r="BMH54" s="88"/>
      <c r="BMI54" s="88"/>
      <c r="BMJ54" s="88"/>
      <c r="BMK54" s="88"/>
      <c r="BML54" s="88"/>
      <c r="BMM54" s="88"/>
      <c r="BMN54" s="88"/>
      <c r="BMO54" s="88"/>
      <c r="BMP54" s="88"/>
      <c r="BMQ54" s="88"/>
      <c r="BMR54" s="88"/>
      <c r="BMS54" s="88"/>
      <c r="BMT54" s="88"/>
      <c r="BMU54" s="88"/>
      <c r="BMV54" s="88"/>
      <c r="BMW54" s="88"/>
      <c r="BMX54" s="88"/>
      <c r="BMY54" s="88"/>
      <c r="BMZ54" s="88"/>
      <c r="BNA54" s="88"/>
      <c r="BNB54" s="88"/>
      <c r="BNC54" s="88"/>
      <c r="BND54" s="88"/>
      <c r="BNE54" s="88"/>
      <c r="BNF54" s="88"/>
      <c r="BNG54" s="88"/>
      <c r="BNH54" s="88"/>
      <c r="BNI54" s="88"/>
      <c r="BNJ54" s="88"/>
      <c r="BNK54" s="88"/>
      <c r="BNL54" s="88"/>
      <c r="BNM54" s="88"/>
      <c r="BNN54" s="88"/>
      <c r="BNO54" s="88"/>
      <c r="BNP54" s="88"/>
      <c r="BNQ54" s="88"/>
      <c r="BNR54" s="88"/>
      <c r="BNS54" s="88"/>
      <c r="BNT54" s="88"/>
      <c r="BNU54" s="88"/>
      <c r="BNV54" s="88"/>
      <c r="BNW54" s="88"/>
      <c r="BNX54" s="88"/>
      <c r="BNY54" s="88"/>
      <c r="BNZ54" s="88"/>
      <c r="BOA54" s="88"/>
      <c r="BOB54" s="88"/>
      <c r="BOC54" s="88"/>
      <c r="BOD54" s="88"/>
      <c r="BOE54" s="88"/>
      <c r="BOF54" s="88"/>
      <c r="BOG54" s="88"/>
      <c r="BOH54" s="88"/>
      <c r="BOI54" s="88"/>
      <c r="BOJ54" s="88"/>
      <c r="BOK54" s="88"/>
      <c r="BOL54" s="88"/>
      <c r="BOM54" s="88"/>
      <c r="BON54" s="88"/>
      <c r="BOO54" s="88"/>
      <c r="BOP54" s="88"/>
      <c r="BOQ54" s="88"/>
      <c r="BOR54" s="88"/>
      <c r="BOS54" s="88"/>
      <c r="BOT54" s="88"/>
      <c r="BOU54" s="88"/>
      <c r="BOV54" s="88"/>
      <c r="BOW54" s="88"/>
      <c r="BOX54" s="88"/>
      <c r="BOY54" s="88"/>
      <c r="BOZ54" s="88"/>
      <c r="BPA54" s="88"/>
      <c r="BPB54" s="88"/>
      <c r="BPC54" s="88"/>
      <c r="BPD54" s="88"/>
      <c r="BPE54" s="88"/>
      <c r="BPF54" s="88"/>
      <c r="BPG54" s="88"/>
      <c r="BPH54" s="88"/>
      <c r="BPI54" s="88"/>
      <c r="BPJ54" s="88"/>
      <c r="BPK54" s="88"/>
      <c r="BPL54" s="88"/>
      <c r="BPM54" s="88"/>
      <c r="BPN54" s="88"/>
      <c r="BPO54" s="88"/>
      <c r="BPP54" s="88"/>
      <c r="BPQ54" s="88"/>
      <c r="BPR54" s="88"/>
      <c r="BPS54" s="88"/>
      <c r="BPT54" s="88"/>
      <c r="BPU54" s="88"/>
      <c r="BPV54" s="88"/>
      <c r="BPW54" s="88"/>
      <c r="BPX54" s="88"/>
      <c r="BPY54" s="88"/>
      <c r="BPZ54" s="88"/>
      <c r="BQA54" s="88"/>
      <c r="BQB54" s="88"/>
      <c r="BQC54" s="88"/>
      <c r="BQD54" s="88"/>
      <c r="BQE54" s="88"/>
      <c r="BQF54" s="88"/>
      <c r="BQG54" s="88"/>
      <c r="BQH54" s="88"/>
      <c r="BQI54" s="88"/>
      <c r="BQJ54" s="88"/>
      <c r="BQK54" s="88"/>
      <c r="BQL54" s="88"/>
      <c r="BQM54" s="88"/>
      <c r="BQN54" s="88"/>
      <c r="BQO54" s="88"/>
      <c r="BQP54" s="88"/>
      <c r="BQQ54" s="88"/>
      <c r="BQR54" s="88"/>
      <c r="BQS54" s="88"/>
      <c r="BQT54" s="88"/>
      <c r="BQU54" s="88"/>
      <c r="BQV54" s="88"/>
      <c r="BQW54" s="88"/>
      <c r="BQX54" s="88"/>
      <c r="BQY54" s="88"/>
      <c r="BQZ54" s="88"/>
      <c r="BRA54" s="88"/>
      <c r="BRB54" s="88"/>
      <c r="BRC54" s="88"/>
      <c r="BRD54" s="88"/>
      <c r="BRE54" s="88"/>
      <c r="BRF54" s="88"/>
      <c r="BRG54" s="88"/>
      <c r="BRH54" s="88"/>
      <c r="BRI54" s="88"/>
      <c r="BRJ54" s="88"/>
      <c r="BRK54" s="88"/>
      <c r="BRL54" s="88"/>
      <c r="BRM54" s="88"/>
      <c r="BRN54" s="88"/>
      <c r="BRO54" s="88"/>
      <c r="BRP54" s="88"/>
      <c r="BRQ54" s="88"/>
      <c r="BRR54" s="88"/>
      <c r="BRS54" s="88"/>
      <c r="BRT54" s="88"/>
      <c r="BRU54" s="88"/>
      <c r="BRV54" s="88"/>
      <c r="BRW54" s="88"/>
      <c r="BRX54" s="88"/>
      <c r="BRY54" s="88"/>
      <c r="BRZ54" s="88"/>
      <c r="BSA54" s="88"/>
      <c r="BSB54" s="88"/>
      <c r="BSC54" s="88"/>
      <c r="BSD54" s="88"/>
      <c r="BSE54" s="88"/>
      <c r="BSF54" s="88"/>
      <c r="BSG54" s="88"/>
      <c r="BSH54" s="88"/>
      <c r="BSI54" s="88"/>
      <c r="BSJ54" s="88"/>
      <c r="BSK54" s="88"/>
      <c r="BSL54" s="88"/>
      <c r="BSM54" s="88"/>
      <c r="BSN54" s="88"/>
      <c r="BSO54" s="88"/>
      <c r="BSP54" s="88"/>
      <c r="BSQ54" s="88"/>
      <c r="BSR54" s="88"/>
      <c r="BSS54" s="88"/>
      <c r="BST54" s="88"/>
      <c r="BSU54" s="88"/>
      <c r="BSV54" s="88"/>
      <c r="BSW54" s="88"/>
      <c r="BSX54" s="88"/>
      <c r="BSY54" s="88"/>
      <c r="BSZ54" s="88"/>
      <c r="BTA54" s="88"/>
      <c r="BTB54" s="88"/>
      <c r="BTC54" s="88"/>
      <c r="BTD54" s="88"/>
      <c r="BTE54" s="88"/>
      <c r="BTF54" s="88"/>
      <c r="BTG54" s="88"/>
      <c r="BTH54" s="88"/>
      <c r="BTI54" s="88"/>
      <c r="BTJ54" s="88"/>
      <c r="BTK54" s="88"/>
      <c r="BTL54" s="88"/>
      <c r="BTM54" s="88"/>
      <c r="BTN54" s="88"/>
      <c r="BTO54" s="88"/>
      <c r="BTP54" s="88"/>
      <c r="BTQ54" s="88"/>
      <c r="BTR54" s="88"/>
      <c r="BTS54" s="88"/>
      <c r="BTT54" s="88"/>
      <c r="BTU54" s="88"/>
      <c r="BTV54" s="88"/>
      <c r="BTW54" s="88"/>
      <c r="BTX54" s="88"/>
      <c r="BTY54" s="88"/>
      <c r="BTZ54" s="88"/>
      <c r="BUA54" s="88"/>
      <c r="BUB54" s="88"/>
      <c r="BUC54" s="88"/>
      <c r="BUD54" s="88"/>
      <c r="BUE54" s="88"/>
      <c r="BUF54" s="88"/>
      <c r="BUG54" s="88"/>
      <c r="BUH54" s="88"/>
      <c r="BUI54" s="88"/>
      <c r="BUJ54" s="88"/>
      <c r="BUK54" s="88"/>
      <c r="BUL54" s="88"/>
      <c r="BUM54" s="88"/>
      <c r="BUN54" s="88"/>
      <c r="BUO54" s="88"/>
      <c r="BUP54" s="88"/>
      <c r="BUQ54" s="88"/>
      <c r="BUR54" s="88"/>
      <c r="BUS54" s="88"/>
      <c r="BUT54" s="88"/>
      <c r="BUU54" s="88"/>
      <c r="BUV54" s="88"/>
      <c r="BUW54" s="88"/>
      <c r="BUX54" s="88"/>
      <c r="BUY54" s="88"/>
      <c r="BUZ54" s="88"/>
      <c r="BVA54" s="88"/>
      <c r="BVB54" s="88"/>
      <c r="BVC54" s="88"/>
      <c r="BVD54" s="88"/>
      <c r="BVE54" s="88"/>
      <c r="BVF54" s="88"/>
      <c r="BVG54" s="88"/>
      <c r="BVH54" s="88"/>
      <c r="BVI54" s="88"/>
      <c r="BVJ54" s="88"/>
      <c r="BVK54" s="88"/>
      <c r="BVL54" s="88"/>
      <c r="BVM54" s="88"/>
      <c r="BVN54" s="88"/>
      <c r="BVO54" s="88"/>
      <c r="BVP54" s="88"/>
      <c r="BVQ54" s="88"/>
      <c r="BVR54" s="88"/>
      <c r="BVS54" s="88"/>
      <c r="BVT54" s="88"/>
      <c r="BVU54" s="88"/>
      <c r="BVV54" s="88"/>
      <c r="BVW54" s="88"/>
      <c r="BVX54" s="88"/>
      <c r="BVY54" s="88"/>
      <c r="BVZ54" s="88"/>
      <c r="BWA54" s="88"/>
      <c r="BWB54" s="88"/>
      <c r="BWC54" s="88"/>
      <c r="BWD54" s="88"/>
      <c r="BWE54" s="88"/>
      <c r="BWF54" s="88"/>
      <c r="BWG54" s="88"/>
      <c r="BWH54" s="88"/>
      <c r="BWI54" s="88"/>
      <c r="BWJ54" s="88"/>
      <c r="BWK54" s="88"/>
      <c r="BWL54" s="88"/>
      <c r="BWM54" s="88"/>
      <c r="BWN54" s="88"/>
      <c r="BWO54" s="88"/>
      <c r="BWP54" s="88"/>
      <c r="BWQ54" s="88"/>
      <c r="BWR54" s="88"/>
      <c r="BWS54" s="88"/>
      <c r="BWT54" s="88"/>
      <c r="BWU54" s="88"/>
      <c r="BWV54" s="88"/>
      <c r="BWW54" s="88"/>
      <c r="BWX54" s="88"/>
      <c r="BWY54" s="88"/>
      <c r="BWZ54" s="88"/>
      <c r="BXA54" s="88"/>
      <c r="BXB54" s="88"/>
      <c r="BXC54" s="88"/>
      <c r="BXD54" s="88"/>
      <c r="BXE54" s="88"/>
      <c r="BXF54" s="88"/>
      <c r="BXG54" s="88"/>
      <c r="BXH54" s="88"/>
      <c r="BXI54" s="88"/>
      <c r="BXJ54" s="88"/>
      <c r="BXK54" s="88"/>
      <c r="BXL54" s="88"/>
      <c r="BXM54" s="88"/>
      <c r="BXN54" s="88"/>
      <c r="BXO54" s="88"/>
      <c r="BXP54" s="88"/>
      <c r="BXQ54" s="88"/>
      <c r="BXR54" s="88"/>
      <c r="BXS54" s="88"/>
      <c r="BXT54" s="88"/>
      <c r="BXU54" s="88"/>
      <c r="BXV54" s="88"/>
      <c r="BXW54" s="88"/>
      <c r="BXX54" s="88"/>
      <c r="BXY54" s="88"/>
      <c r="BXZ54" s="88"/>
      <c r="BYA54" s="88"/>
      <c r="BYB54" s="88"/>
      <c r="BYC54" s="88"/>
      <c r="BYD54" s="88"/>
      <c r="BYE54" s="88"/>
      <c r="BYF54" s="88"/>
      <c r="BYG54" s="88"/>
      <c r="BYH54" s="88"/>
      <c r="BYI54" s="88"/>
      <c r="BYJ54" s="88"/>
      <c r="BYK54" s="88"/>
      <c r="BYL54" s="88"/>
      <c r="BYM54" s="88"/>
      <c r="BYN54" s="88"/>
      <c r="BYO54" s="88"/>
      <c r="BYP54" s="88"/>
      <c r="BYQ54" s="88"/>
      <c r="BYR54" s="88"/>
      <c r="BYS54" s="88"/>
      <c r="BYT54" s="88"/>
      <c r="BYU54" s="88"/>
      <c r="BYV54" s="88"/>
      <c r="BYW54" s="88"/>
      <c r="BYX54" s="88"/>
      <c r="BYY54" s="88"/>
      <c r="BYZ54" s="88"/>
      <c r="BZA54" s="88"/>
      <c r="BZB54" s="88"/>
      <c r="BZC54" s="88"/>
      <c r="BZD54" s="88"/>
      <c r="BZE54" s="88"/>
      <c r="BZF54" s="88"/>
      <c r="BZG54" s="88"/>
      <c r="BZH54" s="88"/>
      <c r="BZI54" s="88"/>
      <c r="BZJ54" s="88"/>
      <c r="BZK54" s="88"/>
      <c r="BZL54" s="88"/>
      <c r="BZM54" s="88"/>
      <c r="BZN54" s="88"/>
      <c r="BZO54" s="88"/>
      <c r="BZP54" s="88"/>
      <c r="BZQ54" s="88"/>
      <c r="BZR54" s="88"/>
      <c r="BZS54" s="88"/>
      <c r="BZT54" s="88"/>
      <c r="BZU54" s="88"/>
      <c r="BZV54" s="88"/>
      <c r="BZW54" s="88"/>
      <c r="BZX54" s="88"/>
      <c r="BZY54" s="88"/>
      <c r="BZZ54" s="88"/>
      <c r="CAA54" s="88"/>
      <c r="CAB54" s="88"/>
      <c r="CAC54" s="88"/>
      <c r="CAD54" s="88"/>
      <c r="CAE54" s="88"/>
      <c r="CAF54" s="88"/>
      <c r="CAG54" s="88"/>
      <c r="CAH54" s="88"/>
      <c r="CAI54" s="88"/>
      <c r="CAJ54" s="88"/>
      <c r="CAK54" s="88"/>
      <c r="CAL54" s="88"/>
      <c r="CAM54" s="88"/>
      <c r="CAN54" s="88"/>
      <c r="CAO54" s="88"/>
      <c r="CAP54" s="88"/>
      <c r="CAQ54" s="88"/>
      <c r="CAR54" s="88"/>
      <c r="CAS54" s="88"/>
      <c r="CAT54" s="88"/>
      <c r="CAU54" s="88"/>
      <c r="CAV54" s="88"/>
      <c r="CAW54" s="88"/>
      <c r="CAX54" s="88"/>
      <c r="CAY54" s="88"/>
      <c r="CAZ54" s="88"/>
      <c r="CBA54" s="88"/>
      <c r="CBB54" s="88"/>
      <c r="CBC54" s="88"/>
      <c r="CBD54" s="88"/>
      <c r="CBE54" s="88"/>
      <c r="CBF54" s="88"/>
      <c r="CBG54" s="88"/>
      <c r="CBH54" s="88"/>
      <c r="CBI54" s="88"/>
      <c r="CBJ54" s="88"/>
      <c r="CBK54" s="88"/>
      <c r="CBL54" s="88"/>
      <c r="CBM54" s="88"/>
      <c r="CBN54" s="88"/>
      <c r="CBO54" s="88"/>
      <c r="CBP54" s="88"/>
      <c r="CBQ54" s="88"/>
      <c r="CBR54" s="88"/>
      <c r="CBS54" s="88"/>
      <c r="CBT54" s="88"/>
      <c r="CBU54" s="88"/>
      <c r="CBV54" s="88"/>
      <c r="CBW54" s="88"/>
      <c r="CBX54" s="88"/>
      <c r="CBY54" s="88"/>
      <c r="CBZ54" s="88"/>
      <c r="CCA54" s="88"/>
      <c r="CCB54" s="88"/>
      <c r="CCC54" s="88"/>
      <c r="CCD54" s="88"/>
      <c r="CCE54" s="88"/>
      <c r="CCF54" s="88"/>
      <c r="CCG54" s="88"/>
      <c r="CCH54" s="88"/>
      <c r="CCI54" s="88"/>
      <c r="CCJ54" s="88"/>
      <c r="CCK54" s="88"/>
      <c r="CCL54" s="88"/>
      <c r="CCM54" s="88"/>
      <c r="CCN54" s="88"/>
      <c r="CCO54" s="88"/>
      <c r="CCP54" s="88"/>
      <c r="CCQ54" s="88"/>
      <c r="CCR54" s="88"/>
      <c r="CCS54" s="88"/>
      <c r="CCT54" s="88"/>
      <c r="CCU54" s="88"/>
      <c r="CCV54" s="88"/>
      <c r="CCW54" s="88"/>
      <c r="CCX54" s="88"/>
      <c r="CCY54" s="88"/>
      <c r="CCZ54" s="88"/>
      <c r="CDA54" s="88"/>
      <c r="CDB54" s="88"/>
      <c r="CDC54" s="88"/>
      <c r="CDD54" s="88"/>
      <c r="CDE54" s="88"/>
      <c r="CDF54" s="88"/>
      <c r="CDG54" s="88"/>
      <c r="CDH54" s="88"/>
      <c r="CDI54" s="88"/>
      <c r="CDJ54" s="88"/>
      <c r="CDK54" s="88"/>
      <c r="CDL54" s="88"/>
      <c r="CDM54" s="88"/>
      <c r="CDN54" s="88"/>
      <c r="CDO54" s="88"/>
      <c r="CDP54" s="88"/>
      <c r="CDQ54" s="88"/>
      <c r="CDR54" s="88"/>
      <c r="CDS54" s="88"/>
      <c r="CDT54" s="88"/>
      <c r="CDU54" s="88"/>
      <c r="CDV54" s="88"/>
      <c r="CDW54" s="88"/>
      <c r="CDX54" s="88"/>
      <c r="CDY54" s="88"/>
      <c r="CDZ54" s="88"/>
      <c r="CEA54" s="88"/>
      <c r="CEB54" s="88"/>
      <c r="CEC54" s="88"/>
      <c r="CED54" s="88"/>
      <c r="CEE54" s="88"/>
      <c r="CEF54" s="88"/>
      <c r="CEG54" s="88"/>
      <c r="CEH54" s="88"/>
      <c r="CEI54" s="88"/>
      <c r="CEJ54" s="88"/>
      <c r="CEK54" s="88"/>
    </row>
    <row r="55" spans="1:2169" s="63" customFormat="1">
      <c r="A55" s="73" t="s">
        <v>419</v>
      </c>
      <c r="B55" s="71" t="s">
        <v>77</v>
      </c>
      <c r="C55" s="68" t="str">
        <f>IF('page 2'!$O$4="","",IF('page 2'!$O$4=Gestion!A55,1,0))</f>
        <v/>
      </c>
      <c r="D55" s="68" t="str">
        <f>IF('page 2'!$O$5="","",IF('page 2'!$O$5=Gestion!A55,1,0))</f>
        <v/>
      </c>
      <c r="E55" s="68" t="str">
        <f>IF('page 2'!$O$6="","",IF('page 2'!$O$6=Gestion!A55,1,0))</f>
        <v/>
      </c>
      <c r="F55" s="68" t="str">
        <f>IF('page 2'!$O$7="","",IF('page 2'!$O$7=Gestion!A55,1,0))</f>
        <v/>
      </c>
      <c r="G55" s="68" t="str">
        <f>IF('page 2'!$O$8="","",IF('page 2'!$O$8=Gestion!A55,1,0))</f>
        <v/>
      </c>
      <c r="H55" s="68" t="str">
        <f>IF('page 2'!$O$9="","",IF('page 2'!$O$9=Gestion!A55,1,0))</f>
        <v/>
      </c>
      <c r="I55" s="68" t="str">
        <f>IF('page 2'!$O$10="","",IF('page 2'!$O$10=Gestion!A55,1,0))</f>
        <v/>
      </c>
      <c r="J55" s="68" t="str">
        <f>IF('page 2'!$O$11="","",IF('page 2'!$O$11=Gestion!A55,1,0))</f>
        <v/>
      </c>
      <c r="K55" s="68" t="str">
        <f>IF('page 2'!$O$12="","",IF('page 2'!$O$12=Gestion!A55,1,0))</f>
        <v/>
      </c>
      <c r="L55" s="68" t="str">
        <f>IF('page 2'!$O$13="","",IF('page 2'!$O$13=Gestion!A55,1,0))</f>
        <v/>
      </c>
      <c r="M55" s="68" t="str">
        <f>IF('page 2'!$O$14="","",IF('page 2'!$O$14=Gestion!A55,1,0))</f>
        <v/>
      </c>
      <c r="N55" s="68" t="str">
        <f>IF('page 2'!$O$15="","",IF('page 2'!$O$15=Gestion!A55,1,0))</f>
        <v/>
      </c>
      <c r="O55" s="68" t="str">
        <f>IF('page 2'!$O$16="","",IF('page 2'!$O$16=Gestion!A55,1,0))</f>
        <v/>
      </c>
      <c r="P55" s="68" t="str">
        <f>IF('page 2'!$O$17="","",IF('page 2'!$O$17=Gestion!A55,1,0))</f>
        <v/>
      </c>
      <c r="Q55" s="68" t="str">
        <f>IF('page 2'!$O$18="","",IF('page 2'!$O$18=Gestion!A55,1,0))</f>
        <v/>
      </c>
      <c r="R55" s="68" t="str">
        <f>IF('page 2'!$O$19="","",IF('page 2'!$O$19=Gestion!A55,1,0))</f>
        <v/>
      </c>
      <c r="S55" s="68" t="str">
        <f>IF('page 2'!$O$20="","",IF('page 2'!$O$20=Gestion!A55,1,0))</f>
        <v/>
      </c>
      <c r="T55" s="68" t="str">
        <f>IF('page 2'!$O$25="","",IF('page 2'!$O$25=Gestion!A55,1,0))</f>
        <v/>
      </c>
      <c r="U55" s="68" t="str">
        <f>IF('page 2'!$O$26="","",IF('page 2'!$O$26=Gestion!A55,1,0))</f>
        <v/>
      </c>
      <c r="V55" s="68" t="str">
        <f>IF('page 2'!$O$27="","",IF('page 2'!$O$27=Gestion!A55,1,0))</f>
        <v/>
      </c>
      <c r="W55" s="722">
        <f t="shared" si="0"/>
        <v>0</v>
      </c>
      <c r="X55" s="714"/>
      <c r="Y55" s="68"/>
      <c r="Z55" s="68"/>
      <c r="AA55" s="68"/>
      <c r="AB55" s="68"/>
      <c r="AC55" s="68"/>
      <c r="AD55" s="68"/>
      <c r="AP55" s="130"/>
      <c r="AQ55" s="130"/>
      <c r="AR55" s="130"/>
      <c r="AS55" s="576"/>
      <c r="AT55" s="576"/>
      <c r="AU55" s="576"/>
      <c r="AV55" s="576"/>
      <c r="AW55" s="602"/>
      <c r="AX55" s="602"/>
      <c r="AY55" s="576"/>
      <c r="AZ55" s="576"/>
      <c r="BA55" s="576"/>
      <c r="BB55" s="576"/>
      <c r="BC55" s="576"/>
      <c r="BD55" s="602"/>
      <c r="BE55" s="602"/>
      <c r="BF55" s="602"/>
      <c r="BG55" s="602"/>
      <c r="BH55" s="602"/>
      <c r="BI55" s="602"/>
      <c r="BJ55" s="602"/>
      <c r="BK55" s="602"/>
      <c r="BL55" s="602"/>
      <c r="BM55" s="602"/>
      <c r="BN55" s="602"/>
      <c r="BO55" s="602"/>
      <c r="BP55" s="602"/>
      <c r="BQ55" s="602"/>
      <c r="BR55" s="602"/>
      <c r="BS55" s="576"/>
      <c r="BT55" s="576"/>
      <c r="BU55" s="576"/>
      <c r="BV55" s="576"/>
      <c r="BW55" s="602"/>
      <c r="BX55" s="602"/>
      <c r="BY55" s="602"/>
      <c r="BZ55" s="576"/>
      <c r="CA55" s="602"/>
      <c r="CB55" s="602"/>
      <c r="CC55" s="576"/>
      <c r="CD55" s="602"/>
      <c r="CE55" s="602"/>
      <c r="CF55" s="576"/>
      <c r="CG55" s="576"/>
      <c r="CH55" s="576"/>
      <c r="CI55" s="576"/>
      <c r="CJ55" s="576"/>
      <c r="CK55" s="602"/>
      <c r="CL55" s="602"/>
      <c r="CM55" s="576"/>
      <c r="CN55" s="602"/>
      <c r="CO55" s="602"/>
      <c r="CP55" s="602"/>
      <c r="CQ55" s="576"/>
      <c r="CR55" s="576"/>
      <c r="CS55" s="602"/>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c r="SF55" s="88"/>
      <c r="SG55" s="88"/>
      <c r="SH55" s="88"/>
      <c r="SI55" s="88"/>
      <c r="SJ55" s="88"/>
      <c r="SK55" s="88"/>
      <c r="SL55" s="88"/>
      <c r="SM55" s="88"/>
      <c r="SN55" s="88"/>
      <c r="SO55" s="88"/>
      <c r="SP55" s="88"/>
      <c r="SQ55" s="88"/>
      <c r="SR55" s="88"/>
      <c r="SS55" s="88"/>
      <c r="ST55" s="88"/>
      <c r="SU55" s="88"/>
      <c r="SV55" s="88"/>
      <c r="SW55" s="88"/>
      <c r="SX55" s="88"/>
      <c r="SY55" s="88"/>
      <c r="SZ55" s="88"/>
      <c r="TA55" s="88"/>
      <c r="TB55" s="88"/>
      <c r="TC55" s="88"/>
      <c r="TD55" s="88"/>
      <c r="TE55" s="88"/>
      <c r="TF55" s="88"/>
      <c r="TG55" s="88"/>
      <c r="TH55" s="88"/>
      <c r="TI55" s="88"/>
      <c r="TJ55" s="88"/>
      <c r="TK55" s="88"/>
      <c r="TL55" s="88"/>
      <c r="TM55" s="88"/>
      <c r="TN55" s="88"/>
      <c r="TO55" s="88"/>
      <c r="TP55" s="88"/>
      <c r="TQ55" s="88"/>
      <c r="TR55" s="88"/>
      <c r="TS55" s="88"/>
      <c r="TT55" s="88"/>
      <c r="TU55" s="88"/>
      <c r="TV55" s="88"/>
      <c r="TW55" s="88"/>
      <c r="TX55" s="88"/>
      <c r="TY55" s="88"/>
      <c r="TZ55" s="88"/>
      <c r="UA55" s="88"/>
      <c r="UB55" s="88"/>
      <c r="UC55" s="88"/>
      <c r="UD55" s="88"/>
      <c r="UE55" s="88"/>
      <c r="UF55" s="88"/>
      <c r="UG55" s="88"/>
      <c r="UH55" s="88"/>
      <c r="UI55" s="88"/>
      <c r="UJ55" s="88"/>
      <c r="UK55" s="88"/>
      <c r="UL55" s="88"/>
      <c r="UM55" s="88"/>
      <c r="UN55" s="88"/>
      <c r="UO55" s="88"/>
      <c r="UP55" s="88"/>
      <c r="UQ55" s="88"/>
      <c r="UR55" s="88"/>
      <c r="US55" s="88"/>
      <c r="UT55" s="88"/>
      <c r="UU55" s="88"/>
      <c r="UV55" s="88"/>
      <c r="UW55" s="88"/>
      <c r="UX55" s="88"/>
      <c r="UY55" s="88"/>
      <c r="UZ55" s="88"/>
      <c r="VA55" s="88"/>
      <c r="VB55" s="88"/>
      <c r="VC55" s="88"/>
      <c r="VD55" s="88"/>
      <c r="VE55" s="88"/>
      <c r="VF55" s="88"/>
      <c r="VG55" s="88"/>
      <c r="VH55" s="88"/>
      <c r="VI55" s="88"/>
      <c r="VJ55" s="88"/>
      <c r="VK55" s="88"/>
      <c r="VL55" s="88"/>
      <c r="VM55" s="88"/>
      <c r="VN55" s="88"/>
      <c r="VO55" s="88"/>
      <c r="VP55" s="88"/>
      <c r="VQ55" s="88"/>
      <c r="VR55" s="88"/>
      <c r="VS55" s="88"/>
      <c r="VT55" s="88"/>
      <c r="VU55" s="88"/>
      <c r="VV55" s="88"/>
      <c r="VW55" s="88"/>
      <c r="VX55" s="88"/>
      <c r="VY55" s="88"/>
      <c r="VZ55" s="88"/>
      <c r="WA55" s="88"/>
      <c r="WB55" s="88"/>
      <c r="WC55" s="88"/>
      <c r="WD55" s="88"/>
      <c r="WE55" s="88"/>
      <c r="WF55" s="88"/>
      <c r="WG55" s="88"/>
      <c r="WH55" s="88"/>
      <c r="WI55" s="88"/>
      <c r="WJ55" s="88"/>
      <c r="WK55" s="88"/>
      <c r="WL55" s="88"/>
      <c r="WM55" s="88"/>
      <c r="WN55" s="88"/>
      <c r="WO55" s="88"/>
      <c r="WP55" s="88"/>
      <c r="WQ55" s="88"/>
      <c r="WR55" s="88"/>
      <c r="WS55" s="88"/>
      <c r="WT55" s="88"/>
      <c r="WU55" s="88"/>
      <c r="WV55" s="88"/>
      <c r="WW55" s="88"/>
      <c r="WX55" s="88"/>
      <c r="WY55" s="88"/>
      <c r="WZ55" s="88"/>
      <c r="XA55" s="88"/>
      <c r="XB55" s="88"/>
      <c r="XC55" s="88"/>
      <c r="XD55" s="88"/>
      <c r="XE55" s="88"/>
      <c r="XF55" s="88"/>
      <c r="XG55" s="88"/>
      <c r="XH55" s="88"/>
      <c r="XI55" s="88"/>
      <c r="XJ55" s="88"/>
      <c r="XK55" s="88"/>
      <c r="XL55" s="88"/>
      <c r="XM55" s="88"/>
      <c r="XN55" s="88"/>
      <c r="XO55" s="88"/>
      <c r="XP55" s="88"/>
      <c r="XQ55" s="88"/>
      <c r="XR55" s="88"/>
      <c r="XS55" s="88"/>
      <c r="XT55" s="88"/>
      <c r="XU55" s="88"/>
      <c r="XV55" s="88"/>
      <c r="XW55" s="88"/>
      <c r="XX55" s="88"/>
      <c r="XY55" s="88"/>
      <c r="XZ55" s="88"/>
      <c r="YA55" s="88"/>
      <c r="YB55" s="88"/>
      <c r="YC55" s="88"/>
      <c r="YD55" s="88"/>
      <c r="YE55" s="88"/>
      <c r="YF55" s="88"/>
      <c r="YG55" s="88"/>
      <c r="YH55" s="88"/>
      <c r="YI55" s="88"/>
      <c r="YJ55" s="88"/>
      <c r="YK55" s="88"/>
      <c r="YL55" s="88"/>
      <c r="YM55" s="88"/>
      <c r="YN55" s="88"/>
      <c r="YO55" s="88"/>
      <c r="YP55" s="88"/>
      <c r="YQ55" s="88"/>
      <c r="YR55" s="88"/>
      <c r="YS55" s="88"/>
      <c r="YT55" s="88"/>
      <c r="YU55" s="88"/>
      <c r="YV55" s="88"/>
      <c r="YW55" s="88"/>
      <c r="YX55" s="88"/>
      <c r="YY55" s="88"/>
      <c r="YZ55" s="88"/>
      <c r="ZA55" s="88"/>
      <c r="ZB55" s="88"/>
      <c r="ZC55" s="88"/>
      <c r="ZD55" s="88"/>
      <c r="ZE55" s="88"/>
      <c r="ZF55" s="88"/>
      <c r="ZG55" s="88"/>
      <c r="ZH55" s="88"/>
      <c r="ZI55" s="88"/>
      <c r="ZJ55" s="88"/>
      <c r="ZK55" s="88"/>
      <c r="ZL55" s="88"/>
      <c r="ZM55" s="88"/>
      <c r="ZN55" s="88"/>
      <c r="ZO55" s="88"/>
      <c r="ZP55" s="88"/>
      <c r="ZQ55" s="88"/>
      <c r="ZR55" s="88"/>
      <c r="ZS55" s="88"/>
      <c r="ZT55" s="88"/>
      <c r="ZU55" s="88"/>
      <c r="ZV55" s="88"/>
      <c r="ZW55" s="88"/>
      <c r="ZX55" s="88"/>
      <c r="ZY55" s="88"/>
      <c r="ZZ55" s="88"/>
      <c r="AAA55" s="88"/>
      <c r="AAB55" s="88"/>
      <c r="AAC55" s="88"/>
      <c r="AAD55" s="88"/>
      <c r="AAE55" s="88"/>
      <c r="AAF55" s="88"/>
      <c r="AAG55" s="88"/>
      <c r="AAH55" s="88"/>
      <c r="AAI55" s="88"/>
      <c r="AAJ55" s="88"/>
      <c r="AAK55" s="88"/>
      <c r="AAL55" s="88"/>
      <c r="AAM55" s="88"/>
      <c r="AAN55" s="88"/>
      <c r="AAO55" s="88"/>
      <c r="AAP55" s="88"/>
      <c r="AAQ55" s="88"/>
      <c r="AAR55" s="88"/>
      <c r="AAS55" s="88"/>
      <c r="AAT55" s="88"/>
      <c r="AAU55" s="88"/>
      <c r="AAV55" s="88"/>
      <c r="AAW55" s="88"/>
      <c r="AAX55" s="88"/>
      <c r="AAY55" s="88"/>
      <c r="AAZ55" s="88"/>
      <c r="ABA55" s="88"/>
      <c r="ABB55" s="88"/>
      <c r="ABC55" s="88"/>
      <c r="ABD55" s="88"/>
      <c r="ABE55" s="88"/>
      <c r="ABF55" s="88"/>
      <c r="ABG55" s="88"/>
      <c r="ABH55" s="88"/>
      <c r="ABI55" s="88"/>
      <c r="ABJ55" s="88"/>
      <c r="ABK55" s="88"/>
      <c r="ABL55" s="88"/>
      <c r="ABM55" s="88"/>
      <c r="ABN55" s="88"/>
      <c r="ABO55" s="88"/>
      <c r="ABP55" s="88"/>
      <c r="ABQ55" s="88"/>
      <c r="ABR55" s="88"/>
      <c r="ABS55" s="88"/>
      <c r="ABT55" s="88"/>
      <c r="ABU55" s="88"/>
      <c r="ABV55" s="88"/>
      <c r="ABW55" s="88"/>
      <c r="ABX55" s="88"/>
      <c r="ABY55" s="88"/>
      <c r="ABZ55" s="88"/>
      <c r="ACA55" s="88"/>
      <c r="ACB55" s="88"/>
      <c r="ACC55" s="88"/>
      <c r="ACD55" s="88"/>
      <c r="ACE55" s="88"/>
      <c r="ACF55" s="88"/>
      <c r="ACG55" s="88"/>
      <c r="ACH55" s="88"/>
      <c r="ACI55" s="88"/>
      <c r="ACJ55" s="88"/>
      <c r="ACK55" s="88"/>
      <c r="ACL55" s="88"/>
      <c r="ACM55" s="88"/>
      <c r="ACN55" s="88"/>
      <c r="ACO55" s="88"/>
      <c r="ACP55" s="88"/>
      <c r="ACQ55" s="88"/>
      <c r="ACR55" s="88"/>
      <c r="ACS55" s="88"/>
      <c r="ACT55" s="88"/>
      <c r="ACU55" s="88"/>
      <c r="ACV55" s="88"/>
      <c r="ACW55" s="88"/>
      <c r="ACX55" s="88"/>
      <c r="ACY55" s="88"/>
      <c r="ACZ55" s="88"/>
      <c r="ADA55" s="88"/>
      <c r="ADB55" s="88"/>
      <c r="ADC55" s="88"/>
      <c r="ADD55" s="88"/>
      <c r="ADE55" s="88"/>
      <c r="ADF55" s="88"/>
      <c r="ADG55" s="88"/>
      <c r="ADH55" s="88"/>
      <c r="ADI55" s="88"/>
      <c r="ADJ55" s="88"/>
      <c r="ADK55" s="88"/>
      <c r="ADL55" s="88"/>
      <c r="ADM55" s="88"/>
      <c r="ADN55" s="88"/>
      <c r="ADO55" s="88"/>
      <c r="ADP55" s="88"/>
      <c r="ADQ55" s="88"/>
      <c r="ADR55" s="88"/>
      <c r="ADS55" s="88"/>
      <c r="ADT55" s="88"/>
      <c r="ADU55" s="88"/>
      <c r="ADV55" s="88"/>
      <c r="ADW55" s="88"/>
      <c r="ADX55" s="88"/>
      <c r="ADY55" s="88"/>
      <c r="ADZ55" s="88"/>
      <c r="AEA55" s="88"/>
      <c r="AEB55" s="88"/>
      <c r="AEC55" s="88"/>
      <c r="AED55" s="88"/>
      <c r="AEE55" s="88"/>
      <c r="AEF55" s="88"/>
      <c r="AEG55" s="88"/>
      <c r="AEH55" s="88"/>
      <c r="AEI55" s="88"/>
      <c r="AEJ55" s="88"/>
      <c r="AEK55" s="88"/>
      <c r="AEL55" s="88"/>
      <c r="AEM55" s="88"/>
      <c r="AEN55" s="88"/>
      <c r="AEO55" s="88"/>
      <c r="AEP55" s="88"/>
      <c r="AEQ55" s="88"/>
      <c r="AER55" s="88"/>
      <c r="AES55" s="88"/>
      <c r="AET55" s="88"/>
      <c r="AEU55" s="88"/>
      <c r="AEV55" s="88"/>
      <c r="AEW55" s="88"/>
      <c r="AEX55" s="88"/>
      <c r="AEY55" s="88"/>
      <c r="AEZ55" s="88"/>
      <c r="AFA55" s="88"/>
      <c r="AFB55" s="88"/>
      <c r="AFC55" s="88"/>
      <c r="AFD55" s="88"/>
      <c r="AFE55" s="88"/>
      <c r="AFF55" s="88"/>
      <c r="AFG55" s="88"/>
      <c r="AFH55" s="88"/>
      <c r="AFI55" s="88"/>
      <c r="AFJ55" s="88"/>
      <c r="AFK55" s="88"/>
      <c r="AFL55" s="88"/>
      <c r="AFM55" s="88"/>
      <c r="AFN55" s="88"/>
      <c r="AFO55" s="88"/>
      <c r="AFP55" s="88"/>
      <c r="AFQ55" s="88"/>
      <c r="AFR55" s="88"/>
      <c r="AFS55" s="88"/>
      <c r="AFT55" s="88"/>
      <c r="AFU55" s="88"/>
      <c r="AFV55" s="88"/>
      <c r="AFW55" s="88"/>
      <c r="AFX55" s="88"/>
      <c r="AFY55" s="88"/>
      <c r="AFZ55" s="88"/>
      <c r="AGA55" s="88"/>
      <c r="AGB55" s="88"/>
      <c r="AGC55" s="88"/>
      <c r="AGD55" s="88"/>
      <c r="AGE55" s="88"/>
      <c r="AGF55" s="88"/>
      <c r="AGG55" s="88"/>
      <c r="AGH55" s="88"/>
      <c r="AGI55" s="88"/>
      <c r="AGJ55" s="88"/>
      <c r="AGK55" s="88"/>
      <c r="AGL55" s="88"/>
      <c r="AGM55" s="88"/>
      <c r="AGN55" s="88"/>
      <c r="AGO55" s="88"/>
      <c r="AGP55" s="88"/>
      <c r="AGQ55" s="88"/>
      <c r="AGR55" s="88"/>
      <c r="AGS55" s="88"/>
      <c r="AGT55" s="88"/>
      <c r="AGU55" s="88"/>
      <c r="AGV55" s="88"/>
      <c r="AGW55" s="88"/>
      <c r="AGX55" s="88"/>
      <c r="AGY55" s="88"/>
      <c r="AGZ55" s="88"/>
      <c r="AHA55" s="88"/>
      <c r="AHB55" s="88"/>
      <c r="AHC55" s="88"/>
      <c r="AHD55" s="88"/>
      <c r="AHE55" s="88"/>
      <c r="AHF55" s="88"/>
      <c r="AHG55" s="88"/>
      <c r="AHH55" s="88"/>
      <c r="AHI55" s="88"/>
      <c r="AHJ55" s="88"/>
      <c r="AHK55" s="88"/>
      <c r="AHL55" s="88"/>
      <c r="AHM55" s="88"/>
      <c r="AHN55" s="88"/>
      <c r="AHO55" s="88"/>
      <c r="AHP55" s="88"/>
      <c r="AHQ55" s="88"/>
      <c r="AHR55" s="88"/>
      <c r="AHS55" s="88"/>
      <c r="AHT55" s="88"/>
      <c r="AHU55" s="88"/>
      <c r="AHV55" s="88"/>
      <c r="AHW55" s="88"/>
      <c r="AHX55" s="88"/>
      <c r="AHY55" s="88"/>
      <c r="AHZ55" s="88"/>
      <c r="AIA55" s="88"/>
      <c r="AIB55" s="88"/>
      <c r="AIC55" s="88"/>
      <c r="AID55" s="88"/>
      <c r="AIE55" s="88"/>
      <c r="AIF55" s="88"/>
      <c r="AIG55" s="88"/>
      <c r="AIH55" s="88"/>
      <c r="AII55" s="88"/>
      <c r="AIJ55" s="88"/>
      <c r="AIK55" s="88"/>
      <c r="AIL55" s="88"/>
      <c r="AIM55" s="88"/>
      <c r="AIN55" s="88"/>
      <c r="AIO55" s="88"/>
      <c r="AIP55" s="88"/>
      <c r="AIQ55" s="88"/>
      <c r="AIR55" s="88"/>
      <c r="AIS55" s="88"/>
      <c r="AIT55" s="88"/>
      <c r="AIU55" s="88"/>
      <c r="AIV55" s="88"/>
      <c r="AIW55" s="88"/>
      <c r="AIX55" s="88"/>
      <c r="AIY55" s="88"/>
      <c r="AIZ55" s="88"/>
      <c r="AJA55" s="88"/>
      <c r="AJB55" s="88"/>
      <c r="AJC55" s="88"/>
      <c r="AJD55" s="88"/>
      <c r="AJE55" s="88"/>
      <c r="AJF55" s="88"/>
      <c r="AJG55" s="88"/>
      <c r="AJH55" s="88"/>
      <c r="AJI55" s="88"/>
      <c r="AJJ55" s="88"/>
      <c r="AJK55" s="88"/>
      <c r="AJL55" s="88"/>
      <c r="AJM55" s="88"/>
      <c r="AJN55" s="88"/>
      <c r="AJO55" s="88"/>
      <c r="AJP55" s="88"/>
      <c r="AJQ55" s="88"/>
      <c r="AJR55" s="88"/>
      <c r="AJS55" s="88"/>
      <c r="AJT55" s="88"/>
      <c r="AJU55" s="88"/>
      <c r="AJV55" s="88"/>
      <c r="AJW55" s="88"/>
      <c r="AJX55" s="88"/>
      <c r="AJY55" s="88"/>
      <c r="AJZ55" s="88"/>
      <c r="AKA55" s="88"/>
      <c r="AKB55" s="88"/>
      <c r="AKC55" s="88"/>
      <c r="AKD55" s="88"/>
      <c r="AKE55" s="88"/>
      <c r="AKF55" s="88"/>
      <c r="AKG55" s="88"/>
      <c r="AKH55" s="88"/>
      <c r="AKI55" s="88"/>
      <c r="AKJ55" s="88"/>
      <c r="AKK55" s="88"/>
      <c r="AKL55" s="88"/>
      <c r="AKM55" s="88"/>
      <c r="AKN55" s="88"/>
      <c r="AKO55" s="88"/>
      <c r="AKP55" s="88"/>
      <c r="AKQ55" s="88"/>
      <c r="AKR55" s="88"/>
      <c r="AKS55" s="88"/>
      <c r="AKT55" s="88"/>
      <c r="AKU55" s="88"/>
      <c r="AKV55" s="88"/>
      <c r="AKW55" s="88"/>
      <c r="AKX55" s="88"/>
      <c r="AKY55" s="88"/>
      <c r="AKZ55" s="88"/>
      <c r="ALA55" s="88"/>
      <c r="ALB55" s="88"/>
      <c r="ALC55" s="88"/>
      <c r="ALD55" s="88"/>
      <c r="ALE55" s="88"/>
      <c r="ALF55" s="88"/>
      <c r="ALG55" s="88"/>
      <c r="ALH55" s="88"/>
      <c r="ALI55" s="88"/>
      <c r="ALJ55" s="88"/>
      <c r="ALK55" s="88"/>
      <c r="ALL55" s="88"/>
      <c r="ALM55" s="88"/>
      <c r="ALN55" s="88"/>
      <c r="ALO55" s="88"/>
      <c r="ALP55" s="88"/>
      <c r="ALQ55" s="88"/>
      <c r="ALR55" s="88"/>
      <c r="ALS55" s="88"/>
      <c r="ALT55" s="88"/>
      <c r="ALU55" s="88"/>
      <c r="ALV55" s="88"/>
      <c r="ALW55" s="88"/>
      <c r="ALX55" s="88"/>
      <c r="ALY55" s="88"/>
      <c r="ALZ55" s="88"/>
      <c r="AMA55" s="88"/>
      <c r="AMB55" s="88"/>
      <c r="AMC55" s="88"/>
      <c r="AMD55" s="88"/>
      <c r="AME55" s="88"/>
      <c r="AMF55" s="88"/>
      <c r="AMG55" s="88"/>
      <c r="AMH55" s="88"/>
      <c r="AMI55" s="88"/>
      <c r="AMJ55" s="88"/>
      <c r="AMK55" s="88"/>
      <c r="AML55" s="88"/>
      <c r="AMM55" s="88"/>
      <c r="AMN55" s="88"/>
      <c r="AMO55" s="88"/>
      <c r="AMP55" s="88"/>
      <c r="AMQ55" s="88"/>
      <c r="AMR55" s="88"/>
      <c r="AMS55" s="88"/>
      <c r="AMT55" s="88"/>
      <c r="AMU55" s="88"/>
      <c r="AMV55" s="88"/>
      <c r="AMW55" s="88"/>
      <c r="AMX55" s="88"/>
      <c r="AMY55" s="88"/>
      <c r="AMZ55" s="88"/>
      <c r="ANA55" s="88"/>
      <c r="ANB55" s="88"/>
      <c r="ANC55" s="88"/>
      <c r="AND55" s="88"/>
      <c r="ANE55" s="88"/>
      <c r="ANF55" s="88"/>
      <c r="ANG55" s="88"/>
      <c r="ANH55" s="88"/>
      <c r="ANI55" s="88"/>
      <c r="ANJ55" s="88"/>
      <c r="ANK55" s="88"/>
      <c r="ANL55" s="88"/>
      <c r="ANM55" s="88"/>
      <c r="ANN55" s="88"/>
      <c r="ANO55" s="88"/>
      <c r="ANP55" s="88"/>
      <c r="ANQ55" s="88"/>
      <c r="ANR55" s="88"/>
      <c r="ANS55" s="88"/>
      <c r="ANT55" s="88"/>
      <c r="ANU55" s="88"/>
      <c r="ANV55" s="88"/>
      <c r="ANW55" s="88"/>
      <c r="ANX55" s="88"/>
      <c r="ANY55" s="88"/>
      <c r="ANZ55" s="88"/>
      <c r="AOA55" s="88"/>
      <c r="AOB55" s="88"/>
      <c r="AOC55" s="88"/>
      <c r="AOD55" s="88"/>
      <c r="AOE55" s="88"/>
      <c r="AOF55" s="88"/>
      <c r="AOG55" s="88"/>
      <c r="AOH55" s="88"/>
      <c r="AOI55" s="88"/>
      <c r="AOJ55" s="88"/>
      <c r="AOK55" s="88"/>
      <c r="AOL55" s="88"/>
      <c r="AOM55" s="88"/>
      <c r="AON55" s="88"/>
      <c r="AOO55" s="88"/>
      <c r="AOP55" s="88"/>
      <c r="AOQ55" s="88"/>
      <c r="AOR55" s="88"/>
      <c r="AOS55" s="88"/>
      <c r="AOT55" s="88"/>
      <c r="AOU55" s="88"/>
      <c r="AOV55" s="88"/>
      <c r="AOW55" s="88"/>
      <c r="AOX55" s="88"/>
      <c r="AOY55" s="88"/>
      <c r="AOZ55" s="88"/>
      <c r="APA55" s="88"/>
      <c r="APB55" s="88"/>
      <c r="APC55" s="88"/>
      <c r="APD55" s="88"/>
      <c r="APE55" s="88"/>
      <c r="APF55" s="88"/>
      <c r="APG55" s="88"/>
      <c r="APH55" s="88"/>
      <c r="API55" s="88"/>
      <c r="APJ55" s="88"/>
      <c r="APK55" s="88"/>
      <c r="APL55" s="88"/>
      <c r="APM55" s="88"/>
      <c r="APN55" s="88"/>
      <c r="APO55" s="88"/>
      <c r="APP55" s="88"/>
      <c r="APQ55" s="88"/>
      <c r="APR55" s="88"/>
      <c r="APS55" s="88"/>
      <c r="APT55" s="88"/>
      <c r="APU55" s="88"/>
      <c r="APV55" s="88"/>
      <c r="APW55" s="88"/>
      <c r="APX55" s="88"/>
      <c r="APY55" s="88"/>
      <c r="APZ55" s="88"/>
      <c r="AQA55" s="88"/>
      <c r="AQB55" s="88"/>
      <c r="AQC55" s="88"/>
      <c r="AQD55" s="88"/>
      <c r="AQE55" s="88"/>
      <c r="AQF55" s="88"/>
      <c r="AQG55" s="88"/>
      <c r="AQH55" s="88"/>
      <c r="AQI55" s="88"/>
      <c r="AQJ55" s="88"/>
      <c r="AQK55" s="88"/>
      <c r="AQL55" s="88"/>
      <c r="AQM55" s="88"/>
      <c r="AQN55" s="88"/>
      <c r="AQO55" s="88"/>
      <c r="AQP55" s="88"/>
      <c r="AQQ55" s="88"/>
      <c r="AQR55" s="88"/>
      <c r="AQS55" s="88"/>
      <c r="AQT55" s="88"/>
      <c r="AQU55" s="88"/>
      <c r="AQV55" s="88"/>
      <c r="AQW55" s="88"/>
      <c r="AQX55" s="88"/>
      <c r="AQY55" s="88"/>
      <c r="AQZ55" s="88"/>
      <c r="ARA55" s="88"/>
      <c r="ARB55" s="88"/>
      <c r="ARC55" s="88"/>
      <c r="ARD55" s="88"/>
      <c r="ARE55" s="88"/>
      <c r="ARF55" s="88"/>
      <c r="ARG55" s="88"/>
      <c r="ARH55" s="88"/>
      <c r="ARI55" s="88"/>
      <c r="ARJ55" s="88"/>
      <c r="ARK55" s="88"/>
      <c r="ARL55" s="88"/>
      <c r="ARM55" s="88"/>
      <c r="ARN55" s="88"/>
      <c r="ARO55" s="88"/>
      <c r="ARP55" s="88"/>
      <c r="ARQ55" s="88"/>
      <c r="ARR55" s="88"/>
      <c r="ARS55" s="88"/>
      <c r="ART55" s="88"/>
      <c r="ARU55" s="88"/>
      <c r="ARV55" s="88"/>
      <c r="ARW55" s="88"/>
      <c r="ARX55" s="88"/>
      <c r="ARY55" s="88"/>
      <c r="ARZ55" s="88"/>
      <c r="ASA55" s="88"/>
      <c r="ASB55" s="88"/>
      <c r="ASC55" s="88"/>
      <c r="ASD55" s="88"/>
      <c r="ASE55" s="88"/>
      <c r="ASF55" s="88"/>
      <c r="ASG55" s="88"/>
      <c r="ASH55" s="88"/>
      <c r="ASI55" s="88"/>
      <c r="ASJ55" s="88"/>
      <c r="ASK55" s="88"/>
      <c r="ASL55" s="88"/>
      <c r="ASM55" s="88"/>
      <c r="ASN55" s="88"/>
      <c r="ASO55" s="88"/>
      <c r="ASP55" s="88"/>
      <c r="ASQ55" s="88"/>
      <c r="ASR55" s="88"/>
      <c r="ASS55" s="88"/>
      <c r="AST55" s="88"/>
      <c r="ASU55" s="88"/>
      <c r="ASV55" s="88"/>
      <c r="ASW55" s="88"/>
      <c r="ASX55" s="88"/>
      <c r="ASY55" s="88"/>
      <c r="ASZ55" s="88"/>
      <c r="ATA55" s="88"/>
      <c r="ATB55" s="88"/>
      <c r="ATC55" s="88"/>
      <c r="ATD55" s="88"/>
      <c r="ATE55" s="88"/>
      <c r="ATF55" s="88"/>
      <c r="ATG55" s="88"/>
      <c r="ATH55" s="88"/>
      <c r="ATI55" s="88"/>
      <c r="ATJ55" s="88"/>
      <c r="ATK55" s="88"/>
      <c r="ATL55" s="88"/>
      <c r="ATM55" s="88"/>
      <c r="ATN55" s="88"/>
      <c r="ATO55" s="88"/>
      <c r="ATP55" s="88"/>
      <c r="ATQ55" s="88"/>
      <c r="ATR55" s="88"/>
      <c r="ATS55" s="88"/>
      <c r="ATT55" s="88"/>
      <c r="ATU55" s="88"/>
      <c r="ATV55" s="88"/>
      <c r="ATW55" s="88"/>
      <c r="ATX55" s="88"/>
      <c r="ATY55" s="88"/>
      <c r="ATZ55" s="88"/>
      <c r="AUA55" s="88"/>
      <c r="AUB55" s="88"/>
      <c r="AUC55" s="88"/>
      <c r="AUD55" s="88"/>
      <c r="AUE55" s="88"/>
      <c r="AUF55" s="88"/>
      <c r="AUG55" s="88"/>
      <c r="AUH55" s="88"/>
      <c r="AUI55" s="88"/>
      <c r="AUJ55" s="88"/>
      <c r="AUK55" s="88"/>
      <c r="AUL55" s="88"/>
      <c r="AUM55" s="88"/>
      <c r="AUN55" s="88"/>
      <c r="AUO55" s="88"/>
      <c r="AUP55" s="88"/>
      <c r="AUQ55" s="88"/>
      <c r="AUR55" s="88"/>
      <c r="AUS55" s="88"/>
      <c r="AUT55" s="88"/>
      <c r="AUU55" s="88"/>
      <c r="AUV55" s="88"/>
      <c r="AUW55" s="88"/>
      <c r="AUX55" s="88"/>
      <c r="AUY55" s="88"/>
      <c r="AUZ55" s="88"/>
      <c r="AVA55" s="88"/>
      <c r="AVB55" s="88"/>
      <c r="AVC55" s="88"/>
      <c r="AVD55" s="88"/>
      <c r="AVE55" s="88"/>
      <c r="AVF55" s="88"/>
      <c r="AVG55" s="88"/>
      <c r="AVH55" s="88"/>
      <c r="AVI55" s="88"/>
      <c r="AVJ55" s="88"/>
      <c r="AVK55" s="88"/>
      <c r="AVL55" s="88"/>
      <c r="AVM55" s="88"/>
      <c r="AVN55" s="88"/>
      <c r="AVO55" s="88"/>
      <c r="AVP55" s="88"/>
      <c r="AVQ55" s="88"/>
      <c r="AVR55" s="88"/>
      <c r="AVS55" s="88"/>
      <c r="AVT55" s="88"/>
      <c r="AVU55" s="88"/>
      <c r="AVV55" s="88"/>
      <c r="AVW55" s="88"/>
      <c r="AVX55" s="88"/>
      <c r="AVY55" s="88"/>
      <c r="AVZ55" s="88"/>
      <c r="AWA55" s="88"/>
      <c r="AWB55" s="88"/>
      <c r="AWC55" s="88"/>
      <c r="AWD55" s="88"/>
      <c r="AWE55" s="88"/>
      <c r="AWF55" s="88"/>
      <c r="AWG55" s="88"/>
      <c r="AWH55" s="88"/>
      <c r="AWI55" s="88"/>
      <c r="AWJ55" s="88"/>
      <c r="AWK55" s="88"/>
      <c r="AWL55" s="88"/>
      <c r="AWM55" s="88"/>
      <c r="AWN55" s="88"/>
      <c r="AWO55" s="88"/>
      <c r="AWP55" s="88"/>
      <c r="AWQ55" s="88"/>
      <c r="AWR55" s="88"/>
      <c r="AWS55" s="88"/>
      <c r="AWT55" s="88"/>
      <c r="AWU55" s="88"/>
      <c r="AWV55" s="88"/>
      <c r="AWW55" s="88"/>
      <c r="AWX55" s="88"/>
      <c r="AWY55" s="88"/>
      <c r="AWZ55" s="88"/>
      <c r="AXA55" s="88"/>
      <c r="AXB55" s="88"/>
      <c r="AXC55" s="88"/>
      <c r="AXD55" s="88"/>
      <c r="AXE55" s="88"/>
      <c r="AXF55" s="88"/>
      <c r="AXG55" s="88"/>
      <c r="AXH55" s="88"/>
      <c r="AXI55" s="88"/>
      <c r="AXJ55" s="88"/>
      <c r="AXK55" s="88"/>
      <c r="AXL55" s="88"/>
      <c r="AXM55" s="88"/>
      <c r="AXN55" s="88"/>
      <c r="AXO55" s="88"/>
      <c r="AXP55" s="88"/>
      <c r="AXQ55" s="88"/>
      <c r="AXR55" s="88"/>
      <c r="AXS55" s="88"/>
      <c r="AXT55" s="88"/>
      <c r="AXU55" s="88"/>
      <c r="AXV55" s="88"/>
      <c r="AXW55" s="88"/>
      <c r="AXX55" s="88"/>
      <c r="AXY55" s="88"/>
      <c r="AXZ55" s="88"/>
      <c r="AYA55" s="88"/>
      <c r="AYB55" s="88"/>
      <c r="AYC55" s="88"/>
      <c r="AYD55" s="88"/>
      <c r="AYE55" s="88"/>
      <c r="AYF55" s="88"/>
      <c r="AYG55" s="88"/>
      <c r="AYH55" s="88"/>
      <c r="AYI55" s="88"/>
      <c r="AYJ55" s="88"/>
      <c r="AYK55" s="88"/>
      <c r="AYL55" s="88"/>
      <c r="AYM55" s="88"/>
      <c r="AYN55" s="88"/>
      <c r="AYO55" s="88"/>
      <c r="AYP55" s="88"/>
      <c r="AYQ55" s="88"/>
      <c r="AYR55" s="88"/>
      <c r="AYS55" s="88"/>
      <c r="AYT55" s="88"/>
      <c r="AYU55" s="88"/>
      <c r="AYV55" s="88"/>
      <c r="AYW55" s="88"/>
      <c r="AYX55" s="88"/>
      <c r="AYY55" s="88"/>
      <c r="AYZ55" s="88"/>
      <c r="AZA55" s="88"/>
      <c r="AZB55" s="88"/>
      <c r="AZC55" s="88"/>
      <c r="AZD55" s="88"/>
      <c r="AZE55" s="88"/>
      <c r="AZF55" s="88"/>
      <c r="AZG55" s="88"/>
      <c r="AZH55" s="88"/>
      <c r="AZI55" s="88"/>
      <c r="AZJ55" s="88"/>
      <c r="AZK55" s="88"/>
      <c r="AZL55" s="88"/>
      <c r="AZM55" s="88"/>
      <c r="AZN55" s="88"/>
      <c r="AZO55" s="88"/>
      <c r="AZP55" s="88"/>
      <c r="AZQ55" s="88"/>
      <c r="AZR55" s="88"/>
      <c r="AZS55" s="88"/>
      <c r="AZT55" s="88"/>
      <c r="AZU55" s="88"/>
      <c r="AZV55" s="88"/>
      <c r="AZW55" s="88"/>
      <c r="AZX55" s="88"/>
      <c r="AZY55" s="88"/>
      <c r="AZZ55" s="88"/>
      <c r="BAA55" s="88"/>
      <c r="BAB55" s="88"/>
      <c r="BAC55" s="88"/>
      <c r="BAD55" s="88"/>
      <c r="BAE55" s="88"/>
      <c r="BAF55" s="88"/>
      <c r="BAG55" s="88"/>
      <c r="BAH55" s="88"/>
      <c r="BAI55" s="88"/>
      <c r="BAJ55" s="88"/>
      <c r="BAK55" s="88"/>
      <c r="BAL55" s="88"/>
      <c r="BAM55" s="88"/>
      <c r="BAN55" s="88"/>
      <c r="BAO55" s="88"/>
      <c r="BAP55" s="88"/>
      <c r="BAQ55" s="88"/>
      <c r="BAR55" s="88"/>
      <c r="BAS55" s="88"/>
      <c r="BAT55" s="88"/>
      <c r="BAU55" s="88"/>
      <c r="BAV55" s="88"/>
      <c r="BAW55" s="88"/>
      <c r="BAX55" s="88"/>
      <c r="BAY55" s="88"/>
      <c r="BAZ55" s="88"/>
      <c r="BBA55" s="88"/>
      <c r="BBB55" s="88"/>
      <c r="BBC55" s="88"/>
      <c r="BBD55" s="88"/>
      <c r="BBE55" s="88"/>
      <c r="BBF55" s="88"/>
      <c r="BBG55" s="88"/>
      <c r="BBH55" s="88"/>
      <c r="BBI55" s="88"/>
      <c r="BBJ55" s="88"/>
      <c r="BBK55" s="88"/>
      <c r="BBL55" s="88"/>
      <c r="BBM55" s="88"/>
      <c r="BBN55" s="88"/>
      <c r="BBO55" s="88"/>
      <c r="BBP55" s="88"/>
      <c r="BBQ55" s="88"/>
      <c r="BBR55" s="88"/>
      <c r="BBS55" s="88"/>
      <c r="BBT55" s="88"/>
      <c r="BBU55" s="88"/>
      <c r="BBV55" s="88"/>
      <c r="BBW55" s="88"/>
      <c r="BBX55" s="88"/>
      <c r="BBY55" s="88"/>
      <c r="BBZ55" s="88"/>
      <c r="BCA55" s="88"/>
      <c r="BCB55" s="88"/>
      <c r="BCC55" s="88"/>
      <c r="BCD55" s="88"/>
      <c r="BCE55" s="88"/>
      <c r="BCF55" s="88"/>
      <c r="BCG55" s="88"/>
      <c r="BCH55" s="88"/>
      <c r="BCI55" s="88"/>
      <c r="BCJ55" s="88"/>
      <c r="BCK55" s="88"/>
      <c r="BCL55" s="88"/>
      <c r="BCM55" s="88"/>
      <c r="BCN55" s="88"/>
      <c r="BCO55" s="88"/>
      <c r="BCP55" s="88"/>
      <c r="BCQ55" s="88"/>
      <c r="BCR55" s="88"/>
      <c r="BCS55" s="88"/>
      <c r="BCT55" s="88"/>
      <c r="BCU55" s="88"/>
      <c r="BCV55" s="88"/>
      <c r="BCW55" s="88"/>
      <c r="BCX55" s="88"/>
      <c r="BCY55" s="88"/>
      <c r="BCZ55" s="88"/>
      <c r="BDA55" s="88"/>
      <c r="BDB55" s="88"/>
      <c r="BDC55" s="88"/>
      <c r="BDD55" s="88"/>
      <c r="BDE55" s="88"/>
      <c r="BDF55" s="88"/>
      <c r="BDG55" s="88"/>
      <c r="BDH55" s="88"/>
      <c r="BDI55" s="88"/>
      <c r="BDJ55" s="88"/>
      <c r="BDK55" s="88"/>
      <c r="BDL55" s="88"/>
      <c r="BDM55" s="88"/>
      <c r="BDN55" s="88"/>
      <c r="BDO55" s="88"/>
      <c r="BDP55" s="88"/>
      <c r="BDQ55" s="88"/>
      <c r="BDR55" s="88"/>
      <c r="BDS55" s="88"/>
      <c r="BDT55" s="88"/>
      <c r="BDU55" s="88"/>
      <c r="BDV55" s="88"/>
      <c r="BDW55" s="88"/>
      <c r="BDX55" s="88"/>
      <c r="BDY55" s="88"/>
      <c r="BDZ55" s="88"/>
      <c r="BEA55" s="88"/>
      <c r="BEB55" s="88"/>
      <c r="BEC55" s="88"/>
      <c r="BED55" s="88"/>
      <c r="BEE55" s="88"/>
      <c r="BEF55" s="88"/>
      <c r="BEG55" s="88"/>
      <c r="BEH55" s="88"/>
      <c r="BEI55" s="88"/>
      <c r="BEJ55" s="88"/>
      <c r="BEK55" s="88"/>
      <c r="BEL55" s="88"/>
      <c r="BEM55" s="88"/>
      <c r="BEN55" s="88"/>
      <c r="BEO55" s="88"/>
      <c r="BEP55" s="88"/>
      <c r="BEQ55" s="88"/>
      <c r="BER55" s="88"/>
      <c r="BES55" s="88"/>
      <c r="BET55" s="88"/>
      <c r="BEU55" s="88"/>
      <c r="BEV55" s="88"/>
      <c r="BEW55" s="88"/>
      <c r="BEX55" s="88"/>
      <c r="BEY55" s="88"/>
      <c r="BEZ55" s="88"/>
      <c r="BFA55" s="88"/>
      <c r="BFB55" s="88"/>
      <c r="BFC55" s="88"/>
      <c r="BFD55" s="88"/>
      <c r="BFE55" s="88"/>
      <c r="BFF55" s="88"/>
      <c r="BFG55" s="88"/>
      <c r="BFH55" s="88"/>
      <c r="BFI55" s="88"/>
      <c r="BFJ55" s="88"/>
      <c r="BFK55" s="88"/>
      <c r="BFL55" s="88"/>
      <c r="BFM55" s="88"/>
      <c r="BFN55" s="88"/>
      <c r="BFO55" s="88"/>
      <c r="BFP55" s="88"/>
      <c r="BFQ55" s="88"/>
      <c r="BFR55" s="88"/>
      <c r="BFS55" s="88"/>
      <c r="BFT55" s="88"/>
      <c r="BFU55" s="88"/>
      <c r="BFV55" s="88"/>
      <c r="BFW55" s="88"/>
      <c r="BFX55" s="88"/>
      <c r="BFY55" s="88"/>
      <c r="BFZ55" s="88"/>
      <c r="BGA55" s="88"/>
      <c r="BGB55" s="88"/>
      <c r="BGC55" s="88"/>
      <c r="BGD55" s="88"/>
      <c r="BGE55" s="88"/>
      <c r="BGF55" s="88"/>
      <c r="BGG55" s="88"/>
      <c r="BGH55" s="88"/>
      <c r="BGI55" s="88"/>
      <c r="BGJ55" s="88"/>
      <c r="BGK55" s="88"/>
      <c r="BGL55" s="88"/>
      <c r="BGM55" s="88"/>
      <c r="BGN55" s="88"/>
      <c r="BGO55" s="88"/>
      <c r="BGP55" s="88"/>
      <c r="BGQ55" s="88"/>
      <c r="BGR55" s="88"/>
      <c r="BGS55" s="88"/>
      <c r="BGT55" s="88"/>
      <c r="BGU55" s="88"/>
      <c r="BGV55" s="88"/>
      <c r="BGW55" s="88"/>
      <c r="BGX55" s="88"/>
      <c r="BGY55" s="88"/>
      <c r="BGZ55" s="88"/>
      <c r="BHA55" s="88"/>
      <c r="BHB55" s="88"/>
      <c r="BHC55" s="88"/>
      <c r="BHD55" s="88"/>
      <c r="BHE55" s="88"/>
      <c r="BHF55" s="88"/>
      <c r="BHG55" s="88"/>
      <c r="BHH55" s="88"/>
      <c r="BHI55" s="88"/>
      <c r="BHJ55" s="88"/>
      <c r="BHK55" s="88"/>
      <c r="BHL55" s="88"/>
      <c r="BHM55" s="88"/>
      <c r="BHN55" s="88"/>
      <c r="BHO55" s="88"/>
      <c r="BHP55" s="88"/>
      <c r="BHQ55" s="88"/>
      <c r="BHR55" s="88"/>
      <c r="BHS55" s="88"/>
      <c r="BHT55" s="88"/>
      <c r="BHU55" s="88"/>
      <c r="BHV55" s="88"/>
      <c r="BHW55" s="88"/>
      <c r="BHX55" s="88"/>
      <c r="BHY55" s="88"/>
      <c r="BHZ55" s="88"/>
      <c r="BIA55" s="88"/>
      <c r="BIB55" s="88"/>
      <c r="BIC55" s="88"/>
      <c r="BID55" s="88"/>
      <c r="BIE55" s="88"/>
      <c r="BIF55" s="88"/>
      <c r="BIG55" s="88"/>
      <c r="BIH55" s="88"/>
      <c r="BII55" s="88"/>
      <c r="BIJ55" s="88"/>
      <c r="BIK55" s="88"/>
      <c r="BIL55" s="88"/>
      <c r="BIM55" s="88"/>
      <c r="BIN55" s="88"/>
      <c r="BIO55" s="88"/>
      <c r="BIP55" s="88"/>
      <c r="BIQ55" s="88"/>
      <c r="BIR55" s="88"/>
      <c r="BIS55" s="88"/>
      <c r="BIT55" s="88"/>
      <c r="BIU55" s="88"/>
      <c r="BIV55" s="88"/>
      <c r="BIW55" s="88"/>
      <c r="BIX55" s="88"/>
      <c r="BIY55" s="88"/>
      <c r="BIZ55" s="88"/>
      <c r="BJA55" s="88"/>
      <c r="BJB55" s="88"/>
      <c r="BJC55" s="88"/>
      <c r="BJD55" s="88"/>
      <c r="BJE55" s="88"/>
      <c r="BJF55" s="88"/>
      <c r="BJG55" s="88"/>
      <c r="BJH55" s="88"/>
      <c r="BJI55" s="88"/>
      <c r="BJJ55" s="88"/>
      <c r="BJK55" s="88"/>
      <c r="BJL55" s="88"/>
      <c r="BJM55" s="88"/>
      <c r="BJN55" s="88"/>
      <c r="BJO55" s="88"/>
      <c r="BJP55" s="88"/>
      <c r="BJQ55" s="88"/>
      <c r="BJR55" s="88"/>
      <c r="BJS55" s="88"/>
      <c r="BJT55" s="88"/>
      <c r="BJU55" s="88"/>
      <c r="BJV55" s="88"/>
      <c r="BJW55" s="88"/>
      <c r="BJX55" s="88"/>
      <c r="BJY55" s="88"/>
      <c r="BJZ55" s="88"/>
      <c r="BKA55" s="88"/>
      <c r="BKB55" s="88"/>
      <c r="BKC55" s="88"/>
      <c r="BKD55" s="88"/>
      <c r="BKE55" s="88"/>
      <c r="BKF55" s="88"/>
      <c r="BKG55" s="88"/>
      <c r="BKH55" s="88"/>
      <c r="BKI55" s="88"/>
      <c r="BKJ55" s="88"/>
      <c r="BKK55" s="88"/>
      <c r="BKL55" s="88"/>
      <c r="BKM55" s="88"/>
      <c r="BKN55" s="88"/>
      <c r="BKO55" s="88"/>
      <c r="BKP55" s="88"/>
      <c r="BKQ55" s="88"/>
      <c r="BKR55" s="88"/>
      <c r="BKS55" s="88"/>
      <c r="BKT55" s="88"/>
      <c r="BKU55" s="88"/>
      <c r="BKV55" s="88"/>
      <c r="BKW55" s="88"/>
      <c r="BKX55" s="88"/>
      <c r="BKY55" s="88"/>
      <c r="BKZ55" s="88"/>
      <c r="BLA55" s="88"/>
      <c r="BLB55" s="88"/>
      <c r="BLC55" s="88"/>
      <c r="BLD55" s="88"/>
      <c r="BLE55" s="88"/>
      <c r="BLF55" s="88"/>
      <c r="BLG55" s="88"/>
      <c r="BLH55" s="88"/>
      <c r="BLI55" s="88"/>
      <c r="BLJ55" s="88"/>
      <c r="BLK55" s="88"/>
      <c r="BLL55" s="88"/>
      <c r="BLM55" s="88"/>
      <c r="BLN55" s="88"/>
      <c r="BLO55" s="88"/>
      <c r="BLP55" s="88"/>
      <c r="BLQ55" s="88"/>
      <c r="BLR55" s="88"/>
      <c r="BLS55" s="88"/>
      <c r="BLT55" s="88"/>
      <c r="BLU55" s="88"/>
      <c r="BLV55" s="88"/>
      <c r="BLW55" s="88"/>
      <c r="BLX55" s="88"/>
      <c r="BLY55" s="88"/>
      <c r="BLZ55" s="88"/>
      <c r="BMA55" s="88"/>
      <c r="BMB55" s="88"/>
      <c r="BMC55" s="88"/>
      <c r="BMD55" s="88"/>
      <c r="BME55" s="88"/>
      <c r="BMF55" s="88"/>
      <c r="BMG55" s="88"/>
      <c r="BMH55" s="88"/>
      <c r="BMI55" s="88"/>
      <c r="BMJ55" s="88"/>
      <c r="BMK55" s="88"/>
      <c r="BML55" s="88"/>
      <c r="BMM55" s="88"/>
      <c r="BMN55" s="88"/>
      <c r="BMO55" s="88"/>
      <c r="BMP55" s="88"/>
      <c r="BMQ55" s="88"/>
      <c r="BMR55" s="88"/>
      <c r="BMS55" s="88"/>
      <c r="BMT55" s="88"/>
      <c r="BMU55" s="88"/>
      <c r="BMV55" s="88"/>
      <c r="BMW55" s="88"/>
      <c r="BMX55" s="88"/>
      <c r="BMY55" s="88"/>
      <c r="BMZ55" s="88"/>
      <c r="BNA55" s="88"/>
      <c r="BNB55" s="88"/>
      <c r="BNC55" s="88"/>
      <c r="BND55" s="88"/>
      <c r="BNE55" s="88"/>
      <c r="BNF55" s="88"/>
      <c r="BNG55" s="88"/>
      <c r="BNH55" s="88"/>
      <c r="BNI55" s="88"/>
      <c r="BNJ55" s="88"/>
      <c r="BNK55" s="88"/>
      <c r="BNL55" s="88"/>
      <c r="BNM55" s="88"/>
      <c r="BNN55" s="88"/>
      <c r="BNO55" s="88"/>
      <c r="BNP55" s="88"/>
      <c r="BNQ55" s="88"/>
      <c r="BNR55" s="88"/>
      <c r="BNS55" s="88"/>
      <c r="BNT55" s="88"/>
      <c r="BNU55" s="88"/>
      <c r="BNV55" s="88"/>
      <c r="BNW55" s="88"/>
      <c r="BNX55" s="88"/>
      <c r="BNY55" s="88"/>
      <c r="BNZ55" s="88"/>
      <c r="BOA55" s="88"/>
      <c r="BOB55" s="88"/>
      <c r="BOC55" s="88"/>
      <c r="BOD55" s="88"/>
      <c r="BOE55" s="88"/>
      <c r="BOF55" s="88"/>
      <c r="BOG55" s="88"/>
      <c r="BOH55" s="88"/>
      <c r="BOI55" s="88"/>
      <c r="BOJ55" s="88"/>
      <c r="BOK55" s="88"/>
      <c r="BOL55" s="88"/>
      <c r="BOM55" s="88"/>
      <c r="BON55" s="88"/>
      <c r="BOO55" s="88"/>
      <c r="BOP55" s="88"/>
      <c r="BOQ55" s="88"/>
      <c r="BOR55" s="88"/>
      <c r="BOS55" s="88"/>
      <c r="BOT55" s="88"/>
      <c r="BOU55" s="88"/>
      <c r="BOV55" s="88"/>
      <c r="BOW55" s="88"/>
      <c r="BOX55" s="88"/>
      <c r="BOY55" s="88"/>
      <c r="BOZ55" s="88"/>
      <c r="BPA55" s="88"/>
      <c r="BPB55" s="88"/>
      <c r="BPC55" s="88"/>
      <c r="BPD55" s="88"/>
      <c r="BPE55" s="88"/>
      <c r="BPF55" s="88"/>
      <c r="BPG55" s="88"/>
      <c r="BPH55" s="88"/>
      <c r="BPI55" s="88"/>
      <c r="BPJ55" s="88"/>
      <c r="BPK55" s="88"/>
      <c r="BPL55" s="88"/>
      <c r="BPM55" s="88"/>
      <c r="BPN55" s="88"/>
      <c r="BPO55" s="88"/>
      <c r="BPP55" s="88"/>
      <c r="BPQ55" s="88"/>
      <c r="BPR55" s="88"/>
      <c r="BPS55" s="88"/>
      <c r="BPT55" s="88"/>
      <c r="BPU55" s="88"/>
      <c r="BPV55" s="88"/>
      <c r="BPW55" s="88"/>
      <c r="BPX55" s="88"/>
      <c r="BPY55" s="88"/>
      <c r="BPZ55" s="88"/>
      <c r="BQA55" s="88"/>
      <c r="BQB55" s="88"/>
      <c r="BQC55" s="88"/>
      <c r="BQD55" s="88"/>
      <c r="BQE55" s="88"/>
      <c r="BQF55" s="88"/>
      <c r="BQG55" s="88"/>
      <c r="BQH55" s="88"/>
      <c r="BQI55" s="88"/>
      <c r="BQJ55" s="88"/>
      <c r="BQK55" s="88"/>
      <c r="BQL55" s="88"/>
      <c r="BQM55" s="88"/>
      <c r="BQN55" s="88"/>
      <c r="BQO55" s="88"/>
      <c r="BQP55" s="88"/>
      <c r="BQQ55" s="88"/>
      <c r="BQR55" s="88"/>
      <c r="BQS55" s="88"/>
      <c r="BQT55" s="88"/>
      <c r="BQU55" s="88"/>
      <c r="BQV55" s="88"/>
      <c r="BQW55" s="88"/>
      <c r="BQX55" s="88"/>
      <c r="BQY55" s="88"/>
      <c r="BQZ55" s="88"/>
      <c r="BRA55" s="88"/>
      <c r="BRB55" s="88"/>
      <c r="BRC55" s="88"/>
      <c r="BRD55" s="88"/>
      <c r="BRE55" s="88"/>
      <c r="BRF55" s="88"/>
      <c r="BRG55" s="88"/>
      <c r="BRH55" s="88"/>
      <c r="BRI55" s="88"/>
      <c r="BRJ55" s="88"/>
      <c r="BRK55" s="88"/>
      <c r="BRL55" s="88"/>
      <c r="BRM55" s="88"/>
      <c r="BRN55" s="88"/>
      <c r="BRO55" s="88"/>
      <c r="BRP55" s="88"/>
      <c r="BRQ55" s="88"/>
      <c r="BRR55" s="88"/>
      <c r="BRS55" s="88"/>
      <c r="BRT55" s="88"/>
      <c r="BRU55" s="88"/>
      <c r="BRV55" s="88"/>
      <c r="BRW55" s="88"/>
      <c r="BRX55" s="88"/>
      <c r="BRY55" s="88"/>
      <c r="BRZ55" s="88"/>
      <c r="BSA55" s="88"/>
      <c r="BSB55" s="88"/>
      <c r="BSC55" s="88"/>
      <c r="BSD55" s="88"/>
      <c r="BSE55" s="88"/>
      <c r="BSF55" s="88"/>
      <c r="BSG55" s="88"/>
      <c r="BSH55" s="88"/>
      <c r="BSI55" s="88"/>
      <c r="BSJ55" s="88"/>
      <c r="BSK55" s="88"/>
      <c r="BSL55" s="88"/>
      <c r="BSM55" s="88"/>
      <c r="BSN55" s="88"/>
      <c r="BSO55" s="88"/>
      <c r="BSP55" s="88"/>
      <c r="BSQ55" s="88"/>
      <c r="BSR55" s="88"/>
      <c r="BSS55" s="88"/>
      <c r="BST55" s="88"/>
      <c r="BSU55" s="88"/>
      <c r="BSV55" s="88"/>
      <c r="BSW55" s="88"/>
      <c r="BSX55" s="88"/>
      <c r="BSY55" s="88"/>
      <c r="BSZ55" s="88"/>
      <c r="BTA55" s="88"/>
      <c r="BTB55" s="88"/>
      <c r="BTC55" s="88"/>
      <c r="BTD55" s="88"/>
      <c r="BTE55" s="88"/>
      <c r="BTF55" s="88"/>
      <c r="BTG55" s="88"/>
      <c r="BTH55" s="88"/>
      <c r="BTI55" s="88"/>
      <c r="BTJ55" s="88"/>
      <c r="BTK55" s="88"/>
      <c r="BTL55" s="88"/>
      <c r="BTM55" s="88"/>
      <c r="BTN55" s="88"/>
      <c r="BTO55" s="88"/>
      <c r="BTP55" s="88"/>
      <c r="BTQ55" s="88"/>
      <c r="BTR55" s="88"/>
      <c r="BTS55" s="88"/>
      <c r="BTT55" s="88"/>
      <c r="BTU55" s="88"/>
      <c r="BTV55" s="88"/>
      <c r="BTW55" s="88"/>
      <c r="BTX55" s="88"/>
      <c r="BTY55" s="88"/>
      <c r="BTZ55" s="88"/>
      <c r="BUA55" s="88"/>
      <c r="BUB55" s="88"/>
      <c r="BUC55" s="88"/>
      <c r="BUD55" s="88"/>
      <c r="BUE55" s="88"/>
      <c r="BUF55" s="88"/>
      <c r="BUG55" s="88"/>
      <c r="BUH55" s="88"/>
      <c r="BUI55" s="88"/>
      <c r="BUJ55" s="88"/>
      <c r="BUK55" s="88"/>
      <c r="BUL55" s="88"/>
      <c r="BUM55" s="88"/>
      <c r="BUN55" s="88"/>
      <c r="BUO55" s="88"/>
      <c r="BUP55" s="88"/>
      <c r="BUQ55" s="88"/>
      <c r="BUR55" s="88"/>
      <c r="BUS55" s="88"/>
      <c r="BUT55" s="88"/>
      <c r="BUU55" s="88"/>
      <c r="BUV55" s="88"/>
      <c r="BUW55" s="88"/>
      <c r="BUX55" s="88"/>
      <c r="BUY55" s="88"/>
      <c r="BUZ55" s="88"/>
      <c r="BVA55" s="88"/>
      <c r="BVB55" s="88"/>
      <c r="BVC55" s="88"/>
      <c r="BVD55" s="88"/>
      <c r="BVE55" s="88"/>
      <c r="BVF55" s="88"/>
      <c r="BVG55" s="88"/>
      <c r="BVH55" s="88"/>
      <c r="BVI55" s="88"/>
      <c r="BVJ55" s="88"/>
      <c r="BVK55" s="88"/>
      <c r="BVL55" s="88"/>
      <c r="BVM55" s="88"/>
      <c r="BVN55" s="88"/>
      <c r="BVO55" s="88"/>
      <c r="BVP55" s="88"/>
      <c r="BVQ55" s="88"/>
      <c r="BVR55" s="88"/>
      <c r="BVS55" s="88"/>
      <c r="BVT55" s="88"/>
      <c r="BVU55" s="88"/>
      <c r="BVV55" s="88"/>
      <c r="BVW55" s="88"/>
      <c r="BVX55" s="88"/>
      <c r="BVY55" s="88"/>
      <c r="BVZ55" s="88"/>
      <c r="BWA55" s="88"/>
      <c r="BWB55" s="88"/>
      <c r="BWC55" s="88"/>
      <c r="BWD55" s="88"/>
      <c r="BWE55" s="88"/>
      <c r="BWF55" s="88"/>
      <c r="BWG55" s="88"/>
      <c r="BWH55" s="88"/>
      <c r="BWI55" s="88"/>
      <c r="BWJ55" s="88"/>
      <c r="BWK55" s="88"/>
      <c r="BWL55" s="88"/>
      <c r="BWM55" s="88"/>
      <c r="BWN55" s="88"/>
      <c r="BWO55" s="88"/>
      <c r="BWP55" s="88"/>
      <c r="BWQ55" s="88"/>
      <c r="BWR55" s="88"/>
      <c r="BWS55" s="88"/>
      <c r="BWT55" s="88"/>
      <c r="BWU55" s="88"/>
      <c r="BWV55" s="88"/>
      <c r="BWW55" s="88"/>
      <c r="BWX55" s="88"/>
      <c r="BWY55" s="88"/>
      <c r="BWZ55" s="88"/>
      <c r="BXA55" s="88"/>
      <c r="BXB55" s="88"/>
      <c r="BXC55" s="88"/>
      <c r="BXD55" s="88"/>
      <c r="BXE55" s="88"/>
      <c r="BXF55" s="88"/>
      <c r="BXG55" s="88"/>
      <c r="BXH55" s="88"/>
      <c r="BXI55" s="88"/>
      <c r="BXJ55" s="88"/>
      <c r="BXK55" s="88"/>
      <c r="BXL55" s="88"/>
      <c r="BXM55" s="88"/>
      <c r="BXN55" s="88"/>
      <c r="BXO55" s="88"/>
      <c r="BXP55" s="88"/>
      <c r="BXQ55" s="88"/>
      <c r="BXR55" s="88"/>
      <c r="BXS55" s="88"/>
      <c r="BXT55" s="88"/>
      <c r="BXU55" s="88"/>
      <c r="BXV55" s="88"/>
      <c r="BXW55" s="88"/>
      <c r="BXX55" s="88"/>
      <c r="BXY55" s="88"/>
      <c r="BXZ55" s="88"/>
      <c r="BYA55" s="88"/>
      <c r="BYB55" s="88"/>
      <c r="BYC55" s="88"/>
      <c r="BYD55" s="88"/>
      <c r="BYE55" s="88"/>
      <c r="BYF55" s="88"/>
      <c r="BYG55" s="88"/>
      <c r="BYH55" s="88"/>
      <c r="BYI55" s="88"/>
      <c r="BYJ55" s="88"/>
      <c r="BYK55" s="88"/>
      <c r="BYL55" s="88"/>
      <c r="BYM55" s="88"/>
      <c r="BYN55" s="88"/>
      <c r="BYO55" s="88"/>
      <c r="BYP55" s="88"/>
      <c r="BYQ55" s="88"/>
      <c r="BYR55" s="88"/>
      <c r="BYS55" s="88"/>
      <c r="BYT55" s="88"/>
      <c r="BYU55" s="88"/>
      <c r="BYV55" s="88"/>
      <c r="BYW55" s="88"/>
      <c r="BYX55" s="88"/>
      <c r="BYY55" s="88"/>
      <c r="BYZ55" s="88"/>
      <c r="BZA55" s="88"/>
      <c r="BZB55" s="88"/>
      <c r="BZC55" s="88"/>
      <c r="BZD55" s="88"/>
      <c r="BZE55" s="88"/>
      <c r="BZF55" s="88"/>
      <c r="BZG55" s="88"/>
      <c r="BZH55" s="88"/>
      <c r="BZI55" s="88"/>
      <c r="BZJ55" s="88"/>
      <c r="BZK55" s="88"/>
      <c r="BZL55" s="88"/>
      <c r="BZM55" s="88"/>
      <c r="BZN55" s="88"/>
      <c r="BZO55" s="88"/>
      <c r="BZP55" s="88"/>
      <c r="BZQ55" s="88"/>
      <c r="BZR55" s="88"/>
      <c r="BZS55" s="88"/>
      <c r="BZT55" s="88"/>
      <c r="BZU55" s="88"/>
      <c r="BZV55" s="88"/>
      <c r="BZW55" s="88"/>
      <c r="BZX55" s="88"/>
      <c r="BZY55" s="88"/>
      <c r="BZZ55" s="88"/>
      <c r="CAA55" s="88"/>
      <c r="CAB55" s="88"/>
      <c r="CAC55" s="88"/>
      <c r="CAD55" s="88"/>
      <c r="CAE55" s="88"/>
      <c r="CAF55" s="88"/>
      <c r="CAG55" s="88"/>
      <c r="CAH55" s="88"/>
      <c r="CAI55" s="88"/>
      <c r="CAJ55" s="88"/>
      <c r="CAK55" s="88"/>
      <c r="CAL55" s="88"/>
      <c r="CAM55" s="88"/>
      <c r="CAN55" s="88"/>
      <c r="CAO55" s="88"/>
      <c r="CAP55" s="88"/>
      <c r="CAQ55" s="88"/>
      <c r="CAR55" s="88"/>
      <c r="CAS55" s="88"/>
      <c r="CAT55" s="88"/>
      <c r="CAU55" s="88"/>
      <c r="CAV55" s="88"/>
      <c r="CAW55" s="88"/>
      <c r="CAX55" s="88"/>
      <c r="CAY55" s="88"/>
      <c r="CAZ55" s="88"/>
      <c r="CBA55" s="88"/>
      <c r="CBB55" s="88"/>
      <c r="CBC55" s="88"/>
      <c r="CBD55" s="88"/>
      <c r="CBE55" s="88"/>
      <c r="CBF55" s="88"/>
      <c r="CBG55" s="88"/>
      <c r="CBH55" s="88"/>
      <c r="CBI55" s="88"/>
      <c r="CBJ55" s="88"/>
      <c r="CBK55" s="88"/>
      <c r="CBL55" s="88"/>
      <c r="CBM55" s="88"/>
      <c r="CBN55" s="88"/>
      <c r="CBO55" s="88"/>
      <c r="CBP55" s="88"/>
      <c r="CBQ55" s="88"/>
      <c r="CBR55" s="88"/>
      <c r="CBS55" s="88"/>
      <c r="CBT55" s="88"/>
      <c r="CBU55" s="88"/>
      <c r="CBV55" s="88"/>
      <c r="CBW55" s="88"/>
      <c r="CBX55" s="88"/>
      <c r="CBY55" s="88"/>
      <c r="CBZ55" s="88"/>
      <c r="CCA55" s="88"/>
      <c r="CCB55" s="88"/>
      <c r="CCC55" s="88"/>
      <c r="CCD55" s="88"/>
      <c r="CCE55" s="88"/>
      <c r="CCF55" s="88"/>
      <c r="CCG55" s="88"/>
      <c r="CCH55" s="88"/>
      <c r="CCI55" s="88"/>
      <c r="CCJ55" s="88"/>
      <c r="CCK55" s="88"/>
      <c r="CCL55" s="88"/>
      <c r="CCM55" s="88"/>
      <c r="CCN55" s="88"/>
      <c r="CCO55" s="88"/>
      <c r="CCP55" s="88"/>
      <c r="CCQ55" s="88"/>
      <c r="CCR55" s="88"/>
      <c r="CCS55" s="88"/>
      <c r="CCT55" s="88"/>
      <c r="CCU55" s="88"/>
      <c r="CCV55" s="88"/>
      <c r="CCW55" s="88"/>
      <c r="CCX55" s="88"/>
      <c r="CCY55" s="88"/>
      <c r="CCZ55" s="88"/>
      <c r="CDA55" s="88"/>
      <c r="CDB55" s="88"/>
      <c r="CDC55" s="88"/>
      <c r="CDD55" s="88"/>
      <c r="CDE55" s="88"/>
      <c r="CDF55" s="88"/>
      <c r="CDG55" s="88"/>
      <c r="CDH55" s="88"/>
      <c r="CDI55" s="88"/>
      <c r="CDJ55" s="88"/>
      <c r="CDK55" s="88"/>
      <c r="CDL55" s="88"/>
      <c r="CDM55" s="88"/>
      <c r="CDN55" s="88"/>
      <c r="CDO55" s="88"/>
      <c r="CDP55" s="88"/>
      <c r="CDQ55" s="88"/>
      <c r="CDR55" s="88"/>
      <c r="CDS55" s="88"/>
      <c r="CDT55" s="88"/>
      <c r="CDU55" s="88"/>
      <c r="CDV55" s="88"/>
      <c r="CDW55" s="88"/>
      <c r="CDX55" s="88"/>
      <c r="CDY55" s="88"/>
      <c r="CDZ55" s="88"/>
      <c r="CEA55" s="88"/>
      <c r="CEB55" s="88"/>
      <c r="CEC55" s="88"/>
      <c r="CED55" s="88"/>
      <c r="CEE55" s="88"/>
      <c r="CEF55" s="88"/>
      <c r="CEG55" s="88"/>
      <c r="CEH55" s="88"/>
      <c r="CEI55" s="88"/>
      <c r="CEJ55" s="88"/>
      <c r="CEK55" s="88"/>
    </row>
    <row r="56" spans="1:2169" s="51" customFormat="1">
      <c r="A56" s="72" t="s">
        <v>420</v>
      </c>
      <c r="B56" s="72" t="s">
        <v>709</v>
      </c>
      <c r="C56" s="69" t="str">
        <f>IF('page 2'!$O$4="","",IF('page 2'!$O$4=Gestion!A56,1,0))</f>
        <v/>
      </c>
      <c r="D56" s="69" t="str">
        <f>IF('page 2'!$O$5="","",IF('page 2'!$O$5=Gestion!A56,1,0))</f>
        <v/>
      </c>
      <c r="E56" s="69" t="str">
        <f>IF('page 2'!$O$6="","",IF('page 2'!$O$6=Gestion!A56,1,0))</f>
        <v/>
      </c>
      <c r="F56" s="69" t="str">
        <f>IF('page 2'!$O$7="","",IF('page 2'!$O$7=Gestion!A56,1,0))</f>
        <v/>
      </c>
      <c r="G56" s="69" t="str">
        <f>IF('page 2'!$O$8="","",IF('page 2'!$O$8=Gestion!A56,1,0))</f>
        <v/>
      </c>
      <c r="H56" s="69" t="str">
        <f>IF('page 2'!$O$9="","",IF('page 2'!$O$9=Gestion!A56,1,0))</f>
        <v/>
      </c>
      <c r="I56" s="69" t="str">
        <f>IF('page 2'!$O$10="","",IF('page 2'!$O$10=Gestion!A56,1,0))</f>
        <v/>
      </c>
      <c r="J56" s="69" t="str">
        <f>IF('page 2'!$O$11="","",IF('page 2'!$O$11=Gestion!A56,1,0))</f>
        <v/>
      </c>
      <c r="K56" s="69" t="str">
        <f>IF('page 2'!$O$12="","",IF('page 2'!$O$12=Gestion!A56,1,0))</f>
        <v/>
      </c>
      <c r="L56" s="69" t="str">
        <f>IF('page 2'!$O$13="","",IF('page 2'!$O$13=Gestion!A56,1,0))</f>
        <v/>
      </c>
      <c r="M56" s="69" t="str">
        <f>IF('page 2'!$O$14="","",IF('page 2'!$O$14=Gestion!A56,1,0))</f>
        <v/>
      </c>
      <c r="N56" s="69" t="str">
        <f>IF('page 2'!$O$15="","",IF('page 2'!$O$15=Gestion!A56,1,0))</f>
        <v/>
      </c>
      <c r="O56" s="69" t="str">
        <f>IF('page 2'!$O$16="","",IF('page 2'!$O$16=Gestion!A56,1,0))</f>
        <v/>
      </c>
      <c r="P56" s="69" t="str">
        <f>IF('page 2'!$O$17="","",IF('page 2'!$O$17=Gestion!A56,1,0))</f>
        <v/>
      </c>
      <c r="Q56" s="69" t="str">
        <f>IF('page 2'!$O$18="","",IF('page 2'!$O$18=Gestion!A56,1,0))</f>
        <v/>
      </c>
      <c r="R56" s="69" t="str">
        <f>IF('page 2'!$O$19="","",IF('page 2'!$O$19=Gestion!A56,1,0))</f>
        <v/>
      </c>
      <c r="S56" s="69" t="str">
        <f>IF('page 2'!$O$20="","",IF('page 2'!$O$20=Gestion!A56,1,0))</f>
        <v/>
      </c>
      <c r="T56" s="69" t="str">
        <f>IF('page 2'!$O$25="","",IF('page 2'!$O$25=Gestion!A56,1,0))</f>
        <v/>
      </c>
      <c r="U56" s="69" t="str">
        <f>IF('page 2'!$O$26="","",IF('page 2'!$O$26=Gestion!A56,1,0))</f>
        <v/>
      </c>
      <c r="V56" s="69" t="str">
        <f>IF('page 2'!$O$27="","",IF('page 2'!$O$27=Gestion!A56,1,0))</f>
        <v/>
      </c>
      <c r="W56" s="723">
        <f t="shared" si="0"/>
        <v>0</v>
      </c>
      <c r="X56" s="713"/>
      <c r="Y56" s="69"/>
      <c r="Z56" s="69"/>
      <c r="AA56" s="69"/>
      <c r="AB56" s="542"/>
      <c r="AC56" s="542"/>
      <c r="AD56" s="542"/>
      <c r="AE56" s="88"/>
      <c r="AP56" s="130"/>
      <c r="AQ56" s="130"/>
      <c r="AR56" s="130"/>
      <c r="AS56" s="576"/>
      <c r="AT56" s="576"/>
      <c r="AU56" s="576"/>
      <c r="AV56" s="576"/>
      <c r="AW56" s="602"/>
      <c r="AX56" s="602"/>
      <c r="AY56" s="576"/>
      <c r="AZ56" s="576"/>
      <c r="BA56" s="576"/>
      <c r="BB56" s="576"/>
      <c r="BC56" s="576"/>
      <c r="BD56" s="602"/>
      <c r="BE56" s="602"/>
      <c r="BF56" s="602"/>
      <c r="BG56" s="602"/>
      <c r="BH56" s="602"/>
      <c r="BI56" s="602"/>
      <c r="BJ56" s="602"/>
      <c r="BK56" s="602"/>
      <c r="BL56" s="602"/>
      <c r="BM56" s="602"/>
      <c r="BN56" s="602"/>
      <c r="BO56" s="602"/>
      <c r="BP56" s="602"/>
      <c r="BQ56" s="602"/>
      <c r="BR56" s="602"/>
      <c r="BS56" s="576"/>
      <c r="BT56" s="576"/>
      <c r="BU56" s="576"/>
      <c r="BV56" s="576"/>
      <c r="BW56" s="602"/>
      <c r="BX56" s="602"/>
      <c r="BY56" s="602"/>
      <c r="BZ56" s="576"/>
      <c r="CA56" s="602"/>
      <c r="CB56" s="602"/>
      <c r="CC56" s="576"/>
      <c r="CD56" s="576"/>
      <c r="CE56" s="602"/>
      <c r="CF56" s="576"/>
      <c r="CG56" s="576"/>
      <c r="CH56" s="576"/>
      <c r="CI56" s="576"/>
      <c r="CJ56" s="576"/>
      <c r="CK56" s="602"/>
      <c r="CL56" s="602"/>
      <c r="CM56" s="576"/>
      <c r="CN56" s="602"/>
      <c r="CO56" s="602"/>
      <c r="CP56" s="602"/>
      <c r="CQ56" s="576"/>
      <c r="CR56" s="576"/>
      <c r="CS56" s="602"/>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c r="IW56" s="88"/>
      <c r="IX56" s="88"/>
      <c r="IY56" s="88"/>
      <c r="IZ56" s="88"/>
      <c r="JA56" s="88"/>
      <c r="JB56" s="88"/>
      <c r="JC56" s="88"/>
      <c r="JD56" s="88"/>
      <c r="JE56" s="88"/>
      <c r="JF56" s="88"/>
      <c r="JG56" s="88"/>
      <c r="JH56" s="88"/>
      <c r="JI56" s="88"/>
      <c r="JJ56" s="88"/>
      <c r="JK56" s="88"/>
      <c r="JL56" s="88"/>
      <c r="JM56" s="88"/>
      <c r="JN56" s="88"/>
      <c r="JO56" s="88"/>
      <c r="JP56" s="88"/>
      <c r="JQ56" s="88"/>
      <c r="JR56" s="88"/>
      <c r="JS56" s="88"/>
      <c r="JT56" s="88"/>
      <c r="JU56" s="88"/>
      <c r="JV56" s="88"/>
      <c r="JW56" s="88"/>
      <c r="JX56" s="88"/>
      <c r="JY56" s="88"/>
      <c r="JZ56" s="88"/>
      <c r="KA56" s="88"/>
      <c r="KB56" s="88"/>
      <c r="KC56" s="88"/>
      <c r="KD56" s="88"/>
      <c r="KE56" s="88"/>
      <c r="KF56" s="88"/>
      <c r="KG56" s="88"/>
      <c r="KH56" s="88"/>
      <c r="KI56" s="88"/>
      <c r="KJ56" s="88"/>
      <c r="KK56" s="88"/>
      <c r="KL56" s="88"/>
      <c r="KM56" s="88"/>
      <c r="KN56" s="88"/>
      <c r="KO56" s="88"/>
      <c r="KP56" s="88"/>
      <c r="KQ56" s="88"/>
      <c r="KR56" s="88"/>
      <c r="KS56" s="88"/>
      <c r="KT56" s="88"/>
      <c r="KU56" s="88"/>
      <c r="KV56" s="88"/>
      <c r="KW56" s="88"/>
      <c r="KX56" s="88"/>
      <c r="KY56" s="88"/>
      <c r="KZ56" s="88"/>
      <c r="LA56" s="88"/>
      <c r="LB56" s="88"/>
      <c r="LC56" s="88"/>
      <c r="LD56" s="88"/>
      <c r="LE56" s="88"/>
      <c r="LF56" s="88"/>
      <c r="LG56" s="88"/>
      <c r="LH56" s="88"/>
      <c r="LI56" s="88"/>
      <c r="LJ56" s="88"/>
      <c r="LK56" s="88"/>
      <c r="LL56" s="88"/>
      <c r="LM56" s="88"/>
      <c r="LN56" s="88"/>
      <c r="LO56" s="88"/>
      <c r="LP56" s="88"/>
      <c r="LQ56" s="88"/>
      <c r="LR56" s="88"/>
      <c r="LS56" s="88"/>
      <c r="LT56" s="88"/>
      <c r="LU56" s="88"/>
      <c r="LV56" s="88"/>
      <c r="LW56" s="88"/>
      <c r="LX56" s="88"/>
      <c r="LY56" s="88"/>
      <c r="LZ56" s="88"/>
      <c r="MA56" s="88"/>
      <c r="MB56" s="88"/>
      <c r="MC56" s="88"/>
      <c r="MD56" s="88"/>
      <c r="ME56" s="88"/>
      <c r="MF56" s="88"/>
      <c r="MG56" s="88"/>
      <c r="MH56" s="88"/>
      <c r="MI56" s="88"/>
      <c r="MJ56" s="88"/>
      <c r="MK56" s="88"/>
      <c r="ML56" s="88"/>
      <c r="MM56" s="88"/>
      <c r="MN56" s="88"/>
      <c r="MO56" s="88"/>
      <c r="MP56" s="88"/>
      <c r="MQ56" s="88"/>
      <c r="MR56" s="88"/>
      <c r="MS56" s="88"/>
      <c r="MT56" s="88"/>
      <c r="MU56" s="88"/>
      <c r="MV56" s="88"/>
      <c r="MW56" s="88"/>
      <c r="MX56" s="88"/>
      <c r="MY56" s="88"/>
      <c r="MZ56" s="88"/>
      <c r="NA56" s="88"/>
      <c r="NB56" s="88"/>
      <c r="NC56" s="88"/>
      <c r="ND56" s="88"/>
      <c r="NE56" s="88"/>
      <c r="NF56" s="88"/>
      <c r="NG56" s="88"/>
      <c r="NH56" s="88"/>
      <c r="NI56" s="88"/>
      <c r="NJ56" s="88"/>
      <c r="NK56" s="88"/>
      <c r="NL56" s="88"/>
      <c r="NM56" s="88"/>
      <c r="NN56" s="88"/>
      <c r="NO56" s="88"/>
      <c r="NP56" s="88"/>
      <c r="NQ56" s="88"/>
      <c r="NR56" s="88"/>
      <c r="NS56" s="88"/>
      <c r="NT56" s="88"/>
      <c r="NU56" s="88"/>
      <c r="NV56" s="88"/>
      <c r="NW56" s="88"/>
      <c r="NX56" s="88"/>
      <c r="NY56" s="88"/>
      <c r="NZ56" s="88"/>
      <c r="OA56" s="88"/>
      <c r="OB56" s="88"/>
      <c r="OC56" s="88"/>
      <c r="OD56" s="88"/>
      <c r="OE56" s="88"/>
      <c r="OF56" s="88"/>
      <c r="OG56" s="88"/>
      <c r="OH56" s="88"/>
      <c r="OI56" s="88"/>
      <c r="OJ56" s="88"/>
      <c r="OK56" s="88"/>
      <c r="OL56" s="88"/>
      <c r="OM56" s="88"/>
      <c r="ON56" s="88"/>
      <c r="OO56" s="88"/>
      <c r="OP56" s="88"/>
      <c r="OQ56" s="88"/>
      <c r="OR56" s="88"/>
      <c r="OS56" s="88"/>
      <c r="OT56" s="88"/>
      <c r="OU56" s="88"/>
      <c r="OV56" s="88"/>
      <c r="OW56" s="88"/>
      <c r="OX56" s="88"/>
      <c r="OY56" s="88"/>
      <c r="OZ56" s="88"/>
      <c r="PA56" s="88"/>
      <c r="PB56" s="88"/>
      <c r="PC56" s="88"/>
      <c r="PD56" s="88"/>
      <c r="PE56" s="88"/>
      <c r="PF56" s="88"/>
      <c r="PG56" s="88"/>
      <c r="PH56" s="88"/>
      <c r="PI56" s="88"/>
      <c r="PJ56" s="88"/>
      <c r="PK56" s="88"/>
      <c r="PL56" s="88"/>
      <c r="PM56" s="88"/>
      <c r="PN56" s="88"/>
      <c r="PO56" s="88"/>
      <c r="PP56" s="88"/>
      <c r="PQ56" s="88"/>
      <c r="PR56" s="88"/>
      <c r="PS56" s="88"/>
      <c r="PT56" s="88"/>
      <c r="PU56" s="88"/>
      <c r="PV56" s="88"/>
      <c r="PW56" s="88"/>
      <c r="PX56" s="88"/>
      <c r="PY56" s="88"/>
      <c r="PZ56" s="88"/>
      <c r="QA56" s="88"/>
      <c r="QB56" s="88"/>
      <c r="QC56" s="88"/>
      <c r="QD56" s="88"/>
      <c r="QE56" s="88"/>
      <c r="QF56" s="88"/>
      <c r="QG56" s="88"/>
      <c r="QH56" s="88"/>
      <c r="QI56" s="88"/>
      <c r="QJ56" s="88"/>
      <c r="QK56" s="88"/>
      <c r="QL56" s="88"/>
      <c r="QM56" s="88"/>
      <c r="QN56" s="88"/>
      <c r="QO56" s="88"/>
      <c r="QP56" s="88"/>
      <c r="QQ56" s="88"/>
      <c r="QR56" s="88"/>
      <c r="QS56" s="88"/>
      <c r="QT56" s="88"/>
      <c r="QU56" s="88"/>
      <c r="QV56" s="88"/>
      <c r="QW56" s="88"/>
      <c r="QX56" s="88"/>
      <c r="QY56" s="88"/>
      <c r="QZ56" s="88"/>
      <c r="RA56" s="88"/>
      <c r="RB56" s="88"/>
      <c r="RC56" s="88"/>
      <c r="RD56" s="88"/>
      <c r="RE56" s="88"/>
      <c r="RF56" s="88"/>
      <c r="RG56" s="88"/>
      <c r="RH56" s="88"/>
      <c r="RI56" s="88"/>
      <c r="RJ56" s="88"/>
      <c r="RK56" s="88"/>
      <c r="RL56" s="88"/>
      <c r="RM56" s="88"/>
      <c r="RN56" s="88"/>
      <c r="RO56" s="88"/>
      <c r="RP56" s="88"/>
      <c r="RQ56" s="88"/>
      <c r="RR56" s="88"/>
      <c r="RS56" s="88"/>
      <c r="RT56" s="88"/>
      <c r="RU56" s="88"/>
      <c r="RV56" s="88"/>
      <c r="RW56" s="88"/>
      <c r="RX56" s="88"/>
      <c r="RY56" s="88"/>
      <c r="RZ56" s="88"/>
      <c r="SA56" s="88"/>
      <c r="SB56" s="88"/>
      <c r="SC56" s="88"/>
      <c r="SD56" s="88"/>
      <c r="SE56" s="88"/>
      <c r="SF56" s="88"/>
      <c r="SG56" s="88"/>
      <c r="SH56" s="88"/>
      <c r="SI56" s="88"/>
      <c r="SJ56" s="88"/>
      <c r="SK56" s="88"/>
      <c r="SL56" s="88"/>
      <c r="SM56" s="88"/>
      <c r="SN56" s="88"/>
      <c r="SO56" s="88"/>
      <c r="SP56" s="88"/>
      <c r="SQ56" s="88"/>
      <c r="SR56" s="88"/>
      <c r="SS56" s="88"/>
      <c r="ST56" s="88"/>
      <c r="SU56" s="88"/>
      <c r="SV56" s="88"/>
      <c r="SW56" s="88"/>
      <c r="SX56" s="88"/>
      <c r="SY56" s="88"/>
      <c r="SZ56" s="88"/>
      <c r="TA56" s="88"/>
      <c r="TB56" s="88"/>
      <c r="TC56" s="88"/>
      <c r="TD56" s="88"/>
      <c r="TE56" s="88"/>
      <c r="TF56" s="88"/>
      <c r="TG56" s="88"/>
      <c r="TH56" s="88"/>
      <c r="TI56" s="88"/>
      <c r="TJ56" s="88"/>
      <c r="TK56" s="88"/>
      <c r="TL56" s="88"/>
      <c r="TM56" s="88"/>
      <c r="TN56" s="88"/>
      <c r="TO56" s="88"/>
      <c r="TP56" s="88"/>
      <c r="TQ56" s="88"/>
      <c r="TR56" s="88"/>
      <c r="TS56" s="88"/>
      <c r="TT56" s="88"/>
      <c r="TU56" s="88"/>
      <c r="TV56" s="88"/>
      <c r="TW56" s="88"/>
      <c r="TX56" s="88"/>
      <c r="TY56" s="88"/>
      <c r="TZ56" s="88"/>
      <c r="UA56" s="88"/>
      <c r="UB56" s="88"/>
      <c r="UC56" s="88"/>
      <c r="UD56" s="88"/>
      <c r="UE56" s="88"/>
      <c r="UF56" s="88"/>
      <c r="UG56" s="88"/>
      <c r="UH56" s="88"/>
      <c r="UI56" s="88"/>
      <c r="UJ56" s="88"/>
      <c r="UK56" s="88"/>
      <c r="UL56" s="88"/>
      <c r="UM56" s="88"/>
      <c r="UN56" s="88"/>
      <c r="UO56" s="88"/>
      <c r="UP56" s="88"/>
      <c r="UQ56" s="88"/>
      <c r="UR56" s="88"/>
      <c r="US56" s="88"/>
      <c r="UT56" s="88"/>
      <c r="UU56" s="88"/>
      <c r="UV56" s="88"/>
      <c r="UW56" s="88"/>
      <c r="UX56" s="88"/>
      <c r="UY56" s="88"/>
      <c r="UZ56" s="88"/>
      <c r="VA56" s="88"/>
      <c r="VB56" s="88"/>
      <c r="VC56" s="88"/>
      <c r="VD56" s="88"/>
      <c r="VE56" s="88"/>
      <c r="VF56" s="88"/>
      <c r="VG56" s="88"/>
      <c r="VH56" s="88"/>
      <c r="VI56" s="88"/>
      <c r="VJ56" s="88"/>
      <c r="VK56" s="88"/>
      <c r="VL56" s="88"/>
      <c r="VM56" s="88"/>
      <c r="VN56" s="88"/>
      <c r="VO56" s="88"/>
      <c r="VP56" s="88"/>
      <c r="VQ56" s="88"/>
      <c r="VR56" s="88"/>
      <c r="VS56" s="88"/>
      <c r="VT56" s="88"/>
      <c r="VU56" s="88"/>
      <c r="VV56" s="88"/>
      <c r="VW56" s="88"/>
      <c r="VX56" s="88"/>
      <c r="VY56" s="88"/>
      <c r="VZ56" s="88"/>
      <c r="WA56" s="88"/>
      <c r="WB56" s="88"/>
      <c r="WC56" s="88"/>
      <c r="WD56" s="88"/>
      <c r="WE56" s="88"/>
      <c r="WF56" s="88"/>
      <c r="WG56" s="88"/>
      <c r="WH56" s="88"/>
      <c r="WI56" s="88"/>
      <c r="WJ56" s="88"/>
      <c r="WK56" s="88"/>
      <c r="WL56" s="88"/>
      <c r="WM56" s="88"/>
      <c r="WN56" s="88"/>
      <c r="WO56" s="88"/>
      <c r="WP56" s="88"/>
      <c r="WQ56" s="88"/>
      <c r="WR56" s="88"/>
      <c r="WS56" s="88"/>
      <c r="WT56" s="88"/>
      <c r="WU56" s="88"/>
      <c r="WV56" s="88"/>
      <c r="WW56" s="88"/>
      <c r="WX56" s="88"/>
      <c r="WY56" s="88"/>
      <c r="WZ56" s="88"/>
      <c r="XA56" s="88"/>
      <c r="XB56" s="88"/>
      <c r="XC56" s="88"/>
      <c r="XD56" s="88"/>
      <c r="XE56" s="88"/>
      <c r="XF56" s="88"/>
      <c r="XG56" s="88"/>
      <c r="XH56" s="88"/>
      <c r="XI56" s="88"/>
      <c r="XJ56" s="88"/>
      <c r="XK56" s="88"/>
      <c r="XL56" s="88"/>
      <c r="XM56" s="88"/>
      <c r="XN56" s="88"/>
      <c r="XO56" s="88"/>
      <c r="XP56" s="88"/>
      <c r="XQ56" s="88"/>
      <c r="XR56" s="88"/>
      <c r="XS56" s="88"/>
      <c r="XT56" s="88"/>
      <c r="XU56" s="88"/>
      <c r="XV56" s="88"/>
      <c r="XW56" s="88"/>
      <c r="XX56" s="88"/>
      <c r="XY56" s="88"/>
      <c r="XZ56" s="88"/>
      <c r="YA56" s="88"/>
      <c r="YB56" s="88"/>
      <c r="YC56" s="88"/>
      <c r="YD56" s="88"/>
      <c r="YE56" s="88"/>
      <c r="YF56" s="88"/>
      <c r="YG56" s="88"/>
      <c r="YH56" s="88"/>
      <c r="YI56" s="88"/>
      <c r="YJ56" s="88"/>
      <c r="YK56" s="88"/>
      <c r="YL56" s="88"/>
      <c r="YM56" s="88"/>
      <c r="YN56" s="88"/>
      <c r="YO56" s="88"/>
      <c r="YP56" s="88"/>
      <c r="YQ56" s="88"/>
      <c r="YR56" s="88"/>
      <c r="YS56" s="88"/>
      <c r="YT56" s="88"/>
      <c r="YU56" s="88"/>
      <c r="YV56" s="88"/>
      <c r="YW56" s="88"/>
      <c r="YX56" s="88"/>
      <c r="YY56" s="88"/>
      <c r="YZ56" s="88"/>
      <c r="ZA56" s="88"/>
      <c r="ZB56" s="88"/>
      <c r="ZC56" s="88"/>
      <c r="ZD56" s="88"/>
      <c r="ZE56" s="88"/>
      <c r="ZF56" s="88"/>
      <c r="ZG56" s="88"/>
      <c r="ZH56" s="88"/>
      <c r="ZI56" s="88"/>
      <c r="ZJ56" s="88"/>
      <c r="ZK56" s="88"/>
      <c r="ZL56" s="88"/>
      <c r="ZM56" s="88"/>
      <c r="ZN56" s="88"/>
      <c r="ZO56" s="88"/>
      <c r="ZP56" s="88"/>
      <c r="ZQ56" s="88"/>
      <c r="ZR56" s="88"/>
      <c r="ZS56" s="88"/>
      <c r="ZT56" s="88"/>
      <c r="ZU56" s="88"/>
      <c r="ZV56" s="88"/>
      <c r="ZW56" s="88"/>
      <c r="ZX56" s="88"/>
      <c r="ZY56" s="88"/>
      <c r="ZZ56" s="88"/>
      <c r="AAA56" s="88"/>
      <c r="AAB56" s="88"/>
      <c r="AAC56" s="88"/>
      <c r="AAD56" s="88"/>
      <c r="AAE56" s="88"/>
      <c r="AAF56" s="88"/>
      <c r="AAG56" s="88"/>
      <c r="AAH56" s="88"/>
      <c r="AAI56" s="88"/>
      <c r="AAJ56" s="88"/>
      <c r="AAK56" s="88"/>
      <c r="AAL56" s="88"/>
      <c r="AAM56" s="88"/>
      <c r="AAN56" s="88"/>
      <c r="AAO56" s="88"/>
      <c r="AAP56" s="88"/>
      <c r="AAQ56" s="88"/>
      <c r="AAR56" s="88"/>
      <c r="AAS56" s="88"/>
      <c r="AAT56" s="88"/>
      <c r="AAU56" s="88"/>
      <c r="AAV56" s="88"/>
      <c r="AAW56" s="88"/>
      <c r="AAX56" s="88"/>
      <c r="AAY56" s="88"/>
      <c r="AAZ56" s="88"/>
      <c r="ABA56" s="88"/>
      <c r="ABB56" s="88"/>
      <c r="ABC56" s="88"/>
      <c r="ABD56" s="88"/>
      <c r="ABE56" s="88"/>
      <c r="ABF56" s="88"/>
      <c r="ABG56" s="88"/>
      <c r="ABH56" s="88"/>
      <c r="ABI56" s="88"/>
      <c r="ABJ56" s="88"/>
      <c r="ABK56" s="88"/>
      <c r="ABL56" s="88"/>
      <c r="ABM56" s="88"/>
      <c r="ABN56" s="88"/>
      <c r="ABO56" s="88"/>
      <c r="ABP56" s="88"/>
      <c r="ABQ56" s="88"/>
      <c r="ABR56" s="88"/>
      <c r="ABS56" s="88"/>
      <c r="ABT56" s="88"/>
      <c r="ABU56" s="88"/>
      <c r="ABV56" s="88"/>
      <c r="ABW56" s="88"/>
      <c r="ABX56" s="88"/>
      <c r="ABY56" s="88"/>
      <c r="ABZ56" s="88"/>
      <c r="ACA56" s="88"/>
      <c r="ACB56" s="88"/>
      <c r="ACC56" s="88"/>
      <c r="ACD56" s="88"/>
      <c r="ACE56" s="88"/>
      <c r="ACF56" s="88"/>
      <c r="ACG56" s="88"/>
      <c r="ACH56" s="88"/>
      <c r="ACI56" s="88"/>
      <c r="ACJ56" s="88"/>
      <c r="ACK56" s="88"/>
      <c r="ACL56" s="88"/>
      <c r="ACM56" s="88"/>
      <c r="ACN56" s="88"/>
      <c r="ACO56" s="88"/>
      <c r="ACP56" s="88"/>
      <c r="ACQ56" s="88"/>
      <c r="ACR56" s="88"/>
      <c r="ACS56" s="88"/>
      <c r="ACT56" s="88"/>
      <c r="ACU56" s="88"/>
      <c r="ACV56" s="88"/>
      <c r="ACW56" s="88"/>
      <c r="ACX56" s="88"/>
      <c r="ACY56" s="88"/>
      <c r="ACZ56" s="88"/>
      <c r="ADA56" s="88"/>
      <c r="ADB56" s="88"/>
      <c r="ADC56" s="88"/>
      <c r="ADD56" s="88"/>
      <c r="ADE56" s="88"/>
      <c r="ADF56" s="88"/>
      <c r="ADG56" s="88"/>
      <c r="ADH56" s="88"/>
      <c r="ADI56" s="88"/>
      <c r="ADJ56" s="88"/>
      <c r="ADK56" s="88"/>
      <c r="ADL56" s="88"/>
      <c r="ADM56" s="88"/>
      <c r="ADN56" s="88"/>
      <c r="ADO56" s="88"/>
      <c r="ADP56" s="88"/>
      <c r="ADQ56" s="88"/>
      <c r="ADR56" s="88"/>
      <c r="ADS56" s="88"/>
      <c r="ADT56" s="88"/>
      <c r="ADU56" s="88"/>
      <c r="ADV56" s="88"/>
      <c r="ADW56" s="88"/>
      <c r="ADX56" s="88"/>
      <c r="ADY56" s="88"/>
      <c r="ADZ56" s="88"/>
      <c r="AEA56" s="88"/>
      <c r="AEB56" s="88"/>
      <c r="AEC56" s="88"/>
      <c r="AED56" s="88"/>
      <c r="AEE56" s="88"/>
      <c r="AEF56" s="88"/>
      <c r="AEG56" s="88"/>
      <c r="AEH56" s="88"/>
      <c r="AEI56" s="88"/>
      <c r="AEJ56" s="88"/>
      <c r="AEK56" s="88"/>
      <c r="AEL56" s="88"/>
      <c r="AEM56" s="88"/>
      <c r="AEN56" s="88"/>
      <c r="AEO56" s="88"/>
      <c r="AEP56" s="88"/>
      <c r="AEQ56" s="88"/>
      <c r="AER56" s="88"/>
      <c r="AES56" s="88"/>
      <c r="AET56" s="88"/>
      <c r="AEU56" s="88"/>
      <c r="AEV56" s="88"/>
      <c r="AEW56" s="88"/>
      <c r="AEX56" s="88"/>
      <c r="AEY56" s="88"/>
      <c r="AEZ56" s="88"/>
      <c r="AFA56" s="88"/>
      <c r="AFB56" s="88"/>
      <c r="AFC56" s="88"/>
      <c r="AFD56" s="88"/>
      <c r="AFE56" s="88"/>
      <c r="AFF56" s="88"/>
      <c r="AFG56" s="88"/>
      <c r="AFH56" s="88"/>
      <c r="AFI56" s="88"/>
      <c r="AFJ56" s="88"/>
      <c r="AFK56" s="88"/>
      <c r="AFL56" s="88"/>
      <c r="AFM56" s="88"/>
      <c r="AFN56" s="88"/>
      <c r="AFO56" s="88"/>
      <c r="AFP56" s="88"/>
      <c r="AFQ56" s="88"/>
      <c r="AFR56" s="88"/>
      <c r="AFS56" s="88"/>
      <c r="AFT56" s="88"/>
      <c r="AFU56" s="88"/>
      <c r="AFV56" s="88"/>
      <c r="AFW56" s="88"/>
      <c r="AFX56" s="88"/>
      <c r="AFY56" s="88"/>
      <c r="AFZ56" s="88"/>
      <c r="AGA56" s="88"/>
      <c r="AGB56" s="88"/>
      <c r="AGC56" s="88"/>
      <c r="AGD56" s="88"/>
      <c r="AGE56" s="88"/>
      <c r="AGF56" s="88"/>
      <c r="AGG56" s="88"/>
      <c r="AGH56" s="88"/>
      <c r="AGI56" s="88"/>
      <c r="AGJ56" s="88"/>
      <c r="AGK56" s="88"/>
      <c r="AGL56" s="88"/>
      <c r="AGM56" s="88"/>
      <c r="AGN56" s="88"/>
      <c r="AGO56" s="88"/>
      <c r="AGP56" s="88"/>
      <c r="AGQ56" s="88"/>
      <c r="AGR56" s="88"/>
      <c r="AGS56" s="88"/>
      <c r="AGT56" s="88"/>
      <c r="AGU56" s="88"/>
      <c r="AGV56" s="88"/>
      <c r="AGW56" s="88"/>
      <c r="AGX56" s="88"/>
      <c r="AGY56" s="88"/>
      <c r="AGZ56" s="88"/>
      <c r="AHA56" s="88"/>
      <c r="AHB56" s="88"/>
      <c r="AHC56" s="88"/>
      <c r="AHD56" s="88"/>
      <c r="AHE56" s="88"/>
      <c r="AHF56" s="88"/>
      <c r="AHG56" s="88"/>
      <c r="AHH56" s="88"/>
      <c r="AHI56" s="88"/>
      <c r="AHJ56" s="88"/>
      <c r="AHK56" s="88"/>
      <c r="AHL56" s="88"/>
      <c r="AHM56" s="88"/>
      <c r="AHN56" s="88"/>
      <c r="AHO56" s="88"/>
      <c r="AHP56" s="88"/>
      <c r="AHQ56" s="88"/>
      <c r="AHR56" s="88"/>
      <c r="AHS56" s="88"/>
      <c r="AHT56" s="88"/>
      <c r="AHU56" s="88"/>
      <c r="AHV56" s="88"/>
      <c r="AHW56" s="88"/>
      <c r="AHX56" s="88"/>
      <c r="AHY56" s="88"/>
      <c r="AHZ56" s="88"/>
      <c r="AIA56" s="88"/>
      <c r="AIB56" s="88"/>
      <c r="AIC56" s="88"/>
      <c r="AID56" s="88"/>
      <c r="AIE56" s="88"/>
      <c r="AIF56" s="88"/>
      <c r="AIG56" s="88"/>
      <c r="AIH56" s="88"/>
      <c r="AII56" s="88"/>
      <c r="AIJ56" s="88"/>
      <c r="AIK56" s="88"/>
      <c r="AIL56" s="88"/>
      <c r="AIM56" s="88"/>
      <c r="AIN56" s="88"/>
      <c r="AIO56" s="88"/>
      <c r="AIP56" s="88"/>
      <c r="AIQ56" s="88"/>
      <c r="AIR56" s="88"/>
      <c r="AIS56" s="88"/>
      <c r="AIT56" s="88"/>
      <c r="AIU56" s="88"/>
      <c r="AIV56" s="88"/>
      <c r="AIW56" s="88"/>
      <c r="AIX56" s="88"/>
      <c r="AIY56" s="88"/>
      <c r="AIZ56" s="88"/>
      <c r="AJA56" s="88"/>
      <c r="AJB56" s="88"/>
      <c r="AJC56" s="88"/>
      <c r="AJD56" s="88"/>
      <c r="AJE56" s="88"/>
      <c r="AJF56" s="88"/>
      <c r="AJG56" s="88"/>
      <c r="AJH56" s="88"/>
      <c r="AJI56" s="88"/>
      <c r="AJJ56" s="88"/>
      <c r="AJK56" s="88"/>
      <c r="AJL56" s="88"/>
      <c r="AJM56" s="88"/>
      <c r="AJN56" s="88"/>
      <c r="AJO56" s="88"/>
      <c r="AJP56" s="88"/>
      <c r="AJQ56" s="88"/>
      <c r="AJR56" s="88"/>
      <c r="AJS56" s="88"/>
      <c r="AJT56" s="88"/>
      <c r="AJU56" s="88"/>
      <c r="AJV56" s="88"/>
      <c r="AJW56" s="88"/>
      <c r="AJX56" s="88"/>
      <c r="AJY56" s="88"/>
      <c r="AJZ56" s="88"/>
      <c r="AKA56" s="88"/>
      <c r="AKB56" s="88"/>
      <c r="AKC56" s="88"/>
      <c r="AKD56" s="88"/>
      <c r="AKE56" s="88"/>
      <c r="AKF56" s="88"/>
      <c r="AKG56" s="88"/>
      <c r="AKH56" s="88"/>
      <c r="AKI56" s="88"/>
      <c r="AKJ56" s="88"/>
      <c r="AKK56" s="88"/>
      <c r="AKL56" s="88"/>
      <c r="AKM56" s="88"/>
      <c r="AKN56" s="88"/>
      <c r="AKO56" s="88"/>
      <c r="AKP56" s="88"/>
      <c r="AKQ56" s="88"/>
      <c r="AKR56" s="88"/>
      <c r="AKS56" s="88"/>
      <c r="AKT56" s="88"/>
      <c r="AKU56" s="88"/>
      <c r="AKV56" s="88"/>
      <c r="AKW56" s="88"/>
      <c r="AKX56" s="88"/>
      <c r="AKY56" s="88"/>
      <c r="AKZ56" s="88"/>
      <c r="ALA56" s="88"/>
      <c r="ALB56" s="88"/>
      <c r="ALC56" s="88"/>
      <c r="ALD56" s="88"/>
      <c r="ALE56" s="88"/>
      <c r="ALF56" s="88"/>
      <c r="ALG56" s="88"/>
      <c r="ALH56" s="88"/>
      <c r="ALI56" s="88"/>
      <c r="ALJ56" s="88"/>
      <c r="ALK56" s="88"/>
      <c r="ALL56" s="88"/>
      <c r="ALM56" s="88"/>
      <c r="ALN56" s="88"/>
      <c r="ALO56" s="88"/>
      <c r="ALP56" s="88"/>
      <c r="ALQ56" s="88"/>
      <c r="ALR56" s="88"/>
      <c r="ALS56" s="88"/>
      <c r="ALT56" s="88"/>
      <c r="ALU56" s="88"/>
      <c r="ALV56" s="88"/>
      <c r="ALW56" s="88"/>
      <c r="ALX56" s="88"/>
      <c r="ALY56" s="88"/>
      <c r="ALZ56" s="88"/>
      <c r="AMA56" s="88"/>
      <c r="AMB56" s="88"/>
      <c r="AMC56" s="88"/>
      <c r="AMD56" s="88"/>
      <c r="AME56" s="88"/>
      <c r="AMF56" s="88"/>
      <c r="AMG56" s="88"/>
      <c r="AMH56" s="88"/>
      <c r="AMI56" s="88"/>
      <c r="AMJ56" s="88"/>
      <c r="AMK56" s="88"/>
      <c r="AML56" s="88"/>
      <c r="AMM56" s="88"/>
      <c r="AMN56" s="88"/>
      <c r="AMO56" s="88"/>
      <c r="AMP56" s="88"/>
      <c r="AMQ56" s="88"/>
      <c r="AMR56" s="88"/>
      <c r="AMS56" s="88"/>
      <c r="AMT56" s="88"/>
      <c r="AMU56" s="88"/>
      <c r="AMV56" s="88"/>
      <c r="AMW56" s="88"/>
      <c r="AMX56" s="88"/>
      <c r="AMY56" s="88"/>
      <c r="AMZ56" s="88"/>
      <c r="ANA56" s="88"/>
      <c r="ANB56" s="88"/>
      <c r="ANC56" s="88"/>
      <c r="AND56" s="88"/>
      <c r="ANE56" s="88"/>
      <c r="ANF56" s="88"/>
      <c r="ANG56" s="88"/>
      <c r="ANH56" s="88"/>
      <c r="ANI56" s="88"/>
      <c r="ANJ56" s="88"/>
      <c r="ANK56" s="88"/>
      <c r="ANL56" s="88"/>
      <c r="ANM56" s="88"/>
      <c r="ANN56" s="88"/>
      <c r="ANO56" s="88"/>
      <c r="ANP56" s="88"/>
      <c r="ANQ56" s="88"/>
      <c r="ANR56" s="88"/>
      <c r="ANS56" s="88"/>
      <c r="ANT56" s="88"/>
      <c r="ANU56" s="88"/>
      <c r="ANV56" s="88"/>
      <c r="ANW56" s="88"/>
      <c r="ANX56" s="88"/>
      <c r="ANY56" s="88"/>
      <c r="ANZ56" s="88"/>
      <c r="AOA56" s="88"/>
      <c r="AOB56" s="88"/>
      <c r="AOC56" s="88"/>
      <c r="AOD56" s="88"/>
      <c r="AOE56" s="88"/>
      <c r="AOF56" s="88"/>
      <c r="AOG56" s="88"/>
      <c r="AOH56" s="88"/>
      <c r="AOI56" s="88"/>
      <c r="AOJ56" s="88"/>
      <c r="AOK56" s="88"/>
      <c r="AOL56" s="88"/>
      <c r="AOM56" s="88"/>
      <c r="AON56" s="88"/>
      <c r="AOO56" s="88"/>
      <c r="AOP56" s="88"/>
      <c r="AOQ56" s="88"/>
      <c r="AOR56" s="88"/>
      <c r="AOS56" s="88"/>
      <c r="AOT56" s="88"/>
      <c r="AOU56" s="88"/>
      <c r="AOV56" s="88"/>
      <c r="AOW56" s="88"/>
      <c r="AOX56" s="88"/>
      <c r="AOY56" s="88"/>
      <c r="AOZ56" s="88"/>
      <c r="APA56" s="88"/>
      <c r="APB56" s="88"/>
      <c r="APC56" s="88"/>
      <c r="APD56" s="88"/>
      <c r="APE56" s="88"/>
      <c r="APF56" s="88"/>
      <c r="APG56" s="88"/>
      <c r="APH56" s="88"/>
      <c r="API56" s="88"/>
      <c r="APJ56" s="88"/>
      <c r="APK56" s="88"/>
      <c r="APL56" s="88"/>
      <c r="APM56" s="88"/>
      <c r="APN56" s="88"/>
      <c r="APO56" s="88"/>
      <c r="APP56" s="88"/>
      <c r="APQ56" s="88"/>
      <c r="APR56" s="88"/>
      <c r="APS56" s="88"/>
      <c r="APT56" s="88"/>
      <c r="APU56" s="88"/>
      <c r="APV56" s="88"/>
      <c r="APW56" s="88"/>
      <c r="APX56" s="88"/>
      <c r="APY56" s="88"/>
      <c r="APZ56" s="88"/>
      <c r="AQA56" s="88"/>
      <c r="AQB56" s="88"/>
      <c r="AQC56" s="88"/>
      <c r="AQD56" s="88"/>
      <c r="AQE56" s="88"/>
      <c r="AQF56" s="88"/>
      <c r="AQG56" s="88"/>
      <c r="AQH56" s="88"/>
      <c r="AQI56" s="88"/>
      <c r="AQJ56" s="88"/>
      <c r="AQK56" s="88"/>
      <c r="AQL56" s="88"/>
      <c r="AQM56" s="88"/>
      <c r="AQN56" s="88"/>
      <c r="AQO56" s="88"/>
      <c r="AQP56" s="88"/>
      <c r="AQQ56" s="88"/>
      <c r="AQR56" s="88"/>
      <c r="AQS56" s="88"/>
      <c r="AQT56" s="88"/>
      <c r="AQU56" s="88"/>
      <c r="AQV56" s="88"/>
      <c r="AQW56" s="88"/>
      <c r="AQX56" s="88"/>
      <c r="AQY56" s="88"/>
      <c r="AQZ56" s="88"/>
      <c r="ARA56" s="88"/>
      <c r="ARB56" s="88"/>
      <c r="ARC56" s="88"/>
      <c r="ARD56" s="88"/>
      <c r="ARE56" s="88"/>
      <c r="ARF56" s="88"/>
      <c r="ARG56" s="88"/>
      <c r="ARH56" s="88"/>
      <c r="ARI56" s="88"/>
      <c r="ARJ56" s="88"/>
      <c r="ARK56" s="88"/>
      <c r="ARL56" s="88"/>
      <c r="ARM56" s="88"/>
      <c r="ARN56" s="88"/>
      <c r="ARO56" s="88"/>
      <c r="ARP56" s="88"/>
      <c r="ARQ56" s="88"/>
      <c r="ARR56" s="88"/>
      <c r="ARS56" s="88"/>
      <c r="ART56" s="88"/>
      <c r="ARU56" s="88"/>
      <c r="ARV56" s="88"/>
      <c r="ARW56" s="88"/>
      <c r="ARX56" s="88"/>
      <c r="ARY56" s="88"/>
      <c r="ARZ56" s="88"/>
      <c r="ASA56" s="88"/>
      <c r="ASB56" s="88"/>
      <c r="ASC56" s="88"/>
      <c r="ASD56" s="88"/>
      <c r="ASE56" s="88"/>
      <c r="ASF56" s="88"/>
      <c r="ASG56" s="88"/>
      <c r="ASH56" s="88"/>
      <c r="ASI56" s="88"/>
      <c r="ASJ56" s="88"/>
      <c r="ASK56" s="88"/>
      <c r="ASL56" s="88"/>
      <c r="ASM56" s="88"/>
      <c r="ASN56" s="88"/>
      <c r="ASO56" s="88"/>
      <c r="ASP56" s="88"/>
      <c r="ASQ56" s="88"/>
      <c r="ASR56" s="88"/>
      <c r="ASS56" s="88"/>
      <c r="AST56" s="88"/>
      <c r="ASU56" s="88"/>
      <c r="ASV56" s="88"/>
      <c r="ASW56" s="88"/>
      <c r="ASX56" s="88"/>
      <c r="ASY56" s="88"/>
      <c r="ASZ56" s="88"/>
      <c r="ATA56" s="88"/>
      <c r="ATB56" s="88"/>
      <c r="ATC56" s="88"/>
      <c r="ATD56" s="88"/>
      <c r="ATE56" s="88"/>
      <c r="ATF56" s="88"/>
      <c r="ATG56" s="88"/>
      <c r="ATH56" s="88"/>
      <c r="ATI56" s="88"/>
      <c r="ATJ56" s="88"/>
      <c r="ATK56" s="88"/>
      <c r="ATL56" s="88"/>
      <c r="ATM56" s="88"/>
      <c r="ATN56" s="88"/>
      <c r="ATO56" s="88"/>
      <c r="ATP56" s="88"/>
      <c r="ATQ56" s="88"/>
      <c r="ATR56" s="88"/>
      <c r="ATS56" s="88"/>
      <c r="ATT56" s="88"/>
      <c r="ATU56" s="88"/>
      <c r="ATV56" s="88"/>
      <c r="ATW56" s="88"/>
      <c r="ATX56" s="88"/>
      <c r="ATY56" s="88"/>
      <c r="ATZ56" s="88"/>
      <c r="AUA56" s="88"/>
      <c r="AUB56" s="88"/>
      <c r="AUC56" s="88"/>
      <c r="AUD56" s="88"/>
      <c r="AUE56" s="88"/>
      <c r="AUF56" s="88"/>
      <c r="AUG56" s="88"/>
      <c r="AUH56" s="88"/>
      <c r="AUI56" s="88"/>
      <c r="AUJ56" s="88"/>
      <c r="AUK56" s="88"/>
      <c r="AUL56" s="88"/>
      <c r="AUM56" s="88"/>
      <c r="AUN56" s="88"/>
      <c r="AUO56" s="88"/>
      <c r="AUP56" s="88"/>
      <c r="AUQ56" s="88"/>
      <c r="AUR56" s="88"/>
      <c r="AUS56" s="88"/>
      <c r="AUT56" s="88"/>
      <c r="AUU56" s="88"/>
      <c r="AUV56" s="88"/>
      <c r="AUW56" s="88"/>
      <c r="AUX56" s="88"/>
      <c r="AUY56" s="88"/>
      <c r="AUZ56" s="88"/>
      <c r="AVA56" s="88"/>
      <c r="AVB56" s="88"/>
      <c r="AVC56" s="88"/>
      <c r="AVD56" s="88"/>
      <c r="AVE56" s="88"/>
      <c r="AVF56" s="88"/>
      <c r="AVG56" s="88"/>
      <c r="AVH56" s="88"/>
      <c r="AVI56" s="88"/>
      <c r="AVJ56" s="88"/>
      <c r="AVK56" s="88"/>
      <c r="AVL56" s="88"/>
      <c r="AVM56" s="88"/>
      <c r="AVN56" s="88"/>
      <c r="AVO56" s="88"/>
      <c r="AVP56" s="88"/>
      <c r="AVQ56" s="88"/>
      <c r="AVR56" s="88"/>
      <c r="AVS56" s="88"/>
      <c r="AVT56" s="88"/>
      <c r="AVU56" s="88"/>
      <c r="AVV56" s="88"/>
      <c r="AVW56" s="88"/>
      <c r="AVX56" s="88"/>
      <c r="AVY56" s="88"/>
      <c r="AVZ56" s="88"/>
      <c r="AWA56" s="88"/>
      <c r="AWB56" s="88"/>
      <c r="AWC56" s="88"/>
      <c r="AWD56" s="88"/>
      <c r="AWE56" s="88"/>
      <c r="AWF56" s="88"/>
      <c r="AWG56" s="88"/>
      <c r="AWH56" s="88"/>
      <c r="AWI56" s="88"/>
      <c r="AWJ56" s="88"/>
      <c r="AWK56" s="88"/>
      <c r="AWL56" s="88"/>
      <c r="AWM56" s="88"/>
      <c r="AWN56" s="88"/>
      <c r="AWO56" s="88"/>
      <c r="AWP56" s="88"/>
      <c r="AWQ56" s="88"/>
      <c r="AWR56" s="88"/>
      <c r="AWS56" s="88"/>
      <c r="AWT56" s="88"/>
      <c r="AWU56" s="88"/>
      <c r="AWV56" s="88"/>
      <c r="AWW56" s="88"/>
      <c r="AWX56" s="88"/>
      <c r="AWY56" s="88"/>
      <c r="AWZ56" s="88"/>
      <c r="AXA56" s="88"/>
      <c r="AXB56" s="88"/>
      <c r="AXC56" s="88"/>
      <c r="AXD56" s="88"/>
      <c r="AXE56" s="88"/>
      <c r="AXF56" s="88"/>
      <c r="AXG56" s="88"/>
      <c r="AXH56" s="88"/>
      <c r="AXI56" s="88"/>
      <c r="AXJ56" s="88"/>
      <c r="AXK56" s="88"/>
      <c r="AXL56" s="88"/>
      <c r="AXM56" s="88"/>
      <c r="AXN56" s="88"/>
      <c r="AXO56" s="88"/>
      <c r="AXP56" s="88"/>
      <c r="AXQ56" s="88"/>
      <c r="AXR56" s="88"/>
      <c r="AXS56" s="88"/>
      <c r="AXT56" s="88"/>
      <c r="AXU56" s="88"/>
      <c r="AXV56" s="88"/>
      <c r="AXW56" s="88"/>
      <c r="AXX56" s="88"/>
      <c r="AXY56" s="88"/>
      <c r="AXZ56" s="88"/>
      <c r="AYA56" s="88"/>
      <c r="AYB56" s="88"/>
      <c r="AYC56" s="88"/>
      <c r="AYD56" s="88"/>
      <c r="AYE56" s="88"/>
      <c r="AYF56" s="88"/>
      <c r="AYG56" s="88"/>
      <c r="AYH56" s="88"/>
      <c r="AYI56" s="88"/>
      <c r="AYJ56" s="88"/>
      <c r="AYK56" s="88"/>
      <c r="AYL56" s="88"/>
      <c r="AYM56" s="88"/>
      <c r="AYN56" s="88"/>
      <c r="AYO56" s="88"/>
      <c r="AYP56" s="88"/>
      <c r="AYQ56" s="88"/>
      <c r="AYR56" s="88"/>
      <c r="AYS56" s="88"/>
      <c r="AYT56" s="88"/>
      <c r="AYU56" s="88"/>
      <c r="AYV56" s="88"/>
      <c r="AYW56" s="88"/>
      <c r="AYX56" s="88"/>
      <c r="AYY56" s="88"/>
      <c r="AYZ56" s="88"/>
      <c r="AZA56" s="88"/>
      <c r="AZB56" s="88"/>
      <c r="AZC56" s="88"/>
      <c r="AZD56" s="88"/>
      <c r="AZE56" s="88"/>
      <c r="AZF56" s="88"/>
      <c r="AZG56" s="88"/>
      <c r="AZH56" s="88"/>
      <c r="AZI56" s="88"/>
      <c r="AZJ56" s="88"/>
      <c r="AZK56" s="88"/>
      <c r="AZL56" s="88"/>
      <c r="AZM56" s="88"/>
      <c r="AZN56" s="88"/>
      <c r="AZO56" s="88"/>
      <c r="AZP56" s="88"/>
      <c r="AZQ56" s="88"/>
      <c r="AZR56" s="88"/>
      <c r="AZS56" s="88"/>
      <c r="AZT56" s="88"/>
      <c r="AZU56" s="88"/>
      <c r="AZV56" s="88"/>
      <c r="AZW56" s="88"/>
      <c r="AZX56" s="88"/>
      <c r="AZY56" s="88"/>
      <c r="AZZ56" s="88"/>
      <c r="BAA56" s="88"/>
      <c r="BAB56" s="88"/>
      <c r="BAC56" s="88"/>
      <c r="BAD56" s="88"/>
      <c r="BAE56" s="88"/>
      <c r="BAF56" s="88"/>
      <c r="BAG56" s="88"/>
      <c r="BAH56" s="88"/>
      <c r="BAI56" s="88"/>
      <c r="BAJ56" s="88"/>
      <c r="BAK56" s="88"/>
      <c r="BAL56" s="88"/>
      <c r="BAM56" s="88"/>
      <c r="BAN56" s="88"/>
      <c r="BAO56" s="88"/>
      <c r="BAP56" s="88"/>
      <c r="BAQ56" s="88"/>
      <c r="BAR56" s="88"/>
      <c r="BAS56" s="88"/>
      <c r="BAT56" s="88"/>
      <c r="BAU56" s="88"/>
      <c r="BAV56" s="88"/>
      <c r="BAW56" s="88"/>
      <c r="BAX56" s="88"/>
      <c r="BAY56" s="88"/>
      <c r="BAZ56" s="88"/>
      <c r="BBA56" s="88"/>
      <c r="BBB56" s="88"/>
      <c r="BBC56" s="88"/>
      <c r="BBD56" s="88"/>
      <c r="BBE56" s="88"/>
      <c r="BBF56" s="88"/>
      <c r="BBG56" s="88"/>
      <c r="BBH56" s="88"/>
      <c r="BBI56" s="88"/>
      <c r="BBJ56" s="88"/>
      <c r="BBK56" s="88"/>
      <c r="BBL56" s="88"/>
      <c r="BBM56" s="88"/>
      <c r="BBN56" s="88"/>
      <c r="BBO56" s="88"/>
      <c r="BBP56" s="88"/>
      <c r="BBQ56" s="88"/>
      <c r="BBR56" s="88"/>
      <c r="BBS56" s="88"/>
      <c r="BBT56" s="88"/>
      <c r="BBU56" s="88"/>
      <c r="BBV56" s="88"/>
      <c r="BBW56" s="88"/>
      <c r="BBX56" s="88"/>
      <c r="BBY56" s="88"/>
      <c r="BBZ56" s="88"/>
      <c r="BCA56" s="88"/>
      <c r="BCB56" s="88"/>
      <c r="BCC56" s="88"/>
      <c r="BCD56" s="88"/>
      <c r="BCE56" s="88"/>
      <c r="BCF56" s="88"/>
      <c r="BCG56" s="88"/>
      <c r="BCH56" s="88"/>
      <c r="BCI56" s="88"/>
      <c r="BCJ56" s="88"/>
      <c r="BCK56" s="88"/>
      <c r="BCL56" s="88"/>
      <c r="BCM56" s="88"/>
      <c r="BCN56" s="88"/>
      <c r="BCO56" s="88"/>
      <c r="BCP56" s="88"/>
      <c r="BCQ56" s="88"/>
      <c r="BCR56" s="88"/>
      <c r="BCS56" s="88"/>
      <c r="BCT56" s="88"/>
      <c r="BCU56" s="88"/>
      <c r="BCV56" s="88"/>
      <c r="BCW56" s="88"/>
      <c r="BCX56" s="88"/>
      <c r="BCY56" s="88"/>
      <c r="BCZ56" s="88"/>
      <c r="BDA56" s="88"/>
      <c r="BDB56" s="88"/>
      <c r="BDC56" s="88"/>
      <c r="BDD56" s="88"/>
      <c r="BDE56" s="88"/>
      <c r="BDF56" s="88"/>
      <c r="BDG56" s="88"/>
      <c r="BDH56" s="88"/>
      <c r="BDI56" s="88"/>
      <c r="BDJ56" s="88"/>
      <c r="BDK56" s="88"/>
      <c r="BDL56" s="88"/>
      <c r="BDM56" s="88"/>
      <c r="BDN56" s="88"/>
      <c r="BDO56" s="88"/>
      <c r="BDP56" s="88"/>
      <c r="BDQ56" s="88"/>
      <c r="BDR56" s="88"/>
      <c r="BDS56" s="88"/>
      <c r="BDT56" s="88"/>
      <c r="BDU56" s="88"/>
      <c r="BDV56" s="88"/>
      <c r="BDW56" s="88"/>
      <c r="BDX56" s="88"/>
      <c r="BDY56" s="88"/>
      <c r="BDZ56" s="88"/>
      <c r="BEA56" s="88"/>
      <c r="BEB56" s="88"/>
      <c r="BEC56" s="88"/>
      <c r="BED56" s="88"/>
      <c r="BEE56" s="88"/>
      <c r="BEF56" s="88"/>
      <c r="BEG56" s="88"/>
      <c r="BEH56" s="88"/>
      <c r="BEI56" s="88"/>
      <c r="BEJ56" s="88"/>
      <c r="BEK56" s="88"/>
      <c r="BEL56" s="88"/>
      <c r="BEM56" s="88"/>
      <c r="BEN56" s="88"/>
      <c r="BEO56" s="88"/>
      <c r="BEP56" s="88"/>
      <c r="BEQ56" s="88"/>
      <c r="BER56" s="88"/>
      <c r="BES56" s="88"/>
      <c r="BET56" s="88"/>
      <c r="BEU56" s="88"/>
      <c r="BEV56" s="88"/>
      <c r="BEW56" s="88"/>
      <c r="BEX56" s="88"/>
      <c r="BEY56" s="88"/>
      <c r="BEZ56" s="88"/>
      <c r="BFA56" s="88"/>
      <c r="BFB56" s="88"/>
      <c r="BFC56" s="88"/>
      <c r="BFD56" s="88"/>
      <c r="BFE56" s="88"/>
      <c r="BFF56" s="88"/>
      <c r="BFG56" s="88"/>
      <c r="BFH56" s="88"/>
      <c r="BFI56" s="88"/>
      <c r="BFJ56" s="88"/>
      <c r="BFK56" s="88"/>
      <c r="BFL56" s="88"/>
      <c r="BFM56" s="88"/>
      <c r="BFN56" s="88"/>
      <c r="BFO56" s="88"/>
      <c r="BFP56" s="88"/>
      <c r="BFQ56" s="88"/>
      <c r="BFR56" s="88"/>
      <c r="BFS56" s="88"/>
      <c r="BFT56" s="88"/>
      <c r="BFU56" s="88"/>
      <c r="BFV56" s="88"/>
      <c r="BFW56" s="88"/>
      <c r="BFX56" s="88"/>
      <c r="BFY56" s="88"/>
      <c r="BFZ56" s="88"/>
      <c r="BGA56" s="88"/>
      <c r="BGB56" s="88"/>
      <c r="BGC56" s="88"/>
      <c r="BGD56" s="88"/>
      <c r="BGE56" s="88"/>
      <c r="BGF56" s="88"/>
      <c r="BGG56" s="88"/>
      <c r="BGH56" s="88"/>
      <c r="BGI56" s="88"/>
      <c r="BGJ56" s="88"/>
      <c r="BGK56" s="88"/>
      <c r="BGL56" s="88"/>
      <c r="BGM56" s="88"/>
      <c r="BGN56" s="88"/>
      <c r="BGO56" s="88"/>
      <c r="BGP56" s="88"/>
      <c r="BGQ56" s="88"/>
      <c r="BGR56" s="88"/>
      <c r="BGS56" s="88"/>
      <c r="BGT56" s="88"/>
      <c r="BGU56" s="88"/>
      <c r="BGV56" s="88"/>
      <c r="BGW56" s="88"/>
      <c r="BGX56" s="88"/>
      <c r="BGY56" s="88"/>
      <c r="BGZ56" s="88"/>
      <c r="BHA56" s="88"/>
      <c r="BHB56" s="88"/>
      <c r="BHC56" s="88"/>
      <c r="BHD56" s="88"/>
      <c r="BHE56" s="88"/>
      <c r="BHF56" s="88"/>
      <c r="BHG56" s="88"/>
      <c r="BHH56" s="88"/>
      <c r="BHI56" s="88"/>
      <c r="BHJ56" s="88"/>
      <c r="BHK56" s="88"/>
      <c r="BHL56" s="88"/>
      <c r="BHM56" s="88"/>
      <c r="BHN56" s="88"/>
      <c r="BHO56" s="88"/>
      <c r="BHP56" s="88"/>
      <c r="BHQ56" s="88"/>
      <c r="BHR56" s="88"/>
      <c r="BHS56" s="88"/>
      <c r="BHT56" s="88"/>
      <c r="BHU56" s="88"/>
      <c r="BHV56" s="88"/>
      <c r="BHW56" s="88"/>
      <c r="BHX56" s="88"/>
      <c r="BHY56" s="88"/>
      <c r="BHZ56" s="88"/>
      <c r="BIA56" s="88"/>
      <c r="BIB56" s="88"/>
      <c r="BIC56" s="88"/>
      <c r="BID56" s="88"/>
      <c r="BIE56" s="88"/>
      <c r="BIF56" s="88"/>
      <c r="BIG56" s="88"/>
      <c r="BIH56" s="88"/>
      <c r="BII56" s="88"/>
      <c r="BIJ56" s="88"/>
      <c r="BIK56" s="88"/>
      <c r="BIL56" s="88"/>
      <c r="BIM56" s="88"/>
      <c r="BIN56" s="88"/>
      <c r="BIO56" s="88"/>
      <c r="BIP56" s="88"/>
      <c r="BIQ56" s="88"/>
      <c r="BIR56" s="88"/>
      <c r="BIS56" s="88"/>
      <c r="BIT56" s="88"/>
      <c r="BIU56" s="88"/>
      <c r="BIV56" s="88"/>
      <c r="BIW56" s="88"/>
      <c r="BIX56" s="88"/>
      <c r="BIY56" s="88"/>
      <c r="BIZ56" s="88"/>
      <c r="BJA56" s="88"/>
      <c r="BJB56" s="88"/>
      <c r="BJC56" s="88"/>
      <c r="BJD56" s="88"/>
      <c r="BJE56" s="88"/>
      <c r="BJF56" s="88"/>
      <c r="BJG56" s="88"/>
      <c r="BJH56" s="88"/>
      <c r="BJI56" s="88"/>
      <c r="BJJ56" s="88"/>
      <c r="BJK56" s="88"/>
      <c r="BJL56" s="88"/>
      <c r="BJM56" s="88"/>
      <c r="BJN56" s="88"/>
      <c r="BJO56" s="88"/>
      <c r="BJP56" s="88"/>
      <c r="BJQ56" s="88"/>
      <c r="BJR56" s="88"/>
      <c r="BJS56" s="88"/>
      <c r="BJT56" s="88"/>
      <c r="BJU56" s="88"/>
      <c r="BJV56" s="88"/>
      <c r="BJW56" s="88"/>
      <c r="BJX56" s="88"/>
      <c r="BJY56" s="88"/>
      <c r="BJZ56" s="88"/>
      <c r="BKA56" s="88"/>
      <c r="BKB56" s="88"/>
      <c r="BKC56" s="88"/>
      <c r="BKD56" s="88"/>
      <c r="BKE56" s="88"/>
      <c r="BKF56" s="88"/>
      <c r="BKG56" s="88"/>
      <c r="BKH56" s="88"/>
      <c r="BKI56" s="88"/>
      <c r="BKJ56" s="88"/>
      <c r="BKK56" s="88"/>
      <c r="BKL56" s="88"/>
      <c r="BKM56" s="88"/>
      <c r="BKN56" s="88"/>
      <c r="BKO56" s="88"/>
      <c r="BKP56" s="88"/>
      <c r="BKQ56" s="88"/>
      <c r="BKR56" s="88"/>
      <c r="BKS56" s="88"/>
      <c r="BKT56" s="88"/>
      <c r="BKU56" s="88"/>
      <c r="BKV56" s="88"/>
      <c r="BKW56" s="88"/>
      <c r="BKX56" s="88"/>
      <c r="BKY56" s="88"/>
      <c r="BKZ56" s="88"/>
      <c r="BLA56" s="88"/>
      <c r="BLB56" s="88"/>
      <c r="BLC56" s="88"/>
      <c r="BLD56" s="88"/>
      <c r="BLE56" s="88"/>
      <c r="BLF56" s="88"/>
      <c r="BLG56" s="88"/>
      <c r="BLH56" s="88"/>
      <c r="BLI56" s="88"/>
      <c r="BLJ56" s="88"/>
      <c r="BLK56" s="88"/>
      <c r="BLL56" s="88"/>
      <c r="BLM56" s="88"/>
      <c r="BLN56" s="88"/>
      <c r="BLO56" s="88"/>
      <c r="BLP56" s="88"/>
      <c r="BLQ56" s="88"/>
      <c r="BLR56" s="88"/>
      <c r="BLS56" s="88"/>
      <c r="BLT56" s="88"/>
      <c r="BLU56" s="88"/>
      <c r="BLV56" s="88"/>
      <c r="BLW56" s="88"/>
      <c r="BLX56" s="88"/>
      <c r="BLY56" s="88"/>
      <c r="BLZ56" s="88"/>
      <c r="BMA56" s="88"/>
      <c r="BMB56" s="88"/>
      <c r="BMC56" s="88"/>
      <c r="BMD56" s="88"/>
      <c r="BME56" s="88"/>
      <c r="BMF56" s="88"/>
      <c r="BMG56" s="88"/>
      <c r="BMH56" s="88"/>
      <c r="BMI56" s="88"/>
      <c r="BMJ56" s="88"/>
      <c r="BMK56" s="88"/>
      <c r="BML56" s="88"/>
      <c r="BMM56" s="88"/>
      <c r="BMN56" s="88"/>
      <c r="BMO56" s="88"/>
      <c r="BMP56" s="88"/>
      <c r="BMQ56" s="88"/>
      <c r="BMR56" s="88"/>
      <c r="BMS56" s="88"/>
      <c r="BMT56" s="88"/>
      <c r="BMU56" s="88"/>
      <c r="BMV56" s="88"/>
      <c r="BMW56" s="88"/>
      <c r="BMX56" s="88"/>
      <c r="BMY56" s="88"/>
      <c r="BMZ56" s="88"/>
      <c r="BNA56" s="88"/>
      <c r="BNB56" s="88"/>
      <c r="BNC56" s="88"/>
      <c r="BND56" s="88"/>
      <c r="BNE56" s="88"/>
      <c r="BNF56" s="88"/>
      <c r="BNG56" s="88"/>
      <c r="BNH56" s="88"/>
      <c r="BNI56" s="88"/>
      <c r="BNJ56" s="88"/>
      <c r="BNK56" s="88"/>
      <c r="BNL56" s="88"/>
      <c r="BNM56" s="88"/>
      <c r="BNN56" s="88"/>
      <c r="BNO56" s="88"/>
      <c r="BNP56" s="88"/>
      <c r="BNQ56" s="88"/>
      <c r="BNR56" s="88"/>
      <c r="BNS56" s="88"/>
      <c r="BNT56" s="88"/>
      <c r="BNU56" s="88"/>
      <c r="BNV56" s="88"/>
      <c r="BNW56" s="88"/>
      <c r="BNX56" s="88"/>
      <c r="BNY56" s="88"/>
      <c r="BNZ56" s="88"/>
      <c r="BOA56" s="88"/>
      <c r="BOB56" s="88"/>
      <c r="BOC56" s="88"/>
      <c r="BOD56" s="88"/>
      <c r="BOE56" s="88"/>
      <c r="BOF56" s="88"/>
      <c r="BOG56" s="88"/>
      <c r="BOH56" s="88"/>
      <c r="BOI56" s="88"/>
      <c r="BOJ56" s="88"/>
      <c r="BOK56" s="88"/>
      <c r="BOL56" s="88"/>
      <c r="BOM56" s="88"/>
      <c r="BON56" s="88"/>
      <c r="BOO56" s="88"/>
      <c r="BOP56" s="88"/>
      <c r="BOQ56" s="88"/>
      <c r="BOR56" s="88"/>
      <c r="BOS56" s="88"/>
      <c r="BOT56" s="88"/>
      <c r="BOU56" s="88"/>
      <c r="BOV56" s="88"/>
      <c r="BOW56" s="88"/>
      <c r="BOX56" s="88"/>
      <c r="BOY56" s="88"/>
      <c r="BOZ56" s="88"/>
      <c r="BPA56" s="88"/>
      <c r="BPB56" s="88"/>
      <c r="BPC56" s="88"/>
      <c r="BPD56" s="88"/>
      <c r="BPE56" s="88"/>
      <c r="BPF56" s="88"/>
      <c r="BPG56" s="88"/>
      <c r="BPH56" s="88"/>
      <c r="BPI56" s="88"/>
      <c r="BPJ56" s="88"/>
      <c r="BPK56" s="88"/>
      <c r="BPL56" s="88"/>
      <c r="BPM56" s="88"/>
      <c r="BPN56" s="88"/>
      <c r="BPO56" s="88"/>
      <c r="BPP56" s="88"/>
      <c r="BPQ56" s="88"/>
      <c r="BPR56" s="88"/>
      <c r="BPS56" s="88"/>
      <c r="BPT56" s="88"/>
      <c r="BPU56" s="88"/>
      <c r="BPV56" s="88"/>
      <c r="BPW56" s="88"/>
      <c r="BPX56" s="88"/>
      <c r="BPY56" s="88"/>
      <c r="BPZ56" s="88"/>
      <c r="BQA56" s="88"/>
      <c r="BQB56" s="88"/>
      <c r="BQC56" s="88"/>
      <c r="BQD56" s="88"/>
      <c r="BQE56" s="88"/>
      <c r="BQF56" s="88"/>
      <c r="BQG56" s="88"/>
      <c r="BQH56" s="88"/>
      <c r="BQI56" s="88"/>
      <c r="BQJ56" s="88"/>
      <c r="BQK56" s="88"/>
      <c r="BQL56" s="88"/>
      <c r="BQM56" s="88"/>
      <c r="BQN56" s="88"/>
      <c r="BQO56" s="88"/>
      <c r="BQP56" s="88"/>
      <c r="BQQ56" s="88"/>
      <c r="BQR56" s="88"/>
      <c r="BQS56" s="88"/>
      <c r="BQT56" s="88"/>
      <c r="BQU56" s="88"/>
      <c r="BQV56" s="88"/>
      <c r="BQW56" s="88"/>
      <c r="BQX56" s="88"/>
      <c r="BQY56" s="88"/>
      <c r="BQZ56" s="88"/>
      <c r="BRA56" s="88"/>
      <c r="BRB56" s="88"/>
      <c r="BRC56" s="88"/>
      <c r="BRD56" s="88"/>
      <c r="BRE56" s="88"/>
      <c r="BRF56" s="88"/>
      <c r="BRG56" s="88"/>
      <c r="BRH56" s="88"/>
      <c r="BRI56" s="88"/>
      <c r="BRJ56" s="88"/>
      <c r="BRK56" s="88"/>
      <c r="BRL56" s="88"/>
      <c r="BRM56" s="88"/>
      <c r="BRN56" s="88"/>
      <c r="BRO56" s="88"/>
      <c r="BRP56" s="88"/>
      <c r="BRQ56" s="88"/>
      <c r="BRR56" s="88"/>
      <c r="BRS56" s="88"/>
      <c r="BRT56" s="88"/>
      <c r="BRU56" s="88"/>
      <c r="BRV56" s="88"/>
      <c r="BRW56" s="88"/>
      <c r="BRX56" s="88"/>
      <c r="BRY56" s="88"/>
      <c r="BRZ56" s="88"/>
      <c r="BSA56" s="88"/>
      <c r="BSB56" s="88"/>
      <c r="BSC56" s="88"/>
      <c r="BSD56" s="88"/>
      <c r="BSE56" s="88"/>
      <c r="BSF56" s="88"/>
      <c r="BSG56" s="88"/>
      <c r="BSH56" s="88"/>
      <c r="BSI56" s="88"/>
      <c r="BSJ56" s="88"/>
      <c r="BSK56" s="88"/>
      <c r="BSL56" s="88"/>
      <c r="BSM56" s="88"/>
      <c r="BSN56" s="88"/>
      <c r="BSO56" s="88"/>
      <c r="BSP56" s="88"/>
      <c r="BSQ56" s="88"/>
      <c r="BSR56" s="88"/>
      <c r="BSS56" s="88"/>
      <c r="BST56" s="88"/>
      <c r="BSU56" s="88"/>
      <c r="BSV56" s="88"/>
      <c r="BSW56" s="88"/>
      <c r="BSX56" s="88"/>
      <c r="BSY56" s="88"/>
      <c r="BSZ56" s="88"/>
      <c r="BTA56" s="88"/>
      <c r="BTB56" s="88"/>
      <c r="BTC56" s="88"/>
      <c r="BTD56" s="88"/>
      <c r="BTE56" s="88"/>
      <c r="BTF56" s="88"/>
      <c r="BTG56" s="88"/>
      <c r="BTH56" s="88"/>
      <c r="BTI56" s="88"/>
      <c r="BTJ56" s="88"/>
      <c r="BTK56" s="88"/>
      <c r="BTL56" s="88"/>
      <c r="BTM56" s="88"/>
      <c r="BTN56" s="88"/>
      <c r="BTO56" s="88"/>
      <c r="BTP56" s="88"/>
      <c r="BTQ56" s="88"/>
      <c r="BTR56" s="88"/>
      <c r="BTS56" s="88"/>
      <c r="BTT56" s="88"/>
      <c r="BTU56" s="88"/>
      <c r="BTV56" s="88"/>
      <c r="BTW56" s="88"/>
      <c r="BTX56" s="88"/>
      <c r="BTY56" s="88"/>
      <c r="BTZ56" s="88"/>
      <c r="BUA56" s="88"/>
      <c r="BUB56" s="88"/>
      <c r="BUC56" s="88"/>
      <c r="BUD56" s="88"/>
      <c r="BUE56" s="88"/>
      <c r="BUF56" s="88"/>
      <c r="BUG56" s="88"/>
      <c r="BUH56" s="88"/>
      <c r="BUI56" s="88"/>
      <c r="BUJ56" s="88"/>
      <c r="BUK56" s="88"/>
      <c r="BUL56" s="88"/>
      <c r="BUM56" s="88"/>
      <c r="BUN56" s="88"/>
      <c r="BUO56" s="88"/>
      <c r="BUP56" s="88"/>
      <c r="BUQ56" s="88"/>
      <c r="BUR56" s="88"/>
      <c r="BUS56" s="88"/>
      <c r="BUT56" s="88"/>
      <c r="BUU56" s="88"/>
      <c r="BUV56" s="88"/>
      <c r="BUW56" s="88"/>
      <c r="BUX56" s="88"/>
      <c r="BUY56" s="88"/>
      <c r="BUZ56" s="88"/>
      <c r="BVA56" s="88"/>
      <c r="BVB56" s="88"/>
      <c r="BVC56" s="88"/>
      <c r="BVD56" s="88"/>
      <c r="BVE56" s="88"/>
      <c r="BVF56" s="88"/>
      <c r="BVG56" s="88"/>
      <c r="BVH56" s="88"/>
      <c r="BVI56" s="88"/>
      <c r="BVJ56" s="88"/>
      <c r="BVK56" s="88"/>
      <c r="BVL56" s="88"/>
      <c r="BVM56" s="88"/>
      <c r="BVN56" s="88"/>
      <c r="BVO56" s="88"/>
      <c r="BVP56" s="88"/>
      <c r="BVQ56" s="88"/>
      <c r="BVR56" s="88"/>
      <c r="BVS56" s="88"/>
      <c r="BVT56" s="88"/>
      <c r="BVU56" s="88"/>
      <c r="BVV56" s="88"/>
      <c r="BVW56" s="88"/>
      <c r="BVX56" s="88"/>
      <c r="BVY56" s="88"/>
      <c r="BVZ56" s="88"/>
      <c r="BWA56" s="88"/>
      <c r="BWB56" s="88"/>
      <c r="BWC56" s="88"/>
      <c r="BWD56" s="88"/>
      <c r="BWE56" s="88"/>
      <c r="BWF56" s="88"/>
      <c r="BWG56" s="88"/>
      <c r="BWH56" s="88"/>
      <c r="BWI56" s="88"/>
      <c r="BWJ56" s="88"/>
      <c r="BWK56" s="88"/>
      <c r="BWL56" s="88"/>
      <c r="BWM56" s="88"/>
      <c r="BWN56" s="88"/>
      <c r="BWO56" s="88"/>
      <c r="BWP56" s="88"/>
      <c r="BWQ56" s="88"/>
      <c r="BWR56" s="88"/>
      <c r="BWS56" s="88"/>
      <c r="BWT56" s="88"/>
      <c r="BWU56" s="88"/>
      <c r="BWV56" s="88"/>
      <c r="BWW56" s="88"/>
      <c r="BWX56" s="88"/>
      <c r="BWY56" s="88"/>
      <c r="BWZ56" s="88"/>
      <c r="BXA56" s="88"/>
      <c r="BXB56" s="88"/>
      <c r="BXC56" s="88"/>
      <c r="BXD56" s="88"/>
      <c r="BXE56" s="88"/>
      <c r="BXF56" s="88"/>
      <c r="BXG56" s="88"/>
      <c r="BXH56" s="88"/>
      <c r="BXI56" s="88"/>
      <c r="BXJ56" s="88"/>
      <c r="BXK56" s="88"/>
      <c r="BXL56" s="88"/>
      <c r="BXM56" s="88"/>
      <c r="BXN56" s="88"/>
      <c r="BXO56" s="88"/>
      <c r="BXP56" s="88"/>
      <c r="BXQ56" s="88"/>
      <c r="BXR56" s="88"/>
      <c r="BXS56" s="88"/>
      <c r="BXT56" s="88"/>
      <c r="BXU56" s="88"/>
      <c r="BXV56" s="88"/>
      <c r="BXW56" s="88"/>
      <c r="BXX56" s="88"/>
      <c r="BXY56" s="88"/>
      <c r="BXZ56" s="88"/>
      <c r="BYA56" s="88"/>
      <c r="BYB56" s="88"/>
      <c r="BYC56" s="88"/>
      <c r="BYD56" s="88"/>
      <c r="BYE56" s="88"/>
      <c r="BYF56" s="88"/>
      <c r="BYG56" s="88"/>
      <c r="BYH56" s="88"/>
      <c r="BYI56" s="88"/>
      <c r="BYJ56" s="88"/>
      <c r="BYK56" s="88"/>
      <c r="BYL56" s="88"/>
      <c r="BYM56" s="88"/>
      <c r="BYN56" s="88"/>
      <c r="BYO56" s="88"/>
      <c r="BYP56" s="88"/>
      <c r="BYQ56" s="88"/>
      <c r="BYR56" s="88"/>
      <c r="BYS56" s="88"/>
      <c r="BYT56" s="88"/>
      <c r="BYU56" s="88"/>
      <c r="BYV56" s="88"/>
      <c r="BYW56" s="88"/>
      <c r="BYX56" s="88"/>
      <c r="BYY56" s="88"/>
      <c r="BYZ56" s="88"/>
      <c r="BZA56" s="88"/>
      <c r="BZB56" s="88"/>
      <c r="BZC56" s="88"/>
      <c r="BZD56" s="88"/>
      <c r="BZE56" s="88"/>
      <c r="BZF56" s="88"/>
      <c r="BZG56" s="88"/>
      <c r="BZH56" s="88"/>
      <c r="BZI56" s="88"/>
      <c r="BZJ56" s="88"/>
      <c r="BZK56" s="88"/>
      <c r="BZL56" s="88"/>
      <c r="BZM56" s="88"/>
      <c r="BZN56" s="88"/>
      <c r="BZO56" s="88"/>
      <c r="BZP56" s="88"/>
      <c r="BZQ56" s="88"/>
      <c r="BZR56" s="88"/>
      <c r="BZS56" s="88"/>
      <c r="BZT56" s="88"/>
      <c r="BZU56" s="88"/>
      <c r="BZV56" s="88"/>
      <c r="BZW56" s="88"/>
      <c r="BZX56" s="88"/>
      <c r="BZY56" s="88"/>
      <c r="BZZ56" s="88"/>
      <c r="CAA56" s="88"/>
      <c r="CAB56" s="88"/>
      <c r="CAC56" s="88"/>
      <c r="CAD56" s="88"/>
      <c r="CAE56" s="88"/>
      <c r="CAF56" s="88"/>
      <c r="CAG56" s="88"/>
      <c r="CAH56" s="88"/>
      <c r="CAI56" s="88"/>
      <c r="CAJ56" s="88"/>
      <c r="CAK56" s="88"/>
      <c r="CAL56" s="88"/>
      <c r="CAM56" s="88"/>
      <c r="CAN56" s="88"/>
      <c r="CAO56" s="88"/>
      <c r="CAP56" s="88"/>
      <c r="CAQ56" s="88"/>
      <c r="CAR56" s="88"/>
      <c r="CAS56" s="88"/>
      <c r="CAT56" s="88"/>
      <c r="CAU56" s="88"/>
      <c r="CAV56" s="88"/>
      <c r="CAW56" s="88"/>
      <c r="CAX56" s="88"/>
      <c r="CAY56" s="88"/>
      <c r="CAZ56" s="88"/>
      <c r="CBA56" s="88"/>
      <c r="CBB56" s="88"/>
      <c r="CBC56" s="88"/>
      <c r="CBD56" s="88"/>
      <c r="CBE56" s="88"/>
      <c r="CBF56" s="88"/>
      <c r="CBG56" s="88"/>
      <c r="CBH56" s="88"/>
      <c r="CBI56" s="88"/>
      <c r="CBJ56" s="88"/>
      <c r="CBK56" s="88"/>
      <c r="CBL56" s="88"/>
      <c r="CBM56" s="88"/>
      <c r="CBN56" s="88"/>
      <c r="CBO56" s="88"/>
      <c r="CBP56" s="88"/>
      <c r="CBQ56" s="88"/>
      <c r="CBR56" s="88"/>
      <c r="CBS56" s="88"/>
      <c r="CBT56" s="88"/>
      <c r="CBU56" s="88"/>
      <c r="CBV56" s="88"/>
      <c r="CBW56" s="88"/>
      <c r="CBX56" s="88"/>
      <c r="CBY56" s="88"/>
      <c r="CBZ56" s="88"/>
      <c r="CCA56" s="88"/>
      <c r="CCB56" s="88"/>
      <c r="CCC56" s="88"/>
      <c r="CCD56" s="88"/>
      <c r="CCE56" s="88"/>
      <c r="CCF56" s="88"/>
      <c r="CCG56" s="88"/>
      <c r="CCH56" s="88"/>
      <c r="CCI56" s="88"/>
      <c r="CCJ56" s="88"/>
      <c r="CCK56" s="88"/>
      <c r="CCL56" s="88"/>
      <c r="CCM56" s="88"/>
      <c r="CCN56" s="88"/>
      <c r="CCO56" s="88"/>
      <c r="CCP56" s="88"/>
      <c r="CCQ56" s="88"/>
      <c r="CCR56" s="88"/>
      <c r="CCS56" s="88"/>
      <c r="CCT56" s="88"/>
      <c r="CCU56" s="88"/>
      <c r="CCV56" s="88"/>
      <c r="CCW56" s="88"/>
      <c r="CCX56" s="88"/>
      <c r="CCY56" s="88"/>
      <c r="CCZ56" s="88"/>
      <c r="CDA56" s="88"/>
      <c r="CDB56" s="88"/>
      <c r="CDC56" s="88"/>
      <c r="CDD56" s="88"/>
      <c r="CDE56" s="88"/>
      <c r="CDF56" s="88"/>
      <c r="CDG56" s="88"/>
      <c r="CDH56" s="88"/>
      <c r="CDI56" s="88"/>
      <c r="CDJ56" s="88"/>
      <c r="CDK56" s="88"/>
      <c r="CDL56" s="88"/>
      <c r="CDM56" s="88"/>
      <c r="CDN56" s="88"/>
      <c r="CDO56" s="88"/>
      <c r="CDP56" s="88"/>
      <c r="CDQ56" s="88"/>
      <c r="CDR56" s="88"/>
      <c r="CDS56" s="88"/>
      <c r="CDT56" s="88"/>
      <c r="CDU56" s="88"/>
      <c r="CDV56" s="88"/>
      <c r="CDW56" s="88"/>
      <c r="CDX56" s="88"/>
      <c r="CDY56" s="88"/>
      <c r="CDZ56" s="88"/>
      <c r="CEA56" s="88"/>
      <c r="CEB56" s="88"/>
      <c r="CEC56" s="88"/>
      <c r="CED56" s="88"/>
      <c r="CEE56" s="88"/>
      <c r="CEF56" s="88"/>
      <c r="CEG56" s="88"/>
      <c r="CEH56" s="88"/>
      <c r="CEI56" s="88"/>
      <c r="CEJ56" s="88"/>
      <c r="CEK56" s="88"/>
    </row>
    <row r="57" spans="1:2169" s="51" customFormat="1">
      <c r="A57" s="72" t="s">
        <v>421</v>
      </c>
      <c r="B57" s="72" t="s">
        <v>78</v>
      </c>
      <c r="C57" s="69" t="str">
        <f>IF('page 2'!$O$4="","",IF('page 2'!$O$4=Gestion!A57,1,0))</f>
        <v/>
      </c>
      <c r="D57" s="69" t="str">
        <f>IF('page 2'!$O$5="","",IF('page 2'!$O$5=Gestion!A57,1,0))</f>
        <v/>
      </c>
      <c r="E57" s="69" t="str">
        <f>IF('page 2'!$O$6="","",IF('page 2'!$O$6=Gestion!A57,1,0))</f>
        <v/>
      </c>
      <c r="F57" s="69" t="str">
        <f>IF('page 2'!$O$7="","",IF('page 2'!$O$7=Gestion!A57,1,0))</f>
        <v/>
      </c>
      <c r="G57" s="69" t="str">
        <f>IF('page 2'!$O$8="","",IF('page 2'!$O$8=Gestion!A57,1,0))</f>
        <v/>
      </c>
      <c r="H57" s="69" t="str">
        <f>IF('page 2'!$O$9="","",IF('page 2'!$O$9=Gestion!A57,1,0))</f>
        <v/>
      </c>
      <c r="I57" s="69" t="str">
        <f>IF('page 2'!$O$10="","",IF('page 2'!$O$10=Gestion!A57,1,0))</f>
        <v/>
      </c>
      <c r="J57" s="69" t="str">
        <f>IF('page 2'!$O$11="","",IF('page 2'!$O$11=Gestion!A57,1,0))</f>
        <v/>
      </c>
      <c r="K57" s="69" t="str">
        <f>IF('page 2'!$O$12="","",IF('page 2'!$O$12=Gestion!A57,1,0))</f>
        <v/>
      </c>
      <c r="L57" s="69" t="str">
        <f>IF('page 2'!$O$13="","",IF('page 2'!$O$13=Gestion!A57,1,0))</f>
        <v/>
      </c>
      <c r="M57" s="69" t="str">
        <f>IF('page 2'!$O$14="","",IF('page 2'!$O$14=Gestion!A57,1,0))</f>
        <v/>
      </c>
      <c r="N57" s="69" t="str">
        <f>IF('page 2'!$O$15="","",IF('page 2'!$O$15=Gestion!A57,1,0))</f>
        <v/>
      </c>
      <c r="O57" s="69" t="str">
        <f>IF('page 2'!$O$16="","",IF('page 2'!$O$16=Gestion!A57,1,0))</f>
        <v/>
      </c>
      <c r="P57" s="69" t="str">
        <f>IF('page 2'!$O$17="","",IF('page 2'!$O$17=Gestion!A57,1,0))</f>
        <v/>
      </c>
      <c r="Q57" s="69" t="str">
        <f>IF('page 2'!$O$18="","",IF('page 2'!$O$18=Gestion!A57,1,0))</f>
        <v/>
      </c>
      <c r="R57" s="69" t="str">
        <f>IF('page 2'!$O$19="","",IF('page 2'!$O$19=Gestion!A57,1,0))</f>
        <v/>
      </c>
      <c r="S57" s="69" t="str">
        <f>IF('page 2'!$O$20="","",IF('page 2'!$O$20=Gestion!A57,1,0))</f>
        <v/>
      </c>
      <c r="T57" s="69" t="str">
        <f>IF('page 2'!$O$25="","",IF('page 2'!$O$25=Gestion!A57,1,0))</f>
        <v/>
      </c>
      <c r="U57" s="69" t="str">
        <f>IF('page 2'!$O$26="","",IF('page 2'!$O$26=Gestion!A57,1,0))</f>
        <v/>
      </c>
      <c r="V57" s="69" t="str">
        <f>IF('page 2'!$O$27="","",IF('page 2'!$O$27=Gestion!A57,1,0))</f>
        <v/>
      </c>
      <c r="W57" s="723">
        <f t="shared" si="0"/>
        <v>0</v>
      </c>
      <c r="X57" s="713"/>
      <c r="Y57" s="69"/>
      <c r="Z57" s="69"/>
      <c r="AA57" s="69"/>
      <c r="AB57" s="542"/>
      <c r="AC57" s="542"/>
      <c r="AD57" s="542"/>
      <c r="AE57" s="88"/>
      <c r="AP57" s="130"/>
      <c r="AQ57" s="130"/>
      <c r="AR57" s="130"/>
      <c r="AS57" s="576"/>
      <c r="AT57" s="576"/>
      <c r="AU57" s="576"/>
      <c r="AV57" s="576"/>
      <c r="AW57" s="602"/>
      <c r="AX57" s="602"/>
      <c r="AY57" s="576"/>
      <c r="AZ57" s="576"/>
      <c r="BA57" s="576"/>
      <c r="BB57" s="576"/>
      <c r="BC57" s="576"/>
      <c r="BD57" s="602"/>
      <c r="BE57" s="602"/>
      <c r="BF57" s="602"/>
      <c r="BG57" s="602"/>
      <c r="BH57" s="602"/>
      <c r="BI57" s="602"/>
      <c r="BJ57" s="602"/>
      <c r="BK57" s="602"/>
      <c r="BL57" s="602"/>
      <c r="BM57" s="602"/>
      <c r="BN57" s="602"/>
      <c r="BO57" s="602"/>
      <c r="BP57" s="602"/>
      <c r="BQ57" s="602"/>
      <c r="BR57" s="602"/>
      <c r="BS57" s="576"/>
      <c r="BT57" s="576"/>
      <c r="BU57" s="576"/>
      <c r="BV57" s="576"/>
      <c r="BW57" s="602"/>
      <c r="BX57" s="602"/>
      <c r="BY57" s="602"/>
      <c r="BZ57" s="576"/>
      <c r="CA57" s="602"/>
      <c r="CB57" s="602"/>
      <c r="CC57" s="576"/>
      <c r="CD57" s="576"/>
      <c r="CE57" s="602"/>
      <c r="CF57" s="576"/>
      <c r="CG57" s="576"/>
      <c r="CH57" s="576"/>
      <c r="CI57" s="576"/>
      <c r="CJ57" s="576"/>
      <c r="CK57" s="602"/>
      <c r="CL57" s="602"/>
      <c r="CM57" s="576"/>
      <c r="CN57" s="602"/>
      <c r="CO57" s="602"/>
      <c r="CP57" s="602"/>
      <c r="CQ57" s="576"/>
      <c r="CR57" s="576"/>
      <c r="CS57" s="602"/>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8"/>
      <c r="HN57" s="88"/>
      <c r="HO57" s="88"/>
      <c r="HP57" s="88"/>
      <c r="HQ57" s="88"/>
      <c r="HR57" s="88"/>
      <c r="HS57" s="88"/>
      <c r="HT57" s="88"/>
      <c r="HU57" s="88"/>
      <c r="HV57" s="88"/>
      <c r="HW57" s="88"/>
      <c r="HX57" s="88"/>
      <c r="HY57" s="88"/>
      <c r="HZ57" s="88"/>
      <c r="IA57" s="88"/>
      <c r="IB57" s="88"/>
      <c r="IC57" s="88"/>
      <c r="ID57" s="88"/>
      <c r="IE57" s="88"/>
      <c r="IF57" s="88"/>
      <c r="IG57" s="88"/>
      <c r="IH57" s="88"/>
      <c r="II57" s="88"/>
      <c r="IJ57" s="88"/>
      <c r="IK57" s="88"/>
      <c r="IL57" s="88"/>
      <c r="IM57" s="88"/>
      <c r="IN57" s="88"/>
      <c r="IO57" s="88"/>
      <c r="IP57" s="88"/>
      <c r="IQ57" s="88"/>
      <c r="IR57" s="88"/>
      <c r="IS57" s="88"/>
      <c r="IT57" s="88"/>
      <c r="IU57" s="88"/>
      <c r="IV57" s="88"/>
      <c r="IW57" s="88"/>
      <c r="IX57" s="88"/>
      <c r="IY57" s="88"/>
      <c r="IZ57" s="88"/>
      <c r="JA57" s="88"/>
      <c r="JB57" s="88"/>
      <c r="JC57" s="88"/>
      <c r="JD57" s="88"/>
      <c r="JE57" s="88"/>
      <c r="JF57" s="88"/>
      <c r="JG57" s="88"/>
      <c r="JH57" s="88"/>
      <c r="JI57" s="88"/>
      <c r="JJ57" s="88"/>
      <c r="JK57" s="88"/>
      <c r="JL57" s="88"/>
      <c r="JM57" s="88"/>
      <c r="JN57" s="88"/>
      <c r="JO57" s="88"/>
      <c r="JP57" s="88"/>
      <c r="JQ57" s="88"/>
      <c r="JR57" s="88"/>
      <c r="JS57" s="88"/>
      <c r="JT57" s="88"/>
      <c r="JU57" s="88"/>
      <c r="JV57" s="88"/>
      <c r="JW57" s="88"/>
      <c r="JX57" s="88"/>
      <c r="JY57" s="88"/>
      <c r="JZ57" s="88"/>
      <c r="KA57" s="88"/>
      <c r="KB57" s="88"/>
      <c r="KC57" s="88"/>
      <c r="KD57" s="88"/>
      <c r="KE57" s="88"/>
      <c r="KF57" s="88"/>
      <c r="KG57" s="88"/>
      <c r="KH57" s="88"/>
      <c r="KI57" s="88"/>
      <c r="KJ57" s="88"/>
      <c r="KK57" s="88"/>
      <c r="KL57" s="88"/>
      <c r="KM57" s="88"/>
      <c r="KN57" s="88"/>
      <c r="KO57" s="88"/>
      <c r="KP57" s="88"/>
      <c r="KQ57" s="88"/>
      <c r="KR57" s="88"/>
      <c r="KS57" s="88"/>
      <c r="KT57" s="88"/>
      <c r="KU57" s="88"/>
      <c r="KV57" s="88"/>
      <c r="KW57" s="88"/>
      <c r="KX57" s="88"/>
      <c r="KY57" s="88"/>
      <c r="KZ57" s="88"/>
      <c r="LA57" s="88"/>
      <c r="LB57" s="88"/>
      <c r="LC57" s="88"/>
      <c r="LD57" s="88"/>
      <c r="LE57" s="88"/>
      <c r="LF57" s="88"/>
      <c r="LG57" s="88"/>
      <c r="LH57" s="88"/>
      <c r="LI57" s="88"/>
      <c r="LJ57" s="88"/>
      <c r="LK57" s="88"/>
      <c r="LL57" s="88"/>
      <c r="LM57" s="88"/>
      <c r="LN57" s="88"/>
      <c r="LO57" s="88"/>
      <c r="LP57" s="88"/>
      <c r="LQ57" s="88"/>
      <c r="LR57" s="88"/>
      <c r="LS57" s="88"/>
      <c r="LT57" s="88"/>
      <c r="LU57" s="88"/>
      <c r="LV57" s="88"/>
      <c r="LW57" s="88"/>
      <c r="LX57" s="88"/>
      <c r="LY57" s="88"/>
      <c r="LZ57" s="88"/>
      <c r="MA57" s="88"/>
      <c r="MB57" s="88"/>
      <c r="MC57" s="88"/>
      <c r="MD57" s="88"/>
      <c r="ME57" s="88"/>
      <c r="MF57" s="88"/>
      <c r="MG57" s="88"/>
      <c r="MH57" s="88"/>
      <c r="MI57" s="88"/>
      <c r="MJ57" s="88"/>
      <c r="MK57" s="88"/>
      <c r="ML57" s="88"/>
      <c r="MM57" s="88"/>
      <c r="MN57" s="88"/>
      <c r="MO57" s="88"/>
      <c r="MP57" s="88"/>
      <c r="MQ57" s="88"/>
      <c r="MR57" s="88"/>
      <c r="MS57" s="88"/>
      <c r="MT57" s="88"/>
      <c r="MU57" s="88"/>
      <c r="MV57" s="88"/>
      <c r="MW57" s="88"/>
      <c r="MX57" s="88"/>
      <c r="MY57" s="88"/>
      <c r="MZ57" s="88"/>
      <c r="NA57" s="88"/>
      <c r="NB57" s="88"/>
      <c r="NC57" s="88"/>
      <c r="ND57" s="88"/>
      <c r="NE57" s="88"/>
      <c r="NF57" s="88"/>
      <c r="NG57" s="88"/>
      <c r="NH57" s="88"/>
      <c r="NI57" s="88"/>
      <c r="NJ57" s="88"/>
      <c r="NK57" s="88"/>
      <c r="NL57" s="88"/>
      <c r="NM57" s="88"/>
      <c r="NN57" s="88"/>
      <c r="NO57" s="88"/>
      <c r="NP57" s="88"/>
      <c r="NQ57" s="88"/>
      <c r="NR57" s="88"/>
      <c r="NS57" s="88"/>
      <c r="NT57" s="88"/>
      <c r="NU57" s="88"/>
      <c r="NV57" s="88"/>
      <c r="NW57" s="88"/>
      <c r="NX57" s="88"/>
      <c r="NY57" s="88"/>
      <c r="NZ57" s="88"/>
      <c r="OA57" s="88"/>
      <c r="OB57" s="88"/>
      <c r="OC57" s="88"/>
      <c r="OD57" s="88"/>
      <c r="OE57" s="88"/>
      <c r="OF57" s="88"/>
      <c r="OG57" s="88"/>
      <c r="OH57" s="88"/>
      <c r="OI57" s="88"/>
      <c r="OJ57" s="88"/>
      <c r="OK57" s="88"/>
      <c r="OL57" s="88"/>
      <c r="OM57" s="88"/>
      <c r="ON57" s="88"/>
      <c r="OO57" s="88"/>
      <c r="OP57" s="88"/>
      <c r="OQ57" s="88"/>
      <c r="OR57" s="88"/>
      <c r="OS57" s="88"/>
      <c r="OT57" s="88"/>
      <c r="OU57" s="88"/>
      <c r="OV57" s="88"/>
      <c r="OW57" s="88"/>
      <c r="OX57" s="88"/>
      <c r="OY57" s="88"/>
      <c r="OZ57" s="88"/>
      <c r="PA57" s="88"/>
      <c r="PB57" s="88"/>
      <c r="PC57" s="88"/>
      <c r="PD57" s="88"/>
      <c r="PE57" s="88"/>
      <c r="PF57" s="88"/>
      <c r="PG57" s="88"/>
      <c r="PH57" s="88"/>
      <c r="PI57" s="88"/>
      <c r="PJ57" s="88"/>
      <c r="PK57" s="88"/>
      <c r="PL57" s="88"/>
      <c r="PM57" s="88"/>
      <c r="PN57" s="88"/>
      <c r="PO57" s="88"/>
      <c r="PP57" s="88"/>
      <c r="PQ57" s="88"/>
      <c r="PR57" s="88"/>
      <c r="PS57" s="88"/>
      <c r="PT57" s="88"/>
      <c r="PU57" s="88"/>
      <c r="PV57" s="88"/>
      <c r="PW57" s="88"/>
      <c r="PX57" s="88"/>
      <c r="PY57" s="88"/>
      <c r="PZ57" s="88"/>
      <c r="QA57" s="88"/>
      <c r="QB57" s="88"/>
      <c r="QC57" s="88"/>
      <c r="QD57" s="88"/>
      <c r="QE57" s="88"/>
      <c r="QF57" s="88"/>
      <c r="QG57" s="88"/>
      <c r="QH57" s="88"/>
      <c r="QI57" s="88"/>
      <c r="QJ57" s="88"/>
      <c r="QK57" s="88"/>
      <c r="QL57" s="88"/>
      <c r="QM57" s="88"/>
      <c r="QN57" s="88"/>
      <c r="QO57" s="88"/>
      <c r="QP57" s="88"/>
      <c r="QQ57" s="88"/>
      <c r="QR57" s="88"/>
      <c r="QS57" s="88"/>
      <c r="QT57" s="88"/>
      <c r="QU57" s="88"/>
      <c r="QV57" s="88"/>
      <c r="QW57" s="88"/>
      <c r="QX57" s="88"/>
      <c r="QY57" s="88"/>
      <c r="QZ57" s="88"/>
      <c r="RA57" s="88"/>
      <c r="RB57" s="88"/>
      <c r="RC57" s="88"/>
      <c r="RD57" s="88"/>
      <c r="RE57" s="88"/>
      <c r="RF57" s="88"/>
      <c r="RG57" s="88"/>
      <c r="RH57" s="88"/>
      <c r="RI57" s="88"/>
      <c r="RJ57" s="88"/>
      <c r="RK57" s="88"/>
      <c r="RL57" s="88"/>
      <c r="RM57" s="88"/>
      <c r="RN57" s="88"/>
      <c r="RO57" s="88"/>
      <c r="RP57" s="88"/>
      <c r="RQ57" s="88"/>
      <c r="RR57" s="88"/>
      <c r="RS57" s="88"/>
      <c r="RT57" s="88"/>
      <c r="RU57" s="88"/>
      <c r="RV57" s="88"/>
      <c r="RW57" s="88"/>
      <c r="RX57" s="88"/>
      <c r="RY57" s="88"/>
      <c r="RZ57" s="88"/>
      <c r="SA57" s="88"/>
      <c r="SB57" s="88"/>
      <c r="SC57" s="88"/>
      <c r="SD57" s="88"/>
      <c r="SE57" s="88"/>
      <c r="SF57" s="88"/>
      <c r="SG57" s="88"/>
      <c r="SH57" s="88"/>
      <c r="SI57" s="88"/>
      <c r="SJ57" s="88"/>
      <c r="SK57" s="88"/>
      <c r="SL57" s="88"/>
      <c r="SM57" s="88"/>
      <c r="SN57" s="88"/>
      <c r="SO57" s="88"/>
      <c r="SP57" s="88"/>
      <c r="SQ57" s="88"/>
      <c r="SR57" s="88"/>
      <c r="SS57" s="88"/>
      <c r="ST57" s="88"/>
      <c r="SU57" s="88"/>
      <c r="SV57" s="88"/>
      <c r="SW57" s="88"/>
      <c r="SX57" s="88"/>
      <c r="SY57" s="88"/>
      <c r="SZ57" s="88"/>
      <c r="TA57" s="88"/>
      <c r="TB57" s="88"/>
      <c r="TC57" s="88"/>
      <c r="TD57" s="88"/>
      <c r="TE57" s="88"/>
      <c r="TF57" s="88"/>
      <c r="TG57" s="88"/>
      <c r="TH57" s="88"/>
      <c r="TI57" s="88"/>
      <c r="TJ57" s="88"/>
      <c r="TK57" s="88"/>
      <c r="TL57" s="88"/>
      <c r="TM57" s="88"/>
      <c r="TN57" s="88"/>
      <c r="TO57" s="88"/>
      <c r="TP57" s="88"/>
      <c r="TQ57" s="88"/>
      <c r="TR57" s="88"/>
      <c r="TS57" s="88"/>
      <c r="TT57" s="88"/>
      <c r="TU57" s="88"/>
      <c r="TV57" s="88"/>
      <c r="TW57" s="88"/>
      <c r="TX57" s="88"/>
      <c r="TY57" s="88"/>
      <c r="TZ57" s="88"/>
      <c r="UA57" s="88"/>
      <c r="UB57" s="88"/>
      <c r="UC57" s="88"/>
      <c r="UD57" s="88"/>
      <c r="UE57" s="88"/>
      <c r="UF57" s="88"/>
      <c r="UG57" s="88"/>
      <c r="UH57" s="88"/>
      <c r="UI57" s="88"/>
      <c r="UJ57" s="88"/>
      <c r="UK57" s="88"/>
      <c r="UL57" s="88"/>
      <c r="UM57" s="88"/>
      <c r="UN57" s="88"/>
      <c r="UO57" s="88"/>
      <c r="UP57" s="88"/>
      <c r="UQ57" s="88"/>
      <c r="UR57" s="88"/>
      <c r="US57" s="88"/>
      <c r="UT57" s="88"/>
      <c r="UU57" s="88"/>
      <c r="UV57" s="88"/>
      <c r="UW57" s="88"/>
      <c r="UX57" s="88"/>
      <c r="UY57" s="88"/>
      <c r="UZ57" s="88"/>
      <c r="VA57" s="88"/>
      <c r="VB57" s="88"/>
      <c r="VC57" s="88"/>
      <c r="VD57" s="88"/>
      <c r="VE57" s="88"/>
      <c r="VF57" s="88"/>
      <c r="VG57" s="88"/>
      <c r="VH57" s="88"/>
      <c r="VI57" s="88"/>
      <c r="VJ57" s="88"/>
      <c r="VK57" s="88"/>
      <c r="VL57" s="88"/>
      <c r="VM57" s="88"/>
      <c r="VN57" s="88"/>
      <c r="VO57" s="88"/>
      <c r="VP57" s="88"/>
      <c r="VQ57" s="88"/>
      <c r="VR57" s="88"/>
      <c r="VS57" s="88"/>
      <c r="VT57" s="88"/>
      <c r="VU57" s="88"/>
      <c r="VV57" s="88"/>
      <c r="VW57" s="88"/>
      <c r="VX57" s="88"/>
      <c r="VY57" s="88"/>
      <c r="VZ57" s="88"/>
      <c r="WA57" s="88"/>
      <c r="WB57" s="88"/>
      <c r="WC57" s="88"/>
      <c r="WD57" s="88"/>
      <c r="WE57" s="88"/>
      <c r="WF57" s="88"/>
      <c r="WG57" s="88"/>
      <c r="WH57" s="88"/>
      <c r="WI57" s="88"/>
      <c r="WJ57" s="88"/>
      <c r="WK57" s="88"/>
      <c r="WL57" s="88"/>
      <c r="WM57" s="88"/>
      <c r="WN57" s="88"/>
      <c r="WO57" s="88"/>
      <c r="WP57" s="88"/>
      <c r="WQ57" s="88"/>
      <c r="WR57" s="88"/>
      <c r="WS57" s="88"/>
      <c r="WT57" s="88"/>
      <c r="WU57" s="88"/>
      <c r="WV57" s="88"/>
      <c r="WW57" s="88"/>
      <c r="WX57" s="88"/>
      <c r="WY57" s="88"/>
      <c r="WZ57" s="88"/>
      <c r="XA57" s="88"/>
      <c r="XB57" s="88"/>
      <c r="XC57" s="88"/>
      <c r="XD57" s="88"/>
      <c r="XE57" s="88"/>
      <c r="XF57" s="88"/>
      <c r="XG57" s="88"/>
      <c r="XH57" s="88"/>
      <c r="XI57" s="88"/>
      <c r="XJ57" s="88"/>
      <c r="XK57" s="88"/>
      <c r="XL57" s="88"/>
      <c r="XM57" s="88"/>
      <c r="XN57" s="88"/>
      <c r="XO57" s="88"/>
      <c r="XP57" s="88"/>
      <c r="XQ57" s="88"/>
      <c r="XR57" s="88"/>
      <c r="XS57" s="88"/>
      <c r="XT57" s="88"/>
      <c r="XU57" s="88"/>
      <c r="XV57" s="88"/>
      <c r="XW57" s="88"/>
      <c r="XX57" s="88"/>
      <c r="XY57" s="88"/>
      <c r="XZ57" s="88"/>
      <c r="YA57" s="88"/>
      <c r="YB57" s="88"/>
      <c r="YC57" s="88"/>
      <c r="YD57" s="88"/>
      <c r="YE57" s="88"/>
      <c r="YF57" s="88"/>
      <c r="YG57" s="88"/>
      <c r="YH57" s="88"/>
      <c r="YI57" s="88"/>
      <c r="YJ57" s="88"/>
      <c r="YK57" s="88"/>
      <c r="YL57" s="88"/>
      <c r="YM57" s="88"/>
      <c r="YN57" s="88"/>
      <c r="YO57" s="88"/>
      <c r="YP57" s="88"/>
      <c r="YQ57" s="88"/>
      <c r="YR57" s="88"/>
      <c r="YS57" s="88"/>
      <c r="YT57" s="88"/>
      <c r="YU57" s="88"/>
      <c r="YV57" s="88"/>
      <c r="YW57" s="88"/>
      <c r="YX57" s="88"/>
      <c r="YY57" s="88"/>
      <c r="YZ57" s="88"/>
      <c r="ZA57" s="88"/>
      <c r="ZB57" s="88"/>
      <c r="ZC57" s="88"/>
      <c r="ZD57" s="88"/>
      <c r="ZE57" s="88"/>
      <c r="ZF57" s="88"/>
      <c r="ZG57" s="88"/>
      <c r="ZH57" s="88"/>
      <c r="ZI57" s="88"/>
      <c r="ZJ57" s="88"/>
      <c r="ZK57" s="88"/>
      <c r="ZL57" s="88"/>
      <c r="ZM57" s="88"/>
      <c r="ZN57" s="88"/>
      <c r="ZO57" s="88"/>
      <c r="ZP57" s="88"/>
      <c r="ZQ57" s="88"/>
      <c r="ZR57" s="88"/>
      <c r="ZS57" s="88"/>
      <c r="ZT57" s="88"/>
      <c r="ZU57" s="88"/>
      <c r="ZV57" s="88"/>
      <c r="ZW57" s="88"/>
      <c r="ZX57" s="88"/>
      <c r="ZY57" s="88"/>
      <c r="ZZ57" s="88"/>
      <c r="AAA57" s="88"/>
      <c r="AAB57" s="88"/>
      <c r="AAC57" s="88"/>
      <c r="AAD57" s="88"/>
      <c r="AAE57" s="88"/>
      <c r="AAF57" s="88"/>
      <c r="AAG57" s="88"/>
      <c r="AAH57" s="88"/>
      <c r="AAI57" s="88"/>
      <c r="AAJ57" s="88"/>
      <c r="AAK57" s="88"/>
      <c r="AAL57" s="88"/>
      <c r="AAM57" s="88"/>
      <c r="AAN57" s="88"/>
      <c r="AAO57" s="88"/>
      <c r="AAP57" s="88"/>
      <c r="AAQ57" s="88"/>
      <c r="AAR57" s="88"/>
      <c r="AAS57" s="88"/>
      <c r="AAT57" s="88"/>
      <c r="AAU57" s="88"/>
      <c r="AAV57" s="88"/>
      <c r="AAW57" s="88"/>
      <c r="AAX57" s="88"/>
      <c r="AAY57" s="88"/>
      <c r="AAZ57" s="88"/>
      <c r="ABA57" s="88"/>
      <c r="ABB57" s="88"/>
      <c r="ABC57" s="88"/>
      <c r="ABD57" s="88"/>
      <c r="ABE57" s="88"/>
      <c r="ABF57" s="88"/>
      <c r="ABG57" s="88"/>
      <c r="ABH57" s="88"/>
      <c r="ABI57" s="88"/>
      <c r="ABJ57" s="88"/>
      <c r="ABK57" s="88"/>
      <c r="ABL57" s="88"/>
      <c r="ABM57" s="88"/>
      <c r="ABN57" s="88"/>
      <c r="ABO57" s="88"/>
      <c r="ABP57" s="88"/>
      <c r="ABQ57" s="88"/>
      <c r="ABR57" s="88"/>
      <c r="ABS57" s="88"/>
      <c r="ABT57" s="88"/>
      <c r="ABU57" s="88"/>
      <c r="ABV57" s="88"/>
      <c r="ABW57" s="88"/>
      <c r="ABX57" s="88"/>
      <c r="ABY57" s="88"/>
      <c r="ABZ57" s="88"/>
      <c r="ACA57" s="88"/>
      <c r="ACB57" s="88"/>
      <c r="ACC57" s="88"/>
      <c r="ACD57" s="88"/>
      <c r="ACE57" s="88"/>
      <c r="ACF57" s="88"/>
      <c r="ACG57" s="88"/>
      <c r="ACH57" s="88"/>
      <c r="ACI57" s="88"/>
      <c r="ACJ57" s="88"/>
      <c r="ACK57" s="88"/>
      <c r="ACL57" s="88"/>
      <c r="ACM57" s="88"/>
      <c r="ACN57" s="88"/>
      <c r="ACO57" s="88"/>
      <c r="ACP57" s="88"/>
      <c r="ACQ57" s="88"/>
      <c r="ACR57" s="88"/>
      <c r="ACS57" s="88"/>
      <c r="ACT57" s="88"/>
      <c r="ACU57" s="88"/>
      <c r="ACV57" s="88"/>
      <c r="ACW57" s="88"/>
      <c r="ACX57" s="88"/>
      <c r="ACY57" s="88"/>
      <c r="ACZ57" s="88"/>
      <c r="ADA57" s="88"/>
      <c r="ADB57" s="88"/>
      <c r="ADC57" s="88"/>
      <c r="ADD57" s="88"/>
      <c r="ADE57" s="88"/>
      <c r="ADF57" s="88"/>
      <c r="ADG57" s="88"/>
      <c r="ADH57" s="88"/>
      <c r="ADI57" s="88"/>
      <c r="ADJ57" s="88"/>
      <c r="ADK57" s="88"/>
      <c r="ADL57" s="88"/>
      <c r="ADM57" s="88"/>
      <c r="ADN57" s="88"/>
      <c r="ADO57" s="88"/>
      <c r="ADP57" s="88"/>
      <c r="ADQ57" s="88"/>
      <c r="ADR57" s="88"/>
      <c r="ADS57" s="88"/>
      <c r="ADT57" s="88"/>
      <c r="ADU57" s="88"/>
      <c r="ADV57" s="88"/>
      <c r="ADW57" s="88"/>
      <c r="ADX57" s="88"/>
      <c r="ADY57" s="88"/>
      <c r="ADZ57" s="88"/>
      <c r="AEA57" s="88"/>
      <c r="AEB57" s="88"/>
      <c r="AEC57" s="88"/>
      <c r="AED57" s="88"/>
      <c r="AEE57" s="88"/>
      <c r="AEF57" s="88"/>
      <c r="AEG57" s="88"/>
      <c r="AEH57" s="88"/>
      <c r="AEI57" s="88"/>
      <c r="AEJ57" s="88"/>
      <c r="AEK57" s="88"/>
      <c r="AEL57" s="88"/>
      <c r="AEM57" s="88"/>
      <c r="AEN57" s="88"/>
      <c r="AEO57" s="88"/>
      <c r="AEP57" s="88"/>
      <c r="AEQ57" s="88"/>
      <c r="AER57" s="88"/>
      <c r="AES57" s="88"/>
      <c r="AET57" s="88"/>
      <c r="AEU57" s="88"/>
      <c r="AEV57" s="88"/>
      <c r="AEW57" s="88"/>
      <c r="AEX57" s="88"/>
      <c r="AEY57" s="88"/>
      <c r="AEZ57" s="88"/>
      <c r="AFA57" s="88"/>
      <c r="AFB57" s="88"/>
      <c r="AFC57" s="88"/>
      <c r="AFD57" s="88"/>
      <c r="AFE57" s="88"/>
      <c r="AFF57" s="88"/>
      <c r="AFG57" s="88"/>
      <c r="AFH57" s="88"/>
      <c r="AFI57" s="88"/>
      <c r="AFJ57" s="88"/>
      <c r="AFK57" s="88"/>
      <c r="AFL57" s="88"/>
      <c r="AFM57" s="88"/>
      <c r="AFN57" s="88"/>
      <c r="AFO57" s="88"/>
      <c r="AFP57" s="88"/>
      <c r="AFQ57" s="88"/>
      <c r="AFR57" s="88"/>
      <c r="AFS57" s="88"/>
      <c r="AFT57" s="88"/>
      <c r="AFU57" s="88"/>
      <c r="AFV57" s="88"/>
      <c r="AFW57" s="88"/>
      <c r="AFX57" s="88"/>
      <c r="AFY57" s="88"/>
      <c r="AFZ57" s="88"/>
      <c r="AGA57" s="88"/>
      <c r="AGB57" s="88"/>
      <c r="AGC57" s="88"/>
      <c r="AGD57" s="88"/>
      <c r="AGE57" s="88"/>
      <c r="AGF57" s="88"/>
      <c r="AGG57" s="88"/>
      <c r="AGH57" s="88"/>
      <c r="AGI57" s="88"/>
      <c r="AGJ57" s="88"/>
      <c r="AGK57" s="88"/>
      <c r="AGL57" s="88"/>
      <c r="AGM57" s="88"/>
      <c r="AGN57" s="88"/>
      <c r="AGO57" s="88"/>
      <c r="AGP57" s="88"/>
      <c r="AGQ57" s="88"/>
      <c r="AGR57" s="88"/>
      <c r="AGS57" s="88"/>
      <c r="AGT57" s="88"/>
      <c r="AGU57" s="88"/>
      <c r="AGV57" s="88"/>
      <c r="AGW57" s="88"/>
      <c r="AGX57" s="88"/>
      <c r="AGY57" s="88"/>
      <c r="AGZ57" s="88"/>
      <c r="AHA57" s="88"/>
      <c r="AHB57" s="88"/>
      <c r="AHC57" s="88"/>
      <c r="AHD57" s="88"/>
      <c r="AHE57" s="88"/>
      <c r="AHF57" s="88"/>
      <c r="AHG57" s="88"/>
      <c r="AHH57" s="88"/>
      <c r="AHI57" s="88"/>
      <c r="AHJ57" s="88"/>
      <c r="AHK57" s="88"/>
      <c r="AHL57" s="88"/>
      <c r="AHM57" s="88"/>
      <c r="AHN57" s="88"/>
      <c r="AHO57" s="88"/>
      <c r="AHP57" s="88"/>
      <c r="AHQ57" s="88"/>
      <c r="AHR57" s="88"/>
      <c r="AHS57" s="88"/>
      <c r="AHT57" s="88"/>
      <c r="AHU57" s="88"/>
      <c r="AHV57" s="88"/>
      <c r="AHW57" s="88"/>
      <c r="AHX57" s="88"/>
      <c r="AHY57" s="88"/>
      <c r="AHZ57" s="88"/>
      <c r="AIA57" s="88"/>
      <c r="AIB57" s="88"/>
      <c r="AIC57" s="88"/>
      <c r="AID57" s="88"/>
      <c r="AIE57" s="88"/>
      <c r="AIF57" s="88"/>
      <c r="AIG57" s="88"/>
      <c r="AIH57" s="88"/>
      <c r="AII57" s="88"/>
      <c r="AIJ57" s="88"/>
      <c r="AIK57" s="88"/>
      <c r="AIL57" s="88"/>
      <c r="AIM57" s="88"/>
      <c r="AIN57" s="88"/>
      <c r="AIO57" s="88"/>
      <c r="AIP57" s="88"/>
      <c r="AIQ57" s="88"/>
      <c r="AIR57" s="88"/>
      <c r="AIS57" s="88"/>
      <c r="AIT57" s="88"/>
      <c r="AIU57" s="88"/>
      <c r="AIV57" s="88"/>
      <c r="AIW57" s="88"/>
      <c r="AIX57" s="88"/>
      <c r="AIY57" s="88"/>
      <c r="AIZ57" s="88"/>
      <c r="AJA57" s="88"/>
      <c r="AJB57" s="88"/>
      <c r="AJC57" s="88"/>
      <c r="AJD57" s="88"/>
      <c r="AJE57" s="88"/>
      <c r="AJF57" s="88"/>
      <c r="AJG57" s="88"/>
      <c r="AJH57" s="88"/>
      <c r="AJI57" s="88"/>
      <c r="AJJ57" s="88"/>
      <c r="AJK57" s="88"/>
      <c r="AJL57" s="88"/>
      <c r="AJM57" s="88"/>
      <c r="AJN57" s="88"/>
      <c r="AJO57" s="88"/>
      <c r="AJP57" s="88"/>
      <c r="AJQ57" s="88"/>
      <c r="AJR57" s="88"/>
      <c r="AJS57" s="88"/>
      <c r="AJT57" s="88"/>
      <c r="AJU57" s="88"/>
      <c r="AJV57" s="88"/>
      <c r="AJW57" s="88"/>
      <c r="AJX57" s="88"/>
      <c r="AJY57" s="88"/>
      <c r="AJZ57" s="88"/>
      <c r="AKA57" s="88"/>
      <c r="AKB57" s="88"/>
      <c r="AKC57" s="88"/>
      <c r="AKD57" s="88"/>
      <c r="AKE57" s="88"/>
      <c r="AKF57" s="88"/>
      <c r="AKG57" s="88"/>
      <c r="AKH57" s="88"/>
      <c r="AKI57" s="88"/>
      <c r="AKJ57" s="88"/>
      <c r="AKK57" s="88"/>
      <c r="AKL57" s="88"/>
      <c r="AKM57" s="88"/>
      <c r="AKN57" s="88"/>
      <c r="AKO57" s="88"/>
      <c r="AKP57" s="88"/>
      <c r="AKQ57" s="88"/>
      <c r="AKR57" s="88"/>
      <c r="AKS57" s="88"/>
      <c r="AKT57" s="88"/>
      <c r="AKU57" s="88"/>
      <c r="AKV57" s="88"/>
      <c r="AKW57" s="88"/>
      <c r="AKX57" s="88"/>
      <c r="AKY57" s="88"/>
      <c r="AKZ57" s="88"/>
      <c r="ALA57" s="88"/>
      <c r="ALB57" s="88"/>
      <c r="ALC57" s="88"/>
      <c r="ALD57" s="88"/>
      <c r="ALE57" s="88"/>
      <c r="ALF57" s="88"/>
      <c r="ALG57" s="88"/>
      <c r="ALH57" s="88"/>
      <c r="ALI57" s="88"/>
      <c r="ALJ57" s="88"/>
      <c r="ALK57" s="88"/>
      <c r="ALL57" s="88"/>
      <c r="ALM57" s="88"/>
      <c r="ALN57" s="88"/>
      <c r="ALO57" s="88"/>
      <c r="ALP57" s="88"/>
      <c r="ALQ57" s="88"/>
      <c r="ALR57" s="88"/>
      <c r="ALS57" s="88"/>
      <c r="ALT57" s="88"/>
      <c r="ALU57" s="88"/>
      <c r="ALV57" s="88"/>
      <c r="ALW57" s="88"/>
      <c r="ALX57" s="88"/>
      <c r="ALY57" s="88"/>
      <c r="ALZ57" s="88"/>
      <c r="AMA57" s="88"/>
      <c r="AMB57" s="88"/>
      <c r="AMC57" s="88"/>
      <c r="AMD57" s="88"/>
      <c r="AME57" s="88"/>
      <c r="AMF57" s="88"/>
      <c r="AMG57" s="88"/>
      <c r="AMH57" s="88"/>
      <c r="AMI57" s="88"/>
      <c r="AMJ57" s="88"/>
      <c r="AMK57" s="88"/>
      <c r="AML57" s="88"/>
      <c r="AMM57" s="88"/>
      <c r="AMN57" s="88"/>
      <c r="AMO57" s="88"/>
      <c r="AMP57" s="88"/>
      <c r="AMQ57" s="88"/>
      <c r="AMR57" s="88"/>
      <c r="AMS57" s="88"/>
      <c r="AMT57" s="88"/>
      <c r="AMU57" s="88"/>
      <c r="AMV57" s="88"/>
      <c r="AMW57" s="88"/>
      <c r="AMX57" s="88"/>
      <c r="AMY57" s="88"/>
      <c r="AMZ57" s="88"/>
      <c r="ANA57" s="88"/>
      <c r="ANB57" s="88"/>
      <c r="ANC57" s="88"/>
      <c r="AND57" s="88"/>
      <c r="ANE57" s="88"/>
      <c r="ANF57" s="88"/>
      <c r="ANG57" s="88"/>
      <c r="ANH57" s="88"/>
      <c r="ANI57" s="88"/>
      <c r="ANJ57" s="88"/>
      <c r="ANK57" s="88"/>
      <c r="ANL57" s="88"/>
      <c r="ANM57" s="88"/>
      <c r="ANN57" s="88"/>
      <c r="ANO57" s="88"/>
      <c r="ANP57" s="88"/>
      <c r="ANQ57" s="88"/>
      <c r="ANR57" s="88"/>
      <c r="ANS57" s="88"/>
      <c r="ANT57" s="88"/>
      <c r="ANU57" s="88"/>
      <c r="ANV57" s="88"/>
      <c r="ANW57" s="88"/>
      <c r="ANX57" s="88"/>
      <c r="ANY57" s="88"/>
      <c r="ANZ57" s="88"/>
      <c r="AOA57" s="88"/>
      <c r="AOB57" s="88"/>
      <c r="AOC57" s="88"/>
      <c r="AOD57" s="88"/>
      <c r="AOE57" s="88"/>
      <c r="AOF57" s="88"/>
      <c r="AOG57" s="88"/>
      <c r="AOH57" s="88"/>
      <c r="AOI57" s="88"/>
      <c r="AOJ57" s="88"/>
      <c r="AOK57" s="88"/>
      <c r="AOL57" s="88"/>
      <c r="AOM57" s="88"/>
      <c r="AON57" s="88"/>
      <c r="AOO57" s="88"/>
      <c r="AOP57" s="88"/>
      <c r="AOQ57" s="88"/>
      <c r="AOR57" s="88"/>
      <c r="AOS57" s="88"/>
      <c r="AOT57" s="88"/>
      <c r="AOU57" s="88"/>
      <c r="AOV57" s="88"/>
      <c r="AOW57" s="88"/>
      <c r="AOX57" s="88"/>
      <c r="AOY57" s="88"/>
      <c r="AOZ57" s="88"/>
      <c r="APA57" s="88"/>
      <c r="APB57" s="88"/>
      <c r="APC57" s="88"/>
      <c r="APD57" s="88"/>
      <c r="APE57" s="88"/>
      <c r="APF57" s="88"/>
      <c r="APG57" s="88"/>
      <c r="APH57" s="88"/>
      <c r="API57" s="88"/>
      <c r="APJ57" s="88"/>
      <c r="APK57" s="88"/>
      <c r="APL57" s="88"/>
      <c r="APM57" s="88"/>
      <c r="APN57" s="88"/>
      <c r="APO57" s="88"/>
      <c r="APP57" s="88"/>
      <c r="APQ57" s="88"/>
      <c r="APR57" s="88"/>
      <c r="APS57" s="88"/>
      <c r="APT57" s="88"/>
      <c r="APU57" s="88"/>
      <c r="APV57" s="88"/>
      <c r="APW57" s="88"/>
      <c r="APX57" s="88"/>
      <c r="APY57" s="88"/>
      <c r="APZ57" s="88"/>
      <c r="AQA57" s="88"/>
      <c r="AQB57" s="88"/>
      <c r="AQC57" s="88"/>
      <c r="AQD57" s="88"/>
      <c r="AQE57" s="88"/>
      <c r="AQF57" s="88"/>
      <c r="AQG57" s="88"/>
      <c r="AQH57" s="88"/>
      <c r="AQI57" s="88"/>
      <c r="AQJ57" s="88"/>
      <c r="AQK57" s="88"/>
      <c r="AQL57" s="88"/>
      <c r="AQM57" s="88"/>
      <c r="AQN57" s="88"/>
      <c r="AQO57" s="88"/>
      <c r="AQP57" s="88"/>
      <c r="AQQ57" s="88"/>
      <c r="AQR57" s="88"/>
      <c r="AQS57" s="88"/>
      <c r="AQT57" s="88"/>
      <c r="AQU57" s="88"/>
      <c r="AQV57" s="88"/>
      <c r="AQW57" s="88"/>
      <c r="AQX57" s="88"/>
      <c r="AQY57" s="88"/>
      <c r="AQZ57" s="88"/>
      <c r="ARA57" s="88"/>
      <c r="ARB57" s="88"/>
      <c r="ARC57" s="88"/>
      <c r="ARD57" s="88"/>
      <c r="ARE57" s="88"/>
      <c r="ARF57" s="88"/>
      <c r="ARG57" s="88"/>
      <c r="ARH57" s="88"/>
      <c r="ARI57" s="88"/>
      <c r="ARJ57" s="88"/>
      <c r="ARK57" s="88"/>
      <c r="ARL57" s="88"/>
      <c r="ARM57" s="88"/>
      <c r="ARN57" s="88"/>
      <c r="ARO57" s="88"/>
      <c r="ARP57" s="88"/>
      <c r="ARQ57" s="88"/>
      <c r="ARR57" s="88"/>
      <c r="ARS57" s="88"/>
      <c r="ART57" s="88"/>
      <c r="ARU57" s="88"/>
      <c r="ARV57" s="88"/>
      <c r="ARW57" s="88"/>
      <c r="ARX57" s="88"/>
      <c r="ARY57" s="88"/>
      <c r="ARZ57" s="88"/>
      <c r="ASA57" s="88"/>
      <c r="ASB57" s="88"/>
      <c r="ASC57" s="88"/>
      <c r="ASD57" s="88"/>
      <c r="ASE57" s="88"/>
      <c r="ASF57" s="88"/>
      <c r="ASG57" s="88"/>
      <c r="ASH57" s="88"/>
      <c r="ASI57" s="88"/>
      <c r="ASJ57" s="88"/>
      <c r="ASK57" s="88"/>
      <c r="ASL57" s="88"/>
      <c r="ASM57" s="88"/>
      <c r="ASN57" s="88"/>
      <c r="ASO57" s="88"/>
      <c r="ASP57" s="88"/>
      <c r="ASQ57" s="88"/>
      <c r="ASR57" s="88"/>
      <c r="ASS57" s="88"/>
      <c r="AST57" s="88"/>
      <c r="ASU57" s="88"/>
      <c r="ASV57" s="88"/>
      <c r="ASW57" s="88"/>
      <c r="ASX57" s="88"/>
      <c r="ASY57" s="88"/>
      <c r="ASZ57" s="88"/>
      <c r="ATA57" s="88"/>
      <c r="ATB57" s="88"/>
      <c r="ATC57" s="88"/>
      <c r="ATD57" s="88"/>
      <c r="ATE57" s="88"/>
      <c r="ATF57" s="88"/>
      <c r="ATG57" s="88"/>
      <c r="ATH57" s="88"/>
      <c r="ATI57" s="88"/>
      <c r="ATJ57" s="88"/>
      <c r="ATK57" s="88"/>
      <c r="ATL57" s="88"/>
      <c r="ATM57" s="88"/>
      <c r="ATN57" s="88"/>
      <c r="ATO57" s="88"/>
      <c r="ATP57" s="88"/>
      <c r="ATQ57" s="88"/>
      <c r="ATR57" s="88"/>
      <c r="ATS57" s="88"/>
      <c r="ATT57" s="88"/>
      <c r="ATU57" s="88"/>
      <c r="ATV57" s="88"/>
      <c r="ATW57" s="88"/>
      <c r="ATX57" s="88"/>
      <c r="ATY57" s="88"/>
      <c r="ATZ57" s="88"/>
      <c r="AUA57" s="88"/>
      <c r="AUB57" s="88"/>
      <c r="AUC57" s="88"/>
      <c r="AUD57" s="88"/>
      <c r="AUE57" s="88"/>
      <c r="AUF57" s="88"/>
      <c r="AUG57" s="88"/>
      <c r="AUH57" s="88"/>
      <c r="AUI57" s="88"/>
      <c r="AUJ57" s="88"/>
      <c r="AUK57" s="88"/>
      <c r="AUL57" s="88"/>
      <c r="AUM57" s="88"/>
      <c r="AUN57" s="88"/>
      <c r="AUO57" s="88"/>
      <c r="AUP57" s="88"/>
      <c r="AUQ57" s="88"/>
      <c r="AUR57" s="88"/>
      <c r="AUS57" s="88"/>
      <c r="AUT57" s="88"/>
      <c r="AUU57" s="88"/>
      <c r="AUV57" s="88"/>
      <c r="AUW57" s="88"/>
      <c r="AUX57" s="88"/>
      <c r="AUY57" s="88"/>
      <c r="AUZ57" s="88"/>
      <c r="AVA57" s="88"/>
      <c r="AVB57" s="88"/>
      <c r="AVC57" s="88"/>
      <c r="AVD57" s="88"/>
      <c r="AVE57" s="88"/>
      <c r="AVF57" s="88"/>
      <c r="AVG57" s="88"/>
      <c r="AVH57" s="88"/>
      <c r="AVI57" s="88"/>
      <c r="AVJ57" s="88"/>
      <c r="AVK57" s="88"/>
      <c r="AVL57" s="88"/>
      <c r="AVM57" s="88"/>
      <c r="AVN57" s="88"/>
      <c r="AVO57" s="88"/>
      <c r="AVP57" s="88"/>
      <c r="AVQ57" s="88"/>
      <c r="AVR57" s="88"/>
      <c r="AVS57" s="88"/>
      <c r="AVT57" s="88"/>
      <c r="AVU57" s="88"/>
      <c r="AVV57" s="88"/>
      <c r="AVW57" s="88"/>
      <c r="AVX57" s="88"/>
      <c r="AVY57" s="88"/>
      <c r="AVZ57" s="88"/>
      <c r="AWA57" s="88"/>
      <c r="AWB57" s="88"/>
      <c r="AWC57" s="88"/>
      <c r="AWD57" s="88"/>
      <c r="AWE57" s="88"/>
      <c r="AWF57" s="88"/>
      <c r="AWG57" s="88"/>
      <c r="AWH57" s="88"/>
      <c r="AWI57" s="88"/>
      <c r="AWJ57" s="88"/>
      <c r="AWK57" s="88"/>
      <c r="AWL57" s="88"/>
      <c r="AWM57" s="88"/>
      <c r="AWN57" s="88"/>
      <c r="AWO57" s="88"/>
      <c r="AWP57" s="88"/>
      <c r="AWQ57" s="88"/>
      <c r="AWR57" s="88"/>
      <c r="AWS57" s="88"/>
      <c r="AWT57" s="88"/>
      <c r="AWU57" s="88"/>
      <c r="AWV57" s="88"/>
      <c r="AWW57" s="88"/>
      <c r="AWX57" s="88"/>
      <c r="AWY57" s="88"/>
      <c r="AWZ57" s="88"/>
      <c r="AXA57" s="88"/>
      <c r="AXB57" s="88"/>
      <c r="AXC57" s="88"/>
      <c r="AXD57" s="88"/>
      <c r="AXE57" s="88"/>
      <c r="AXF57" s="88"/>
      <c r="AXG57" s="88"/>
      <c r="AXH57" s="88"/>
      <c r="AXI57" s="88"/>
      <c r="AXJ57" s="88"/>
      <c r="AXK57" s="88"/>
      <c r="AXL57" s="88"/>
      <c r="AXM57" s="88"/>
      <c r="AXN57" s="88"/>
      <c r="AXO57" s="88"/>
      <c r="AXP57" s="88"/>
      <c r="AXQ57" s="88"/>
      <c r="AXR57" s="88"/>
      <c r="AXS57" s="88"/>
      <c r="AXT57" s="88"/>
      <c r="AXU57" s="88"/>
      <c r="AXV57" s="88"/>
      <c r="AXW57" s="88"/>
      <c r="AXX57" s="88"/>
      <c r="AXY57" s="88"/>
      <c r="AXZ57" s="88"/>
      <c r="AYA57" s="88"/>
      <c r="AYB57" s="88"/>
      <c r="AYC57" s="88"/>
      <c r="AYD57" s="88"/>
      <c r="AYE57" s="88"/>
      <c r="AYF57" s="88"/>
      <c r="AYG57" s="88"/>
      <c r="AYH57" s="88"/>
      <c r="AYI57" s="88"/>
      <c r="AYJ57" s="88"/>
      <c r="AYK57" s="88"/>
      <c r="AYL57" s="88"/>
      <c r="AYM57" s="88"/>
      <c r="AYN57" s="88"/>
      <c r="AYO57" s="88"/>
      <c r="AYP57" s="88"/>
      <c r="AYQ57" s="88"/>
      <c r="AYR57" s="88"/>
      <c r="AYS57" s="88"/>
      <c r="AYT57" s="88"/>
      <c r="AYU57" s="88"/>
      <c r="AYV57" s="88"/>
      <c r="AYW57" s="88"/>
      <c r="AYX57" s="88"/>
      <c r="AYY57" s="88"/>
      <c r="AYZ57" s="88"/>
      <c r="AZA57" s="88"/>
      <c r="AZB57" s="88"/>
      <c r="AZC57" s="88"/>
      <c r="AZD57" s="88"/>
      <c r="AZE57" s="88"/>
      <c r="AZF57" s="88"/>
      <c r="AZG57" s="88"/>
      <c r="AZH57" s="88"/>
      <c r="AZI57" s="88"/>
      <c r="AZJ57" s="88"/>
      <c r="AZK57" s="88"/>
      <c r="AZL57" s="88"/>
      <c r="AZM57" s="88"/>
      <c r="AZN57" s="88"/>
      <c r="AZO57" s="88"/>
      <c r="AZP57" s="88"/>
      <c r="AZQ57" s="88"/>
      <c r="AZR57" s="88"/>
      <c r="AZS57" s="88"/>
      <c r="AZT57" s="88"/>
      <c r="AZU57" s="88"/>
      <c r="AZV57" s="88"/>
      <c r="AZW57" s="88"/>
      <c r="AZX57" s="88"/>
      <c r="AZY57" s="88"/>
      <c r="AZZ57" s="88"/>
      <c r="BAA57" s="88"/>
      <c r="BAB57" s="88"/>
      <c r="BAC57" s="88"/>
      <c r="BAD57" s="88"/>
      <c r="BAE57" s="88"/>
      <c r="BAF57" s="88"/>
      <c r="BAG57" s="88"/>
      <c r="BAH57" s="88"/>
      <c r="BAI57" s="88"/>
      <c r="BAJ57" s="88"/>
      <c r="BAK57" s="88"/>
      <c r="BAL57" s="88"/>
      <c r="BAM57" s="88"/>
      <c r="BAN57" s="88"/>
      <c r="BAO57" s="88"/>
      <c r="BAP57" s="88"/>
      <c r="BAQ57" s="88"/>
      <c r="BAR57" s="88"/>
      <c r="BAS57" s="88"/>
      <c r="BAT57" s="88"/>
      <c r="BAU57" s="88"/>
      <c r="BAV57" s="88"/>
      <c r="BAW57" s="88"/>
      <c r="BAX57" s="88"/>
      <c r="BAY57" s="88"/>
      <c r="BAZ57" s="88"/>
      <c r="BBA57" s="88"/>
      <c r="BBB57" s="88"/>
      <c r="BBC57" s="88"/>
      <c r="BBD57" s="88"/>
      <c r="BBE57" s="88"/>
      <c r="BBF57" s="88"/>
      <c r="BBG57" s="88"/>
      <c r="BBH57" s="88"/>
      <c r="BBI57" s="88"/>
      <c r="BBJ57" s="88"/>
      <c r="BBK57" s="88"/>
      <c r="BBL57" s="88"/>
      <c r="BBM57" s="88"/>
      <c r="BBN57" s="88"/>
      <c r="BBO57" s="88"/>
      <c r="BBP57" s="88"/>
      <c r="BBQ57" s="88"/>
      <c r="BBR57" s="88"/>
      <c r="BBS57" s="88"/>
      <c r="BBT57" s="88"/>
      <c r="BBU57" s="88"/>
      <c r="BBV57" s="88"/>
      <c r="BBW57" s="88"/>
      <c r="BBX57" s="88"/>
      <c r="BBY57" s="88"/>
      <c r="BBZ57" s="88"/>
      <c r="BCA57" s="88"/>
      <c r="BCB57" s="88"/>
      <c r="BCC57" s="88"/>
      <c r="BCD57" s="88"/>
      <c r="BCE57" s="88"/>
      <c r="BCF57" s="88"/>
      <c r="BCG57" s="88"/>
      <c r="BCH57" s="88"/>
      <c r="BCI57" s="88"/>
      <c r="BCJ57" s="88"/>
      <c r="BCK57" s="88"/>
      <c r="BCL57" s="88"/>
      <c r="BCM57" s="88"/>
      <c r="BCN57" s="88"/>
      <c r="BCO57" s="88"/>
      <c r="BCP57" s="88"/>
      <c r="BCQ57" s="88"/>
      <c r="BCR57" s="88"/>
      <c r="BCS57" s="88"/>
      <c r="BCT57" s="88"/>
      <c r="BCU57" s="88"/>
      <c r="BCV57" s="88"/>
      <c r="BCW57" s="88"/>
      <c r="BCX57" s="88"/>
      <c r="BCY57" s="88"/>
      <c r="BCZ57" s="88"/>
      <c r="BDA57" s="88"/>
      <c r="BDB57" s="88"/>
      <c r="BDC57" s="88"/>
      <c r="BDD57" s="88"/>
      <c r="BDE57" s="88"/>
      <c r="BDF57" s="88"/>
      <c r="BDG57" s="88"/>
      <c r="BDH57" s="88"/>
      <c r="BDI57" s="88"/>
      <c r="BDJ57" s="88"/>
      <c r="BDK57" s="88"/>
      <c r="BDL57" s="88"/>
      <c r="BDM57" s="88"/>
      <c r="BDN57" s="88"/>
      <c r="BDO57" s="88"/>
      <c r="BDP57" s="88"/>
      <c r="BDQ57" s="88"/>
      <c r="BDR57" s="88"/>
      <c r="BDS57" s="88"/>
      <c r="BDT57" s="88"/>
      <c r="BDU57" s="88"/>
      <c r="BDV57" s="88"/>
      <c r="BDW57" s="88"/>
      <c r="BDX57" s="88"/>
      <c r="BDY57" s="88"/>
      <c r="BDZ57" s="88"/>
      <c r="BEA57" s="88"/>
      <c r="BEB57" s="88"/>
      <c r="BEC57" s="88"/>
      <c r="BED57" s="88"/>
      <c r="BEE57" s="88"/>
      <c r="BEF57" s="88"/>
      <c r="BEG57" s="88"/>
      <c r="BEH57" s="88"/>
      <c r="BEI57" s="88"/>
      <c r="BEJ57" s="88"/>
      <c r="BEK57" s="88"/>
      <c r="BEL57" s="88"/>
      <c r="BEM57" s="88"/>
      <c r="BEN57" s="88"/>
      <c r="BEO57" s="88"/>
      <c r="BEP57" s="88"/>
      <c r="BEQ57" s="88"/>
      <c r="BER57" s="88"/>
      <c r="BES57" s="88"/>
      <c r="BET57" s="88"/>
      <c r="BEU57" s="88"/>
      <c r="BEV57" s="88"/>
      <c r="BEW57" s="88"/>
      <c r="BEX57" s="88"/>
      <c r="BEY57" s="88"/>
      <c r="BEZ57" s="88"/>
      <c r="BFA57" s="88"/>
      <c r="BFB57" s="88"/>
      <c r="BFC57" s="88"/>
      <c r="BFD57" s="88"/>
      <c r="BFE57" s="88"/>
      <c r="BFF57" s="88"/>
      <c r="BFG57" s="88"/>
      <c r="BFH57" s="88"/>
      <c r="BFI57" s="88"/>
      <c r="BFJ57" s="88"/>
      <c r="BFK57" s="88"/>
      <c r="BFL57" s="88"/>
      <c r="BFM57" s="88"/>
      <c r="BFN57" s="88"/>
      <c r="BFO57" s="88"/>
      <c r="BFP57" s="88"/>
      <c r="BFQ57" s="88"/>
      <c r="BFR57" s="88"/>
      <c r="BFS57" s="88"/>
      <c r="BFT57" s="88"/>
      <c r="BFU57" s="88"/>
      <c r="BFV57" s="88"/>
      <c r="BFW57" s="88"/>
      <c r="BFX57" s="88"/>
      <c r="BFY57" s="88"/>
      <c r="BFZ57" s="88"/>
      <c r="BGA57" s="88"/>
      <c r="BGB57" s="88"/>
      <c r="BGC57" s="88"/>
      <c r="BGD57" s="88"/>
      <c r="BGE57" s="88"/>
      <c r="BGF57" s="88"/>
      <c r="BGG57" s="88"/>
      <c r="BGH57" s="88"/>
      <c r="BGI57" s="88"/>
      <c r="BGJ57" s="88"/>
      <c r="BGK57" s="88"/>
      <c r="BGL57" s="88"/>
      <c r="BGM57" s="88"/>
      <c r="BGN57" s="88"/>
      <c r="BGO57" s="88"/>
      <c r="BGP57" s="88"/>
      <c r="BGQ57" s="88"/>
      <c r="BGR57" s="88"/>
      <c r="BGS57" s="88"/>
      <c r="BGT57" s="88"/>
      <c r="BGU57" s="88"/>
      <c r="BGV57" s="88"/>
      <c r="BGW57" s="88"/>
      <c r="BGX57" s="88"/>
      <c r="BGY57" s="88"/>
      <c r="BGZ57" s="88"/>
      <c r="BHA57" s="88"/>
      <c r="BHB57" s="88"/>
      <c r="BHC57" s="88"/>
      <c r="BHD57" s="88"/>
      <c r="BHE57" s="88"/>
      <c r="BHF57" s="88"/>
      <c r="BHG57" s="88"/>
      <c r="BHH57" s="88"/>
      <c r="BHI57" s="88"/>
      <c r="BHJ57" s="88"/>
      <c r="BHK57" s="88"/>
      <c r="BHL57" s="88"/>
      <c r="BHM57" s="88"/>
      <c r="BHN57" s="88"/>
      <c r="BHO57" s="88"/>
      <c r="BHP57" s="88"/>
      <c r="BHQ57" s="88"/>
      <c r="BHR57" s="88"/>
      <c r="BHS57" s="88"/>
      <c r="BHT57" s="88"/>
      <c r="BHU57" s="88"/>
      <c r="BHV57" s="88"/>
      <c r="BHW57" s="88"/>
      <c r="BHX57" s="88"/>
      <c r="BHY57" s="88"/>
      <c r="BHZ57" s="88"/>
      <c r="BIA57" s="88"/>
      <c r="BIB57" s="88"/>
      <c r="BIC57" s="88"/>
      <c r="BID57" s="88"/>
      <c r="BIE57" s="88"/>
      <c r="BIF57" s="88"/>
      <c r="BIG57" s="88"/>
      <c r="BIH57" s="88"/>
      <c r="BII57" s="88"/>
      <c r="BIJ57" s="88"/>
      <c r="BIK57" s="88"/>
      <c r="BIL57" s="88"/>
      <c r="BIM57" s="88"/>
      <c r="BIN57" s="88"/>
      <c r="BIO57" s="88"/>
      <c r="BIP57" s="88"/>
      <c r="BIQ57" s="88"/>
      <c r="BIR57" s="88"/>
      <c r="BIS57" s="88"/>
      <c r="BIT57" s="88"/>
      <c r="BIU57" s="88"/>
      <c r="BIV57" s="88"/>
      <c r="BIW57" s="88"/>
      <c r="BIX57" s="88"/>
      <c r="BIY57" s="88"/>
      <c r="BIZ57" s="88"/>
      <c r="BJA57" s="88"/>
      <c r="BJB57" s="88"/>
      <c r="BJC57" s="88"/>
      <c r="BJD57" s="88"/>
      <c r="BJE57" s="88"/>
      <c r="BJF57" s="88"/>
      <c r="BJG57" s="88"/>
      <c r="BJH57" s="88"/>
      <c r="BJI57" s="88"/>
      <c r="BJJ57" s="88"/>
      <c r="BJK57" s="88"/>
      <c r="BJL57" s="88"/>
      <c r="BJM57" s="88"/>
      <c r="BJN57" s="88"/>
      <c r="BJO57" s="88"/>
      <c r="BJP57" s="88"/>
      <c r="BJQ57" s="88"/>
      <c r="BJR57" s="88"/>
      <c r="BJS57" s="88"/>
      <c r="BJT57" s="88"/>
      <c r="BJU57" s="88"/>
      <c r="BJV57" s="88"/>
      <c r="BJW57" s="88"/>
      <c r="BJX57" s="88"/>
      <c r="BJY57" s="88"/>
      <c r="BJZ57" s="88"/>
      <c r="BKA57" s="88"/>
      <c r="BKB57" s="88"/>
      <c r="BKC57" s="88"/>
      <c r="BKD57" s="88"/>
      <c r="BKE57" s="88"/>
      <c r="BKF57" s="88"/>
      <c r="BKG57" s="88"/>
      <c r="BKH57" s="88"/>
      <c r="BKI57" s="88"/>
      <c r="BKJ57" s="88"/>
      <c r="BKK57" s="88"/>
      <c r="BKL57" s="88"/>
      <c r="BKM57" s="88"/>
      <c r="BKN57" s="88"/>
      <c r="BKO57" s="88"/>
      <c r="BKP57" s="88"/>
      <c r="BKQ57" s="88"/>
      <c r="BKR57" s="88"/>
      <c r="BKS57" s="88"/>
      <c r="BKT57" s="88"/>
      <c r="BKU57" s="88"/>
      <c r="BKV57" s="88"/>
      <c r="BKW57" s="88"/>
      <c r="BKX57" s="88"/>
      <c r="BKY57" s="88"/>
      <c r="BKZ57" s="88"/>
      <c r="BLA57" s="88"/>
      <c r="BLB57" s="88"/>
      <c r="BLC57" s="88"/>
      <c r="BLD57" s="88"/>
      <c r="BLE57" s="88"/>
      <c r="BLF57" s="88"/>
      <c r="BLG57" s="88"/>
      <c r="BLH57" s="88"/>
      <c r="BLI57" s="88"/>
      <c r="BLJ57" s="88"/>
      <c r="BLK57" s="88"/>
      <c r="BLL57" s="88"/>
      <c r="BLM57" s="88"/>
      <c r="BLN57" s="88"/>
      <c r="BLO57" s="88"/>
      <c r="BLP57" s="88"/>
      <c r="BLQ57" s="88"/>
      <c r="BLR57" s="88"/>
      <c r="BLS57" s="88"/>
      <c r="BLT57" s="88"/>
      <c r="BLU57" s="88"/>
      <c r="BLV57" s="88"/>
      <c r="BLW57" s="88"/>
      <c r="BLX57" s="88"/>
      <c r="BLY57" s="88"/>
      <c r="BLZ57" s="88"/>
      <c r="BMA57" s="88"/>
      <c r="BMB57" s="88"/>
      <c r="BMC57" s="88"/>
      <c r="BMD57" s="88"/>
      <c r="BME57" s="88"/>
      <c r="BMF57" s="88"/>
      <c r="BMG57" s="88"/>
      <c r="BMH57" s="88"/>
      <c r="BMI57" s="88"/>
      <c r="BMJ57" s="88"/>
      <c r="BMK57" s="88"/>
      <c r="BML57" s="88"/>
      <c r="BMM57" s="88"/>
      <c r="BMN57" s="88"/>
      <c r="BMO57" s="88"/>
      <c r="BMP57" s="88"/>
      <c r="BMQ57" s="88"/>
      <c r="BMR57" s="88"/>
      <c r="BMS57" s="88"/>
      <c r="BMT57" s="88"/>
      <c r="BMU57" s="88"/>
      <c r="BMV57" s="88"/>
      <c r="BMW57" s="88"/>
      <c r="BMX57" s="88"/>
      <c r="BMY57" s="88"/>
      <c r="BMZ57" s="88"/>
      <c r="BNA57" s="88"/>
      <c r="BNB57" s="88"/>
      <c r="BNC57" s="88"/>
      <c r="BND57" s="88"/>
      <c r="BNE57" s="88"/>
      <c r="BNF57" s="88"/>
      <c r="BNG57" s="88"/>
      <c r="BNH57" s="88"/>
      <c r="BNI57" s="88"/>
      <c r="BNJ57" s="88"/>
      <c r="BNK57" s="88"/>
      <c r="BNL57" s="88"/>
      <c r="BNM57" s="88"/>
      <c r="BNN57" s="88"/>
      <c r="BNO57" s="88"/>
      <c r="BNP57" s="88"/>
      <c r="BNQ57" s="88"/>
      <c r="BNR57" s="88"/>
      <c r="BNS57" s="88"/>
      <c r="BNT57" s="88"/>
      <c r="BNU57" s="88"/>
      <c r="BNV57" s="88"/>
      <c r="BNW57" s="88"/>
      <c r="BNX57" s="88"/>
      <c r="BNY57" s="88"/>
      <c r="BNZ57" s="88"/>
      <c r="BOA57" s="88"/>
      <c r="BOB57" s="88"/>
      <c r="BOC57" s="88"/>
      <c r="BOD57" s="88"/>
      <c r="BOE57" s="88"/>
      <c r="BOF57" s="88"/>
      <c r="BOG57" s="88"/>
      <c r="BOH57" s="88"/>
      <c r="BOI57" s="88"/>
      <c r="BOJ57" s="88"/>
      <c r="BOK57" s="88"/>
      <c r="BOL57" s="88"/>
      <c r="BOM57" s="88"/>
      <c r="BON57" s="88"/>
      <c r="BOO57" s="88"/>
      <c r="BOP57" s="88"/>
      <c r="BOQ57" s="88"/>
      <c r="BOR57" s="88"/>
      <c r="BOS57" s="88"/>
      <c r="BOT57" s="88"/>
      <c r="BOU57" s="88"/>
      <c r="BOV57" s="88"/>
      <c r="BOW57" s="88"/>
      <c r="BOX57" s="88"/>
      <c r="BOY57" s="88"/>
      <c r="BOZ57" s="88"/>
      <c r="BPA57" s="88"/>
      <c r="BPB57" s="88"/>
      <c r="BPC57" s="88"/>
      <c r="BPD57" s="88"/>
      <c r="BPE57" s="88"/>
      <c r="BPF57" s="88"/>
      <c r="BPG57" s="88"/>
      <c r="BPH57" s="88"/>
      <c r="BPI57" s="88"/>
      <c r="BPJ57" s="88"/>
      <c r="BPK57" s="88"/>
      <c r="BPL57" s="88"/>
      <c r="BPM57" s="88"/>
      <c r="BPN57" s="88"/>
      <c r="BPO57" s="88"/>
      <c r="BPP57" s="88"/>
      <c r="BPQ57" s="88"/>
      <c r="BPR57" s="88"/>
      <c r="BPS57" s="88"/>
      <c r="BPT57" s="88"/>
      <c r="BPU57" s="88"/>
      <c r="BPV57" s="88"/>
      <c r="BPW57" s="88"/>
      <c r="BPX57" s="88"/>
      <c r="BPY57" s="88"/>
      <c r="BPZ57" s="88"/>
      <c r="BQA57" s="88"/>
      <c r="BQB57" s="88"/>
      <c r="BQC57" s="88"/>
      <c r="BQD57" s="88"/>
      <c r="BQE57" s="88"/>
      <c r="BQF57" s="88"/>
      <c r="BQG57" s="88"/>
      <c r="BQH57" s="88"/>
      <c r="BQI57" s="88"/>
      <c r="BQJ57" s="88"/>
      <c r="BQK57" s="88"/>
      <c r="BQL57" s="88"/>
      <c r="BQM57" s="88"/>
      <c r="BQN57" s="88"/>
      <c r="BQO57" s="88"/>
      <c r="BQP57" s="88"/>
      <c r="BQQ57" s="88"/>
      <c r="BQR57" s="88"/>
      <c r="BQS57" s="88"/>
      <c r="BQT57" s="88"/>
      <c r="BQU57" s="88"/>
      <c r="BQV57" s="88"/>
      <c r="BQW57" s="88"/>
      <c r="BQX57" s="88"/>
      <c r="BQY57" s="88"/>
      <c r="BQZ57" s="88"/>
      <c r="BRA57" s="88"/>
      <c r="BRB57" s="88"/>
      <c r="BRC57" s="88"/>
      <c r="BRD57" s="88"/>
      <c r="BRE57" s="88"/>
      <c r="BRF57" s="88"/>
      <c r="BRG57" s="88"/>
      <c r="BRH57" s="88"/>
      <c r="BRI57" s="88"/>
      <c r="BRJ57" s="88"/>
      <c r="BRK57" s="88"/>
      <c r="BRL57" s="88"/>
      <c r="BRM57" s="88"/>
      <c r="BRN57" s="88"/>
      <c r="BRO57" s="88"/>
      <c r="BRP57" s="88"/>
      <c r="BRQ57" s="88"/>
      <c r="BRR57" s="88"/>
      <c r="BRS57" s="88"/>
      <c r="BRT57" s="88"/>
      <c r="BRU57" s="88"/>
      <c r="BRV57" s="88"/>
      <c r="BRW57" s="88"/>
      <c r="BRX57" s="88"/>
      <c r="BRY57" s="88"/>
      <c r="BRZ57" s="88"/>
      <c r="BSA57" s="88"/>
      <c r="BSB57" s="88"/>
      <c r="BSC57" s="88"/>
      <c r="BSD57" s="88"/>
      <c r="BSE57" s="88"/>
      <c r="BSF57" s="88"/>
      <c r="BSG57" s="88"/>
      <c r="BSH57" s="88"/>
      <c r="BSI57" s="88"/>
      <c r="BSJ57" s="88"/>
      <c r="BSK57" s="88"/>
      <c r="BSL57" s="88"/>
      <c r="BSM57" s="88"/>
      <c r="BSN57" s="88"/>
      <c r="BSO57" s="88"/>
      <c r="BSP57" s="88"/>
      <c r="BSQ57" s="88"/>
      <c r="BSR57" s="88"/>
      <c r="BSS57" s="88"/>
      <c r="BST57" s="88"/>
      <c r="BSU57" s="88"/>
      <c r="BSV57" s="88"/>
      <c r="BSW57" s="88"/>
      <c r="BSX57" s="88"/>
      <c r="BSY57" s="88"/>
      <c r="BSZ57" s="88"/>
      <c r="BTA57" s="88"/>
      <c r="BTB57" s="88"/>
      <c r="BTC57" s="88"/>
      <c r="BTD57" s="88"/>
      <c r="BTE57" s="88"/>
      <c r="BTF57" s="88"/>
      <c r="BTG57" s="88"/>
      <c r="BTH57" s="88"/>
      <c r="BTI57" s="88"/>
      <c r="BTJ57" s="88"/>
      <c r="BTK57" s="88"/>
      <c r="BTL57" s="88"/>
      <c r="BTM57" s="88"/>
      <c r="BTN57" s="88"/>
      <c r="BTO57" s="88"/>
      <c r="BTP57" s="88"/>
      <c r="BTQ57" s="88"/>
      <c r="BTR57" s="88"/>
      <c r="BTS57" s="88"/>
      <c r="BTT57" s="88"/>
      <c r="BTU57" s="88"/>
      <c r="BTV57" s="88"/>
      <c r="BTW57" s="88"/>
      <c r="BTX57" s="88"/>
      <c r="BTY57" s="88"/>
      <c r="BTZ57" s="88"/>
      <c r="BUA57" s="88"/>
      <c r="BUB57" s="88"/>
      <c r="BUC57" s="88"/>
      <c r="BUD57" s="88"/>
      <c r="BUE57" s="88"/>
      <c r="BUF57" s="88"/>
      <c r="BUG57" s="88"/>
      <c r="BUH57" s="88"/>
      <c r="BUI57" s="88"/>
      <c r="BUJ57" s="88"/>
      <c r="BUK57" s="88"/>
      <c r="BUL57" s="88"/>
      <c r="BUM57" s="88"/>
      <c r="BUN57" s="88"/>
      <c r="BUO57" s="88"/>
      <c r="BUP57" s="88"/>
      <c r="BUQ57" s="88"/>
      <c r="BUR57" s="88"/>
      <c r="BUS57" s="88"/>
      <c r="BUT57" s="88"/>
      <c r="BUU57" s="88"/>
      <c r="BUV57" s="88"/>
      <c r="BUW57" s="88"/>
      <c r="BUX57" s="88"/>
      <c r="BUY57" s="88"/>
      <c r="BUZ57" s="88"/>
      <c r="BVA57" s="88"/>
      <c r="BVB57" s="88"/>
      <c r="BVC57" s="88"/>
      <c r="BVD57" s="88"/>
      <c r="BVE57" s="88"/>
      <c r="BVF57" s="88"/>
      <c r="BVG57" s="88"/>
      <c r="BVH57" s="88"/>
      <c r="BVI57" s="88"/>
      <c r="BVJ57" s="88"/>
      <c r="BVK57" s="88"/>
      <c r="BVL57" s="88"/>
      <c r="BVM57" s="88"/>
      <c r="BVN57" s="88"/>
      <c r="BVO57" s="88"/>
      <c r="BVP57" s="88"/>
      <c r="BVQ57" s="88"/>
      <c r="BVR57" s="88"/>
      <c r="BVS57" s="88"/>
      <c r="BVT57" s="88"/>
      <c r="BVU57" s="88"/>
      <c r="BVV57" s="88"/>
      <c r="BVW57" s="88"/>
      <c r="BVX57" s="88"/>
      <c r="BVY57" s="88"/>
      <c r="BVZ57" s="88"/>
      <c r="BWA57" s="88"/>
      <c r="BWB57" s="88"/>
      <c r="BWC57" s="88"/>
      <c r="BWD57" s="88"/>
      <c r="BWE57" s="88"/>
      <c r="BWF57" s="88"/>
      <c r="BWG57" s="88"/>
      <c r="BWH57" s="88"/>
      <c r="BWI57" s="88"/>
      <c r="BWJ57" s="88"/>
      <c r="BWK57" s="88"/>
      <c r="BWL57" s="88"/>
      <c r="BWM57" s="88"/>
      <c r="BWN57" s="88"/>
      <c r="BWO57" s="88"/>
      <c r="BWP57" s="88"/>
      <c r="BWQ57" s="88"/>
      <c r="BWR57" s="88"/>
      <c r="BWS57" s="88"/>
      <c r="BWT57" s="88"/>
      <c r="BWU57" s="88"/>
      <c r="BWV57" s="88"/>
      <c r="BWW57" s="88"/>
      <c r="BWX57" s="88"/>
      <c r="BWY57" s="88"/>
      <c r="BWZ57" s="88"/>
      <c r="BXA57" s="88"/>
      <c r="BXB57" s="88"/>
      <c r="BXC57" s="88"/>
      <c r="BXD57" s="88"/>
      <c r="BXE57" s="88"/>
      <c r="BXF57" s="88"/>
      <c r="BXG57" s="88"/>
      <c r="BXH57" s="88"/>
      <c r="BXI57" s="88"/>
      <c r="BXJ57" s="88"/>
      <c r="BXK57" s="88"/>
      <c r="BXL57" s="88"/>
      <c r="BXM57" s="88"/>
      <c r="BXN57" s="88"/>
      <c r="BXO57" s="88"/>
      <c r="BXP57" s="88"/>
      <c r="BXQ57" s="88"/>
      <c r="BXR57" s="88"/>
      <c r="BXS57" s="88"/>
      <c r="BXT57" s="88"/>
      <c r="BXU57" s="88"/>
      <c r="BXV57" s="88"/>
      <c r="BXW57" s="88"/>
      <c r="BXX57" s="88"/>
      <c r="BXY57" s="88"/>
      <c r="BXZ57" s="88"/>
      <c r="BYA57" s="88"/>
      <c r="BYB57" s="88"/>
      <c r="BYC57" s="88"/>
      <c r="BYD57" s="88"/>
      <c r="BYE57" s="88"/>
      <c r="BYF57" s="88"/>
      <c r="BYG57" s="88"/>
      <c r="BYH57" s="88"/>
      <c r="BYI57" s="88"/>
      <c r="BYJ57" s="88"/>
      <c r="BYK57" s="88"/>
      <c r="BYL57" s="88"/>
      <c r="BYM57" s="88"/>
      <c r="BYN57" s="88"/>
      <c r="BYO57" s="88"/>
      <c r="BYP57" s="88"/>
      <c r="BYQ57" s="88"/>
      <c r="BYR57" s="88"/>
      <c r="BYS57" s="88"/>
      <c r="BYT57" s="88"/>
      <c r="BYU57" s="88"/>
      <c r="BYV57" s="88"/>
      <c r="BYW57" s="88"/>
      <c r="BYX57" s="88"/>
      <c r="BYY57" s="88"/>
      <c r="BYZ57" s="88"/>
      <c r="BZA57" s="88"/>
      <c r="BZB57" s="88"/>
      <c r="BZC57" s="88"/>
      <c r="BZD57" s="88"/>
      <c r="BZE57" s="88"/>
      <c r="BZF57" s="88"/>
      <c r="BZG57" s="88"/>
      <c r="BZH57" s="88"/>
      <c r="BZI57" s="88"/>
      <c r="BZJ57" s="88"/>
      <c r="BZK57" s="88"/>
      <c r="BZL57" s="88"/>
      <c r="BZM57" s="88"/>
      <c r="BZN57" s="88"/>
      <c r="BZO57" s="88"/>
      <c r="BZP57" s="88"/>
      <c r="BZQ57" s="88"/>
      <c r="BZR57" s="88"/>
      <c r="BZS57" s="88"/>
      <c r="BZT57" s="88"/>
      <c r="BZU57" s="88"/>
      <c r="BZV57" s="88"/>
      <c r="BZW57" s="88"/>
      <c r="BZX57" s="88"/>
      <c r="BZY57" s="88"/>
      <c r="BZZ57" s="88"/>
      <c r="CAA57" s="88"/>
      <c r="CAB57" s="88"/>
      <c r="CAC57" s="88"/>
      <c r="CAD57" s="88"/>
      <c r="CAE57" s="88"/>
      <c r="CAF57" s="88"/>
      <c r="CAG57" s="88"/>
      <c r="CAH57" s="88"/>
      <c r="CAI57" s="88"/>
      <c r="CAJ57" s="88"/>
      <c r="CAK57" s="88"/>
      <c r="CAL57" s="88"/>
      <c r="CAM57" s="88"/>
      <c r="CAN57" s="88"/>
      <c r="CAO57" s="88"/>
      <c r="CAP57" s="88"/>
      <c r="CAQ57" s="88"/>
      <c r="CAR57" s="88"/>
      <c r="CAS57" s="88"/>
      <c r="CAT57" s="88"/>
      <c r="CAU57" s="88"/>
      <c r="CAV57" s="88"/>
      <c r="CAW57" s="88"/>
      <c r="CAX57" s="88"/>
      <c r="CAY57" s="88"/>
      <c r="CAZ57" s="88"/>
      <c r="CBA57" s="88"/>
      <c r="CBB57" s="88"/>
      <c r="CBC57" s="88"/>
      <c r="CBD57" s="88"/>
      <c r="CBE57" s="88"/>
      <c r="CBF57" s="88"/>
      <c r="CBG57" s="88"/>
      <c r="CBH57" s="88"/>
      <c r="CBI57" s="88"/>
      <c r="CBJ57" s="88"/>
      <c r="CBK57" s="88"/>
      <c r="CBL57" s="88"/>
      <c r="CBM57" s="88"/>
      <c r="CBN57" s="88"/>
      <c r="CBO57" s="88"/>
      <c r="CBP57" s="88"/>
      <c r="CBQ57" s="88"/>
      <c r="CBR57" s="88"/>
      <c r="CBS57" s="88"/>
      <c r="CBT57" s="88"/>
      <c r="CBU57" s="88"/>
      <c r="CBV57" s="88"/>
      <c r="CBW57" s="88"/>
      <c r="CBX57" s="88"/>
      <c r="CBY57" s="88"/>
      <c r="CBZ57" s="88"/>
      <c r="CCA57" s="88"/>
      <c r="CCB57" s="88"/>
      <c r="CCC57" s="88"/>
      <c r="CCD57" s="88"/>
      <c r="CCE57" s="88"/>
      <c r="CCF57" s="88"/>
      <c r="CCG57" s="88"/>
      <c r="CCH57" s="88"/>
      <c r="CCI57" s="88"/>
      <c r="CCJ57" s="88"/>
      <c r="CCK57" s="88"/>
      <c r="CCL57" s="88"/>
      <c r="CCM57" s="88"/>
      <c r="CCN57" s="88"/>
      <c r="CCO57" s="88"/>
      <c r="CCP57" s="88"/>
      <c r="CCQ57" s="88"/>
      <c r="CCR57" s="88"/>
      <c r="CCS57" s="88"/>
      <c r="CCT57" s="88"/>
      <c r="CCU57" s="88"/>
      <c r="CCV57" s="88"/>
      <c r="CCW57" s="88"/>
      <c r="CCX57" s="88"/>
      <c r="CCY57" s="88"/>
      <c r="CCZ57" s="88"/>
      <c r="CDA57" s="88"/>
      <c r="CDB57" s="88"/>
      <c r="CDC57" s="88"/>
      <c r="CDD57" s="88"/>
      <c r="CDE57" s="88"/>
      <c r="CDF57" s="88"/>
      <c r="CDG57" s="88"/>
      <c r="CDH57" s="88"/>
      <c r="CDI57" s="88"/>
      <c r="CDJ57" s="88"/>
      <c r="CDK57" s="88"/>
      <c r="CDL57" s="88"/>
      <c r="CDM57" s="88"/>
      <c r="CDN57" s="88"/>
      <c r="CDO57" s="88"/>
      <c r="CDP57" s="88"/>
      <c r="CDQ57" s="88"/>
      <c r="CDR57" s="88"/>
      <c r="CDS57" s="88"/>
      <c r="CDT57" s="88"/>
      <c r="CDU57" s="88"/>
      <c r="CDV57" s="88"/>
      <c r="CDW57" s="88"/>
      <c r="CDX57" s="88"/>
      <c r="CDY57" s="88"/>
      <c r="CDZ57" s="88"/>
      <c r="CEA57" s="88"/>
      <c r="CEB57" s="88"/>
      <c r="CEC57" s="88"/>
      <c r="CED57" s="88"/>
      <c r="CEE57" s="88"/>
      <c r="CEF57" s="88"/>
      <c r="CEG57" s="88"/>
      <c r="CEH57" s="88"/>
      <c r="CEI57" s="88"/>
      <c r="CEJ57" s="88"/>
      <c r="CEK57" s="88"/>
    </row>
    <row r="58" spans="1:2169" s="63" customFormat="1">
      <c r="A58" s="73" t="s">
        <v>79</v>
      </c>
      <c r="B58" s="71" t="s">
        <v>81</v>
      </c>
      <c r="C58" s="68" t="str">
        <f>IF('page 2'!$O$4="","",IF('page 2'!$O$4=Gestion!A58,1,0))</f>
        <v/>
      </c>
      <c r="D58" s="68" t="str">
        <f>IF('page 2'!$O$5="","",IF('page 2'!$O$5=Gestion!A58,1,0))</f>
        <v/>
      </c>
      <c r="E58" s="68" t="str">
        <f>IF('page 2'!$O$6="","",IF('page 2'!$O$6=Gestion!A58,1,0))</f>
        <v/>
      </c>
      <c r="F58" s="68" t="str">
        <f>IF('page 2'!$O$7="","",IF('page 2'!$O$7=Gestion!A58,1,0))</f>
        <v/>
      </c>
      <c r="G58" s="68" t="str">
        <f>IF('page 2'!$O$8="","",IF('page 2'!$O$8=Gestion!A58,1,0))</f>
        <v/>
      </c>
      <c r="H58" s="68" t="str">
        <f>IF('page 2'!$O$9="","",IF('page 2'!$O$9=Gestion!A58,1,0))</f>
        <v/>
      </c>
      <c r="I58" s="68" t="str">
        <f>IF('page 2'!$O$10="","",IF('page 2'!$O$10=Gestion!A58,1,0))</f>
        <v/>
      </c>
      <c r="J58" s="68" t="str">
        <f>IF('page 2'!$O$11="","",IF('page 2'!$O$11=Gestion!A58,1,0))</f>
        <v/>
      </c>
      <c r="K58" s="68" t="str">
        <f>IF('page 2'!$O$12="","",IF('page 2'!$O$12=Gestion!A58,1,0))</f>
        <v/>
      </c>
      <c r="L58" s="68" t="str">
        <f>IF('page 2'!$O$13="","",IF('page 2'!$O$13=Gestion!A58,1,0))</f>
        <v/>
      </c>
      <c r="M58" s="68" t="str">
        <f>IF('page 2'!$O$14="","",IF('page 2'!$O$14=Gestion!A58,1,0))</f>
        <v/>
      </c>
      <c r="N58" s="68" t="str">
        <f>IF('page 2'!$O$15="","",IF('page 2'!$O$15=Gestion!A58,1,0))</f>
        <v/>
      </c>
      <c r="O58" s="68" t="str">
        <f>IF('page 2'!$O$16="","",IF('page 2'!$O$16=Gestion!A58,1,0))</f>
        <v/>
      </c>
      <c r="P58" s="68" t="str">
        <f>IF('page 2'!$O$17="","",IF('page 2'!$O$17=Gestion!A58,1,0))</f>
        <v/>
      </c>
      <c r="Q58" s="68" t="str">
        <f>IF('page 2'!$O$18="","",IF('page 2'!$O$18=Gestion!A58,1,0))</f>
        <v/>
      </c>
      <c r="R58" s="68" t="str">
        <f>IF('page 2'!$O$19="","",IF('page 2'!$O$19=Gestion!A58,1,0))</f>
        <v/>
      </c>
      <c r="S58" s="68" t="str">
        <f>IF('page 2'!$O$20="","",IF('page 2'!$O$20=Gestion!A58,1,0))</f>
        <v/>
      </c>
      <c r="T58" s="68" t="str">
        <f>IF('page 2'!$O$25="","",IF('page 2'!$O$25=Gestion!A58,1,0))</f>
        <v/>
      </c>
      <c r="U58" s="68" t="str">
        <f>IF('page 2'!$O$26="","",IF('page 2'!$O$26=Gestion!A58,1,0))</f>
        <v/>
      </c>
      <c r="V58" s="68" t="str">
        <f>IF('page 2'!$O$27="","",IF('page 2'!$O$27=Gestion!A58,1,0))</f>
        <v/>
      </c>
      <c r="W58" s="722">
        <f t="shared" si="0"/>
        <v>0</v>
      </c>
      <c r="X58" s="714"/>
      <c r="Y58" s="68"/>
      <c r="Z58" s="68"/>
      <c r="AA58" s="68"/>
      <c r="AB58" s="68"/>
      <c r="AC58" s="68"/>
      <c r="AD58" s="68"/>
      <c r="AP58" s="130"/>
      <c r="AQ58" s="130"/>
      <c r="AR58" s="130"/>
      <c r="AS58" s="576"/>
      <c r="AT58" s="576"/>
      <c r="AU58" s="576"/>
      <c r="AV58" s="576"/>
      <c r="AW58" s="602"/>
      <c r="AX58" s="602"/>
      <c r="AY58" s="576"/>
      <c r="AZ58" s="576"/>
      <c r="BA58" s="576"/>
      <c r="BB58" s="576"/>
      <c r="BC58" s="576"/>
      <c r="BD58" s="602"/>
      <c r="BE58" s="602"/>
      <c r="BF58" s="602"/>
      <c r="BG58" s="602"/>
      <c r="BH58" s="602"/>
      <c r="BI58" s="602"/>
      <c r="BJ58" s="602"/>
      <c r="BK58" s="602"/>
      <c r="BL58" s="602"/>
      <c r="BM58" s="602"/>
      <c r="BN58" s="602"/>
      <c r="BO58" s="602"/>
      <c r="BP58" s="602"/>
      <c r="BQ58" s="602"/>
      <c r="BR58" s="602"/>
      <c r="BS58" s="576"/>
      <c r="BT58" s="576"/>
      <c r="BU58" s="576"/>
      <c r="BV58" s="576"/>
      <c r="BW58" s="602"/>
      <c r="BX58" s="602"/>
      <c r="BY58" s="602"/>
      <c r="BZ58" s="576"/>
      <c r="CA58" s="602"/>
      <c r="CB58" s="602"/>
      <c r="CC58" s="576"/>
      <c r="CD58" s="576"/>
      <c r="CE58" s="602"/>
      <c r="CF58" s="576"/>
      <c r="CG58" s="576"/>
      <c r="CH58" s="576"/>
      <c r="CI58" s="576"/>
      <c r="CJ58" s="576"/>
      <c r="CK58" s="602"/>
      <c r="CL58" s="602"/>
      <c r="CM58" s="576"/>
      <c r="CN58" s="602"/>
      <c r="CO58" s="602"/>
      <c r="CP58" s="602"/>
      <c r="CQ58" s="576"/>
      <c r="CR58" s="576"/>
      <c r="CS58" s="602"/>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c r="HF58" s="88"/>
      <c r="HG58" s="88"/>
      <c r="HH58" s="88"/>
      <c r="HI58" s="88"/>
      <c r="HJ58" s="88"/>
      <c r="HK58" s="88"/>
      <c r="HL58" s="88"/>
      <c r="HM58" s="88"/>
      <c r="HN58" s="88"/>
      <c r="HO58" s="88"/>
      <c r="HP58" s="88"/>
      <c r="HQ58" s="88"/>
      <c r="HR58" s="88"/>
      <c r="HS58" s="88"/>
      <c r="HT58" s="88"/>
      <c r="HU58" s="88"/>
      <c r="HV58" s="88"/>
      <c r="HW58" s="88"/>
      <c r="HX58" s="88"/>
      <c r="HY58" s="88"/>
      <c r="HZ58" s="88"/>
      <c r="IA58" s="88"/>
      <c r="IB58" s="88"/>
      <c r="IC58" s="88"/>
      <c r="ID58" s="88"/>
      <c r="IE58" s="88"/>
      <c r="IF58" s="88"/>
      <c r="IG58" s="88"/>
      <c r="IH58" s="88"/>
      <c r="II58" s="88"/>
      <c r="IJ58" s="88"/>
      <c r="IK58" s="88"/>
      <c r="IL58" s="88"/>
      <c r="IM58" s="88"/>
      <c r="IN58" s="88"/>
      <c r="IO58" s="88"/>
      <c r="IP58" s="88"/>
      <c r="IQ58" s="88"/>
      <c r="IR58" s="88"/>
      <c r="IS58" s="88"/>
      <c r="IT58" s="88"/>
      <c r="IU58" s="88"/>
      <c r="IV58" s="88"/>
      <c r="IW58" s="88"/>
      <c r="IX58" s="88"/>
      <c r="IY58" s="88"/>
      <c r="IZ58" s="88"/>
      <c r="JA58" s="88"/>
      <c r="JB58" s="88"/>
      <c r="JC58" s="88"/>
      <c r="JD58" s="88"/>
      <c r="JE58" s="88"/>
      <c r="JF58" s="88"/>
      <c r="JG58" s="88"/>
      <c r="JH58" s="88"/>
      <c r="JI58" s="88"/>
      <c r="JJ58" s="88"/>
      <c r="JK58" s="88"/>
      <c r="JL58" s="88"/>
      <c r="JM58" s="88"/>
      <c r="JN58" s="88"/>
      <c r="JO58" s="88"/>
      <c r="JP58" s="88"/>
      <c r="JQ58" s="88"/>
      <c r="JR58" s="88"/>
      <c r="JS58" s="88"/>
      <c r="JT58" s="88"/>
      <c r="JU58" s="88"/>
      <c r="JV58" s="88"/>
      <c r="JW58" s="88"/>
      <c r="JX58" s="88"/>
      <c r="JY58" s="88"/>
      <c r="JZ58" s="88"/>
      <c r="KA58" s="88"/>
      <c r="KB58" s="88"/>
      <c r="KC58" s="88"/>
      <c r="KD58" s="88"/>
      <c r="KE58" s="88"/>
      <c r="KF58" s="88"/>
      <c r="KG58" s="88"/>
      <c r="KH58" s="88"/>
      <c r="KI58" s="88"/>
      <c r="KJ58" s="88"/>
      <c r="KK58" s="88"/>
      <c r="KL58" s="88"/>
      <c r="KM58" s="88"/>
      <c r="KN58" s="88"/>
      <c r="KO58" s="88"/>
      <c r="KP58" s="88"/>
      <c r="KQ58" s="88"/>
      <c r="KR58" s="88"/>
      <c r="KS58" s="88"/>
      <c r="KT58" s="88"/>
      <c r="KU58" s="88"/>
      <c r="KV58" s="88"/>
      <c r="KW58" s="88"/>
      <c r="KX58" s="88"/>
      <c r="KY58" s="88"/>
      <c r="KZ58" s="88"/>
      <c r="LA58" s="88"/>
      <c r="LB58" s="88"/>
      <c r="LC58" s="88"/>
      <c r="LD58" s="88"/>
      <c r="LE58" s="88"/>
      <c r="LF58" s="88"/>
      <c r="LG58" s="88"/>
      <c r="LH58" s="88"/>
      <c r="LI58" s="88"/>
      <c r="LJ58" s="88"/>
      <c r="LK58" s="88"/>
      <c r="LL58" s="88"/>
      <c r="LM58" s="88"/>
      <c r="LN58" s="88"/>
      <c r="LO58" s="88"/>
      <c r="LP58" s="88"/>
      <c r="LQ58" s="88"/>
      <c r="LR58" s="88"/>
      <c r="LS58" s="88"/>
      <c r="LT58" s="88"/>
      <c r="LU58" s="88"/>
      <c r="LV58" s="88"/>
      <c r="LW58" s="88"/>
      <c r="LX58" s="88"/>
      <c r="LY58" s="88"/>
      <c r="LZ58" s="88"/>
      <c r="MA58" s="88"/>
      <c r="MB58" s="88"/>
      <c r="MC58" s="88"/>
      <c r="MD58" s="88"/>
      <c r="ME58" s="88"/>
      <c r="MF58" s="88"/>
      <c r="MG58" s="88"/>
      <c r="MH58" s="88"/>
      <c r="MI58" s="88"/>
      <c r="MJ58" s="88"/>
      <c r="MK58" s="88"/>
      <c r="ML58" s="88"/>
      <c r="MM58" s="88"/>
      <c r="MN58" s="88"/>
      <c r="MO58" s="88"/>
      <c r="MP58" s="88"/>
      <c r="MQ58" s="88"/>
      <c r="MR58" s="88"/>
      <c r="MS58" s="88"/>
      <c r="MT58" s="88"/>
      <c r="MU58" s="88"/>
      <c r="MV58" s="88"/>
      <c r="MW58" s="88"/>
      <c r="MX58" s="88"/>
      <c r="MY58" s="88"/>
      <c r="MZ58" s="88"/>
      <c r="NA58" s="88"/>
      <c r="NB58" s="88"/>
      <c r="NC58" s="88"/>
      <c r="ND58" s="88"/>
      <c r="NE58" s="88"/>
      <c r="NF58" s="88"/>
      <c r="NG58" s="88"/>
      <c r="NH58" s="88"/>
      <c r="NI58" s="88"/>
      <c r="NJ58" s="88"/>
      <c r="NK58" s="88"/>
      <c r="NL58" s="88"/>
      <c r="NM58" s="88"/>
      <c r="NN58" s="88"/>
      <c r="NO58" s="88"/>
      <c r="NP58" s="88"/>
      <c r="NQ58" s="88"/>
      <c r="NR58" s="88"/>
      <c r="NS58" s="88"/>
      <c r="NT58" s="88"/>
      <c r="NU58" s="88"/>
      <c r="NV58" s="88"/>
      <c r="NW58" s="88"/>
      <c r="NX58" s="88"/>
      <c r="NY58" s="88"/>
      <c r="NZ58" s="88"/>
      <c r="OA58" s="88"/>
      <c r="OB58" s="88"/>
      <c r="OC58" s="88"/>
      <c r="OD58" s="88"/>
      <c r="OE58" s="88"/>
      <c r="OF58" s="88"/>
      <c r="OG58" s="88"/>
      <c r="OH58" s="88"/>
      <c r="OI58" s="88"/>
      <c r="OJ58" s="88"/>
      <c r="OK58" s="88"/>
      <c r="OL58" s="88"/>
      <c r="OM58" s="88"/>
      <c r="ON58" s="88"/>
      <c r="OO58" s="88"/>
      <c r="OP58" s="88"/>
      <c r="OQ58" s="88"/>
      <c r="OR58" s="88"/>
      <c r="OS58" s="88"/>
      <c r="OT58" s="88"/>
      <c r="OU58" s="88"/>
      <c r="OV58" s="88"/>
      <c r="OW58" s="88"/>
      <c r="OX58" s="88"/>
      <c r="OY58" s="88"/>
      <c r="OZ58" s="88"/>
      <c r="PA58" s="88"/>
      <c r="PB58" s="88"/>
      <c r="PC58" s="88"/>
      <c r="PD58" s="88"/>
      <c r="PE58" s="88"/>
      <c r="PF58" s="88"/>
      <c r="PG58" s="88"/>
      <c r="PH58" s="88"/>
      <c r="PI58" s="88"/>
      <c r="PJ58" s="88"/>
      <c r="PK58" s="88"/>
      <c r="PL58" s="88"/>
      <c r="PM58" s="88"/>
      <c r="PN58" s="88"/>
      <c r="PO58" s="88"/>
      <c r="PP58" s="88"/>
      <c r="PQ58" s="88"/>
      <c r="PR58" s="88"/>
      <c r="PS58" s="88"/>
      <c r="PT58" s="88"/>
      <c r="PU58" s="88"/>
      <c r="PV58" s="88"/>
      <c r="PW58" s="88"/>
      <c r="PX58" s="88"/>
      <c r="PY58" s="88"/>
      <c r="PZ58" s="88"/>
      <c r="QA58" s="88"/>
      <c r="QB58" s="88"/>
      <c r="QC58" s="88"/>
      <c r="QD58" s="88"/>
      <c r="QE58" s="88"/>
      <c r="QF58" s="88"/>
      <c r="QG58" s="88"/>
      <c r="QH58" s="88"/>
      <c r="QI58" s="88"/>
      <c r="QJ58" s="88"/>
      <c r="QK58" s="88"/>
      <c r="QL58" s="88"/>
      <c r="QM58" s="88"/>
      <c r="QN58" s="88"/>
      <c r="QO58" s="88"/>
      <c r="QP58" s="88"/>
      <c r="QQ58" s="88"/>
      <c r="QR58" s="88"/>
      <c r="QS58" s="88"/>
      <c r="QT58" s="88"/>
      <c r="QU58" s="88"/>
      <c r="QV58" s="88"/>
      <c r="QW58" s="88"/>
      <c r="QX58" s="88"/>
      <c r="QY58" s="88"/>
      <c r="QZ58" s="88"/>
      <c r="RA58" s="88"/>
      <c r="RB58" s="88"/>
      <c r="RC58" s="88"/>
      <c r="RD58" s="88"/>
      <c r="RE58" s="88"/>
      <c r="RF58" s="88"/>
      <c r="RG58" s="88"/>
      <c r="RH58" s="88"/>
      <c r="RI58" s="88"/>
      <c r="RJ58" s="88"/>
      <c r="RK58" s="88"/>
      <c r="RL58" s="88"/>
      <c r="RM58" s="88"/>
      <c r="RN58" s="88"/>
      <c r="RO58" s="88"/>
      <c r="RP58" s="88"/>
      <c r="RQ58" s="88"/>
      <c r="RR58" s="88"/>
      <c r="RS58" s="88"/>
      <c r="RT58" s="88"/>
      <c r="RU58" s="88"/>
      <c r="RV58" s="88"/>
      <c r="RW58" s="88"/>
      <c r="RX58" s="88"/>
      <c r="RY58" s="88"/>
      <c r="RZ58" s="88"/>
      <c r="SA58" s="88"/>
      <c r="SB58" s="88"/>
      <c r="SC58" s="88"/>
      <c r="SD58" s="88"/>
      <c r="SE58" s="88"/>
      <c r="SF58" s="88"/>
      <c r="SG58" s="88"/>
      <c r="SH58" s="88"/>
      <c r="SI58" s="88"/>
      <c r="SJ58" s="88"/>
      <c r="SK58" s="88"/>
      <c r="SL58" s="88"/>
      <c r="SM58" s="88"/>
      <c r="SN58" s="88"/>
      <c r="SO58" s="88"/>
      <c r="SP58" s="88"/>
      <c r="SQ58" s="88"/>
      <c r="SR58" s="88"/>
      <c r="SS58" s="88"/>
      <c r="ST58" s="88"/>
      <c r="SU58" s="88"/>
      <c r="SV58" s="88"/>
      <c r="SW58" s="88"/>
      <c r="SX58" s="88"/>
      <c r="SY58" s="88"/>
      <c r="SZ58" s="88"/>
      <c r="TA58" s="88"/>
      <c r="TB58" s="88"/>
      <c r="TC58" s="88"/>
      <c r="TD58" s="88"/>
      <c r="TE58" s="88"/>
      <c r="TF58" s="88"/>
      <c r="TG58" s="88"/>
      <c r="TH58" s="88"/>
      <c r="TI58" s="88"/>
      <c r="TJ58" s="88"/>
      <c r="TK58" s="88"/>
      <c r="TL58" s="88"/>
      <c r="TM58" s="88"/>
      <c r="TN58" s="88"/>
      <c r="TO58" s="88"/>
      <c r="TP58" s="88"/>
      <c r="TQ58" s="88"/>
      <c r="TR58" s="88"/>
      <c r="TS58" s="88"/>
      <c r="TT58" s="88"/>
      <c r="TU58" s="88"/>
      <c r="TV58" s="88"/>
      <c r="TW58" s="88"/>
      <c r="TX58" s="88"/>
      <c r="TY58" s="88"/>
      <c r="TZ58" s="88"/>
      <c r="UA58" s="88"/>
      <c r="UB58" s="88"/>
      <c r="UC58" s="88"/>
      <c r="UD58" s="88"/>
      <c r="UE58" s="88"/>
      <c r="UF58" s="88"/>
      <c r="UG58" s="88"/>
      <c r="UH58" s="88"/>
      <c r="UI58" s="88"/>
      <c r="UJ58" s="88"/>
      <c r="UK58" s="88"/>
      <c r="UL58" s="88"/>
      <c r="UM58" s="88"/>
      <c r="UN58" s="88"/>
      <c r="UO58" s="88"/>
      <c r="UP58" s="88"/>
      <c r="UQ58" s="88"/>
      <c r="UR58" s="88"/>
      <c r="US58" s="88"/>
      <c r="UT58" s="88"/>
      <c r="UU58" s="88"/>
      <c r="UV58" s="88"/>
      <c r="UW58" s="88"/>
      <c r="UX58" s="88"/>
      <c r="UY58" s="88"/>
      <c r="UZ58" s="88"/>
      <c r="VA58" s="88"/>
      <c r="VB58" s="88"/>
      <c r="VC58" s="88"/>
      <c r="VD58" s="88"/>
      <c r="VE58" s="88"/>
      <c r="VF58" s="88"/>
      <c r="VG58" s="88"/>
      <c r="VH58" s="88"/>
      <c r="VI58" s="88"/>
      <c r="VJ58" s="88"/>
      <c r="VK58" s="88"/>
      <c r="VL58" s="88"/>
      <c r="VM58" s="88"/>
      <c r="VN58" s="88"/>
      <c r="VO58" s="88"/>
      <c r="VP58" s="88"/>
      <c r="VQ58" s="88"/>
      <c r="VR58" s="88"/>
      <c r="VS58" s="88"/>
      <c r="VT58" s="88"/>
      <c r="VU58" s="88"/>
      <c r="VV58" s="88"/>
      <c r="VW58" s="88"/>
      <c r="VX58" s="88"/>
      <c r="VY58" s="88"/>
      <c r="VZ58" s="88"/>
      <c r="WA58" s="88"/>
      <c r="WB58" s="88"/>
      <c r="WC58" s="88"/>
      <c r="WD58" s="88"/>
      <c r="WE58" s="88"/>
      <c r="WF58" s="88"/>
      <c r="WG58" s="88"/>
      <c r="WH58" s="88"/>
      <c r="WI58" s="88"/>
      <c r="WJ58" s="88"/>
      <c r="WK58" s="88"/>
      <c r="WL58" s="88"/>
      <c r="WM58" s="88"/>
      <c r="WN58" s="88"/>
      <c r="WO58" s="88"/>
      <c r="WP58" s="88"/>
      <c r="WQ58" s="88"/>
      <c r="WR58" s="88"/>
      <c r="WS58" s="88"/>
      <c r="WT58" s="88"/>
      <c r="WU58" s="88"/>
      <c r="WV58" s="88"/>
      <c r="WW58" s="88"/>
      <c r="WX58" s="88"/>
      <c r="WY58" s="88"/>
      <c r="WZ58" s="88"/>
      <c r="XA58" s="88"/>
      <c r="XB58" s="88"/>
      <c r="XC58" s="88"/>
      <c r="XD58" s="88"/>
      <c r="XE58" s="88"/>
      <c r="XF58" s="88"/>
      <c r="XG58" s="88"/>
      <c r="XH58" s="88"/>
      <c r="XI58" s="88"/>
      <c r="XJ58" s="88"/>
      <c r="XK58" s="88"/>
      <c r="XL58" s="88"/>
      <c r="XM58" s="88"/>
      <c r="XN58" s="88"/>
      <c r="XO58" s="88"/>
      <c r="XP58" s="88"/>
      <c r="XQ58" s="88"/>
      <c r="XR58" s="88"/>
      <c r="XS58" s="88"/>
      <c r="XT58" s="88"/>
      <c r="XU58" s="88"/>
      <c r="XV58" s="88"/>
      <c r="XW58" s="88"/>
      <c r="XX58" s="88"/>
      <c r="XY58" s="88"/>
      <c r="XZ58" s="88"/>
      <c r="YA58" s="88"/>
      <c r="YB58" s="88"/>
      <c r="YC58" s="88"/>
      <c r="YD58" s="88"/>
      <c r="YE58" s="88"/>
      <c r="YF58" s="88"/>
      <c r="YG58" s="88"/>
      <c r="YH58" s="88"/>
      <c r="YI58" s="88"/>
      <c r="YJ58" s="88"/>
      <c r="YK58" s="88"/>
      <c r="YL58" s="88"/>
      <c r="YM58" s="88"/>
      <c r="YN58" s="88"/>
      <c r="YO58" s="88"/>
      <c r="YP58" s="88"/>
      <c r="YQ58" s="88"/>
      <c r="YR58" s="88"/>
      <c r="YS58" s="88"/>
      <c r="YT58" s="88"/>
      <c r="YU58" s="88"/>
      <c r="YV58" s="88"/>
      <c r="YW58" s="88"/>
      <c r="YX58" s="88"/>
      <c r="YY58" s="88"/>
      <c r="YZ58" s="88"/>
      <c r="ZA58" s="88"/>
      <c r="ZB58" s="88"/>
      <c r="ZC58" s="88"/>
      <c r="ZD58" s="88"/>
      <c r="ZE58" s="88"/>
      <c r="ZF58" s="88"/>
      <c r="ZG58" s="88"/>
      <c r="ZH58" s="88"/>
      <c r="ZI58" s="88"/>
      <c r="ZJ58" s="88"/>
      <c r="ZK58" s="88"/>
      <c r="ZL58" s="88"/>
      <c r="ZM58" s="88"/>
      <c r="ZN58" s="88"/>
      <c r="ZO58" s="88"/>
      <c r="ZP58" s="88"/>
      <c r="ZQ58" s="88"/>
      <c r="ZR58" s="88"/>
      <c r="ZS58" s="88"/>
      <c r="ZT58" s="88"/>
      <c r="ZU58" s="88"/>
      <c r="ZV58" s="88"/>
      <c r="ZW58" s="88"/>
      <c r="ZX58" s="88"/>
      <c r="ZY58" s="88"/>
      <c r="ZZ58" s="88"/>
      <c r="AAA58" s="88"/>
      <c r="AAB58" s="88"/>
      <c r="AAC58" s="88"/>
      <c r="AAD58" s="88"/>
      <c r="AAE58" s="88"/>
      <c r="AAF58" s="88"/>
      <c r="AAG58" s="88"/>
      <c r="AAH58" s="88"/>
      <c r="AAI58" s="88"/>
      <c r="AAJ58" s="88"/>
      <c r="AAK58" s="88"/>
      <c r="AAL58" s="88"/>
      <c r="AAM58" s="88"/>
      <c r="AAN58" s="88"/>
      <c r="AAO58" s="88"/>
      <c r="AAP58" s="88"/>
      <c r="AAQ58" s="88"/>
      <c r="AAR58" s="88"/>
      <c r="AAS58" s="88"/>
      <c r="AAT58" s="88"/>
      <c r="AAU58" s="88"/>
      <c r="AAV58" s="88"/>
      <c r="AAW58" s="88"/>
      <c r="AAX58" s="88"/>
      <c r="AAY58" s="88"/>
      <c r="AAZ58" s="88"/>
      <c r="ABA58" s="88"/>
      <c r="ABB58" s="88"/>
      <c r="ABC58" s="88"/>
      <c r="ABD58" s="88"/>
      <c r="ABE58" s="88"/>
      <c r="ABF58" s="88"/>
      <c r="ABG58" s="88"/>
      <c r="ABH58" s="88"/>
      <c r="ABI58" s="88"/>
      <c r="ABJ58" s="88"/>
      <c r="ABK58" s="88"/>
      <c r="ABL58" s="88"/>
      <c r="ABM58" s="88"/>
      <c r="ABN58" s="88"/>
      <c r="ABO58" s="88"/>
      <c r="ABP58" s="88"/>
      <c r="ABQ58" s="88"/>
      <c r="ABR58" s="88"/>
      <c r="ABS58" s="88"/>
      <c r="ABT58" s="88"/>
      <c r="ABU58" s="88"/>
      <c r="ABV58" s="88"/>
      <c r="ABW58" s="88"/>
      <c r="ABX58" s="88"/>
      <c r="ABY58" s="88"/>
      <c r="ABZ58" s="88"/>
      <c r="ACA58" s="88"/>
      <c r="ACB58" s="88"/>
      <c r="ACC58" s="88"/>
      <c r="ACD58" s="88"/>
      <c r="ACE58" s="88"/>
      <c r="ACF58" s="88"/>
      <c r="ACG58" s="88"/>
      <c r="ACH58" s="88"/>
      <c r="ACI58" s="88"/>
      <c r="ACJ58" s="88"/>
      <c r="ACK58" s="88"/>
      <c r="ACL58" s="88"/>
      <c r="ACM58" s="88"/>
      <c r="ACN58" s="88"/>
      <c r="ACO58" s="88"/>
      <c r="ACP58" s="88"/>
      <c r="ACQ58" s="88"/>
      <c r="ACR58" s="88"/>
      <c r="ACS58" s="88"/>
      <c r="ACT58" s="88"/>
      <c r="ACU58" s="88"/>
      <c r="ACV58" s="88"/>
      <c r="ACW58" s="88"/>
      <c r="ACX58" s="88"/>
      <c r="ACY58" s="88"/>
      <c r="ACZ58" s="88"/>
      <c r="ADA58" s="88"/>
      <c r="ADB58" s="88"/>
      <c r="ADC58" s="88"/>
      <c r="ADD58" s="88"/>
      <c r="ADE58" s="88"/>
      <c r="ADF58" s="88"/>
      <c r="ADG58" s="88"/>
      <c r="ADH58" s="88"/>
      <c r="ADI58" s="88"/>
      <c r="ADJ58" s="88"/>
      <c r="ADK58" s="88"/>
      <c r="ADL58" s="88"/>
      <c r="ADM58" s="88"/>
      <c r="ADN58" s="88"/>
      <c r="ADO58" s="88"/>
      <c r="ADP58" s="88"/>
      <c r="ADQ58" s="88"/>
      <c r="ADR58" s="88"/>
      <c r="ADS58" s="88"/>
      <c r="ADT58" s="88"/>
      <c r="ADU58" s="88"/>
      <c r="ADV58" s="88"/>
      <c r="ADW58" s="88"/>
      <c r="ADX58" s="88"/>
      <c r="ADY58" s="88"/>
      <c r="ADZ58" s="88"/>
      <c r="AEA58" s="88"/>
      <c r="AEB58" s="88"/>
      <c r="AEC58" s="88"/>
      <c r="AED58" s="88"/>
      <c r="AEE58" s="88"/>
      <c r="AEF58" s="88"/>
      <c r="AEG58" s="88"/>
      <c r="AEH58" s="88"/>
      <c r="AEI58" s="88"/>
      <c r="AEJ58" s="88"/>
      <c r="AEK58" s="88"/>
      <c r="AEL58" s="88"/>
      <c r="AEM58" s="88"/>
      <c r="AEN58" s="88"/>
      <c r="AEO58" s="88"/>
      <c r="AEP58" s="88"/>
      <c r="AEQ58" s="88"/>
      <c r="AER58" s="88"/>
      <c r="AES58" s="88"/>
      <c r="AET58" s="88"/>
      <c r="AEU58" s="88"/>
      <c r="AEV58" s="88"/>
      <c r="AEW58" s="88"/>
      <c r="AEX58" s="88"/>
      <c r="AEY58" s="88"/>
      <c r="AEZ58" s="88"/>
      <c r="AFA58" s="88"/>
      <c r="AFB58" s="88"/>
      <c r="AFC58" s="88"/>
      <c r="AFD58" s="88"/>
      <c r="AFE58" s="88"/>
      <c r="AFF58" s="88"/>
      <c r="AFG58" s="88"/>
      <c r="AFH58" s="88"/>
      <c r="AFI58" s="88"/>
      <c r="AFJ58" s="88"/>
      <c r="AFK58" s="88"/>
      <c r="AFL58" s="88"/>
      <c r="AFM58" s="88"/>
      <c r="AFN58" s="88"/>
      <c r="AFO58" s="88"/>
      <c r="AFP58" s="88"/>
      <c r="AFQ58" s="88"/>
      <c r="AFR58" s="88"/>
      <c r="AFS58" s="88"/>
      <c r="AFT58" s="88"/>
      <c r="AFU58" s="88"/>
      <c r="AFV58" s="88"/>
      <c r="AFW58" s="88"/>
      <c r="AFX58" s="88"/>
      <c r="AFY58" s="88"/>
      <c r="AFZ58" s="88"/>
      <c r="AGA58" s="88"/>
      <c r="AGB58" s="88"/>
      <c r="AGC58" s="88"/>
      <c r="AGD58" s="88"/>
      <c r="AGE58" s="88"/>
      <c r="AGF58" s="88"/>
      <c r="AGG58" s="88"/>
      <c r="AGH58" s="88"/>
      <c r="AGI58" s="88"/>
      <c r="AGJ58" s="88"/>
      <c r="AGK58" s="88"/>
      <c r="AGL58" s="88"/>
      <c r="AGM58" s="88"/>
      <c r="AGN58" s="88"/>
      <c r="AGO58" s="88"/>
      <c r="AGP58" s="88"/>
      <c r="AGQ58" s="88"/>
      <c r="AGR58" s="88"/>
      <c r="AGS58" s="88"/>
      <c r="AGT58" s="88"/>
      <c r="AGU58" s="88"/>
      <c r="AGV58" s="88"/>
      <c r="AGW58" s="88"/>
      <c r="AGX58" s="88"/>
      <c r="AGY58" s="88"/>
      <c r="AGZ58" s="88"/>
      <c r="AHA58" s="88"/>
      <c r="AHB58" s="88"/>
      <c r="AHC58" s="88"/>
      <c r="AHD58" s="88"/>
      <c r="AHE58" s="88"/>
      <c r="AHF58" s="88"/>
      <c r="AHG58" s="88"/>
      <c r="AHH58" s="88"/>
      <c r="AHI58" s="88"/>
      <c r="AHJ58" s="88"/>
      <c r="AHK58" s="88"/>
      <c r="AHL58" s="88"/>
      <c r="AHM58" s="88"/>
      <c r="AHN58" s="88"/>
      <c r="AHO58" s="88"/>
      <c r="AHP58" s="88"/>
      <c r="AHQ58" s="88"/>
      <c r="AHR58" s="88"/>
      <c r="AHS58" s="88"/>
      <c r="AHT58" s="88"/>
      <c r="AHU58" s="88"/>
      <c r="AHV58" s="88"/>
      <c r="AHW58" s="88"/>
      <c r="AHX58" s="88"/>
      <c r="AHY58" s="88"/>
      <c r="AHZ58" s="88"/>
      <c r="AIA58" s="88"/>
      <c r="AIB58" s="88"/>
      <c r="AIC58" s="88"/>
      <c r="AID58" s="88"/>
      <c r="AIE58" s="88"/>
      <c r="AIF58" s="88"/>
      <c r="AIG58" s="88"/>
      <c r="AIH58" s="88"/>
      <c r="AII58" s="88"/>
      <c r="AIJ58" s="88"/>
      <c r="AIK58" s="88"/>
      <c r="AIL58" s="88"/>
      <c r="AIM58" s="88"/>
      <c r="AIN58" s="88"/>
      <c r="AIO58" s="88"/>
      <c r="AIP58" s="88"/>
      <c r="AIQ58" s="88"/>
      <c r="AIR58" s="88"/>
      <c r="AIS58" s="88"/>
      <c r="AIT58" s="88"/>
      <c r="AIU58" s="88"/>
      <c r="AIV58" s="88"/>
      <c r="AIW58" s="88"/>
      <c r="AIX58" s="88"/>
      <c r="AIY58" s="88"/>
      <c r="AIZ58" s="88"/>
      <c r="AJA58" s="88"/>
      <c r="AJB58" s="88"/>
      <c r="AJC58" s="88"/>
      <c r="AJD58" s="88"/>
      <c r="AJE58" s="88"/>
      <c r="AJF58" s="88"/>
      <c r="AJG58" s="88"/>
      <c r="AJH58" s="88"/>
      <c r="AJI58" s="88"/>
      <c r="AJJ58" s="88"/>
      <c r="AJK58" s="88"/>
      <c r="AJL58" s="88"/>
      <c r="AJM58" s="88"/>
      <c r="AJN58" s="88"/>
      <c r="AJO58" s="88"/>
      <c r="AJP58" s="88"/>
      <c r="AJQ58" s="88"/>
      <c r="AJR58" s="88"/>
      <c r="AJS58" s="88"/>
      <c r="AJT58" s="88"/>
      <c r="AJU58" s="88"/>
      <c r="AJV58" s="88"/>
      <c r="AJW58" s="88"/>
      <c r="AJX58" s="88"/>
      <c r="AJY58" s="88"/>
      <c r="AJZ58" s="88"/>
      <c r="AKA58" s="88"/>
      <c r="AKB58" s="88"/>
      <c r="AKC58" s="88"/>
      <c r="AKD58" s="88"/>
      <c r="AKE58" s="88"/>
      <c r="AKF58" s="88"/>
      <c r="AKG58" s="88"/>
      <c r="AKH58" s="88"/>
      <c r="AKI58" s="88"/>
      <c r="AKJ58" s="88"/>
      <c r="AKK58" s="88"/>
      <c r="AKL58" s="88"/>
      <c r="AKM58" s="88"/>
      <c r="AKN58" s="88"/>
      <c r="AKO58" s="88"/>
      <c r="AKP58" s="88"/>
      <c r="AKQ58" s="88"/>
      <c r="AKR58" s="88"/>
      <c r="AKS58" s="88"/>
      <c r="AKT58" s="88"/>
      <c r="AKU58" s="88"/>
      <c r="AKV58" s="88"/>
      <c r="AKW58" s="88"/>
      <c r="AKX58" s="88"/>
      <c r="AKY58" s="88"/>
      <c r="AKZ58" s="88"/>
      <c r="ALA58" s="88"/>
      <c r="ALB58" s="88"/>
      <c r="ALC58" s="88"/>
      <c r="ALD58" s="88"/>
      <c r="ALE58" s="88"/>
      <c r="ALF58" s="88"/>
      <c r="ALG58" s="88"/>
      <c r="ALH58" s="88"/>
      <c r="ALI58" s="88"/>
      <c r="ALJ58" s="88"/>
      <c r="ALK58" s="88"/>
      <c r="ALL58" s="88"/>
      <c r="ALM58" s="88"/>
      <c r="ALN58" s="88"/>
      <c r="ALO58" s="88"/>
      <c r="ALP58" s="88"/>
      <c r="ALQ58" s="88"/>
      <c r="ALR58" s="88"/>
      <c r="ALS58" s="88"/>
      <c r="ALT58" s="88"/>
      <c r="ALU58" s="88"/>
      <c r="ALV58" s="88"/>
      <c r="ALW58" s="88"/>
      <c r="ALX58" s="88"/>
      <c r="ALY58" s="88"/>
      <c r="ALZ58" s="88"/>
      <c r="AMA58" s="88"/>
      <c r="AMB58" s="88"/>
      <c r="AMC58" s="88"/>
      <c r="AMD58" s="88"/>
      <c r="AME58" s="88"/>
      <c r="AMF58" s="88"/>
      <c r="AMG58" s="88"/>
      <c r="AMH58" s="88"/>
      <c r="AMI58" s="88"/>
      <c r="AMJ58" s="88"/>
      <c r="AMK58" s="88"/>
      <c r="AML58" s="88"/>
      <c r="AMM58" s="88"/>
      <c r="AMN58" s="88"/>
      <c r="AMO58" s="88"/>
      <c r="AMP58" s="88"/>
      <c r="AMQ58" s="88"/>
      <c r="AMR58" s="88"/>
      <c r="AMS58" s="88"/>
      <c r="AMT58" s="88"/>
      <c r="AMU58" s="88"/>
      <c r="AMV58" s="88"/>
      <c r="AMW58" s="88"/>
      <c r="AMX58" s="88"/>
      <c r="AMY58" s="88"/>
      <c r="AMZ58" s="88"/>
      <c r="ANA58" s="88"/>
      <c r="ANB58" s="88"/>
      <c r="ANC58" s="88"/>
      <c r="AND58" s="88"/>
      <c r="ANE58" s="88"/>
      <c r="ANF58" s="88"/>
      <c r="ANG58" s="88"/>
      <c r="ANH58" s="88"/>
      <c r="ANI58" s="88"/>
      <c r="ANJ58" s="88"/>
      <c r="ANK58" s="88"/>
      <c r="ANL58" s="88"/>
      <c r="ANM58" s="88"/>
      <c r="ANN58" s="88"/>
      <c r="ANO58" s="88"/>
      <c r="ANP58" s="88"/>
      <c r="ANQ58" s="88"/>
      <c r="ANR58" s="88"/>
      <c r="ANS58" s="88"/>
      <c r="ANT58" s="88"/>
      <c r="ANU58" s="88"/>
      <c r="ANV58" s="88"/>
      <c r="ANW58" s="88"/>
      <c r="ANX58" s="88"/>
      <c r="ANY58" s="88"/>
      <c r="ANZ58" s="88"/>
      <c r="AOA58" s="88"/>
      <c r="AOB58" s="88"/>
      <c r="AOC58" s="88"/>
      <c r="AOD58" s="88"/>
      <c r="AOE58" s="88"/>
      <c r="AOF58" s="88"/>
      <c r="AOG58" s="88"/>
      <c r="AOH58" s="88"/>
      <c r="AOI58" s="88"/>
      <c r="AOJ58" s="88"/>
      <c r="AOK58" s="88"/>
      <c r="AOL58" s="88"/>
      <c r="AOM58" s="88"/>
      <c r="AON58" s="88"/>
      <c r="AOO58" s="88"/>
      <c r="AOP58" s="88"/>
      <c r="AOQ58" s="88"/>
      <c r="AOR58" s="88"/>
      <c r="AOS58" s="88"/>
      <c r="AOT58" s="88"/>
      <c r="AOU58" s="88"/>
      <c r="AOV58" s="88"/>
      <c r="AOW58" s="88"/>
      <c r="AOX58" s="88"/>
      <c r="AOY58" s="88"/>
      <c r="AOZ58" s="88"/>
      <c r="APA58" s="88"/>
      <c r="APB58" s="88"/>
      <c r="APC58" s="88"/>
      <c r="APD58" s="88"/>
      <c r="APE58" s="88"/>
      <c r="APF58" s="88"/>
      <c r="APG58" s="88"/>
      <c r="APH58" s="88"/>
      <c r="API58" s="88"/>
      <c r="APJ58" s="88"/>
      <c r="APK58" s="88"/>
      <c r="APL58" s="88"/>
      <c r="APM58" s="88"/>
      <c r="APN58" s="88"/>
      <c r="APO58" s="88"/>
      <c r="APP58" s="88"/>
      <c r="APQ58" s="88"/>
      <c r="APR58" s="88"/>
      <c r="APS58" s="88"/>
      <c r="APT58" s="88"/>
      <c r="APU58" s="88"/>
      <c r="APV58" s="88"/>
      <c r="APW58" s="88"/>
      <c r="APX58" s="88"/>
      <c r="APY58" s="88"/>
      <c r="APZ58" s="88"/>
      <c r="AQA58" s="88"/>
      <c r="AQB58" s="88"/>
      <c r="AQC58" s="88"/>
      <c r="AQD58" s="88"/>
      <c r="AQE58" s="88"/>
      <c r="AQF58" s="88"/>
      <c r="AQG58" s="88"/>
      <c r="AQH58" s="88"/>
      <c r="AQI58" s="88"/>
      <c r="AQJ58" s="88"/>
      <c r="AQK58" s="88"/>
      <c r="AQL58" s="88"/>
      <c r="AQM58" s="88"/>
      <c r="AQN58" s="88"/>
      <c r="AQO58" s="88"/>
      <c r="AQP58" s="88"/>
      <c r="AQQ58" s="88"/>
      <c r="AQR58" s="88"/>
      <c r="AQS58" s="88"/>
      <c r="AQT58" s="88"/>
      <c r="AQU58" s="88"/>
      <c r="AQV58" s="88"/>
      <c r="AQW58" s="88"/>
      <c r="AQX58" s="88"/>
      <c r="AQY58" s="88"/>
      <c r="AQZ58" s="88"/>
      <c r="ARA58" s="88"/>
      <c r="ARB58" s="88"/>
      <c r="ARC58" s="88"/>
      <c r="ARD58" s="88"/>
      <c r="ARE58" s="88"/>
      <c r="ARF58" s="88"/>
      <c r="ARG58" s="88"/>
      <c r="ARH58" s="88"/>
      <c r="ARI58" s="88"/>
      <c r="ARJ58" s="88"/>
      <c r="ARK58" s="88"/>
      <c r="ARL58" s="88"/>
      <c r="ARM58" s="88"/>
      <c r="ARN58" s="88"/>
      <c r="ARO58" s="88"/>
      <c r="ARP58" s="88"/>
      <c r="ARQ58" s="88"/>
      <c r="ARR58" s="88"/>
      <c r="ARS58" s="88"/>
      <c r="ART58" s="88"/>
      <c r="ARU58" s="88"/>
      <c r="ARV58" s="88"/>
      <c r="ARW58" s="88"/>
      <c r="ARX58" s="88"/>
      <c r="ARY58" s="88"/>
      <c r="ARZ58" s="88"/>
      <c r="ASA58" s="88"/>
      <c r="ASB58" s="88"/>
      <c r="ASC58" s="88"/>
      <c r="ASD58" s="88"/>
      <c r="ASE58" s="88"/>
      <c r="ASF58" s="88"/>
      <c r="ASG58" s="88"/>
      <c r="ASH58" s="88"/>
      <c r="ASI58" s="88"/>
      <c r="ASJ58" s="88"/>
      <c r="ASK58" s="88"/>
      <c r="ASL58" s="88"/>
      <c r="ASM58" s="88"/>
      <c r="ASN58" s="88"/>
      <c r="ASO58" s="88"/>
      <c r="ASP58" s="88"/>
      <c r="ASQ58" s="88"/>
      <c r="ASR58" s="88"/>
      <c r="ASS58" s="88"/>
      <c r="AST58" s="88"/>
      <c r="ASU58" s="88"/>
      <c r="ASV58" s="88"/>
      <c r="ASW58" s="88"/>
      <c r="ASX58" s="88"/>
      <c r="ASY58" s="88"/>
      <c r="ASZ58" s="88"/>
      <c r="ATA58" s="88"/>
      <c r="ATB58" s="88"/>
      <c r="ATC58" s="88"/>
      <c r="ATD58" s="88"/>
      <c r="ATE58" s="88"/>
      <c r="ATF58" s="88"/>
      <c r="ATG58" s="88"/>
      <c r="ATH58" s="88"/>
      <c r="ATI58" s="88"/>
      <c r="ATJ58" s="88"/>
      <c r="ATK58" s="88"/>
      <c r="ATL58" s="88"/>
      <c r="ATM58" s="88"/>
      <c r="ATN58" s="88"/>
      <c r="ATO58" s="88"/>
      <c r="ATP58" s="88"/>
      <c r="ATQ58" s="88"/>
      <c r="ATR58" s="88"/>
      <c r="ATS58" s="88"/>
      <c r="ATT58" s="88"/>
      <c r="ATU58" s="88"/>
      <c r="ATV58" s="88"/>
      <c r="ATW58" s="88"/>
      <c r="ATX58" s="88"/>
      <c r="ATY58" s="88"/>
      <c r="ATZ58" s="88"/>
      <c r="AUA58" s="88"/>
      <c r="AUB58" s="88"/>
      <c r="AUC58" s="88"/>
      <c r="AUD58" s="88"/>
      <c r="AUE58" s="88"/>
      <c r="AUF58" s="88"/>
      <c r="AUG58" s="88"/>
      <c r="AUH58" s="88"/>
      <c r="AUI58" s="88"/>
      <c r="AUJ58" s="88"/>
      <c r="AUK58" s="88"/>
      <c r="AUL58" s="88"/>
      <c r="AUM58" s="88"/>
      <c r="AUN58" s="88"/>
      <c r="AUO58" s="88"/>
      <c r="AUP58" s="88"/>
      <c r="AUQ58" s="88"/>
      <c r="AUR58" s="88"/>
      <c r="AUS58" s="88"/>
      <c r="AUT58" s="88"/>
      <c r="AUU58" s="88"/>
      <c r="AUV58" s="88"/>
      <c r="AUW58" s="88"/>
      <c r="AUX58" s="88"/>
      <c r="AUY58" s="88"/>
      <c r="AUZ58" s="88"/>
      <c r="AVA58" s="88"/>
      <c r="AVB58" s="88"/>
      <c r="AVC58" s="88"/>
      <c r="AVD58" s="88"/>
      <c r="AVE58" s="88"/>
      <c r="AVF58" s="88"/>
      <c r="AVG58" s="88"/>
      <c r="AVH58" s="88"/>
      <c r="AVI58" s="88"/>
      <c r="AVJ58" s="88"/>
      <c r="AVK58" s="88"/>
      <c r="AVL58" s="88"/>
      <c r="AVM58" s="88"/>
      <c r="AVN58" s="88"/>
      <c r="AVO58" s="88"/>
      <c r="AVP58" s="88"/>
      <c r="AVQ58" s="88"/>
      <c r="AVR58" s="88"/>
      <c r="AVS58" s="88"/>
      <c r="AVT58" s="88"/>
      <c r="AVU58" s="88"/>
      <c r="AVV58" s="88"/>
      <c r="AVW58" s="88"/>
      <c r="AVX58" s="88"/>
      <c r="AVY58" s="88"/>
      <c r="AVZ58" s="88"/>
      <c r="AWA58" s="88"/>
      <c r="AWB58" s="88"/>
      <c r="AWC58" s="88"/>
      <c r="AWD58" s="88"/>
      <c r="AWE58" s="88"/>
      <c r="AWF58" s="88"/>
      <c r="AWG58" s="88"/>
      <c r="AWH58" s="88"/>
      <c r="AWI58" s="88"/>
      <c r="AWJ58" s="88"/>
      <c r="AWK58" s="88"/>
      <c r="AWL58" s="88"/>
      <c r="AWM58" s="88"/>
      <c r="AWN58" s="88"/>
      <c r="AWO58" s="88"/>
      <c r="AWP58" s="88"/>
      <c r="AWQ58" s="88"/>
      <c r="AWR58" s="88"/>
      <c r="AWS58" s="88"/>
      <c r="AWT58" s="88"/>
      <c r="AWU58" s="88"/>
      <c r="AWV58" s="88"/>
      <c r="AWW58" s="88"/>
      <c r="AWX58" s="88"/>
      <c r="AWY58" s="88"/>
      <c r="AWZ58" s="88"/>
      <c r="AXA58" s="88"/>
      <c r="AXB58" s="88"/>
      <c r="AXC58" s="88"/>
      <c r="AXD58" s="88"/>
      <c r="AXE58" s="88"/>
      <c r="AXF58" s="88"/>
      <c r="AXG58" s="88"/>
      <c r="AXH58" s="88"/>
      <c r="AXI58" s="88"/>
      <c r="AXJ58" s="88"/>
      <c r="AXK58" s="88"/>
      <c r="AXL58" s="88"/>
      <c r="AXM58" s="88"/>
      <c r="AXN58" s="88"/>
      <c r="AXO58" s="88"/>
      <c r="AXP58" s="88"/>
      <c r="AXQ58" s="88"/>
      <c r="AXR58" s="88"/>
      <c r="AXS58" s="88"/>
      <c r="AXT58" s="88"/>
      <c r="AXU58" s="88"/>
      <c r="AXV58" s="88"/>
      <c r="AXW58" s="88"/>
      <c r="AXX58" s="88"/>
      <c r="AXY58" s="88"/>
      <c r="AXZ58" s="88"/>
      <c r="AYA58" s="88"/>
      <c r="AYB58" s="88"/>
      <c r="AYC58" s="88"/>
      <c r="AYD58" s="88"/>
      <c r="AYE58" s="88"/>
      <c r="AYF58" s="88"/>
      <c r="AYG58" s="88"/>
      <c r="AYH58" s="88"/>
      <c r="AYI58" s="88"/>
      <c r="AYJ58" s="88"/>
      <c r="AYK58" s="88"/>
      <c r="AYL58" s="88"/>
      <c r="AYM58" s="88"/>
      <c r="AYN58" s="88"/>
      <c r="AYO58" s="88"/>
      <c r="AYP58" s="88"/>
      <c r="AYQ58" s="88"/>
      <c r="AYR58" s="88"/>
      <c r="AYS58" s="88"/>
      <c r="AYT58" s="88"/>
      <c r="AYU58" s="88"/>
      <c r="AYV58" s="88"/>
      <c r="AYW58" s="88"/>
      <c r="AYX58" s="88"/>
      <c r="AYY58" s="88"/>
      <c r="AYZ58" s="88"/>
      <c r="AZA58" s="88"/>
      <c r="AZB58" s="88"/>
      <c r="AZC58" s="88"/>
      <c r="AZD58" s="88"/>
      <c r="AZE58" s="88"/>
      <c r="AZF58" s="88"/>
      <c r="AZG58" s="88"/>
      <c r="AZH58" s="88"/>
      <c r="AZI58" s="88"/>
      <c r="AZJ58" s="88"/>
      <c r="AZK58" s="88"/>
      <c r="AZL58" s="88"/>
      <c r="AZM58" s="88"/>
      <c r="AZN58" s="88"/>
      <c r="AZO58" s="88"/>
      <c r="AZP58" s="88"/>
      <c r="AZQ58" s="88"/>
      <c r="AZR58" s="88"/>
      <c r="AZS58" s="88"/>
      <c r="AZT58" s="88"/>
      <c r="AZU58" s="88"/>
      <c r="AZV58" s="88"/>
      <c r="AZW58" s="88"/>
      <c r="AZX58" s="88"/>
      <c r="AZY58" s="88"/>
      <c r="AZZ58" s="88"/>
      <c r="BAA58" s="88"/>
      <c r="BAB58" s="88"/>
      <c r="BAC58" s="88"/>
      <c r="BAD58" s="88"/>
      <c r="BAE58" s="88"/>
      <c r="BAF58" s="88"/>
      <c r="BAG58" s="88"/>
      <c r="BAH58" s="88"/>
      <c r="BAI58" s="88"/>
      <c r="BAJ58" s="88"/>
      <c r="BAK58" s="88"/>
      <c r="BAL58" s="88"/>
      <c r="BAM58" s="88"/>
      <c r="BAN58" s="88"/>
      <c r="BAO58" s="88"/>
      <c r="BAP58" s="88"/>
      <c r="BAQ58" s="88"/>
      <c r="BAR58" s="88"/>
      <c r="BAS58" s="88"/>
      <c r="BAT58" s="88"/>
      <c r="BAU58" s="88"/>
      <c r="BAV58" s="88"/>
      <c r="BAW58" s="88"/>
      <c r="BAX58" s="88"/>
      <c r="BAY58" s="88"/>
      <c r="BAZ58" s="88"/>
      <c r="BBA58" s="88"/>
      <c r="BBB58" s="88"/>
      <c r="BBC58" s="88"/>
      <c r="BBD58" s="88"/>
      <c r="BBE58" s="88"/>
      <c r="BBF58" s="88"/>
      <c r="BBG58" s="88"/>
      <c r="BBH58" s="88"/>
      <c r="BBI58" s="88"/>
      <c r="BBJ58" s="88"/>
      <c r="BBK58" s="88"/>
      <c r="BBL58" s="88"/>
      <c r="BBM58" s="88"/>
      <c r="BBN58" s="88"/>
      <c r="BBO58" s="88"/>
      <c r="BBP58" s="88"/>
      <c r="BBQ58" s="88"/>
      <c r="BBR58" s="88"/>
      <c r="BBS58" s="88"/>
      <c r="BBT58" s="88"/>
      <c r="BBU58" s="88"/>
      <c r="BBV58" s="88"/>
      <c r="BBW58" s="88"/>
      <c r="BBX58" s="88"/>
      <c r="BBY58" s="88"/>
      <c r="BBZ58" s="88"/>
      <c r="BCA58" s="88"/>
      <c r="BCB58" s="88"/>
      <c r="BCC58" s="88"/>
      <c r="BCD58" s="88"/>
      <c r="BCE58" s="88"/>
      <c r="BCF58" s="88"/>
      <c r="BCG58" s="88"/>
      <c r="BCH58" s="88"/>
      <c r="BCI58" s="88"/>
      <c r="BCJ58" s="88"/>
      <c r="BCK58" s="88"/>
      <c r="BCL58" s="88"/>
      <c r="BCM58" s="88"/>
      <c r="BCN58" s="88"/>
      <c r="BCO58" s="88"/>
      <c r="BCP58" s="88"/>
      <c r="BCQ58" s="88"/>
      <c r="BCR58" s="88"/>
      <c r="BCS58" s="88"/>
      <c r="BCT58" s="88"/>
      <c r="BCU58" s="88"/>
      <c r="BCV58" s="88"/>
      <c r="BCW58" s="88"/>
      <c r="BCX58" s="88"/>
      <c r="BCY58" s="88"/>
      <c r="BCZ58" s="88"/>
      <c r="BDA58" s="88"/>
      <c r="BDB58" s="88"/>
      <c r="BDC58" s="88"/>
      <c r="BDD58" s="88"/>
      <c r="BDE58" s="88"/>
      <c r="BDF58" s="88"/>
      <c r="BDG58" s="88"/>
      <c r="BDH58" s="88"/>
      <c r="BDI58" s="88"/>
      <c r="BDJ58" s="88"/>
      <c r="BDK58" s="88"/>
      <c r="BDL58" s="88"/>
      <c r="BDM58" s="88"/>
      <c r="BDN58" s="88"/>
      <c r="BDO58" s="88"/>
      <c r="BDP58" s="88"/>
      <c r="BDQ58" s="88"/>
      <c r="BDR58" s="88"/>
      <c r="BDS58" s="88"/>
      <c r="BDT58" s="88"/>
      <c r="BDU58" s="88"/>
      <c r="BDV58" s="88"/>
      <c r="BDW58" s="88"/>
      <c r="BDX58" s="88"/>
      <c r="BDY58" s="88"/>
      <c r="BDZ58" s="88"/>
      <c r="BEA58" s="88"/>
      <c r="BEB58" s="88"/>
      <c r="BEC58" s="88"/>
      <c r="BED58" s="88"/>
      <c r="BEE58" s="88"/>
      <c r="BEF58" s="88"/>
      <c r="BEG58" s="88"/>
      <c r="BEH58" s="88"/>
      <c r="BEI58" s="88"/>
      <c r="BEJ58" s="88"/>
      <c r="BEK58" s="88"/>
      <c r="BEL58" s="88"/>
      <c r="BEM58" s="88"/>
      <c r="BEN58" s="88"/>
      <c r="BEO58" s="88"/>
      <c r="BEP58" s="88"/>
      <c r="BEQ58" s="88"/>
      <c r="BER58" s="88"/>
      <c r="BES58" s="88"/>
      <c r="BET58" s="88"/>
      <c r="BEU58" s="88"/>
      <c r="BEV58" s="88"/>
      <c r="BEW58" s="88"/>
      <c r="BEX58" s="88"/>
      <c r="BEY58" s="88"/>
      <c r="BEZ58" s="88"/>
      <c r="BFA58" s="88"/>
      <c r="BFB58" s="88"/>
      <c r="BFC58" s="88"/>
      <c r="BFD58" s="88"/>
      <c r="BFE58" s="88"/>
      <c r="BFF58" s="88"/>
      <c r="BFG58" s="88"/>
      <c r="BFH58" s="88"/>
      <c r="BFI58" s="88"/>
      <c r="BFJ58" s="88"/>
      <c r="BFK58" s="88"/>
      <c r="BFL58" s="88"/>
      <c r="BFM58" s="88"/>
      <c r="BFN58" s="88"/>
      <c r="BFO58" s="88"/>
      <c r="BFP58" s="88"/>
      <c r="BFQ58" s="88"/>
      <c r="BFR58" s="88"/>
      <c r="BFS58" s="88"/>
      <c r="BFT58" s="88"/>
      <c r="BFU58" s="88"/>
      <c r="BFV58" s="88"/>
      <c r="BFW58" s="88"/>
      <c r="BFX58" s="88"/>
      <c r="BFY58" s="88"/>
      <c r="BFZ58" s="88"/>
      <c r="BGA58" s="88"/>
      <c r="BGB58" s="88"/>
      <c r="BGC58" s="88"/>
      <c r="BGD58" s="88"/>
      <c r="BGE58" s="88"/>
      <c r="BGF58" s="88"/>
      <c r="BGG58" s="88"/>
      <c r="BGH58" s="88"/>
      <c r="BGI58" s="88"/>
      <c r="BGJ58" s="88"/>
      <c r="BGK58" s="88"/>
      <c r="BGL58" s="88"/>
      <c r="BGM58" s="88"/>
      <c r="BGN58" s="88"/>
      <c r="BGO58" s="88"/>
      <c r="BGP58" s="88"/>
      <c r="BGQ58" s="88"/>
      <c r="BGR58" s="88"/>
      <c r="BGS58" s="88"/>
      <c r="BGT58" s="88"/>
      <c r="BGU58" s="88"/>
      <c r="BGV58" s="88"/>
      <c r="BGW58" s="88"/>
      <c r="BGX58" s="88"/>
      <c r="BGY58" s="88"/>
      <c r="BGZ58" s="88"/>
      <c r="BHA58" s="88"/>
      <c r="BHB58" s="88"/>
      <c r="BHC58" s="88"/>
      <c r="BHD58" s="88"/>
      <c r="BHE58" s="88"/>
      <c r="BHF58" s="88"/>
      <c r="BHG58" s="88"/>
      <c r="BHH58" s="88"/>
      <c r="BHI58" s="88"/>
      <c r="BHJ58" s="88"/>
      <c r="BHK58" s="88"/>
      <c r="BHL58" s="88"/>
      <c r="BHM58" s="88"/>
      <c r="BHN58" s="88"/>
      <c r="BHO58" s="88"/>
      <c r="BHP58" s="88"/>
      <c r="BHQ58" s="88"/>
      <c r="BHR58" s="88"/>
      <c r="BHS58" s="88"/>
      <c r="BHT58" s="88"/>
      <c r="BHU58" s="88"/>
      <c r="BHV58" s="88"/>
      <c r="BHW58" s="88"/>
      <c r="BHX58" s="88"/>
      <c r="BHY58" s="88"/>
      <c r="BHZ58" s="88"/>
      <c r="BIA58" s="88"/>
      <c r="BIB58" s="88"/>
      <c r="BIC58" s="88"/>
      <c r="BID58" s="88"/>
      <c r="BIE58" s="88"/>
      <c r="BIF58" s="88"/>
      <c r="BIG58" s="88"/>
      <c r="BIH58" s="88"/>
      <c r="BII58" s="88"/>
      <c r="BIJ58" s="88"/>
      <c r="BIK58" s="88"/>
      <c r="BIL58" s="88"/>
      <c r="BIM58" s="88"/>
      <c r="BIN58" s="88"/>
      <c r="BIO58" s="88"/>
      <c r="BIP58" s="88"/>
      <c r="BIQ58" s="88"/>
      <c r="BIR58" s="88"/>
      <c r="BIS58" s="88"/>
      <c r="BIT58" s="88"/>
      <c r="BIU58" s="88"/>
      <c r="BIV58" s="88"/>
      <c r="BIW58" s="88"/>
      <c r="BIX58" s="88"/>
      <c r="BIY58" s="88"/>
      <c r="BIZ58" s="88"/>
      <c r="BJA58" s="88"/>
      <c r="BJB58" s="88"/>
      <c r="BJC58" s="88"/>
      <c r="BJD58" s="88"/>
      <c r="BJE58" s="88"/>
      <c r="BJF58" s="88"/>
      <c r="BJG58" s="88"/>
      <c r="BJH58" s="88"/>
      <c r="BJI58" s="88"/>
      <c r="BJJ58" s="88"/>
      <c r="BJK58" s="88"/>
      <c r="BJL58" s="88"/>
      <c r="BJM58" s="88"/>
      <c r="BJN58" s="88"/>
      <c r="BJO58" s="88"/>
      <c r="BJP58" s="88"/>
      <c r="BJQ58" s="88"/>
      <c r="BJR58" s="88"/>
      <c r="BJS58" s="88"/>
      <c r="BJT58" s="88"/>
      <c r="BJU58" s="88"/>
      <c r="BJV58" s="88"/>
      <c r="BJW58" s="88"/>
      <c r="BJX58" s="88"/>
      <c r="BJY58" s="88"/>
      <c r="BJZ58" s="88"/>
      <c r="BKA58" s="88"/>
      <c r="BKB58" s="88"/>
      <c r="BKC58" s="88"/>
      <c r="BKD58" s="88"/>
      <c r="BKE58" s="88"/>
      <c r="BKF58" s="88"/>
      <c r="BKG58" s="88"/>
      <c r="BKH58" s="88"/>
      <c r="BKI58" s="88"/>
      <c r="BKJ58" s="88"/>
      <c r="BKK58" s="88"/>
      <c r="BKL58" s="88"/>
      <c r="BKM58" s="88"/>
      <c r="BKN58" s="88"/>
      <c r="BKO58" s="88"/>
      <c r="BKP58" s="88"/>
      <c r="BKQ58" s="88"/>
      <c r="BKR58" s="88"/>
      <c r="BKS58" s="88"/>
      <c r="BKT58" s="88"/>
      <c r="BKU58" s="88"/>
      <c r="BKV58" s="88"/>
      <c r="BKW58" s="88"/>
      <c r="BKX58" s="88"/>
      <c r="BKY58" s="88"/>
      <c r="BKZ58" s="88"/>
      <c r="BLA58" s="88"/>
      <c r="BLB58" s="88"/>
      <c r="BLC58" s="88"/>
      <c r="BLD58" s="88"/>
      <c r="BLE58" s="88"/>
      <c r="BLF58" s="88"/>
      <c r="BLG58" s="88"/>
      <c r="BLH58" s="88"/>
      <c r="BLI58" s="88"/>
      <c r="BLJ58" s="88"/>
      <c r="BLK58" s="88"/>
      <c r="BLL58" s="88"/>
      <c r="BLM58" s="88"/>
      <c r="BLN58" s="88"/>
      <c r="BLO58" s="88"/>
      <c r="BLP58" s="88"/>
      <c r="BLQ58" s="88"/>
      <c r="BLR58" s="88"/>
      <c r="BLS58" s="88"/>
      <c r="BLT58" s="88"/>
      <c r="BLU58" s="88"/>
      <c r="BLV58" s="88"/>
      <c r="BLW58" s="88"/>
      <c r="BLX58" s="88"/>
      <c r="BLY58" s="88"/>
      <c r="BLZ58" s="88"/>
      <c r="BMA58" s="88"/>
      <c r="BMB58" s="88"/>
      <c r="BMC58" s="88"/>
      <c r="BMD58" s="88"/>
      <c r="BME58" s="88"/>
      <c r="BMF58" s="88"/>
      <c r="BMG58" s="88"/>
      <c r="BMH58" s="88"/>
      <c r="BMI58" s="88"/>
      <c r="BMJ58" s="88"/>
      <c r="BMK58" s="88"/>
      <c r="BML58" s="88"/>
      <c r="BMM58" s="88"/>
      <c r="BMN58" s="88"/>
      <c r="BMO58" s="88"/>
      <c r="BMP58" s="88"/>
      <c r="BMQ58" s="88"/>
      <c r="BMR58" s="88"/>
      <c r="BMS58" s="88"/>
      <c r="BMT58" s="88"/>
      <c r="BMU58" s="88"/>
      <c r="BMV58" s="88"/>
      <c r="BMW58" s="88"/>
      <c r="BMX58" s="88"/>
      <c r="BMY58" s="88"/>
      <c r="BMZ58" s="88"/>
      <c r="BNA58" s="88"/>
      <c r="BNB58" s="88"/>
      <c r="BNC58" s="88"/>
      <c r="BND58" s="88"/>
      <c r="BNE58" s="88"/>
      <c r="BNF58" s="88"/>
      <c r="BNG58" s="88"/>
      <c r="BNH58" s="88"/>
      <c r="BNI58" s="88"/>
      <c r="BNJ58" s="88"/>
      <c r="BNK58" s="88"/>
      <c r="BNL58" s="88"/>
      <c r="BNM58" s="88"/>
      <c r="BNN58" s="88"/>
      <c r="BNO58" s="88"/>
      <c r="BNP58" s="88"/>
      <c r="BNQ58" s="88"/>
      <c r="BNR58" s="88"/>
      <c r="BNS58" s="88"/>
      <c r="BNT58" s="88"/>
      <c r="BNU58" s="88"/>
      <c r="BNV58" s="88"/>
      <c r="BNW58" s="88"/>
      <c r="BNX58" s="88"/>
      <c r="BNY58" s="88"/>
      <c r="BNZ58" s="88"/>
      <c r="BOA58" s="88"/>
      <c r="BOB58" s="88"/>
      <c r="BOC58" s="88"/>
      <c r="BOD58" s="88"/>
      <c r="BOE58" s="88"/>
      <c r="BOF58" s="88"/>
      <c r="BOG58" s="88"/>
      <c r="BOH58" s="88"/>
      <c r="BOI58" s="88"/>
      <c r="BOJ58" s="88"/>
      <c r="BOK58" s="88"/>
      <c r="BOL58" s="88"/>
      <c r="BOM58" s="88"/>
      <c r="BON58" s="88"/>
      <c r="BOO58" s="88"/>
      <c r="BOP58" s="88"/>
      <c r="BOQ58" s="88"/>
      <c r="BOR58" s="88"/>
      <c r="BOS58" s="88"/>
      <c r="BOT58" s="88"/>
      <c r="BOU58" s="88"/>
      <c r="BOV58" s="88"/>
      <c r="BOW58" s="88"/>
      <c r="BOX58" s="88"/>
      <c r="BOY58" s="88"/>
      <c r="BOZ58" s="88"/>
      <c r="BPA58" s="88"/>
      <c r="BPB58" s="88"/>
      <c r="BPC58" s="88"/>
      <c r="BPD58" s="88"/>
      <c r="BPE58" s="88"/>
      <c r="BPF58" s="88"/>
      <c r="BPG58" s="88"/>
      <c r="BPH58" s="88"/>
      <c r="BPI58" s="88"/>
      <c r="BPJ58" s="88"/>
      <c r="BPK58" s="88"/>
      <c r="BPL58" s="88"/>
      <c r="BPM58" s="88"/>
      <c r="BPN58" s="88"/>
      <c r="BPO58" s="88"/>
      <c r="BPP58" s="88"/>
      <c r="BPQ58" s="88"/>
      <c r="BPR58" s="88"/>
      <c r="BPS58" s="88"/>
      <c r="BPT58" s="88"/>
      <c r="BPU58" s="88"/>
      <c r="BPV58" s="88"/>
      <c r="BPW58" s="88"/>
      <c r="BPX58" s="88"/>
      <c r="BPY58" s="88"/>
      <c r="BPZ58" s="88"/>
      <c r="BQA58" s="88"/>
      <c r="BQB58" s="88"/>
      <c r="BQC58" s="88"/>
      <c r="BQD58" s="88"/>
      <c r="BQE58" s="88"/>
      <c r="BQF58" s="88"/>
      <c r="BQG58" s="88"/>
      <c r="BQH58" s="88"/>
      <c r="BQI58" s="88"/>
      <c r="BQJ58" s="88"/>
      <c r="BQK58" s="88"/>
      <c r="BQL58" s="88"/>
      <c r="BQM58" s="88"/>
      <c r="BQN58" s="88"/>
      <c r="BQO58" s="88"/>
      <c r="BQP58" s="88"/>
      <c r="BQQ58" s="88"/>
      <c r="BQR58" s="88"/>
      <c r="BQS58" s="88"/>
      <c r="BQT58" s="88"/>
      <c r="BQU58" s="88"/>
      <c r="BQV58" s="88"/>
      <c r="BQW58" s="88"/>
      <c r="BQX58" s="88"/>
      <c r="BQY58" s="88"/>
      <c r="BQZ58" s="88"/>
      <c r="BRA58" s="88"/>
      <c r="BRB58" s="88"/>
      <c r="BRC58" s="88"/>
      <c r="BRD58" s="88"/>
      <c r="BRE58" s="88"/>
      <c r="BRF58" s="88"/>
      <c r="BRG58" s="88"/>
      <c r="BRH58" s="88"/>
      <c r="BRI58" s="88"/>
      <c r="BRJ58" s="88"/>
      <c r="BRK58" s="88"/>
      <c r="BRL58" s="88"/>
      <c r="BRM58" s="88"/>
      <c r="BRN58" s="88"/>
      <c r="BRO58" s="88"/>
      <c r="BRP58" s="88"/>
      <c r="BRQ58" s="88"/>
      <c r="BRR58" s="88"/>
      <c r="BRS58" s="88"/>
      <c r="BRT58" s="88"/>
      <c r="BRU58" s="88"/>
      <c r="BRV58" s="88"/>
      <c r="BRW58" s="88"/>
      <c r="BRX58" s="88"/>
      <c r="BRY58" s="88"/>
      <c r="BRZ58" s="88"/>
      <c r="BSA58" s="88"/>
      <c r="BSB58" s="88"/>
      <c r="BSC58" s="88"/>
      <c r="BSD58" s="88"/>
      <c r="BSE58" s="88"/>
      <c r="BSF58" s="88"/>
      <c r="BSG58" s="88"/>
      <c r="BSH58" s="88"/>
      <c r="BSI58" s="88"/>
      <c r="BSJ58" s="88"/>
      <c r="BSK58" s="88"/>
      <c r="BSL58" s="88"/>
      <c r="BSM58" s="88"/>
      <c r="BSN58" s="88"/>
      <c r="BSO58" s="88"/>
      <c r="BSP58" s="88"/>
      <c r="BSQ58" s="88"/>
      <c r="BSR58" s="88"/>
      <c r="BSS58" s="88"/>
      <c r="BST58" s="88"/>
      <c r="BSU58" s="88"/>
      <c r="BSV58" s="88"/>
      <c r="BSW58" s="88"/>
      <c r="BSX58" s="88"/>
      <c r="BSY58" s="88"/>
      <c r="BSZ58" s="88"/>
      <c r="BTA58" s="88"/>
      <c r="BTB58" s="88"/>
      <c r="BTC58" s="88"/>
      <c r="BTD58" s="88"/>
      <c r="BTE58" s="88"/>
      <c r="BTF58" s="88"/>
      <c r="BTG58" s="88"/>
      <c r="BTH58" s="88"/>
      <c r="BTI58" s="88"/>
      <c r="BTJ58" s="88"/>
      <c r="BTK58" s="88"/>
      <c r="BTL58" s="88"/>
      <c r="BTM58" s="88"/>
      <c r="BTN58" s="88"/>
      <c r="BTO58" s="88"/>
      <c r="BTP58" s="88"/>
      <c r="BTQ58" s="88"/>
      <c r="BTR58" s="88"/>
      <c r="BTS58" s="88"/>
      <c r="BTT58" s="88"/>
      <c r="BTU58" s="88"/>
      <c r="BTV58" s="88"/>
      <c r="BTW58" s="88"/>
      <c r="BTX58" s="88"/>
      <c r="BTY58" s="88"/>
      <c r="BTZ58" s="88"/>
      <c r="BUA58" s="88"/>
      <c r="BUB58" s="88"/>
      <c r="BUC58" s="88"/>
      <c r="BUD58" s="88"/>
      <c r="BUE58" s="88"/>
      <c r="BUF58" s="88"/>
      <c r="BUG58" s="88"/>
      <c r="BUH58" s="88"/>
      <c r="BUI58" s="88"/>
      <c r="BUJ58" s="88"/>
      <c r="BUK58" s="88"/>
      <c r="BUL58" s="88"/>
      <c r="BUM58" s="88"/>
      <c r="BUN58" s="88"/>
      <c r="BUO58" s="88"/>
      <c r="BUP58" s="88"/>
      <c r="BUQ58" s="88"/>
      <c r="BUR58" s="88"/>
      <c r="BUS58" s="88"/>
      <c r="BUT58" s="88"/>
      <c r="BUU58" s="88"/>
      <c r="BUV58" s="88"/>
      <c r="BUW58" s="88"/>
      <c r="BUX58" s="88"/>
      <c r="BUY58" s="88"/>
      <c r="BUZ58" s="88"/>
      <c r="BVA58" s="88"/>
      <c r="BVB58" s="88"/>
      <c r="BVC58" s="88"/>
      <c r="BVD58" s="88"/>
      <c r="BVE58" s="88"/>
      <c r="BVF58" s="88"/>
      <c r="BVG58" s="88"/>
      <c r="BVH58" s="88"/>
      <c r="BVI58" s="88"/>
      <c r="BVJ58" s="88"/>
      <c r="BVK58" s="88"/>
      <c r="BVL58" s="88"/>
      <c r="BVM58" s="88"/>
      <c r="BVN58" s="88"/>
      <c r="BVO58" s="88"/>
      <c r="BVP58" s="88"/>
      <c r="BVQ58" s="88"/>
      <c r="BVR58" s="88"/>
      <c r="BVS58" s="88"/>
      <c r="BVT58" s="88"/>
      <c r="BVU58" s="88"/>
      <c r="BVV58" s="88"/>
      <c r="BVW58" s="88"/>
      <c r="BVX58" s="88"/>
      <c r="BVY58" s="88"/>
      <c r="BVZ58" s="88"/>
      <c r="BWA58" s="88"/>
      <c r="BWB58" s="88"/>
      <c r="BWC58" s="88"/>
      <c r="BWD58" s="88"/>
      <c r="BWE58" s="88"/>
      <c r="BWF58" s="88"/>
      <c r="BWG58" s="88"/>
      <c r="BWH58" s="88"/>
      <c r="BWI58" s="88"/>
      <c r="BWJ58" s="88"/>
      <c r="BWK58" s="88"/>
      <c r="BWL58" s="88"/>
      <c r="BWM58" s="88"/>
      <c r="BWN58" s="88"/>
      <c r="BWO58" s="88"/>
      <c r="BWP58" s="88"/>
      <c r="BWQ58" s="88"/>
      <c r="BWR58" s="88"/>
      <c r="BWS58" s="88"/>
      <c r="BWT58" s="88"/>
      <c r="BWU58" s="88"/>
      <c r="BWV58" s="88"/>
      <c r="BWW58" s="88"/>
      <c r="BWX58" s="88"/>
      <c r="BWY58" s="88"/>
      <c r="BWZ58" s="88"/>
      <c r="BXA58" s="88"/>
      <c r="BXB58" s="88"/>
      <c r="BXC58" s="88"/>
      <c r="BXD58" s="88"/>
      <c r="BXE58" s="88"/>
      <c r="BXF58" s="88"/>
      <c r="BXG58" s="88"/>
      <c r="BXH58" s="88"/>
      <c r="BXI58" s="88"/>
      <c r="BXJ58" s="88"/>
      <c r="BXK58" s="88"/>
      <c r="BXL58" s="88"/>
      <c r="BXM58" s="88"/>
      <c r="BXN58" s="88"/>
      <c r="BXO58" s="88"/>
      <c r="BXP58" s="88"/>
      <c r="BXQ58" s="88"/>
      <c r="BXR58" s="88"/>
      <c r="BXS58" s="88"/>
      <c r="BXT58" s="88"/>
      <c r="BXU58" s="88"/>
      <c r="BXV58" s="88"/>
      <c r="BXW58" s="88"/>
      <c r="BXX58" s="88"/>
      <c r="BXY58" s="88"/>
      <c r="BXZ58" s="88"/>
      <c r="BYA58" s="88"/>
      <c r="BYB58" s="88"/>
      <c r="BYC58" s="88"/>
      <c r="BYD58" s="88"/>
      <c r="BYE58" s="88"/>
      <c r="BYF58" s="88"/>
      <c r="BYG58" s="88"/>
      <c r="BYH58" s="88"/>
      <c r="BYI58" s="88"/>
      <c r="BYJ58" s="88"/>
      <c r="BYK58" s="88"/>
      <c r="BYL58" s="88"/>
      <c r="BYM58" s="88"/>
      <c r="BYN58" s="88"/>
      <c r="BYO58" s="88"/>
      <c r="BYP58" s="88"/>
      <c r="BYQ58" s="88"/>
      <c r="BYR58" s="88"/>
      <c r="BYS58" s="88"/>
      <c r="BYT58" s="88"/>
      <c r="BYU58" s="88"/>
      <c r="BYV58" s="88"/>
      <c r="BYW58" s="88"/>
      <c r="BYX58" s="88"/>
      <c r="BYY58" s="88"/>
      <c r="BYZ58" s="88"/>
      <c r="BZA58" s="88"/>
      <c r="BZB58" s="88"/>
      <c r="BZC58" s="88"/>
      <c r="BZD58" s="88"/>
      <c r="BZE58" s="88"/>
      <c r="BZF58" s="88"/>
      <c r="BZG58" s="88"/>
      <c r="BZH58" s="88"/>
      <c r="BZI58" s="88"/>
      <c r="BZJ58" s="88"/>
      <c r="BZK58" s="88"/>
      <c r="BZL58" s="88"/>
      <c r="BZM58" s="88"/>
      <c r="BZN58" s="88"/>
      <c r="BZO58" s="88"/>
      <c r="BZP58" s="88"/>
      <c r="BZQ58" s="88"/>
      <c r="BZR58" s="88"/>
      <c r="BZS58" s="88"/>
      <c r="BZT58" s="88"/>
      <c r="BZU58" s="88"/>
      <c r="BZV58" s="88"/>
      <c r="BZW58" s="88"/>
      <c r="BZX58" s="88"/>
      <c r="BZY58" s="88"/>
      <c r="BZZ58" s="88"/>
      <c r="CAA58" s="88"/>
      <c r="CAB58" s="88"/>
      <c r="CAC58" s="88"/>
      <c r="CAD58" s="88"/>
      <c r="CAE58" s="88"/>
      <c r="CAF58" s="88"/>
      <c r="CAG58" s="88"/>
      <c r="CAH58" s="88"/>
      <c r="CAI58" s="88"/>
      <c r="CAJ58" s="88"/>
      <c r="CAK58" s="88"/>
      <c r="CAL58" s="88"/>
      <c r="CAM58" s="88"/>
      <c r="CAN58" s="88"/>
      <c r="CAO58" s="88"/>
      <c r="CAP58" s="88"/>
      <c r="CAQ58" s="88"/>
      <c r="CAR58" s="88"/>
      <c r="CAS58" s="88"/>
      <c r="CAT58" s="88"/>
      <c r="CAU58" s="88"/>
      <c r="CAV58" s="88"/>
      <c r="CAW58" s="88"/>
      <c r="CAX58" s="88"/>
      <c r="CAY58" s="88"/>
      <c r="CAZ58" s="88"/>
      <c r="CBA58" s="88"/>
      <c r="CBB58" s="88"/>
      <c r="CBC58" s="88"/>
      <c r="CBD58" s="88"/>
      <c r="CBE58" s="88"/>
      <c r="CBF58" s="88"/>
      <c r="CBG58" s="88"/>
      <c r="CBH58" s="88"/>
      <c r="CBI58" s="88"/>
      <c r="CBJ58" s="88"/>
      <c r="CBK58" s="88"/>
      <c r="CBL58" s="88"/>
      <c r="CBM58" s="88"/>
      <c r="CBN58" s="88"/>
      <c r="CBO58" s="88"/>
      <c r="CBP58" s="88"/>
      <c r="CBQ58" s="88"/>
      <c r="CBR58" s="88"/>
      <c r="CBS58" s="88"/>
      <c r="CBT58" s="88"/>
      <c r="CBU58" s="88"/>
      <c r="CBV58" s="88"/>
      <c r="CBW58" s="88"/>
      <c r="CBX58" s="88"/>
      <c r="CBY58" s="88"/>
      <c r="CBZ58" s="88"/>
      <c r="CCA58" s="88"/>
      <c r="CCB58" s="88"/>
      <c r="CCC58" s="88"/>
      <c r="CCD58" s="88"/>
      <c r="CCE58" s="88"/>
      <c r="CCF58" s="88"/>
      <c r="CCG58" s="88"/>
      <c r="CCH58" s="88"/>
      <c r="CCI58" s="88"/>
      <c r="CCJ58" s="88"/>
      <c r="CCK58" s="88"/>
      <c r="CCL58" s="88"/>
      <c r="CCM58" s="88"/>
      <c r="CCN58" s="88"/>
      <c r="CCO58" s="88"/>
      <c r="CCP58" s="88"/>
      <c r="CCQ58" s="88"/>
      <c r="CCR58" s="88"/>
      <c r="CCS58" s="88"/>
      <c r="CCT58" s="88"/>
      <c r="CCU58" s="88"/>
      <c r="CCV58" s="88"/>
      <c r="CCW58" s="88"/>
      <c r="CCX58" s="88"/>
      <c r="CCY58" s="88"/>
      <c r="CCZ58" s="88"/>
      <c r="CDA58" s="88"/>
      <c r="CDB58" s="88"/>
      <c r="CDC58" s="88"/>
      <c r="CDD58" s="88"/>
      <c r="CDE58" s="88"/>
      <c r="CDF58" s="88"/>
      <c r="CDG58" s="88"/>
      <c r="CDH58" s="88"/>
      <c r="CDI58" s="88"/>
      <c r="CDJ58" s="88"/>
      <c r="CDK58" s="88"/>
      <c r="CDL58" s="88"/>
      <c r="CDM58" s="88"/>
      <c r="CDN58" s="88"/>
      <c r="CDO58" s="88"/>
      <c r="CDP58" s="88"/>
      <c r="CDQ58" s="88"/>
      <c r="CDR58" s="88"/>
      <c r="CDS58" s="88"/>
      <c r="CDT58" s="88"/>
      <c r="CDU58" s="88"/>
      <c r="CDV58" s="88"/>
      <c r="CDW58" s="88"/>
      <c r="CDX58" s="88"/>
      <c r="CDY58" s="88"/>
      <c r="CDZ58" s="88"/>
      <c r="CEA58" s="88"/>
      <c r="CEB58" s="88"/>
      <c r="CEC58" s="88"/>
      <c r="CED58" s="88"/>
      <c r="CEE58" s="88"/>
      <c r="CEF58" s="88"/>
      <c r="CEG58" s="88"/>
      <c r="CEH58" s="88"/>
      <c r="CEI58" s="88"/>
      <c r="CEJ58" s="88"/>
      <c r="CEK58" s="88"/>
    </row>
    <row r="59" spans="1:2169" s="63" customFormat="1">
      <c r="A59" s="73" t="s">
        <v>422</v>
      </c>
      <c r="B59" s="71" t="s">
        <v>82</v>
      </c>
      <c r="C59" s="68" t="str">
        <f>IF('page 2'!$O$4="","",IF('page 2'!$O$4=Gestion!A59,1,0))</f>
        <v/>
      </c>
      <c r="D59" s="68" t="str">
        <f>IF('page 2'!$O$5="","",IF('page 2'!$O$5=Gestion!A59,1,0))</f>
        <v/>
      </c>
      <c r="E59" s="68" t="str">
        <f>IF('page 2'!$O$6="","",IF('page 2'!$O$6=Gestion!A59,1,0))</f>
        <v/>
      </c>
      <c r="F59" s="68" t="str">
        <f>IF('page 2'!$O$7="","",IF('page 2'!$O$7=Gestion!A59,1,0))</f>
        <v/>
      </c>
      <c r="G59" s="68" t="str">
        <f>IF('page 2'!$O$8="","",IF('page 2'!$O$8=Gestion!A59,1,0))</f>
        <v/>
      </c>
      <c r="H59" s="68" t="str">
        <f>IF('page 2'!$O$9="","",IF('page 2'!$O$9=Gestion!A59,1,0))</f>
        <v/>
      </c>
      <c r="I59" s="68" t="str">
        <f>IF('page 2'!$O$10="","",IF('page 2'!$O$10=Gestion!A59,1,0))</f>
        <v/>
      </c>
      <c r="J59" s="68" t="str">
        <f>IF('page 2'!$O$11="","",IF('page 2'!$O$11=Gestion!A59,1,0))</f>
        <v/>
      </c>
      <c r="K59" s="68" t="str">
        <f>IF('page 2'!$O$12="","",IF('page 2'!$O$12=Gestion!A59,1,0))</f>
        <v/>
      </c>
      <c r="L59" s="68" t="str">
        <f>IF('page 2'!$O$13="","",IF('page 2'!$O$13=Gestion!A59,1,0))</f>
        <v/>
      </c>
      <c r="M59" s="68" t="str">
        <f>IF('page 2'!$O$14="","",IF('page 2'!$O$14=Gestion!A59,1,0))</f>
        <v/>
      </c>
      <c r="N59" s="68" t="str">
        <f>IF('page 2'!$O$15="","",IF('page 2'!$O$15=Gestion!A59,1,0))</f>
        <v/>
      </c>
      <c r="O59" s="68" t="str">
        <f>IF('page 2'!$O$16="","",IF('page 2'!$O$16=Gestion!A59,1,0))</f>
        <v/>
      </c>
      <c r="P59" s="68" t="str">
        <f>IF('page 2'!$O$17="","",IF('page 2'!$O$17=Gestion!A59,1,0))</f>
        <v/>
      </c>
      <c r="Q59" s="68" t="str">
        <f>IF('page 2'!$O$18="","",IF('page 2'!$O$18=Gestion!A59,1,0))</f>
        <v/>
      </c>
      <c r="R59" s="68" t="str">
        <f>IF('page 2'!$O$19="","",IF('page 2'!$O$19=Gestion!A59,1,0))</f>
        <v/>
      </c>
      <c r="S59" s="68" t="str">
        <f>IF('page 2'!$O$20="","",IF('page 2'!$O$20=Gestion!A59,1,0))</f>
        <v/>
      </c>
      <c r="T59" s="68" t="str">
        <f>IF('page 2'!$O$25="","",IF('page 2'!$O$25=Gestion!A59,1,0))</f>
        <v/>
      </c>
      <c r="U59" s="68" t="str">
        <f>IF('page 2'!$O$26="","",IF('page 2'!$O$26=Gestion!A59,1,0))</f>
        <v/>
      </c>
      <c r="V59" s="68" t="str">
        <f>IF('page 2'!$O$27="","",IF('page 2'!$O$27=Gestion!A59,1,0))</f>
        <v/>
      </c>
      <c r="W59" s="722">
        <f t="shared" si="0"/>
        <v>0</v>
      </c>
      <c r="X59" s="714"/>
      <c r="Y59" s="68"/>
      <c r="Z59" s="68"/>
      <c r="AA59" s="68"/>
      <c r="AB59" s="68"/>
      <c r="AC59" s="68"/>
      <c r="AD59" s="68"/>
      <c r="AP59" s="130"/>
      <c r="AQ59" s="130"/>
      <c r="AR59" s="130"/>
      <c r="AS59" s="576"/>
      <c r="AT59" s="576"/>
      <c r="AU59" s="576"/>
      <c r="AV59" s="576"/>
      <c r="AW59" s="602"/>
      <c r="AX59" s="602"/>
      <c r="AY59" s="576"/>
      <c r="AZ59" s="576"/>
      <c r="BA59" s="576"/>
      <c r="BB59" s="576"/>
      <c r="BC59" s="576"/>
      <c r="BD59" s="602"/>
      <c r="BE59" s="602"/>
      <c r="BF59" s="602"/>
      <c r="BG59" s="602"/>
      <c r="BH59" s="602"/>
      <c r="BI59" s="602"/>
      <c r="BJ59" s="602"/>
      <c r="BK59" s="602"/>
      <c r="BL59" s="602"/>
      <c r="BM59" s="602"/>
      <c r="BN59" s="602"/>
      <c r="BO59" s="602"/>
      <c r="BP59" s="602"/>
      <c r="BQ59" s="602"/>
      <c r="BR59" s="602"/>
      <c r="BS59" s="576"/>
      <c r="BT59" s="576"/>
      <c r="BU59" s="576"/>
      <c r="BV59" s="576"/>
      <c r="BW59" s="602"/>
      <c r="BX59" s="602"/>
      <c r="BY59" s="602"/>
      <c r="BZ59" s="576"/>
      <c r="CA59" s="602"/>
      <c r="CB59" s="602"/>
      <c r="CC59" s="576"/>
      <c r="CD59" s="576"/>
      <c r="CE59" s="602"/>
      <c r="CF59" s="576"/>
      <c r="CG59" s="576"/>
      <c r="CH59" s="576"/>
      <c r="CI59" s="576"/>
      <c r="CJ59" s="576"/>
      <c r="CK59" s="602"/>
      <c r="CL59" s="602"/>
      <c r="CM59" s="576"/>
      <c r="CN59" s="602"/>
      <c r="CO59" s="602"/>
      <c r="CP59" s="602"/>
      <c r="CQ59" s="576"/>
      <c r="CR59" s="576"/>
      <c r="CS59" s="602"/>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c r="HF59" s="88"/>
      <c r="HG59" s="88"/>
      <c r="HH59" s="88"/>
      <c r="HI59" s="88"/>
      <c r="HJ59" s="88"/>
      <c r="HK59" s="88"/>
      <c r="HL59" s="88"/>
      <c r="HM59" s="88"/>
      <c r="HN59" s="88"/>
      <c r="HO59" s="88"/>
      <c r="HP59" s="88"/>
      <c r="HQ59" s="88"/>
      <c r="HR59" s="88"/>
      <c r="HS59" s="88"/>
      <c r="HT59" s="88"/>
      <c r="HU59" s="88"/>
      <c r="HV59" s="88"/>
      <c r="HW59" s="88"/>
      <c r="HX59" s="88"/>
      <c r="HY59" s="88"/>
      <c r="HZ59" s="88"/>
      <c r="IA59" s="88"/>
      <c r="IB59" s="88"/>
      <c r="IC59" s="88"/>
      <c r="ID59" s="88"/>
      <c r="IE59" s="88"/>
      <c r="IF59" s="88"/>
      <c r="IG59" s="88"/>
      <c r="IH59" s="88"/>
      <c r="II59" s="88"/>
      <c r="IJ59" s="88"/>
      <c r="IK59" s="88"/>
      <c r="IL59" s="88"/>
      <c r="IM59" s="88"/>
      <c r="IN59" s="88"/>
      <c r="IO59" s="88"/>
      <c r="IP59" s="88"/>
      <c r="IQ59" s="88"/>
      <c r="IR59" s="88"/>
      <c r="IS59" s="88"/>
      <c r="IT59" s="88"/>
      <c r="IU59" s="88"/>
      <c r="IV59" s="88"/>
      <c r="IW59" s="88"/>
      <c r="IX59" s="88"/>
      <c r="IY59" s="88"/>
      <c r="IZ59" s="88"/>
      <c r="JA59" s="88"/>
      <c r="JB59" s="88"/>
      <c r="JC59" s="88"/>
      <c r="JD59" s="88"/>
      <c r="JE59" s="88"/>
      <c r="JF59" s="88"/>
      <c r="JG59" s="88"/>
      <c r="JH59" s="88"/>
      <c r="JI59" s="88"/>
      <c r="JJ59" s="88"/>
      <c r="JK59" s="88"/>
      <c r="JL59" s="88"/>
      <c r="JM59" s="88"/>
      <c r="JN59" s="88"/>
      <c r="JO59" s="88"/>
      <c r="JP59" s="88"/>
      <c r="JQ59" s="88"/>
      <c r="JR59" s="88"/>
      <c r="JS59" s="88"/>
      <c r="JT59" s="88"/>
      <c r="JU59" s="88"/>
      <c r="JV59" s="88"/>
      <c r="JW59" s="88"/>
      <c r="JX59" s="88"/>
      <c r="JY59" s="88"/>
      <c r="JZ59" s="88"/>
      <c r="KA59" s="88"/>
      <c r="KB59" s="88"/>
      <c r="KC59" s="88"/>
      <c r="KD59" s="88"/>
      <c r="KE59" s="88"/>
      <c r="KF59" s="88"/>
      <c r="KG59" s="88"/>
      <c r="KH59" s="88"/>
      <c r="KI59" s="88"/>
      <c r="KJ59" s="88"/>
      <c r="KK59" s="88"/>
      <c r="KL59" s="88"/>
      <c r="KM59" s="88"/>
      <c r="KN59" s="88"/>
      <c r="KO59" s="88"/>
      <c r="KP59" s="88"/>
      <c r="KQ59" s="88"/>
      <c r="KR59" s="88"/>
      <c r="KS59" s="88"/>
      <c r="KT59" s="88"/>
      <c r="KU59" s="88"/>
      <c r="KV59" s="88"/>
      <c r="KW59" s="88"/>
      <c r="KX59" s="88"/>
      <c r="KY59" s="88"/>
      <c r="KZ59" s="88"/>
      <c r="LA59" s="88"/>
      <c r="LB59" s="88"/>
      <c r="LC59" s="88"/>
      <c r="LD59" s="88"/>
      <c r="LE59" s="88"/>
      <c r="LF59" s="88"/>
      <c r="LG59" s="88"/>
      <c r="LH59" s="88"/>
      <c r="LI59" s="88"/>
      <c r="LJ59" s="88"/>
      <c r="LK59" s="88"/>
      <c r="LL59" s="88"/>
      <c r="LM59" s="88"/>
      <c r="LN59" s="88"/>
      <c r="LO59" s="88"/>
      <c r="LP59" s="88"/>
      <c r="LQ59" s="88"/>
      <c r="LR59" s="88"/>
      <c r="LS59" s="88"/>
      <c r="LT59" s="88"/>
      <c r="LU59" s="88"/>
      <c r="LV59" s="88"/>
      <c r="LW59" s="88"/>
      <c r="LX59" s="88"/>
      <c r="LY59" s="88"/>
      <c r="LZ59" s="88"/>
      <c r="MA59" s="88"/>
      <c r="MB59" s="88"/>
      <c r="MC59" s="88"/>
      <c r="MD59" s="88"/>
      <c r="ME59" s="88"/>
      <c r="MF59" s="88"/>
      <c r="MG59" s="88"/>
      <c r="MH59" s="88"/>
      <c r="MI59" s="88"/>
      <c r="MJ59" s="88"/>
      <c r="MK59" s="88"/>
      <c r="ML59" s="88"/>
      <c r="MM59" s="88"/>
      <c r="MN59" s="88"/>
      <c r="MO59" s="88"/>
      <c r="MP59" s="88"/>
      <c r="MQ59" s="88"/>
      <c r="MR59" s="88"/>
      <c r="MS59" s="88"/>
      <c r="MT59" s="88"/>
      <c r="MU59" s="88"/>
      <c r="MV59" s="88"/>
      <c r="MW59" s="88"/>
      <c r="MX59" s="88"/>
      <c r="MY59" s="88"/>
      <c r="MZ59" s="88"/>
      <c r="NA59" s="88"/>
      <c r="NB59" s="88"/>
      <c r="NC59" s="88"/>
      <c r="ND59" s="88"/>
      <c r="NE59" s="88"/>
      <c r="NF59" s="88"/>
      <c r="NG59" s="88"/>
      <c r="NH59" s="88"/>
      <c r="NI59" s="88"/>
      <c r="NJ59" s="88"/>
      <c r="NK59" s="88"/>
      <c r="NL59" s="88"/>
      <c r="NM59" s="88"/>
      <c r="NN59" s="88"/>
      <c r="NO59" s="88"/>
      <c r="NP59" s="88"/>
      <c r="NQ59" s="88"/>
      <c r="NR59" s="88"/>
      <c r="NS59" s="88"/>
      <c r="NT59" s="88"/>
      <c r="NU59" s="88"/>
      <c r="NV59" s="88"/>
      <c r="NW59" s="88"/>
      <c r="NX59" s="88"/>
      <c r="NY59" s="88"/>
      <c r="NZ59" s="88"/>
      <c r="OA59" s="88"/>
      <c r="OB59" s="88"/>
      <c r="OC59" s="88"/>
      <c r="OD59" s="88"/>
      <c r="OE59" s="88"/>
      <c r="OF59" s="88"/>
      <c r="OG59" s="88"/>
      <c r="OH59" s="88"/>
      <c r="OI59" s="88"/>
      <c r="OJ59" s="88"/>
      <c r="OK59" s="88"/>
      <c r="OL59" s="88"/>
      <c r="OM59" s="88"/>
      <c r="ON59" s="88"/>
      <c r="OO59" s="88"/>
      <c r="OP59" s="88"/>
      <c r="OQ59" s="88"/>
      <c r="OR59" s="88"/>
      <c r="OS59" s="88"/>
      <c r="OT59" s="88"/>
      <c r="OU59" s="88"/>
      <c r="OV59" s="88"/>
      <c r="OW59" s="88"/>
      <c r="OX59" s="88"/>
      <c r="OY59" s="88"/>
      <c r="OZ59" s="88"/>
      <c r="PA59" s="88"/>
      <c r="PB59" s="88"/>
      <c r="PC59" s="88"/>
      <c r="PD59" s="88"/>
      <c r="PE59" s="88"/>
      <c r="PF59" s="88"/>
      <c r="PG59" s="88"/>
      <c r="PH59" s="88"/>
      <c r="PI59" s="88"/>
      <c r="PJ59" s="88"/>
      <c r="PK59" s="88"/>
      <c r="PL59" s="88"/>
      <c r="PM59" s="88"/>
      <c r="PN59" s="88"/>
      <c r="PO59" s="88"/>
      <c r="PP59" s="88"/>
      <c r="PQ59" s="88"/>
      <c r="PR59" s="88"/>
      <c r="PS59" s="88"/>
      <c r="PT59" s="88"/>
      <c r="PU59" s="88"/>
      <c r="PV59" s="88"/>
      <c r="PW59" s="88"/>
      <c r="PX59" s="88"/>
      <c r="PY59" s="88"/>
      <c r="PZ59" s="88"/>
      <c r="QA59" s="88"/>
      <c r="QB59" s="88"/>
      <c r="QC59" s="88"/>
      <c r="QD59" s="88"/>
      <c r="QE59" s="88"/>
      <c r="QF59" s="88"/>
      <c r="QG59" s="88"/>
      <c r="QH59" s="88"/>
      <c r="QI59" s="88"/>
      <c r="QJ59" s="88"/>
      <c r="QK59" s="88"/>
      <c r="QL59" s="88"/>
      <c r="QM59" s="88"/>
      <c r="QN59" s="88"/>
      <c r="QO59" s="88"/>
      <c r="QP59" s="88"/>
      <c r="QQ59" s="88"/>
      <c r="QR59" s="88"/>
      <c r="QS59" s="88"/>
      <c r="QT59" s="88"/>
      <c r="QU59" s="88"/>
      <c r="QV59" s="88"/>
      <c r="QW59" s="88"/>
      <c r="QX59" s="88"/>
      <c r="QY59" s="88"/>
      <c r="QZ59" s="88"/>
      <c r="RA59" s="88"/>
      <c r="RB59" s="88"/>
      <c r="RC59" s="88"/>
      <c r="RD59" s="88"/>
      <c r="RE59" s="88"/>
      <c r="RF59" s="88"/>
      <c r="RG59" s="88"/>
      <c r="RH59" s="88"/>
      <c r="RI59" s="88"/>
      <c r="RJ59" s="88"/>
      <c r="RK59" s="88"/>
      <c r="RL59" s="88"/>
      <c r="RM59" s="88"/>
      <c r="RN59" s="88"/>
      <c r="RO59" s="88"/>
      <c r="RP59" s="88"/>
      <c r="RQ59" s="88"/>
      <c r="RR59" s="88"/>
      <c r="RS59" s="88"/>
      <c r="RT59" s="88"/>
      <c r="RU59" s="88"/>
      <c r="RV59" s="88"/>
      <c r="RW59" s="88"/>
      <c r="RX59" s="88"/>
      <c r="RY59" s="88"/>
      <c r="RZ59" s="88"/>
      <c r="SA59" s="88"/>
      <c r="SB59" s="88"/>
      <c r="SC59" s="88"/>
      <c r="SD59" s="88"/>
      <c r="SE59" s="88"/>
      <c r="SF59" s="88"/>
      <c r="SG59" s="88"/>
      <c r="SH59" s="88"/>
      <c r="SI59" s="88"/>
      <c r="SJ59" s="88"/>
      <c r="SK59" s="88"/>
      <c r="SL59" s="88"/>
      <c r="SM59" s="88"/>
      <c r="SN59" s="88"/>
      <c r="SO59" s="88"/>
      <c r="SP59" s="88"/>
      <c r="SQ59" s="88"/>
      <c r="SR59" s="88"/>
      <c r="SS59" s="88"/>
      <c r="ST59" s="88"/>
      <c r="SU59" s="88"/>
      <c r="SV59" s="88"/>
      <c r="SW59" s="88"/>
      <c r="SX59" s="88"/>
      <c r="SY59" s="88"/>
      <c r="SZ59" s="88"/>
      <c r="TA59" s="88"/>
      <c r="TB59" s="88"/>
      <c r="TC59" s="88"/>
      <c r="TD59" s="88"/>
      <c r="TE59" s="88"/>
      <c r="TF59" s="88"/>
      <c r="TG59" s="88"/>
      <c r="TH59" s="88"/>
      <c r="TI59" s="88"/>
      <c r="TJ59" s="88"/>
      <c r="TK59" s="88"/>
      <c r="TL59" s="88"/>
      <c r="TM59" s="88"/>
      <c r="TN59" s="88"/>
      <c r="TO59" s="88"/>
      <c r="TP59" s="88"/>
      <c r="TQ59" s="88"/>
      <c r="TR59" s="88"/>
      <c r="TS59" s="88"/>
      <c r="TT59" s="88"/>
      <c r="TU59" s="88"/>
      <c r="TV59" s="88"/>
      <c r="TW59" s="88"/>
      <c r="TX59" s="88"/>
      <c r="TY59" s="88"/>
      <c r="TZ59" s="88"/>
      <c r="UA59" s="88"/>
      <c r="UB59" s="88"/>
      <c r="UC59" s="88"/>
      <c r="UD59" s="88"/>
      <c r="UE59" s="88"/>
      <c r="UF59" s="88"/>
      <c r="UG59" s="88"/>
      <c r="UH59" s="88"/>
      <c r="UI59" s="88"/>
      <c r="UJ59" s="88"/>
      <c r="UK59" s="88"/>
      <c r="UL59" s="88"/>
      <c r="UM59" s="88"/>
      <c r="UN59" s="88"/>
      <c r="UO59" s="88"/>
      <c r="UP59" s="88"/>
      <c r="UQ59" s="88"/>
      <c r="UR59" s="88"/>
      <c r="US59" s="88"/>
      <c r="UT59" s="88"/>
      <c r="UU59" s="88"/>
      <c r="UV59" s="88"/>
      <c r="UW59" s="88"/>
      <c r="UX59" s="88"/>
      <c r="UY59" s="88"/>
      <c r="UZ59" s="88"/>
      <c r="VA59" s="88"/>
      <c r="VB59" s="88"/>
      <c r="VC59" s="88"/>
      <c r="VD59" s="88"/>
      <c r="VE59" s="88"/>
      <c r="VF59" s="88"/>
      <c r="VG59" s="88"/>
      <c r="VH59" s="88"/>
      <c r="VI59" s="88"/>
      <c r="VJ59" s="88"/>
      <c r="VK59" s="88"/>
      <c r="VL59" s="88"/>
      <c r="VM59" s="88"/>
      <c r="VN59" s="88"/>
      <c r="VO59" s="88"/>
      <c r="VP59" s="88"/>
      <c r="VQ59" s="88"/>
      <c r="VR59" s="88"/>
      <c r="VS59" s="88"/>
      <c r="VT59" s="88"/>
      <c r="VU59" s="88"/>
      <c r="VV59" s="88"/>
      <c r="VW59" s="88"/>
      <c r="VX59" s="88"/>
      <c r="VY59" s="88"/>
      <c r="VZ59" s="88"/>
      <c r="WA59" s="88"/>
      <c r="WB59" s="88"/>
      <c r="WC59" s="88"/>
      <c r="WD59" s="88"/>
      <c r="WE59" s="88"/>
      <c r="WF59" s="88"/>
      <c r="WG59" s="88"/>
      <c r="WH59" s="88"/>
      <c r="WI59" s="88"/>
      <c r="WJ59" s="88"/>
      <c r="WK59" s="88"/>
      <c r="WL59" s="88"/>
      <c r="WM59" s="88"/>
      <c r="WN59" s="88"/>
      <c r="WO59" s="88"/>
      <c r="WP59" s="88"/>
      <c r="WQ59" s="88"/>
      <c r="WR59" s="88"/>
      <c r="WS59" s="88"/>
      <c r="WT59" s="88"/>
      <c r="WU59" s="88"/>
      <c r="WV59" s="88"/>
      <c r="WW59" s="88"/>
      <c r="WX59" s="88"/>
      <c r="WY59" s="88"/>
      <c r="WZ59" s="88"/>
      <c r="XA59" s="88"/>
      <c r="XB59" s="88"/>
      <c r="XC59" s="88"/>
      <c r="XD59" s="88"/>
      <c r="XE59" s="88"/>
      <c r="XF59" s="88"/>
      <c r="XG59" s="88"/>
      <c r="XH59" s="88"/>
      <c r="XI59" s="88"/>
      <c r="XJ59" s="88"/>
      <c r="XK59" s="88"/>
      <c r="XL59" s="88"/>
      <c r="XM59" s="88"/>
      <c r="XN59" s="88"/>
      <c r="XO59" s="88"/>
      <c r="XP59" s="88"/>
      <c r="XQ59" s="88"/>
      <c r="XR59" s="88"/>
      <c r="XS59" s="88"/>
      <c r="XT59" s="88"/>
      <c r="XU59" s="88"/>
      <c r="XV59" s="88"/>
      <c r="XW59" s="88"/>
      <c r="XX59" s="88"/>
      <c r="XY59" s="88"/>
      <c r="XZ59" s="88"/>
      <c r="YA59" s="88"/>
      <c r="YB59" s="88"/>
      <c r="YC59" s="88"/>
      <c r="YD59" s="88"/>
      <c r="YE59" s="88"/>
      <c r="YF59" s="88"/>
      <c r="YG59" s="88"/>
      <c r="YH59" s="88"/>
      <c r="YI59" s="88"/>
      <c r="YJ59" s="88"/>
      <c r="YK59" s="88"/>
      <c r="YL59" s="88"/>
      <c r="YM59" s="88"/>
      <c r="YN59" s="88"/>
      <c r="YO59" s="88"/>
      <c r="YP59" s="88"/>
      <c r="YQ59" s="88"/>
      <c r="YR59" s="88"/>
      <c r="YS59" s="88"/>
      <c r="YT59" s="88"/>
      <c r="YU59" s="88"/>
      <c r="YV59" s="88"/>
      <c r="YW59" s="88"/>
      <c r="YX59" s="88"/>
      <c r="YY59" s="88"/>
      <c r="YZ59" s="88"/>
      <c r="ZA59" s="88"/>
      <c r="ZB59" s="88"/>
      <c r="ZC59" s="88"/>
      <c r="ZD59" s="88"/>
      <c r="ZE59" s="88"/>
      <c r="ZF59" s="88"/>
      <c r="ZG59" s="88"/>
      <c r="ZH59" s="88"/>
      <c r="ZI59" s="88"/>
      <c r="ZJ59" s="88"/>
      <c r="ZK59" s="88"/>
      <c r="ZL59" s="88"/>
      <c r="ZM59" s="88"/>
      <c r="ZN59" s="88"/>
      <c r="ZO59" s="88"/>
      <c r="ZP59" s="88"/>
      <c r="ZQ59" s="88"/>
      <c r="ZR59" s="88"/>
      <c r="ZS59" s="88"/>
      <c r="ZT59" s="88"/>
      <c r="ZU59" s="88"/>
      <c r="ZV59" s="88"/>
      <c r="ZW59" s="88"/>
      <c r="ZX59" s="88"/>
      <c r="ZY59" s="88"/>
      <c r="ZZ59" s="88"/>
      <c r="AAA59" s="88"/>
      <c r="AAB59" s="88"/>
      <c r="AAC59" s="88"/>
      <c r="AAD59" s="88"/>
      <c r="AAE59" s="88"/>
      <c r="AAF59" s="88"/>
      <c r="AAG59" s="88"/>
      <c r="AAH59" s="88"/>
      <c r="AAI59" s="88"/>
      <c r="AAJ59" s="88"/>
      <c r="AAK59" s="88"/>
      <c r="AAL59" s="88"/>
      <c r="AAM59" s="88"/>
      <c r="AAN59" s="88"/>
      <c r="AAO59" s="88"/>
      <c r="AAP59" s="88"/>
      <c r="AAQ59" s="88"/>
      <c r="AAR59" s="88"/>
      <c r="AAS59" s="88"/>
      <c r="AAT59" s="88"/>
      <c r="AAU59" s="88"/>
      <c r="AAV59" s="88"/>
      <c r="AAW59" s="88"/>
      <c r="AAX59" s="88"/>
      <c r="AAY59" s="88"/>
      <c r="AAZ59" s="88"/>
      <c r="ABA59" s="88"/>
      <c r="ABB59" s="88"/>
      <c r="ABC59" s="88"/>
      <c r="ABD59" s="88"/>
      <c r="ABE59" s="88"/>
      <c r="ABF59" s="88"/>
      <c r="ABG59" s="88"/>
      <c r="ABH59" s="88"/>
      <c r="ABI59" s="88"/>
      <c r="ABJ59" s="88"/>
      <c r="ABK59" s="88"/>
      <c r="ABL59" s="88"/>
      <c r="ABM59" s="88"/>
      <c r="ABN59" s="88"/>
      <c r="ABO59" s="88"/>
      <c r="ABP59" s="88"/>
      <c r="ABQ59" s="88"/>
      <c r="ABR59" s="88"/>
      <c r="ABS59" s="88"/>
      <c r="ABT59" s="88"/>
      <c r="ABU59" s="88"/>
      <c r="ABV59" s="88"/>
      <c r="ABW59" s="88"/>
      <c r="ABX59" s="88"/>
      <c r="ABY59" s="88"/>
      <c r="ABZ59" s="88"/>
      <c r="ACA59" s="88"/>
      <c r="ACB59" s="88"/>
      <c r="ACC59" s="88"/>
      <c r="ACD59" s="88"/>
      <c r="ACE59" s="88"/>
      <c r="ACF59" s="88"/>
      <c r="ACG59" s="88"/>
      <c r="ACH59" s="88"/>
      <c r="ACI59" s="88"/>
      <c r="ACJ59" s="88"/>
      <c r="ACK59" s="88"/>
      <c r="ACL59" s="88"/>
      <c r="ACM59" s="88"/>
      <c r="ACN59" s="88"/>
      <c r="ACO59" s="88"/>
      <c r="ACP59" s="88"/>
      <c r="ACQ59" s="88"/>
      <c r="ACR59" s="88"/>
      <c r="ACS59" s="88"/>
      <c r="ACT59" s="88"/>
      <c r="ACU59" s="88"/>
      <c r="ACV59" s="88"/>
      <c r="ACW59" s="88"/>
      <c r="ACX59" s="88"/>
      <c r="ACY59" s="88"/>
      <c r="ACZ59" s="88"/>
      <c r="ADA59" s="88"/>
      <c r="ADB59" s="88"/>
      <c r="ADC59" s="88"/>
      <c r="ADD59" s="88"/>
      <c r="ADE59" s="88"/>
      <c r="ADF59" s="88"/>
      <c r="ADG59" s="88"/>
      <c r="ADH59" s="88"/>
      <c r="ADI59" s="88"/>
      <c r="ADJ59" s="88"/>
      <c r="ADK59" s="88"/>
      <c r="ADL59" s="88"/>
      <c r="ADM59" s="88"/>
      <c r="ADN59" s="88"/>
      <c r="ADO59" s="88"/>
      <c r="ADP59" s="88"/>
      <c r="ADQ59" s="88"/>
      <c r="ADR59" s="88"/>
      <c r="ADS59" s="88"/>
      <c r="ADT59" s="88"/>
      <c r="ADU59" s="88"/>
      <c r="ADV59" s="88"/>
      <c r="ADW59" s="88"/>
      <c r="ADX59" s="88"/>
      <c r="ADY59" s="88"/>
      <c r="ADZ59" s="88"/>
      <c r="AEA59" s="88"/>
      <c r="AEB59" s="88"/>
      <c r="AEC59" s="88"/>
      <c r="AED59" s="88"/>
      <c r="AEE59" s="88"/>
      <c r="AEF59" s="88"/>
      <c r="AEG59" s="88"/>
      <c r="AEH59" s="88"/>
      <c r="AEI59" s="88"/>
      <c r="AEJ59" s="88"/>
      <c r="AEK59" s="88"/>
      <c r="AEL59" s="88"/>
      <c r="AEM59" s="88"/>
      <c r="AEN59" s="88"/>
      <c r="AEO59" s="88"/>
      <c r="AEP59" s="88"/>
      <c r="AEQ59" s="88"/>
      <c r="AER59" s="88"/>
      <c r="AES59" s="88"/>
      <c r="AET59" s="88"/>
      <c r="AEU59" s="88"/>
      <c r="AEV59" s="88"/>
      <c r="AEW59" s="88"/>
      <c r="AEX59" s="88"/>
      <c r="AEY59" s="88"/>
      <c r="AEZ59" s="88"/>
      <c r="AFA59" s="88"/>
      <c r="AFB59" s="88"/>
      <c r="AFC59" s="88"/>
      <c r="AFD59" s="88"/>
      <c r="AFE59" s="88"/>
      <c r="AFF59" s="88"/>
      <c r="AFG59" s="88"/>
      <c r="AFH59" s="88"/>
      <c r="AFI59" s="88"/>
      <c r="AFJ59" s="88"/>
      <c r="AFK59" s="88"/>
      <c r="AFL59" s="88"/>
      <c r="AFM59" s="88"/>
      <c r="AFN59" s="88"/>
      <c r="AFO59" s="88"/>
      <c r="AFP59" s="88"/>
      <c r="AFQ59" s="88"/>
      <c r="AFR59" s="88"/>
      <c r="AFS59" s="88"/>
      <c r="AFT59" s="88"/>
      <c r="AFU59" s="88"/>
      <c r="AFV59" s="88"/>
      <c r="AFW59" s="88"/>
      <c r="AFX59" s="88"/>
      <c r="AFY59" s="88"/>
      <c r="AFZ59" s="88"/>
      <c r="AGA59" s="88"/>
      <c r="AGB59" s="88"/>
      <c r="AGC59" s="88"/>
      <c r="AGD59" s="88"/>
      <c r="AGE59" s="88"/>
      <c r="AGF59" s="88"/>
      <c r="AGG59" s="88"/>
      <c r="AGH59" s="88"/>
      <c r="AGI59" s="88"/>
      <c r="AGJ59" s="88"/>
      <c r="AGK59" s="88"/>
      <c r="AGL59" s="88"/>
      <c r="AGM59" s="88"/>
      <c r="AGN59" s="88"/>
      <c r="AGO59" s="88"/>
      <c r="AGP59" s="88"/>
      <c r="AGQ59" s="88"/>
      <c r="AGR59" s="88"/>
      <c r="AGS59" s="88"/>
      <c r="AGT59" s="88"/>
      <c r="AGU59" s="88"/>
      <c r="AGV59" s="88"/>
      <c r="AGW59" s="88"/>
      <c r="AGX59" s="88"/>
      <c r="AGY59" s="88"/>
      <c r="AGZ59" s="88"/>
      <c r="AHA59" s="88"/>
      <c r="AHB59" s="88"/>
      <c r="AHC59" s="88"/>
      <c r="AHD59" s="88"/>
      <c r="AHE59" s="88"/>
      <c r="AHF59" s="88"/>
      <c r="AHG59" s="88"/>
      <c r="AHH59" s="88"/>
      <c r="AHI59" s="88"/>
      <c r="AHJ59" s="88"/>
      <c r="AHK59" s="88"/>
      <c r="AHL59" s="88"/>
      <c r="AHM59" s="88"/>
      <c r="AHN59" s="88"/>
      <c r="AHO59" s="88"/>
      <c r="AHP59" s="88"/>
      <c r="AHQ59" s="88"/>
      <c r="AHR59" s="88"/>
      <c r="AHS59" s="88"/>
      <c r="AHT59" s="88"/>
      <c r="AHU59" s="88"/>
      <c r="AHV59" s="88"/>
      <c r="AHW59" s="88"/>
      <c r="AHX59" s="88"/>
      <c r="AHY59" s="88"/>
      <c r="AHZ59" s="88"/>
      <c r="AIA59" s="88"/>
      <c r="AIB59" s="88"/>
      <c r="AIC59" s="88"/>
      <c r="AID59" s="88"/>
      <c r="AIE59" s="88"/>
      <c r="AIF59" s="88"/>
      <c r="AIG59" s="88"/>
      <c r="AIH59" s="88"/>
      <c r="AII59" s="88"/>
      <c r="AIJ59" s="88"/>
      <c r="AIK59" s="88"/>
      <c r="AIL59" s="88"/>
      <c r="AIM59" s="88"/>
      <c r="AIN59" s="88"/>
      <c r="AIO59" s="88"/>
      <c r="AIP59" s="88"/>
      <c r="AIQ59" s="88"/>
      <c r="AIR59" s="88"/>
      <c r="AIS59" s="88"/>
      <c r="AIT59" s="88"/>
      <c r="AIU59" s="88"/>
      <c r="AIV59" s="88"/>
      <c r="AIW59" s="88"/>
      <c r="AIX59" s="88"/>
      <c r="AIY59" s="88"/>
      <c r="AIZ59" s="88"/>
      <c r="AJA59" s="88"/>
      <c r="AJB59" s="88"/>
      <c r="AJC59" s="88"/>
      <c r="AJD59" s="88"/>
      <c r="AJE59" s="88"/>
      <c r="AJF59" s="88"/>
      <c r="AJG59" s="88"/>
      <c r="AJH59" s="88"/>
      <c r="AJI59" s="88"/>
      <c r="AJJ59" s="88"/>
      <c r="AJK59" s="88"/>
      <c r="AJL59" s="88"/>
      <c r="AJM59" s="88"/>
      <c r="AJN59" s="88"/>
      <c r="AJO59" s="88"/>
      <c r="AJP59" s="88"/>
      <c r="AJQ59" s="88"/>
      <c r="AJR59" s="88"/>
      <c r="AJS59" s="88"/>
      <c r="AJT59" s="88"/>
      <c r="AJU59" s="88"/>
      <c r="AJV59" s="88"/>
      <c r="AJW59" s="88"/>
      <c r="AJX59" s="88"/>
      <c r="AJY59" s="88"/>
      <c r="AJZ59" s="88"/>
      <c r="AKA59" s="88"/>
      <c r="AKB59" s="88"/>
      <c r="AKC59" s="88"/>
      <c r="AKD59" s="88"/>
      <c r="AKE59" s="88"/>
      <c r="AKF59" s="88"/>
      <c r="AKG59" s="88"/>
      <c r="AKH59" s="88"/>
      <c r="AKI59" s="88"/>
      <c r="AKJ59" s="88"/>
      <c r="AKK59" s="88"/>
      <c r="AKL59" s="88"/>
      <c r="AKM59" s="88"/>
      <c r="AKN59" s="88"/>
      <c r="AKO59" s="88"/>
      <c r="AKP59" s="88"/>
      <c r="AKQ59" s="88"/>
      <c r="AKR59" s="88"/>
      <c r="AKS59" s="88"/>
      <c r="AKT59" s="88"/>
      <c r="AKU59" s="88"/>
      <c r="AKV59" s="88"/>
      <c r="AKW59" s="88"/>
      <c r="AKX59" s="88"/>
      <c r="AKY59" s="88"/>
      <c r="AKZ59" s="88"/>
      <c r="ALA59" s="88"/>
      <c r="ALB59" s="88"/>
      <c r="ALC59" s="88"/>
      <c r="ALD59" s="88"/>
      <c r="ALE59" s="88"/>
      <c r="ALF59" s="88"/>
      <c r="ALG59" s="88"/>
      <c r="ALH59" s="88"/>
      <c r="ALI59" s="88"/>
      <c r="ALJ59" s="88"/>
      <c r="ALK59" s="88"/>
      <c r="ALL59" s="88"/>
      <c r="ALM59" s="88"/>
      <c r="ALN59" s="88"/>
      <c r="ALO59" s="88"/>
      <c r="ALP59" s="88"/>
      <c r="ALQ59" s="88"/>
      <c r="ALR59" s="88"/>
      <c r="ALS59" s="88"/>
      <c r="ALT59" s="88"/>
      <c r="ALU59" s="88"/>
      <c r="ALV59" s="88"/>
      <c r="ALW59" s="88"/>
      <c r="ALX59" s="88"/>
      <c r="ALY59" s="88"/>
      <c r="ALZ59" s="88"/>
      <c r="AMA59" s="88"/>
      <c r="AMB59" s="88"/>
      <c r="AMC59" s="88"/>
      <c r="AMD59" s="88"/>
      <c r="AME59" s="88"/>
      <c r="AMF59" s="88"/>
      <c r="AMG59" s="88"/>
      <c r="AMH59" s="88"/>
      <c r="AMI59" s="88"/>
      <c r="AMJ59" s="88"/>
      <c r="AMK59" s="88"/>
      <c r="AML59" s="88"/>
      <c r="AMM59" s="88"/>
      <c r="AMN59" s="88"/>
      <c r="AMO59" s="88"/>
      <c r="AMP59" s="88"/>
      <c r="AMQ59" s="88"/>
      <c r="AMR59" s="88"/>
      <c r="AMS59" s="88"/>
      <c r="AMT59" s="88"/>
      <c r="AMU59" s="88"/>
      <c r="AMV59" s="88"/>
      <c r="AMW59" s="88"/>
      <c r="AMX59" s="88"/>
      <c r="AMY59" s="88"/>
      <c r="AMZ59" s="88"/>
      <c r="ANA59" s="88"/>
      <c r="ANB59" s="88"/>
      <c r="ANC59" s="88"/>
      <c r="AND59" s="88"/>
      <c r="ANE59" s="88"/>
      <c r="ANF59" s="88"/>
      <c r="ANG59" s="88"/>
      <c r="ANH59" s="88"/>
      <c r="ANI59" s="88"/>
      <c r="ANJ59" s="88"/>
      <c r="ANK59" s="88"/>
      <c r="ANL59" s="88"/>
      <c r="ANM59" s="88"/>
      <c r="ANN59" s="88"/>
      <c r="ANO59" s="88"/>
      <c r="ANP59" s="88"/>
      <c r="ANQ59" s="88"/>
      <c r="ANR59" s="88"/>
      <c r="ANS59" s="88"/>
      <c r="ANT59" s="88"/>
      <c r="ANU59" s="88"/>
      <c r="ANV59" s="88"/>
      <c r="ANW59" s="88"/>
      <c r="ANX59" s="88"/>
      <c r="ANY59" s="88"/>
      <c r="ANZ59" s="88"/>
      <c r="AOA59" s="88"/>
      <c r="AOB59" s="88"/>
      <c r="AOC59" s="88"/>
      <c r="AOD59" s="88"/>
      <c r="AOE59" s="88"/>
      <c r="AOF59" s="88"/>
      <c r="AOG59" s="88"/>
      <c r="AOH59" s="88"/>
      <c r="AOI59" s="88"/>
      <c r="AOJ59" s="88"/>
      <c r="AOK59" s="88"/>
      <c r="AOL59" s="88"/>
      <c r="AOM59" s="88"/>
      <c r="AON59" s="88"/>
      <c r="AOO59" s="88"/>
      <c r="AOP59" s="88"/>
      <c r="AOQ59" s="88"/>
      <c r="AOR59" s="88"/>
      <c r="AOS59" s="88"/>
      <c r="AOT59" s="88"/>
      <c r="AOU59" s="88"/>
      <c r="AOV59" s="88"/>
      <c r="AOW59" s="88"/>
      <c r="AOX59" s="88"/>
      <c r="AOY59" s="88"/>
      <c r="AOZ59" s="88"/>
      <c r="APA59" s="88"/>
      <c r="APB59" s="88"/>
      <c r="APC59" s="88"/>
      <c r="APD59" s="88"/>
      <c r="APE59" s="88"/>
      <c r="APF59" s="88"/>
      <c r="APG59" s="88"/>
      <c r="APH59" s="88"/>
      <c r="API59" s="88"/>
      <c r="APJ59" s="88"/>
      <c r="APK59" s="88"/>
      <c r="APL59" s="88"/>
      <c r="APM59" s="88"/>
      <c r="APN59" s="88"/>
      <c r="APO59" s="88"/>
      <c r="APP59" s="88"/>
      <c r="APQ59" s="88"/>
      <c r="APR59" s="88"/>
      <c r="APS59" s="88"/>
      <c r="APT59" s="88"/>
      <c r="APU59" s="88"/>
      <c r="APV59" s="88"/>
      <c r="APW59" s="88"/>
      <c r="APX59" s="88"/>
      <c r="APY59" s="88"/>
      <c r="APZ59" s="88"/>
      <c r="AQA59" s="88"/>
      <c r="AQB59" s="88"/>
      <c r="AQC59" s="88"/>
      <c r="AQD59" s="88"/>
      <c r="AQE59" s="88"/>
      <c r="AQF59" s="88"/>
      <c r="AQG59" s="88"/>
      <c r="AQH59" s="88"/>
      <c r="AQI59" s="88"/>
      <c r="AQJ59" s="88"/>
      <c r="AQK59" s="88"/>
      <c r="AQL59" s="88"/>
      <c r="AQM59" s="88"/>
      <c r="AQN59" s="88"/>
      <c r="AQO59" s="88"/>
      <c r="AQP59" s="88"/>
      <c r="AQQ59" s="88"/>
      <c r="AQR59" s="88"/>
      <c r="AQS59" s="88"/>
      <c r="AQT59" s="88"/>
      <c r="AQU59" s="88"/>
      <c r="AQV59" s="88"/>
      <c r="AQW59" s="88"/>
      <c r="AQX59" s="88"/>
      <c r="AQY59" s="88"/>
      <c r="AQZ59" s="88"/>
      <c r="ARA59" s="88"/>
      <c r="ARB59" s="88"/>
      <c r="ARC59" s="88"/>
      <c r="ARD59" s="88"/>
      <c r="ARE59" s="88"/>
      <c r="ARF59" s="88"/>
      <c r="ARG59" s="88"/>
      <c r="ARH59" s="88"/>
      <c r="ARI59" s="88"/>
      <c r="ARJ59" s="88"/>
      <c r="ARK59" s="88"/>
      <c r="ARL59" s="88"/>
      <c r="ARM59" s="88"/>
      <c r="ARN59" s="88"/>
      <c r="ARO59" s="88"/>
      <c r="ARP59" s="88"/>
      <c r="ARQ59" s="88"/>
      <c r="ARR59" s="88"/>
      <c r="ARS59" s="88"/>
      <c r="ART59" s="88"/>
      <c r="ARU59" s="88"/>
      <c r="ARV59" s="88"/>
      <c r="ARW59" s="88"/>
      <c r="ARX59" s="88"/>
      <c r="ARY59" s="88"/>
      <c r="ARZ59" s="88"/>
      <c r="ASA59" s="88"/>
      <c r="ASB59" s="88"/>
      <c r="ASC59" s="88"/>
      <c r="ASD59" s="88"/>
      <c r="ASE59" s="88"/>
      <c r="ASF59" s="88"/>
      <c r="ASG59" s="88"/>
      <c r="ASH59" s="88"/>
      <c r="ASI59" s="88"/>
      <c r="ASJ59" s="88"/>
      <c r="ASK59" s="88"/>
      <c r="ASL59" s="88"/>
      <c r="ASM59" s="88"/>
      <c r="ASN59" s="88"/>
      <c r="ASO59" s="88"/>
      <c r="ASP59" s="88"/>
      <c r="ASQ59" s="88"/>
      <c r="ASR59" s="88"/>
      <c r="ASS59" s="88"/>
      <c r="AST59" s="88"/>
      <c r="ASU59" s="88"/>
      <c r="ASV59" s="88"/>
      <c r="ASW59" s="88"/>
      <c r="ASX59" s="88"/>
      <c r="ASY59" s="88"/>
      <c r="ASZ59" s="88"/>
      <c r="ATA59" s="88"/>
      <c r="ATB59" s="88"/>
      <c r="ATC59" s="88"/>
      <c r="ATD59" s="88"/>
      <c r="ATE59" s="88"/>
      <c r="ATF59" s="88"/>
      <c r="ATG59" s="88"/>
      <c r="ATH59" s="88"/>
      <c r="ATI59" s="88"/>
      <c r="ATJ59" s="88"/>
      <c r="ATK59" s="88"/>
      <c r="ATL59" s="88"/>
      <c r="ATM59" s="88"/>
      <c r="ATN59" s="88"/>
      <c r="ATO59" s="88"/>
      <c r="ATP59" s="88"/>
      <c r="ATQ59" s="88"/>
      <c r="ATR59" s="88"/>
      <c r="ATS59" s="88"/>
      <c r="ATT59" s="88"/>
      <c r="ATU59" s="88"/>
      <c r="ATV59" s="88"/>
      <c r="ATW59" s="88"/>
      <c r="ATX59" s="88"/>
      <c r="ATY59" s="88"/>
      <c r="ATZ59" s="88"/>
      <c r="AUA59" s="88"/>
      <c r="AUB59" s="88"/>
      <c r="AUC59" s="88"/>
      <c r="AUD59" s="88"/>
      <c r="AUE59" s="88"/>
      <c r="AUF59" s="88"/>
      <c r="AUG59" s="88"/>
      <c r="AUH59" s="88"/>
      <c r="AUI59" s="88"/>
      <c r="AUJ59" s="88"/>
      <c r="AUK59" s="88"/>
      <c r="AUL59" s="88"/>
      <c r="AUM59" s="88"/>
      <c r="AUN59" s="88"/>
      <c r="AUO59" s="88"/>
      <c r="AUP59" s="88"/>
      <c r="AUQ59" s="88"/>
      <c r="AUR59" s="88"/>
      <c r="AUS59" s="88"/>
      <c r="AUT59" s="88"/>
      <c r="AUU59" s="88"/>
      <c r="AUV59" s="88"/>
      <c r="AUW59" s="88"/>
      <c r="AUX59" s="88"/>
      <c r="AUY59" s="88"/>
      <c r="AUZ59" s="88"/>
      <c r="AVA59" s="88"/>
      <c r="AVB59" s="88"/>
      <c r="AVC59" s="88"/>
      <c r="AVD59" s="88"/>
      <c r="AVE59" s="88"/>
      <c r="AVF59" s="88"/>
      <c r="AVG59" s="88"/>
      <c r="AVH59" s="88"/>
      <c r="AVI59" s="88"/>
      <c r="AVJ59" s="88"/>
      <c r="AVK59" s="88"/>
      <c r="AVL59" s="88"/>
      <c r="AVM59" s="88"/>
      <c r="AVN59" s="88"/>
      <c r="AVO59" s="88"/>
      <c r="AVP59" s="88"/>
      <c r="AVQ59" s="88"/>
      <c r="AVR59" s="88"/>
      <c r="AVS59" s="88"/>
      <c r="AVT59" s="88"/>
      <c r="AVU59" s="88"/>
      <c r="AVV59" s="88"/>
      <c r="AVW59" s="88"/>
      <c r="AVX59" s="88"/>
      <c r="AVY59" s="88"/>
      <c r="AVZ59" s="88"/>
      <c r="AWA59" s="88"/>
      <c r="AWB59" s="88"/>
      <c r="AWC59" s="88"/>
      <c r="AWD59" s="88"/>
      <c r="AWE59" s="88"/>
      <c r="AWF59" s="88"/>
      <c r="AWG59" s="88"/>
      <c r="AWH59" s="88"/>
      <c r="AWI59" s="88"/>
      <c r="AWJ59" s="88"/>
      <c r="AWK59" s="88"/>
      <c r="AWL59" s="88"/>
      <c r="AWM59" s="88"/>
      <c r="AWN59" s="88"/>
      <c r="AWO59" s="88"/>
      <c r="AWP59" s="88"/>
      <c r="AWQ59" s="88"/>
      <c r="AWR59" s="88"/>
      <c r="AWS59" s="88"/>
      <c r="AWT59" s="88"/>
      <c r="AWU59" s="88"/>
      <c r="AWV59" s="88"/>
      <c r="AWW59" s="88"/>
      <c r="AWX59" s="88"/>
      <c r="AWY59" s="88"/>
      <c r="AWZ59" s="88"/>
      <c r="AXA59" s="88"/>
      <c r="AXB59" s="88"/>
      <c r="AXC59" s="88"/>
      <c r="AXD59" s="88"/>
      <c r="AXE59" s="88"/>
      <c r="AXF59" s="88"/>
      <c r="AXG59" s="88"/>
      <c r="AXH59" s="88"/>
      <c r="AXI59" s="88"/>
      <c r="AXJ59" s="88"/>
      <c r="AXK59" s="88"/>
      <c r="AXL59" s="88"/>
      <c r="AXM59" s="88"/>
      <c r="AXN59" s="88"/>
      <c r="AXO59" s="88"/>
      <c r="AXP59" s="88"/>
      <c r="AXQ59" s="88"/>
      <c r="AXR59" s="88"/>
      <c r="AXS59" s="88"/>
      <c r="AXT59" s="88"/>
      <c r="AXU59" s="88"/>
      <c r="AXV59" s="88"/>
      <c r="AXW59" s="88"/>
      <c r="AXX59" s="88"/>
      <c r="AXY59" s="88"/>
      <c r="AXZ59" s="88"/>
      <c r="AYA59" s="88"/>
      <c r="AYB59" s="88"/>
      <c r="AYC59" s="88"/>
      <c r="AYD59" s="88"/>
      <c r="AYE59" s="88"/>
      <c r="AYF59" s="88"/>
      <c r="AYG59" s="88"/>
      <c r="AYH59" s="88"/>
      <c r="AYI59" s="88"/>
      <c r="AYJ59" s="88"/>
      <c r="AYK59" s="88"/>
      <c r="AYL59" s="88"/>
      <c r="AYM59" s="88"/>
      <c r="AYN59" s="88"/>
      <c r="AYO59" s="88"/>
      <c r="AYP59" s="88"/>
      <c r="AYQ59" s="88"/>
      <c r="AYR59" s="88"/>
      <c r="AYS59" s="88"/>
      <c r="AYT59" s="88"/>
      <c r="AYU59" s="88"/>
      <c r="AYV59" s="88"/>
      <c r="AYW59" s="88"/>
      <c r="AYX59" s="88"/>
      <c r="AYY59" s="88"/>
      <c r="AYZ59" s="88"/>
      <c r="AZA59" s="88"/>
      <c r="AZB59" s="88"/>
      <c r="AZC59" s="88"/>
      <c r="AZD59" s="88"/>
      <c r="AZE59" s="88"/>
      <c r="AZF59" s="88"/>
      <c r="AZG59" s="88"/>
      <c r="AZH59" s="88"/>
      <c r="AZI59" s="88"/>
      <c r="AZJ59" s="88"/>
      <c r="AZK59" s="88"/>
      <c r="AZL59" s="88"/>
      <c r="AZM59" s="88"/>
      <c r="AZN59" s="88"/>
      <c r="AZO59" s="88"/>
      <c r="AZP59" s="88"/>
      <c r="AZQ59" s="88"/>
      <c r="AZR59" s="88"/>
      <c r="AZS59" s="88"/>
      <c r="AZT59" s="88"/>
      <c r="AZU59" s="88"/>
      <c r="AZV59" s="88"/>
      <c r="AZW59" s="88"/>
      <c r="AZX59" s="88"/>
      <c r="AZY59" s="88"/>
      <c r="AZZ59" s="88"/>
      <c r="BAA59" s="88"/>
      <c r="BAB59" s="88"/>
      <c r="BAC59" s="88"/>
      <c r="BAD59" s="88"/>
      <c r="BAE59" s="88"/>
      <c r="BAF59" s="88"/>
      <c r="BAG59" s="88"/>
      <c r="BAH59" s="88"/>
      <c r="BAI59" s="88"/>
      <c r="BAJ59" s="88"/>
      <c r="BAK59" s="88"/>
      <c r="BAL59" s="88"/>
      <c r="BAM59" s="88"/>
      <c r="BAN59" s="88"/>
      <c r="BAO59" s="88"/>
      <c r="BAP59" s="88"/>
      <c r="BAQ59" s="88"/>
      <c r="BAR59" s="88"/>
      <c r="BAS59" s="88"/>
      <c r="BAT59" s="88"/>
      <c r="BAU59" s="88"/>
      <c r="BAV59" s="88"/>
      <c r="BAW59" s="88"/>
      <c r="BAX59" s="88"/>
      <c r="BAY59" s="88"/>
      <c r="BAZ59" s="88"/>
      <c r="BBA59" s="88"/>
      <c r="BBB59" s="88"/>
      <c r="BBC59" s="88"/>
      <c r="BBD59" s="88"/>
      <c r="BBE59" s="88"/>
      <c r="BBF59" s="88"/>
      <c r="BBG59" s="88"/>
      <c r="BBH59" s="88"/>
      <c r="BBI59" s="88"/>
      <c r="BBJ59" s="88"/>
      <c r="BBK59" s="88"/>
      <c r="BBL59" s="88"/>
      <c r="BBM59" s="88"/>
      <c r="BBN59" s="88"/>
      <c r="BBO59" s="88"/>
      <c r="BBP59" s="88"/>
      <c r="BBQ59" s="88"/>
      <c r="BBR59" s="88"/>
      <c r="BBS59" s="88"/>
      <c r="BBT59" s="88"/>
      <c r="BBU59" s="88"/>
      <c r="BBV59" s="88"/>
      <c r="BBW59" s="88"/>
      <c r="BBX59" s="88"/>
      <c r="BBY59" s="88"/>
      <c r="BBZ59" s="88"/>
      <c r="BCA59" s="88"/>
      <c r="BCB59" s="88"/>
      <c r="BCC59" s="88"/>
      <c r="BCD59" s="88"/>
      <c r="BCE59" s="88"/>
      <c r="BCF59" s="88"/>
      <c r="BCG59" s="88"/>
      <c r="BCH59" s="88"/>
      <c r="BCI59" s="88"/>
      <c r="BCJ59" s="88"/>
      <c r="BCK59" s="88"/>
      <c r="BCL59" s="88"/>
      <c r="BCM59" s="88"/>
      <c r="BCN59" s="88"/>
      <c r="BCO59" s="88"/>
      <c r="BCP59" s="88"/>
      <c r="BCQ59" s="88"/>
      <c r="BCR59" s="88"/>
      <c r="BCS59" s="88"/>
      <c r="BCT59" s="88"/>
      <c r="BCU59" s="88"/>
      <c r="BCV59" s="88"/>
      <c r="BCW59" s="88"/>
      <c r="BCX59" s="88"/>
      <c r="BCY59" s="88"/>
      <c r="BCZ59" s="88"/>
      <c r="BDA59" s="88"/>
      <c r="BDB59" s="88"/>
      <c r="BDC59" s="88"/>
      <c r="BDD59" s="88"/>
      <c r="BDE59" s="88"/>
      <c r="BDF59" s="88"/>
      <c r="BDG59" s="88"/>
      <c r="BDH59" s="88"/>
      <c r="BDI59" s="88"/>
      <c r="BDJ59" s="88"/>
      <c r="BDK59" s="88"/>
      <c r="BDL59" s="88"/>
      <c r="BDM59" s="88"/>
      <c r="BDN59" s="88"/>
      <c r="BDO59" s="88"/>
      <c r="BDP59" s="88"/>
      <c r="BDQ59" s="88"/>
      <c r="BDR59" s="88"/>
      <c r="BDS59" s="88"/>
      <c r="BDT59" s="88"/>
      <c r="BDU59" s="88"/>
      <c r="BDV59" s="88"/>
      <c r="BDW59" s="88"/>
      <c r="BDX59" s="88"/>
      <c r="BDY59" s="88"/>
      <c r="BDZ59" s="88"/>
      <c r="BEA59" s="88"/>
      <c r="BEB59" s="88"/>
      <c r="BEC59" s="88"/>
      <c r="BED59" s="88"/>
      <c r="BEE59" s="88"/>
      <c r="BEF59" s="88"/>
      <c r="BEG59" s="88"/>
      <c r="BEH59" s="88"/>
      <c r="BEI59" s="88"/>
      <c r="BEJ59" s="88"/>
      <c r="BEK59" s="88"/>
      <c r="BEL59" s="88"/>
      <c r="BEM59" s="88"/>
      <c r="BEN59" s="88"/>
      <c r="BEO59" s="88"/>
      <c r="BEP59" s="88"/>
      <c r="BEQ59" s="88"/>
      <c r="BER59" s="88"/>
      <c r="BES59" s="88"/>
      <c r="BET59" s="88"/>
      <c r="BEU59" s="88"/>
      <c r="BEV59" s="88"/>
      <c r="BEW59" s="88"/>
      <c r="BEX59" s="88"/>
      <c r="BEY59" s="88"/>
      <c r="BEZ59" s="88"/>
      <c r="BFA59" s="88"/>
      <c r="BFB59" s="88"/>
      <c r="BFC59" s="88"/>
      <c r="BFD59" s="88"/>
      <c r="BFE59" s="88"/>
      <c r="BFF59" s="88"/>
      <c r="BFG59" s="88"/>
      <c r="BFH59" s="88"/>
      <c r="BFI59" s="88"/>
      <c r="BFJ59" s="88"/>
      <c r="BFK59" s="88"/>
      <c r="BFL59" s="88"/>
      <c r="BFM59" s="88"/>
      <c r="BFN59" s="88"/>
      <c r="BFO59" s="88"/>
      <c r="BFP59" s="88"/>
      <c r="BFQ59" s="88"/>
      <c r="BFR59" s="88"/>
      <c r="BFS59" s="88"/>
      <c r="BFT59" s="88"/>
      <c r="BFU59" s="88"/>
      <c r="BFV59" s="88"/>
      <c r="BFW59" s="88"/>
      <c r="BFX59" s="88"/>
      <c r="BFY59" s="88"/>
      <c r="BFZ59" s="88"/>
      <c r="BGA59" s="88"/>
      <c r="BGB59" s="88"/>
      <c r="BGC59" s="88"/>
      <c r="BGD59" s="88"/>
      <c r="BGE59" s="88"/>
      <c r="BGF59" s="88"/>
      <c r="BGG59" s="88"/>
      <c r="BGH59" s="88"/>
      <c r="BGI59" s="88"/>
      <c r="BGJ59" s="88"/>
      <c r="BGK59" s="88"/>
      <c r="BGL59" s="88"/>
      <c r="BGM59" s="88"/>
      <c r="BGN59" s="88"/>
      <c r="BGO59" s="88"/>
      <c r="BGP59" s="88"/>
      <c r="BGQ59" s="88"/>
      <c r="BGR59" s="88"/>
      <c r="BGS59" s="88"/>
      <c r="BGT59" s="88"/>
      <c r="BGU59" s="88"/>
      <c r="BGV59" s="88"/>
      <c r="BGW59" s="88"/>
      <c r="BGX59" s="88"/>
      <c r="BGY59" s="88"/>
      <c r="BGZ59" s="88"/>
      <c r="BHA59" s="88"/>
      <c r="BHB59" s="88"/>
      <c r="BHC59" s="88"/>
      <c r="BHD59" s="88"/>
      <c r="BHE59" s="88"/>
      <c r="BHF59" s="88"/>
      <c r="BHG59" s="88"/>
      <c r="BHH59" s="88"/>
      <c r="BHI59" s="88"/>
      <c r="BHJ59" s="88"/>
      <c r="BHK59" s="88"/>
      <c r="BHL59" s="88"/>
      <c r="BHM59" s="88"/>
      <c r="BHN59" s="88"/>
      <c r="BHO59" s="88"/>
      <c r="BHP59" s="88"/>
      <c r="BHQ59" s="88"/>
      <c r="BHR59" s="88"/>
      <c r="BHS59" s="88"/>
      <c r="BHT59" s="88"/>
      <c r="BHU59" s="88"/>
      <c r="BHV59" s="88"/>
      <c r="BHW59" s="88"/>
      <c r="BHX59" s="88"/>
      <c r="BHY59" s="88"/>
      <c r="BHZ59" s="88"/>
      <c r="BIA59" s="88"/>
      <c r="BIB59" s="88"/>
      <c r="BIC59" s="88"/>
      <c r="BID59" s="88"/>
      <c r="BIE59" s="88"/>
      <c r="BIF59" s="88"/>
      <c r="BIG59" s="88"/>
      <c r="BIH59" s="88"/>
      <c r="BII59" s="88"/>
      <c r="BIJ59" s="88"/>
      <c r="BIK59" s="88"/>
      <c r="BIL59" s="88"/>
      <c r="BIM59" s="88"/>
      <c r="BIN59" s="88"/>
      <c r="BIO59" s="88"/>
      <c r="BIP59" s="88"/>
      <c r="BIQ59" s="88"/>
      <c r="BIR59" s="88"/>
      <c r="BIS59" s="88"/>
      <c r="BIT59" s="88"/>
      <c r="BIU59" s="88"/>
      <c r="BIV59" s="88"/>
      <c r="BIW59" s="88"/>
      <c r="BIX59" s="88"/>
      <c r="BIY59" s="88"/>
      <c r="BIZ59" s="88"/>
      <c r="BJA59" s="88"/>
      <c r="BJB59" s="88"/>
      <c r="BJC59" s="88"/>
      <c r="BJD59" s="88"/>
      <c r="BJE59" s="88"/>
      <c r="BJF59" s="88"/>
      <c r="BJG59" s="88"/>
      <c r="BJH59" s="88"/>
      <c r="BJI59" s="88"/>
      <c r="BJJ59" s="88"/>
      <c r="BJK59" s="88"/>
      <c r="BJL59" s="88"/>
      <c r="BJM59" s="88"/>
      <c r="BJN59" s="88"/>
      <c r="BJO59" s="88"/>
      <c r="BJP59" s="88"/>
      <c r="BJQ59" s="88"/>
      <c r="BJR59" s="88"/>
      <c r="BJS59" s="88"/>
      <c r="BJT59" s="88"/>
      <c r="BJU59" s="88"/>
      <c r="BJV59" s="88"/>
      <c r="BJW59" s="88"/>
      <c r="BJX59" s="88"/>
      <c r="BJY59" s="88"/>
      <c r="BJZ59" s="88"/>
      <c r="BKA59" s="88"/>
      <c r="BKB59" s="88"/>
      <c r="BKC59" s="88"/>
      <c r="BKD59" s="88"/>
      <c r="BKE59" s="88"/>
      <c r="BKF59" s="88"/>
      <c r="BKG59" s="88"/>
      <c r="BKH59" s="88"/>
      <c r="BKI59" s="88"/>
      <c r="BKJ59" s="88"/>
      <c r="BKK59" s="88"/>
      <c r="BKL59" s="88"/>
      <c r="BKM59" s="88"/>
      <c r="BKN59" s="88"/>
      <c r="BKO59" s="88"/>
      <c r="BKP59" s="88"/>
      <c r="BKQ59" s="88"/>
      <c r="BKR59" s="88"/>
      <c r="BKS59" s="88"/>
      <c r="BKT59" s="88"/>
      <c r="BKU59" s="88"/>
      <c r="BKV59" s="88"/>
      <c r="BKW59" s="88"/>
      <c r="BKX59" s="88"/>
      <c r="BKY59" s="88"/>
      <c r="BKZ59" s="88"/>
      <c r="BLA59" s="88"/>
      <c r="BLB59" s="88"/>
      <c r="BLC59" s="88"/>
      <c r="BLD59" s="88"/>
      <c r="BLE59" s="88"/>
      <c r="BLF59" s="88"/>
      <c r="BLG59" s="88"/>
      <c r="BLH59" s="88"/>
      <c r="BLI59" s="88"/>
      <c r="BLJ59" s="88"/>
      <c r="BLK59" s="88"/>
      <c r="BLL59" s="88"/>
      <c r="BLM59" s="88"/>
      <c r="BLN59" s="88"/>
      <c r="BLO59" s="88"/>
      <c r="BLP59" s="88"/>
      <c r="BLQ59" s="88"/>
      <c r="BLR59" s="88"/>
      <c r="BLS59" s="88"/>
      <c r="BLT59" s="88"/>
      <c r="BLU59" s="88"/>
      <c r="BLV59" s="88"/>
      <c r="BLW59" s="88"/>
      <c r="BLX59" s="88"/>
      <c r="BLY59" s="88"/>
      <c r="BLZ59" s="88"/>
      <c r="BMA59" s="88"/>
      <c r="BMB59" s="88"/>
      <c r="BMC59" s="88"/>
      <c r="BMD59" s="88"/>
      <c r="BME59" s="88"/>
      <c r="BMF59" s="88"/>
      <c r="BMG59" s="88"/>
      <c r="BMH59" s="88"/>
      <c r="BMI59" s="88"/>
      <c r="BMJ59" s="88"/>
      <c r="BMK59" s="88"/>
      <c r="BML59" s="88"/>
      <c r="BMM59" s="88"/>
      <c r="BMN59" s="88"/>
      <c r="BMO59" s="88"/>
      <c r="BMP59" s="88"/>
      <c r="BMQ59" s="88"/>
      <c r="BMR59" s="88"/>
      <c r="BMS59" s="88"/>
      <c r="BMT59" s="88"/>
      <c r="BMU59" s="88"/>
      <c r="BMV59" s="88"/>
      <c r="BMW59" s="88"/>
      <c r="BMX59" s="88"/>
      <c r="BMY59" s="88"/>
      <c r="BMZ59" s="88"/>
      <c r="BNA59" s="88"/>
      <c r="BNB59" s="88"/>
      <c r="BNC59" s="88"/>
      <c r="BND59" s="88"/>
      <c r="BNE59" s="88"/>
      <c r="BNF59" s="88"/>
      <c r="BNG59" s="88"/>
      <c r="BNH59" s="88"/>
      <c r="BNI59" s="88"/>
      <c r="BNJ59" s="88"/>
      <c r="BNK59" s="88"/>
      <c r="BNL59" s="88"/>
      <c r="BNM59" s="88"/>
      <c r="BNN59" s="88"/>
      <c r="BNO59" s="88"/>
      <c r="BNP59" s="88"/>
      <c r="BNQ59" s="88"/>
      <c r="BNR59" s="88"/>
      <c r="BNS59" s="88"/>
      <c r="BNT59" s="88"/>
      <c r="BNU59" s="88"/>
      <c r="BNV59" s="88"/>
      <c r="BNW59" s="88"/>
      <c r="BNX59" s="88"/>
      <c r="BNY59" s="88"/>
      <c r="BNZ59" s="88"/>
      <c r="BOA59" s="88"/>
      <c r="BOB59" s="88"/>
      <c r="BOC59" s="88"/>
      <c r="BOD59" s="88"/>
      <c r="BOE59" s="88"/>
      <c r="BOF59" s="88"/>
      <c r="BOG59" s="88"/>
      <c r="BOH59" s="88"/>
      <c r="BOI59" s="88"/>
      <c r="BOJ59" s="88"/>
      <c r="BOK59" s="88"/>
      <c r="BOL59" s="88"/>
      <c r="BOM59" s="88"/>
      <c r="BON59" s="88"/>
      <c r="BOO59" s="88"/>
      <c r="BOP59" s="88"/>
      <c r="BOQ59" s="88"/>
      <c r="BOR59" s="88"/>
      <c r="BOS59" s="88"/>
      <c r="BOT59" s="88"/>
      <c r="BOU59" s="88"/>
      <c r="BOV59" s="88"/>
      <c r="BOW59" s="88"/>
      <c r="BOX59" s="88"/>
      <c r="BOY59" s="88"/>
      <c r="BOZ59" s="88"/>
      <c r="BPA59" s="88"/>
      <c r="BPB59" s="88"/>
      <c r="BPC59" s="88"/>
      <c r="BPD59" s="88"/>
      <c r="BPE59" s="88"/>
      <c r="BPF59" s="88"/>
      <c r="BPG59" s="88"/>
      <c r="BPH59" s="88"/>
      <c r="BPI59" s="88"/>
      <c r="BPJ59" s="88"/>
      <c r="BPK59" s="88"/>
      <c r="BPL59" s="88"/>
      <c r="BPM59" s="88"/>
      <c r="BPN59" s="88"/>
      <c r="BPO59" s="88"/>
      <c r="BPP59" s="88"/>
      <c r="BPQ59" s="88"/>
      <c r="BPR59" s="88"/>
      <c r="BPS59" s="88"/>
      <c r="BPT59" s="88"/>
      <c r="BPU59" s="88"/>
      <c r="BPV59" s="88"/>
      <c r="BPW59" s="88"/>
      <c r="BPX59" s="88"/>
      <c r="BPY59" s="88"/>
      <c r="BPZ59" s="88"/>
      <c r="BQA59" s="88"/>
      <c r="BQB59" s="88"/>
      <c r="BQC59" s="88"/>
      <c r="BQD59" s="88"/>
      <c r="BQE59" s="88"/>
      <c r="BQF59" s="88"/>
      <c r="BQG59" s="88"/>
      <c r="BQH59" s="88"/>
      <c r="BQI59" s="88"/>
      <c r="BQJ59" s="88"/>
      <c r="BQK59" s="88"/>
      <c r="BQL59" s="88"/>
      <c r="BQM59" s="88"/>
      <c r="BQN59" s="88"/>
      <c r="BQO59" s="88"/>
      <c r="BQP59" s="88"/>
      <c r="BQQ59" s="88"/>
      <c r="BQR59" s="88"/>
      <c r="BQS59" s="88"/>
      <c r="BQT59" s="88"/>
      <c r="BQU59" s="88"/>
      <c r="BQV59" s="88"/>
      <c r="BQW59" s="88"/>
      <c r="BQX59" s="88"/>
      <c r="BQY59" s="88"/>
      <c r="BQZ59" s="88"/>
      <c r="BRA59" s="88"/>
      <c r="BRB59" s="88"/>
      <c r="BRC59" s="88"/>
      <c r="BRD59" s="88"/>
      <c r="BRE59" s="88"/>
      <c r="BRF59" s="88"/>
      <c r="BRG59" s="88"/>
      <c r="BRH59" s="88"/>
      <c r="BRI59" s="88"/>
      <c r="BRJ59" s="88"/>
      <c r="BRK59" s="88"/>
      <c r="BRL59" s="88"/>
      <c r="BRM59" s="88"/>
      <c r="BRN59" s="88"/>
      <c r="BRO59" s="88"/>
      <c r="BRP59" s="88"/>
      <c r="BRQ59" s="88"/>
      <c r="BRR59" s="88"/>
      <c r="BRS59" s="88"/>
      <c r="BRT59" s="88"/>
      <c r="BRU59" s="88"/>
      <c r="BRV59" s="88"/>
      <c r="BRW59" s="88"/>
      <c r="BRX59" s="88"/>
      <c r="BRY59" s="88"/>
      <c r="BRZ59" s="88"/>
      <c r="BSA59" s="88"/>
      <c r="BSB59" s="88"/>
      <c r="BSC59" s="88"/>
      <c r="BSD59" s="88"/>
      <c r="BSE59" s="88"/>
      <c r="BSF59" s="88"/>
      <c r="BSG59" s="88"/>
      <c r="BSH59" s="88"/>
      <c r="BSI59" s="88"/>
      <c r="BSJ59" s="88"/>
      <c r="BSK59" s="88"/>
      <c r="BSL59" s="88"/>
      <c r="BSM59" s="88"/>
      <c r="BSN59" s="88"/>
      <c r="BSO59" s="88"/>
      <c r="BSP59" s="88"/>
      <c r="BSQ59" s="88"/>
      <c r="BSR59" s="88"/>
      <c r="BSS59" s="88"/>
      <c r="BST59" s="88"/>
      <c r="BSU59" s="88"/>
      <c r="BSV59" s="88"/>
      <c r="BSW59" s="88"/>
      <c r="BSX59" s="88"/>
      <c r="BSY59" s="88"/>
      <c r="BSZ59" s="88"/>
      <c r="BTA59" s="88"/>
      <c r="BTB59" s="88"/>
      <c r="BTC59" s="88"/>
      <c r="BTD59" s="88"/>
      <c r="BTE59" s="88"/>
      <c r="BTF59" s="88"/>
      <c r="BTG59" s="88"/>
      <c r="BTH59" s="88"/>
      <c r="BTI59" s="88"/>
      <c r="BTJ59" s="88"/>
      <c r="BTK59" s="88"/>
      <c r="BTL59" s="88"/>
      <c r="BTM59" s="88"/>
      <c r="BTN59" s="88"/>
      <c r="BTO59" s="88"/>
      <c r="BTP59" s="88"/>
      <c r="BTQ59" s="88"/>
      <c r="BTR59" s="88"/>
      <c r="BTS59" s="88"/>
      <c r="BTT59" s="88"/>
      <c r="BTU59" s="88"/>
      <c r="BTV59" s="88"/>
      <c r="BTW59" s="88"/>
      <c r="BTX59" s="88"/>
      <c r="BTY59" s="88"/>
      <c r="BTZ59" s="88"/>
      <c r="BUA59" s="88"/>
      <c r="BUB59" s="88"/>
      <c r="BUC59" s="88"/>
      <c r="BUD59" s="88"/>
      <c r="BUE59" s="88"/>
      <c r="BUF59" s="88"/>
      <c r="BUG59" s="88"/>
      <c r="BUH59" s="88"/>
      <c r="BUI59" s="88"/>
      <c r="BUJ59" s="88"/>
      <c r="BUK59" s="88"/>
      <c r="BUL59" s="88"/>
      <c r="BUM59" s="88"/>
      <c r="BUN59" s="88"/>
      <c r="BUO59" s="88"/>
      <c r="BUP59" s="88"/>
      <c r="BUQ59" s="88"/>
      <c r="BUR59" s="88"/>
      <c r="BUS59" s="88"/>
      <c r="BUT59" s="88"/>
      <c r="BUU59" s="88"/>
      <c r="BUV59" s="88"/>
      <c r="BUW59" s="88"/>
      <c r="BUX59" s="88"/>
      <c r="BUY59" s="88"/>
      <c r="BUZ59" s="88"/>
      <c r="BVA59" s="88"/>
      <c r="BVB59" s="88"/>
      <c r="BVC59" s="88"/>
      <c r="BVD59" s="88"/>
      <c r="BVE59" s="88"/>
      <c r="BVF59" s="88"/>
      <c r="BVG59" s="88"/>
      <c r="BVH59" s="88"/>
      <c r="BVI59" s="88"/>
      <c r="BVJ59" s="88"/>
      <c r="BVK59" s="88"/>
      <c r="BVL59" s="88"/>
      <c r="BVM59" s="88"/>
      <c r="BVN59" s="88"/>
      <c r="BVO59" s="88"/>
      <c r="BVP59" s="88"/>
      <c r="BVQ59" s="88"/>
      <c r="BVR59" s="88"/>
      <c r="BVS59" s="88"/>
      <c r="BVT59" s="88"/>
      <c r="BVU59" s="88"/>
      <c r="BVV59" s="88"/>
      <c r="BVW59" s="88"/>
      <c r="BVX59" s="88"/>
      <c r="BVY59" s="88"/>
      <c r="BVZ59" s="88"/>
      <c r="BWA59" s="88"/>
      <c r="BWB59" s="88"/>
      <c r="BWC59" s="88"/>
      <c r="BWD59" s="88"/>
      <c r="BWE59" s="88"/>
      <c r="BWF59" s="88"/>
      <c r="BWG59" s="88"/>
      <c r="BWH59" s="88"/>
      <c r="BWI59" s="88"/>
      <c r="BWJ59" s="88"/>
      <c r="BWK59" s="88"/>
      <c r="BWL59" s="88"/>
      <c r="BWM59" s="88"/>
      <c r="BWN59" s="88"/>
      <c r="BWO59" s="88"/>
      <c r="BWP59" s="88"/>
      <c r="BWQ59" s="88"/>
      <c r="BWR59" s="88"/>
      <c r="BWS59" s="88"/>
      <c r="BWT59" s="88"/>
      <c r="BWU59" s="88"/>
      <c r="BWV59" s="88"/>
      <c r="BWW59" s="88"/>
      <c r="BWX59" s="88"/>
      <c r="BWY59" s="88"/>
      <c r="BWZ59" s="88"/>
      <c r="BXA59" s="88"/>
      <c r="BXB59" s="88"/>
      <c r="BXC59" s="88"/>
      <c r="BXD59" s="88"/>
      <c r="BXE59" s="88"/>
      <c r="BXF59" s="88"/>
      <c r="BXG59" s="88"/>
      <c r="BXH59" s="88"/>
      <c r="BXI59" s="88"/>
      <c r="BXJ59" s="88"/>
      <c r="BXK59" s="88"/>
      <c r="BXL59" s="88"/>
      <c r="BXM59" s="88"/>
      <c r="BXN59" s="88"/>
      <c r="BXO59" s="88"/>
      <c r="BXP59" s="88"/>
      <c r="BXQ59" s="88"/>
      <c r="BXR59" s="88"/>
      <c r="BXS59" s="88"/>
      <c r="BXT59" s="88"/>
      <c r="BXU59" s="88"/>
      <c r="BXV59" s="88"/>
      <c r="BXW59" s="88"/>
      <c r="BXX59" s="88"/>
      <c r="BXY59" s="88"/>
      <c r="BXZ59" s="88"/>
      <c r="BYA59" s="88"/>
      <c r="BYB59" s="88"/>
      <c r="BYC59" s="88"/>
      <c r="BYD59" s="88"/>
      <c r="BYE59" s="88"/>
      <c r="BYF59" s="88"/>
      <c r="BYG59" s="88"/>
      <c r="BYH59" s="88"/>
      <c r="BYI59" s="88"/>
      <c r="BYJ59" s="88"/>
      <c r="BYK59" s="88"/>
      <c r="BYL59" s="88"/>
      <c r="BYM59" s="88"/>
      <c r="BYN59" s="88"/>
      <c r="BYO59" s="88"/>
      <c r="BYP59" s="88"/>
      <c r="BYQ59" s="88"/>
      <c r="BYR59" s="88"/>
      <c r="BYS59" s="88"/>
      <c r="BYT59" s="88"/>
      <c r="BYU59" s="88"/>
      <c r="BYV59" s="88"/>
      <c r="BYW59" s="88"/>
      <c r="BYX59" s="88"/>
      <c r="BYY59" s="88"/>
      <c r="BYZ59" s="88"/>
      <c r="BZA59" s="88"/>
      <c r="BZB59" s="88"/>
      <c r="BZC59" s="88"/>
      <c r="BZD59" s="88"/>
      <c r="BZE59" s="88"/>
      <c r="BZF59" s="88"/>
      <c r="BZG59" s="88"/>
      <c r="BZH59" s="88"/>
      <c r="BZI59" s="88"/>
      <c r="BZJ59" s="88"/>
      <c r="BZK59" s="88"/>
      <c r="BZL59" s="88"/>
      <c r="BZM59" s="88"/>
      <c r="BZN59" s="88"/>
      <c r="BZO59" s="88"/>
      <c r="BZP59" s="88"/>
      <c r="BZQ59" s="88"/>
      <c r="BZR59" s="88"/>
      <c r="BZS59" s="88"/>
      <c r="BZT59" s="88"/>
      <c r="BZU59" s="88"/>
      <c r="BZV59" s="88"/>
      <c r="BZW59" s="88"/>
      <c r="BZX59" s="88"/>
      <c r="BZY59" s="88"/>
      <c r="BZZ59" s="88"/>
      <c r="CAA59" s="88"/>
      <c r="CAB59" s="88"/>
      <c r="CAC59" s="88"/>
      <c r="CAD59" s="88"/>
      <c r="CAE59" s="88"/>
      <c r="CAF59" s="88"/>
      <c r="CAG59" s="88"/>
      <c r="CAH59" s="88"/>
      <c r="CAI59" s="88"/>
      <c r="CAJ59" s="88"/>
      <c r="CAK59" s="88"/>
      <c r="CAL59" s="88"/>
      <c r="CAM59" s="88"/>
      <c r="CAN59" s="88"/>
      <c r="CAO59" s="88"/>
      <c r="CAP59" s="88"/>
      <c r="CAQ59" s="88"/>
      <c r="CAR59" s="88"/>
      <c r="CAS59" s="88"/>
      <c r="CAT59" s="88"/>
      <c r="CAU59" s="88"/>
      <c r="CAV59" s="88"/>
      <c r="CAW59" s="88"/>
      <c r="CAX59" s="88"/>
      <c r="CAY59" s="88"/>
      <c r="CAZ59" s="88"/>
      <c r="CBA59" s="88"/>
      <c r="CBB59" s="88"/>
      <c r="CBC59" s="88"/>
      <c r="CBD59" s="88"/>
      <c r="CBE59" s="88"/>
      <c r="CBF59" s="88"/>
      <c r="CBG59" s="88"/>
      <c r="CBH59" s="88"/>
      <c r="CBI59" s="88"/>
      <c r="CBJ59" s="88"/>
      <c r="CBK59" s="88"/>
      <c r="CBL59" s="88"/>
      <c r="CBM59" s="88"/>
      <c r="CBN59" s="88"/>
      <c r="CBO59" s="88"/>
      <c r="CBP59" s="88"/>
      <c r="CBQ59" s="88"/>
      <c r="CBR59" s="88"/>
      <c r="CBS59" s="88"/>
      <c r="CBT59" s="88"/>
      <c r="CBU59" s="88"/>
      <c r="CBV59" s="88"/>
      <c r="CBW59" s="88"/>
      <c r="CBX59" s="88"/>
      <c r="CBY59" s="88"/>
      <c r="CBZ59" s="88"/>
      <c r="CCA59" s="88"/>
      <c r="CCB59" s="88"/>
      <c r="CCC59" s="88"/>
      <c r="CCD59" s="88"/>
      <c r="CCE59" s="88"/>
      <c r="CCF59" s="88"/>
      <c r="CCG59" s="88"/>
      <c r="CCH59" s="88"/>
      <c r="CCI59" s="88"/>
      <c r="CCJ59" s="88"/>
      <c r="CCK59" s="88"/>
      <c r="CCL59" s="88"/>
      <c r="CCM59" s="88"/>
      <c r="CCN59" s="88"/>
      <c r="CCO59" s="88"/>
      <c r="CCP59" s="88"/>
      <c r="CCQ59" s="88"/>
      <c r="CCR59" s="88"/>
      <c r="CCS59" s="88"/>
      <c r="CCT59" s="88"/>
      <c r="CCU59" s="88"/>
      <c r="CCV59" s="88"/>
      <c r="CCW59" s="88"/>
      <c r="CCX59" s="88"/>
      <c r="CCY59" s="88"/>
      <c r="CCZ59" s="88"/>
      <c r="CDA59" s="88"/>
      <c r="CDB59" s="88"/>
      <c r="CDC59" s="88"/>
      <c r="CDD59" s="88"/>
      <c r="CDE59" s="88"/>
      <c r="CDF59" s="88"/>
      <c r="CDG59" s="88"/>
      <c r="CDH59" s="88"/>
      <c r="CDI59" s="88"/>
      <c r="CDJ59" s="88"/>
      <c r="CDK59" s="88"/>
      <c r="CDL59" s="88"/>
      <c r="CDM59" s="88"/>
      <c r="CDN59" s="88"/>
      <c r="CDO59" s="88"/>
      <c r="CDP59" s="88"/>
      <c r="CDQ59" s="88"/>
      <c r="CDR59" s="88"/>
      <c r="CDS59" s="88"/>
      <c r="CDT59" s="88"/>
      <c r="CDU59" s="88"/>
      <c r="CDV59" s="88"/>
      <c r="CDW59" s="88"/>
      <c r="CDX59" s="88"/>
      <c r="CDY59" s="88"/>
      <c r="CDZ59" s="88"/>
      <c r="CEA59" s="88"/>
      <c r="CEB59" s="88"/>
      <c r="CEC59" s="88"/>
      <c r="CED59" s="88"/>
      <c r="CEE59" s="88"/>
      <c r="CEF59" s="88"/>
      <c r="CEG59" s="88"/>
      <c r="CEH59" s="88"/>
      <c r="CEI59" s="88"/>
      <c r="CEJ59" s="88"/>
      <c r="CEK59" s="88"/>
    </row>
    <row r="60" spans="1:2169" s="63" customFormat="1">
      <c r="A60" s="73" t="s">
        <v>2893</v>
      </c>
      <c r="B60" s="73" t="s">
        <v>2894</v>
      </c>
      <c r="C60" s="68" t="str">
        <f>IF('page 2'!$O$4="","",IF('page 2'!$O$4=Gestion!A60,1,0))</f>
        <v/>
      </c>
      <c r="D60" s="68" t="str">
        <f>IF('page 2'!$O$5="","",IF('page 2'!$O$5=Gestion!A60,1,0))</f>
        <v/>
      </c>
      <c r="E60" s="68" t="str">
        <f>IF('page 2'!$O$6="","",IF('page 2'!$O$6=Gestion!A60,1,0))</f>
        <v/>
      </c>
      <c r="F60" s="68" t="str">
        <f>IF('page 2'!$O$7="","",IF('page 2'!$O$7=Gestion!A60,1,0))</f>
        <v/>
      </c>
      <c r="G60" s="68" t="str">
        <f>IF('page 2'!$O$8="","",IF('page 2'!$O$8=Gestion!A60,1,0))</f>
        <v/>
      </c>
      <c r="H60" s="68"/>
      <c r="I60" s="68" t="str">
        <f>IF('page 2'!$O$10="","",IF('page 2'!$O$10=Gestion!A60,1,0))</f>
        <v/>
      </c>
      <c r="J60" s="68" t="str">
        <f>IF('page 2'!$O$11="","",IF('page 2'!$O$11=Gestion!A60,1,0))</f>
        <v/>
      </c>
      <c r="K60" s="68" t="str">
        <f>IF('page 2'!$O$12="","",IF('page 2'!$O$12=Gestion!A60,1,0))</f>
        <v/>
      </c>
      <c r="L60" s="68" t="str">
        <f>IF('page 2'!$O$13="","",IF('page 2'!$O$13=Gestion!A60,1,0))</f>
        <v/>
      </c>
      <c r="M60" s="68" t="str">
        <f>IF('page 2'!$O$14="","",IF('page 2'!$O$14=Gestion!A60,1,0))</f>
        <v/>
      </c>
      <c r="N60" s="68" t="str">
        <f>IF('page 2'!$O$15="","",IF('page 2'!$O$15=Gestion!A60,1,0))</f>
        <v/>
      </c>
      <c r="O60" s="68" t="str">
        <f>IF('page 2'!$O$16="","",IF('page 2'!$O$16=Gestion!A60,1,0))</f>
        <v/>
      </c>
      <c r="P60" s="68" t="str">
        <f>IF('page 2'!$O$17="","",IF('page 2'!$O$17=Gestion!A60,1,0))</f>
        <v/>
      </c>
      <c r="Q60" s="68" t="str">
        <f>IF('page 2'!$O$18="","",IF('page 2'!$O$18=Gestion!A60,1,0))</f>
        <v/>
      </c>
      <c r="R60" s="68" t="str">
        <f>IF('page 2'!$O$19="","",IF('page 2'!$O$19=Gestion!A60,1,0))</f>
        <v/>
      </c>
      <c r="S60" s="68" t="str">
        <f>IF('page 2'!$O$20="","",IF('page 2'!$O$20=Gestion!A60,1,0))</f>
        <v/>
      </c>
      <c r="T60" s="68" t="str">
        <f>IF('page 2'!$O$25="","",IF('page 2'!$O$25=Gestion!A60,1,0))</f>
        <v/>
      </c>
      <c r="U60" s="68" t="str">
        <f>IF('page 2'!$O$26="","",IF('page 2'!$O$26=Gestion!A60,1,0))</f>
        <v/>
      </c>
      <c r="V60" s="68" t="str">
        <f>IF('page 2'!$O$27="","",IF('page 2'!$O$27=Gestion!A60,1,0))</f>
        <v/>
      </c>
      <c r="W60" s="722">
        <f t="shared" si="0"/>
        <v>0</v>
      </c>
      <c r="X60" s="714"/>
      <c r="Y60" s="68"/>
      <c r="Z60" s="68"/>
      <c r="AA60" s="68"/>
      <c r="AB60" s="68"/>
      <c r="AC60" s="68"/>
      <c r="AD60" s="68"/>
      <c r="AP60" s="130"/>
      <c r="AQ60" s="130"/>
      <c r="AR60" s="130"/>
      <c r="AS60" s="576"/>
      <c r="AT60" s="576"/>
      <c r="AU60" s="576"/>
      <c r="AV60" s="576"/>
      <c r="AW60" s="602"/>
      <c r="AX60" s="602"/>
      <c r="AY60" s="576"/>
      <c r="AZ60" s="576"/>
      <c r="BA60" s="576"/>
      <c r="BB60" s="576"/>
      <c r="BC60" s="576"/>
      <c r="BD60" s="602"/>
      <c r="BE60" s="602"/>
      <c r="BF60" s="602"/>
      <c r="BG60" s="602"/>
      <c r="BH60" s="602"/>
      <c r="BI60" s="602"/>
      <c r="BJ60" s="602"/>
      <c r="BK60" s="602"/>
      <c r="BL60" s="602"/>
      <c r="BM60" s="602"/>
      <c r="BN60" s="602"/>
      <c r="BO60" s="602"/>
      <c r="BP60" s="602"/>
      <c r="BQ60" s="602"/>
      <c r="BR60" s="602"/>
      <c r="BS60" s="576"/>
      <c r="BT60" s="576"/>
      <c r="BU60" s="576"/>
      <c r="BV60" s="576"/>
      <c r="BW60" s="602"/>
      <c r="BX60" s="602"/>
      <c r="BY60" s="602"/>
      <c r="BZ60" s="576"/>
      <c r="CA60" s="602"/>
      <c r="CB60" s="602"/>
      <c r="CC60" s="576"/>
      <c r="CD60" s="576"/>
      <c r="CE60" s="602"/>
      <c r="CF60" s="576"/>
      <c r="CG60" s="576"/>
      <c r="CH60" s="576"/>
      <c r="CI60" s="576"/>
      <c r="CJ60" s="576"/>
      <c r="CK60" s="602"/>
      <c r="CL60" s="602"/>
      <c r="CM60" s="576"/>
      <c r="CN60" s="602"/>
      <c r="CO60" s="602"/>
      <c r="CP60" s="602"/>
      <c r="CQ60" s="576"/>
      <c r="CR60" s="576"/>
      <c r="CS60" s="602"/>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c r="HP60" s="88"/>
      <c r="HQ60" s="88"/>
      <c r="HR60" s="88"/>
      <c r="HS60" s="88"/>
      <c r="HT60" s="88"/>
      <c r="HU60" s="88"/>
      <c r="HV60" s="88"/>
      <c r="HW60" s="88"/>
      <c r="HX60" s="88"/>
      <c r="HY60" s="88"/>
      <c r="HZ60" s="88"/>
      <c r="IA60" s="88"/>
      <c r="IB60" s="88"/>
      <c r="IC60" s="88"/>
      <c r="ID60" s="88"/>
      <c r="IE60" s="88"/>
      <c r="IF60" s="88"/>
      <c r="IG60" s="88"/>
      <c r="IH60" s="88"/>
      <c r="II60" s="88"/>
      <c r="IJ60" s="88"/>
      <c r="IK60" s="88"/>
      <c r="IL60" s="88"/>
      <c r="IM60" s="88"/>
      <c r="IN60" s="88"/>
      <c r="IO60" s="88"/>
      <c r="IP60" s="88"/>
      <c r="IQ60" s="88"/>
      <c r="IR60" s="88"/>
      <c r="IS60" s="88"/>
      <c r="IT60" s="88"/>
      <c r="IU60" s="88"/>
      <c r="IV60" s="88"/>
      <c r="IW60" s="88"/>
      <c r="IX60" s="88"/>
      <c r="IY60" s="88"/>
      <c r="IZ60" s="88"/>
      <c r="JA60" s="88"/>
      <c r="JB60" s="88"/>
      <c r="JC60" s="88"/>
      <c r="JD60" s="88"/>
      <c r="JE60" s="88"/>
      <c r="JF60" s="88"/>
      <c r="JG60" s="88"/>
      <c r="JH60" s="88"/>
      <c r="JI60" s="88"/>
      <c r="JJ60" s="88"/>
      <c r="JK60" s="88"/>
      <c r="JL60" s="88"/>
      <c r="JM60" s="88"/>
      <c r="JN60" s="88"/>
      <c r="JO60" s="88"/>
      <c r="JP60" s="88"/>
      <c r="JQ60" s="88"/>
      <c r="JR60" s="88"/>
      <c r="JS60" s="88"/>
      <c r="JT60" s="88"/>
      <c r="JU60" s="88"/>
      <c r="JV60" s="88"/>
      <c r="JW60" s="88"/>
      <c r="JX60" s="88"/>
      <c r="JY60" s="88"/>
      <c r="JZ60" s="88"/>
      <c r="KA60" s="88"/>
      <c r="KB60" s="88"/>
      <c r="KC60" s="88"/>
      <c r="KD60" s="88"/>
      <c r="KE60" s="88"/>
      <c r="KF60" s="88"/>
      <c r="KG60" s="88"/>
      <c r="KH60" s="88"/>
      <c r="KI60" s="88"/>
      <c r="KJ60" s="88"/>
      <c r="KK60" s="88"/>
      <c r="KL60" s="88"/>
      <c r="KM60" s="88"/>
      <c r="KN60" s="88"/>
      <c r="KO60" s="88"/>
      <c r="KP60" s="88"/>
      <c r="KQ60" s="88"/>
      <c r="KR60" s="88"/>
      <c r="KS60" s="88"/>
      <c r="KT60" s="88"/>
      <c r="KU60" s="88"/>
      <c r="KV60" s="88"/>
      <c r="KW60" s="88"/>
      <c r="KX60" s="88"/>
      <c r="KY60" s="88"/>
      <c r="KZ60" s="88"/>
      <c r="LA60" s="88"/>
      <c r="LB60" s="88"/>
      <c r="LC60" s="88"/>
      <c r="LD60" s="88"/>
      <c r="LE60" s="88"/>
      <c r="LF60" s="88"/>
      <c r="LG60" s="88"/>
      <c r="LH60" s="88"/>
      <c r="LI60" s="88"/>
      <c r="LJ60" s="88"/>
      <c r="LK60" s="88"/>
      <c r="LL60" s="88"/>
      <c r="LM60" s="88"/>
      <c r="LN60" s="88"/>
      <c r="LO60" s="88"/>
      <c r="LP60" s="88"/>
      <c r="LQ60" s="88"/>
      <c r="LR60" s="88"/>
      <c r="LS60" s="88"/>
      <c r="LT60" s="88"/>
      <c r="LU60" s="88"/>
      <c r="LV60" s="88"/>
      <c r="LW60" s="88"/>
      <c r="LX60" s="88"/>
      <c r="LY60" s="88"/>
      <c r="LZ60" s="88"/>
      <c r="MA60" s="88"/>
      <c r="MB60" s="88"/>
      <c r="MC60" s="88"/>
      <c r="MD60" s="88"/>
      <c r="ME60" s="88"/>
      <c r="MF60" s="88"/>
      <c r="MG60" s="88"/>
      <c r="MH60" s="88"/>
      <c r="MI60" s="88"/>
      <c r="MJ60" s="88"/>
      <c r="MK60" s="88"/>
      <c r="ML60" s="88"/>
      <c r="MM60" s="88"/>
      <c r="MN60" s="88"/>
      <c r="MO60" s="88"/>
      <c r="MP60" s="88"/>
      <c r="MQ60" s="88"/>
      <c r="MR60" s="88"/>
      <c r="MS60" s="88"/>
      <c r="MT60" s="88"/>
      <c r="MU60" s="88"/>
      <c r="MV60" s="88"/>
      <c r="MW60" s="88"/>
      <c r="MX60" s="88"/>
      <c r="MY60" s="88"/>
      <c r="MZ60" s="88"/>
      <c r="NA60" s="88"/>
      <c r="NB60" s="88"/>
      <c r="NC60" s="88"/>
      <c r="ND60" s="88"/>
      <c r="NE60" s="88"/>
      <c r="NF60" s="88"/>
      <c r="NG60" s="88"/>
      <c r="NH60" s="88"/>
      <c r="NI60" s="88"/>
      <c r="NJ60" s="88"/>
      <c r="NK60" s="88"/>
      <c r="NL60" s="88"/>
      <c r="NM60" s="88"/>
      <c r="NN60" s="88"/>
      <c r="NO60" s="88"/>
      <c r="NP60" s="88"/>
      <c r="NQ60" s="88"/>
      <c r="NR60" s="88"/>
      <c r="NS60" s="88"/>
      <c r="NT60" s="88"/>
      <c r="NU60" s="88"/>
      <c r="NV60" s="88"/>
      <c r="NW60" s="88"/>
      <c r="NX60" s="88"/>
      <c r="NY60" s="88"/>
      <c r="NZ60" s="88"/>
      <c r="OA60" s="88"/>
      <c r="OB60" s="88"/>
      <c r="OC60" s="88"/>
      <c r="OD60" s="88"/>
      <c r="OE60" s="88"/>
      <c r="OF60" s="88"/>
      <c r="OG60" s="88"/>
      <c r="OH60" s="88"/>
      <c r="OI60" s="88"/>
      <c r="OJ60" s="88"/>
      <c r="OK60" s="88"/>
      <c r="OL60" s="88"/>
      <c r="OM60" s="88"/>
      <c r="ON60" s="88"/>
      <c r="OO60" s="88"/>
      <c r="OP60" s="88"/>
      <c r="OQ60" s="88"/>
      <c r="OR60" s="88"/>
      <c r="OS60" s="88"/>
      <c r="OT60" s="88"/>
      <c r="OU60" s="88"/>
      <c r="OV60" s="88"/>
      <c r="OW60" s="88"/>
      <c r="OX60" s="88"/>
      <c r="OY60" s="88"/>
      <c r="OZ60" s="88"/>
      <c r="PA60" s="88"/>
      <c r="PB60" s="88"/>
      <c r="PC60" s="88"/>
      <c r="PD60" s="88"/>
      <c r="PE60" s="88"/>
      <c r="PF60" s="88"/>
      <c r="PG60" s="88"/>
      <c r="PH60" s="88"/>
      <c r="PI60" s="88"/>
      <c r="PJ60" s="88"/>
      <c r="PK60" s="88"/>
      <c r="PL60" s="88"/>
      <c r="PM60" s="88"/>
      <c r="PN60" s="88"/>
      <c r="PO60" s="88"/>
      <c r="PP60" s="88"/>
      <c r="PQ60" s="88"/>
      <c r="PR60" s="88"/>
      <c r="PS60" s="88"/>
      <c r="PT60" s="88"/>
      <c r="PU60" s="88"/>
      <c r="PV60" s="88"/>
      <c r="PW60" s="88"/>
      <c r="PX60" s="88"/>
      <c r="PY60" s="88"/>
      <c r="PZ60" s="88"/>
      <c r="QA60" s="88"/>
      <c r="QB60" s="88"/>
      <c r="QC60" s="88"/>
      <c r="QD60" s="88"/>
      <c r="QE60" s="88"/>
      <c r="QF60" s="88"/>
      <c r="QG60" s="88"/>
      <c r="QH60" s="88"/>
      <c r="QI60" s="88"/>
      <c r="QJ60" s="88"/>
      <c r="QK60" s="88"/>
      <c r="QL60" s="88"/>
      <c r="QM60" s="88"/>
      <c r="QN60" s="88"/>
      <c r="QO60" s="88"/>
      <c r="QP60" s="88"/>
      <c r="QQ60" s="88"/>
      <c r="QR60" s="88"/>
      <c r="QS60" s="88"/>
      <c r="QT60" s="88"/>
      <c r="QU60" s="88"/>
      <c r="QV60" s="88"/>
      <c r="QW60" s="88"/>
      <c r="QX60" s="88"/>
      <c r="QY60" s="88"/>
      <c r="QZ60" s="88"/>
      <c r="RA60" s="88"/>
      <c r="RB60" s="88"/>
      <c r="RC60" s="88"/>
      <c r="RD60" s="88"/>
      <c r="RE60" s="88"/>
      <c r="RF60" s="88"/>
      <c r="RG60" s="88"/>
      <c r="RH60" s="88"/>
      <c r="RI60" s="88"/>
      <c r="RJ60" s="88"/>
      <c r="RK60" s="88"/>
      <c r="RL60" s="88"/>
      <c r="RM60" s="88"/>
      <c r="RN60" s="88"/>
      <c r="RO60" s="88"/>
      <c r="RP60" s="88"/>
      <c r="RQ60" s="88"/>
      <c r="RR60" s="88"/>
      <c r="RS60" s="88"/>
      <c r="RT60" s="88"/>
      <c r="RU60" s="88"/>
      <c r="RV60" s="88"/>
      <c r="RW60" s="88"/>
      <c r="RX60" s="88"/>
      <c r="RY60" s="88"/>
      <c r="RZ60" s="88"/>
      <c r="SA60" s="88"/>
      <c r="SB60" s="88"/>
      <c r="SC60" s="88"/>
      <c r="SD60" s="88"/>
      <c r="SE60" s="88"/>
      <c r="SF60" s="88"/>
      <c r="SG60" s="88"/>
      <c r="SH60" s="88"/>
      <c r="SI60" s="88"/>
      <c r="SJ60" s="88"/>
      <c r="SK60" s="88"/>
      <c r="SL60" s="88"/>
      <c r="SM60" s="88"/>
      <c r="SN60" s="88"/>
      <c r="SO60" s="88"/>
      <c r="SP60" s="88"/>
      <c r="SQ60" s="88"/>
      <c r="SR60" s="88"/>
      <c r="SS60" s="88"/>
      <c r="ST60" s="88"/>
      <c r="SU60" s="88"/>
      <c r="SV60" s="88"/>
      <c r="SW60" s="88"/>
      <c r="SX60" s="88"/>
      <c r="SY60" s="88"/>
      <c r="SZ60" s="88"/>
      <c r="TA60" s="88"/>
      <c r="TB60" s="88"/>
      <c r="TC60" s="88"/>
      <c r="TD60" s="88"/>
      <c r="TE60" s="88"/>
      <c r="TF60" s="88"/>
      <c r="TG60" s="88"/>
      <c r="TH60" s="88"/>
      <c r="TI60" s="88"/>
      <c r="TJ60" s="88"/>
      <c r="TK60" s="88"/>
      <c r="TL60" s="88"/>
      <c r="TM60" s="88"/>
      <c r="TN60" s="88"/>
      <c r="TO60" s="88"/>
      <c r="TP60" s="88"/>
      <c r="TQ60" s="88"/>
      <c r="TR60" s="88"/>
      <c r="TS60" s="88"/>
      <c r="TT60" s="88"/>
      <c r="TU60" s="88"/>
      <c r="TV60" s="88"/>
      <c r="TW60" s="88"/>
      <c r="TX60" s="88"/>
      <c r="TY60" s="88"/>
      <c r="TZ60" s="88"/>
      <c r="UA60" s="88"/>
      <c r="UB60" s="88"/>
      <c r="UC60" s="88"/>
      <c r="UD60" s="88"/>
      <c r="UE60" s="88"/>
      <c r="UF60" s="88"/>
      <c r="UG60" s="88"/>
      <c r="UH60" s="88"/>
      <c r="UI60" s="88"/>
      <c r="UJ60" s="88"/>
      <c r="UK60" s="88"/>
      <c r="UL60" s="88"/>
      <c r="UM60" s="88"/>
      <c r="UN60" s="88"/>
      <c r="UO60" s="88"/>
      <c r="UP60" s="88"/>
      <c r="UQ60" s="88"/>
      <c r="UR60" s="88"/>
      <c r="US60" s="88"/>
      <c r="UT60" s="88"/>
      <c r="UU60" s="88"/>
      <c r="UV60" s="88"/>
      <c r="UW60" s="88"/>
      <c r="UX60" s="88"/>
      <c r="UY60" s="88"/>
      <c r="UZ60" s="88"/>
      <c r="VA60" s="88"/>
      <c r="VB60" s="88"/>
      <c r="VC60" s="88"/>
      <c r="VD60" s="88"/>
      <c r="VE60" s="88"/>
      <c r="VF60" s="88"/>
      <c r="VG60" s="88"/>
      <c r="VH60" s="88"/>
      <c r="VI60" s="88"/>
      <c r="VJ60" s="88"/>
      <c r="VK60" s="88"/>
      <c r="VL60" s="88"/>
      <c r="VM60" s="88"/>
      <c r="VN60" s="88"/>
      <c r="VO60" s="88"/>
      <c r="VP60" s="88"/>
      <c r="VQ60" s="88"/>
      <c r="VR60" s="88"/>
      <c r="VS60" s="88"/>
      <c r="VT60" s="88"/>
      <c r="VU60" s="88"/>
      <c r="VV60" s="88"/>
      <c r="VW60" s="88"/>
      <c r="VX60" s="88"/>
      <c r="VY60" s="88"/>
      <c r="VZ60" s="88"/>
      <c r="WA60" s="88"/>
      <c r="WB60" s="88"/>
      <c r="WC60" s="88"/>
      <c r="WD60" s="88"/>
      <c r="WE60" s="88"/>
      <c r="WF60" s="88"/>
      <c r="WG60" s="88"/>
      <c r="WH60" s="88"/>
      <c r="WI60" s="88"/>
      <c r="WJ60" s="88"/>
      <c r="WK60" s="88"/>
      <c r="WL60" s="88"/>
      <c r="WM60" s="88"/>
      <c r="WN60" s="88"/>
      <c r="WO60" s="88"/>
      <c r="WP60" s="88"/>
      <c r="WQ60" s="88"/>
      <c r="WR60" s="88"/>
      <c r="WS60" s="88"/>
      <c r="WT60" s="88"/>
      <c r="WU60" s="88"/>
      <c r="WV60" s="88"/>
      <c r="WW60" s="88"/>
      <c r="WX60" s="88"/>
      <c r="WY60" s="88"/>
      <c r="WZ60" s="88"/>
      <c r="XA60" s="88"/>
      <c r="XB60" s="88"/>
      <c r="XC60" s="88"/>
      <c r="XD60" s="88"/>
      <c r="XE60" s="88"/>
      <c r="XF60" s="88"/>
      <c r="XG60" s="88"/>
      <c r="XH60" s="88"/>
      <c r="XI60" s="88"/>
      <c r="XJ60" s="88"/>
      <c r="XK60" s="88"/>
      <c r="XL60" s="88"/>
      <c r="XM60" s="88"/>
      <c r="XN60" s="88"/>
      <c r="XO60" s="88"/>
      <c r="XP60" s="88"/>
      <c r="XQ60" s="88"/>
      <c r="XR60" s="88"/>
      <c r="XS60" s="88"/>
      <c r="XT60" s="88"/>
      <c r="XU60" s="88"/>
      <c r="XV60" s="88"/>
      <c r="XW60" s="88"/>
      <c r="XX60" s="88"/>
      <c r="XY60" s="88"/>
      <c r="XZ60" s="88"/>
      <c r="YA60" s="88"/>
      <c r="YB60" s="88"/>
      <c r="YC60" s="88"/>
      <c r="YD60" s="88"/>
      <c r="YE60" s="88"/>
      <c r="YF60" s="88"/>
      <c r="YG60" s="88"/>
      <c r="YH60" s="88"/>
      <c r="YI60" s="88"/>
      <c r="YJ60" s="88"/>
      <c r="YK60" s="88"/>
      <c r="YL60" s="88"/>
      <c r="YM60" s="88"/>
      <c r="YN60" s="88"/>
      <c r="YO60" s="88"/>
      <c r="YP60" s="88"/>
      <c r="YQ60" s="88"/>
      <c r="YR60" s="88"/>
      <c r="YS60" s="88"/>
      <c r="YT60" s="88"/>
      <c r="YU60" s="88"/>
      <c r="YV60" s="88"/>
      <c r="YW60" s="88"/>
      <c r="YX60" s="88"/>
      <c r="YY60" s="88"/>
      <c r="YZ60" s="88"/>
      <c r="ZA60" s="88"/>
      <c r="ZB60" s="88"/>
      <c r="ZC60" s="88"/>
      <c r="ZD60" s="88"/>
      <c r="ZE60" s="88"/>
      <c r="ZF60" s="88"/>
      <c r="ZG60" s="88"/>
      <c r="ZH60" s="88"/>
      <c r="ZI60" s="88"/>
      <c r="ZJ60" s="88"/>
      <c r="ZK60" s="88"/>
      <c r="ZL60" s="88"/>
      <c r="ZM60" s="88"/>
      <c r="ZN60" s="88"/>
      <c r="ZO60" s="88"/>
      <c r="ZP60" s="88"/>
      <c r="ZQ60" s="88"/>
      <c r="ZR60" s="88"/>
      <c r="ZS60" s="88"/>
      <c r="ZT60" s="88"/>
      <c r="ZU60" s="88"/>
      <c r="ZV60" s="88"/>
      <c r="ZW60" s="88"/>
      <c r="ZX60" s="88"/>
      <c r="ZY60" s="88"/>
      <c r="ZZ60" s="88"/>
      <c r="AAA60" s="88"/>
      <c r="AAB60" s="88"/>
      <c r="AAC60" s="88"/>
      <c r="AAD60" s="88"/>
      <c r="AAE60" s="88"/>
      <c r="AAF60" s="88"/>
      <c r="AAG60" s="88"/>
      <c r="AAH60" s="88"/>
      <c r="AAI60" s="88"/>
      <c r="AAJ60" s="88"/>
      <c r="AAK60" s="88"/>
      <c r="AAL60" s="88"/>
      <c r="AAM60" s="88"/>
      <c r="AAN60" s="88"/>
      <c r="AAO60" s="88"/>
      <c r="AAP60" s="88"/>
      <c r="AAQ60" s="88"/>
      <c r="AAR60" s="88"/>
      <c r="AAS60" s="88"/>
      <c r="AAT60" s="88"/>
      <c r="AAU60" s="88"/>
      <c r="AAV60" s="88"/>
      <c r="AAW60" s="88"/>
      <c r="AAX60" s="88"/>
      <c r="AAY60" s="88"/>
      <c r="AAZ60" s="88"/>
      <c r="ABA60" s="88"/>
      <c r="ABB60" s="88"/>
      <c r="ABC60" s="88"/>
      <c r="ABD60" s="88"/>
      <c r="ABE60" s="88"/>
      <c r="ABF60" s="88"/>
      <c r="ABG60" s="88"/>
      <c r="ABH60" s="88"/>
      <c r="ABI60" s="88"/>
      <c r="ABJ60" s="88"/>
      <c r="ABK60" s="88"/>
      <c r="ABL60" s="88"/>
      <c r="ABM60" s="88"/>
      <c r="ABN60" s="88"/>
      <c r="ABO60" s="88"/>
      <c r="ABP60" s="88"/>
      <c r="ABQ60" s="88"/>
      <c r="ABR60" s="88"/>
      <c r="ABS60" s="88"/>
      <c r="ABT60" s="88"/>
      <c r="ABU60" s="88"/>
      <c r="ABV60" s="88"/>
      <c r="ABW60" s="88"/>
      <c r="ABX60" s="88"/>
      <c r="ABY60" s="88"/>
      <c r="ABZ60" s="88"/>
      <c r="ACA60" s="88"/>
      <c r="ACB60" s="88"/>
      <c r="ACC60" s="88"/>
      <c r="ACD60" s="88"/>
      <c r="ACE60" s="88"/>
      <c r="ACF60" s="88"/>
      <c r="ACG60" s="88"/>
      <c r="ACH60" s="88"/>
      <c r="ACI60" s="88"/>
      <c r="ACJ60" s="88"/>
      <c r="ACK60" s="88"/>
      <c r="ACL60" s="88"/>
      <c r="ACM60" s="88"/>
      <c r="ACN60" s="88"/>
      <c r="ACO60" s="88"/>
      <c r="ACP60" s="88"/>
      <c r="ACQ60" s="88"/>
      <c r="ACR60" s="88"/>
      <c r="ACS60" s="88"/>
      <c r="ACT60" s="88"/>
      <c r="ACU60" s="88"/>
      <c r="ACV60" s="88"/>
      <c r="ACW60" s="88"/>
      <c r="ACX60" s="88"/>
      <c r="ACY60" s="88"/>
      <c r="ACZ60" s="88"/>
      <c r="ADA60" s="88"/>
      <c r="ADB60" s="88"/>
      <c r="ADC60" s="88"/>
      <c r="ADD60" s="88"/>
      <c r="ADE60" s="88"/>
      <c r="ADF60" s="88"/>
      <c r="ADG60" s="88"/>
      <c r="ADH60" s="88"/>
      <c r="ADI60" s="88"/>
      <c r="ADJ60" s="88"/>
      <c r="ADK60" s="88"/>
      <c r="ADL60" s="88"/>
      <c r="ADM60" s="88"/>
      <c r="ADN60" s="88"/>
      <c r="ADO60" s="88"/>
      <c r="ADP60" s="88"/>
      <c r="ADQ60" s="88"/>
      <c r="ADR60" s="88"/>
      <c r="ADS60" s="88"/>
      <c r="ADT60" s="88"/>
      <c r="ADU60" s="88"/>
      <c r="ADV60" s="88"/>
      <c r="ADW60" s="88"/>
      <c r="ADX60" s="88"/>
      <c r="ADY60" s="88"/>
      <c r="ADZ60" s="88"/>
      <c r="AEA60" s="88"/>
      <c r="AEB60" s="88"/>
      <c r="AEC60" s="88"/>
      <c r="AED60" s="88"/>
      <c r="AEE60" s="88"/>
      <c r="AEF60" s="88"/>
      <c r="AEG60" s="88"/>
      <c r="AEH60" s="88"/>
      <c r="AEI60" s="88"/>
      <c r="AEJ60" s="88"/>
      <c r="AEK60" s="88"/>
      <c r="AEL60" s="88"/>
      <c r="AEM60" s="88"/>
      <c r="AEN60" s="88"/>
      <c r="AEO60" s="88"/>
      <c r="AEP60" s="88"/>
      <c r="AEQ60" s="88"/>
      <c r="AER60" s="88"/>
      <c r="AES60" s="88"/>
      <c r="AET60" s="88"/>
      <c r="AEU60" s="88"/>
      <c r="AEV60" s="88"/>
      <c r="AEW60" s="88"/>
      <c r="AEX60" s="88"/>
      <c r="AEY60" s="88"/>
      <c r="AEZ60" s="88"/>
      <c r="AFA60" s="88"/>
      <c r="AFB60" s="88"/>
      <c r="AFC60" s="88"/>
      <c r="AFD60" s="88"/>
      <c r="AFE60" s="88"/>
      <c r="AFF60" s="88"/>
      <c r="AFG60" s="88"/>
      <c r="AFH60" s="88"/>
      <c r="AFI60" s="88"/>
      <c r="AFJ60" s="88"/>
      <c r="AFK60" s="88"/>
      <c r="AFL60" s="88"/>
      <c r="AFM60" s="88"/>
      <c r="AFN60" s="88"/>
      <c r="AFO60" s="88"/>
      <c r="AFP60" s="88"/>
      <c r="AFQ60" s="88"/>
      <c r="AFR60" s="88"/>
      <c r="AFS60" s="88"/>
      <c r="AFT60" s="88"/>
      <c r="AFU60" s="88"/>
      <c r="AFV60" s="88"/>
      <c r="AFW60" s="88"/>
      <c r="AFX60" s="88"/>
      <c r="AFY60" s="88"/>
      <c r="AFZ60" s="88"/>
      <c r="AGA60" s="88"/>
      <c r="AGB60" s="88"/>
      <c r="AGC60" s="88"/>
      <c r="AGD60" s="88"/>
      <c r="AGE60" s="88"/>
      <c r="AGF60" s="88"/>
      <c r="AGG60" s="88"/>
      <c r="AGH60" s="88"/>
      <c r="AGI60" s="88"/>
      <c r="AGJ60" s="88"/>
      <c r="AGK60" s="88"/>
      <c r="AGL60" s="88"/>
      <c r="AGM60" s="88"/>
      <c r="AGN60" s="88"/>
      <c r="AGO60" s="88"/>
      <c r="AGP60" s="88"/>
      <c r="AGQ60" s="88"/>
      <c r="AGR60" s="88"/>
      <c r="AGS60" s="88"/>
      <c r="AGT60" s="88"/>
      <c r="AGU60" s="88"/>
      <c r="AGV60" s="88"/>
      <c r="AGW60" s="88"/>
      <c r="AGX60" s="88"/>
      <c r="AGY60" s="88"/>
      <c r="AGZ60" s="88"/>
      <c r="AHA60" s="88"/>
      <c r="AHB60" s="88"/>
      <c r="AHC60" s="88"/>
      <c r="AHD60" s="88"/>
      <c r="AHE60" s="88"/>
      <c r="AHF60" s="88"/>
      <c r="AHG60" s="88"/>
      <c r="AHH60" s="88"/>
      <c r="AHI60" s="88"/>
      <c r="AHJ60" s="88"/>
      <c r="AHK60" s="88"/>
      <c r="AHL60" s="88"/>
      <c r="AHM60" s="88"/>
      <c r="AHN60" s="88"/>
      <c r="AHO60" s="88"/>
      <c r="AHP60" s="88"/>
      <c r="AHQ60" s="88"/>
      <c r="AHR60" s="88"/>
      <c r="AHS60" s="88"/>
      <c r="AHT60" s="88"/>
      <c r="AHU60" s="88"/>
      <c r="AHV60" s="88"/>
      <c r="AHW60" s="88"/>
      <c r="AHX60" s="88"/>
      <c r="AHY60" s="88"/>
      <c r="AHZ60" s="88"/>
      <c r="AIA60" s="88"/>
      <c r="AIB60" s="88"/>
      <c r="AIC60" s="88"/>
      <c r="AID60" s="88"/>
      <c r="AIE60" s="88"/>
      <c r="AIF60" s="88"/>
      <c r="AIG60" s="88"/>
      <c r="AIH60" s="88"/>
      <c r="AII60" s="88"/>
      <c r="AIJ60" s="88"/>
      <c r="AIK60" s="88"/>
      <c r="AIL60" s="88"/>
      <c r="AIM60" s="88"/>
      <c r="AIN60" s="88"/>
      <c r="AIO60" s="88"/>
      <c r="AIP60" s="88"/>
      <c r="AIQ60" s="88"/>
      <c r="AIR60" s="88"/>
      <c r="AIS60" s="88"/>
      <c r="AIT60" s="88"/>
      <c r="AIU60" s="88"/>
      <c r="AIV60" s="88"/>
      <c r="AIW60" s="88"/>
      <c r="AIX60" s="88"/>
      <c r="AIY60" s="88"/>
      <c r="AIZ60" s="88"/>
      <c r="AJA60" s="88"/>
      <c r="AJB60" s="88"/>
      <c r="AJC60" s="88"/>
      <c r="AJD60" s="88"/>
      <c r="AJE60" s="88"/>
      <c r="AJF60" s="88"/>
      <c r="AJG60" s="88"/>
      <c r="AJH60" s="88"/>
      <c r="AJI60" s="88"/>
      <c r="AJJ60" s="88"/>
      <c r="AJK60" s="88"/>
      <c r="AJL60" s="88"/>
      <c r="AJM60" s="88"/>
      <c r="AJN60" s="88"/>
      <c r="AJO60" s="88"/>
      <c r="AJP60" s="88"/>
      <c r="AJQ60" s="88"/>
      <c r="AJR60" s="88"/>
      <c r="AJS60" s="88"/>
      <c r="AJT60" s="88"/>
      <c r="AJU60" s="88"/>
      <c r="AJV60" s="88"/>
      <c r="AJW60" s="88"/>
      <c r="AJX60" s="88"/>
      <c r="AJY60" s="88"/>
      <c r="AJZ60" s="88"/>
      <c r="AKA60" s="88"/>
      <c r="AKB60" s="88"/>
      <c r="AKC60" s="88"/>
      <c r="AKD60" s="88"/>
      <c r="AKE60" s="88"/>
      <c r="AKF60" s="88"/>
      <c r="AKG60" s="88"/>
      <c r="AKH60" s="88"/>
      <c r="AKI60" s="88"/>
      <c r="AKJ60" s="88"/>
      <c r="AKK60" s="88"/>
      <c r="AKL60" s="88"/>
      <c r="AKM60" s="88"/>
      <c r="AKN60" s="88"/>
      <c r="AKO60" s="88"/>
      <c r="AKP60" s="88"/>
      <c r="AKQ60" s="88"/>
      <c r="AKR60" s="88"/>
      <c r="AKS60" s="88"/>
      <c r="AKT60" s="88"/>
      <c r="AKU60" s="88"/>
      <c r="AKV60" s="88"/>
      <c r="AKW60" s="88"/>
      <c r="AKX60" s="88"/>
      <c r="AKY60" s="88"/>
      <c r="AKZ60" s="88"/>
      <c r="ALA60" s="88"/>
      <c r="ALB60" s="88"/>
      <c r="ALC60" s="88"/>
      <c r="ALD60" s="88"/>
      <c r="ALE60" s="88"/>
      <c r="ALF60" s="88"/>
      <c r="ALG60" s="88"/>
      <c r="ALH60" s="88"/>
      <c r="ALI60" s="88"/>
      <c r="ALJ60" s="88"/>
      <c r="ALK60" s="88"/>
      <c r="ALL60" s="88"/>
      <c r="ALM60" s="88"/>
      <c r="ALN60" s="88"/>
      <c r="ALO60" s="88"/>
      <c r="ALP60" s="88"/>
      <c r="ALQ60" s="88"/>
      <c r="ALR60" s="88"/>
      <c r="ALS60" s="88"/>
      <c r="ALT60" s="88"/>
      <c r="ALU60" s="88"/>
      <c r="ALV60" s="88"/>
      <c r="ALW60" s="88"/>
      <c r="ALX60" s="88"/>
      <c r="ALY60" s="88"/>
      <c r="ALZ60" s="88"/>
      <c r="AMA60" s="88"/>
      <c r="AMB60" s="88"/>
      <c r="AMC60" s="88"/>
      <c r="AMD60" s="88"/>
      <c r="AME60" s="88"/>
      <c r="AMF60" s="88"/>
      <c r="AMG60" s="88"/>
      <c r="AMH60" s="88"/>
      <c r="AMI60" s="88"/>
      <c r="AMJ60" s="88"/>
      <c r="AMK60" s="88"/>
      <c r="AML60" s="88"/>
      <c r="AMM60" s="88"/>
      <c r="AMN60" s="88"/>
      <c r="AMO60" s="88"/>
      <c r="AMP60" s="88"/>
      <c r="AMQ60" s="88"/>
      <c r="AMR60" s="88"/>
      <c r="AMS60" s="88"/>
      <c r="AMT60" s="88"/>
      <c r="AMU60" s="88"/>
      <c r="AMV60" s="88"/>
      <c r="AMW60" s="88"/>
      <c r="AMX60" s="88"/>
      <c r="AMY60" s="88"/>
      <c r="AMZ60" s="88"/>
      <c r="ANA60" s="88"/>
      <c r="ANB60" s="88"/>
      <c r="ANC60" s="88"/>
      <c r="AND60" s="88"/>
      <c r="ANE60" s="88"/>
      <c r="ANF60" s="88"/>
      <c r="ANG60" s="88"/>
      <c r="ANH60" s="88"/>
      <c r="ANI60" s="88"/>
      <c r="ANJ60" s="88"/>
      <c r="ANK60" s="88"/>
      <c r="ANL60" s="88"/>
      <c r="ANM60" s="88"/>
      <c r="ANN60" s="88"/>
      <c r="ANO60" s="88"/>
      <c r="ANP60" s="88"/>
      <c r="ANQ60" s="88"/>
      <c r="ANR60" s="88"/>
      <c r="ANS60" s="88"/>
      <c r="ANT60" s="88"/>
      <c r="ANU60" s="88"/>
      <c r="ANV60" s="88"/>
      <c r="ANW60" s="88"/>
      <c r="ANX60" s="88"/>
      <c r="ANY60" s="88"/>
      <c r="ANZ60" s="88"/>
      <c r="AOA60" s="88"/>
      <c r="AOB60" s="88"/>
      <c r="AOC60" s="88"/>
      <c r="AOD60" s="88"/>
      <c r="AOE60" s="88"/>
      <c r="AOF60" s="88"/>
      <c r="AOG60" s="88"/>
      <c r="AOH60" s="88"/>
      <c r="AOI60" s="88"/>
      <c r="AOJ60" s="88"/>
      <c r="AOK60" s="88"/>
      <c r="AOL60" s="88"/>
      <c r="AOM60" s="88"/>
      <c r="AON60" s="88"/>
      <c r="AOO60" s="88"/>
      <c r="AOP60" s="88"/>
      <c r="AOQ60" s="88"/>
      <c r="AOR60" s="88"/>
      <c r="AOS60" s="88"/>
      <c r="AOT60" s="88"/>
      <c r="AOU60" s="88"/>
      <c r="AOV60" s="88"/>
      <c r="AOW60" s="88"/>
      <c r="AOX60" s="88"/>
      <c r="AOY60" s="88"/>
      <c r="AOZ60" s="88"/>
      <c r="APA60" s="88"/>
      <c r="APB60" s="88"/>
      <c r="APC60" s="88"/>
      <c r="APD60" s="88"/>
      <c r="APE60" s="88"/>
      <c r="APF60" s="88"/>
      <c r="APG60" s="88"/>
      <c r="APH60" s="88"/>
      <c r="API60" s="88"/>
      <c r="APJ60" s="88"/>
      <c r="APK60" s="88"/>
      <c r="APL60" s="88"/>
      <c r="APM60" s="88"/>
      <c r="APN60" s="88"/>
      <c r="APO60" s="88"/>
      <c r="APP60" s="88"/>
      <c r="APQ60" s="88"/>
      <c r="APR60" s="88"/>
      <c r="APS60" s="88"/>
      <c r="APT60" s="88"/>
      <c r="APU60" s="88"/>
      <c r="APV60" s="88"/>
      <c r="APW60" s="88"/>
      <c r="APX60" s="88"/>
      <c r="APY60" s="88"/>
      <c r="APZ60" s="88"/>
      <c r="AQA60" s="88"/>
      <c r="AQB60" s="88"/>
      <c r="AQC60" s="88"/>
      <c r="AQD60" s="88"/>
      <c r="AQE60" s="88"/>
      <c r="AQF60" s="88"/>
      <c r="AQG60" s="88"/>
      <c r="AQH60" s="88"/>
      <c r="AQI60" s="88"/>
      <c r="AQJ60" s="88"/>
      <c r="AQK60" s="88"/>
      <c r="AQL60" s="88"/>
      <c r="AQM60" s="88"/>
      <c r="AQN60" s="88"/>
      <c r="AQO60" s="88"/>
      <c r="AQP60" s="88"/>
      <c r="AQQ60" s="88"/>
      <c r="AQR60" s="88"/>
      <c r="AQS60" s="88"/>
      <c r="AQT60" s="88"/>
      <c r="AQU60" s="88"/>
      <c r="AQV60" s="88"/>
      <c r="AQW60" s="88"/>
      <c r="AQX60" s="88"/>
      <c r="AQY60" s="88"/>
      <c r="AQZ60" s="88"/>
      <c r="ARA60" s="88"/>
      <c r="ARB60" s="88"/>
      <c r="ARC60" s="88"/>
      <c r="ARD60" s="88"/>
      <c r="ARE60" s="88"/>
      <c r="ARF60" s="88"/>
      <c r="ARG60" s="88"/>
      <c r="ARH60" s="88"/>
      <c r="ARI60" s="88"/>
      <c r="ARJ60" s="88"/>
      <c r="ARK60" s="88"/>
      <c r="ARL60" s="88"/>
      <c r="ARM60" s="88"/>
      <c r="ARN60" s="88"/>
      <c r="ARO60" s="88"/>
      <c r="ARP60" s="88"/>
      <c r="ARQ60" s="88"/>
      <c r="ARR60" s="88"/>
      <c r="ARS60" s="88"/>
      <c r="ART60" s="88"/>
      <c r="ARU60" s="88"/>
      <c r="ARV60" s="88"/>
      <c r="ARW60" s="88"/>
      <c r="ARX60" s="88"/>
      <c r="ARY60" s="88"/>
      <c r="ARZ60" s="88"/>
      <c r="ASA60" s="88"/>
      <c r="ASB60" s="88"/>
      <c r="ASC60" s="88"/>
      <c r="ASD60" s="88"/>
      <c r="ASE60" s="88"/>
      <c r="ASF60" s="88"/>
      <c r="ASG60" s="88"/>
      <c r="ASH60" s="88"/>
      <c r="ASI60" s="88"/>
      <c r="ASJ60" s="88"/>
      <c r="ASK60" s="88"/>
      <c r="ASL60" s="88"/>
      <c r="ASM60" s="88"/>
      <c r="ASN60" s="88"/>
      <c r="ASO60" s="88"/>
      <c r="ASP60" s="88"/>
      <c r="ASQ60" s="88"/>
      <c r="ASR60" s="88"/>
      <c r="ASS60" s="88"/>
      <c r="AST60" s="88"/>
      <c r="ASU60" s="88"/>
      <c r="ASV60" s="88"/>
      <c r="ASW60" s="88"/>
      <c r="ASX60" s="88"/>
      <c r="ASY60" s="88"/>
      <c r="ASZ60" s="88"/>
      <c r="ATA60" s="88"/>
      <c r="ATB60" s="88"/>
      <c r="ATC60" s="88"/>
      <c r="ATD60" s="88"/>
      <c r="ATE60" s="88"/>
      <c r="ATF60" s="88"/>
      <c r="ATG60" s="88"/>
      <c r="ATH60" s="88"/>
      <c r="ATI60" s="88"/>
      <c r="ATJ60" s="88"/>
      <c r="ATK60" s="88"/>
      <c r="ATL60" s="88"/>
      <c r="ATM60" s="88"/>
      <c r="ATN60" s="88"/>
      <c r="ATO60" s="88"/>
      <c r="ATP60" s="88"/>
      <c r="ATQ60" s="88"/>
      <c r="ATR60" s="88"/>
      <c r="ATS60" s="88"/>
      <c r="ATT60" s="88"/>
      <c r="ATU60" s="88"/>
      <c r="ATV60" s="88"/>
      <c r="ATW60" s="88"/>
      <c r="ATX60" s="88"/>
      <c r="ATY60" s="88"/>
      <c r="ATZ60" s="88"/>
      <c r="AUA60" s="88"/>
      <c r="AUB60" s="88"/>
      <c r="AUC60" s="88"/>
      <c r="AUD60" s="88"/>
      <c r="AUE60" s="88"/>
      <c r="AUF60" s="88"/>
      <c r="AUG60" s="88"/>
      <c r="AUH60" s="88"/>
      <c r="AUI60" s="88"/>
      <c r="AUJ60" s="88"/>
      <c r="AUK60" s="88"/>
      <c r="AUL60" s="88"/>
      <c r="AUM60" s="88"/>
      <c r="AUN60" s="88"/>
      <c r="AUO60" s="88"/>
      <c r="AUP60" s="88"/>
      <c r="AUQ60" s="88"/>
      <c r="AUR60" s="88"/>
      <c r="AUS60" s="88"/>
      <c r="AUT60" s="88"/>
      <c r="AUU60" s="88"/>
      <c r="AUV60" s="88"/>
      <c r="AUW60" s="88"/>
      <c r="AUX60" s="88"/>
      <c r="AUY60" s="88"/>
      <c r="AUZ60" s="88"/>
      <c r="AVA60" s="88"/>
      <c r="AVB60" s="88"/>
      <c r="AVC60" s="88"/>
      <c r="AVD60" s="88"/>
      <c r="AVE60" s="88"/>
      <c r="AVF60" s="88"/>
      <c r="AVG60" s="88"/>
      <c r="AVH60" s="88"/>
      <c r="AVI60" s="88"/>
      <c r="AVJ60" s="88"/>
      <c r="AVK60" s="88"/>
      <c r="AVL60" s="88"/>
      <c r="AVM60" s="88"/>
      <c r="AVN60" s="88"/>
      <c r="AVO60" s="88"/>
      <c r="AVP60" s="88"/>
      <c r="AVQ60" s="88"/>
      <c r="AVR60" s="88"/>
      <c r="AVS60" s="88"/>
      <c r="AVT60" s="88"/>
      <c r="AVU60" s="88"/>
      <c r="AVV60" s="88"/>
      <c r="AVW60" s="88"/>
      <c r="AVX60" s="88"/>
      <c r="AVY60" s="88"/>
      <c r="AVZ60" s="88"/>
      <c r="AWA60" s="88"/>
      <c r="AWB60" s="88"/>
      <c r="AWC60" s="88"/>
      <c r="AWD60" s="88"/>
      <c r="AWE60" s="88"/>
      <c r="AWF60" s="88"/>
      <c r="AWG60" s="88"/>
      <c r="AWH60" s="88"/>
      <c r="AWI60" s="88"/>
      <c r="AWJ60" s="88"/>
      <c r="AWK60" s="88"/>
      <c r="AWL60" s="88"/>
      <c r="AWM60" s="88"/>
      <c r="AWN60" s="88"/>
      <c r="AWO60" s="88"/>
      <c r="AWP60" s="88"/>
      <c r="AWQ60" s="88"/>
      <c r="AWR60" s="88"/>
      <c r="AWS60" s="88"/>
      <c r="AWT60" s="88"/>
      <c r="AWU60" s="88"/>
      <c r="AWV60" s="88"/>
      <c r="AWW60" s="88"/>
      <c r="AWX60" s="88"/>
      <c r="AWY60" s="88"/>
      <c r="AWZ60" s="88"/>
      <c r="AXA60" s="88"/>
      <c r="AXB60" s="88"/>
      <c r="AXC60" s="88"/>
      <c r="AXD60" s="88"/>
      <c r="AXE60" s="88"/>
      <c r="AXF60" s="88"/>
      <c r="AXG60" s="88"/>
      <c r="AXH60" s="88"/>
      <c r="AXI60" s="88"/>
      <c r="AXJ60" s="88"/>
      <c r="AXK60" s="88"/>
      <c r="AXL60" s="88"/>
      <c r="AXM60" s="88"/>
      <c r="AXN60" s="88"/>
      <c r="AXO60" s="88"/>
      <c r="AXP60" s="88"/>
      <c r="AXQ60" s="88"/>
      <c r="AXR60" s="88"/>
      <c r="AXS60" s="88"/>
      <c r="AXT60" s="88"/>
      <c r="AXU60" s="88"/>
      <c r="AXV60" s="88"/>
      <c r="AXW60" s="88"/>
      <c r="AXX60" s="88"/>
      <c r="AXY60" s="88"/>
      <c r="AXZ60" s="88"/>
      <c r="AYA60" s="88"/>
      <c r="AYB60" s="88"/>
      <c r="AYC60" s="88"/>
      <c r="AYD60" s="88"/>
      <c r="AYE60" s="88"/>
      <c r="AYF60" s="88"/>
      <c r="AYG60" s="88"/>
      <c r="AYH60" s="88"/>
      <c r="AYI60" s="88"/>
      <c r="AYJ60" s="88"/>
      <c r="AYK60" s="88"/>
      <c r="AYL60" s="88"/>
      <c r="AYM60" s="88"/>
      <c r="AYN60" s="88"/>
      <c r="AYO60" s="88"/>
      <c r="AYP60" s="88"/>
      <c r="AYQ60" s="88"/>
      <c r="AYR60" s="88"/>
      <c r="AYS60" s="88"/>
      <c r="AYT60" s="88"/>
      <c r="AYU60" s="88"/>
      <c r="AYV60" s="88"/>
      <c r="AYW60" s="88"/>
      <c r="AYX60" s="88"/>
      <c r="AYY60" s="88"/>
      <c r="AYZ60" s="88"/>
      <c r="AZA60" s="88"/>
      <c r="AZB60" s="88"/>
      <c r="AZC60" s="88"/>
      <c r="AZD60" s="88"/>
      <c r="AZE60" s="88"/>
      <c r="AZF60" s="88"/>
      <c r="AZG60" s="88"/>
      <c r="AZH60" s="88"/>
      <c r="AZI60" s="88"/>
      <c r="AZJ60" s="88"/>
      <c r="AZK60" s="88"/>
      <c r="AZL60" s="88"/>
      <c r="AZM60" s="88"/>
      <c r="AZN60" s="88"/>
      <c r="AZO60" s="88"/>
      <c r="AZP60" s="88"/>
      <c r="AZQ60" s="88"/>
      <c r="AZR60" s="88"/>
      <c r="AZS60" s="88"/>
      <c r="AZT60" s="88"/>
      <c r="AZU60" s="88"/>
      <c r="AZV60" s="88"/>
      <c r="AZW60" s="88"/>
      <c r="AZX60" s="88"/>
      <c r="AZY60" s="88"/>
      <c r="AZZ60" s="88"/>
      <c r="BAA60" s="88"/>
      <c r="BAB60" s="88"/>
      <c r="BAC60" s="88"/>
      <c r="BAD60" s="88"/>
      <c r="BAE60" s="88"/>
      <c r="BAF60" s="88"/>
      <c r="BAG60" s="88"/>
      <c r="BAH60" s="88"/>
      <c r="BAI60" s="88"/>
      <c r="BAJ60" s="88"/>
      <c r="BAK60" s="88"/>
      <c r="BAL60" s="88"/>
      <c r="BAM60" s="88"/>
      <c r="BAN60" s="88"/>
      <c r="BAO60" s="88"/>
      <c r="BAP60" s="88"/>
      <c r="BAQ60" s="88"/>
      <c r="BAR60" s="88"/>
      <c r="BAS60" s="88"/>
      <c r="BAT60" s="88"/>
      <c r="BAU60" s="88"/>
      <c r="BAV60" s="88"/>
      <c r="BAW60" s="88"/>
      <c r="BAX60" s="88"/>
      <c r="BAY60" s="88"/>
      <c r="BAZ60" s="88"/>
      <c r="BBA60" s="88"/>
      <c r="BBB60" s="88"/>
      <c r="BBC60" s="88"/>
      <c r="BBD60" s="88"/>
      <c r="BBE60" s="88"/>
      <c r="BBF60" s="88"/>
      <c r="BBG60" s="88"/>
      <c r="BBH60" s="88"/>
      <c r="BBI60" s="88"/>
      <c r="BBJ60" s="88"/>
      <c r="BBK60" s="88"/>
      <c r="BBL60" s="88"/>
      <c r="BBM60" s="88"/>
      <c r="BBN60" s="88"/>
      <c r="BBO60" s="88"/>
      <c r="BBP60" s="88"/>
      <c r="BBQ60" s="88"/>
      <c r="BBR60" s="88"/>
      <c r="BBS60" s="88"/>
      <c r="BBT60" s="88"/>
      <c r="BBU60" s="88"/>
      <c r="BBV60" s="88"/>
      <c r="BBW60" s="88"/>
      <c r="BBX60" s="88"/>
      <c r="BBY60" s="88"/>
      <c r="BBZ60" s="88"/>
      <c r="BCA60" s="88"/>
      <c r="BCB60" s="88"/>
      <c r="BCC60" s="88"/>
      <c r="BCD60" s="88"/>
      <c r="BCE60" s="88"/>
      <c r="BCF60" s="88"/>
      <c r="BCG60" s="88"/>
      <c r="BCH60" s="88"/>
      <c r="BCI60" s="88"/>
      <c r="BCJ60" s="88"/>
      <c r="BCK60" s="88"/>
      <c r="BCL60" s="88"/>
      <c r="BCM60" s="88"/>
      <c r="BCN60" s="88"/>
      <c r="BCO60" s="88"/>
      <c r="BCP60" s="88"/>
      <c r="BCQ60" s="88"/>
      <c r="BCR60" s="88"/>
      <c r="BCS60" s="88"/>
      <c r="BCT60" s="88"/>
      <c r="BCU60" s="88"/>
      <c r="BCV60" s="88"/>
      <c r="BCW60" s="88"/>
      <c r="BCX60" s="88"/>
      <c r="BCY60" s="88"/>
      <c r="BCZ60" s="88"/>
      <c r="BDA60" s="88"/>
      <c r="BDB60" s="88"/>
      <c r="BDC60" s="88"/>
      <c r="BDD60" s="88"/>
      <c r="BDE60" s="88"/>
      <c r="BDF60" s="88"/>
      <c r="BDG60" s="88"/>
      <c r="BDH60" s="88"/>
      <c r="BDI60" s="88"/>
      <c r="BDJ60" s="88"/>
      <c r="BDK60" s="88"/>
      <c r="BDL60" s="88"/>
      <c r="BDM60" s="88"/>
      <c r="BDN60" s="88"/>
      <c r="BDO60" s="88"/>
      <c r="BDP60" s="88"/>
      <c r="BDQ60" s="88"/>
      <c r="BDR60" s="88"/>
      <c r="BDS60" s="88"/>
      <c r="BDT60" s="88"/>
      <c r="BDU60" s="88"/>
      <c r="BDV60" s="88"/>
      <c r="BDW60" s="88"/>
      <c r="BDX60" s="88"/>
      <c r="BDY60" s="88"/>
      <c r="BDZ60" s="88"/>
      <c r="BEA60" s="88"/>
      <c r="BEB60" s="88"/>
      <c r="BEC60" s="88"/>
      <c r="BED60" s="88"/>
      <c r="BEE60" s="88"/>
      <c r="BEF60" s="88"/>
      <c r="BEG60" s="88"/>
      <c r="BEH60" s="88"/>
      <c r="BEI60" s="88"/>
      <c r="BEJ60" s="88"/>
      <c r="BEK60" s="88"/>
      <c r="BEL60" s="88"/>
      <c r="BEM60" s="88"/>
      <c r="BEN60" s="88"/>
      <c r="BEO60" s="88"/>
      <c r="BEP60" s="88"/>
      <c r="BEQ60" s="88"/>
      <c r="BER60" s="88"/>
      <c r="BES60" s="88"/>
      <c r="BET60" s="88"/>
      <c r="BEU60" s="88"/>
      <c r="BEV60" s="88"/>
      <c r="BEW60" s="88"/>
      <c r="BEX60" s="88"/>
      <c r="BEY60" s="88"/>
      <c r="BEZ60" s="88"/>
      <c r="BFA60" s="88"/>
      <c r="BFB60" s="88"/>
      <c r="BFC60" s="88"/>
      <c r="BFD60" s="88"/>
      <c r="BFE60" s="88"/>
      <c r="BFF60" s="88"/>
      <c r="BFG60" s="88"/>
      <c r="BFH60" s="88"/>
      <c r="BFI60" s="88"/>
      <c r="BFJ60" s="88"/>
      <c r="BFK60" s="88"/>
      <c r="BFL60" s="88"/>
      <c r="BFM60" s="88"/>
      <c r="BFN60" s="88"/>
      <c r="BFO60" s="88"/>
      <c r="BFP60" s="88"/>
      <c r="BFQ60" s="88"/>
      <c r="BFR60" s="88"/>
      <c r="BFS60" s="88"/>
      <c r="BFT60" s="88"/>
      <c r="BFU60" s="88"/>
      <c r="BFV60" s="88"/>
      <c r="BFW60" s="88"/>
      <c r="BFX60" s="88"/>
      <c r="BFY60" s="88"/>
      <c r="BFZ60" s="88"/>
      <c r="BGA60" s="88"/>
      <c r="BGB60" s="88"/>
      <c r="BGC60" s="88"/>
      <c r="BGD60" s="88"/>
      <c r="BGE60" s="88"/>
      <c r="BGF60" s="88"/>
      <c r="BGG60" s="88"/>
      <c r="BGH60" s="88"/>
      <c r="BGI60" s="88"/>
      <c r="BGJ60" s="88"/>
      <c r="BGK60" s="88"/>
      <c r="BGL60" s="88"/>
      <c r="BGM60" s="88"/>
      <c r="BGN60" s="88"/>
      <c r="BGO60" s="88"/>
      <c r="BGP60" s="88"/>
      <c r="BGQ60" s="88"/>
      <c r="BGR60" s="88"/>
      <c r="BGS60" s="88"/>
      <c r="BGT60" s="88"/>
      <c r="BGU60" s="88"/>
      <c r="BGV60" s="88"/>
      <c r="BGW60" s="88"/>
      <c r="BGX60" s="88"/>
      <c r="BGY60" s="88"/>
      <c r="BGZ60" s="88"/>
      <c r="BHA60" s="88"/>
      <c r="BHB60" s="88"/>
      <c r="BHC60" s="88"/>
      <c r="BHD60" s="88"/>
      <c r="BHE60" s="88"/>
      <c r="BHF60" s="88"/>
      <c r="BHG60" s="88"/>
      <c r="BHH60" s="88"/>
      <c r="BHI60" s="88"/>
      <c r="BHJ60" s="88"/>
      <c r="BHK60" s="88"/>
      <c r="BHL60" s="88"/>
      <c r="BHM60" s="88"/>
      <c r="BHN60" s="88"/>
      <c r="BHO60" s="88"/>
      <c r="BHP60" s="88"/>
      <c r="BHQ60" s="88"/>
      <c r="BHR60" s="88"/>
      <c r="BHS60" s="88"/>
      <c r="BHT60" s="88"/>
      <c r="BHU60" s="88"/>
      <c r="BHV60" s="88"/>
      <c r="BHW60" s="88"/>
      <c r="BHX60" s="88"/>
      <c r="BHY60" s="88"/>
      <c r="BHZ60" s="88"/>
      <c r="BIA60" s="88"/>
      <c r="BIB60" s="88"/>
      <c r="BIC60" s="88"/>
      <c r="BID60" s="88"/>
      <c r="BIE60" s="88"/>
      <c r="BIF60" s="88"/>
      <c r="BIG60" s="88"/>
      <c r="BIH60" s="88"/>
      <c r="BII60" s="88"/>
      <c r="BIJ60" s="88"/>
      <c r="BIK60" s="88"/>
      <c r="BIL60" s="88"/>
      <c r="BIM60" s="88"/>
      <c r="BIN60" s="88"/>
      <c r="BIO60" s="88"/>
      <c r="BIP60" s="88"/>
      <c r="BIQ60" s="88"/>
      <c r="BIR60" s="88"/>
      <c r="BIS60" s="88"/>
      <c r="BIT60" s="88"/>
      <c r="BIU60" s="88"/>
      <c r="BIV60" s="88"/>
      <c r="BIW60" s="88"/>
      <c r="BIX60" s="88"/>
      <c r="BIY60" s="88"/>
      <c r="BIZ60" s="88"/>
      <c r="BJA60" s="88"/>
      <c r="BJB60" s="88"/>
      <c r="BJC60" s="88"/>
      <c r="BJD60" s="88"/>
      <c r="BJE60" s="88"/>
      <c r="BJF60" s="88"/>
      <c r="BJG60" s="88"/>
      <c r="BJH60" s="88"/>
      <c r="BJI60" s="88"/>
      <c r="BJJ60" s="88"/>
      <c r="BJK60" s="88"/>
      <c r="BJL60" s="88"/>
      <c r="BJM60" s="88"/>
      <c r="BJN60" s="88"/>
      <c r="BJO60" s="88"/>
      <c r="BJP60" s="88"/>
      <c r="BJQ60" s="88"/>
      <c r="BJR60" s="88"/>
      <c r="BJS60" s="88"/>
      <c r="BJT60" s="88"/>
      <c r="BJU60" s="88"/>
      <c r="BJV60" s="88"/>
      <c r="BJW60" s="88"/>
      <c r="BJX60" s="88"/>
      <c r="BJY60" s="88"/>
      <c r="BJZ60" s="88"/>
      <c r="BKA60" s="88"/>
      <c r="BKB60" s="88"/>
      <c r="BKC60" s="88"/>
      <c r="BKD60" s="88"/>
      <c r="BKE60" s="88"/>
      <c r="BKF60" s="88"/>
      <c r="BKG60" s="88"/>
      <c r="BKH60" s="88"/>
      <c r="BKI60" s="88"/>
      <c r="BKJ60" s="88"/>
      <c r="BKK60" s="88"/>
      <c r="BKL60" s="88"/>
      <c r="BKM60" s="88"/>
      <c r="BKN60" s="88"/>
      <c r="BKO60" s="88"/>
      <c r="BKP60" s="88"/>
      <c r="BKQ60" s="88"/>
      <c r="BKR60" s="88"/>
      <c r="BKS60" s="88"/>
      <c r="BKT60" s="88"/>
      <c r="BKU60" s="88"/>
      <c r="BKV60" s="88"/>
      <c r="BKW60" s="88"/>
      <c r="BKX60" s="88"/>
      <c r="BKY60" s="88"/>
      <c r="BKZ60" s="88"/>
      <c r="BLA60" s="88"/>
      <c r="BLB60" s="88"/>
      <c r="BLC60" s="88"/>
      <c r="BLD60" s="88"/>
      <c r="BLE60" s="88"/>
      <c r="BLF60" s="88"/>
      <c r="BLG60" s="88"/>
      <c r="BLH60" s="88"/>
      <c r="BLI60" s="88"/>
      <c r="BLJ60" s="88"/>
      <c r="BLK60" s="88"/>
      <c r="BLL60" s="88"/>
      <c r="BLM60" s="88"/>
      <c r="BLN60" s="88"/>
      <c r="BLO60" s="88"/>
      <c r="BLP60" s="88"/>
      <c r="BLQ60" s="88"/>
      <c r="BLR60" s="88"/>
      <c r="BLS60" s="88"/>
      <c r="BLT60" s="88"/>
      <c r="BLU60" s="88"/>
      <c r="BLV60" s="88"/>
      <c r="BLW60" s="88"/>
      <c r="BLX60" s="88"/>
      <c r="BLY60" s="88"/>
      <c r="BLZ60" s="88"/>
      <c r="BMA60" s="88"/>
      <c r="BMB60" s="88"/>
      <c r="BMC60" s="88"/>
      <c r="BMD60" s="88"/>
      <c r="BME60" s="88"/>
      <c r="BMF60" s="88"/>
      <c r="BMG60" s="88"/>
      <c r="BMH60" s="88"/>
      <c r="BMI60" s="88"/>
      <c r="BMJ60" s="88"/>
      <c r="BMK60" s="88"/>
      <c r="BML60" s="88"/>
      <c r="BMM60" s="88"/>
      <c r="BMN60" s="88"/>
      <c r="BMO60" s="88"/>
      <c r="BMP60" s="88"/>
      <c r="BMQ60" s="88"/>
      <c r="BMR60" s="88"/>
      <c r="BMS60" s="88"/>
      <c r="BMT60" s="88"/>
      <c r="BMU60" s="88"/>
      <c r="BMV60" s="88"/>
      <c r="BMW60" s="88"/>
      <c r="BMX60" s="88"/>
      <c r="BMY60" s="88"/>
      <c r="BMZ60" s="88"/>
      <c r="BNA60" s="88"/>
      <c r="BNB60" s="88"/>
      <c r="BNC60" s="88"/>
      <c r="BND60" s="88"/>
      <c r="BNE60" s="88"/>
      <c r="BNF60" s="88"/>
      <c r="BNG60" s="88"/>
      <c r="BNH60" s="88"/>
      <c r="BNI60" s="88"/>
      <c r="BNJ60" s="88"/>
      <c r="BNK60" s="88"/>
      <c r="BNL60" s="88"/>
      <c r="BNM60" s="88"/>
      <c r="BNN60" s="88"/>
      <c r="BNO60" s="88"/>
      <c r="BNP60" s="88"/>
      <c r="BNQ60" s="88"/>
      <c r="BNR60" s="88"/>
      <c r="BNS60" s="88"/>
      <c r="BNT60" s="88"/>
      <c r="BNU60" s="88"/>
      <c r="BNV60" s="88"/>
      <c r="BNW60" s="88"/>
      <c r="BNX60" s="88"/>
      <c r="BNY60" s="88"/>
      <c r="BNZ60" s="88"/>
      <c r="BOA60" s="88"/>
      <c r="BOB60" s="88"/>
      <c r="BOC60" s="88"/>
      <c r="BOD60" s="88"/>
      <c r="BOE60" s="88"/>
      <c r="BOF60" s="88"/>
      <c r="BOG60" s="88"/>
      <c r="BOH60" s="88"/>
      <c r="BOI60" s="88"/>
      <c r="BOJ60" s="88"/>
      <c r="BOK60" s="88"/>
      <c r="BOL60" s="88"/>
      <c r="BOM60" s="88"/>
      <c r="BON60" s="88"/>
      <c r="BOO60" s="88"/>
      <c r="BOP60" s="88"/>
      <c r="BOQ60" s="88"/>
      <c r="BOR60" s="88"/>
      <c r="BOS60" s="88"/>
      <c r="BOT60" s="88"/>
      <c r="BOU60" s="88"/>
      <c r="BOV60" s="88"/>
      <c r="BOW60" s="88"/>
      <c r="BOX60" s="88"/>
      <c r="BOY60" s="88"/>
      <c r="BOZ60" s="88"/>
      <c r="BPA60" s="88"/>
      <c r="BPB60" s="88"/>
      <c r="BPC60" s="88"/>
      <c r="BPD60" s="88"/>
      <c r="BPE60" s="88"/>
      <c r="BPF60" s="88"/>
      <c r="BPG60" s="88"/>
      <c r="BPH60" s="88"/>
      <c r="BPI60" s="88"/>
      <c r="BPJ60" s="88"/>
      <c r="BPK60" s="88"/>
      <c r="BPL60" s="88"/>
      <c r="BPM60" s="88"/>
      <c r="BPN60" s="88"/>
      <c r="BPO60" s="88"/>
      <c r="BPP60" s="88"/>
      <c r="BPQ60" s="88"/>
      <c r="BPR60" s="88"/>
      <c r="BPS60" s="88"/>
      <c r="BPT60" s="88"/>
      <c r="BPU60" s="88"/>
      <c r="BPV60" s="88"/>
      <c r="BPW60" s="88"/>
      <c r="BPX60" s="88"/>
      <c r="BPY60" s="88"/>
      <c r="BPZ60" s="88"/>
      <c r="BQA60" s="88"/>
      <c r="BQB60" s="88"/>
      <c r="BQC60" s="88"/>
      <c r="BQD60" s="88"/>
      <c r="BQE60" s="88"/>
      <c r="BQF60" s="88"/>
      <c r="BQG60" s="88"/>
      <c r="BQH60" s="88"/>
      <c r="BQI60" s="88"/>
      <c r="BQJ60" s="88"/>
      <c r="BQK60" s="88"/>
      <c r="BQL60" s="88"/>
      <c r="BQM60" s="88"/>
      <c r="BQN60" s="88"/>
      <c r="BQO60" s="88"/>
      <c r="BQP60" s="88"/>
      <c r="BQQ60" s="88"/>
      <c r="BQR60" s="88"/>
      <c r="BQS60" s="88"/>
      <c r="BQT60" s="88"/>
      <c r="BQU60" s="88"/>
      <c r="BQV60" s="88"/>
      <c r="BQW60" s="88"/>
      <c r="BQX60" s="88"/>
      <c r="BQY60" s="88"/>
      <c r="BQZ60" s="88"/>
      <c r="BRA60" s="88"/>
      <c r="BRB60" s="88"/>
      <c r="BRC60" s="88"/>
      <c r="BRD60" s="88"/>
      <c r="BRE60" s="88"/>
      <c r="BRF60" s="88"/>
      <c r="BRG60" s="88"/>
      <c r="BRH60" s="88"/>
      <c r="BRI60" s="88"/>
      <c r="BRJ60" s="88"/>
      <c r="BRK60" s="88"/>
      <c r="BRL60" s="88"/>
      <c r="BRM60" s="88"/>
      <c r="BRN60" s="88"/>
      <c r="BRO60" s="88"/>
      <c r="BRP60" s="88"/>
      <c r="BRQ60" s="88"/>
      <c r="BRR60" s="88"/>
      <c r="BRS60" s="88"/>
      <c r="BRT60" s="88"/>
      <c r="BRU60" s="88"/>
      <c r="BRV60" s="88"/>
      <c r="BRW60" s="88"/>
      <c r="BRX60" s="88"/>
      <c r="BRY60" s="88"/>
      <c r="BRZ60" s="88"/>
      <c r="BSA60" s="88"/>
      <c r="BSB60" s="88"/>
      <c r="BSC60" s="88"/>
      <c r="BSD60" s="88"/>
      <c r="BSE60" s="88"/>
      <c r="BSF60" s="88"/>
      <c r="BSG60" s="88"/>
      <c r="BSH60" s="88"/>
      <c r="BSI60" s="88"/>
      <c r="BSJ60" s="88"/>
      <c r="BSK60" s="88"/>
      <c r="BSL60" s="88"/>
      <c r="BSM60" s="88"/>
      <c r="BSN60" s="88"/>
      <c r="BSO60" s="88"/>
      <c r="BSP60" s="88"/>
      <c r="BSQ60" s="88"/>
      <c r="BSR60" s="88"/>
      <c r="BSS60" s="88"/>
      <c r="BST60" s="88"/>
      <c r="BSU60" s="88"/>
      <c r="BSV60" s="88"/>
      <c r="BSW60" s="88"/>
      <c r="BSX60" s="88"/>
      <c r="BSY60" s="88"/>
      <c r="BSZ60" s="88"/>
      <c r="BTA60" s="88"/>
      <c r="BTB60" s="88"/>
      <c r="BTC60" s="88"/>
      <c r="BTD60" s="88"/>
      <c r="BTE60" s="88"/>
      <c r="BTF60" s="88"/>
      <c r="BTG60" s="88"/>
      <c r="BTH60" s="88"/>
      <c r="BTI60" s="88"/>
      <c r="BTJ60" s="88"/>
      <c r="BTK60" s="88"/>
      <c r="BTL60" s="88"/>
      <c r="BTM60" s="88"/>
      <c r="BTN60" s="88"/>
      <c r="BTO60" s="88"/>
      <c r="BTP60" s="88"/>
      <c r="BTQ60" s="88"/>
      <c r="BTR60" s="88"/>
      <c r="BTS60" s="88"/>
      <c r="BTT60" s="88"/>
      <c r="BTU60" s="88"/>
      <c r="BTV60" s="88"/>
      <c r="BTW60" s="88"/>
      <c r="BTX60" s="88"/>
      <c r="BTY60" s="88"/>
      <c r="BTZ60" s="88"/>
      <c r="BUA60" s="88"/>
      <c r="BUB60" s="88"/>
      <c r="BUC60" s="88"/>
      <c r="BUD60" s="88"/>
      <c r="BUE60" s="88"/>
      <c r="BUF60" s="88"/>
      <c r="BUG60" s="88"/>
      <c r="BUH60" s="88"/>
      <c r="BUI60" s="88"/>
      <c r="BUJ60" s="88"/>
      <c r="BUK60" s="88"/>
      <c r="BUL60" s="88"/>
      <c r="BUM60" s="88"/>
      <c r="BUN60" s="88"/>
      <c r="BUO60" s="88"/>
      <c r="BUP60" s="88"/>
      <c r="BUQ60" s="88"/>
      <c r="BUR60" s="88"/>
      <c r="BUS60" s="88"/>
      <c r="BUT60" s="88"/>
      <c r="BUU60" s="88"/>
      <c r="BUV60" s="88"/>
      <c r="BUW60" s="88"/>
      <c r="BUX60" s="88"/>
      <c r="BUY60" s="88"/>
      <c r="BUZ60" s="88"/>
      <c r="BVA60" s="88"/>
      <c r="BVB60" s="88"/>
      <c r="BVC60" s="88"/>
      <c r="BVD60" s="88"/>
      <c r="BVE60" s="88"/>
      <c r="BVF60" s="88"/>
      <c r="BVG60" s="88"/>
      <c r="BVH60" s="88"/>
      <c r="BVI60" s="88"/>
      <c r="BVJ60" s="88"/>
      <c r="BVK60" s="88"/>
      <c r="BVL60" s="88"/>
      <c r="BVM60" s="88"/>
      <c r="BVN60" s="88"/>
      <c r="BVO60" s="88"/>
      <c r="BVP60" s="88"/>
      <c r="BVQ60" s="88"/>
      <c r="BVR60" s="88"/>
      <c r="BVS60" s="88"/>
      <c r="BVT60" s="88"/>
      <c r="BVU60" s="88"/>
      <c r="BVV60" s="88"/>
      <c r="BVW60" s="88"/>
      <c r="BVX60" s="88"/>
      <c r="BVY60" s="88"/>
      <c r="BVZ60" s="88"/>
      <c r="BWA60" s="88"/>
      <c r="BWB60" s="88"/>
      <c r="BWC60" s="88"/>
      <c r="BWD60" s="88"/>
      <c r="BWE60" s="88"/>
      <c r="BWF60" s="88"/>
      <c r="BWG60" s="88"/>
      <c r="BWH60" s="88"/>
      <c r="BWI60" s="88"/>
      <c r="BWJ60" s="88"/>
      <c r="BWK60" s="88"/>
      <c r="BWL60" s="88"/>
      <c r="BWM60" s="88"/>
      <c r="BWN60" s="88"/>
      <c r="BWO60" s="88"/>
      <c r="BWP60" s="88"/>
      <c r="BWQ60" s="88"/>
      <c r="BWR60" s="88"/>
      <c r="BWS60" s="88"/>
      <c r="BWT60" s="88"/>
      <c r="BWU60" s="88"/>
      <c r="BWV60" s="88"/>
      <c r="BWW60" s="88"/>
      <c r="BWX60" s="88"/>
      <c r="BWY60" s="88"/>
      <c r="BWZ60" s="88"/>
      <c r="BXA60" s="88"/>
      <c r="BXB60" s="88"/>
      <c r="BXC60" s="88"/>
      <c r="BXD60" s="88"/>
      <c r="BXE60" s="88"/>
      <c r="BXF60" s="88"/>
      <c r="BXG60" s="88"/>
      <c r="BXH60" s="88"/>
      <c r="BXI60" s="88"/>
      <c r="BXJ60" s="88"/>
      <c r="BXK60" s="88"/>
      <c r="BXL60" s="88"/>
      <c r="BXM60" s="88"/>
      <c r="BXN60" s="88"/>
      <c r="BXO60" s="88"/>
      <c r="BXP60" s="88"/>
      <c r="BXQ60" s="88"/>
      <c r="BXR60" s="88"/>
      <c r="BXS60" s="88"/>
      <c r="BXT60" s="88"/>
      <c r="BXU60" s="88"/>
      <c r="BXV60" s="88"/>
      <c r="BXW60" s="88"/>
      <c r="BXX60" s="88"/>
      <c r="BXY60" s="88"/>
      <c r="BXZ60" s="88"/>
      <c r="BYA60" s="88"/>
      <c r="BYB60" s="88"/>
      <c r="BYC60" s="88"/>
      <c r="BYD60" s="88"/>
      <c r="BYE60" s="88"/>
      <c r="BYF60" s="88"/>
      <c r="BYG60" s="88"/>
      <c r="BYH60" s="88"/>
      <c r="BYI60" s="88"/>
      <c r="BYJ60" s="88"/>
      <c r="BYK60" s="88"/>
      <c r="BYL60" s="88"/>
      <c r="BYM60" s="88"/>
      <c r="BYN60" s="88"/>
      <c r="BYO60" s="88"/>
      <c r="BYP60" s="88"/>
      <c r="BYQ60" s="88"/>
      <c r="BYR60" s="88"/>
      <c r="BYS60" s="88"/>
      <c r="BYT60" s="88"/>
      <c r="BYU60" s="88"/>
      <c r="BYV60" s="88"/>
      <c r="BYW60" s="88"/>
      <c r="BYX60" s="88"/>
      <c r="BYY60" s="88"/>
      <c r="BYZ60" s="88"/>
      <c r="BZA60" s="88"/>
      <c r="BZB60" s="88"/>
      <c r="BZC60" s="88"/>
      <c r="BZD60" s="88"/>
      <c r="BZE60" s="88"/>
      <c r="BZF60" s="88"/>
      <c r="BZG60" s="88"/>
      <c r="BZH60" s="88"/>
      <c r="BZI60" s="88"/>
      <c r="BZJ60" s="88"/>
      <c r="BZK60" s="88"/>
      <c r="BZL60" s="88"/>
      <c r="BZM60" s="88"/>
      <c r="BZN60" s="88"/>
      <c r="BZO60" s="88"/>
      <c r="BZP60" s="88"/>
      <c r="BZQ60" s="88"/>
      <c r="BZR60" s="88"/>
      <c r="BZS60" s="88"/>
      <c r="BZT60" s="88"/>
      <c r="BZU60" s="88"/>
      <c r="BZV60" s="88"/>
      <c r="BZW60" s="88"/>
      <c r="BZX60" s="88"/>
      <c r="BZY60" s="88"/>
      <c r="BZZ60" s="88"/>
      <c r="CAA60" s="88"/>
      <c r="CAB60" s="88"/>
      <c r="CAC60" s="88"/>
      <c r="CAD60" s="88"/>
      <c r="CAE60" s="88"/>
      <c r="CAF60" s="88"/>
      <c r="CAG60" s="88"/>
      <c r="CAH60" s="88"/>
      <c r="CAI60" s="88"/>
      <c r="CAJ60" s="88"/>
      <c r="CAK60" s="88"/>
      <c r="CAL60" s="88"/>
      <c r="CAM60" s="88"/>
      <c r="CAN60" s="88"/>
      <c r="CAO60" s="88"/>
      <c r="CAP60" s="88"/>
      <c r="CAQ60" s="88"/>
      <c r="CAR60" s="88"/>
      <c r="CAS60" s="88"/>
      <c r="CAT60" s="88"/>
      <c r="CAU60" s="88"/>
      <c r="CAV60" s="88"/>
      <c r="CAW60" s="88"/>
      <c r="CAX60" s="88"/>
      <c r="CAY60" s="88"/>
      <c r="CAZ60" s="88"/>
      <c r="CBA60" s="88"/>
      <c r="CBB60" s="88"/>
      <c r="CBC60" s="88"/>
      <c r="CBD60" s="88"/>
      <c r="CBE60" s="88"/>
      <c r="CBF60" s="88"/>
      <c r="CBG60" s="88"/>
      <c r="CBH60" s="88"/>
      <c r="CBI60" s="88"/>
      <c r="CBJ60" s="88"/>
      <c r="CBK60" s="88"/>
      <c r="CBL60" s="88"/>
      <c r="CBM60" s="88"/>
      <c r="CBN60" s="88"/>
      <c r="CBO60" s="88"/>
      <c r="CBP60" s="88"/>
      <c r="CBQ60" s="88"/>
      <c r="CBR60" s="88"/>
      <c r="CBS60" s="88"/>
      <c r="CBT60" s="88"/>
      <c r="CBU60" s="88"/>
      <c r="CBV60" s="88"/>
      <c r="CBW60" s="88"/>
      <c r="CBX60" s="88"/>
      <c r="CBY60" s="88"/>
      <c r="CBZ60" s="88"/>
      <c r="CCA60" s="88"/>
      <c r="CCB60" s="88"/>
      <c r="CCC60" s="88"/>
      <c r="CCD60" s="88"/>
      <c r="CCE60" s="88"/>
      <c r="CCF60" s="88"/>
      <c r="CCG60" s="88"/>
      <c r="CCH60" s="88"/>
      <c r="CCI60" s="88"/>
      <c r="CCJ60" s="88"/>
      <c r="CCK60" s="88"/>
      <c r="CCL60" s="88"/>
      <c r="CCM60" s="88"/>
      <c r="CCN60" s="88"/>
      <c r="CCO60" s="88"/>
      <c r="CCP60" s="88"/>
      <c r="CCQ60" s="88"/>
      <c r="CCR60" s="88"/>
      <c r="CCS60" s="88"/>
      <c r="CCT60" s="88"/>
      <c r="CCU60" s="88"/>
      <c r="CCV60" s="88"/>
      <c r="CCW60" s="88"/>
      <c r="CCX60" s="88"/>
      <c r="CCY60" s="88"/>
      <c r="CCZ60" s="88"/>
      <c r="CDA60" s="88"/>
      <c r="CDB60" s="88"/>
      <c r="CDC60" s="88"/>
      <c r="CDD60" s="88"/>
      <c r="CDE60" s="88"/>
      <c r="CDF60" s="88"/>
      <c r="CDG60" s="88"/>
      <c r="CDH60" s="88"/>
      <c r="CDI60" s="88"/>
      <c r="CDJ60" s="88"/>
      <c r="CDK60" s="88"/>
      <c r="CDL60" s="88"/>
      <c r="CDM60" s="88"/>
      <c r="CDN60" s="88"/>
      <c r="CDO60" s="88"/>
      <c r="CDP60" s="88"/>
      <c r="CDQ60" s="88"/>
      <c r="CDR60" s="88"/>
      <c r="CDS60" s="88"/>
      <c r="CDT60" s="88"/>
      <c r="CDU60" s="88"/>
      <c r="CDV60" s="88"/>
      <c r="CDW60" s="88"/>
      <c r="CDX60" s="88"/>
      <c r="CDY60" s="88"/>
      <c r="CDZ60" s="88"/>
      <c r="CEA60" s="88"/>
      <c r="CEB60" s="88"/>
      <c r="CEC60" s="88"/>
      <c r="CED60" s="88"/>
      <c r="CEE60" s="88"/>
      <c r="CEF60" s="88"/>
      <c r="CEG60" s="88"/>
      <c r="CEH60" s="88"/>
      <c r="CEI60" s="88"/>
      <c r="CEJ60" s="88"/>
      <c r="CEK60" s="88"/>
    </row>
    <row r="61" spans="1:2169" s="63" customFormat="1">
      <c r="A61" s="73" t="s">
        <v>423</v>
      </c>
      <c r="B61" s="71" t="s">
        <v>83</v>
      </c>
      <c r="C61" s="68" t="str">
        <f>IF('page 2'!$O$4="","",IF('page 2'!$O$4=Gestion!A61,1,0))</f>
        <v/>
      </c>
      <c r="D61" s="68" t="str">
        <f>IF('page 2'!$O$5="","",IF('page 2'!$O$5=Gestion!A61,1,0))</f>
        <v/>
      </c>
      <c r="E61" s="68" t="str">
        <f>IF('page 2'!$O$6="","",IF('page 2'!$O$6=Gestion!A61,1,0))</f>
        <v/>
      </c>
      <c r="F61" s="68" t="str">
        <f>IF('page 2'!$O$7="","",IF('page 2'!$O$7=Gestion!A61,1,0))</f>
        <v/>
      </c>
      <c r="G61" s="68" t="str">
        <f>IF('page 2'!$O$8="","",IF('page 2'!$O$8=Gestion!A61,1,0))</f>
        <v/>
      </c>
      <c r="H61" s="68"/>
      <c r="I61" s="68" t="str">
        <f>IF('page 2'!$O$10="","",IF('page 2'!$O$10=Gestion!A61,1,0))</f>
        <v/>
      </c>
      <c r="J61" s="68" t="str">
        <f>IF('page 2'!$O$11="","",IF('page 2'!$O$11=Gestion!A61,1,0))</f>
        <v/>
      </c>
      <c r="K61" s="68" t="str">
        <f>IF('page 2'!$O$12="","",IF('page 2'!$O$12=Gestion!A61,1,0))</f>
        <v/>
      </c>
      <c r="L61" s="68" t="str">
        <f>IF('page 2'!$O$13="","",IF('page 2'!$O$13=Gestion!A61,1,0))</f>
        <v/>
      </c>
      <c r="M61" s="68" t="str">
        <f>IF('page 2'!$O$14="","",IF('page 2'!$O$14=Gestion!A61,1,0))</f>
        <v/>
      </c>
      <c r="N61" s="68" t="str">
        <f>IF('page 2'!$O$15="","",IF('page 2'!$O$15=Gestion!A61,1,0))</f>
        <v/>
      </c>
      <c r="O61" s="68" t="str">
        <f>IF('page 2'!$O$16="","",IF('page 2'!$O$16=Gestion!A61,1,0))</f>
        <v/>
      </c>
      <c r="P61" s="68" t="str">
        <f>IF('page 2'!$O$17="","",IF('page 2'!$O$17=Gestion!A61,1,0))</f>
        <v/>
      </c>
      <c r="Q61" s="68" t="str">
        <f>IF('page 2'!$O$18="","",IF('page 2'!$O$18=Gestion!A61,1,0))</f>
        <v/>
      </c>
      <c r="R61" s="68" t="str">
        <f>IF('page 2'!$O$19="","",IF('page 2'!$O$19=Gestion!A61,1,0))</f>
        <v/>
      </c>
      <c r="S61" s="68" t="str">
        <f>IF('page 2'!$O$20="","",IF('page 2'!$O$20=Gestion!A61,1,0))</f>
        <v/>
      </c>
      <c r="T61" s="68" t="str">
        <f>IF('page 2'!$O$25="","",IF('page 2'!$O$25=Gestion!A61,1,0))</f>
        <v/>
      </c>
      <c r="U61" s="68" t="str">
        <f>IF('page 2'!$O$26="","",IF('page 2'!$O$26=Gestion!A61,1,0))</f>
        <v/>
      </c>
      <c r="V61" s="68" t="str">
        <f>IF('page 2'!$O$27="","",IF('page 2'!$O$27=Gestion!A61,1,0))</f>
        <v/>
      </c>
      <c r="W61" s="722">
        <f t="shared" si="0"/>
        <v>0</v>
      </c>
      <c r="X61" s="714"/>
      <c r="Y61" s="68"/>
      <c r="Z61" s="68"/>
      <c r="AA61" s="68"/>
      <c r="AB61" s="68"/>
      <c r="AC61" s="68"/>
      <c r="AD61" s="68"/>
      <c r="AP61" s="130"/>
      <c r="AQ61" s="130"/>
      <c r="AR61" s="130"/>
      <c r="AS61" s="576"/>
      <c r="AT61" s="576"/>
      <c r="AU61" s="576"/>
      <c r="AV61" s="576"/>
      <c r="AW61" s="602"/>
      <c r="AX61" s="602"/>
      <c r="AY61" s="576"/>
      <c r="AZ61" s="576"/>
      <c r="BA61" s="576"/>
      <c r="BB61" s="576"/>
      <c r="BC61" s="576"/>
      <c r="BD61" s="602"/>
      <c r="BE61" s="602"/>
      <c r="BF61" s="602"/>
      <c r="BG61" s="602"/>
      <c r="BH61" s="602"/>
      <c r="BI61" s="602"/>
      <c r="BJ61" s="602"/>
      <c r="BK61" s="602"/>
      <c r="BL61" s="602"/>
      <c r="BM61" s="602"/>
      <c r="BN61" s="602"/>
      <c r="BO61" s="602"/>
      <c r="BP61" s="602"/>
      <c r="BQ61" s="602"/>
      <c r="BR61" s="602"/>
      <c r="BS61" s="576"/>
      <c r="BT61" s="576"/>
      <c r="BU61" s="576"/>
      <c r="BV61" s="576"/>
      <c r="BW61" s="602"/>
      <c r="BX61" s="602"/>
      <c r="BY61" s="602"/>
      <c r="BZ61" s="576"/>
      <c r="CA61" s="602"/>
      <c r="CB61" s="602"/>
      <c r="CC61" s="576"/>
      <c r="CD61" s="576"/>
      <c r="CE61" s="602"/>
      <c r="CF61" s="576"/>
      <c r="CG61" s="576"/>
      <c r="CH61" s="576"/>
      <c r="CI61" s="576"/>
      <c r="CJ61" s="576"/>
      <c r="CK61" s="602"/>
      <c r="CL61" s="602"/>
      <c r="CM61" s="576"/>
      <c r="CN61" s="602"/>
      <c r="CO61" s="602"/>
      <c r="CP61" s="602"/>
      <c r="CQ61" s="576"/>
      <c r="CR61" s="576"/>
      <c r="CS61" s="602"/>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c r="HF61" s="88"/>
      <c r="HG61" s="88"/>
      <c r="HH61" s="88"/>
      <c r="HI61" s="88"/>
      <c r="HJ61" s="88"/>
      <c r="HK61" s="88"/>
      <c r="HL61" s="88"/>
      <c r="HM61" s="88"/>
      <c r="HN61" s="88"/>
      <c r="HO61" s="88"/>
      <c r="HP61" s="88"/>
      <c r="HQ61" s="88"/>
      <c r="HR61" s="88"/>
      <c r="HS61" s="88"/>
      <c r="HT61" s="88"/>
      <c r="HU61" s="88"/>
      <c r="HV61" s="88"/>
      <c r="HW61" s="88"/>
      <c r="HX61" s="88"/>
      <c r="HY61" s="88"/>
      <c r="HZ61" s="88"/>
      <c r="IA61" s="88"/>
      <c r="IB61" s="88"/>
      <c r="IC61" s="88"/>
      <c r="ID61" s="88"/>
      <c r="IE61" s="88"/>
      <c r="IF61" s="88"/>
      <c r="IG61" s="88"/>
      <c r="IH61" s="88"/>
      <c r="II61" s="88"/>
      <c r="IJ61" s="88"/>
      <c r="IK61" s="88"/>
      <c r="IL61" s="88"/>
      <c r="IM61" s="88"/>
      <c r="IN61" s="88"/>
      <c r="IO61" s="88"/>
      <c r="IP61" s="88"/>
      <c r="IQ61" s="88"/>
      <c r="IR61" s="88"/>
      <c r="IS61" s="88"/>
      <c r="IT61" s="88"/>
      <c r="IU61" s="88"/>
      <c r="IV61" s="88"/>
      <c r="IW61" s="88"/>
      <c r="IX61" s="88"/>
      <c r="IY61" s="88"/>
      <c r="IZ61" s="88"/>
      <c r="JA61" s="88"/>
      <c r="JB61" s="88"/>
      <c r="JC61" s="88"/>
      <c r="JD61" s="88"/>
      <c r="JE61" s="88"/>
      <c r="JF61" s="88"/>
      <c r="JG61" s="88"/>
      <c r="JH61" s="88"/>
      <c r="JI61" s="88"/>
      <c r="JJ61" s="88"/>
      <c r="JK61" s="88"/>
      <c r="JL61" s="88"/>
      <c r="JM61" s="88"/>
      <c r="JN61" s="88"/>
      <c r="JO61" s="88"/>
      <c r="JP61" s="88"/>
      <c r="JQ61" s="88"/>
      <c r="JR61" s="88"/>
      <c r="JS61" s="88"/>
      <c r="JT61" s="88"/>
      <c r="JU61" s="88"/>
      <c r="JV61" s="88"/>
      <c r="JW61" s="88"/>
      <c r="JX61" s="88"/>
      <c r="JY61" s="88"/>
      <c r="JZ61" s="88"/>
      <c r="KA61" s="88"/>
      <c r="KB61" s="88"/>
      <c r="KC61" s="88"/>
      <c r="KD61" s="88"/>
      <c r="KE61" s="88"/>
      <c r="KF61" s="88"/>
      <c r="KG61" s="88"/>
      <c r="KH61" s="88"/>
      <c r="KI61" s="88"/>
      <c r="KJ61" s="88"/>
      <c r="KK61" s="88"/>
      <c r="KL61" s="88"/>
      <c r="KM61" s="88"/>
      <c r="KN61" s="88"/>
      <c r="KO61" s="88"/>
      <c r="KP61" s="88"/>
      <c r="KQ61" s="88"/>
      <c r="KR61" s="88"/>
      <c r="KS61" s="88"/>
      <c r="KT61" s="88"/>
      <c r="KU61" s="88"/>
      <c r="KV61" s="88"/>
      <c r="KW61" s="88"/>
      <c r="KX61" s="88"/>
      <c r="KY61" s="88"/>
      <c r="KZ61" s="88"/>
      <c r="LA61" s="88"/>
      <c r="LB61" s="88"/>
      <c r="LC61" s="88"/>
      <c r="LD61" s="88"/>
      <c r="LE61" s="88"/>
      <c r="LF61" s="88"/>
      <c r="LG61" s="88"/>
      <c r="LH61" s="88"/>
      <c r="LI61" s="88"/>
      <c r="LJ61" s="88"/>
      <c r="LK61" s="88"/>
      <c r="LL61" s="88"/>
      <c r="LM61" s="88"/>
      <c r="LN61" s="88"/>
      <c r="LO61" s="88"/>
      <c r="LP61" s="88"/>
      <c r="LQ61" s="88"/>
      <c r="LR61" s="88"/>
      <c r="LS61" s="88"/>
      <c r="LT61" s="88"/>
      <c r="LU61" s="88"/>
      <c r="LV61" s="88"/>
      <c r="LW61" s="88"/>
      <c r="LX61" s="88"/>
      <c r="LY61" s="88"/>
      <c r="LZ61" s="88"/>
      <c r="MA61" s="88"/>
      <c r="MB61" s="88"/>
      <c r="MC61" s="88"/>
      <c r="MD61" s="88"/>
      <c r="ME61" s="88"/>
      <c r="MF61" s="88"/>
      <c r="MG61" s="88"/>
      <c r="MH61" s="88"/>
      <c r="MI61" s="88"/>
      <c r="MJ61" s="88"/>
      <c r="MK61" s="88"/>
      <c r="ML61" s="88"/>
      <c r="MM61" s="88"/>
      <c r="MN61" s="88"/>
      <c r="MO61" s="88"/>
      <c r="MP61" s="88"/>
      <c r="MQ61" s="88"/>
      <c r="MR61" s="88"/>
      <c r="MS61" s="88"/>
      <c r="MT61" s="88"/>
      <c r="MU61" s="88"/>
      <c r="MV61" s="88"/>
      <c r="MW61" s="88"/>
      <c r="MX61" s="88"/>
      <c r="MY61" s="88"/>
      <c r="MZ61" s="88"/>
      <c r="NA61" s="88"/>
      <c r="NB61" s="88"/>
      <c r="NC61" s="88"/>
      <c r="ND61" s="88"/>
      <c r="NE61" s="88"/>
      <c r="NF61" s="88"/>
      <c r="NG61" s="88"/>
      <c r="NH61" s="88"/>
      <c r="NI61" s="88"/>
      <c r="NJ61" s="88"/>
      <c r="NK61" s="88"/>
      <c r="NL61" s="88"/>
      <c r="NM61" s="88"/>
      <c r="NN61" s="88"/>
      <c r="NO61" s="88"/>
      <c r="NP61" s="88"/>
      <c r="NQ61" s="88"/>
      <c r="NR61" s="88"/>
      <c r="NS61" s="88"/>
      <c r="NT61" s="88"/>
      <c r="NU61" s="88"/>
      <c r="NV61" s="88"/>
      <c r="NW61" s="88"/>
      <c r="NX61" s="88"/>
      <c r="NY61" s="88"/>
      <c r="NZ61" s="88"/>
      <c r="OA61" s="88"/>
      <c r="OB61" s="88"/>
      <c r="OC61" s="88"/>
      <c r="OD61" s="88"/>
      <c r="OE61" s="88"/>
      <c r="OF61" s="88"/>
      <c r="OG61" s="88"/>
      <c r="OH61" s="88"/>
      <c r="OI61" s="88"/>
      <c r="OJ61" s="88"/>
      <c r="OK61" s="88"/>
      <c r="OL61" s="88"/>
      <c r="OM61" s="88"/>
      <c r="ON61" s="88"/>
      <c r="OO61" s="88"/>
      <c r="OP61" s="88"/>
      <c r="OQ61" s="88"/>
      <c r="OR61" s="88"/>
      <c r="OS61" s="88"/>
      <c r="OT61" s="88"/>
      <c r="OU61" s="88"/>
      <c r="OV61" s="88"/>
      <c r="OW61" s="88"/>
      <c r="OX61" s="88"/>
      <c r="OY61" s="88"/>
      <c r="OZ61" s="88"/>
      <c r="PA61" s="88"/>
      <c r="PB61" s="88"/>
      <c r="PC61" s="88"/>
      <c r="PD61" s="88"/>
      <c r="PE61" s="88"/>
      <c r="PF61" s="88"/>
      <c r="PG61" s="88"/>
      <c r="PH61" s="88"/>
      <c r="PI61" s="88"/>
      <c r="PJ61" s="88"/>
      <c r="PK61" s="88"/>
      <c r="PL61" s="88"/>
      <c r="PM61" s="88"/>
      <c r="PN61" s="88"/>
      <c r="PO61" s="88"/>
      <c r="PP61" s="88"/>
      <c r="PQ61" s="88"/>
      <c r="PR61" s="88"/>
      <c r="PS61" s="88"/>
      <c r="PT61" s="88"/>
      <c r="PU61" s="88"/>
      <c r="PV61" s="88"/>
      <c r="PW61" s="88"/>
      <c r="PX61" s="88"/>
      <c r="PY61" s="88"/>
      <c r="PZ61" s="88"/>
      <c r="QA61" s="88"/>
      <c r="QB61" s="88"/>
      <c r="QC61" s="88"/>
      <c r="QD61" s="88"/>
      <c r="QE61" s="88"/>
      <c r="QF61" s="88"/>
      <c r="QG61" s="88"/>
      <c r="QH61" s="88"/>
      <c r="QI61" s="88"/>
      <c r="QJ61" s="88"/>
      <c r="QK61" s="88"/>
      <c r="QL61" s="88"/>
      <c r="QM61" s="88"/>
      <c r="QN61" s="88"/>
      <c r="QO61" s="88"/>
      <c r="QP61" s="88"/>
      <c r="QQ61" s="88"/>
      <c r="QR61" s="88"/>
      <c r="QS61" s="88"/>
      <c r="QT61" s="88"/>
      <c r="QU61" s="88"/>
      <c r="QV61" s="88"/>
      <c r="QW61" s="88"/>
      <c r="QX61" s="88"/>
      <c r="QY61" s="88"/>
      <c r="QZ61" s="88"/>
      <c r="RA61" s="88"/>
      <c r="RB61" s="88"/>
      <c r="RC61" s="88"/>
      <c r="RD61" s="88"/>
      <c r="RE61" s="88"/>
      <c r="RF61" s="88"/>
      <c r="RG61" s="88"/>
      <c r="RH61" s="88"/>
      <c r="RI61" s="88"/>
      <c r="RJ61" s="88"/>
      <c r="RK61" s="88"/>
      <c r="RL61" s="88"/>
      <c r="RM61" s="88"/>
      <c r="RN61" s="88"/>
      <c r="RO61" s="88"/>
      <c r="RP61" s="88"/>
      <c r="RQ61" s="88"/>
      <c r="RR61" s="88"/>
      <c r="RS61" s="88"/>
      <c r="RT61" s="88"/>
      <c r="RU61" s="88"/>
      <c r="RV61" s="88"/>
      <c r="RW61" s="88"/>
      <c r="RX61" s="88"/>
      <c r="RY61" s="88"/>
      <c r="RZ61" s="88"/>
      <c r="SA61" s="88"/>
      <c r="SB61" s="88"/>
      <c r="SC61" s="88"/>
      <c r="SD61" s="88"/>
      <c r="SE61" s="88"/>
      <c r="SF61" s="88"/>
      <c r="SG61" s="88"/>
      <c r="SH61" s="88"/>
      <c r="SI61" s="88"/>
      <c r="SJ61" s="88"/>
      <c r="SK61" s="88"/>
      <c r="SL61" s="88"/>
      <c r="SM61" s="88"/>
      <c r="SN61" s="88"/>
      <c r="SO61" s="88"/>
      <c r="SP61" s="88"/>
      <c r="SQ61" s="88"/>
      <c r="SR61" s="88"/>
      <c r="SS61" s="88"/>
      <c r="ST61" s="88"/>
      <c r="SU61" s="88"/>
      <c r="SV61" s="88"/>
      <c r="SW61" s="88"/>
      <c r="SX61" s="88"/>
      <c r="SY61" s="88"/>
      <c r="SZ61" s="88"/>
      <c r="TA61" s="88"/>
      <c r="TB61" s="88"/>
      <c r="TC61" s="88"/>
      <c r="TD61" s="88"/>
      <c r="TE61" s="88"/>
      <c r="TF61" s="88"/>
      <c r="TG61" s="88"/>
      <c r="TH61" s="88"/>
      <c r="TI61" s="88"/>
      <c r="TJ61" s="88"/>
      <c r="TK61" s="88"/>
      <c r="TL61" s="88"/>
      <c r="TM61" s="88"/>
      <c r="TN61" s="88"/>
      <c r="TO61" s="88"/>
      <c r="TP61" s="88"/>
      <c r="TQ61" s="88"/>
      <c r="TR61" s="88"/>
      <c r="TS61" s="88"/>
      <c r="TT61" s="88"/>
      <c r="TU61" s="88"/>
      <c r="TV61" s="88"/>
      <c r="TW61" s="88"/>
      <c r="TX61" s="88"/>
      <c r="TY61" s="88"/>
      <c r="TZ61" s="88"/>
      <c r="UA61" s="88"/>
      <c r="UB61" s="88"/>
      <c r="UC61" s="88"/>
      <c r="UD61" s="88"/>
      <c r="UE61" s="88"/>
      <c r="UF61" s="88"/>
      <c r="UG61" s="88"/>
      <c r="UH61" s="88"/>
      <c r="UI61" s="88"/>
      <c r="UJ61" s="88"/>
      <c r="UK61" s="88"/>
      <c r="UL61" s="88"/>
      <c r="UM61" s="88"/>
      <c r="UN61" s="88"/>
      <c r="UO61" s="88"/>
      <c r="UP61" s="88"/>
      <c r="UQ61" s="88"/>
      <c r="UR61" s="88"/>
      <c r="US61" s="88"/>
      <c r="UT61" s="88"/>
      <c r="UU61" s="88"/>
      <c r="UV61" s="88"/>
      <c r="UW61" s="88"/>
      <c r="UX61" s="88"/>
      <c r="UY61" s="88"/>
      <c r="UZ61" s="88"/>
      <c r="VA61" s="88"/>
      <c r="VB61" s="88"/>
      <c r="VC61" s="88"/>
      <c r="VD61" s="88"/>
      <c r="VE61" s="88"/>
      <c r="VF61" s="88"/>
      <c r="VG61" s="88"/>
      <c r="VH61" s="88"/>
      <c r="VI61" s="88"/>
      <c r="VJ61" s="88"/>
      <c r="VK61" s="88"/>
      <c r="VL61" s="88"/>
      <c r="VM61" s="88"/>
      <c r="VN61" s="88"/>
      <c r="VO61" s="88"/>
      <c r="VP61" s="88"/>
      <c r="VQ61" s="88"/>
      <c r="VR61" s="88"/>
      <c r="VS61" s="88"/>
      <c r="VT61" s="88"/>
      <c r="VU61" s="88"/>
      <c r="VV61" s="88"/>
      <c r="VW61" s="88"/>
      <c r="VX61" s="88"/>
      <c r="VY61" s="88"/>
      <c r="VZ61" s="88"/>
      <c r="WA61" s="88"/>
      <c r="WB61" s="88"/>
      <c r="WC61" s="88"/>
      <c r="WD61" s="88"/>
      <c r="WE61" s="88"/>
      <c r="WF61" s="88"/>
      <c r="WG61" s="88"/>
      <c r="WH61" s="88"/>
      <c r="WI61" s="88"/>
      <c r="WJ61" s="88"/>
      <c r="WK61" s="88"/>
      <c r="WL61" s="88"/>
      <c r="WM61" s="88"/>
      <c r="WN61" s="88"/>
      <c r="WO61" s="88"/>
      <c r="WP61" s="88"/>
      <c r="WQ61" s="88"/>
      <c r="WR61" s="88"/>
      <c r="WS61" s="88"/>
      <c r="WT61" s="88"/>
      <c r="WU61" s="88"/>
      <c r="WV61" s="88"/>
      <c r="WW61" s="88"/>
      <c r="WX61" s="88"/>
      <c r="WY61" s="88"/>
      <c r="WZ61" s="88"/>
      <c r="XA61" s="88"/>
      <c r="XB61" s="88"/>
      <c r="XC61" s="88"/>
      <c r="XD61" s="88"/>
      <c r="XE61" s="88"/>
      <c r="XF61" s="88"/>
      <c r="XG61" s="88"/>
      <c r="XH61" s="88"/>
      <c r="XI61" s="88"/>
      <c r="XJ61" s="88"/>
      <c r="XK61" s="88"/>
      <c r="XL61" s="88"/>
      <c r="XM61" s="88"/>
      <c r="XN61" s="88"/>
      <c r="XO61" s="88"/>
      <c r="XP61" s="88"/>
      <c r="XQ61" s="88"/>
      <c r="XR61" s="88"/>
      <c r="XS61" s="88"/>
      <c r="XT61" s="88"/>
      <c r="XU61" s="88"/>
      <c r="XV61" s="88"/>
      <c r="XW61" s="88"/>
      <c r="XX61" s="88"/>
      <c r="XY61" s="88"/>
      <c r="XZ61" s="88"/>
      <c r="YA61" s="88"/>
      <c r="YB61" s="88"/>
      <c r="YC61" s="88"/>
      <c r="YD61" s="88"/>
      <c r="YE61" s="88"/>
      <c r="YF61" s="88"/>
      <c r="YG61" s="88"/>
      <c r="YH61" s="88"/>
      <c r="YI61" s="88"/>
      <c r="YJ61" s="88"/>
      <c r="YK61" s="88"/>
      <c r="YL61" s="88"/>
      <c r="YM61" s="88"/>
      <c r="YN61" s="88"/>
      <c r="YO61" s="88"/>
      <c r="YP61" s="88"/>
      <c r="YQ61" s="88"/>
      <c r="YR61" s="88"/>
      <c r="YS61" s="88"/>
      <c r="YT61" s="88"/>
      <c r="YU61" s="88"/>
      <c r="YV61" s="88"/>
      <c r="YW61" s="88"/>
      <c r="YX61" s="88"/>
      <c r="YY61" s="88"/>
      <c r="YZ61" s="88"/>
      <c r="ZA61" s="88"/>
      <c r="ZB61" s="88"/>
      <c r="ZC61" s="88"/>
      <c r="ZD61" s="88"/>
      <c r="ZE61" s="88"/>
      <c r="ZF61" s="88"/>
      <c r="ZG61" s="88"/>
      <c r="ZH61" s="88"/>
      <c r="ZI61" s="88"/>
      <c r="ZJ61" s="88"/>
      <c r="ZK61" s="88"/>
      <c r="ZL61" s="88"/>
      <c r="ZM61" s="88"/>
      <c r="ZN61" s="88"/>
      <c r="ZO61" s="88"/>
      <c r="ZP61" s="88"/>
      <c r="ZQ61" s="88"/>
      <c r="ZR61" s="88"/>
      <c r="ZS61" s="88"/>
      <c r="ZT61" s="88"/>
      <c r="ZU61" s="88"/>
      <c r="ZV61" s="88"/>
      <c r="ZW61" s="88"/>
      <c r="ZX61" s="88"/>
      <c r="ZY61" s="88"/>
      <c r="ZZ61" s="88"/>
      <c r="AAA61" s="88"/>
      <c r="AAB61" s="88"/>
      <c r="AAC61" s="88"/>
      <c r="AAD61" s="88"/>
      <c r="AAE61" s="88"/>
      <c r="AAF61" s="88"/>
      <c r="AAG61" s="88"/>
      <c r="AAH61" s="88"/>
      <c r="AAI61" s="88"/>
      <c r="AAJ61" s="88"/>
      <c r="AAK61" s="88"/>
      <c r="AAL61" s="88"/>
      <c r="AAM61" s="88"/>
      <c r="AAN61" s="88"/>
      <c r="AAO61" s="88"/>
      <c r="AAP61" s="88"/>
      <c r="AAQ61" s="88"/>
      <c r="AAR61" s="88"/>
      <c r="AAS61" s="88"/>
      <c r="AAT61" s="88"/>
      <c r="AAU61" s="88"/>
      <c r="AAV61" s="88"/>
      <c r="AAW61" s="88"/>
      <c r="AAX61" s="88"/>
      <c r="AAY61" s="88"/>
      <c r="AAZ61" s="88"/>
      <c r="ABA61" s="88"/>
      <c r="ABB61" s="88"/>
      <c r="ABC61" s="88"/>
      <c r="ABD61" s="88"/>
      <c r="ABE61" s="88"/>
      <c r="ABF61" s="88"/>
      <c r="ABG61" s="88"/>
      <c r="ABH61" s="88"/>
      <c r="ABI61" s="88"/>
      <c r="ABJ61" s="88"/>
      <c r="ABK61" s="88"/>
      <c r="ABL61" s="88"/>
      <c r="ABM61" s="88"/>
      <c r="ABN61" s="88"/>
      <c r="ABO61" s="88"/>
      <c r="ABP61" s="88"/>
      <c r="ABQ61" s="88"/>
      <c r="ABR61" s="88"/>
      <c r="ABS61" s="88"/>
      <c r="ABT61" s="88"/>
      <c r="ABU61" s="88"/>
      <c r="ABV61" s="88"/>
      <c r="ABW61" s="88"/>
      <c r="ABX61" s="88"/>
      <c r="ABY61" s="88"/>
      <c r="ABZ61" s="88"/>
      <c r="ACA61" s="88"/>
      <c r="ACB61" s="88"/>
      <c r="ACC61" s="88"/>
      <c r="ACD61" s="88"/>
      <c r="ACE61" s="88"/>
      <c r="ACF61" s="88"/>
      <c r="ACG61" s="88"/>
      <c r="ACH61" s="88"/>
      <c r="ACI61" s="88"/>
      <c r="ACJ61" s="88"/>
      <c r="ACK61" s="88"/>
      <c r="ACL61" s="88"/>
      <c r="ACM61" s="88"/>
      <c r="ACN61" s="88"/>
      <c r="ACO61" s="88"/>
      <c r="ACP61" s="88"/>
      <c r="ACQ61" s="88"/>
      <c r="ACR61" s="88"/>
      <c r="ACS61" s="88"/>
      <c r="ACT61" s="88"/>
      <c r="ACU61" s="88"/>
      <c r="ACV61" s="88"/>
      <c r="ACW61" s="88"/>
      <c r="ACX61" s="88"/>
      <c r="ACY61" s="88"/>
      <c r="ACZ61" s="88"/>
      <c r="ADA61" s="88"/>
      <c r="ADB61" s="88"/>
      <c r="ADC61" s="88"/>
      <c r="ADD61" s="88"/>
      <c r="ADE61" s="88"/>
      <c r="ADF61" s="88"/>
      <c r="ADG61" s="88"/>
      <c r="ADH61" s="88"/>
      <c r="ADI61" s="88"/>
      <c r="ADJ61" s="88"/>
      <c r="ADK61" s="88"/>
      <c r="ADL61" s="88"/>
      <c r="ADM61" s="88"/>
      <c r="ADN61" s="88"/>
      <c r="ADO61" s="88"/>
      <c r="ADP61" s="88"/>
      <c r="ADQ61" s="88"/>
      <c r="ADR61" s="88"/>
      <c r="ADS61" s="88"/>
      <c r="ADT61" s="88"/>
      <c r="ADU61" s="88"/>
      <c r="ADV61" s="88"/>
      <c r="ADW61" s="88"/>
      <c r="ADX61" s="88"/>
      <c r="ADY61" s="88"/>
      <c r="ADZ61" s="88"/>
      <c r="AEA61" s="88"/>
      <c r="AEB61" s="88"/>
      <c r="AEC61" s="88"/>
      <c r="AED61" s="88"/>
      <c r="AEE61" s="88"/>
      <c r="AEF61" s="88"/>
      <c r="AEG61" s="88"/>
      <c r="AEH61" s="88"/>
      <c r="AEI61" s="88"/>
      <c r="AEJ61" s="88"/>
      <c r="AEK61" s="88"/>
      <c r="AEL61" s="88"/>
      <c r="AEM61" s="88"/>
      <c r="AEN61" s="88"/>
      <c r="AEO61" s="88"/>
      <c r="AEP61" s="88"/>
      <c r="AEQ61" s="88"/>
      <c r="AER61" s="88"/>
      <c r="AES61" s="88"/>
      <c r="AET61" s="88"/>
      <c r="AEU61" s="88"/>
      <c r="AEV61" s="88"/>
      <c r="AEW61" s="88"/>
      <c r="AEX61" s="88"/>
      <c r="AEY61" s="88"/>
      <c r="AEZ61" s="88"/>
      <c r="AFA61" s="88"/>
      <c r="AFB61" s="88"/>
      <c r="AFC61" s="88"/>
      <c r="AFD61" s="88"/>
      <c r="AFE61" s="88"/>
      <c r="AFF61" s="88"/>
      <c r="AFG61" s="88"/>
      <c r="AFH61" s="88"/>
      <c r="AFI61" s="88"/>
      <c r="AFJ61" s="88"/>
      <c r="AFK61" s="88"/>
      <c r="AFL61" s="88"/>
      <c r="AFM61" s="88"/>
      <c r="AFN61" s="88"/>
      <c r="AFO61" s="88"/>
      <c r="AFP61" s="88"/>
      <c r="AFQ61" s="88"/>
      <c r="AFR61" s="88"/>
      <c r="AFS61" s="88"/>
      <c r="AFT61" s="88"/>
      <c r="AFU61" s="88"/>
      <c r="AFV61" s="88"/>
      <c r="AFW61" s="88"/>
      <c r="AFX61" s="88"/>
      <c r="AFY61" s="88"/>
      <c r="AFZ61" s="88"/>
      <c r="AGA61" s="88"/>
      <c r="AGB61" s="88"/>
      <c r="AGC61" s="88"/>
      <c r="AGD61" s="88"/>
      <c r="AGE61" s="88"/>
      <c r="AGF61" s="88"/>
      <c r="AGG61" s="88"/>
      <c r="AGH61" s="88"/>
      <c r="AGI61" s="88"/>
      <c r="AGJ61" s="88"/>
      <c r="AGK61" s="88"/>
      <c r="AGL61" s="88"/>
      <c r="AGM61" s="88"/>
      <c r="AGN61" s="88"/>
      <c r="AGO61" s="88"/>
      <c r="AGP61" s="88"/>
      <c r="AGQ61" s="88"/>
      <c r="AGR61" s="88"/>
      <c r="AGS61" s="88"/>
      <c r="AGT61" s="88"/>
      <c r="AGU61" s="88"/>
      <c r="AGV61" s="88"/>
      <c r="AGW61" s="88"/>
      <c r="AGX61" s="88"/>
      <c r="AGY61" s="88"/>
      <c r="AGZ61" s="88"/>
      <c r="AHA61" s="88"/>
      <c r="AHB61" s="88"/>
      <c r="AHC61" s="88"/>
      <c r="AHD61" s="88"/>
      <c r="AHE61" s="88"/>
      <c r="AHF61" s="88"/>
      <c r="AHG61" s="88"/>
      <c r="AHH61" s="88"/>
      <c r="AHI61" s="88"/>
      <c r="AHJ61" s="88"/>
      <c r="AHK61" s="88"/>
      <c r="AHL61" s="88"/>
      <c r="AHM61" s="88"/>
      <c r="AHN61" s="88"/>
      <c r="AHO61" s="88"/>
      <c r="AHP61" s="88"/>
      <c r="AHQ61" s="88"/>
      <c r="AHR61" s="88"/>
      <c r="AHS61" s="88"/>
      <c r="AHT61" s="88"/>
      <c r="AHU61" s="88"/>
      <c r="AHV61" s="88"/>
      <c r="AHW61" s="88"/>
      <c r="AHX61" s="88"/>
      <c r="AHY61" s="88"/>
      <c r="AHZ61" s="88"/>
      <c r="AIA61" s="88"/>
      <c r="AIB61" s="88"/>
      <c r="AIC61" s="88"/>
      <c r="AID61" s="88"/>
      <c r="AIE61" s="88"/>
      <c r="AIF61" s="88"/>
      <c r="AIG61" s="88"/>
      <c r="AIH61" s="88"/>
      <c r="AII61" s="88"/>
      <c r="AIJ61" s="88"/>
      <c r="AIK61" s="88"/>
      <c r="AIL61" s="88"/>
      <c r="AIM61" s="88"/>
      <c r="AIN61" s="88"/>
      <c r="AIO61" s="88"/>
      <c r="AIP61" s="88"/>
      <c r="AIQ61" s="88"/>
      <c r="AIR61" s="88"/>
      <c r="AIS61" s="88"/>
      <c r="AIT61" s="88"/>
      <c r="AIU61" s="88"/>
      <c r="AIV61" s="88"/>
      <c r="AIW61" s="88"/>
      <c r="AIX61" s="88"/>
      <c r="AIY61" s="88"/>
      <c r="AIZ61" s="88"/>
      <c r="AJA61" s="88"/>
      <c r="AJB61" s="88"/>
      <c r="AJC61" s="88"/>
      <c r="AJD61" s="88"/>
      <c r="AJE61" s="88"/>
      <c r="AJF61" s="88"/>
      <c r="AJG61" s="88"/>
      <c r="AJH61" s="88"/>
      <c r="AJI61" s="88"/>
      <c r="AJJ61" s="88"/>
      <c r="AJK61" s="88"/>
      <c r="AJL61" s="88"/>
      <c r="AJM61" s="88"/>
      <c r="AJN61" s="88"/>
      <c r="AJO61" s="88"/>
      <c r="AJP61" s="88"/>
      <c r="AJQ61" s="88"/>
      <c r="AJR61" s="88"/>
      <c r="AJS61" s="88"/>
      <c r="AJT61" s="88"/>
      <c r="AJU61" s="88"/>
      <c r="AJV61" s="88"/>
      <c r="AJW61" s="88"/>
      <c r="AJX61" s="88"/>
      <c r="AJY61" s="88"/>
      <c r="AJZ61" s="88"/>
      <c r="AKA61" s="88"/>
      <c r="AKB61" s="88"/>
      <c r="AKC61" s="88"/>
      <c r="AKD61" s="88"/>
      <c r="AKE61" s="88"/>
      <c r="AKF61" s="88"/>
      <c r="AKG61" s="88"/>
      <c r="AKH61" s="88"/>
      <c r="AKI61" s="88"/>
      <c r="AKJ61" s="88"/>
      <c r="AKK61" s="88"/>
      <c r="AKL61" s="88"/>
      <c r="AKM61" s="88"/>
      <c r="AKN61" s="88"/>
      <c r="AKO61" s="88"/>
      <c r="AKP61" s="88"/>
      <c r="AKQ61" s="88"/>
      <c r="AKR61" s="88"/>
      <c r="AKS61" s="88"/>
      <c r="AKT61" s="88"/>
      <c r="AKU61" s="88"/>
      <c r="AKV61" s="88"/>
      <c r="AKW61" s="88"/>
      <c r="AKX61" s="88"/>
      <c r="AKY61" s="88"/>
      <c r="AKZ61" s="88"/>
      <c r="ALA61" s="88"/>
      <c r="ALB61" s="88"/>
      <c r="ALC61" s="88"/>
      <c r="ALD61" s="88"/>
      <c r="ALE61" s="88"/>
      <c r="ALF61" s="88"/>
      <c r="ALG61" s="88"/>
      <c r="ALH61" s="88"/>
      <c r="ALI61" s="88"/>
      <c r="ALJ61" s="88"/>
      <c r="ALK61" s="88"/>
      <c r="ALL61" s="88"/>
      <c r="ALM61" s="88"/>
      <c r="ALN61" s="88"/>
      <c r="ALO61" s="88"/>
      <c r="ALP61" s="88"/>
      <c r="ALQ61" s="88"/>
      <c r="ALR61" s="88"/>
      <c r="ALS61" s="88"/>
      <c r="ALT61" s="88"/>
      <c r="ALU61" s="88"/>
      <c r="ALV61" s="88"/>
      <c r="ALW61" s="88"/>
      <c r="ALX61" s="88"/>
      <c r="ALY61" s="88"/>
      <c r="ALZ61" s="88"/>
      <c r="AMA61" s="88"/>
      <c r="AMB61" s="88"/>
      <c r="AMC61" s="88"/>
      <c r="AMD61" s="88"/>
      <c r="AME61" s="88"/>
      <c r="AMF61" s="88"/>
      <c r="AMG61" s="88"/>
      <c r="AMH61" s="88"/>
      <c r="AMI61" s="88"/>
      <c r="AMJ61" s="88"/>
      <c r="AMK61" s="88"/>
      <c r="AML61" s="88"/>
      <c r="AMM61" s="88"/>
      <c r="AMN61" s="88"/>
      <c r="AMO61" s="88"/>
      <c r="AMP61" s="88"/>
      <c r="AMQ61" s="88"/>
      <c r="AMR61" s="88"/>
      <c r="AMS61" s="88"/>
      <c r="AMT61" s="88"/>
      <c r="AMU61" s="88"/>
      <c r="AMV61" s="88"/>
      <c r="AMW61" s="88"/>
      <c r="AMX61" s="88"/>
      <c r="AMY61" s="88"/>
      <c r="AMZ61" s="88"/>
      <c r="ANA61" s="88"/>
      <c r="ANB61" s="88"/>
      <c r="ANC61" s="88"/>
      <c r="AND61" s="88"/>
      <c r="ANE61" s="88"/>
      <c r="ANF61" s="88"/>
      <c r="ANG61" s="88"/>
      <c r="ANH61" s="88"/>
      <c r="ANI61" s="88"/>
      <c r="ANJ61" s="88"/>
      <c r="ANK61" s="88"/>
      <c r="ANL61" s="88"/>
      <c r="ANM61" s="88"/>
      <c r="ANN61" s="88"/>
      <c r="ANO61" s="88"/>
      <c r="ANP61" s="88"/>
      <c r="ANQ61" s="88"/>
      <c r="ANR61" s="88"/>
      <c r="ANS61" s="88"/>
      <c r="ANT61" s="88"/>
      <c r="ANU61" s="88"/>
      <c r="ANV61" s="88"/>
      <c r="ANW61" s="88"/>
      <c r="ANX61" s="88"/>
      <c r="ANY61" s="88"/>
      <c r="ANZ61" s="88"/>
      <c r="AOA61" s="88"/>
      <c r="AOB61" s="88"/>
      <c r="AOC61" s="88"/>
      <c r="AOD61" s="88"/>
      <c r="AOE61" s="88"/>
      <c r="AOF61" s="88"/>
      <c r="AOG61" s="88"/>
      <c r="AOH61" s="88"/>
      <c r="AOI61" s="88"/>
      <c r="AOJ61" s="88"/>
      <c r="AOK61" s="88"/>
      <c r="AOL61" s="88"/>
      <c r="AOM61" s="88"/>
      <c r="AON61" s="88"/>
      <c r="AOO61" s="88"/>
      <c r="AOP61" s="88"/>
      <c r="AOQ61" s="88"/>
      <c r="AOR61" s="88"/>
      <c r="AOS61" s="88"/>
      <c r="AOT61" s="88"/>
      <c r="AOU61" s="88"/>
      <c r="AOV61" s="88"/>
      <c r="AOW61" s="88"/>
      <c r="AOX61" s="88"/>
      <c r="AOY61" s="88"/>
      <c r="AOZ61" s="88"/>
      <c r="APA61" s="88"/>
      <c r="APB61" s="88"/>
      <c r="APC61" s="88"/>
      <c r="APD61" s="88"/>
      <c r="APE61" s="88"/>
      <c r="APF61" s="88"/>
      <c r="APG61" s="88"/>
      <c r="APH61" s="88"/>
      <c r="API61" s="88"/>
      <c r="APJ61" s="88"/>
      <c r="APK61" s="88"/>
      <c r="APL61" s="88"/>
      <c r="APM61" s="88"/>
      <c r="APN61" s="88"/>
      <c r="APO61" s="88"/>
      <c r="APP61" s="88"/>
      <c r="APQ61" s="88"/>
      <c r="APR61" s="88"/>
      <c r="APS61" s="88"/>
      <c r="APT61" s="88"/>
      <c r="APU61" s="88"/>
      <c r="APV61" s="88"/>
      <c r="APW61" s="88"/>
      <c r="APX61" s="88"/>
      <c r="APY61" s="88"/>
      <c r="APZ61" s="88"/>
      <c r="AQA61" s="88"/>
      <c r="AQB61" s="88"/>
      <c r="AQC61" s="88"/>
      <c r="AQD61" s="88"/>
      <c r="AQE61" s="88"/>
      <c r="AQF61" s="88"/>
      <c r="AQG61" s="88"/>
      <c r="AQH61" s="88"/>
      <c r="AQI61" s="88"/>
      <c r="AQJ61" s="88"/>
      <c r="AQK61" s="88"/>
      <c r="AQL61" s="88"/>
      <c r="AQM61" s="88"/>
      <c r="AQN61" s="88"/>
      <c r="AQO61" s="88"/>
      <c r="AQP61" s="88"/>
      <c r="AQQ61" s="88"/>
      <c r="AQR61" s="88"/>
      <c r="AQS61" s="88"/>
      <c r="AQT61" s="88"/>
      <c r="AQU61" s="88"/>
      <c r="AQV61" s="88"/>
      <c r="AQW61" s="88"/>
      <c r="AQX61" s="88"/>
      <c r="AQY61" s="88"/>
      <c r="AQZ61" s="88"/>
      <c r="ARA61" s="88"/>
      <c r="ARB61" s="88"/>
      <c r="ARC61" s="88"/>
      <c r="ARD61" s="88"/>
      <c r="ARE61" s="88"/>
      <c r="ARF61" s="88"/>
      <c r="ARG61" s="88"/>
      <c r="ARH61" s="88"/>
      <c r="ARI61" s="88"/>
      <c r="ARJ61" s="88"/>
      <c r="ARK61" s="88"/>
      <c r="ARL61" s="88"/>
      <c r="ARM61" s="88"/>
      <c r="ARN61" s="88"/>
      <c r="ARO61" s="88"/>
      <c r="ARP61" s="88"/>
      <c r="ARQ61" s="88"/>
      <c r="ARR61" s="88"/>
      <c r="ARS61" s="88"/>
      <c r="ART61" s="88"/>
      <c r="ARU61" s="88"/>
      <c r="ARV61" s="88"/>
      <c r="ARW61" s="88"/>
      <c r="ARX61" s="88"/>
      <c r="ARY61" s="88"/>
      <c r="ARZ61" s="88"/>
      <c r="ASA61" s="88"/>
      <c r="ASB61" s="88"/>
      <c r="ASC61" s="88"/>
      <c r="ASD61" s="88"/>
      <c r="ASE61" s="88"/>
      <c r="ASF61" s="88"/>
      <c r="ASG61" s="88"/>
      <c r="ASH61" s="88"/>
      <c r="ASI61" s="88"/>
      <c r="ASJ61" s="88"/>
      <c r="ASK61" s="88"/>
      <c r="ASL61" s="88"/>
      <c r="ASM61" s="88"/>
      <c r="ASN61" s="88"/>
      <c r="ASO61" s="88"/>
      <c r="ASP61" s="88"/>
      <c r="ASQ61" s="88"/>
      <c r="ASR61" s="88"/>
      <c r="ASS61" s="88"/>
      <c r="AST61" s="88"/>
      <c r="ASU61" s="88"/>
      <c r="ASV61" s="88"/>
      <c r="ASW61" s="88"/>
      <c r="ASX61" s="88"/>
      <c r="ASY61" s="88"/>
      <c r="ASZ61" s="88"/>
      <c r="ATA61" s="88"/>
      <c r="ATB61" s="88"/>
      <c r="ATC61" s="88"/>
      <c r="ATD61" s="88"/>
      <c r="ATE61" s="88"/>
      <c r="ATF61" s="88"/>
      <c r="ATG61" s="88"/>
      <c r="ATH61" s="88"/>
      <c r="ATI61" s="88"/>
      <c r="ATJ61" s="88"/>
      <c r="ATK61" s="88"/>
      <c r="ATL61" s="88"/>
      <c r="ATM61" s="88"/>
      <c r="ATN61" s="88"/>
      <c r="ATO61" s="88"/>
      <c r="ATP61" s="88"/>
      <c r="ATQ61" s="88"/>
      <c r="ATR61" s="88"/>
      <c r="ATS61" s="88"/>
      <c r="ATT61" s="88"/>
      <c r="ATU61" s="88"/>
      <c r="ATV61" s="88"/>
      <c r="ATW61" s="88"/>
      <c r="ATX61" s="88"/>
      <c r="ATY61" s="88"/>
      <c r="ATZ61" s="88"/>
      <c r="AUA61" s="88"/>
      <c r="AUB61" s="88"/>
      <c r="AUC61" s="88"/>
      <c r="AUD61" s="88"/>
      <c r="AUE61" s="88"/>
      <c r="AUF61" s="88"/>
      <c r="AUG61" s="88"/>
      <c r="AUH61" s="88"/>
      <c r="AUI61" s="88"/>
      <c r="AUJ61" s="88"/>
      <c r="AUK61" s="88"/>
      <c r="AUL61" s="88"/>
      <c r="AUM61" s="88"/>
      <c r="AUN61" s="88"/>
      <c r="AUO61" s="88"/>
      <c r="AUP61" s="88"/>
      <c r="AUQ61" s="88"/>
      <c r="AUR61" s="88"/>
      <c r="AUS61" s="88"/>
      <c r="AUT61" s="88"/>
      <c r="AUU61" s="88"/>
      <c r="AUV61" s="88"/>
      <c r="AUW61" s="88"/>
      <c r="AUX61" s="88"/>
      <c r="AUY61" s="88"/>
      <c r="AUZ61" s="88"/>
      <c r="AVA61" s="88"/>
      <c r="AVB61" s="88"/>
      <c r="AVC61" s="88"/>
      <c r="AVD61" s="88"/>
      <c r="AVE61" s="88"/>
      <c r="AVF61" s="88"/>
      <c r="AVG61" s="88"/>
      <c r="AVH61" s="88"/>
      <c r="AVI61" s="88"/>
      <c r="AVJ61" s="88"/>
      <c r="AVK61" s="88"/>
      <c r="AVL61" s="88"/>
      <c r="AVM61" s="88"/>
      <c r="AVN61" s="88"/>
      <c r="AVO61" s="88"/>
      <c r="AVP61" s="88"/>
      <c r="AVQ61" s="88"/>
      <c r="AVR61" s="88"/>
      <c r="AVS61" s="88"/>
      <c r="AVT61" s="88"/>
      <c r="AVU61" s="88"/>
      <c r="AVV61" s="88"/>
      <c r="AVW61" s="88"/>
      <c r="AVX61" s="88"/>
      <c r="AVY61" s="88"/>
      <c r="AVZ61" s="88"/>
      <c r="AWA61" s="88"/>
      <c r="AWB61" s="88"/>
      <c r="AWC61" s="88"/>
      <c r="AWD61" s="88"/>
      <c r="AWE61" s="88"/>
      <c r="AWF61" s="88"/>
      <c r="AWG61" s="88"/>
      <c r="AWH61" s="88"/>
      <c r="AWI61" s="88"/>
      <c r="AWJ61" s="88"/>
      <c r="AWK61" s="88"/>
      <c r="AWL61" s="88"/>
      <c r="AWM61" s="88"/>
      <c r="AWN61" s="88"/>
      <c r="AWO61" s="88"/>
      <c r="AWP61" s="88"/>
      <c r="AWQ61" s="88"/>
      <c r="AWR61" s="88"/>
      <c r="AWS61" s="88"/>
      <c r="AWT61" s="88"/>
      <c r="AWU61" s="88"/>
      <c r="AWV61" s="88"/>
      <c r="AWW61" s="88"/>
      <c r="AWX61" s="88"/>
      <c r="AWY61" s="88"/>
      <c r="AWZ61" s="88"/>
      <c r="AXA61" s="88"/>
      <c r="AXB61" s="88"/>
      <c r="AXC61" s="88"/>
      <c r="AXD61" s="88"/>
      <c r="AXE61" s="88"/>
      <c r="AXF61" s="88"/>
      <c r="AXG61" s="88"/>
      <c r="AXH61" s="88"/>
      <c r="AXI61" s="88"/>
      <c r="AXJ61" s="88"/>
      <c r="AXK61" s="88"/>
      <c r="AXL61" s="88"/>
      <c r="AXM61" s="88"/>
      <c r="AXN61" s="88"/>
      <c r="AXO61" s="88"/>
      <c r="AXP61" s="88"/>
      <c r="AXQ61" s="88"/>
      <c r="AXR61" s="88"/>
      <c r="AXS61" s="88"/>
      <c r="AXT61" s="88"/>
      <c r="AXU61" s="88"/>
      <c r="AXV61" s="88"/>
      <c r="AXW61" s="88"/>
      <c r="AXX61" s="88"/>
      <c r="AXY61" s="88"/>
      <c r="AXZ61" s="88"/>
      <c r="AYA61" s="88"/>
      <c r="AYB61" s="88"/>
      <c r="AYC61" s="88"/>
      <c r="AYD61" s="88"/>
      <c r="AYE61" s="88"/>
      <c r="AYF61" s="88"/>
      <c r="AYG61" s="88"/>
      <c r="AYH61" s="88"/>
      <c r="AYI61" s="88"/>
      <c r="AYJ61" s="88"/>
      <c r="AYK61" s="88"/>
      <c r="AYL61" s="88"/>
      <c r="AYM61" s="88"/>
      <c r="AYN61" s="88"/>
      <c r="AYO61" s="88"/>
      <c r="AYP61" s="88"/>
      <c r="AYQ61" s="88"/>
      <c r="AYR61" s="88"/>
      <c r="AYS61" s="88"/>
      <c r="AYT61" s="88"/>
      <c r="AYU61" s="88"/>
      <c r="AYV61" s="88"/>
      <c r="AYW61" s="88"/>
      <c r="AYX61" s="88"/>
      <c r="AYY61" s="88"/>
      <c r="AYZ61" s="88"/>
      <c r="AZA61" s="88"/>
      <c r="AZB61" s="88"/>
      <c r="AZC61" s="88"/>
      <c r="AZD61" s="88"/>
      <c r="AZE61" s="88"/>
      <c r="AZF61" s="88"/>
      <c r="AZG61" s="88"/>
      <c r="AZH61" s="88"/>
      <c r="AZI61" s="88"/>
      <c r="AZJ61" s="88"/>
      <c r="AZK61" s="88"/>
      <c r="AZL61" s="88"/>
      <c r="AZM61" s="88"/>
      <c r="AZN61" s="88"/>
      <c r="AZO61" s="88"/>
      <c r="AZP61" s="88"/>
      <c r="AZQ61" s="88"/>
      <c r="AZR61" s="88"/>
      <c r="AZS61" s="88"/>
      <c r="AZT61" s="88"/>
      <c r="AZU61" s="88"/>
      <c r="AZV61" s="88"/>
      <c r="AZW61" s="88"/>
      <c r="AZX61" s="88"/>
      <c r="AZY61" s="88"/>
      <c r="AZZ61" s="88"/>
      <c r="BAA61" s="88"/>
      <c r="BAB61" s="88"/>
      <c r="BAC61" s="88"/>
      <c r="BAD61" s="88"/>
      <c r="BAE61" s="88"/>
      <c r="BAF61" s="88"/>
      <c r="BAG61" s="88"/>
      <c r="BAH61" s="88"/>
      <c r="BAI61" s="88"/>
      <c r="BAJ61" s="88"/>
      <c r="BAK61" s="88"/>
      <c r="BAL61" s="88"/>
      <c r="BAM61" s="88"/>
      <c r="BAN61" s="88"/>
      <c r="BAO61" s="88"/>
      <c r="BAP61" s="88"/>
      <c r="BAQ61" s="88"/>
      <c r="BAR61" s="88"/>
      <c r="BAS61" s="88"/>
      <c r="BAT61" s="88"/>
      <c r="BAU61" s="88"/>
      <c r="BAV61" s="88"/>
      <c r="BAW61" s="88"/>
      <c r="BAX61" s="88"/>
      <c r="BAY61" s="88"/>
      <c r="BAZ61" s="88"/>
      <c r="BBA61" s="88"/>
      <c r="BBB61" s="88"/>
      <c r="BBC61" s="88"/>
      <c r="BBD61" s="88"/>
      <c r="BBE61" s="88"/>
      <c r="BBF61" s="88"/>
      <c r="BBG61" s="88"/>
      <c r="BBH61" s="88"/>
      <c r="BBI61" s="88"/>
      <c r="BBJ61" s="88"/>
      <c r="BBK61" s="88"/>
      <c r="BBL61" s="88"/>
      <c r="BBM61" s="88"/>
      <c r="BBN61" s="88"/>
      <c r="BBO61" s="88"/>
      <c r="BBP61" s="88"/>
      <c r="BBQ61" s="88"/>
      <c r="BBR61" s="88"/>
      <c r="BBS61" s="88"/>
      <c r="BBT61" s="88"/>
      <c r="BBU61" s="88"/>
      <c r="BBV61" s="88"/>
      <c r="BBW61" s="88"/>
      <c r="BBX61" s="88"/>
      <c r="BBY61" s="88"/>
      <c r="BBZ61" s="88"/>
      <c r="BCA61" s="88"/>
      <c r="BCB61" s="88"/>
      <c r="BCC61" s="88"/>
      <c r="BCD61" s="88"/>
      <c r="BCE61" s="88"/>
      <c r="BCF61" s="88"/>
      <c r="BCG61" s="88"/>
      <c r="BCH61" s="88"/>
      <c r="BCI61" s="88"/>
      <c r="BCJ61" s="88"/>
      <c r="BCK61" s="88"/>
      <c r="BCL61" s="88"/>
      <c r="BCM61" s="88"/>
      <c r="BCN61" s="88"/>
      <c r="BCO61" s="88"/>
      <c r="BCP61" s="88"/>
      <c r="BCQ61" s="88"/>
      <c r="BCR61" s="88"/>
      <c r="BCS61" s="88"/>
      <c r="BCT61" s="88"/>
      <c r="BCU61" s="88"/>
      <c r="BCV61" s="88"/>
      <c r="BCW61" s="88"/>
      <c r="BCX61" s="88"/>
      <c r="BCY61" s="88"/>
      <c r="BCZ61" s="88"/>
      <c r="BDA61" s="88"/>
      <c r="BDB61" s="88"/>
      <c r="BDC61" s="88"/>
      <c r="BDD61" s="88"/>
      <c r="BDE61" s="88"/>
      <c r="BDF61" s="88"/>
      <c r="BDG61" s="88"/>
      <c r="BDH61" s="88"/>
      <c r="BDI61" s="88"/>
      <c r="BDJ61" s="88"/>
      <c r="BDK61" s="88"/>
      <c r="BDL61" s="88"/>
      <c r="BDM61" s="88"/>
      <c r="BDN61" s="88"/>
      <c r="BDO61" s="88"/>
      <c r="BDP61" s="88"/>
      <c r="BDQ61" s="88"/>
      <c r="BDR61" s="88"/>
      <c r="BDS61" s="88"/>
      <c r="BDT61" s="88"/>
      <c r="BDU61" s="88"/>
      <c r="BDV61" s="88"/>
      <c r="BDW61" s="88"/>
      <c r="BDX61" s="88"/>
      <c r="BDY61" s="88"/>
      <c r="BDZ61" s="88"/>
      <c r="BEA61" s="88"/>
      <c r="BEB61" s="88"/>
      <c r="BEC61" s="88"/>
      <c r="BED61" s="88"/>
      <c r="BEE61" s="88"/>
      <c r="BEF61" s="88"/>
      <c r="BEG61" s="88"/>
      <c r="BEH61" s="88"/>
      <c r="BEI61" s="88"/>
      <c r="BEJ61" s="88"/>
      <c r="BEK61" s="88"/>
      <c r="BEL61" s="88"/>
      <c r="BEM61" s="88"/>
      <c r="BEN61" s="88"/>
      <c r="BEO61" s="88"/>
      <c r="BEP61" s="88"/>
      <c r="BEQ61" s="88"/>
      <c r="BER61" s="88"/>
      <c r="BES61" s="88"/>
      <c r="BET61" s="88"/>
      <c r="BEU61" s="88"/>
      <c r="BEV61" s="88"/>
      <c r="BEW61" s="88"/>
      <c r="BEX61" s="88"/>
      <c r="BEY61" s="88"/>
      <c r="BEZ61" s="88"/>
      <c r="BFA61" s="88"/>
      <c r="BFB61" s="88"/>
      <c r="BFC61" s="88"/>
      <c r="BFD61" s="88"/>
      <c r="BFE61" s="88"/>
      <c r="BFF61" s="88"/>
      <c r="BFG61" s="88"/>
      <c r="BFH61" s="88"/>
      <c r="BFI61" s="88"/>
      <c r="BFJ61" s="88"/>
      <c r="BFK61" s="88"/>
      <c r="BFL61" s="88"/>
      <c r="BFM61" s="88"/>
      <c r="BFN61" s="88"/>
      <c r="BFO61" s="88"/>
      <c r="BFP61" s="88"/>
      <c r="BFQ61" s="88"/>
      <c r="BFR61" s="88"/>
      <c r="BFS61" s="88"/>
      <c r="BFT61" s="88"/>
      <c r="BFU61" s="88"/>
      <c r="BFV61" s="88"/>
      <c r="BFW61" s="88"/>
      <c r="BFX61" s="88"/>
      <c r="BFY61" s="88"/>
      <c r="BFZ61" s="88"/>
      <c r="BGA61" s="88"/>
      <c r="BGB61" s="88"/>
      <c r="BGC61" s="88"/>
      <c r="BGD61" s="88"/>
      <c r="BGE61" s="88"/>
      <c r="BGF61" s="88"/>
      <c r="BGG61" s="88"/>
      <c r="BGH61" s="88"/>
      <c r="BGI61" s="88"/>
      <c r="BGJ61" s="88"/>
      <c r="BGK61" s="88"/>
      <c r="BGL61" s="88"/>
      <c r="BGM61" s="88"/>
      <c r="BGN61" s="88"/>
      <c r="BGO61" s="88"/>
      <c r="BGP61" s="88"/>
      <c r="BGQ61" s="88"/>
      <c r="BGR61" s="88"/>
      <c r="BGS61" s="88"/>
      <c r="BGT61" s="88"/>
      <c r="BGU61" s="88"/>
      <c r="BGV61" s="88"/>
      <c r="BGW61" s="88"/>
      <c r="BGX61" s="88"/>
      <c r="BGY61" s="88"/>
      <c r="BGZ61" s="88"/>
      <c r="BHA61" s="88"/>
      <c r="BHB61" s="88"/>
      <c r="BHC61" s="88"/>
      <c r="BHD61" s="88"/>
      <c r="BHE61" s="88"/>
      <c r="BHF61" s="88"/>
      <c r="BHG61" s="88"/>
      <c r="BHH61" s="88"/>
      <c r="BHI61" s="88"/>
      <c r="BHJ61" s="88"/>
      <c r="BHK61" s="88"/>
      <c r="BHL61" s="88"/>
      <c r="BHM61" s="88"/>
      <c r="BHN61" s="88"/>
      <c r="BHO61" s="88"/>
      <c r="BHP61" s="88"/>
      <c r="BHQ61" s="88"/>
      <c r="BHR61" s="88"/>
      <c r="BHS61" s="88"/>
      <c r="BHT61" s="88"/>
      <c r="BHU61" s="88"/>
      <c r="BHV61" s="88"/>
      <c r="BHW61" s="88"/>
      <c r="BHX61" s="88"/>
      <c r="BHY61" s="88"/>
      <c r="BHZ61" s="88"/>
      <c r="BIA61" s="88"/>
      <c r="BIB61" s="88"/>
      <c r="BIC61" s="88"/>
      <c r="BID61" s="88"/>
      <c r="BIE61" s="88"/>
      <c r="BIF61" s="88"/>
      <c r="BIG61" s="88"/>
      <c r="BIH61" s="88"/>
      <c r="BII61" s="88"/>
      <c r="BIJ61" s="88"/>
      <c r="BIK61" s="88"/>
      <c r="BIL61" s="88"/>
      <c r="BIM61" s="88"/>
      <c r="BIN61" s="88"/>
      <c r="BIO61" s="88"/>
      <c r="BIP61" s="88"/>
      <c r="BIQ61" s="88"/>
      <c r="BIR61" s="88"/>
      <c r="BIS61" s="88"/>
      <c r="BIT61" s="88"/>
      <c r="BIU61" s="88"/>
      <c r="BIV61" s="88"/>
      <c r="BIW61" s="88"/>
      <c r="BIX61" s="88"/>
      <c r="BIY61" s="88"/>
      <c r="BIZ61" s="88"/>
      <c r="BJA61" s="88"/>
      <c r="BJB61" s="88"/>
      <c r="BJC61" s="88"/>
      <c r="BJD61" s="88"/>
      <c r="BJE61" s="88"/>
      <c r="BJF61" s="88"/>
      <c r="BJG61" s="88"/>
      <c r="BJH61" s="88"/>
      <c r="BJI61" s="88"/>
      <c r="BJJ61" s="88"/>
      <c r="BJK61" s="88"/>
      <c r="BJL61" s="88"/>
      <c r="BJM61" s="88"/>
      <c r="BJN61" s="88"/>
      <c r="BJO61" s="88"/>
      <c r="BJP61" s="88"/>
      <c r="BJQ61" s="88"/>
      <c r="BJR61" s="88"/>
      <c r="BJS61" s="88"/>
      <c r="BJT61" s="88"/>
      <c r="BJU61" s="88"/>
      <c r="BJV61" s="88"/>
      <c r="BJW61" s="88"/>
      <c r="BJX61" s="88"/>
      <c r="BJY61" s="88"/>
      <c r="BJZ61" s="88"/>
      <c r="BKA61" s="88"/>
      <c r="BKB61" s="88"/>
      <c r="BKC61" s="88"/>
      <c r="BKD61" s="88"/>
      <c r="BKE61" s="88"/>
      <c r="BKF61" s="88"/>
      <c r="BKG61" s="88"/>
      <c r="BKH61" s="88"/>
      <c r="BKI61" s="88"/>
      <c r="BKJ61" s="88"/>
      <c r="BKK61" s="88"/>
      <c r="BKL61" s="88"/>
      <c r="BKM61" s="88"/>
      <c r="BKN61" s="88"/>
      <c r="BKO61" s="88"/>
      <c r="BKP61" s="88"/>
      <c r="BKQ61" s="88"/>
      <c r="BKR61" s="88"/>
      <c r="BKS61" s="88"/>
      <c r="BKT61" s="88"/>
      <c r="BKU61" s="88"/>
      <c r="BKV61" s="88"/>
      <c r="BKW61" s="88"/>
      <c r="BKX61" s="88"/>
      <c r="BKY61" s="88"/>
      <c r="BKZ61" s="88"/>
      <c r="BLA61" s="88"/>
      <c r="BLB61" s="88"/>
      <c r="BLC61" s="88"/>
      <c r="BLD61" s="88"/>
      <c r="BLE61" s="88"/>
      <c r="BLF61" s="88"/>
      <c r="BLG61" s="88"/>
      <c r="BLH61" s="88"/>
      <c r="BLI61" s="88"/>
      <c r="BLJ61" s="88"/>
      <c r="BLK61" s="88"/>
      <c r="BLL61" s="88"/>
      <c r="BLM61" s="88"/>
      <c r="BLN61" s="88"/>
      <c r="BLO61" s="88"/>
      <c r="BLP61" s="88"/>
      <c r="BLQ61" s="88"/>
      <c r="BLR61" s="88"/>
      <c r="BLS61" s="88"/>
      <c r="BLT61" s="88"/>
      <c r="BLU61" s="88"/>
      <c r="BLV61" s="88"/>
      <c r="BLW61" s="88"/>
      <c r="BLX61" s="88"/>
      <c r="BLY61" s="88"/>
      <c r="BLZ61" s="88"/>
      <c r="BMA61" s="88"/>
      <c r="BMB61" s="88"/>
      <c r="BMC61" s="88"/>
      <c r="BMD61" s="88"/>
      <c r="BME61" s="88"/>
      <c r="BMF61" s="88"/>
      <c r="BMG61" s="88"/>
      <c r="BMH61" s="88"/>
      <c r="BMI61" s="88"/>
      <c r="BMJ61" s="88"/>
      <c r="BMK61" s="88"/>
      <c r="BML61" s="88"/>
      <c r="BMM61" s="88"/>
      <c r="BMN61" s="88"/>
      <c r="BMO61" s="88"/>
      <c r="BMP61" s="88"/>
      <c r="BMQ61" s="88"/>
      <c r="BMR61" s="88"/>
      <c r="BMS61" s="88"/>
      <c r="BMT61" s="88"/>
      <c r="BMU61" s="88"/>
      <c r="BMV61" s="88"/>
      <c r="BMW61" s="88"/>
      <c r="BMX61" s="88"/>
      <c r="BMY61" s="88"/>
      <c r="BMZ61" s="88"/>
      <c r="BNA61" s="88"/>
      <c r="BNB61" s="88"/>
      <c r="BNC61" s="88"/>
      <c r="BND61" s="88"/>
      <c r="BNE61" s="88"/>
      <c r="BNF61" s="88"/>
      <c r="BNG61" s="88"/>
      <c r="BNH61" s="88"/>
      <c r="BNI61" s="88"/>
      <c r="BNJ61" s="88"/>
      <c r="BNK61" s="88"/>
      <c r="BNL61" s="88"/>
      <c r="BNM61" s="88"/>
      <c r="BNN61" s="88"/>
      <c r="BNO61" s="88"/>
      <c r="BNP61" s="88"/>
      <c r="BNQ61" s="88"/>
      <c r="BNR61" s="88"/>
      <c r="BNS61" s="88"/>
      <c r="BNT61" s="88"/>
      <c r="BNU61" s="88"/>
      <c r="BNV61" s="88"/>
      <c r="BNW61" s="88"/>
      <c r="BNX61" s="88"/>
      <c r="BNY61" s="88"/>
      <c r="BNZ61" s="88"/>
      <c r="BOA61" s="88"/>
      <c r="BOB61" s="88"/>
      <c r="BOC61" s="88"/>
      <c r="BOD61" s="88"/>
      <c r="BOE61" s="88"/>
      <c r="BOF61" s="88"/>
      <c r="BOG61" s="88"/>
      <c r="BOH61" s="88"/>
      <c r="BOI61" s="88"/>
      <c r="BOJ61" s="88"/>
      <c r="BOK61" s="88"/>
      <c r="BOL61" s="88"/>
      <c r="BOM61" s="88"/>
      <c r="BON61" s="88"/>
      <c r="BOO61" s="88"/>
      <c r="BOP61" s="88"/>
      <c r="BOQ61" s="88"/>
      <c r="BOR61" s="88"/>
      <c r="BOS61" s="88"/>
      <c r="BOT61" s="88"/>
      <c r="BOU61" s="88"/>
      <c r="BOV61" s="88"/>
      <c r="BOW61" s="88"/>
      <c r="BOX61" s="88"/>
      <c r="BOY61" s="88"/>
      <c r="BOZ61" s="88"/>
      <c r="BPA61" s="88"/>
      <c r="BPB61" s="88"/>
      <c r="BPC61" s="88"/>
      <c r="BPD61" s="88"/>
      <c r="BPE61" s="88"/>
      <c r="BPF61" s="88"/>
      <c r="BPG61" s="88"/>
      <c r="BPH61" s="88"/>
      <c r="BPI61" s="88"/>
      <c r="BPJ61" s="88"/>
      <c r="BPK61" s="88"/>
      <c r="BPL61" s="88"/>
      <c r="BPM61" s="88"/>
      <c r="BPN61" s="88"/>
      <c r="BPO61" s="88"/>
      <c r="BPP61" s="88"/>
      <c r="BPQ61" s="88"/>
      <c r="BPR61" s="88"/>
      <c r="BPS61" s="88"/>
      <c r="BPT61" s="88"/>
      <c r="BPU61" s="88"/>
      <c r="BPV61" s="88"/>
      <c r="BPW61" s="88"/>
      <c r="BPX61" s="88"/>
      <c r="BPY61" s="88"/>
      <c r="BPZ61" s="88"/>
      <c r="BQA61" s="88"/>
      <c r="BQB61" s="88"/>
      <c r="BQC61" s="88"/>
      <c r="BQD61" s="88"/>
      <c r="BQE61" s="88"/>
      <c r="BQF61" s="88"/>
      <c r="BQG61" s="88"/>
      <c r="BQH61" s="88"/>
      <c r="BQI61" s="88"/>
      <c r="BQJ61" s="88"/>
      <c r="BQK61" s="88"/>
      <c r="BQL61" s="88"/>
      <c r="BQM61" s="88"/>
      <c r="BQN61" s="88"/>
      <c r="BQO61" s="88"/>
      <c r="BQP61" s="88"/>
      <c r="BQQ61" s="88"/>
      <c r="BQR61" s="88"/>
      <c r="BQS61" s="88"/>
      <c r="BQT61" s="88"/>
      <c r="BQU61" s="88"/>
      <c r="BQV61" s="88"/>
      <c r="BQW61" s="88"/>
      <c r="BQX61" s="88"/>
      <c r="BQY61" s="88"/>
      <c r="BQZ61" s="88"/>
      <c r="BRA61" s="88"/>
      <c r="BRB61" s="88"/>
      <c r="BRC61" s="88"/>
      <c r="BRD61" s="88"/>
      <c r="BRE61" s="88"/>
      <c r="BRF61" s="88"/>
      <c r="BRG61" s="88"/>
      <c r="BRH61" s="88"/>
      <c r="BRI61" s="88"/>
      <c r="BRJ61" s="88"/>
      <c r="BRK61" s="88"/>
      <c r="BRL61" s="88"/>
      <c r="BRM61" s="88"/>
      <c r="BRN61" s="88"/>
      <c r="BRO61" s="88"/>
      <c r="BRP61" s="88"/>
      <c r="BRQ61" s="88"/>
      <c r="BRR61" s="88"/>
      <c r="BRS61" s="88"/>
      <c r="BRT61" s="88"/>
      <c r="BRU61" s="88"/>
      <c r="BRV61" s="88"/>
      <c r="BRW61" s="88"/>
      <c r="BRX61" s="88"/>
      <c r="BRY61" s="88"/>
      <c r="BRZ61" s="88"/>
      <c r="BSA61" s="88"/>
      <c r="BSB61" s="88"/>
      <c r="BSC61" s="88"/>
      <c r="BSD61" s="88"/>
      <c r="BSE61" s="88"/>
      <c r="BSF61" s="88"/>
      <c r="BSG61" s="88"/>
      <c r="BSH61" s="88"/>
      <c r="BSI61" s="88"/>
      <c r="BSJ61" s="88"/>
      <c r="BSK61" s="88"/>
      <c r="BSL61" s="88"/>
      <c r="BSM61" s="88"/>
      <c r="BSN61" s="88"/>
      <c r="BSO61" s="88"/>
      <c r="BSP61" s="88"/>
      <c r="BSQ61" s="88"/>
      <c r="BSR61" s="88"/>
      <c r="BSS61" s="88"/>
      <c r="BST61" s="88"/>
      <c r="BSU61" s="88"/>
      <c r="BSV61" s="88"/>
      <c r="BSW61" s="88"/>
      <c r="BSX61" s="88"/>
      <c r="BSY61" s="88"/>
      <c r="BSZ61" s="88"/>
      <c r="BTA61" s="88"/>
      <c r="BTB61" s="88"/>
      <c r="BTC61" s="88"/>
      <c r="BTD61" s="88"/>
      <c r="BTE61" s="88"/>
      <c r="BTF61" s="88"/>
      <c r="BTG61" s="88"/>
      <c r="BTH61" s="88"/>
      <c r="BTI61" s="88"/>
      <c r="BTJ61" s="88"/>
      <c r="BTK61" s="88"/>
      <c r="BTL61" s="88"/>
      <c r="BTM61" s="88"/>
      <c r="BTN61" s="88"/>
      <c r="BTO61" s="88"/>
      <c r="BTP61" s="88"/>
      <c r="BTQ61" s="88"/>
      <c r="BTR61" s="88"/>
      <c r="BTS61" s="88"/>
      <c r="BTT61" s="88"/>
      <c r="BTU61" s="88"/>
      <c r="BTV61" s="88"/>
      <c r="BTW61" s="88"/>
      <c r="BTX61" s="88"/>
      <c r="BTY61" s="88"/>
      <c r="BTZ61" s="88"/>
      <c r="BUA61" s="88"/>
      <c r="BUB61" s="88"/>
      <c r="BUC61" s="88"/>
      <c r="BUD61" s="88"/>
      <c r="BUE61" s="88"/>
      <c r="BUF61" s="88"/>
      <c r="BUG61" s="88"/>
      <c r="BUH61" s="88"/>
      <c r="BUI61" s="88"/>
      <c r="BUJ61" s="88"/>
      <c r="BUK61" s="88"/>
      <c r="BUL61" s="88"/>
      <c r="BUM61" s="88"/>
      <c r="BUN61" s="88"/>
      <c r="BUO61" s="88"/>
      <c r="BUP61" s="88"/>
      <c r="BUQ61" s="88"/>
      <c r="BUR61" s="88"/>
      <c r="BUS61" s="88"/>
      <c r="BUT61" s="88"/>
      <c r="BUU61" s="88"/>
      <c r="BUV61" s="88"/>
      <c r="BUW61" s="88"/>
      <c r="BUX61" s="88"/>
      <c r="BUY61" s="88"/>
      <c r="BUZ61" s="88"/>
      <c r="BVA61" s="88"/>
      <c r="BVB61" s="88"/>
      <c r="BVC61" s="88"/>
      <c r="BVD61" s="88"/>
      <c r="BVE61" s="88"/>
      <c r="BVF61" s="88"/>
      <c r="BVG61" s="88"/>
      <c r="BVH61" s="88"/>
      <c r="BVI61" s="88"/>
      <c r="BVJ61" s="88"/>
      <c r="BVK61" s="88"/>
      <c r="BVL61" s="88"/>
      <c r="BVM61" s="88"/>
      <c r="BVN61" s="88"/>
      <c r="BVO61" s="88"/>
      <c r="BVP61" s="88"/>
      <c r="BVQ61" s="88"/>
      <c r="BVR61" s="88"/>
      <c r="BVS61" s="88"/>
      <c r="BVT61" s="88"/>
      <c r="BVU61" s="88"/>
      <c r="BVV61" s="88"/>
      <c r="BVW61" s="88"/>
      <c r="BVX61" s="88"/>
      <c r="BVY61" s="88"/>
      <c r="BVZ61" s="88"/>
      <c r="BWA61" s="88"/>
      <c r="BWB61" s="88"/>
      <c r="BWC61" s="88"/>
      <c r="BWD61" s="88"/>
      <c r="BWE61" s="88"/>
      <c r="BWF61" s="88"/>
      <c r="BWG61" s="88"/>
      <c r="BWH61" s="88"/>
      <c r="BWI61" s="88"/>
      <c r="BWJ61" s="88"/>
      <c r="BWK61" s="88"/>
      <c r="BWL61" s="88"/>
      <c r="BWM61" s="88"/>
      <c r="BWN61" s="88"/>
      <c r="BWO61" s="88"/>
      <c r="BWP61" s="88"/>
      <c r="BWQ61" s="88"/>
      <c r="BWR61" s="88"/>
      <c r="BWS61" s="88"/>
      <c r="BWT61" s="88"/>
      <c r="BWU61" s="88"/>
      <c r="BWV61" s="88"/>
      <c r="BWW61" s="88"/>
      <c r="BWX61" s="88"/>
      <c r="BWY61" s="88"/>
      <c r="BWZ61" s="88"/>
      <c r="BXA61" s="88"/>
      <c r="BXB61" s="88"/>
      <c r="BXC61" s="88"/>
      <c r="BXD61" s="88"/>
      <c r="BXE61" s="88"/>
      <c r="BXF61" s="88"/>
      <c r="BXG61" s="88"/>
      <c r="BXH61" s="88"/>
      <c r="BXI61" s="88"/>
      <c r="BXJ61" s="88"/>
      <c r="BXK61" s="88"/>
      <c r="BXL61" s="88"/>
      <c r="BXM61" s="88"/>
      <c r="BXN61" s="88"/>
      <c r="BXO61" s="88"/>
      <c r="BXP61" s="88"/>
      <c r="BXQ61" s="88"/>
      <c r="BXR61" s="88"/>
      <c r="BXS61" s="88"/>
      <c r="BXT61" s="88"/>
      <c r="BXU61" s="88"/>
      <c r="BXV61" s="88"/>
      <c r="BXW61" s="88"/>
      <c r="BXX61" s="88"/>
      <c r="BXY61" s="88"/>
      <c r="BXZ61" s="88"/>
      <c r="BYA61" s="88"/>
      <c r="BYB61" s="88"/>
      <c r="BYC61" s="88"/>
      <c r="BYD61" s="88"/>
      <c r="BYE61" s="88"/>
      <c r="BYF61" s="88"/>
      <c r="BYG61" s="88"/>
      <c r="BYH61" s="88"/>
      <c r="BYI61" s="88"/>
      <c r="BYJ61" s="88"/>
      <c r="BYK61" s="88"/>
      <c r="BYL61" s="88"/>
      <c r="BYM61" s="88"/>
      <c r="BYN61" s="88"/>
      <c r="BYO61" s="88"/>
      <c r="BYP61" s="88"/>
      <c r="BYQ61" s="88"/>
      <c r="BYR61" s="88"/>
      <c r="BYS61" s="88"/>
      <c r="BYT61" s="88"/>
      <c r="BYU61" s="88"/>
      <c r="BYV61" s="88"/>
      <c r="BYW61" s="88"/>
      <c r="BYX61" s="88"/>
      <c r="BYY61" s="88"/>
      <c r="BYZ61" s="88"/>
      <c r="BZA61" s="88"/>
      <c r="BZB61" s="88"/>
      <c r="BZC61" s="88"/>
      <c r="BZD61" s="88"/>
      <c r="BZE61" s="88"/>
      <c r="BZF61" s="88"/>
      <c r="BZG61" s="88"/>
      <c r="BZH61" s="88"/>
      <c r="BZI61" s="88"/>
      <c r="BZJ61" s="88"/>
      <c r="BZK61" s="88"/>
      <c r="BZL61" s="88"/>
      <c r="BZM61" s="88"/>
      <c r="BZN61" s="88"/>
      <c r="BZO61" s="88"/>
      <c r="BZP61" s="88"/>
      <c r="BZQ61" s="88"/>
      <c r="BZR61" s="88"/>
      <c r="BZS61" s="88"/>
      <c r="BZT61" s="88"/>
      <c r="BZU61" s="88"/>
      <c r="BZV61" s="88"/>
      <c r="BZW61" s="88"/>
      <c r="BZX61" s="88"/>
      <c r="BZY61" s="88"/>
      <c r="BZZ61" s="88"/>
      <c r="CAA61" s="88"/>
      <c r="CAB61" s="88"/>
      <c r="CAC61" s="88"/>
      <c r="CAD61" s="88"/>
      <c r="CAE61" s="88"/>
      <c r="CAF61" s="88"/>
      <c r="CAG61" s="88"/>
      <c r="CAH61" s="88"/>
      <c r="CAI61" s="88"/>
      <c r="CAJ61" s="88"/>
      <c r="CAK61" s="88"/>
      <c r="CAL61" s="88"/>
      <c r="CAM61" s="88"/>
      <c r="CAN61" s="88"/>
      <c r="CAO61" s="88"/>
      <c r="CAP61" s="88"/>
      <c r="CAQ61" s="88"/>
      <c r="CAR61" s="88"/>
      <c r="CAS61" s="88"/>
      <c r="CAT61" s="88"/>
      <c r="CAU61" s="88"/>
      <c r="CAV61" s="88"/>
      <c r="CAW61" s="88"/>
      <c r="CAX61" s="88"/>
      <c r="CAY61" s="88"/>
      <c r="CAZ61" s="88"/>
      <c r="CBA61" s="88"/>
      <c r="CBB61" s="88"/>
      <c r="CBC61" s="88"/>
      <c r="CBD61" s="88"/>
      <c r="CBE61" s="88"/>
      <c r="CBF61" s="88"/>
      <c r="CBG61" s="88"/>
      <c r="CBH61" s="88"/>
      <c r="CBI61" s="88"/>
      <c r="CBJ61" s="88"/>
      <c r="CBK61" s="88"/>
      <c r="CBL61" s="88"/>
      <c r="CBM61" s="88"/>
      <c r="CBN61" s="88"/>
      <c r="CBO61" s="88"/>
      <c r="CBP61" s="88"/>
      <c r="CBQ61" s="88"/>
      <c r="CBR61" s="88"/>
      <c r="CBS61" s="88"/>
      <c r="CBT61" s="88"/>
      <c r="CBU61" s="88"/>
      <c r="CBV61" s="88"/>
      <c r="CBW61" s="88"/>
      <c r="CBX61" s="88"/>
      <c r="CBY61" s="88"/>
      <c r="CBZ61" s="88"/>
      <c r="CCA61" s="88"/>
      <c r="CCB61" s="88"/>
      <c r="CCC61" s="88"/>
      <c r="CCD61" s="88"/>
      <c r="CCE61" s="88"/>
      <c r="CCF61" s="88"/>
      <c r="CCG61" s="88"/>
      <c r="CCH61" s="88"/>
      <c r="CCI61" s="88"/>
      <c r="CCJ61" s="88"/>
      <c r="CCK61" s="88"/>
      <c r="CCL61" s="88"/>
      <c r="CCM61" s="88"/>
      <c r="CCN61" s="88"/>
      <c r="CCO61" s="88"/>
      <c r="CCP61" s="88"/>
      <c r="CCQ61" s="88"/>
      <c r="CCR61" s="88"/>
      <c r="CCS61" s="88"/>
      <c r="CCT61" s="88"/>
      <c r="CCU61" s="88"/>
      <c r="CCV61" s="88"/>
      <c r="CCW61" s="88"/>
      <c r="CCX61" s="88"/>
      <c r="CCY61" s="88"/>
      <c r="CCZ61" s="88"/>
      <c r="CDA61" s="88"/>
      <c r="CDB61" s="88"/>
      <c r="CDC61" s="88"/>
      <c r="CDD61" s="88"/>
      <c r="CDE61" s="88"/>
      <c r="CDF61" s="88"/>
      <c r="CDG61" s="88"/>
      <c r="CDH61" s="88"/>
      <c r="CDI61" s="88"/>
      <c r="CDJ61" s="88"/>
      <c r="CDK61" s="88"/>
      <c r="CDL61" s="88"/>
      <c r="CDM61" s="88"/>
      <c r="CDN61" s="88"/>
      <c r="CDO61" s="88"/>
      <c r="CDP61" s="88"/>
      <c r="CDQ61" s="88"/>
      <c r="CDR61" s="88"/>
      <c r="CDS61" s="88"/>
      <c r="CDT61" s="88"/>
      <c r="CDU61" s="88"/>
      <c r="CDV61" s="88"/>
      <c r="CDW61" s="88"/>
      <c r="CDX61" s="88"/>
      <c r="CDY61" s="88"/>
      <c r="CDZ61" s="88"/>
      <c r="CEA61" s="88"/>
      <c r="CEB61" s="88"/>
      <c r="CEC61" s="88"/>
      <c r="CED61" s="88"/>
      <c r="CEE61" s="88"/>
      <c r="CEF61" s="88"/>
      <c r="CEG61" s="88"/>
      <c r="CEH61" s="88"/>
      <c r="CEI61" s="88"/>
      <c r="CEJ61" s="88"/>
      <c r="CEK61" s="88"/>
    </row>
    <row r="62" spans="1:2169" s="63" customFormat="1">
      <c r="A62" s="73" t="s">
        <v>80</v>
      </c>
      <c r="B62" s="71" t="s">
        <v>84</v>
      </c>
      <c r="C62" s="68" t="str">
        <f>IF('page 2'!$O$4="","",IF('page 2'!$O$4=Gestion!A62,1,0))</f>
        <v/>
      </c>
      <c r="D62" s="68" t="str">
        <f>IF('page 2'!$O$5="","",IF('page 2'!$O$5=Gestion!A62,1,0))</f>
        <v/>
      </c>
      <c r="E62" s="68" t="str">
        <f>IF('page 2'!$O$6="","",IF('page 2'!$O$6=Gestion!A62,1,0))</f>
        <v/>
      </c>
      <c r="F62" s="68" t="str">
        <f>IF('page 2'!$O$7="","",IF('page 2'!$O$7=Gestion!A62,1,0))</f>
        <v/>
      </c>
      <c r="G62" s="68" t="str">
        <f>IF('page 2'!$O$8="","",IF('page 2'!$O$8=Gestion!A62,1,0))</f>
        <v/>
      </c>
      <c r="H62" s="68"/>
      <c r="I62" s="68" t="str">
        <f>IF('page 2'!$O$10="","",IF('page 2'!$O$10=Gestion!A62,1,0))</f>
        <v/>
      </c>
      <c r="J62" s="68" t="str">
        <f>IF('page 2'!$O$11="","",IF('page 2'!$O$11=Gestion!A62,1,0))</f>
        <v/>
      </c>
      <c r="K62" s="68" t="str">
        <f>IF('page 2'!$O$12="","",IF('page 2'!$O$12=Gestion!A62,1,0))</f>
        <v/>
      </c>
      <c r="L62" s="68" t="str">
        <f>IF('page 2'!$O$13="","",IF('page 2'!$O$13=Gestion!A62,1,0))</f>
        <v/>
      </c>
      <c r="M62" s="68" t="str">
        <f>IF('page 2'!$O$14="","",IF('page 2'!$O$14=Gestion!A62,1,0))</f>
        <v/>
      </c>
      <c r="N62" s="68" t="str">
        <f>IF('page 2'!$O$15="","",IF('page 2'!$O$15=Gestion!A62,1,0))</f>
        <v/>
      </c>
      <c r="O62" s="68" t="str">
        <f>IF('page 2'!$O$16="","",IF('page 2'!$O$16=Gestion!A62,1,0))</f>
        <v/>
      </c>
      <c r="P62" s="68" t="str">
        <f>IF('page 2'!$O$17="","",IF('page 2'!$O$17=Gestion!A62,1,0))</f>
        <v/>
      </c>
      <c r="Q62" s="68" t="str">
        <f>IF('page 2'!$O$18="","",IF('page 2'!$O$18=Gestion!A62,1,0))</f>
        <v/>
      </c>
      <c r="R62" s="68" t="str">
        <f>IF('page 2'!$O$19="","",IF('page 2'!$O$19=Gestion!A62,1,0))</f>
        <v/>
      </c>
      <c r="S62" s="68" t="str">
        <f>IF('page 2'!$O$20="","",IF('page 2'!$O$20=Gestion!A62,1,0))</f>
        <v/>
      </c>
      <c r="T62" s="68" t="str">
        <f>IF('page 2'!$O$25="","",IF('page 2'!$O$25=Gestion!A62,1,0))</f>
        <v/>
      </c>
      <c r="U62" s="68" t="str">
        <f>IF('page 2'!$O$26="","",IF('page 2'!$O$26=Gestion!A62,1,0))</f>
        <v/>
      </c>
      <c r="V62" s="68" t="str">
        <f>IF('page 2'!$O$27="","",IF('page 2'!$O$27=Gestion!A62,1,0))</f>
        <v/>
      </c>
      <c r="W62" s="722">
        <f t="shared" si="0"/>
        <v>0</v>
      </c>
      <c r="X62" s="714"/>
      <c r="Y62" s="68"/>
      <c r="Z62" s="68"/>
      <c r="AA62" s="68"/>
      <c r="AB62" s="68"/>
      <c r="AC62" s="68"/>
      <c r="AD62" s="68"/>
      <c r="AP62" s="130"/>
      <c r="AQ62" s="130"/>
      <c r="AR62" s="130"/>
      <c r="AS62" s="576"/>
      <c r="AT62" s="576"/>
      <c r="AU62" s="576"/>
      <c r="AV62" s="576"/>
      <c r="AW62" s="602"/>
      <c r="AX62" s="602"/>
      <c r="AY62" s="576"/>
      <c r="AZ62" s="576"/>
      <c r="BA62" s="576"/>
      <c r="BB62" s="576"/>
      <c r="BC62" s="576"/>
      <c r="BD62" s="602"/>
      <c r="BE62" s="602"/>
      <c r="BF62" s="602"/>
      <c r="BG62" s="602"/>
      <c r="BH62" s="602"/>
      <c r="BI62" s="602"/>
      <c r="BJ62" s="602"/>
      <c r="BK62" s="602"/>
      <c r="BL62" s="602"/>
      <c r="BM62" s="602"/>
      <c r="BN62" s="602"/>
      <c r="BO62" s="602"/>
      <c r="BP62" s="602"/>
      <c r="BQ62" s="602"/>
      <c r="BR62" s="602"/>
      <c r="BS62" s="576"/>
      <c r="BT62" s="576"/>
      <c r="BU62" s="576"/>
      <c r="BV62" s="576"/>
      <c r="BW62" s="602"/>
      <c r="BX62" s="602"/>
      <c r="BY62" s="602"/>
      <c r="BZ62" s="576"/>
      <c r="CA62" s="602"/>
      <c r="CB62" s="602"/>
      <c r="CC62" s="576"/>
      <c r="CD62" s="576"/>
      <c r="CE62" s="602"/>
      <c r="CF62" s="576"/>
      <c r="CG62" s="576"/>
      <c r="CH62" s="576"/>
      <c r="CI62" s="576"/>
      <c r="CJ62" s="576"/>
      <c r="CK62" s="602"/>
      <c r="CL62" s="602"/>
      <c r="CM62" s="576"/>
      <c r="CN62" s="602"/>
      <c r="CO62" s="602"/>
      <c r="CP62" s="602"/>
      <c r="CQ62" s="576"/>
      <c r="CR62" s="576"/>
      <c r="CS62" s="602"/>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c r="IW62" s="88"/>
      <c r="IX62" s="88"/>
      <c r="IY62" s="88"/>
      <c r="IZ62" s="88"/>
      <c r="JA62" s="88"/>
      <c r="JB62" s="88"/>
      <c r="JC62" s="88"/>
      <c r="JD62" s="88"/>
      <c r="JE62" s="88"/>
      <c r="JF62" s="88"/>
      <c r="JG62" s="88"/>
      <c r="JH62" s="88"/>
      <c r="JI62" s="88"/>
      <c r="JJ62" s="88"/>
      <c r="JK62" s="88"/>
      <c r="JL62" s="88"/>
      <c r="JM62" s="88"/>
      <c r="JN62" s="88"/>
      <c r="JO62" s="88"/>
      <c r="JP62" s="88"/>
      <c r="JQ62" s="88"/>
      <c r="JR62" s="88"/>
      <c r="JS62" s="88"/>
      <c r="JT62" s="88"/>
      <c r="JU62" s="88"/>
      <c r="JV62" s="88"/>
      <c r="JW62" s="88"/>
      <c r="JX62" s="88"/>
      <c r="JY62" s="88"/>
      <c r="JZ62" s="88"/>
      <c r="KA62" s="88"/>
      <c r="KB62" s="88"/>
      <c r="KC62" s="88"/>
      <c r="KD62" s="88"/>
      <c r="KE62" s="88"/>
      <c r="KF62" s="88"/>
      <c r="KG62" s="88"/>
      <c r="KH62" s="88"/>
      <c r="KI62" s="88"/>
      <c r="KJ62" s="88"/>
      <c r="KK62" s="88"/>
      <c r="KL62" s="88"/>
      <c r="KM62" s="88"/>
      <c r="KN62" s="88"/>
      <c r="KO62" s="88"/>
      <c r="KP62" s="88"/>
      <c r="KQ62" s="88"/>
      <c r="KR62" s="88"/>
      <c r="KS62" s="88"/>
      <c r="KT62" s="88"/>
      <c r="KU62" s="88"/>
      <c r="KV62" s="88"/>
      <c r="KW62" s="88"/>
      <c r="KX62" s="88"/>
      <c r="KY62" s="88"/>
      <c r="KZ62" s="88"/>
      <c r="LA62" s="88"/>
      <c r="LB62" s="88"/>
      <c r="LC62" s="88"/>
      <c r="LD62" s="88"/>
      <c r="LE62" s="88"/>
      <c r="LF62" s="88"/>
      <c r="LG62" s="88"/>
      <c r="LH62" s="88"/>
      <c r="LI62" s="88"/>
      <c r="LJ62" s="88"/>
      <c r="LK62" s="88"/>
      <c r="LL62" s="88"/>
      <c r="LM62" s="88"/>
      <c r="LN62" s="88"/>
      <c r="LO62" s="88"/>
      <c r="LP62" s="88"/>
      <c r="LQ62" s="88"/>
      <c r="LR62" s="88"/>
      <c r="LS62" s="88"/>
      <c r="LT62" s="88"/>
      <c r="LU62" s="88"/>
      <c r="LV62" s="88"/>
      <c r="LW62" s="88"/>
      <c r="LX62" s="88"/>
      <c r="LY62" s="88"/>
      <c r="LZ62" s="88"/>
      <c r="MA62" s="88"/>
      <c r="MB62" s="88"/>
      <c r="MC62" s="88"/>
      <c r="MD62" s="88"/>
      <c r="ME62" s="88"/>
      <c r="MF62" s="88"/>
      <c r="MG62" s="88"/>
      <c r="MH62" s="88"/>
      <c r="MI62" s="88"/>
      <c r="MJ62" s="88"/>
      <c r="MK62" s="88"/>
      <c r="ML62" s="88"/>
      <c r="MM62" s="88"/>
      <c r="MN62" s="88"/>
      <c r="MO62" s="88"/>
      <c r="MP62" s="88"/>
      <c r="MQ62" s="88"/>
      <c r="MR62" s="88"/>
      <c r="MS62" s="88"/>
      <c r="MT62" s="88"/>
      <c r="MU62" s="88"/>
      <c r="MV62" s="88"/>
      <c r="MW62" s="88"/>
      <c r="MX62" s="88"/>
      <c r="MY62" s="88"/>
      <c r="MZ62" s="88"/>
      <c r="NA62" s="88"/>
      <c r="NB62" s="88"/>
      <c r="NC62" s="88"/>
      <c r="ND62" s="88"/>
      <c r="NE62" s="88"/>
      <c r="NF62" s="88"/>
      <c r="NG62" s="88"/>
      <c r="NH62" s="88"/>
      <c r="NI62" s="88"/>
      <c r="NJ62" s="88"/>
      <c r="NK62" s="88"/>
      <c r="NL62" s="88"/>
      <c r="NM62" s="88"/>
      <c r="NN62" s="88"/>
      <c r="NO62" s="88"/>
      <c r="NP62" s="88"/>
      <c r="NQ62" s="88"/>
      <c r="NR62" s="88"/>
      <c r="NS62" s="88"/>
      <c r="NT62" s="88"/>
      <c r="NU62" s="88"/>
      <c r="NV62" s="88"/>
      <c r="NW62" s="88"/>
      <c r="NX62" s="88"/>
      <c r="NY62" s="88"/>
      <c r="NZ62" s="88"/>
      <c r="OA62" s="88"/>
      <c r="OB62" s="88"/>
      <c r="OC62" s="88"/>
      <c r="OD62" s="88"/>
      <c r="OE62" s="88"/>
      <c r="OF62" s="88"/>
      <c r="OG62" s="88"/>
      <c r="OH62" s="88"/>
      <c r="OI62" s="88"/>
      <c r="OJ62" s="88"/>
      <c r="OK62" s="88"/>
      <c r="OL62" s="88"/>
      <c r="OM62" s="88"/>
      <c r="ON62" s="88"/>
      <c r="OO62" s="88"/>
      <c r="OP62" s="88"/>
      <c r="OQ62" s="88"/>
      <c r="OR62" s="88"/>
      <c r="OS62" s="88"/>
      <c r="OT62" s="88"/>
      <c r="OU62" s="88"/>
      <c r="OV62" s="88"/>
      <c r="OW62" s="88"/>
      <c r="OX62" s="88"/>
      <c r="OY62" s="88"/>
      <c r="OZ62" s="88"/>
      <c r="PA62" s="88"/>
      <c r="PB62" s="88"/>
      <c r="PC62" s="88"/>
      <c r="PD62" s="88"/>
      <c r="PE62" s="88"/>
      <c r="PF62" s="88"/>
      <c r="PG62" s="88"/>
      <c r="PH62" s="88"/>
      <c r="PI62" s="88"/>
      <c r="PJ62" s="88"/>
      <c r="PK62" s="88"/>
      <c r="PL62" s="88"/>
      <c r="PM62" s="88"/>
      <c r="PN62" s="88"/>
      <c r="PO62" s="88"/>
      <c r="PP62" s="88"/>
      <c r="PQ62" s="88"/>
      <c r="PR62" s="88"/>
      <c r="PS62" s="88"/>
      <c r="PT62" s="88"/>
      <c r="PU62" s="88"/>
      <c r="PV62" s="88"/>
      <c r="PW62" s="88"/>
      <c r="PX62" s="88"/>
      <c r="PY62" s="88"/>
      <c r="PZ62" s="88"/>
      <c r="QA62" s="88"/>
      <c r="QB62" s="88"/>
      <c r="QC62" s="88"/>
      <c r="QD62" s="88"/>
      <c r="QE62" s="88"/>
      <c r="QF62" s="88"/>
      <c r="QG62" s="88"/>
      <c r="QH62" s="88"/>
      <c r="QI62" s="88"/>
      <c r="QJ62" s="88"/>
      <c r="QK62" s="88"/>
      <c r="QL62" s="88"/>
      <c r="QM62" s="88"/>
      <c r="QN62" s="88"/>
      <c r="QO62" s="88"/>
      <c r="QP62" s="88"/>
      <c r="QQ62" s="88"/>
      <c r="QR62" s="88"/>
      <c r="QS62" s="88"/>
      <c r="QT62" s="88"/>
      <c r="QU62" s="88"/>
      <c r="QV62" s="88"/>
      <c r="QW62" s="88"/>
      <c r="QX62" s="88"/>
      <c r="QY62" s="88"/>
      <c r="QZ62" s="88"/>
      <c r="RA62" s="88"/>
      <c r="RB62" s="88"/>
      <c r="RC62" s="88"/>
      <c r="RD62" s="88"/>
      <c r="RE62" s="88"/>
      <c r="RF62" s="88"/>
      <c r="RG62" s="88"/>
      <c r="RH62" s="88"/>
      <c r="RI62" s="88"/>
      <c r="RJ62" s="88"/>
      <c r="RK62" s="88"/>
      <c r="RL62" s="88"/>
      <c r="RM62" s="88"/>
      <c r="RN62" s="88"/>
      <c r="RO62" s="88"/>
      <c r="RP62" s="88"/>
      <c r="RQ62" s="88"/>
      <c r="RR62" s="88"/>
      <c r="RS62" s="88"/>
      <c r="RT62" s="88"/>
      <c r="RU62" s="88"/>
      <c r="RV62" s="88"/>
      <c r="RW62" s="88"/>
      <c r="RX62" s="88"/>
      <c r="RY62" s="88"/>
      <c r="RZ62" s="88"/>
      <c r="SA62" s="88"/>
      <c r="SB62" s="88"/>
      <c r="SC62" s="88"/>
      <c r="SD62" s="88"/>
      <c r="SE62" s="88"/>
      <c r="SF62" s="88"/>
      <c r="SG62" s="88"/>
      <c r="SH62" s="88"/>
      <c r="SI62" s="88"/>
      <c r="SJ62" s="88"/>
      <c r="SK62" s="88"/>
      <c r="SL62" s="88"/>
      <c r="SM62" s="88"/>
      <c r="SN62" s="88"/>
      <c r="SO62" s="88"/>
      <c r="SP62" s="88"/>
      <c r="SQ62" s="88"/>
      <c r="SR62" s="88"/>
      <c r="SS62" s="88"/>
      <c r="ST62" s="88"/>
      <c r="SU62" s="88"/>
      <c r="SV62" s="88"/>
      <c r="SW62" s="88"/>
      <c r="SX62" s="88"/>
      <c r="SY62" s="88"/>
      <c r="SZ62" s="88"/>
      <c r="TA62" s="88"/>
      <c r="TB62" s="88"/>
      <c r="TC62" s="88"/>
      <c r="TD62" s="88"/>
      <c r="TE62" s="88"/>
      <c r="TF62" s="88"/>
      <c r="TG62" s="88"/>
      <c r="TH62" s="88"/>
      <c r="TI62" s="88"/>
      <c r="TJ62" s="88"/>
      <c r="TK62" s="88"/>
      <c r="TL62" s="88"/>
      <c r="TM62" s="88"/>
      <c r="TN62" s="88"/>
      <c r="TO62" s="88"/>
      <c r="TP62" s="88"/>
      <c r="TQ62" s="88"/>
      <c r="TR62" s="88"/>
      <c r="TS62" s="88"/>
      <c r="TT62" s="88"/>
      <c r="TU62" s="88"/>
      <c r="TV62" s="88"/>
      <c r="TW62" s="88"/>
      <c r="TX62" s="88"/>
      <c r="TY62" s="88"/>
      <c r="TZ62" s="88"/>
      <c r="UA62" s="88"/>
      <c r="UB62" s="88"/>
      <c r="UC62" s="88"/>
      <c r="UD62" s="88"/>
      <c r="UE62" s="88"/>
      <c r="UF62" s="88"/>
      <c r="UG62" s="88"/>
      <c r="UH62" s="88"/>
      <c r="UI62" s="88"/>
      <c r="UJ62" s="88"/>
      <c r="UK62" s="88"/>
      <c r="UL62" s="88"/>
      <c r="UM62" s="88"/>
      <c r="UN62" s="88"/>
      <c r="UO62" s="88"/>
      <c r="UP62" s="88"/>
      <c r="UQ62" s="88"/>
      <c r="UR62" s="88"/>
      <c r="US62" s="88"/>
      <c r="UT62" s="88"/>
      <c r="UU62" s="88"/>
      <c r="UV62" s="88"/>
      <c r="UW62" s="88"/>
      <c r="UX62" s="88"/>
      <c r="UY62" s="88"/>
      <c r="UZ62" s="88"/>
      <c r="VA62" s="88"/>
      <c r="VB62" s="88"/>
      <c r="VC62" s="88"/>
      <c r="VD62" s="88"/>
      <c r="VE62" s="88"/>
      <c r="VF62" s="88"/>
      <c r="VG62" s="88"/>
      <c r="VH62" s="88"/>
      <c r="VI62" s="88"/>
      <c r="VJ62" s="88"/>
      <c r="VK62" s="88"/>
      <c r="VL62" s="88"/>
      <c r="VM62" s="88"/>
      <c r="VN62" s="88"/>
      <c r="VO62" s="88"/>
      <c r="VP62" s="88"/>
      <c r="VQ62" s="88"/>
      <c r="VR62" s="88"/>
      <c r="VS62" s="88"/>
      <c r="VT62" s="88"/>
      <c r="VU62" s="88"/>
      <c r="VV62" s="88"/>
      <c r="VW62" s="88"/>
      <c r="VX62" s="88"/>
      <c r="VY62" s="88"/>
      <c r="VZ62" s="88"/>
      <c r="WA62" s="88"/>
      <c r="WB62" s="88"/>
      <c r="WC62" s="88"/>
      <c r="WD62" s="88"/>
      <c r="WE62" s="88"/>
      <c r="WF62" s="88"/>
      <c r="WG62" s="88"/>
      <c r="WH62" s="88"/>
      <c r="WI62" s="88"/>
      <c r="WJ62" s="88"/>
      <c r="WK62" s="88"/>
      <c r="WL62" s="88"/>
      <c r="WM62" s="88"/>
      <c r="WN62" s="88"/>
      <c r="WO62" s="88"/>
      <c r="WP62" s="88"/>
      <c r="WQ62" s="88"/>
      <c r="WR62" s="88"/>
      <c r="WS62" s="88"/>
      <c r="WT62" s="88"/>
      <c r="WU62" s="88"/>
      <c r="WV62" s="88"/>
      <c r="WW62" s="88"/>
      <c r="WX62" s="88"/>
      <c r="WY62" s="88"/>
      <c r="WZ62" s="88"/>
      <c r="XA62" s="88"/>
      <c r="XB62" s="88"/>
      <c r="XC62" s="88"/>
      <c r="XD62" s="88"/>
      <c r="XE62" s="88"/>
      <c r="XF62" s="88"/>
      <c r="XG62" s="88"/>
      <c r="XH62" s="88"/>
      <c r="XI62" s="88"/>
      <c r="XJ62" s="88"/>
      <c r="XK62" s="88"/>
      <c r="XL62" s="88"/>
      <c r="XM62" s="88"/>
      <c r="XN62" s="88"/>
      <c r="XO62" s="88"/>
      <c r="XP62" s="88"/>
      <c r="XQ62" s="88"/>
      <c r="XR62" s="88"/>
      <c r="XS62" s="88"/>
      <c r="XT62" s="88"/>
      <c r="XU62" s="88"/>
      <c r="XV62" s="88"/>
      <c r="XW62" s="88"/>
      <c r="XX62" s="88"/>
      <c r="XY62" s="88"/>
      <c r="XZ62" s="88"/>
      <c r="YA62" s="88"/>
      <c r="YB62" s="88"/>
      <c r="YC62" s="88"/>
      <c r="YD62" s="88"/>
      <c r="YE62" s="88"/>
      <c r="YF62" s="88"/>
      <c r="YG62" s="88"/>
      <c r="YH62" s="88"/>
      <c r="YI62" s="88"/>
      <c r="YJ62" s="88"/>
      <c r="YK62" s="88"/>
      <c r="YL62" s="88"/>
      <c r="YM62" s="88"/>
      <c r="YN62" s="88"/>
      <c r="YO62" s="88"/>
      <c r="YP62" s="88"/>
      <c r="YQ62" s="88"/>
      <c r="YR62" s="88"/>
      <c r="YS62" s="88"/>
      <c r="YT62" s="88"/>
      <c r="YU62" s="88"/>
      <c r="YV62" s="88"/>
      <c r="YW62" s="88"/>
      <c r="YX62" s="88"/>
      <c r="YY62" s="88"/>
      <c r="YZ62" s="88"/>
      <c r="ZA62" s="88"/>
      <c r="ZB62" s="88"/>
      <c r="ZC62" s="88"/>
      <c r="ZD62" s="88"/>
      <c r="ZE62" s="88"/>
      <c r="ZF62" s="88"/>
      <c r="ZG62" s="88"/>
      <c r="ZH62" s="88"/>
      <c r="ZI62" s="88"/>
      <c r="ZJ62" s="88"/>
      <c r="ZK62" s="88"/>
      <c r="ZL62" s="88"/>
      <c r="ZM62" s="88"/>
      <c r="ZN62" s="88"/>
      <c r="ZO62" s="88"/>
      <c r="ZP62" s="88"/>
      <c r="ZQ62" s="88"/>
      <c r="ZR62" s="88"/>
      <c r="ZS62" s="88"/>
      <c r="ZT62" s="88"/>
      <c r="ZU62" s="88"/>
      <c r="ZV62" s="88"/>
      <c r="ZW62" s="88"/>
      <c r="ZX62" s="88"/>
      <c r="ZY62" s="88"/>
      <c r="ZZ62" s="88"/>
      <c r="AAA62" s="88"/>
      <c r="AAB62" s="88"/>
      <c r="AAC62" s="88"/>
      <c r="AAD62" s="88"/>
      <c r="AAE62" s="88"/>
      <c r="AAF62" s="88"/>
      <c r="AAG62" s="88"/>
      <c r="AAH62" s="88"/>
      <c r="AAI62" s="88"/>
      <c r="AAJ62" s="88"/>
      <c r="AAK62" s="88"/>
      <c r="AAL62" s="88"/>
      <c r="AAM62" s="88"/>
      <c r="AAN62" s="88"/>
      <c r="AAO62" s="88"/>
      <c r="AAP62" s="88"/>
      <c r="AAQ62" s="88"/>
      <c r="AAR62" s="88"/>
      <c r="AAS62" s="88"/>
      <c r="AAT62" s="88"/>
      <c r="AAU62" s="88"/>
      <c r="AAV62" s="88"/>
      <c r="AAW62" s="88"/>
      <c r="AAX62" s="88"/>
      <c r="AAY62" s="88"/>
      <c r="AAZ62" s="88"/>
      <c r="ABA62" s="88"/>
      <c r="ABB62" s="88"/>
      <c r="ABC62" s="88"/>
      <c r="ABD62" s="88"/>
      <c r="ABE62" s="88"/>
      <c r="ABF62" s="88"/>
      <c r="ABG62" s="88"/>
      <c r="ABH62" s="88"/>
      <c r="ABI62" s="88"/>
      <c r="ABJ62" s="88"/>
      <c r="ABK62" s="88"/>
      <c r="ABL62" s="88"/>
      <c r="ABM62" s="88"/>
      <c r="ABN62" s="88"/>
      <c r="ABO62" s="88"/>
      <c r="ABP62" s="88"/>
      <c r="ABQ62" s="88"/>
      <c r="ABR62" s="88"/>
      <c r="ABS62" s="88"/>
      <c r="ABT62" s="88"/>
      <c r="ABU62" s="88"/>
      <c r="ABV62" s="88"/>
      <c r="ABW62" s="88"/>
      <c r="ABX62" s="88"/>
      <c r="ABY62" s="88"/>
      <c r="ABZ62" s="88"/>
      <c r="ACA62" s="88"/>
      <c r="ACB62" s="88"/>
      <c r="ACC62" s="88"/>
      <c r="ACD62" s="88"/>
      <c r="ACE62" s="88"/>
      <c r="ACF62" s="88"/>
      <c r="ACG62" s="88"/>
      <c r="ACH62" s="88"/>
      <c r="ACI62" s="88"/>
      <c r="ACJ62" s="88"/>
      <c r="ACK62" s="88"/>
      <c r="ACL62" s="88"/>
      <c r="ACM62" s="88"/>
      <c r="ACN62" s="88"/>
      <c r="ACO62" s="88"/>
      <c r="ACP62" s="88"/>
      <c r="ACQ62" s="88"/>
      <c r="ACR62" s="88"/>
      <c r="ACS62" s="88"/>
      <c r="ACT62" s="88"/>
      <c r="ACU62" s="88"/>
      <c r="ACV62" s="88"/>
      <c r="ACW62" s="88"/>
      <c r="ACX62" s="88"/>
      <c r="ACY62" s="88"/>
      <c r="ACZ62" s="88"/>
      <c r="ADA62" s="88"/>
      <c r="ADB62" s="88"/>
      <c r="ADC62" s="88"/>
      <c r="ADD62" s="88"/>
      <c r="ADE62" s="88"/>
      <c r="ADF62" s="88"/>
      <c r="ADG62" s="88"/>
      <c r="ADH62" s="88"/>
      <c r="ADI62" s="88"/>
      <c r="ADJ62" s="88"/>
      <c r="ADK62" s="88"/>
      <c r="ADL62" s="88"/>
      <c r="ADM62" s="88"/>
      <c r="ADN62" s="88"/>
      <c r="ADO62" s="88"/>
      <c r="ADP62" s="88"/>
      <c r="ADQ62" s="88"/>
      <c r="ADR62" s="88"/>
      <c r="ADS62" s="88"/>
      <c r="ADT62" s="88"/>
      <c r="ADU62" s="88"/>
      <c r="ADV62" s="88"/>
      <c r="ADW62" s="88"/>
      <c r="ADX62" s="88"/>
      <c r="ADY62" s="88"/>
      <c r="ADZ62" s="88"/>
      <c r="AEA62" s="88"/>
      <c r="AEB62" s="88"/>
      <c r="AEC62" s="88"/>
      <c r="AED62" s="88"/>
      <c r="AEE62" s="88"/>
      <c r="AEF62" s="88"/>
      <c r="AEG62" s="88"/>
      <c r="AEH62" s="88"/>
      <c r="AEI62" s="88"/>
      <c r="AEJ62" s="88"/>
      <c r="AEK62" s="88"/>
      <c r="AEL62" s="88"/>
      <c r="AEM62" s="88"/>
      <c r="AEN62" s="88"/>
      <c r="AEO62" s="88"/>
      <c r="AEP62" s="88"/>
      <c r="AEQ62" s="88"/>
      <c r="AER62" s="88"/>
      <c r="AES62" s="88"/>
      <c r="AET62" s="88"/>
      <c r="AEU62" s="88"/>
      <c r="AEV62" s="88"/>
      <c r="AEW62" s="88"/>
      <c r="AEX62" s="88"/>
      <c r="AEY62" s="88"/>
      <c r="AEZ62" s="88"/>
      <c r="AFA62" s="88"/>
      <c r="AFB62" s="88"/>
      <c r="AFC62" s="88"/>
      <c r="AFD62" s="88"/>
      <c r="AFE62" s="88"/>
      <c r="AFF62" s="88"/>
      <c r="AFG62" s="88"/>
      <c r="AFH62" s="88"/>
      <c r="AFI62" s="88"/>
      <c r="AFJ62" s="88"/>
      <c r="AFK62" s="88"/>
      <c r="AFL62" s="88"/>
      <c r="AFM62" s="88"/>
      <c r="AFN62" s="88"/>
      <c r="AFO62" s="88"/>
      <c r="AFP62" s="88"/>
      <c r="AFQ62" s="88"/>
      <c r="AFR62" s="88"/>
      <c r="AFS62" s="88"/>
      <c r="AFT62" s="88"/>
      <c r="AFU62" s="88"/>
      <c r="AFV62" s="88"/>
      <c r="AFW62" s="88"/>
      <c r="AFX62" s="88"/>
      <c r="AFY62" s="88"/>
      <c r="AFZ62" s="88"/>
      <c r="AGA62" s="88"/>
      <c r="AGB62" s="88"/>
      <c r="AGC62" s="88"/>
      <c r="AGD62" s="88"/>
      <c r="AGE62" s="88"/>
      <c r="AGF62" s="88"/>
      <c r="AGG62" s="88"/>
      <c r="AGH62" s="88"/>
      <c r="AGI62" s="88"/>
      <c r="AGJ62" s="88"/>
      <c r="AGK62" s="88"/>
      <c r="AGL62" s="88"/>
      <c r="AGM62" s="88"/>
      <c r="AGN62" s="88"/>
      <c r="AGO62" s="88"/>
      <c r="AGP62" s="88"/>
      <c r="AGQ62" s="88"/>
      <c r="AGR62" s="88"/>
      <c r="AGS62" s="88"/>
      <c r="AGT62" s="88"/>
      <c r="AGU62" s="88"/>
      <c r="AGV62" s="88"/>
      <c r="AGW62" s="88"/>
      <c r="AGX62" s="88"/>
      <c r="AGY62" s="88"/>
      <c r="AGZ62" s="88"/>
      <c r="AHA62" s="88"/>
      <c r="AHB62" s="88"/>
      <c r="AHC62" s="88"/>
      <c r="AHD62" s="88"/>
      <c r="AHE62" s="88"/>
      <c r="AHF62" s="88"/>
      <c r="AHG62" s="88"/>
      <c r="AHH62" s="88"/>
      <c r="AHI62" s="88"/>
      <c r="AHJ62" s="88"/>
      <c r="AHK62" s="88"/>
      <c r="AHL62" s="88"/>
      <c r="AHM62" s="88"/>
      <c r="AHN62" s="88"/>
      <c r="AHO62" s="88"/>
      <c r="AHP62" s="88"/>
      <c r="AHQ62" s="88"/>
      <c r="AHR62" s="88"/>
      <c r="AHS62" s="88"/>
      <c r="AHT62" s="88"/>
      <c r="AHU62" s="88"/>
      <c r="AHV62" s="88"/>
      <c r="AHW62" s="88"/>
      <c r="AHX62" s="88"/>
      <c r="AHY62" s="88"/>
      <c r="AHZ62" s="88"/>
      <c r="AIA62" s="88"/>
      <c r="AIB62" s="88"/>
      <c r="AIC62" s="88"/>
      <c r="AID62" s="88"/>
      <c r="AIE62" s="88"/>
      <c r="AIF62" s="88"/>
      <c r="AIG62" s="88"/>
      <c r="AIH62" s="88"/>
      <c r="AII62" s="88"/>
      <c r="AIJ62" s="88"/>
      <c r="AIK62" s="88"/>
      <c r="AIL62" s="88"/>
      <c r="AIM62" s="88"/>
      <c r="AIN62" s="88"/>
      <c r="AIO62" s="88"/>
      <c r="AIP62" s="88"/>
      <c r="AIQ62" s="88"/>
      <c r="AIR62" s="88"/>
      <c r="AIS62" s="88"/>
      <c r="AIT62" s="88"/>
      <c r="AIU62" s="88"/>
      <c r="AIV62" s="88"/>
      <c r="AIW62" s="88"/>
      <c r="AIX62" s="88"/>
      <c r="AIY62" s="88"/>
      <c r="AIZ62" s="88"/>
      <c r="AJA62" s="88"/>
      <c r="AJB62" s="88"/>
      <c r="AJC62" s="88"/>
      <c r="AJD62" s="88"/>
      <c r="AJE62" s="88"/>
      <c r="AJF62" s="88"/>
      <c r="AJG62" s="88"/>
      <c r="AJH62" s="88"/>
      <c r="AJI62" s="88"/>
      <c r="AJJ62" s="88"/>
      <c r="AJK62" s="88"/>
      <c r="AJL62" s="88"/>
      <c r="AJM62" s="88"/>
      <c r="AJN62" s="88"/>
      <c r="AJO62" s="88"/>
      <c r="AJP62" s="88"/>
      <c r="AJQ62" s="88"/>
      <c r="AJR62" s="88"/>
      <c r="AJS62" s="88"/>
      <c r="AJT62" s="88"/>
      <c r="AJU62" s="88"/>
      <c r="AJV62" s="88"/>
      <c r="AJW62" s="88"/>
      <c r="AJX62" s="88"/>
      <c r="AJY62" s="88"/>
      <c r="AJZ62" s="88"/>
      <c r="AKA62" s="88"/>
      <c r="AKB62" s="88"/>
      <c r="AKC62" s="88"/>
      <c r="AKD62" s="88"/>
      <c r="AKE62" s="88"/>
      <c r="AKF62" s="88"/>
      <c r="AKG62" s="88"/>
      <c r="AKH62" s="88"/>
      <c r="AKI62" s="88"/>
      <c r="AKJ62" s="88"/>
      <c r="AKK62" s="88"/>
      <c r="AKL62" s="88"/>
      <c r="AKM62" s="88"/>
      <c r="AKN62" s="88"/>
      <c r="AKO62" s="88"/>
      <c r="AKP62" s="88"/>
      <c r="AKQ62" s="88"/>
      <c r="AKR62" s="88"/>
      <c r="AKS62" s="88"/>
      <c r="AKT62" s="88"/>
      <c r="AKU62" s="88"/>
      <c r="AKV62" s="88"/>
      <c r="AKW62" s="88"/>
      <c r="AKX62" s="88"/>
      <c r="AKY62" s="88"/>
      <c r="AKZ62" s="88"/>
      <c r="ALA62" s="88"/>
      <c r="ALB62" s="88"/>
      <c r="ALC62" s="88"/>
      <c r="ALD62" s="88"/>
      <c r="ALE62" s="88"/>
      <c r="ALF62" s="88"/>
      <c r="ALG62" s="88"/>
      <c r="ALH62" s="88"/>
      <c r="ALI62" s="88"/>
      <c r="ALJ62" s="88"/>
      <c r="ALK62" s="88"/>
      <c r="ALL62" s="88"/>
      <c r="ALM62" s="88"/>
      <c r="ALN62" s="88"/>
      <c r="ALO62" s="88"/>
      <c r="ALP62" s="88"/>
      <c r="ALQ62" s="88"/>
      <c r="ALR62" s="88"/>
      <c r="ALS62" s="88"/>
      <c r="ALT62" s="88"/>
      <c r="ALU62" s="88"/>
      <c r="ALV62" s="88"/>
      <c r="ALW62" s="88"/>
      <c r="ALX62" s="88"/>
      <c r="ALY62" s="88"/>
      <c r="ALZ62" s="88"/>
      <c r="AMA62" s="88"/>
      <c r="AMB62" s="88"/>
      <c r="AMC62" s="88"/>
      <c r="AMD62" s="88"/>
      <c r="AME62" s="88"/>
      <c r="AMF62" s="88"/>
      <c r="AMG62" s="88"/>
      <c r="AMH62" s="88"/>
      <c r="AMI62" s="88"/>
      <c r="AMJ62" s="88"/>
      <c r="AMK62" s="88"/>
      <c r="AML62" s="88"/>
      <c r="AMM62" s="88"/>
      <c r="AMN62" s="88"/>
      <c r="AMO62" s="88"/>
      <c r="AMP62" s="88"/>
      <c r="AMQ62" s="88"/>
      <c r="AMR62" s="88"/>
      <c r="AMS62" s="88"/>
      <c r="AMT62" s="88"/>
      <c r="AMU62" s="88"/>
      <c r="AMV62" s="88"/>
      <c r="AMW62" s="88"/>
      <c r="AMX62" s="88"/>
      <c r="AMY62" s="88"/>
      <c r="AMZ62" s="88"/>
      <c r="ANA62" s="88"/>
      <c r="ANB62" s="88"/>
      <c r="ANC62" s="88"/>
      <c r="AND62" s="88"/>
      <c r="ANE62" s="88"/>
      <c r="ANF62" s="88"/>
      <c r="ANG62" s="88"/>
      <c r="ANH62" s="88"/>
      <c r="ANI62" s="88"/>
      <c r="ANJ62" s="88"/>
      <c r="ANK62" s="88"/>
      <c r="ANL62" s="88"/>
      <c r="ANM62" s="88"/>
      <c r="ANN62" s="88"/>
      <c r="ANO62" s="88"/>
      <c r="ANP62" s="88"/>
      <c r="ANQ62" s="88"/>
      <c r="ANR62" s="88"/>
      <c r="ANS62" s="88"/>
      <c r="ANT62" s="88"/>
      <c r="ANU62" s="88"/>
      <c r="ANV62" s="88"/>
      <c r="ANW62" s="88"/>
      <c r="ANX62" s="88"/>
      <c r="ANY62" s="88"/>
      <c r="ANZ62" s="88"/>
      <c r="AOA62" s="88"/>
      <c r="AOB62" s="88"/>
      <c r="AOC62" s="88"/>
      <c r="AOD62" s="88"/>
      <c r="AOE62" s="88"/>
      <c r="AOF62" s="88"/>
      <c r="AOG62" s="88"/>
      <c r="AOH62" s="88"/>
      <c r="AOI62" s="88"/>
      <c r="AOJ62" s="88"/>
      <c r="AOK62" s="88"/>
      <c r="AOL62" s="88"/>
      <c r="AOM62" s="88"/>
      <c r="AON62" s="88"/>
      <c r="AOO62" s="88"/>
      <c r="AOP62" s="88"/>
      <c r="AOQ62" s="88"/>
      <c r="AOR62" s="88"/>
      <c r="AOS62" s="88"/>
      <c r="AOT62" s="88"/>
      <c r="AOU62" s="88"/>
      <c r="AOV62" s="88"/>
      <c r="AOW62" s="88"/>
      <c r="AOX62" s="88"/>
      <c r="AOY62" s="88"/>
      <c r="AOZ62" s="88"/>
      <c r="APA62" s="88"/>
      <c r="APB62" s="88"/>
      <c r="APC62" s="88"/>
      <c r="APD62" s="88"/>
      <c r="APE62" s="88"/>
      <c r="APF62" s="88"/>
      <c r="APG62" s="88"/>
      <c r="APH62" s="88"/>
      <c r="API62" s="88"/>
      <c r="APJ62" s="88"/>
      <c r="APK62" s="88"/>
      <c r="APL62" s="88"/>
      <c r="APM62" s="88"/>
      <c r="APN62" s="88"/>
      <c r="APO62" s="88"/>
      <c r="APP62" s="88"/>
      <c r="APQ62" s="88"/>
      <c r="APR62" s="88"/>
      <c r="APS62" s="88"/>
      <c r="APT62" s="88"/>
      <c r="APU62" s="88"/>
      <c r="APV62" s="88"/>
      <c r="APW62" s="88"/>
      <c r="APX62" s="88"/>
      <c r="APY62" s="88"/>
      <c r="APZ62" s="88"/>
      <c r="AQA62" s="88"/>
      <c r="AQB62" s="88"/>
      <c r="AQC62" s="88"/>
      <c r="AQD62" s="88"/>
      <c r="AQE62" s="88"/>
      <c r="AQF62" s="88"/>
      <c r="AQG62" s="88"/>
      <c r="AQH62" s="88"/>
      <c r="AQI62" s="88"/>
      <c r="AQJ62" s="88"/>
      <c r="AQK62" s="88"/>
      <c r="AQL62" s="88"/>
      <c r="AQM62" s="88"/>
      <c r="AQN62" s="88"/>
      <c r="AQO62" s="88"/>
      <c r="AQP62" s="88"/>
      <c r="AQQ62" s="88"/>
      <c r="AQR62" s="88"/>
      <c r="AQS62" s="88"/>
      <c r="AQT62" s="88"/>
      <c r="AQU62" s="88"/>
      <c r="AQV62" s="88"/>
      <c r="AQW62" s="88"/>
      <c r="AQX62" s="88"/>
      <c r="AQY62" s="88"/>
      <c r="AQZ62" s="88"/>
      <c r="ARA62" s="88"/>
      <c r="ARB62" s="88"/>
      <c r="ARC62" s="88"/>
      <c r="ARD62" s="88"/>
      <c r="ARE62" s="88"/>
      <c r="ARF62" s="88"/>
      <c r="ARG62" s="88"/>
      <c r="ARH62" s="88"/>
      <c r="ARI62" s="88"/>
      <c r="ARJ62" s="88"/>
      <c r="ARK62" s="88"/>
      <c r="ARL62" s="88"/>
      <c r="ARM62" s="88"/>
      <c r="ARN62" s="88"/>
      <c r="ARO62" s="88"/>
      <c r="ARP62" s="88"/>
      <c r="ARQ62" s="88"/>
      <c r="ARR62" s="88"/>
      <c r="ARS62" s="88"/>
      <c r="ART62" s="88"/>
      <c r="ARU62" s="88"/>
      <c r="ARV62" s="88"/>
      <c r="ARW62" s="88"/>
      <c r="ARX62" s="88"/>
      <c r="ARY62" s="88"/>
      <c r="ARZ62" s="88"/>
      <c r="ASA62" s="88"/>
      <c r="ASB62" s="88"/>
      <c r="ASC62" s="88"/>
      <c r="ASD62" s="88"/>
      <c r="ASE62" s="88"/>
      <c r="ASF62" s="88"/>
      <c r="ASG62" s="88"/>
      <c r="ASH62" s="88"/>
      <c r="ASI62" s="88"/>
      <c r="ASJ62" s="88"/>
      <c r="ASK62" s="88"/>
      <c r="ASL62" s="88"/>
      <c r="ASM62" s="88"/>
      <c r="ASN62" s="88"/>
      <c r="ASO62" s="88"/>
      <c r="ASP62" s="88"/>
      <c r="ASQ62" s="88"/>
      <c r="ASR62" s="88"/>
      <c r="ASS62" s="88"/>
      <c r="AST62" s="88"/>
      <c r="ASU62" s="88"/>
      <c r="ASV62" s="88"/>
      <c r="ASW62" s="88"/>
      <c r="ASX62" s="88"/>
      <c r="ASY62" s="88"/>
      <c r="ASZ62" s="88"/>
      <c r="ATA62" s="88"/>
      <c r="ATB62" s="88"/>
      <c r="ATC62" s="88"/>
      <c r="ATD62" s="88"/>
      <c r="ATE62" s="88"/>
      <c r="ATF62" s="88"/>
      <c r="ATG62" s="88"/>
      <c r="ATH62" s="88"/>
      <c r="ATI62" s="88"/>
      <c r="ATJ62" s="88"/>
      <c r="ATK62" s="88"/>
      <c r="ATL62" s="88"/>
      <c r="ATM62" s="88"/>
      <c r="ATN62" s="88"/>
      <c r="ATO62" s="88"/>
      <c r="ATP62" s="88"/>
      <c r="ATQ62" s="88"/>
      <c r="ATR62" s="88"/>
      <c r="ATS62" s="88"/>
      <c r="ATT62" s="88"/>
      <c r="ATU62" s="88"/>
      <c r="ATV62" s="88"/>
      <c r="ATW62" s="88"/>
      <c r="ATX62" s="88"/>
      <c r="ATY62" s="88"/>
      <c r="ATZ62" s="88"/>
      <c r="AUA62" s="88"/>
      <c r="AUB62" s="88"/>
      <c r="AUC62" s="88"/>
      <c r="AUD62" s="88"/>
      <c r="AUE62" s="88"/>
      <c r="AUF62" s="88"/>
      <c r="AUG62" s="88"/>
      <c r="AUH62" s="88"/>
      <c r="AUI62" s="88"/>
      <c r="AUJ62" s="88"/>
      <c r="AUK62" s="88"/>
      <c r="AUL62" s="88"/>
      <c r="AUM62" s="88"/>
      <c r="AUN62" s="88"/>
      <c r="AUO62" s="88"/>
      <c r="AUP62" s="88"/>
      <c r="AUQ62" s="88"/>
      <c r="AUR62" s="88"/>
      <c r="AUS62" s="88"/>
      <c r="AUT62" s="88"/>
      <c r="AUU62" s="88"/>
      <c r="AUV62" s="88"/>
      <c r="AUW62" s="88"/>
      <c r="AUX62" s="88"/>
      <c r="AUY62" s="88"/>
      <c r="AUZ62" s="88"/>
      <c r="AVA62" s="88"/>
      <c r="AVB62" s="88"/>
      <c r="AVC62" s="88"/>
      <c r="AVD62" s="88"/>
      <c r="AVE62" s="88"/>
      <c r="AVF62" s="88"/>
      <c r="AVG62" s="88"/>
      <c r="AVH62" s="88"/>
      <c r="AVI62" s="88"/>
      <c r="AVJ62" s="88"/>
      <c r="AVK62" s="88"/>
      <c r="AVL62" s="88"/>
      <c r="AVM62" s="88"/>
      <c r="AVN62" s="88"/>
      <c r="AVO62" s="88"/>
      <c r="AVP62" s="88"/>
      <c r="AVQ62" s="88"/>
      <c r="AVR62" s="88"/>
      <c r="AVS62" s="88"/>
      <c r="AVT62" s="88"/>
      <c r="AVU62" s="88"/>
      <c r="AVV62" s="88"/>
      <c r="AVW62" s="88"/>
      <c r="AVX62" s="88"/>
      <c r="AVY62" s="88"/>
      <c r="AVZ62" s="88"/>
      <c r="AWA62" s="88"/>
      <c r="AWB62" s="88"/>
      <c r="AWC62" s="88"/>
      <c r="AWD62" s="88"/>
      <c r="AWE62" s="88"/>
      <c r="AWF62" s="88"/>
      <c r="AWG62" s="88"/>
      <c r="AWH62" s="88"/>
      <c r="AWI62" s="88"/>
      <c r="AWJ62" s="88"/>
      <c r="AWK62" s="88"/>
      <c r="AWL62" s="88"/>
      <c r="AWM62" s="88"/>
      <c r="AWN62" s="88"/>
      <c r="AWO62" s="88"/>
      <c r="AWP62" s="88"/>
      <c r="AWQ62" s="88"/>
      <c r="AWR62" s="88"/>
      <c r="AWS62" s="88"/>
      <c r="AWT62" s="88"/>
      <c r="AWU62" s="88"/>
      <c r="AWV62" s="88"/>
      <c r="AWW62" s="88"/>
      <c r="AWX62" s="88"/>
      <c r="AWY62" s="88"/>
      <c r="AWZ62" s="88"/>
      <c r="AXA62" s="88"/>
      <c r="AXB62" s="88"/>
      <c r="AXC62" s="88"/>
      <c r="AXD62" s="88"/>
      <c r="AXE62" s="88"/>
      <c r="AXF62" s="88"/>
      <c r="AXG62" s="88"/>
      <c r="AXH62" s="88"/>
      <c r="AXI62" s="88"/>
      <c r="AXJ62" s="88"/>
      <c r="AXK62" s="88"/>
      <c r="AXL62" s="88"/>
      <c r="AXM62" s="88"/>
      <c r="AXN62" s="88"/>
      <c r="AXO62" s="88"/>
      <c r="AXP62" s="88"/>
      <c r="AXQ62" s="88"/>
      <c r="AXR62" s="88"/>
      <c r="AXS62" s="88"/>
      <c r="AXT62" s="88"/>
      <c r="AXU62" s="88"/>
      <c r="AXV62" s="88"/>
      <c r="AXW62" s="88"/>
      <c r="AXX62" s="88"/>
      <c r="AXY62" s="88"/>
      <c r="AXZ62" s="88"/>
      <c r="AYA62" s="88"/>
      <c r="AYB62" s="88"/>
      <c r="AYC62" s="88"/>
      <c r="AYD62" s="88"/>
      <c r="AYE62" s="88"/>
      <c r="AYF62" s="88"/>
      <c r="AYG62" s="88"/>
      <c r="AYH62" s="88"/>
      <c r="AYI62" s="88"/>
      <c r="AYJ62" s="88"/>
      <c r="AYK62" s="88"/>
      <c r="AYL62" s="88"/>
      <c r="AYM62" s="88"/>
      <c r="AYN62" s="88"/>
      <c r="AYO62" s="88"/>
      <c r="AYP62" s="88"/>
      <c r="AYQ62" s="88"/>
      <c r="AYR62" s="88"/>
      <c r="AYS62" s="88"/>
      <c r="AYT62" s="88"/>
      <c r="AYU62" s="88"/>
      <c r="AYV62" s="88"/>
      <c r="AYW62" s="88"/>
      <c r="AYX62" s="88"/>
      <c r="AYY62" s="88"/>
      <c r="AYZ62" s="88"/>
      <c r="AZA62" s="88"/>
      <c r="AZB62" s="88"/>
      <c r="AZC62" s="88"/>
      <c r="AZD62" s="88"/>
      <c r="AZE62" s="88"/>
      <c r="AZF62" s="88"/>
      <c r="AZG62" s="88"/>
      <c r="AZH62" s="88"/>
      <c r="AZI62" s="88"/>
      <c r="AZJ62" s="88"/>
      <c r="AZK62" s="88"/>
      <c r="AZL62" s="88"/>
      <c r="AZM62" s="88"/>
      <c r="AZN62" s="88"/>
      <c r="AZO62" s="88"/>
      <c r="AZP62" s="88"/>
      <c r="AZQ62" s="88"/>
      <c r="AZR62" s="88"/>
      <c r="AZS62" s="88"/>
      <c r="AZT62" s="88"/>
      <c r="AZU62" s="88"/>
      <c r="AZV62" s="88"/>
      <c r="AZW62" s="88"/>
      <c r="AZX62" s="88"/>
      <c r="AZY62" s="88"/>
      <c r="AZZ62" s="88"/>
      <c r="BAA62" s="88"/>
      <c r="BAB62" s="88"/>
      <c r="BAC62" s="88"/>
      <c r="BAD62" s="88"/>
      <c r="BAE62" s="88"/>
      <c r="BAF62" s="88"/>
      <c r="BAG62" s="88"/>
      <c r="BAH62" s="88"/>
      <c r="BAI62" s="88"/>
      <c r="BAJ62" s="88"/>
      <c r="BAK62" s="88"/>
      <c r="BAL62" s="88"/>
      <c r="BAM62" s="88"/>
      <c r="BAN62" s="88"/>
      <c r="BAO62" s="88"/>
      <c r="BAP62" s="88"/>
      <c r="BAQ62" s="88"/>
      <c r="BAR62" s="88"/>
      <c r="BAS62" s="88"/>
      <c r="BAT62" s="88"/>
      <c r="BAU62" s="88"/>
      <c r="BAV62" s="88"/>
      <c r="BAW62" s="88"/>
      <c r="BAX62" s="88"/>
      <c r="BAY62" s="88"/>
      <c r="BAZ62" s="88"/>
      <c r="BBA62" s="88"/>
      <c r="BBB62" s="88"/>
      <c r="BBC62" s="88"/>
      <c r="BBD62" s="88"/>
      <c r="BBE62" s="88"/>
      <c r="BBF62" s="88"/>
      <c r="BBG62" s="88"/>
      <c r="BBH62" s="88"/>
      <c r="BBI62" s="88"/>
      <c r="BBJ62" s="88"/>
      <c r="BBK62" s="88"/>
      <c r="BBL62" s="88"/>
      <c r="BBM62" s="88"/>
      <c r="BBN62" s="88"/>
      <c r="BBO62" s="88"/>
      <c r="BBP62" s="88"/>
      <c r="BBQ62" s="88"/>
      <c r="BBR62" s="88"/>
      <c r="BBS62" s="88"/>
      <c r="BBT62" s="88"/>
      <c r="BBU62" s="88"/>
      <c r="BBV62" s="88"/>
      <c r="BBW62" s="88"/>
      <c r="BBX62" s="88"/>
      <c r="BBY62" s="88"/>
      <c r="BBZ62" s="88"/>
      <c r="BCA62" s="88"/>
      <c r="BCB62" s="88"/>
      <c r="BCC62" s="88"/>
      <c r="BCD62" s="88"/>
      <c r="BCE62" s="88"/>
      <c r="BCF62" s="88"/>
      <c r="BCG62" s="88"/>
      <c r="BCH62" s="88"/>
      <c r="BCI62" s="88"/>
      <c r="BCJ62" s="88"/>
      <c r="BCK62" s="88"/>
      <c r="BCL62" s="88"/>
      <c r="BCM62" s="88"/>
      <c r="BCN62" s="88"/>
      <c r="BCO62" s="88"/>
      <c r="BCP62" s="88"/>
      <c r="BCQ62" s="88"/>
      <c r="BCR62" s="88"/>
      <c r="BCS62" s="88"/>
      <c r="BCT62" s="88"/>
      <c r="BCU62" s="88"/>
      <c r="BCV62" s="88"/>
      <c r="BCW62" s="88"/>
      <c r="BCX62" s="88"/>
      <c r="BCY62" s="88"/>
      <c r="BCZ62" s="88"/>
      <c r="BDA62" s="88"/>
      <c r="BDB62" s="88"/>
      <c r="BDC62" s="88"/>
      <c r="BDD62" s="88"/>
      <c r="BDE62" s="88"/>
      <c r="BDF62" s="88"/>
      <c r="BDG62" s="88"/>
      <c r="BDH62" s="88"/>
      <c r="BDI62" s="88"/>
      <c r="BDJ62" s="88"/>
      <c r="BDK62" s="88"/>
      <c r="BDL62" s="88"/>
      <c r="BDM62" s="88"/>
      <c r="BDN62" s="88"/>
      <c r="BDO62" s="88"/>
      <c r="BDP62" s="88"/>
      <c r="BDQ62" s="88"/>
      <c r="BDR62" s="88"/>
      <c r="BDS62" s="88"/>
      <c r="BDT62" s="88"/>
      <c r="BDU62" s="88"/>
      <c r="BDV62" s="88"/>
      <c r="BDW62" s="88"/>
      <c r="BDX62" s="88"/>
      <c r="BDY62" s="88"/>
      <c r="BDZ62" s="88"/>
      <c r="BEA62" s="88"/>
      <c r="BEB62" s="88"/>
      <c r="BEC62" s="88"/>
      <c r="BED62" s="88"/>
      <c r="BEE62" s="88"/>
      <c r="BEF62" s="88"/>
      <c r="BEG62" s="88"/>
      <c r="BEH62" s="88"/>
      <c r="BEI62" s="88"/>
      <c r="BEJ62" s="88"/>
      <c r="BEK62" s="88"/>
      <c r="BEL62" s="88"/>
      <c r="BEM62" s="88"/>
      <c r="BEN62" s="88"/>
      <c r="BEO62" s="88"/>
      <c r="BEP62" s="88"/>
      <c r="BEQ62" s="88"/>
      <c r="BER62" s="88"/>
      <c r="BES62" s="88"/>
      <c r="BET62" s="88"/>
      <c r="BEU62" s="88"/>
      <c r="BEV62" s="88"/>
      <c r="BEW62" s="88"/>
      <c r="BEX62" s="88"/>
      <c r="BEY62" s="88"/>
      <c r="BEZ62" s="88"/>
      <c r="BFA62" s="88"/>
      <c r="BFB62" s="88"/>
      <c r="BFC62" s="88"/>
      <c r="BFD62" s="88"/>
      <c r="BFE62" s="88"/>
      <c r="BFF62" s="88"/>
      <c r="BFG62" s="88"/>
      <c r="BFH62" s="88"/>
      <c r="BFI62" s="88"/>
      <c r="BFJ62" s="88"/>
      <c r="BFK62" s="88"/>
      <c r="BFL62" s="88"/>
      <c r="BFM62" s="88"/>
      <c r="BFN62" s="88"/>
      <c r="BFO62" s="88"/>
      <c r="BFP62" s="88"/>
      <c r="BFQ62" s="88"/>
      <c r="BFR62" s="88"/>
      <c r="BFS62" s="88"/>
      <c r="BFT62" s="88"/>
      <c r="BFU62" s="88"/>
      <c r="BFV62" s="88"/>
      <c r="BFW62" s="88"/>
      <c r="BFX62" s="88"/>
      <c r="BFY62" s="88"/>
      <c r="BFZ62" s="88"/>
      <c r="BGA62" s="88"/>
      <c r="BGB62" s="88"/>
      <c r="BGC62" s="88"/>
      <c r="BGD62" s="88"/>
      <c r="BGE62" s="88"/>
      <c r="BGF62" s="88"/>
      <c r="BGG62" s="88"/>
      <c r="BGH62" s="88"/>
      <c r="BGI62" s="88"/>
      <c r="BGJ62" s="88"/>
      <c r="BGK62" s="88"/>
      <c r="BGL62" s="88"/>
      <c r="BGM62" s="88"/>
      <c r="BGN62" s="88"/>
      <c r="BGO62" s="88"/>
      <c r="BGP62" s="88"/>
      <c r="BGQ62" s="88"/>
      <c r="BGR62" s="88"/>
      <c r="BGS62" s="88"/>
      <c r="BGT62" s="88"/>
      <c r="BGU62" s="88"/>
      <c r="BGV62" s="88"/>
      <c r="BGW62" s="88"/>
      <c r="BGX62" s="88"/>
      <c r="BGY62" s="88"/>
      <c r="BGZ62" s="88"/>
      <c r="BHA62" s="88"/>
      <c r="BHB62" s="88"/>
      <c r="BHC62" s="88"/>
      <c r="BHD62" s="88"/>
      <c r="BHE62" s="88"/>
      <c r="BHF62" s="88"/>
      <c r="BHG62" s="88"/>
      <c r="BHH62" s="88"/>
      <c r="BHI62" s="88"/>
      <c r="BHJ62" s="88"/>
      <c r="BHK62" s="88"/>
      <c r="BHL62" s="88"/>
      <c r="BHM62" s="88"/>
      <c r="BHN62" s="88"/>
      <c r="BHO62" s="88"/>
      <c r="BHP62" s="88"/>
      <c r="BHQ62" s="88"/>
      <c r="BHR62" s="88"/>
      <c r="BHS62" s="88"/>
      <c r="BHT62" s="88"/>
      <c r="BHU62" s="88"/>
      <c r="BHV62" s="88"/>
      <c r="BHW62" s="88"/>
      <c r="BHX62" s="88"/>
      <c r="BHY62" s="88"/>
      <c r="BHZ62" s="88"/>
      <c r="BIA62" s="88"/>
      <c r="BIB62" s="88"/>
      <c r="BIC62" s="88"/>
      <c r="BID62" s="88"/>
      <c r="BIE62" s="88"/>
      <c r="BIF62" s="88"/>
      <c r="BIG62" s="88"/>
      <c r="BIH62" s="88"/>
      <c r="BII62" s="88"/>
      <c r="BIJ62" s="88"/>
      <c r="BIK62" s="88"/>
      <c r="BIL62" s="88"/>
      <c r="BIM62" s="88"/>
      <c r="BIN62" s="88"/>
      <c r="BIO62" s="88"/>
      <c r="BIP62" s="88"/>
      <c r="BIQ62" s="88"/>
      <c r="BIR62" s="88"/>
      <c r="BIS62" s="88"/>
      <c r="BIT62" s="88"/>
      <c r="BIU62" s="88"/>
      <c r="BIV62" s="88"/>
      <c r="BIW62" s="88"/>
      <c r="BIX62" s="88"/>
      <c r="BIY62" s="88"/>
      <c r="BIZ62" s="88"/>
      <c r="BJA62" s="88"/>
      <c r="BJB62" s="88"/>
      <c r="BJC62" s="88"/>
      <c r="BJD62" s="88"/>
      <c r="BJE62" s="88"/>
      <c r="BJF62" s="88"/>
      <c r="BJG62" s="88"/>
      <c r="BJH62" s="88"/>
      <c r="BJI62" s="88"/>
      <c r="BJJ62" s="88"/>
      <c r="BJK62" s="88"/>
      <c r="BJL62" s="88"/>
      <c r="BJM62" s="88"/>
      <c r="BJN62" s="88"/>
      <c r="BJO62" s="88"/>
      <c r="BJP62" s="88"/>
      <c r="BJQ62" s="88"/>
      <c r="BJR62" s="88"/>
      <c r="BJS62" s="88"/>
      <c r="BJT62" s="88"/>
      <c r="BJU62" s="88"/>
      <c r="BJV62" s="88"/>
      <c r="BJW62" s="88"/>
      <c r="BJX62" s="88"/>
      <c r="BJY62" s="88"/>
      <c r="BJZ62" s="88"/>
      <c r="BKA62" s="88"/>
      <c r="BKB62" s="88"/>
      <c r="BKC62" s="88"/>
      <c r="BKD62" s="88"/>
      <c r="BKE62" s="88"/>
      <c r="BKF62" s="88"/>
      <c r="BKG62" s="88"/>
      <c r="BKH62" s="88"/>
      <c r="BKI62" s="88"/>
      <c r="BKJ62" s="88"/>
      <c r="BKK62" s="88"/>
      <c r="BKL62" s="88"/>
      <c r="BKM62" s="88"/>
      <c r="BKN62" s="88"/>
      <c r="BKO62" s="88"/>
      <c r="BKP62" s="88"/>
      <c r="BKQ62" s="88"/>
      <c r="BKR62" s="88"/>
      <c r="BKS62" s="88"/>
      <c r="BKT62" s="88"/>
      <c r="BKU62" s="88"/>
      <c r="BKV62" s="88"/>
      <c r="BKW62" s="88"/>
      <c r="BKX62" s="88"/>
      <c r="BKY62" s="88"/>
      <c r="BKZ62" s="88"/>
      <c r="BLA62" s="88"/>
      <c r="BLB62" s="88"/>
      <c r="BLC62" s="88"/>
      <c r="BLD62" s="88"/>
      <c r="BLE62" s="88"/>
      <c r="BLF62" s="88"/>
      <c r="BLG62" s="88"/>
      <c r="BLH62" s="88"/>
      <c r="BLI62" s="88"/>
      <c r="BLJ62" s="88"/>
      <c r="BLK62" s="88"/>
      <c r="BLL62" s="88"/>
      <c r="BLM62" s="88"/>
      <c r="BLN62" s="88"/>
      <c r="BLO62" s="88"/>
      <c r="BLP62" s="88"/>
      <c r="BLQ62" s="88"/>
      <c r="BLR62" s="88"/>
      <c r="BLS62" s="88"/>
      <c r="BLT62" s="88"/>
      <c r="BLU62" s="88"/>
      <c r="BLV62" s="88"/>
      <c r="BLW62" s="88"/>
      <c r="BLX62" s="88"/>
      <c r="BLY62" s="88"/>
      <c r="BLZ62" s="88"/>
      <c r="BMA62" s="88"/>
      <c r="BMB62" s="88"/>
      <c r="BMC62" s="88"/>
      <c r="BMD62" s="88"/>
      <c r="BME62" s="88"/>
      <c r="BMF62" s="88"/>
      <c r="BMG62" s="88"/>
      <c r="BMH62" s="88"/>
      <c r="BMI62" s="88"/>
      <c r="BMJ62" s="88"/>
      <c r="BMK62" s="88"/>
      <c r="BML62" s="88"/>
      <c r="BMM62" s="88"/>
      <c r="BMN62" s="88"/>
      <c r="BMO62" s="88"/>
      <c r="BMP62" s="88"/>
      <c r="BMQ62" s="88"/>
      <c r="BMR62" s="88"/>
      <c r="BMS62" s="88"/>
      <c r="BMT62" s="88"/>
      <c r="BMU62" s="88"/>
      <c r="BMV62" s="88"/>
      <c r="BMW62" s="88"/>
      <c r="BMX62" s="88"/>
      <c r="BMY62" s="88"/>
      <c r="BMZ62" s="88"/>
      <c r="BNA62" s="88"/>
      <c r="BNB62" s="88"/>
      <c r="BNC62" s="88"/>
      <c r="BND62" s="88"/>
      <c r="BNE62" s="88"/>
      <c r="BNF62" s="88"/>
      <c r="BNG62" s="88"/>
      <c r="BNH62" s="88"/>
      <c r="BNI62" s="88"/>
      <c r="BNJ62" s="88"/>
      <c r="BNK62" s="88"/>
      <c r="BNL62" s="88"/>
      <c r="BNM62" s="88"/>
      <c r="BNN62" s="88"/>
      <c r="BNO62" s="88"/>
      <c r="BNP62" s="88"/>
      <c r="BNQ62" s="88"/>
      <c r="BNR62" s="88"/>
      <c r="BNS62" s="88"/>
      <c r="BNT62" s="88"/>
      <c r="BNU62" s="88"/>
      <c r="BNV62" s="88"/>
      <c r="BNW62" s="88"/>
      <c r="BNX62" s="88"/>
      <c r="BNY62" s="88"/>
      <c r="BNZ62" s="88"/>
      <c r="BOA62" s="88"/>
      <c r="BOB62" s="88"/>
      <c r="BOC62" s="88"/>
      <c r="BOD62" s="88"/>
      <c r="BOE62" s="88"/>
      <c r="BOF62" s="88"/>
      <c r="BOG62" s="88"/>
      <c r="BOH62" s="88"/>
      <c r="BOI62" s="88"/>
      <c r="BOJ62" s="88"/>
      <c r="BOK62" s="88"/>
      <c r="BOL62" s="88"/>
      <c r="BOM62" s="88"/>
      <c r="BON62" s="88"/>
      <c r="BOO62" s="88"/>
      <c r="BOP62" s="88"/>
      <c r="BOQ62" s="88"/>
      <c r="BOR62" s="88"/>
      <c r="BOS62" s="88"/>
      <c r="BOT62" s="88"/>
      <c r="BOU62" s="88"/>
      <c r="BOV62" s="88"/>
      <c r="BOW62" s="88"/>
      <c r="BOX62" s="88"/>
      <c r="BOY62" s="88"/>
      <c r="BOZ62" s="88"/>
      <c r="BPA62" s="88"/>
      <c r="BPB62" s="88"/>
      <c r="BPC62" s="88"/>
      <c r="BPD62" s="88"/>
      <c r="BPE62" s="88"/>
      <c r="BPF62" s="88"/>
      <c r="BPG62" s="88"/>
      <c r="BPH62" s="88"/>
      <c r="BPI62" s="88"/>
      <c r="BPJ62" s="88"/>
      <c r="BPK62" s="88"/>
      <c r="BPL62" s="88"/>
      <c r="BPM62" s="88"/>
      <c r="BPN62" s="88"/>
      <c r="BPO62" s="88"/>
      <c r="BPP62" s="88"/>
      <c r="BPQ62" s="88"/>
      <c r="BPR62" s="88"/>
      <c r="BPS62" s="88"/>
      <c r="BPT62" s="88"/>
      <c r="BPU62" s="88"/>
      <c r="BPV62" s="88"/>
      <c r="BPW62" s="88"/>
      <c r="BPX62" s="88"/>
      <c r="BPY62" s="88"/>
      <c r="BPZ62" s="88"/>
      <c r="BQA62" s="88"/>
      <c r="BQB62" s="88"/>
      <c r="BQC62" s="88"/>
      <c r="BQD62" s="88"/>
      <c r="BQE62" s="88"/>
      <c r="BQF62" s="88"/>
      <c r="BQG62" s="88"/>
      <c r="BQH62" s="88"/>
      <c r="BQI62" s="88"/>
      <c r="BQJ62" s="88"/>
      <c r="BQK62" s="88"/>
      <c r="BQL62" s="88"/>
      <c r="BQM62" s="88"/>
      <c r="BQN62" s="88"/>
      <c r="BQO62" s="88"/>
      <c r="BQP62" s="88"/>
      <c r="BQQ62" s="88"/>
      <c r="BQR62" s="88"/>
      <c r="BQS62" s="88"/>
      <c r="BQT62" s="88"/>
      <c r="BQU62" s="88"/>
      <c r="BQV62" s="88"/>
      <c r="BQW62" s="88"/>
      <c r="BQX62" s="88"/>
      <c r="BQY62" s="88"/>
      <c r="BQZ62" s="88"/>
      <c r="BRA62" s="88"/>
      <c r="BRB62" s="88"/>
      <c r="BRC62" s="88"/>
      <c r="BRD62" s="88"/>
      <c r="BRE62" s="88"/>
      <c r="BRF62" s="88"/>
      <c r="BRG62" s="88"/>
      <c r="BRH62" s="88"/>
      <c r="BRI62" s="88"/>
      <c r="BRJ62" s="88"/>
      <c r="BRK62" s="88"/>
      <c r="BRL62" s="88"/>
      <c r="BRM62" s="88"/>
      <c r="BRN62" s="88"/>
      <c r="BRO62" s="88"/>
      <c r="BRP62" s="88"/>
      <c r="BRQ62" s="88"/>
      <c r="BRR62" s="88"/>
      <c r="BRS62" s="88"/>
      <c r="BRT62" s="88"/>
      <c r="BRU62" s="88"/>
      <c r="BRV62" s="88"/>
      <c r="BRW62" s="88"/>
      <c r="BRX62" s="88"/>
      <c r="BRY62" s="88"/>
      <c r="BRZ62" s="88"/>
      <c r="BSA62" s="88"/>
      <c r="BSB62" s="88"/>
      <c r="BSC62" s="88"/>
      <c r="BSD62" s="88"/>
      <c r="BSE62" s="88"/>
      <c r="BSF62" s="88"/>
      <c r="BSG62" s="88"/>
      <c r="BSH62" s="88"/>
      <c r="BSI62" s="88"/>
      <c r="BSJ62" s="88"/>
      <c r="BSK62" s="88"/>
      <c r="BSL62" s="88"/>
      <c r="BSM62" s="88"/>
      <c r="BSN62" s="88"/>
      <c r="BSO62" s="88"/>
      <c r="BSP62" s="88"/>
      <c r="BSQ62" s="88"/>
      <c r="BSR62" s="88"/>
      <c r="BSS62" s="88"/>
      <c r="BST62" s="88"/>
      <c r="BSU62" s="88"/>
      <c r="BSV62" s="88"/>
      <c r="BSW62" s="88"/>
      <c r="BSX62" s="88"/>
      <c r="BSY62" s="88"/>
      <c r="BSZ62" s="88"/>
      <c r="BTA62" s="88"/>
      <c r="BTB62" s="88"/>
      <c r="BTC62" s="88"/>
      <c r="BTD62" s="88"/>
      <c r="BTE62" s="88"/>
      <c r="BTF62" s="88"/>
      <c r="BTG62" s="88"/>
      <c r="BTH62" s="88"/>
      <c r="BTI62" s="88"/>
      <c r="BTJ62" s="88"/>
      <c r="BTK62" s="88"/>
      <c r="BTL62" s="88"/>
      <c r="BTM62" s="88"/>
      <c r="BTN62" s="88"/>
      <c r="BTO62" s="88"/>
      <c r="BTP62" s="88"/>
      <c r="BTQ62" s="88"/>
      <c r="BTR62" s="88"/>
      <c r="BTS62" s="88"/>
      <c r="BTT62" s="88"/>
      <c r="BTU62" s="88"/>
      <c r="BTV62" s="88"/>
      <c r="BTW62" s="88"/>
      <c r="BTX62" s="88"/>
      <c r="BTY62" s="88"/>
      <c r="BTZ62" s="88"/>
      <c r="BUA62" s="88"/>
      <c r="BUB62" s="88"/>
      <c r="BUC62" s="88"/>
      <c r="BUD62" s="88"/>
      <c r="BUE62" s="88"/>
      <c r="BUF62" s="88"/>
      <c r="BUG62" s="88"/>
      <c r="BUH62" s="88"/>
      <c r="BUI62" s="88"/>
      <c r="BUJ62" s="88"/>
      <c r="BUK62" s="88"/>
      <c r="BUL62" s="88"/>
      <c r="BUM62" s="88"/>
      <c r="BUN62" s="88"/>
      <c r="BUO62" s="88"/>
      <c r="BUP62" s="88"/>
      <c r="BUQ62" s="88"/>
      <c r="BUR62" s="88"/>
      <c r="BUS62" s="88"/>
      <c r="BUT62" s="88"/>
      <c r="BUU62" s="88"/>
      <c r="BUV62" s="88"/>
      <c r="BUW62" s="88"/>
      <c r="BUX62" s="88"/>
      <c r="BUY62" s="88"/>
      <c r="BUZ62" s="88"/>
      <c r="BVA62" s="88"/>
      <c r="BVB62" s="88"/>
      <c r="BVC62" s="88"/>
      <c r="BVD62" s="88"/>
      <c r="BVE62" s="88"/>
      <c r="BVF62" s="88"/>
      <c r="BVG62" s="88"/>
      <c r="BVH62" s="88"/>
      <c r="BVI62" s="88"/>
      <c r="BVJ62" s="88"/>
      <c r="BVK62" s="88"/>
      <c r="BVL62" s="88"/>
      <c r="BVM62" s="88"/>
      <c r="BVN62" s="88"/>
      <c r="BVO62" s="88"/>
      <c r="BVP62" s="88"/>
      <c r="BVQ62" s="88"/>
      <c r="BVR62" s="88"/>
      <c r="BVS62" s="88"/>
      <c r="BVT62" s="88"/>
      <c r="BVU62" s="88"/>
      <c r="BVV62" s="88"/>
      <c r="BVW62" s="88"/>
      <c r="BVX62" s="88"/>
      <c r="BVY62" s="88"/>
      <c r="BVZ62" s="88"/>
      <c r="BWA62" s="88"/>
      <c r="BWB62" s="88"/>
      <c r="BWC62" s="88"/>
      <c r="BWD62" s="88"/>
      <c r="BWE62" s="88"/>
      <c r="BWF62" s="88"/>
      <c r="BWG62" s="88"/>
      <c r="BWH62" s="88"/>
      <c r="BWI62" s="88"/>
      <c r="BWJ62" s="88"/>
      <c r="BWK62" s="88"/>
      <c r="BWL62" s="88"/>
      <c r="BWM62" s="88"/>
      <c r="BWN62" s="88"/>
      <c r="BWO62" s="88"/>
      <c r="BWP62" s="88"/>
      <c r="BWQ62" s="88"/>
      <c r="BWR62" s="88"/>
      <c r="BWS62" s="88"/>
      <c r="BWT62" s="88"/>
      <c r="BWU62" s="88"/>
      <c r="BWV62" s="88"/>
      <c r="BWW62" s="88"/>
      <c r="BWX62" s="88"/>
      <c r="BWY62" s="88"/>
      <c r="BWZ62" s="88"/>
      <c r="BXA62" s="88"/>
      <c r="BXB62" s="88"/>
      <c r="BXC62" s="88"/>
      <c r="BXD62" s="88"/>
      <c r="BXE62" s="88"/>
      <c r="BXF62" s="88"/>
      <c r="BXG62" s="88"/>
      <c r="BXH62" s="88"/>
      <c r="BXI62" s="88"/>
      <c r="BXJ62" s="88"/>
      <c r="BXK62" s="88"/>
      <c r="BXL62" s="88"/>
      <c r="BXM62" s="88"/>
      <c r="BXN62" s="88"/>
      <c r="BXO62" s="88"/>
      <c r="BXP62" s="88"/>
      <c r="BXQ62" s="88"/>
      <c r="BXR62" s="88"/>
      <c r="BXS62" s="88"/>
      <c r="BXT62" s="88"/>
      <c r="BXU62" s="88"/>
      <c r="BXV62" s="88"/>
      <c r="BXW62" s="88"/>
      <c r="BXX62" s="88"/>
      <c r="BXY62" s="88"/>
      <c r="BXZ62" s="88"/>
      <c r="BYA62" s="88"/>
      <c r="BYB62" s="88"/>
      <c r="BYC62" s="88"/>
      <c r="BYD62" s="88"/>
      <c r="BYE62" s="88"/>
      <c r="BYF62" s="88"/>
      <c r="BYG62" s="88"/>
      <c r="BYH62" s="88"/>
      <c r="BYI62" s="88"/>
      <c r="BYJ62" s="88"/>
      <c r="BYK62" s="88"/>
      <c r="BYL62" s="88"/>
      <c r="BYM62" s="88"/>
      <c r="BYN62" s="88"/>
      <c r="BYO62" s="88"/>
      <c r="BYP62" s="88"/>
      <c r="BYQ62" s="88"/>
      <c r="BYR62" s="88"/>
      <c r="BYS62" s="88"/>
      <c r="BYT62" s="88"/>
      <c r="BYU62" s="88"/>
      <c r="BYV62" s="88"/>
      <c r="BYW62" s="88"/>
      <c r="BYX62" s="88"/>
      <c r="BYY62" s="88"/>
      <c r="BYZ62" s="88"/>
      <c r="BZA62" s="88"/>
      <c r="BZB62" s="88"/>
      <c r="BZC62" s="88"/>
      <c r="BZD62" s="88"/>
      <c r="BZE62" s="88"/>
      <c r="BZF62" s="88"/>
      <c r="BZG62" s="88"/>
      <c r="BZH62" s="88"/>
      <c r="BZI62" s="88"/>
      <c r="BZJ62" s="88"/>
      <c r="BZK62" s="88"/>
      <c r="BZL62" s="88"/>
      <c r="BZM62" s="88"/>
      <c r="BZN62" s="88"/>
      <c r="BZO62" s="88"/>
      <c r="BZP62" s="88"/>
      <c r="BZQ62" s="88"/>
      <c r="BZR62" s="88"/>
      <c r="BZS62" s="88"/>
      <c r="BZT62" s="88"/>
      <c r="BZU62" s="88"/>
      <c r="BZV62" s="88"/>
      <c r="BZW62" s="88"/>
      <c r="BZX62" s="88"/>
      <c r="BZY62" s="88"/>
      <c r="BZZ62" s="88"/>
      <c r="CAA62" s="88"/>
      <c r="CAB62" s="88"/>
      <c r="CAC62" s="88"/>
      <c r="CAD62" s="88"/>
      <c r="CAE62" s="88"/>
      <c r="CAF62" s="88"/>
      <c r="CAG62" s="88"/>
      <c r="CAH62" s="88"/>
      <c r="CAI62" s="88"/>
      <c r="CAJ62" s="88"/>
      <c r="CAK62" s="88"/>
      <c r="CAL62" s="88"/>
      <c r="CAM62" s="88"/>
      <c r="CAN62" s="88"/>
      <c r="CAO62" s="88"/>
      <c r="CAP62" s="88"/>
      <c r="CAQ62" s="88"/>
      <c r="CAR62" s="88"/>
      <c r="CAS62" s="88"/>
      <c r="CAT62" s="88"/>
      <c r="CAU62" s="88"/>
      <c r="CAV62" s="88"/>
      <c r="CAW62" s="88"/>
      <c r="CAX62" s="88"/>
      <c r="CAY62" s="88"/>
      <c r="CAZ62" s="88"/>
      <c r="CBA62" s="88"/>
      <c r="CBB62" s="88"/>
      <c r="CBC62" s="88"/>
      <c r="CBD62" s="88"/>
      <c r="CBE62" s="88"/>
      <c r="CBF62" s="88"/>
      <c r="CBG62" s="88"/>
      <c r="CBH62" s="88"/>
      <c r="CBI62" s="88"/>
      <c r="CBJ62" s="88"/>
      <c r="CBK62" s="88"/>
      <c r="CBL62" s="88"/>
      <c r="CBM62" s="88"/>
      <c r="CBN62" s="88"/>
      <c r="CBO62" s="88"/>
      <c r="CBP62" s="88"/>
      <c r="CBQ62" s="88"/>
      <c r="CBR62" s="88"/>
      <c r="CBS62" s="88"/>
      <c r="CBT62" s="88"/>
      <c r="CBU62" s="88"/>
      <c r="CBV62" s="88"/>
      <c r="CBW62" s="88"/>
      <c r="CBX62" s="88"/>
      <c r="CBY62" s="88"/>
      <c r="CBZ62" s="88"/>
      <c r="CCA62" s="88"/>
      <c r="CCB62" s="88"/>
      <c r="CCC62" s="88"/>
      <c r="CCD62" s="88"/>
      <c r="CCE62" s="88"/>
      <c r="CCF62" s="88"/>
      <c r="CCG62" s="88"/>
      <c r="CCH62" s="88"/>
      <c r="CCI62" s="88"/>
      <c r="CCJ62" s="88"/>
      <c r="CCK62" s="88"/>
      <c r="CCL62" s="88"/>
      <c r="CCM62" s="88"/>
      <c r="CCN62" s="88"/>
      <c r="CCO62" s="88"/>
      <c r="CCP62" s="88"/>
      <c r="CCQ62" s="88"/>
      <c r="CCR62" s="88"/>
      <c r="CCS62" s="88"/>
      <c r="CCT62" s="88"/>
      <c r="CCU62" s="88"/>
      <c r="CCV62" s="88"/>
      <c r="CCW62" s="88"/>
      <c r="CCX62" s="88"/>
      <c r="CCY62" s="88"/>
      <c r="CCZ62" s="88"/>
      <c r="CDA62" s="88"/>
      <c r="CDB62" s="88"/>
      <c r="CDC62" s="88"/>
      <c r="CDD62" s="88"/>
      <c r="CDE62" s="88"/>
      <c r="CDF62" s="88"/>
      <c r="CDG62" s="88"/>
      <c r="CDH62" s="88"/>
      <c r="CDI62" s="88"/>
      <c r="CDJ62" s="88"/>
      <c r="CDK62" s="88"/>
      <c r="CDL62" s="88"/>
      <c r="CDM62" s="88"/>
      <c r="CDN62" s="88"/>
      <c r="CDO62" s="88"/>
      <c r="CDP62" s="88"/>
      <c r="CDQ62" s="88"/>
      <c r="CDR62" s="88"/>
      <c r="CDS62" s="88"/>
      <c r="CDT62" s="88"/>
      <c r="CDU62" s="88"/>
      <c r="CDV62" s="88"/>
      <c r="CDW62" s="88"/>
      <c r="CDX62" s="88"/>
      <c r="CDY62" s="88"/>
      <c r="CDZ62" s="88"/>
      <c r="CEA62" s="88"/>
      <c r="CEB62" s="88"/>
      <c r="CEC62" s="88"/>
      <c r="CED62" s="88"/>
      <c r="CEE62" s="88"/>
      <c r="CEF62" s="88"/>
      <c r="CEG62" s="88"/>
      <c r="CEH62" s="88"/>
      <c r="CEI62" s="88"/>
      <c r="CEJ62" s="88"/>
      <c r="CEK62" s="88"/>
    </row>
    <row r="63" spans="1:2169" s="88" customFormat="1">
      <c r="A63" s="776" t="s">
        <v>424</v>
      </c>
      <c r="B63" s="777" t="s">
        <v>495</v>
      </c>
      <c r="C63" s="542" t="str">
        <f>IF('page 2'!$O$4="","",IF('page 2'!$O$4=Gestion!A63,1,0))</f>
        <v/>
      </c>
      <c r="D63" s="542" t="str">
        <f>IF('page 2'!$O$5="","",IF('page 2'!$O$5=Gestion!A63,1,0))</f>
        <v/>
      </c>
      <c r="E63" s="542" t="str">
        <f>IF('page 2'!$O$6="","",IF('page 2'!$O$6=Gestion!A63,1,0))</f>
        <v/>
      </c>
      <c r="F63" s="542" t="str">
        <f>IF('page 2'!$O$7="","",IF('page 2'!$O$7=Gestion!A63,1,0))</f>
        <v/>
      </c>
      <c r="G63" s="542" t="str">
        <f>IF('page 2'!$O$8="","",IF('page 2'!$O$8=Gestion!A63,1,0))</f>
        <v/>
      </c>
      <c r="H63" s="542"/>
      <c r="I63" s="542" t="str">
        <f>IF('page 2'!$O$10="","",IF('page 2'!$O$10=Gestion!A63,1,0))</f>
        <v/>
      </c>
      <c r="J63" s="542" t="str">
        <f>IF('page 2'!$O$11="","",IF('page 2'!$O$11=Gestion!A63,1,0))</f>
        <v/>
      </c>
      <c r="K63" s="542" t="str">
        <f>IF('page 2'!$O$12="","",IF('page 2'!$O$12=Gestion!A63,1,0))</f>
        <v/>
      </c>
      <c r="L63" s="542" t="str">
        <f>IF('page 2'!$O$13="","",IF('page 2'!$O$13=Gestion!A63,1,0))</f>
        <v/>
      </c>
      <c r="M63" s="542" t="str">
        <f>IF('page 2'!$O$14="","",IF('page 2'!$O$14=Gestion!A63,1,0))</f>
        <v/>
      </c>
      <c r="N63" s="542" t="str">
        <f>IF('page 2'!$O$15="","",IF('page 2'!$O$15=Gestion!A63,1,0))</f>
        <v/>
      </c>
      <c r="O63" s="542" t="str">
        <f>IF('page 2'!$O$16="","",IF('page 2'!$O$16=Gestion!A63,1,0))</f>
        <v/>
      </c>
      <c r="P63" s="542" t="str">
        <f>IF('page 2'!$O$17="","",IF('page 2'!$O$17=Gestion!A63,1,0))</f>
        <v/>
      </c>
      <c r="Q63" s="542" t="str">
        <f>IF('page 2'!$O$18="","",IF('page 2'!$O$18=Gestion!A63,1,0))</f>
        <v/>
      </c>
      <c r="R63" s="542" t="str">
        <f>IF('page 2'!$O$19="","",IF('page 2'!$O$19=Gestion!A63,1,0))</f>
        <v/>
      </c>
      <c r="S63" s="542" t="str">
        <f>IF('page 2'!$O$20="","",IF('page 2'!$O$20=Gestion!A63,1,0))</f>
        <v/>
      </c>
      <c r="T63" s="542" t="str">
        <f>IF('page 2'!$O$25="","",IF('page 2'!$O$25=Gestion!A63,1,0))</f>
        <v/>
      </c>
      <c r="U63" s="542" t="str">
        <f>IF('page 2'!$O$26="","",IF('page 2'!$O$26=Gestion!A63,1,0))</f>
        <v/>
      </c>
      <c r="V63" s="542" t="str">
        <f>IF('page 2'!$O$27="","",IF('page 2'!$O$27=Gestion!A63,1,0))</f>
        <v/>
      </c>
      <c r="W63" s="724">
        <f t="shared" si="0"/>
        <v>0</v>
      </c>
      <c r="X63" s="715"/>
      <c r="Y63" s="542"/>
      <c r="Z63" s="542"/>
      <c r="AA63" s="542"/>
      <c r="AB63" s="542"/>
      <c r="AC63" s="542"/>
      <c r="AD63" s="542"/>
      <c r="AP63" s="130"/>
      <c r="AQ63" s="130"/>
      <c r="AR63" s="130"/>
      <c r="AS63" s="576"/>
      <c r="AT63" s="576"/>
      <c r="AU63" s="576"/>
      <c r="AV63" s="576"/>
      <c r="AW63" s="602"/>
      <c r="AX63" s="602"/>
      <c r="AY63" s="576"/>
      <c r="AZ63" s="576"/>
      <c r="BA63" s="576"/>
      <c r="BB63" s="576"/>
      <c r="BC63" s="576"/>
      <c r="BD63" s="602"/>
      <c r="BE63" s="602"/>
      <c r="BF63" s="602"/>
      <c r="BG63" s="602"/>
      <c r="BH63" s="602"/>
      <c r="BI63" s="602"/>
      <c r="BJ63" s="602"/>
      <c r="BK63" s="602"/>
      <c r="BL63" s="602"/>
      <c r="BM63" s="602"/>
      <c r="BN63" s="602"/>
      <c r="BO63" s="602"/>
      <c r="BP63" s="602"/>
      <c r="BQ63" s="602"/>
      <c r="BR63" s="602"/>
      <c r="BS63" s="576"/>
      <c r="BT63" s="576"/>
      <c r="BU63" s="576"/>
      <c r="BV63" s="576"/>
      <c r="BW63" s="602"/>
      <c r="BX63" s="602"/>
      <c r="BY63" s="602"/>
      <c r="BZ63" s="576"/>
      <c r="CA63" s="602"/>
      <c r="CB63" s="602"/>
      <c r="CC63" s="576"/>
      <c r="CD63" s="576"/>
      <c r="CE63" s="602"/>
      <c r="CF63" s="576"/>
      <c r="CG63" s="576"/>
      <c r="CH63" s="576"/>
      <c r="CI63" s="576"/>
      <c r="CJ63" s="576"/>
      <c r="CK63" s="602"/>
      <c r="CL63" s="602"/>
      <c r="CM63" s="576"/>
      <c r="CN63" s="602"/>
      <c r="CO63" s="602"/>
      <c r="CP63" s="602"/>
      <c r="CQ63" s="576"/>
      <c r="CR63" s="576"/>
      <c r="CS63" s="602"/>
    </row>
    <row r="64" spans="1:2169" s="51" customFormat="1">
      <c r="A64" s="91" t="s">
        <v>198</v>
      </c>
      <c r="B64" s="92" t="s">
        <v>4734</v>
      </c>
      <c r="C64" s="69" t="str">
        <f>IF('page 2'!$O$4="","",IF('page 2'!$O$4=Gestion!A64,1,0))</f>
        <v/>
      </c>
      <c r="D64" s="69" t="str">
        <f>IF('page 2'!$O$5="","",IF('page 2'!$O$5=Gestion!A64,1,0))</f>
        <v/>
      </c>
      <c r="E64" s="69" t="str">
        <f>IF('page 2'!$O$6="","",IF('page 2'!$O$6=Gestion!A64,1,0))</f>
        <v/>
      </c>
      <c r="F64" s="69" t="str">
        <f>IF('page 2'!$O$7="","",IF('page 2'!$O$7=Gestion!A64,1,0))</f>
        <v/>
      </c>
      <c r="G64" s="69" t="str">
        <f>IF('page 2'!$O$8="","",IF('page 2'!$O$8=Gestion!A64,1,0))</f>
        <v/>
      </c>
      <c r="H64" s="69"/>
      <c r="I64" s="69" t="str">
        <f>IF('page 2'!$O$10="","",IF('page 2'!$O$10=Gestion!A64,1,0))</f>
        <v/>
      </c>
      <c r="J64" s="69" t="str">
        <f>IF('page 2'!$O$11="","",IF('page 2'!$O$11=Gestion!A64,1,0))</f>
        <v/>
      </c>
      <c r="K64" s="69" t="str">
        <f>IF('page 2'!$O$12="","",IF('page 2'!$O$12=Gestion!A64,1,0))</f>
        <v/>
      </c>
      <c r="L64" s="69" t="str">
        <f>IF('page 2'!$O$13="","",IF('page 2'!$O$13=Gestion!A64,1,0))</f>
        <v/>
      </c>
      <c r="M64" s="69" t="str">
        <f>IF('page 2'!$O$14="","",IF('page 2'!$O$14=Gestion!A64,1,0))</f>
        <v/>
      </c>
      <c r="N64" s="69" t="str">
        <f>IF('page 2'!$O$15="","",IF('page 2'!$O$15=Gestion!A64,1,0))</f>
        <v/>
      </c>
      <c r="O64" s="69" t="str">
        <f>IF('page 2'!$O$16="","",IF('page 2'!$O$16=Gestion!A64,1,0))</f>
        <v/>
      </c>
      <c r="P64" s="69" t="str">
        <f>IF('page 2'!$O$17="","",IF('page 2'!$O$17=Gestion!A64,1,0))</f>
        <v/>
      </c>
      <c r="Q64" s="69" t="str">
        <f>IF('page 2'!$O$18="","",IF('page 2'!$O$18=Gestion!A64,1,0))</f>
        <v/>
      </c>
      <c r="R64" s="69" t="str">
        <f>IF('page 2'!$O$19="","",IF('page 2'!$O$19=Gestion!A64,1,0))</f>
        <v/>
      </c>
      <c r="S64" s="69" t="str">
        <f>IF('page 2'!$O$20="","",IF('page 2'!$O$20=Gestion!A64,1,0))</f>
        <v/>
      </c>
      <c r="T64" s="69" t="str">
        <f>IF('page 2'!$O$25="","",IF('page 2'!$O$25=Gestion!A64,1,0))</f>
        <v/>
      </c>
      <c r="U64" s="69" t="str">
        <f>IF('page 2'!$O$26="","",IF('page 2'!$O$26=Gestion!A64,1,0))</f>
        <v/>
      </c>
      <c r="V64" s="69" t="str">
        <f>IF('page 2'!$O$27="","",IF('page 2'!$O$27=Gestion!A64,1,0))</f>
        <v/>
      </c>
      <c r="W64" s="723">
        <f t="shared" si="0"/>
        <v>0</v>
      </c>
      <c r="X64" s="713"/>
      <c r="Y64" s="69"/>
      <c r="Z64" s="69"/>
      <c r="AA64" s="69"/>
      <c r="AB64" s="710"/>
      <c r="AC64" s="710"/>
      <c r="AD64" s="710"/>
      <c r="AE64" s="88"/>
      <c r="AP64" s="130"/>
      <c r="AQ64" s="130"/>
      <c r="AR64" s="130"/>
      <c r="AS64" s="576"/>
      <c r="AT64" s="576"/>
      <c r="AU64" s="576"/>
      <c r="AV64" s="576"/>
      <c r="AW64" s="602"/>
      <c r="AX64" s="602"/>
      <c r="AY64" s="576"/>
      <c r="AZ64" s="576"/>
      <c r="BA64" s="576"/>
      <c r="BB64" s="576"/>
      <c r="BC64" s="576"/>
      <c r="BD64" s="602"/>
      <c r="BE64" s="602"/>
      <c r="BF64" s="602"/>
      <c r="BG64" s="602"/>
      <c r="BH64" s="602"/>
      <c r="BI64" s="602"/>
      <c r="BJ64" s="602"/>
      <c r="BK64" s="602"/>
      <c r="BL64" s="602"/>
      <c r="BM64" s="602"/>
      <c r="BN64" s="602"/>
      <c r="BO64" s="602"/>
      <c r="BP64" s="602"/>
      <c r="BQ64" s="602"/>
      <c r="BR64" s="602"/>
      <c r="BS64" s="576"/>
      <c r="BT64" s="576"/>
      <c r="BU64" s="576"/>
      <c r="BV64" s="576"/>
      <c r="BW64" s="602"/>
      <c r="BX64" s="602"/>
      <c r="BY64" s="602"/>
      <c r="BZ64" s="576"/>
      <c r="CA64" s="602"/>
      <c r="CB64" s="602"/>
      <c r="CC64" s="576"/>
      <c r="CD64" s="576"/>
      <c r="CE64" s="602"/>
      <c r="CF64" s="576"/>
      <c r="CG64" s="576"/>
      <c r="CH64" s="576"/>
      <c r="CI64" s="576"/>
      <c r="CJ64" s="576"/>
      <c r="CK64" s="602"/>
      <c r="CL64" s="602"/>
      <c r="CM64" s="576"/>
      <c r="CN64" s="602"/>
      <c r="CO64" s="602"/>
      <c r="CP64" s="602"/>
      <c r="CQ64" s="576"/>
      <c r="CR64" s="576"/>
      <c r="CS64" s="602"/>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c r="HP64" s="88"/>
      <c r="HQ64" s="88"/>
      <c r="HR64" s="88"/>
      <c r="HS64" s="88"/>
      <c r="HT64" s="88"/>
      <c r="HU64" s="88"/>
      <c r="HV64" s="88"/>
      <c r="HW64" s="88"/>
      <c r="HX64" s="88"/>
      <c r="HY64" s="88"/>
      <c r="HZ64" s="88"/>
      <c r="IA64" s="88"/>
      <c r="IB64" s="88"/>
      <c r="IC64" s="88"/>
      <c r="ID64" s="88"/>
      <c r="IE64" s="88"/>
      <c r="IF64" s="88"/>
      <c r="IG64" s="88"/>
      <c r="IH64" s="88"/>
      <c r="II64" s="88"/>
      <c r="IJ64" s="88"/>
      <c r="IK64" s="88"/>
      <c r="IL64" s="88"/>
      <c r="IM64" s="88"/>
      <c r="IN64" s="88"/>
      <c r="IO64" s="88"/>
      <c r="IP64" s="88"/>
      <c r="IQ64" s="88"/>
      <c r="IR64" s="88"/>
      <c r="IS64" s="88"/>
      <c r="IT64" s="88"/>
      <c r="IU64" s="88"/>
      <c r="IV64" s="88"/>
      <c r="IW64" s="88"/>
      <c r="IX64" s="88"/>
      <c r="IY64" s="88"/>
      <c r="IZ64" s="88"/>
      <c r="JA64" s="88"/>
      <c r="JB64" s="88"/>
      <c r="JC64" s="88"/>
      <c r="JD64" s="88"/>
      <c r="JE64" s="88"/>
      <c r="JF64" s="88"/>
      <c r="JG64" s="88"/>
      <c r="JH64" s="88"/>
      <c r="JI64" s="88"/>
      <c r="JJ64" s="88"/>
      <c r="JK64" s="88"/>
      <c r="JL64" s="88"/>
      <c r="JM64" s="88"/>
      <c r="JN64" s="88"/>
      <c r="JO64" s="88"/>
      <c r="JP64" s="88"/>
      <c r="JQ64" s="88"/>
      <c r="JR64" s="88"/>
      <c r="JS64" s="88"/>
      <c r="JT64" s="88"/>
      <c r="JU64" s="88"/>
      <c r="JV64" s="88"/>
      <c r="JW64" s="88"/>
      <c r="JX64" s="88"/>
      <c r="JY64" s="88"/>
      <c r="JZ64" s="88"/>
      <c r="KA64" s="88"/>
      <c r="KB64" s="88"/>
      <c r="KC64" s="88"/>
      <c r="KD64" s="88"/>
      <c r="KE64" s="88"/>
      <c r="KF64" s="88"/>
      <c r="KG64" s="88"/>
      <c r="KH64" s="88"/>
      <c r="KI64" s="88"/>
      <c r="KJ64" s="88"/>
      <c r="KK64" s="88"/>
      <c r="KL64" s="88"/>
      <c r="KM64" s="88"/>
      <c r="KN64" s="88"/>
      <c r="KO64" s="88"/>
      <c r="KP64" s="88"/>
      <c r="KQ64" s="88"/>
      <c r="KR64" s="88"/>
      <c r="KS64" s="88"/>
      <c r="KT64" s="88"/>
      <c r="KU64" s="88"/>
      <c r="KV64" s="88"/>
      <c r="KW64" s="88"/>
      <c r="KX64" s="88"/>
      <c r="KY64" s="88"/>
      <c r="KZ64" s="88"/>
      <c r="LA64" s="88"/>
      <c r="LB64" s="88"/>
      <c r="LC64" s="88"/>
      <c r="LD64" s="88"/>
      <c r="LE64" s="88"/>
      <c r="LF64" s="88"/>
      <c r="LG64" s="88"/>
      <c r="LH64" s="88"/>
      <c r="LI64" s="88"/>
      <c r="LJ64" s="88"/>
      <c r="LK64" s="88"/>
      <c r="LL64" s="88"/>
      <c r="LM64" s="88"/>
      <c r="LN64" s="88"/>
      <c r="LO64" s="88"/>
      <c r="LP64" s="88"/>
      <c r="LQ64" s="88"/>
      <c r="LR64" s="88"/>
      <c r="LS64" s="88"/>
      <c r="LT64" s="88"/>
      <c r="LU64" s="88"/>
      <c r="LV64" s="88"/>
      <c r="LW64" s="88"/>
      <c r="LX64" s="88"/>
      <c r="LY64" s="88"/>
      <c r="LZ64" s="88"/>
      <c r="MA64" s="88"/>
      <c r="MB64" s="88"/>
      <c r="MC64" s="88"/>
      <c r="MD64" s="88"/>
      <c r="ME64" s="88"/>
      <c r="MF64" s="88"/>
      <c r="MG64" s="88"/>
      <c r="MH64" s="88"/>
      <c r="MI64" s="88"/>
      <c r="MJ64" s="88"/>
      <c r="MK64" s="88"/>
      <c r="ML64" s="88"/>
      <c r="MM64" s="88"/>
      <c r="MN64" s="88"/>
      <c r="MO64" s="88"/>
      <c r="MP64" s="88"/>
      <c r="MQ64" s="88"/>
      <c r="MR64" s="88"/>
      <c r="MS64" s="88"/>
      <c r="MT64" s="88"/>
      <c r="MU64" s="88"/>
      <c r="MV64" s="88"/>
      <c r="MW64" s="88"/>
      <c r="MX64" s="88"/>
      <c r="MY64" s="88"/>
      <c r="MZ64" s="88"/>
      <c r="NA64" s="88"/>
      <c r="NB64" s="88"/>
      <c r="NC64" s="88"/>
      <c r="ND64" s="88"/>
      <c r="NE64" s="88"/>
      <c r="NF64" s="88"/>
      <c r="NG64" s="88"/>
      <c r="NH64" s="88"/>
      <c r="NI64" s="88"/>
      <c r="NJ64" s="88"/>
      <c r="NK64" s="88"/>
      <c r="NL64" s="88"/>
      <c r="NM64" s="88"/>
      <c r="NN64" s="88"/>
      <c r="NO64" s="88"/>
      <c r="NP64" s="88"/>
      <c r="NQ64" s="88"/>
      <c r="NR64" s="88"/>
      <c r="NS64" s="88"/>
      <c r="NT64" s="88"/>
      <c r="NU64" s="88"/>
      <c r="NV64" s="88"/>
      <c r="NW64" s="88"/>
      <c r="NX64" s="88"/>
      <c r="NY64" s="88"/>
      <c r="NZ64" s="88"/>
      <c r="OA64" s="88"/>
      <c r="OB64" s="88"/>
      <c r="OC64" s="88"/>
      <c r="OD64" s="88"/>
      <c r="OE64" s="88"/>
      <c r="OF64" s="88"/>
      <c r="OG64" s="88"/>
      <c r="OH64" s="88"/>
      <c r="OI64" s="88"/>
      <c r="OJ64" s="88"/>
      <c r="OK64" s="88"/>
      <c r="OL64" s="88"/>
      <c r="OM64" s="88"/>
      <c r="ON64" s="88"/>
      <c r="OO64" s="88"/>
      <c r="OP64" s="88"/>
      <c r="OQ64" s="88"/>
      <c r="OR64" s="88"/>
      <c r="OS64" s="88"/>
      <c r="OT64" s="88"/>
      <c r="OU64" s="88"/>
      <c r="OV64" s="88"/>
      <c r="OW64" s="88"/>
      <c r="OX64" s="88"/>
      <c r="OY64" s="88"/>
      <c r="OZ64" s="88"/>
      <c r="PA64" s="88"/>
      <c r="PB64" s="88"/>
      <c r="PC64" s="88"/>
      <c r="PD64" s="88"/>
      <c r="PE64" s="88"/>
      <c r="PF64" s="88"/>
      <c r="PG64" s="88"/>
      <c r="PH64" s="88"/>
      <c r="PI64" s="88"/>
      <c r="PJ64" s="88"/>
      <c r="PK64" s="88"/>
      <c r="PL64" s="88"/>
      <c r="PM64" s="88"/>
      <c r="PN64" s="88"/>
      <c r="PO64" s="88"/>
      <c r="PP64" s="88"/>
      <c r="PQ64" s="88"/>
      <c r="PR64" s="88"/>
      <c r="PS64" s="88"/>
      <c r="PT64" s="88"/>
      <c r="PU64" s="88"/>
      <c r="PV64" s="88"/>
      <c r="PW64" s="88"/>
      <c r="PX64" s="88"/>
      <c r="PY64" s="88"/>
      <c r="PZ64" s="88"/>
      <c r="QA64" s="88"/>
      <c r="QB64" s="88"/>
      <c r="QC64" s="88"/>
      <c r="QD64" s="88"/>
      <c r="QE64" s="88"/>
      <c r="QF64" s="88"/>
      <c r="QG64" s="88"/>
      <c r="QH64" s="88"/>
      <c r="QI64" s="88"/>
      <c r="QJ64" s="88"/>
      <c r="QK64" s="88"/>
      <c r="QL64" s="88"/>
      <c r="QM64" s="88"/>
      <c r="QN64" s="88"/>
      <c r="QO64" s="88"/>
      <c r="QP64" s="88"/>
      <c r="QQ64" s="88"/>
      <c r="QR64" s="88"/>
      <c r="QS64" s="88"/>
      <c r="QT64" s="88"/>
      <c r="QU64" s="88"/>
      <c r="QV64" s="88"/>
      <c r="QW64" s="88"/>
      <c r="QX64" s="88"/>
      <c r="QY64" s="88"/>
      <c r="QZ64" s="88"/>
      <c r="RA64" s="88"/>
      <c r="RB64" s="88"/>
      <c r="RC64" s="88"/>
      <c r="RD64" s="88"/>
      <c r="RE64" s="88"/>
      <c r="RF64" s="88"/>
      <c r="RG64" s="88"/>
      <c r="RH64" s="88"/>
      <c r="RI64" s="88"/>
      <c r="RJ64" s="88"/>
      <c r="RK64" s="88"/>
      <c r="RL64" s="88"/>
      <c r="RM64" s="88"/>
      <c r="RN64" s="88"/>
      <c r="RO64" s="88"/>
      <c r="RP64" s="88"/>
      <c r="RQ64" s="88"/>
      <c r="RR64" s="88"/>
      <c r="RS64" s="88"/>
      <c r="RT64" s="88"/>
      <c r="RU64" s="88"/>
      <c r="RV64" s="88"/>
      <c r="RW64" s="88"/>
      <c r="RX64" s="88"/>
      <c r="RY64" s="88"/>
      <c r="RZ64" s="88"/>
      <c r="SA64" s="88"/>
      <c r="SB64" s="88"/>
      <c r="SC64" s="88"/>
      <c r="SD64" s="88"/>
      <c r="SE64" s="88"/>
      <c r="SF64" s="88"/>
      <c r="SG64" s="88"/>
      <c r="SH64" s="88"/>
      <c r="SI64" s="88"/>
      <c r="SJ64" s="88"/>
      <c r="SK64" s="88"/>
      <c r="SL64" s="88"/>
      <c r="SM64" s="88"/>
      <c r="SN64" s="88"/>
      <c r="SO64" s="88"/>
      <c r="SP64" s="88"/>
      <c r="SQ64" s="88"/>
      <c r="SR64" s="88"/>
      <c r="SS64" s="88"/>
      <c r="ST64" s="88"/>
      <c r="SU64" s="88"/>
      <c r="SV64" s="88"/>
      <c r="SW64" s="88"/>
      <c r="SX64" s="88"/>
      <c r="SY64" s="88"/>
      <c r="SZ64" s="88"/>
      <c r="TA64" s="88"/>
      <c r="TB64" s="88"/>
      <c r="TC64" s="88"/>
      <c r="TD64" s="88"/>
      <c r="TE64" s="88"/>
      <c r="TF64" s="88"/>
      <c r="TG64" s="88"/>
      <c r="TH64" s="88"/>
      <c r="TI64" s="88"/>
      <c r="TJ64" s="88"/>
      <c r="TK64" s="88"/>
      <c r="TL64" s="88"/>
      <c r="TM64" s="88"/>
      <c r="TN64" s="88"/>
      <c r="TO64" s="88"/>
      <c r="TP64" s="88"/>
      <c r="TQ64" s="88"/>
      <c r="TR64" s="88"/>
      <c r="TS64" s="88"/>
      <c r="TT64" s="88"/>
      <c r="TU64" s="88"/>
      <c r="TV64" s="88"/>
      <c r="TW64" s="88"/>
      <c r="TX64" s="88"/>
      <c r="TY64" s="88"/>
      <c r="TZ64" s="88"/>
      <c r="UA64" s="88"/>
      <c r="UB64" s="88"/>
      <c r="UC64" s="88"/>
      <c r="UD64" s="88"/>
      <c r="UE64" s="88"/>
      <c r="UF64" s="88"/>
      <c r="UG64" s="88"/>
      <c r="UH64" s="88"/>
      <c r="UI64" s="88"/>
      <c r="UJ64" s="88"/>
      <c r="UK64" s="88"/>
      <c r="UL64" s="88"/>
      <c r="UM64" s="88"/>
      <c r="UN64" s="88"/>
      <c r="UO64" s="88"/>
      <c r="UP64" s="88"/>
      <c r="UQ64" s="88"/>
      <c r="UR64" s="88"/>
      <c r="US64" s="88"/>
      <c r="UT64" s="88"/>
      <c r="UU64" s="88"/>
      <c r="UV64" s="88"/>
      <c r="UW64" s="88"/>
      <c r="UX64" s="88"/>
      <c r="UY64" s="88"/>
      <c r="UZ64" s="88"/>
      <c r="VA64" s="88"/>
      <c r="VB64" s="88"/>
      <c r="VC64" s="88"/>
      <c r="VD64" s="88"/>
      <c r="VE64" s="88"/>
      <c r="VF64" s="88"/>
      <c r="VG64" s="88"/>
      <c r="VH64" s="88"/>
      <c r="VI64" s="88"/>
      <c r="VJ64" s="88"/>
      <c r="VK64" s="88"/>
      <c r="VL64" s="88"/>
      <c r="VM64" s="88"/>
      <c r="VN64" s="88"/>
      <c r="VO64" s="88"/>
      <c r="VP64" s="88"/>
      <c r="VQ64" s="88"/>
      <c r="VR64" s="88"/>
      <c r="VS64" s="88"/>
      <c r="VT64" s="88"/>
      <c r="VU64" s="88"/>
      <c r="VV64" s="88"/>
      <c r="VW64" s="88"/>
      <c r="VX64" s="88"/>
      <c r="VY64" s="88"/>
      <c r="VZ64" s="88"/>
      <c r="WA64" s="88"/>
      <c r="WB64" s="88"/>
      <c r="WC64" s="88"/>
      <c r="WD64" s="88"/>
      <c r="WE64" s="88"/>
      <c r="WF64" s="88"/>
      <c r="WG64" s="88"/>
      <c r="WH64" s="88"/>
      <c r="WI64" s="88"/>
      <c r="WJ64" s="88"/>
      <c r="WK64" s="88"/>
      <c r="WL64" s="88"/>
      <c r="WM64" s="88"/>
      <c r="WN64" s="88"/>
      <c r="WO64" s="88"/>
      <c r="WP64" s="88"/>
      <c r="WQ64" s="88"/>
      <c r="WR64" s="88"/>
      <c r="WS64" s="88"/>
      <c r="WT64" s="88"/>
      <c r="WU64" s="88"/>
      <c r="WV64" s="88"/>
      <c r="WW64" s="88"/>
      <c r="WX64" s="88"/>
      <c r="WY64" s="88"/>
      <c r="WZ64" s="88"/>
      <c r="XA64" s="88"/>
      <c r="XB64" s="88"/>
      <c r="XC64" s="88"/>
      <c r="XD64" s="88"/>
      <c r="XE64" s="88"/>
      <c r="XF64" s="88"/>
      <c r="XG64" s="88"/>
      <c r="XH64" s="88"/>
      <c r="XI64" s="88"/>
      <c r="XJ64" s="88"/>
      <c r="XK64" s="88"/>
      <c r="XL64" s="88"/>
      <c r="XM64" s="88"/>
      <c r="XN64" s="88"/>
      <c r="XO64" s="88"/>
      <c r="XP64" s="88"/>
      <c r="XQ64" s="88"/>
      <c r="XR64" s="88"/>
      <c r="XS64" s="88"/>
      <c r="XT64" s="88"/>
      <c r="XU64" s="88"/>
      <c r="XV64" s="88"/>
      <c r="XW64" s="88"/>
      <c r="XX64" s="88"/>
      <c r="XY64" s="88"/>
      <c r="XZ64" s="88"/>
      <c r="YA64" s="88"/>
      <c r="YB64" s="88"/>
      <c r="YC64" s="88"/>
      <c r="YD64" s="88"/>
      <c r="YE64" s="88"/>
      <c r="YF64" s="88"/>
      <c r="YG64" s="88"/>
      <c r="YH64" s="88"/>
      <c r="YI64" s="88"/>
      <c r="YJ64" s="88"/>
      <c r="YK64" s="88"/>
      <c r="YL64" s="88"/>
      <c r="YM64" s="88"/>
      <c r="YN64" s="88"/>
      <c r="YO64" s="88"/>
      <c r="YP64" s="88"/>
      <c r="YQ64" s="88"/>
      <c r="YR64" s="88"/>
      <c r="YS64" s="88"/>
      <c r="YT64" s="88"/>
      <c r="YU64" s="88"/>
      <c r="YV64" s="88"/>
      <c r="YW64" s="88"/>
      <c r="YX64" s="88"/>
      <c r="YY64" s="88"/>
      <c r="YZ64" s="88"/>
      <c r="ZA64" s="88"/>
      <c r="ZB64" s="88"/>
      <c r="ZC64" s="88"/>
      <c r="ZD64" s="88"/>
      <c r="ZE64" s="88"/>
      <c r="ZF64" s="88"/>
      <c r="ZG64" s="88"/>
      <c r="ZH64" s="88"/>
      <c r="ZI64" s="88"/>
      <c r="ZJ64" s="88"/>
      <c r="ZK64" s="88"/>
      <c r="ZL64" s="88"/>
      <c r="ZM64" s="88"/>
      <c r="ZN64" s="88"/>
      <c r="ZO64" s="88"/>
      <c r="ZP64" s="88"/>
      <c r="ZQ64" s="88"/>
      <c r="ZR64" s="88"/>
      <c r="ZS64" s="88"/>
      <c r="ZT64" s="88"/>
      <c r="ZU64" s="88"/>
      <c r="ZV64" s="88"/>
      <c r="ZW64" s="88"/>
      <c r="ZX64" s="88"/>
      <c r="ZY64" s="88"/>
      <c r="ZZ64" s="88"/>
      <c r="AAA64" s="88"/>
      <c r="AAB64" s="88"/>
      <c r="AAC64" s="88"/>
      <c r="AAD64" s="88"/>
      <c r="AAE64" s="88"/>
      <c r="AAF64" s="88"/>
      <c r="AAG64" s="88"/>
      <c r="AAH64" s="88"/>
      <c r="AAI64" s="88"/>
      <c r="AAJ64" s="88"/>
      <c r="AAK64" s="88"/>
      <c r="AAL64" s="88"/>
      <c r="AAM64" s="88"/>
      <c r="AAN64" s="88"/>
      <c r="AAO64" s="88"/>
      <c r="AAP64" s="88"/>
      <c r="AAQ64" s="88"/>
      <c r="AAR64" s="88"/>
      <c r="AAS64" s="88"/>
      <c r="AAT64" s="88"/>
      <c r="AAU64" s="88"/>
      <c r="AAV64" s="88"/>
      <c r="AAW64" s="88"/>
      <c r="AAX64" s="88"/>
      <c r="AAY64" s="88"/>
      <c r="AAZ64" s="88"/>
      <c r="ABA64" s="88"/>
      <c r="ABB64" s="88"/>
      <c r="ABC64" s="88"/>
      <c r="ABD64" s="88"/>
      <c r="ABE64" s="88"/>
      <c r="ABF64" s="88"/>
      <c r="ABG64" s="88"/>
      <c r="ABH64" s="88"/>
      <c r="ABI64" s="88"/>
      <c r="ABJ64" s="88"/>
      <c r="ABK64" s="88"/>
      <c r="ABL64" s="88"/>
      <c r="ABM64" s="88"/>
      <c r="ABN64" s="88"/>
      <c r="ABO64" s="88"/>
      <c r="ABP64" s="88"/>
      <c r="ABQ64" s="88"/>
      <c r="ABR64" s="88"/>
      <c r="ABS64" s="88"/>
      <c r="ABT64" s="88"/>
      <c r="ABU64" s="88"/>
      <c r="ABV64" s="88"/>
      <c r="ABW64" s="88"/>
      <c r="ABX64" s="88"/>
      <c r="ABY64" s="88"/>
      <c r="ABZ64" s="88"/>
      <c r="ACA64" s="88"/>
      <c r="ACB64" s="88"/>
      <c r="ACC64" s="88"/>
      <c r="ACD64" s="88"/>
      <c r="ACE64" s="88"/>
      <c r="ACF64" s="88"/>
      <c r="ACG64" s="88"/>
      <c r="ACH64" s="88"/>
      <c r="ACI64" s="88"/>
      <c r="ACJ64" s="88"/>
      <c r="ACK64" s="88"/>
      <c r="ACL64" s="88"/>
      <c r="ACM64" s="88"/>
      <c r="ACN64" s="88"/>
      <c r="ACO64" s="88"/>
      <c r="ACP64" s="88"/>
      <c r="ACQ64" s="88"/>
      <c r="ACR64" s="88"/>
      <c r="ACS64" s="88"/>
      <c r="ACT64" s="88"/>
      <c r="ACU64" s="88"/>
      <c r="ACV64" s="88"/>
      <c r="ACW64" s="88"/>
      <c r="ACX64" s="88"/>
      <c r="ACY64" s="88"/>
      <c r="ACZ64" s="88"/>
      <c r="ADA64" s="88"/>
      <c r="ADB64" s="88"/>
      <c r="ADC64" s="88"/>
      <c r="ADD64" s="88"/>
      <c r="ADE64" s="88"/>
      <c r="ADF64" s="88"/>
      <c r="ADG64" s="88"/>
      <c r="ADH64" s="88"/>
      <c r="ADI64" s="88"/>
      <c r="ADJ64" s="88"/>
      <c r="ADK64" s="88"/>
      <c r="ADL64" s="88"/>
      <c r="ADM64" s="88"/>
      <c r="ADN64" s="88"/>
      <c r="ADO64" s="88"/>
      <c r="ADP64" s="88"/>
      <c r="ADQ64" s="88"/>
      <c r="ADR64" s="88"/>
      <c r="ADS64" s="88"/>
      <c r="ADT64" s="88"/>
      <c r="ADU64" s="88"/>
      <c r="ADV64" s="88"/>
      <c r="ADW64" s="88"/>
      <c r="ADX64" s="88"/>
      <c r="ADY64" s="88"/>
      <c r="ADZ64" s="88"/>
      <c r="AEA64" s="88"/>
      <c r="AEB64" s="88"/>
      <c r="AEC64" s="88"/>
      <c r="AED64" s="88"/>
      <c r="AEE64" s="88"/>
      <c r="AEF64" s="88"/>
      <c r="AEG64" s="88"/>
      <c r="AEH64" s="88"/>
      <c r="AEI64" s="88"/>
      <c r="AEJ64" s="88"/>
      <c r="AEK64" s="88"/>
      <c r="AEL64" s="88"/>
      <c r="AEM64" s="88"/>
      <c r="AEN64" s="88"/>
      <c r="AEO64" s="88"/>
      <c r="AEP64" s="88"/>
      <c r="AEQ64" s="88"/>
      <c r="AER64" s="88"/>
      <c r="AES64" s="88"/>
      <c r="AET64" s="88"/>
      <c r="AEU64" s="88"/>
      <c r="AEV64" s="88"/>
      <c r="AEW64" s="88"/>
      <c r="AEX64" s="88"/>
      <c r="AEY64" s="88"/>
      <c r="AEZ64" s="88"/>
      <c r="AFA64" s="88"/>
      <c r="AFB64" s="88"/>
      <c r="AFC64" s="88"/>
      <c r="AFD64" s="88"/>
      <c r="AFE64" s="88"/>
      <c r="AFF64" s="88"/>
      <c r="AFG64" s="88"/>
      <c r="AFH64" s="88"/>
      <c r="AFI64" s="88"/>
      <c r="AFJ64" s="88"/>
      <c r="AFK64" s="88"/>
      <c r="AFL64" s="88"/>
      <c r="AFM64" s="88"/>
      <c r="AFN64" s="88"/>
      <c r="AFO64" s="88"/>
      <c r="AFP64" s="88"/>
      <c r="AFQ64" s="88"/>
      <c r="AFR64" s="88"/>
      <c r="AFS64" s="88"/>
      <c r="AFT64" s="88"/>
      <c r="AFU64" s="88"/>
      <c r="AFV64" s="88"/>
      <c r="AFW64" s="88"/>
      <c r="AFX64" s="88"/>
      <c r="AFY64" s="88"/>
      <c r="AFZ64" s="88"/>
      <c r="AGA64" s="88"/>
      <c r="AGB64" s="88"/>
      <c r="AGC64" s="88"/>
      <c r="AGD64" s="88"/>
      <c r="AGE64" s="88"/>
      <c r="AGF64" s="88"/>
      <c r="AGG64" s="88"/>
      <c r="AGH64" s="88"/>
      <c r="AGI64" s="88"/>
      <c r="AGJ64" s="88"/>
      <c r="AGK64" s="88"/>
      <c r="AGL64" s="88"/>
      <c r="AGM64" s="88"/>
      <c r="AGN64" s="88"/>
      <c r="AGO64" s="88"/>
      <c r="AGP64" s="88"/>
      <c r="AGQ64" s="88"/>
      <c r="AGR64" s="88"/>
      <c r="AGS64" s="88"/>
      <c r="AGT64" s="88"/>
      <c r="AGU64" s="88"/>
      <c r="AGV64" s="88"/>
      <c r="AGW64" s="88"/>
      <c r="AGX64" s="88"/>
      <c r="AGY64" s="88"/>
      <c r="AGZ64" s="88"/>
      <c r="AHA64" s="88"/>
      <c r="AHB64" s="88"/>
      <c r="AHC64" s="88"/>
      <c r="AHD64" s="88"/>
      <c r="AHE64" s="88"/>
      <c r="AHF64" s="88"/>
      <c r="AHG64" s="88"/>
      <c r="AHH64" s="88"/>
      <c r="AHI64" s="88"/>
      <c r="AHJ64" s="88"/>
      <c r="AHK64" s="88"/>
      <c r="AHL64" s="88"/>
      <c r="AHM64" s="88"/>
      <c r="AHN64" s="88"/>
      <c r="AHO64" s="88"/>
      <c r="AHP64" s="88"/>
      <c r="AHQ64" s="88"/>
      <c r="AHR64" s="88"/>
      <c r="AHS64" s="88"/>
      <c r="AHT64" s="88"/>
      <c r="AHU64" s="88"/>
      <c r="AHV64" s="88"/>
      <c r="AHW64" s="88"/>
      <c r="AHX64" s="88"/>
      <c r="AHY64" s="88"/>
      <c r="AHZ64" s="88"/>
      <c r="AIA64" s="88"/>
      <c r="AIB64" s="88"/>
      <c r="AIC64" s="88"/>
      <c r="AID64" s="88"/>
      <c r="AIE64" s="88"/>
      <c r="AIF64" s="88"/>
      <c r="AIG64" s="88"/>
      <c r="AIH64" s="88"/>
      <c r="AII64" s="88"/>
      <c r="AIJ64" s="88"/>
      <c r="AIK64" s="88"/>
      <c r="AIL64" s="88"/>
      <c r="AIM64" s="88"/>
      <c r="AIN64" s="88"/>
      <c r="AIO64" s="88"/>
      <c r="AIP64" s="88"/>
      <c r="AIQ64" s="88"/>
      <c r="AIR64" s="88"/>
      <c r="AIS64" s="88"/>
      <c r="AIT64" s="88"/>
      <c r="AIU64" s="88"/>
      <c r="AIV64" s="88"/>
      <c r="AIW64" s="88"/>
      <c r="AIX64" s="88"/>
      <c r="AIY64" s="88"/>
      <c r="AIZ64" s="88"/>
      <c r="AJA64" s="88"/>
      <c r="AJB64" s="88"/>
      <c r="AJC64" s="88"/>
      <c r="AJD64" s="88"/>
      <c r="AJE64" s="88"/>
      <c r="AJF64" s="88"/>
      <c r="AJG64" s="88"/>
      <c r="AJH64" s="88"/>
      <c r="AJI64" s="88"/>
      <c r="AJJ64" s="88"/>
      <c r="AJK64" s="88"/>
      <c r="AJL64" s="88"/>
      <c r="AJM64" s="88"/>
      <c r="AJN64" s="88"/>
      <c r="AJO64" s="88"/>
      <c r="AJP64" s="88"/>
      <c r="AJQ64" s="88"/>
      <c r="AJR64" s="88"/>
      <c r="AJS64" s="88"/>
      <c r="AJT64" s="88"/>
      <c r="AJU64" s="88"/>
      <c r="AJV64" s="88"/>
      <c r="AJW64" s="88"/>
      <c r="AJX64" s="88"/>
      <c r="AJY64" s="88"/>
      <c r="AJZ64" s="88"/>
      <c r="AKA64" s="88"/>
      <c r="AKB64" s="88"/>
      <c r="AKC64" s="88"/>
      <c r="AKD64" s="88"/>
      <c r="AKE64" s="88"/>
      <c r="AKF64" s="88"/>
      <c r="AKG64" s="88"/>
      <c r="AKH64" s="88"/>
      <c r="AKI64" s="88"/>
      <c r="AKJ64" s="88"/>
      <c r="AKK64" s="88"/>
      <c r="AKL64" s="88"/>
      <c r="AKM64" s="88"/>
      <c r="AKN64" s="88"/>
      <c r="AKO64" s="88"/>
      <c r="AKP64" s="88"/>
      <c r="AKQ64" s="88"/>
      <c r="AKR64" s="88"/>
      <c r="AKS64" s="88"/>
      <c r="AKT64" s="88"/>
      <c r="AKU64" s="88"/>
      <c r="AKV64" s="88"/>
      <c r="AKW64" s="88"/>
      <c r="AKX64" s="88"/>
      <c r="AKY64" s="88"/>
      <c r="AKZ64" s="88"/>
      <c r="ALA64" s="88"/>
      <c r="ALB64" s="88"/>
      <c r="ALC64" s="88"/>
      <c r="ALD64" s="88"/>
      <c r="ALE64" s="88"/>
      <c r="ALF64" s="88"/>
      <c r="ALG64" s="88"/>
      <c r="ALH64" s="88"/>
      <c r="ALI64" s="88"/>
      <c r="ALJ64" s="88"/>
      <c r="ALK64" s="88"/>
      <c r="ALL64" s="88"/>
      <c r="ALM64" s="88"/>
      <c r="ALN64" s="88"/>
      <c r="ALO64" s="88"/>
      <c r="ALP64" s="88"/>
      <c r="ALQ64" s="88"/>
      <c r="ALR64" s="88"/>
      <c r="ALS64" s="88"/>
      <c r="ALT64" s="88"/>
      <c r="ALU64" s="88"/>
      <c r="ALV64" s="88"/>
      <c r="ALW64" s="88"/>
      <c r="ALX64" s="88"/>
      <c r="ALY64" s="88"/>
      <c r="ALZ64" s="88"/>
      <c r="AMA64" s="88"/>
      <c r="AMB64" s="88"/>
      <c r="AMC64" s="88"/>
      <c r="AMD64" s="88"/>
      <c r="AME64" s="88"/>
      <c r="AMF64" s="88"/>
      <c r="AMG64" s="88"/>
      <c r="AMH64" s="88"/>
      <c r="AMI64" s="88"/>
      <c r="AMJ64" s="88"/>
      <c r="AMK64" s="88"/>
      <c r="AML64" s="88"/>
      <c r="AMM64" s="88"/>
      <c r="AMN64" s="88"/>
      <c r="AMO64" s="88"/>
      <c r="AMP64" s="88"/>
      <c r="AMQ64" s="88"/>
      <c r="AMR64" s="88"/>
      <c r="AMS64" s="88"/>
      <c r="AMT64" s="88"/>
      <c r="AMU64" s="88"/>
      <c r="AMV64" s="88"/>
      <c r="AMW64" s="88"/>
      <c r="AMX64" s="88"/>
      <c r="AMY64" s="88"/>
      <c r="AMZ64" s="88"/>
      <c r="ANA64" s="88"/>
      <c r="ANB64" s="88"/>
      <c r="ANC64" s="88"/>
      <c r="AND64" s="88"/>
      <c r="ANE64" s="88"/>
      <c r="ANF64" s="88"/>
      <c r="ANG64" s="88"/>
      <c r="ANH64" s="88"/>
      <c r="ANI64" s="88"/>
      <c r="ANJ64" s="88"/>
      <c r="ANK64" s="88"/>
      <c r="ANL64" s="88"/>
      <c r="ANM64" s="88"/>
      <c r="ANN64" s="88"/>
      <c r="ANO64" s="88"/>
      <c r="ANP64" s="88"/>
      <c r="ANQ64" s="88"/>
      <c r="ANR64" s="88"/>
      <c r="ANS64" s="88"/>
      <c r="ANT64" s="88"/>
      <c r="ANU64" s="88"/>
      <c r="ANV64" s="88"/>
      <c r="ANW64" s="88"/>
      <c r="ANX64" s="88"/>
      <c r="ANY64" s="88"/>
      <c r="ANZ64" s="88"/>
      <c r="AOA64" s="88"/>
      <c r="AOB64" s="88"/>
      <c r="AOC64" s="88"/>
      <c r="AOD64" s="88"/>
      <c r="AOE64" s="88"/>
      <c r="AOF64" s="88"/>
      <c r="AOG64" s="88"/>
      <c r="AOH64" s="88"/>
      <c r="AOI64" s="88"/>
      <c r="AOJ64" s="88"/>
      <c r="AOK64" s="88"/>
      <c r="AOL64" s="88"/>
      <c r="AOM64" s="88"/>
      <c r="AON64" s="88"/>
      <c r="AOO64" s="88"/>
      <c r="AOP64" s="88"/>
      <c r="AOQ64" s="88"/>
      <c r="AOR64" s="88"/>
      <c r="AOS64" s="88"/>
      <c r="AOT64" s="88"/>
      <c r="AOU64" s="88"/>
      <c r="AOV64" s="88"/>
      <c r="AOW64" s="88"/>
      <c r="AOX64" s="88"/>
      <c r="AOY64" s="88"/>
      <c r="AOZ64" s="88"/>
      <c r="APA64" s="88"/>
      <c r="APB64" s="88"/>
      <c r="APC64" s="88"/>
      <c r="APD64" s="88"/>
      <c r="APE64" s="88"/>
      <c r="APF64" s="88"/>
      <c r="APG64" s="88"/>
      <c r="APH64" s="88"/>
      <c r="API64" s="88"/>
      <c r="APJ64" s="88"/>
      <c r="APK64" s="88"/>
      <c r="APL64" s="88"/>
      <c r="APM64" s="88"/>
      <c r="APN64" s="88"/>
      <c r="APO64" s="88"/>
      <c r="APP64" s="88"/>
      <c r="APQ64" s="88"/>
      <c r="APR64" s="88"/>
      <c r="APS64" s="88"/>
      <c r="APT64" s="88"/>
      <c r="APU64" s="88"/>
      <c r="APV64" s="88"/>
      <c r="APW64" s="88"/>
      <c r="APX64" s="88"/>
      <c r="APY64" s="88"/>
      <c r="APZ64" s="88"/>
      <c r="AQA64" s="88"/>
      <c r="AQB64" s="88"/>
      <c r="AQC64" s="88"/>
      <c r="AQD64" s="88"/>
      <c r="AQE64" s="88"/>
      <c r="AQF64" s="88"/>
      <c r="AQG64" s="88"/>
      <c r="AQH64" s="88"/>
      <c r="AQI64" s="88"/>
      <c r="AQJ64" s="88"/>
      <c r="AQK64" s="88"/>
      <c r="AQL64" s="88"/>
      <c r="AQM64" s="88"/>
      <c r="AQN64" s="88"/>
      <c r="AQO64" s="88"/>
      <c r="AQP64" s="88"/>
      <c r="AQQ64" s="88"/>
      <c r="AQR64" s="88"/>
      <c r="AQS64" s="88"/>
      <c r="AQT64" s="88"/>
      <c r="AQU64" s="88"/>
      <c r="AQV64" s="88"/>
      <c r="AQW64" s="88"/>
      <c r="AQX64" s="88"/>
      <c r="AQY64" s="88"/>
      <c r="AQZ64" s="88"/>
      <c r="ARA64" s="88"/>
      <c r="ARB64" s="88"/>
      <c r="ARC64" s="88"/>
      <c r="ARD64" s="88"/>
      <c r="ARE64" s="88"/>
      <c r="ARF64" s="88"/>
      <c r="ARG64" s="88"/>
      <c r="ARH64" s="88"/>
      <c r="ARI64" s="88"/>
      <c r="ARJ64" s="88"/>
      <c r="ARK64" s="88"/>
      <c r="ARL64" s="88"/>
      <c r="ARM64" s="88"/>
      <c r="ARN64" s="88"/>
      <c r="ARO64" s="88"/>
      <c r="ARP64" s="88"/>
      <c r="ARQ64" s="88"/>
      <c r="ARR64" s="88"/>
      <c r="ARS64" s="88"/>
      <c r="ART64" s="88"/>
      <c r="ARU64" s="88"/>
      <c r="ARV64" s="88"/>
      <c r="ARW64" s="88"/>
      <c r="ARX64" s="88"/>
      <c r="ARY64" s="88"/>
      <c r="ARZ64" s="88"/>
      <c r="ASA64" s="88"/>
      <c r="ASB64" s="88"/>
      <c r="ASC64" s="88"/>
      <c r="ASD64" s="88"/>
      <c r="ASE64" s="88"/>
      <c r="ASF64" s="88"/>
      <c r="ASG64" s="88"/>
      <c r="ASH64" s="88"/>
      <c r="ASI64" s="88"/>
      <c r="ASJ64" s="88"/>
      <c r="ASK64" s="88"/>
      <c r="ASL64" s="88"/>
      <c r="ASM64" s="88"/>
      <c r="ASN64" s="88"/>
      <c r="ASO64" s="88"/>
      <c r="ASP64" s="88"/>
      <c r="ASQ64" s="88"/>
      <c r="ASR64" s="88"/>
      <c r="ASS64" s="88"/>
      <c r="AST64" s="88"/>
      <c r="ASU64" s="88"/>
      <c r="ASV64" s="88"/>
      <c r="ASW64" s="88"/>
      <c r="ASX64" s="88"/>
      <c r="ASY64" s="88"/>
      <c r="ASZ64" s="88"/>
      <c r="ATA64" s="88"/>
      <c r="ATB64" s="88"/>
      <c r="ATC64" s="88"/>
      <c r="ATD64" s="88"/>
      <c r="ATE64" s="88"/>
      <c r="ATF64" s="88"/>
      <c r="ATG64" s="88"/>
      <c r="ATH64" s="88"/>
      <c r="ATI64" s="88"/>
      <c r="ATJ64" s="88"/>
      <c r="ATK64" s="88"/>
      <c r="ATL64" s="88"/>
      <c r="ATM64" s="88"/>
      <c r="ATN64" s="88"/>
      <c r="ATO64" s="88"/>
      <c r="ATP64" s="88"/>
      <c r="ATQ64" s="88"/>
      <c r="ATR64" s="88"/>
      <c r="ATS64" s="88"/>
      <c r="ATT64" s="88"/>
      <c r="ATU64" s="88"/>
      <c r="ATV64" s="88"/>
      <c r="ATW64" s="88"/>
      <c r="ATX64" s="88"/>
      <c r="ATY64" s="88"/>
      <c r="ATZ64" s="88"/>
      <c r="AUA64" s="88"/>
      <c r="AUB64" s="88"/>
      <c r="AUC64" s="88"/>
      <c r="AUD64" s="88"/>
      <c r="AUE64" s="88"/>
      <c r="AUF64" s="88"/>
      <c r="AUG64" s="88"/>
      <c r="AUH64" s="88"/>
      <c r="AUI64" s="88"/>
      <c r="AUJ64" s="88"/>
      <c r="AUK64" s="88"/>
      <c r="AUL64" s="88"/>
      <c r="AUM64" s="88"/>
      <c r="AUN64" s="88"/>
      <c r="AUO64" s="88"/>
      <c r="AUP64" s="88"/>
      <c r="AUQ64" s="88"/>
      <c r="AUR64" s="88"/>
      <c r="AUS64" s="88"/>
      <c r="AUT64" s="88"/>
      <c r="AUU64" s="88"/>
      <c r="AUV64" s="88"/>
      <c r="AUW64" s="88"/>
      <c r="AUX64" s="88"/>
      <c r="AUY64" s="88"/>
      <c r="AUZ64" s="88"/>
      <c r="AVA64" s="88"/>
      <c r="AVB64" s="88"/>
      <c r="AVC64" s="88"/>
      <c r="AVD64" s="88"/>
      <c r="AVE64" s="88"/>
      <c r="AVF64" s="88"/>
      <c r="AVG64" s="88"/>
      <c r="AVH64" s="88"/>
      <c r="AVI64" s="88"/>
      <c r="AVJ64" s="88"/>
      <c r="AVK64" s="88"/>
      <c r="AVL64" s="88"/>
      <c r="AVM64" s="88"/>
      <c r="AVN64" s="88"/>
      <c r="AVO64" s="88"/>
      <c r="AVP64" s="88"/>
      <c r="AVQ64" s="88"/>
      <c r="AVR64" s="88"/>
      <c r="AVS64" s="88"/>
      <c r="AVT64" s="88"/>
      <c r="AVU64" s="88"/>
      <c r="AVV64" s="88"/>
      <c r="AVW64" s="88"/>
      <c r="AVX64" s="88"/>
      <c r="AVY64" s="88"/>
      <c r="AVZ64" s="88"/>
      <c r="AWA64" s="88"/>
      <c r="AWB64" s="88"/>
      <c r="AWC64" s="88"/>
      <c r="AWD64" s="88"/>
      <c r="AWE64" s="88"/>
      <c r="AWF64" s="88"/>
      <c r="AWG64" s="88"/>
      <c r="AWH64" s="88"/>
      <c r="AWI64" s="88"/>
      <c r="AWJ64" s="88"/>
      <c r="AWK64" s="88"/>
      <c r="AWL64" s="88"/>
      <c r="AWM64" s="88"/>
      <c r="AWN64" s="88"/>
      <c r="AWO64" s="88"/>
      <c r="AWP64" s="88"/>
      <c r="AWQ64" s="88"/>
      <c r="AWR64" s="88"/>
      <c r="AWS64" s="88"/>
      <c r="AWT64" s="88"/>
      <c r="AWU64" s="88"/>
      <c r="AWV64" s="88"/>
      <c r="AWW64" s="88"/>
      <c r="AWX64" s="88"/>
      <c r="AWY64" s="88"/>
      <c r="AWZ64" s="88"/>
      <c r="AXA64" s="88"/>
      <c r="AXB64" s="88"/>
      <c r="AXC64" s="88"/>
      <c r="AXD64" s="88"/>
      <c r="AXE64" s="88"/>
      <c r="AXF64" s="88"/>
      <c r="AXG64" s="88"/>
      <c r="AXH64" s="88"/>
      <c r="AXI64" s="88"/>
      <c r="AXJ64" s="88"/>
      <c r="AXK64" s="88"/>
      <c r="AXL64" s="88"/>
      <c r="AXM64" s="88"/>
      <c r="AXN64" s="88"/>
      <c r="AXO64" s="88"/>
      <c r="AXP64" s="88"/>
      <c r="AXQ64" s="88"/>
      <c r="AXR64" s="88"/>
      <c r="AXS64" s="88"/>
      <c r="AXT64" s="88"/>
      <c r="AXU64" s="88"/>
      <c r="AXV64" s="88"/>
      <c r="AXW64" s="88"/>
      <c r="AXX64" s="88"/>
      <c r="AXY64" s="88"/>
      <c r="AXZ64" s="88"/>
      <c r="AYA64" s="88"/>
      <c r="AYB64" s="88"/>
      <c r="AYC64" s="88"/>
      <c r="AYD64" s="88"/>
      <c r="AYE64" s="88"/>
      <c r="AYF64" s="88"/>
      <c r="AYG64" s="88"/>
      <c r="AYH64" s="88"/>
      <c r="AYI64" s="88"/>
      <c r="AYJ64" s="88"/>
      <c r="AYK64" s="88"/>
      <c r="AYL64" s="88"/>
      <c r="AYM64" s="88"/>
      <c r="AYN64" s="88"/>
      <c r="AYO64" s="88"/>
      <c r="AYP64" s="88"/>
      <c r="AYQ64" s="88"/>
      <c r="AYR64" s="88"/>
      <c r="AYS64" s="88"/>
      <c r="AYT64" s="88"/>
      <c r="AYU64" s="88"/>
      <c r="AYV64" s="88"/>
      <c r="AYW64" s="88"/>
      <c r="AYX64" s="88"/>
      <c r="AYY64" s="88"/>
      <c r="AYZ64" s="88"/>
      <c r="AZA64" s="88"/>
      <c r="AZB64" s="88"/>
      <c r="AZC64" s="88"/>
      <c r="AZD64" s="88"/>
      <c r="AZE64" s="88"/>
      <c r="AZF64" s="88"/>
      <c r="AZG64" s="88"/>
      <c r="AZH64" s="88"/>
      <c r="AZI64" s="88"/>
      <c r="AZJ64" s="88"/>
      <c r="AZK64" s="88"/>
      <c r="AZL64" s="88"/>
      <c r="AZM64" s="88"/>
      <c r="AZN64" s="88"/>
      <c r="AZO64" s="88"/>
      <c r="AZP64" s="88"/>
      <c r="AZQ64" s="88"/>
      <c r="AZR64" s="88"/>
      <c r="AZS64" s="88"/>
      <c r="AZT64" s="88"/>
      <c r="AZU64" s="88"/>
      <c r="AZV64" s="88"/>
      <c r="AZW64" s="88"/>
      <c r="AZX64" s="88"/>
      <c r="AZY64" s="88"/>
      <c r="AZZ64" s="88"/>
      <c r="BAA64" s="88"/>
      <c r="BAB64" s="88"/>
      <c r="BAC64" s="88"/>
      <c r="BAD64" s="88"/>
      <c r="BAE64" s="88"/>
      <c r="BAF64" s="88"/>
      <c r="BAG64" s="88"/>
      <c r="BAH64" s="88"/>
      <c r="BAI64" s="88"/>
      <c r="BAJ64" s="88"/>
      <c r="BAK64" s="88"/>
      <c r="BAL64" s="88"/>
      <c r="BAM64" s="88"/>
      <c r="BAN64" s="88"/>
      <c r="BAO64" s="88"/>
      <c r="BAP64" s="88"/>
      <c r="BAQ64" s="88"/>
      <c r="BAR64" s="88"/>
      <c r="BAS64" s="88"/>
      <c r="BAT64" s="88"/>
      <c r="BAU64" s="88"/>
      <c r="BAV64" s="88"/>
      <c r="BAW64" s="88"/>
      <c r="BAX64" s="88"/>
      <c r="BAY64" s="88"/>
      <c r="BAZ64" s="88"/>
      <c r="BBA64" s="88"/>
      <c r="BBB64" s="88"/>
      <c r="BBC64" s="88"/>
      <c r="BBD64" s="88"/>
      <c r="BBE64" s="88"/>
      <c r="BBF64" s="88"/>
      <c r="BBG64" s="88"/>
      <c r="BBH64" s="88"/>
      <c r="BBI64" s="88"/>
      <c r="BBJ64" s="88"/>
      <c r="BBK64" s="88"/>
      <c r="BBL64" s="88"/>
      <c r="BBM64" s="88"/>
      <c r="BBN64" s="88"/>
      <c r="BBO64" s="88"/>
      <c r="BBP64" s="88"/>
      <c r="BBQ64" s="88"/>
      <c r="BBR64" s="88"/>
      <c r="BBS64" s="88"/>
      <c r="BBT64" s="88"/>
      <c r="BBU64" s="88"/>
      <c r="BBV64" s="88"/>
      <c r="BBW64" s="88"/>
      <c r="BBX64" s="88"/>
      <c r="BBY64" s="88"/>
      <c r="BBZ64" s="88"/>
      <c r="BCA64" s="88"/>
      <c r="BCB64" s="88"/>
      <c r="BCC64" s="88"/>
      <c r="BCD64" s="88"/>
      <c r="BCE64" s="88"/>
      <c r="BCF64" s="88"/>
      <c r="BCG64" s="88"/>
      <c r="BCH64" s="88"/>
      <c r="BCI64" s="88"/>
      <c r="BCJ64" s="88"/>
      <c r="BCK64" s="88"/>
      <c r="BCL64" s="88"/>
      <c r="BCM64" s="88"/>
      <c r="BCN64" s="88"/>
      <c r="BCO64" s="88"/>
      <c r="BCP64" s="88"/>
      <c r="BCQ64" s="88"/>
      <c r="BCR64" s="88"/>
      <c r="BCS64" s="88"/>
      <c r="BCT64" s="88"/>
      <c r="BCU64" s="88"/>
      <c r="BCV64" s="88"/>
      <c r="BCW64" s="88"/>
      <c r="BCX64" s="88"/>
      <c r="BCY64" s="88"/>
      <c r="BCZ64" s="88"/>
      <c r="BDA64" s="88"/>
      <c r="BDB64" s="88"/>
      <c r="BDC64" s="88"/>
      <c r="BDD64" s="88"/>
      <c r="BDE64" s="88"/>
      <c r="BDF64" s="88"/>
      <c r="BDG64" s="88"/>
      <c r="BDH64" s="88"/>
      <c r="BDI64" s="88"/>
      <c r="BDJ64" s="88"/>
      <c r="BDK64" s="88"/>
      <c r="BDL64" s="88"/>
      <c r="BDM64" s="88"/>
      <c r="BDN64" s="88"/>
      <c r="BDO64" s="88"/>
      <c r="BDP64" s="88"/>
      <c r="BDQ64" s="88"/>
      <c r="BDR64" s="88"/>
      <c r="BDS64" s="88"/>
      <c r="BDT64" s="88"/>
      <c r="BDU64" s="88"/>
      <c r="BDV64" s="88"/>
      <c r="BDW64" s="88"/>
      <c r="BDX64" s="88"/>
      <c r="BDY64" s="88"/>
      <c r="BDZ64" s="88"/>
      <c r="BEA64" s="88"/>
      <c r="BEB64" s="88"/>
      <c r="BEC64" s="88"/>
      <c r="BED64" s="88"/>
      <c r="BEE64" s="88"/>
      <c r="BEF64" s="88"/>
      <c r="BEG64" s="88"/>
      <c r="BEH64" s="88"/>
      <c r="BEI64" s="88"/>
      <c r="BEJ64" s="88"/>
      <c r="BEK64" s="88"/>
      <c r="BEL64" s="88"/>
      <c r="BEM64" s="88"/>
      <c r="BEN64" s="88"/>
      <c r="BEO64" s="88"/>
      <c r="BEP64" s="88"/>
      <c r="BEQ64" s="88"/>
      <c r="BER64" s="88"/>
      <c r="BES64" s="88"/>
      <c r="BET64" s="88"/>
      <c r="BEU64" s="88"/>
      <c r="BEV64" s="88"/>
      <c r="BEW64" s="88"/>
      <c r="BEX64" s="88"/>
      <c r="BEY64" s="88"/>
      <c r="BEZ64" s="88"/>
      <c r="BFA64" s="88"/>
      <c r="BFB64" s="88"/>
      <c r="BFC64" s="88"/>
      <c r="BFD64" s="88"/>
      <c r="BFE64" s="88"/>
      <c r="BFF64" s="88"/>
      <c r="BFG64" s="88"/>
      <c r="BFH64" s="88"/>
      <c r="BFI64" s="88"/>
      <c r="BFJ64" s="88"/>
      <c r="BFK64" s="88"/>
      <c r="BFL64" s="88"/>
      <c r="BFM64" s="88"/>
      <c r="BFN64" s="88"/>
      <c r="BFO64" s="88"/>
      <c r="BFP64" s="88"/>
      <c r="BFQ64" s="88"/>
      <c r="BFR64" s="88"/>
      <c r="BFS64" s="88"/>
      <c r="BFT64" s="88"/>
      <c r="BFU64" s="88"/>
      <c r="BFV64" s="88"/>
      <c r="BFW64" s="88"/>
      <c r="BFX64" s="88"/>
      <c r="BFY64" s="88"/>
      <c r="BFZ64" s="88"/>
      <c r="BGA64" s="88"/>
      <c r="BGB64" s="88"/>
      <c r="BGC64" s="88"/>
      <c r="BGD64" s="88"/>
      <c r="BGE64" s="88"/>
      <c r="BGF64" s="88"/>
      <c r="BGG64" s="88"/>
      <c r="BGH64" s="88"/>
      <c r="BGI64" s="88"/>
      <c r="BGJ64" s="88"/>
      <c r="BGK64" s="88"/>
      <c r="BGL64" s="88"/>
      <c r="BGM64" s="88"/>
      <c r="BGN64" s="88"/>
      <c r="BGO64" s="88"/>
      <c r="BGP64" s="88"/>
      <c r="BGQ64" s="88"/>
      <c r="BGR64" s="88"/>
      <c r="BGS64" s="88"/>
      <c r="BGT64" s="88"/>
      <c r="BGU64" s="88"/>
      <c r="BGV64" s="88"/>
      <c r="BGW64" s="88"/>
      <c r="BGX64" s="88"/>
      <c r="BGY64" s="88"/>
      <c r="BGZ64" s="88"/>
      <c r="BHA64" s="88"/>
      <c r="BHB64" s="88"/>
      <c r="BHC64" s="88"/>
      <c r="BHD64" s="88"/>
      <c r="BHE64" s="88"/>
      <c r="BHF64" s="88"/>
      <c r="BHG64" s="88"/>
      <c r="BHH64" s="88"/>
      <c r="BHI64" s="88"/>
      <c r="BHJ64" s="88"/>
      <c r="BHK64" s="88"/>
      <c r="BHL64" s="88"/>
      <c r="BHM64" s="88"/>
      <c r="BHN64" s="88"/>
      <c r="BHO64" s="88"/>
      <c r="BHP64" s="88"/>
      <c r="BHQ64" s="88"/>
      <c r="BHR64" s="88"/>
      <c r="BHS64" s="88"/>
      <c r="BHT64" s="88"/>
      <c r="BHU64" s="88"/>
      <c r="BHV64" s="88"/>
      <c r="BHW64" s="88"/>
      <c r="BHX64" s="88"/>
      <c r="BHY64" s="88"/>
      <c r="BHZ64" s="88"/>
      <c r="BIA64" s="88"/>
      <c r="BIB64" s="88"/>
      <c r="BIC64" s="88"/>
      <c r="BID64" s="88"/>
      <c r="BIE64" s="88"/>
      <c r="BIF64" s="88"/>
      <c r="BIG64" s="88"/>
      <c r="BIH64" s="88"/>
      <c r="BII64" s="88"/>
      <c r="BIJ64" s="88"/>
      <c r="BIK64" s="88"/>
      <c r="BIL64" s="88"/>
      <c r="BIM64" s="88"/>
      <c r="BIN64" s="88"/>
      <c r="BIO64" s="88"/>
      <c r="BIP64" s="88"/>
      <c r="BIQ64" s="88"/>
      <c r="BIR64" s="88"/>
      <c r="BIS64" s="88"/>
      <c r="BIT64" s="88"/>
      <c r="BIU64" s="88"/>
      <c r="BIV64" s="88"/>
      <c r="BIW64" s="88"/>
      <c r="BIX64" s="88"/>
      <c r="BIY64" s="88"/>
      <c r="BIZ64" s="88"/>
      <c r="BJA64" s="88"/>
      <c r="BJB64" s="88"/>
      <c r="BJC64" s="88"/>
      <c r="BJD64" s="88"/>
      <c r="BJE64" s="88"/>
      <c r="BJF64" s="88"/>
      <c r="BJG64" s="88"/>
      <c r="BJH64" s="88"/>
      <c r="BJI64" s="88"/>
      <c r="BJJ64" s="88"/>
      <c r="BJK64" s="88"/>
      <c r="BJL64" s="88"/>
      <c r="BJM64" s="88"/>
      <c r="BJN64" s="88"/>
      <c r="BJO64" s="88"/>
      <c r="BJP64" s="88"/>
      <c r="BJQ64" s="88"/>
      <c r="BJR64" s="88"/>
      <c r="BJS64" s="88"/>
      <c r="BJT64" s="88"/>
      <c r="BJU64" s="88"/>
      <c r="BJV64" s="88"/>
      <c r="BJW64" s="88"/>
      <c r="BJX64" s="88"/>
      <c r="BJY64" s="88"/>
      <c r="BJZ64" s="88"/>
      <c r="BKA64" s="88"/>
      <c r="BKB64" s="88"/>
      <c r="BKC64" s="88"/>
      <c r="BKD64" s="88"/>
      <c r="BKE64" s="88"/>
      <c r="BKF64" s="88"/>
      <c r="BKG64" s="88"/>
      <c r="BKH64" s="88"/>
      <c r="BKI64" s="88"/>
      <c r="BKJ64" s="88"/>
      <c r="BKK64" s="88"/>
      <c r="BKL64" s="88"/>
      <c r="BKM64" s="88"/>
      <c r="BKN64" s="88"/>
      <c r="BKO64" s="88"/>
      <c r="BKP64" s="88"/>
      <c r="BKQ64" s="88"/>
      <c r="BKR64" s="88"/>
      <c r="BKS64" s="88"/>
      <c r="BKT64" s="88"/>
      <c r="BKU64" s="88"/>
      <c r="BKV64" s="88"/>
      <c r="BKW64" s="88"/>
      <c r="BKX64" s="88"/>
      <c r="BKY64" s="88"/>
      <c r="BKZ64" s="88"/>
      <c r="BLA64" s="88"/>
      <c r="BLB64" s="88"/>
      <c r="BLC64" s="88"/>
      <c r="BLD64" s="88"/>
      <c r="BLE64" s="88"/>
      <c r="BLF64" s="88"/>
      <c r="BLG64" s="88"/>
      <c r="BLH64" s="88"/>
      <c r="BLI64" s="88"/>
      <c r="BLJ64" s="88"/>
      <c r="BLK64" s="88"/>
      <c r="BLL64" s="88"/>
      <c r="BLM64" s="88"/>
      <c r="BLN64" s="88"/>
      <c r="BLO64" s="88"/>
      <c r="BLP64" s="88"/>
      <c r="BLQ64" s="88"/>
      <c r="BLR64" s="88"/>
      <c r="BLS64" s="88"/>
      <c r="BLT64" s="88"/>
      <c r="BLU64" s="88"/>
      <c r="BLV64" s="88"/>
      <c r="BLW64" s="88"/>
      <c r="BLX64" s="88"/>
      <c r="BLY64" s="88"/>
      <c r="BLZ64" s="88"/>
      <c r="BMA64" s="88"/>
      <c r="BMB64" s="88"/>
      <c r="BMC64" s="88"/>
      <c r="BMD64" s="88"/>
      <c r="BME64" s="88"/>
      <c r="BMF64" s="88"/>
      <c r="BMG64" s="88"/>
      <c r="BMH64" s="88"/>
      <c r="BMI64" s="88"/>
      <c r="BMJ64" s="88"/>
      <c r="BMK64" s="88"/>
      <c r="BML64" s="88"/>
      <c r="BMM64" s="88"/>
      <c r="BMN64" s="88"/>
      <c r="BMO64" s="88"/>
      <c r="BMP64" s="88"/>
      <c r="BMQ64" s="88"/>
      <c r="BMR64" s="88"/>
      <c r="BMS64" s="88"/>
      <c r="BMT64" s="88"/>
      <c r="BMU64" s="88"/>
      <c r="BMV64" s="88"/>
      <c r="BMW64" s="88"/>
      <c r="BMX64" s="88"/>
      <c r="BMY64" s="88"/>
      <c r="BMZ64" s="88"/>
      <c r="BNA64" s="88"/>
      <c r="BNB64" s="88"/>
      <c r="BNC64" s="88"/>
      <c r="BND64" s="88"/>
      <c r="BNE64" s="88"/>
      <c r="BNF64" s="88"/>
      <c r="BNG64" s="88"/>
      <c r="BNH64" s="88"/>
      <c r="BNI64" s="88"/>
      <c r="BNJ64" s="88"/>
      <c r="BNK64" s="88"/>
      <c r="BNL64" s="88"/>
      <c r="BNM64" s="88"/>
      <c r="BNN64" s="88"/>
      <c r="BNO64" s="88"/>
      <c r="BNP64" s="88"/>
      <c r="BNQ64" s="88"/>
      <c r="BNR64" s="88"/>
      <c r="BNS64" s="88"/>
      <c r="BNT64" s="88"/>
      <c r="BNU64" s="88"/>
      <c r="BNV64" s="88"/>
      <c r="BNW64" s="88"/>
      <c r="BNX64" s="88"/>
      <c r="BNY64" s="88"/>
      <c r="BNZ64" s="88"/>
      <c r="BOA64" s="88"/>
      <c r="BOB64" s="88"/>
      <c r="BOC64" s="88"/>
      <c r="BOD64" s="88"/>
      <c r="BOE64" s="88"/>
      <c r="BOF64" s="88"/>
      <c r="BOG64" s="88"/>
      <c r="BOH64" s="88"/>
      <c r="BOI64" s="88"/>
      <c r="BOJ64" s="88"/>
      <c r="BOK64" s="88"/>
      <c r="BOL64" s="88"/>
      <c r="BOM64" s="88"/>
      <c r="BON64" s="88"/>
      <c r="BOO64" s="88"/>
      <c r="BOP64" s="88"/>
      <c r="BOQ64" s="88"/>
      <c r="BOR64" s="88"/>
      <c r="BOS64" s="88"/>
      <c r="BOT64" s="88"/>
      <c r="BOU64" s="88"/>
      <c r="BOV64" s="88"/>
      <c r="BOW64" s="88"/>
      <c r="BOX64" s="88"/>
      <c r="BOY64" s="88"/>
      <c r="BOZ64" s="88"/>
      <c r="BPA64" s="88"/>
      <c r="BPB64" s="88"/>
      <c r="BPC64" s="88"/>
      <c r="BPD64" s="88"/>
      <c r="BPE64" s="88"/>
      <c r="BPF64" s="88"/>
      <c r="BPG64" s="88"/>
      <c r="BPH64" s="88"/>
      <c r="BPI64" s="88"/>
      <c r="BPJ64" s="88"/>
      <c r="BPK64" s="88"/>
      <c r="BPL64" s="88"/>
      <c r="BPM64" s="88"/>
      <c r="BPN64" s="88"/>
      <c r="BPO64" s="88"/>
      <c r="BPP64" s="88"/>
      <c r="BPQ64" s="88"/>
      <c r="BPR64" s="88"/>
      <c r="BPS64" s="88"/>
      <c r="BPT64" s="88"/>
      <c r="BPU64" s="88"/>
      <c r="BPV64" s="88"/>
      <c r="BPW64" s="88"/>
      <c r="BPX64" s="88"/>
      <c r="BPY64" s="88"/>
      <c r="BPZ64" s="88"/>
      <c r="BQA64" s="88"/>
      <c r="BQB64" s="88"/>
      <c r="BQC64" s="88"/>
      <c r="BQD64" s="88"/>
      <c r="BQE64" s="88"/>
      <c r="BQF64" s="88"/>
      <c r="BQG64" s="88"/>
      <c r="BQH64" s="88"/>
      <c r="BQI64" s="88"/>
      <c r="BQJ64" s="88"/>
      <c r="BQK64" s="88"/>
      <c r="BQL64" s="88"/>
      <c r="BQM64" s="88"/>
      <c r="BQN64" s="88"/>
      <c r="BQO64" s="88"/>
      <c r="BQP64" s="88"/>
      <c r="BQQ64" s="88"/>
      <c r="BQR64" s="88"/>
      <c r="BQS64" s="88"/>
      <c r="BQT64" s="88"/>
      <c r="BQU64" s="88"/>
      <c r="BQV64" s="88"/>
      <c r="BQW64" s="88"/>
      <c r="BQX64" s="88"/>
      <c r="BQY64" s="88"/>
      <c r="BQZ64" s="88"/>
      <c r="BRA64" s="88"/>
      <c r="BRB64" s="88"/>
      <c r="BRC64" s="88"/>
      <c r="BRD64" s="88"/>
      <c r="BRE64" s="88"/>
      <c r="BRF64" s="88"/>
      <c r="BRG64" s="88"/>
      <c r="BRH64" s="88"/>
      <c r="BRI64" s="88"/>
      <c r="BRJ64" s="88"/>
      <c r="BRK64" s="88"/>
      <c r="BRL64" s="88"/>
      <c r="BRM64" s="88"/>
      <c r="BRN64" s="88"/>
      <c r="BRO64" s="88"/>
      <c r="BRP64" s="88"/>
      <c r="BRQ64" s="88"/>
      <c r="BRR64" s="88"/>
      <c r="BRS64" s="88"/>
      <c r="BRT64" s="88"/>
      <c r="BRU64" s="88"/>
      <c r="BRV64" s="88"/>
      <c r="BRW64" s="88"/>
      <c r="BRX64" s="88"/>
      <c r="BRY64" s="88"/>
      <c r="BRZ64" s="88"/>
      <c r="BSA64" s="88"/>
      <c r="BSB64" s="88"/>
      <c r="BSC64" s="88"/>
      <c r="BSD64" s="88"/>
      <c r="BSE64" s="88"/>
      <c r="BSF64" s="88"/>
      <c r="BSG64" s="88"/>
      <c r="BSH64" s="88"/>
      <c r="BSI64" s="88"/>
      <c r="BSJ64" s="88"/>
      <c r="BSK64" s="88"/>
      <c r="BSL64" s="88"/>
      <c r="BSM64" s="88"/>
      <c r="BSN64" s="88"/>
      <c r="BSO64" s="88"/>
      <c r="BSP64" s="88"/>
      <c r="BSQ64" s="88"/>
      <c r="BSR64" s="88"/>
      <c r="BSS64" s="88"/>
      <c r="BST64" s="88"/>
      <c r="BSU64" s="88"/>
      <c r="BSV64" s="88"/>
      <c r="BSW64" s="88"/>
      <c r="BSX64" s="88"/>
      <c r="BSY64" s="88"/>
      <c r="BSZ64" s="88"/>
      <c r="BTA64" s="88"/>
      <c r="BTB64" s="88"/>
      <c r="BTC64" s="88"/>
      <c r="BTD64" s="88"/>
      <c r="BTE64" s="88"/>
      <c r="BTF64" s="88"/>
      <c r="BTG64" s="88"/>
      <c r="BTH64" s="88"/>
      <c r="BTI64" s="88"/>
      <c r="BTJ64" s="88"/>
      <c r="BTK64" s="88"/>
      <c r="BTL64" s="88"/>
      <c r="BTM64" s="88"/>
      <c r="BTN64" s="88"/>
      <c r="BTO64" s="88"/>
      <c r="BTP64" s="88"/>
      <c r="BTQ64" s="88"/>
      <c r="BTR64" s="88"/>
      <c r="BTS64" s="88"/>
      <c r="BTT64" s="88"/>
      <c r="BTU64" s="88"/>
      <c r="BTV64" s="88"/>
      <c r="BTW64" s="88"/>
      <c r="BTX64" s="88"/>
      <c r="BTY64" s="88"/>
      <c r="BTZ64" s="88"/>
      <c r="BUA64" s="88"/>
      <c r="BUB64" s="88"/>
      <c r="BUC64" s="88"/>
      <c r="BUD64" s="88"/>
      <c r="BUE64" s="88"/>
      <c r="BUF64" s="88"/>
      <c r="BUG64" s="88"/>
      <c r="BUH64" s="88"/>
      <c r="BUI64" s="88"/>
      <c r="BUJ64" s="88"/>
      <c r="BUK64" s="88"/>
      <c r="BUL64" s="88"/>
      <c r="BUM64" s="88"/>
      <c r="BUN64" s="88"/>
      <c r="BUO64" s="88"/>
      <c r="BUP64" s="88"/>
      <c r="BUQ64" s="88"/>
      <c r="BUR64" s="88"/>
      <c r="BUS64" s="88"/>
      <c r="BUT64" s="88"/>
      <c r="BUU64" s="88"/>
      <c r="BUV64" s="88"/>
      <c r="BUW64" s="88"/>
      <c r="BUX64" s="88"/>
      <c r="BUY64" s="88"/>
      <c r="BUZ64" s="88"/>
      <c r="BVA64" s="88"/>
      <c r="BVB64" s="88"/>
      <c r="BVC64" s="88"/>
      <c r="BVD64" s="88"/>
      <c r="BVE64" s="88"/>
      <c r="BVF64" s="88"/>
      <c r="BVG64" s="88"/>
      <c r="BVH64" s="88"/>
      <c r="BVI64" s="88"/>
      <c r="BVJ64" s="88"/>
      <c r="BVK64" s="88"/>
      <c r="BVL64" s="88"/>
      <c r="BVM64" s="88"/>
      <c r="BVN64" s="88"/>
      <c r="BVO64" s="88"/>
      <c r="BVP64" s="88"/>
      <c r="BVQ64" s="88"/>
      <c r="BVR64" s="88"/>
      <c r="BVS64" s="88"/>
      <c r="BVT64" s="88"/>
      <c r="BVU64" s="88"/>
      <c r="BVV64" s="88"/>
      <c r="BVW64" s="88"/>
      <c r="BVX64" s="88"/>
      <c r="BVY64" s="88"/>
      <c r="BVZ64" s="88"/>
      <c r="BWA64" s="88"/>
      <c r="BWB64" s="88"/>
      <c r="BWC64" s="88"/>
      <c r="BWD64" s="88"/>
      <c r="BWE64" s="88"/>
      <c r="BWF64" s="88"/>
      <c r="BWG64" s="88"/>
      <c r="BWH64" s="88"/>
      <c r="BWI64" s="88"/>
      <c r="BWJ64" s="88"/>
      <c r="BWK64" s="88"/>
      <c r="BWL64" s="88"/>
      <c r="BWM64" s="88"/>
      <c r="BWN64" s="88"/>
      <c r="BWO64" s="88"/>
      <c r="BWP64" s="88"/>
      <c r="BWQ64" s="88"/>
      <c r="BWR64" s="88"/>
      <c r="BWS64" s="88"/>
      <c r="BWT64" s="88"/>
      <c r="BWU64" s="88"/>
      <c r="BWV64" s="88"/>
      <c r="BWW64" s="88"/>
      <c r="BWX64" s="88"/>
      <c r="BWY64" s="88"/>
      <c r="BWZ64" s="88"/>
      <c r="BXA64" s="88"/>
      <c r="BXB64" s="88"/>
      <c r="BXC64" s="88"/>
      <c r="BXD64" s="88"/>
      <c r="BXE64" s="88"/>
      <c r="BXF64" s="88"/>
      <c r="BXG64" s="88"/>
      <c r="BXH64" s="88"/>
      <c r="BXI64" s="88"/>
      <c r="BXJ64" s="88"/>
      <c r="BXK64" s="88"/>
      <c r="BXL64" s="88"/>
      <c r="BXM64" s="88"/>
      <c r="BXN64" s="88"/>
      <c r="BXO64" s="88"/>
      <c r="BXP64" s="88"/>
      <c r="BXQ64" s="88"/>
      <c r="BXR64" s="88"/>
      <c r="BXS64" s="88"/>
      <c r="BXT64" s="88"/>
      <c r="BXU64" s="88"/>
      <c r="BXV64" s="88"/>
      <c r="BXW64" s="88"/>
      <c r="BXX64" s="88"/>
      <c r="BXY64" s="88"/>
      <c r="BXZ64" s="88"/>
      <c r="BYA64" s="88"/>
      <c r="BYB64" s="88"/>
      <c r="BYC64" s="88"/>
      <c r="BYD64" s="88"/>
      <c r="BYE64" s="88"/>
      <c r="BYF64" s="88"/>
      <c r="BYG64" s="88"/>
      <c r="BYH64" s="88"/>
      <c r="BYI64" s="88"/>
      <c r="BYJ64" s="88"/>
      <c r="BYK64" s="88"/>
      <c r="BYL64" s="88"/>
      <c r="BYM64" s="88"/>
      <c r="BYN64" s="88"/>
      <c r="BYO64" s="88"/>
      <c r="BYP64" s="88"/>
      <c r="BYQ64" s="88"/>
      <c r="BYR64" s="88"/>
      <c r="BYS64" s="88"/>
      <c r="BYT64" s="88"/>
      <c r="BYU64" s="88"/>
      <c r="BYV64" s="88"/>
      <c r="BYW64" s="88"/>
      <c r="BYX64" s="88"/>
      <c r="BYY64" s="88"/>
      <c r="BYZ64" s="88"/>
      <c r="BZA64" s="88"/>
      <c r="BZB64" s="88"/>
      <c r="BZC64" s="88"/>
      <c r="BZD64" s="88"/>
      <c r="BZE64" s="88"/>
      <c r="BZF64" s="88"/>
      <c r="BZG64" s="88"/>
      <c r="BZH64" s="88"/>
      <c r="BZI64" s="88"/>
      <c r="BZJ64" s="88"/>
      <c r="BZK64" s="88"/>
      <c r="BZL64" s="88"/>
      <c r="BZM64" s="88"/>
      <c r="BZN64" s="88"/>
      <c r="BZO64" s="88"/>
      <c r="BZP64" s="88"/>
      <c r="BZQ64" s="88"/>
      <c r="BZR64" s="88"/>
      <c r="BZS64" s="88"/>
      <c r="BZT64" s="88"/>
      <c r="BZU64" s="88"/>
      <c r="BZV64" s="88"/>
      <c r="BZW64" s="88"/>
      <c r="BZX64" s="88"/>
      <c r="BZY64" s="88"/>
      <c r="BZZ64" s="88"/>
      <c r="CAA64" s="88"/>
      <c r="CAB64" s="88"/>
      <c r="CAC64" s="88"/>
      <c r="CAD64" s="88"/>
      <c r="CAE64" s="88"/>
      <c r="CAF64" s="88"/>
      <c r="CAG64" s="88"/>
      <c r="CAH64" s="88"/>
      <c r="CAI64" s="88"/>
      <c r="CAJ64" s="88"/>
      <c r="CAK64" s="88"/>
      <c r="CAL64" s="88"/>
      <c r="CAM64" s="88"/>
      <c r="CAN64" s="88"/>
      <c r="CAO64" s="88"/>
      <c r="CAP64" s="88"/>
      <c r="CAQ64" s="88"/>
      <c r="CAR64" s="88"/>
      <c r="CAS64" s="88"/>
      <c r="CAT64" s="88"/>
      <c r="CAU64" s="88"/>
      <c r="CAV64" s="88"/>
      <c r="CAW64" s="88"/>
      <c r="CAX64" s="88"/>
      <c r="CAY64" s="88"/>
      <c r="CAZ64" s="88"/>
      <c r="CBA64" s="88"/>
      <c r="CBB64" s="88"/>
      <c r="CBC64" s="88"/>
      <c r="CBD64" s="88"/>
      <c r="CBE64" s="88"/>
      <c r="CBF64" s="88"/>
      <c r="CBG64" s="88"/>
      <c r="CBH64" s="88"/>
      <c r="CBI64" s="88"/>
      <c r="CBJ64" s="88"/>
      <c r="CBK64" s="88"/>
      <c r="CBL64" s="88"/>
      <c r="CBM64" s="88"/>
      <c r="CBN64" s="88"/>
      <c r="CBO64" s="88"/>
      <c r="CBP64" s="88"/>
      <c r="CBQ64" s="88"/>
      <c r="CBR64" s="88"/>
      <c r="CBS64" s="88"/>
      <c r="CBT64" s="88"/>
      <c r="CBU64" s="88"/>
      <c r="CBV64" s="88"/>
      <c r="CBW64" s="88"/>
      <c r="CBX64" s="88"/>
      <c r="CBY64" s="88"/>
      <c r="CBZ64" s="88"/>
      <c r="CCA64" s="88"/>
      <c r="CCB64" s="88"/>
      <c r="CCC64" s="88"/>
      <c r="CCD64" s="88"/>
      <c r="CCE64" s="88"/>
      <c r="CCF64" s="88"/>
      <c r="CCG64" s="88"/>
      <c r="CCH64" s="88"/>
      <c r="CCI64" s="88"/>
      <c r="CCJ64" s="88"/>
      <c r="CCK64" s="88"/>
      <c r="CCL64" s="88"/>
      <c r="CCM64" s="88"/>
      <c r="CCN64" s="88"/>
      <c r="CCO64" s="88"/>
      <c r="CCP64" s="88"/>
      <c r="CCQ64" s="88"/>
      <c r="CCR64" s="88"/>
      <c r="CCS64" s="88"/>
      <c r="CCT64" s="88"/>
      <c r="CCU64" s="88"/>
      <c r="CCV64" s="88"/>
      <c r="CCW64" s="88"/>
      <c r="CCX64" s="88"/>
      <c r="CCY64" s="88"/>
      <c r="CCZ64" s="88"/>
      <c r="CDA64" s="88"/>
      <c r="CDB64" s="88"/>
      <c r="CDC64" s="88"/>
      <c r="CDD64" s="88"/>
      <c r="CDE64" s="88"/>
      <c r="CDF64" s="88"/>
      <c r="CDG64" s="88"/>
      <c r="CDH64" s="88"/>
      <c r="CDI64" s="88"/>
      <c r="CDJ64" s="88"/>
      <c r="CDK64" s="88"/>
      <c r="CDL64" s="88"/>
      <c r="CDM64" s="88"/>
      <c r="CDN64" s="88"/>
      <c r="CDO64" s="88"/>
      <c r="CDP64" s="88"/>
      <c r="CDQ64" s="88"/>
      <c r="CDR64" s="88"/>
      <c r="CDS64" s="88"/>
      <c r="CDT64" s="88"/>
      <c r="CDU64" s="88"/>
      <c r="CDV64" s="88"/>
      <c r="CDW64" s="88"/>
      <c r="CDX64" s="88"/>
      <c r="CDY64" s="88"/>
      <c r="CDZ64" s="88"/>
      <c r="CEA64" s="88"/>
      <c r="CEB64" s="88"/>
      <c r="CEC64" s="88"/>
      <c r="CED64" s="88"/>
      <c r="CEE64" s="88"/>
      <c r="CEF64" s="88"/>
      <c r="CEG64" s="88"/>
      <c r="CEH64" s="88"/>
      <c r="CEI64" s="88"/>
      <c r="CEJ64" s="88"/>
      <c r="CEK64" s="88"/>
    </row>
    <row r="65" spans="1:2169" s="51" customFormat="1">
      <c r="A65" s="72" t="s">
        <v>425</v>
      </c>
      <c r="B65" s="104" t="s">
        <v>14602</v>
      </c>
      <c r="C65" s="69" t="str">
        <f>IF('page 2'!$O$4="","",IF('page 2'!$O$4=Gestion!A65,1,0))</f>
        <v/>
      </c>
      <c r="D65" s="69" t="str">
        <f>IF('page 2'!$O$5="","",IF('page 2'!$O$5=Gestion!A65,1,0))</f>
        <v/>
      </c>
      <c r="E65" s="69" t="str">
        <f>IF('page 2'!$O$6="","",IF('page 2'!$O$6=Gestion!A65,1,0))</f>
        <v/>
      </c>
      <c r="F65" s="69" t="str">
        <f>IF('page 2'!$O$7="","",IF('page 2'!$O$7=Gestion!A65,1,0))</f>
        <v/>
      </c>
      <c r="G65" s="69" t="str">
        <f>IF('page 2'!$O$8="","",IF('page 2'!$O$8=Gestion!A65,1,0))</f>
        <v/>
      </c>
      <c r="H65" s="69"/>
      <c r="I65" s="69" t="str">
        <f>IF('page 2'!$O$10="","",IF('page 2'!$O$10=Gestion!A65,1,0))</f>
        <v/>
      </c>
      <c r="J65" s="69" t="str">
        <f>IF('page 2'!$O$11="","",IF('page 2'!$O$11=Gestion!A65,1,0))</f>
        <v/>
      </c>
      <c r="K65" s="69" t="str">
        <f>IF('page 2'!$O$12="","",IF('page 2'!$O$12=Gestion!A65,1,0))</f>
        <v/>
      </c>
      <c r="L65" s="69" t="str">
        <f>IF('page 2'!$O$13="","",IF('page 2'!$O$13=Gestion!A65,1,0))</f>
        <v/>
      </c>
      <c r="M65" s="69" t="str">
        <f>IF('page 2'!$O$14="","",IF('page 2'!$O$14=Gestion!A65,1,0))</f>
        <v/>
      </c>
      <c r="N65" s="69" t="str">
        <f>IF('page 2'!$O$15="","",IF('page 2'!$O$15=Gestion!A65,1,0))</f>
        <v/>
      </c>
      <c r="O65" s="69" t="str">
        <f>IF('page 2'!$O$16="","",IF('page 2'!$O$16=Gestion!A65,1,0))</f>
        <v/>
      </c>
      <c r="P65" s="69" t="str">
        <f>IF('page 2'!$O$17="","",IF('page 2'!$O$17=Gestion!A65,1,0))</f>
        <v/>
      </c>
      <c r="Q65" s="69" t="str">
        <f>IF('page 2'!$O$18="","",IF('page 2'!$O$18=Gestion!A65,1,0))</f>
        <v/>
      </c>
      <c r="R65" s="69" t="str">
        <f>IF('page 2'!$O$19="","",IF('page 2'!$O$19=Gestion!A65,1,0))</f>
        <v/>
      </c>
      <c r="S65" s="69" t="str">
        <f>IF('page 2'!$O$20="","",IF('page 2'!$O$20=Gestion!A65,1,0))</f>
        <v/>
      </c>
      <c r="T65" s="69" t="str">
        <f>IF('page 2'!$O$25="","",IF('page 2'!$O$25=Gestion!A65,1,0))</f>
        <v/>
      </c>
      <c r="U65" s="69" t="str">
        <f>IF('page 2'!$O$26="","",IF('page 2'!$O$26=Gestion!A65,1,0))</f>
        <v/>
      </c>
      <c r="V65" s="69" t="str">
        <f>IF('page 2'!$O$27="","",IF('page 2'!$O$27=Gestion!A65,1,0))</f>
        <v/>
      </c>
      <c r="W65" s="723">
        <f t="shared" si="0"/>
        <v>0</v>
      </c>
      <c r="X65" s="713"/>
      <c r="Y65" s="69"/>
      <c r="Z65" s="69"/>
      <c r="AA65" s="69"/>
      <c r="AB65" s="542"/>
      <c r="AC65" s="542"/>
      <c r="AD65" s="542"/>
      <c r="AE65" s="88"/>
      <c r="AP65" s="130"/>
      <c r="AQ65" s="130"/>
      <c r="AR65" s="130"/>
      <c r="AS65" s="576"/>
      <c r="AT65" s="576"/>
      <c r="AU65" s="576"/>
      <c r="AV65" s="576"/>
      <c r="AW65" s="602"/>
      <c r="AX65" s="602"/>
      <c r="AY65" s="576"/>
      <c r="AZ65" s="576"/>
      <c r="BA65" s="576"/>
      <c r="BB65" s="576"/>
      <c r="BC65" s="576"/>
      <c r="BD65" s="602"/>
      <c r="BE65" s="602"/>
      <c r="BF65" s="602"/>
      <c r="BG65" s="602"/>
      <c r="BH65" s="602"/>
      <c r="BI65" s="602"/>
      <c r="BJ65" s="602"/>
      <c r="BK65" s="602"/>
      <c r="BL65" s="602"/>
      <c r="BM65" s="602"/>
      <c r="BN65" s="602"/>
      <c r="BO65" s="602"/>
      <c r="BP65" s="602"/>
      <c r="BQ65" s="602"/>
      <c r="BR65" s="602"/>
      <c r="BS65" s="576"/>
      <c r="BT65" s="576"/>
      <c r="BU65" s="576"/>
      <c r="BV65" s="576"/>
      <c r="BW65" s="602"/>
      <c r="BX65" s="602"/>
      <c r="BY65" s="602"/>
      <c r="BZ65" s="576"/>
      <c r="CA65" s="602"/>
      <c r="CB65" s="602"/>
      <c r="CC65" s="576"/>
      <c r="CD65" s="576"/>
      <c r="CE65" s="602"/>
      <c r="CF65" s="576"/>
      <c r="CG65" s="576"/>
      <c r="CH65" s="576"/>
      <c r="CI65" s="576"/>
      <c r="CJ65" s="576"/>
      <c r="CK65" s="602"/>
      <c r="CL65" s="602"/>
      <c r="CM65" s="576"/>
      <c r="CN65" s="602"/>
      <c r="CO65" s="602"/>
      <c r="CP65" s="602"/>
      <c r="CQ65" s="576"/>
      <c r="CR65" s="576"/>
      <c r="CS65" s="602"/>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c r="JT65" s="88"/>
      <c r="JU65" s="88"/>
      <c r="JV65" s="88"/>
      <c r="JW65" s="88"/>
      <c r="JX65" s="88"/>
      <c r="JY65" s="88"/>
      <c r="JZ65" s="88"/>
      <c r="KA65" s="88"/>
      <c r="KB65" s="88"/>
      <c r="KC65" s="88"/>
      <c r="KD65" s="88"/>
      <c r="KE65" s="88"/>
      <c r="KF65" s="88"/>
      <c r="KG65" s="88"/>
      <c r="KH65" s="88"/>
      <c r="KI65" s="88"/>
      <c r="KJ65" s="88"/>
      <c r="KK65" s="88"/>
      <c r="KL65" s="88"/>
      <c r="KM65" s="88"/>
      <c r="KN65" s="88"/>
      <c r="KO65" s="88"/>
      <c r="KP65" s="88"/>
      <c r="KQ65" s="88"/>
      <c r="KR65" s="88"/>
      <c r="KS65" s="88"/>
      <c r="KT65" s="88"/>
      <c r="KU65" s="88"/>
      <c r="KV65" s="88"/>
      <c r="KW65" s="88"/>
      <c r="KX65" s="88"/>
      <c r="KY65" s="88"/>
      <c r="KZ65" s="88"/>
      <c r="LA65" s="88"/>
      <c r="LB65" s="88"/>
      <c r="LC65" s="88"/>
      <c r="LD65" s="88"/>
      <c r="LE65" s="88"/>
      <c r="LF65" s="88"/>
      <c r="LG65" s="88"/>
      <c r="LH65" s="88"/>
      <c r="LI65" s="88"/>
      <c r="LJ65" s="88"/>
      <c r="LK65" s="88"/>
      <c r="LL65" s="88"/>
      <c r="LM65" s="88"/>
      <c r="LN65" s="88"/>
      <c r="LO65" s="88"/>
      <c r="LP65" s="88"/>
      <c r="LQ65" s="88"/>
      <c r="LR65" s="88"/>
      <c r="LS65" s="88"/>
      <c r="LT65" s="88"/>
      <c r="LU65" s="88"/>
      <c r="LV65" s="88"/>
      <c r="LW65" s="88"/>
      <c r="LX65" s="88"/>
      <c r="LY65" s="88"/>
      <c r="LZ65" s="88"/>
      <c r="MA65" s="88"/>
      <c r="MB65" s="88"/>
      <c r="MC65" s="88"/>
      <c r="MD65" s="88"/>
      <c r="ME65" s="88"/>
      <c r="MF65" s="88"/>
      <c r="MG65" s="88"/>
      <c r="MH65" s="88"/>
      <c r="MI65" s="88"/>
      <c r="MJ65" s="88"/>
      <c r="MK65" s="88"/>
      <c r="ML65" s="88"/>
      <c r="MM65" s="88"/>
      <c r="MN65" s="88"/>
      <c r="MO65" s="88"/>
      <c r="MP65" s="88"/>
      <c r="MQ65" s="88"/>
      <c r="MR65" s="88"/>
      <c r="MS65" s="88"/>
      <c r="MT65" s="88"/>
      <c r="MU65" s="88"/>
      <c r="MV65" s="88"/>
      <c r="MW65" s="88"/>
      <c r="MX65" s="88"/>
      <c r="MY65" s="88"/>
      <c r="MZ65" s="88"/>
      <c r="NA65" s="88"/>
      <c r="NB65" s="88"/>
      <c r="NC65" s="88"/>
      <c r="ND65" s="88"/>
      <c r="NE65" s="88"/>
      <c r="NF65" s="88"/>
      <c r="NG65" s="88"/>
      <c r="NH65" s="88"/>
      <c r="NI65" s="88"/>
      <c r="NJ65" s="88"/>
      <c r="NK65" s="88"/>
      <c r="NL65" s="88"/>
      <c r="NM65" s="88"/>
      <c r="NN65" s="88"/>
      <c r="NO65" s="88"/>
      <c r="NP65" s="88"/>
      <c r="NQ65" s="88"/>
      <c r="NR65" s="88"/>
      <c r="NS65" s="88"/>
      <c r="NT65" s="88"/>
      <c r="NU65" s="88"/>
      <c r="NV65" s="88"/>
      <c r="NW65" s="88"/>
      <c r="NX65" s="88"/>
      <c r="NY65" s="88"/>
      <c r="NZ65" s="88"/>
      <c r="OA65" s="88"/>
      <c r="OB65" s="88"/>
      <c r="OC65" s="88"/>
      <c r="OD65" s="88"/>
      <c r="OE65" s="88"/>
      <c r="OF65" s="88"/>
      <c r="OG65" s="88"/>
      <c r="OH65" s="88"/>
      <c r="OI65" s="88"/>
      <c r="OJ65" s="88"/>
      <c r="OK65" s="88"/>
      <c r="OL65" s="88"/>
      <c r="OM65" s="88"/>
      <c r="ON65" s="88"/>
      <c r="OO65" s="88"/>
      <c r="OP65" s="88"/>
      <c r="OQ65" s="88"/>
      <c r="OR65" s="88"/>
      <c r="OS65" s="88"/>
      <c r="OT65" s="88"/>
      <c r="OU65" s="88"/>
      <c r="OV65" s="88"/>
      <c r="OW65" s="88"/>
      <c r="OX65" s="88"/>
      <c r="OY65" s="88"/>
      <c r="OZ65" s="88"/>
      <c r="PA65" s="88"/>
      <c r="PB65" s="88"/>
      <c r="PC65" s="88"/>
      <c r="PD65" s="88"/>
      <c r="PE65" s="88"/>
      <c r="PF65" s="88"/>
      <c r="PG65" s="88"/>
      <c r="PH65" s="88"/>
      <c r="PI65" s="88"/>
      <c r="PJ65" s="88"/>
      <c r="PK65" s="88"/>
      <c r="PL65" s="88"/>
      <c r="PM65" s="88"/>
      <c r="PN65" s="88"/>
      <c r="PO65" s="88"/>
      <c r="PP65" s="88"/>
      <c r="PQ65" s="88"/>
      <c r="PR65" s="88"/>
      <c r="PS65" s="88"/>
      <c r="PT65" s="88"/>
      <c r="PU65" s="88"/>
      <c r="PV65" s="88"/>
      <c r="PW65" s="88"/>
      <c r="PX65" s="88"/>
      <c r="PY65" s="88"/>
      <c r="PZ65" s="88"/>
      <c r="QA65" s="88"/>
      <c r="QB65" s="88"/>
      <c r="QC65" s="88"/>
      <c r="QD65" s="88"/>
      <c r="QE65" s="88"/>
      <c r="QF65" s="88"/>
      <c r="QG65" s="88"/>
      <c r="QH65" s="88"/>
      <c r="QI65" s="88"/>
      <c r="QJ65" s="88"/>
      <c r="QK65" s="88"/>
      <c r="QL65" s="88"/>
      <c r="QM65" s="88"/>
      <c r="QN65" s="88"/>
      <c r="QO65" s="88"/>
      <c r="QP65" s="88"/>
      <c r="QQ65" s="88"/>
      <c r="QR65" s="88"/>
      <c r="QS65" s="88"/>
      <c r="QT65" s="88"/>
      <c r="QU65" s="88"/>
      <c r="QV65" s="88"/>
      <c r="QW65" s="88"/>
      <c r="QX65" s="88"/>
      <c r="QY65" s="88"/>
      <c r="QZ65" s="88"/>
      <c r="RA65" s="88"/>
      <c r="RB65" s="88"/>
      <c r="RC65" s="88"/>
      <c r="RD65" s="88"/>
      <c r="RE65" s="88"/>
      <c r="RF65" s="88"/>
      <c r="RG65" s="88"/>
      <c r="RH65" s="88"/>
      <c r="RI65" s="88"/>
      <c r="RJ65" s="88"/>
      <c r="RK65" s="88"/>
      <c r="RL65" s="88"/>
      <c r="RM65" s="88"/>
      <c r="RN65" s="88"/>
      <c r="RO65" s="88"/>
      <c r="RP65" s="88"/>
      <c r="RQ65" s="88"/>
      <c r="RR65" s="88"/>
      <c r="RS65" s="88"/>
      <c r="RT65" s="88"/>
      <c r="RU65" s="88"/>
      <c r="RV65" s="88"/>
      <c r="RW65" s="88"/>
      <c r="RX65" s="88"/>
      <c r="RY65" s="88"/>
      <c r="RZ65" s="88"/>
      <c r="SA65" s="88"/>
      <c r="SB65" s="88"/>
      <c r="SC65" s="88"/>
      <c r="SD65" s="88"/>
      <c r="SE65" s="88"/>
      <c r="SF65" s="88"/>
      <c r="SG65" s="88"/>
      <c r="SH65" s="88"/>
      <c r="SI65" s="88"/>
      <c r="SJ65" s="88"/>
      <c r="SK65" s="88"/>
      <c r="SL65" s="88"/>
      <c r="SM65" s="88"/>
      <c r="SN65" s="88"/>
      <c r="SO65" s="88"/>
      <c r="SP65" s="88"/>
      <c r="SQ65" s="88"/>
      <c r="SR65" s="88"/>
      <c r="SS65" s="88"/>
      <c r="ST65" s="88"/>
      <c r="SU65" s="88"/>
      <c r="SV65" s="88"/>
      <c r="SW65" s="88"/>
      <c r="SX65" s="88"/>
      <c r="SY65" s="88"/>
      <c r="SZ65" s="88"/>
      <c r="TA65" s="88"/>
      <c r="TB65" s="88"/>
      <c r="TC65" s="88"/>
      <c r="TD65" s="88"/>
      <c r="TE65" s="88"/>
      <c r="TF65" s="88"/>
      <c r="TG65" s="88"/>
      <c r="TH65" s="88"/>
      <c r="TI65" s="88"/>
      <c r="TJ65" s="88"/>
      <c r="TK65" s="88"/>
      <c r="TL65" s="88"/>
      <c r="TM65" s="88"/>
      <c r="TN65" s="88"/>
      <c r="TO65" s="88"/>
      <c r="TP65" s="88"/>
      <c r="TQ65" s="88"/>
      <c r="TR65" s="88"/>
      <c r="TS65" s="88"/>
      <c r="TT65" s="88"/>
      <c r="TU65" s="88"/>
      <c r="TV65" s="88"/>
      <c r="TW65" s="88"/>
      <c r="TX65" s="88"/>
      <c r="TY65" s="88"/>
      <c r="TZ65" s="88"/>
      <c r="UA65" s="88"/>
      <c r="UB65" s="88"/>
      <c r="UC65" s="88"/>
      <c r="UD65" s="88"/>
      <c r="UE65" s="88"/>
      <c r="UF65" s="88"/>
      <c r="UG65" s="88"/>
      <c r="UH65" s="88"/>
      <c r="UI65" s="88"/>
      <c r="UJ65" s="88"/>
      <c r="UK65" s="88"/>
      <c r="UL65" s="88"/>
      <c r="UM65" s="88"/>
      <c r="UN65" s="88"/>
      <c r="UO65" s="88"/>
      <c r="UP65" s="88"/>
      <c r="UQ65" s="88"/>
      <c r="UR65" s="88"/>
      <c r="US65" s="88"/>
      <c r="UT65" s="88"/>
      <c r="UU65" s="88"/>
      <c r="UV65" s="88"/>
      <c r="UW65" s="88"/>
      <c r="UX65" s="88"/>
      <c r="UY65" s="88"/>
      <c r="UZ65" s="88"/>
      <c r="VA65" s="88"/>
      <c r="VB65" s="88"/>
      <c r="VC65" s="88"/>
      <c r="VD65" s="88"/>
      <c r="VE65" s="88"/>
      <c r="VF65" s="88"/>
      <c r="VG65" s="88"/>
      <c r="VH65" s="88"/>
      <c r="VI65" s="88"/>
      <c r="VJ65" s="88"/>
      <c r="VK65" s="88"/>
      <c r="VL65" s="88"/>
      <c r="VM65" s="88"/>
      <c r="VN65" s="88"/>
      <c r="VO65" s="88"/>
      <c r="VP65" s="88"/>
      <c r="VQ65" s="88"/>
      <c r="VR65" s="88"/>
      <c r="VS65" s="88"/>
      <c r="VT65" s="88"/>
      <c r="VU65" s="88"/>
      <c r="VV65" s="88"/>
      <c r="VW65" s="88"/>
      <c r="VX65" s="88"/>
      <c r="VY65" s="88"/>
      <c r="VZ65" s="88"/>
      <c r="WA65" s="88"/>
      <c r="WB65" s="88"/>
      <c r="WC65" s="88"/>
      <c r="WD65" s="88"/>
      <c r="WE65" s="88"/>
      <c r="WF65" s="88"/>
      <c r="WG65" s="88"/>
      <c r="WH65" s="88"/>
      <c r="WI65" s="88"/>
      <c r="WJ65" s="88"/>
      <c r="WK65" s="88"/>
      <c r="WL65" s="88"/>
      <c r="WM65" s="88"/>
      <c r="WN65" s="88"/>
      <c r="WO65" s="88"/>
      <c r="WP65" s="88"/>
      <c r="WQ65" s="88"/>
      <c r="WR65" s="88"/>
      <c r="WS65" s="88"/>
      <c r="WT65" s="88"/>
      <c r="WU65" s="88"/>
      <c r="WV65" s="88"/>
      <c r="WW65" s="88"/>
      <c r="WX65" s="88"/>
      <c r="WY65" s="88"/>
      <c r="WZ65" s="88"/>
      <c r="XA65" s="88"/>
      <c r="XB65" s="88"/>
      <c r="XC65" s="88"/>
      <c r="XD65" s="88"/>
      <c r="XE65" s="88"/>
      <c r="XF65" s="88"/>
      <c r="XG65" s="88"/>
      <c r="XH65" s="88"/>
      <c r="XI65" s="88"/>
      <c r="XJ65" s="88"/>
      <c r="XK65" s="88"/>
      <c r="XL65" s="88"/>
      <c r="XM65" s="88"/>
      <c r="XN65" s="88"/>
      <c r="XO65" s="88"/>
      <c r="XP65" s="88"/>
      <c r="XQ65" s="88"/>
      <c r="XR65" s="88"/>
      <c r="XS65" s="88"/>
      <c r="XT65" s="88"/>
      <c r="XU65" s="88"/>
      <c r="XV65" s="88"/>
      <c r="XW65" s="88"/>
      <c r="XX65" s="88"/>
      <c r="XY65" s="88"/>
      <c r="XZ65" s="88"/>
      <c r="YA65" s="88"/>
      <c r="YB65" s="88"/>
      <c r="YC65" s="88"/>
      <c r="YD65" s="88"/>
      <c r="YE65" s="88"/>
      <c r="YF65" s="88"/>
      <c r="YG65" s="88"/>
      <c r="YH65" s="88"/>
      <c r="YI65" s="88"/>
      <c r="YJ65" s="88"/>
      <c r="YK65" s="88"/>
      <c r="YL65" s="88"/>
      <c r="YM65" s="88"/>
      <c r="YN65" s="88"/>
      <c r="YO65" s="88"/>
      <c r="YP65" s="88"/>
      <c r="YQ65" s="88"/>
      <c r="YR65" s="88"/>
      <c r="YS65" s="88"/>
      <c r="YT65" s="88"/>
      <c r="YU65" s="88"/>
      <c r="YV65" s="88"/>
      <c r="YW65" s="88"/>
      <c r="YX65" s="88"/>
      <c r="YY65" s="88"/>
      <c r="YZ65" s="88"/>
      <c r="ZA65" s="88"/>
      <c r="ZB65" s="88"/>
      <c r="ZC65" s="88"/>
      <c r="ZD65" s="88"/>
      <c r="ZE65" s="88"/>
      <c r="ZF65" s="88"/>
      <c r="ZG65" s="88"/>
      <c r="ZH65" s="88"/>
      <c r="ZI65" s="88"/>
      <c r="ZJ65" s="88"/>
      <c r="ZK65" s="88"/>
      <c r="ZL65" s="88"/>
      <c r="ZM65" s="88"/>
      <c r="ZN65" s="88"/>
      <c r="ZO65" s="88"/>
      <c r="ZP65" s="88"/>
      <c r="ZQ65" s="88"/>
      <c r="ZR65" s="88"/>
      <c r="ZS65" s="88"/>
      <c r="ZT65" s="88"/>
      <c r="ZU65" s="88"/>
      <c r="ZV65" s="88"/>
      <c r="ZW65" s="88"/>
      <c r="ZX65" s="88"/>
      <c r="ZY65" s="88"/>
      <c r="ZZ65" s="88"/>
      <c r="AAA65" s="88"/>
      <c r="AAB65" s="88"/>
      <c r="AAC65" s="88"/>
      <c r="AAD65" s="88"/>
      <c r="AAE65" s="88"/>
      <c r="AAF65" s="88"/>
      <c r="AAG65" s="88"/>
      <c r="AAH65" s="88"/>
      <c r="AAI65" s="88"/>
      <c r="AAJ65" s="88"/>
      <c r="AAK65" s="88"/>
      <c r="AAL65" s="88"/>
      <c r="AAM65" s="88"/>
      <c r="AAN65" s="88"/>
      <c r="AAO65" s="88"/>
      <c r="AAP65" s="88"/>
      <c r="AAQ65" s="88"/>
      <c r="AAR65" s="88"/>
      <c r="AAS65" s="88"/>
      <c r="AAT65" s="88"/>
      <c r="AAU65" s="88"/>
      <c r="AAV65" s="88"/>
      <c r="AAW65" s="88"/>
      <c r="AAX65" s="88"/>
      <c r="AAY65" s="88"/>
      <c r="AAZ65" s="88"/>
      <c r="ABA65" s="88"/>
      <c r="ABB65" s="88"/>
      <c r="ABC65" s="88"/>
      <c r="ABD65" s="88"/>
      <c r="ABE65" s="88"/>
      <c r="ABF65" s="88"/>
      <c r="ABG65" s="88"/>
      <c r="ABH65" s="88"/>
      <c r="ABI65" s="88"/>
      <c r="ABJ65" s="88"/>
      <c r="ABK65" s="88"/>
      <c r="ABL65" s="88"/>
      <c r="ABM65" s="88"/>
      <c r="ABN65" s="88"/>
      <c r="ABO65" s="88"/>
      <c r="ABP65" s="88"/>
      <c r="ABQ65" s="88"/>
      <c r="ABR65" s="88"/>
      <c r="ABS65" s="88"/>
      <c r="ABT65" s="88"/>
      <c r="ABU65" s="88"/>
      <c r="ABV65" s="88"/>
      <c r="ABW65" s="88"/>
      <c r="ABX65" s="88"/>
      <c r="ABY65" s="88"/>
      <c r="ABZ65" s="88"/>
      <c r="ACA65" s="88"/>
      <c r="ACB65" s="88"/>
      <c r="ACC65" s="88"/>
      <c r="ACD65" s="88"/>
      <c r="ACE65" s="88"/>
      <c r="ACF65" s="88"/>
      <c r="ACG65" s="88"/>
      <c r="ACH65" s="88"/>
      <c r="ACI65" s="88"/>
      <c r="ACJ65" s="88"/>
      <c r="ACK65" s="88"/>
      <c r="ACL65" s="88"/>
      <c r="ACM65" s="88"/>
      <c r="ACN65" s="88"/>
      <c r="ACO65" s="88"/>
      <c r="ACP65" s="88"/>
      <c r="ACQ65" s="88"/>
      <c r="ACR65" s="88"/>
      <c r="ACS65" s="88"/>
      <c r="ACT65" s="88"/>
      <c r="ACU65" s="88"/>
      <c r="ACV65" s="88"/>
      <c r="ACW65" s="88"/>
      <c r="ACX65" s="88"/>
      <c r="ACY65" s="88"/>
      <c r="ACZ65" s="88"/>
      <c r="ADA65" s="88"/>
      <c r="ADB65" s="88"/>
      <c r="ADC65" s="88"/>
      <c r="ADD65" s="88"/>
      <c r="ADE65" s="88"/>
      <c r="ADF65" s="88"/>
      <c r="ADG65" s="88"/>
      <c r="ADH65" s="88"/>
      <c r="ADI65" s="88"/>
      <c r="ADJ65" s="88"/>
      <c r="ADK65" s="88"/>
      <c r="ADL65" s="88"/>
      <c r="ADM65" s="88"/>
      <c r="ADN65" s="88"/>
      <c r="ADO65" s="88"/>
      <c r="ADP65" s="88"/>
      <c r="ADQ65" s="88"/>
      <c r="ADR65" s="88"/>
      <c r="ADS65" s="88"/>
      <c r="ADT65" s="88"/>
      <c r="ADU65" s="88"/>
      <c r="ADV65" s="88"/>
      <c r="ADW65" s="88"/>
      <c r="ADX65" s="88"/>
      <c r="ADY65" s="88"/>
      <c r="ADZ65" s="88"/>
      <c r="AEA65" s="88"/>
      <c r="AEB65" s="88"/>
      <c r="AEC65" s="88"/>
      <c r="AED65" s="88"/>
      <c r="AEE65" s="88"/>
      <c r="AEF65" s="88"/>
      <c r="AEG65" s="88"/>
      <c r="AEH65" s="88"/>
      <c r="AEI65" s="88"/>
      <c r="AEJ65" s="88"/>
      <c r="AEK65" s="88"/>
      <c r="AEL65" s="88"/>
      <c r="AEM65" s="88"/>
      <c r="AEN65" s="88"/>
      <c r="AEO65" s="88"/>
      <c r="AEP65" s="88"/>
      <c r="AEQ65" s="88"/>
      <c r="AER65" s="88"/>
      <c r="AES65" s="88"/>
      <c r="AET65" s="88"/>
      <c r="AEU65" s="88"/>
      <c r="AEV65" s="88"/>
      <c r="AEW65" s="88"/>
      <c r="AEX65" s="88"/>
      <c r="AEY65" s="88"/>
      <c r="AEZ65" s="88"/>
      <c r="AFA65" s="88"/>
      <c r="AFB65" s="88"/>
      <c r="AFC65" s="88"/>
      <c r="AFD65" s="88"/>
      <c r="AFE65" s="88"/>
      <c r="AFF65" s="88"/>
      <c r="AFG65" s="88"/>
      <c r="AFH65" s="88"/>
      <c r="AFI65" s="88"/>
      <c r="AFJ65" s="88"/>
      <c r="AFK65" s="88"/>
      <c r="AFL65" s="88"/>
      <c r="AFM65" s="88"/>
      <c r="AFN65" s="88"/>
      <c r="AFO65" s="88"/>
      <c r="AFP65" s="88"/>
      <c r="AFQ65" s="88"/>
      <c r="AFR65" s="88"/>
      <c r="AFS65" s="88"/>
      <c r="AFT65" s="88"/>
      <c r="AFU65" s="88"/>
      <c r="AFV65" s="88"/>
      <c r="AFW65" s="88"/>
      <c r="AFX65" s="88"/>
      <c r="AFY65" s="88"/>
      <c r="AFZ65" s="88"/>
      <c r="AGA65" s="88"/>
      <c r="AGB65" s="88"/>
      <c r="AGC65" s="88"/>
      <c r="AGD65" s="88"/>
      <c r="AGE65" s="88"/>
      <c r="AGF65" s="88"/>
      <c r="AGG65" s="88"/>
      <c r="AGH65" s="88"/>
      <c r="AGI65" s="88"/>
      <c r="AGJ65" s="88"/>
      <c r="AGK65" s="88"/>
      <c r="AGL65" s="88"/>
      <c r="AGM65" s="88"/>
      <c r="AGN65" s="88"/>
      <c r="AGO65" s="88"/>
      <c r="AGP65" s="88"/>
      <c r="AGQ65" s="88"/>
      <c r="AGR65" s="88"/>
      <c r="AGS65" s="88"/>
      <c r="AGT65" s="88"/>
      <c r="AGU65" s="88"/>
      <c r="AGV65" s="88"/>
      <c r="AGW65" s="88"/>
      <c r="AGX65" s="88"/>
      <c r="AGY65" s="88"/>
      <c r="AGZ65" s="88"/>
      <c r="AHA65" s="88"/>
      <c r="AHB65" s="88"/>
      <c r="AHC65" s="88"/>
      <c r="AHD65" s="88"/>
      <c r="AHE65" s="88"/>
      <c r="AHF65" s="88"/>
      <c r="AHG65" s="88"/>
      <c r="AHH65" s="88"/>
      <c r="AHI65" s="88"/>
      <c r="AHJ65" s="88"/>
      <c r="AHK65" s="88"/>
      <c r="AHL65" s="88"/>
      <c r="AHM65" s="88"/>
      <c r="AHN65" s="88"/>
      <c r="AHO65" s="88"/>
      <c r="AHP65" s="88"/>
      <c r="AHQ65" s="88"/>
      <c r="AHR65" s="88"/>
      <c r="AHS65" s="88"/>
      <c r="AHT65" s="88"/>
      <c r="AHU65" s="88"/>
      <c r="AHV65" s="88"/>
      <c r="AHW65" s="88"/>
      <c r="AHX65" s="88"/>
      <c r="AHY65" s="88"/>
      <c r="AHZ65" s="88"/>
      <c r="AIA65" s="88"/>
      <c r="AIB65" s="88"/>
      <c r="AIC65" s="88"/>
      <c r="AID65" s="88"/>
      <c r="AIE65" s="88"/>
      <c r="AIF65" s="88"/>
      <c r="AIG65" s="88"/>
      <c r="AIH65" s="88"/>
      <c r="AII65" s="88"/>
      <c r="AIJ65" s="88"/>
      <c r="AIK65" s="88"/>
      <c r="AIL65" s="88"/>
      <c r="AIM65" s="88"/>
      <c r="AIN65" s="88"/>
      <c r="AIO65" s="88"/>
      <c r="AIP65" s="88"/>
      <c r="AIQ65" s="88"/>
      <c r="AIR65" s="88"/>
      <c r="AIS65" s="88"/>
      <c r="AIT65" s="88"/>
      <c r="AIU65" s="88"/>
      <c r="AIV65" s="88"/>
      <c r="AIW65" s="88"/>
      <c r="AIX65" s="88"/>
      <c r="AIY65" s="88"/>
      <c r="AIZ65" s="88"/>
      <c r="AJA65" s="88"/>
      <c r="AJB65" s="88"/>
      <c r="AJC65" s="88"/>
      <c r="AJD65" s="88"/>
      <c r="AJE65" s="88"/>
      <c r="AJF65" s="88"/>
      <c r="AJG65" s="88"/>
      <c r="AJH65" s="88"/>
      <c r="AJI65" s="88"/>
      <c r="AJJ65" s="88"/>
      <c r="AJK65" s="88"/>
      <c r="AJL65" s="88"/>
      <c r="AJM65" s="88"/>
      <c r="AJN65" s="88"/>
      <c r="AJO65" s="88"/>
      <c r="AJP65" s="88"/>
      <c r="AJQ65" s="88"/>
      <c r="AJR65" s="88"/>
      <c r="AJS65" s="88"/>
      <c r="AJT65" s="88"/>
      <c r="AJU65" s="88"/>
      <c r="AJV65" s="88"/>
      <c r="AJW65" s="88"/>
      <c r="AJX65" s="88"/>
      <c r="AJY65" s="88"/>
      <c r="AJZ65" s="88"/>
      <c r="AKA65" s="88"/>
      <c r="AKB65" s="88"/>
      <c r="AKC65" s="88"/>
      <c r="AKD65" s="88"/>
      <c r="AKE65" s="88"/>
      <c r="AKF65" s="88"/>
      <c r="AKG65" s="88"/>
      <c r="AKH65" s="88"/>
      <c r="AKI65" s="88"/>
      <c r="AKJ65" s="88"/>
      <c r="AKK65" s="88"/>
      <c r="AKL65" s="88"/>
      <c r="AKM65" s="88"/>
      <c r="AKN65" s="88"/>
      <c r="AKO65" s="88"/>
      <c r="AKP65" s="88"/>
      <c r="AKQ65" s="88"/>
      <c r="AKR65" s="88"/>
      <c r="AKS65" s="88"/>
      <c r="AKT65" s="88"/>
      <c r="AKU65" s="88"/>
      <c r="AKV65" s="88"/>
      <c r="AKW65" s="88"/>
      <c r="AKX65" s="88"/>
      <c r="AKY65" s="88"/>
      <c r="AKZ65" s="88"/>
      <c r="ALA65" s="88"/>
      <c r="ALB65" s="88"/>
      <c r="ALC65" s="88"/>
      <c r="ALD65" s="88"/>
      <c r="ALE65" s="88"/>
      <c r="ALF65" s="88"/>
      <c r="ALG65" s="88"/>
      <c r="ALH65" s="88"/>
      <c r="ALI65" s="88"/>
      <c r="ALJ65" s="88"/>
      <c r="ALK65" s="88"/>
      <c r="ALL65" s="88"/>
      <c r="ALM65" s="88"/>
      <c r="ALN65" s="88"/>
      <c r="ALO65" s="88"/>
      <c r="ALP65" s="88"/>
      <c r="ALQ65" s="88"/>
      <c r="ALR65" s="88"/>
      <c r="ALS65" s="88"/>
      <c r="ALT65" s="88"/>
      <c r="ALU65" s="88"/>
      <c r="ALV65" s="88"/>
      <c r="ALW65" s="88"/>
      <c r="ALX65" s="88"/>
      <c r="ALY65" s="88"/>
      <c r="ALZ65" s="88"/>
      <c r="AMA65" s="88"/>
      <c r="AMB65" s="88"/>
      <c r="AMC65" s="88"/>
      <c r="AMD65" s="88"/>
      <c r="AME65" s="88"/>
      <c r="AMF65" s="88"/>
      <c r="AMG65" s="88"/>
      <c r="AMH65" s="88"/>
      <c r="AMI65" s="88"/>
      <c r="AMJ65" s="88"/>
      <c r="AMK65" s="88"/>
      <c r="AML65" s="88"/>
      <c r="AMM65" s="88"/>
      <c r="AMN65" s="88"/>
      <c r="AMO65" s="88"/>
      <c r="AMP65" s="88"/>
      <c r="AMQ65" s="88"/>
      <c r="AMR65" s="88"/>
      <c r="AMS65" s="88"/>
      <c r="AMT65" s="88"/>
      <c r="AMU65" s="88"/>
      <c r="AMV65" s="88"/>
      <c r="AMW65" s="88"/>
      <c r="AMX65" s="88"/>
      <c r="AMY65" s="88"/>
      <c r="AMZ65" s="88"/>
      <c r="ANA65" s="88"/>
      <c r="ANB65" s="88"/>
      <c r="ANC65" s="88"/>
      <c r="AND65" s="88"/>
      <c r="ANE65" s="88"/>
      <c r="ANF65" s="88"/>
      <c r="ANG65" s="88"/>
      <c r="ANH65" s="88"/>
      <c r="ANI65" s="88"/>
      <c r="ANJ65" s="88"/>
      <c r="ANK65" s="88"/>
      <c r="ANL65" s="88"/>
      <c r="ANM65" s="88"/>
      <c r="ANN65" s="88"/>
      <c r="ANO65" s="88"/>
      <c r="ANP65" s="88"/>
      <c r="ANQ65" s="88"/>
      <c r="ANR65" s="88"/>
      <c r="ANS65" s="88"/>
      <c r="ANT65" s="88"/>
      <c r="ANU65" s="88"/>
      <c r="ANV65" s="88"/>
      <c r="ANW65" s="88"/>
      <c r="ANX65" s="88"/>
      <c r="ANY65" s="88"/>
      <c r="ANZ65" s="88"/>
      <c r="AOA65" s="88"/>
      <c r="AOB65" s="88"/>
      <c r="AOC65" s="88"/>
      <c r="AOD65" s="88"/>
      <c r="AOE65" s="88"/>
      <c r="AOF65" s="88"/>
      <c r="AOG65" s="88"/>
      <c r="AOH65" s="88"/>
      <c r="AOI65" s="88"/>
      <c r="AOJ65" s="88"/>
      <c r="AOK65" s="88"/>
      <c r="AOL65" s="88"/>
      <c r="AOM65" s="88"/>
      <c r="AON65" s="88"/>
      <c r="AOO65" s="88"/>
      <c r="AOP65" s="88"/>
      <c r="AOQ65" s="88"/>
      <c r="AOR65" s="88"/>
      <c r="AOS65" s="88"/>
      <c r="AOT65" s="88"/>
      <c r="AOU65" s="88"/>
      <c r="AOV65" s="88"/>
      <c r="AOW65" s="88"/>
      <c r="AOX65" s="88"/>
      <c r="AOY65" s="88"/>
      <c r="AOZ65" s="88"/>
      <c r="APA65" s="88"/>
      <c r="APB65" s="88"/>
      <c r="APC65" s="88"/>
      <c r="APD65" s="88"/>
      <c r="APE65" s="88"/>
      <c r="APF65" s="88"/>
      <c r="APG65" s="88"/>
      <c r="APH65" s="88"/>
      <c r="API65" s="88"/>
      <c r="APJ65" s="88"/>
      <c r="APK65" s="88"/>
      <c r="APL65" s="88"/>
      <c r="APM65" s="88"/>
      <c r="APN65" s="88"/>
      <c r="APO65" s="88"/>
      <c r="APP65" s="88"/>
      <c r="APQ65" s="88"/>
      <c r="APR65" s="88"/>
      <c r="APS65" s="88"/>
      <c r="APT65" s="88"/>
      <c r="APU65" s="88"/>
      <c r="APV65" s="88"/>
      <c r="APW65" s="88"/>
      <c r="APX65" s="88"/>
      <c r="APY65" s="88"/>
      <c r="APZ65" s="88"/>
      <c r="AQA65" s="88"/>
      <c r="AQB65" s="88"/>
      <c r="AQC65" s="88"/>
      <c r="AQD65" s="88"/>
      <c r="AQE65" s="88"/>
      <c r="AQF65" s="88"/>
      <c r="AQG65" s="88"/>
      <c r="AQH65" s="88"/>
      <c r="AQI65" s="88"/>
      <c r="AQJ65" s="88"/>
      <c r="AQK65" s="88"/>
      <c r="AQL65" s="88"/>
      <c r="AQM65" s="88"/>
      <c r="AQN65" s="88"/>
      <c r="AQO65" s="88"/>
      <c r="AQP65" s="88"/>
      <c r="AQQ65" s="88"/>
      <c r="AQR65" s="88"/>
      <c r="AQS65" s="88"/>
      <c r="AQT65" s="88"/>
      <c r="AQU65" s="88"/>
      <c r="AQV65" s="88"/>
      <c r="AQW65" s="88"/>
      <c r="AQX65" s="88"/>
      <c r="AQY65" s="88"/>
      <c r="AQZ65" s="88"/>
      <c r="ARA65" s="88"/>
      <c r="ARB65" s="88"/>
      <c r="ARC65" s="88"/>
      <c r="ARD65" s="88"/>
      <c r="ARE65" s="88"/>
      <c r="ARF65" s="88"/>
      <c r="ARG65" s="88"/>
      <c r="ARH65" s="88"/>
      <c r="ARI65" s="88"/>
      <c r="ARJ65" s="88"/>
      <c r="ARK65" s="88"/>
      <c r="ARL65" s="88"/>
      <c r="ARM65" s="88"/>
      <c r="ARN65" s="88"/>
      <c r="ARO65" s="88"/>
      <c r="ARP65" s="88"/>
      <c r="ARQ65" s="88"/>
      <c r="ARR65" s="88"/>
      <c r="ARS65" s="88"/>
      <c r="ART65" s="88"/>
      <c r="ARU65" s="88"/>
      <c r="ARV65" s="88"/>
      <c r="ARW65" s="88"/>
      <c r="ARX65" s="88"/>
      <c r="ARY65" s="88"/>
      <c r="ARZ65" s="88"/>
      <c r="ASA65" s="88"/>
      <c r="ASB65" s="88"/>
      <c r="ASC65" s="88"/>
      <c r="ASD65" s="88"/>
      <c r="ASE65" s="88"/>
      <c r="ASF65" s="88"/>
      <c r="ASG65" s="88"/>
      <c r="ASH65" s="88"/>
      <c r="ASI65" s="88"/>
      <c r="ASJ65" s="88"/>
      <c r="ASK65" s="88"/>
      <c r="ASL65" s="88"/>
      <c r="ASM65" s="88"/>
      <c r="ASN65" s="88"/>
      <c r="ASO65" s="88"/>
      <c r="ASP65" s="88"/>
      <c r="ASQ65" s="88"/>
      <c r="ASR65" s="88"/>
      <c r="ASS65" s="88"/>
      <c r="AST65" s="88"/>
      <c r="ASU65" s="88"/>
      <c r="ASV65" s="88"/>
      <c r="ASW65" s="88"/>
      <c r="ASX65" s="88"/>
      <c r="ASY65" s="88"/>
      <c r="ASZ65" s="88"/>
      <c r="ATA65" s="88"/>
      <c r="ATB65" s="88"/>
      <c r="ATC65" s="88"/>
      <c r="ATD65" s="88"/>
      <c r="ATE65" s="88"/>
      <c r="ATF65" s="88"/>
      <c r="ATG65" s="88"/>
      <c r="ATH65" s="88"/>
      <c r="ATI65" s="88"/>
      <c r="ATJ65" s="88"/>
      <c r="ATK65" s="88"/>
      <c r="ATL65" s="88"/>
      <c r="ATM65" s="88"/>
      <c r="ATN65" s="88"/>
      <c r="ATO65" s="88"/>
      <c r="ATP65" s="88"/>
      <c r="ATQ65" s="88"/>
      <c r="ATR65" s="88"/>
      <c r="ATS65" s="88"/>
      <c r="ATT65" s="88"/>
      <c r="ATU65" s="88"/>
      <c r="ATV65" s="88"/>
      <c r="ATW65" s="88"/>
      <c r="ATX65" s="88"/>
      <c r="ATY65" s="88"/>
      <c r="ATZ65" s="88"/>
      <c r="AUA65" s="88"/>
      <c r="AUB65" s="88"/>
      <c r="AUC65" s="88"/>
      <c r="AUD65" s="88"/>
      <c r="AUE65" s="88"/>
      <c r="AUF65" s="88"/>
      <c r="AUG65" s="88"/>
      <c r="AUH65" s="88"/>
      <c r="AUI65" s="88"/>
      <c r="AUJ65" s="88"/>
      <c r="AUK65" s="88"/>
      <c r="AUL65" s="88"/>
      <c r="AUM65" s="88"/>
      <c r="AUN65" s="88"/>
      <c r="AUO65" s="88"/>
      <c r="AUP65" s="88"/>
      <c r="AUQ65" s="88"/>
      <c r="AUR65" s="88"/>
      <c r="AUS65" s="88"/>
      <c r="AUT65" s="88"/>
      <c r="AUU65" s="88"/>
      <c r="AUV65" s="88"/>
      <c r="AUW65" s="88"/>
      <c r="AUX65" s="88"/>
      <c r="AUY65" s="88"/>
      <c r="AUZ65" s="88"/>
      <c r="AVA65" s="88"/>
      <c r="AVB65" s="88"/>
      <c r="AVC65" s="88"/>
      <c r="AVD65" s="88"/>
      <c r="AVE65" s="88"/>
      <c r="AVF65" s="88"/>
      <c r="AVG65" s="88"/>
      <c r="AVH65" s="88"/>
      <c r="AVI65" s="88"/>
      <c r="AVJ65" s="88"/>
      <c r="AVK65" s="88"/>
      <c r="AVL65" s="88"/>
      <c r="AVM65" s="88"/>
      <c r="AVN65" s="88"/>
      <c r="AVO65" s="88"/>
      <c r="AVP65" s="88"/>
      <c r="AVQ65" s="88"/>
      <c r="AVR65" s="88"/>
      <c r="AVS65" s="88"/>
      <c r="AVT65" s="88"/>
      <c r="AVU65" s="88"/>
      <c r="AVV65" s="88"/>
      <c r="AVW65" s="88"/>
      <c r="AVX65" s="88"/>
      <c r="AVY65" s="88"/>
      <c r="AVZ65" s="88"/>
      <c r="AWA65" s="88"/>
      <c r="AWB65" s="88"/>
      <c r="AWC65" s="88"/>
      <c r="AWD65" s="88"/>
      <c r="AWE65" s="88"/>
      <c r="AWF65" s="88"/>
      <c r="AWG65" s="88"/>
      <c r="AWH65" s="88"/>
      <c r="AWI65" s="88"/>
      <c r="AWJ65" s="88"/>
      <c r="AWK65" s="88"/>
      <c r="AWL65" s="88"/>
      <c r="AWM65" s="88"/>
      <c r="AWN65" s="88"/>
      <c r="AWO65" s="88"/>
      <c r="AWP65" s="88"/>
      <c r="AWQ65" s="88"/>
      <c r="AWR65" s="88"/>
      <c r="AWS65" s="88"/>
      <c r="AWT65" s="88"/>
      <c r="AWU65" s="88"/>
      <c r="AWV65" s="88"/>
      <c r="AWW65" s="88"/>
      <c r="AWX65" s="88"/>
      <c r="AWY65" s="88"/>
      <c r="AWZ65" s="88"/>
      <c r="AXA65" s="88"/>
      <c r="AXB65" s="88"/>
      <c r="AXC65" s="88"/>
      <c r="AXD65" s="88"/>
      <c r="AXE65" s="88"/>
      <c r="AXF65" s="88"/>
      <c r="AXG65" s="88"/>
      <c r="AXH65" s="88"/>
      <c r="AXI65" s="88"/>
      <c r="AXJ65" s="88"/>
      <c r="AXK65" s="88"/>
      <c r="AXL65" s="88"/>
      <c r="AXM65" s="88"/>
      <c r="AXN65" s="88"/>
      <c r="AXO65" s="88"/>
      <c r="AXP65" s="88"/>
      <c r="AXQ65" s="88"/>
      <c r="AXR65" s="88"/>
      <c r="AXS65" s="88"/>
      <c r="AXT65" s="88"/>
      <c r="AXU65" s="88"/>
      <c r="AXV65" s="88"/>
      <c r="AXW65" s="88"/>
      <c r="AXX65" s="88"/>
      <c r="AXY65" s="88"/>
      <c r="AXZ65" s="88"/>
      <c r="AYA65" s="88"/>
      <c r="AYB65" s="88"/>
      <c r="AYC65" s="88"/>
      <c r="AYD65" s="88"/>
      <c r="AYE65" s="88"/>
      <c r="AYF65" s="88"/>
      <c r="AYG65" s="88"/>
      <c r="AYH65" s="88"/>
      <c r="AYI65" s="88"/>
      <c r="AYJ65" s="88"/>
      <c r="AYK65" s="88"/>
      <c r="AYL65" s="88"/>
      <c r="AYM65" s="88"/>
      <c r="AYN65" s="88"/>
      <c r="AYO65" s="88"/>
      <c r="AYP65" s="88"/>
      <c r="AYQ65" s="88"/>
      <c r="AYR65" s="88"/>
      <c r="AYS65" s="88"/>
      <c r="AYT65" s="88"/>
      <c r="AYU65" s="88"/>
      <c r="AYV65" s="88"/>
      <c r="AYW65" s="88"/>
      <c r="AYX65" s="88"/>
      <c r="AYY65" s="88"/>
      <c r="AYZ65" s="88"/>
      <c r="AZA65" s="88"/>
      <c r="AZB65" s="88"/>
      <c r="AZC65" s="88"/>
      <c r="AZD65" s="88"/>
      <c r="AZE65" s="88"/>
      <c r="AZF65" s="88"/>
      <c r="AZG65" s="88"/>
      <c r="AZH65" s="88"/>
      <c r="AZI65" s="88"/>
      <c r="AZJ65" s="88"/>
      <c r="AZK65" s="88"/>
      <c r="AZL65" s="88"/>
      <c r="AZM65" s="88"/>
      <c r="AZN65" s="88"/>
      <c r="AZO65" s="88"/>
      <c r="AZP65" s="88"/>
      <c r="AZQ65" s="88"/>
      <c r="AZR65" s="88"/>
      <c r="AZS65" s="88"/>
      <c r="AZT65" s="88"/>
      <c r="AZU65" s="88"/>
      <c r="AZV65" s="88"/>
      <c r="AZW65" s="88"/>
      <c r="AZX65" s="88"/>
      <c r="AZY65" s="88"/>
      <c r="AZZ65" s="88"/>
      <c r="BAA65" s="88"/>
      <c r="BAB65" s="88"/>
      <c r="BAC65" s="88"/>
      <c r="BAD65" s="88"/>
      <c r="BAE65" s="88"/>
      <c r="BAF65" s="88"/>
      <c r="BAG65" s="88"/>
      <c r="BAH65" s="88"/>
      <c r="BAI65" s="88"/>
      <c r="BAJ65" s="88"/>
      <c r="BAK65" s="88"/>
      <c r="BAL65" s="88"/>
      <c r="BAM65" s="88"/>
      <c r="BAN65" s="88"/>
      <c r="BAO65" s="88"/>
      <c r="BAP65" s="88"/>
      <c r="BAQ65" s="88"/>
      <c r="BAR65" s="88"/>
      <c r="BAS65" s="88"/>
      <c r="BAT65" s="88"/>
      <c r="BAU65" s="88"/>
      <c r="BAV65" s="88"/>
      <c r="BAW65" s="88"/>
      <c r="BAX65" s="88"/>
      <c r="BAY65" s="88"/>
      <c r="BAZ65" s="88"/>
      <c r="BBA65" s="88"/>
      <c r="BBB65" s="88"/>
      <c r="BBC65" s="88"/>
      <c r="BBD65" s="88"/>
      <c r="BBE65" s="88"/>
      <c r="BBF65" s="88"/>
      <c r="BBG65" s="88"/>
      <c r="BBH65" s="88"/>
      <c r="BBI65" s="88"/>
      <c r="BBJ65" s="88"/>
      <c r="BBK65" s="88"/>
      <c r="BBL65" s="88"/>
      <c r="BBM65" s="88"/>
      <c r="BBN65" s="88"/>
      <c r="BBO65" s="88"/>
      <c r="BBP65" s="88"/>
      <c r="BBQ65" s="88"/>
      <c r="BBR65" s="88"/>
      <c r="BBS65" s="88"/>
      <c r="BBT65" s="88"/>
      <c r="BBU65" s="88"/>
      <c r="BBV65" s="88"/>
      <c r="BBW65" s="88"/>
      <c r="BBX65" s="88"/>
      <c r="BBY65" s="88"/>
      <c r="BBZ65" s="88"/>
      <c r="BCA65" s="88"/>
      <c r="BCB65" s="88"/>
      <c r="BCC65" s="88"/>
      <c r="BCD65" s="88"/>
      <c r="BCE65" s="88"/>
      <c r="BCF65" s="88"/>
      <c r="BCG65" s="88"/>
      <c r="BCH65" s="88"/>
      <c r="BCI65" s="88"/>
      <c r="BCJ65" s="88"/>
      <c r="BCK65" s="88"/>
      <c r="BCL65" s="88"/>
      <c r="BCM65" s="88"/>
      <c r="BCN65" s="88"/>
      <c r="BCO65" s="88"/>
      <c r="BCP65" s="88"/>
      <c r="BCQ65" s="88"/>
      <c r="BCR65" s="88"/>
      <c r="BCS65" s="88"/>
      <c r="BCT65" s="88"/>
      <c r="BCU65" s="88"/>
      <c r="BCV65" s="88"/>
      <c r="BCW65" s="88"/>
      <c r="BCX65" s="88"/>
      <c r="BCY65" s="88"/>
      <c r="BCZ65" s="88"/>
      <c r="BDA65" s="88"/>
      <c r="BDB65" s="88"/>
      <c r="BDC65" s="88"/>
      <c r="BDD65" s="88"/>
      <c r="BDE65" s="88"/>
      <c r="BDF65" s="88"/>
      <c r="BDG65" s="88"/>
      <c r="BDH65" s="88"/>
      <c r="BDI65" s="88"/>
      <c r="BDJ65" s="88"/>
      <c r="BDK65" s="88"/>
      <c r="BDL65" s="88"/>
      <c r="BDM65" s="88"/>
      <c r="BDN65" s="88"/>
      <c r="BDO65" s="88"/>
      <c r="BDP65" s="88"/>
      <c r="BDQ65" s="88"/>
      <c r="BDR65" s="88"/>
      <c r="BDS65" s="88"/>
      <c r="BDT65" s="88"/>
      <c r="BDU65" s="88"/>
      <c r="BDV65" s="88"/>
      <c r="BDW65" s="88"/>
      <c r="BDX65" s="88"/>
      <c r="BDY65" s="88"/>
      <c r="BDZ65" s="88"/>
      <c r="BEA65" s="88"/>
      <c r="BEB65" s="88"/>
      <c r="BEC65" s="88"/>
      <c r="BED65" s="88"/>
      <c r="BEE65" s="88"/>
      <c r="BEF65" s="88"/>
      <c r="BEG65" s="88"/>
      <c r="BEH65" s="88"/>
      <c r="BEI65" s="88"/>
      <c r="BEJ65" s="88"/>
      <c r="BEK65" s="88"/>
      <c r="BEL65" s="88"/>
      <c r="BEM65" s="88"/>
      <c r="BEN65" s="88"/>
      <c r="BEO65" s="88"/>
      <c r="BEP65" s="88"/>
      <c r="BEQ65" s="88"/>
      <c r="BER65" s="88"/>
      <c r="BES65" s="88"/>
      <c r="BET65" s="88"/>
      <c r="BEU65" s="88"/>
      <c r="BEV65" s="88"/>
      <c r="BEW65" s="88"/>
      <c r="BEX65" s="88"/>
      <c r="BEY65" s="88"/>
      <c r="BEZ65" s="88"/>
      <c r="BFA65" s="88"/>
      <c r="BFB65" s="88"/>
      <c r="BFC65" s="88"/>
      <c r="BFD65" s="88"/>
      <c r="BFE65" s="88"/>
      <c r="BFF65" s="88"/>
      <c r="BFG65" s="88"/>
      <c r="BFH65" s="88"/>
      <c r="BFI65" s="88"/>
      <c r="BFJ65" s="88"/>
      <c r="BFK65" s="88"/>
      <c r="BFL65" s="88"/>
      <c r="BFM65" s="88"/>
      <c r="BFN65" s="88"/>
      <c r="BFO65" s="88"/>
      <c r="BFP65" s="88"/>
      <c r="BFQ65" s="88"/>
      <c r="BFR65" s="88"/>
      <c r="BFS65" s="88"/>
      <c r="BFT65" s="88"/>
      <c r="BFU65" s="88"/>
      <c r="BFV65" s="88"/>
      <c r="BFW65" s="88"/>
      <c r="BFX65" s="88"/>
      <c r="BFY65" s="88"/>
      <c r="BFZ65" s="88"/>
      <c r="BGA65" s="88"/>
      <c r="BGB65" s="88"/>
      <c r="BGC65" s="88"/>
      <c r="BGD65" s="88"/>
      <c r="BGE65" s="88"/>
      <c r="BGF65" s="88"/>
      <c r="BGG65" s="88"/>
      <c r="BGH65" s="88"/>
      <c r="BGI65" s="88"/>
      <c r="BGJ65" s="88"/>
      <c r="BGK65" s="88"/>
      <c r="BGL65" s="88"/>
      <c r="BGM65" s="88"/>
      <c r="BGN65" s="88"/>
      <c r="BGO65" s="88"/>
      <c r="BGP65" s="88"/>
      <c r="BGQ65" s="88"/>
      <c r="BGR65" s="88"/>
      <c r="BGS65" s="88"/>
      <c r="BGT65" s="88"/>
      <c r="BGU65" s="88"/>
      <c r="BGV65" s="88"/>
      <c r="BGW65" s="88"/>
      <c r="BGX65" s="88"/>
      <c r="BGY65" s="88"/>
      <c r="BGZ65" s="88"/>
      <c r="BHA65" s="88"/>
      <c r="BHB65" s="88"/>
      <c r="BHC65" s="88"/>
      <c r="BHD65" s="88"/>
      <c r="BHE65" s="88"/>
      <c r="BHF65" s="88"/>
      <c r="BHG65" s="88"/>
      <c r="BHH65" s="88"/>
      <c r="BHI65" s="88"/>
      <c r="BHJ65" s="88"/>
      <c r="BHK65" s="88"/>
      <c r="BHL65" s="88"/>
      <c r="BHM65" s="88"/>
      <c r="BHN65" s="88"/>
      <c r="BHO65" s="88"/>
      <c r="BHP65" s="88"/>
      <c r="BHQ65" s="88"/>
      <c r="BHR65" s="88"/>
      <c r="BHS65" s="88"/>
      <c r="BHT65" s="88"/>
      <c r="BHU65" s="88"/>
      <c r="BHV65" s="88"/>
      <c r="BHW65" s="88"/>
      <c r="BHX65" s="88"/>
      <c r="BHY65" s="88"/>
      <c r="BHZ65" s="88"/>
      <c r="BIA65" s="88"/>
      <c r="BIB65" s="88"/>
      <c r="BIC65" s="88"/>
      <c r="BID65" s="88"/>
      <c r="BIE65" s="88"/>
      <c r="BIF65" s="88"/>
      <c r="BIG65" s="88"/>
      <c r="BIH65" s="88"/>
      <c r="BII65" s="88"/>
      <c r="BIJ65" s="88"/>
      <c r="BIK65" s="88"/>
      <c r="BIL65" s="88"/>
      <c r="BIM65" s="88"/>
      <c r="BIN65" s="88"/>
      <c r="BIO65" s="88"/>
      <c r="BIP65" s="88"/>
      <c r="BIQ65" s="88"/>
      <c r="BIR65" s="88"/>
      <c r="BIS65" s="88"/>
      <c r="BIT65" s="88"/>
      <c r="BIU65" s="88"/>
      <c r="BIV65" s="88"/>
      <c r="BIW65" s="88"/>
      <c r="BIX65" s="88"/>
      <c r="BIY65" s="88"/>
      <c r="BIZ65" s="88"/>
      <c r="BJA65" s="88"/>
      <c r="BJB65" s="88"/>
      <c r="BJC65" s="88"/>
      <c r="BJD65" s="88"/>
      <c r="BJE65" s="88"/>
      <c r="BJF65" s="88"/>
      <c r="BJG65" s="88"/>
      <c r="BJH65" s="88"/>
      <c r="BJI65" s="88"/>
      <c r="BJJ65" s="88"/>
      <c r="BJK65" s="88"/>
      <c r="BJL65" s="88"/>
      <c r="BJM65" s="88"/>
      <c r="BJN65" s="88"/>
      <c r="BJO65" s="88"/>
      <c r="BJP65" s="88"/>
      <c r="BJQ65" s="88"/>
      <c r="BJR65" s="88"/>
      <c r="BJS65" s="88"/>
      <c r="BJT65" s="88"/>
      <c r="BJU65" s="88"/>
      <c r="BJV65" s="88"/>
      <c r="BJW65" s="88"/>
      <c r="BJX65" s="88"/>
      <c r="BJY65" s="88"/>
      <c r="BJZ65" s="88"/>
      <c r="BKA65" s="88"/>
      <c r="BKB65" s="88"/>
      <c r="BKC65" s="88"/>
      <c r="BKD65" s="88"/>
      <c r="BKE65" s="88"/>
      <c r="BKF65" s="88"/>
      <c r="BKG65" s="88"/>
      <c r="BKH65" s="88"/>
      <c r="BKI65" s="88"/>
      <c r="BKJ65" s="88"/>
      <c r="BKK65" s="88"/>
      <c r="BKL65" s="88"/>
      <c r="BKM65" s="88"/>
      <c r="BKN65" s="88"/>
      <c r="BKO65" s="88"/>
      <c r="BKP65" s="88"/>
      <c r="BKQ65" s="88"/>
      <c r="BKR65" s="88"/>
      <c r="BKS65" s="88"/>
      <c r="BKT65" s="88"/>
      <c r="BKU65" s="88"/>
      <c r="BKV65" s="88"/>
      <c r="BKW65" s="88"/>
      <c r="BKX65" s="88"/>
      <c r="BKY65" s="88"/>
      <c r="BKZ65" s="88"/>
      <c r="BLA65" s="88"/>
      <c r="BLB65" s="88"/>
      <c r="BLC65" s="88"/>
      <c r="BLD65" s="88"/>
      <c r="BLE65" s="88"/>
      <c r="BLF65" s="88"/>
      <c r="BLG65" s="88"/>
      <c r="BLH65" s="88"/>
      <c r="BLI65" s="88"/>
      <c r="BLJ65" s="88"/>
      <c r="BLK65" s="88"/>
      <c r="BLL65" s="88"/>
      <c r="BLM65" s="88"/>
      <c r="BLN65" s="88"/>
      <c r="BLO65" s="88"/>
      <c r="BLP65" s="88"/>
      <c r="BLQ65" s="88"/>
      <c r="BLR65" s="88"/>
      <c r="BLS65" s="88"/>
      <c r="BLT65" s="88"/>
      <c r="BLU65" s="88"/>
      <c r="BLV65" s="88"/>
      <c r="BLW65" s="88"/>
      <c r="BLX65" s="88"/>
      <c r="BLY65" s="88"/>
      <c r="BLZ65" s="88"/>
      <c r="BMA65" s="88"/>
      <c r="BMB65" s="88"/>
      <c r="BMC65" s="88"/>
      <c r="BMD65" s="88"/>
      <c r="BME65" s="88"/>
      <c r="BMF65" s="88"/>
      <c r="BMG65" s="88"/>
      <c r="BMH65" s="88"/>
      <c r="BMI65" s="88"/>
      <c r="BMJ65" s="88"/>
      <c r="BMK65" s="88"/>
      <c r="BML65" s="88"/>
      <c r="BMM65" s="88"/>
      <c r="BMN65" s="88"/>
      <c r="BMO65" s="88"/>
      <c r="BMP65" s="88"/>
      <c r="BMQ65" s="88"/>
      <c r="BMR65" s="88"/>
      <c r="BMS65" s="88"/>
      <c r="BMT65" s="88"/>
      <c r="BMU65" s="88"/>
      <c r="BMV65" s="88"/>
      <c r="BMW65" s="88"/>
      <c r="BMX65" s="88"/>
      <c r="BMY65" s="88"/>
      <c r="BMZ65" s="88"/>
      <c r="BNA65" s="88"/>
      <c r="BNB65" s="88"/>
      <c r="BNC65" s="88"/>
      <c r="BND65" s="88"/>
      <c r="BNE65" s="88"/>
      <c r="BNF65" s="88"/>
      <c r="BNG65" s="88"/>
      <c r="BNH65" s="88"/>
      <c r="BNI65" s="88"/>
      <c r="BNJ65" s="88"/>
      <c r="BNK65" s="88"/>
      <c r="BNL65" s="88"/>
      <c r="BNM65" s="88"/>
      <c r="BNN65" s="88"/>
      <c r="BNO65" s="88"/>
      <c r="BNP65" s="88"/>
      <c r="BNQ65" s="88"/>
      <c r="BNR65" s="88"/>
      <c r="BNS65" s="88"/>
      <c r="BNT65" s="88"/>
      <c r="BNU65" s="88"/>
      <c r="BNV65" s="88"/>
      <c r="BNW65" s="88"/>
      <c r="BNX65" s="88"/>
      <c r="BNY65" s="88"/>
      <c r="BNZ65" s="88"/>
      <c r="BOA65" s="88"/>
      <c r="BOB65" s="88"/>
      <c r="BOC65" s="88"/>
      <c r="BOD65" s="88"/>
      <c r="BOE65" s="88"/>
      <c r="BOF65" s="88"/>
      <c r="BOG65" s="88"/>
      <c r="BOH65" s="88"/>
      <c r="BOI65" s="88"/>
      <c r="BOJ65" s="88"/>
      <c r="BOK65" s="88"/>
      <c r="BOL65" s="88"/>
      <c r="BOM65" s="88"/>
      <c r="BON65" s="88"/>
      <c r="BOO65" s="88"/>
      <c r="BOP65" s="88"/>
      <c r="BOQ65" s="88"/>
      <c r="BOR65" s="88"/>
      <c r="BOS65" s="88"/>
      <c r="BOT65" s="88"/>
      <c r="BOU65" s="88"/>
      <c r="BOV65" s="88"/>
      <c r="BOW65" s="88"/>
      <c r="BOX65" s="88"/>
      <c r="BOY65" s="88"/>
      <c r="BOZ65" s="88"/>
      <c r="BPA65" s="88"/>
      <c r="BPB65" s="88"/>
      <c r="BPC65" s="88"/>
      <c r="BPD65" s="88"/>
      <c r="BPE65" s="88"/>
      <c r="BPF65" s="88"/>
      <c r="BPG65" s="88"/>
      <c r="BPH65" s="88"/>
      <c r="BPI65" s="88"/>
      <c r="BPJ65" s="88"/>
      <c r="BPK65" s="88"/>
      <c r="BPL65" s="88"/>
      <c r="BPM65" s="88"/>
      <c r="BPN65" s="88"/>
      <c r="BPO65" s="88"/>
      <c r="BPP65" s="88"/>
      <c r="BPQ65" s="88"/>
      <c r="BPR65" s="88"/>
      <c r="BPS65" s="88"/>
      <c r="BPT65" s="88"/>
      <c r="BPU65" s="88"/>
      <c r="BPV65" s="88"/>
      <c r="BPW65" s="88"/>
      <c r="BPX65" s="88"/>
      <c r="BPY65" s="88"/>
      <c r="BPZ65" s="88"/>
      <c r="BQA65" s="88"/>
      <c r="BQB65" s="88"/>
      <c r="BQC65" s="88"/>
      <c r="BQD65" s="88"/>
      <c r="BQE65" s="88"/>
      <c r="BQF65" s="88"/>
      <c r="BQG65" s="88"/>
      <c r="BQH65" s="88"/>
      <c r="BQI65" s="88"/>
      <c r="BQJ65" s="88"/>
      <c r="BQK65" s="88"/>
      <c r="BQL65" s="88"/>
      <c r="BQM65" s="88"/>
      <c r="BQN65" s="88"/>
      <c r="BQO65" s="88"/>
      <c r="BQP65" s="88"/>
      <c r="BQQ65" s="88"/>
      <c r="BQR65" s="88"/>
      <c r="BQS65" s="88"/>
      <c r="BQT65" s="88"/>
      <c r="BQU65" s="88"/>
      <c r="BQV65" s="88"/>
      <c r="BQW65" s="88"/>
      <c r="BQX65" s="88"/>
      <c r="BQY65" s="88"/>
      <c r="BQZ65" s="88"/>
      <c r="BRA65" s="88"/>
      <c r="BRB65" s="88"/>
      <c r="BRC65" s="88"/>
      <c r="BRD65" s="88"/>
      <c r="BRE65" s="88"/>
      <c r="BRF65" s="88"/>
      <c r="BRG65" s="88"/>
      <c r="BRH65" s="88"/>
      <c r="BRI65" s="88"/>
      <c r="BRJ65" s="88"/>
      <c r="BRK65" s="88"/>
      <c r="BRL65" s="88"/>
      <c r="BRM65" s="88"/>
      <c r="BRN65" s="88"/>
      <c r="BRO65" s="88"/>
      <c r="BRP65" s="88"/>
      <c r="BRQ65" s="88"/>
      <c r="BRR65" s="88"/>
      <c r="BRS65" s="88"/>
      <c r="BRT65" s="88"/>
      <c r="BRU65" s="88"/>
      <c r="BRV65" s="88"/>
      <c r="BRW65" s="88"/>
      <c r="BRX65" s="88"/>
      <c r="BRY65" s="88"/>
      <c r="BRZ65" s="88"/>
      <c r="BSA65" s="88"/>
      <c r="BSB65" s="88"/>
      <c r="BSC65" s="88"/>
      <c r="BSD65" s="88"/>
      <c r="BSE65" s="88"/>
      <c r="BSF65" s="88"/>
      <c r="BSG65" s="88"/>
      <c r="BSH65" s="88"/>
      <c r="BSI65" s="88"/>
      <c r="BSJ65" s="88"/>
      <c r="BSK65" s="88"/>
      <c r="BSL65" s="88"/>
      <c r="BSM65" s="88"/>
      <c r="BSN65" s="88"/>
      <c r="BSO65" s="88"/>
      <c r="BSP65" s="88"/>
      <c r="BSQ65" s="88"/>
      <c r="BSR65" s="88"/>
      <c r="BSS65" s="88"/>
      <c r="BST65" s="88"/>
      <c r="BSU65" s="88"/>
      <c r="BSV65" s="88"/>
      <c r="BSW65" s="88"/>
      <c r="BSX65" s="88"/>
      <c r="BSY65" s="88"/>
      <c r="BSZ65" s="88"/>
      <c r="BTA65" s="88"/>
      <c r="BTB65" s="88"/>
      <c r="BTC65" s="88"/>
      <c r="BTD65" s="88"/>
      <c r="BTE65" s="88"/>
      <c r="BTF65" s="88"/>
      <c r="BTG65" s="88"/>
      <c r="BTH65" s="88"/>
      <c r="BTI65" s="88"/>
      <c r="BTJ65" s="88"/>
      <c r="BTK65" s="88"/>
      <c r="BTL65" s="88"/>
      <c r="BTM65" s="88"/>
      <c r="BTN65" s="88"/>
      <c r="BTO65" s="88"/>
      <c r="BTP65" s="88"/>
      <c r="BTQ65" s="88"/>
      <c r="BTR65" s="88"/>
      <c r="BTS65" s="88"/>
      <c r="BTT65" s="88"/>
      <c r="BTU65" s="88"/>
      <c r="BTV65" s="88"/>
      <c r="BTW65" s="88"/>
      <c r="BTX65" s="88"/>
      <c r="BTY65" s="88"/>
      <c r="BTZ65" s="88"/>
      <c r="BUA65" s="88"/>
      <c r="BUB65" s="88"/>
      <c r="BUC65" s="88"/>
      <c r="BUD65" s="88"/>
      <c r="BUE65" s="88"/>
      <c r="BUF65" s="88"/>
      <c r="BUG65" s="88"/>
      <c r="BUH65" s="88"/>
      <c r="BUI65" s="88"/>
      <c r="BUJ65" s="88"/>
      <c r="BUK65" s="88"/>
      <c r="BUL65" s="88"/>
      <c r="BUM65" s="88"/>
      <c r="BUN65" s="88"/>
      <c r="BUO65" s="88"/>
      <c r="BUP65" s="88"/>
      <c r="BUQ65" s="88"/>
      <c r="BUR65" s="88"/>
      <c r="BUS65" s="88"/>
      <c r="BUT65" s="88"/>
      <c r="BUU65" s="88"/>
      <c r="BUV65" s="88"/>
      <c r="BUW65" s="88"/>
      <c r="BUX65" s="88"/>
      <c r="BUY65" s="88"/>
      <c r="BUZ65" s="88"/>
      <c r="BVA65" s="88"/>
      <c r="BVB65" s="88"/>
      <c r="BVC65" s="88"/>
      <c r="BVD65" s="88"/>
      <c r="BVE65" s="88"/>
      <c r="BVF65" s="88"/>
      <c r="BVG65" s="88"/>
      <c r="BVH65" s="88"/>
      <c r="BVI65" s="88"/>
      <c r="BVJ65" s="88"/>
      <c r="BVK65" s="88"/>
      <c r="BVL65" s="88"/>
      <c r="BVM65" s="88"/>
      <c r="BVN65" s="88"/>
      <c r="BVO65" s="88"/>
      <c r="BVP65" s="88"/>
      <c r="BVQ65" s="88"/>
      <c r="BVR65" s="88"/>
      <c r="BVS65" s="88"/>
      <c r="BVT65" s="88"/>
      <c r="BVU65" s="88"/>
      <c r="BVV65" s="88"/>
      <c r="BVW65" s="88"/>
      <c r="BVX65" s="88"/>
      <c r="BVY65" s="88"/>
      <c r="BVZ65" s="88"/>
      <c r="BWA65" s="88"/>
      <c r="BWB65" s="88"/>
      <c r="BWC65" s="88"/>
      <c r="BWD65" s="88"/>
      <c r="BWE65" s="88"/>
      <c r="BWF65" s="88"/>
      <c r="BWG65" s="88"/>
      <c r="BWH65" s="88"/>
      <c r="BWI65" s="88"/>
      <c r="BWJ65" s="88"/>
      <c r="BWK65" s="88"/>
      <c r="BWL65" s="88"/>
      <c r="BWM65" s="88"/>
      <c r="BWN65" s="88"/>
      <c r="BWO65" s="88"/>
      <c r="BWP65" s="88"/>
      <c r="BWQ65" s="88"/>
      <c r="BWR65" s="88"/>
      <c r="BWS65" s="88"/>
      <c r="BWT65" s="88"/>
      <c r="BWU65" s="88"/>
      <c r="BWV65" s="88"/>
      <c r="BWW65" s="88"/>
      <c r="BWX65" s="88"/>
      <c r="BWY65" s="88"/>
      <c r="BWZ65" s="88"/>
      <c r="BXA65" s="88"/>
      <c r="BXB65" s="88"/>
      <c r="BXC65" s="88"/>
      <c r="BXD65" s="88"/>
      <c r="BXE65" s="88"/>
      <c r="BXF65" s="88"/>
      <c r="BXG65" s="88"/>
      <c r="BXH65" s="88"/>
      <c r="BXI65" s="88"/>
      <c r="BXJ65" s="88"/>
      <c r="BXK65" s="88"/>
      <c r="BXL65" s="88"/>
      <c r="BXM65" s="88"/>
      <c r="BXN65" s="88"/>
      <c r="BXO65" s="88"/>
      <c r="BXP65" s="88"/>
      <c r="BXQ65" s="88"/>
      <c r="BXR65" s="88"/>
      <c r="BXS65" s="88"/>
      <c r="BXT65" s="88"/>
      <c r="BXU65" s="88"/>
      <c r="BXV65" s="88"/>
      <c r="BXW65" s="88"/>
      <c r="BXX65" s="88"/>
      <c r="BXY65" s="88"/>
      <c r="BXZ65" s="88"/>
      <c r="BYA65" s="88"/>
      <c r="BYB65" s="88"/>
      <c r="BYC65" s="88"/>
      <c r="BYD65" s="88"/>
      <c r="BYE65" s="88"/>
      <c r="BYF65" s="88"/>
      <c r="BYG65" s="88"/>
      <c r="BYH65" s="88"/>
      <c r="BYI65" s="88"/>
      <c r="BYJ65" s="88"/>
      <c r="BYK65" s="88"/>
      <c r="BYL65" s="88"/>
      <c r="BYM65" s="88"/>
      <c r="BYN65" s="88"/>
      <c r="BYO65" s="88"/>
      <c r="BYP65" s="88"/>
      <c r="BYQ65" s="88"/>
      <c r="BYR65" s="88"/>
      <c r="BYS65" s="88"/>
      <c r="BYT65" s="88"/>
      <c r="BYU65" s="88"/>
      <c r="BYV65" s="88"/>
      <c r="BYW65" s="88"/>
      <c r="BYX65" s="88"/>
      <c r="BYY65" s="88"/>
      <c r="BYZ65" s="88"/>
      <c r="BZA65" s="88"/>
      <c r="BZB65" s="88"/>
      <c r="BZC65" s="88"/>
      <c r="BZD65" s="88"/>
      <c r="BZE65" s="88"/>
      <c r="BZF65" s="88"/>
      <c r="BZG65" s="88"/>
      <c r="BZH65" s="88"/>
      <c r="BZI65" s="88"/>
      <c r="BZJ65" s="88"/>
      <c r="BZK65" s="88"/>
      <c r="BZL65" s="88"/>
      <c r="BZM65" s="88"/>
      <c r="BZN65" s="88"/>
      <c r="BZO65" s="88"/>
      <c r="BZP65" s="88"/>
      <c r="BZQ65" s="88"/>
      <c r="BZR65" s="88"/>
      <c r="BZS65" s="88"/>
      <c r="BZT65" s="88"/>
      <c r="BZU65" s="88"/>
      <c r="BZV65" s="88"/>
      <c r="BZW65" s="88"/>
      <c r="BZX65" s="88"/>
      <c r="BZY65" s="88"/>
      <c r="BZZ65" s="88"/>
      <c r="CAA65" s="88"/>
      <c r="CAB65" s="88"/>
      <c r="CAC65" s="88"/>
      <c r="CAD65" s="88"/>
      <c r="CAE65" s="88"/>
      <c r="CAF65" s="88"/>
      <c r="CAG65" s="88"/>
      <c r="CAH65" s="88"/>
      <c r="CAI65" s="88"/>
      <c r="CAJ65" s="88"/>
      <c r="CAK65" s="88"/>
      <c r="CAL65" s="88"/>
      <c r="CAM65" s="88"/>
      <c r="CAN65" s="88"/>
      <c r="CAO65" s="88"/>
      <c r="CAP65" s="88"/>
      <c r="CAQ65" s="88"/>
      <c r="CAR65" s="88"/>
      <c r="CAS65" s="88"/>
      <c r="CAT65" s="88"/>
      <c r="CAU65" s="88"/>
      <c r="CAV65" s="88"/>
      <c r="CAW65" s="88"/>
      <c r="CAX65" s="88"/>
      <c r="CAY65" s="88"/>
      <c r="CAZ65" s="88"/>
      <c r="CBA65" s="88"/>
      <c r="CBB65" s="88"/>
      <c r="CBC65" s="88"/>
      <c r="CBD65" s="88"/>
      <c r="CBE65" s="88"/>
      <c r="CBF65" s="88"/>
      <c r="CBG65" s="88"/>
      <c r="CBH65" s="88"/>
      <c r="CBI65" s="88"/>
      <c r="CBJ65" s="88"/>
      <c r="CBK65" s="88"/>
      <c r="CBL65" s="88"/>
      <c r="CBM65" s="88"/>
      <c r="CBN65" s="88"/>
      <c r="CBO65" s="88"/>
      <c r="CBP65" s="88"/>
      <c r="CBQ65" s="88"/>
      <c r="CBR65" s="88"/>
      <c r="CBS65" s="88"/>
      <c r="CBT65" s="88"/>
      <c r="CBU65" s="88"/>
      <c r="CBV65" s="88"/>
      <c r="CBW65" s="88"/>
      <c r="CBX65" s="88"/>
      <c r="CBY65" s="88"/>
      <c r="CBZ65" s="88"/>
      <c r="CCA65" s="88"/>
      <c r="CCB65" s="88"/>
      <c r="CCC65" s="88"/>
      <c r="CCD65" s="88"/>
      <c r="CCE65" s="88"/>
      <c r="CCF65" s="88"/>
      <c r="CCG65" s="88"/>
      <c r="CCH65" s="88"/>
      <c r="CCI65" s="88"/>
      <c r="CCJ65" s="88"/>
      <c r="CCK65" s="88"/>
      <c r="CCL65" s="88"/>
      <c r="CCM65" s="88"/>
      <c r="CCN65" s="88"/>
      <c r="CCO65" s="88"/>
      <c r="CCP65" s="88"/>
      <c r="CCQ65" s="88"/>
      <c r="CCR65" s="88"/>
      <c r="CCS65" s="88"/>
      <c r="CCT65" s="88"/>
      <c r="CCU65" s="88"/>
      <c r="CCV65" s="88"/>
      <c r="CCW65" s="88"/>
      <c r="CCX65" s="88"/>
      <c r="CCY65" s="88"/>
      <c r="CCZ65" s="88"/>
      <c r="CDA65" s="88"/>
      <c r="CDB65" s="88"/>
      <c r="CDC65" s="88"/>
      <c r="CDD65" s="88"/>
      <c r="CDE65" s="88"/>
      <c r="CDF65" s="88"/>
      <c r="CDG65" s="88"/>
      <c r="CDH65" s="88"/>
      <c r="CDI65" s="88"/>
      <c r="CDJ65" s="88"/>
      <c r="CDK65" s="88"/>
      <c r="CDL65" s="88"/>
      <c r="CDM65" s="88"/>
      <c r="CDN65" s="88"/>
      <c r="CDO65" s="88"/>
      <c r="CDP65" s="88"/>
      <c r="CDQ65" s="88"/>
      <c r="CDR65" s="88"/>
      <c r="CDS65" s="88"/>
      <c r="CDT65" s="88"/>
      <c r="CDU65" s="88"/>
      <c r="CDV65" s="88"/>
      <c r="CDW65" s="88"/>
      <c r="CDX65" s="88"/>
      <c r="CDY65" s="88"/>
      <c r="CDZ65" s="88"/>
      <c r="CEA65" s="88"/>
      <c r="CEB65" s="88"/>
      <c r="CEC65" s="88"/>
      <c r="CED65" s="88"/>
      <c r="CEE65" s="88"/>
      <c r="CEF65" s="88"/>
      <c r="CEG65" s="88"/>
      <c r="CEH65" s="88"/>
      <c r="CEI65" s="88"/>
      <c r="CEJ65" s="88"/>
      <c r="CEK65" s="88"/>
    </row>
    <row r="66" spans="1:2169" s="51" customFormat="1">
      <c r="A66" s="109" t="s">
        <v>5319</v>
      </c>
      <c r="B66" s="72" t="s">
        <v>2861</v>
      </c>
      <c r="C66" s="69" t="str">
        <f>IF('page 2'!$O$4="","",IF('page 2'!$O$4=Gestion!A66,1,0))</f>
        <v/>
      </c>
      <c r="D66" s="69" t="str">
        <f>IF('page 2'!$O$5="","",IF('page 2'!$O$5=Gestion!A66,1,0))</f>
        <v/>
      </c>
      <c r="E66" s="69" t="str">
        <f>IF('page 2'!$O$6="","",IF('page 2'!$O$6=Gestion!A66,1,0))</f>
        <v/>
      </c>
      <c r="F66" s="69" t="str">
        <f>IF('page 2'!$O$7="","",IF('page 2'!$O$7=Gestion!A66,1,0))</f>
        <v/>
      </c>
      <c r="G66" s="69" t="str">
        <f>IF('page 2'!$O$8="","",IF('page 2'!$O$8=Gestion!A66,1,0))</f>
        <v/>
      </c>
      <c r="H66" s="69"/>
      <c r="I66" s="69" t="str">
        <f>IF('page 2'!$O$10="","",IF('page 2'!$O$10=Gestion!A66,1,0))</f>
        <v/>
      </c>
      <c r="J66" s="69" t="str">
        <f>IF('page 2'!$O$11="","",IF('page 2'!$O$11=Gestion!A66,1,0))</f>
        <v/>
      </c>
      <c r="K66" s="69" t="str">
        <f>IF('page 2'!$O$12="","",IF('page 2'!$O$12=Gestion!A66,1,0))</f>
        <v/>
      </c>
      <c r="L66" s="69" t="str">
        <f>IF('page 2'!$O$13="","",IF('page 2'!$O$13=Gestion!A66,1,0))</f>
        <v/>
      </c>
      <c r="M66" s="69" t="str">
        <f>IF('page 2'!$O$14="","",IF('page 2'!$O$14=Gestion!A66,1,0))</f>
        <v/>
      </c>
      <c r="N66" s="69" t="str">
        <f>IF('page 2'!$O$15="","",IF('page 2'!$O$15=Gestion!A66,1,0))</f>
        <v/>
      </c>
      <c r="O66" s="69" t="str">
        <f>IF('page 2'!$O$16="","",IF('page 2'!$O$16=Gestion!A66,1,0))</f>
        <v/>
      </c>
      <c r="P66" s="69" t="str">
        <f>IF('page 2'!$O$17="","",IF('page 2'!$O$17=Gestion!A66,1,0))</f>
        <v/>
      </c>
      <c r="Q66" s="69" t="str">
        <f>IF('page 2'!$O$18="","",IF('page 2'!$O$18=Gestion!A66,1,0))</f>
        <v/>
      </c>
      <c r="R66" s="69" t="str">
        <f>IF('page 2'!$O$19="","",IF('page 2'!$O$19=Gestion!A66,1,0))</f>
        <v/>
      </c>
      <c r="S66" s="69" t="str">
        <f>IF('page 2'!$O$20="","",IF('page 2'!$O$20=Gestion!A66,1,0))</f>
        <v/>
      </c>
      <c r="T66" s="69" t="str">
        <f>IF('page 2'!$O$25="","",IF('page 2'!$O$25=Gestion!A66,1,0))</f>
        <v/>
      </c>
      <c r="U66" s="69" t="str">
        <f>IF('page 2'!$O$26="","",IF('page 2'!$O$26=Gestion!A66,1,0))</f>
        <v/>
      </c>
      <c r="V66" s="69" t="str">
        <f>IF('page 2'!$O$27="","",IF('page 2'!$O$27=Gestion!A66,1,0))</f>
        <v/>
      </c>
      <c r="W66" s="723">
        <f t="shared" si="0"/>
        <v>0</v>
      </c>
      <c r="X66" s="713"/>
      <c r="Y66" s="69"/>
      <c r="Z66" s="69"/>
      <c r="AA66" s="69"/>
      <c r="AB66" s="542"/>
      <c r="AC66" s="542"/>
      <c r="AD66" s="542"/>
      <c r="AE66" s="88"/>
      <c r="AP66" s="130"/>
      <c r="AQ66" s="130"/>
      <c r="AR66" s="130"/>
      <c r="AS66" s="576"/>
      <c r="AT66" s="576"/>
      <c r="AU66" s="576"/>
      <c r="AV66" s="576"/>
      <c r="AW66" s="602"/>
      <c r="AX66" s="602"/>
      <c r="AY66" s="576"/>
      <c r="AZ66" s="576"/>
      <c r="BA66" s="576"/>
      <c r="BB66" s="576"/>
      <c r="BC66" s="576"/>
      <c r="BD66" s="602"/>
      <c r="BE66" s="602"/>
      <c r="BF66" s="602"/>
      <c r="BG66" s="602"/>
      <c r="BH66" s="602"/>
      <c r="BI66" s="602"/>
      <c r="BJ66" s="602"/>
      <c r="BK66" s="602"/>
      <c r="BL66" s="602"/>
      <c r="BM66" s="602"/>
      <c r="BN66" s="602"/>
      <c r="BO66" s="602"/>
      <c r="BP66" s="602"/>
      <c r="BQ66" s="602"/>
      <c r="BR66" s="602"/>
      <c r="BS66" s="576"/>
      <c r="BT66" s="576"/>
      <c r="BU66" s="576"/>
      <c r="BV66" s="576"/>
      <c r="BW66" s="602"/>
      <c r="BX66" s="602"/>
      <c r="BY66" s="602"/>
      <c r="BZ66" s="576"/>
      <c r="CA66" s="602"/>
      <c r="CB66" s="602"/>
      <c r="CC66" s="576"/>
      <c r="CD66" s="576"/>
      <c r="CE66" s="602"/>
      <c r="CF66" s="576"/>
      <c r="CG66" s="576"/>
      <c r="CH66" s="576"/>
      <c r="CI66" s="576"/>
      <c r="CJ66" s="576"/>
      <c r="CK66" s="602"/>
      <c r="CL66" s="602"/>
      <c r="CM66" s="576"/>
      <c r="CN66" s="602"/>
      <c r="CO66" s="602"/>
      <c r="CP66" s="602"/>
      <c r="CQ66" s="576"/>
      <c r="CR66" s="576"/>
      <c r="CS66" s="602"/>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c r="HF66" s="88"/>
      <c r="HG66" s="88"/>
      <c r="HH66" s="88"/>
      <c r="HI66" s="88"/>
      <c r="HJ66" s="88"/>
      <c r="HK66" s="88"/>
      <c r="HL66" s="88"/>
      <c r="HM66" s="88"/>
      <c r="HN66" s="88"/>
      <c r="HO66" s="88"/>
      <c r="HP66" s="88"/>
      <c r="HQ66" s="88"/>
      <c r="HR66" s="88"/>
      <c r="HS66" s="88"/>
      <c r="HT66" s="88"/>
      <c r="HU66" s="88"/>
      <c r="HV66" s="88"/>
      <c r="HW66" s="88"/>
      <c r="HX66" s="88"/>
      <c r="HY66" s="88"/>
      <c r="HZ66" s="88"/>
      <c r="IA66" s="88"/>
      <c r="IB66" s="88"/>
      <c r="IC66" s="88"/>
      <c r="ID66" s="88"/>
      <c r="IE66" s="88"/>
      <c r="IF66" s="88"/>
      <c r="IG66" s="88"/>
      <c r="IH66" s="88"/>
      <c r="II66" s="88"/>
      <c r="IJ66" s="88"/>
      <c r="IK66" s="88"/>
      <c r="IL66" s="88"/>
      <c r="IM66" s="88"/>
      <c r="IN66" s="88"/>
      <c r="IO66" s="88"/>
      <c r="IP66" s="88"/>
      <c r="IQ66" s="88"/>
      <c r="IR66" s="88"/>
      <c r="IS66" s="88"/>
      <c r="IT66" s="88"/>
      <c r="IU66" s="88"/>
      <c r="IV66" s="88"/>
      <c r="IW66" s="88"/>
      <c r="IX66" s="88"/>
      <c r="IY66" s="88"/>
      <c r="IZ66" s="88"/>
      <c r="JA66" s="88"/>
      <c r="JB66" s="88"/>
      <c r="JC66" s="88"/>
      <c r="JD66" s="88"/>
      <c r="JE66" s="88"/>
      <c r="JF66" s="88"/>
      <c r="JG66" s="88"/>
      <c r="JH66" s="88"/>
      <c r="JI66" s="88"/>
      <c r="JJ66" s="88"/>
      <c r="JK66" s="88"/>
      <c r="JL66" s="88"/>
      <c r="JM66" s="88"/>
      <c r="JN66" s="88"/>
      <c r="JO66" s="88"/>
      <c r="JP66" s="88"/>
      <c r="JQ66" s="88"/>
      <c r="JR66" s="88"/>
      <c r="JS66" s="88"/>
      <c r="JT66" s="88"/>
      <c r="JU66" s="88"/>
      <c r="JV66" s="88"/>
      <c r="JW66" s="88"/>
      <c r="JX66" s="88"/>
      <c r="JY66" s="88"/>
      <c r="JZ66" s="88"/>
      <c r="KA66" s="88"/>
      <c r="KB66" s="88"/>
      <c r="KC66" s="88"/>
      <c r="KD66" s="88"/>
      <c r="KE66" s="88"/>
      <c r="KF66" s="88"/>
      <c r="KG66" s="88"/>
      <c r="KH66" s="88"/>
      <c r="KI66" s="88"/>
      <c r="KJ66" s="88"/>
      <c r="KK66" s="88"/>
      <c r="KL66" s="88"/>
      <c r="KM66" s="88"/>
      <c r="KN66" s="88"/>
      <c r="KO66" s="88"/>
      <c r="KP66" s="88"/>
      <c r="KQ66" s="88"/>
      <c r="KR66" s="88"/>
      <c r="KS66" s="88"/>
      <c r="KT66" s="88"/>
      <c r="KU66" s="88"/>
      <c r="KV66" s="88"/>
      <c r="KW66" s="88"/>
      <c r="KX66" s="88"/>
      <c r="KY66" s="88"/>
      <c r="KZ66" s="88"/>
      <c r="LA66" s="88"/>
      <c r="LB66" s="88"/>
      <c r="LC66" s="88"/>
      <c r="LD66" s="88"/>
      <c r="LE66" s="88"/>
      <c r="LF66" s="88"/>
      <c r="LG66" s="88"/>
      <c r="LH66" s="88"/>
      <c r="LI66" s="88"/>
      <c r="LJ66" s="88"/>
      <c r="LK66" s="88"/>
      <c r="LL66" s="88"/>
      <c r="LM66" s="88"/>
      <c r="LN66" s="88"/>
      <c r="LO66" s="88"/>
      <c r="LP66" s="88"/>
      <c r="LQ66" s="88"/>
      <c r="LR66" s="88"/>
      <c r="LS66" s="88"/>
      <c r="LT66" s="88"/>
      <c r="LU66" s="88"/>
      <c r="LV66" s="88"/>
      <c r="LW66" s="88"/>
      <c r="LX66" s="88"/>
      <c r="LY66" s="88"/>
      <c r="LZ66" s="88"/>
      <c r="MA66" s="88"/>
      <c r="MB66" s="88"/>
      <c r="MC66" s="88"/>
      <c r="MD66" s="88"/>
      <c r="ME66" s="88"/>
      <c r="MF66" s="88"/>
      <c r="MG66" s="88"/>
      <c r="MH66" s="88"/>
      <c r="MI66" s="88"/>
      <c r="MJ66" s="88"/>
      <c r="MK66" s="88"/>
      <c r="ML66" s="88"/>
      <c r="MM66" s="88"/>
      <c r="MN66" s="88"/>
      <c r="MO66" s="88"/>
      <c r="MP66" s="88"/>
      <c r="MQ66" s="88"/>
      <c r="MR66" s="88"/>
      <c r="MS66" s="88"/>
      <c r="MT66" s="88"/>
      <c r="MU66" s="88"/>
      <c r="MV66" s="88"/>
      <c r="MW66" s="88"/>
      <c r="MX66" s="88"/>
      <c r="MY66" s="88"/>
      <c r="MZ66" s="88"/>
      <c r="NA66" s="88"/>
      <c r="NB66" s="88"/>
      <c r="NC66" s="88"/>
      <c r="ND66" s="88"/>
      <c r="NE66" s="88"/>
      <c r="NF66" s="88"/>
      <c r="NG66" s="88"/>
      <c r="NH66" s="88"/>
      <c r="NI66" s="88"/>
      <c r="NJ66" s="88"/>
      <c r="NK66" s="88"/>
      <c r="NL66" s="88"/>
      <c r="NM66" s="88"/>
      <c r="NN66" s="88"/>
      <c r="NO66" s="88"/>
      <c r="NP66" s="88"/>
      <c r="NQ66" s="88"/>
      <c r="NR66" s="88"/>
      <c r="NS66" s="88"/>
      <c r="NT66" s="88"/>
      <c r="NU66" s="88"/>
      <c r="NV66" s="88"/>
      <c r="NW66" s="88"/>
      <c r="NX66" s="88"/>
      <c r="NY66" s="88"/>
      <c r="NZ66" s="88"/>
      <c r="OA66" s="88"/>
      <c r="OB66" s="88"/>
      <c r="OC66" s="88"/>
      <c r="OD66" s="88"/>
      <c r="OE66" s="88"/>
      <c r="OF66" s="88"/>
      <c r="OG66" s="88"/>
      <c r="OH66" s="88"/>
      <c r="OI66" s="88"/>
      <c r="OJ66" s="88"/>
      <c r="OK66" s="88"/>
      <c r="OL66" s="88"/>
      <c r="OM66" s="88"/>
      <c r="ON66" s="88"/>
      <c r="OO66" s="88"/>
      <c r="OP66" s="88"/>
      <c r="OQ66" s="88"/>
      <c r="OR66" s="88"/>
      <c r="OS66" s="88"/>
      <c r="OT66" s="88"/>
      <c r="OU66" s="88"/>
      <c r="OV66" s="88"/>
      <c r="OW66" s="88"/>
      <c r="OX66" s="88"/>
      <c r="OY66" s="88"/>
      <c r="OZ66" s="88"/>
      <c r="PA66" s="88"/>
      <c r="PB66" s="88"/>
      <c r="PC66" s="88"/>
      <c r="PD66" s="88"/>
      <c r="PE66" s="88"/>
      <c r="PF66" s="88"/>
      <c r="PG66" s="88"/>
      <c r="PH66" s="88"/>
      <c r="PI66" s="88"/>
      <c r="PJ66" s="88"/>
      <c r="PK66" s="88"/>
      <c r="PL66" s="88"/>
      <c r="PM66" s="88"/>
      <c r="PN66" s="88"/>
      <c r="PO66" s="88"/>
      <c r="PP66" s="88"/>
      <c r="PQ66" s="88"/>
      <c r="PR66" s="88"/>
      <c r="PS66" s="88"/>
      <c r="PT66" s="88"/>
      <c r="PU66" s="88"/>
      <c r="PV66" s="88"/>
      <c r="PW66" s="88"/>
      <c r="PX66" s="88"/>
      <c r="PY66" s="88"/>
      <c r="PZ66" s="88"/>
      <c r="QA66" s="88"/>
      <c r="QB66" s="88"/>
      <c r="QC66" s="88"/>
      <c r="QD66" s="88"/>
      <c r="QE66" s="88"/>
      <c r="QF66" s="88"/>
      <c r="QG66" s="88"/>
      <c r="QH66" s="88"/>
      <c r="QI66" s="88"/>
      <c r="QJ66" s="88"/>
      <c r="QK66" s="88"/>
      <c r="QL66" s="88"/>
      <c r="QM66" s="88"/>
      <c r="QN66" s="88"/>
      <c r="QO66" s="88"/>
      <c r="QP66" s="88"/>
      <c r="QQ66" s="88"/>
      <c r="QR66" s="88"/>
      <c r="QS66" s="88"/>
      <c r="QT66" s="88"/>
      <c r="QU66" s="88"/>
      <c r="QV66" s="88"/>
      <c r="QW66" s="88"/>
      <c r="QX66" s="88"/>
      <c r="QY66" s="88"/>
      <c r="QZ66" s="88"/>
      <c r="RA66" s="88"/>
      <c r="RB66" s="88"/>
      <c r="RC66" s="88"/>
      <c r="RD66" s="88"/>
      <c r="RE66" s="88"/>
      <c r="RF66" s="88"/>
      <c r="RG66" s="88"/>
      <c r="RH66" s="88"/>
      <c r="RI66" s="88"/>
      <c r="RJ66" s="88"/>
      <c r="RK66" s="88"/>
      <c r="RL66" s="88"/>
      <c r="RM66" s="88"/>
      <c r="RN66" s="88"/>
      <c r="RO66" s="88"/>
      <c r="RP66" s="88"/>
      <c r="RQ66" s="88"/>
      <c r="RR66" s="88"/>
      <c r="RS66" s="88"/>
      <c r="RT66" s="88"/>
      <c r="RU66" s="88"/>
      <c r="RV66" s="88"/>
      <c r="RW66" s="88"/>
      <c r="RX66" s="88"/>
      <c r="RY66" s="88"/>
      <c r="RZ66" s="88"/>
      <c r="SA66" s="88"/>
      <c r="SB66" s="88"/>
      <c r="SC66" s="88"/>
      <c r="SD66" s="88"/>
      <c r="SE66" s="88"/>
      <c r="SF66" s="88"/>
      <c r="SG66" s="88"/>
      <c r="SH66" s="88"/>
      <c r="SI66" s="88"/>
      <c r="SJ66" s="88"/>
      <c r="SK66" s="88"/>
      <c r="SL66" s="88"/>
      <c r="SM66" s="88"/>
      <c r="SN66" s="88"/>
      <c r="SO66" s="88"/>
      <c r="SP66" s="88"/>
      <c r="SQ66" s="88"/>
      <c r="SR66" s="88"/>
      <c r="SS66" s="88"/>
      <c r="ST66" s="88"/>
      <c r="SU66" s="88"/>
      <c r="SV66" s="88"/>
      <c r="SW66" s="88"/>
      <c r="SX66" s="88"/>
      <c r="SY66" s="88"/>
      <c r="SZ66" s="88"/>
      <c r="TA66" s="88"/>
      <c r="TB66" s="88"/>
      <c r="TC66" s="88"/>
      <c r="TD66" s="88"/>
      <c r="TE66" s="88"/>
      <c r="TF66" s="88"/>
      <c r="TG66" s="88"/>
      <c r="TH66" s="88"/>
      <c r="TI66" s="88"/>
      <c r="TJ66" s="88"/>
      <c r="TK66" s="88"/>
      <c r="TL66" s="88"/>
      <c r="TM66" s="88"/>
      <c r="TN66" s="88"/>
      <c r="TO66" s="88"/>
      <c r="TP66" s="88"/>
      <c r="TQ66" s="88"/>
      <c r="TR66" s="88"/>
      <c r="TS66" s="88"/>
      <c r="TT66" s="88"/>
      <c r="TU66" s="88"/>
      <c r="TV66" s="88"/>
      <c r="TW66" s="88"/>
      <c r="TX66" s="88"/>
      <c r="TY66" s="88"/>
      <c r="TZ66" s="88"/>
      <c r="UA66" s="88"/>
      <c r="UB66" s="88"/>
      <c r="UC66" s="88"/>
      <c r="UD66" s="88"/>
      <c r="UE66" s="88"/>
      <c r="UF66" s="88"/>
      <c r="UG66" s="88"/>
      <c r="UH66" s="88"/>
      <c r="UI66" s="88"/>
      <c r="UJ66" s="88"/>
      <c r="UK66" s="88"/>
      <c r="UL66" s="88"/>
      <c r="UM66" s="88"/>
      <c r="UN66" s="88"/>
      <c r="UO66" s="88"/>
      <c r="UP66" s="88"/>
      <c r="UQ66" s="88"/>
      <c r="UR66" s="88"/>
      <c r="US66" s="88"/>
      <c r="UT66" s="88"/>
      <c r="UU66" s="88"/>
      <c r="UV66" s="88"/>
      <c r="UW66" s="88"/>
      <c r="UX66" s="88"/>
      <c r="UY66" s="88"/>
      <c r="UZ66" s="88"/>
      <c r="VA66" s="88"/>
      <c r="VB66" s="88"/>
      <c r="VC66" s="88"/>
      <c r="VD66" s="88"/>
      <c r="VE66" s="88"/>
      <c r="VF66" s="88"/>
      <c r="VG66" s="88"/>
      <c r="VH66" s="88"/>
      <c r="VI66" s="88"/>
      <c r="VJ66" s="88"/>
      <c r="VK66" s="88"/>
      <c r="VL66" s="88"/>
      <c r="VM66" s="88"/>
      <c r="VN66" s="88"/>
      <c r="VO66" s="88"/>
      <c r="VP66" s="88"/>
      <c r="VQ66" s="88"/>
      <c r="VR66" s="88"/>
      <c r="VS66" s="88"/>
      <c r="VT66" s="88"/>
      <c r="VU66" s="88"/>
      <c r="VV66" s="88"/>
      <c r="VW66" s="88"/>
      <c r="VX66" s="88"/>
      <c r="VY66" s="88"/>
      <c r="VZ66" s="88"/>
      <c r="WA66" s="88"/>
      <c r="WB66" s="88"/>
      <c r="WC66" s="88"/>
      <c r="WD66" s="88"/>
      <c r="WE66" s="88"/>
      <c r="WF66" s="88"/>
      <c r="WG66" s="88"/>
      <c r="WH66" s="88"/>
      <c r="WI66" s="88"/>
      <c r="WJ66" s="88"/>
      <c r="WK66" s="88"/>
      <c r="WL66" s="88"/>
      <c r="WM66" s="88"/>
      <c r="WN66" s="88"/>
      <c r="WO66" s="88"/>
      <c r="WP66" s="88"/>
      <c r="WQ66" s="88"/>
      <c r="WR66" s="88"/>
      <c r="WS66" s="88"/>
      <c r="WT66" s="88"/>
      <c r="WU66" s="88"/>
      <c r="WV66" s="88"/>
      <c r="WW66" s="88"/>
      <c r="WX66" s="88"/>
      <c r="WY66" s="88"/>
      <c r="WZ66" s="88"/>
      <c r="XA66" s="88"/>
      <c r="XB66" s="88"/>
      <c r="XC66" s="88"/>
      <c r="XD66" s="88"/>
      <c r="XE66" s="88"/>
      <c r="XF66" s="88"/>
      <c r="XG66" s="88"/>
      <c r="XH66" s="88"/>
      <c r="XI66" s="88"/>
      <c r="XJ66" s="88"/>
      <c r="XK66" s="88"/>
      <c r="XL66" s="88"/>
      <c r="XM66" s="88"/>
      <c r="XN66" s="88"/>
      <c r="XO66" s="88"/>
      <c r="XP66" s="88"/>
      <c r="XQ66" s="88"/>
      <c r="XR66" s="88"/>
      <c r="XS66" s="88"/>
      <c r="XT66" s="88"/>
      <c r="XU66" s="88"/>
      <c r="XV66" s="88"/>
      <c r="XW66" s="88"/>
      <c r="XX66" s="88"/>
      <c r="XY66" s="88"/>
      <c r="XZ66" s="88"/>
      <c r="YA66" s="88"/>
      <c r="YB66" s="88"/>
      <c r="YC66" s="88"/>
      <c r="YD66" s="88"/>
      <c r="YE66" s="88"/>
      <c r="YF66" s="88"/>
      <c r="YG66" s="88"/>
      <c r="YH66" s="88"/>
      <c r="YI66" s="88"/>
      <c r="YJ66" s="88"/>
      <c r="YK66" s="88"/>
      <c r="YL66" s="88"/>
      <c r="YM66" s="88"/>
      <c r="YN66" s="88"/>
      <c r="YO66" s="88"/>
      <c r="YP66" s="88"/>
      <c r="YQ66" s="88"/>
      <c r="YR66" s="88"/>
      <c r="YS66" s="88"/>
      <c r="YT66" s="88"/>
      <c r="YU66" s="88"/>
      <c r="YV66" s="88"/>
      <c r="YW66" s="88"/>
      <c r="YX66" s="88"/>
      <c r="YY66" s="88"/>
      <c r="YZ66" s="88"/>
      <c r="ZA66" s="88"/>
      <c r="ZB66" s="88"/>
      <c r="ZC66" s="88"/>
      <c r="ZD66" s="88"/>
      <c r="ZE66" s="88"/>
      <c r="ZF66" s="88"/>
      <c r="ZG66" s="88"/>
      <c r="ZH66" s="88"/>
      <c r="ZI66" s="88"/>
      <c r="ZJ66" s="88"/>
      <c r="ZK66" s="88"/>
      <c r="ZL66" s="88"/>
      <c r="ZM66" s="88"/>
      <c r="ZN66" s="88"/>
      <c r="ZO66" s="88"/>
      <c r="ZP66" s="88"/>
      <c r="ZQ66" s="88"/>
      <c r="ZR66" s="88"/>
      <c r="ZS66" s="88"/>
      <c r="ZT66" s="88"/>
      <c r="ZU66" s="88"/>
      <c r="ZV66" s="88"/>
      <c r="ZW66" s="88"/>
      <c r="ZX66" s="88"/>
      <c r="ZY66" s="88"/>
      <c r="ZZ66" s="88"/>
      <c r="AAA66" s="88"/>
      <c r="AAB66" s="88"/>
      <c r="AAC66" s="88"/>
      <c r="AAD66" s="88"/>
      <c r="AAE66" s="88"/>
      <c r="AAF66" s="88"/>
      <c r="AAG66" s="88"/>
      <c r="AAH66" s="88"/>
      <c r="AAI66" s="88"/>
      <c r="AAJ66" s="88"/>
      <c r="AAK66" s="88"/>
      <c r="AAL66" s="88"/>
      <c r="AAM66" s="88"/>
      <c r="AAN66" s="88"/>
      <c r="AAO66" s="88"/>
      <c r="AAP66" s="88"/>
      <c r="AAQ66" s="88"/>
      <c r="AAR66" s="88"/>
      <c r="AAS66" s="88"/>
      <c r="AAT66" s="88"/>
      <c r="AAU66" s="88"/>
      <c r="AAV66" s="88"/>
      <c r="AAW66" s="88"/>
      <c r="AAX66" s="88"/>
      <c r="AAY66" s="88"/>
      <c r="AAZ66" s="88"/>
      <c r="ABA66" s="88"/>
      <c r="ABB66" s="88"/>
      <c r="ABC66" s="88"/>
      <c r="ABD66" s="88"/>
      <c r="ABE66" s="88"/>
      <c r="ABF66" s="88"/>
      <c r="ABG66" s="88"/>
      <c r="ABH66" s="88"/>
      <c r="ABI66" s="88"/>
      <c r="ABJ66" s="88"/>
      <c r="ABK66" s="88"/>
      <c r="ABL66" s="88"/>
      <c r="ABM66" s="88"/>
      <c r="ABN66" s="88"/>
      <c r="ABO66" s="88"/>
      <c r="ABP66" s="88"/>
      <c r="ABQ66" s="88"/>
      <c r="ABR66" s="88"/>
      <c r="ABS66" s="88"/>
      <c r="ABT66" s="88"/>
      <c r="ABU66" s="88"/>
      <c r="ABV66" s="88"/>
      <c r="ABW66" s="88"/>
      <c r="ABX66" s="88"/>
      <c r="ABY66" s="88"/>
      <c r="ABZ66" s="88"/>
      <c r="ACA66" s="88"/>
      <c r="ACB66" s="88"/>
      <c r="ACC66" s="88"/>
      <c r="ACD66" s="88"/>
      <c r="ACE66" s="88"/>
      <c r="ACF66" s="88"/>
      <c r="ACG66" s="88"/>
      <c r="ACH66" s="88"/>
      <c r="ACI66" s="88"/>
      <c r="ACJ66" s="88"/>
      <c r="ACK66" s="88"/>
      <c r="ACL66" s="88"/>
      <c r="ACM66" s="88"/>
      <c r="ACN66" s="88"/>
      <c r="ACO66" s="88"/>
      <c r="ACP66" s="88"/>
      <c r="ACQ66" s="88"/>
      <c r="ACR66" s="88"/>
      <c r="ACS66" s="88"/>
      <c r="ACT66" s="88"/>
      <c r="ACU66" s="88"/>
      <c r="ACV66" s="88"/>
      <c r="ACW66" s="88"/>
      <c r="ACX66" s="88"/>
      <c r="ACY66" s="88"/>
      <c r="ACZ66" s="88"/>
      <c r="ADA66" s="88"/>
      <c r="ADB66" s="88"/>
      <c r="ADC66" s="88"/>
      <c r="ADD66" s="88"/>
      <c r="ADE66" s="88"/>
      <c r="ADF66" s="88"/>
      <c r="ADG66" s="88"/>
      <c r="ADH66" s="88"/>
      <c r="ADI66" s="88"/>
      <c r="ADJ66" s="88"/>
      <c r="ADK66" s="88"/>
      <c r="ADL66" s="88"/>
      <c r="ADM66" s="88"/>
      <c r="ADN66" s="88"/>
      <c r="ADO66" s="88"/>
      <c r="ADP66" s="88"/>
      <c r="ADQ66" s="88"/>
      <c r="ADR66" s="88"/>
      <c r="ADS66" s="88"/>
      <c r="ADT66" s="88"/>
      <c r="ADU66" s="88"/>
      <c r="ADV66" s="88"/>
      <c r="ADW66" s="88"/>
      <c r="ADX66" s="88"/>
      <c r="ADY66" s="88"/>
      <c r="ADZ66" s="88"/>
      <c r="AEA66" s="88"/>
      <c r="AEB66" s="88"/>
      <c r="AEC66" s="88"/>
      <c r="AED66" s="88"/>
      <c r="AEE66" s="88"/>
      <c r="AEF66" s="88"/>
      <c r="AEG66" s="88"/>
      <c r="AEH66" s="88"/>
      <c r="AEI66" s="88"/>
      <c r="AEJ66" s="88"/>
      <c r="AEK66" s="88"/>
      <c r="AEL66" s="88"/>
      <c r="AEM66" s="88"/>
      <c r="AEN66" s="88"/>
      <c r="AEO66" s="88"/>
      <c r="AEP66" s="88"/>
      <c r="AEQ66" s="88"/>
      <c r="AER66" s="88"/>
      <c r="AES66" s="88"/>
      <c r="AET66" s="88"/>
      <c r="AEU66" s="88"/>
      <c r="AEV66" s="88"/>
      <c r="AEW66" s="88"/>
      <c r="AEX66" s="88"/>
      <c r="AEY66" s="88"/>
      <c r="AEZ66" s="88"/>
      <c r="AFA66" s="88"/>
      <c r="AFB66" s="88"/>
      <c r="AFC66" s="88"/>
      <c r="AFD66" s="88"/>
      <c r="AFE66" s="88"/>
      <c r="AFF66" s="88"/>
      <c r="AFG66" s="88"/>
      <c r="AFH66" s="88"/>
      <c r="AFI66" s="88"/>
      <c r="AFJ66" s="88"/>
      <c r="AFK66" s="88"/>
      <c r="AFL66" s="88"/>
      <c r="AFM66" s="88"/>
      <c r="AFN66" s="88"/>
      <c r="AFO66" s="88"/>
      <c r="AFP66" s="88"/>
      <c r="AFQ66" s="88"/>
      <c r="AFR66" s="88"/>
      <c r="AFS66" s="88"/>
      <c r="AFT66" s="88"/>
      <c r="AFU66" s="88"/>
      <c r="AFV66" s="88"/>
      <c r="AFW66" s="88"/>
      <c r="AFX66" s="88"/>
      <c r="AFY66" s="88"/>
      <c r="AFZ66" s="88"/>
      <c r="AGA66" s="88"/>
      <c r="AGB66" s="88"/>
      <c r="AGC66" s="88"/>
      <c r="AGD66" s="88"/>
      <c r="AGE66" s="88"/>
      <c r="AGF66" s="88"/>
      <c r="AGG66" s="88"/>
      <c r="AGH66" s="88"/>
      <c r="AGI66" s="88"/>
      <c r="AGJ66" s="88"/>
      <c r="AGK66" s="88"/>
      <c r="AGL66" s="88"/>
      <c r="AGM66" s="88"/>
      <c r="AGN66" s="88"/>
      <c r="AGO66" s="88"/>
      <c r="AGP66" s="88"/>
      <c r="AGQ66" s="88"/>
      <c r="AGR66" s="88"/>
      <c r="AGS66" s="88"/>
      <c r="AGT66" s="88"/>
      <c r="AGU66" s="88"/>
      <c r="AGV66" s="88"/>
      <c r="AGW66" s="88"/>
      <c r="AGX66" s="88"/>
      <c r="AGY66" s="88"/>
      <c r="AGZ66" s="88"/>
      <c r="AHA66" s="88"/>
      <c r="AHB66" s="88"/>
      <c r="AHC66" s="88"/>
      <c r="AHD66" s="88"/>
      <c r="AHE66" s="88"/>
      <c r="AHF66" s="88"/>
      <c r="AHG66" s="88"/>
      <c r="AHH66" s="88"/>
      <c r="AHI66" s="88"/>
      <c r="AHJ66" s="88"/>
      <c r="AHK66" s="88"/>
      <c r="AHL66" s="88"/>
      <c r="AHM66" s="88"/>
      <c r="AHN66" s="88"/>
      <c r="AHO66" s="88"/>
      <c r="AHP66" s="88"/>
      <c r="AHQ66" s="88"/>
      <c r="AHR66" s="88"/>
      <c r="AHS66" s="88"/>
      <c r="AHT66" s="88"/>
      <c r="AHU66" s="88"/>
      <c r="AHV66" s="88"/>
      <c r="AHW66" s="88"/>
      <c r="AHX66" s="88"/>
      <c r="AHY66" s="88"/>
      <c r="AHZ66" s="88"/>
      <c r="AIA66" s="88"/>
      <c r="AIB66" s="88"/>
      <c r="AIC66" s="88"/>
      <c r="AID66" s="88"/>
      <c r="AIE66" s="88"/>
      <c r="AIF66" s="88"/>
      <c r="AIG66" s="88"/>
      <c r="AIH66" s="88"/>
      <c r="AII66" s="88"/>
      <c r="AIJ66" s="88"/>
      <c r="AIK66" s="88"/>
      <c r="AIL66" s="88"/>
      <c r="AIM66" s="88"/>
      <c r="AIN66" s="88"/>
      <c r="AIO66" s="88"/>
      <c r="AIP66" s="88"/>
      <c r="AIQ66" s="88"/>
      <c r="AIR66" s="88"/>
      <c r="AIS66" s="88"/>
      <c r="AIT66" s="88"/>
      <c r="AIU66" s="88"/>
      <c r="AIV66" s="88"/>
      <c r="AIW66" s="88"/>
      <c r="AIX66" s="88"/>
      <c r="AIY66" s="88"/>
      <c r="AIZ66" s="88"/>
      <c r="AJA66" s="88"/>
      <c r="AJB66" s="88"/>
      <c r="AJC66" s="88"/>
      <c r="AJD66" s="88"/>
      <c r="AJE66" s="88"/>
      <c r="AJF66" s="88"/>
      <c r="AJG66" s="88"/>
      <c r="AJH66" s="88"/>
      <c r="AJI66" s="88"/>
      <c r="AJJ66" s="88"/>
      <c r="AJK66" s="88"/>
      <c r="AJL66" s="88"/>
      <c r="AJM66" s="88"/>
      <c r="AJN66" s="88"/>
      <c r="AJO66" s="88"/>
      <c r="AJP66" s="88"/>
      <c r="AJQ66" s="88"/>
      <c r="AJR66" s="88"/>
      <c r="AJS66" s="88"/>
      <c r="AJT66" s="88"/>
      <c r="AJU66" s="88"/>
      <c r="AJV66" s="88"/>
      <c r="AJW66" s="88"/>
      <c r="AJX66" s="88"/>
      <c r="AJY66" s="88"/>
      <c r="AJZ66" s="88"/>
      <c r="AKA66" s="88"/>
      <c r="AKB66" s="88"/>
      <c r="AKC66" s="88"/>
      <c r="AKD66" s="88"/>
      <c r="AKE66" s="88"/>
      <c r="AKF66" s="88"/>
      <c r="AKG66" s="88"/>
      <c r="AKH66" s="88"/>
      <c r="AKI66" s="88"/>
      <c r="AKJ66" s="88"/>
      <c r="AKK66" s="88"/>
      <c r="AKL66" s="88"/>
      <c r="AKM66" s="88"/>
      <c r="AKN66" s="88"/>
      <c r="AKO66" s="88"/>
      <c r="AKP66" s="88"/>
      <c r="AKQ66" s="88"/>
      <c r="AKR66" s="88"/>
      <c r="AKS66" s="88"/>
      <c r="AKT66" s="88"/>
      <c r="AKU66" s="88"/>
      <c r="AKV66" s="88"/>
      <c r="AKW66" s="88"/>
      <c r="AKX66" s="88"/>
      <c r="AKY66" s="88"/>
      <c r="AKZ66" s="88"/>
      <c r="ALA66" s="88"/>
      <c r="ALB66" s="88"/>
      <c r="ALC66" s="88"/>
      <c r="ALD66" s="88"/>
      <c r="ALE66" s="88"/>
      <c r="ALF66" s="88"/>
      <c r="ALG66" s="88"/>
      <c r="ALH66" s="88"/>
      <c r="ALI66" s="88"/>
      <c r="ALJ66" s="88"/>
      <c r="ALK66" s="88"/>
      <c r="ALL66" s="88"/>
      <c r="ALM66" s="88"/>
      <c r="ALN66" s="88"/>
      <c r="ALO66" s="88"/>
      <c r="ALP66" s="88"/>
      <c r="ALQ66" s="88"/>
      <c r="ALR66" s="88"/>
      <c r="ALS66" s="88"/>
      <c r="ALT66" s="88"/>
      <c r="ALU66" s="88"/>
      <c r="ALV66" s="88"/>
      <c r="ALW66" s="88"/>
      <c r="ALX66" s="88"/>
      <c r="ALY66" s="88"/>
      <c r="ALZ66" s="88"/>
      <c r="AMA66" s="88"/>
      <c r="AMB66" s="88"/>
      <c r="AMC66" s="88"/>
      <c r="AMD66" s="88"/>
      <c r="AME66" s="88"/>
      <c r="AMF66" s="88"/>
      <c r="AMG66" s="88"/>
      <c r="AMH66" s="88"/>
      <c r="AMI66" s="88"/>
      <c r="AMJ66" s="88"/>
      <c r="AMK66" s="88"/>
      <c r="AML66" s="88"/>
      <c r="AMM66" s="88"/>
      <c r="AMN66" s="88"/>
      <c r="AMO66" s="88"/>
      <c r="AMP66" s="88"/>
      <c r="AMQ66" s="88"/>
      <c r="AMR66" s="88"/>
      <c r="AMS66" s="88"/>
      <c r="AMT66" s="88"/>
      <c r="AMU66" s="88"/>
      <c r="AMV66" s="88"/>
      <c r="AMW66" s="88"/>
      <c r="AMX66" s="88"/>
      <c r="AMY66" s="88"/>
      <c r="AMZ66" s="88"/>
      <c r="ANA66" s="88"/>
      <c r="ANB66" s="88"/>
      <c r="ANC66" s="88"/>
      <c r="AND66" s="88"/>
      <c r="ANE66" s="88"/>
      <c r="ANF66" s="88"/>
      <c r="ANG66" s="88"/>
      <c r="ANH66" s="88"/>
      <c r="ANI66" s="88"/>
      <c r="ANJ66" s="88"/>
      <c r="ANK66" s="88"/>
      <c r="ANL66" s="88"/>
      <c r="ANM66" s="88"/>
      <c r="ANN66" s="88"/>
      <c r="ANO66" s="88"/>
      <c r="ANP66" s="88"/>
      <c r="ANQ66" s="88"/>
      <c r="ANR66" s="88"/>
      <c r="ANS66" s="88"/>
      <c r="ANT66" s="88"/>
      <c r="ANU66" s="88"/>
      <c r="ANV66" s="88"/>
      <c r="ANW66" s="88"/>
      <c r="ANX66" s="88"/>
      <c r="ANY66" s="88"/>
      <c r="ANZ66" s="88"/>
      <c r="AOA66" s="88"/>
      <c r="AOB66" s="88"/>
      <c r="AOC66" s="88"/>
      <c r="AOD66" s="88"/>
      <c r="AOE66" s="88"/>
      <c r="AOF66" s="88"/>
      <c r="AOG66" s="88"/>
      <c r="AOH66" s="88"/>
      <c r="AOI66" s="88"/>
      <c r="AOJ66" s="88"/>
      <c r="AOK66" s="88"/>
      <c r="AOL66" s="88"/>
      <c r="AOM66" s="88"/>
      <c r="AON66" s="88"/>
      <c r="AOO66" s="88"/>
      <c r="AOP66" s="88"/>
      <c r="AOQ66" s="88"/>
      <c r="AOR66" s="88"/>
      <c r="AOS66" s="88"/>
      <c r="AOT66" s="88"/>
      <c r="AOU66" s="88"/>
      <c r="AOV66" s="88"/>
      <c r="AOW66" s="88"/>
      <c r="AOX66" s="88"/>
      <c r="AOY66" s="88"/>
      <c r="AOZ66" s="88"/>
      <c r="APA66" s="88"/>
      <c r="APB66" s="88"/>
      <c r="APC66" s="88"/>
      <c r="APD66" s="88"/>
      <c r="APE66" s="88"/>
      <c r="APF66" s="88"/>
      <c r="APG66" s="88"/>
      <c r="APH66" s="88"/>
      <c r="API66" s="88"/>
      <c r="APJ66" s="88"/>
      <c r="APK66" s="88"/>
      <c r="APL66" s="88"/>
      <c r="APM66" s="88"/>
      <c r="APN66" s="88"/>
      <c r="APO66" s="88"/>
      <c r="APP66" s="88"/>
      <c r="APQ66" s="88"/>
      <c r="APR66" s="88"/>
      <c r="APS66" s="88"/>
      <c r="APT66" s="88"/>
      <c r="APU66" s="88"/>
      <c r="APV66" s="88"/>
      <c r="APW66" s="88"/>
      <c r="APX66" s="88"/>
      <c r="APY66" s="88"/>
      <c r="APZ66" s="88"/>
      <c r="AQA66" s="88"/>
      <c r="AQB66" s="88"/>
      <c r="AQC66" s="88"/>
      <c r="AQD66" s="88"/>
      <c r="AQE66" s="88"/>
      <c r="AQF66" s="88"/>
      <c r="AQG66" s="88"/>
      <c r="AQH66" s="88"/>
      <c r="AQI66" s="88"/>
      <c r="AQJ66" s="88"/>
      <c r="AQK66" s="88"/>
      <c r="AQL66" s="88"/>
      <c r="AQM66" s="88"/>
      <c r="AQN66" s="88"/>
      <c r="AQO66" s="88"/>
      <c r="AQP66" s="88"/>
      <c r="AQQ66" s="88"/>
      <c r="AQR66" s="88"/>
      <c r="AQS66" s="88"/>
      <c r="AQT66" s="88"/>
      <c r="AQU66" s="88"/>
      <c r="AQV66" s="88"/>
      <c r="AQW66" s="88"/>
      <c r="AQX66" s="88"/>
      <c r="AQY66" s="88"/>
      <c r="AQZ66" s="88"/>
      <c r="ARA66" s="88"/>
      <c r="ARB66" s="88"/>
      <c r="ARC66" s="88"/>
      <c r="ARD66" s="88"/>
      <c r="ARE66" s="88"/>
      <c r="ARF66" s="88"/>
      <c r="ARG66" s="88"/>
      <c r="ARH66" s="88"/>
      <c r="ARI66" s="88"/>
      <c r="ARJ66" s="88"/>
      <c r="ARK66" s="88"/>
      <c r="ARL66" s="88"/>
      <c r="ARM66" s="88"/>
      <c r="ARN66" s="88"/>
      <c r="ARO66" s="88"/>
      <c r="ARP66" s="88"/>
      <c r="ARQ66" s="88"/>
      <c r="ARR66" s="88"/>
      <c r="ARS66" s="88"/>
      <c r="ART66" s="88"/>
      <c r="ARU66" s="88"/>
      <c r="ARV66" s="88"/>
      <c r="ARW66" s="88"/>
      <c r="ARX66" s="88"/>
      <c r="ARY66" s="88"/>
      <c r="ARZ66" s="88"/>
      <c r="ASA66" s="88"/>
      <c r="ASB66" s="88"/>
      <c r="ASC66" s="88"/>
      <c r="ASD66" s="88"/>
      <c r="ASE66" s="88"/>
      <c r="ASF66" s="88"/>
      <c r="ASG66" s="88"/>
      <c r="ASH66" s="88"/>
      <c r="ASI66" s="88"/>
      <c r="ASJ66" s="88"/>
      <c r="ASK66" s="88"/>
      <c r="ASL66" s="88"/>
      <c r="ASM66" s="88"/>
      <c r="ASN66" s="88"/>
      <c r="ASO66" s="88"/>
      <c r="ASP66" s="88"/>
      <c r="ASQ66" s="88"/>
      <c r="ASR66" s="88"/>
      <c r="ASS66" s="88"/>
      <c r="AST66" s="88"/>
      <c r="ASU66" s="88"/>
      <c r="ASV66" s="88"/>
      <c r="ASW66" s="88"/>
      <c r="ASX66" s="88"/>
      <c r="ASY66" s="88"/>
      <c r="ASZ66" s="88"/>
      <c r="ATA66" s="88"/>
      <c r="ATB66" s="88"/>
      <c r="ATC66" s="88"/>
      <c r="ATD66" s="88"/>
      <c r="ATE66" s="88"/>
      <c r="ATF66" s="88"/>
      <c r="ATG66" s="88"/>
      <c r="ATH66" s="88"/>
      <c r="ATI66" s="88"/>
      <c r="ATJ66" s="88"/>
      <c r="ATK66" s="88"/>
      <c r="ATL66" s="88"/>
      <c r="ATM66" s="88"/>
      <c r="ATN66" s="88"/>
      <c r="ATO66" s="88"/>
      <c r="ATP66" s="88"/>
      <c r="ATQ66" s="88"/>
      <c r="ATR66" s="88"/>
      <c r="ATS66" s="88"/>
      <c r="ATT66" s="88"/>
      <c r="ATU66" s="88"/>
      <c r="ATV66" s="88"/>
      <c r="ATW66" s="88"/>
      <c r="ATX66" s="88"/>
      <c r="ATY66" s="88"/>
      <c r="ATZ66" s="88"/>
      <c r="AUA66" s="88"/>
      <c r="AUB66" s="88"/>
      <c r="AUC66" s="88"/>
      <c r="AUD66" s="88"/>
      <c r="AUE66" s="88"/>
      <c r="AUF66" s="88"/>
      <c r="AUG66" s="88"/>
      <c r="AUH66" s="88"/>
      <c r="AUI66" s="88"/>
      <c r="AUJ66" s="88"/>
      <c r="AUK66" s="88"/>
      <c r="AUL66" s="88"/>
      <c r="AUM66" s="88"/>
      <c r="AUN66" s="88"/>
      <c r="AUO66" s="88"/>
      <c r="AUP66" s="88"/>
      <c r="AUQ66" s="88"/>
      <c r="AUR66" s="88"/>
      <c r="AUS66" s="88"/>
      <c r="AUT66" s="88"/>
      <c r="AUU66" s="88"/>
      <c r="AUV66" s="88"/>
      <c r="AUW66" s="88"/>
      <c r="AUX66" s="88"/>
      <c r="AUY66" s="88"/>
      <c r="AUZ66" s="88"/>
      <c r="AVA66" s="88"/>
      <c r="AVB66" s="88"/>
      <c r="AVC66" s="88"/>
      <c r="AVD66" s="88"/>
      <c r="AVE66" s="88"/>
      <c r="AVF66" s="88"/>
      <c r="AVG66" s="88"/>
      <c r="AVH66" s="88"/>
      <c r="AVI66" s="88"/>
      <c r="AVJ66" s="88"/>
      <c r="AVK66" s="88"/>
      <c r="AVL66" s="88"/>
      <c r="AVM66" s="88"/>
      <c r="AVN66" s="88"/>
      <c r="AVO66" s="88"/>
      <c r="AVP66" s="88"/>
      <c r="AVQ66" s="88"/>
      <c r="AVR66" s="88"/>
      <c r="AVS66" s="88"/>
      <c r="AVT66" s="88"/>
      <c r="AVU66" s="88"/>
      <c r="AVV66" s="88"/>
      <c r="AVW66" s="88"/>
      <c r="AVX66" s="88"/>
      <c r="AVY66" s="88"/>
      <c r="AVZ66" s="88"/>
      <c r="AWA66" s="88"/>
      <c r="AWB66" s="88"/>
      <c r="AWC66" s="88"/>
      <c r="AWD66" s="88"/>
      <c r="AWE66" s="88"/>
      <c r="AWF66" s="88"/>
      <c r="AWG66" s="88"/>
      <c r="AWH66" s="88"/>
      <c r="AWI66" s="88"/>
      <c r="AWJ66" s="88"/>
      <c r="AWK66" s="88"/>
      <c r="AWL66" s="88"/>
      <c r="AWM66" s="88"/>
      <c r="AWN66" s="88"/>
      <c r="AWO66" s="88"/>
      <c r="AWP66" s="88"/>
      <c r="AWQ66" s="88"/>
      <c r="AWR66" s="88"/>
      <c r="AWS66" s="88"/>
      <c r="AWT66" s="88"/>
      <c r="AWU66" s="88"/>
      <c r="AWV66" s="88"/>
      <c r="AWW66" s="88"/>
      <c r="AWX66" s="88"/>
      <c r="AWY66" s="88"/>
      <c r="AWZ66" s="88"/>
      <c r="AXA66" s="88"/>
      <c r="AXB66" s="88"/>
      <c r="AXC66" s="88"/>
      <c r="AXD66" s="88"/>
      <c r="AXE66" s="88"/>
      <c r="AXF66" s="88"/>
      <c r="AXG66" s="88"/>
      <c r="AXH66" s="88"/>
      <c r="AXI66" s="88"/>
      <c r="AXJ66" s="88"/>
      <c r="AXK66" s="88"/>
      <c r="AXL66" s="88"/>
      <c r="AXM66" s="88"/>
      <c r="AXN66" s="88"/>
      <c r="AXO66" s="88"/>
      <c r="AXP66" s="88"/>
      <c r="AXQ66" s="88"/>
      <c r="AXR66" s="88"/>
      <c r="AXS66" s="88"/>
      <c r="AXT66" s="88"/>
      <c r="AXU66" s="88"/>
      <c r="AXV66" s="88"/>
      <c r="AXW66" s="88"/>
      <c r="AXX66" s="88"/>
      <c r="AXY66" s="88"/>
      <c r="AXZ66" s="88"/>
      <c r="AYA66" s="88"/>
      <c r="AYB66" s="88"/>
      <c r="AYC66" s="88"/>
      <c r="AYD66" s="88"/>
      <c r="AYE66" s="88"/>
      <c r="AYF66" s="88"/>
      <c r="AYG66" s="88"/>
      <c r="AYH66" s="88"/>
      <c r="AYI66" s="88"/>
      <c r="AYJ66" s="88"/>
      <c r="AYK66" s="88"/>
      <c r="AYL66" s="88"/>
      <c r="AYM66" s="88"/>
      <c r="AYN66" s="88"/>
      <c r="AYO66" s="88"/>
      <c r="AYP66" s="88"/>
      <c r="AYQ66" s="88"/>
      <c r="AYR66" s="88"/>
      <c r="AYS66" s="88"/>
      <c r="AYT66" s="88"/>
      <c r="AYU66" s="88"/>
      <c r="AYV66" s="88"/>
      <c r="AYW66" s="88"/>
      <c r="AYX66" s="88"/>
      <c r="AYY66" s="88"/>
      <c r="AYZ66" s="88"/>
      <c r="AZA66" s="88"/>
      <c r="AZB66" s="88"/>
      <c r="AZC66" s="88"/>
      <c r="AZD66" s="88"/>
      <c r="AZE66" s="88"/>
      <c r="AZF66" s="88"/>
      <c r="AZG66" s="88"/>
      <c r="AZH66" s="88"/>
      <c r="AZI66" s="88"/>
      <c r="AZJ66" s="88"/>
      <c r="AZK66" s="88"/>
      <c r="AZL66" s="88"/>
      <c r="AZM66" s="88"/>
      <c r="AZN66" s="88"/>
      <c r="AZO66" s="88"/>
      <c r="AZP66" s="88"/>
      <c r="AZQ66" s="88"/>
      <c r="AZR66" s="88"/>
      <c r="AZS66" s="88"/>
      <c r="AZT66" s="88"/>
      <c r="AZU66" s="88"/>
      <c r="AZV66" s="88"/>
      <c r="AZW66" s="88"/>
      <c r="AZX66" s="88"/>
      <c r="AZY66" s="88"/>
      <c r="AZZ66" s="88"/>
      <c r="BAA66" s="88"/>
      <c r="BAB66" s="88"/>
      <c r="BAC66" s="88"/>
      <c r="BAD66" s="88"/>
      <c r="BAE66" s="88"/>
      <c r="BAF66" s="88"/>
      <c r="BAG66" s="88"/>
      <c r="BAH66" s="88"/>
      <c r="BAI66" s="88"/>
      <c r="BAJ66" s="88"/>
      <c r="BAK66" s="88"/>
      <c r="BAL66" s="88"/>
      <c r="BAM66" s="88"/>
      <c r="BAN66" s="88"/>
      <c r="BAO66" s="88"/>
      <c r="BAP66" s="88"/>
      <c r="BAQ66" s="88"/>
      <c r="BAR66" s="88"/>
      <c r="BAS66" s="88"/>
      <c r="BAT66" s="88"/>
      <c r="BAU66" s="88"/>
      <c r="BAV66" s="88"/>
      <c r="BAW66" s="88"/>
      <c r="BAX66" s="88"/>
      <c r="BAY66" s="88"/>
      <c r="BAZ66" s="88"/>
      <c r="BBA66" s="88"/>
      <c r="BBB66" s="88"/>
      <c r="BBC66" s="88"/>
      <c r="BBD66" s="88"/>
      <c r="BBE66" s="88"/>
      <c r="BBF66" s="88"/>
      <c r="BBG66" s="88"/>
      <c r="BBH66" s="88"/>
      <c r="BBI66" s="88"/>
      <c r="BBJ66" s="88"/>
      <c r="BBK66" s="88"/>
      <c r="BBL66" s="88"/>
      <c r="BBM66" s="88"/>
      <c r="BBN66" s="88"/>
      <c r="BBO66" s="88"/>
      <c r="BBP66" s="88"/>
      <c r="BBQ66" s="88"/>
      <c r="BBR66" s="88"/>
      <c r="BBS66" s="88"/>
      <c r="BBT66" s="88"/>
      <c r="BBU66" s="88"/>
      <c r="BBV66" s="88"/>
      <c r="BBW66" s="88"/>
      <c r="BBX66" s="88"/>
      <c r="BBY66" s="88"/>
      <c r="BBZ66" s="88"/>
      <c r="BCA66" s="88"/>
      <c r="BCB66" s="88"/>
      <c r="BCC66" s="88"/>
      <c r="BCD66" s="88"/>
      <c r="BCE66" s="88"/>
      <c r="BCF66" s="88"/>
      <c r="BCG66" s="88"/>
      <c r="BCH66" s="88"/>
      <c r="BCI66" s="88"/>
      <c r="BCJ66" s="88"/>
      <c r="BCK66" s="88"/>
      <c r="BCL66" s="88"/>
      <c r="BCM66" s="88"/>
      <c r="BCN66" s="88"/>
      <c r="BCO66" s="88"/>
      <c r="BCP66" s="88"/>
      <c r="BCQ66" s="88"/>
      <c r="BCR66" s="88"/>
      <c r="BCS66" s="88"/>
      <c r="BCT66" s="88"/>
      <c r="BCU66" s="88"/>
      <c r="BCV66" s="88"/>
      <c r="BCW66" s="88"/>
      <c r="BCX66" s="88"/>
      <c r="BCY66" s="88"/>
      <c r="BCZ66" s="88"/>
      <c r="BDA66" s="88"/>
      <c r="BDB66" s="88"/>
      <c r="BDC66" s="88"/>
      <c r="BDD66" s="88"/>
      <c r="BDE66" s="88"/>
      <c r="BDF66" s="88"/>
      <c r="BDG66" s="88"/>
      <c r="BDH66" s="88"/>
      <c r="BDI66" s="88"/>
      <c r="BDJ66" s="88"/>
      <c r="BDK66" s="88"/>
      <c r="BDL66" s="88"/>
      <c r="BDM66" s="88"/>
      <c r="BDN66" s="88"/>
      <c r="BDO66" s="88"/>
      <c r="BDP66" s="88"/>
      <c r="BDQ66" s="88"/>
      <c r="BDR66" s="88"/>
      <c r="BDS66" s="88"/>
      <c r="BDT66" s="88"/>
      <c r="BDU66" s="88"/>
      <c r="BDV66" s="88"/>
      <c r="BDW66" s="88"/>
      <c r="BDX66" s="88"/>
      <c r="BDY66" s="88"/>
      <c r="BDZ66" s="88"/>
      <c r="BEA66" s="88"/>
      <c r="BEB66" s="88"/>
      <c r="BEC66" s="88"/>
      <c r="BED66" s="88"/>
      <c r="BEE66" s="88"/>
      <c r="BEF66" s="88"/>
      <c r="BEG66" s="88"/>
      <c r="BEH66" s="88"/>
      <c r="BEI66" s="88"/>
      <c r="BEJ66" s="88"/>
      <c r="BEK66" s="88"/>
      <c r="BEL66" s="88"/>
      <c r="BEM66" s="88"/>
      <c r="BEN66" s="88"/>
      <c r="BEO66" s="88"/>
      <c r="BEP66" s="88"/>
      <c r="BEQ66" s="88"/>
      <c r="BER66" s="88"/>
      <c r="BES66" s="88"/>
      <c r="BET66" s="88"/>
      <c r="BEU66" s="88"/>
      <c r="BEV66" s="88"/>
      <c r="BEW66" s="88"/>
      <c r="BEX66" s="88"/>
      <c r="BEY66" s="88"/>
      <c r="BEZ66" s="88"/>
      <c r="BFA66" s="88"/>
      <c r="BFB66" s="88"/>
      <c r="BFC66" s="88"/>
      <c r="BFD66" s="88"/>
      <c r="BFE66" s="88"/>
      <c r="BFF66" s="88"/>
      <c r="BFG66" s="88"/>
      <c r="BFH66" s="88"/>
      <c r="BFI66" s="88"/>
      <c r="BFJ66" s="88"/>
      <c r="BFK66" s="88"/>
      <c r="BFL66" s="88"/>
      <c r="BFM66" s="88"/>
      <c r="BFN66" s="88"/>
      <c r="BFO66" s="88"/>
      <c r="BFP66" s="88"/>
      <c r="BFQ66" s="88"/>
      <c r="BFR66" s="88"/>
      <c r="BFS66" s="88"/>
      <c r="BFT66" s="88"/>
      <c r="BFU66" s="88"/>
      <c r="BFV66" s="88"/>
      <c r="BFW66" s="88"/>
      <c r="BFX66" s="88"/>
      <c r="BFY66" s="88"/>
      <c r="BFZ66" s="88"/>
      <c r="BGA66" s="88"/>
      <c r="BGB66" s="88"/>
      <c r="BGC66" s="88"/>
      <c r="BGD66" s="88"/>
      <c r="BGE66" s="88"/>
      <c r="BGF66" s="88"/>
      <c r="BGG66" s="88"/>
      <c r="BGH66" s="88"/>
      <c r="BGI66" s="88"/>
      <c r="BGJ66" s="88"/>
      <c r="BGK66" s="88"/>
      <c r="BGL66" s="88"/>
      <c r="BGM66" s="88"/>
      <c r="BGN66" s="88"/>
      <c r="BGO66" s="88"/>
      <c r="BGP66" s="88"/>
      <c r="BGQ66" s="88"/>
      <c r="BGR66" s="88"/>
      <c r="BGS66" s="88"/>
      <c r="BGT66" s="88"/>
      <c r="BGU66" s="88"/>
      <c r="BGV66" s="88"/>
      <c r="BGW66" s="88"/>
      <c r="BGX66" s="88"/>
      <c r="BGY66" s="88"/>
      <c r="BGZ66" s="88"/>
      <c r="BHA66" s="88"/>
      <c r="BHB66" s="88"/>
      <c r="BHC66" s="88"/>
      <c r="BHD66" s="88"/>
      <c r="BHE66" s="88"/>
      <c r="BHF66" s="88"/>
      <c r="BHG66" s="88"/>
      <c r="BHH66" s="88"/>
      <c r="BHI66" s="88"/>
      <c r="BHJ66" s="88"/>
      <c r="BHK66" s="88"/>
      <c r="BHL66" s="88"/>
      <c r="BHM66" s="88"/>
      <c r="BHN66" s="88"/>
      <c r="BHO66" s="88"/>
      <c r="BHP66" s="88"/>
      <c r="BHQ66" s="88"/>
      <c r="BHR66" s="88"/>
      <c r="BHS66" s="88"/>
      <c r="BHT66" s="88"/>
      <c r="BHU66" s="88"/>
      <c r="BHV66" s="88"/>
      <c r="BHW66" s="88"/>
      <c r="BHX66" s="88"/>
      <c r="BHY66" s="88"/>
      <c r="BHZ66" s="88"/>
      <c r="BIA66" s="88"/>
      <c r="BIB66" s="88"/>
      <c r="BIC66" s="88"/>
      <c r="BID66" s="88"/>
      <c r="BIE66" s="88"/>
      <c r="BIF66" s="88"/>
      <c r="BIG66" s="88"/>
      <c r="BIH66" s="88"/>
      <c r="BII66" s="88"/>
      <c r="BIJ66" s="88"/>
      <c r="BIK66" s="88"/>
      <c r="BIL66" s="88"/>
      <c r="BIM66" s="88"/>
      <c r="BIN66" s="88"/>
      <c r="BIO66" s="88"/>
      <c r="BIP66" s="88"/>
      <c r="BIQ66" s="88"/>
      <c r="BIR66" s="88"/>
      <c r="BIS66" s="88"/>
      <c r="BIT66" s="88"/>
      <c r="BIU66" s="88"/>
      <c r="BIV66" s="88"/>
      <c r="BIW66" s="88"/>
      <c r="BIX66" s="88"/>
      <c r="BIY66" s="88"/>
      <c r="BIZ66" s="88"/>
      <c r="BJA66" s="88"/>
      <c r="BJB66" s="88"/>
      <c r="BJC66" s="88"/>
      <c r="BJD66" s="88"/>
      <c r="BJE66" s="88"/>
      <c r="BJF66" s="88"/>
      <c r="BJG66" s="88"/>
      <c r="BJH66" s="88"/>
      <c r="BJI66" s="88"/>
      <c r="BJJ66" s="88"/>
      <c r="BJK66" s="88"/>
      <c r="BJL66" s="88"/>
      <c r="BJM66" s="88"/>
      <c r="BJN66" s="88"/>
      <c r="BJO66" s="88"/>
      <c r="BJP66" s="88"/>
      <c r="BJQ66" s="88"/>
      <c r="BJR66" s="88"/>
      <c r="BJS66" s="88"/>
      <c r="BJT66" s="88"/>
      <c r="BJU66" s="88"/>
      <c r="BJV66" s="88"/>
      <c r="BJW66" s="88"/>
      <c r="BJX66" s="88"/>
      <c r="BJY66" s="88"/>
      <c r="BJZ66" s="88"/>
      <c r="BKA66" s="88"/>
      <c r="BKB66" s="88"/>
      <c r="BKC66" s="88"/>
      <c r="BKD66" s="88"/>
      <c r="BKE66" s="88"/>
      <c r="BKF66" s="88"/>
      <c r="BKG66" s="88"/>
      <c r="BKH66" s="88"/>
      <c r="BKI66" s="88"/>
      <c r="BKJ66" s="88"/>
      <c r="BKK66" s="88"/>
      <c r="BKL66" s="88"/>
      <c r="BKM66" s="88"/>
      <c r="BKN66" s="88"/>
      <c r="BKO66" s="88"/>
      <c r="BKP66" s="88"/>
      <c r="BKQ66" s="88"/>
      <c r="BKR66" s="88"/>
      <c r="BKS66" s="88"/>
      <c r="BKT66" s="88"/>
      <c r="BKU66" s="88"/>
      <c r="BKV66" s="88"/>
      <c r="BKW66" s="88"/>
      <c r="BKX66" s="88"/>
      <c r="BKY66" s="88"/>
      <c r="BKZ66" s="88"/>
      <c r="BLA66" s="88"/>
      <c r="BLB66" s="88"/>
      <c r="BLC66" s="88"/>
      <c r="BLD66" s="88"/>
      <c r="BLE66" s="88"/>
      <c r="BLF66" s="88"/>
      <c r="BLG66" s="88"/>
      <c r="BLH66" s="88"/>
      <c r="BLI66" s="88"/>
      <c r="BLJ66" s="88"/>
      <c r="BLK66" s="88"/>
      <c r="BLL66" s="88"/>
      <c r="BLM66" s="88"/>
      <c r="BLN66" s="88"/>
      <c r="BLO66" s="88"/>
      <c r="BLP66" s="88"/>
      <c r="BLQ66" s="88"/>
      <c r="BLR66" s="88"/>
      <c r="BLS66" s="88"/>
      <c r="BLT66" s="88"/>
      <c r="BLU66" s="88"/>
      <c r="BLV66" s="88"/>
      <c r="BLW66" s="88"/>
      <c r="BLX66" s="88"/>
      <c r="BLY66" s="88"/>
      <c r="BLZ66" s="88"/>
      <c r="BMA66" s="88"/>
      <c r="BMB66" s="88"/>
      <c r="BMC66" s="88"/>
      <c r="BMD66" s="88"/>
      <c r="BME66" s="88"/>
      <c r="BMF66" s="88"/>
      <c r="BMG66" s="88"/>
      <c r="BMH66" s="88"/>
      <c r="BMI66" s="88"/>
      <c r="BMJ66" s="88"/>
      <c r="BMK66" s="88"/>
      <c r="BML66" s="88"/>
      <c r="BMM66" s="88"/>
      <c r="BMN66" s="88"/>
      <c r="BMO66" s="88"/>
      <c r="BMP66" s="88"/>
      <c r="BMQ66" s="88"/>
      <c r="BMR66" s="88"/>
      <c r="BMS66" s="88"/>
      <c r="BMT66" s="88"/>
      <c r="BMU66" s="88"/>
      <c r="BMV66" s="88"/>
      <c r="BMW66" s="88"/>
      <c r="BMX66" s="88"/>
      <c r="BMY66" s="88"/>
      <c r="BMZ66" s="88"/>
      <c r="BNA66" s="88"/>
      <c r="BNB66" s="88"/>
      <c r="BNC66" s="88"/>
      <c r="BND66" s="88"/>
      <c r="BNE66" s="88"/>
      <c r="BNF66" s="88"/>
      <c r="BNG66" s="88"/>
      <c r="BNH66" s="88"/>
      <c r="BNI66" s="88"/>
      <c r="BNJ66" s="88"/>
      <c r="BNK66" s="88"/>
      <c r="BNL66" s="88"/>
      <c r="BNM66" s="88"/>
      <c r="BNN66" s="88"/>
      <c r="BNO66" s="88"/>
      <c r="BNP66" s="88"/>
      <c r="BNQ66" s="88"/>
      <c r="BNR66" s="88"/>
      <c r="BNS66" s="88"/>
      <c r="BNT66" s="88"/>
      <c r="BNU66" s="88"/>
      <c r="BNV66" s="88"/>
      <c r="BNW66" s="88"/>
      <c r="BNX66" s="88"/>
      <c r="BNY66" s="88"/>
      <c r="BNZ66" s="88"/>
      <c r="BOA66" s="88"/>
      <c r="BOB66" s="88"/>
      <c r="BOC66" s="88"/>
      <c r="BOD66" s="88"/>
      <c r="BOE66" s="88"/>
      <c r="BOF66" s="88"/>
      <c r="BOG66" s="88"/>
      <c r="BOH66" s="88"/>
      <c r="BOI66" s="88"/>
      <c r="BOJ66" s="88"/>
      <c r="BOK66" s="88"/>
      <c r="BOL66" s="88"/>
      <c r="BOM66" s="88"/>
      <c r="BON66" s="88"/>
      <c r="BOO66" s="88"/>
      <c r="BOP66" s="88"/>
      <c r="BOQ66" s="88"/>
      <c r="BOR66" s="88"/>
      <c r="BOS66" s="88"/>
      <c r="BOT66" s="88"/>
      <c r="BOU66" s="88"/>
      <c r="BOV66" s="88"/>
      <c r="BOW66" s="88"/>
      <c r="BOX66" s="88"/>
      <c r="BOY66" s="88"/>
      <c r="BOZ66" s="88"/>
      <c r="BPA66" s="88"/>
      <c r="BPB66" s="88"/>
      <c r="BPC66" s="88"/>
      <c r="BPD66" s="88"/>
      <c r="BPE66" s="88"/>
      <c r="BPF66" s="88"/>
      <c r="BPG66" s="88"/>
      <c r="BPH66" s="88"/>
      <c r="BPI66" s="88"/>
      <c r="BPJ66" s="88"/>
      <c r="BPK66" s="88"/>
      <c r="BPL66" s="88"/>
      <c r="BPM66" s="88"/>
      <c r="BPN66" s="88"/>
      <c r="BPO66" s="88"/>
      <c r="BPP66" s="88"/>
      <c r="BPQ66" s="88"/>
      <c r="BPR66" s="88"/>
      <c r="BPS66" s="88"/>
      <c r="BPT66" s="88"/>
      <c r="BPU66" s="88"/>
      <c r="BPV66" s="88"/>
      <c r="BPW66" s="88"/>
      <c r="BPX66" s="88"/>
      <c r="BPY66" s="88"/>
      <c r="BPZ66" s="88"/>
      <c r="BQA66" s="88"/>
      <c r="BQB66" s="88"/>
      <c r="BQC66" s="88"/>
      <c r="BQD66" s="88"/>
      <c r="BQE66" s="88"/>
      <c r="BQF66" s="88"/>
      <c r="BQG66" s="88"/>
      <c r="BQH66" s="88"/>
      <c r="BQI66" s="88"/>
      <c r="BQJ66" s="88"/>
      <c r="BQK66" s="88"/>
      <c r="BQL66" s="88"/>
      <c r="BQM66" s="88"/>
      <c r="BQN66" s="88"/>
      <c r="BQO66" s="88"/>
      <c r="BQP66" s="88"/>
      <c r="BQQ66" s="88"/>
      <c r="BQR66" s="88"/>
      <c r="BQS66" s="88"/>
      <c r="BQT66" s="88"/>
      <c r="BQU66" s="88"/>
      <c r="BQV66" s="88"/>
      <c r="BQW66" s="88"/>
      <c r="BQX66" s="88"/>
      <c r="BQY66" s="88"/>
      <c r="BQZ66" s="88"/>
      <c r="BRA66" s="88"/>
      <c r="BRB66" s="88"/>
      <c r="BRC66" s="88"/>
      <c r="BRD66" s="88"/>
      <c r="BRE66" s="88"/>
      <c r="BRF66" s="88"/>
      <c r="BRG66" s="88"/>
      <c r="BRH66" s="88"/>
      <c r="BRI66" s="88"/>
      <c r="BRJ66" s="88"/>
      <c r="BRK66" s="88"/>
      <c r="BRL66" s="88"/>
      <c r="BRM66" s="88"/>
      <c r="BRN66" s="88"/>
      <c r="BRO66" s="88"/>
      <c r="BRP66" s="88"/>
      <c r="BRQ66" s="88"/>
      <c r="BRR66" s="88"/>
      <c r="BRS66" s="88"/>
      <c r="BRT66" s="88"/>
      <c r="BRU66" s="88"/>
      <c r="BRV66" s="88"/>
      <c r="BRW66" s="88"/>
      <c r="BRX66" s="88"/>
      <c r="BRY66" s="88"/>
      <c r="BRZ66" s="88"/>
      <c r="BSA66" s="88"/>
      <c r="BSB66" s="88"/>
      <c r="BSC66" s="88"/>
      <c r="BSD66" s="88"/>
      <c r="BSE66" s="88"/>
      <c r="BSF66" s="88"/>
      <c r="BSG66" s="88"/>
      <c r="BSH66" s="88"/>
      <c r="BSI66" s="88"/>
      <c r="BSJ66" s="88"/>
      <c r="BSK66" s="88"/>
      <c r="BSL66" s="88"/>
      <c r="BSM66" s="88"/>
      <c r="BSN66" s="88"/>
      <c r="BSO66" s="88"/>
      <c r="BSP66" s="88"/>
      <c r="BSQ66" s="88"/>
      <c r="BSR66" s="88"/>
      <c r="BSS66" s="88"/>
      <c r="BST66" s="88"/>
      <c r="BSU66" s="88"/>
      <c r="BSV66" s="88"/>
      <c r="BSW66" s="88"/>
      <c r="BSX66" s="88"/>
      <c r="BSY66" s="88"/>
      <c r="BSZ66" s="88"/>
      <c r="BTA66" s="88"/>
      <c r="BTB66" s="88"/>
      <c r="BTC66" s="88"/>
      <c r="BTD66" s="88"/>
      <c r="BTE66" s="88"/>
      <c r="BTF66" s="88"/>
      <c r="BTG66" s="88"/>
      <c r="BTH66" s="88"/>
      <c r="BTI66" s="88"/>
      <c r="BTJ66" s="88"/>
      <c r="BTK66" s="88"/>
      <c r="BTL66" s="88"/>
      <c r="BTM66" s="88"/>
      <c r="BTN66" s="88"/>
      <c r="BTO66" s="88"/>
      <c r="BTP66" s="88"/>
      <c r="BTQ66" s="88"/>
      <c r="BTR66" s="88"/>
      <c r="BTS66" s="88"/>
      <c r="BTT66" s="88"/>
      <c r="BTU66" s="88"/>
      <c r="BTV66" s="88"/>
      <c r="BTW66" s="88"/>
      <c r="BTX66" s="88"/>
      <c r="BTY66" s="88"/>
      <c r="BTZ66" s="88"/>
      <c r="BUA66" s="88"/>
      <c r="BUB66" s="88"/>
      <c r="BUC66" s="88"/>
      <c r="BUD66" s="88"/>
      <c r="BUE66" s="88"/>
      <c r="BUF66" s="88"/>
      <c r="BUG66" s="88"/>
      <c r="BUH66" s="88"/>
      <c r="BUI66" s="88"/>
      <c r="BUJ66" s="88"/>
      <c r="BUK66" s="88"/>
      <c r="BUL66" s="88"/>
      <c r="BUM66" s="88"/>
      <c r="BUN66" s="88"/>
      <c r="BUO66" s="88"/>
      <c r="BUP66" s="88"/>
      <c r="BUQ66" s="88"/>
      <c r="BUR66" s="88"/>
      <c r="BUS66" s="88"/>
      <c r="BUT66" s="88"/>
      <c r="BUU66" s="88"/>
      <c r="BUV66" s="88"/>
      <c r="BUW66" s="88"/>
      <c r="BUX66" s="88"/>
      <c r="BUY66" s="88"/>
      <c r="BUZ66" s="88"/>
      <c r="BVA66" s="88"/>
      <c r="BVB66" s="88"/>
      <c r="BVC66" s="88"/>
      <c r="BVD66" s="88"/>
      <c r="BVE66" s="88"/>
      <c r="BVF66" s="88"/>
      <c r="BVG66" s="88"/>
      <c r="BVH66" s="88"/>
      <c r="BVI66" s="88"/>
      <c r="BVJ66" s="88"/>
      <c r="BVK66" s="88"/>
      <c r="BVL66" s="88"/>
      <c r="BVM66" s="88"/>
      <c r="BVN66" s="88"/>
      <c r="BVO66" s="88"/>
      <c r="BVP66" s="88"/>
      <c r="BVQ66" s="88"/>
      <c r="BVR66" s="88"/>
      <c r="BVS66" s="88"/>
      <c r="BVT66" s="88"/>
      <c r="BVU66" s="88"/>
      <c r="BVV66" s="88"/>
      <c r="BVW66" s="88"/>
      <c r="BVX66" s="88"/>
      <c r="BVY66" s="88"/>
      <c r="BVZ66" s="88"/>
      <c r="BWA66" s="88"/>
      <c r="BWB66" s="88"/>
      <c r="BWC66" s="88"/>
      <c r="BWD66" s="88"/>
      <c r="BWE66" s="88"/>
      <c r="BWF66" s="88"/>
      <c r="BWG66" s="88"/>
      <c r="BWH66" s="88"/>
      <c r="BWI66" s="88"/>
      <c r="BWJ66" s="88"/>
      <c r="BWK66" s="88"/>
      <c r="BWL66" s="88"/>
      <c r="BWM66" s="88"/>
      <c r="BWN66" s="88"/>
      <c r="BWO66" s="88"/>
      <c r="BWP66" s="88"/>
      <c r="BWQ66" s="88"/>
      <c r="BWR66" s="88"/>
      <c r="BWS66" s="88"/>
      <c r="BWT66" s="88"/>
      <c r="BWU66" s="88"/>
      <c r="BWV66" s="88"/>
      <c r="BWW66" s="88"/>
      <c r="BWX66" s="88"/>
      <c r="BWY66" s="88"/>
      <c r="BWZ66" s="88"/>
      <c r="BXA66" s="88"/>
      <c r="BXB66" s="88"/>
      <c r="BXC66" s="88"/>
      <c r="BXD66" s="88"/>
      <c r="BXE66" s="88"/>
      <c r="BXF66" s="88"/>
      <c r="BXG66" s="88"/>
      <c r="BXH66" s="88"/>
      <c r="BXI66" s="88"/>
      <c r="BXJ66" s="88"/>
      <c r="BXK66" s="88"/>
      <c r="BXL66" s="88"/>
      <c r="BXM66" s="88"/>
      <c r="BXN66" s="88"/>
      <c r="BXO66" s="88"/>
      <c r="BXP66" s="88"/>
      <c r="BXQ66" s="88"/>
      <c r="BXR66" s="88"/>
      <c r="BXS66" s="88"/>
      <c r="BXT66" s="88"/>
      <c r="BXU66" s="88"/>
      <c r="BXV66" s="88"/>
      <c r="BXW66" s="88"/>
      <c r="BXX66" s="88"/>
      <c r="BXY66" s="88"/>
      <c r="BXZ66" s="88"/>
      <c r="BYA66" s="88"/>
      <c r="BYB66" s="88"/>
      <c r="BYC66" s="88"/>
      <c r="BYD66" s="88"/>
      <c r="BYE66" s="88"/>
      <c r="BYF66" s="88"/>
      <c r="BYG66" s="88"/>
      <c r="BYH66" s="88"/>
      <c r="BYI66" s="88"/>
      <c r="BYJ66" s="88"/>
      <c r="BYK66" s="88"/>
      <c r="BYL66" s="88"/>
      <c r="BYM66" s="88"/>
      <c r="BYN66" s="88"/>
      <c r="BYO66" s="88"/>
      <c r="BYP66" s="88"/>
      <c r="BYQ66" s="88"/>
      <c r="BYR66" s="88"/>
      <c r="BYS66" s="88"/>
      <c r="BYT66" s="88"/>
      <c r="BYU66" s="88"/>
      <c r="BYV66" s="88"/>
      <c r="BYW66" s="88"/>
      <c r="BYX66" s="88"/>
      <c r="BYY66" s="88"/>
      <c r="BYZ66" s="88"/>
      <c r="BZA66" s="88"/>
      <c r="BZB66" s="88"/>
      <c r="BZC66" s="88"/>
      <c r="BZD66" s="88"/>
      <c r="BZE66" s="88"/>
      <c r="BZF66" s="88"/>
      <c r="BZG66" s="88"/>
      <c r="BZH66" s="88"/>
      <c r="BZI66" s="88"/>
      <c r="BZJ66" s="88"/>
      <c r="BZK66" s="88"/>
      <c r="BZL66" s="88"/>
      <c r="BZM66" s="88"/>
      <c r="BZN66" s="88"/>
      <c r="BZO66" s="88"/>
      <c r="BZP66" s="88"/>
      <c r="BZQ66" s="88"/>
      <c r="BZR66" s="88"/>
      <c r="BZS66" s="88"/>
      <c r="BZT66" s="88"/>
      <c r="BZU66" s="88"/>
      <c r="BZV66" s="88"/>
      <c r="BZW66" s="88"/>
      <c r="BZX66" s="88"/>
      <c r="BZY66" s="88"/>
      <c r="BZZ66" s="88"/>
      <c r="CAA66" s="88"/>
      <c r="CAB66" s="88"/>
      <c r="CAC66" s="88"/>
      <c r="CAD66" s="88"/>
      <c r="CAE66" s="88"/>
      <c r="CAF66" s="88"/>
      <c r="CAG66" s="88"/>
      <c r="CAH66" s="88"/>
      <c r="CAI66" s="88"/>
      <c r="CAJ66" s="88"/>
      <c r="CAK66" s="88"/>
      <c r="CAL66" s="88"/>
      <c r="CAM66" s="88"/>
      <c r="CAN66" s="88"/>
      <c r="CAO66" s="88"/>
      <c r="CAP66" s="88"/>
      <c r="CAQ66" s="88"/>
      <c r="CAR66" s="88"/>
      <c r="CAS66" s="88"/>
      <c r="CAT66" s="88"/>
      <c r="CAU66" s="88"/>
      <c r="CAV66" s="88"/>
      <c r="CAW66" s="88"/>
      <c r="CAX66" s="88"/>
      <c r="CAY66" s="88"/>
      <c r="CAZ66" s="88"/>
      <c r="CBA66" s="88"/>
      <c r="CBB66" s="88"/>
      <c r="CBC66" s="88"/>
      <c r="CBD66" s="88"/>
      <c r="CBE66" s="88"/>
      <c r="CBF66" s="88"/>
      <c r="CBG66" s="88"/>
      <c r="CBH66" s="88"/>
      <c r="CBI66" s="88"/>
      <c r="CBJ66" s="88"/>
      <c r="CBK66" s="88"/>
      <c r="CBL66" s="88"/>
      <c r="CBM66" s="88"/>
      <c r="CBN66" s="88"/>
      <c r="CBO66" s="88"/>
      <c r="CBP66" s="88"/>
      <c r="CBQ66" s="88"/>
      <c r="CBR66" s="88"/>
      <c r="CBS66" s="88"/>
      <c r="CBT66" s="88"/>
      <c r="CBU66" s="88"/>
      <c r="CBV66" s="88"/>
      <c r="CBW66" s="88"/>
      <c r="CBX66" s="88"/>
      <c r="CBY66" s="88"/>
      <c r="CBZ66" s="88"/>
      <c r="CCA66" s="88"/>
      <c r="CCB66" s="88"/>
      <c r="CCC66" s="88"/>
      <c r="CCD66" s="88"/>
      <c r="CCE66" s="88"/>
      <c r="CCF66" s="88"/>
      <c r="CCG66" s="88"/>
      <c r="CCH66" s="88"/>
      <c r="CCI66" s="88"/>
      <c r="CCJ66" s="88"/>
      <c r="CCK66" s="88"/>
      <c r="CCL66" s="88"/>
      <c r="CCM66" s="88"/>
      <c r="CCN66" s="88"/>
      <c r="CCO66" s="88"/>
      <c r="CCP66" s="88"/>
      <c r="CCQ66" s="88"/>
      <c r="CCR66" s="88"/>
      <c r="CCS66" s="88"/>
      <c r="CCT66" s="88"/>
      <c r="CCU66" s="88"/>
      <c r="CCV66" s="88"/>
      <c r="CCW66" s="88"/>
      <c r="CCX66" s="88"/>
      <c r="CCY66" s="88"/>
      <c r="CCZ66" s="88"/>
      <c r="CDA66" s="88"/>
      <c r="CDB66" s="88"/>
      <c r="CDC66" s="88"/>
      <c r="CDD66" s="88"/>
      <c r="CDE66" s="88"/>
      <c r="CDF66" s="88"/>
      <c r="CDG66" s="88"/>
      <c r="CDH66" s="88"/>
      <c r="CDI66" s="88"/>
      <c r="CDJ66" s="88"/>
      <c r="CDK66" s="88"/>
      <c r="CDL66" s="88"/>
      <c r="CDM66" s="88"/>
      <c r="CDN66" s="88"/>
      <c r="CDO66" s="88"/>
      <c r="CDP66" s="88"/>
      <c r="CDQ66" s="88"/>
      <c r="CDR66" s="88"/>
      <c r="CDS66" s="88"/>
      <c r="CDT66" s="88"/>
      <c r="CDU66" s="88"/>
      <c r="CDV66" s="88"/>
      <c r="CDW66" s="88"/>
      <c r="CDX66" s="88"/>
      <c r="CDY66" s="88"/>
      <c r="CDZ66" s="88"/>
      <c r="CEA66" s="88"/>
      <c r="CEB66" s="88"/>
      <c r="CEC66" s="88"/>
      <c r="CED66" s="88"/>
      <c r="CEE66" s="88"/>
      <c r="CEF66" s="88"/>
      <c r="CEG66" s="88"/>
      <c r="CEH66" s="88"/>
      <c r="CEI66" s="88"/>
      <c r="CEJ66" s="88"/>
      <c r="CEK66" s="88"/>
    </row>
    <row r="67" spans="1:2169" s="51" customFormat="1">
      <c r="A67" s="72" t="s">
        <v>2895</v>
      </c>
      <c r="B67" s="72" t="s">
        <v>2896</v>
      </c>
      <c r="C67" s="69" t="str">
        <f>IF('page 2'!$O$4="","",IF('page 2'!$O$4=Gestion!A67,1,0))</f>
        <v/>
      </c>
      <c r="D67" s="69" t="str">
        <f>IF('page 2'!$O$5="","",IF('page 2'!$O$5=Gestion!A67,1,0))</f>
        <v/>
      </c>
      <c r="E67" s="69" t="str">
        <f>IF('page 2'!$O$6="","",IF('page 2'!$O$6=Gestion!A67,1,0))</f>
        <v/>
      </c>
      <c r="F67" s="69" t="str">
        <f>IF('page 2'!$O$7="","",IF('page 2'!$O$7=Gestion!A67,1,0))</f>
        <v/>
      </c>
      <c r="G67" s="69" t="str">
        <f>IF('page 2'!$O$8="","",IF('page 2'!$O$8=Gestion!A67,1,0))</f>
        <v/>
      </c>
      <c r="H67" s="69"/>
      <c r="I67" s="69" t="str">
        <f>IF('page 2'!$O$10="","",IF('page 2'!$O$10=Gestion!A67,1,0))</f>
        <v/>
      </c>
      <c r="J67" s="69" t="str">
        <f>IF('page 2'!$O$11="","",IF('page 2'!$O$11=Gestion!A67,1,0))</f>
        <v/>
      </c>
      <c r="K67" s="69" t="str">
        <f>IF('page 2'!$O$12="","",IF('page 2'!$O$12=Gestion!A67,1,0))</f>
        <v/>
      </c>
      <c r="L67" s="69" t="str">
        <f>IF('page 2'!$O$13="","",IF('page 2'!$O$13=Gestion!A67,1,0))</f>
        <v/>
      </c>
      <c r="M67" s="69" t="str">
        <f>IF('page 2'!$O$14="","",IF('page 2'!$O$14=Gestion!A67,1,0))</f>
        <v/>
      </c>
      <c r="N67" s="69" t="str">
        <f>IF('page 2'!$O$15="","",IF('page 2'!$O$15=Gestion!A67,1,0))</f>
        <v/>
      </c>
      <c r="O67" s="69" t="str">
        <f>IF('page 2'!$O$16="","",IF('page 2'!$O$16=Gestion!A67,1,0))</f>
        <v/>
      </c>
      <c r="P67" s="69" t="str">
        <f>IF('page 2'!$O$17="","",IF('page 2'!$O$17=Gestion!A67,1,0))</f>
        <v/>
      </c>
      <c r="Q67" s="69" t="str">
        <f>IF('page 2'!$O$18="","",IF('page 2'!$O$18=Gestion!A67,1,0))</f>
        <v/>
      </c>
      <c r="R67" s="69" t="str">
        <f>IF('page 2'!$O$19="","",IF('page 2'!$O$19=Gestion!A67,1,0))</f>
        <v/>
      </c>
      <c r="S67" s="69" t="str">
        <f>IF('page 2'!$O$20="","",IF('page 2'!$O$20=Gestion!A67,1,0))</f>
        <v/>
      </c>
      <c r="T67" s="69" t="str">
        <f>IF('page 2'!$O$25="","",IF('page 2'!$O$25=Gestion!A67,1,0))</f>
        <v/>
      </c>
      <c r="U67" s="69" t="str">
        <f>IF('page 2'!$O$26="","",IF('page 2'!$O$26=Gestion!A67,1,0))</f>
        <v/>
      </c>
      <c r="V67" s="69" t="str">
        <f>IF('page 2'!$O$27="","",IF('page 2'!$O$27=Gestion!A67,1,0))</f>
        <v/>
      </c>
      <c r="W67" s="723">
        <f t="shared" si="0"/>
        <v>0</v>
      </c>
      <c r="X67" s="713"/>
      <c r="Y67" s="69"/>
      <c r="Z67" s="69"/>
      <c r="AA67" s="69"/>
      <c r="AB67" s="542"/>
      <c r="AC67" s="542"/>
      <c r="AD67" s="542"/>
      <c r="AE67" s="88"/>
      <c r="AP67" s="130"/>
      <c r="AQ67" s="130"/>
      <c r="AR67" s="130"/>
      <c r="AS67" s="576"/>
      <c r="AT67" s="576"/>
      <c r="AU67" s="576"/>
      <c r="AV67" s="576"/>
      <c r="AW67" s="602"/>
      <c r="AX67" s="602"/>
      <c r="AY67" s="576"/>
      <c r="AZ67" s="576"/>
      <c r="BA67" s="576"/>
      <c r="BB67" s="576"/>
      <c r="BC67" s="576"/>
      <c r="BD67" s="602"/>
      <c r="BE67" s="602"/>
      <c r="BF67" s="602"/>
      <c r="BG67" s="602"/>
      <c r="BH67" s="602"/>
      <c r="BI67" s="602"/>
      <c r="BJ67" s="602"/>
      <c r="BK67" s="602"/>
      <c r="BL67" s="602"/>
      <c r="BM67" s="602"/>
      <c r="BN67" s="602"/>
      <c r="BO67" s="602"/>
      <c r="BP67" s="602"/>
      <c r="BQ67" s="602"/>
      <c r="BR67" s="602"/>
      <c r="BS67" s="576"/>
      <c r="BT67" s="576"/>
      <c r="BU67" s="576"/>
      <c r="BV67" s="576"/>
      <c r="BW67" s="602"/>
      <c r="BX67" s="602"/>
      <c r="BY67" s="602"/>
      <c r="BZ67" s="576"/>
      <c r="CA67" s="602"/>
      <c r="CB67" s="602"/>
      <c r="CC67" s="576"/>
      <c r="CD67" s="576"/>
      <c r="CE67" s="602"/>
      <c r="CF67" s="576"/>
      <c r="CG67" s="576"/>
      <c r="CH67" s="576"/>
      <c r="CI67" s="576"/>
      <c r="CJ67" s="576"/>
      <c r="CK67" s="602"/>
      <c r="CL67" s="602"/>
      <c r="CM67" s="576"/>
      <c r="CN67" s="602"/>
      <c r="CO67" s="602"/>
      <c r="CP67" s="602"/>
      <c r="CQ67" s="576"/>
      <c r="CR67" s="576"/>
      <c r="CS67" s="602"/>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8"/>
      <c r="IP67" s="88"/>
      <c r="IQ67" s="88"/>
      <c r="IR67" s="88"/>
      <c r="IS67" s="88"/>
      <c r="IT67" s="88"/>
      <c r="IU67" s="88"/>
      <c r="IV67" s="88"/>
      <c r="IW67" s="88"/>
      <c r="IX67" s="88"/>
      <c r="IY67" s="88"/>
      <c r="IZ67" s="88"/>
      <c r="JA67" s="88"/>
      <c r="JB67" s="88"/>
      <c r="JC67" s="88"/>
      <c r="JD67" s="88"/>
      <c r="JE67" s="88"/>
      <c r="JF67" s="88"/>
      <c r="JG67" s="88"/>
      <c r="JH67" s="88"/>
      <c r="JI67" s="88"/>
      <c r="JJ67" s="88"/>
      <c r="JK67" s="88"/>
      <c r="JL67" s="88"/>
      <c r="JM67" s="88"/>
      <c r="JN67" s="88"/>
      <c r="JO67" s="88"/>
      <c r="JP67" s="88"/>
      <c r="JQ67" s="88"/>
      <c r="JR67" s="88"/>
      <c r="JS67" s="88"/>
      <c r="JT67" s="88"/>
      <c r="JU67" s="88"/>
      <c r="JV67" s="88"/>
      <c r="JW67" s="88"/>
      <c r="JX67" s="88"/>
      <c r="JY67" s="88"/>
      <c r="JZ67" s="88"/>
      <c r="KA67" s="88"/>
      <c r="KB67" s="88"/>
      <c r="KC67" s="88"/>
      <c r="KD67" s="88"/>
      <c r="KE67" s="88"/>
      <c r="KF67" s="88"/>
      <c r="KG67" s="88"/>
      <c r="KH67" s="88"/>
      <c r="KI67" s="88"/>
      <c r="KJ67" s="88"/>
      <c r="KK67" s="88"/>
      <c r="KL67" s="88"/>
      <c r="KM67" s="88"/>
      <c r="KN67" s="88"/>
      <c r="KO67" s="88"/>
      <c r="KP67" s="88"/>
      <c r="KQ67" s="88"/>
      <c r="KR67" s="88"/>
      <c r="KS67" s="88"/>
      <c r="KT67" s="88"/>
      <c r="KU67" s="88"/>
      <c r="KV67" s="88"/>
      <c r="KW67" s="88"/>
      <c r="KX67" s="88"/>
      <c r="KY67" s="88"/>
      <c r="KZ67" s="88"/>
      <c r="LA67" s="88"/>
      <c r="LB67" s="88"/>
      <c r="LC67" s="88"/>
      <c r="LD67" s="88"/>
      <c r="LE67" s="88"/>
      <c r="LF67" s="88"/>
      <c r="LG67" s="88"/>
      <c r="LH67" s="88"/>
      <c r="LI67" s="88"/>
      <c r="LJ67" s="88"/>
      <c r="LK67" s="88"/>
      <c r="LL67" s="88"/>
      <c r="LM67" s="88"/>
      <c r="LN67" s="88"/>
      <c r="LO67" s="88"/>
      <c r="LP67" s="88"/>
      <c r="LQ67" s="88"/>
      <c r="LR67" s="88"/>
      <c r="LS67" s="88"/>
      <c r="LT67" s="88"/>
      <c r="LU67" s="88"/>
      <c r="LV67" s="88"/>
      <c r="LW67" s="88"/>
      <c r="LX67" s="88"/>
      <c r="LY67" s="88"/>
      <c r="LZ67" s="88"/>
      <c r="MA67" s="88"/>
      <c r="MB67" s="88"/>
      <c r="MC67" s="88"/>
      <c r="MD67" s="88"/>
      <c r="ME67" s="88"/>
      <c r="MF67" s="88"/>
      <c r="MG67" s="88"/>
      <c r="MH67" s="88"/>
      <c r="MI67" s="88"/>
      <c r="MJ67" s="88"/>
      <c r="MK67" s="88"/>
      <c r="ML67" s="88"/>
      <c r="MM67" s="88"/>
      <c r="MN67" s="88"/>
      <c r="MO67" s="88"/>
      <c r="MP67" s="88"/>
      <c r="MQ67" s="88"/>
      <c r="MR67" s="88"/>
      <c r="MS67" s="88"/>
      <c r="MT67" s="88"/>
      <c r="MU67" s="88"/>
      <c r="MV67" s="88"/>
      <c r="MW67" s="88"/>
      <c r="MX67" s="88"/>
      <c r="MY67" s="88"/>
      <c r="MZ67" s="88"/>
      <c r="NA67" s="88"/>
      <c r="NB67" s="88"/>
      <c r="NC67" s="88"/>
      <c r="ND67" s="88"/>
      <c r="NE67" s="88"/>
      <c r="NF67" s="88"/>
      <c r="NG67" s="88"/>
      <c r="NH67" s="88"/>
      <c r="NI67" s="88"/>
      <c r="NJ67" s="88"/>
      <c r="NK67" s="88"/>
      <c r="NL67" s="88"/>
      <c r="NM67" s="88"/>
      <c r="NN67" s="88"/>
      <c r="NO67" s="88"/>
      <c r="NP67" s="88"/>
      <c r="NQ67" s="88"/>
      <c r="NR67" s="88"/>
      <c r="NS67" s="88"/>
      <c r="NT67" s="88"/>
      <c r="NU67" s="88"/>
      <c r="NV67" s="88"/>
      <c r="NW67" s="88"/>
      <c r="NX67" s="88"/>
      <c r="NY67" s="88"/>
      <c r="NZ67" s="88"/>
      <c r="OA67" s="88"/>
      <c r="OB67" s="88"/>
      <c r="OC67" s="88"/>
      <c r="OD67" s="88"/>
      <c r="OE67" s="88"/>
      <c r="OF67" s="88"/>
      <c r="OG67" s="88"/>
      <c r="OH67" s="88"/>
      <c r="OI67" s="88"/>
      <c r="OJ67" s="88"/>
      <c r="OK67" s="88"/>
      <c r="OL67" s="88"/>
      <c r="OM67" s="88"/>
      <c r="ON67" s="88"/>
      <c r="OO67" s="88"/>
      <c r="OP67" s="88"/>
      <c r="OQ67" s="88"/>
      <c r="OR67" s="88"/>
      <c r="OS67" s="88"/>
      <c r="OT67" s="88"/>
      <c r="OU67" s="88"/>
      <c r="OV67" s="88"/>
      <c r="OW67" s="88"/>
      <c r="OX67" s="88"/>
      <c r="OY67" s="88"/>
      <c r="OZ67" s="88"/>
      <c r="PA67" s="88"/>
      <c r="PB67" s="88"/>
      <c r="PC67" s="88"/>
      <c r="PD67" s="88"/>
      <c r="PE67" s="88"/>
      <c r="PF67" s="88"/>
      <c r="PG67" s="88"/>
      <c r="PH67" s="88"/>
      <c r="PI67" s="88"/>
      <c r="PJ67" s="88"/>
      <c r="PK67" s="88"/>
      <c r="PL67" s="88"/>
      <c r="PM67" s="88"/>
      <c r="PN67" s="88"/>
      <c r="PO67" s="88"/>
      <c r="PP67" s="88"/>
      <c r="PQ67" s="88"/>
      <c r="PR67" s="88"/>
      <c r="PS67" s="88"/>
      <c r="PT67" s="88"/>
      <c r="PU67" s="88"/>
      <c r="PV67" s="88"/>
      <c r="PW67" s="88"/>
      <c r="PX67" s="88"/>
      <c r="PY67" s="88"/>
      <c r="PZ67" s="88"/>
      <c r="QA67" s="88"/>
      <c r="QB67" s="88"/>
      <c r="QC67" s="88"/>
      <c r="QD67" s="88"/>
      <c r="QE67" s="88"/>
      <c r="QF67" s="88"/>
      <c r="QG67" s="88"/>
      <c r="QH67" s="88"/>
      <c r="QI67" s="88"/>
      <c r="QJ67" s="88"/>
      <c r="QK67" s="88"/>
      <c r="QL67" s="88"/>
      <c r="QM67" s="88"/>
      <c r="QN67" s="88"/>
      <c r="QO67" s="88"/>
      <c r="QP67" s="88"/>
      <c r="QQ67" s="88"/>
      <c r="QR67" s="88"/>
      <c r="QS67" s="88"/>
      <c r="QT67" s="88"/>
      <c r="QU67" s="88"/>
      <c r="QV67" s="88"/>
      <c r="QW67" s="88"/>
      <c r="QX67" s="88"/>
      <c r="QY67" s="88"/>
      <c r="QZ67" s="88"/>
      <c r="RA67" s="88"/>
      <c r="RB67" s="88"/>
      <c r="RC67" s="88"/>
      <c r="RD67" s="88"/>
      <c r="RE67" s="88"/>
      <c r="RF67" s="88"/>
      <c r="RG67" s="88"/>
      <c r="RH67" s="88"/>
      <c r="RI67" s="88"/>
      <c r="RJ67" s="88"/>
      <c r="RK67" s="88"/>
      <c r="RL67" s="88"/>
      <c r="RM67" s="88"/>
      <c r="RN67" s="88"/>
      <c r="RO67" s="88"/>
      <c r="RP67" s="88"/>
      <c r="RQ67" s="88"/>
      <c r="RR67" s="88"/>
      <c r="RS67" s="88"/>
      <c r="RT67" s="88"/>
      <c r="RU67" s="88"/>
      <c r="RV67" s="88"/>
      <c r="RW67" s="88"/>
      <c r="RX67" s="88"/>
      <c r="RY67" s="88"/>
      <c r="RZ67" s="88"/>
      <c r="SA67" s="88"/>
      <c r="SB67" s="88"/>
      <c r="SC67" s="88"/>
      <c r="SD67" s="88"/>
      <c r="SE67" s="88"/>
      <c r="SF67" s="88"/>
      <c r="SG67" s="88"/>
      <c r="SH67" s="88"/>
      <c r="SI67" s="88"/>
      <c r="SJ67" s="88"/>
      <c r="SK67" s="88"/>
      <c r="SL67" s="88"/>
      <c r="SM67" s="88"/>
      <c r="SN67" s="88"/>
      <c r="SO67" s="88"/>
      <c r="SP67" s="88"/>
      <c r="SQ67" s="88"/>
      <c r="SR67" s="88"/>
      <c r="SS67" s="88"/>
      <c r="ST67" s="88"/>
      <c r="SU67" s="88"/>
      <c r="SV67" s="88"/>
      <c r="SW67" s="88"/>
      <c r="SX67" s="88"/>
      <c r="SY67" s="88"/>
      <c r="SZ67" s="88"/>
      <c r="TA67" s="88"/>
      <c r="TB67" s="88"/>
      <c r="TC67" s="88"/>
      <c r="TD67" s="88"/>
      <c r="TE67" s="88"/>
      <c r="TF67" s="88"/>
      <c r="TG67" s="88"/>
      <c r="TH67" s="88"/>
      <c r="TI67" s="88"/>
      <c r="TJ67" s="88"/>
      <c r="TK67" s="88"/>
      <c r="TL67" s="88"/>
      <c r="TM67" s="88"/>
      <c r="TN67" s="88"/>
      <c r="TO67" s="88"/>
      <c r="TP67" s="88"/>
      <c r="TQ67" s="88"/>
      <c r="TR67" s="88"/>
      <c r="TS67" s="88"/>
      <c r="TT67" s="88"/>
      <c r="TU67" s="88"/>
      <c r="TV67" s="88"/>
      <c r="TW67" s="88"/>
      <c r="TX67" s="88"/>
      <c r="TY67" s="88"/>
      <c r="TZ67" s="88"/>
      <c r="UA67" s="88"/>
      <c r="UB67" s="88"/>
      <c r="UC67" s="88"/>
      <c r="UD67" s="88"/>
      <c r="UE67" s="88"/>
      <c r="UF67" s="88"/>
      <c r="UG67" s="88"/>
      <c r="UH67" s="88"/>
      <c r="UI67" s="88"/>
      <c r="UJ67" s="88"/>
      <c r="UK67" s="88"/>
      <c r="UL67" s="88"/>
      <c r="UM67" s="88"/>
      <c r="UN67" s="88"/>
      <c r="UO67" s="88"/>
      <c r="UP67" s="88"/>
      <c r="UQ67" s="88"/>
      <c r="UR67" s="88"/>
      <c r="US67" s="88"/>
      <c r="UT67" s="88"/>
      <c r="UU67" s="88"/>
      <c r="UV67" s="88"/>
      <c r="UW67" s="88"/>
      <c r="UX67" s="88"/>
      <c r="UY67" s="88"/>
      <c r="UZ67" s="88"/>
      <c r="VA67" s="88"/>
      <c r="VB67" s="88"/>
      <c r="VC67" s="88"/>
      <c r="VD67" s="88"/>
      <c r="VE67" s="88"/>
      <c r="VF67" s="88"/>
      <c r="VG67" s="88"/>
      <c r="VH67" s="88"/>
      <c r="VI67" s="88"/>
      <c r="VJ67" s="88"/>
      <c r="VK67" s="88"/>
      <c r="VL67" s="88"/>
      <c r="VM67" s="88"/>
      <c r="VN67" s="88"/>
      <c r="VO67" s="88"/>
      <c r="VP67" s="88"/>
      <c r="VQ67" s="88"/>
      <c r="VR67" s="88"/>
      <c r="VS67" s="88"/>
      <c r="VT67" s="88"/>
      <c r="VU67" s="88"/>
      <c r="VV67" s="88"/>
      <c r="VW67" s="88"/>
      <c r="VX67" s="88"/>
      <c r="VY67" s="88"/>
      <c r="VZ67" s="88"/>
      <c r="WA67" s="88"/>
      <c r="WB67" s="88"/>
      <c r="WC67" s="88"/>
      <c r="WD67" s="88"/>
      <c r="WE67" s="88"/>
      <c r="WF67" s="88"/>
      <c r="WG67" s="88"/>
      <c r="WH67" s="88"/>
      <c r="WI67" s="88"/>
      <c r="WJ67" s="88"/>
      <c r="WK67" s="88"/>
      <c r="WL67" s="88"/>
      <c r="WM67" s="88"/>
      <c r="WN67" s="88"/>
      <c r="WO67" s="88"/>
      <c r="WP67" s="88"/>
      <c r="WQ67" s="88"/>
      <c r="WR67" s="88"/>
      <c r="WS67" s="88"/>
      <c r="WT67" s="88"/>
      <c r="WU67" s="88"/>
      <c r="WV67" s="88"/>
      <c r="WW67" s="88"/>
      <c r="WX67" s="88"/>
      <c r="WY67" s="88"/>
      <c r="WZ67" s="88"/>
      <c r="XA67" s="88"/>
      <c r="XB67" s="88"/>
      <c r="XC67" s="88"/>
      <c r="XD67" s="88"/>
      <c r="XE67" s="88"/>
      <c r="XF67" s="88"/>
      <c r="XG67" s="88"/>
      <c r="XH67" s="88"/>
      <c r="XI67" s="88"/>
      <c r="XJ67" s="88"/>
      <c r="XK67" s="88"/>
      <c r="XL67" s="88"/>
      <c r="XM67" s="88"/>
      <c r="XN67" s="88"/>
      <c r="XO67" s="88"/>
      <c r="XP67" s="88"/>
      <c r="XQ67" s="88"/>
      <c r="XR67" s="88"/>
      <c r="XS67" s="88"/>
      <c r="XT67" s="88"/>
      <c r="XU67" s="88"/>
      <c r="XV67" s="88"/>
      <c r="XW67" s="88"/>
      <c r="XX67" s="88"/>
      <c r="XY67" s="88"/>
      <c r="XZ67" s="88"/>
      <c r="YA67" s="88"/>
      <c r="YB67" s="88"/>
      <c r="YC67" s="88"/>
      <c r="YD67" s="88"/>
      <c r="YE67" s="88"/>
      <c r="YF67" s="88"/>
      <c r="YG67" s="88"/>
      <c r="YH67" s="88"/>
      <c r="YI67" s="88"/>
      <c r="YJ67" s="88"/>
      <c r="YK67" s="88"/>
      <c r="YL67" s="88"/>
      <c r="YM67" s="88"/>
      <c r="YN67" s="88"/>
      <c r="YO67" s="88"/>
      <c r="YP67" s="88"/>
      <c r="YQ67" s="88"/>
      <c r="YR67" s="88"/>
      <c r="YS67" s="88"/>
      <c r="YT67" s="88"/>
      <c r="YU67" s="88"/>
      <c r="YV67" s="88"/>
      <c r="YW67" s="88"/>
      <c r="YX67" s="88"/>
      <c r="YY67" s="88"/>
      <c r="YZ67" s="88"/>
      <c r="ZA67" s="88"/>
      <c r="ZB67" s="88"/>
      <c r="ZC67" s="88"/>
      <c r="ZD67" s="88"/>
      <c r="ZE67" s="88"/>
      <c r="ZF67" s="88"/>
      <c r="ZG67" s="88"/>
      <c r="ZH67" s="88"/>
      <c r="ZI67" s="88"/>
      <c r="ZJ67" s="88"/>
      <c r="ZK67" s="88"/>
      <c r="ZL67" s="88"/>
      <c r="ZM67" s="88"/>
      <c r="ZN67" s="88"/>
      <c r="ZO67" s="88"/>
      <c r="ZP67" s="88"/>
      <c r="ZQ67" s="88"/>
      <c r="ZR67" s="88"/>
      <c r="ZS67" s="88"/>
      <c r="ZT67" s="88"/>
      <c r="ZU67" s="88"/>
      <c r="ZV67" s="88"/>
      <c r="ZW67" s="88"/>
      <c r="ZX67" s="88"/>
      <c r="ZY67" s="88"/>
      <c r="ZZ67" s="88"/>
      <c r="AAA67" s="88"/>
      <c r="AAB67" s="88"/>
      <c r="AAC67" s="88"/>
      <c r="AAD67" s="88"/>
      <c r="AAE67" s="88"/>
      <c r="AAF67" s="88"/>
      <c r="AAG67" s="88"/>
      <c r="AAH67" s="88"/>
      <c r="AAI67" s="88"/>
      <c r="AAJ67" s="88"/>
      <c r="AAK67" s="88"/>
      <c r="AAL67" s="88"/>
      <c r="AAM67" s="88"/>
      <c r="AAN67" s="88"/>
      <c r="AAO67" s="88"/>
      <c r="AAP67" s="88"/>
      <c r="AAQ67" s="88"/>
      <c r="AAR67" s="88"/>
      <c r="AAS67" s="88"/>
      <c r="AAT67" s="88"/>
      <c r="AAU67" s="88"/>
      <c r="AAV67" s="88"/>
      <c r="AAW67" s="88"/>
      <c r="AAX67" s="88"/>
      <c r="AAY67" s="88"/>
      <c r="AAZ67" s="88"/>
      <c r="ABA67" s="88"/>
      <c r="ABB67" s="88"/>
      <c r="ABC67" s="88"/>
      <c r="ABD67" s="88"/>
      <c r="ABE67" s="88"/>
      <c r="ABF67" s="88"/>
      <c r="ABG67" s="88"/>
      <c r="ABH67" s="88"/>
      <c r="ABI67" s="88"/>
      <c r="ABJ67" s="88"/>
      <c r="ABK67" s="88"/>
      <c r="ABL67" s="88"/>
      <c r="ABM67" s="88"/>
      <c r="ABN67" s="88"/>
      <c r="ABO67" s="88"/>
      <c r="ABP67" s="88"/>
      <c r="ABQ67" s="88"/>
      <c r="ABR67" s="88"/>
      <c r="ABS67" s="88"/>
      <c r="ABT67" s="88"/>
      <c r="ABU67" s="88"/>
      <c r="ABV67" s="88"/>
      <c r="ABW67" s="88"/>
      <c r="ABX67" s="88"/>
      <c r="ABY67" s="88"/>
      <c r="ABZ67" s="88"/>
      <c r="ACA67" s="88"/>
      <c r="ACB67" s="88"/>
      <c r="ACC67" s="88"/>
      <c r="ACD67" s="88"/>
      <c r="ACE67" s="88"/>
      <c r="ACF67" s="88"/>
      <c r="ACG67" s="88"/>
      <c r="ACH67" s="88"/>
      <c r="ACI67" s="88"/>
      <c r="ACJ67" s="88"/>
      <c r="ACK67" s="88"/>
      <c r="ACL67" s="88"/>
      <c r="ACM67" s="88"/>
      <c r="ACN67" s="88"/>
      <c r="ACO67" s="88"/>
      <c r="ACP67" s="88"/>
      <c r="ACQ67" s="88"/>
      <c r="ACR67" s="88"/>
      <c r="ACS67" s="88"/>
      <c r="ACT67" s="88"/>
      <c r="ACU67" s="88"/>
      <c r="ACV67" s="88"/>
      <c r="ACW67" s="88"/>
      <c r="ACX67" s="88"/>
      <c r="ACY67" s="88"/>
      <c r="ACZ67" s="88"/>
      <c r="ADA67" s="88"/>
      <c r="ADB67" s="88"/>
      <c r="ADC67" s="88"/>
      <c r="ADD67" s="88"/>
      <c r="ADE67" s="88"/>
      <c r="ADF67" s="88"/>
      <c r="ADG67" s="88"/>
      <c r="ADH67" s="88"/>
      <c r="ADI67" s="88"/>
      <c r="ADJ67" s="88"/>
      <c r="ADK67" s="88"/>
      <c r="ADL67" s="88"/>
      <c r="ADM67" s="88"/>
      <c r="ADN67" s="88"/>
      <c r="ADO67" s="88"/>
      <c r="ADP67" s="88"/>
      <c r="ADQ67" s="88"/>
      <c r="ADR67" s="88"/>
      <c r="ADS67" s="88"/>
      <c r="ADT67" s="88"/>
      <c r="ADU67" s="88"/>
      <c r="ADV67" s="88"/>
      <c r="ADW67" s="88"/>
      <c r="ADX67" s="88"/>
      <c r="ADY67" s="88"/>
      <c r="ADZ67" s="88"/>
      <c r="AEA67" s="88"/>
      <c r="AEB67" s="88"/>
      <c r="AEC67" s="88"/>
      <c r="AED67" s="88"/>
      <c r="AEE67" s="88"/>
      <c r="AEF67" s="88"/>
      <c r="AEG67" s="88"/>
      <c r="AEH67" s="88"/>
      <c r="AEI67" s="88"/>
      <c r="AEJ67" s="88"/>
      <c r="AEK67" s="88"/>
      <c r="AEL67" s="88"/>
      <c r="AEM67" s="88"/>
      <c r="AEN67" s="88"/>
      <c r="AEO67" s="88"/>
      <c r="AEP67" s="88"/>
      <c r="AEQ67" s="88"/>
      <c r="AER67" s="88"/>
      <c r="AES67" s="88"/>
      <c r="AET67" s="88"/>
      <c r="AEU67" s="88"/>
      <c r="AEV67" s="88"/>
      <c r="AEW67" s="88"/>
      <c r="AEX67" s="88"/>
      <c r="AEY67" s="88"/>
      <c r="AEZ67" s="88"/>
      <c r="AFA67" s="88"/>
      <c r="AFB67" s="88"/>
      <c r="AFC67" s="88"/>
      <c r="AFD67" s="88"/>
      <c r="AFE67" s="88"/>
      <c r="AFF67" s="88"/>
      <c r="AFG67" s="88"/>
      <c r="AFH67" s="88"/>
      <c r="AFI67" s="88"/>
      <c r="AFJ67" s="88"/>
      <c r="AFK67" s="88"/>
      <c r="AFL67" s="88"/>
      <c r="AFM67" s="88"/>
      <c r="AFN67" s="88"/>
      <c r="AFO67" s="88"/>
      <c r="AFP67" s="88"/>
      <c r="AFQ67" s="88"/>
      <c r="AFR67" s="88"/>
      <c r="AFS67" s="88"/>
      <c r="AFT67" s="88"/>
      <c r="AFU67" s="88"/>
      <c r="AFV67" s="88"/>
      <c r="AFW67" s="88"/>
      <c r="AFX67" s="88"/>
      <c r="AFY67" s="88"/>
      <c r="AFZ67" s="88"/>
      <c r="AGA67" s="88"/>
      <c r="AGB67" s="88"/>
      <c r="AGC67" s="88"/>
      <c r="AGD67" s="88"/>
      <c r="AGE67" s="88"/>
      <c r="AGF67" s="88"/>
      <c r="AGG67" s="88"/>
      <c r="AGH67" s="88"/>
      <c r="AGI67" s="88"/>
      <c r="AGJ67" s="88"/>
      <c r="AGK67" s="88"/>
      <c r="AGL67" s="88"/>
      <c r="AGM67" s="88"/>
      <c r="AGN67" s="88"/>
      <c r="AGO67" s="88"/>
      <c r="AGP67" s="88"/>
      <c r="AGQ67" s="88"/>
      <c r="AGR67" s="88"/>
      <c r="AGS67" s="88"/>
      <c r="AGT67" s="88"/>
      <c r="AGU67" s="88"/>
      <c r="AGV67" s="88"/>
      <c r="AGW67" s="88"/>
      <c r="AGX67" s="88"/>
      <c r="AGY67" s="88"/>
      <c r="AGZ67" s="88"/>
      <c r="AHA67" s="88"/>
      <c r="AHB67" s="88"/>
      <c r="AHC67" s="88"/>
      <c r="AHD67" s="88"/>
      <c r="AHE67" s="88"/>
      <c r="AHF67" s="88"/>
      <c r="AHG67" s="88"/>
      <c r="AHH67" s="88"/>
      <c r="AHI67" s="88"/>
      <c r="AHJ67" s="88"/>
      <c r="AHK67" s="88"/>
      <c r="AHL67" s="88"/>
      <c r="AHM67" s="88"/>
      <c r="AHN67" s="88"/>
      <c r="AHO67" s="88"/>
      <c r="AHP67" s="88"/>
      <c r="AHQ67" s="88"/>
      <c r="AHR67" s="88"/>
      <c r="AHS67" s="88"/>
      <c r="AHT67" s="88"/>
      <c r="AHU67" s="88"/>
      <c r="AHV67" s="88"/>
      <c r="AHW67" s="88"/>
      <c r="AHX67" s="88"/>
      <c r="AHY67" s="88"/>
      <c r="AHZ67" s="88"/>
      <c r="AIA67" s="88"/>
      <c r="AIB67" s="88"/>
      <c r="AIC67" s="88"/>
      <c r="AID67" s="88"/>
      <c r="AIE67" s="88"/>
      <c r="AIF67" s="88"/>
      <c r="AIG67" s="88"/>
      <c r="AIH67" s="88"/>
      <c r="AII67" s="88"/>
      <c r="AIJ67" s="88"/>
      <c r="AIK67" s="88"/>
      <c r="AIL67" s="88"/>
      <c r="AIM67" s="88"/>
      <c r="AIN67" s="88"/>
      <c r="AIO67" s="88"/>
      <c r="AIP67" s="88"/>
      <c r="AIQ67" s="88"/>
      <c r="AIR67" s="88"/>
      <c r="AIS67" s="88"/>
      <c r="AIT67" s="88"/>
      <c r="AIU67" s="88"/>
      <c r="AIV67" s="88"/>
      <c r="AIW67" s="88"/>
      <c r="AIX67" s="88"/>
      <c r="AIY67" s="88"/>
      <c r="AIZ67" s="88"/>
      <c r="AJA67" s="88"/>
      <c r="AJB67" s="88"/>
      <c r="AJC67" s="88"/>
      <c r="AJD67" s="88"/>
      <c r="AJE67" s="88"/>
      <c r="AJF67" s="88"/>
      <c r="AJG67" s="88"/>
      <c r="AJH67" s="88"/>
      <c r="AJI67" s="88"/>
      <c r="AJJ67" s="88"/>
      <c r="AJK67" s="88"/>
      <c r="AJL67" s="88"/>
      <c r="AJM67" s="88"/>
      <c r="AJN67" s="88"/>
      <c r="AJO67" s="88"/>
      <c r="AJP67" s="88"/>
      <c r="AJQ67" s="88"/>
      <c r="AJR67" s="88"/>
      <c r="AJS67" s="88"/>
      <c r="AJT67" s="88"/>
      <c r="AJU67" s="88"/>
      <c r="AJV67" s="88"/>
      <c r="AJW67" s="88"/>
      <c r="AJX67" s="88"/>
      <c r="AJY67" s="88"/>
      <c r="AJZ67" s="88"/>
      <c r="AKA67" s="88"/>
      <c r="AKB67" s="88"/>
      <c r="AKC67" s="88"/>
      <c r="AKD67" s="88"/>
      <c r="AKE67" s="88"/>
      <c r="AKF67" s="88"/>
      <c r="AKG67" s="88"/>
      <c r="AKH67" s="88"/>
      <c r="AKI67" s="88"/>
      <c r="AKJ67" s="88"/>
      <c r="AKK67" s="88"/>
      <c r="AKL67" s="88"/>
      <c r="AKM67" s="88"/>
      <c r="AKN67" s="88"/>
      <c r="AKO67" s="88"/>
      <c r="AKP67" s="88"/>
      <c r="AKQ67" s="88"/>
      <c r="AKR67" s="88"/>
      <c r="AKS67" s="88"/>
      <c r="AKT67" s="88"/>
      <c r="AKU67" s="88"/>
      <c r="AKV67" s="88"/>
      <c r="AKW67" s="88"/>
      <c r="AKX67" s="88"/>
      <c r="AKY67" s="88"/>
      <c r="AKZ67" s="88"/>
      <c r="ALA67" s="88"/>
      <c r="ALB67" s="88"/>
      <c r="ALC67" s="88"/>
      <c r="ALD67" s="88"/>
      <c r="ALE67" s="88"/>
      <c r="ALF67" s="88"/>
      <c r="ALG67" s="88"/>
      <c r="ALH67" s="88"/>
      <c r="ALI67" s="88"/>
      <c r="ALJ67" s="88"/>
      <c r="ALK67" s="88"/>
      <c r="ALL67" s="88"/>
      <c r="ALM67" s="88"/>
      <c r="ALN67" s="88"/>
      <c r="ALO67" s="88"/>
      <c r="ALP67" s="88"/>
      <c r="ALQ67" s="88"/>
      <c r="ALR67" s="88"/>
      <c r="ALS67" s="88"/>
      <c r="ALT67" s="88"/>
      <c r="ALU67" s="88"/>
      <c r="ALV67" s="88"/>
      <c r="ALW67" s="88"/>
      <c r="ALX67" s="88"/>
      <c r="ALY67" s="88"/>
      <c r="ALZ67" s="88"/>
      <c r="AMA67" s="88"/>
      <c r="AMB67" s="88"/>
      <c r="AMC67" s="88"/>
      <c r="AMD67" s="88"/>
      <c r="AME67" s="88"/>
      <c r="AMF67" s="88"/>
      <c r="AMG67" s="88"/>
      <c r="AMH67" s="88"/>
      <c r="AMI67" s="88"/>
      <c r="AMJ67" s="88"/>
      <c r="AMK67" s="88"/>
      <c r="AML67" s="88"/>
      <c r="AMM67" s="88"/>
      <c r="AMN67" s="88"/>
      <c r="AMO67" s="88"/>
      <c r="AMP67" s="88"/>
      <c r="AMQ67" s="88"/>
      <c r="AMR67" s="88"/>
      <c r="AMS67" s="88"/>
      <c r="AMT67" s="88"/>
      <c r="AMU67" s="88"/>
      <c r="AMV67" s="88"/>
      <c r="AMW67" s="88"/>
      <c r="AMX67" s="88"/>
      <c r="AMY67" s="88"/>
      <c r="AMZ67" s="88"/>
      <c r="ANA67" s="88"/>
      <c r="ANB67" s="88"/>
      <c r="ANC67" s="88"/>
      <c r="AND67" s="88"/>
      <c r="ANE67" s="88"/>
      <c r="ANF67" s="88"/>
      <c r="ANG67" s="88"/>
      <c r="ANH67" s="88"/>
      <c r="ANI67" s="88"/>
      <c r="ANJ67" s="88"/>
      <c r="ANK67" s="88"/>
      <c r="ANL67" s="88"/>
      <c r="ANM67" s="88"/>
      <c r="ANN67" s="88"/>
      <c r="ANO67" s="88"/>
      <c r="ANP67" s="88"/>
      <c r="ANQ67" s="88"/>
      <c r="ANR67" s="88"/>
      <c r="ANS67" s="88"/>
      <c r="ANT67" s="88"/>
      <c r="ANU67" s="88"/>
      <c r="ANV67" s="88"/>
      <c r="ANW67" s="88"/>
      <c r="ANX67" s="88"/>
      <c r="ANY67" s="88"/>
      <c r="ANZ67" s="88"/>
      <c r="AOA67" s="88"/>
      <c r="AOB67" s="88"/>
      <c r="AOC67" s="88"/>
      <c r="AOD67" s="88"/>
      <c r="AOE67" s="88"/>
      <c r="AOF67" s="88"/>
      <c r="AOG67" s="88"/>
      <c r="AOH67" s="88"/>
      <c r="AOI67" s="88"/>
      <c r="AOJ67" s="88"/>
      <c r="AOK67" s="88"/>
      <c r="AOL67" s="88"/>
      <c r="AOM67" s="88"/>
      <c r="AON67" s="88"/>
      <c r="AOO67" s="88"/>
      <c r="AOP67" s="88"/>
      <c r="AOQ67" s="88"/>
      <c r="AOR67" s="88"/>
      <c r="AOS67" s="88"/>
      <c r="AOT67" s="88"/>
      <c r="AOU67" s="88"/>
      <c r="AOV67" s="88"/>
      <c r="AOW67" s="88"/>
      <c r="AOX67" s="88"/>
      <c r="AOY67" s="88"/>
      <c r="AOZ67" s="88"/>
      <c r="APA67" s="88"/>
      <c r="APB67" s="88"/>
      <c r="APC67" s="88"/>
      <c r="APD67" s="88"/>
      <c r="APE67" s="88"/>
      <c r="APF67" s="88"/>
      <c r="APG67" s="88"/>
      <c r="APH67" s="88"/>
      <c r="API67" s="88"/>
      <c r="APJ67" s="88"/>
      <c r="APK67" s="88"/>
      <c r="APL67" s="88"/>
      <c r="APM67" s="88"/>
      <c r="APN67" s="88"/>
      <c r="APO67" s="88"/>
      <c r="APP67" s="88"/>
      <c r="APQ67" s="88"/>
      <c r="APR67" s="88"/>
      <c r="APS67" s="88"/>
      <c r="APT67" s="88"/>
      <c r="APU67" s="88"/>
      <c r="APV67" s="88"/>
      <c r="APW67" s="88"/>
      <c r="APX67" s="88"/>
      <c r="APY67" s="88"/>
      <c r="APZ67" s="88"/>
      <c r="AQA67" s="88"/>
      <c r="AQB67" s="88"/>
      <c r="AQC67" s="88"/>
      <c r="AQD67" s="88"/>
      <c r="AQE67" s="88"/>
      <c r="AQF67" s="88"/>
      <c r="AQG67" s="88"/>
      <c r="AQH67" s="88"/>
      <c r="AQI67" s="88"/>
      <c r="AQJ67" s="88"/>
      <c r="AQK67" s="88"/>
      <c r="AQL67" s="88"/>
      <c r="AQM67" s="88"/>
      <c r="AQN67" s="88"/>
      <c r="AQO67" s="88"/>
      <c r="AQP67" s="88"/>
      <c r="AQQ67" s="88"/>
      <c r="AQR67" s="88"/>
      <c r="AQS67" s="88"/>
      <c r="AQT67" s="88"/>
      <c r="AQU67" s="88"/>
      <c r="AQV67" s="88"/>
      <c r="AQW67" s="88"/>
      <c r="AQX67" s="88"/>
      <c r="AQY67" s="88"/>
      <c r="AQZ67" s="88"/>
      <c r="ARA67" s="88"/>
      <c r="ARB67" s="88"/>
      <c r="ARC67" s="88"/>
      <c r="ARD67" s="88"/>
      <c r="ARE67" s="88"/>
      <c r="ARF67" s="88"/>
      <c r="ARG67" s="88"/>
      <c r="ARH67" s="88"/>
      <c r="ARI67" s="88"/>
      <c r="ARJ67" s="88"/>
      <c r="ARK67" s="88"/>
      <c r="ARL67" s="88"/>
      <c r="ARM67" s="88"/>
      <c r="ARN67" s="88"/>
      <c r="ARO67" s="88"/>
      <c r="ARP67" s="88"/>
      <c r="ARQ67" s="88"/>
      <c r="ARR67" s="88"/>
      <c r="ARS67" s="88"/>
      <c r="ART67" s="88"/>
      <c r="ARU67" s="88"/>
      <c r="ARV67" s="88"/>
      <c r="ARW67" s="88"/>
      <c r="ARX67" s="88"/>
      <c r="ARY67" s="88"/>
      <c r="ARZ67" s="88"/>
      <c r="ASA67" s="88"/>
      <c r="ASB67" s="88"/>
      <c r="ASC67" s="88"/>
      <c r="ASD67" s="88"/>
      <c r="ASE67" s="88"/>
      <c r="ASF67" s="88"/>
      <c r="ASG67" s="88"/>
      <c r="ASH67" s="88"/>
      <c r="ASI67" s="88"/>
      <c r="ASJ67" s="88"/>
      <c r="ASK67" s="88"/>
      <c r="ASL67" s="88"/>
      <c r="ASM67" s="88"/>
      <c r="ASN67" s="88"/>
      <c r="ASO67" s="88"/>
      <c r="ASP67" s="88"/>
      <c r="ASQ67" s="88"/>
      <c r="ASR67" s="88"/>
      <c r="ASS67" s="88"/>
      <c r="AST67" s="88"/>
      <c r="ASU67" s="88"/>
      <c r="ASV67" s="88"/>
      <c r="ASW67" s="88"/>
      <c r="ASX67" s="88"/>
      <c r="ASY67" s="88"/>
      <c r="ASZ67" s="88"/>
      <c r="ATA67" s="88"/>
      <c r="ATB67" s="88"/>
      <c r="ATC67" s="88"/>
      <c r="ATD67" s="88"/>
      <c r="ATE67" s="88"/>
      <c r="ATF67" s="88"/>
      <c r="ATG67" s="88"/>
      <c r="ATH67" s="88"/>
      <c r="ATI67" s="88"/>
      <c r="ATJ67" s="88"/>
      <c r="ATK67" s="88"/>
      <c r="ATL67" s="88"/>
      <c r="ATM67" s="88"/>
      <c r="ATN67" s="88"/>
      <c r="ATO67" s="88"/>
      <c r="ATP67" s="88"/>
      <c r="ATQ67" s="88"/>
      <c r="ATR67" s="88"/>
      <c r="ATS67" s="88"/>
      <c r="ATT67" s="88"/>
      <c r="ATU67" s="88"/>
      <c r="ATV67" s="88"/>
      <c r="ATW67" s="88"/>
      <c r="ATX67" s="88"/>
      <c r="ATY67" s="88"/>
      <c r="ATZ67" s="88"/>
      <c r="AUA67" s="88"/>
      <c r="AUB67" s="88"/>
      <c r="AUC67" s="88"/>
      <c r="AUD67" s="88"/>
      <c r="AUE67" s="88"/>
      <c r="AUF67" s="88"/>
      <c r="AUG67" s="88"/>
      <c r="AUH67" s="88"/>
      <c r="AUI67" s="88"/>
      <c r="AUJ67" s="88"/>
      <c r="AUK67" s="88"/>
      <c r="AUL67" s="88"/>
      <c r="AUM67" s="88"/>
      <c r="AUN67" s="88"/>
      <c r="AUO67" s="88"/>
      <c r="AUP67" s="88"/>
      <c r="AUQ67" s="88"/>
      <c r="AUR67" s="88"/>
      <c r="AUS67" s="88"/>
      <c r="AUT67" s="88"/>
      <c r="AUU67" s="88"/>
      <c r="AUV67" s="88"/>
      <c r="AUW67" s="88"/>
      <c r="AUX67" s="88"/>
      <c r="AUY67" s="88"/>
      <c r="AUZ67" s="88"/>
      <c r="AVA67" s="88"/>
      <c r="AVB67" s="88"/>
      <c r="AVC67" s="88"/>
      <c r="AVD67" s="88"/>
      <c r="AVE67" s="88"/>
      <c r="AVF67" s="88"/>
      <c r="AVG67" s="88"/>
      <c r="AVH67" s="88"/>
      <c r="AVI67" s="88"/>
      <c r="AVJ67" s="88"/>
      <c r="AVK67" s="88"/>
      <c r="AVL67" s="88"/>
      <c r="AVM67" s="88"/>
      <c r="AVN67" s="88"/>
      <c r="AVO67" s="88"/>
      <c r="AVP67" s="88"/>
      <c r="AVQ67" s="88"/>
      <c r="AVR67" s="88"/>
      <c r="AVS67" s="88"/>
      <c r="AVT67" s="88"/>
      <c r="AVU67" s="88"/>
      <c r="AVV67" s="88"/>
      <c r="AVW67" s="88"/>
      <c r="AVX67" s="88"/>
      <c r="AVY67" s="88"/>
      <c r="AVZ67" s="88"/>
      <c r="AWA67" s="88"/>
      <c r="AWB67" s="88"/>
      <c r="AWC67" s="88"/>
      <c r="AWD67" s="88"/>
      <c r="AWE67" s="88"/>
      <c r="AWF67" s="88"/>
      <c r="AWG67" s="88"/>
      <c r="AWH67" s="88"/>
      <c r="AWI67" s="88"/>
      <c r="AWJ67" s="88"/>
      <c r="AWK67" s="88"/>
      <c r="AWL67" s="88"/>
      <c r="AWM67" s="88"/>
      <c r="AWN67" s="88"/>
      <c r="AWO67" s="88"/>
      <c r="AWP67" s="88"/>
      <c r="AWQ67" s="88"/>
      <c r="AWR67" s="88"/>
      <c r="AWS67" s="88"/>
      <c r="AWT67" s="88"/>
      <c r="AWU67" s="88"/>
      <c r="AWV67" s="88"/>
      <c r="AWW67" s="88"/>
      <c r="AWX67" s="88"/>
      <c r="AWY67" s="88"/>
      <c r="AWZ67" s="88"/>
      <c r="AXA67" s="88"/>
      <c r="AXB67" s="88"/>
      <c r="AXC67" s="88"/>
      <c r="AXD67" s="88"/>
      <c r="AXE67" s="88"/>
      <c r="AXF67" s="88"/>
      <c r="AXG67" s="88"/>
      <c r="AXH67" s="88"/>
      <c r="AXI67" s="88"/>
      <c r="AXJ67" s="88"/>
      <c r="AXK67" s="88"/>
      <c r="AXL67" s="88"/>
      <c r="AXM67" s="88"/>
      <c r="AXN67" s="88"/>
      <c r="AXO67" s="88"/>
      <c r="AXP67" s="88"/>
      <c r="AXQ67" s="88"/>
      <c r="AXR67" s="88"/>
      <c r="AXS67" s="88"/>
      <c r="AXT67" s="88"/>
      <c r="AXU67" s="88"/>
      <c r="AXV67" s="88"/>
      <c r="AXW67" s="88"/>
      <c r="AXX67" s="88"/>
      <c r="AXY67" s="88"/>
      <c r="AXZ67" s="88"/>
      <c r="AYA67" s="88"/>
      <c r="AYB67" s="88"/>
      <c r="AYC67" s="88"/>
      <c r="AYD67" s="88"/>
      <c r="AYE67" s="88"/>
      <c r="AYF67" s="88"/>
      <c r="AYG67" s="88"/>
      <c r="AYH67" s="88"/>
      <c r="AYI67" s="88"/>
      <c r="AYJ67" s="88"/>
      <c r="AYK67" s="88"/>
      <c r="AYL67" s="88"/>
      <c r="AYM67" s="88"/>
      <c r="AYN67" s="88"/>
      <c r="AYO67" s="88"/>
      <c r="AYP67" s="88"/>
      <c r="AYQ67" s="88"/>
      <c r="AYR67" s="88"/>
      <c r="AYS67" s="88"/>
      <c r="AYT67" s="88"/>
      <c r="AYU67" s="88"/>
      <c r="AYV67" s="88"/>
      <c r="AYW67" s="88"/>
      <c r="AYX67" s="88"/>
      <c r="AYY67" s="88"/>
      <c r="AYZ67" s="88"/>
      <c r="AZA67" s="88"/>
      <c r="AZB67" s="88"/>
      <c r="AZC67" s="88"/>
      <c r="AZD67" s="88"/>
      <c r="AZE67" s="88"/>
      <c r="AZF67" s="88"/>
      <c r="AZG67" s="88"/>
      <c r="AZH67" s="88"/>
      <c r="AZI67" s="88"/>
      <c r="AZJ67" s="88"/>
      <c r="AZK67" s="88"/>
      <c r="AZL67" s="88"/>
      <c r="AZM67" s="88"/>
      <c r="AZN67" s="88"/>
      <c r="AZO67" s="88"/>
      <c r="AZP67" s="88"/>
      <c r="AZQ67" s="88"/>
      <c r="AZR67" s="88"/>
      <c r="AZS67" s="88"/>
      <c r="AZT67" s="88"/>
      <c r="AZU67" s="88"/>
      <c r="AZV67" s="88"/>
      <c r="AZW67" s="88"/>
      <c r="AZX67" s="88"/>
      <c r="AZY67" s="88"/>
      <c r="AZZ67" s="88"/>
      <c r="BAA67" s="88"/>
      <c r="BAB67" s="88"/>
      <c r="BAC67" s="88"/>
      <c r="BAD67" s="88"/>
      <c r="BAE67" s="88"/>
      <c r="BAF67" s="88"/>
      <c r="BAG67" s="88"/>
      <c r="BAH67" s="88"/>
      <c r="BAI67" s="88"/>
      <c r="BAJ67" s="88"/>
      <c r="BAK67" s="88"/>
      <c r="BAL67" s="88"/>
      <c r="BAM67" s="88"/>
      <c r="BAN67" s="88"/>
      <c r="BAO67" s="88"/>
      <c r="BAP67" s="88"/>
      <c r="BAQ67" s="88"/>
      <c r="BAR67" s="88"/>
      <c r="BAS67" s="88"/>
      <c r="BAT67" s="88"/>
      <c r="BAU67" s="88"/>
      <c r="BAV67" s="88"/>
      <c r="BAW67" s="88"/>
      <c r="BAX67" s="88"/>
      <c r="BAY67" s="88"/>
      <c r="BAZ67" s="88"/>
      <c r="BBA67" s="88"/>
      <c r="BBB67" s="88"/>
      <c r="BBC67" s="88"/>
      <c r="BBD67" s="88"/>
      <c r="BBE67" s="88"/>
      <c r="BBF67" s="88"/>
      <c r="BBG67" s="88"/>
      <c r="BBH67" s="88"/>
      <c r="BBI67" s="88"/>
      <c r="BBJ67" s="88"/>
      <c r="BBK67" s="88"/>
      <c r="BBL67" s="88"/>
      <c r="BBM67" s="88"/>
      <c r="BBN67" s="88"/>
      <c r="BBO67" s="88"/>
      <c r="BBP67" s="88"/>
      <c r="BBQ67" s="88"/>
      <c r="BBR67" s="88"/>
      <c r="BBS67" s="88"/>
      <c r="BBT67" s="88"/>
      <c r="BBU67" s="88"/>
      <c r="BBV67" s="88"/>
      <c r="BBW67" s="88"/>
      <c r="BBX67" s="88"/>
      <c r="BBY67" s="88"/>
      <c r="BBZ67" s="88"/>
      <c r="BCA67" s="88"/>
      <c r="BCB67" s="88"/>
      <c r="BCC67" s="88"/>
      <c r="BCD67" s="88"/>
      <c r="BCE67" s="88"/>
      <c r="BCF67" s="88"/>
      <c r="BCG67" s="88"/>
      <c r="BCH67" s="88"/>
      <c r="BCI67" s="88"/>
      <c r="BCJ67" s="88"/>
      <c r="BCK67" s="88"/>
      <c r="BCL67" s="88"/>
      <c r="BCM67" s="88"/>
      <c r="BCN67" s="88"/>
      <c r="BCO67" s="88"/>
      <c r="BCP67" s="88"/>
      <c r="BCQ67" s="88"/>
      <c r="BCR67" s="88"/>
      <c r="BCS67" s="88"/>
      <c r="BCT67" s="88"/>
      <c r="BCU67" s="88"/>
      <c r="BCV67" s="88"/>
      <c r="BCW67" s="88"/>
      <c r="BCX67" s="88"/>
      <c r="BCY67" s="88"/>
      <c r="BCZ67" s="88"/>
      <c r="BDA67" s="88"/>
      <c r="BDB67" s="88"/>
      <c r="BDC67" s="88"/>
      <c r="BDD67" s="88"/>
      <c r="BDE67" s="88"/>
      <c r="BDF67" s="88"/>
      <c r="BDG67" s="88"/>
      <c r="BDH67" s="88"/>
      <c r="BDI67" s="88"/>
      <c r="BDJ67" s="88"/>
      <c r="BDK67" s="88"/>
      <c r="BDL67" s="88"/>
      <c r="BDM67" s="88"/>
      <c r="BDN67" s="88"/>
      <c r="BDO67" s="88"/>
      <c r="BDP67" s="88"/>
      <c r="BDQ67" s="88"/>
      <c r="BDR67" s="88"/>
      <c r="BDS67" s="88"/>
      <c r="BDT67" s="88"/>
      <c r="BDU67" s="88"/>
      <c r="BDV67" s="88"/>
      <c r="BDW67" s="88"/>
      <c r="BDX67" s="88"/>
      <c r="BDY67" s="88"/>
      <c r="BDZ67" s="88"/>
      <c r="BEA67" s="88"/>
      <c r="BEB67" s="88"/>
      <c r="BEC67" s="88"/>
      <c r="BED67" s="88"/>
      <c r="BEE67" s="88"/>
      <c r="BEF67" s="88"/>
      <c r="BEG67" s="88"/>
      <c r="BEH67" s="88"/>
      <c r="BEI67" s="88"/>
      <c r="BEJ67" s="88"/>
      <c r="BEK67" s="88"/>
      <c r="BEL67" s="88"/>
      <c r="BEM67" s="88"/>
      <c r="BEN67" s="88"/>
      <c r="BEO67" s="88"/>
      <c r="BEP67" s="88"/>
      <c r="BEQ67" s="88"/>
      <c r="BER67" s="88"/>
      <c r="BES67" s="88"/>
      <c r="BET67" s="88"/>
      <c r="BEU67" s="88"/>
      <c r="BEV67" s="88"/>
      <c r="BEW67" s="88"/>
      <c r="BEX67" s="88"/>
      <c r="BEY67" s="88"/>
      <c r="BEZ67" s="88"/>
      <c r="BFA67" s="88"/>
      <c r="BFB67" s="88"/>
      <c r="BFC67" s="88"/>
      <c r="BFD67" s="88"/>
      <c r="BFE67" s="88"/>
      <c r="BFF67" s="88"/>
      <c r="BFG67" s="88"/>
      <c r="BFH67" s="88"/>
      <c r="BFI67" s="88"/>
      <c r="BFJ67" s="88"/>
      <c r="BFK67" s="88"/>
      <c r="BFL67" s="88"/>
      <c r="BFM67" s="88"/>
      <c r="BFN67" s="88"/>
      <c r="BFO67" s="88"/>
      <c r="BFP67" s="88"/>
      <c r="BFQ67" s="88"/>
      <c r="BFR67" s="88"/>
      <c r="BFS67" s="88"/>
      <c r="BFT67" s="88"/>
      <c r="BFU67" s="88"/>
      <c r="BFV67" s="88"/>
      <c r="BFW67" s="88"/>
      <c r="BFX67" s="88"/>
      <c r="BFY67" s="88"/>
      <c r="BFZ67" s="88"/>
      <c r="BGA67" s="88"/>
      <c r="BGB67" s="88"/>
      <c r="BGC67" s="88"/>
      <c r="BGD67" s="88"/>
      <c r="BGE67" s="88"/>
      <c r="BGF67" s="88"/>
      <c r="BGG67" s="88"/>
      <c r="BGH67" s="88"/>
      <c r="BGI67" s="88"/>
      <c r="BGJ67" s="88"/>
      <c r="BGK67" s="88"/>
      <c r="BGL67" s="88"/>
      <c r="BGM67" s="88"/>
      <c r="BGN67" s="88"/>
      <c r="BGO67" s="88"/>
      <c r="BGP67" s="88"/>
      <c r="BGQ67" s="88"/>
      <c r="BGR67" s="88"/>
      <c r="BGS67" s="88"/>
      <c r="BGT67" s="88"/>
      <c r="BGU67" s="88"/>
      <c r="BGV67" s="88"/>
      <c r="BGW67" s="88"/>
      <c r="BGX67" s="88"/>
      <c r="BGY67" s="88"/>
      <c r="BGZ67" s="88"/>
      <c r="BHA67" s="88"/>
      <c r="BHB67" s="88"/>
      <c r="BHC67" s="88"/>
      <c r="BHD67" s="88"/>
      <c r="BHE67" s="88"/>
      <c r="BHF67" s="88"/>
      <c r="BHG67" s="88"/>
      <c r="BHH67" s="88"/>
      <c r="BHI67" s="88"/>
      <c r="BHJ67" s="88"/>
      <c r="BHK67" s="88"/>
      <c r="BHL67" s="88"/>
      <c r="BHM67" s="88"/>
      <c r="BHN67" s="88"/>
      <c r="BHO67" s="88"/>
      <c r="BHP67" s="88"/>
      <c r="BHQ67" s="88"/>
      <c r="BHR67" s="88"/>
      <c r="BHS67" s="88"/>
      <c r="BHT67" s="88"/>
      <c r="BHU67" s="88"/>
      <c r="BHV67" s="88"/>
      <c r="BHW67" s="88"/>
      <c r="BHX67" s="88"/>
      <c r="BHY67" s="88"/>
      <c r="BHZ67" s="88"/>
      <c r="BIA67" s="88"/>
      <c r="BIB67" s="88"/>
      <c r="BIC67" s="88"/>
      <c r="BID67" s="88"/>
      <c r="BIE67" s="88"/>
      <c r="BIF67" s="88"/>
      <c r="BIG67" s="88"/>
      <c r="BIH67" s="88"/>
      <c r="BII67" s="88"/>
      <c r="BIJ67" s="88"/>
      <c r="BIK67" s="88"/>
      <c r="BIL67" s="88"/>
      <c r="BIM67" s="88"/>
      <c r="BIN67" s="88"/>
      <c r="BIO67" s="88"/>
      <c r="BIP67" s="88"/>
      <c r="BIQ67" s="88"/>
      <c r="BIR67" s="88"/>
      <c r="BIS67" s="88"/>
      <c r="BIT67" s="88"/>
      <c r="BIU67" s="88"/>
      <c r="BIV67" s="88"/>
      <c r="BIW67" s="88"/>
      <c r="BIX67" s="88"/>
      <c r="BIY67" s="88"/>
      <c r="BIZ67" s="88"/>
      <c r="BJA67" s="88"/>
      <c r="BJB67" s="88"/>
      <c r="BJC67" s="88"/>
      <c r="BJD67" s="88"/>
      <c r="BJE67" s="88"/>
      <c r="BJF67" s="88"/>
      <c r="BJG67" s="88"/>
      <c r="BJH67" s="88"/>
      <c r="BJI67" s="88"/>
      <c r="BJJ67" s="88"/>
      <c r="BJK67" s="88"/>
      <c r="BJL67" s="88"/>
      <c r="BJM67" s="88"/>
      <c r="BJN67" s="88"/>
      <c r="BJO67" s="88"/>
      <c r="BJP67" s="88"/>
      <c r="BJQ67" s="88"/>
      <c r="BJR67" s="88"/>
      <c r="BJS67" s="88"/>
      <c r="BJT67" s="88"/>
      <c r="BJU67" s="88"/>
      <c r="BJV67" s="88"/>
      <c r="BJW67" s="88"/>
      <c r="BJX67" s="88"/>
      <c r="BJY67" s="88"/>
      <c r="BJZ67" s="88"/>
      <c r="BKA67" s="88"/>
      <c r="BKB67" s="88"/>
      <c r="BKC67" s="88"/>
      <c r="BKD67" s="88"/>
      <c r="BKE67" s="88"/>
      <c r="BKF67" s="88"/>
      <c r="BKG67" s="88"/>
      <c r="BKH67" s="88"/>
      <c r="BKI67" s="88"/>
      <c r="BKJ67" s="88"/>
      <c r="BKK67" s="88"/>
      <c r="BKL67" s="88"/>
      <c r="BKM67" s="88"/>
      <c r="BKN67" s="88"/>
      <c r="BKO67" s="88"/>
      <c r="BKP67" s="88"/>
      <c r="BKQ67" s="88"/>
      <c r="BKR67" s="88"/>
      <c r="BKS67" s="88"/>
      <c r="BKT67" s="88"/>
      <c r="BKU67" s="88"/>
      <c r="BKV67" s="88"/>
      <c r="BKW67" s="88"/>
      <c r="BKX67" s="88"/>
      <c r="BKY67" s="88"/>
      <c r="BKZ67" s="88"/>
      <c r="BLA67" s="88"/>
      <c r="BLB67" s="88"/>
      <c r="BLC67" s="88"/>
      <c r="BLD67" s="88"/>
      <c r="BLE67" s="88"/>
      <c r="BLF67" s="88"/>
      <c r="BLG67" s="88"/>
      <c r="BLH67" s="88"/>
      <c r="BLI67" s="88"/>
      <c r="BLJ67" s="88"/>
      <c r="BLK67" s="88"/>
      <c r="BLL67" s="88"/>
      <c r="BLM67" s="88"/>
      <c r="BLN67" s="88"/>
      <c r="BLO67" s="88"/>
      <c r="BLP67" s="88"/>
      <c r="BLQ67" s="88"/>
      <c r="BLR67" s="88"/>
      <c r="BLS67" s="88"/>
      <c r="BLT67" s="88"/>
      <c r="BLU67" s="88"/>
      <c r="BLV67" s="88"/>
      <c r="BLW67" s="88"/>
      <c r="BLX67" s="88"/>
      <c r="BLY67" s="88"/>
      <c r="BLZ67" s="88"/>
      <c r="BMA67" s="88"/>
      <c r="BMB67" s="88"/>
      <c r="BMC67" s="88"/>
      <c r="BMD67" s="88"/>
      <c r="BME67" s="88"/>
      <c r="BMF67" s="88"/>
      <c r="BMG67" s="88"/>
      <c r="BMH67" s="88"/>
      <c r="BMI67" s="88"/>
      <c r="BMJ67" s="88"/>
      <c r="BMK67" s="88"/>
      <c r="BML67" s="88"/>
      <c r="BMM67" s="88"/>
      <c r="BMN67" s="88"/>
      <c r="BMO67" s="88"/>
      <c r="BMP67" s="88"/>
      <c r="BMQ67" s="88"/>
      <c r="BMR67" s="88"/>
      <c r="BMS67" s="88"/>
      <c r="BMT67" s="88"/>
      <c r="BMU67" s="88"/>
      <c r="BMV67" s="88"/>
      <c r="BMW67" s="88"/>
      <c r="BMX67" s="88"/>
      <c r="BMY67" s="88"/>
      <c r="BMZ67" s="88"/>
      <c r="BNA67" s="88"/>
      <c r="BNB67" s="88"/>
      <c r="BNC67" s="88"/>
      <c r="BND67" s="88"/>
      <c r="BNE67" s="88"/>
      <c r="BNF67" s="88"/>
      <c r="BNG67" s="88"/>
      <c r="BNH67" s="88"/>
      <c r="BNI67" s="88"/>
      <c r="BNJ67" s="88"/>
      <c r="BNK67" s="88"/>
      <c r="BNL67" s="88"/>
      <c r="BNM67" s="88"/>
      <c r="BNN67" s="88"/>
      <c r="BNO67" s="88"/>
      <c r="BNP67" s="88"/>
      <c r="BNQ67" s="88"/>
      <c r="BNR67" s="88"/>
      <c r="BNS67" s="88"/>
      <c r="BNT67" s="88"/>
      <c r="BNU67" s="88"/>
      <c r="BNV67" s="88"/>
      <c r="BNW67" s="88"/>
      <c r="BNX67" s="88"/>
      <c r="BNY67" s="88"/>
      <c r="BNZ67" s="88"/>
      <c r="BOA67" s="88"/>
      <c r="BOB67" s="88"/>
      <c r="BOC67" s="88"/>
      <c r="BOD67" s="88"/>
      <c r="BOE67" s="88"/>
      <c r="BOF67" s="88"/>
      <c r="BOG67" s="88"/>
      <c r="BOH67" s="88"/>
      <c r="BOI67" s="88"/>
      <c r="BOJ67" s="88"/>
      <c r="BOK67" s="88"/>
      <c r="BOL67" s="88"/>
      <c r="BOM67" s="88"/>
      <c r="BON67" s="88"/>
      <c r="BOO67" s="88"/>
      <c r="BOP67" s="88"/>
      <c r="BOQ67" s="88"/>
      <c r="BOR67" s="88"/>
      <c r="BOS67" s="88"/>
      <c r="BOT67" s="88"/>
      <c r="BOU67" s="88"/>
      <c r="BOV67" s="88"/>
      <c r="BOW67" s="88"/>
      <c r="BOX67" s="88"/>
      <c r="BOY67" s="88"/>
      <c r="BOZ67" s="88"/>
      <c r="BPA67" s="88"/>
      <c r="BPB67" s="88"/>
      <c r="BPC67" s="88"/>
      <c r="BPD67" s="88"/>
      <c r="BPE67" s="88"/>
      <c r="BPF67" s="88"/>
      <c r="BPG67" s="88"/>
      <c r="BPH67" s="88"/>
      <c r="BPI67" s="88"/>
      <c r="BPJ67" s="88"/>
      <c r="BPK67" s="88"/>
      <c r="BPL67" s="88"/>
      <c r="BPM67" s="88"/>
      <c r="BPN67" s="88"/>
      <c r="BPO67" s="88"/>
      <c r="BPP67" s="88"/>
      <c r="BPQ67" s="88"/>
      <c r="BPR67" s="88"/>
      <c r="BPS67" s="88"/>
      <c r="BPT67" s="88"/>
      <c r="BPU67" s="88"/>
      <c r="BPV67" s="88"/>
      <c r="BPW67" s="88"/>
      <c r="BPX67" s="88"/>
      <c r="BPY67" s="88"/>
      <c r="BPZ67" s="88"/>
      <c r="BQA67" s="88"/>
      <c r="BQB67" s="88"/>
      <c r="BQC67" s="88"/>
      <c r="BQD67" s="88"/>
      <c r="BQE67" s="88"/>
      <c r="BQF67" s="88"/>
      <c r="BQG67" s="88"/>
      <c r="BQH67" s="88"/>
      <c r="BQI67" s="88"/>
      <c r="BQJ67" s="88"/>
      <c r="BQK67" s="88"/>
      <c r="BQL67" s="88"/>
      <c r="BQM67" s="88"/>
      <c r="BQN67" s="88"/>
      <c r="BQO67" s="88"/>
      <c r="BQP67" s="88"/>
      <c r="BQQ67" s="88"/>
      <c r="BQR67" s="88"/>
      <c r="BQS67" s="88"/>
      <c r="BQT67" s="88"/>
      <c r="BQU67" s="88"/>
      <c r="BQV67" s="88"/>
      <c r="BQW67" s="88"/>
      <c r="BQX67" s="88"/>
      <c r="BQY67" s="88"/>
      <c r="BQZ67" s="88"/>
      <c r="BRA67" s="88"/>
      <c r="BRB67" s="88"/>
      <c r="BRC67" s="88"/>
      <c r="BRD67" s="88"/>
      <c r="BRE67" s="88"/>
      <c r="BRF67" s="88"/>
      <c r="BRG67" s="88"/>
      <c r="BRH67" s="88"/>
      <c r="BRI67" s="88"/>
      <c r="BRJ67" s="88"/>
      <c r="BRK67" s="88"/>
      <c r="BRL67" s="88"/>
      <c r="BRM67" s="88"/>
      <c r="BRN67" s="88"/>
      <c r="BRO67" s="88"/>
      <c r="BRP67" s="88"/>
      <c r="BRQ67" s="88"/>
      <c r="BRR67" s="88"/>
      <c r="BRS67" s="88"/>
      <c r="BRT67" s="88"/>
      <c r="BRU67" s="88"/>
      <c r="BRV67" s="88"/>
      <c r="BRW67" s="88"/>
      <c r="BRX67" s="88"/>
      <c r="BRY67" s="88"/>
      <c r="BRZ67" s="88"/>
      <c r="BSA67" s="88"/>
      <c r="BSB67" s="88"/>
      <c r="BSC67" s="88"/>
      <c r="BSD67" s="88"/>
      <c r="BSE67" s="88"/>
      <c r="BSF67" s="88"/>
      <c r="BSG67" s="88"/>
      <c r="BSH67" s="88"/>
      <c r="BSI67" s="88"/>
      <c r="BSJ67" s="88"/>
      <c r="BSK67" s="88"/>
      <c r="BSL67" s="88"/>
      <c r="BSM67" s="88"/>
      <c r="BSN67" s="88"/>
      <c r="BSO67" s="88"/>
      <c r="BSP67" s="88"/>
      <c r="BSQ67" s="88"/>
      <c r="BSR67" s="88"/>
      <c r="BSS67" s="88"/>
      <c r="BST67" s="88"/>
      <c r="BSU67" s="88"/>
      <c r="BSV67" s="88"/>
      <c r="BSW67" s="88"/>
      <c r="BSX67" s="88"/>
      <c r="BSY67" s="88"/>
      <c r="BSZ67" s="88"/>
      <c r="BTA67" s="88"/>
      <c r="BTB67" s="88"/>
      <c r="BTC67" s="88"/>
      <c r="BTD67" s="88"/>
      <c r="BTE67" s="88"/>
      <c r="BTF67" s="88"/>
      <c r="BTG67" s="88"/>
      <c r="BTH67" s="88"/>
      <c r="BTI67" s="88"/>
      <c r="BTJ67" s="88"/>
      <c r="BTK67" s="88"/>
      <c r="BTL67" s="88"/>
      <c r="BTM67" s="88"/>
      <c r="BTN67" s="88"/>
      <c r="BTO67" s="88"/>
      <c r="BTP67" s="88"/>
      <c r="BTQ67" s="88"/>
      <c r="BTR67" s="88"/>
      <c r="BTS67" s="88"/>
      <c r="BTT67" s="88"/>
      <c r="BTU67" s="88"/>
      <c r="BTV67" s="88"/>
      <c r="BTW67" s="88"/>
      <c r="BTX67" s="88"/>
      <c r="BTY67" s="88"/>
      <c r="BTZ67" s="88"/>
      <c r="BUA67" s="88"/>
      <c r="BUB67" s="88"/>
      <c r="BUC67" s="88"/>
      <c r="BUD67" s="88"/>
      <c r="BUE67" s="88"/>
      <c r="BUF67" s="88"/>
      <c r="BUG67" s="88"/>
      <c r="BUH67" s="88"/>
      <c r="BUI67" s="88"/>
      <c r="BUJ67" s="88"/>
      <c r="BUK67" s="88"/>
      <c r="BUL67" s="88"/>
      <c r="BUM67" s="88"/>
      <c r="BUN67" s="88"/>
      <c r="BUO67" s="88"/>
      <c r="BUP67" s="88"/>
      <c r="BUQ67" s="88"/>
      <c r="BUR67" s="88"/>
      <c r="BUS67" s="88"/>
      <c r="BUT67" s="88"/>
      <c r="BUU67" s="88"/>
      <c r="BUV67" s="88"/>
      <c r="BUW67" s="88"/>
      <c r="BUX67" s="88"/>
      <c r="BUY67" s="88"/>
      <c r="BUZ67" s="88"/>
      <c r="BVA67" s="88"/>
      <c r="BVB67" s="88"/>
      <c r="BVC67" s="88"/>
      <c r="BVD67" s="88"/>
      <c r="BVE67" s="88"/>
      <c r="BVF67" s="88"/>
      <c r="BVG67" s="88"/>
      <c r="BVH67" s="88"/>
      <c r="BVI67" s="88"/>
      <c r="BVJ67" s="88"/>
      <c r="BVK67" s="88"/>
      <c r="BVL67" s="88"/>
      <c r="BVM67" s="88"/>
      <c r="BVN67" s="88"/>
      <c r="BVO67" s="88"/>
      <c r="BVP67" s="88"/>
      <c r="BVQ67" s="88"/>
      <c r="BVR67" s="88"/>
      <c r="BVS67" s="88"/>
      <c r="BVT67" s="88"/>
      <c r="BVU67" s="88"/>
      <c r="BVV67" s="88"/>
      <c r="BVW67" s="88"/>
      <c r="BVX67" s="88"/>
      <c r="BVY67" s="88"/>
      <c r="BVZ67" s="88"/>
      <c r="BWA67" s="88"/>
      <c r="BWB67" s="88"/>
      <c r="BWC67" s="88"/>
      <c r="BWD67" s="88"/>
      <c r="BWE67" s="88"/>
      <c r="BWF67" s="88"/>
      <c r="BWG67" s="88"/>
      <c r="BWH67" s="88"/>
      <c r="BWI67" s="88"/>
      <c r="BWJ67" s="88"/>
      <c r="BWK67" s="88"/>
      <c r="BWL67" s="88"/>
      <c r="BWM67" s="88"/>
      <c r="BWN67" s="88"/>
      <c r="BWO67" s="88"/>
      <c r="BWP67" s="88"/>
      <c r="BWQ67" s="88"/>
      <c r="BWR67" s="88"/>
      <c r="BWS67" s="88"/>
      <c r="BWT67" s="88"/>
      <c r="BWU67" s="88"/>
      <c r="BWV67" s="88"/>
      <c r="BWW67" s="88"/>
      <c r="BWX67" s="88"/>
      <c r="BWY67" s="88"/>
      <c r="BWZ67" s="88"/>
      <c r="BXA67" s="88"/>
      <c r="BXB67" s="88"/>
      <c r="BXC67" s="88"/>
      <c r="BXD67" s="88"/>
      <c r="BXE67" s="88"/>
      <c r="BXF67" s="88"/>
      <c r="BXG67" s="88"/>
      <c r="BXH67" s="88"/>
      <c r="BXI67" s="88"/>
      <c r="BXJ67" s="88"/>
      <c r="BXK67" s="88"/>
      <c r="BXL67" s="88"/>
      <c r="BXM67" s="88"/>
      <c r="BXN67" s="88"/>
      <c r="BXO67" s="88"/>
      <c r="BXP67" s="88"/>
      <c r="BXQ67" s="88"/>
      <c r="BXR67" s="88"/>
      <c r="BXS67" s="88"/>
      <c r="BXT67" s="88"/>
      <c r="BXU67" s="88"/>
      <c r="BXV67" s="88"/>
      <c r="BXW67" s="88"/>
      <c r="BXX67" s="88"/>
      <c r="BXY67" s="88"/>
      <c r="BXZ67" s="88"/>
      <c r="BYA67" s="88"/>
      <c r="BYB67" s="88"/>
      <c r="BYC67" s="88"/>
      <c r="BYD67" s="88"/>
      <c r="BYE67" s="88"/>
      <c r="BYF67" s="88"/>
      <c r="BYG67" s="88"/>
      <c r="BYH67" s="88"/>
      <c r="BYI67" s="88"/>
      <c r="BYJ67" s="88"/>
      <c r="BYK67" s="88"/>
      <c r="BYL67" s="88"/>
      <c r="BYM67" s="88"/>
      <c r="BYN67" s="88"/>
      <c r="BYO67" s="88"/>
      <c r="BYP67" s="88"/>
      <c r="BYQ67" s="88"/>
      <c r="BYR67" s="88"/>
      <c r="BYS67" s="88"/>
      <c r="BYT67" s="88"/>
      <c r="BYU67" s="88"/>
      <c r="BYV67" s="88"/>
      <c r="BYW67" s="88"/>
      <c r="BYX67" s="88"/>
      <c r="BYY67" s="88"/>
      <c r="BYZ67" s="88"/>
      <c r="BZA67" s="88"/>
      <c r="BZB67" s="88"/>
      <c r="BZC67" s="88"/>
      <c r="BZD67" s="88"/>
      <c r="BZE67" s="88"/>
      <c r="BZF67" s="88"/>
      <c r="BZG67" s="88"/>
      <c r="BZH67" s="88"/>
      <c r="BZI67" s="88"/>
      <c r="BZJ67" s="88"/>
      <c r="BZK67" s="88"/>
      <c r="BZL67" s="88"/>
      <c r="BZM67" s="88"/>
      <c r="BZN67" s="88"/>
      <c r="BZO67" s="88"/>
      <c r="BZP67" s="88"/>
      <c r="BZQ67" s="88"/>
      <c r="BZR67" s="88"/>
      <c r="BZS67" s="88"/>
      <c r="BZT67" s="88"/>
      <c r="BZU67" s="88"/>
      <c r="BZV67" s="88"/>
      <c r="BZW67" s="88"/>
      <c r="BZX67" s="88"/>
      <c r="BZY67" s="88"/>
      <c r="BZZ67" s="88"/>
      <c r="CAA67" s="88"/>
      <c r="CAB67" s="88"/>
      <c r="CAC67" s="88"/>
      <c r="CAD67" s="88"/>
      <c r="CAE67" s="88"/>
      <c r="CAF67" s="88"/>
      <c r="CAG67" s="88"/>
      <c r="CAH67" s="88"/>
      <c r="CAI67" s="88"/>
      <c r="CAJ67" s="88"/>
      <c r="CAK67" s="88"/>
      <c r="CAL67" s="88"/>
      <c r="CAM67" s="88"/>
      <c r="CAN67" s="88"/>
      <c r="CAO67" s="88"/>
      <c r="CAP67" s="88"/>
      <c r="CAQ67" s="88"/>
      <c r="CAR67" s="88"/>
      <c r="CAS67" s="88"/>
      <c r="CAT67" s="88"/>
      <c r="CAU67" s="88"/>
      <c r="CAV67" s="88"/>
      <c r="CAW67" s="88"/>
      <c r="CAX67" s="88"/>
      <c r="CAY67" s="88"/>
      <c r="CAZ67" s="88"/>
      <c r="CBA67" s="88"/>
      <c r="CBB67" s="88"/>
      <c r="CBC67" s="88"/>
      <c r="CBD67" s="88"/>
      <c r="CBE67" s="88"/>
      <c r="CBF67" s="88"/>
      <c r="CBG67" s="88"/>
      <c r="CBH67" s="88"/>
      <c r="CBI67" s="88"/>
      <c r="CBJ67" s="88"/>
      <c r="CBK67" s="88"/>
      <c r="CBL67" s="88"/>
      <c r="CBM67" s="88"/>
      <c r="CBN67" s="88"/>
      <c r="CBO67" s="88"/>
      <c r="CBP67" s="88"/>
      <c r="CBQ67" s="88"/>
      <c r="CBR67" s="88"/>
      <c r="CBS67" s="88"/>
      <c r="CBT67" s="88"/>
      <c r="CBU67" s="88"/>
      <c r="CBV67" s="88"/>
      <c r="CBW67" s="88"/>
      <c r="CBX67" s="88"/>
      <c r="CBY67" s="88"/>
      <c r="CBZ67" s="88"/>
      <c r="CCA67" s="88"/>
      <c r="CCB67" s="88"/>
      <c r="CCC67" s="88"/>
      <c r="CCD67" s="88"/>
      <c r="CCE67" s="88"/>
      <c r="CCF67" s="88"/>
      <c r="CCG67" s="88"/>
      <c r="CCH67" s="88"/>
      <c r="CCI67" s="88"/>
      <c r="CCJ67" s="88"/>
      <c r="CCK67" s="88"/>
      <c r="CCL67" s="88"/>
      <c r="CCM67" s="88"/>
      <c r="CCN67" s="88"/>
      <c r="CCO67" s="88"/>
      <c r="CCP67" s="88"/>
      <c r="CCQ67" s="88"/>
      <c r="CCR67" s="88"/>
      <c r="CCS67" s="88"/>
      <c r="CCT67" s="88"/>
      <c r="CCU67" s="88"/>
      <c r="CCV67" s="88"/>
      <c r="CCW67" s="88"/>
      <c r="CCX67" s="88"/>
      <c r="CCY67" s="88"/>
      <c r="CCZ67" s="88"/>
      <c r="CDA67" s="88"/>
      <c r="CDB67" s="88"/>
      <c r="CDC67" s="88"/>
      <c r="CDD67" s="88"/>
      <c r="CDE67" s="88"/>
      <c r="CDF67" s="88"/>
      <c r="CDG67" s="88"/>
      <c r="CDH67" s="88"/>
      <c r="CDI67" s="88"/>
      <c r="CDJ67" s="88"/>
      <c r="CDK67" s="88"/>
      <c r="CDL67" s="88"/>
      <c r="CDM67" s="88"/>
      <c r="CDN67" s="88"/>
      <c r="CDO67" s="88"/>
      <c r="CDP67" s="88"/>
      <c r="CDQ67" s="88"/>
      <c r="CDR67" s="88"/>
      <c r="CDS67" s="88"/>
      <c r="CDT67" s="88"/>
      <c r="CDU67" s="88"/>
      <c r="CDV67" s="88"/>
      <c r="CDW67" s="88"/>
      <c r="CDX67" s="88"/>
      <c r="CDY67" s="88"/>
      <c r="CDZ67" s="88"/>
      <c r="CEA67" s="88"/>
      <c r="CEB67" s="88"/>
      <c r="CEC67" s="88"/>
      <c r="CED67" s="88"/>
      <c r="CEE67" s="88"/>
      <c r="CEF67" s="88"/>
      <c r="CEG67" s="88"/>
      <c r="CEH67" s="88"/>
      <c r="CEI67" s="88"/>
      <c r="CEJ67" s="88"/>
      <c r="CEK67" s="88"/>
    </row>
    <row r="68" spans="1:2169" s="63" customFormat="1">
      <c r="A68" s="73" t="s">
        <v>426</v>
      </c>
      <c r="B68" s="73" t="s">
        <v>496</v>
      </c>
      <c r="C68" s="68" t="str">
        <f>IF('page 2'!$O$4="","",IF('page 2'!$O$4=Gestion!A68,1,0))</f>
        <v/>
      </c>
      <c r="D68" s="68" t="str">
        <f>IF('page 2'!$O$5="","",IF('page 2'!$O$5=Gestion!A68,1,0))</f>
        <v/>
      </c>
      <c r="E68" s="68" t="str">
        <f>IF('page 2'!$O$6="","",IF('page 2'!$O$6=Gestion!A68,1,0))</f>
        <v/>
      </c>
      <c r="F68" s="68" t="str">
        <f>IF('page 2'!$O$7="","",IF('page 2'!$O$7=Gestion!A68,1,0))</f>
        <v/>
      </c>
      <c r="G68" s="68" t="str">
        <f>IF('page 2'!$O$8="","",IF('page 2'!$O$8=Gestion!A68,1,0))</f>
        <v/>
      </c>
      <c r="H68" s="68" t="str">
        <f>IF('page 2'!$O$9="","",IF('page 2'!$O$9=Gestion!A68,1,0))</f>
        <v/>
      </c>
      <c r="I68" s="68" t="str">
        <f>IF('page 2'!$O$10="","",IF('page 2'!$O$10=Gestion!A68,1,0))</f>
        <v/>
      </c>
      <c r="J68" s="68" t="str">
        <f>IF('page 2'!$O$11="","",IF('page 2'!$O$11=Gestion!A68,1,0))</f>
        <v/>
      </c>
      <c r="K68" s="68" t="str">
        <f>IF('page 2'!$O$12="","",IF('page 2'!$O$12=Gestion!A68,1,0))</f>
        <v/>
      </c>
      <c r="L68" s="68" t="str">
        <f>IF('page 2'!$O$13="","",IF('page 2'!$O$13=Gestion!A68,1,0))</f>
        <v/>
      </c>
      <c r="M68" s="68" t="str">
        <f>IF('page 2'!$O$14="","",IF('page 2'!$O$14=Gestion!A68,1,0))</f>
        <v/>
      </c>
      <c r="N68" s="68" t="str">
        <f>IF('page 2'!$O$15="","",IF('page 2'!$O$15=Gestion!A68,1,0))</f>
        <v/>
      </c>
      <c r="O68" s="68" t="str">
        <f>IF('page 2'!$O$16="","",IF('page 2'!$O$16=Gestion!A68,1,0))</f>
        <v/>
      </c>
      <c r="P68" s="68" t="str">
        <f>IF('page 2'!$O$17="","",IF('page 2'!$O$17=Gestion!A68,1,0))</f>
        <v/>
      </c>
      <c r="Q68" s="68" t="str">
        <f>IF('page 2'!$O$18="","",IF('page 2'!$O$18=Gestion!A68,1,0))</f>
        <v/>
      </c>
      <c r="R68" s="68" t="str">
        <f>IF('page 2'!$O$19="","",IF('page 2'!$O$19=Gestion!A68,1,0))</f>
        <v/>
      </c>
      <c r="S68" s="68" t="str">
        <f>IF('page 2'!$O$20="","",IF('page 2'!$O$20=Gestion!A68,1,0))</f>
        <v/>
      </c>
      <c r="T68" s="68" t="str">
        <f>IF('page 2'!$O$25="","",IF('page 2'!$O$25=Gestion!A68,1,0))</f>
        <v/>
      </c>
      <c r="U68" s="68" t="str">
        <f>IF('page 2'!$O$26="","",IF('page 2'!$O$26=Gestion!A68,1,0))</f>
        <v/>
      </c>
      <c r="V68" s="68" t="str">
        <f>IF('page 2'!$O$27="","",IF('page 2'!$O$27=Gestion!A68,1,0))</f>
        <v/>
      </c>
      <c r="W68" s="722">
        <f t="shared" si="0"/>
        <v>0</v>
      </c>
      <c r="X68" s="714"/>
      <c r="Y68" s="68"/>
      <c r="Z68" s="68"/>
      <c r="AA68" s="68"/>
      <c r="AB68" s="68"/>
      <c r="AC68" s="68"/>
      <c r="AD68" s="68"/>
      <c r="AP68" s="130"/>
      <c r="AQ68" s="130"/>
      <c r="AR68" s="130"/>
      <c r="AS68" s="576"/>
      <c r="AT68" s="576"/>
      <c r="AU68" s="576"/>
      <c r="AV68" s="576"/>
      <c r="AW68" s="602"/>
      <c r="AX68" s="602"/>
      <c r="AY68" s="576"/>
      <c r="AZ68" s="576"/>
      <c r="BA68" s="576"/>
      <c r="BB68" s="576"/>
      <c r="BC68" s="576"/>
      <c r="BD68" s="602"/>
      <c r="BE68" s="602"/>
      <c r="BF68" s="602"/>
      <c r="BG68" s="602"/>
      <c r="BH68" s="602"/>
      <c r="BI68" s="602"/>
      <c r="BJ68" s="602"/>
      <c r="BK68" s="602"/>
      <c r="BL68" s="602"/>
      <c r="BM68" s="602"/>
      <c r="BN68" s="602"/>
      <c r="BO68" s="602"/>
      <c r="BP68" s="602"/>
      <c r="BQ68" s="602"/>
      <c r="BR68" s="602"/>
      <c r="BS68" s="576"/>
      <c r="BT68" s="576"/>
      <c r="BU68" s="576"/>
      <c r="BV68" s="576"/>
      <c r="BW68" s="602"/>
      <c r="BX68" s="602"/>
      <c r="BY68" s="602"/>
      <c r="BZ68" s="576"/>
      <c r="CA68" s="602"/>
      <c r="CB68" s="602"/>
      <c r="CC68" s="576"/>
      <c r="CD68" s="576"/>
      <c r="CE68" s="602"/>
      <c r="CF68" s="576"/>
      <c r="CG68" s="576"/>
      <c r="CH68" s="576"/>
      <c r="CI68" s="576"/>
      <c r="CJ68" s="576"/>
      <c r="CK68" s="602"/>
      <c r="CL68" s="602"/>
      <c r="CM68" s="576"/>
      <c r="CN68" s="602"/>
      <c r="CO68" s="602"/>
      <c r="CP68" s="602"/>
      <c r="CQ68" s="576"/>
      <c r="CR68" s="576"/>
      <c r="CS68" s="602"/>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c r="IW68" s="88"/>
      <c r="IX68" s="88"/>
      <c r="IY68" s="88"/>
      <c r="IZ68" s="88"/>
      <c r="JA68" s="88"/>
      <c r="JB68" s="88"/>
      <c r="JC68" s="88"/>
      <c r="JD68" s="88"/>
      <c r="JE68" s="88"/>
      <c r="JF68" s="88"/>
      <c r="JG68" s="88"/>
      <c r="JH68" s="88"/>
      <c r="JI68" s="88"/>
      <c r="JJ68" s="88"/>
      <c r="JK68" s="88"/>
      <c r="JL68" s="88"/>
      <c r="JM68" s="88"/>
      <c r="JN68" s="88"/>
      <c r="JO68" s="88"/>
      <c r="JP68" s="88"/>
      <c r="JQ68" s="88"/>
      <c r="JR68" s="88"/>
      <c r="JS68" s="88"/>
      <c r="JT68" s="88"/>
      <c r="JU68" s="88"/>
      <c r="JV68" s="88"/>
      <c r="JW68" s="88"/>
      <c r="JX68" s="88"/>
      <c r="JY68" s="88"/>
      <c r="JZ68" s="88"/>
      <c r="KA68" s="88"/>
      <c r="KB68" s="88"/>
      <c r="KC68" s="88"/>
      <c r="KD68" s="88"/>
      <c r="KE68" s="88"/>
      <c r="KF68" s="88"/>
      <c r="KG68" s="88"/>
      <c r="KH68" s="88"/>
      <c r="KI68" s="88"/>
      <c r="KJ68" s="88"/>
      <c r="KK68" s="88"/>
      <c r="KL68" s="88"/>
      <c r="KM68" s="88"/>
      <c r="KN68" s="88"/>
      <c r="KO68" s="88"/>
      <c r="KP68" s="88"/>
      <c r="KQ68" s="88"/>
      <c r="KR68" s="88"/>
      <c r="KS68" s="88"/>
      <c r="KT68" s="88"/>
      <c r="KU68" s="88"/>
      <c r="KV68" s="88"/>
      <c r="KW68" s="88"/>
      <c r="KX68" s="88"/>
      <c r="KY68" s="88"/>
      <c r="KZ68" s="88"/>
      <c r="LA68" s="88"/>
      <c r="LB68" s="88"/>
      <c r="LC68" s="88"/>
      <c r="LD68" s="88"/>
      <c r="LE68" s="88"/>
      <c r="LF68" s="88"/>
      <c r="LG68" s="88"/>
      <c r="LH68" s="88"/>
      <c r="LI68" s="88"/>
      <c r="LJ68" s="88"/>
      <c r="LK68" s="88"/>
      <c r="LL68" s="88"/>
      <c r="LM68" s="88"/>
      <c r="LN68" s="88"/>
      <c r="LO68" s="88"/>
      <c r="LP68" s="88"/>
      <c r="LQ68" s="88"/>
      <c r="LR68" s="88"/>
      <c r="LS68" s="88"/>
      <c r="LT68" s="88"/>
      <c r="LU68" s="88"/>
      <c r="LV68" s="88"/>
      <c r="LW68" s="88"/>
      <c r="LX68" s="88"/>
      <c r="LY68" s="88"/>
      <c r="LZ68" s="88"/>
      <c r="MA68" s="88"/>
      <c r="MB68" s="88"/>
      <c r="MC68" s="88"/>
      <c r="MD68" s="88"/>
      <c r="ME68" s="88"/>
      <c r="MF68" s="88"/>
      <c r="MG68" s="88"/>
      <c r="MH68" s="88"/>
      <c r="MI68" s="88"/>
      <c r="MJ68" s="88"/>
      <c r="MK68" s="88"/>
      <c r="ML68" s="88"/>
      <c r="MM68" s="88"/>
      <c r="MN68" s="88"/>
      <c r="MO68" s="88"/>
      <c r="MP68" s="88"/>
      <c r="MQ68" s="88"/>
      <c r="MR68" s="88"/>
      <c r="MS68" s="88"/>
      <c r="MT68" s="88"/>
      <c r="MU68" s="88"/>
      <c r="MV68" s="88"/>
      <c r="MW68" s="88"/>
      <c r="MX68" s="88"/>
      <c r="MY68" s="88"/>
      <c r="MZ68" s="88"/>
      <c r="NA68" s="88"/>
      <c r="NB68" s="88"/>
      <c r="NC68" s="88"/>
      <c r="ND68" s="88"/>
      <c r="NE68" s="88"/>
      <c r="NF68" s="88"/>
      <c r="NG68" s="88"/>
      <c r="NH68" s="88"/>
      <c r="NI68" s="88"/>
      <c r="NJ68" s="88"/>
      <c r="NK68" s="88"/>
      <c r="NL68" s="88"/>
      <c r="NM68" s="88"/>
      <c r="NN68" s="88"/>
      <c r="NO68" s="88"/>
      <c r="NP68" s="88"/>
      <c r="NQ68" s="88"/>
      <c r="NR68" s="88"/>
      <c r="NS68" s="88"/>
      <c r="NT68" s="88"/>
      <c r="NU68" s="88"/>
      <c r="NV68" s="88"/>
      <c r="NW68" s="88"/>
      <c r="NX68" s="88"/>
      <c r="NY68" s="88"/>
      <c r="NZ68" s="88"/>
      <c r="OA68" s="88"/>
      <c r="OB68" s="88"/>
      <c r="OC68" s="88"/>
      <c r="OD68" s="88"/>
      <c r="OE68" s="88"/>
      <c r="OF68" s="88"/>
      <c r="OG68" s="88"/>
      <c r="OH68" s="88"/>
      <c r="OI68" s="88"/>
      <c r="OJ68" s="88"/>
      <c r="OK68" s="88"/>
      <c r="OL68" s="88"/>
      <c r="OM68" s="88"/>
      <c r="ON68" s="88"/>
      <c r="OO68" s="88"/>
      <c r="OP68" s="88"/>
      <c r="OQ68" s="88"/>
      <c r="OR68" s="88"/>
      <c r="OS68" s="88"/>
      <c r="OT68" s="88"/>
      <c r="OU68" s="88"/>
      <c r="OV68" s="88"/>
      <c r="OW68" s="88"/>
      <c r="OX68" s="88"/>
      <c r="OY68" s="88"/>
      <c r="OZ68" s="88"/>
      <c r="PA68" s="88"/>
      <c r="PB68" s="88"/>
      <c r="PC68" s="88"/>
      <c r="PD68" s="88"/>
      <c r="PE68" s="88"/>
      <c r="PF68" s="88"/>
      <c r="PG68" s="88"/>
      <c r="PH68" s="88"/>
      <c r="PI68" s="88"/>
      <c r="PJ68" s="88"/>
      <c r="PK68" s="88"/>
      <c r="PL68" s="88"/>
      <c r="PM68" s="88"/>
      <c r="PN68" s="88"/>
      <c r="PO68" s="88"/>
      <c r="PP68" s="88"/>
      <c r="PQ68" s="88"/>
      <c r="PR68" s="88"/>
      <c r="PS68" s="88"/>
      <c r="PT68" s="88"/>
      <c r="PU68" s="88"/>
      <c r="PV68" s="88"/>
      <c r="PW68" s="88"/>
      <c r="PX68" s="88"/>
      <c r="PY68" s="88"/>
      <c r="PZ68" s="88"/>
      <c r="QA68" s="88"/>
      <c r="QB68" s="88"/>
      <c r="QC68" s="88"/>
      <c r="QD68" s="88"/>
      <c r="QE68" s="88"/>
      <c r="QF68" s="88"/>
      <c r="QG68" s="88"/>
      <c r="QH68" s="88"/>
      <c r="QI68" s="88"/>
      <c r="QJ68" s="88"/>
      <c r="QK68" s="88"/>
      <c r="QL68" s="88"/>
      <c r="QM68" s="88"/>
      <c r="QN68" s="88"/>
      <c r="QO68" s="88"/>
      <c r="QP68" s="88"/>
      <c r="QQ68" s="88"/>
      <c r="QR68" s="88"/>
      <c r="QS68" s="88"/>
      <c r="QT68" s="88"/>
      <c r="QU68" s="88"/>
      <c r="QV68" s="88"/>
      <c r="QW68" s="88"/>
      <c r="QX68" s="88"/>
      <c r="QY68" s="88"/>
      <c r="QZ68" s="88"/>
      <c r="RA68" s="88"/>
      <c r="RB68" s="88"/>
      <c r="RC68" s="88"/>
      <c r="RD68" s="88"/>
      <c r="RE68" s="88"/>
      <c r="RF68" s="88"/>
      <c r="RG68" s="88"/>
      <c r="RH68" s="88"/>
      <c r="RI68" s="88"/>
      <c r="RJ68" s="88"/>
      <c r="RK68" s="88"/>
      <c r="RL68" s="88"/>
      <c r="RM68" s="88"/>
      <c r="RN68" s="88"/>
      <c r="RO68" s="88"/>
      <c r="RP68" s="88"/>
      <c r="RQ68" s="88"/>
      <c r="RR68" s="88"/>
      <c r="RS68" s="88"/>
      <c r="RT68" s="88"/>
      <c r="RU68" s="88"/>
      <c r="RV68" s="88"/>
      <c r="RW68" s="88"/>
      <c r="RX68" s="88"/>
      <c r="RY68" s="88"/>
      <c r="RZ68" s="88"/>
      <c r="SA68" s="88"/>
      <c r="SB68" s="88"/>
      <c r="SC68" s="88"/>
      <c r="SD68" s="88"/>
      <c r="SE68" s="88"/>
      <c r="SF68" s="88"/>
      <c r="SG68" s="88"/>
      <c r="SH68" s="88"/>
      <c r="SI68" s="88"/>
      <c r="SJ68" s="88"/>
      <c r="SK68" s="88"/>
      <c r="SL68" s="88"/>
      <c r="SM68" s="88"/>
      <c r="SN68" s="88"/>
      <c r="SO68" s="88"/>
      <c r="SP68" s="88"/>
      <c r="SQ68" s="88"/>
      <c r="SR68" s="88"/>
      <c r="SS68" s="88"/>
      <c r="ST68" s="88"/>
      <c r="SU68" s="88"/>
      <c r="SV68" s="88"/>
      <c r="SW68" s="88"/>
      <c r="SX68" s="88"/>
      <c r="SY68" s="88"/>
      <c r="SZ68" s="88"/>
      <c r="TA68" s="88"/>
      <c r="TB68" s="88"/>
      <c r="TC68" s="88"/>
      <c r="TD68" s="88"/>
      <c r="TE68" s="88"/>
      <c r="TF68" s="88"/>
      <c r="TG68" s="88"/>
      <c r="TH68" s="88"/>
      <c r="TI68" s="88"/>
      <c r="TJ68" s="88"/>
      <c r="TK68" s="88"/>
      <c r="TL68" s="88"/>
      <c r="TM68" s="88"/>
      <c r="TN68" s="88"/>
      <c r="TO68" s="88"/>
      <c r="TP68" s="88"/>
      <c r="TQ68" s="88"/>
      <c r="TR68" s="88"/>
      <c r="TS68" s="88"/>
      <c r="TT68" s="88"/>
      <c r="TU68" s="88"/>
      <c r="TV68" s="88"/>
      <c r="TW68" s="88"/>
      <c r="TX68" s="88"/>
      <c r="TY68" s="88"/>
      <c r="TZ68" s="88"/>
      <c r="UA68" s="88"/>
      <c r="UB68" s="88"/>
      <c r="UC68" s="88"/>
      <c r="UD68" s="88"/>
      <c r="UE68" s="88"/>
      <c r="UF68" s="88"/>
      <c r="UG68" s="88"/>
      <c r="UH68" s="88"/>
      <c r="UI68" s="88"/>
      <c r="UJ68" s="88"/>
      <c r="UK68" s="88"/>
      <c r="UL68" s="88"/>
      <c r="UM68" s="88"/>
      <c r="UN68" s="88"/>
      <c r="UO68" s="88"/>
      <c r="UP68" s="88"/>
      <c r="UQ68" s="88"/>
      <c r="UR68" s="88"/>
      <c r="US68" s="88"/>
      <c r="UT68" s="88"/>
      <c r="UU68" s="88"/>
      <c r="UV68" s="88"/>
      <c r="UW68" s="88"/>
      <c r="UX68" s="88"/>
      <c r="UY68" s="88"/>
      <c r="UZ68" s="88"/>
      <c r="VA68" s="88"/>
      <c r="VB68" s="88"/>
      <c r="VC68" s="88"/>
      <c r="VD68" s="88"/>
      <c r="VE68" s="88"/>
      <c r="VF68" s="88"/>
      <c r="VG68" s="88"/>
      <c r="VH68" s="88"/>
      <c r="VI68" s="88"/>
      <c r="VJ68" s="88"/>
      <c r="VK68" s="88"/>
      <c r="VL68" s="88"/>
      <c r="VM68" s="88"/>
      <c r="VN68" s="88"/>
      <c r="VO68" s="88"/>
      <c r="VP68" s="88"/>
      <c r="VQ68" s="88"/>
      <c r="VR68" s="88"/>
      <c r="VS68" s="88"/>
      <c r="VT68" s="88"/>
      <c r="VU68" s="88"/>
      <c r="VV68" s="88"/>
      <c r="VW68" s="88"/>
      <c r="VX68" s="88"/>
      <c r="VY68" s="88"/>
      <c r="VZ68" s="88"/>
      <c r="WA68" s="88"/>
      <c r="WB68" s="88"/>
      <c r="WC68" s="88"/>
      <c r="WD68" s="88"/>
      <c r="WE68" s="88"/>
      <c r="WF68" s="88"/>
      <c r="WG68" s="88"/>
      <c r="WH68" s="88"/>
      <c r="WI68" s="88"/>
      <c r="WJ68" s="88"/>
      <c r="WK68" s="88"/>
      <c r="WL68" s="88"/>
      <c r="WM68" s="88"/>
      <c r="WN68" s="88"/>
      <c r="WO68" s="88"/>
      <c r="WP68" s="88"/>
      <c r="WQ68" s="88"/>
      <c r="WR68" s="88"/>
      <c r="WS68" s="88"/>
      <c r="WT68" s="88"/>
      <c r="WU68" s="88"/>
      <c r="WV68" s="88"/>
      <c r="WW68" s="88"/>
      <c r="WX68" s="88"/>
      <c r="WY68" s="88"/>
      <c r="WZ68" s="88"/>
      <c r="XA68" s="88"/>
      <c r="XB68" s="88"/>
      <c r="XC68" s="88"/>
      <c r="XD68" s="88"/>
      <c r="XE68" s="88"/>
      <c r="XF68" s="88"/>
      <c r="XG68" s="88"/>
      <c r="XH68" s="88"/>
      <c r="XI68" s="88"/>
      <c r="XJ68" s="88"/>
      <c r="XK68" s="88"/>
      <c r="XL68" s="88"/>
      <c r="XM68" s="88"/>
      <c r="XN68" s="88"/>
      <c r="XO68" s="88"/>
      <c r="XP68" s="88"/>
      <c r="XQ68" s="88"/>
      <c r="XR68" s="88"/>
      <c r="XS68" s="88"/>
      <c r="XT68" s="88"/>
      <c r="XU68" s="88"/>
      <c r="XV68" s="88"/>
      <c r="XW68" s="88"/>
      <c r="XX68" s="88"/>
      <c r="XY68" s="88"/>
      <c r="XZ68" s="88"/>
      <c r="YA68" s="88"/>
      <c r="YB68" s="88"/>
      <c r="YC68" s="88"/>
      <c r="YD68" s="88"/>
      <c r="YE68" s="88"/>
      <c r="YF68" s="88"/>
      <c r="YG68" s="88"/>
      <c r="YH68" s="88"/>
      <c r="YI68" s="88"/>
      <c r="YJ68" s="88"/>
      <c r="YK68" s="88"/>
      <c r="YL68" s="88"/>
      <c r="YM68" s="88"/>
      <c r="YN68" s="88"/>
      <c r="YO68" s="88"/>
      <c r="YP68" s="88"/>
      <c r="YQ68" s="88"/>
      <c r="YR68" s="88"/>
      <c r="YS68" s="88"/>
      <c r="YT68" s="88"/>
      <c r="YU68" s="88"/>
      <c r="YV68" s="88"/>
      <c r="YW68" s="88"/>
      <c r="YX68" s="88"/>
      <c r="YY68" s="88"/>
      <c r="YZ68" s="88"/>
      <c r="ZA68" s="88"/>
      <c r="ZB68" s="88"/>
      <c r="ZC68" s="88"/>
      <c r="ZD68" s="88"/>
      <c r="ZE68" s="88"/>
      <c r="ZF68" s="88"/>
      <c r="ZG68" s="88"/>
      <c r="ZH68" s="88"/>
      <c r="ZI68" s="88"/>
      <c r="ZJ68" s="88"/>
      <c r="ZK68" s="88"/>
      <c r="ZL68" s="88"/>
      <c r="ZM68" s="88"/>
      <c r="ZN68" s="88"/>
      <c r="ZO68" s="88"/>
      <c r="ZP68" s="88"/>
      <c r="ZQ68" s="88"/>
      <c r="ZR68" s="88"/>
      <c r="ZS68" s="88"/>
      <c r="ZT68" s="88"/>
      <c r="ZU68" s="88"/>
      <c r="ZV68" s="88"/>
      <c r="ZW68" s="88"/>
      <c r="ZX68" s="88"/>
      <c r="ZY68" s="88"/>
      <c r="ZZ68" s="88"/>
      <c r="AAA68" s="88"/>
      <c r="AAB68" s="88"/>
      <c r="AAC68" s="88"/>
      <c r="AAD68" s="88"/>
      <c r="AAE68" s="88"/>
      <c r="AAF68" s="88"/>
      <c r="AAG68" s="88"/>
      <c r="AAH68" s="88"/>
      <c r="AAI68" s="88"/>
      <c r="AAJ68" s="88"/>
      <c r="AAK68" s="88"/>
      <c r="AAL68" s="88"/>
      <c r="AAM68" s="88"/>
      <c r="AAN68" s="88"/>
      <c r="AAO68" s="88"/>
      <c r="AAP68" s="88"/>
      <c r="AAQ68" s="88"/>
      <c r="AAR68" s="88"/>
      <c r="AAS68" s="88"/>
      <c r="AAT68" s="88"/>
      <c r="AAU68" s="88"/>
      <c r="AAV68" s="88"/>
      <c r="AAW68" s="88"/>
      <c r="AAX68" s="88"/>
      <c r="AAY68" s="88"/>
      <c r="AAZ68" s="88"/>
      <c r="ABA68" s="88"/>
      <c r="ABB68" s="88"/>
      <c r="ABC68" s="88"/>
      <c r="ABD68" s="88"/>
      <c r="ABE68" s="88"/>
      <c r="ABF68" s="88"/>
      <c r="ABG68" s="88"/>
      <c r="ABH68" s="88"/>
      <c r="ABI68" s="88"/>
      <c r="ABJ68" s="88"/>
      <c r="ABK68" s="88"/>
      <c r="ABL68" s="88"/>
      <c r="ABM68" s="88"/>
      <c r="ABN68" s="88"/>
      <c r="ABO68" s="88"/>
      <c r="ABP68" s="88"/>
      <c r="ABQ68" s="88"/>
      <c r="ABR68" s="88"/>
      <c r="ABS68" s="88"/>
      <c r="ABT68" s="88"/>
      <c r="ABU68" s="88"/>
      <c r="ABV68" s="88"/>
      <c r="ABW68" s="88"/>
      <c r="ABX68" s="88"/>
      <c r="ABY68" s="88"/>
      <c r="ABZ68" s="88"/>
      <c r="ACA68" s="88"/>
      <c r="ACB68" s="88"/>
      <c r="ACC68" s="88"/>
      <c r="ACD68" s="88"/>
      <c r="ACE68" s="88"/>
      <c r="ACF68" s="88"/>
      <c r="ACG68" s="88"/>
      <c r="ACH68" s="88"/>
      <c r="ACI68" s="88"/>
      <c r="ACJ68" s="88"/>
      <c r="ACK68" s="88"/>
      <c r="ACL68" s="88"/>
      <c r="ACM68" s="88"/>
      <c r="ACN68" s="88"/>
      <c r="ACO68" s="88"/>
      <c r="ACP68" s="88"/>
      <c r="ACQ68" s="88"/>
      <c r="ACR68" s="88"/>
      <c r="ACS68" s="88"/>
      <c r="ACT68" s="88"/>
      <c r="ACU68" s="88"/>
      <c r="ACV68" s="88"/>
      <c r="ACW68" s="88"/>
      <c r="ACX68" s="88"/>
      <c r="ACY68" s="88"/>
      <c r="ACZ68" s="88"/>
      <c r="ADA68" s="88"/>
      <c r="ADB68" s="88"/>
      <c r="ADC68" s="88"/>
      <c r="ADD68" s="88"/>
      <c r="ADE68" s="88"/>
      <c r="ADF68" s="88"/>
      <c r="ADG68" s="88"/>
      <c r="ADH68" s="88"/>
      <c r="ADI68" s="88"/>
      <c r="ADJ68" s="88"/>
      <c r="ADK68" s="88"/>
      <c r="ADL68" s="88"/>
      <c r="ADM68" s="88"/>
      <c r="ADN68" s="88"/>
      <c r="ADO68" s="88"/>
      <c r="ADP68" s="88"/>
      <c r="ADQ68" s="88"/>
      <c r="ADR68" s="88"/>
      <c r="ADS68" s="88"/>
      <c r="ADT68" s="88"/>
      <c r="ADU68" s="88"/>
      <c r="ADV68" s="88"/>
      <c r="ADW68" s="88"/>
      <c r="ADX68" s="88"/>
      <c r="ADY68" s="88"/>
      <c r="ADZ68" s="88"/>
      <c r="AEA68" s="88"/>
      <c r="AEB68" s="88"/>
      <c r="AEC68" s="88"/>
      <c r="AED68" s="88"/>
      <c r="AEE68" s="88"/>
      <c r="AEF68" s="88"/>
      <c r="AEG68" s="88"/>
      <c r="AEH68" s="88"/>
      <c r="AEI68" s="88"/>
      <c r="AEJ68" s="88"/>
      <c r="AEK68" s="88"/>
      <c r="AEL68" s="88"/>
      <c r="AEM68" s="88"/>
      <c r="AEN68" s="88"/>
      <c r="AEO68" s="88"/>
      <c r="AEP68" s="88"/>
      <c r="AEQ68" s="88"/>
      <c r="AER68" s="88"/>
      <c r="AES68" s="88"/>
      <c r="AET68" s="88"/>
      <c r="AEU68" s="88"/>
      <c r="AEV68" s="88"/>
      <c r="AEW68" s="88"/>
      <c r="AEX68" s="88"/>
      <c r="AEY68" s="88"/>
      <c r="AEZ68" s="88"/>
      <c r="AFA68" s="88"/>
      <c r="AFB68" s="88"/>
      <c r="AFC68" s="88"/>
      <c r="AFD68" s="88"/>
      <c r="AFE68" s="88"/>
      <c r="AFF68" s="88"/>
      <c r="AFG68" s="88"/>
      <c r="AFH68" s="88"/>
      <c r="AFI68" s="88"/>
      <c r="AFJ68" s="88"/>
      <c r="AFK68" s="88"/>
      <c r="AFL68" s="88"/>
      <c r="AFM68" s="88"/>
      <c r="AFN68" s="88"/>
      <c r="AFO68" s="88"/>
      <c r="AFP68" s="88"/>
      <c r="AFQ68" s="88"/>
      <c r="AFR68" s="88"/>
      <c r="AFS68" s="88"/>
      <c r="AFT68" s="88"/>
      <c r="AFU68" s="88"/>
      <c r="AFV68" s="88"/>
      <c r="AFW68" s="88"/>
      <c r="AFX68" s="88"/>
      <c r="AFY68" s="88"/>
      <c r="AFZ68" s="88"/>
      <c r="AGA68" s="88"/>
      <c r="AGB68" s="88"/>
      <c r="AGC68" s="88"/>
      <c r="AGD68" s="88"/>
      <c r="AGE68" s="88"/>
      <c r="AGF68" s="88"/>
      <c r="AGG68" s="88"/>
      <c r="AGH68" s="88"/>
      <c r="AGI68" s="88"/>
      <c r="AGJ68" s="88"/>
      <c r="AGK68" s="88"/>
      <c r="AGL68" s="88"/>
      <c r="AGM68" s="88"/>
      <c r="AGN68" s="88"/>
      <c r="AGO68" s="88"/>
      <c r="AGP68" s="88"/>
      <c r="AGQ68" s="88"/>
      <c r="AGR68" s="88"/>
      <c r="AGS68" s="88"/>
      <c r="AGT68" s="88"/>
      <c r="AGU68" s="88"/>
      <c r="AGV68" s="88"/>
      <c r="AGW68" s="88"/>
      <c r="AGX68" s="88"/>
      <c r="AGY68" s="88"/>
      <c r="AGZ68" s="88"/>
      <c r="AHA68" s="88"/>
      <c r="AHB68" s="88"/>
      <c r="AHC68" s="88"/>
      <c r="AHD68" s="88"/>
      <c r="AHE68" s="88"/>
      <c r="AHF68" s="88"/>
      <c r="AHG68" s="88"/>
      <c r="AHH68" s="88"/>
      <c r="AHI68" s="88"/>
      <c r="AHJ68" s="88"/>
      <c r="AHK68" s="88"/>
      <c r="AHL68" s="88"/>
      <c r="AHM68" s="88"/>
      <c r="AHN68" s="88"/>
      <c r="AHO68" s="88"/>
      <c r="AHP68" s="88"/>
      <c r="AHQ68" s="88"/>
      <c r="AHR68" s="88"/>
      <c r="AHS68" s="88"/>
      <c r="AHT68" s="88"/>
      <c r="AHU68" s="88"/>
      <c r="AHV68" s="88"/>
      <c r="AHW68" s="88"/>
      <c r="AHX68" s="88"/>
      <c r="AHY68" s="88"/>
      <c r="AHZ68" s="88"/>
      <c r="AIA68" s="88"/>
      <c r="AIB68" s="88"/>
      <c r="AIC68" s="88"/>
      <c r="AID68" s="88"/>
      <c r="AIE68" s="88"/>
      <c r="AIF68" s="88"/>
      <c r="AIG68" s="88"/>
      <c r="AIH68" s="88"/>
      <c r="AII68" s="88"/>
      <c r="AIJ68" s="88"/>
      <c r="AIK68" s="88"/>
      <c r="AIL68" s="88"/>
      <c r="AIM68" s="88"/>
      <c r="AIN68" s="88"/>
      <c r="AIO68" s="88"/>
      <c r="AIP68" s="88"/>
      <c r="AIQ68" s="88"/>
      <c r="AIR68" s="88"/>
      <c r="AIS68" s="88"/>
      <c r="AIT68" s="88"/>
      <c r="AIU68" s="88"/>
      <c r="AIV68" s="88"/>
      <c r="AIW68" s="88"/>
      <c r="AIX68" s="88"/>
      <c r="AIY68" s="88"/>
      <c r="AIZ68" s="88"/>
      <c r="AJA68" s="88"/>
      <c r="AJB68" s="88"/>
      <c r="AJC68" s="88"/>
      <c r="AJD68" s="88"/>
      <c r="AJE68" s="88"/>
      <c r="AJF68" s="88"/>
      <c r="AJG68" s="88"/>
      <c r="AJH68" s="88"/>
      <c r="AJI68" s="88"/>
      <c r="AJJ68" s="88"/>
      <c r="AJK68" s="88"/>
      <c r="AJL68" s="88"/>
      <c r="AJM68" s="88"/>
      <c r="AJN68" s="88"/>
      <c r="AJO68" s="88"/>
      <c r="AJP68" s="88"/>
      <c r="AJQ68" s="88"/>
      <c r="AJR68" s="88"/>
      <c r="AJS68" s="88"/>
      <c r="AJT68" s="88"/>
      <c r="AJU68" s="88"/>
      <c r="AJV68" s="88"/>
      <c r="AJW68" s="88"/>
      <c r="AJX68" s="88"/>
      <c r="AJY68" s="88"/>
      <c r="AJZ68" s="88"/>
      <c r="AKA68" s="88"/>
      <c r="AKB68" s="88"/>
      <c r="AKC68" s="88"/>
      <c r="AKD68" s="88"/>
      <c r="AKE68" s="88"/>
      <c r="AKF68" s="88"/>
      <c r="AKG68" s="88"/>
      <c r="AKH68" s="88"/>
      <c r="AKI68" s="88"/>
      <c r="AKJ68" s="88"/>
      <c r="AKK68" s="88"/>
      <c r="AKL68" s="88"/>
      <c r="AKM68" s="88"/>
      <c r="AKN68" s="88"/>
      <c r="AKO68" s="88"/>
      <c r="AKP68" s="88"/>
      <c r="AKQ68" s="88"/>
      <c r="AKR68" s="88"/>
      <c r="AKS68" s="88"/>
      <c r="AKT68" s="88"/>
      <c r="AKU68" s="88"/>
      <c r="AKV68" s="88"/>
      <c r="AKW68" s="88"/>
      <c r="AKX68" s="88"/>
      <c r="AKY68" s="88"/>
      <c r="AKZ68" s="88"/>
      <c r="ALA68" s="88"/>
      <c r="ALB68" s="88"/>
      <c r="ALC68" s="88"/>
      <c r="ALD68" s="88"/>
      <c r="ALE68" s="88"/>
      <c r="ALF68" s="88"/>
      <c r="ALG68" s="88"/>
      <c r="ALH68" s="88"/>
      <c r="ALI68" s="88"/>
      <c r="ALJ68" s="88"/>
      <c r="ALK68" s="88"/>
      <c r="ALL68" s="88"/>
      <c r="ALM68" s="88"/>
      <c r="ALN68" s="88"/>
      <c r="ALO68" s="88"/>
      <c r="ALP68" s="88"/>
      <c r="ALQ68" s="88"/>
      <c r="ALR68" s="88"/>
      <c r="ALS68" s="88"/>
      <c r="ALT68" s="88"/>
      <c r="ALU68" s="88"/>
      <c r="ALV68" s="88"/>
      <c r="ALW68" s="88"/>
      <c r="ALX68" s="88"/>
      <c r="ALY68" s="88"/>
      <c r="ALZ68" s="88"/>
      <c r="AMA68" s="88"/>
      <c r="AMB68" s="88"/>
      <c r="AMC68" s="88"/>
      <c r="AMD68" s="88"/>
      <c r="AME68" s="88"/>
      <c r="AMF68" s="88"/>
      <c r="AMG68" s="88"/>
      <c r="AMH68" s="88"/>
      <c r="AMI68" s="88"/>
      <c r="AMJ68" s="88"/>
      <c r="AMK68" s="88"/>
      <c r="AML68" s="88"/>
      <c r="AMM68" s="88"/>
      <c r="AMN68" s="88"/>
      <c r="AMO68" s="88"/>
      <c r="AMP68" s="88"/>
      <c r="AMQ68" s="88"/>
      <c r="AMR68" s="88"/>
      <c r="AMS68" s="88"/>
      <c r="AMT68" s="88"/>
      <c r="AMU68" s="88"/>
      <c r="AMV68" s="88"/>
      <c r="AMW68" s="88"/>
      <c r="AMX68" s="88"/>
      <c r="AMY68" s="88"/>
      <c r="AMZ68" s="88"/>
      <c r="ANA68" s="88"/>
      <c r="ANB68" s="88"/>
      <c r="ANC68" s="88"/>
      <c r="AND68" s="88"/>
      <c r="ANE68" s="88"/>
      <c r="ANF68" s="88"/>
      <c r="ANG68" s="88"/>
      <c r="ANH68" s="88"/>
      <c r="ANI68" s="88"/>
      <c r="ANJ68" s="88"/>
      <c r="ANK68" s="88"/>
      <c r="ANL68" s="88"/>
      <c r="ANM68" s="88"/>
      <c r="ANN68" s="88"/>
      <c r="ANO68" s="88"/>
      <c r="ANP68" s="88"/>
      <c r="ANQ68" s="88"/>
      <c r="ANR68" s="88"/>
      <c r="ANS68" s="88"/>
      <c r="ANT68" s="88"/>
      <c r="ANU68" s="88"/>
      <c r="ANV68" s="88"/>
      <c r="ANW68" s="88"/>
      <c r="ANX68" s="88"/>
      <c r="ANY68" s="88"/>
      <c r="ANZ68" s="88"/>
      <c r="AOA68" s="88"/>
      <c r="AOB68" s="88"/>
      <c r="AOC68" s="88"/>
      <c r="AOD68" s="88"/>
      <c r="AOE68" s="88"/>
      <c r="AOF68" s="88"/>
      <c r="AOG68" s="88"/>
      <c r="AOH68" s="88"/>
      <c r="AOI68" s="88"/>
      <c r="AOJ68" s="88"/>
      <c r="AOK68" s="88"/>
      <c r="AOL68" s="88"/>
      <c r="AOM68" s="88"/>
      <c r="AON68" s="88"/>
      <c r="AOO68" s="88"/>
      <c r="AOP68" s="88"/>
      <c r="AOQ68" s="88"/>
      <c r="AOR68" s="88"/>
      <c r="AOS68" s="88"/>
      <c r="AOT68" s="88"/>
      <c r="AOU68" s="88"/>
      <c r="AOV68" s="88"/>
      <c r="AOW68" s="88"/>
      <c r="AOX68" s="88"/>
      <c r="AOY68" s="88"/>
      <c r="AOZ68" s="88"/>
      <c r="APA68" s="88"/>
      <c r="APB68" s="88"/>
      <c r="APC68" s="88"/>
      <c r="APD68" s="88"/>
      <c r="APE68" s="88"/>
      <c r="APF68" s="88"/>
      <c r="APG68" s="88"/>
      <c r="APH68" s="88"/>
      <c r="API68" s="88"/>
      <c r="APJ68" s="88"/>
      <c r="APK68" s="88"/>
      <c r="APL68" s="88"/>
      <c r="APM68" s="88"/>
      <c r="APN68" s="88"/>
      <c r="APO68" s="88"/>
      <c r="APP68" s="88"/>
      <c r="APQ68" s="88"/>
      <c r="APR68" s="88"/>
      <c r="APS68" s="88"/>
      <c r="APT68" s="88"/>
      <c r="APU68" s="88"/>
      <c r="APV68" s="88"/>
      <c r="APW68" s="88"/>
      <c r="APX68" s="88"/>
      <c r="APY68" s="88"/>
      <c r="APZ68" s="88"/>
      <c r="AQA68" s="88"/>
      <c r="AQB68" s="88"/>
      <c r="AQC68" s="88"/>
      <c r="AQD68" s="88"/>
      <c r="AQE68" s="88"/>
      <c r="AQF68" s="88"/>
      <c r="AQG68" s="88"/>
      <c r="AQH68" s="88"/>
      <c r="AQI68" s="88"/>
      <c r="AQJ68" s="88"/>
      <c r="AQK68" s="88"/>
      <c r="AQL68" s="88"/>
      <c r="AQM68" s="88"/>
      <c r="AQN68" s="88"/>
      <c r="AQO68" s="88"/>
      <c r="AQP68" s="88"/>
      <c r="AQQ68" s="88"/>
      <c r="AQR68" s="88"/>
      <c r="AQS68" s="88"/>
      <c r="AQT68" s="88"/>
      <c r="AQU68" s="88"/>
      <c r="AQV68" s="88"/>
      <c r="AQW68" s="88"/>
      <c r="AQX68" s="88"/>
      <c r="AQY68" s="88"/>
      <c r="AQZ68" s="88"/>
      <c r="ARA68" s="88"/>
      <c r="ARB68" s="88"/>
      <c r="ARC68" s="88"/>
      <c r="ARD68" s="88"/>
      <c r="ARE68" s="88"/>
      <c r="ARF68" s="88"/>
      <c r="ARG68" s="88"/>
      <c r="ARH68" s="88"/>
      <c r="ARI68" s="88"/>
      <c r="ARJ68" s="88"/>
      <c r="ARK68" s="88"/>
      <c r="ARL68" s="88"/>
      <c r="ARM68" s="88"/>
      <c r="ARN68" s="88"/>
      <c r="ARO68" s="88"/>
      <c r="ARP68" s="88"/>
      <c r="ARQ68" s="88"/>
      <c r="ARR68" s="88"/>
      <c r="ARS68" s="88"/>
      <c r="ART68" s="88"/>
      <c r="ARU68" s="88"/>
      <c r="ARV68" s="88"/>
      <c r="ARW68" s="88"/>
      <c r="ARX68" s="88"/>
      <c r="ARY68" s="88"/>
      <c r="ARZ68" s="88"/>
      <c r="ASA68" s="88"/>
      <c r="ASB68" s="88"/>
      <c r="ASC68" s="88"/>
      <c r="ASD68" s="88"/>
      <c r="ASE68" s="88"/>
      <c r="ASF68" s="88"/>
      <c r="ASG68" s="88"/>
      <c r="ASH68" s="88"/>
      <c r="ASI68" s="88"/>
      <c r="ASJ68" s="88"/>
      <c r="ASK68" s="88"/>
      <c r="ASL68" s="88"/>
      <c r="ASM68" s="88"/>
      <c r="ASN68" s="88"/>
      <c r="ASO68" s="88"/>
      <c r="ASP68" s="88"/>
      <c r="ASQ68" s="88"/>
      <c r="ASR68" s="88"/>
      <c r="ASS68" s="88"/>
      <c r="AST68" s="88"/>
      <c r="ASU68" s="88"/>
      <c r="ASV68" s="88"/>
      <c r="ASW68" s="88"/>
      <c r="ASX68" s="88"/>
      <c r="ASY68" s="88"/>
      <c r="ASZ68" s="88"/>
      <c r="ATA68" s="88"/>
      <c r="ATB68" s="88"/>
      <c r="ATC68" s="88"/>
      <c r="ATD68" s="88"/>
      <c r="ATE68" s="88"/>
      <c r="ATF68" s="88"/>
      <c r="ATG68" s="88"/>
      <c r="ATH68" s="88"/>
      <c r="ATI68" s="88"/>
      <c r="ATJ68" s="88"/>
      <c r="ATK68" s="88"/>
      <c r="ATL68" s="88"/>
      <c r="ATM68" s="88"/>
      <c r="ATN68" s="88"/>
      <c r="ATO68" s="88"/>
      <c r="ATP68" s="88"/>
      <c r="ATQ68" s="88"/>
      <c r="ATR68" s="88"/>
      <c r="ATS68" s="88"/>
      <c r="ATT68" s="88"/>
      <c r="ATU68" s="88"/>
      <c r="ATV68" s="88"/>
      <c r="ATW68" s="88"/>
      <c r="ATX68" s="88"/>
      <c r="ATY68" s="88"/>
      <c r="ATZ68" s="88"/>
      <c r="AUA68" s="88"/>
      <c r="AUB68" s="88"/>
      <c r="AUC68" s="88"/>
      <c r="AUD68" s="88"/>
      <c r="AUE68" s="88"/>
      <c r="AUF68" s="88"/>
      <c r="AUG68" s="88"/>
      <c r="AUH68" s="88"/>
      <c r="AUI68" s="88"/>
      <c r="AUJ68" s="88"/>
      <c r="AUK68" s="88"/>
      <c r="AUL68" s="88"/>
      <c r="AUM68" s="88"/>
      <c r="AUN68" s="88"/>
      <c r="AUO68" s="88"/>
      <c r="AUP68" s="88"/>
      <c r="AUQ68" s="88"/>
      <c r="AUR68" s="88"/>
      <c r="AUS68" s="88"/>
      <c r="AUT68" s="88"/>
      <c r="AUU68" s="88"/>
      <c r="AUV68" s="88"/>
      <c r="AUW68" s="88"/>
      <c r="AUX68" s="88"/>
      <c r="AUY68" s="88"/>
      <c r="AUZ68" s="88"/>
      <c r="AVA68" s="88"/>
      <c r="AVB68" s="88"/>
      <c r="AVC68" s="88"/>
      <c r="AVD68" s="88"/>
      <c r="AVE68" s="88"/>
      <c r="AVF68" s="88"/>
      <c r="AVG68" s="88"/>
      <c r="AVH68" s="88"/>
      <c r="AVI68" s="88"/>
      <c r="AVJ68" s="88"/>
      <c r="AVK68" s="88"/>
      <c r="AVL68" s="88"/>
      <c r="AVM68" s="88"/>
      <c r="AVN68" s="88"/>
      <c r="AVO68" s="88"/>
      <c r="AVP68" s="88"/>
      <c r="AVQ68" s="88"/>
      <c r="AVR68" s="88"/>
      <c r="AVS68" s="88"/>
      <c r="AVT68" s="88"/>
      <c r="AVU68" s="88"/>
      <c r="AVV68" s="88"/>
      <c r="AVW68" s="88"/>
      <c r="AVX68" s="88"/>
      <c r="AVY68" s="88"/>
      <c r="AVZ68" s="88"/>
      <c r="AWA68" s="88"/>
      <c r="AWB68" s="88"/>
      <c r="AWC68" s="88"/>
      <c r="AWD68" s="88"/>
      <c r="AWE68" s="88"/>
      <c r="AWF68" s="88"/>
      <c r="AWG68" s="88"/>
      <c r="AWH68" s="88"/>
      <c r="AWI68" s="88"/>
      <c r="AWJ68" s="88"/>
      <c r="AWK68" s="88"/>
      <c r="AWL68" s="88"/>
      <c r="AWM68" s="88"/>
      <c r="AWN68" s="88"/>
      <c r="AWO68" s="88"/>
      <c r="AWP68" s="88"/>
      <c r="AWQ68" s="88"/>
      <c r="AWR68" s="88"/>
      <c r="AWS68" s="88"/>
      <c r="AWT68" s="88"/>
      <c r="AWU68" s="88"/>
      <c r="AWV68" s="88"/>
      <c r="AWW68" s="88"/>
      <c r="AWX68" s="88"/>
      <c r="AWY68" s="88"/>
      <c r="AWZ68" s="88"/>
      <c r="AXA68" s="88"/>
      <c r="AXB68" s="88"/>
      <c r="AXC68" s="88"/>
      <c r="AXD68" s="88"/>
      <c r="AXE68" s="88"/>
      <c r="AXF68" s="88"/>
      <c r="AXG68" s="88"/>
      <c r="AXH68" s="88"/>
      <c r="AXI68" s="88"/>
      <c r="AXJ68" s="88"/>
      <c r="AXK68" s="88"/>
      <c r="AXL68" s="88"/>
      <c r="AXM68" s="88"/>
      <c r="AXN68" s="88"/>
      <c r="AXO68" s="88"/>
      <c r="AXP68" s="88"/>
      <c r="AXQ68" s="88"/>
      <c r="AXR68" s="88"/>
      <c r="AXS68" s="88"/>
      <c r="AXT68" s="88"/>
      <c r="AXU68" s="88"/>
      <c r="AXV68" s="88"/>
      <c r="AXW68" s="88"/>
      <c r="AXX68" s="88"/>
      <c r="AXY68" s="88"/>
      <c r="AXZ68" s="88"/>
      <c r="AYA68" s="88"/>
      <c r="AYB68" s="88"/>
      <c r="AYC68" s="88"/>
      <c r="AYD68" s="88"/>
      <c r="AYE68" s="88"/>
      <c r="AYF68" s="88"/>
      <c r="AYG68" s="88"/>
      <c r="AYH68" s="88"/>
      <c r="AYI68" s="88"/>
      <c r="AYJ68" s="88"/>
      <c r="AYK68" s="88"/>
      <c r="AYL68" s="88"/>
      <c r="AYM68" s="88"/>
      <c r="AYN68" s="88"/>
      <c r="AYO68" s="88"/>
      <c r="AYP68" s="88"/>
      <c r="AYQ68" s="88"/>
      <c r="AYR68" s="88"/>
      <c r="AYS68" s="88"/>
      <c r="AYT68" s="88"/>
      <c r="AYU68" s="88"/>
      <c r="AYV68" s="88"/>
      <c r="AYW68" s="88"/>
      <c r="AYX68" s="88"/>
      <c r="AYY68" s="88"/>
      <c r="AYZ68" s="88"/>
      <c r="AZA68" s="88"/>
      <c r="AZB68" s="88"/>
      <c r="AZC68" s="88"/>
      <c r="AZD68" s="88"/>
      <c r="AZE68" s="88"/>
      <c r="AZF68" s="88"/>
      <c r="AZG68" s="88"/>
      <c r="AZH68" s="88"/>
      <c r="AZI68" s="88"/>
      <c r="AZJ68" s="88"/>
      <c r="AZK68" s="88"/>
      <c r="AZL68" s="88"/>
      <c r="AZM68" s="88"/>
      <c r="AZN68" s="88"/>
      <c r="AZO68" s="88"/>
      <c r="AZP68" s="88"/>
      <c r="AZQ68" s="88"/>
      <c r="AZR68" s="88"/>
      <c r="AZS68" s="88"/>
      <c r="AZT68" s="88"/>
      <c r="AZU68" s="88"/>
      <c r="AZV68" s="88"/>
      <c r="AZW68" s="88"/>
      <c r="AZX68" s="88"/>
      <c r="AZY68" s="88"/>
      <c r="AZZ68" s="88"/>
      <c r="BAA68" s="88"/>
      <c r="BAB68" s="88"/>
      <c r="BAC68" s="88"/>
      <c r="BAD68" s="88"/>
      <c r="BAE68" s="88"/>
      <c r="BAF68" s="88"/>
      <c r="BAG68" s="88"/>
      <c r="BAH68" s="88"/>
      <c r="BAI68" s="88"/>
      <c r="BAJ68" s="88"/>
      <c r="BAK68" s="88"/>
      <c r="BAL68" s="88"/>
      <c r="BAM68" s="88"/>
      <c r="BAN68" s="88"/>
      <c r="BAO68" s="88"/>
      <c r="BAP68" s="88"/>
      <c r="BAQ68" s="88"/>
      <c r="BAR68" s="88"/>
      <c r="BAS68" s="88"/>
      <c r="BAT68" s="88"/>
      <c r="BAU68" s="88"/>
      <c r="BAV68" s="88"/>
      <c r="BAW68" s="88"/>
      <c r="BAX68" s="88"/>
      <c r="BAY68" s="88"/>
      <c r="BAZ68" s="88"/>
      <c r="BBA68" s="88"/>
      <c r="BBB68" s="88"/>
      <c r="BBC68" s="88"/>
      <c r="BBD68" s="88"/>
      <c r="BBE68" s="88"/>
      <c r="BBF68" s="88"/>
      <c r="BBG68" s="88"/>
      <c r="BBH68" s="88"/>
      <c r="BBI68" s="88"/>
      <c r="BBJ68" s="88"/>
      <c r="BBK68" s="88"/>
      <c r="BBL68" s="88"/>
      <c r="BBM68" s="88"/>
      <c r="BBN68" s="88"/>
      <c r="BBO68" s="88"/>
      <c r="BBP68" s="88"/>
      <c r="BBQ68" s="88"/>
      <c r="BBR68" s="88"/>
      <c r="BBS68" s="88"/>
      <c r="BBT68" s="88"/>
      <c r="BBU68" s="88"/>
      <c r="BBV68" s="88"/>
      <c r="BBW68" s="88"/>
      <c r="BBX68" s="88"/>
      <c r="BBY68" s="88"/>
      <c r="BBZ68" s="88"/>
      <c r="BCA68" s="88"/>
      <c r="BCB68" s="88"/>
      <c r="BCC68" s="88"/>
      <c r="BCD68" s="88"/>
      <c r="BCE68" s="88"/>
      <c r="BCF68" s="88"/>
      <c r="BCG68" s="88"/>
      <c r="BCH68" s="88"/>
      <c r="BCI68" s="88"/>
      <c r="BCJ68" s="88"/>
      <c r="BCK68" s="88"/>
      <c r="BCL68" s="88"/>
      <c r="BCM68" s="88"/>
      <c r="BCN68" s="88"/>
      <c r="BCO68" s="88"/>
      <c r="BCP68" s="88"/>
      <c r="BCQ68" s="88"/>
      <c r="BCR68" s="88"/>
      <c r="BCS68" s="88"/>
      <c r="BCT68" s="88"/>
      <c r="BCU68" s="88"/>
      <c r="BCV68" s="88"/>
      <c r="BCW68" s="88"/>
      <c r="BCX68" s="88"/>
      <c r="BCY68" s="88"/>
      <c r="BCZ68" s="88"/>
      <c r="BDA68" s="88"/>
      <c r="BDB68" s="88"/>
      <c r="BDC68" s="88"/>
      <c r="BDD68" s="88"/>
      <c r="BDE68" s="88"/>
      <c r="BDF68" s="88"/>
      <c r="BDG68" s="88"/>
      <c r="BDH68" s="88"/>
      <c r="BDI68" s="88"/>
      <c r="BDJ68" s="88"/>
      <c r="BDK68" s="88"/>
      <c r="BDL68" s="88"/>
      <c r="BDM68" s="88"/>
      <c r="BDN68" s="88"/>
      <c r="BDO68" s="88"/>
      <c r="BDP68" s="88"/>
      <c r="BDQ68" s="88"/>
      <c r="BDR68" s="88"/>
      <c r="BDS68" s="88"/>
      <c r="BDT68" s="88"/>
      <c r="BDU68" s="88"/>
      <c r="BDV68" s="88"/>
      <c r="BDW68" s="88"/>
      <c r="BDX68" s="88"/>
      <c r="BDY68" s="88"/>
      <c r="BDZ68" s="88"/>
      <c r="BEA68" s="88"/>
      <c r="BEB68" s="88"/>
      <c r="BEC68" s="88"/>
      <c r="BED68" s="88"/>
      <c r="BEE68" s="88"/>
      <c r="BEF68" s="88"/>
      <c r="BEG68" s="88"/>
      <c r="BEH68" s="88"/>
      <c r="BEI68" s="88"/>
      <c r="BEJ68" s="88"/>
      <c r="BEK68" s="88"/>
      <c r="BEL68" s="88"/>
      <c r="BEM68" s="88"/>
      <c r="BEN68" s="88"/>
      <c r="BEO68" s="88"/>
      <c r="BEP68" s="88"/>
      <c r="BEQ68" s="88"/>
      <c r="BER68" s="88"/>
      <c r="BES68" s="88"/>
      <c r="BET68" s="88"/>
      <c r="BEU68" s="88"/>
      <c r="BEV68" s="88"/>
      <c r="BEW68" s="88"/>
      <c r="BEX68" s="88"/>
      <c r="BEY68" s="88"/>
      <c r="BEZ68" s="88"/>
      <c r="BFA68" s="88"/>
      <c r="BFB68" s="88"/>
      <c r="BFC68" s="88"/>
      <c r="BFD68" s="88"/>
      <c r="BFE68" s="88"/>
      <c r="BFF68" s="88"/>
      <c r="BFG68" s="88"/>
      <c r="BFH68" s="88"/>
      <c r="BFI68" s="88"/>
      <c r="BFJ68" s="88"/>
      <c r="BFK68" s="88"/>
      <c r="BFL68" s="88"/>
      <c r="BFM68" s="88"/>
      <c r="BFN68" s="88"/>
      <c r="BFO68" s="88"/>
      <c r="BFP68" s="88"/>
      <c r="BFQ68" s="88"/>
      <c r="BFR68" s="88"/>
      <c r="BFS68" s="88"/>
      <c r="BFT68" s="88"/>
      <c r="BFU68" s="88"/>
      <c r="BFV68" s="88"/>
      <c r="BFW68" s="88"/>
      <c r="BFX68" s="88"/>
      <c r="BFY68" s="88"/>
      <c r="BFZ68" s="88"/>
      <c r="BGA68" s="88"/>
      <c r="BGB68" s="88"/>
      <c r="BGC68" s="88"/>
      <c r="BGD68" s="88"/>
      <c r="BGE68" s="88"/>
      <c r="BGF68" s="88"/>
      <c r="BGG68" s="88"/>
      <c r="BGH68" s="88"/>
      <c r="BGI68" s="88"/>
      <c r="BGJ68" s="88"/>
      <c r="BGK68" s="88"/>
      <c r="BGL68" s="88"/>
      <c r="BGM68" s="88"/>
      <c r="BGN68" s="88"/>
      <c r="BGO68" s="88"/>
      <c r="BGP68" s="88"/>
      <c r="BGQ68" s="88"/>
      <c r="BGR68" s="88"/>
      <c r="BGS68" s="88"/>
      <c r="BGT68" s="88"/>
      <c r="BGU68" s="88"/>
      <c r="BGV68" s="88"/>
      <c r="BGW68" s="88"/>
      <c r="BGX68" s="88"/>
      <c r="BGY68" s="88"/>
      <c r="BGZ68" s="88"/>
      <c r="BHA68" s="88"/>
      <c r="BHB68" s="88"/>
      <c r="BHC68" s="88"/>
      <c r="BHD68" s="88"/>
      <c r="BHE68" s="88"/>
      <c r="BHF68" s="88"/>
      <c r="BHG68" s="88"/>
      <c r="BHH68" s="88"/>
      <c r="BHI68" s="88"/>
      <c r="BHJ68" s="88"/>
      <c r="BHK68" s="88"/>
      <c r="BHL68" s="88"/>
      <c r="BHM68" s="88"/>
      <c r="BHN68" s="88"/>
      <c r="BHO68" s="88"/>
      <c r="BHP68" s="88"/>
      <c r="BHQ68" s="88"/>
      <c r="BHR68" s="88"/>
      <c r="BHS68" s="88"/>
      <c r="BHT68" s="88"/>
      <c r="BHU68" s="88"/>
      <c r="BHV68" s="88"/>
      <c r="BHW68" s="88"/>
      <c r="BHX68" s="88"/>
      <c r="BHY68" s="88"/>
      <c r="BHZ68" s="88"/>
      <c r="BIA68" s="88"/>
      <c r="BIB68" s="88"/>
      <c r="BIC68" s="88"/>
      <c r="BID68" s="88"/>
      <c r="BIE68" s="88"/>
      <c r="BIF68" s="88"/>
      <c r="BIG68" s="88"/>
      <c r="BIH68" s="88"/>
      <c r="BII68" s="88"/>
      <c r="BIJ68" s="88"/>
      <c r="BIK68" s="88"/>
      <c r="BIL68" s="88"/>
      <c r="BIM68" s="88"/>
      <c r="BIN68" s="88"/>
      <c r="BIO68" s="88"/>
      <c r="BIP68" s="88"/>
      <c r="BIQ68" s="88"/>
      <c r="BIR68" s="88"/>
      <c r="BIS68" s="88"/>
      <c r="BIT68" s="88"/>
      <c r="BIU68" s="88"/>
      <c r="BIV68" s="88"/>
      <c r="BIW68" s="88"/>
      <c r="BIX68" s="88"/>
      <c r="BIY68" s="88"/>
      <c r="BIZ68" s="88"/>
      <c r="BJA68" s="88"/>
      <c r="BJB68" s="88"/>
      <c r="BJC68" s="88"/>
      <c r="BJD68" s="88"/>
      <c r="BJE68" s="88"/>
      <c r="BJF68" s="88"/>
      <c r="BJG68" s="88"/>
      <c r="BJH68" s="88"/>
      <c r="BJI68" s="88"/>
      <c r="BJJ68" s="88"/>
      <c r="BJK68" s="88"/>
      <c r="BJL68" s="88"/>
      <c r="BJM68" s="88"/>
      <c r="BJN68" s="88"/>
      <c r="BJO68" s="88"/>
      <c r="BJP68" s="88"/>
      <c r="BJQ68" s="88"/>
      <c r="BJR68" s="88"/>
      <c r="BJS68" s="88"/>
      <c r="BJT68" s="88"/>
      <c r="BJU68" s="88"/>
      <c r="BJV68" s="88"/>
      <c r="BJW68" s="88"/>
      <c r="BJX68" s="88"/>
      <c r="BJY68" s="88"/>
      <c r="BJZ68" s="88"/>
      <c r="BKA68" s="88"/>
      <c r="BKB68" s="88"/>
      <c r="BKC68" s="88"/>
      <c r="BKD68" s="88"/>
      <c r="BKE68" s="88"/>
      <c r="BKF68" s="88"/>
      <c r="BKG68" s="88"/>
      <c r="BKH68" s="88"/>
      <c r="BKI68" s="88"/>
      <c r="BKJ68" s="88"/>
      <c r="BKK68" s="88"/>
      <c r="BKL68" s="88"/>
      <c r="BKM68" s="88"/>
      <c r="BKN68" s="88"/>
      <c r="BKO68" s="88"/>
      <c r="BKP68" s="88"/>
      <c r="BKQ68" s="88"/>
      <c r="BKR68" s="88"/>
      <c r="BKS68" s="88"/>
      <c r="BKT68" s="88"/>
      <c r="BKU68" s="88"/>
      <c r="BKV68" s="88"/>
      <c r="BKW68" s="88"/>
      <c r="BKX68" s="88"/>
      <c r="BKY68" s="88"/>
      <c r="BKZ68" s="88"/>
      <c r="BLA68" s="88"/>
      <c r="BLB68" s="88"/>
      <c r="BLC68" s="88"/>
      <c r="BLD68" s="88"/>
      <c r="BLE68" s="88"/>
      <c r="BLF68" s="88"/>
      <c r="BLG68" s="88"/>
      <c r="BLH68" s="88"/>
      <c r="BLI68" s="88"/>
      <c r="BLJ68" s="88"/>
      <c r="BLK68" s="88"/>
      <c r="BLL68" s="88"/>
      <c r="BLM68" s="88"/>
      <c r="BLN68" s="88"/>
      <c r="BLO68" s="88"/>
      <c r="BLP68" s="88"/>
      <c r="BLQ68" s="88"/>
      <c r="BLR68" s="88"/>
      <c r="BLS68" s="88"/>
      <c r="BLT68" s="88"/>
      <c r="BLU68" s="88"/>
      <c r="BLV68" s="88"/>
      <c r="BLW68" s="88"/>
      <c r="BLX68" s="88"/>
      <c r="BLY68" s="88"/>
      <c r="BLZ68" s="88"/>
      <c r="BMA68" s="88"/>
      <c r="BMB68" s="88"/>
      <c r="BMC68" s="88"/>
      <c r="BMD68" s="88"/>
      <c r="BME68" s="88"/>
      <c r="BMF68" s="88"/>
      <c r="BMG68" s="88"/>
      <c r="BMH68" s="88"/>
      <c r="BMI68" s="88"/>
      <c r="BMJ68" s="88"/>
      <c r="BMK68" s="88"/>
      <c r="BML68" s="88"/>
      <c r="BMM68" s="88"/>
      <c r="BMN68" s="88"/>
      <c r="BMO68" s="88"/>
      <c r="BMP68" s="88"/>
      <c r="BMQ68" s="88"/>
      <c r="BMR68" s="88"/>
      <c r="BMS68" s="88"/>
      <c r="BMT68" s="88"/>
      <c r="BMU68" s="88"/>
      <c r="BMV68" s="88"/>
      <c r="BMW68" s="88"/>
      <c r="BMX68" s="88"/>
      <c r="BMY68" s="88"/>
      <c r="BMZ68" s="88"/>
      <c r="BNA68" s="88"/>
      <c r="BNB68" s="88"/>
      <c r="BNC68" s="88"/>
      <c r="BND68" s="88"/>
      <c r="BNE68" s="88"/>
      <c r="BNF68" s="88"/>
      <c r="BNG68" s="88"/>
      <c r="BNH68" s="88"/>
      <c r="BNI68" s="88"/>
      <c r="BNJ68" s="88"/>
      <c r="BNK68" s="88"/>
      <c r="BNL68" s="88"/>
      <c r="BNM68" s="88"/>
      <c r="BNN68" s="88"/>
      <c r="BNO68" s="88"/>
      <c r="BNP68" s="88"/>
      <c r="BNQ68" s="88"/>
      <c r="BNR68" s="88"/>
      <c r="BNS68" s="88"/>
      <c r="BNT68" s="88"/>
      <c r="BNU68" s="88"/>
      <c r="BNV68" s="88"/>
      <c r="BNW68" s="88"/>
      <c r="BNX68" s="88"/>
      <c r="BNY68" s="88"/>
      <c r="BNZ68" s="88"/>
      <c r="BOA68" s="88"/>
      <c r="BOB68" s="88"/>
      <c r="BOC68" s="88"/>
      <c r="BOD68" s="88"/>
      <c r="BOE68" s="88"/>
      <c r="BOF68" s="88"/>
      <c r="BOG68" s="88"/>
      <c r="BOH68" s="88"/>
      <c r="BOI68" s="88"/>
      <c r="BOJ68" s="88"/>
      <c r="BOK68" s="88"/>
      <c r="BOL68" s="88"/>
      <c r="BOM68" s="88"/>
      <c r="BON68" s="88"/>
      <c r="BOO68" s="88"/>
      <c r="BOP68" s="88"/>
      <c r="BOQ68" s="88"/>
      <c r="BOR68" s="88"/>
      <c r="BOS68" s="88"/>
      <c r="BOT68" s="88"/>
      <c r="BOU68" s="88"/>
      <c r="BOV68" s="88"/>
      <c r="BOW68" s="88"/>
      <c r="BOX68" s="88"/>
      <c r="BOY68" s="88"/>
      <c r="BOZ68" s="88"/>
      <c r="BPA68" s="88"/>
      <c r="BPB68" s="88"/>
      <c r="BPC68" s="88"/>
      <c r="BPD68" s="88"/>
      <c r="BPE68" s="88"/>
      <c r="BPF68" s="88"/>
      <c r="BPG68" s="88"/>
      <c r="BPH68" s="88"/>
      <c r="BPI68" s="88"/>
      <c r="BPJ68" s="88"/>
      <c r="BPK68" s="88"/>
      <c r="BPL68" s="88"/>
      <c r="BPM68" s="88"/>
      <c r="BPN68" s="88"/>
      <c r="BPO68" s="88"/>
      <c r="BPP68" s="88"/>
      <c r="BPQ68" s="88"/>
      <c r="BPR68" s="88"/>
      <c r="BPS68" s="88"/>
      <c r="BPT68" s="88"/>
      <c r="BPU68" s="88"/>
      <c r="BPV68" s="88"/>
      <c r="BPW68" s="88"/>
      <c r="BPX68" s="88"/>
      <c r="BPY68" s="88"/>
      <c r="BPZ68" s="88"/>
      <c r="BQA68" s="88"/>
      <c r="BQB68" s="88"/>
      <c r="BQC68" s="88"/>
      <c r="BQD68" s="88"/>
      <c r="BQE68" s="88"/>
      <c r="BQF68" s="88"/>
      <c r="BQG68" s="88"/>
      <c r="BQH68" s="88"/>
      <c r="BQI68" s="88"/>
      <c r="BQJ68" s="88"/>
      <c r="BQK68" s="88"/>
      <c r="BQL68" s="88"/>
      <c r="BQM68" s="88"/>
      <c r="BQN68" s="88"/>
      <c r="BQO68" s="88"/>
      <c r="BQP68" s="88"/>
      <c r="BQQ68" s="88"/>
      <c r="BQR68" s="88"/>
      <c r="BQS68" s="88"/>
      <c r="BQT68" s="88"/>
      <c r="BQU68" s="88"/>
      <c r="BQV68" s="88"/>
      <c r="BQW68" s="88"/>
      <c r="BQX68" s="88"/>
      <c r="BQY68" s="88"/>
      <c r="BQZ68" s="88"/>
      <c r="BRA68" s="88"/>
      <c r="BRB68" s="88"/>
      <c r="BRC68" s="88"/>
      <c r="BRD68" s="88"/>
      <c r="BRE68" s="88"/>
      <c r="BRF68" s="88"/>
      <c r="BRG68" s="88"/>
      <c r="BRH68" s="88"/>
      <c r="BRI68" s="88"/>
      <c r="BRJ68" s="88"/>
      <c r="BRK68" s="88"/>
      <c r="BRL68" s="88"/>
      <c r="BRM68" s="88"/>
      <c r="BRN68" s="88"/>
      <c r="BRO68" s="88"/>
      <c r="BRP68" s="88"/>
      <c r="BRQ68" s="88"/>
      <c r="BRR68" s="88"/>
      <c r="BRS68" s="88"/>
      <c r="BRT68" s="88"/>
      <c r="BRU68" s="88"/>
      <c r="BRV68" s="88"/>
      <c r="BRW68" s="88"/>
      <c r="BRX68" s="88"/>
      <c r="BRY68" s="88"/>
      <c r="BRZ68" s="88"/>
      <c r="BSA68" s="88"/>
      <c r="BSB68" s="88"/>
      <c r="BSC68" s="88"/>
      <c r="BSD68" s="88"/>
      <c r="BSE68" s="88"/>
      <c r="BSF68" s="88"/>
      <c r="BSG68" s="88"/>
      <c r="BSH68" s="88"/>
      <c r="BSI68" s="88"/>
      <c r="BSJ68" s="88"/>
      <c r="BSK68" s="88"/>
      <c r="BSL68" s="88"/>
      <c r="BSM68" s="88"/>
      <c r="BSN68" s="88"/>
      <c r="BSO68" s="88"/>
      <c r="BSP68" s="88"/>
      <c r="BSQ68" s="88"/>
      <c r="BSR68" s="88"/>
      <c r="BSS68" s="88"/>
      <c r="BST68" s="88"/>
      <c r="BSU68" s="88"/>
      <c r="BSV68" s="88"/>
      <c r="BSW68" s="88"/>
      <c r="BSX68" s="88"/>
      <c r="BSY68" s="88"/>
      <c r="BSZ68" s="88"/>
      <c r="BTA68" s="88"/>
      <c r="BTB68" s="88"/>
      <c r="BTC68" s="88"/>
      <c r="BTD68" s="88"/>
      <c r="BTE68" s="88"/>
      <c r="BTF68" s="88"/>
      <c r="BTG68" s="88"/>
      <c r="BTH68" s="88"/>
      <c r="BTI68" s="88"/>
      <c r="BTJ68" s="88"/>
      <c r="BTK68" s="88"/>
      <c r="BTL68" s="88"/>
      <c r="BTM68" s="88"/>
      <c r="BTN68" s="88"/>
      <c r="BTO68" s="88"/>
      <c r="BTP68" s="88"/>
      <c r="BTQ68" s="88"/>
      <c r="BTR68" s="88"/>
      <c r="BTS68" s="88"/>
      <c r="BTT68" s="88"/>
      <c r="BTU68" s="88"/>
      <c r="BTV68" s="88"/>
      <c r="BTW68" s="88"/>
      <c r="BTX68" s="88"/>
      <c r="BTY68" s="88"/>
      <c r="BTZ68" s="88"/>
      <c r="BUA68" s="88"/>
      <c r="BUB68" s="88"/>
      <c r="BUC68" s="88"/>
      <c r="BUD68" s="88"/>
      <c r="BUE68" s="88"/>
      <c r="BUF68" s="88"/>
      <c r="BUG68" s="88"/>
      <c r="BUH68" s="88"/>
      <c r="BUI68" s="88"/>
      <c r="BUJ68" s="88"/>
      <c r="BUK68" s="88"/>
      <c r="BUL68" s="88"/>
      <c r="BUM68" s="88"/>
      <c r="BUN68" s="88"/>
      <c r="BUO68" s="88"/>
      <c r="BUP68" s="88"/>
      <c r="BUQ68" s="88"/>
      <c r="BUR68" s="88"/>
      <c r="BUS68" s="88"/>
      <c r="BUT68" s="88"/>
      <c r="BUU68" s="88"/>
      <c r="BUV68" s="88"/>
      <c r="BUW68" s="88"/>
      <c r="BUX68" s="88"/>
      <c r="BUY68" s="88"/>
      <c r="BUZ68" s="88"/>
      <c r="BVA68" s="88"/>
      <c r="BVB68" s="88"/>
      <c r="BVC68" s="88"/>
      <c r="BVD68" s="88"/>
      <c r="BVE68" s="88"/>
      <c r="BVF68" s="88"/>
      <c r="BVG68" s="88"/>
      <c r="BVH68" s="88"/>
      <c r="BVI68" s="88"/>
      <c r="BVJ68" s="88"/>
      <c r="BVK68" s="88"/>
      <c r="BVL68" s="88"/>
      <c r="BVM68" s="88"/>
      <c r="BVN68" s="88"/>
      <c r="BVO68" s="88"/>
      <c r="BVP68" s="88"/>
      <c r="BVQ68" s="88"/>
      <c r="BVR68" s="88"/>
      <c r="BVS68" s="88"/>
      <c r="BVT68" s="88"/>
      <c r="BVU68" s="88"/>
      <c r="BVV68" s="88"/>
      <c r="BVW68" s="88"/>
      <c r="BVX68" s="88"/>
      <c r="BVY68" s="88"/>
      <c r="BVZ68" s="88"/>
      <c r="BWA68" s="88"/>
      <c r="BWB68" s="88"/>
      <c r="BWC68" s="88"/>
      <c r="BWD68" s="88"/>
      <c r="BWE68" s="88"/>
      <c r="BWF68" s="88"/>
      <c r="BWG68" s="88"/>
      <c r="BWH68" s="88"/>
      <c r="BWI68" s="88"/>
      <c r="BWJ68" s="88"/>
      <c r="BWK68" s="88"/>
      <c r="BWL68" s="88"/>
      <c r="BWM68" s="88"/>
      <c r="BWN68" s="88"/>
      <c r="BWO68" s="88"/>
      <c r="BWP68" s="88"/>
      <c r="BWQ68" s="88"/>
      <c r="BWR68" s="88"/>
      <c r="BWS68" s="88"/>
      <c r="BWT68" s="88"/>
      <c r="BWU68" s="88"/>
      <c r="BWV68" s="88"/>
      <c r="BWW68" s="88"/>
      <c r="BWX68" s="88"/>
      <c r="BWY68" s="88"/>
      <c r="BWZ68" s="88"/>
      <c r="BXA68" s="88"/>
      <c r="BXB68" s="88"/>
      <c r="BXC68" s="88"/>
      <c r="BXD68" s="88"/>
      <c r="BXE68" s="88"/>
      <c r="BXF68" s="88"/>
      <c r="BXG68" s="88"/>
      <c r="BXH68" s="88"/>
      <c r="BXI68" s="88"/>
      <c r="BXJ68" s="88"/>
      <c r="BXK68" s="88"/>
      <c r="BXL68" s="88"/>
      <c r="BXM68" s="88"/>
      <c r="BXN68" s="88"/>
      <c r="BXO68" s="88"/>
      <c r="BXP68" s="88"/>
      <c r="BXQ68" s="88"/>
      <c r="BXR68" s="88"/>
      <c r="BXS68" s="88"/>
      <c r="BXT68" s="88"/>
      <c r="BXU68" s="88"/>
      <c r="BXV68" s="88"/>
      <c r="BXW68" s="88"/>
      <c r="BXX68" s="88"/>
      <c r="BXY68" s="88"/>
      <c r="BXZ68" s="88"/>
      <c r="BYA68" s="88"/>
      <c r="BYB68" s="88"/>
      <c r="BYC68" s="88"/>
      <c r="BYD68" s="88"/>
      <c r="BYE68" s="88"/>
      <c r="BYF68" s="88"/>
      <c r="BYG68" s="88"/>
      <c r="BYH68" s="88"/>
      <c r="BYI68" s="88"/>
      <c r="BYJ68" s="88"/>
      <c r="BYK68" s="88"/>
      <c r="BYL68" s="88"/>
      <c r="BYM68" s="88"/>
      <c r="BYN68" s="88"/>
      <c r="BYO68" s="88"/>
      <c r="BYP68" s="88"/>
      <c r="BYQ68" s="88"/>
      <c r="BYR68" s="88"/>
      <c r="BYS68" s="88"/>
      <c r="BYT68" s="88"/>
      <c r="BYU68" s="88"/>
      <c r="BYV68" s="88"/>
      <c r="BYW68" s="88"/>
      <c r="BYX68" s="88"/>
      <c r="BYY68" s="88"/>
      <c r="BYZ68" s="88"/>
      <c r="BZA68" s="88"/>
      <c r="BZB68" s="88"/>
      <c r="BZC68" s="88"/>
      <c r="BZD68" s="88"/>
      <c r="BZE68" s="88"/>
      <c r="BZF68" s="88"/>
      <c r="BZG68" s="88"/>
      <c r="BZH68" s="88"/>
      <c r="BZI68" s="88"/>
      <c r="BZJ68" s="88"/>
      <c r="BZK68" s="88"/>
      <c r="BZL68" s="88"/>
      <c r="BZM68" s="88"/>
      <c r="BZN68" s="88"/>
      <c r="BZO68" s="88"/>
      <c r="BZP68" s="88"/>
      <c r="BZQ68" s="88"/>
      <c r="BZR68" s="88"/>
      <c r="BZS68" s="88"/>
      <c r="BZT68" s="88"/>
      <c r="BZU68" s="88"/>
      <c r="BZV68" s="88"/>
      <c r="BZW68" s="88"/>
      <c r="BZX68" s="88"/>
      <c r="BZY68" s="88"/>
      <c r="BZZ68" s="88"/>
      <c r="CAA68" s="88"/>
      <c r="CAB68" s="88"/>
      <c r="CAC68" s="88"/>
      <c r="CAD68" s="88"/>
      <c r="CAE68" s="88"/>
      <c r="CAF68" s="88"/>
      <c r="CAG68" s="88"/>
      <c r="CAH68" s="88"/>
      <c r="CAI68" s="88"/>
      <c r="CAJ68" s="88"/>
      <c r="CAK68" s="88"/>
      <c r="CAL68" s="88"/>
      <c r="CAM68" s="88"/>
      <c r="CAN68" s="88"/>
      <c r="CAO68" s="88"/>
      <c r="CAP68" s="88"/>
      <c r="CAQ68" s="88"/>
      <c r="CAR68" s="88"/>
      <c r="CAS68" s="88"/>
      <c r="CAT68" s="88"/>
      <c r="CAU68" s="88"/>
      <c r="CAV68" s="88"/>
      <c r="CAW68" s="88"/>
      <c r="CAX68" s="88"/>
      <c r="CAY68" s="88"/>
      <c r="CAZ68" s="88"/>
      <c r="CBA68" s="88"/>
      <c r="CBB68" s="88"/>
      <c r="CBC68" s="88"/>
      <c r="CBD68" s="88"/>
      <c r="CBE68" s="88"/>
      <c r="CBF68" s="88"/>
      <c r="CBG68" s="88"/>
      <c r="CBH68" s="88"/>
      <c r="CBI68" s="88"/>
      <c r="CBJ68" s="88"/>
      <c r="CBK68" s="88"/>
      <c r="CBL68" s="88"/>
      <c r="CBM68" s="88"/>
      <c r="CBN68" s="88"/>
      <c r="CBO68" s="88"/>
      <c r="CBP68" s="88"/>
      <c r="CBQ68" s="88"/>
      <c r="CBR68" s="88"/>
      <c r="CBS68" s="88"/>
      <c r="CBT68" s="88"/>
      <c r="CBU68" s="88"/>
      <c r="CBV68" s="88"/>
      <c r="CBW68" s="88"/>
      <c r="CBX68" s="88"/>
      <c r="CBY68" s="88"/>
      <c r="CBZ68" s="88"/>
      <c r="CCA68" s="88"/>
      <c r="CCB68" s="88"/>
      <c r="CCC68" s="88"/>
      <c r="CCD68" s="88"/>
      <c r="CCE68" s="88"/>
      <c r="CCF68" s="88"/>
      <c r="CCG68" s="88"/>
      <c r="CCH68" s="88"/>
      <c r="CCI68" s="88"/>
      <c r="CCJ68" s="88"/>
      <c r="CCK68" s="88"/>
      <c r="CCL68" s="88"/>
      <c r="CCM68" s="88"/>
      <c r="CCN68" s="88"/>
      <c r="CCO68" s="88"/>
      <c r="CCP68" s="88"/>
      <c r="CCQ68" s="88"/>
      <c r="CCR68" s="88"/>
      <c r="CCS68" s="88"/>
      <c r="CCT68" s="88"/>
      <c r="CCU68" s="88"/>
      <c r="CCV68" s="88"/>
      <c r="CCW68" s="88"/>
      <c r="CCX68" s="88"/>
      <c r="CCY68" s="88"/>
      <c r="CCZ68" s="88"/>
      <c r="CDA68" s="88"/>
      <c r="CDB68" s="88"/>
      <c r="CDC68" s="88"/>
      <c r="CDD68" s="88"/>
      <c r="CDE68" s="88"/>
      <c r="CDF68" s="88"/>
      <c r="CDG68" s="88"/>
      <c r="CDH68" s="88"/>
      <c r="CDI68" s="88"/>
      <c r="CDJ68" s="88"/>
      <c r="CDK68" s="88"/>
      <c r="CDL68" s="88"/>
      <c r="CDM68" s="88"/>
      <c r="CDN68" s="88"/>
      <c r="CDO68" s="88"/>
      <c r="CDP68" s="88"/>
      <c r="CDQ68" s="88"/>
      <c r="CDR68" s="88"/>
      <c r="CDS68" s="88"/>
      <c r="CDT68" s="88"/>
      <c r="CDU68" s="88"/>
      <c r="CDV68" s="88"/>
      <c r="CDW68" s="88"/>
      <c r="CDX68" s="88"/>
      <c r="CDY68" s="88"/>
      <c r="CDZ68" s="88"/>
      <c r="CEA68" s="88"/>
      <c r="CEB68" s="88"/>
      <c r="CEC68" s="88"/>
      <c r="CED68" s="88"/>
      <c r="CEE68" s="88"/>
      <c r="CEF68" s="88"/>
      <c r="CEG68" s="88"/>
      <c r="CEH68" s="88"/>
      <c r="CEI68" s="88"/>
      <c r="CEJ68" s="88"/>
      <c r="CEK68" s="88"/>
    </row>
    <row r="69" spans="1:2169" s="63" customFormat="1">
      <c r="A69" s="73" t="s">
        <v>427</v>
      </c>
      <c r="B69" s="71" t="s">
        <v>497</v>
      </c>
      <c r="C69" s="68" t="str">
        <f>IF('page 2'!$O$4="","",IF('page 2'!$O$4=Gestion!A69,1,0))</f>
        <v/>
      </c>
      <c r="D69" s="68" t="str">
        <f>IF('page 2'!$O$5="","",IF('page 2'!$O$5=Gestion!A69,1,0))</f>
        <v/>
      </c>
      <c r="E69" s="68" t="str">
        <f>IF('page 2'!$O$6="","",IF('page 2'!$O$6=Gestion!A69,1,0))</f>
        <v/>
      </c>
      <c r="F69" s="68" t="str">
        <f>IF('page 2'!$O$7="","",IF('page 2'!$O$7=Gestion!A69,1,0))</f>
        <v/>
      </c>
      <c r="G69" s="68" t="str">
        <f>IF('page 2'!$O$8="","",IF('page 2'!$O$8=Gestion!A69,1,0))</f>
        <v/>
      </c>
      <c r="H69" s="68" t="str">
        <f>IF('page 2'!$O$9="","",IF('page 2'!$O$9=Gestion!A69,1,0))</f>
        <v/>
      </c>
      <c r="I69" s="68" t="str">
        <f>IF('page 2'!$O$10="","",IF('page 2'!$O$10=Gestion!A69,1,0))</f>
        <v/>
      </c>
      <c r="J69" s="68" t="str">
        <f>IF('page 2'!$O$11="","",IF('page 2'!$O$11=Gestion!A69,1,0))</f>
        <v/>
      </c>
      <c r="K69" s="68" t="str">
        <f>IF('page 2'!$O$12="","",IF('page 2'!$O$12=Gestion!A69,1,0))</f>
        <v/>
      </c>
      <c r="L69" s="68" t="str">
        <f>IF('page 2'!$O$13="","",IF('page 2'!$O$13=Gestion!A69,1,0))</f>
        <v/>
      </c>
      <c r="M69" s="68" t="str">
        <f>IF('page 2'!$O$14="","",IF('page 2'!$O$14=Gestion!A69,1,0))</f>
        <v/>
      </c>
      <c r="N69" s="68" t="str">
        <f>IF('page 2'!$O$15="","",IF('page 2'!$O$15=Gestion!A69,1,0))</f>
        <v/>
      </c>
      <c r="O69" s="68" t="str">
        <f>IF('page 2'!$O$16="","",IF('page 2'!$O$16=Gestion!A69,1,0))</f>
        <v/>
      </c>
      <c r="P69" s="68" t="str">
        <f>IF('page 2'!$O$17="","",IF('page 2'!$O$17=Gestion!A69,1,0))</f>
        <v/>
      </c>
      <c r="Q69" s="68" t="str">
        <f>IF('page 2'!$O$18="","",IF('page 2'!$O$18=Gestion!A69,1,0))</f>
        <v/>
      </c>
      <c r="R69" s="68" t="str">
        <f>IF('page 2'!$O$19="","",IF('page 2'!$O$19=Gestion!A69,1,0))</f>
        <v/>
      </c>
      <c r="S69" s="68" t="str">
        <f>IF('page 2'!$O$20="","",IF('page 2'!$O$20=Gestion!A69,1,0))</f>
        <v/>
      </c>
      <c r="T69" s="68" t="str">
        <f>IF('page 2'!$O$25="","",IF('page 2'!$O$25=Gestion!A69,1,0))</f>
        <v/>
      </c>
      <c r="U69" s="68" t="str">
        <f>IF('page 2'!$O$26="","",IF('page 2'!$O$26=Gestion!A69,1,0))</f>
        <v/>
      </c>
      <c r="V69" s="68" t="str">
        <f>IF('page 2'!$O$27="","",IF('page 2'!$O$27=Gestion!A69,1,0))</f>
        <v/>
      </c>
      <c r="W69" s="722">
        <f t="shared" si="0"/>
        <v>0</v>
      </c>
      <c r="X69" s="714"/>
      <c r="Y69" s="68"/>
      <c r="Z69" s="68"/>
      <c r="AA69" s="68"/>
      <c r="AB69" s="68"/>
      <c r="AC69" s="68"/>
      <c r="AD69" s="68"/>
      <c r="AP69" s="130"/>
      <c r="AQ69" s="130"/>
      <c r="AR69" s="130"/>
      <c r="AS69" s="576"/>
      <c r="AT69" s="576"/>
      <c r="AU69" s="576"/>
      <c r="AV69" s="576"/>
      <c r="AW69" s="602"/>
      <c r="AX69" s="602"/>
      <c r="AY69" s="576"/>
      <c r="AZ69" s="576"/>
      <c r="BA69" s="576"/>
      <c r="BB69" s="576"/>
      <c r="BC69" s="576"/>
      <c r="BD69" s="602"/>
      <c r="BE69" s="602"/>
      <c r="BF69" s="602"/>
      <c r="BG69" s="602"/>
      <c r="BH69" s="602"/>
      <c r="BI69" s="602"/>
      <c r="BJ69" s="602"/>
      <c r="BK69" s="602"/>
      <c r="BL69" s="602"/>
      <c r="BM69" s="602"/>
      <c r="BN69" s="602"/>
      <c r="BO69" s="602"/>
      <c r="BP69" s="602"/>
      <c r="BQ69" s="602"/>
      <c r="BR69" s="602"/>
      <c r="BS69" s="576"/>
      <c r="BT69" s="576"/>
      <c r="BU69" s="576"/>
      <c r="BV69" s="576"/>
      <c r="BW69" s="602"/>
      <c r="BX69" s="602"/>
      <c r="BY69" s="602"/>
      <c r="BZ69" s="576"/>
      <c r="CA69" s="602"/>
      <c r="CB69" s="602"/>
      <c r="CC69" s="576"/>
      <c r="CD69" s="576"/>
      <c r="CE69" s="602"/>
      <c r="CF69" s="576"/>
      <c r="CG69" s="576"/>
      <c r="CH69" s="576"/>
      <c r="CI69" s="576"/>
      <c r="CJ69" s="576"/>
      <c r="CK69" s="602"/>
      <c r="CL69" s="602"/>
      <c r="CM69" s="576"/>
      <c r="CN69" s="602"/>
      <c r="CO69" s="602"/>
      <c r="CP69" s="602"/>
      <c r="CQ69" s="576"/>
      <c r="CR69" s="576"/>
      <c r="CS69" s="602"/>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c r="SF69" s="88"/>
      <c r="SG69" s="88"/>
      <c r="SH69" s="88"/>
      <c r="SI69" s="88"/>
      <c r="SJ69" s="88"/>
      <c r="SK69" s="88"/>
      <c r="SL69" s="88"/>
      <c r="SM69" s="88"/>
      <c r="SN69" s="88"/>
      <c r="SO69" s="88"/>
      <c r="SP69" s="88"/>
      <c r="SQ69" s="88"/>
      <c r="SR69" s="88"/>
      <c r="SS69" s="88"/>
      <c r="ST69" s="88"/>
      <c r="SU69" s="88"/>
      <c r="SV69" s="88"/>
      <c r="SW69" s="88"/>
      <c r="SX69" s="88"/>
      <c r="SY69" s="88"/>
      <c r="SZ69" s="88"/>
      <c r="TA69" s="88"/>
      <c r="TB69" s="88"/>
      <c r="TC69" s="88"/>
      <c r="TD69" s="88"/>
      <c r="TE69" s="88"/>
      <c r="TF69" s="88"/>
      <c r="TG69" s="88"/>
      <c r="TH69" s="88"/>
      <c r="TI69" s="88"/>
      <c r="TJ69" s="88"/>
      <c r="TK69" s="88"/>
      <c r="TL69" s="88"/>
      <c r="TM69" s="88"/>
      <c r="TN69" s="88"/>
      <c r="TO69" s="88"/>
      <c r="TP69" s="88"/>
      <c r="TQ69" s="88"/>
      <c r="TR69" s="88"/>
      <c r="TS69" s="88"/>
      <c r="TT69" s="88"/>
      <c r="TU69" s="88"/>
      <c r="TV69" s="88"/>
      <c r="TW69" s="88"/>
      <c r="TX69" s="88"/>
      <c r="TY69" s="88"/>
      <c r="TZ69" s="88"/>
      <c r="UA69" s="88"/>
      <c r="UB69" s="88"/>
      <c r="UC69" s="88"/>
      <c r="UD69" s="88"/>
      <c r="UE69" s="88"/>
      <c r="UF69" s="88"/>
      <c r="UG69" s="88"/>
      <c r="UH69" s="88"/>
      <c r="UI69" s="88"/>
      <c r="UJ69" s="88"/>
      <c r="UK69" s="88"/>
      <c r="UL69" s="88"/>
      <c r="UM69" s="88"/>
      <c r="UN69" s="88"/>
      <c r="UO69" s="88"/>
      <c r="UP69" s="88"/>
      <c r="UQ69" s="88"/>
      <c r="UR69" s="88"/>
      <c r="US69" s="88"/>
      <c r="UT69" s="88"/>
      <c r="UU69" s="88"/>
      <c r="UV69" s="88"/>
      <c r="UW69" s="88"/>
      <c r="UX69" s="88"/>
      <c r="UY69" s="88"/>
      <c r="UZ69" s="88"/>
      <c r="VA69" s="88"/>
      <c r="VB69" s="88"/>
      <c r="VC69" s="88"/>
      <c r="VD69" s="88"/>
      <c r="VE69" s="88"/>
      <c r="VF69" s="88"/>
      <c r="VG69" s="88"/>
      <c r="VH69" s="88"/>
      <c r="VI69" s="88"/>
      <c r="VJ69" s="88"/>
      <c r="VK69" s="88"/>
      <c r="VL69" s="88"/>
      <c r="VM69" s="88"/>
      <c r="VN69" s="88"/>
      <c r="VO69" s="88"/>
      <c r="VP69" s="88"/>
      <c r="VQ69" s="88"/>
      <c r="VR69" s="88"/>
      <c r="VS69" s="88"/>
      <c r="VT69" s="88"/>
      <c r="VU69" s="88"/>
      <c r="VV69" s="88"/>
      <c r="VW69" s="88"/>
      <c r="VX69" s="88"/>
      <c r="VY69" s="88"/>
      <c r="VZ69" s="88"/>
      <c r="WA69" s="88"/>
      <c r="WB69" s="88"/>
      <c r="WC69" s="88"/>
      <c r="WD69" s="88"/>
      <c r="WE69" s="88"/>
      <c r="WF69" s="88"/>
      <c r="WG69" s="88"/>
      <c r="WH69" s="88"/>
      <c r="WI69" s="88"/>
      <c r="WJ69" s="88"/>
      <c r="WK69" s="88"/>
      <c r="WL69" s="88"/>
      <c r="WM69" s="88"/>
      <c r="WN69" s="88"/>
      <c r="WO69" s="88"/>
      <c r="WP69" s="88"/>
      <c r="WQ69" s="88"/>
      <c r="WR69" s="88"/>
      <c r="WS69" s="88"/>
      <c r="WT69" s="88"/>
      <c r="WU69" s="88"/>
      <c r="WV69" s="88"/>
      <c r="WW69" s="88"/>
      <c r="WX69" s="88"/>
      <c r="WY69" s="88"/>
      <c r="WZ69" s="88"/>
      <c r="XA69" s="88"/>
      <c r="XB69" s="88"/>
      <c r="XC69" s="88"/>
      <c r="XD69" s="88"/>
      <c r="XE69" s="88"/>
      <c r="XF69" s="88"/>
      <c r="XG69" s="88"/>
      <c r="XH69" s="88"/>
      <c r="XI69" s="88"/>
      <c r="XJ69" s="88"/>
      <c r="XK69" s="88"/>
      <c r="XL69" s="88"/>
      <c r="XM69" s="88"/>
      <c r="XN69" s="88"/>
      <c r="XO69" s="88"/>
      <c r="XP69" s="88"/>
      <c r="XQ69" s="88"/>
      <c r="XR69" s="88"/>
      <c r="XS69" s="88"/>
      <c r="XT69" s="88"/>
      <c r="XU69" s="88"/>
      <c r="XV69" s="88"/>
      <c r="XW69" s="88"/>
      <c r="XX69" s="88"/>
      <c r="XY69" s="88"/>
      <c r="XZ69" s="88"/>
      <c r="YA69" s="88"/>
      <c r="YB69" s="88"/>
      <c r="YC69" s="88"/>
      <c r="YD69" s="88"/>
      <c r="YE69" s="88"/>
      <c r="YF69" s="88"/>
      <c r="YG69" s="88"/>
      <c r="YH69" s="88"/>
      <c r="YI69" s="88"/>
      <c r="YJ69" s="88"/>
      <c r="YK69" s="88"/>
      <c r="YL69" s="88"/>
      <c r="YM69" s="88"/>
      <c r="YN69" s="88"/>
      <c r="YO69" s="88"/>
      <c r="YP69" s="88"/>
      <c r="YQ69" s="88"/>
      <c r="YR69" s="88"/>
      <c r="YS69" s="88"/>
      <c r="YT69" s="88"/>
      <c r="YU69" s="88"/>
      <c r="YV69" s="88"/>
      <c r="YW69" s="88"/>
      <c r="YX69" s="88"/>
      <c r="YY69" s="88"/>
      <c r="YZ69" s="88"/>
      <c r="ZA69" s="88"/>
      <c r="ZB69" s="88"/>
      <c r="ZC69" s="88"/>
      <c r="ZD69" s="88"/>
      <c r="ZE69" s="88"/>
      <c r="ZF69" s="88"/>
      <c r="ZG69" s="88"/>
      <c r="ZH69" s="88"/>
      <c r="ZI69" s="88"/>
      <c r="ZJ69" s="88"/>
      <c r="ZK69" s="88"/>
      <c r="ZL69" s="88"/>
      <c r="ZM69" s="88"/>
      <c r="ZN69" s="88"/>
      <c r="ZO69" s="88"/>
      <c r="ZP69" s="88"/>
      <c r="ZQ69" s="88"/>
      <c r="ZR69" s="88"/>
      <c r="ZS69" s="88"/>
      <c r="ZT69" s="88"/>
      <c r="ZU69" s="88"/>
      <c r="ZV69" s="88"/>
      <c r="ZW69" s="88"/>
      <c r="ZX69" s="88"/>
      <c r="ZY69" s="88"/>
      <c r="ZZ69" s="88"/>
      <c r="AAA69" s="88"/>
      <c r="AAB69" s="88"/>
      <c r="AAC69" s="88"/>
      <c r="AAD69" s="88"/>
      <c r="AAE69" s="88"/>
      <c r="AAF69" s="88"/>
      <c r="AAG69" s="88"/>
      <c r="AAH69" s="88"/>
      <c r="AAI69" s="88"/>
      <c r="AAJ69" s="88"/>
      <c r="AAK69" s="88"/>
      <c r="AAL69" s="88"/>
      <c r="AAM69" s="88"/>
      <c r="AAN69" s="88"/>
      <c r="AAO69" s="88"/>
      <c r="AAP69" s="88"/>
      <c r="AAQ69" s="88"/>
      <c r="AAR69" s="88"/>
      <c r="AAS69" s="88"/>
      <c r="AAT69" s="88"/>
      <c r="AAU69" s="88"/>
      <c r="AAV69" s="88"/>
      <c r="AAW69" s="88"/>
      <c r="AAX69" s="88"/>
      <c r="AAY69" s="88"/>
      <c r="AAZ69" s="88"/>
      <c r="ABA69" s="88"/>
      <c r="ABB69" s="88"/>
      <c r="ABC69" s="88"/>
      <c r="ABD69" s="88"/>
      <c r="ABE69" s="88"/>
      <c r="ABF69" s="88"/>
      <c r="ABG69" s="88"/>
      <c r="ABH69" s="88"/>
      <c r="ABI69" s="88"/>
      <c r="ABJ69" s="88"/>
      <c r="ABK69" s="88"/>
      <c r="ABL69" s="88"/>
      <c r="ABM69" s="88"/>
      <c r="ABN69" s="88"/>
      <c r="ABO69" s="88"/>
      <c r="ABP69" s="88"/>
      <c r="ABQ69" s="88"/>
      <c r="ABR69" s="88"/>
      <c r="ABS69" s="88"/>
      <c r="ABT69" s="88"/>
      <c r="ABU69" s="88"/>
      <c r="ABV69" s="88"/>
      <c r="ABW69" s="88"/>
      <c r="ABX69" s="88"/>
      <c r="ABY69" s="88"/>
      <c r="ABZ69" s="88"/>
      <c r="ACA69" s="88"/>
      <c r="ACB69" s="88"/>
      <c r="ACC69" s="88"/>
      <c r="ACD69" s="88"/>
      <c r="ACE69" s="88"/>
      <c r="ACF69" s="88"/>
      <c r="ACG69" s="88"/>
      <c r="ACH69" s="88"/>
      <c r="ACI69" s="88"/>
      <c r="ACJ69" s="88"/>
      <c r="ACK69" s="88"/>
      <c r="ACL69" s="88"/>
      <c r="ACM69" s="88"/>
      <c r="ACN69" s="88"/>
      <c r="ACO69" s="88"/>
      <c r="ACP69" s="88"/>
      <c r="ACQ69" s="88"/>
      <c r="ACR69" s="88"/>
      <c r="ACS69" s="88"/>
      <c r="ACT69" s="88"/>
      <c r="ACU69" s="88"/>
      <c r="ACV69" s="88"/>
      <c r="ACW69" s="88"/>
      <c r="ACX69" s="88"/>
      <c r="ACY69" s="88"/>
      <c r="ACZ69" s="88"/>
      <c r="ADA69" s="88"/>
      <c r="ADB69" s="88"/>
      <c r="ADC69" s="88"/>
      <c r="ADD69" s="88"/>
      <c r="ADE69" s="88"/>
      <c r="ADF69" s="88"/>
      <c r="ADG69" s="88"/>
      <c r="ADH69" s="88"/>
      <c r="ADI69" s="88"/>
      <c r="ADJ69" s="88"/>
      <c r="ADK69" s="88"/>
      <c r="ADL69" s="88"/>
      <c r="ADM69" s="88"/>
      <c r="ADN69" s="88"/>
      <c r="ADO69" s="88"/>
      <c r="ADP69" s="88"/>
      <c r="ADQ69" s="88"/>
      <c r="ADR69" s="88"/>
      <c r="ADS69" s="88"/>
      <c r="ADT69" s="88"/>
      <c r="ADU69" s="88"/>
      <c r="ADV69" s="88"/>
      <c r="ADW69" s="88"/>
      <c r="ADX69" s="88"/>
      <c r="ADY69" s="88"/>
      <c r="ADZ69" s="88"/>
      <c r="AEA69" s="88"/>
      <c r="AEB69" s="88"/>
      <c r="AEC69" s="88"/>
      <c r="AED69" s="88"/>
      <c r="AEE69" s="88"/>
      <c r="AEF69" s="88"/>
      <c r="AEG69" s="88"/>
      <c r="AEH69" s="88"/>
      <c r="AEI69" s="88"/>
      <c r="AEJ69" s="88"/>
      <c r="AEK69" s="88"/>
      <c r="AEL69" s="88"/>
      <c r="AEM69" s="88"/>
      <c r="AEN69" s="88"/>
      <c r="AEO69" s="88"/>
      <c r="AEP69" s="88"/>
      <c r="AEQ69" s="88"/>
      <c r="AER69" s="88"/>
      <c r="AES69" s="88"/>
      <c r="AET69" s="88"/>
      <c r="AEU69" s="88"/>
      <c r="AEV69" s="88"/>
      <c r="AEW69" s="88"/>
      <c r="AEX69" s="88"/>
      <c r="AEY69" s="88"/>
      <c r="AEZ69" s="88"/>
      <c r="AFA69" s="88"/>
      <c r="AFB69" s="88"/>
      <c r="AFC69" s="88"/>
      <c r="AFD69" s="88"/>
      <c r="AFE69" s="88"/>
      <c r="AFF69" s="88"/>
      <c r="AFG69" s="88"/>
      <c r="AFH69" s="88"/>
      <c r="AFI69" s="88"/>
      <c r="AFJ69" s="88"/>
      <c r="AFK69" s="88"/>
      <c r="AFL69" s="88"/>
      <c r="AFM69" s="88"/>
      <c r="AFN69" s="88"/>
      <c r="AFO69" s="88"/>
      <c r="AFP69" s="88"/>
      <c r="AFQ69" s="88"/>
      <c r="AFR69" s="88"/>
      <c r="AFS69" s="88"/>
      <c r="AFT69" s="88"/>
      <c r="AFU69" s="88"/>
      <c r="AFV69" s="88"/>
      <c r="AFW69" s="88"/>
      <c r="AFX69" s="88"/>
      <c r="AFY69" s="88"/>
      <c r="AFZ69" s="88"/>
      <c r="AGA69" s="88"/>
      <c r="AGB69" s="88"/>
      <c r="AGC69" s="88"/>
      <c r="AGD69" s="88"/>
      <c r="AGE69" s="88"/>
      <c r="AGF69" s="88"/>
      <c r="AGG69" s="88"/>
      <c r="AGH69" s="88"/>
      <c r="AGI69" s="88"/>
      <c r="AGJ69" s="88"/>
      <c r="AGK69" s="88"/>
      <c r="AGL69" s="88"/>
      <c r="AGM69" s="88"/>
      <c r="AGN69" s="88"/>
      <c r="AGO69" s="88"/>
      <c r="AGP69" s="88"/>
      <c r="AGQ69" s="88"/>
      <c r="AGR69" s="88"/>
      <c r="AGS69" s="88"/>
      <c r="AGT69" s="88"/>
      <c r="AGU69" s="88"/>
      <c r="AGV69" s="88"/>
      <c r="AGW69" s="88"/>
      <c r="AGX69" s="88"/>
      <c r="AGY69" s="88"/>
      <c r="AGZ69" s="88"/>
      <c r="AHA69" s="88"/>
      <c r="AHB69" s="88"/>
      <c r="AHC69" s="88"/>
      <c r="AHD69" s="88"/>
      <c r="AHE69" s="88"/>
      <c r="AHF69" s="88"/>
      <c r="AHG69" s="88"/>
      <c r="AHH69" s="88"/>
      <c r="AHI69" s="88"/>
      <c r="AHJ69" s="88"/>
      <c r="AHK69" s="88"/>
      <c r="AHL69" s="88"/>
      <c r="AHM69" s="88"/>
      <c r="AHN69" s="88"/>
      <c r="AHO69" s="88"/>
      <c r="AHP69" s="88"/>
      <c r="AHQ69" s="88"/>
      <c r="AHR69" s="88"/>
      <c r="AHS69" s="88"/>
      <c r="AHT69" s="88"/>
      <c r="AHU69" s="88"/>
      <c r="AHV69" s="88"/>
      <c r="AHW69" s="88"/>
      <c r="AHX69" s="88"/>
      <c r="AHY69" s="88"/>
      <c r="AHZ69" s="88"/>
      <c r="AIA69" s="88"/>
      <c r="AIB69" s="88"/>
      <c r="AIC69" s="88"/>
      <c r="AID69" s="88"/>
      <c r="AIE69" s="88"/>
      <c r="AIF69" s="88"/>
      <c r="AIG69" s="88"/>
      <c r="AIH69" s="88"/>
      <c r="AII69" s="88"/>
      <c r="AIJ69" s="88"/>
      <c r="AIK69" s="88"/>
      <c r="AIL69" s="88"/>
      <c r="AIM69" s="88"/>
      <c r="AIN69" s="88"/>
      <c r="AIO69" s="88"/>
      <c r="AIP69" s="88"/>
      <c r="AIQ69" s="88"/>
      <c r="AIR69" s="88"/>
      <c r="AIS69" s="88"/>
      <c r="AIT69" s="88"/>
      <c r="AIU69" s="88"/>
      <c r="AIV69" s="88"/>
      <c r="AIW69" s="88"/>
      <c r="AIX69" s="88"/>
      <c r="AIY69" s="88"/>
      <c r="AIZ69" s="88"/>
      <c r="AJA69" s="88"/>
      <c r="AJB69" s="88"/>
      <c r="AJC69" s="88"/>
      <c r="AJD69" s="88"/>
      <c r="AJE69" s="88"/>
      <c r="AJF69" s="88"/>
      <c r="AJG69" s="88"/>
      <c r="AJH69" s="88"/>
      <c r="AJI69" s="88"/>
      <c r="AJJ69" s="88"/>
      <c r="AJK69" s="88"/>
      <c r="AJL69" s="88"/>
      <c r="AJM69" s="88"/>
      <c r="AJN69" s="88"/>
      <c r="AJO69" s="88"/>
      <c r="AJP69" s="88"/>
      <c r="AJQ69" s="88"/>
      <c r="AJR69" s="88"/>
      <c r="AJS69" s="88"/>
      <c r="AJT69" s="88"/>
      <c r="AJU69" s="88"/>
      <c r="AJV69" s="88"/>
      <c r="AJW69" s="88"/>
      <c r="AJX69" s="88"/>
      <c r="AJY69" s="88"/>
      <c r="AJZ69" s="88"/>
      <c r="AKA69" s="88"/>
      <c r="AKB69" s="88"/>
      <c r="AKC69" s="88"/>
      <c r="AKD69" s="88"/>
      <c r="AKE69" s="88"/>
      <c r="AKF69" s="88"/>
      <c r="AKG69" s="88"/>
      <c r="AKH69" s="88"/>
      <c r="AKI69" s="88"/>
      <c r="AKJ69" s="88"/>
      <c r="AKK69" s="88"/>
      <c r="AKL69" s="88"/>
      <c r="AKM69" s="88"/>
      <c r="AKN69" s="88"/>
      <c r="AKO69" s="88"/>
      <c r="AKP69" s="88"/>
      <c r="AKQ69" s="88"/>
      <c r="AKR69" s="88"/>
      <c r="AKS69" s="88"/>
      <c r="AKT69" s="88"/>
      <c r="AKU69" s="88"/>
      <c r="AKV69" s="88"/>
      <c r="AKW69" s="88"/>
      <c r="AKX69" s="88"/>
      <c r="AKY69" s="88"/>
      <c r="AKZ69" s="88"/>
      <c r="ALA69" s="88"/>
      <c r="ALB69" s="88"/>
      <c r="ALC69" s="88"/>
      <c r="ALD69" s="88"/>
      <c r="ALE69" s="88"/>
      <c r="ALF69" s="88"/>
      <c r="ALG69" s="88"/>
      <c r="ALH69" s="88"/>
      <c r="ALI69" s="88"/>
      <c r="ALJ69" s="88"/>
      <c r="ALK69" s="88"/>
      <c r="ALL69" s="88"/>
      <c r="ALM69" s="88"/>
      <c r="ALN69" s="88"/>
      <c r="ALO69" s="88"/>
      <c r="ALP69" s="88"/>
      <c r="ALQ69" s="88"/>
      <c r="ALR69" s="88"/>
      <c r="ALS69" s="88"/>
      <c r="ALT69" s="88"/>
      <c r="ALU69" s="88"/>
      <c r="ALV69" s="88"/>
      <c r="ALW69" s="88"/>
      <c r="ALX69" s="88"/>
      <c r="ALY69" s="88"/>
      <c r="ALZ69" s="88"/>
      <c r="AMA69" s="88"/>
      <c r="AMB69" s="88"/>
      <c r="AMC69" s="88"/>
      <c r="AMD69" s="88"/>
      <c r="AME69" s="88"/>
      <c r="AMF69" s="88"/>
      <c r="AMG69" s="88"/>
      <c r="AMH69" s="88"/>
      <c r="AMI69" s="88"/>
      <c r="AMJ69" s="88"/>
      <c r="AMK69" s="88"/>
      <c r="AML69" s="88"/>
      <c r="AMM69" s="88"/>
      <c r="AMN69" s="88"/>
      <c r="AMO69" s="88"/>
      <c r="AMP69" s="88"/>
      <c r="AMQ69" s="88"/>
      <c r="AMR69" s="88"/>
      <c r="AMS69" s="88"/>
      <c r="AMT69" s="88"/>
      <c r="AMU69" s="88"/>
      <c r="AMV69" s="88"/>
      <c r="AMW69" s="88"/>
      <c r="AMX69" s="88"/>
      <c r="AMY69" s="88"/>
      <c r="AMZ69" s="88"/>
      <c r="ANA69" s="88"/>
      <c r="ANB69" s="88"/>
      <c r="ANC69" s="88"/>
      <c r="AND69" s="88"/>
      <c r="ANE69" s="88"/>
      <c r="ANF69" s="88"/>
      <c r="ANG69" s="88"/>
      <c r="ANH69" s="88"/>
      <c r="ANI69" s="88"/>
      <c r="ANJ69" s="88"/>
      <c r="ANK69" s="88"/>
      <c r="ANL69" s="88"/>
      <c r="ANM69" s="88"/>
      <c r="ANN69" s="88"/>
      <c r="ANO69" s="88"/>
      <c r="ANP69" s="88"/>
      <c r="ANQ69" s="88"/>
      <c r="ANR69" s="88"/>
      <c r="ANS69" s="88"/>
      <c r="ANT69" s="88"/>
      <c r="ANU69" s="88"/>
      <c r="ANV69" s="88"/>
      <c r="ANW69" s="88"/>
      <c r="ANX69" s="88"/>
      <c r="ANY69" s="88"/>
      <c r="ANZ69" s="88"/>
      <c r="AOA69" s="88"/>
      <c r="AOB69" s="88"/>
      <c r="AOC69" s="88"/>
      <c r="AOD69" s="88"/>
      <c r="AOE69" s="88"/>
      <c r="AOF69" s="88"/>
      <c r="AOG69" s="88"/>
      <c r="AOH69" s="88"/>
      <c r="AOI69" s="88"/>
      <c r="AOJ69" s="88"/>
      <c r="AOK69" s="88"/>
      <c r="AOL69" s="88"/>
      <c r="AOM69" s="88"/>
      <c r="AON69" s="88"/>
      <c r="AOO69" s="88"/>
      <c r="AOP69" s="88"/>
      <c r="AOQ69" s="88"/>
      <c r="AOR69" s="88"/>
      <c r="AOS69" s="88"/>
      <c r="AOT69" s="88"/>
      <c r="AOU69" s="88"/>
      <c r="AOV69" s="88"/>
      <c r="AOW69" s="88"/>
      <c r="AOX69" s="88"/>
      <c r="AOY69" s="88"/>
      <c r="AOZ69" s="88"/>
      <c r="APA69" s="88"/>
      <c r="APB69" s="88"/>
      <c r="APC69" s="88"/>
      <c r="APD69" s="88"/>
      <c r="APE69" s="88"/>
      <c r="APF69" s="88"/>
      <c r="APG69" s="88"/>
      <c r="APH69" s="88"/>
      <c r="API69" s="88"/>
      <c r="APJ69" s="88"/>
      <c r="APK69" s="88"/>
      <c r="APL69" s="88"/>
      <c r="APM69" s="88"/>
      <c r="APN69" s="88"/>
      <c r="APO69" s="88"/>
      <c r="APP69" s="88"/>
      <c r="APQ69" s="88"/>
      <c r="APR69" s="88"/>
      <c r="APS69" s="88"/>
      <c r="APT69" s="88"/>
      <c r="APU69" s="88"/>
      <c r="APV69" s="88"/>
      <c r="APW69" s="88"/>
      <c r="APX69" s="88"/>
      <c r="APY69" s="88"/>
      <c r="APZ69" s="88"/>
      <c r="AQA69" s="88"/>
      <c r="AQB69" s="88"/>
      <c r="AQC69" s="88"/>
      <c r="AQD69" s="88"/>
      <c r="AQE69" s="88"/>
      <c r="AQF69" s="88"/>
      <c r="AQG69" s="88"/>
      <c r="AQH69" s="88"/>
      <c r="AQI69" s="88"/>
      <c r="AQJ69" s="88"/>
      <c r="AQK69" s="88"/>
      <c r="AQL69" s="88"/>
      <c r="AQM69" s="88"/>
      <c r="AQN69" s="88"/>
      <c r="AQO69" s="88"/>
      <c r="AQP69" s="88"/>
      <c r="AQQ69" s="88"/>
      <c r="AQR69" s="88"/>
      <c r="AQS69" s="88"/>
      <c r="AQT69" s="88"/>
      <c r="AQU69" s="88"/>
      <c r="AQV69" s="88"/>
      <c r="AQW69" s="88"/>
      <c r="AQX69" s="88"/>
      <c r="AQY69" s="88"/>
      <c r="AQZ69" s="88"/>
      <c r="ARA69" s="88"/>
      <c r="ARB69" s="88"/>
      <c r="ARC69" s="88"/>
      <c r="ARD69" s="88"/>
      <c r="ARE69" s="88"/>
      <c r="ARF69" s="88"/>
      <c r="ARG69" s="88"/>
      <c r="ARH69" s="88"/>
      <c r="ARI69" s="88"/>
      <c r="ARJ69" s="88"/>
      <c r="ARK69" s="88"/>
      <c r="ARL69" s="88"/>
      <c r="ARM69" s="88"/>
      <c r="ARN69" s="88"/>
      <c r="ARO69" s="88"/>
      <c r="ARP69" s="88"/>
      <c r="ARQ69" s="88"/>
      <c r="ARR69" s="88"/>
      <c r="ARS69" s="88"/>
      <c r="ART69" s="88"/>
      <c r="ARU69" s="88"/>
      <c r="ARV69" s="88"/>
      <c r="ARW69" s="88"/>
      <c r="ARX69" s="88"/>
      <c r="ARY69" s="88"/>
      <c r="ARZ69" s="88"/>
      <c r="ASA69" s="88"/>
      <c r="ASB69" s="88"/>
      <c r="ASC69" s="88"/>
      <c r="ASD69" s="88"/>
      <c r="ASE69" s="88"/>
      <c r="ASF69" s="88"/>
      <c r="ASG69" s="88"/>
      <c r="ASH69" s="88"/>
      <c r="ASI69" s="88"/>
      <c r="ASJ69" s="88"/>
      <c r="ASK69" s="88"/>
      <c r="ASL69" s="88"/>
      <c r="ASM69" s="88"/>
      <c r="ASN69" s="88"/>
      <c r="ASO69" s="88"/>
      <c r="ASP69" s="88"/>
      <c r="ASQ69" s="88"/>
      <c r="ASR69" s="88"/>
      <c r="ASS69" s="88"/>
      <c r="AST69" s="88"/>
      <c r="ASU69" s="88"/>
      <c r="ASV69" s="88"/>
      <c r="ASW69" s="88"/>
      <c r="ASX69" s="88"/>
      <c r="ASY69" s="88"/>
      <c r="ASZ69" s="88"/>
      <c r="ATA69" s="88"/>
      <c r="ATB69" s="88"/>
      <c r="ATC69" s="88"/>
      <c r="ATD69" s="88"/>
      <c r="ATE69" s="88"/>
      <c r="ATF69" s="88"/>
      <c r="ATG69" s="88"/>
      <c r="ATH69" s="88"/>
      <c r="ATI69" s="88"/>
      <c r="ATJ69" s="88"/>
      <c r="ATK69" s="88"/>
      <c r="ATL69" s="88"/>
      <c r="ATM69" s="88"/>
      <c r="ATN69" s="88"/>
      <c r="ATO69" s="88"/>
      <c r="ATP69" s="88"/>
      <c r="ATQ69" s="88"/>
      <c r="ATR69" s="88"/>
      <c r="ATS69" s="88"/>
      <c r="ATT69" s="88"/>
      <c r="ATU69" s="88"/>
      <c r="ATV69" s="88"/>
      <c r="ATW69" s="88"/>
      <c r="ATX69" s="88"/>
      <c r="ATY69" s="88"/>
      <c r="ATZ69" s="88"/>
      <c r="AUA69" s="88"/>
      <c r="AUB69" s="88"/>
      <c r="AUC69" s="88"/>
      <c r="AUD69" s="88"/>
      <c r="AUE69" s="88"/>
      <c r="AUF69" s="88"/>
      <c r="AUG69" s="88"/>
      <c r="AUH69" s="88"/>
      <c r="AUI69" s="88"/>
      <c r="AUJ69" s="88"/>
      <c r="AUK69" s="88"/>
      <c r="AUL69" s="88"/>
      <c r="AUM69" s="88"/>
      <c r="AUN69" s="88"/>
      <c r="AUO69" s="88"/>
      <c r="AUP69" s="88"/>
      <c r="AUQ69" s="88"/>
      <c r="AUR69" s="88"/>
      <c r="AUS69" s="88"/>
      <c r="AUT69" s="88"/>
      <c r="AUU69" s="88"/>
      <c r="AUV69" s="88"/>
      <c r="AUW69" s="88"/>
      <c r="AUX69" s="88"/>
      <c r="AUY69" s="88"/>
      <c r="AUZ69" s="88"/>
      <c r="AVA69" s="88"/>
      <c r="AVB69" s="88"/>
      <c r="AVC69" s="88"/>
      <c r="AVD69" s="88"/>
      <c r="AVE69" s="88"/>
      <c r="AVF69" s="88"/>
      <c r="AVG69" s="88"/>
      <c r="AVH69" s="88"/>
      <c r="AVI69" s="88"/>
      <c r="AVJ69" s="88"/>
      <c r="AVK69" s="88"/>
      <c r="AVL69" s="88"/>
      <c r="AVM69" s="88"/>
      <c r="AVN69" s="88"/>
      <c r="AVO69" s="88"/>
      <c r="AVP69" s="88"/>
      <c r="AVQ69" s="88"/>
      <c r="AVR69" s="88"/>
      <c r="AVS69" s="88"/>
      <c r="AVT69" s="88"/>
      <c r="AVU69" s="88"/>
      <c r="AVV69" s="88"/>
      <c r="AVW69" s="88"/>
      <c r="AVX69" s="88"/>
      <c r="AVY69" s="88"/>
      <c r="AVZ69" s="88"/>
      <c r="AWA69" s="88"/>
      <c r="AWB69" s="88"/>
      <c r="AWC69" s="88"/>
      <c r="AWD69" s="88"/>
      <c r="AWE69" s="88"/>
      <c r="AWF69" s="88"/>
      <c r="AWG69" s="88"/>
      <c r="AWH69" s="88"/>
      <c r="AWI69" s="88"/>
      <c r="AWJ69" s="88"/>
      <c r="AWK69" s="88"/>
      <c r="AWL69" s="88"/>
      <c r="AWM69" s="88"/>
      <c r="AWN69" s="88"/>
      <c r="AWO69" s="88"/>
      <c r="AWP69" s="88"/>
      <c r="AWQ69" s="88"/>
      <c r="AWR69" s="88"/>
      <c r="AWS69" s="88"/>
      <c r="AWT69" s="88"/>
      <c r="AWU69" s="88"/>
      <c r="AWV69" s="88"/>
      <c r="AWW69" s="88"/>
      <c r="AWX69" s="88"/>
      <c r="AWY69" s="88"/>
      <c r="AWZ69" s="88"/>
      <c r="AXA69" s="88"/>
      <c r="AXB69" s="88"/>
      <c r="AXC69" s="88"/>
      <c r="AXD69" s="88"/>
      <c r="AXE69" s="88"/>
      <c r="AXF69" s="88"/>
      <c r="AXG69" s="88"/>
      <c r="AXH69" s="88"/>
      <c r="AXI69" s="88"/>
      <c r="AXJ69" s="88"/>
      <c r="AXK69" s="88"/>
      <c r="AXL69" s="88"/>
      <c r="AXM69" s="88"/>
      <c r="AXN69" s="88"/>
      <c r="AXO69" s="88"/>
      <c r="AXP69" s="88"/>
      <c r="AXQ69" s="88"/>
      <c r="AXR69" s="88"/>
      <c r="AXS69" s="88"/>
      <c r="AXT69" s="88"/>
      <c r="AXU69" s="88"/>
      <c r="AXV69" s="88"/>
      <c r="AXW69" s="88"/>
      <c r="AXX69" s="88"/>
      <c r="AXY69" s="88"/>
      <c r="AXZ69" s="88"/>
      <c r="AYA69" s="88"/>
      <c r="AYB69" s="88"/>
      <c r="AYC69" s="88"/>
      <c r="AYD69" s="88"/>
      <c r="AYE69" s="88"/>
      <c r="AYF69" s="88"/>
      <c r="AYG69" s="88"/>
      <c r="AYH69" s="88"/>
      <c r="AYI69" s="88"/>
      <c r="AYJ69" s="88"/>
      <c r="AYK69" s="88"/>
      <c r="AYL69" s="88"/>
      <c r="AYM69" s="88"/>
      <c r="AYN69" s="88"/>
      <c r="AYO69" s="88"/>
      <c r="AYP69" s="88"/>
      <c r="AYQ69" s="88"/>
      <c r="AYR69" s="88"/>
      <c r="AYS69" s="88"/>
      <c r="AYT69" s="88"/>
      <c r="AYU69" s="88"/>
      <c r="AYV69" s="88"/>
      <c r="AYW69" s="88"/>
      <c r="AYX69" s="88"/>
      <c r="AYY69" s="88"/>
      <c r="AYZ69" s="88"/>
      <c r="AZA69" s="88"/>
      <c r="AZB69" s="88"/>
      <c r="AZC69" s="88"/>
      <c r="AZD69" s="88"/>
      <c r="AZE69" s="88"/>
      <c r="AZF69" s="88"/>
      <c r="AZG69" s="88"/>
      <c r="AZH69" s="88"/>
      <c r="AZI69" s="88"/>
      <c r="AZJ69" s="88"/>
      <c r="AZK69" s="88"/>
      <c r="AZL69" s="88"/>
      <c r="AZM69" s="88"/>
      <c r="AZN69" s="88"/>
      <c r="AZO69" s="88"/>
      <c r="AZP69" s="88"/>
      <c r="AZQ69" s="88"/>
      <c r="AZR69" s="88"/>
      <c r="AZS69" s="88"/>
      <c r="AZT69" s="88"/>
      <c r="AZU69" s="88"/>
      <c r="AZV69" s="88"/>
      <c r="AZW69" s="88"/>
      <c r="AZX69" s="88"/>
      <c r="AZY69" s="88"/>
      <c r="AZZ69" s="88"/>
      <c r="BAA69" s="88"/>
      <c r="BAB69" s="88"/>
      <c r="BAC69" s="88"/>
      <c r="BAD69" s="88"/>
      <c r="BAE69" s="88"/>
      <c r="BAF69" s="88"/>
      <c r="BAG69" s="88"/>
      <c r="BAH69" s="88"/>
      <c r="BAI69" s="88"/>
      <c r="BAJ69" s="88"/>
      <c r="BAK69" s="88"/>
      <c r="BAL69" s="88"/>
      <c r="BAM69" s="88"/>
      <c r="BAN69" s="88"/>
      <c r="BAO69" s="88"/>
      <c r="BAP69" s="88"/>
      <c r="BAQ69" s="88"/>
      <c r="BAR69" s="88"/>
      <c r="BAS69" s="88"/>
      <c r="BAT69" s="88"/>
      <c r="BAU69" s="88"/>
      <c r="BAV69" s="88"/>
      <c r="BAW69" s="88"/>
      <c r="BAX69" s="88"/>
      <c r="BAY69" s="88"/>
      <c r="BAZ69" s="88"/>
      <c r="BBA69" s="88"/>
      <c r="BBB69" s="88"/>
      <c r="BBC69" s="88"/>
      <c r="BBD69" s="88"/>
      <c r="BBE69" s="88"/>
      <c r="BBF69" s="88"/>
      <c r="BBG69" s="88"/>
      <c r="BBH69" s="88"/>
      <c r="BBI69" s="88"/>
      <c r="BBJ69" s="88"/>
      <c r="BBK69" s="88"/>
      <c r="BBL69" s="88"/>
      <c r="BBM69" s="88"/>
      <c r="BBN69" s="88"/>
      <c r="BBO69" s="88"/>
      <c r="BBP69" s="88"/>
      <c r="BBQ69" s="88"/>
      <c r="BBR69" s="88"/>
      <c r="BBS69" s="88"/>
      <c r="BBT69" s="88"/>
      <c r="BBU69" s="88"/>
      <c r="BBV69" s="88"/>
      <c r="BBW69" s="88"/>
      <c r="BBX69" s="88"/>
      <c r="BBY69" s="88"/>
      <c r="BBZ69" s="88"/>
      <c r="BCA69" s="88"/>
      <c r="BCB69" s="88"/>
      <c r="BCC69" s="88"/>
      <c r="BCD69" s="88"/>
      <c r="BCE69" s="88"/>
      <c r="BCF69" s="88"/>
      <c r="BCG69" s="88"/>
      <c r="BCH69" s="88"/>
      <c r="BCI69" s="88"/>
      <c r="BCJ69" s="88"/>
      <c r="BCK69" s="88"/>
      <c r="BCL69" s="88"/>
      <c r="BCM69" s="88"/>
      <c r="BCN69" s="88"/>
      <c r="BCO69" s="88"/>
      <c r="BCP69" s="88"/>
      <c r="BCQ69" s="88"/>
      <c r="BCR69" s="88"/>
      <c r="BCS69" s="88"/>
      <c r="BCT69" s="88"/>
      <c r="BCU69" s="88"/>
      <c r="BCV69" s="88"/>
      <c r="BCW69" s="88"/>
      <c r="BCX69" s="88"/>
      <c r="BCY69" s="88"/>
      <c r="BCZ69" s="88"/>
      <c r="BDA69" s="88"/>
      <c r="BDB69" s="88"/>
      <c r="BDC69" s="88"/>
      <c r="BDD69" s="88"/>
      <c r="BDE69" s="88"/>
      <c r="BDF69" s="88"/>
      <c r="BDG69" s="88"/>
      <c r="BDH69" s="88"/>
      <c r="BDI69" s="88"/>
      <c r="BDJ69" s="88"/>
      <c r="BDK69" s="88"/>
      <c r="BDL69" s="88"/>
      <c r="BDM69" s="88"/>
      <c r="BDN69" s="88"/>
      <c r="BDO69" s="88"/>
      <c r="BDP69" s="88"/>
      <c r="BDQ69" s="88"/>
      <c r="BDR69" s="88"/>
      <c r="BDS69" s="88"/>
      <c r="BDT69" s="88"/>
      <c r="BDU69" s="88"/>
      <c r="BDV69" s="88"/>
      <c r="BDW69" s="88"/>
      <c r="BDX69" s="88"/>
      <c r="BDY69" s="88"/>
      <c r="BDZ69" s="88"/>
      <c r="BEA69" s="88"/>
      <c r="BEB69" s="88"/>
      <c r="BEC69" s="88"/>
      <c r="BED69" s="88"/>
      <c r="BEE69" s="88"/>
      <c r="BEF69" s="88"/>
      <c r="BEG69" s="88"/>
      <c r="BEH69" s="88"/>
      <c r="BEI69" s="88"/>
      <c r="BEJ69" s="88"/>
      <c r="BEK69" s="88"/>
      <c r="BEL69" s="88"/>
      <c r="BEM69" s="88"/>
      <c r="BEN69" s="88"/>
      <c r="BEO69" s="88"/>
      <c r="BEP69" s="88"/>
      <c r="BEQ69" s="88"/>
      <c r="BER69" s="88"/>
      <c r="BES69" s="88"/>
      <c r="BET69" s="88"/>
      <c r="BEU69" s="88"/>
      <c r="BEV69" s="88"/>
      <c r="BEW69" s="88"/>
      <c r="BEX69" s="88"/>
      <c r="BEY69" s="88"/>
      <c r="BEZ69" s="88"/>
      <c r="BFA69" s="88"/>
      <c r="BFB69" s="88"/>
      <c r="BFC69" s="88"/>
      <c r="BFD69" s="88"/>
      <c r="BFE69" s="88"/>
      <c r="BFF69" s="88"/>
      <c r="BFG69" s="88"/>
      <c r="BFH69" s="88"/>
      <c r="BFI69" s="88"/>
      <c r="BFJ69" s="88"/>
      <c r="BFK69" s="88"/>
      <c r="BFL69" s="88"/>
      <c r="BFM69" s="88"/>
      <c r="BFN69" s="88"/>
      <c r="BFO69" s="88"/>
      <c r="BFP69" s="88"/>
      <c r="BFQ69" s="88"/>
      <c r="BFR69" s="88"/>
      <c r="BFS69" s="88"/>
      <c r="BFT69" s="88"/>
      <c r="BFU69" s="88"/>
      <c r="BFV69" s="88"/>
      <c r="BFW69" s="88"/>
      <c r="BFX69" s="88"/>
      <c r="BFY69" s="88"/>
      <c r="BFZ69" s="88"/>
      <c r="BGA69" s="88"/>
      <c r="BGB69" s="88"/>
      <c r="BGC69" s="88"/>
      <c r="BGD69" s="88"/>
      <c r="BGE69" s="88"/>
      <c r="BGF69" s="88"/>
      <c r="BGG69" s="88"/>
      <c r="BGH69" s="88"/>
      <c r="BGI69" s="88"/>
      <c r="BGJ69" s="88"/>
      <c r="BGK69" s="88"/>
      <c r="BGL69" s="88"/>
      <c r="BGM69" s="88"/>
      <c r="BGN69" s="88"/>
      <c r="BGO69" s="88"/>
      <c r="BGP69" s="88"/>
      <c r="BGQ69" s="88"/>
      <c r="BGR69" s="88"/>
      <c r="BGS69" s="88"/>
      <c r="BGT69" s="88"/>
      <c r="BGU69" s="88"/>
      <c r="BGV69" s="88"/>
      <c r="BGW69" s="88"/>
      <c r="BGX69" s="88"/>
      <c r="BGY69" s="88"/>
      <c r="BGZ69" s="88"/>
      <c r="BHA69" s="88"/>
      <c r="BHB69" s="88"/>
      <c r="BHC69" s="88"/>
      <c r="BHD69" s="88"/>
      <c r="BHE69" s="88"/>
      <c r="BHF69" s="88"/>
      <c r="BHG69" s="88"/>
      <c r="BHH69" s="88"/>
      <c r="BHI69" s="88"/>
      <c r="BHJ69" s="88"/>
      <c r="BHK69" s="88"/>
      <c r="BHL69" s="88"/>
      <c r="BHM69" s="88"/>
      <c r="BHN69" s="88"/>
      <c r="BHO69" s="88"/>
      <c r="BHP69" s="88"/>
      <c r="BHQ69" s="88"/>
      <c r="BHR69" s="88"/>
      <c r="BHS69" s="88"/>
      <c r="BHT69" s="88"/>
      <c r="BHU69" s="88"/>
      <c r="BHV69" s="88"/>
      <c r="BHW69" s="88"/>
      <c r="BHX69" s="88"/>
      <c r="BHY69" s="88"/>
      <c r="BHZ69" s="88"/>
      <c r="BIA69" s="88"/>
      <c r="BIB69" s="88"/>
      <c r="BIC69" s="88"/>
      <c r="BID69" s="88"/>
      <c r="BIE69" s="88"/>
      <c r="BIF69" s="88"/>
      <c r="BIG69" s="88"/>
      <c r="BIH69" s="88"/>
      <c r="BII69" s="88"/>
      <c r="BIJ69" s="88"/>
      <c r="BIK69" s="88"/>
      <c r="BIL69" s="88"/>
      <c r="BIM69" s="88"/>
      <c r="BIN69" s="88"/>
      <c r="BIO69" s="88"/>
      <c r="BIP69" s="88"/>
      <c r="BIQ69" s="88"/>
      <c r="BIR69" s="88"/>
      <c r="BIS69" s="88"/>
      <c r="BIT69" s="88"/>
      <c r="BIU69" s="88"/>
      <c r="BIV69" s="88"/>
      <c r="BIW69" s="88"/>
      <c r="BIX69" s="88"/>
      <c r="BIY69" s="88"/>
      <c r="BIZ69" s="88"/>
      <c r="BJA69" s="88"/>
      <c r="BJB69" s="88"/>
      <c r="BJC69" s="88"/>
      <c r="BJD69" s="88"/>
      <c r="BJE69" s="88"/>
      <c r="BJF69" s="88"/>
      <c r="BJG69" s="88"/>
      <c r="BJH69" s="88"/>
      <c r="BJI69" s="88"/>
      <c r="BJJ69" s="88"/>
      <c r="BJK69" s="88"/>
      <c r="BJL69" s="88"/>
      <c r="BJM69" s="88"/>
      <c r="BJN69" s="88"/>
      <c r="BJO69" s="88"/>
      <c r="BJP69" s="88"/>
      <c r="BJQ69" s="88"/>
      <c r="BJR69" s="88"/>
      <c r="BJS69" s="88"/>
      <c r="BJT69" s="88"/>
      <c r="BJU69" s="88"/>
      <c r="BJV69" s="88"/>
      <c r="BJW69" s="88"/>
      <c r="BJX69" s="88"/>
      <c r="BJY69" s="88"/>
      <c r="BJZ69" s="88"/>
      <c r="BKA69" s="88"/>
      <c r="BKB69" s="88"/>
      <c r="BKC69" s="88"/>
      <c r="BKD69" s="88"/>
      <c r="BKE69" s="88"/>
      <c r="BKF69" s="88"/>
      <c r="BKG69" s="88"/>
      <c r="BKH69" s="88"/>
      <c r="BKI69" s="88"/>
      <c r="BKJ69" s="88"/>
      <c r="BKK69" s="88"/>
      <c r="BKL69" s="88"/>
      <c r="BKM69" s="88"/>
      <c r="BKN69" s="88"/>
      <c r="BKO69" s="88"/>
      <c r="BKP69" s="88"/>
      <c r="BKQ69" s="88"/>
      <c r="BKR69" s="88"/>
      <c r="BKS69" s="88"/>
      <c r="BKT69" s="88"/>
      <c r="BKU69" s="88"/>
      <c r="BKV69" s="88"/>
      <c r="BKW69" s="88"/>
      <c r="BKX69" s="88"/>
      <c r="BKY69" s="88"/>
      <c r="BKZ69" s="88"/>
      <c r="BLA69" s="88"/>
      <c r="BLB69" s="88"/>
      <c r="BLC69" s="88"/>
      <c r="BLD69" s="88"/>
      <c r="BLE69" s="88"/>
      <c r="BLF69" s="88"/>
      <c r="BLG69" s="88"/>
      <c r="BLH69" s="88"/>
      <c r="BLI69" s="88"/>
      <c r="BLJ69" s="88"/>
      <c r="BLK69" s="88"/>
      <c r="BLL69" s="88"/>
      <c r="BLM69" s="88"/>
      <c r="BLN69" s="88"/>
      <c r="BLO69" s="88"/>
      <c r="BLP69" s="88"/>
      <c r="BLQ69" s="88"/>
      <c r="BLR69" s="88"/>
      <c r="BLS69" s="88"/>
      <c r="BLT69" s="88"/>
      <c r="BLU69" s="88"/>
      <c r="BLV69" s="88"/>
      <c r="BLW69" s="88"/>
      <c r="BLX69" s="88"/>
      <c r="BLY69" s="88"/>
      <c r="BLZ69" s="88"/>
      <c r="BMA69" s="88"/>
      <c r="BMB69" s="88"/>
      <c r="BMC69" s="88"/>
      <c r="BMD69" s="88"/>
      <c r="BME69" s="88"/>
      <c r="BMF69" s="88"/>
      <c r="BMG69" s="88"/>
      <c r="BMH69" s="88"/>
      <c r="BMI69" s="88"/>
      <c r="BMJ69" s="88"/>
      <c r="BMK69" s="88"/>
      <c r="BML69" s="88"/>
      <c r="BMM69" s="88"/>
      <c r="BMN69" s="88"/>
      <c r="BMO69" s="88"/>
      <c r="BMP69" s="88"/>
      <c r="BMQ69" s="88"/>
      <c r="BMR69" s="88"/>
      <c r="BMS69" s="88"/>
      <c r="BMT69" s="88"/>
      <c r="BMU69" s="88"/>
      <c r="BMV69" s="88"/>
      <c r="BMW69" s="88"/>
      <c r="BMX69" s="88"/>
      <c r="BMY69" s="88"/>
      <c r="BMZ69" s="88"/>
      <c r="BNA69" s="88"/>
      <c r="BNB69" s="88"/>
      <c r="BNC69" s="88"/>
      <c r="BND69" s="88"/>
      <c r="BNE69" s="88"/>
      <c r="BNF69" s="88"/>
      <c r="BNG69" s="88"/>
      <c r="BNH69" s="88"/>
      <c r="BNI69" s="88"/>
      <c r="BNJ69" s="88"/>
      <c r="BNK69" s="88"/>
      <c r="BNL69" s="88"/>
      <c r="BNM69" s="88"/>
      <c r="BNN69" s="88"/>
      <c r="BNO69" s="88"/>
      <c r="BNP69" s="88"/>
      <c r="BNQ69" s="88"/>
      <c r="BNR69" s="88"/>
      <c r="BNS69" s="88"/>
      <c r="BNT69" s="88"/>
      <c r="BNU69" s="88"/>
      <c r="BNV69" s="88"/>
      <c r="BNW69" s="88"/>
      <c r="BNX69" s="88"/>
      <c r="BNY69" s="88"/>
      <c r="BNZ69" s="88"/>
      <c r="BOA69" s="88"/>
      <c r="BOB69" s="88"/>
      <c r="BOC69" s="88"/>
      <c r="BOD69" s="88"/>
      <c r="BOE69" s="88"/>
      <c r="BOF69" s="88"/>
      <c r="BOG69" s="88"/>
      <c r="BOH69" s="88"/>
      <c r="BOI69" s="88"/>
      <c r="BOJ69" s="88"/>
      <c r="BOK69" s="88"/>
      <c r="BOL69" s="88"/>
      <c r="BOM69" s="88"/>
      <c r="BON69" s="88"/>
      <c r="BOO69" s="88"/>
      <c r="BOP69" s="88"/>
      <c r="BOQ69" s="88"/>
      <c r="BOR69" s="88"/>
      <c r="BOS69" s="88"/>
      <c r="BOT69" s="88"/>
      <c r="BOU69" s="88"/>
      <c r="BOV69" s="88"/>
      <c r="BOW69" s="88"/>
      <c r="BOX69" s="88"/>
      <c r="BOY69" s="88"/>
      <c r="BOZ69" s="88"/>
      <c r="BPA69" s="88"/>
      <c r="BPB69" s="88"/>
      <c r="BPC69" s="88"/>
      <c r="BPD69" s="88"/>
      <c r="BPE69" s="88"/>
      <c r="BPF69" s="88"/>
      <c r="BPG69" s="88"/>
      <c r="BPH69" s="88"/>
      <c r="BPI69" s="88"/>
      <c r="BPJ69" s="88"/>
      <c r="BPK69" s="88"/>
      <c r="BPL69" s="88"/>
      <c r="BPM69" s="88"/>
      <c r="BPN69" s="88"/>
      <c r="BPO69" s="88"/>
      <c r="BPP69" s="88"/>
      <c r="BPQ69" s="88"/>
      <c r="BPR69" s="88"/>
      <c r="BPS69" s="88"/>
      <c r="BPT69" s="88"/>
      <c r="BPU69" s="88"/>
      <c r="BPV69" s="88"/>
      <c r="BPW69" s="88"/>
      <c r="BPX69" s="88"/>
      <c r="BPY69" s="88"/>
      <c r="BPZ69" s="88"/>
      <c r="BQA69" s="88"/>
      <c r="BQB69" s="88"/>
      <c r="BQC69" s="88"/>
      <c r="BQD69" s="88"/>
      <c r="BQE69" s="88"/>
      <c r="BQF69" s="88"/>
      <c r="BQG69" s="88"/>
      <c r="BQH69" s="88"/>
      <c r="BQI69" s="88"/>
      <c r="BQJ69" s="88"/>
      <c r="BQK69" s="88"/>
      <c r="BQL69" s="88"/>
      <c r="BQM69" s="88"/>
      <c r="BQN69" s="88"/>
      <c r="BQO69" s="88"/>
      <c r="BQP69" s="88"/>
      <c r="BQQ69" s="88"/>
      <c r="BQR69" s="88"/>
      <c r="BQS69" s="88"/>
      <c r="BQT69" s="88"/>
      <c r="BQU69" s="88"/>
      <c r="BQV69" s="88"/>
      <c r="BQW69" s="88"/>
      <c r="BQX69" s="88"/>
      <c r="BQY69" s="88"/>
      <c r="BQZ69" s="88"/>
      <c r="BRA69" s="88"/>
      <c r="BRB69" s="88"/>
      <c r="BRC69" s="88"/>
      <c r="BRD69" s="88"/>
      <c r="BRE69" s="88"/>
      <c r="BRF69" s="88"/>
      <c r="BRG69" s="88"/>
      <c r="BRH69" s="88"/>
      <c r="BRI69" s="88"/>
      <c r="BRJ69" s="88"/>
      <c r="BRK69" s="88"/>
      <c r="BRL69" s="88"/>
      <c r="BRM69" s="88"/>
      <c r="BRN69" s="88"/>
      <c r="BRO69" s="88"/>
      <c r="BRP69" s="88"/>
      <c r="BRQ69" s="88"/>
      <c r="BRR69" s="88"/>
      <c r="BRS69" s="88"/>
      <c r="BRT69" s="88"/>
      <c r="BRU69" s="88"/>
      <c r="BRV69" s="88"/>
      <c r="BRW69" s="88"/>
      <c r="BRX69" s="88"/>
      <c r="BRY69" s="88"/>
      <c r="BRZ69" s="88"/>
      <c r="BSA69" s="88"/>
      <c r="BSB69" s="88"/>
      <c r="BSC69" s="88"/>
      <c r="BSD69" s="88"/>
      <c r="BSE69" s="88"/>
      <c r="BSF69" s="88"/>
      <c r="BSG69" s="88"/>
      <c r="BSH69" s="88"/>
      <c r="BSI69" s="88"/>
      <c r="BSJ69" s="88"/>
      <c r="BSK69" s="88"/>
      <c r="BSL69" s="88"/>
      <c r="BSM69" s="88"/>
      <c r="BSN69" s="88"/>
      <c r="BSO69" s="88"/>
      <c r="BSP69" s="88"/>
      <c r="BSQ69" s="88"/>
      <c r="BSR69" s="88"/>
      <c r="BSS69" s="88"/>
      <c r="BST69" s="88"/>
      <c r="BSU69" s="88"/>
      <c r="BSV69" s="88"/>
      <c r="BSW69" s="88"/>
      <c r="BSX69" s="88"/>
      <c r="BSY69" s="88"/>
      <c r="BSZ69" s="88"/>
      <c r="BTA69" s="88"/>
      <c r="BTB69" s="88"/>
      <c r="BTC69" s="88"/>
      <c r="BTD69" s="88"/>
      <c r="BTE69" s="88"/>
      <c r="BTF69" s="88"/>
      <c r="BTG69" s="88"/>
      <c r="BTH69" s="88"/>
      <c r="BTI69" s="88"/>
      <c r="BTJ69" s="88"/>
      <c r="BTK69" s="88"/>
      <c r="BTL69" s="88"/>
      <c r="BTM69" s="88"/>
      <c r="BTN69" s="88"/>
      <c r="BTO69" s="88"/>
      <c r="BTP69" s="88"/>
      <c r="BTQ69" s="88"/>
      <c r="BTR69" s="88"/>
      <c r="BTS69" s="88"/>
      <c r="BTT69" s="88"/>
      <c r="BTU69" s="88"/>
      <c r="BTV69" s="88"/>
      <c r="BTW69" s="88"/>
      <c r="BTX69" s="88"/>
      <c r="BTY69" s="88"/>
      <c r="BTZ69" s="88"/>
      <c r="BUA69" s="88"/>
      <c r="BUB69" s="88"/>
      <c r="BUC69" s="88"/>
      <c r="BUD69" s="88"/>
      <c r="BUE69" s="88"/>
      <c r="BUF69" s="88"/>
      <c r="BUG69" s="88"/>
      <c r="BUH69" s="88"/>
      <c r="BUI69" s="88"/>
      <c r="BUJ69" s="88"/>
      <c r="BUK69" s="88"/>
      <c r="BUL69" s="88"/>
      <c r="BUM69" s="88"/>
      <c r="BUN69" s="88"/>
      <c r="BUO69" s="88"/>
      <c r="BUP69" s="88"/>
      <c r="BUQ69" s="88"/>
      <c r="BUR69" s="88"/>
      <c r="BUS69" s="88"/>
      <c r="BUT69" s="88"/>
      <c r="BUU69" s="88"/>
      <c r="BUV69" s="88"/>
      <c r="BUW69" s="88"/>
      <c r="BUX69" s="88"/>
      <c r="BUY69" s="88"/>
      <c r="BUZ69" s="88"/>
      <c r="BVA69" s="88"/>
      <c r="BVB69" s="88"/>
      <c r="BVC69" s="88"/>
      <c r="BVD69" s="88"/>
      <c r="BVE69" s="88"/>
      <c r="BVF69" s="88"/>
      <c r="BVG69" s="88"/>
      <c r="BVH69" s="88"/>
      <c r="BVI69" s="88"/>
      <c r="BVJ69" s="88"/>
      <c r="BVK69" s="88"/>
      <c r="BVL69" s="88"/>
      <c r="BVM69" s="88"/>
      <c r="BVN69" s="88"/>
      <c r="BVO69" s="88"/>
      <c r="BVP69" s="88"/>
      <c r="BVQ69" s="88"/>
      <c r="BVR69" s="88"/>
      <c r="BVS69" s="88"/>
      <c r="BVT69" s="88"/>
      <c r="BVU69" s="88"/>
      <c r="BVV69" s="88"/>
      <c r="BVW69" s="88"/>
      <c r="BVX69" s="88"/>
      <c r="BVY69" s="88"/>
      <c r="BVZ69" s="88"/>
      <c r="BWA69" s="88"/>
      <c r="BWB69" s="88"/>
      <c r="BWC69" s="88"/>
      <c r="BWD69" s="88"/>
      <c r="BWE69" s="88"/>
      <c r="BWF69" s="88"/>
      <c r="BWG69" s="88"/>
      <c r="BWH69" s="88"/>
      <c r="BWI69" s="88"/>
      <c r="BWJ69" s="88"/>
      <c r="BWK69" s="88"/>
      <c r="BWL69" s="88"/>
      <c r="BWM69" s="88"/>
      <c r="BWN69" s="88"/>
      <c r="BWO69" s="88"/>
      <c r="BWP69" s="88"/>
      <c r="BWQ69" s="88"/>
      <c r="BWR69" s="88"/>
      <c r="BWS69" s="88"/>
      <c r="BWT69" s="88"/>
      <c r="BWU69" s="88"/>
      <c r="BWV69" s="88"/>
      <c r="BWW69" s="88"/>
      <c r="BWX69" s="88"/>
      <c r="BWY69" s="88"/>
      <c r="BWZ69" s="88"/>
      <c r="BXA69" s="88"/>
      <c r="BXB69" s="88"/>
      <c r="BXC69" s="88"/>
      <c r="BXD69" s="88"/>
      <c r="BXE69" s="88"/>
      <c r="BXF69" s="88"/>
      <c r="BXG69" s="88"/>
      <c r="BXH69" s="88"/>
      <c r="BXI69" s="88"/>
      <c r="BXJ69" s="88"/>
      <c r="BXK69" s="88"/>
      <c r="BXL69" s="88"/>
      <c r="BXM69" s="88"/>
      <c r="BXN69" s="88"/>
      <c r="BXO69" s="88"/>
      <c r="BXP69" s="88"/>
      <c r="BXQ69" s="88"/>
      <c r="BXR69" s="88"/>
      <c r="BXS69" s="88"/>
      <c r="BXT69" s="88"/>
      <c r="BXU69" s="88"/>
      <c r="BXV69" s="88"/>
      <c r="BXW69" s="88"/>
      <c r="BXX69" s="88"/>
      <c r="BXY69" s="88"/>
      <c r="BXZ69" s="88"/>
      <c r="BYA69" s="88"/>
      <c r="BYB69" s="88"/>
      <c r="BYC69" s="88"/>
      <c r="BYD69" s="88"/>
      <c r="BYE69" s="88"/>
      <c r="BYF69" s="88"/>
      <c r="BYG69" s="88"/>
      <c r="BYH69" s="88"/>
      <c r="BYI69" s="88"/>
      <c r="BYJ69" s="88"/>
      <c r="BYK69" s="88"/>
      <c r="BYL69" s="88"/>
      <c r="BYM69" s="88"/>
      <c r="BYN69" s="88"/>
      <c r="BYO69" s="88"/>
      <c r="BYP69" s="88"/>
      <c r="BYQ69" s="88"/>
      <c r="BYR69" s="88"/>
      <c r="BYS69" s="88"/>
      <c r="BYT69" s="88"/>
      <c r="BYU69" s="88"/>
      <c r="BYV69" s="88"/>
      <c r="BYW69" s="88"/>
      <c r="BYX69" s="88"/>
      <c r="BYY69" s="88"/>
      <c r="BYZ69" s="88"/>
      <c r="BZA69" s="88"/>
      <c r="BZB69" s="88"/>
      <c r="BZC69" s="88"/>
      <c r="BZD69" s="88"/>
      <c r="BZE69" s="88"/>
      <c r="BZF69" s="88"/>
      <c r="BZG69" s="88"/>
      <c r="BZH69" s="88"/>
      <c r="BZI69" s="88"/>
      <c r="BZJ69" s="88"/>
      <c r="BZK69" s="88"/>
      <c r="BZL69" s="88"/>
      <c r="BZM69" s="88"/>
      <c r="BZN69" s="88"/>
      <c r="BZO69" s="88"/>
      <c r="BZP69" s="88"/>
      <c r="BZQ69" s="88"/>
      <c r="BZR69" s="88"/>
      <c r="BZS69" s="88"/>
      <c r="BZT69" s="88"/>
      <c r="BZU69" s="88"/>
      <c r="BZV69" s="88"/>
      <c r="BZW69" s="88"/>
      <c r="BZX69" s="88"/>
      <c r="BZY69" s="88"/>
      <c r="BZZ69" s="88"/>
      <c r="CAA69" s="88"/>
      <c r="CAB69" s="88"/>
      <c r="CAC69" s="88"/>
      <c r="CAD69" s="88"/>
      <c r="CAE69" s="88"/>
      <c r="CAF69" s="88"/>
      <c r="CAG69" s="88"/>
      <c r="CAH69" s="88"/>
      <c r="CAI69" s="88"/>
      <c r="CAJ69" s="88"/>
      <c r="CAK69" s="88"/>
      <c r="CAL69" s="88"/>
      <c r="CAM69" s="88"/>
      <c r="CAN69" s="88"/>
      <c r="CAO69" s="88"/>
      <c r="CAP69" s="88"/>
      <c r="CAQ69" s="88"/>
      <c r="CAR69" s="88"/>
      <c r="CAS69" s="88"/>
      <c r="CAT69" s="88"/>
      <c r="CAU69" s="88"/>
      <c r="CAV69" s="88"/>
      <c r="CAW69" s="88"/>
      <c r="CAX69" s="88"/>
      <c r="CAY69" s="88"/>
      <c r="CAZ69" s="88"/>
      <c r="CBA69" s="88"/>
      <c r="CBB69" s="88"/>
      <c r="CBC69" s="88"/>
      <c r="CBD69" s="88"/>
      <c r="CBE69" s="88"/>
      <c r="CBF69" s="88"/>
      <c r="CBG69" s="88"/>
      <c r="CBH69" s="88"/>
      <c r="CBI69" s="88"/>
      <c r="CBJ69" s="88"/>
      <c r="CBK69" s="88"/>
      <c r="CBL69" s="88"/>
      <c r="CBM69" s="88"/>
      <c r="CBN69" s="88"/>
      <c r="CBO69" s="88"/>
      <c r="CBP69" s="88"/>
      <c r="CBQ69" s="88"/>
      <c r="CBR69" s="88"/>
      <c r="CBS69" s="88"/>
      <c r="CBT69" s="88"/>
      <c r="CBU69" s="88"/>
      <c r="CBV69" s="88"/>
      <c r="CBW69" s="88"/>
      <c r="CBX69" s="88"/>
      <c r="CBY69" s="88"/>
      <c r="CBZ69" s="88"/>
      <c r="CCA69" s="88"/>
      <c r="CCB69" s="88"/>
      <c r="CCC69" s="88"/>
      <c r="CCD69" s="88"/>
      <c r="CCE69" s="88"/>
      <c r="CCF69" s="88"/>
      <c r="CCG69" s="88"/>
      <c r="CCH69" s="88"/>
      <c r="CCI69" s="88"/>
      <c r="CCJ69" s="88"/>
      <c r="CCK69" s="88"/>
      <c r="CCL69" s="88"/>
      <c r="CCM69" s="88"/>
      <c r="CCN69" s="88"/>
      <c r="CCO69" s="88"/>
      <c r="CCP69" s="88"/>
      <c r="CCQ69" s="88"/>
      <c r="CCR69" s="88"/>
      <c r="CCS69" s="88"/>
      <c r="CCT69" s="88"/>
      <c r="CCU69" s="88"/>
      <c r="CCV69" s="88"/>
      <c r="CCW69" s="88"/>
      <c r="CCX69" s="88"/>
      <c r="CCY69" s="88"/>
      <c r="CCZ69" s="88"/>
      <c r="CDA69" s="88"/>
      <c r="CDB69" s="88"/>
      <c r="CDC69" s="88"/>
      <c r="CDD69" s="88"/>
      <c r="CDE69" s="88"/>
      <c r="CDF69" s="88"/>
      <c r="CDG69" s="88"/>
      <c r="CDH69" s="88"/>
      <c r="CDI69" s="88"/>
      <c r="CDJ69" s="88"/>
      <c r="CDK69" s="88"/>
      <c r="CDL69" s="88"/>
      <c r="CDM69" s="88"/>
      <c r="CDN69" s="88"/>
      <c r="CDO69" s="88"/>
      <c r="CDP69" s="88"/>
      <c r="CDQ69" s="88"/>
      <c r="CDR69" s="88"/>
      <c r="CDS69" s="88"/>
      <c r="CDT69" s="88"/>
      <c r="CDU69" s="88"/>
      <c r="CDV69" s="88"/>
      <c r="CDW69" s="88"/>
      <c r="CDX69" s="88"/>
      <c r="CDY69" s="88"/>
      <c r="CDZ69" s="88"/>
      <c r="CEA69" s="88"/>
      <c r="CEB69" s="88"/>
      <c r="CEC69" s="88"/>
      <c r="CED69" s="88"/>
      <c r="CEE69" s="88"/>
      <c r="CEF69" s="88"/>
      <c r="CEG69" s="88"/>
      <c r="CEH69" s="88"/>
      <c r="CEI69" s="88"/>
      <c r="CEJ69" s="88"/>
      <c r="CEK69" s="88"/>
    </row>
    <row r="70" spans="1:2169" s="51" customFormat="1">
      <c r="A70" s="72" t="s">
        <v>428</v>
      </c>
      <c r="B70" s="70" t="s">
        <v>498</v>
      </c>
      <c r="C70" s="69" t="str">
        <f>IF('page 2'!$O$4="","",IF('page 2'!$O$4=Gestion!A70,1,0))</f>
        <v/>
      </c>
      <c r="D70" s="69" t="str">
        <f>IF('page 2'!$O$5="","",IF('page 2'!$O$5=Gestion!A70,1,0))</f>
        <v/>
      </c>
      <c r="E70" s="69" t="str">
        <f>IF('page 2'!$O$6="","",IF('page 2'!$O$6=Gestion!A70,1,0))</f>
        <v/>
      </c>
      <c r="F70" s="69" t="str">
        <f>IF('page 2'!$O$7="","",IF('page 2'!$O$7=Gestion!A70,1,0))</f>
        <v/>
      </c>
      <c r="G70" s="69" t="str">
        <f>IF('page 2'!$O$8="","",IF('page 2'!$O$8=Gestion!A70,1,0))</f>
        <v/>
      </c>
      <c r="H70" s="69" t="str">
        <f>IF('page 2'!$O$9="","",IF('page 2'!$O$9=Gestion!A70,1,0))</f>
        <v/>
      </c>
      <c r="I70" s="69" t="str">
        <f>IF('page 2'!$O$10="","",IF('page 2'!$O$10=Gestion!A70,1,0))</f>
        <v/>
      </c>
      <c r="J70" s="69" t="str">
        <f>IF('page 2'!$O$11="","",IF('page 2'!$O$11=Gestion!A70,1,0))</f>
        <v/>
      </c>
      <c r="K70" s="69" t="str">
        <f>IF('page 2'!$O$12="","",IF('page 2'!$O$12=Gestion!A70,1,0))</f>
        <v/>
      </c>
      <c r="L70" s="69" t="str">
        <f>IF('page 2'!$O$13="","",IF('page 2'!$O$13=Gestion!A70,1,0))</f>
        <v/>
      </c>
      <c r="M70" s="69" t="str">
        <f>IF('page 2'!$O$14="","",IF('page 2'!$O$14=Gestion!A70,1,0))</f>
        <v/>
      </c>
      <c r="N70" s="69" t="str">
        <f>IF('page 2'!$O$15="","",IF('page 2'!$O$15=Gestion!A70,1,0))</f>
        <v/>
      </c>
      <c r="O70" s="69" t="str">
        <f>IF('page 2'!$O$16="","",IF('page 2'!$O$16=Gestion!A70,1,0))</f>
        <v/>
      </c>
      <c r="P70" s="69" t="str">
        <f>IF('page 2'!$O$17="","",IF('page 2'!$O$17=Gestion!A70,1,0))</f>
        <v/>
      </c>
      <c r="Q70" s="69" t="str">
        <f>IF('page 2'!$O$18="","",IF('page 2'!$O$18=Gestion!A70,1,0))</f>
        <v/>
      </c>
      <c r="R70" s="69" t="str">
        <f>IF('page 2'!$O$19="","",IF('page 2'!$O$19=Gestion!A70,1,0))</f>
        <v/>
      </c>
      <c r="S70" s="69" t="str">
        <f>IF('page 2'!$O$20="","",IF('page 2'!$O$20=Gestion!A70,1,0))</f>
        <v/>
      </c>
      <c r="T70" s="69" t="str">
        <f>IF('page 2'!$O$25="","",IF('page 2'!$O$25=Gestion!A70,1,0))</f>
        <v/>
      </c>
      <c r="U70" s="69" t="str">
        <f>IF('page 2'!$O$26="","",IF('page 2'!$O$26=Gestion!A70,1,0))</f>
        <v/>
      </c>
      <c r="V70" s="69" t="str">
        <f>IF('page 2'!$O$27="","",IF('page 2'!$O$27=Gestion!A70,1,0))</f>
        <v/>
      </c>
      <c r="W70" s="723">
        <f t="shared" si="0"/>
        <v>0</v>
      </c>
      <c r="X70" s="713"/>
      <c r="Y70" s="69"/>
      <c r="Z70" s="69"/>
      <c r="AA70" s="69"/>
      <c r="AB70" s="542"/>
      <c r="AC70" s="542"/>
      <c r="AD70" s="542"/>
      <c r="AE70" s="88"/>
      <c r="AP70" s="130"/>
      <c r="AQ70" s="130"/>
      <c r="AR70" s="130"/>
      <c r="AS70" s="602"/>
      <c r="AT70" s="602"/>
      <c r="AU70" s="602"/>
      <c r="AV70" s="602"/>
      <c r="AW70" s="602"/>
      <c r="AX70" s="602"/>
      <c r="AY70" s="602"/>
      <c r="AZ70" s="602"/>
      <c r="BA70" s="602"/>
      <c r="BB70" s="602"/>
      <c r="BC70" s="602"/>
      <c r="BD70" s="602"/>
      <c r="BE70" s="602"/>
      <c r="BF70" s="602"/>
      <c r="BG70" s="602"/>
      <c r="BH70" s="602"/>
      <c r="BI70" s="602"/>
      <c r="BJ70" s="602"/>
      <c r="BK70" s="602"/>
      <c r="BL70" s="602"/>
      <c r="BM70" s="602"/>
      <c r="BN70" s="602"/>
      <c r="BO70" s="602"/>
      <c r="BP70" s="602"/>
      <c r="BQ70" s="602"/>
      <c r="BR70" s="602"/>
      <c r="BS70" s="602"/>
      <c r="BT70" s="602"/>
      <c r="BU70" s="602"/>
      <c r="BV70" s="602"/>
      <c r="BW70" s="602"/>
      <c r="BX70" s="602"/>
      <c r="BY70" s="602"/>
      <c r="BZ70" s="602"/>
      <c r="CA70" s="602"/>
      <c r="CB70" s="602"/>
      <c r="CC70" s="602"/>
      <c r="CD70" s="602"/>
      <c r="CE70" s="602"/>
      <c r="CF70" s="602"/>
      <c r="CG70" s="602"/>
      <c r="CH70" s="602"/>
      <c r="CI70" s="602"/>
      <c r="CJ70" s="602"/>
      <c r="CK70" s="602"/>
      <c r="CL70" s="602"/>
      <c r="CM70" s="602"/>
      <c r="CN70" s="602"/>
      <c r="CO70" s="602"/>
      <c r="CP70" s="602"/>
      <c r="CQ70" s="602"/>
      <c r="CR70" s="602"/>
      <c r="CS70" s="602"/>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c r="IW70" s="88"/>
      <c r="IX70" s="88"/>
      <c r="IY70" s="88"/>
      <c r="IZ70" s="88"/>
      <c r="JA70" s="88"/>
      <c r="JB70" s="88"/>
      <c r="JC70" s="88"/>
      <c r="JD70" s="88"/>
      <c r="JE70" s="88"/>
      <c r="JF70" s="88"/>
      <c r="JG70" s="88"/>
      <c r="JH70" s="88"/>
      <c r="JI70" s="88"/>
      <c r="JJ70" s="88"/>
      <c r="JK70" s="88"/>
      <c r="JL70" s="88"/>
      <c r="JM70" s="88"/>
      <c r="JN70" s="88"/>
      <c r="JO70" s="88"/>
      <c r="JP70" s="88"/>
      <c r="JQ70" s="88"/>
      <c r="JR70" s="88"/>
      <c r="JS70" s="88"/>
      <c r="JT70" s="88"/>
      <c r="JU70" s="88"/>
      <c r="JV70" s="88"/>
      <c r="JW70" s="88"/>
      <c r="JX70" s="88"/>
      <c r="JY70" s="88"/>
      <c r="JZ70" s="88"/>
      <c r="KA70" s="88"/>
      <c r="KB70" s="88"/>
      <c r="KC70" s="88"/>
      <c r="KD70" s="88"/>
      <c r="KE70" s="88"/>
      <c r="KF70" s="88"/>
      <c r="KG70" s="88"/>
      <c r="KH70" s="88"/>
      <c r="KI70" s="88"/>
      <c r="KJ70" s="88"/>
      <c r="KK70" s="88"/>
      <c r="KL70" s="88"/>
      <c r="KM70" s="88"/>
      <c r="KN70" s="88"/>
      <c r="KO70" s="88"/>
      <c r="KP70" s="88"/>
      <c r="KQ70" s="88"/>
      <c r="KR70" s="88"/>
      <c r="KS70" s="88"/>
      <c r="KT70" s="88"/>
      <c r="KU70" s="88"/>
      <c r="KV70" s="88"/>
      <c r="KW70" s="88"/>
      <c r="KX70" s="88"/>
      <c r="KY70" s="88"/>
      <c r="KZ70" s="88"/>
      <c r="LA70" s="88"/>
      <c r="LB70" s="88"/>
      <c r="LC70" s="88"/>
      <c r="LD70" s="88"/>
      <c r="LE70" s="88"/>
      <c r="LF70" s="88"/>
      <c r="LG70" s="88"/>
      <c r="LH70" s="88"/>
      <c r="LI70" s="88"/>
      <c r="LJ70" s="88"/>
      <c r="LK70" s="88"/>
      <c r="LL70" s="88"/>
      <c r="LM70" s="88"/>
      <c r="LN70" s="88"/>
      <c r="LO70" s="88"/>
      <c r="LP70" s="88"/>
      <c r="LQ70" s="88"/>
      <c r="LR70" s="88"/>
      <c r="LS70" s="88"/>
      <c r="LT70" s="88"/>
      <c r="LU70" s="88"/>
      <c r="LV70" s="88"/>
      <c r="LW70" s="88"/>
      <c r="LX70" s="88"/>
      <c r="LY70" s="88"/>
      <c r="LZ70" s="88"/>
      <c r="MA70" s="88"/>
      <c r="MB70" s="88"/>
      <c r="MC70" s="88"/>
      <c r="MD70" s="88"/>
      <c r="ME70" s="88"/>
      <c r="MF70" s="88"/>
      <c r="MG70" s="88"/>
      <c r="MH70" s="88"/>
      <c r="MI70" s="88"/>
      <c r="MJ70" s="88"/>
      <c r="MK70" s="88"/>
      <c r="ML70" s="88"/>
      <c r="MM70" s="88"/>
      <c r="MN70" s="88"/>
      <c r="MO70" s="88"/>
      <c r="MP70" s="88"/>
      <c r="MQ70" s="88"/>
      <c r="MR70" s="88"/>
      <c r="MS70" s="88"/>
      <c r="MT70" s="88"/>
      <c r="MU70" s="88"/>
      <c r="MV70" s="88"/>
      <c r="MW70" s="88"/>
      <c r="MX70" s="88"/>
      <c r="MY70" s="88"/>
      <c r="MZ70" s="88"/>
      <c r="NA70" s="88"/>
      <c r="NB70" s="88"/>
      <c r="NC70" s="88"/>
      <c r="ND70" s="88"/>
      <c r="NE70" s="88"/>
      <c r="NF70" s="88"/>
      <c r="NG70" s="88"/>
      <c r="NH70" s="88"/>
      <c r="NI70" s="88"/>
      <c r="NJ70" s="88"/>
      <c r="NK70" s="88"/>
      <c r="NL70" s="88"/>
      <c r="NM70" s="88"/>
      <c r="NN70" s="88"/>
      <c r="NO70" s="88"/>
      <c r="NP70" s="88"/>
      <c r="NQ70" s="88"/>
      <c r="NR70" s="88"/>
      <c r="NS70" s="88"/>
      <c r="NT70" s="88"/>
      <c r="NU70" s="88"/>
      <c r="NV70" s="88"/>
      <c r="NW70" s="88"/>
      <c r="NX70" s="88"/>
      <c r="NY70" s="88"/>
      <c r="NZ70" s="88"/>
      <c r="OA70" s="88"/>
      <c r="OB70" s="88"/>
      <c r="OC70" s="88"/>
      <c r="OD70" s="88"/>
      <c r="OE70" s="88"/>
      <c r="OF70" s="88"/>
      <c r="OG70" s="88"/>
      <c r="OH70" s="88"/>
      <c r="OI70" s="88"/>
      <c r="OJ70" s="88"/>
      <c r="OK70" s="88"/>
      <c r="OL70" s="88"/>
      <c r="OM70" s="88"/>
      <c r="ON70" s="88"/>
      <c r="OO70" s="88"/>
      <c r="OP70" s="88"/>
      <c r="OQ70" s="88"/>
      <c r="OR70" s="88"/>
      <c r="OS70" s="88"/>
      <c r="OT70" s="88"/>
      <c r="OU70" s="88"/>
      <c r="OV70" s="88"/>
      <c r="OW70" s="88"/>
      <c r="OX70" s="88"/>
      <c r="OY70" s="88"/>
      <c r="OZ70" s="88"/>
      <c r="PA70" s="88"/>
      <c r="PB70" s="88"/>
      <c r="PC70" s="88"/>
      <c r="PD70" s="88"/>
      <c r="PE70" s="88"/>
      <c r="PF70" s="88"/>
      <c r="PG70" s="88"/>
      <c r="PH70" s="88"/>
      <c r="PI70" s="88"/>
      <c r="PJ70" s="88"/>
      <c r="PK70" s="88"/>
      <c r="PL70" s="88"/>
      <c r="PM70" s="88"/>
      <c r="PN70" s="88"/>
      <c r="PO70" s="88"/>
      <c r="PP70" s="88"/>
      <c r="PQ70" s="88"/>
      <c r="PR70" s="88"/>
      <c r="PS70" s="88"/>
      <c r="PT70" s="88"/>
      <c r="PU70" s="88"/>
      <c r="PV70" s="88"/>
      <c r="PW70" s="88"/>
      <c r="PX70" s="88"/>
      <c r="PY70" s="88"/>
      <c r="PZ70" s="88"/>
      <c r="QA70" s="88"/>
      <c r="QB70" s="88"/>
      <c r="QC70" s="88"/>
      <c r="QD70" s="88"/>
      <c r="QE70" s="88"/>
      <c r="QF70" s="88"/>
      <c r="QG70" s="88"/>
      <c r="QH70" s="88"/>
      <c r="QI70" s="88"/>
      <c r="QJ70" s="88"/>
      <c r="QK70" s="88"/>
      <c r="QL70" s="88"/>
      <c r="QM70" s="88"/>
      <c r="QN70" s="88"/>
      <c r="QO70" s="88"/>
      <c r="QP70" s="88"/>
      <c r="QQ70" s="88"/>
      <c r="QR70" s="88"/>
      <c r="QS70" s="88"/>
      <c r="QT70" s="88"/>
      <c r="QU70" s="88"/>
      <c r="QV70" s="88"/>
      <c r="QW70" s="88"/>
      <c r="QX70" s="88"/>
      <c r="QY70" s="88"/>
      <c r="QZ70" s="88"/>
      <c r="RA70" s="88"/>
      <c r="RB70" s="88"/>
      <c r="RC70" s="88"/>
      <c r="RD70" s="88"/>
      <c r="RE70" s="88"/>
      <c r="RF70" s="88"/>
      <c r="RG70" s="88"/>
      <c r="RH70" s="88"/>
      <c r="RI70" s="88"/>
      <c r="RJ70" s="88"/>
      <c r="RK70" s="88"/>
      <c r="RL70" s="88"/>
      <c r="RM70" s="88"/>
      <c r="RN70" s="88"/>
      <c r="RO70" s="88"/>
      <c r="RP70" s="88"/>
      <c r="RQ70" s="88"/>
      <c r="RR70" s="88"/>
      <c r="RS70" s="88"/>
      <c r="RT70" s="88"/>
      <c r="RU70" s="88"/>
      <c r="RV70" s="88"/>
      <c r="RW70" s="88"/>
      <c r="RX70" s="88"/>
      <c r="RY70" s="88"/>
      <c r="RZ70" s="88"/>
      <c r="SA70" s="88"/>
      <c r="SB70" s="88"/>
      <c r="SC70" s="88"/>
      <c r="SD70" s="88"/>
      <c r="SE70" s="88"/>
      <c r="SF70" s="88"/>
      <c r="SG70" s="88"/>
      <c r="SH70" s="88"/>
      <c r="SI70" s="88"/>
      <c r="SJ70" s="88"/>
      <c r="SK70" s="88"/>
      <c r="SL70" s="88"/>
      <c r="SM70" s="88"/>
      <c r="SN70" s="88"/>
      <c r="SO70" s="88"/>
      <c r="SP70" s="88"/>
      <c r="SQ70" s="88"/>
      <c r="SR70" s="88"/>
      <c r="SS70" s="88"/>
      <c r="ST70" s="88"/>
      <c r="SU70" s="88"/>
      <c r="SV70" s="88"/>
      <c r="SW70" s="88"/>
      <c r="SX70" s="88"/>
      <c r="SY70" s="88"/>
      <c r="SZ70" s="88"/>
      <c r="TA70" s="88"/>
      <c r="TB70" s="88"/>
      <c r="TC70" s="88"/>
      <c r="TD70" s="88"/>
      <c r="TE70" s="88"/>
      <c r="TF70" s="88"/>
      <c r="TG70" s="88"/>
      <c r="TH70" s="88"/>
      <c r="TI70" s="88"/>
      <c r="TJ70" s="88"/>
      <c r="TK70" s="88"/>
      <c r="TL70" s="88"/>
      <c r="TM70" s="88"/>
      <c r="TN70" s="88"/>
      <c r="TO70" s="88"/>
      <c r="TP70" s="88"/>
      <c r="TQ70" s="88"/>
      <c r="TR70" s="88"/>
      <c r="TS70" s="88"/>
      <c r="TT70" s="88"/>
      <c r="TU70" s="88"/>
      <c r="TV70" s="88"/>
      <c r="TW70" s="88"/>
      <c r="TX70" s="88"/>
      <c r="TY70" s="88"/>
      <c r="TZ70" s="88"/>
      <c r="UA70" s="88"/>
      <c r="UB70" s="88"/>
      <c r="UC70" s="88"/>
      <c r="UD70" s="88"/>
      <c r="UE70" s="88"/>
      <c r="UF70" s="88"/>
      <c r="UG70" s="88"/>
      <c r="UH70" s="88"/>
      <c r="UI70" s="88"/>
      <c r="UJ70" s="88"/>
      <c r="UK70" s="88"/>
      <c r="UL70" s="88"/>
      <c r="UM70" s="88"/>
      <c r="UN70" s="88"/>
      <c r="UO70" s="88"/>
      <c r="UP70" s="88"/>
      <c r="UQ70" s="88"/>
      <c r="UR70" s="88"/>
      <c r="US70" s="88"/>
      <c r="UT70" s="88"/>
      <c r="UU70" s="88"/>
      <c r="UV70" s="88"/>
      <c r="UW70" s="88"/>
      <c r="UX70" s="88"/>
      <c r="UY70" s="88"/>
      <c r="UZ70" s="88"/>
      <c r="VA70" s="88"/>
      <c r="VB70" s="88"/>
      <c r="VC70" s="88"/>
      <c r="VD70" s="88"/>
      <c r="VE70" s="88"/>
      <c r="VF70" s="88"/>
      <c r="VG70" s="88"/>
      <c r="VH70" s="88"/>
      <c r="VI70" s="88"/>
      <c r="VJ70" s="88"/>
      <c r="VK70" s="88"/>
      <c r="VL70" s="88"/>
      <c r="VM70" s="88"/>
      <c r="VN70" s="88"/>
      <c r="VO70" s="88"/>
      <c r="VP70" s="88"/>
      <c r="VQ70" s="88"/>
      <c r="VR70" s="88"/>
      <c r="VS70" s="88"/>
      <c r="VT70" s="88"/>
      <c r="VU70" s="88"/>
      <c r="VV70" s="88"/>
      <c r="VW70" s="88"/>
      <c r="VX70" s="88"/>
      <c r="VY70" s="88"/>
      <c r="VZ70" s="88"/>
      <c r="WA70" s="88"/>
      <c r="WB70" s="88"/>
      <c r="WC70" s="88"/>
      <c r="WD70" s="88"/>
      <c r="WE70" s="88"/>
      <c r="WF70" s="88"/>
      <c r="WG70" s="88"/>
      <c r="WH70" s="88"/>
      <c r="WI70" s="88"/>
      <c r="WJ70" s="88"/>
      <c r="WK70" s="88"/>
      <c r="WL70" s="88"/>
      <c r="WM70" s="88"/>
      <c r="WN70" s="88"/>
      <c r="WO70" s="88"/>
      <c r="WP70" s="88"/>
      <c r="WQ70" s="88"/>
      <c r="WR70" s="88"/>
      <c r="WS70" s="88"/>
      <c r="WT70" s="88"/>
      <c r="WU70" s="88"/>
      <c r="WV70" s="88"/>
      <c r="WW70" s="88"/>
      <c r="WX70" s="88"/>
      <c r="WY70" s="88"/>
      <c r="WZ70" s="88"/>
      <c r="XA70" s="88"/>
      <c r="XB70" s="88"/>
      <c r="XC70" s="88"/>
      <c r="XD70" s="88"/>
      <c r="XE70" s="88"/>
      <c r="XF70" s="88"/>
      <c r="XG70" s="88"/>
      <c r="XH70" s="88"/>
      <c r="XI70" s="88"/>
      <c r="XJ70" s="88"/>
      <c r="XK70" s="88"/>
      <c r="XL70" s="88"/>
      <c r="XM70" s="88"/>
      <c r="XN70" s="88"/>
      <c r="XO70" s="88"/>
      <c r="XP70" s="88"/>
      <c r="XQ70" s="88"/>
      <c r="XR70" s="88"/>
      <c r="XS70" s="88"/>
      <c r="XT70" s="88"/>
      <c r="XU70" s="88"/>
      <c r="XV70" s="88"/>
      <c r="XW70" s="88"/>
      <c r="XX70" s="88"/>
      <c r="XY70" s="88"/>
      <c r="XZ70" s="88"/>
      <c r="YA70" s="88"/>
      <c r="YB70" s="88"/>
      <c r="YC70" s="88"/>
      <c r="YD70" s="88"/>
      <c r="YE70" s="88"/>
      <c r="YF70" s="88"/>
      <c r="YG70" s="88"/>
      <c r="YH70" s="88"/>
      <c r="YI70" s="88"/>
      <c r="YJ70" s="88"/>
      <c r="YK70" s="88"/>
      <c r="YL70" s="88"/>
      <c r="YM70" s="88"/>
      <c r="YN70" s="88"/>
      <c r="YO70" s="88"/>
      <c r="YP70" s="88"/>
      <c r="YQ70" s="88"/>
      <c r="YR70" s="88"/>
      <c r="YS70" s="88"/>
      <c r="YT70" s="88"/>
      <c r="YU70" s="88"/>
      <c r="YV70" s="88"/>
      <c r="YW70" s="88"/>
      <c r="YX70" s="88"/>
      <c r="YY70" s="88"/>
      <c r="YZ70" s="88"/>
      <c r="ZA70" s="88"/>
      <c r="ZB70" s="88"/>
      <c r="ZC70" s="88"/>
      <c r="ZD70" s="88"/>
      <c r="ZE70" s="88"/>
      <c r="ZF70" s="88"/>
      <c r="ZG70" s="88"/>
      <c r="ZH70" s="88"/>
      <c r="ZI70" s="88"/>
      <c r="ZJ70" s="88"/>
      <c r="ZK70" s="88"/>
      <c r="ZL70" s="88"/>
      <c r="ZM70" s="88"/>
      <c r="ZN70" s="88"/>
      <c r="ZO70" s="88"/>
      <c r="ZP70" s="88"/>
      <c r="ZQ70" s="88"/>
      <c r="ZR70" s="88"/>
      <c r="ZS70" s="88"/>
      <c r="ZT70" s="88"/>
      <c r="ZU70" s="88"/>
      <c r="ZV70" s="88"/>
      <c r="ZW70" s="88"/>
      <c r="ZX70" s="88"/>
      <c r="ZY70" s="88"/>
      <c r="ZZ70" s="88"/>
      <c r="AAA70" s="88"/>
      <c r="AAB70" s="88"/>
      <c r="AAC70" s="88"/>
      <c r="AAD70" s="88"/>
      <c r="AAE70" s="88"/>
      <c r="AAF70" s="88"/>
      <c r="AAG70" s="88"/>
      <c r="AAH70" s="88"/>
      <c r="AAI70" s="88"/>
      <c r="AAJ70" s="88"/>
      <c r="AAK70" s="88"/>
      <c r="AAL70" s="88"/>
      <c r="AAM70" s="88"/>
      <c r="AAN70" s="88"/>
      <c r="AAO70" s="88"/>
      <c r="AAP70" s="88"/>
      <c r="AAQ70" s="88"/>
      <c r="AAR70" s="88"/>
      <c r="AAS70" s="88"/>
      <c r="AAT70" s="88"/>
      <c r="AAU70" s="88"/>
      <c r="AAV70" s="88"/>
      <c r="AAW70" s="88"/>
      <c r="AAX70" s="88"/>
      <c r="AAY70" s="88"/>
      <c r="AAZ70" s="88"/>
      <c r="ABA70" s="88"/>
      <c r="ABB70" s="88"/>
      <c r="ABC70" s="88"/>
      <c r="ABD70" s="88"/>
      <c r="ABE70" s="88"/>
      <c r="ABF70" s="88"/>
      <c r="ABG70" s="88"/>
      <c r="ABH70" s="88"/>
      <c r="ABI70" s="88"/>
      <c r="ABJ70" s="88"/>
      <c r="ABK70" s="88"/>
      <c r="ABL70" s="88"/>
      <c r="ABM70" s="88"/>
      <c r="ABN70" s="88"/>
      <c r="ABO70" s="88"/>
      <c r="ABP70" s="88"/>
      <c r="ABQ70" s="88"/>
      <c r="ABR70" s="88"/>
      <c r="ABS70" s="88"/>
      <c r="ABT70" s="88"/>
      <c r="ABU70" s="88"/>
      <c r="ABV70" s="88"/>
      <c r="ABW70" s="88"/>
      <c r="ABX70" s="88"/>
      <c r="ABY70" s="88"/>
      <c r="ABZ70" s="88"/>
      <c r="ACA70" s="88"/>
      <c r="ACB70" s="88"/>
      <c r="ACC70" s="88"/>
      <c r="ACD70" s="88"/>
      <c r="ACE70" s="88"/>
      <c r="ACF70" s="88"/>
      <c r="ACG70" s="88"/>
      <c r="ACH70" s="88"/>
      <c r="ACI70" s="88"/>
      <c r="ACJ70" s="88"/>
      <c r="ACK70" s="88"/>
      <c r="ACL70" s="88"/>
      <c r="ACM70" s="88"/>
      <c r="ACN70" s="88"/>
      <c r="ACO70" s="88"/>
      <c r="ACP70" s="88"/>
      <c r="ACQ70" s="88"/>
      <c r="ACR70" s="88"/>
      <c r="ACS70" s="88"/>
      <c r="ACT70" s="88"/>
      <c r="ACU70" s="88"/>
      <c r="ACV70" s="88"/>
      <c r="ACW70" s="88"/>
      <c r="ACX70" s="88"/>
      <c r="ACY70" s="88"/>
      <c r="ACZ70" s="88"/>
      <c r="ADA70" s="88"/>
      <c r="ADB70" s="88"/>
      <c r="ADC70" s="88"/>
      <c r="ADD70" s="88"/>
      <c r="ADE70" s="88"/>
      <c r="ADF70" s="88"/>
      <c r="ADG70" s="88"/>
      <c r="ADH70" s="88"/>
      <c r="ADI70" s="88"/>
      <c r="ADJ70" s="88"/>
      <c r="ADK70" s="88"/>
      <c r="ADL70" s="88"/>
      <c r="ADM70" s="88"/>
      <c r="ADN70" s="88"/>
      <c r="ADO70" s="88"/>
      <c r="ADP70" s="88"/>
      <c r="ADQ70" s="88"/>
      <c r="ADR70" s="88"/>
      <c r="ADS70" s="88"/>
      <c r="ADT70" s="88"/>
      <c r="ADU70" s="88"/>
      <c r="ADV70" s="88"/>
      <c r="ADW70" s="88"/>
      <c r="ADX70" s="88"/>
      <c r="ADY70" s="88"/>
      <c r="ADZ70" s="88"/>
      <c r="AEA70" s="88"/>
      <c r="AEB70" s="88"/>
      <c r="AEC70" s="88"/>
      <c r="AED70" s="88"/>
      <c r="AEE70" s="88"/>
      <c r="AEF70" s="88"/>
      <c r="AEG70" s="88"/>
      <c r="AEH70" s="88"/>
      <c r="AEI70" s="88"/>
      <c r="AEJ70" s="88"/>
      <c r="AEK70" s="88"/>
      <c r="AEL70" s="88"/>
      <c r="AEM70" s="88"/>
      <c r="AEN70" s="88"/>
      <c r="AEO70" s="88"/>
      <c r="AEP70" s="88"/>
      <c r="AEQ70" s="88"/>
      <c r="AER70" s="88"/>
      <c r="AES70" s="88"/>
      <c r="AET70" s="88"/>
      <c r="AEU70" s="88"/>
      <c r="AEV70" s="88"/>
      <c r="AEW70" s="88"/>
      <c r="AEX70" s="88"/>
      <c r="AEY70" s="88"/>
      <c r="AEZ70" s="88"/>
      <c r="AFA70" s="88"/>
      <c r="AFB70" s="88"/>
      <c r="AFC70" s="88"/>
      <c r="AFD70" s="88"/>
      <c r="AFE70" s="88"/>
      <c r="AFF70" s="88"/>
      <c r="AFG70" s="88"/>
      <c r="AFH70" s="88"/>
      <c r="AFI70" s="88"/>
      <c r="AFJ70" s="88"/>
      <c r="AFK70" s="88"/>
      <c r="AFL70" s="88"/>
      <c r="AFM70" s="88"/>
      <c r="AFN70" s="88"/>
      <c r="AFO70" s="88"/>
      <c r="AFP70" s="88"/>
      <c r="AFQ70" s="88"/>
      <c r="AFR70" s="88"/>
      <c r="AFS70" s="88"/>
      <c r="AFT70" s="88"/>
      <c r="AFU70" s="88"/>
      <c r="AFV70" s="88"/>
      <c r="AFW70" s="88"/>
      <c r="AFX70" s="88"/>
      <c r="AFY70" s="88"/>
      <c r="AFZ70" s="88"/>
      <c r="AGA70" s="88"/>
      <c r="AGB70" s="88"/>
      <c r="AGC70" s="88"/>
      <c r="AGD70" s="88"/>
      <c r="AGE70" s="88"/>
      <c r="AGF70" s="88"/>
      <c r="AGG70" s="88"/>
      <c r="AGH70" s="88"/>
      <c r="AGI70" s="88"/>
      <c r="AGJ70" s="88"/>
      <c r="AGK70" s="88"/>
      <c r="AGL70" s="88"/>
      <c r="AGM70" s="88"/>
      <c r="AGN70" s="88"/>
      <c r="AGO70" s="88"/>
      <c r="AGP70" s="88"/>
      <c r="AGQ70" s="88"/>
      <c r="AGR70" s="88"/>
      <c r="AGS70" s="88"/>
      <c r="AGT70" s="88"/>
      <c r="AGU70" s="88"/>
      <c r="AGV70" s="88"/>
      <c r="AGW70" s="88"/>
      <c r="AGX70" s="88"/>
      <c r="AGY70" s="88"/>
      <c r="AGZ70" s="88"/>
      <c r="AHA70" s="88"/>
      <c r="AHB70" s="88"/>
      <c r="AHC70" s="88"/>
      <c r="AHD70" s="88"/>
      <c r="AHE70" s="88"/>
      <c r="AHF70" s="88"/>
      <c r="AHG70" s="88"/>
      <c r="AHH70" s="88"/>
      <c r="AHI70" s="88"/>
      <c r="AHJ70" s="88"/>
      <c r="AHK70" s="88"/>
      <c r="AHL70" s="88"/>
      <c r="AHM70" s="88"/>
      <c r="AHN70" s="88"/>
      <c r="AHO70" s="88"/>
      <c r="AHP70" s="88"/>
      <c r="AHQ70" s="88"/>
      <c r="AHR70" s="88"/>
      <c r="AHS70" s="88"/>
      <c r="AHT70" s="88"/>
      <c r="AHU70" s="88"/>
      <c r="AHV70" s="88"/>
      <c r="AHW70" s="88"/>
      <c r="AHX70" s="88"/>
      <c r="AHY70" s="88"/>
      <c r="AHZ70" s="88"/>
      <c r="AIA70" s="88"/>
      <c r="AIB70" s="88"/>
      <c r="AIC70" s="88"/>
      <c r="AID70" s="88"/>
      <c r="AIE70" s="88"/>
      <c r="AIF70" s="88"/>
      <c r="AIG70" s="88"/>
      <c r="AIH70" s="88"/>
      <c r="AII70" s="88"/>
      <c r="AIJ70" s="88"/>
      <c r="AIK70" s="88"/>
      <c r="AIL70" s="88"/>
      <c r="AIM70" s="88"/>
      <c r="AIN70" s="88"/>
      <c r="AIO70" s="88"/>
      <c r="AIP70" s="88"/>
      <c r="AIQ70" s="88"/>
      <c r="AIR70" s="88"/>
      <c r="AIS70" s="88"/>
      <c r="AIT70" s="88"/>
      <c r="AIU70" s="88"/>
      <c r="AIV70" s="88"/>
      <c r="AIW70" s="88"/>
      <c r="AIX70" s="88"/>
      <c r="AIY70" s="88"/>
      <c r="AIZ70" s="88"/>
      <c r="AJA70" s="88"/>
      <c r="AJB70" s="88"/>
      <c r="AJC70" s="88"/>
      <c r="AJD70" s="88"/>
      <c r="AJE70" s="88"/>
      <c r="AJF70" s="88"/>
      <c r="AJG70" s="88"/>
      <c r="AJH70" s="88"/>
      <c r="AJI70" s="88"/>
      <c r="AJJ70" s="88"/>
      <c r="AJK70" s="88"/>
      <c r="AJL70" s="88"/>
      <c r="AJM70" s="88"/>
      <c r="AJN70" s="88"/>
      <c r="AJO70" s="88"/>
      <c r="AJP70" s="88"/>
      <c r="AJQ70" s="88"/>
      <c r="AJR70" s="88"/>
      <c r="AJS70" s="88"/>
      <c r="AJT70" s="88"/>
      <c r="AJU70" s="88"/>
      <c r="AJV70" s="88"/>
      <c r="AJW70" s="88"/>
      <c r="AJX70" s="88"/>
      <c r="AJY70" s="88"/>
      <c r="AJZ70" s="88"/>
      <c r="AKA70" s="88"/>
      <c r="AKB70" s="88"/>
      <c r="AKC70" s="88"/>
      <c r="AKD70" s="88"/>
      <c r="AKE70" s="88"/>
      <c r="AKF70" s="88"/>
      <c r="AKG70" s="88"/>
      <c r="AKH70" s="88"/>
      <c r="AKI70" s="88"/>
      <c r="AKJ70" s="88"/>
      <c r="AKK70" s="88"/>
      <c r="AKL70" s="88"/>
      <c r="AKM70" s="88"/>
      <c r="AKN70" s="88"/>
      <c r="AKO70" s="88"/>
      <c r="AKP70" s="88"/>
      <c r="AKQ70" s="88"/>
      <c r="AKR70" s="88"/>
      <c r="AKS70" s="88"/>
      <c r="AKT70" s="88"/>
      <c r="AKU70" s="88"/>
      <c r="AKV70" s="88"/>
      <c r="AKW70" s="88"/>
      <c r="AKX70" s="88"/>
      <c r="AKY70" s="88"/>
      <c r="AKZ70" s="88"/>
      <c r="ALA70" s="88"/>
      <c r="ALB70" s="88"/>
      <c r="ALC70" s="88"/>
      <c r="ALD70" s="88"/>
      <c r="ALE70" s="88"/>
      <c r="ALF70" s="88"/>
      <c r="ALG70" s="88"/>
      <c r="ALH70" s="88"/>
      <c r="ALI70" s="88"/>
      <c r="ALJ70" s="88"/>
      <c r="ALK70" s="88"/>
      <c r="ALL70" s="88"/>
      <c r="ALM70" s="88"/>
      <c r="ALN70" s="88"/>
      <c r="ALO70" s="88"/>
      <c r="ALP70" s="88"/>
      <c r="ALQ70" s="88"/>
      <c r="ALR70" s="88"/>
      <c r="ALS70" s="88"/>
      <c r="ALT70" s="88"/>
      <c r="ALU70" s="88"/>
      <c r="ALV70" s="88"/>
      <c r="ALW70" s="88"/>
      <c r="ALX70" s="88"/>
      <c r="ALY70" s="88"/>
      <c r="ALZ70" s="88"/>
      <c r="AMA70" s="88"/>
      <c r="AMB70" s="88"/>
      <c r="AMC70" s="88"/>
      <c r="AMD70" s="88"/>
      <c r="AME70" s="88"/>
      <c r="AMF70" s="88"/>
      <c r="AMG70" s="88"/>
      <c r="AMH70" s="88"/>
      <c r="AMI70" s="88"/>
      <c r="AMJ70" s="88"/>
      <c r="AMK70" s="88"/>
      <c r="AML70" s="88"/>
      <c r="AMM70" s="88"/>
      <c r="AMN70" s="88"/>
      <c r="AMO70" s="88"/>
      <c r="AMP70" s="88"/>
      <c r="AMQ70" s="88"/>
      <c r="AMR70" s="88"/>
      <c r="AMS70" s="88"/>
      <c r="AMT70" s="88"/>
      <c r="AMU70" s="88"/>
      <c r="AMV70" s="88"/>
      <c r="AMW70" s="88"/>
      <c r="AMX70" s="88"/>
      <c r="AMY70" s="88"/>
      <c r="AMZ70" s="88"/>
      <c r="ANA70" s="88"/>
      <c r="ANB70" s="88"/>
      <c r="ANC70" s="88"/>
      <c r="AND70" s="88"/>
      <c r="ANE70" s="88"/>
      <c r="ANF70" s="88"/>
      <c r="ANG70" s="88"/>
      <c r="ANH70" s="88"/>
      <c r="ANI70" s="88"/>
      <c r="ANJ70" s="88"/>
      <c r="ANK70" s="88"/>
      <c r="ANL70" s="88"/>
      <c r="ANM70" s="88"/>
      <c r="ANN70" s="88"/>
      <c r="ANO70" s="88"/>
      <c r="ANP70" s="88"/>
      <c r="ANQ70" s="88"/>
      <c r="ANR70" s="88"/>
      <c r="ANS70" s="88"/>
      <c r="ANT70" s="88"/>
      <c r="ANU70" s="88"/>
      <c r="ANV70" s="88"/>
      <c r="ANW70" s="88"/>
      <c r="ANX70" s="88"/>
      <c r="ANY70" s="88"/>
      <c r="ANZ70" s="88"/>
      <c r="AOA70" s="88"/>
      <c r="AOB70" s="88"/>
      <c r="AOC70" s="88"/>
      <c r="AOD70" s="88"/>
      <c r="AOE70" s="88"/>
      <c r="AOF70" s="88"/>
      <c r="AOG70" s="88"/>
      <c r="AOH70" s="88"/>
      <c r="AOI70" s="88"/>
      <c r="AOJ70" s="88"/>
      <c r="AOK70" s="88"/>
      <c r="AOL70" s="88"/>
      <c r="AOM70" s="88"/>
      <c r="AON70" s="88"/>
      <c r="AOO70" s="88"/>
      <c r="AOP70" s="88"/>
      <c r="AOQ70" s="88"/>
      <c r="AOR70" s="88"/>
      <c r="AOS70" s="88"/>
      <c r="AOT70" s="88"/>
      <c r="AOU70" s="88"/>
      <c r="AOV70" s="88"/>
      <c r="AOW70" s="88"/>
      <c r="AOX70" s="88"/>
      <c r="AOY70" s="88"/>
      <c r="AOZ70" s="88"/>
      <c r="APA70" s="88"/>
      <c r="APB70" s="88"/>
      <c r="APC70" s="88"/>
      <c r="APD70" s="88"/>
      <c r="APE70" s="88"/>
      <c r="APF70" s="88"/>
      <c r="APG70" s="88"/>
      <c r="APH70" s="88"/>
      <c r="API70" s="88"/>
      <c r="APJ70" s="88"/>
      <c r="APK70" s="88"/>
      <c r="APL70" s="88"/>
      <c r="APM70" s="88"/>
      <c r="APN70" s="88"/>
      <c r="APO70" s="88"/>
      <c r="APP70" s="88"/>
      <c r="APQ70" s="88"/>
      <c r="APR70" s="88"/>
      <c r="APS70" s="88"/>
      <c r="APT70" s="88"/>
      <c r="APU70" s="88"/>
      <c r="APV70" s="88"/>
      <c r="APW70" s="88"/>
      <c r="APX70" s="88"/>
      <c r="APY70" s="88"/>
      <c r="APZ70" s="88"/>
      <c r="AQA70" s="88"/>
      <c r="AQB70" s="88"/>
      <c r="AQC70" s="88"/>
      <c r="AQD70" s="88"/>
      <c r="AQE70" s="88"/>
      <c r="AQF70" s="88"/>
      <c r="AQG70" s="88"/>
      <c r="AQH70" s="88"/>
      <c r="AQI70" s="88"/>
      <c r="AQJ70" s="88"/>
      <c r="AQK70" s="88"/>
      <c r="AQL70" s="88"/>
      <c r="AQM70" s="88"/>
      <c r="AQN70" s="88"/>
      <c r="AQO70" s="88"/>
      <c r="AQP70" s="88"/>
      <c r="AQQ70" s="88"/>
      <c r="AQR70" s="88"/>
      <c r="AQS70" s="88"/>
      <c r="AQT70" s="88"/>
      <c r="AQU70" s="88"/>
      <c r="AQV70" s="88"/>
      <c r="AQW70" s="88"/>
      <c r="AQX70" s="88"/>
      <c r="AQY70" s="88"/>
      <c r="AQZ70" s="88"/>
      <c r="ARA70" s="88"/>
      <c r="ARB70" s="88"/>
      <c r="ARC70" s="88"/>
      <c r="ARD70" s="88"/>
      <c r="ARE70" s="88"/>
      <c r="ARF70" s="88"/>
      <c r="ARG70" s="88"/>
      <c r="ARH70" s="88"/>
      <c r="ARI70" s="88"/>
      <c r="ARJ70" s="88"/>
      <c r="ARK70" s="88"/>
      <c r="ARL70" s="88"/>
      <c r="ARM70" s="88"/>
      <c r="ARN70" s="88"/>
      <c r="ARO70" s="88"/>
      <c r="ARP70" s="88"/>
      <c r="ARQ70" s="88"/>
      <c r="ARR70" s="88"/>
      <c r="ARS70" s="88"/>
      <c r="ART70" s="88"/>
      <c r="ARU70" s="88"/>
      <c r="ARV70" s="88"/>
      <c r="ARW70" s="88"/>
      <c r="ARX70" s="88"/>
      <c r="ARY70" s="88"/>
      <c r="ARZ70" s="88"/>
      <c r="ASA70" s="88"/>
      <c r="ASB70" s="88"/>
      <c r="ASC70" s="88"/>
      <c r="ASD70" s="88"/>
      <c r="ASE70" s="88"/>
      <c r="ASF70" s="88"/>
      <c r="ASG70" s="88"/>
      <c r="ASH70" s="88"/>
      <c r="ASI70" s="88"/>
      <c r="ASJ70" s="88"/>
      <c r="ASK70" s="88"/>
      <c r="ASL70" s="88"/>
      <c r="ASM70" s="88"/>
      <c r="ASN70" s="88"/>
      <c r="ASO70" s="88"/>
      <c r="ASP70" s="88"/>
      <c r="ASQ70" s="88"/>
      <c r="ASR70" s="88"/>
      <c r="ASS70" s="88"/>
      <c r="AST70" s="88"/>
      <c r="ASU70" s="88"/>
      <c r="ASV70" s="88"/>
      <c r="ASW70" s="88"/>
      <c r="ASX70" s="88"/>
      <c r="ASY70" s="88"/>
      <c r="ASZ70" s="88"/>
      <c r="ATA70" s="88"/>
      <c r="ATB70" s="88"/>
      <c r="ATC70" s="88"/>
      <c r="ATD70" s="88"/>
      <c r="ATE70" s="88"/>
      <c r="ATF70" s="88"/>
      <c r="ATG70" s="88"/>
      <c r="ATH70" s="88"/>
      <c r="ATI70" s="88"/>
      <c r="ATJ70" s="88"/>
      <c r="ATK70" s="88"/>
      <c r="ATL70" s="88"/>
      <c r="ATM70" s="88"/>
      <c r="ATN70" s="88"/>
      <c r="ATO70" s="88"/>
      <c r="ATP70" s="88"/>
      <c r="ATQ70" s="88"/>
      <c r="ATR70" s="88"/>
      <c r="ATS70" s="88"/>
      <c r="ATT70" s="88"/>
      <c r="ATU70" s="88"/>
      <c r="ATV70" s="88"/>
      <c r="ATW70" s="88"/>
      <c r="ATX70" s="88"/>
      <c r="ATY70" s="88"/>
      <c r="ATZ70" s="88"/>
      <c r="AUA70" s="88"/>
      <c r="AUB70" s="88"/>
      <c r="AUC70" s="88"/>
      <c r="AUD70" s="88"/>
      <c r="AUE70" s="88"/>
      <c r="AUF70" s="88"/>
      <c r="AUG70" s="88"/>
      <c r="AUH70" s="88"/>
      <c r="AUI70" s="88"/>
      <c r="AUJ70" s="88"/>
      <c r="AUK70" s="88"/>
      <c r="AUL70" s="88"/>
      <c r="AUM70" s="88"/>
      <c r="AUN70" s="88"/>
      <c r="AUO70" s="88"/>
      <c r="AUP70" s="88"/>
      <c r="AUQ70" s="88"/>
      <c r="AUR70" s="88"/>
      <c r="AUS70" s="88"/>
      <c r="AUT70" s="88"/>
      <c r="AUU70" s="88"/>
      <c r="AUV70" s="88"/>
      <c r="AUW70" s="88"/>
      <c r="AUX70" s="88"/>
      <c r="AUY70" s="88"/>
      <c r="AUZ70" s="88"/>
      <c r="AVA70" s="88"/>
      <c r="AVB70" s="88"/>
      <c r="AVC70" s="88"/>
      <c r="AVD70" s="88"/>
      <c r="AVE70" s="88"/>
      <c r="AVF70" s="88"/>
      <c r="AVG70" s="88"/>
      <c r="AVH70" s="88"/>
      <c r="AVI70" s="88"/>
      <c r="AVJ70" s="88"/>
      <c r="AVK70" s="88"/>
      <c r="AVL70" s="88"/>
      <c r="AVM70" s="88"/>
      <c r="AVN70" s="88"/>
      <c r="AVO70" s="88"/>
      <c r="AVP70" s="88"/>
      <c r="AVQ70" s="88"/>
      <c r="AVR70" s="88"/>
      <c r="AVS70" s="88"/>
      <c r="AVT70" s="88"/>
      <c r="AVU70" s="88"/>
      <c r="AVV70" s="88"/>
      <c r="AVW70" s="88"/>
      <c r="AVX70" s="88"/>
      <c r="AVY70" s="88"/>
      <c r="AVZ70" s="88"/>
      <c r="AWA70" s="88"/>
      <c r="AWB70" s="88"/>
      <c r="AWC70" s="88"/>
      <c r="AWD70" s="88"/>
      <c r="AWE70" s="88"/>
      <c r="AWF70" s="88"/>
      <c r="AWG70" s="88"/>
      <c r="AWH70" s="88"/>
      <c r="AWI70" s="88"/>
      <c r="AWJ70" s="88"/>
      <c r="AWK70" s="88"/>
      <c r="AWL70" s="88"/>
      <c r="AWM70" s="88"/>
      <c r="AWN70" s="88"/>
      <c r="AWO70" s="88"/>
      <c r="AWP70" s="88"/>
      <c r="AWQ70" s="88"/>
      <c r="AWR70" s="88"/>
      <c r="AWS70" s="88"/>
      <c r="AWT70" s="88"/>
      <c r="AWU70" s="88"/>
      <c r="AWV70" s="88"/>
      <c r="AWW70" s="88"/>
      <c r="AWX70" s="88"/>
      <c r="AWY70" s="88"/>
      <c r="AWZ70" s="88"/>
      <c r="AXA70" s="88"/>
      <c r="AXB70" s="88"/>
      <c r="AXC70" s="88"/>
      <c r="AXD70" s="88"/>
      <c r="AXE70" s="88"/>
      <c r="AXF70" s="88"/>
      <c r="AXG70" s="88"/>
      <c r="AXH70" s="88"/>
      <c r="AXI70" s="88"/>
      <c r="AXJ70" s="88"/>
      <c r="AXK70" s="88"/>
      <c r="AXL70" s="88"/>
      <c r="AXM70" s="88"/>
      <c r="AXN70" s="88"/>
      <c r="AXO70" s="88"/>
      <c r="AXP70" s="88"/>
      <c r="AXQ70" s="88"/>
      <c r="AXR70" s="88"/>
      <c r="AXS70" s="88"/>
      <c r="AXT70" s="88"/>
      <c r="AXU70" s="88"/>
      <c r="AXV70" s="88"/>
      <c r="AXW70" s="88"/>
      <c r="AXX70" s="88"/>
      <c r="AXY70" s="88"/>
      <c r="AXZ70" s="88"/>
      <c r="AYA70" s="88"/>
      <c r="AYB70" s="88"/>
      <c r="AYC70" s="88"/>
      <c r="AYD70" s="88"/>
      <c r="AYE70" s="88"/>
      <c r="AYF70" s="88"/>
      <c r="AYG70" s="88"/>
      <c r="AYH70" s="88"/>
      <c r="AYI70" s="88"/>
      <c r="AYJ70" s="88"/>
      <c r="AYK70" s="88"/>
      <c r="AYL70" s="88"/>
      <c r="AYM70" s="88"/>
      <c r="AYN70" s="88"/>
      <c r="AYO70" s="88"/>
      <c r="AYP70" s="88"/>
      <c r="AYQ70" s="88"/>
      <c r="AYR70" s="88"/>
      <c r="AYS70" s="88"/>
      <c r="AYT70" s="88"/>
      <c r="AYU70" s="88"/>
      <c r="AYV70" s="88"/>
      <c r="AYW70" s="88"/>
      <c r="AYX70" s="88"/>
      <c r="AYY70" s="88"/>
      <c r="AYZ70" s="88"/>
      <c r="AZA70" s="88"/>
      <c r="AZB70" s="88"/>
      <c r="AZC70" s="88"/>
      <c r="AZD70" s="88"/>
      <c r="AZE70" s="88"/>
      <c r="AZF70" s="88"/>
      <c r="AZG70" s="88"/>
      <c r="AZH70" s="88"/>
      <c r="AZI70" s="88"/>
      <c r="AZJ70" s="88"/>
      <c r="AZK70" s="88"/>
      <c r="AZL70" s="88"/>
      <c r="AZM70" s="88"/>
      <c r="AZN70" s="88"/>
      <c r="AZO70" s="88"/>
      <c r="AZP70" s="88"/>
      <c r="AZQ70" s="88"/>
      <c r="AZR70" s="88"/>
      <c r="AZS70" s="88"/>
      <c r="AZT70" s="88"/>
      <c r="AZU70" s="88"/>
      <c r="AZV70" s="88"/>
      <c r="AZW70" s="88"/>
      <c r="AZX70" s="88"/>
      <c r="AZY70" s="88"/>
      <c r="AZZ70" s="88"/>
      <c r="BAA70" s="88"/>
      <c r="BAB70" s="88"/>
      <c r="BAC70" s="88"/>
      <c r="BAD70" s="88"/>
      <c r="BAE70" s="88"/>
      <c r="BAF70" s="88"/>
      <c r="BAG70" s="88"/>
      <c r="BAH70" s="88"/>
      <c r="BAI70" s="88"/>
      <c r="BAJ70" s="88"/>
      <c r="BAK70" s="88"/>
      <c r="BAL70" s="88"/>
      <c r="BAM70" s="88"/>
      <c r="BAN70" s="88"/>
      <c r="BAO70" s="88"/>
      <c r="BAP70" s="88"/>
      <c r="BAQ70" s="88"/>
      <c r="BAR70" s="88"/>
      <c r="BAS70" s="88"/>
      <c r="BAT70" s="88"/>
      <c r="BAU70" s="88"/>
      <c r="BAV70" s="88"/>
      <c r="BAW70" s="88"/>
      <c r="BAX70" s="88"/>
      <c r="BAY70" s="88"/>
      <c r="BAZ70" s="88"/>
      <c r="BBA70" s="88"/>
      <c r="BBB70" s="88"/>
      <c r="BBC70" s="88"/>
      <c r="BBD70" s="88"/>
      <c r="BBE70" s="88"/>
      <c r="BBF70" s="88"/>
      <c r="BBG70" s="88"/>
      <c r="BBH70" s="88"/>
      <c r="BBI70" s="88"/>
      <c r="BBJ70" s="88"/>
      <c r="BBK70" s="88"/>
      <c r="BBL70" s="88"/>
      <c r="BBM70" s="88"/>
      <c r="BBN70" s="88"/>
      <c r="BBO70" s="88"/>
      <c r="BBP70" s="88"/>
      <c r="BBQ70" s="88"/>
      <c r="BBR70" s="88"/>
      <c r="BBS70" s="88"/>
      <c r="BBT70" s="88"/>
      <c r="BBU70" s="88"/>
      <c r="BBV70" s="88"/>
      <c r="BBW70" s="88"/>
      <c r="BBX70" s="88"/>
      <c r="BBY70" s="88"/>
      <c r="BBZ70" s="88"/>
      <c r="BCA70" s="88"/>
      <c r="BCB70" s="88"/>
      <c r="BCC70" s="88"/>
      <c r="BCD70" s="88"/>
      <c r="BCE70" s="88"/>
      <c r="BCF70" s="88"/>
      <c r="BCG70" s="88"/>
      <c r="BCH70" s="88"/>
      <c r="BCI70" s="88"/>
      <c r="BCJ70" s="88"/>
      <c r="BCK70" s="88"/>
      <c r="BCL70" s="88"/>
      <c r="BCM70" s="88"/>
      <c r="BCN70" s="88"/>
      <c r="BCO70" s="88"/>
      <c r="BCP70" s="88"/>
      <c r="BCQ70" s="88"/>
      <c r="BCR70" s="88"/>
      <c r="BCS70" s="88"/>
      <c r="BCT70" s="88"/>
      <c r="BCU70" s="88"/>
      <c r="BCV70" s="88"/>
      <c r="BCW70" s="88"/>
      <c r="BCX70" s="88"/>
      <c r="BCY70" s="88"/>
      <c r="BCZ70" s="88"/>
      <c r="BDA70" s="88"/>
      <c r="BDB70" s="88"/>
      <c r="BDC70" s="88"/>
      <c r="BDD70" s="88"/>
      <c r="BDE70" s="88"/>
      <c r="BDF70" s="88"/>
      <c r="BDG70" s="88"/>
      <c r="BDH70" s="88"/>
      <c r="BDI70" s="88"/>
      <c r="BDJ70" s="88"/>
      <c r="BDK70" s="88"/>
      <c r="BDL70" s="88"/>
      <c r="BDM70" s="88"/>
      <c r="BDN70" s="88"/>
      <c r="BDO70" s="88"/>
      <c r="BDP70" s="88"/>
      <c r="BDQ70" s="88"/>
      <c r="BDR70" s="88"/>
      <c r="BDS70" s="88"/>
      <c r="BDT70" s="88"/>
      <c r="BDU70" s="88"/>
      <c r="BDV70" s="88"/>
      <c r="BDW70" s="88"/>
      <c r="BDX70" s="88"/>
      <c r="BDY70" s="88"/>
      <c r="BDZ70" s="88"/>
      <c r="BEA70" s="88"/>
      <c r="BEB70" s="88"/>
      <c r="BEC70" s="88"/>
      <c r="BED70" s="88"/>
      <c r="BEE70" s="88"/>
      <c r="BEF70" s="88"/>
      <c r="BEG70" s="88"/>
      <c r="BEH70" s="88"/>
      <c r="BEI70" s="88"/>
      <c r="BEJ70" s="88"/>
      <c r="BEK70" s="88"/>
      <c r="BEL70" s="88"/>
      <c r="BEM70" s="88"/>
      <c r="BEN70" s="88"/>
      <c r="BEO70" s="88"/>
      <c r="BEP70" s="88"/>
      <c r="BEQ70" s="88"/>
      <c r="BER70" s="88"/>
      <c r="BES70" s="88"/>
      <c r="BET70" s="88"/>
      <c r="BEU70" s="88"/>
      <c r="BEV70" s="88"/>
      <c r="BEW70" s="88"/>
      <c r="BEX70" s="88"/>
      <c r="BEY70" s="88"/>
      <c r="BEZ70" s="88"/>
      <c r="BFA70" s="88"/>
      <c r="BFB70" s="88"/>
      <c r="BFC70" s="88"/>
      <c r="BFD70" s="88"/>
      <c r="BFE70" s="88"/>
      <c r="BFF70" s="88"/>
      <c r="BFG70" s="88"/>
      <c r="BFH70" s="88"/>
      <c r="BFI70" s="88"/>
      <c r="BFJ70" s="88"/>
      <c r="BFK70" s="88"/>
      <c r="BFL70" s="88"/>
      <c r="BFM70" s="88"/>
      <c r="BFN70" s="88"/>
      <c r="BFO70" s="88"/>
      <c r="BFP70" s="88"/>
      <c r="BFQ70" s="88"/>
      <c r="BFR70" s="88"/>
      <c r="BFS70" s="88"/>
      <c r="BFT70" s="88"/>
      <c r="BFU70" s="88"/>
      <c r="BFV70" s="88"/>
      <c r="BFW70" s="88"/>
      <c r="BFX70" s="88"/>
      <c r="BFY70" s="88"/>
      <c r="BFZ70" s="88"/>
      <c r="BGA70" s="88"/>
      <c r="BGB70" s="88"/>
      <c r="BGC70" s="88"/>
      <c r="BGD70" s="88"/>
      <c r="BGE70" s="88"/>
      <c r="BGF70" s="88"/>
      <c r="BGG70" s="88"/>
      <c r="BGH70" s="88"/>
      <c r="BGI70" s="88"/>
      <c r="BGJ70" s="88"/>
      <c r="BGK70" s="88"/>
      <c r="BGL70" s="88"/>
      <c r="BGM70" s="88"/>
      <c r="BGN70" s="88"/>
      <c r="BGO70" s="88"/>
      <c r="BGP70" s="88"/>
      <c r="BGQ70" s="88"/>
      <c r="BGR70" s="88"/>
      <c r="BGS70" s="88"/>
      <c r="BGT70" s="88"/>
      <c r="BGU70" s="88"/>
      <c r="BGV70" s="88"/>
      <c r="BGW70" s="88"/>
      <c r="BGX70" s="88"/>
      <c r="BGY70" s="88"/>
      <c r="BGZ70" s="88"/>
      <c r="BHA70" s="88"/>
      <c r="BHB70" s="88"/>
      <c r="BHC70" s="88"/>
      <c r="BHD70" s="88"/>
      <c r="BHE70" s="88"/>
      <c r="BHF70" s="88"/>
      <c r="BHG70" s="88"/>
      <c r="BHH70" s="88"/>
      <c r="BHI70" s="88"/>
      <c r="BHJ70" s="88"/>
      <c r="BHK70" s="88"/>
      <c r="BHL70" s="88"/>
      <c r="BHM70" s="88"/>
      <c r="BHN70" s="88"/>
      <c r="BHO70" s="88"/>
      <c r="BHP70" s="88"/>
      <c r="BHQ70" s="88"/>
      <c r="BHR70" s="88"/>
      <c r="BHS70" s="88"/>
      <c r="BHT70" s="88"/>
      <c r="BHU70" s="88"/>
      <c r="BHV70" s="88"/>
      <c r="BHW70" s="88"/>
      <c r="BHX70" s="88"/>
      <c r="BHY70" s="88"/>
      <c r="BHZ70" s="88"/>
      <c r="BIA70" s="88"/>
      <c r="BIB70" s="88"/>
      <c r="BIC70" s="88"/>
      <c r="BID70" s="88"/>
      <c r="BIE70" s="88"/>
      <c r="BIF70" s="88"/>
      <c r="BIG70" s="88"/>
      <c r="BIH70" s="88"/>
      <c r="BII70" s="88"/>
      <c r="BIJ70" s="88"/>
      <c r="BIK70" s="88"/>
      <c r="BIL70" s="88"/>
      <c r="BIM70" s="88"/>
      <c r="BIN70" s="88"/>
      <c r="BIO70" s="88"/>
      <c r="BIP70" s="88"/>
      <c r="BIQ70" s="88"/>
      <c r="BIR70" s="88"/>
      <c r="BIS70" s="88"/>
      <c r="BIT70" s="88"/>
      <c r="BIU70" s="88"/>
      <c r="BIV70" s="88"/>
      <c r="BIW70" s="88"/>
      <c r="BIX70" s="88"/>
      <c r="BIY70" s="88"/>
      <c r="BIZ70" s="88"/>
      <c r="BJA70" s="88"/>
      <c r="BJB70" s="88"/>
      <c r="BJC70" s="88"/>
      <c r="BJD70" s="88"/>
      <c r="BJE70" s="88"/>
      <c r="BJF70" s="88"/>
      <c r="BJG70" s="88"/>
      <c r="BJH70" s="88"/>
      <c r="BJI70" s="88"/>
      <c r="BJJ70" s="88"/>
      <c r="BJK70" s="88"/>
      <c r="BJL70" s="88"/>
      <c r="BJM70" s="88"/>
      <c r="BJN70" s="88"/>
      <c r="BJO70" s="88"/>
      <c r="BJP70" s="88"/>
      <c r="BJQ70" s="88"/>
      <c r="BJR70" s="88"/>
      <c r="BJS70" s="88"/>
      <c r="BJT70" s="88"/>
      <c r="BJU70" s="88"/>
      <c r="BJV70" s="88"/>
      <c r="BJW70" s="88"/>
      <c r="BJX70" s="88"/>
      <c r="BJY70" s="88"/>
      <c r="BJZ70" s="88"/>
      <c r="BKA70" s="88"/>
      <c r="BKB70" s="88"/>
      <c r="BKC70" s="88"/>
      <c r="BKD70" s="88"/>
      <c r="BKE70" s="88"/>
      <c r="BKF70" s="88"/>
      <c r="BKG70" s="88"/>
      <c r="BKH70" s="88"/>
      <c r="BKI70" s="88"/>
      <c r="BKJ70" s="88"/>
      <c r="BKK70" s="88"/>
      <c r="BKL70" s="88"/>
      <c r="BKM70" s="88"/>
      <c r="BKN70" s="88"/>
      <c r="BKO70" s="88"/>
      <c r="BKP70" s="88"/>
      <c r="BKQ70" s="88"/>
      <c r="BKR70" s="88"/>
      <c r="BKS70" s="88"/>
      <c r="BKT70" s="88"/>
      <c r="BKU70" s="88"/>
      <c r="BKV70" s="88"/>
      <c r="BKW70" s="88"/>
      <c r="BKX70" s="88"/>
      <c r="BKY70" s="88"/>
      <c r="BKZ70" s="88"/>
      <c r="BLA70" s="88"/>
      <c r="BLB70" s="88"/>
      <c r="BLC70" s="88"/>
      <c r="BLD70" s="88"/>
      <c r="BLE70" s="88"/>
      <c r="BLF70" s="88"/>
      <c r="BLG70" s="88"/>
      <c r="BLH70" s="88"/>
      <c r="BLI70" s="88"/>
      <c r="BLJ70" s="88"/>
      <c r="BLK70" s="88"/>
      <c r="BLL70" s="88"/>
      <c r="BLM70" s="88"/>
      <c r="BLN70" s="88"/>
      <c r="BLO70" s="88"/>
      <c r="BLP70" s="88"/>
      <c r="BLQ70" s="88"/>
      <c r="BLR70" s="88"/>
      <c r="BLS70" s="88"/>
      <c r="BLT70" s="88"/>
      <c r="BLU70" s="88"/>
      <c r="BLV70" s="88"/>
      <c r="BLW70" s="88"/>
      <c r="BLX70" s="88"/>
      <c r="BLY70" s="88"/>
      <c r="BLZ70" s="88"/>
      <c r="BMA70" s="88"/>
      <c r="BMB70" s="88"/>
      <c r="BMC70" s="88"/>
      <c r="BMD70" s="88"/>
      <c r="BME70" s="88"/>
      <c r="BMF70" s="88"/>
      <c r="BMG70" s="88"/>
      <c r="BMH70" s="88"/>
      <c r="BMI70" s="88"/>
      <c r="BMJ70" s="88"/>
      <c r="BMK70" s="88"/>
      <c r="BML70" s="88"/>
      <c r="BMM70" s="88"/>
      <c r="BMN70" s="88"/>
      <c r="BMO70" s="88"/>
      <c r="BMP70" s="88"/>
      <c r="BMQ70" s="88"/>
      <c r="BMR70" s="88"/>
      <c r="BMS70" s="88"/>
      <c r="BMT70" s="88"/>
      <c r="BMU70" s="88"/>
      <c r="BMV70" s="88"/>
      <c r="BMW70" s="88"/>
      <c r="BMX70" s="88"/>
      <c r="BMY70" s="88"/>
      <c r="BMZ70" s="88"/>
      <c r="BNA70" s="88"/>
      <c r="BNB70" s="88"/>
      <c r="BNC70" s="88"/>
      <c r="BND70" s="88"/>
      <c r="BNE70" s="88"/>
      <c r="BNF70" s="88"/>
      <c r="BNG70" s="88"/>
      <c r="BNH70" s="88"/>
      <c r="BNI70" s="88"/>
      <c r="BNJ70" s="88"/>
      <c r="BNK70" s="88"/>
      <c r="BNL70" s="88"/>
      <c r="BNM70" s="88"/>
      <c r="BNN70" s="88"/>
      <c r="BNO70" s="88"/>
      <c r="BNP70" s="88"/>
      <c r="BNQ70" s="88"/>
      <c r="BNR70" s="88"/>
      <c r="BNS70" s="88"/>
      <c r="BNT70" s="88"/>
      <c r="BNU70" s="88"/>
      <c r="BNV70" s="88"/>
      <c r="BNW70" s="88"/>
      <c r="BNX70" s="88"/>
      <c r="BNY70" s="88"/>
      <c r="BNZ70" s="88"/>
      <c r="BOA70" s="88"/>
      <c r="BOB70" s="88"/>
      <c r="BOC70" s="88"/>
      <c r="BOD70" s="88"/>
      <c r="BOE70" s="88"/>
      <c r="BOF70" s="88"/>
      <c r="BOG70" s="88"/>
      <c r="BOH70" s="88"/>
      <c r="BOI70" s="88"/>
      <c r="BOJ70" s="88"/>
      <c r="BOK70" s="88"/>
      <c r="BOL70" s="88"/>
      <c r="BOM70" s="88"/>
      <c r="BON70" s="88"/>
      <c r="BOO70" s="88"/>
      <c r="BOP70" s="88"/>
      <c r="BOQ70" s="88"/>
      <c r="BOR70" s="88"/>
      <c r="BOS70" s="88"/>
      <c r="BOT70" s="88"/>
      <c r="BOU70" s="88"/>
      <c r="BOV70" s="88"/>
      <c r="BOW70" s="88"/>
      <c r="BOX70" s="88"/>
      <c r="BOY70" s="88"/>
      <c r="BOZ70" s="88"/>
      <c r="BPA70" s="88"/>
      <c r="BPB70" s="88"/>
      <c r="BPC70" s="88"/>
      <c r="BPD70" s="88"/>
      <c r="BPE70" s="88"/>
      <c r="BPF70" s="88"/>
      <c r="BPG70" s="88"/>
      <c r="BPH70" s="88"/>
      <c r="BPI70" s="88"/>
      <c r="BPJ70" s="88"/>
      <c r="BPK70" s="88"/>
      <c r="BPL70" s="88"/>
      <c r="BPM70" s="88"/>
      <c r="BPN70" s="88"/>
      <c r="BPO70" s="88"/>
      <c r="BPP70" s="88"/>
      <c r="BPQ70" s="88"/>
      <c r="BPR70" s="88"/>
      <c r="BPS70" s="88"/>
      <c r="BPT70" s="88"/>
      <c r="BPU70" s="88"/>
      <c r="BPV70" s="88"/>
      <c r="BPW70" s="88"/>
      <c r="BPX70" s="88"/>
      <c r="BPY70" s="88"/>
      <c r="BPZ70" s="88"/>
      <c r="BQA70" s="88"/>
      <c r="BQB70" s="88"/>
      <c r="BQC70" s="88"/>
      <c r="BQD70" s="88"/>
      <c r="BQE70" s="88"/>
      <c r="BQF70" s="88"/>
      <c r="BQG70" s="88"/>
      <c r="BQH70" s="88"/>
      <c r="BQI70" s="88"/>
      <c r="BQJ70" s="88"/>
      <c r="BQK70" s="88"/>
      <c r="BQL70" s="88"/>
      <c r="BQM70" s="88"/>
      <c r="BQN70" s="88"/>
      <c r="BQO70" s="88"/>
      <c r="BQP70" s="88"/>
      <c r="BQQ70" s="88"/>
      <c r="BQR70" s="88"/>
      <c r="BQS70" s="88"/>
      <c r="BQT70" s="88"/>
      <c r="BQU70" s="88"/>
      <c r="BQV70" s="88"/>
      <c r="BQW70" s="88"/>
      <c r="BQX70" s="88"/>
      <c r="BQY70" s="88"/>
      <c r="BQZ70" s="88"/>
      <c r="BRA70" s="88"/>
      <c r="BRB70" s="88"/>
      <c r="BRC70" s="88"/>
      <c r="BRD70" s="88"/>
      <c r="BRE70" s="88"/>
      <c r="BRF70" s="88"/>
      <c r="BRG70" s="88"/>
      <c r="BRH70" s="88"/>
      <c r="BRI70" s="88"/>
      <c r="BRJ70" s="88"/>
      <c r="BRK70" s="88"/>
      <c r="BRL70" s="88"/>
      <c r="BRM70" s="88"/>
      <c r="BRN70" s="88"/>
      <c r="BRO70" s="88"/>
      <c r="BRP70" s="88"/>
      <c r="BRQ70" s="88"/>
      <c r="BRR70" s="88"/>
      <c r="BRS70" s="88"/>
      <c r="BRT70" s="88"/>
      <c r="BRU70" s="88"/>
      <c r="BRV70" s="88"/>
      <c r="BRW70" s="88"/>
      <c r="BRX70" s="88"/>
      <c r="BRY70" s="88"/>
      <c r="BRZ70" s="88"/>
      <c r="BSA70" s="88"/>
      <c r="BSB70" s="88"/>
      <c r="BSC70" s="88"/>
      <c r="BSD70" s="88"/>
      <c r="BSE70" s="88"/>
      <c r="BSF70" s="88"/>
      <c r="BSG70" s="88"/>
      <c r="BSH70" s="88"/>
      <c r="BSI70" s="88"/>
      <c r="BSJ70" s="88"/>
      <c r="BSK70" s="88"/>
      <c r="BSL70" s="88"/>
      <c r="BSM70" s="88"/>
      <c r="BSN70" s="88"/>
      <c r="BSO70" s="88"/>
      <c r="BSP70" s="88"/>
      <c r="BSQ70" s="88"/>
      <c r="BSR70" s="88"/>
      <c r="BSS70" s="88"/>
      <c r="BST70" s="88"/>
      <c r="BSU70" s="88"/>
      <c r="BSV70" s="88"/>
      <c r="BSW70" s="88"/>
      <c r="BSX70" s="88"/>
      <c r="BSY70" s="88"/>
      <c r="BSZ70" s="88"/>
      <c r="BTA70" s="88"/>
      <c r="BTB70" s="88"/>
      <c r="BTC70" s="88"/>
      <c r="BTD70" s="88"/>
      <c r="BTE70" s="88"/>
      <c r="BTF70" s="88"/>
      <c r="BTG70" s="88"/>
      <c r="BTH70" s="88"/>
      <c r="BTI70" s="88"/>
      <c r="BTJ70" s="88"/>
      <c r="BTK70" s="88"/>
      <c r="BTL70" s="88"/>
      <c r="BTM70" s="88"/>
      <c r="BTN70" s="88"/>
      <c r="BTO70" s="88"/>
      <c r="BTP70" s="88"/>
      <c r="BTQ70" s="88"/>
      <c r="BTR70" s="88"/>
      <c r="BTS70" s="88"/>
      <c r="BTT70" s="88"/>
      <c r="BTU70" s="88"/>
      <c r="BTV70" s="88"/>
      <c r="BTW70" s="88"/>
      <c r="BTX70" s="88"/>
      <c r="BTY70" s="88"/>
      <c r="BTZ70" s="88"/>
      <c r="BUA70" s="88"/>
      <c r="BUB70" s="88"/>
      <c r="BUC70" s="88"/>
      <c r="BUD70" s="88"/>
      <c r="BUE70" s="88"/>
      <c r="BUF70" s="88"/>
      <c r="BUG70" s="88"/>
      <c r="BUH70" s="88"/>
      <c r="BUI70" s="88"/>
      <c r="BUJ70" s="88"/>
      <c r="BUK70" s="88"/>
      <c r="BUL70" s="88"/>
      <c r="BUM70" s="88"/>
      <c r="BUN70" s="88"/>
      <c r="BUO70" s="88"/>
      <c r="BUP70" s="88"/>
      <c r="BUQ70" s="88"/>
      <c r="BUR70" s="88"/>
      <c r="BUS70" s="88"/>
      <c r="BUT70" s="88"/>
      <c r="BUU70" s="88"/>
      <c r="BUV70" s="88"/>
      <c r="BUW70" s="88"/>
      <c r="BUX70" s="88"/>
      <c r="BUY70" s="88"/>
      <c r="BUZ70" s="88"/>
      <c r="BVA70" s="88"/>
      <c r="BVB70" s="88"/>
      <c r="BVC70" s="88"/>
      <c r="BVD70" s="88"/>
      <c r="BVE70" s="88"/>
      <c r="BVF70" s="88"/>
      <c r="BVG70" s="88"/>
      <c r="BVH70" s="88"/>
      <c r="BVI70" s="88"/>
      <c r="BVJ70" s="88"/>
      <c r="BVK70" s="88"/>
      <c r="BVL70" s="88"/>
      <c r="BVM70" s="88"/>
      <c r="BVN70" s="88"/>
      <c r="BVO70" s="88"/>
      <c r="BVP70" s="88"/>
      <c r="BVQ70" s="88"/>
      <c r="BVR70" s="88"/>
      <c r="BVS70" s="88"/>
      <c r="BVT70" s="88"/>
      <c r="BVU70" s="88"/>
      <c r="BVV70" s="88"/>
      <c r="BVW70" s="88"/>
      <c r="BVX70" s="88"/>
      <c r="BVY70" s="88"/>
      <c r="BVZ70" s="88"/>
      <c r="BWA70" s="88"/>
      <c r="BWB70" s="88"/>
      <c r="BWC70" s="88"/>
      <c r="BWD70" s="88"/>
      <c r="BWE70" s="88"/>
      <c r="BWF70" s="88"/>
      <c r="BWG70" s="88"/>
      <c r="BWH70" s="88"/>
      <c r="BWI70" s="88"/>
      <c r="BWJ70" s="88"/>
      <c r="BWK70" s="88"/>
      <c r="BWL70" s="88"/>
      <c r="BWM70" s="88"/>
      <c r="BWN70" s="88"/>
      <c r="BWO70" s="88"/>
      <c r="BWP70" s="88"/>
      <c r="BWQ70" s="88"/>
      <c r="BWR70" s="88"/>
      <c r="BWS70" s="88"/>
      <c r="BWT70" s="88"/>
      <c r="BWU70" s="88"/>
      <c r="BWV70" s="88"/>
      <c r="BWW70" s="88"/>
      <c r="BWX70" s="88"/>
      <c r="BWY70" s="88"/>
      <c r="BWZ70" s="88"/>
      <c r="BXA70" s="88"/>
      <c r="BXB70" s="88"/>
      <c r="BXC70" s="88"/>
      <c r="BXD70" s="88"/>
      <c r="BXE70" s="88"/>
      <c r="BXF70" s="88"/>
      <c r="BXG70" s="88"/>
      <c r="BXH70" s="88"/>
      <c r="BXI70" s="88"/>
      <c r="BXJ70" s="88"/>
      <c r="BXK70" s="88"/>
      <c r="BXL70" s="88"/>
      <c r="BXM70" s="88"/>
      <c r="BXN70" s="88"/>
      <c r="BXO70" s="88"/>
      <c r="BXP70" s="88"/>
      <c r="BXQ70" s="88"/>
      <c r="BXR70" s="88"/>
      <c r="BXS70" s="88"/>
      <c r="BXT70" s="88"/>
      <c r="BXU70" s="88"/>
      <c r="BXV70" s="88"/>
      <c r="BXW70" s="88"/>
      <c r="BXX70" s="88"/>
      <c r="BXY70" s="88"/>
      <c r="BXZ70" s="88"/>
      <c r="BYA70" s="88"/>
      <c r="BYB70" s="88"/>
      <c r="BYC70" s="88"/>
      <c r="BYD70" s="88"/>
      <c r="BYE70" s="88"/>
      <c r="BYF70" s="88"/>
      <c r="BYG70" s="88"/>
      <c r="BYH70" s="88"/>
      <c r="BYI70" s="88"/>
      <c r="BYJ70" s="88"/>
      <c r="BYK70" s="88"/>
      <c r="BYL70" s="88"/>
      <c r="BYM70" s="88"/>
      <c r="BYN70" s="88"/>
      <c r="BYO70" s="88"/>
      <c r="BYP70" s="88"/>
      <c r="BYQ70" s="88"/>
      <c r="BYR70" s="88"/>
      <c r="BYS70" s="88"/>
      <c r="BYT70" s="88"/>
      <c r="BYU70" s="88"/>
      <c r="BYV70" s="88"/>
      <c r="BYW70" s="88"/>
      <c r="BYX70" s="88"/>
      <c r="BYY70" s="88"/>
      <c r="BYZ70" s="88"/>
      <c r="BZA70" s="88"/>
      <c r="BZB70" s="88"/>
      <c r="BZC70" s="88"/>
      <c r="BZD70" s="88"/>
      <c r="BZE70" s="88"/>
      <c r="BZF70" s="88"/>
      <c r="BZG70" s="88"/>
      <c r="BZH70" s="88"/>
      <c r="BZI70" s="88"/>
      <c r="BZJ70" s="88"/>
      <c r="BZK70" s="88"/>
      <c r="BZL70" s="88"/>
      <c r="BZM70" s="88"/>
      <c r="BZN70" s="88"/>
      <c r="BZO70" s="88"/>
      <c r="BZP70" s="88"/>
      <c r="BZQ70" s="88"/>
      <c r="BZR70" s="88"/>
      <c r="BZS70" s="88"/>
      <c r="BZT70" s="88"/>
      <c r="BZU70" s="88"/>
      <c r="BZV70" s="88"/>
      <c r="BZW70" s="88"/>
      <c r="BZX70" s="88"/>
      <c r="BZY70" s="88"/>
      <c r="BZZ70" s="88"/>
      <c r="CAA70" s="88"/>
      <c r="CAB70" s="88"/>
      <c r="CAC70" s="88"/>
      <c r="CAD70" s="88"/>
      <c r="CAE70" s="88"/>
      <c r="CAF70" s="88"/>
      <c r="CAG70" s="88"/>
      <c r="CAH70" s="88"/>
      <c r="CAI70" s="88"/>
      <c r="CAJ70" s="88"/>
      <c r="CAK70" s="88"/>
      <c r="CAL70" s="88"/>
      <c r="CAM70" s="88"/>
      <c r="CAN70" s="88"/>
      <c r="CAO70" s="88"/>
      <c r="CAP70" s="88"/>
      <c r="CAQ70" s="88"/>
      <c r="CAR70" s="88"/>
      <c r="CAS70" s="88"/>
      <c r="CAT70" s="88"/>
      <c r="CAU70" s="88"/>
      <c r="CAV70" s="88"/>
      <c r="CAW70" s="88"/>
      <c r="CAX70" s="88"/>
      <c r="CAY70" s="88"/>
      <c r="CAZ70" s="88"/>
      <c r="CBA70" s="88"/>
      <c r="CBB70" s="88"/>
      <c r="CBC70" s="88"/>
      <c r="CBD70" s="88"/>
      <c r="CBE70" s="88"/>
      <c r="CBF70" s="88"/>
      <c r="CBG70" s="88"/>
      <c r="CBH70" s="88"/>
      <c r="CBI70" s="88"/>
      <c r="CBJ70" s="88"/>
      <c r="CBK70" s="88"/>
      <c r="CBL70" s="88"/>
      <c r="CBM70" s="88"/>
      <c r="CBN70" s="88"/>
      <c r="CBO70" s="88"/>
      <c r="CBP70" s="88"/>
      <c r="CBQ70" s="88"/>
      <c r="CBR70" s="88"/>
      <c r="CBS70" s="88"/>
      <c r="CBT70" s="88"/>
      <c r="CBU70" s="88"/>
      <c r="CBV70" s="88"/>
      <c r="CBW70" s="88"/>
      <c r="CBX70" s="88"/>
      <c r="CBY70" s="88"/>
      <c r="CBZ70" s="88"/>
      <c r="CCA70" s="88"/>
      <c r="CCB70" s="88"/>
      <c r="CCC70" s="88"/>
      <c r="CCD70" s="88"/>
      <c r="CCE70" s="88"/>
      <c r="CCF70" s="88"/>
      <c r="CCG70" s="88"/>
      <c r="CCH70" s="88"/>
      <c r="CCI70" s="88"/>
      <c r="CCJ70" s="88"/>
      <c r="CCK70" s="88"/>
      <c r="CCL70" s="88"/>
      <c r="CCM70" s="88"/>
      <c r="CCN70" s="88"/>
      <c r="CCO70" s="88"/>
      <c r="CCP70" s="88"/>
      <c r="CCQ70" s="88"/>
      <c r="CCR70" s="88"/>
      <c r="CCS70" s="88"/>
      <c r="CCT70" s="88"/>
      <c r="CCU70" s="88"/>
      <c r="CCV70" s="88"/>
      <c r="CCW70" s="88"/>
      <c r="CCX70" s="88"/>
      <c r="CCY70" s="88"/>
      <c r="CCZ70" s="88"/>
      <c r="CDA70" s="88"/>
      <c r="CDB70" s="88"/>
      <c r="CDC70" s="88"/>
      <c r="CDD70" s="88"/>
      <c r="CDE70" s="88"/>
      <c r="CDF70" s="88"/>
      <c r="CDG70" s="88"/>
      <c r="CDH70" s="88"/>
      <c r="CDI70" s="88"/>
      <c r="CDJ70" s="88"/>
      <c r="CDK70" s="88"/>
      <c r="CDL70" s="88"/>
      <c r="CDM70" s="88"/>
      <c r="CDN70" s="88"/>
      <c r="CDO70" s="88"/>
      <c r="CDP70" s="88"/>
      <c r="CDQ70" s="88"/>
      <c r="CDR70" s="88"/>
      <c r="CDS70" s="88"/>
      <c r="CDT70" s="88"/>
      <c r="CDU70" s="88"/>
      <c r="CDV70" s="88"/>
      <c r="CDW70" s="88"/>
      <c r="CDX70" s="88"/>
      <c r="CDY70" s="88"/>
      <c r="CDZ70" s="88"/>
      <c r="CEA70" s="88"/>
      <c r="CEB70" s="88"/>
      <c r="CEC70" s="88"/>
      <c r="CED70" s="88"/>
      <c r="CEE70" s="88"/>
      <c r="CEF70" s="88"/>
      <c r="CEG70" s="88"/>
      <c r="CEH70" s="88"/>
      <c r="CEI70" s="88"/>
      <c r="CEJ70" s="88"/>
      <c r="CEK70" s="88"/>
    </row>
    <row r="71" spans="1:2169" s="51" customFormat="1">
      <c r="A71" s="72" t="s">
        <v>429</v>
      </c>
      <c r="B71" s="72" t="s">
        <v>722</v>
      </c>
      <c r="C71" s="69" t="str">
        <f>IF('page 2'!$O$4="","",IF('page 2'!$O$4=Gestion!A71,1,0))</f>
        <v/>
      </c>
      <c r="D71" s="69" t="str">
        <f>IF('page 2'!$O$5="","",IF('page 2'!$O$5=Gestion!A71,1,0))</f>
        <v/>
      </c>
      <c r="E71" s="69" t="str">
        <f>IF('page 2'!$O$6="","",IF('page 2'!$O$6=Gestion!A71,1,0))</f>
        <v/>
      </c>
      <c r="F71" s="69" t="str">
        <f>IF('page 2'!$O$7="","",IF('page 2'!$O$7=Gestion!A71,1,0))</f>
        <v/>
      </c>
      <c r="G71" s="69" t="str">
        <f>IF('page 2'!$O$8="","",IF('page 2'!$O$8=Gestion!A71,1,0))</f>
        <v/>
      </c>
      <c r="H71" s="69" t="str">
        <f>IF('page 2'!$O$9="","",IF('page 2'!$O$9=Gestion!A71,1,0))</f>
        <v/>
      </c>
      <c r="I71" s="69" t="str">
        <f>IF('page 2'!$O$10="","",IF('page 2'!$O$10=Gestion!A71,1,0))</f>
        <v/>
      </c>
      <c r="J71" s="69" t="str">
        <f>IF('page 2'!$O$11="","",IF('page 2'!$O$11=Gestion!A71,1,0))</f>
        <v/>
      </c>
      <c r="K71" s="69" t="str">
        <f>IF('page 2'!$O$12="","",IF('page 2'!$O$12=Gestion!A71,1,0))</f>
        <v/>
      </c>
      <c r="L71" s="69" t="str">
        <f>IF('page 2'!$O$13="","",IF('page 2'!$O$13=Gestion!A71,1,0))</f>
        <v/>
      </c>
      <c r="M71" s="69" t="str">
        <f>IF('page 2'!$O$14="","",IF('page 2'!$O$14=Gestion!A71,1,0))</f>
        <v/>
      </c>
      <c r="N71" s="69" t="str">
        <f>IF('page 2'!$O$15="","",IF('page 2'!$O$15=Gestion!A71,1,0))</f>
        <v/>
      </c>
      <c r="O71" s="69" t="str">
        <f>IF('page 2'!$O$16="","",IF('page 2'!$O$16=Gestion!A71,1,0))</f>
        <v/>
      </c>
      <c r="P71" s="69" t="str">
        <f>IF('page 2'!$O$17="","",IF('page 2'!$O$17=Gestion!A71,1,0))</f>
        <v/>
      </c>
      <c r="Q71" s="69" t="str">
        <f>IF('page 2'!$O$18="","",IF('page 2'!$O$18=Gestion!A71,1,0))</f>
        <v/>
      </c>
      <c r="R71" s="69" t="str">
        <f>IF('page 2'!$O$19="","",IF('page 2'!$O$19=Gestion!A71,1,0))</f>
        <v/>
      </c>
      <c r="S71" s="69" t="str">
        <f>IF('page 2'!$O$20="","",IF('page 2'!$O$20=Gestion!A71,1,0))</f>
        <v/>
      </c>
      <c r="T71" s="69" t="str">
        <f>IF('page 2'!$O$25="","",IF('page 2'!$O$25=Gestion!A71,1,0))</f>
        <v/>
      </c>
      <c r="U71" s="69" t="str">
        <f>IF('page 2'!$O$26="","",IF('page 2'!$O$26=Gestion!A71,1,0))</f>
        <v/>
      </c>
      <c r="V71" s="69" t="str">
        <f>IF('page 2'!$O$27="","",IF('page 2'!$O$27=Gestion!A71,1,0))</f>
        <v/>
      </c>
      <c r="W71" s="723">
        <f t="shared" si="0"/>
        <v>0</v>
      </c>
      <c r="X71" s="713"/>
      <c r="Y71" s="69"/>
      <c r="Z71" s="69"/>
      <c r="AA71" s="69"/>
      <c r="AB71" s="542"/>
      <c r="AC71" s="542"/>
      <c r="AD71" s="542"/>
      <c r="AE71" s="88"/>
      <c r="AP71" s="130"/>
      <c r="AQ71" s="130"/>
      <c r="AR71" s="130"/>
      <c r="AS71" s="576"/>
      <c r="AT71" s="576"/>
      <c r="AU71" s="576"/>
      <c r="AV71" s="576"/>
      <c r="AW71" s="602"/>
      <c r="AX71" s="602"/>
      <c r="AY71" s="576"/>
      <c r="AZ71" s="576"/>
      <c r="BA71" s="576"/>
      <c r="BB71" s="576"/>
      <c r="BC71" s="576"/>
      <c r="BD71" s="602"/>
      <c r="BE71" s="602"/>
      <c r="BF71" s="602"/>
      <c r="BG71" s="602"/>
      <c r="BH71" s="602"/>
      <c r="BI71" s="602"/>
      <c r="BJ71" s="602"/>
      <c r="BK71" s="602"/>
      <c r="BL71" s="602"/>
      <c r="BM71" s="602"/>
      <c r="BN71" s="602"/>
      <c r="BO71" s="602"/>
      <c r="BP71" s="602"/>
      <c r="BQ71" s="602"/>
      <c r="BR71" s="602"/>
      <c r="BS71" s="576"/>
      <c r="BT71" s="576"/>
      <c r="BU71" s="576"/>
      <c r="BV71" s="576"/>
      <c r="BW71" s="602"/>
      <c r="BX71" s="602"/>
      <c r="BY71" s="602"/>
      <c r="BZ71" s="576"/>
      <c r="CA71" s="602"/>
      <c r="CB71" s="602"/>
      <c r="CC71" s="576"/>
      <c r="CD71" s="576"/>
      <c r="CE71" s="602"/>
      <c r="CF71" s="576"/>
      <c r="CG71" s="576"/>
      <c r="CH71" s="576"/>
      <c r="CI71" s="576"/>
      <c r="CJ71" s="576"/>
      <c r="CK71" s="602"/>
      <c r="CL71" s="602"/>
      <c r="CM71" s="576"/>
      <c r="CN71" s="602"/>
      <c r="CO71" s="602"/>
      <c r="CP71" s="602"/>
      <c r="CQ71" s="576"/>
      <c r="CR71" s="576"/>
      <c r="CS71" s="602"/>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8"/>
      <c r="IP71" s="88"/>
      <c r="IQ71" s="88"/>
      <c r="IR71" s="88"/>
      <c r="IS71" s="88"/>
      <c r="IT71" s="88"/>
      <c r="IU71" s="88"/>
      <c r="IV71" s="88"/>
      <c r="IW71" s="88"/>
      <c r="IX71" s="88"/>
      <c r="IY71" s="88"/>
      <c r="IZ71" s="88"/>
      <c r="JA71" s="88"/>
      <c r="JB71" s="88"/>
      <c r="JC71" s="88"/>
      <c r="JD71" s="88"/>
      <c r="JE71" s="88"/>
      <c r="JF71" s="88"/>
      <c r="JG71" s="88"/>
      <c r="JH71" s="88"/>
      <c r="JI71" s="88"/>
      <c r="JJ71" s="88"/>
      <c r="JK71" s="88"/>
      <c r="JL71" s="88"/>
      <c r="JM71" s="88"/>
      <c r="JN71" s="88"/>
      <c r="JO71" s="88"/>
      <c r="JP71" s="88"/>
      <c r="JQ71" s="88"/>
      <c r="JR71" s="88"/>
      <c r="JS71" s="88"/>
      <c r="JT71" s="88"/>
      <c r="JU71" s="88"/>
      <c r="JV71" s="88"/>
      <c r="JW71" s="88"/>
      <c r="JX71" s="88"/>
      <c r="JY71" s="88"/>
      <c r="JZ71" s="88"/>
      <c r="KA71" s="88"/>
      <c r="KB71" s="88"/>
      <c r="KC71" s="88"/>
      <c r="KD71" s="88"/>
      <c r="KE71" s="88"/>
      <c r="KF71" s="88"/>
      <c r="KG71" s="88"/>
      <c r="KH71" s="88"/>
      <c r="KI71" s="88"/>
      <c r="KJ71" s="88"/>
      <c r="KK71" s="88"/>
      <c r="KL71" s="88"/>
      <c r="KM71" s="88"/>
      <c r="KN71" s="88"/>
      <c r="KO71" s="88"/>
      <c r="KP71" s="88"/>
      <c r="KQ71" s="88"/>
      <c r="KR71" s="88"/>
      <c r="KS71" s="88"/>
      <c r="KT71" s="88"/>
      <c r="KU71" s="88"/>
      <c r="KV71" s="88"/>
      <c r="KW71" s="88"/>
      <c r="KX71" s="88"/>
      <c r="KY71" s="88"/>
      <c r="KZ71" s="88"/>
      <c r="LA71" s="88"/>
      <c r="LB71" s="88"/>
      <c r="LC71" s="88"/>
      <c r="LD71" s="88"/>
      <c r="LE71" s="88"/>
      <c r="LF71" s="88"/>
      <c r="LG71" s="88"/>
      <c r="LH71" s="88"/>
      <c r="LI71" s="88"/>
      <c r="LJ71" s="88"/>
      <c r="LK71" s="88"/>
      <c r="LL71" s="88"/>
      <c r="LM71" s="88"/>
      <c r="LN71" s="88"/>
      <c r="LO71" s="88"/>
      <c r="LP71" s="88"/>
      <c r="LQ71" s="88"/>
      <c r="LR71" s="88"/>
      <c r="LS71" s="88"/>
      <c r="LT71" s="88"/>
      <c r="LU71" s="88"/>
      <c r="LV71" s="88"/>
      <c r="LW71" s="88"/>
      <c r="LX71" s="88"/>
      <c r="LY71" s="88"/>
      <c r="LZ71" s="88"/>
      <c r="MA71" s="88"/>
      <c r="MB71" s="88"/>
      <c r="MC71" s="88"/>
      <c r="MD71" s="88"/>
      <c r="ME71" s="88"/>
      <c r="MF71" s="88"/>
      <c r="MG71" s="88"/>
      <c r="MH71" s="88"/>
      <c r="MI71" s="88"/>
      <c r="MJ71" s="88"/>
      <c r="MK71" s="88"/>
      <c r="ML71" s="88"/>
      <c r="MM71" s="88"/>
      <c r="MN71" s="88"/>
      <c r="MO71" s="88"/>
      <c r="MP71" s="88"/>
      <c r="MQ71" s="88"/>
      <c r="MR71" s="88"/>
      <c r="MS71" s="88"/>
      <c r="MT71" s="88"/>
      <c r="MU71" s="88"/>
      <c r="MV71" s="88"/>
      <c r="MW71" s="88"/>
      <c r="MX71" s="88"/>
      <c r="MY71" s="88"/>
      <c r="MZ71" s="88"/>
      <c r="NA71" s="88"/>
      <c r="NB71" s="88"/>
      <c r="NC71" s="88"/>
      <c r="ND71" s="88"/>
      <c r="NE71" s="88"/>
      <c r="NF71" s="88"/>
      <c r="NG71" s="88"/>
      <c r="NH71" s="88"/>
      <c r="NI71" s="88"/>
      <c r="NJ71" s="88"/>
      <c r="NK71" s="88"/>
      <c r="NL71" s="88"/>
      <c r="NM71" s="88"/>
      <c r="NN71" s="88"/>
      <c r="NO71" s="88"/>
      <c r="NP71" s="88"/>
      <c r="NQ71" s="88"/>
      <c r="NR71" s="88"/>
      <c r="NS71" s="88"/>
      <c r="NT71" s="88"/>
      <c r="NU71" s="88"/>
      <c r="NV71" s="88"/>
      <c r="NW71" s="88"/>
      <c r="NX71" s="88"/>
      <c r="NY71" s="88"/>
      <c r="NZ71" s="88"/>
      <c r="OA71" s="88"/>
      <c r="OB71" s="88"/>
      <c r="OC71" s="88"/>
      <c r="OD71" s="88"/>
      <c r="OE71" s="88"/>
      <c r="OF71" s="88"/>
      <c r="OG71" s="88"/>
      <c r="OH71" s="88"/>
      <c r="OI71" s="88"/>
      <c r="OJ71" s="88"/>
      <c r="OK71" s="88"/>
      <c r="OL71" s="88"/>
      <c r="OM71" s="88"/>
      <c r="ON71" s="88"/>
      <c r="OO71" s="88"/>
      <c r="OP71" s="88"/>
      <c r="OQ71" s="88"/>
      <c r="OR71" s="88"/>
      <c r="OS71" s="88"/>
      <c r="OT71" s="88"/>
      <c r="OU71" s="88"/>
      <c r="OV71" s="88"/>
      <c r="OW71" s="88"/>
      <c r="OX71" s="88"/>
      <c r="OY71" s="88"/>
      <c r="OZ71" s="88"/>
      <c r="PA71" s="88"/>
      <c r="PB71" s="88"/>
      <c r="PC71" s="88"/>
      <c r="PD71" s="88"/>
      <c r="PE71" s="88"/>
      <c r="PF71" s="88"/>
      <c r="PG71" s="88"/>
      <c r="PH71" s="88"/>
      <c r="PI71" s="88"/>
      <c r="PJ71" s="88"/>
      <c r="PK71" s="88"/>
      <c r="PL71" s="88"/>
      <c r="PM71" s="88"/>
      <c r="PN71" s="88"/>
      <c r="PO71" s="88"/>
      <c r="PP71" s="88"/>
      <c r="PQ71" s="88"/>
      <c r="PR71" s="88"/>
      <c r="PS71" s="88"/>
      <c r="PT71" s="88"/>
      <c r="PU71" s="88"/>
      <c r="PV71" s="88"/>
      <c r="PW71" s="88"/>
      <c r="PX71" s="88"/>
      <c r="PY71" s="88"/>
      <c r="PZ71" s="88"/>
      <c r="QA71" s="88"/>
      <c r="QB71" s="88"/>
      <c r="QC71" s="88"/>
      <c r="QD71" s="88"/>
      <c r="QE71" s="88"/>
      <c r="QF71" s="88"/>
      <c r="QG71" s="88"/>
      <c r="QH71" s="88"/>
      <c r="QI71" s="88"/>
      <c r="QJ71" s="88"/>
      <c r="QK71" s="88"/>
      <c r="QL71" s="88"/>
      <c r="QM71" s="88"/>
      <c r="QN71" s="88"/>
      <c r="QO71" s="88"/>
      <c r="QP71" s="88"/>
      <c r="QQ71" s="88"/>
      <c r="QR71" s="88"/>
      <c r="QS71" s="88"/>
      <c r="QT71" s="88"/>
      <c r="QU71" s="88"/>
      <c r="QV71" s="88"/>
      <c r="QW71" s="88"/>
      <c r="QX71" s="88"/>
      <c r="QY71" s="88"/>
      <c r="QZ71" s="88"/>
      <c r="RA71" s="88"/>
      <c r="RB71" s="88"/>
      <c r="RC71" s="88"/>
      <c r="RD71" s="88"/>
      <c r="RE71" s="88"/>
      <c r="RF71" s="88"/>
      <c r="RG71" s="88"/>
      <c r="RH71" s="88"/>
      <c r="RI71" s="88"/>
      <c r="RJ71" s="88"/>
      <c r="RK71" s="88"/>
      <c r="RL71" s="88"/>
      <c r="RM71" s="88"/>
      <c r="RN71" s="88"/>
      <c r="RO71" s="88"/>
      <c r="RP71" s="88"/>
      <c r="RQ71" s="88"/>
      <c r="RR71" s="88"/>
      <c r="RS71" s="88"/>
      <c r="RT71" s="88"/>
      <c r="RU71" s="88"/>
      <c r="RV71" s="88"/>
      <c r="RW71" s="88"/>
      <c r="RX71" s="88"/>
      <c r="RY71" s="88"/>
      <c r="RZ71" s="88"/>
      <c r="SA71" s="88"/>
      <c r="SB71" s="88"/>
      <c r="SC71" s="88"/>
      <c r="SD71" s="88"/>
      <c r="SE71" s="88"/>
      <c r="SF71" s="88"/>
      <c r="SG71" s="88"/>
      <c r="SH71" s="88"/>
      <c r="SI71" s="88"/>
      <c r="SJ71" s="88"/>
      <c r="SK71" s="88"/>
      <c r="SL71" s="88"/>
      <c r="SM71" s="88"/>
      <c r="SN71" s="88"/>
      <c r="SO71" s="88"/>
      <c r="SP71" s="88"/>
      <c r="SQ71" s="88"/>
      <c r="SR71" s="88"/>
      <c r="SS71" s="88"/>
      <c r="ST71" s="88"/>
      <c r="SU71" s="88"/>
      <c r="SV71" s="88"/>
      <c r="SW71" s="88"/>
      <c r="SX71" s="88"/>
      <c r="SY71" s="88"/>
      <c r="SZ71" s="88"/>
      <c r="TA71" s="88"/>
      <c r="TB71" s="88"/>
      <c r="TC71" s="88"/>
      <c r="TD71" s="88"/>
      <c r="TE71" s="88"/>
      <c r="TF71" s="88"/>
      <c r="TG71" s="88"/>
      <c r="TH71" s="88"/>
      <c r="TI71" s="88"/>
      <c r="TJ71" s="88"/>
      <c r="TK71" s="88"/>
      <c r="TL71" s="88"/>
      <c r="TM71" s="88"/>
      <c r="TN71" s="88"/>
      <c r="TO71" s="88"/>
      <c r="TP71" s="88"/>
      <c r="TQ71" s="88"/>
      <c r="TR71" s="88"/>
      <c r="TS71" s="88"/>
      <c r="TT71" s="88"/>
      <c r="TU71" s="88"/>
      <c r="TV71" s="88"/>
      <c r="TW71" s="88"/>
      <c r="TX71" s="88"/>
      <c r="TY71" s="88"/>
      <c r="TZ71" s="88"/>
      <c r="UA71" s="88"/>
      <c r="UB71" s="88"/>
      <c r="UC71" s="88"/>
      <c r="UD71" s="88"/>
      <c r="UE71" s="88"/>
      <c r="UF71" s="88"/>
      <c r="UG71" s="88"/>
      <c r="UH71" s="88"/>
      <c r="UI71" s="88"/>
      <c r="UJ71" s="88"/>
      <c r="UK71" s="88"/>
      <c r="UL71" s="88"/>
      <c r="UM71" s="88"/>
      <c r="UN71" s="88"/>
      <c r="UO71" s="88"/>
      <c r="UP71" s="88"/>
      <c r="UQ71" s="88"/>
      <c r="UR71" s="88"/>
      <c r="US71" s="88"/>
      <c r="UT71" s="88"/>
      <c r="UU71" s="88"/>
      <c r="UV71" s="88"/>
      <c r="UW71" s="88"/>
      <c r="UX71" s="88"/>
      <c r="UY71" s="88"/>
      <c r="UZ71" s="88"/>
      <c r="VA71" s="88"/>
      <c r="VB71" s="88"/>
      <c r="VC71" s="88"/>
      <c r="VD71" s="88"/>
      <c r="VE71" s="88"/>
      <c r="VF71" s="88"/>
      <c r="VG71" s="88"/>
      <c r="VH71" s="88"/>
      <c r="VI71" s="88"/>
      <c r="VJ71" s="88"/>
      <c r="VK71" s="88"/>
      <c r="VL71" s="88"/>
      <c r="VM71" s="88"/>
      <c r="VN71" s="88"/>
      <c r="VO71" s="88"/>
      <c r="VP71" s="88"/>
      <c r="VQ71" s="88"/>
      <c r="VR71" s="88"/>
      <c r="VS71" s="88"/>
      <c r="VT71" s="88"/>
      <c r="VU71" s="88"/>
      <c r="VV71" s="88"/>
      <c r="VW71" s="88"/>
      <c r="VX71" s="88"/>
      <c r="VY71" s="88"/>
      <c r="VZ71" s="88"/>
      <c r="WA71" s="88"/>
      <c r="WB71" s="88"/>
      <c r="WC71" s="88"/>
      <c r="WD71" s="88"/>
      <c r="WE71" s="88"/>
      <c r="WF71" s="88"/>
      <c r="WG71" s="88"/>
      <c r="WH71" s="88"/>
      <c r="WI71" s="88"/>
      <c r="WJ71" s="88"/>
      <c r="WK71" s="88"/>
      <c r="WL71" s="88"/>
      <c r="WM71" s="88"/>
      <c r="WN71" s="88"/>
      <c r="WO71" s="88"/>
      <c r="WP71" s="88"/>
      <c r="WQ71" s="88"/>
      <c r="WR71" s="88"/>
      <c r="WS71" s="88"/>
      <c r="WT71" s="88"/>
      <c r="WU71" s="88"/>
      <c r="WV71" s="88"/>
      <c r="WW71" s="88"/>
      <c r="WX71" s="88"/>
      <c r="WY71" s="88"/>
      <c r="WZ71" s="88"/>
      <c r="XA71" s="88"/>
      <c r="XB71" s="88"/>
      <c r="XC71" s="88"/>
      <c r="XD71" s="88"/>
      <c r="XE71" s="88"/>
      <c r="XF71" s="88"/>
      <c r="XG71" s="88"/>
      <c r="XH71" s="88"/>
      <c r="XI71" s="88"/>
      <c r="XJ71" s="88"/>
      <c r="XK71" s="88"/>
      <c r="XL71" s="88"/>
      <c r="XM71" s="88"/>
      <c r="XN71" s="88"/>
      <c r="XO71" s="88"/>
      <c r="XP71" s="88"/>
      <c r="XQ71" s="88"/>
      <c r="XR71" s="88"/>
      <c r="XS71" s="88"/>
      <c r="XT71" s="88"/>
      <c r="XU71" s="88"/>
      <c r="XV71" s="88"/>
      <c r="XW71" s="88"/>
      <c r="XX71" s="88"/>
      <c r="XY71" s="88"/>
      <c r="XZ71" s="88"/>
      <c r="YA71" s="88"/>
      <c r="YB71" s="88"/>
      <c r="YC71" s="88"/>
      <c r="YD71" s="88"/>
      <c r="YE71" s="88"/>
      <c r="YF71" s="88"/>
      <c r="YG71" s="88"/>
      <c r="YH71" s="88"/>
      <c r="YI71" s="88"/>
      <c r="YJ71" s="88"/>
      <c r="YK71" s="88"/>
      <c r="YL71" s="88"/>
      <c r="YM71" s="88"/>
      <c r="YN71" s="88"/>
      <c r="YO71" s="88"/>
      <c r="YP71" s="88"/>
      <c r="YQ71" s="88"/>
      <c r="YR71" s="88"/>
      <c r="YS71" s="88"/>
      <c r="YT71" s="88"/>
      <c r="YU71" s="88"/>
      <c r="YV71" s="88"/>
      <c r="YW71" s="88"/>
      <c r="YX71" s="88"/>
      <c r="YY71" s="88"/>
      <c r="YZ71" s="88"/>
      <c r="ZA71" s="88"/>
      <c r="ZB71" s="88"/>
      <c r="ZC71" s="88"/>
      <c r="ZD71" s="88"/>
      <c r="ZE71" s="88"/>
      <c r="ZF71" s="88"/>
      <c r="ZG71" s="88"/>
      <c r="ZH71" s="88"/>
      <c r="ZI71" s="88"/>
      <c r="ZJ71" s="88"/>
      <c r="ZK71" s="88"/>
      <c r="ZL71" s="88"/>
      <c r="ZM71" s="88"/>
      <c r="ZN71" s="88"/>
      <c r="ZO71" s="88"/>
      <c r="ZP71" s="88"/>
      <c r="ZQ71" s="88"/>
      <c r="ZR71" s="88"/>
      <c r="ZS71" s="88"/>
      <c r="ZT71" s="88"/>
      <c r="ZU71" s="88"/>
      <c r="ZV71" s="88"/>
      <c r="ZW71" s="88"/>
      <c r="ZX71" s="88"/>
      <c r="ZY71" s="88"/>
      <c r="ZZ71" s="88"/>
      <c r="AAA71" s="88"/>
      <c r="AAB71" s="88"/>
      <c r="AAC71" s="88"/>
      <c r="AAD71" s="88"/>
      <c r="AAE71" s="88"/>
      <c r="AAF71" s="88"/>
      <c r="AAG71" s="88"/>
      <c r="AAH71" s="88"/>
      <c r="AAI71" s="88"/>
      <c r="AAJ71" s="88"/>
      <c r="AAK71" s="88"/>
      <c r="AAL71" s="88"/>
      <c r="AAM71" s="88"/>
      <c r="AAN71" s="88"/>
      <c r="AAO71" s="88"/>
      <c r="AAP71" s="88"/>
      <c r="AAQ71" s="88"/>
      <c r="AAR71" s="88"/>
      <c r="AAS71" s="88"/>
      <c r="AAT71" s="88"/>
      <c r="AAU71" s="88"/>
      <c r="AAV71" s="88"/>
      <c r="AAW71" s="88"/>
      <c r="AAX71" s="88"/>
      <c r="AAY71" s="88"/>
      <c r="AAZ71" s="88"/>
      <c r="ABA71" s="88"/>
      <c r="ABB71" s="88"/>
      <c r="ABC71" s="88"/>
      <c r="ABD71" s="88"/>
      <c r="ABE71" s="88"/>
      <c r="ABF71" s="88"/>
      <c r="ABG71" s="88"/>
      <c r="ABH71" s="88"/>
      <c r="ABI71" s="88"/>
      <c r="ABJ71" s="88"/>
      <c r="ABK71" s="88"/>
      <c r="ABL71" s="88"/>
      <c r="ABM71" s="88"/>
      <c r="ABN71" s="88"/>
      <c r="ABO71" s="88"/>
      <c r="ABP71" s="88"/>
      <c r="ABQ71" s="88"/>
      <c r="ABR71" s="88"/>
      <c r="ABS71" s="88"/>
      <c r="ABT71" s="88"/>
      <c r="ABU71" s="88"/>
      <c r="ABV71" s="88"/>
      <c r="ABW71" s="88"/>
      <c r="ABX71" s="88"/>
      <c r="ABY71" s="88"/>
      <c r="ABZ71" s="88"/>
      <c r="ACA71" s="88"/>
      <c r="ACB71" s="88"/>
      <c r="ACC71" s="88"/>
      <c r="ACD71" s="88"/>
      <c r="ACE71" s="88"/>
      <c r="ACF71" s="88"/>
      <c r="ACG71" s="88"/>
      <c r="ACH71" s="88"/>
      <c r="ACI71" s="88"/>
      <c r="ACJ71" s="88"/>
      <c r="ACK71" s="88"/>
      <c r="ACL71" s="88"/>
      <c r="ACM71" s="88"/>
      <c r="ACN71" s="88"/>
      <c r="ACO71" s="88"/>
      <c r="ACP71" s="88"/>
      <c r="ACQ71" s="88"/>
      <c r="ACR71" s="88"/>
      <c r="ACS71" s="88"/>
      <c r="ACT71" s="88"/>
      <c r="ACU71" s="88"/>
      <c r="ACV71" s="88"/>
      <c r="ACW71" s="88"/>
      <c r="ACX71" s="88"/>
      <c r="ACY71" s="88"/>
      <c r="ACZ71" s="88"/>
      <c r="ADA71" s="88"/>
      <c r="ADB71" s="88"/>
      <c r="ADC71" s="88"/>
      <c r="ADD71" s="88"/>
      <c r="ADE71" s="88"/>
      <c r="ADF71" s="88"/>
      <c r="ADG71" s="88"/>
      <c r="ADH71" s="88"/>
      <c r="ADI71" s="88"/>
      <c r="ADJ71" s="88"/>
      <c r="ADK71" s="88"/>
      <c r="ADL71" s="88"/>
      <c r="ADM71" s="88"/>
      <c r="ADN71" s="88"/>
      <c r="ADO71" s="88"/>
      <c r="ADP71" s="88"/>
      <c r="ADQ71" s="88"/>
      <c r="ADR71" s="88"/>
      <c r="ADS71" s="88"/>
      <c r="ADT71" s="88"/>
      <c r="ADU71" s="88"/>
      <c r="ADV71" s="88"/>
      <c r="ADW71" s="88"/>
      <c r="ADX71" s="88"/>
      <c r="ADY71" s="88"/>
      <c r="ADZ71" s="88"/>
      <c r="AEA71" s="88"/>
      <c r="AEB71" s="88"/>
      <c r="AEC71" s="88"/>
      <c r="AED71" s="88"/>
      <c r="AEE71" s="88"/>
      <c r="AEF71" s="88"/>
      <c r="AEG71" s="88"/>
      <c r="AEH71" s="88"/>
      <c r="AEI71" s="88"/>
      <c r="AEJ71" s="88"/>
      <c r="AEK71" s="88"/>
      <c r="AEL71" s="88"/>
      <c r="AEM71" s="88"/>
      <c r="AEN71" s="88"/>
      <c r="AEO71" s="88"/>
      <c r="AEP71" s="88"/>
      <c r="AEQ71" s="88"/>
      <c r="AER71" s="88"/>
      <c r="AES71" s="88"/>
      <c r="AET71" s="88"/>
      <c r="AEU71" s="88"/>
      <c r="AEV71" s="88"/>
      <c r="AEW71" s="88"/>
      <c r="AEX71" s="88"/>
      <c r="AEY71" s="88"/>
      <c r="AEZ71" s="88"/>
      <c r="AFA71" s="88"/>
      <c r="AFB71" s="88"/>
      <c r="AFC71" s="88"/>
      <c r="AFD71" s="88"/>
      <c r="AFE71" s="88"/>
      <c r="AFF71" s="88"/>
      <c r="AFG71" s="88"/>
      <c r="AFH71" s="88"/>
      <c r="AFI71" s="88"/>
      <c r="AFJ71" s="88"/>
      <c r="AFK71" s="88"/>
      <c r="AFL71" s="88"/>
      <c r="AFM71" s="88"/>
      <c r="AFN71" s="88"/>
      <c r="AFO71" s="88"/>
      <c r="AFP71" s="88"/>
      <c r="AFQ71" s="88"/>
      <c r="AFR71" s="88"/>
      <c r="AFS71" s="88"/>
      <c r="AFT71" s="88"/>
      <c r="AFU71" s="88"/>
      <c r="AFV71" s="88"/>
      <c r="AFW71" s="88"/>
      <c r="AFX71" s="88"/>
      <c r="AFY71" s="88"/>
      <c r="AFZ71" s="88"/>
      <c r="AGA71" s="88"/>
      <c r="AGB71" s="88"/>
      <c r="AGC71" s="88"/>
      <c r="AGD71" s="88"/>
      <c r="AGE71" s="88"/>
      <c r="AGF71" s="88"/>
      <c r="AGG71" s="88"/>
      <c r="AGH71" s="88"/>
      <c r="AGI71" s="88"/>
      <c r="AGJ71" s="88"/>
      <c r="AGK71" s="88"/>
      <c r="AGL71" s="88"/>
      <c r="AGM71" s="88"/>
      <c r="AGN71" s="88"/>
      <c r="AGO71" s="88"/>
      <c r="AGP71" s="88"/>
      <c r="AGQ71" s="88"/>
      <c r="AGR71" s="88"/>
      <c r="AGS71" s="88"/>
      <c r="AGT71" s="88"/>
      <c r="AGU71" s="88"/>
      <c r="AGV71" s="88"/>
      <c r="AGW71" s="88"/>
      <c r="AGX71" s="88"/>
      <c r="AGY71" s="88"/>
      <c r="AGZ71" s="88"/>
      <c r="AHA71" s="88"/>
      <c r="AHB71" s="88"/>
      <c r="AHC71" s="88"/>
      <c r="AHD71" s="88"/>
      <c r="AHE71" s="88"/>
      <c r="AHF71" s="88"/>
      <c r="AHG71" s="88"/>
      <c r="AHH71" s="88"/>
      <c r="AHI71" s="88"/>
      <c r="AHJ71" s="88"/>
      <c r="AHK71" s="88"/>
      <c r="AHL71" s="88"/>
      <c r="AHM71" s="88"/>
      <c r="AHN71" s="88"/>
      <c r="AHO71" s="88"/>
      <c r="AHP71" s="88"/>
      <c r="AHQ71" s="88"/>
      <c r="AHR71" s="88"/>
      <c r="AHS71" s="88"/>
      <c r="AHT71" s="88"/>
      <c r="AHU71" s="88"/>
      <c r="AHV71" s="88"/>
      <c r="AHW71" s="88"/>
      <c r="AHX71" s="88"/>
      <c r="AHY71" s="88"/>
      <c r="AHZ71" s="88"/>
      <c r="AIA71" s="88"/>
      <c r="AIB71" s="88"/>
      <c r="AIC71" s="88"/>
      <c r="AID71" s="88"/>
      <c r="AIE71" s="88"/>
      <c r="AIF71" s="88"/>
      <c r="AIG71" s="88"/>
      <c r="AIH71" s="88"/>
      <c r="AII71" s="88"/>
      <c r="AIJ71" s="88"/>
      <c r="AIK71" s="88"/>
      <c r="AIL71" s="88"/>
      <c r="AIM71" s="88"/>
      <c r="AIN71" s="88"/>
      <c r="AIO71" s="88"/>
      <c r="AIP71" s="88"/>
      <c r="AIQ71" s="88"/>
      <c r="AIR71" s="88"/>
      <c r="AIS71" s="88"/>
      <c r="AIT71" s="88"/>
      <c r="AIU71" s="88"/>
      <c r="AIV71" s="88"/>
      <c r="AIW71" s="88"/>
      <c r="AIX71" s="88"/>
      <c r="AIY71" s="88"/>
      <c r="AIZ71" s="88"/>
      <c r="AJA71" s="88"/>
      <c r="AJB71" s="88"/>
      <c r="AJC71" s="88"/>
      <c r="AJD71" s="88"/>
      <c r="AJE71" s="88"/>
      <c r="AJF71" s="88"/>
      <c r="AJG71" s="88"/>
      <c r="AJH71" s="88"/>
      <c r="AJI71" s="88"/>
      <c r="AJJ71" s="88"/>
      <c r="AJK71" s="88"/>
      <c r="AJL71" s="88"/>
      <c r="AJM71" s="88"/>
      <c r="AJN71" s="88"/>
      <c r="AJO71" s="88"/>
      <c r="AJP71" s="88"/>
      <c r="AJQ71" s="88"/>
      <c r="AJR71" s="88"/>
      <c r="AJS71" s="88"/>
      <c r="AJT71" s="88"/>
      <c r="AJU71" s="88"/>
      <c r="AJV71" s="88"/>
      <c r="AJW71" s="88"/>
      <c r="AJX71" s="88"/>
      <c r="AJY71" s="88"/>
      <c r="AJZ71" s="88"/>
      <c r="AKA71" s="88"/>
      <c r="AKB71" s="88"/>
      <c r="AKC71" s="88"/>
      <c r="AKD71" s="88"/>
      <c r="AKE71" s="88"/>
      <c r="AKF71" s="88"/>
      <c r="AKG71" s="88"/>
      <c r="AKH71" s="88"/>
      <c r="AKI71" s="88"/>
      <c r="AKJ71" s="88"/>
      <c r="AKK71" s="88"/>
      <c r="AKL71" s="88"/>
      <c r="AKM71" s="88"/>
      <c r="AKN71" s="88"/>
      <c r="AKO71" s="88"/>
      <c r="AKP71" s="88"/>
      <c r="AKQ71" s="88"/>
      <c r="AKR71" s="88"/>
      <c r="AKS71" s="88"/>
      <c r="AKT71" s="88"/>
      <c r="AKU71" s="88"/>
      <c r="AKV71" s="88"/>
      <c r="AKW71" s="88"/>
      <c r="AKX71" s="88"/>
      <c r="AKY71" s="88"/>
      <c r="AKZ71" s="88"/>
      <c r="ALA71" s="88"/>
      <c r="ALB71" s="88"/>
      <c r="ALC71" s="88"/>
      <c r="ALD71" s="88"/>
      <c r="ALE71" s="88"/>
      <c r="ALF71" s="88"/>
      <c r="ALG71" s="88"/>
      <c r="ALH71" s="88"/>
      <c r="ALI71" s="88"/>
      <c r="ALJ71" s="88"/>
      <c r="ALK71" s="88"/>
      <c r="ALL71" s="88"/>
      <c r="ALM71" s="88"/>
      <c r="ALN71" s="88"/>
      <c r="ALO71" s="88"/>
      <c r="ALP71" s="88"/>
      <c r="ALQ71" s="88"/>
      <c r="ALR71" s="88"/>
      <c r="ALS71" s="88"/>
      <c r="ALT71" s="88"/>
      <c r="ALU71" s="88"/>
      <c r="ALV71" s="88"/>
      <c r="ALW71" s="88"/>
      <c r="ALX71" s="88"/>
      <c r="ALY71" s="88"/>
      <c r="ALZ71" s="88"/>
      <c r="AMA71" s="88"/>
      <c r="AMB71" s="88"/>
      <c r="AMC71" s="88"/>
      <c r="AMD71" s="88"/>
      <c r="AME71" s="88"/>
      <c r="AMF71" s="88"/>
      <c r="AMG71" s="88"/>
      <c r="AMH71" s="88"/>
      <c r="AMI71" s="88"/>
      <c r="AMJ71" s="88"/>
      <c r="AMK71" s="88"/>
      <c r="AML71" s="88"/>
      <c r="AMM71" s="88"/>
      <c r="AMN71" s="88"/>
      <c r="AMO71" s="88"/>
      <c r="AMP71" s="88"/>
      <c r="AMQ71" s="88"/>
      <c r="AMR71" s="88"/>
      <c r="AMS71" s="88"/>
      <c r="AMT71" s="88"/>
      <c r="AMU71" s="88"/>
      <c r="AMV71" s="88"/>
      <c r="AMW71" s="88"/>
      <c r="AMX71" s="88"/>
      <c r="AMY71" s="88"/>
      <c r="AMZ71" s="88"/>
      <c r="ANA71" s="88"/>
      <c r="ANB71" s="88"/>
      <c r="ANC71" s="88"/>
      <c r="AND71" s="88"/>
      <c r="ANE71" s="88"/>
      <c r="ANF71" s="88"/>
      <c r="ANG71" s="88"/>
      <c r="ANH71" s="88"/>
      <c r="ANI71" s="88"/>
      <c r="ANJ71" s="88"/>
      <c r="ANK71" s="88"/>
      <c r="ANL71" s="88"/>
      <c r="ANM71" s="88"/>
      <c r="ANN71" s="88"/>
      <c r="ANO71" s="88"/>
      <c r="ANP71" s="88"/>
      <c r="ANQ71" s="88"/>
      <c r="ANR71" s="88"/>
      <c r="ANS71" s="88"/>
      <c r="ANT71" s="88"/>
      <c r="ANU71" s="88"/>
      <c r="ANV71" s="88"/>
      <c r="ANW71" s="88"/>
      <c r="ANX71" s="88"/>
      <c r="ANY71" s="88"/>
      <c r="ANZ71" s="88"/>
      <c r="AOA71" s="88"/>
      <c r="AOB71" s="88"/>
      <c r="AOC71" s="88"/>
      <c r="AOD71" s="88"/>
      <c r="AOE71" s="88"/>
      <c r="AOF71" s="88"/>
      <c r="AOG71" s="88"/>
      <c r="AOH71" s="88"/>
      <c r="AOI71" s="88"/>
      <c r="AOJ71" s="88"/>
      <c r="AOK71" s="88"/>
      <c r="AOL71" s="88"/>
      <c r="AOM71" s="88"/>
      <c r="AON71" s="88"/>
      <c r="AOO71" s="88"/>
      <c r="AOP71" s="88"/>
      <c r="AOQ71" s="88"/>
      <c r="AOR71" s="88"/>
      <c r="AOS71" s="88"/>
      <c r="AOT71" s="88"/>
      <c r="AOU71" s="88"/>
      <c r="AOV71" s="88"/>
      <c r="AOW71" s="88"/>
      <c r="AOX71" s="88"/>
      <c r="AOY71" s="88"/>
      <c r="AOZ71" s="88"/>
      <c r="APA71" s="88"/>
      <c r="APB71" s="88"/>
      <c r="APC71" s="88"/>
      <c r="APD71" s="88"/>
      <c r="APE71" s="88"/>
      <c r="APF71" s="88"/>
      <c r="APG71" s="88"/>
      <c r="APH71" s="88"/>
      <c r="API71" s="88"/>
      <c r="APJ71" s="88"/>
      <c r="APK71" s="88"/>
      <c r="APL71" s="88"/>
      <c r="APM71" s="88"/>
      <c r="APN71" s="88"/>
      <c r="APO71" s="88"/>
      <c r="APP71" s="88"/>
      <c r="APQ71" s="88"/>
      <c r="APR71" s="88"/>
      <c r="APS71" s="88"/>
      <c r="APT71" s="88"/>
      <c r="APU71" s="88"/>
      <c r="APV71" s="88"/>
      <c r="APW71" s="88"/>
      <c r="APX71" s="88"/>
      <c r="APY71" s="88"/>
      <c r="APZ71" s="88"/>
      <c r="AQA71" s="88"/>
      <c r="AQB71" s="88"/>
      <c r="AQC71" s="88"/>
      <c r="AQD71" s="88"/>
      <c r="AQE71" s="88"/>
      <c r="AQF71" s="88"/>
      <c r="AQG71" s="88"/>
      <c r="AQH71" s="88"/>
      <c r="AQI71" s="88"/>
      <c r="AQJ71" s="88"/>
      <c r="AQK71" s="88"/>
      <c r="AQL71" s="88"/>
      <c r="AQM71" s="88"/>
      <c r="AQN71" s="88"/>
      <c r="AQO71" s="88"/>
      <c r="AQP71" s="88"/>
      <c r="AQQ71" s="88"/>
      <c r="AQR71" s="88"/>
      <c r="AQS71" s="88"/>
      <c r="AQT71" s="88"/>
      <c r="AQU71" s="88"/>
      <c r="AQV71" s="88"/>
      <c r="AQW71" s="88"/>
      <c r="AQX71" s="88"/>
      <c r="AQY71" s="88"/>
      <c r="AQZ71" s="88"/>
      <c r="ARA71" s="88"/>
      <c r="ARB71" s="88"/>
      <c r="ARC71" s="88"/>
      <c r="ARD71" s="88"/>
      <c r="ARE71" s="88"/>
      <c r="ARF71" s="88"/>
      <c r="ARG71" s="88"/>
      <c r="ARH71" s="88"/>
      <c r="ARI71" s="88"/>
      <c r="ARJ71" s="88"/>
      <c r="ARK71" s="88"/>
      <c r="ARL71" s="88"/>
      <c r="ARM71" s="88"/>
      <c r="ARN71" s="88"/>
      <c r="ARO71" s="88"/>
      <c r="ARP71" s="88"/>
      <c r="ARQ71" s="88"/>
      <c r="ARR71" s="88"/>
      <c r="ARS71" s="88"/>
      <c r="ART71" s="88"/>
      <c r="ARU71" s="88"/>
      <c r="ARV71" s="88"/>
      <c r="ARW71" s="88"/>
      <c r="ARX71" s="88"/>
      <c r="ARY71" s="88"/>
      <c r="ARZ71" s="88"/>
      <c r="ASA71" s="88"/>
      <c r="ASB71" s="88"/>
      <c r="ASC71" s="88"/>
      <c r="ASD71" s="88"/>
      <c r="ASE71" s="88"/>
      <c r="ASF71" s="88"/>
      <c r="ASG71" s="88"/>
      <c r="ASH71" s="88"/>
      <c r="ASI71" s="88"/>
      <c r="ASJ71" s="88"/>
      <c r="ASK71" s="88"/>
      <c r="ASL71" s="88"/>
      <c r="ASM71" s="88"/>
      <c r="ASN71" s="88"/>
      <c r="ASO71" s="88"/>
      <c r="ASP71" s="88"/>
      <c r="ASQ71" s="88"/>
      <c r="ASR71" s="88"/>
      <c r="ASS71" s="88"/>
      <c r="AST71" s="88"/>
      <c r="ASU71" s="88"/>
      <c r="ASV71" s="88"/>
      <c r="ASW71" s="88"/>
      <c r="ASX71" s="88"/>
      <c r="ASY71" s="88"/>
      <c r="ASZ71" s="88"/>
      <c r="ATA71" s="88"/>
      <c r="ATB71" s="88"/>
      <c r="ATC71" s="88"/>
      <c r="ATD71" s="88"/>
      <c r="ATE71" s="88"/>
      <c r="ATF71" s="88"/>
      <c r="ATG71" s="88"/>
      <c r="ATH71" s="88"/>
      <c r="ATI71" s="88"/>
      <c r="ATJ71" s="88"/>
      <c r="ATK71" s="88"/>
      <c r="ATL71" s="88"/>
      <c r="ATM71" s="88"/>
      <c r="ATN71" s="88"/>
      <c r="ATO71" s="88"/>
      <c r="ATP71" s="88"/>
      <c r="ATQ71" s="88"/>
      <c r="ATR71" s="88"/>
      <c r="ATS71" s="88"/>
      <c r="ATT71" s="88"/>
      <c r="ATU71" s="88"/>
      <c r="ATV71" s="88"/>
      <c r="ATW71" s="88"/>
      <c r="ATX71" s="88"/>
      <c r="ATY71" s="88"/>
      <c r="ATZ71" s="88"/>
      <c r="AUA71" s="88"/>
      <c r="AUB71" s="88"/>
      <c r="AUC71" s="88"/>
      <c r="AUD71" s="88"/>
      <c r="AUE71" s="88"/>
      <c r="AUF71" s="88"/>
      <c r="AUG71" s="88"/>
      <c r="AUH71" s="88"/>
      <c r="AUI71" s="88"/>
      <c r="AUJ71" s="88"/>
      <c r="AUK71" s="88"/>
      <c r="AUL71" s="88"/>
      <c r="AUM71" s="88"/>
      <c r="AUN71" s="88"/>
      <c r="AUO71" s="88"/>
      <c r="AUP71" s="88"/>
      <c r="AUQ71" s="88"/>
      <c r="AUR71" s="88"/>
      <c r="AUS71" s="88"/>
      <c r="AUT71" s="88"/>
      <c r="AUU71" s="88"/>
      <c r="AUV71" s="88"/>
      <c r="AUW71" s="88"/>
      <c r="AUX71" s="88"/>
      <c r="AUY71" s="88"/>
      <c r="AUZ71" s="88"/>
      <c r="AVA71" s="88"/>
      <c r="AVB71" s="88"/>
      <c r="AVC71" s="88"/>
      <c r="AVD71" s="88"/>
      <c r="AVE71" s="88"/>
      <c r="AVF71" s="88"/>
      <c r="AVG71" s="88"/>
      <c r="AVH71" s="88"/>
      <c r="AVI71" s="88"/>
      <c r="AVJ71" s="88"/>
      <c r="AVK71" s="88"/>
      <c r="AVL71" s="88"/>
      <c r="AVM71" s="88"/>
      <c r="AVN71" s="88"/>
      <c r="AVO71" s="88"/>
      <c r="AVP71" s="88"/>
      <c r="AVQ71" s="88"/>
      <c r="AVR71" s="88"/>
      <c r="AVS71" s="88"/>
      <c r="AVT71" s="88"/>
      <c r="AVU71" s="88"/>
      <c r="AVV71" s="88"/>
      <c r="AVW71" s="88"/>
      <c r="AVX71" s="88"/>
      <c r="AVY71" s="88"/>
      <c r="AVZ71" s="88"/>
      <c r="AWA71" s="88"/>
      <c r="AWB71" s="88"/>
      <c r="AWC71" s="88"/>
      <c r="AWD71" s="88"/>
      <c r="AWE71" s="88"/>
      <c r="AWF71" s="88"/>
      <c r="AWG71" s="88"/>
      <c r="AWH71" s="88"/>
      <c r="AWI71" s="88"/>
      <c r="AWJ71" s="88"/>
      <c r="AWK71" s="88"/>
      <c r="AWL71" s="88"/>
      <c r="AWM71" s="88"/>
      <c r="AWN71" s="88"/>
      <c r="AWO71" s="88"/>
      <c r="AWP71" s="88"/>
      <c r="AWQ71" s="88"/>
      <c r="AWR71" s="88"/>
      <c r="AWS71" s="88"/>
      <c r="AWT71" s="88"/>
      <c r="AWU71" s="88"/>
      <c r="AWV71" s="88"/>
      <c r="AWW71" s="88"/>
      <c r="AWX71" s="88"/>
      <c r="AWY71" s="88"/>
      <c r="AWZ71" s="88"/>
      <c r="AXA71" s="88"/>
      <c r="AXB71" s="88"/>
      <c r="AXC71" s="88"/>
      <c r="AXD71" s="88"/>
      <c r="AXE71" s="88"/>
      <c r="AXF71" s="88"/>
      <c r="AXG71" s="88"/>
      <c r="AXH71" s="88"/>
      <c r="AXI71" s="88"/>
      <c r="AXJ71" s="88"/>
      <c r="AXK71" s="88"/>
      <c r="AXL71" s="88"/>
      <c r="AXM71" s="88"/>
      <c r="AXN71" s="88"/>
      <c r="AXO71" s="88"/>
      <c r="AXP71" s="88"/>
      <c r="AXQ71" s="88"/>
      <c r="AXR71" s="88"/>
      <c r="AXS71" s="88"/>
      <c r="AXT71" s="88"/>
      <c r="AXU71" s="88"/>
      <c r="AXV71" s="88"/>
      <c r="AXW71" s="88"/>
      <c r="AXX71" s="88"/>
      <c r="AXY71" s="88"/>
      <c r="AXZ71" s="88"/>
      <c r="AYA71" s="88"/>
      <c r="AYB71" s="88"/>
      <c r="AYC71" s="88"/>
      <c r="AYD71" s="88"/>
      <c r="AYE71" s="88"/>
      <c r="AYF71" s="88"/>
      <c r="AYG71" s="88"/>
      <c r="AYH71" s="88"/>
      <c r="AYI71" s="88"/>
      <c r="AYJ71" s="88"/>
      <c r="AYK71" s="88"/>
      <c r="AYL71" s="88"/>
      <c r="AYM71" s="88"/>
      <c r="AYN71" s="88"/>
      <c r="AYO71" s="88"/>
      <c r="AYP71" s="88"/>
      <c r="AYQ71" s="88"/>
      <c r="AYR71" s="88"/>
      <c r="AYS71" s="88"/>
      <c r="AYT71" s="88"/>
      <c r="AYU71" s="88"/>
      <c r="AYV71" s="88"/>
      <c r="AYW71" s="88"/>
      <c r="AYX71" s="88"/>
      <c r="AYY71" s="88"/>
      <c r="AYZ71" s="88"/>
      <c r="AZA71" s="88"/>
      <c r="AZB71" s="88"/>
      <c r="AZC71" s="88"/>
      <c r="AZD71" s="88"/>
      <c r="AZE71" s="88"/>
      <c r="AZF71" s="88"/>
      <c r="AZG71" s="88"/>
      <c r="AZH71" s="88"/>
      <c r="AZI71" s="88"/>
      <c r="AZJ71" s="88"/>
      <c r="AZK71" s="88"/>
      <c r="AZL71" s="88"/>
      <c r="AZM71" s="88"/>
      <c r="AZN71" s="88"/>
      <c r="AZO71" s="88"/>
      <c r="AZP71" s="88"/>
      <c r="AZQ71" s="88"/>
      <c r="AZR71" s="88"/>
      <c r="AZS71" s="88"/>
      <c r="AZT71" s="88"/>
      <c r="AZU71" s="88"/>
      <c r="AZV71" s="88"/>
      <c r="AZW71" s="88"/>
      <c r="AZX71" s="88"/>
      <c r="AZY71" s="88"/>
      <c r="AZZ71" s="88"/>
      <c r="BAA71" s="88"/>
      <c r="BAB71" s="88"/>
      <c r="BAC71" s="88"/>
      <c r="BAD71" s="88"/>
      <c r="BAE71" s="88"/>
      <c r="BAF71" s="88"/>
      <c r="BAG71" s="88"/>
      <c r="BAH71" s="88"/>
      <c r="BAI71" s="88"/>
      <c r="BAJ71" s="88"/>
      <c r="BAK71" s="88"/>
      <c r="BAL71" s="88"/>
      <c r="BAM71" s="88"/>
      <c r="BAN71" s="88"/>
      <c r="BAO71" s="88"/>
      <c r="BAP71" s="88"/>
      <c r="BAQ71" s="88"/>
      <c r="BAR71" s="88"/>
      <c r="BAS71" s="88"/>
      <c r="BAT71" s="88"/>
      <c r="BAU71" s="88"/>
      <c r="BAV71" s="88"/>
      <c r="BAW71" s="88"/>
      <c r="BAX71" s="88"/>
      <c r="BAY71" s="88"/>
      <c r="BAZ71" s="88"/>
      <c r="BBA71" s="88"/>
      <c r="BBB71" s="88"/>
      <c r="BBC71" s="88"/>
      <c r="BBD71" s="88"/>
      <c r="BBE71" s="88"/>
      <c r="BBF71" s="88"/>
      <c r="BBG71" s="88"/>
      <c r="BBH71" s="88"/>
      <c r="BBI71" s="88"/>
      <c r="BBJ71" s="88"/>
      <c r="BBK71" s="88"/>
      <c r="BBL71" s="88"/>
      <c r="BBM71" s="88"/>
      <c r="BBN71" s="88"/>
      <c r="BBO71" s="88"/>
      <c r="BBP71" s="88"/>
      <c r="BBQ71" s="88"/>
      <c r="BBR71" s="88"/>
      <c r="BBS71" s="88"/>
      <c r="BBT71" s="88"/>
      <c r="BBU71" s="88"/>
      <c r="BBV71" s="88"/>
      <c r="BBW71" s="88"/>
      <c r="BBX71" s="88"/>
      <c r="BBY71" s="88"/>
      <c r="BBZ71" s="88"/>
      <c r="BCA71" s="88"/>
      <c r="BCB71" s="88"/>
      <c r="BCC71" s="88"/>
      <c r="BCD71" s="88"/>
      <c r="BCE71" s="88"/>
      <c r="BCF71" s="88"/>
      <c r="BCG71" s="88"/>
      <c r="BCH71" s="88"/>
      <c r="BCI71" s="88"/>
      <c r="BCJ71" s="88"/>
      <c r="BCK71" s="88"/>
      <c r="BCL71" s="88"/>
      <c r="BCM71" s="88"/>
      <c r="BCN71" s="88"/>
      <c r="BCO71" s="88"/>
      <c r="BCP71" s="88"/>
      <c r="BCQ71" s="88"/>
      <c r="BCR71" s="88"/>
      <c r="BCS71" s="88"/>
      <c r="BCT71" s="88"/>
      <c r="BCU71" s="88"/>
      <c r="BCV71" s="88"/>
      <c r="BCW71" s="88"/>
      <c r="BCX71" s="88"/>
      <c r="BCY71" s="88"/>
      <c r="BCZ71" s="88"/>
      <c r="BDA71" s="88"/>
      <c r="BDB71" s="88"/>
      <c r="BDC71" s="88"/>
      <c r="BDD71" s="88"/>
      <c r="BDE71" s="88"/>
      <c r="BDF71" s="88"/>
      <c r="BDG71" s="88"/>
      <c r="BDH71" s="88"/>
      <c r="BDI71" s="88"/>
      <c r="BDJ71" s="88"/>
      <c r="BDK71" s="88"/>
      <c r="BDL71" s="88"/>
      <c r="BDM71" s="88"/>
      <c r="BDN71" s="88"/>
      <c r="BDO71" s="88"/>
      <c r="BDP71" s="88"/>
      <c r="BDQ71" s="88"/>
      <c r="BDR71" s="88"/>
      <c r="BDS71" s="88"/>
      <c r="BDT71" s="88"/>
      <c r="BDU71" s="88"/>
      <c r="BDV71" s="88"/>
      <c r="BDW71" s="88"/>
      <c r="BDX71" s="88"/>
      <c r="BDY71" s="88"/>
      <c r="BDZ71" s="88"/>
      <c r="BEA71" s="88"/>
      <c r="BEB71" s="88"/>
      <c r="BEC71" s="88"/>
      <c r="BED71" s="88"/>
      <c r="BEE71" s="88"/>
      <c r="BEF71" s="88"/>
      <c r="BEG71" s="88"/>
      <c r="BEH71" s="88"/>
      <c r="BEI71" s="88"/>
      <c r="BEJ71" s="88"/>
      <c r="BEK71" s="88"/>
      <c r="BEL71" s="88"/>
      <c r="BEM71" s="88"/>
      <c r="BEN71" s="88"/>
      <c r="BEO71" s="88"/>
      <c r="BEP71" s="88"/>
      <c r="BEQ71" s="88"/>
      <c r="BER71" s="88"/>
      <c r="BES71" s="88"/>
      <c r="BET71" s="88"/>
      <c r="BEU71" s="88"/>
      <c r="BEV71" s="88"/>
      <c r="BEW71" s="88"/>
      <c r="BEX71" s="88"/>
      <c r="BEY71" s="88"/>
      <c r="BEZ71" s="88"/>
      <c r="BFA71" s="88"/>
      <c r="BFB71" s="88"/>
      <c r="BFC71" s="88"/>
      <c r="BFD71" s="88"/>
      <c r="BFE71" s="88"/>
      <c r="BFF71" s="88"/>
      <c r="BFG71" s="88"/>
      <c r="BFH71" s="88"/>
      <c r="BFI71" s="88"/>
      <c r="BFJ71" s="88"/>
      <c r="BFK71" s="88"/>
      <c r="BFL71" s="88"/>
      <c r="BFM71" s="88"/>
      <c r="BFN71" s="88"/>
      <c r="BFO71" s="88"/>
      <c r="BFP71" s="88"/>
      <c r="BFQ71" s="88"/>
      <c r="BFR71" s="88"/>
      <c r="BFS71" s="88"/>
      <c r="BFT71" s="88"/>
      <c r="BFU71" s="88"/>
      <c r="BFV71" s="88"/>
      <c r="BFW71" s="88"/>
      <c r="BFX71" s="88"/>
      <c r="BFY71" s="88"/>
      <c r="BFZ71" s="88"/>
      <c r="BGA71" s="88"/>
      <c r="BGB71" s="88"/>
      <c r="BGC71" s="88"/>
      <c r="BGD71" s="88"/>
      <c r="BGE71" s="88"/>
      <c r="BGF71" s="88"/>
      <c r="BGG71" s="88"/>
      <c r="BGH71" s="88"/>
      <c r="BGI71" s="88"/>
      <c r="BGJ71" s="88"/>
      <c r="BGK71" s="88"/>
      <c r="BGL71" s="88"/>
      <c r="BGM71" s="88"/>
      <c r="BGN71" s="88"/>
      <c r="BGO71" s="88"/>
      <c r="BGP71" s="88"/>
      <c r="BGQ71" s="88"/>
      <c r="BGR71" s="88"/>
      <c r="BGS71" s="88"/>
      <c r="BGT71" s="88"/>
      <c r="BGU71" s="88"/>
      <c r="BGV71" s="88"/>
      <c r="BGW71" s="88"/>
      <c r="BGX71" s="88"/>
      <c r="BGY71" s="88"/>
      <c r="BGZ71" s="88"/>
      <c r="BHA71" s="88"/>
      <c r="BHB71" s="88"/>
      <c r="BHC71" s="88"/>
      <c r="BHD71" s="88"/>
      <c r="BHE71" s="88"/>
      <c r="BHF71" s="88"/>
      <c r="BHG71" s="88"/>
      <c r="BHH71" s="88"/>
      <c r="BHI71" s="88"/>
      <c r="BHJ71" s="88"/>
      <c r="BHK71" s="88"/>
      <c r="BHL71" s="88"/>
      <c r="BHM71" s="88"/>
      <c r="BHN71" s="88"/>
      <c r="BHO71" s="88"/>
      <c r="BHP71" s="88"/>
      <c r="BHQ71" s="88"/>
      <c r="BHR71" s="88"/>
      <c r="BHS71" s="88"/>
      <c r="BHT71" s="88"/>
      <c r="BHU71" s="88"/>
      <c r="BHV71" s="88"/>
      <c r="BHW71" s="88"/>
      <c r="BHX71" s="88"/>
      <c r="BHY71" s="88"/>
      <c r="BHZ71" s="88"/>
      <c r="BIA71" s="88"/>
      <c r="BIB71" s="88"/>
      <c r="BIC71" s="88"/>
      <c r="BID71" s="88"/>
      <c r="BIE71" s="88"/>
      <c r="BIF71" s="88"/>
      <c r="BIG71" s="88"/>
      <c r="BIH71" s="88"/>
      <c r="BII71" s="88"/>
      <c r="BIJ71" s="88"/>
      <c r="BIK71" s="88"/>
      <c r="BIL71" s="88"/>
      <c r="BIM71" s="88"/>
      <c r="BIN71" s="88"/>
      <c r="BIO71" s="88"/>
      <c r="BIP71" s="88"/>
      <c r="BIQ71" s="88"/>
      <c r="BIR71" s="88"/>
      <c r="BIS71" s="88"/>
      <c r="BIT71" s="88"/>
      <c r="BIU71" s="88"/>
      <c r="BIV71" s="88"/>
      <c r="BIW71" s="88"/>
      <c r="BIX71" s="88"/>
      <c r="BIY71" s="88"/>
      <c r="BIZ71" s="88"/>
      <c r="BJA71" s="88"/>
      <c r="BJB71" s="88"/>
      <c r="BJC71" s="88"/>
      <c r="BJD71" s="88"/>
      <c r="BJE71" s="88"/>
      <c r="BJF71" s="88"/>
      <c r="BJG71" s="88"/>
      <c r="BJH71" s="88"/>
      <c r="BJI71" s="88"/>
      <c r="BJJ71" s="88"/>
      <c r="BJK71" s="88"/>
      <c r="BJL71" s="88"/>
      <c r="BJM71" s="88"/>
      <c r="BJN71" s="88"/>
      <c r="BJO71" s="88"/>
      <c r="BJP71" s="88"/>
      <c r="BJQ71" s="88"/>
      <c r="BJR71" s="88"/>
      <c r="BJS71" s="88"/>
      <c r="BJT71" s="88"/>
      <c r="BJU71" s="88"/>
      <c r="BJV71" s="88"/>
      <c r="BJW71" s="88"/>
      <c r="BJX71" s="88"/>
      <c r="BJY71" s="88"/>
      <c r="BJZ71" s="88"/>
      <c r="BKA71" s="88"/>
      <c r="BKB71" s="88"/>
      <c r="BKC71" s="88"/>
      <c r="BKD71" s="88"/>
      <c r="BKE71" s="88"/>
      <c r="BKF71" s="88"/>
      <c r="BKG71" s="88"/>
      <c r="BKH71" s="88"/>
      <c r="BKI71" s="88"/>
      <c r="BKJ71" s="88"/>
      <c r="BKK71" s="88"/>
      <c r="BKL71" s="88"/>
      <c r="BKM71" s="88"/>
      <c r="BKN71" s="88"/>
      <c r="BKO71" s="88"/>
      <c r="BKP71" s="88"/>
      <c r="BKQ71" s="88"/>
      <c r="BKR71" s="88"/>
      <c r="BKS71" s="88"/>
      <c r="BKT71" s="88"/>
      <c r="BKU71" s="88"/>
      <c r="BKV71" s="88"/>
      <c r="BKW71" s="88"/>
      <c r="BKX71" s="88"/>
      <c r="BKY71" s="88"/>
      <c r="BKZ71" s="88"/>
      <c r="BLA71" s="88"/>
      <c r="BLB71" s="88"/>
      <c r="BLC71" s="88"/>
      <c r="BLD71" s="88"/>
      <c r="BLE71" s="88"/>
      <c r="BLF71" s="88"/>
      <c r="BLG71" s="88"/>
      <c r="BLH71" s="88"/>
      <c r="BLI71" s="88"/>
      <c r="BLJ71" s="88"/>
      <c r="BLK71" s="88"/>
      <c r="BLL71" s="88"/>
      <c r="BLM71" s="88"/>
      <c r="BLN71" s="88"/>
      <c r="BLO71" s="88"/>
      <c r="BLP71" s="88"/>
      <c r="BLQ71" s="88"/>
      <c r="BLR71" s="88"/>
      <c r="BLS71" s="88"/>
      <c r="BLT71" s="88"/>
      <c r="BLU71" s="88"/>
      <c r="BLV71" s="88"/>
      <c r="BLW71" s="88"/>
      <c r="BLX71" s="88"/>
      <c r="BLY71" s="88"/>
      <c r="BLZ71" s="88"/>
      <c r="BMA71" s="88"/>
      <c r="BMB71" s="88"/>
      <c r="BMC71" s="88"/>
      <c r="BMD71" s="88"/>
      <c r="BME71" s="88"/>
      <c r="BMF71" s="88"/>
      <c r="BMG71" s="88"/>
      <c r="BMH71" s="88"/>
      <c r="BMI71" s="88"/>
      <c r="BMJ71" s="88"/>
      <c r="BMK71" s="88"/>
      <c r="BML71" s="88"/>
      <c r="BMM71" s="88"/>
      <c r="BMN71" s="88"/>
      <c r="BMO71" s="88"/>
      <c r="BMP71" s="88"/>
      <c r="BMQ71" s="88"/>
      <c r="BMR71" s="88"/>
      <c r="BMS71" s="88"/>
      <c r="BMT71" s="88"/>
      <c r="BMU71" s="88"/>
      <c r="BMV71" s="88"/>
      <c r="BMW71" s="88"/>
      <c r="BMX71" s="88"/>
      <c r="BMY71" s="88"/>
      <c r="BMZ71" s="88"/>
      <c r="BNA71" s="88"/>
      <c r="BNB71" s="88"/>
      <c r="BNC71" s="88"/>
      <c r="BND71" s="88"/>
      <c r="BNE71" s="88"/>
      <c r="BNF71" s="88"/>
      <c r="BNG71" s="88"/>
      <c r="BNH71" s="88"/>
      <c r="BNI71" s="88"/>
      <c r="BNJ71" s="88"/>
      <c r="BNK71" s="88"/>
      <c r="BNL71" s="88"/>
      <c r="BNM71" s="88"/>
      <c r="BNN71" s="88"/>
      <c r="BNO71" s="88"/>
      <c r="BNP71" s="88"/>
      <c r="BNQ71" s="88"/>
      <c r="BNR71" s="88"/>
      <c r="BNS71" s="88"/>
      <c r="BNT71" s="88"/>
      <c r="BNU71" s="88"/>
      <c r="BNV71" s="88"/>
      <c r="BNW71" s="88"/>
      <c r="BNX71" s="88"/>
      <c r="BNY71" s="88"/>
      <c r="BNZ71" s="88"/>
      <c r="BOA71" s="88"/>
      <c r="BOB71" s="88"/>
      <c r="BOC71" s="88"/>
      <c r="BOD71" s="88"/>
      <c r="BOE71" s="88"/>
      <c r="BOF71" s="88"/>
      <c r="BOG71" s="88"/>
      <c r="BOH71" s="88"/>
      <c r="BOI71" s="88"/>
      <c r="BOJ71" s="88"/>
      <c r="BOK71" s="88"/>
      <c r="BOL71" s="88"/>
      <c r="BOM71" s="88"/>
      <c r="BON71" s="88"/>
      <c r="BOO71" s="88"/>
      <c r="BOP71" s="88"/>
      <c r="BOQ71" s="88"/>
      <c r="BOR71" s="88"/>
      <c r="BOS71" s="88"/>
      <c r="BOT71" s="88"/>
      <c r="BOU71" s="88"/>
      <c r="BOV71" s="88"/>
      <c r="BOW71" s="88"/>
      <c r="BOX71" s="88"/>
      <c r="BOY71" s="88"/>
      <c r="BOZ71" s="88"/>
      <c r="BPA71" s="88"/>
      <c r="BPB71" s="88"/>
      <c r="BPC71" s="88"/>
      <c r="BPD71" s="88"/>
      <c r="BPE71" s="88"/>
      <c r="BPF71" s="88"/>
      <c r="BPG71" s="88"/>
      <c r="BPH71" s="88"/>
      <c r="BPI71" s="88"/>
      <c r="BPJ71" s="88"/>
      <c r="BPK71" s="88"/>
      <c r="BPL71" s="88"/>
      <c r="BPM71" s="88"/>
      <c r="BPN71" s="88"/>
      <c r="BPO71" s="88"/>
      <c r="BPP71" s="88"/>
      <c r="BPQ71" s="88"/>
      <c r="BPR71" s="88"/>
      <c r="BPS71" s="88"/>
      <c r="BPT71" s="88"/>
      <c r="BPU71" s="88"/>
      <c r="BPV71" s="88"/>
      <c r="BPW71" s="88"/>
      <c r="BPX71" s="88"/>
      <c r="BPY71" s="88"/>
      <c r="BPZ71" s="88"/>
      <c r="BQA71" s="88"/>
      <c r="BQB71" s="88"/>
      <c r="BQC71" s="88"/>
      <c r="BQD71" s="88"/>
      <c r="BQE71" s="88"/>
      <c r="BQF71" s="88"/>
      <c r="BQG71" s="88"/>
      <c r="BQH71" s="88"/>
      <c r="BQI71" s="88"/>
      <c r="BQJ71" s="88"/>
      <c r="BQK71" s="88"/>
      <c r="BQL71" s="88"/>
      <c r="BQM71" s="88"/>
      <c r="BQN71" s="88"/>
      <c r="BQO71" s="88"/>
      <c r="BQP71" s="88"/>
      <c r="BQQ71" s="88"/>
      <c r="BQR71" s="88"/>
      <c r="BQS71" s="88"/>
      <c r="BQT71" s="88"/>
      <c r="BQU71" s="88"/>
      <c r="BQV71" s="88"/>
      <c r="BQW71" s="88"/>
      <c r="BQX71" s="88"/>
      <c r="BQY71" s="88"/>
      <c r="BQZ71" s="88"/>
      <c r="BRA71" s="88"/>
      <c r="BRB71" s="88"/>
      <c r="BRC71" s="88"/>
      <c r="BRD71" s="88"/>
      <c r="BRE71" s="88"/>
      <c r="BRF71" s="88"/>
      <c r="BRG71" s="88"/>
      <c r="BRH71" s="88"/>
      <c r="BRI71" s="88"/>
      <c r="BRJ71" s="88"/>
      <c r="BRK71" s="88"/>
      <c r="BRL71" s="88"/>
      <c r="BRM71" s="88"/>
      <c r="BRN71" s="88"/>
      <c r="BRO71" s="88"/>
      <c r="BRP71" s="88"/>
      <c r="BRQ71" s="88"/>
      <c r="BRR71" s="88"/>
      <c r="BRS71" s="88"/>
      <c r="BRT71" s="88"/>
      <c r="BRU71" s="88"/>
      <c r="BRV71" s="88"/>
      <c r="BRW71" s="88"/>
      <c r="BRX71" s="88"/>
      <c r="BRY71" s="88"/>
      <c r="BRZ71" s="88"/>
      <c r="BSA71" s="88"/>
      <c r="BSB71" s="88"/>
      <c r="BSC71" s="88"/>
      <c r="BSD71" s="88"/>
      <c r="BSE71" s="88"/>
      <c r="BSF71" s="88"/>
      <c r="BSG71" s="88"/>
      <c r="BSH71" s="88"/>
      <c r="BSI71" s="88"/>
      <c r="BSJ71" s="88"/>
      <c r="BSK71" s="88"/>
      <c r="BSL71" s="88"/>
      <c r="BSM71" s="88"/>
      <c r="BSN71" s="88"/>
      <c r="BSO71" s="88"/>
      <c r="BSP71" s="88"/>
      <c r="BSQ71" s="88"/>
      <c r="BSR71" s="88"/>
      <c r="BSS71" s="88"/>
      <c r="BST71" s="88"/>
      <c r="BSU71" s="88"/>
      <c r="BSV71" s="88"/>
      <c r="BSW71" s="88"/>
      <c r="BSX71" s="88"/>
      <c r="BSY71" s="88"/>
      <c r="BSZ71" s="88"/>
      <c r="BTA71" s="88"/>
      <c r="BTB71" s="88"/>
      <c r="BTC71" s="88"/>
      <c r="BTD71" s="88"/>
      <c r="BTE71" s="88"/>
      <c r="BTF71" s="88"/>
      <c r="BTG71" s="88"/>
      <c r="BTH71" s="88"/>
      <c r="BTI71" s="88"/>
      <c r="BTJ71" s="88"/>
      <c r="BTK71" s="88"/>
      <c r="BTL71" s="88"/>
      <c r="BTM71" s="88"/>
      <c r="BTN71" s="88"/>
      <c r="BTO71" s="88"/>
      <c r="BTP71" s="88"/>
      <c r="BTQ71" s="88"/>
      <c r="BTR71" s="88"/>
      <c r="BTS71" s="88"/>
      <c r="BTT71" s="88"/>
      <c r="BTU71" s="88"/>
      <c r="BTV71" s="88"/>
      <c r="BTW71" s="88"/>
      <c r="BTX71" s="88"/>
      <c r="BTY71" s="88"/>
      <c r="BTZ71" s="88"/>
      <c r="BUA71" s="88"/>
      <c r="BUB71" s="88"/>
      <c r="BUC71" s="88"/>
      <c r="BUD71" s="88"/>
      <c r="BUE71" s="88"/>
      <c r="BUF71" s="88"/>
      <c r="BUG71" s="88"/>
      <c r="BUH71" s="88"/>
      <c r="BUI71" s="88"/>
      <c r="BUJ71" s="88"/>
      <c r="BUK71" s="88"/>
      <c r="BUL71" s="88"/>
      <c r="BUM71" s="88"/>
      <c r="BUN71" s="88"/>
      <c r="BUO71" s="88"/>
      <c r="BUP71" s="88"/>
      <c r="BUQ71" s="88"/>
      <c r="BUR71" s="88"/>
      <c r="BUS71" s="88"/>
      <c r="BUT71" s="88"/>
      <c r="BUU71" s="88"/>
      <c r="BUV71" s="88"/>
      <c r="BUW71" s="88"/>
      <c r="BUX71" s="88"/>
      <c r="BUY71" s="88"/>
      <c r="BUZ71" s="88"/>
      <c r="BVA71" s="88"/>
      <c r="BVB71" s="88"/>
      <c r="BVC71" s="88"/>
      <c r="BVD71" s="88"/>
      <c r="BVE71" s="88"/>
      <c r="BVF71" s="88"/>
      <c r="BVG71" s="88"/>
      <c r="BVH71" s="88"/>
      <c r="BVI71" s="88"/>
      <c r="BVJ71" s="88"/>
      <c r="BVK71" s="88"/>
      <c r="BVL71" s="88"/>
      <c r="BVM71" s="88"/>
      <c r="BVN71" s="88"/>
      <c r="BVO71" s="88"/>
      <c r="BVP71" s="88"/>
      <c r="BVQ71" s="88"/>
      <c r="BVR71" s="88"/>
      <c r="BVS71" s="88"/>
      <c r="BVT71" s="88"/>
      <c r="BVU71" s="88"/>
      <c r="BVV71" s="88"/>
      <c r="BVW71" s="88"/>
      <c r="BVX71" s="88"/>
      <c r="BVY71" s="88"/>
      <c r="BVZ71" s="88"/>
      <c r="BWA71" s="88"/>
      <c r="BWB71" s="88"/>
      <c r="BWC71" s="88"/>
      <c r="BWD71" s="88"/>
      <c r="BWE71" s="88"/>
      <c r="BWF71" s="88"/>
      <c r="BWG71" s="88"/>
      <c r="BWH71" s="88"/>
      <c r="BWI71" s="88"/>
      <c r="BWJ71" s="88"/>
      <c r="BWK71" s="88"/>
      <c r="BWL71" s="88"/>
      <c r="BWM71" s="88"/>
      <c r="BWN71" s="88"/>
      <c r="BWO71" s="88"/>
      <c r="BWP71" s="88"/>
      <c r="BWQ71" s="88"/>
      <c r="BWR71" s="88"/>
      <c r="BWS71" s="88"/>
      <c r="BWT71" s="88"/>
      <c r="BWU71" s="88"/>
      <c r="BWV71" s="88"/>
      <c r="BWW71" s="88"/>
      <c r="BWX71" s="88"/>
      <c r="BWY71" s="88"/>
      <c r="BWZ71" s="88"/>
      <c r="BXA71" s="88"/>
      <c r="BXB71" s="88"/>
      <c r="BXC71" s="88"/>
      <c r="BXD71" s="88"/>
      <c r="BXE71" s="88"/>
      <c r="BXF71" s="88"/>
      <c r="BXG71" s="88"/>
      <c r="BXH71" s="88"/>
      <c r="BXI71" s="88"/>
      <c r="BXJ71" s="88"/>
      <c r="BXK71" s="88"/>
      <c r="BXL71" s="88"/>
      <c r="BXM71" s="88"/>
      <c r="BXN71" s="88"/>
      <c r="BXO71" s="88"/>
      <c r="BXP71" s="88"/>
      <c r="BXQ71" s="88"/>
      <c r="BXR71" s="88"/>
      <c r="BXS71" s="88"/>
      <c r="BXT71" s="88"/>
      <c r="BXU71" s="88"/>
      <c r="BXV71" s="88"/>
      <c r="BXW71" s="88"/>
      <c r="BXX71" s="88"/>
      <c r="BXY71" s="88"/>
      <c r="BXZ71" s="88"/>
      <c r="BYA71" s="88"/>
      <c r="BYB71" s="88"/>
      <c r="BYC71" s="88"/>
      <c r="BYD71" s="88"/>
      <c r="BYE71" s="88"/>
      <c r="BYF71" s="88"/>
      <c r="BYG71" s="88"/>
      <c r="BYH71" s="88"/>
      <c r="BYI71" s="88"/>
      <c r="BYJ71" s="88"/>
      <c r="BYK71" s="88"/>
      <c r="BYL71" s="88"/>
      <c r="BYM71" s="88"/>
      <c r="BYN71" s="88"/>
      <c r="BYO71" s="88"/>
      <c r="BYP71" s="88"/>
      <c r="BYQ71" s="88"/>
      <c r="BYR71" s="88"/>
      <c r="BYS71" s="88"/>
      <c r="BYT71" s="88"/>
      <c r="BYU71" s="88"/>
      <c r="BYV71" s="88"/>
      <c r="BYW71" s="88"/>
      <c r="BYX71" s="88"/>
      <c r="BYY71" s="88"/>
      <c r="BYZ71" s="88"/>
      <c r="BZA71" s="88"/>
      <c r="BZB71" s="88"/>
      <c r="BZC71" s="88"/>
      <c r="BZD71" s="88"/>
      <c r="BZE71" s="88"/>
      <c r="BZF71" s="88"/>
      <c r="BZG71" s="88"/>
      <c r="BZH71" s="88"/>
      <c r="BZI71" s="88"/>
      <c r="BZJ71" s="88"/>
      <c r="BZK71" s="88"/>
      <c r="BZL71" s="88"/>
      <c r="BZM71" s="88"/>
      <c r="BZN71" s="88"/>
      <c r="BZO71" s="88"/>
      <c r="BZP71" s="88"/>
      <c r="BZQ71" s="88"/>
      <c r="BZR71" s="88"/>
      <c r="BZS71" s="88"/>
      <c r="BZT71" s="88"/>
      <c r="BZU71" s="88"/>
      <c r="BZV71" s="88"/>
      <c r="BZW71" s="88"/>
      <c r="BZX71" s="88"/>
      <c r="BZY71" s="88"/>
      <c r="BZZ71" s="88"/>
      <c r="CAA71" s="88"/>
      <c r="CAB71" s="88"/>
      <c r="CAC71" s="88"/>
      <c r="CAD71" s="88"/>
      <c r="CAE71" s="88"/>
      <c r="CAF71" s="88"/>
      <c r="CAG71" s="88"/>
      <c r="CAH71" s="88"/>
      <c r="CAI71" s="88"/>
      <c r="CAJ71" s="88"/>
      <c r="CAK71" s="88"/>
      <c r="CAL71" s="88"/>
      <c r="CAM71" s="88"/>
      <c r="CAN71" s="88"/>
      <c r="CAO71" s="88"/>
      <c r="CAP71" s="88"/>
      <c r="CAQ71" s="88"/>
      <c r="CAR71" s="88"/>
      <c r="CAS71" s="88"/>
      <c r="CAT71" s="88"/>
      <c r="CAU71" s="88"/>
      <c r="CAV71" s="88"/>
      <c r="CAW71" s="88"/>
      <c r="CAX71" s="88"/>
      <c r="CAY71" s="88"/>
      <c r="CAZ71" s="88"/>
      <c r="CBA71" s="88"/>
      <c r="CBB71" s="88"/>
      <c r="CBC71" s="88"/>
      <c r="CBD71" s="88"/>
      <c r="CBE71" s="88"/>
      <c r="CBF71" s="88"/>
      <c r="CBG71" s="88"/>
      <c r="CBH71" s="88"/>
      <c r="CBI71" s="88"/>
      <c r="CBJ71" s="88"/>
      <c r="CBK71" s="88"/>
      <c r="CBL71" s="88"/>
      <c r="CBM71" s="88"/>
      <c r="CBN71" s="88"/>
      <c r="CBO71" s="88"/>
      <c r="CBP71" s="88"/>
      <c r="CBQ71" s="88"/>
      <c r="CBR71" s="88"/>
      <c r="CBS71" s="88"/>
      <c r="CBT71" s="88"/>
      <c r="CBU71" s="88"/>
      <c r="CBV71" s="88"/>
      <c r="CBW71" s="88"/>
      <c r="CBX71" s="88"/>
      <c r="CBY71" s="88"/>
      <c r="CBZ71" s="88"/>
      <c r="CCA71" s="88"/>
      <c r="CCB71" s="88"/>
      <c r="CCC71" s="88"/>
      <c r="CCD71" s="88"/>
      <c r="CCE71" s="88"/>
      <c r="CCF71" s="88"/>
      <c r="CCG71" s="88"/>
      <c r="CCH71" s="88"/>
      <c r="CCI71" s="88"/>
      <c r="CCJ71" s="88"/>
      <c r="CCK71" s="88"/>
      <c r="CCL71" s="88"/>
      <c r="CCM71" s="88"/>
      <c r="CCN71" s="88"/>
      <c r="CCO71" s="88"/>
      <c r="CCP71" s="88"/>
      <c r="CCQ71" s="88"/>
      <c r="CCR71" s="88"/>
      <c r="CCS71" s="88"/>
      <c r="CCT71" s="88"/>
      <c r="CCU71" s="88"/>
      <c r="CCV71" s="88"/>
      <c r="CCW71" s="88"/>
      <c r="CCX71" s="88"/>
      <c r="CCY71" s="88"/>
      <c r="CCZ71" s="88"/>
      <c r="CDA71" s="88"/>
      <c r="CDB71" s="88"/>
      <c r="CDC71" s="88"/>
      <c r="CDD71" s="88"/>
      <c r="CDE71" s="88"/>
      <c r="CDF71" s="88"/>
      <c r="CDG71" s="88"/>
      <c r="CDH71" s="88"/>
      <c r="CDI71" s="88"/>
      <c r="CDJ71" s="88"/>
      <c r="CDK71" s="88"/>
      <c r="CDL71" s="88"/>
      <c r="CDM71" s="88"/>
      <c r="CDN71" s="88"/>
      <c r="CDO71" s="88"/>
      <c r="CDP71" s="88"/>
      <c r="CDQ71" s="88"/>
      <c r="CDR71" s="88"/>
      <c r="CDS71" s="88"/>
      <c r="CDT71" s="88"/>
      <c r="CDU71" s="88"/>
      <c r="CDV71" s="88"/>
      <c r="CDW71" s="88"/>
      <c r="CDX71" s="88"/>
      <c r="CDY71" s="88"/>
      <c r="CDZ71" s="88"/>
      <c r="CEA71" s="88"/>
      <c r="CEB71" s="88"/>
      <c r="CEC71" s="88"/>
      <c r="CED71" s="88"/>
      <c r="CEE71" s="88"/>
      <c r="CEF71" s="88"/>
      <c r="CEG71" s="88"/>
      <c r="CEH71" s="88"/>
      <c r="CEI71" s="88"/>
      <c r="CEJ71" s="88"/>
      <c r="CEK71" s="88"/>
    </row>
    <row r="72" spans="1:2169" s="63" customFormat="1">
      <c r="A72" s="73" t="s">
        <v>430</v>
      </c>
      <c r="B72" s="71" t="s">
        <v>501</v>
      </c>
      <c r="C72" s="68" t="str">
        <f>IF('page 2'!$O$4="","",IF('page 2'!$O$4=Gestion!A72,1,0))</f>
        <v/>
      </c>
      <c r="D72" s="68" t="str">
        <f>IF('page 2'!$O$5="","",IF('page 2'!$O$5=Gestion!A72,1,0))</f>
        <v/>
      </c>
      <c r="E72" s="68" t="str">
        <f>IF('page 2'!$O$6="","",IF('page 2'!$O$6=Gestion!A72,1,0))</f>
        <v/>
      </c>
      <c r="F72" s="68" t="str">
        <f>IF('page 2'!$O$7="","",IF('page 2'!$O$7=Gestion!A72,1,0))</f>
        <v/>
      </c>
      <c r="G72" s="68" t="str">
        <f>IF('page 2'!$O$8="","",IF('page 2'!$O$8=Gestion!A72,1,0))</f>
        <v/>
      </c>
      <c r="H72" s="68" t="str">
        <f>IF('page 2'!$O$9="","",IF('page 2'!$O$9=Gestion!A72,1,0))</f>
        <v/>
      </c>
      <c r="I72" s="68" t="str">
        <f>IF('page 2'!$O$10="","",IF('page 2'!$O$10=Gestion!A72,1,0))</f>
        <v/>
      </c>
      <c r="J72" s="68" t="str">
        <f>IF('page 2'!$O$11="","",IF('page 2'!$O$11=Gestion!A72,1,0))</f>
        <v/>
      </c>
      <c r="K72" s="68" t="str">
        <f>IF('page 2'!$O$12="","",IF('page 2'!$O$12=Gestion!A72,1,0))</f>
        <v/>
      </c>
      <c r="L72" s="68" t="str">
        <f>IF('page 2'!$O$13="","",IF('page 2'!$O$13=Gestion!A72,1,0))</f>
        <v/>
      </c>
      <c r="M72" s="68" t="str">
        <f>IF('page 2'!$O$14="","",IF('page 2'!$O$14=Gestion!A72,1,0))</f>
        <v/>
      </c>
      <c r="N72" s="68" t="str">
        <f>IF('page 2'!$O$15="","",IF('page 2'!$O$15=Gestion!A72,1,0))</f>
        <v/>
      </c>
      <c r="O72" s="68" t="str">
        <f>IF('page 2'!$O$16="","",IF('page 2'!$O$16=Gestion!A72,1,0))</f>
        <v/>
      </c>
      <c r="P72" s="68" t="str">
        <f>IF('page 2'!$O$17="","",IF('page 2'!$O$17=Gestion!A72,1,0))</f>
        <v/>
      </c>
      <c r="Q72" s="68" t="str">
        <f>IF('page 2'!$O$18="","",IF('page 2'!$O$18=Gestion!A72,1,0))</f>
        <v/>
      </c>
      <c r="R72" s="68" t="str">
        <f>IF('page 2'!$O$19="","",IF('page 2'!$O$19=Gestion!A72,1,0))</f>
        <v/>
      </c>
      <c r="S72" s="68" t="str">
        <f>IF('page 2'!$O$20="","",IF('page 2'!$O$20=Gestion!A72,1,0))</f>
        <v/>
      </c>
      <c r="T72" s="68" t="str">
        <f>IF('page 2'!$O$25="","",IF('page 2'!$O$25=Gestion!A72,1,0))</f>
        <v/>
      </c>
      <c r="U72" s="68" t="str">
        <f>IF('page 2'!$O$26="","",IF('page 2'!$O$26=Gestion!A72,1,0))</f>
        <v/>
      </c>
      <c r="V72" s="68" t="str">
        <f>IF('page 2'!$O$27="","",IF('page 2'!$O$27=Gestion!A72,1,0))</f>
        <v/>
      </c>
      <c r="W72" s="722">
        <f t="shared" si="0"/>
        <v>0</v>
      </c>
      <c r="X72" s="714"/>
      <c r="Y72" s="68"/>
      <c r="Z72" s="68"/>
      <c r="AA72" s="68"/>
      <c r="AB72" s="68"/>
      <c r="AC72" s="68"/>
      <c r="AD72" s="68"/>
      <c r="AP72" s="130"/>
      <c r="AQ72" s="130"/>
      <c r="AR72" s="130"/>
      <c r="AS72" s="576"/>
      <c r="AT72" s="576"/>
      <c r="AU72" s="576"/>
      <c r="AV72" s="576"/>
      <c r="AW72" s="602"/>
      <c r="AX72" s="602"/>
      <c r="AY72" s="576"/>
      <c r="AZ72" s="576"/>
      <c r="BA72" s="576"/>
      <c r="BB72" s="576"/>
      <c r="BC72" s="576"/>
      <c r="BD72" s="602"/>
      <c r="BE72" s="602"/>
      <c r="BF72" s="602"/>
      <c r="BG72" s="602"/>
      <c r="BH72" s="602"/>
      <c r="BI72" s="602"/>
      <c r="BJ72" s="602"/>
      <c r="BK72" s="602"/>
      <c r="BL72" s="602"/>
      <c r="BM72" s="602"/>
      <c r="BN72" s="602"/>
      <c r="BO72" s="602"/>
      <c r="BP72" s="602"/>
      <c r="BQ72" s="602"/>
      <c r="BR72" s="602"/>
      <c r="BS72" s="576"/>
      <c r="BT72" s="576"/>
      <c r="BU72" s="576"/>
      <c r="BV72" s="576"/>
      <c r="BW72" s="602"/>
      <c r="BX72" s="602"/>
      <c r="BY72" s="602"/>
      <c r="BZ72" s="576"/>
      <c r="CA72" s="602"/>
      <c r="CB72" s="602"/>
      <c r="CC72" s="576"/>
      <c r="CD72" s="576"/>
      <c r="CE72" s="602"/>
      <c r="CF72" s="576"/>
      <c r="CG72" s="576"/>
      <c r="CH72" s="576"/>
      <c r="CI72" s="576"/>
      <c r="CJ72" s="576"/>
      <c r="CK72" s="602"/>
      <c r="CL72" s="602"/>
      <c r="CM72" s="576"/>
      <c r="CN72" s="602"/>
      <c r="CO72" s="602"/>
      <c r="CP72" s="602"/>
      <c r="CQ72" s="576"/>
      <c r="CR72" s="576"/>
      <c r="CS72" s="602"/>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c r="MI72" s="88"/>
      <c r="MJ72" s="88"/>
      <c r="MK72" s="88"/>
      <c r="ML72" s="88"/>
      <c r="MM72" s="88"/>
      <c r="MN72" s="88"/>
      <c r="MO72" s="88"/>
      <c r="MP72" s="88"/>
      <c r="MQ72" s="88"/>
      <c r="MR72" s="88"/>
      <c r="MS72" s="88"/>
      <c r="MT72" s="88"/>
      <c r="MU72" s="88"/>
      <c r="MV72" s="88"/>
      <c r="MW72" s="88"/>
      <c r="MX72" s="88"/>
      <c r="MY72" s="88"/>
      <c r="MZ72" s="88"/>
      <c r="NA72" s="88"/>
      <c r="NB72" s="88"/>
      <c r="NC72" s="88"/>
      <c r="ND72" s="88"/>
      <c r="NE72" s="88"/>
      <c r="NF72" s="88"/>
      <c r="NG72" s="88"/>
      <c r="NH72" s="88"/>
      <c r="NI72" s="88"/>
      <c r="NJ72" s="88"/>
      <c r="NK72" s="88"/>
      <c r="NL72" s="88"/>
      <c r="NM72" s="88"/>
      <c r="NN72" s="88"/>
      <c r="NO72" s="88"/>
      <c r="NP72" s="88"/>
      <c r="NQ72" s="88"/>
      <c r="NR72" s="88"/>
      <c r="NS72" s="88"/>
      <c r="NT72" s="88"/>
      <c r="NU72" s="88"/>
      <c r="NV72" s="88"/>
      <c r="NW72" s="88"/>
      <c r="NX72" s="88"/>
      <c r="NY72" s="88"/>
      <c r="NZ72" s="88"/>
      <c r="OA72" s="88"/>
      <c r="OB72" s="88"/>
      <c r="OC72" s="88"/>
      <c r="OD72" s="88"/>
      <c r="OE72" s="88"/>
      <c r="OF72" s="88"/>
      <c r="OG72" s="88"/>
      <c r="OH72" s="88"/>
      <c r="OI72" s="88"/>
      <c r="OJ72" s="88"/>
      <c r="OK72" s="88"/>
      <c r="OL72" s="88"/>
      <c r="OM72" s="88"/>
      <c r="ON72" s="88"/>
      <c r="OO72" s="88"/>
      <c r="OP72" s="88"/>
      <c r="OQ72" s="88"/>
      <c r="OR72" s="88"/>
      <c r="OS72" s="88"/>
      <c r="OT72" s="88"/>
      <c r="OU72" s="88"/>
      <c r="OV72" s="88"/>
      <c r="OW72" s="88"/>
      <c r="OX72" s="88"/>
      <c r="OY72" s="88"/>
      <c r="OZ72" s="88"/>
      <c r="PA72" s="88"/>
      <c r="PB72" s="88"/>
      <c r="PC72" s="88"/>
      <c r="PD72" s="88"/>
      <c r="PE72" s="88"/>
      <c r="PF72" s="88"/>
      <c r="PG72" s="88"/>
      <c r="PH72" s="88"/>
      <c r="PI72" s="88"/>
      <c r="PJ72" s="88"/>
      <c r="PK72" s="88"/>
      <c r="PL72" s="88"/>
      <c r="PM72" s="88"/>
      <c r="PN72" s="88"/>
      <c r="PO72" s="88"/>
      <c r="PP72" s="88"/>
      <c r="PQ72" s="88"/>
      <c r="PR72" s="88"/>
      <c r="PS72" s="88"/>
      <c r="PT72" s="88"/>
      <c r="PU72" s="88"/>
      <c r="PV72" s="88"/>
      <c r="PW72" s="88"/>
      <c r="PX72" s="88"/>
      <c r="PY72" s="88"/>
      <c r="PZ72" s="88"/>
      <c r="QA72" s="88"/>
      <c r="QB72" s="88"/>
      <c r="QC72" s="88"/>
      <c r="QD72" s="88"/>
      <c r="QE72" s="88"/>
      <c r="QF72" s="88"/>
      <c r="QG72" s="88"/>
      <c r="QH72" s="88"/>
      <c r="QI72" s="88"/>
      <c r="QJ72" s="88"/>
      <c r="QK72" s="88"/>
      <c r="QL72" s="88"/>
      <c r="QM72" s="88"/>
      <c r="QN72" s="88"/>
      <c r="QO72" s="88"/>
      <c r="QP72" s="88"/>
      <c r="QQ72" s="88"/>
      <c r="QR72" s="88"/>
      <c r="QS72" s="88"/>
      <c r="QT72" s="88"/>
      <c r="QU72" s="88"/>
      <c r="QV72" s="88"/>
      <c r="QW72" s="88"/>
      <c r="QX72" s="88"/>
      <c r="QY72" s="88"/>
      <c r="QZ72" s="88"/>
      <c r="RA72" s="88"/>
      <c r="RB72" s="88"/>
      <c r="RC72" s="88"/>
      <c r="RD72" s="88"/>
      <c r="RE72" s="88"/>
      <c r="RF72" s="88"/>
      <c r="RG72" s="88"/>
      <c r="RH72" s="88"/>
      <c r="RI72" s="88"/>
      <c r="RJ72" s="88"/>
      <c r="RK72" s="88"/>
      <c r="RL72" s="88"/>
      <c r="RM72" s="88"/>
      <c r="RN72" s="88"/>
      <c r="RO72" s="88"/>
      <c r="RP72" s="88"/>
      <c r="RQ72" s="88"/>
      <c r="RR72" s="88"/>
      <c r="RS72" s="88"/>
      <c r="RT72" s="88"/>
      <c r="RU72" s="88"/>
      <c r="RV72" s="88"/>
      <c r="RW72" s="88"/>
      <c r="RX72" s="88"/>
      <c r="RY72" s="88"/>
      <c r="RZ72" s="88"/>
      <c r="SA72" s="88"/>
      <c r="SB72" s="88"/>
      <c r="SC72" s="88"/>
      <c r="SD72" s="88"/>
      <c r="SE72" s="88"/>
      <c r="SF72" s="88"/>
      <c r="SG72" s="88"/>
      <c r="SH72" s="88"/>
      <c r="SI72" s="88"/>
      <c r="SJ72" s="88"/>
      <c r="SK72" s="88"/>
      <c r="SL72" s="88"/>
      <c r="SM72" s="88"/>
      <c r="SN72" s="88"/>
      <c r="SO72" s="88"/>
      <c r="SP72" s="88"/>
      <c r="SQ72" s="88"/>
      <c r="SR72" s="88"/>
      <c r="SS72" s="88"/>
      <c r="ST72" s="88"/>
      <c r="SU72" s="88"/>
      <c r="SV72" s="88"/>
      <c r="SW72" s="88"/>
      <c r="SX72" s="88"/>
      <c r="SY72" s="88"/>
      <c r="SZ72" s="88"/>
      <c r="TA72" s="88"/>
      <c r="TB72" s="88"/>
      <c r="TC72" s="88"/>
      <c r="TD72" s="88"/>
      <c r="TE72" s="88"/>
      <c r="TF72" s="88"/>
      <c r="TG72" s="88"/>
      <c r="TH72" s="88"/>
      <c r="TI72" s="88"/>
      <c r="TJ72" s="88"/>
      <c r="TK72" s="88"/>
      <c r="TL72" s="88"/>
      <c r="TM72" s="88"/>
      <c r="TN72" s="88"/>
      <c r="TO72" s="88"/>
      <c r="TP72" s="88"/>
      <c r="TQ72" s="88"/>
      <c r="TR72" s="88"/>
      <c r="TS72" s="88"/>
      <c r="TT72" s="88"/>
      <c r="TU72" s="88"/>
      <c r="TV72" s="88"/>
      <c r="TW72" s="88"/>
      <c r="TX72" s="88"/>
      <c r="TY72" s="88"/>
      <c r="TZ72" s="88"/>
      <c r="UA72" s="88"/>
      <c r="UB72" s="88"/>
      <c r="UC72" s="88"/>
      <c r="UD72" s="88"/>
      <c r="UE72" s="88"/>
      <c r="UF72" s="88"/>
      <c r="UG72" s="88"/>
      <c r="UH72" s="88"/>
      <c r="UI72" s="88"/>
      <c r="UJ72" s="88"/>
      <c r="UK72" s="88"/>
      <c r="UL72" s="88"/>
      <c r="UM72" s="88"/>
      <c r="UN72" s="88"/>
      <c r="UO72" s="88"/>
      <c r="UP72" s="88"/>
      <c r="UQ72" s="88"/>
      <c r="UR72" s="88"/>
      <c r="US72" s="88"/>
      <c r="UT72" s="88"/>
      <c r="UU72" s="88"/>
      <c r="UV72" s="88"/>
      <c r="UW72" s="88"/>
      <c r="UX72" s="88"/>
      <c r="UY72" s="88"/>
      <c r="UZ72" s="88"/>
      <c r="VA72" s="88"/>
      <c r="VB72" s="88"/>
      <c r="VC72" s="88"/>
      <c r="VD72" s="88"/>
      <c r="VE72" s="88"/>
      <c r="VF72" s="88"/>
      <c r="VG72" s="88"/>
      <c r="VH72" s="88"/>
      <c r="VI72" s="88"/>
      <c r="VJ72" s="88"/>
      <c r="VK72" s="88"/>
      <c r="VL72" s="88"/>
      <c r="VM72" s="88"/>
      <c r="VN72" s="88"/>
      <c r="VO72" s="88"/>
      <c r="VP72" s="88"/>
      <c r="VQ72" s="88"/>
      <c r="VR72" s="88"/>
      <c r="VS72" s="88"/>
      <c r="VT72" s="88"/>
      <c r="VU72" s="88"/>
      <c r="VV72" s="88"/>
      <c r="VW72" s="88"/>
      <c r="VX72" s="88"/>
      <c r="VY72" s="88"/>
      <c r="VZ72" s="88"/>
      <c r="WA72" s="88"/>
      <c r="WB72" s="88"/>
      <c r="WC72" s="88"/>
      <c r="WD72" s="88"/>
      <c r="WE72" s="88"/>
      <c r="WF72" s="88"/>
      <c r="WG72" s="88"/>
      <c r="WH72" s="88"/>
      <c r="WI72" s="88"/>
      <c r="WJ72" s="88"/>
      <c r="WK72" s="88"/>
      <c r="WL72" s="88"/>
      <c r="WM72" s="88"/>
      <c r="WN72" s="88"/>
      <c r="WO72" s="88"/>
      <c r="WP72" s="88"/>
      <c r="WQ72" s="88"/>
      <c r="WR72" s="88"/>
      <c r="WS72" s="88"/>
      <c r="WT72" s="88"/>
      <c r="WU72" s="88"/>
      <c r="WV72" s="88"/>
      <c r="WW72" s="88"/>
      <c r="WX72" s="88"/>
      <c r="WY72" s="88"/>
      <c r="WZ72" s="88"/>
      <c r="XA72" s="88"/>
      <c r="XB72" s="88"/>
      <c r="XC72" s="88"/>
      <c r="XD72" s="88"/>
      <c r="XE72" s="88"/>
      <c r="XF72" s="88"/>
      <c r="XG72" s="88"/>
      <c r="XH72" s="88"/>
      <c r="XI72" s="88"/>
      <c r="XJ72" s="88"/>
      <c r="XK72" s="88"/>
      <c r="XL72" s="88"/>
      <c r="XM72" s="88"/>
      <c r="XN72" s="88"/>
      <c r="XO72" s="88"/>
      <c r="XP72" s="88"/>
      <c r="XQ72" s="88"/>
      <c r="XR72" s="88"/>
      <c r="XS72" s="88"/>
      <c r="XT72" s="88"/>
      <c r="XU72" s="88"/>
      <c r="XV72" s="88"/>
      <c r="XW72" s="88"/>
      <c r="XX72" s="88"/>
      <c r="XY72" s="88"/>
      <c r="XZ72" s="88"/>
      <c r="YA72" s="88"/>
      <c r="YB72" s="88"/>
      <c r="YC72" s="88"/>
      <c r="YD72" s="88"/>
      <c r="YE72" s="88"/>
      <c r="YF72" s="88"/>
      <c r="YG72" s="88"/>
      <c r="YH72" s="88"/>
      <c r="YI72" s="88"/>
      <c r="YJ72" s="88"/>
      <c r="YK72" s="88"/>
      <c r="YL72" s="88"/>
      <c r="YM72" s="88"/>
      <c r="YN72" s="88"/>
      <c r="YO72" s="88"/>
      <c r="YP72" s="88"/>
      <c r="YQ72" s="88"/>
      <c r="YR72" s="88"/>
      <c r="YS72" s="88"/>
      <c r="YT72" s="88"/>
      <c r="YU72" s="88"/>
      <c r="YV72" s="88"/>
      <c r="YW72" s="88"/>
      <c r="YX72" s="88"/>
      <c r="YY72" s="88"/>
      <c r="YZ72" s="88"/>
      <c r="ZA72" s="88"/>
      <c r="ZB72" s="88"/>
      <c r="ZC72" s="88"/>
      <c r="ZD72" s="88"/>
      <c r="ZE72" s="88"/>
      <c r="ZF72" s="88"/>
      <c r="ZG72" s="88"/>
      <c r="ZH72" s="88"/>
      <c r="ZI72" s="88"/>
      <c r="ZJ72" s="88"/>
      <c r="ZK72" s="88"/>
      <c r="ZL72" s="88"/>
      <c r="ZM72" s="88"/>
      <c r="ZN72" s="88"/>
      <c r="ZO72" s="88"/>
      <c r="ZP72" s="88"/>
      <c r="ZQ72" s="88"/>
      <c r="ZR72" s="88"/>
      <c r="ZS72" s="88"/>
      <c r="ZT72" s="88"/>
      <c r="ZU72" s="88"/>
      <c r="ZV72" s="88"/>
      <c r="ZW72" s="88"/>
      <c r="ZX72" s="88"/>
      <c r="ZY72" s="88"/>
      <c r="ZZ72" s="88"/>
      <c r="AAA72" s="88"/>
      <c r="AAB72" s="88"/>
      <c r="AAC72" s="88"/>
      <c r="AAD72" s="88"/>
      <c r="AAE72" s="88"/>
      <c r="AAF72" s="88"/>
      <c r="AAG72" s="88"/>
      <c r="AAH72" s="88"/>
      <c r="AAI72" s="88"/>
      <c r="AAJ72" s="88"/>
      <c r="AAK72" s="88"/>
      <c r="AAL72" s="88"/>
      <c r="AAM72" s="88"/>
      <c r="AAN72" s="88"/>
      <c r="AAO72" s="88"/>
      <c r="AAP72" s="88"/>
      <c r="AAQ72" s="88"/>
      <c r="AAR72" s="88"/>
      <c r="AAS72" s="88"/>
      <c r="AAT72" s="88"/>
      <c r="AAU72" s="88"/>
      <c r="AAV72" s="88"/>
      <c r="AAW72" s="88"/>
      <c r="AAX72" s="88"/>
      <c r="AAY72" s="88"/>
      <c r="AAZ72" s="88"/>
      <c r="ABA72" s="88"/>
      <c r="ABB72" s="88"/>
      <c r="ABC72" s="88"/>
      <c r="ABD72" s="88"/>
      <c r="ABE72" s="88"/>
      <c r="ABF72" s="88"/>
      <c r="ABG72" s="88"/>
      <c r="ABH72" s="88"/>
      <c r="ABI72" s="88"/>
      <c r="ABJ72" s="88"/>
      <c r="ABK72" s="88"/>
      <c r="ABL72" s="88"/>
      <c r="ABM72" s="88"/>
      <c r="ABN72" s="88"/>
      <c r="ABO72" s="88"/>
      <c r="ABP72" s="88"/>
      <c r="ABQ72" s="88"/>
      <c r="ABR72" s="88"/>
      <c r="ABS72" s="88"/>
      <c r="ABT72" s="88"/>
      <c r="ABU72" s="88"/>
      <c r="ABV72" s="88"/>
      <c r="ABW72" s="88"/>
      <c r="ABX72" s="88"/>
      <c r="ABY72" s="88"/>
      <c r="ABZ72" s="88"/>
      <c r="ACA72" s="88"/>
      <c r="ACB72" s="88"/>
      <c r="ACC72" s="88"/>
      <c r="ACD72" s="88"/>
      <c r="ACE72" s="88"/>
      <c r="ACF72" s="88"/>
      <c r="ACG72" s="88"/>
      <c r="ACH72" s="88"/>
      <c r="ACI72" s="88"/>
      <c r="ACJ72" s="88"/>
      <c r="ACK72" s="88"/>
      <c r="ACL72" s="88"/>
      <c r="ACM72" s="88"/>
      <c r="ACN72" s="88"/>
      <c r="ACO72" s="88"/>
      <c r="ACP72" s="88"/>
      <c r="ACQ72" s="88"/>
      <c r="ACR72" s="88"/>
      <c r="ACS72" s="88"/>
      <c r="ACT72" s="88"/>
      <c r="ACU72" s="88"/>
      <c r="ACV72" s="88"/>
      <c r="ACW72" s="88"/>
      <c r="ACX72" s="88"/>
      <c r="ACY72" s="88"/>
      <c r="ACZ72" s="88"/>
      <c r="ADA72" s="88"/>
      <c r="ADB72" s="88"/>
      <c r="ADC72" s="88"/>
      <c r="ADD72" s="88"/>
      <c r="ADE72" s="88"/>
      <c r="ADF72" s="88"/>
      <c r="ADG72" s="88"/>
      <c r="ADH72" s="88"/>
      <c r="ADI72" s="88"/>
      <c r="ADJ72" s="88"/>
      <c r="ADK72" s="88"/>
      <c r="ADL72" s="88"/>
      <c r="ADM72" s="88"/>
      <c r="ADN72" s="88"/>
      <c r="ADO72" s="88"/>
      <c r="ADP72" s="88"/>
      <c r="ADQ72" s="88"/>
      <c r="ADR72" s="88"/>
      <c r="ADS72" s="88"/>
      <c r="ADT72" s="88"/>
      <c r="ADU72" s="88"/>
      <c r="ADV72" s="88"/>
      <c r="ADW72" s="88"/>
      <c r="ADX72" s="88"/>
      <c r="ADY72" s="88"/>
      <c r="ADZ72" s="88"/>
      <c r="AEA72" s="88"/>
      <c r="AEB72" s="88"/>
      <c r="AEC72" s="88"/>
      <c r="AED72" s="88"/>
      <c r="AEE72" s="88"/>
      <c r="AEF72" s="88"/>
      <c r="AEG72" s="88"/>
      <c r="AEH72" s="88"/>
      <c r="AEI72" s="88"/>
      <c r="AEJ72" s="88"/>
      <c r="AEK72" s="88"/>
      <c r="AEL72" s="88"/>
      <c r="AEM72" s="88"/>
      <c r="AEN72" s="88"/>
      <c r="AEO72" s="88"/>
      <c r="AEP72" s="88"/>
      <c r="AEQ72" s="88"/>
      <c r="AER72" s="88"/>
      <c r="AES72" s="88"/>
      <c r="AET72" s="88"/>
      <c r="AEU72" s="88"/>
      <c r="AEV72" s="88"/>
      <c r="AEW72" s="88"/>
      <c r="AEX72" s="88"/>
      <c r="AEY72" s="88"/>
      <c r="AEZ72" s="88"/>
      <c r="AFA72" s="88"/>
      <c r="AFB72" s="88"/>
      <c r="AFC72" s="88"/>
      <c r="AFD72" s="88"/>
      <c r="AFE72" s="88"/>
      <c r="AFF72" s="88"/>
      <c r="AFG72" s="88"/>
      <c r="AFH72" s="88"/>
      <c r="AFI72" s="88"/>
      <c r="AFJ72" s="88"/>
      <c r="AFK72" s="88"/>
      <c r="AFL72" s="88"/>
      <c r="AFM72" s="88"/>
      <c r="AFN72" s="88"/>
      <c r="AFO72" s="88"/>
      <c r="AFP72" s="88"/>
      <c r="AFQ72" s="88"/>
      <c r="AFR72" s="88"/>
      <c r="AFS72" s="88"/>
      <c r="AFT72" s="88"/>
      <c r="AFU72" s="88"/>
      <c r="AFV72" s="88"/>
      <c r="AFW72" s="88"/>
      <c r="AFX72" s="88"/>
      <c r="AFY72" s="88"/>
      <c r="AFZ72" s="88"/>
      <c r="AGA72" s="88"/>
      <c r="AGB72" s="88"/>
      <c r="AGC72" s="88"/>
      <c r="AGD72" s="88"/>
      <c r="AGE72" s="88"/>
      <c r="AGF72" s="88"/>
      <c r="AGG72" s="88"/>
      <c r="AGH72" s="88"/>
      <c r="AGI72" s="88"/>
      <c r="AGJ72" s="88"/>
      <c r="AGK72" s="88"/>
      <c r="AGL72" s="88"/>
      <c r="AGM72" s="88"/>
      <c r="AGN72" s="88"/>
      <c r="AGO72" s="88"/>
      <c r="AGP72" s="88"/>
      <c r="AGQ72" s="88"/>
      <c r="AGR72" s="88"/>
      <c r="AGS72" s="88"/>
      <c r="AGT72" s="88"/>
      <c r="AGU72" s="88"/>
      <c r="AGV72" s="88"/>
      <c r="AGW72" s="88"/>
      <c r="AGX72" s="88"/>
      <c r="AGY72" s="88"/>
      <c r="AGZ72" s="88"/>
      <c r="AHA72" s="88"/>
      <c r="AHB72" s="88"/>
      <c r="AHC72" s="88"/>
      <c r="AHD72" s="88"/>
      <c r="AHE72" s="88"/>
      <c r="AHF72" s="88"/>
      <c r="AHG72" s="88"/>
      <c r="AHH72" s="88"/>
      <c r="AHI72" s="88"/>
      <c r="AHJ72" s="88"/>
      <c r="AHK72" s="88"/>
      <c r="AHL72" s="88"/>
      <c r="AHM72" s="88"/>
      <c r="AHN72" s="88"/>
      <c r="AHO72" s="88"/>
      <c r="AHP72" s="88"/>
      <c r="AHQ72" s="88"/>
      <c r="AHR72" s="88"/>
      <c r="AHS72" s="88"/>
      <c r="AHT72" s="88"/>
      <c r="AHU72" s="88"/>
      <c r="AHV72" s="88"/>
      <c r="AHW72" s="88"/>
      <c r="AHX72" s="88"/>
      <c r="AHY72" s="88"/>
      <c r="AHZ72" s="88"/>
      <c r="AIA72" s="88"/>
      <c r="AIB72" s="88"/>
      <c r="AIC72" s="88"/>
      <c r="AID72" s="88"/>
      <c r="AIE72" s="88"/>
      <c r="AIF72" s="88"/>
      <c r="AIG72" s="88"/>
      <c r="AIH72" s="88"/>
      <c r="AII72" s="88"/>
      <c r="AIJ72" s="88"/>
      <c r="AIK72" s="88"/>
      <c r="AIL72" s="88"/>
      <c r="AIM72" s="88"/>
      <c r="AIN72" s="88"/>
      <c r="AIO72" s="88"/>
      <c r="AIP72" s="88"/>
      <c r="AIQ72" s="88"/>
      <c r="AIR72" s="88"/>
      <c r="AIS72" s="88"/>
      <c r="AIT72" s="88"/>
      <c r="AIU72" s="88"/>
      <c r="AIV72" s="88"/>
      <c r="AIW72" s="88"/>
      <c r="AIX72" s="88"/>
      <c r="AIY72" s="88"/>
      <c r="AIZ72" s="88"/>
      <c r="AJA72" s="88"/>
      <c r="AJB72" s="88"/>
      <c r="AJC72" s="88"/>
      <c r="AJD72" s="88"/>
      <c r="AJE72" s="88"/>
      <c r="AJF72" s="88"/>
      <c r="AJG72" s="88"/>
      <c r="AJH72" s="88"/>
      <c r="AJI72" s="88"/>
      <c r="AJJ72" s="88"/>
      <c r="AJK72" s="88"/>
      <c r="AJL72" s="88"/>
      <c r="AJM72" s="88"/>
      <c r="AJN72" s="88"/>
      <c r="AJO72" s="88"/>
      <c r="AJP72" s="88"/>
      <c r="AJQ72" s="88"/>
      <c r="AJR72" s="88"/>
      <c r="AJS72" s="88"/>
      <c r="AJT72" s="88"/>
      <c r="AJU72" s="88"/>
      <c r="AJV72" s="88"/>
      <c r="AJW72" s="88"/>
      <c r="AJX72" s="88"/>
      <c r="AJY72" s="88"/>
      <c r="AJZ72" s="88"/>
      <c r="AKA72" s="88"/>
      <c r="AKB72" s="88"/>
      <c r="AKC72" s="88"/>
      <c r="AKD72" s="88"/>
      <c r="AKE72" s="88"/>
      <c r="AKF72" s="88"/>
      <c r="AKG72" s="88"/>
      <c r="AKH72" s="88"/>
      <c r="AKI72" s="88"/>
      <c r="AKJ72" s="88"/>
      <c r="AKK72" s="88"/>
      <c r="AKL72" s="88"/>
      <c r="AKM72" s="88"/>
      <c r="AKN72" s="88"/>
      <c r="AKO72" s="88"/>
      <c r="AKP72" s="88"/>
      <c r="AKQ72" s="88"/>
      <c r="AKR72" s="88"/>
      <c r="AKS72" s="88"/>
      <c r="AKT72" s="88"/>
      <c r="AKU72" s="88"/>
      <c r="AKV72" s="88"/>
      <c r="AKW72" s="88"/>
      <c r="AKX72" s="88"/>
      <c r="AKY72" s="88"/>
      <c r="AKZ72" s="88"/>
      <c r="ALA72" s="88"/>
      <c r="ALB72" s="88"/>
      <c r="ALC72" s="88"/>
      <c r="ALD72" s="88"/>
      <c r="ALE72" s="88"/>
      <c r="ALF72" s="88"/>
      <c r="ALG72" s="88"/>
      <c r="ALH72" s="88"/>
      <c r="ALI72" s="88"/>
      <c r="ALJ72" s="88"/>
      <c r="ALK72" s="88"/>
      <c r="ALL72" s="88"/>
      <c r="ALM72" s="88"/>
      <c r="ALN72" s="88"/>
      <c r="ALO72" s="88"/>
      <c r="ALP72" s="88"/>
      <c r="ALQ72" s="88"/>
      <c r="ALR72" s="88"/>
      <c r="ALS72" s="88"/>
      <c r="ALT72" s="88"/>
      <c r="ALU72" s="88"/>
      <c r="ALV72" s="88"/>
      <c r="ALW72" s="88"/>
      <c r="ALX72" s="88"/>
      <c r="ALY72" s="88"/>
      <c r="ALZ72" s="88"/>
      <c r="AMA72" s="88"/>
      <c r="AMB72" s="88"/>
      <c r="AMC72" s="88"/>
      <c r="AMD72" s="88"/>
      <c r="AME72" s="88"/>
      <c r="AMF72" s="88"/>
      <c r="AMG72" s="88"/>
      <c r="AMH72" s="88"/>
      <c r="AMI72" s="88"/>
      <c r="AMJ72" s="88"/>
      <c r="AMK72" s="88"/>
      <c r="AML72" s="88"/>
      <c r="AMM72" s="88"/>
      <c r="AMN72" s="88"/>
      <c r="AMO72" s="88"/>
      <c r="AMP72" s="88"/>
      <c r="AMQ72" s="88"/>
      <c r="AMR72" s="88"/>
      <c r="AMS72" s="88"/>
      <c r="AMT72" s="88"/>
      <c r="AMU72" s="88"/>
      <c r="AMV72" s="88"/>
      <c r="AMW72" s="88"/>
      <c r="AMX72" s="88"/>
      <c r="AMY72" s="88"/>
      <c r="AMZ72" s="88"/>
      <c r="ANA72" s="88"/>
      <c r="ANB72" s="88"/>
      <c r="ANC72" s="88"/>
      <c r="AND72" s="88"/>
      <c r="ANE72" s="88"/>
      <c r="ANF72" s="88"/>
      <c r="ANG72" s="88"/>
      <c r="ANH72" s="88"/>
      <c r="ANI72" s="88"/>
      <c r="ANJ72" s="88"/>
      <c r="ANK72" s="88"/>
      <c r="ANL72" s="88"/>
      <c r="ANM72" s="88"/>
      <c r="ANN72" s="88"/>
      <c r="ANO72" s="88"/>
      <c r="ANP72" s="88"/>
      <c r="ANQ72" s="88"/>
      <c r="ANR72" s="88"/>
      <c r="ANS72" s="88"/>
      <c r="ANT72" s="88"/>
      <c r="ANU72" s="88"/>
      <c r="ANV72" s="88"/>
      <c r="ANW72" s="88"/>
      <c r="ANX72" s="88"/>
      <c r="ANY72" s="88"/>
      <c r="ANZ72" s="88"/>
      <c r="AOA72" s="88"/>
      <c r="AOB72" s="88"/>
      <c r="AOC72" s="88"/>
      <c r="AOD72" s="88"/>
      <c r="AOE72" s="88"/>
      <c r="AOF72" s="88"/>
      <c r="AOG72" s="88"/>
      <c r="AOH72" s="88"/>
      <c r="AOI72" s="88"/>
      <c r="AOJ72" s="88"/>
      <c r="AOK72" s="88"/>
      <c r="AOL72" s="88"/>
      <c r="AOM72" s="88"/>
      <c r="AON72" s="88"/>
      <c r="AOO72" s="88"/>
      <c r="AOP72" s="88"/>
      <c r="AOQ72" s="88"/>
      <c r="AOR72" s="88"/>
      <c r="AOS72" s="88"/>
      <c r="AOT72" s="88"/>
      <c r="AOU72" s="88"/>
      <c r="AOV72" s="88"/>
      <c r="AOW72" s="88"/>
      <c r="AOX72" s="88"/>
      <c r="AOY72" s="88"/>
      <c r="AOZ72" s="88"/>
      <c r="APA72" s="88"/>
      <c r="APB72" s="88"/>
      <c r="APC72" s="88"/>
      <c r="APD72" s="88"/>
      <c r="APE72" s="88"/>
      <c r="APF72" s="88"/>
      <c r="APG72" s="88"/>
      <c r="APH72" s="88"/>
      <c r="API72" s="88"/>
      <c r="APJ72" s="88"/>
      <c r="APK72" s="88"/>
      <c r="APL72" s="88"/>
      <c r="APM72" s="88"/>
      <c r="APN72" s="88"/>
      <c r="APO72" s="88"/>
      <c r="APP72" s="88"/>
      <c r="APQ72" s="88"/>
      <c r="APR72" s="88"/>
      <c r="APS72" s="88"/>
      <c r="APT72" s="88"/>
      <c r="APU72" s="88"/>
      <c r="APV72" s="88"/>
      <c r="APW72" s="88"/>
      <c r="APX72" s="88"/>
      <c r="APY72" s="88"/>
      <c r="APZ72" s="88"/>
      <c r="AQA72" s="88"/>
      <c r="AQB72" s="88"/>
      <c r="AQC72" s="88"/>
      <c r="AQD72" s="88"/>
      <c r="AQE72" s="88"/>
      <c r="AQF72" s="88"/>
      <c r="AQG72" s="88"/>
      <c r="AQH72" s="88"/>
      <c r="AQI72" s="88"/>
      <c r="AQJ72" s="88"/>
      <c r="AQK72" s="88"/>
      <c r="AQL72" s="88"/>
      <c r="AQM72" s="88"/>
      <c r="AQN72" s="88"/>
      <c r="AQO72" s="88"/>
      <c r="AQP72" s="88"/>
      <c r="AQQ72" s="88"/>
      <c r="AQR72" s="88"/>
      <c r="AQS72" s="88"/>
      <c r="AQT72" s="88"/>
      <c r="AQU72" s="88"/>
      <c r="AQV72" s="88"/>
      <c r="AQW72" s="88"/>
      <c r="AQX72" s="88"/>
      <c r="AQY72" s="88"/>
      <c r="AQZ72" s="88"/>
      <c r="ARA72" s="88"/>
      <c r="ARB72" s="88"/>
      <c r="ARC72" s="88"/>
      <c r="ARD72" s="88"/>
      <c r="ARE72" s="88"/>
      <c r="ARF72" s="88"/>
      <c r="ARG72" s="88"/>
      <c r="ARH72" s="88"/>
      <c r="ARI72" s="88"/>
      <c r="ARJ72" s="88"/>
      <c r="ARK72" s="88"/>
      <c r="ARL72" s="88"/>
      <c r="ARM72" s="88"/>
      <c r="ARN72" s="88"/>
      <c r="ARO72" s="88"/>
      <c r="ARP72" s="88"/>
      <c r="ARQ72" s="88"/>
      <c r="ARR72" s="88"/>
      <c r="ARS72" s="88"/>
      <c r="ART72" s="88"/>
      <c r="ARU72" s="88"/>
      <c r="ARV72" s="88"/>
      <c r="ARW72" s="88"/>
      <c r="ARX72" s="88"/>
      <c r="ARY72" s="88"/>
      <c r="ARZ72" s="88"/>
      <c r="ASA72" s="88"/>
      <c r="ASB72" s="88"/>
      <c r="ASC72" s="88"/>
      <c r="ASD72" s="88"/>
      <c r="ASE72" s="88"/>
      <c r="ASF72" s="88"/>
      <c r="ASG72" s="88"/>
      <c r="ASH72" s="88"/>
      <c r="ASI72" s="88"/>
      <c r="ASJ72" s="88"/>
      <c r="ASK72" s="88"/>
      <c r="ASL72" s="88"/>
      <c r="ASM72" s="88"/>
      <c r="ASN72" s="88"/>
      <c r="ASO72" s="88"/>
      <c r="ASP72" s="88"/>
      <c r="ASQ72" s="88"/>
      <c r="ASR72" s="88"/>
      <c r="ASS72" s="88"/>
      <c r="AST72" s="88"/>
      <c r="ASU72" s="88"/>
      <c r="ASV72" s="88"/>
      <c r="ASW72" s="88"/>
      <c r="ASX72" s="88"/>
      <c r="ASY72" s="88"/>
      <c r="ASZ72" s="88"/>
      <c r="ATA72" s="88"/>
      <c r="ATB72" s="88"/>
      <c r="ATC72" s="88"/>
      <c r="ATD72" s="88"/>
      <c r="ATE72" s="88"/>
      <c r="ATF72" s="88"/>
      <c r="ATG72" s="88"/>
      <c r="ATH72" s="88"/>
      <c r="ATI72" s="88"/>
      <c r="ATJ72" s="88"/>
      <c r="ATK72" s="88"/>
      <c r="ATL72" s="88"/>
      <c r="ATM72" s="88"/>
      <c r="ATN72" s="88"/>
      <c r="ATO72" s="88"/>
      <c r="ATP72" s="88"/>
      <c r="ATQ72" s="88"/>
      <c r="ATR72" s="88"/>
      <c r="ATS72" s="88"/>
      <c r="ATT72" s="88"/>
      <c r="ATU72" s="88"/>
      <c r="ATV72" s="88"/>
      <c r="ATW72" s="88"/>
      <c r="ATX72" s="88"/>
      <c r="ATY72" s="88"/>
      <c r="ATZ72" s="88"/>
      <c r="AUA72" s="88"/>
      <c r="AUB72" s="88"/>
      <c r="AUC72" s="88"/>
      <c r="AUD72" s="88"/>
      <c r="AUE72" s="88"/>
      <c r="AUF72" s="88"/>
      <c r="AUG72" s="88"/>
      <c r="AUH72" s="88"/>
      <c r="AUI72" s="88"/>
      <c r="AUJ72" s="88"/>
      <c r="AUK72" s="88"/>
      <c r="AUL72" s="88"/>
      <c r="AUM72" s="88"/>
      <c r="AUN72" s="88"/>
      <c r="AUO72" s="88"/>
      <c r="AUP72" s="88"/>
      <c r="AUQ72" s="88"/>
      <c r="AUR72" s="88"/>
      <c r="AUS72" s="88"/>
      <c r="AUT72" s="88"/>
      <c r="AUU72" s="88"/>
      <c r="AUV72" s="88"/>
      <c r="AUW72" s="88"/>
      <c r="AUX72" s="88"/>
      <c r="AUY72" s="88"/>
      <c r="AUZ72" s="88"/>
      <c r="AVA72" s="88"/>
      <c r="AVB72" s="88"/>
      <c r="AVC72" s="88"/>
      <c r="AVD72" s="88"/>
      <c r="AVE72" s="88"/>
      <c r="AVF72" s="88"/>
      <c r="AVG72" s="88"/>
      <c r="AVH72" s="88"/>
      <c r="AVI72" s="88"/>
      <c r="AVJ72" s="88"/>
      <c r="AVK72" s="88"/>
      <c r="AVL72" s="88"/>
      <c r="AVM72" s="88"/>
      <c r="AVN72" s="88"/>
      <c r="AVO72" s="88"/>
      <c r="AVP72" s="88"/>
      <c r="AVQ72" s="88"/>
      <c r="AVR72" s="88"/>
      <c r="AVS72" s="88"/>
      <c r="AVT72" s="88"/>
      <c r="AVU72" s="88"/>
      <c r="AVV72" s="88"/>
      <c r="AVW72" s="88"/>
      <c r="AVX72" s="88"/>
      <c r="AVY72" s="88"/>
      <c r="AVZ72" s="88"/>
      <c r="AWA72" s="88"/>
      <c r="AWB72" s="88"/>
      <c r="AWC72" s="88"/>
      <c r="AWD72" s="88"/>
      <c r="AWE72" s="88"/>
      <c r="AWF72" s="88"/>
      <c r="AWG72" s="88"/>
      <c r="AWH72" s="88"/>
      <c r="AWI72" s="88"/>
      <c r="AWJ72" s="88"/>
      <c r="AWK72" s="88"/>
      <c r="AWL72" s="88"/>
      <c r="AWM72" s="88"/>
      <c r="AWN72" s="88"/>
      <c r="AWO72" s="88"/>
      <c r="AWP72" s="88"/>
      <c r="AWQ72" s="88"/>
      <c r="AWR72" s="88"/>
      <c r="AWS72" s="88"/>
      <c r="AWT72" s="88"/>
      <c r="AWU72" s="88"/>
      <c r="AWV72" s="88"/>
      <c r="AWW72" s="88"/>
      <c r="AWX72" s="88"/>
      <c r="AWY72" s="88"/>
      <c r="AWZ72" s="88"/>
      <c r="AXA72" s="88"/>
      <c r="AXB72" s="88"/>
      <c r="AXC72" s="88"/>
      <c r="AXD72" s="88"/>
      <c r="AXE72" s="88"/>
      <c r="AXF72" s="88"/>
      <c r="AXG72" s="88"/>
      <c r="AXH72" s="88"/>
      <c r="AXI72" s="88"/>
      <c r="AXJ72" s="88"/>
      <c r="AXK72" s="88"/>
      <c r="AXL72" s="88"/>
      <c r="AXM72" s="88"/>
      <c r="AXN72" s="88"/>
      <c r="AXO72" s="88"/>
      <c r="AXP72" s="88"/>
      <c r="AXQ72" s="88"/>
      <c r="AXR72" s="88"/>
      <c r="AXS72" s="88"/>
      <c r="AXT72" s="88"/>
      <c r="AXU72" s="88"/>
      <c r="AXV72" s="88"/>
      <c r="AXW72" s="88"/>
      <c r="AXX72" s="88"/>
      <c r="AXY72" s="88"/>
      <c r="AXZ72" s="88"/>
      <c r="AYA72" s="88"/>
      <c r="AYB72" s="88"/>
      <c r="AYC72" s="88"/>
      <c r="AYD72" s="88"/>
      <c r="AYE72" s="88"/>
      <c r="AYF72" s="88"/>
      <c r="AYG72" s="88"/>
      <c r="AYH72" s="88"/>
      <c r="AYI72" s="88"/>
      <c r="AYJ72" s="88"/>
      <c r="AYK72" s="88"/>
      <c r="AYL72" s="88"/>
      <c r="AYM72" s="88"/>
      <c r="AYN72" s="88"/>
      <c r="AYO72" s="88"/>
      <c r="AYP72" s="88"/>
      <c r="AYQ72" s="88"/>
      <c r="AYR72" s="88"/>
      <c r="AYS72" s="88"/>
      <c r="AYT72" s="88"/>
      <c r="AYU72" s="88"/>
      <c r="AYV72" s="88"/>
      <c r="AYW72" s="88"/>
      <c r="AYX72" s="88"/>
      <c r="AYY72" s="88"/>
      <c r="AYZ72" s="88"/>
      <c r="AZA72" s="88"/>
      <c r="AZB72" s="88"/>
      <c r="AZC72" s="88"/>
      <c r="AZD72" s="88"/>
      <c r="AZE72" s="88"/>
      <c r="AZF72" s="88"/>
      <c r="AZG72" s="88"/>
      <c r="AZH72" s="88"/>
      <c r="AZI72" s="88"/>
      <c r="AZJ72" s="88"/>
      <c r="AZK72" s="88"/>
      <c r="AZL72" s="88"/>
      <c r="AZM72" s="88"/>
      <c r="AZN72" s="88"/>
      <c r="AZO72" s="88"/>
      <c r="AZP72" s="88"/>
      <c r="AZQ72" s="88"/>
      <c r="AZR72" s="88"/>
      <c r="AZS72" s="88"/>
      <c r="AZT72" s="88"/>
      <c r="AZU72" s="88"/>
      <c r="AZV72" s="88"/>
      <c r="AZW72" s="88"/>
      <c r="AZX72" s="88"/>
      <c r="AZY72" s="88"/>
      <c r="AZZ72" s="88"/>
      <c r="BAA72" s="88"/>
      <c r="BAB72" s="88"/>
      <c r="BAC72" s="88"/>
      <c r="BAD72" s="88"/>
      <c r="BAE72" s="88"/>
      <c r="BAF72" s="88"/>
      <c r="BAG72" s="88"/>
      <c r="BAH72" s="88"/>
      <c r="BAI72" s="88"/>
      <c r="BAJ72" s="88"/>
      <c r="BAK72" s="88"/>
      <c r="BAL72" s="88"/>
      <c r="BAM72" s="88"/>
      <c r="BAN72" s="88"/>
      <c r="BAO72" s="88"/>
      <c r="BAP72" s="88"/>
      <c r="BAQ72" s="88"/>
      <c r="BAR72" s="88"/>
      <c r="BAS72" s="88"/>
      <c r="BAT72" s="88"/>
      <c r="BAU72" s="88"/>
      <c r="BAV72" s="88"/>
      <c r="BAW72" s="88"/>
      <c r="BAX72" s="88"/>
      <c r="BAY72" s="88"/>
      <c r="BAZ72" s="88"/>
      <c r="BBA72" s="88"/>
      <c r="BBB72" s="88"/>
      <c r="BBC72" s="88"/>
      <c r="BBD72" s="88"/>
      <c r="BBE72" s="88"/>
      <c r="BBF72" s="88"/>
      <c r="BBG72" s="88"/>
      <c r="BBH72" s="88"/>
      <c r="BBI72" s="88"/>
      <c r="BBJ72" s="88"/>
      <c r="BBK72" s="88"/>
      <c r="BBL72" s="88"/>
      <c r="BBM72" s="88"/>
      <c r="BBN72" s="88"/>
      <c r="BBO72" s="88"/>
      <c r="BBP72" s="88"/>
      <c r="BBQ72" s="88"/>
      <c r="BBR72" s="88"/>
      <c r="BBS72" s="88"/>
      <c r="BBT72" s="88"/>
      <c r="BBU72" s="88"/>
      <c r="BBV72" s="88"/>
      <c r="BBW72" s="88"/>
      <c r="BBX72" s="88"/>
      <c r="BBY72" s="88"/>
      <c r="BBZ72" s="88"/>
      <c r="BCA72" s="88"/>
      <c r="BCB72" s="88"/>
      <c r="BCC72" s="88"/>
      <c r="BCD72" s="88"/>
      <c r="BCE72" s="88"/>
      <c r="BCF72" s="88"/>
      <c r="BCG72" s="88"/>
      <c r="BCH72" s="88"/>
      <c r="BCI72" s="88"/>
      <c r="BCJ72" s="88"/>
      <c r="BCK72" s="88"/>
      <c r="BCL72" s="88"/>
      <c r="BCM72" s="88"/>
      <c r="BCN72" s="88"/>
      <c r="BCO72" s="88"/>
      <c r="BCP72" s="88"/>
      <c r="BCQ72" s="88"/>
      <c r="BCR72" s="88"/>
      <c r="BCS72" s="88"/>
      <c r="BCT72" s="88"/>
      <c r="BCU72" s="88"/>
      <c r="BCV72" s="88"/>
      <c r="BCW72" s="88"/>
      <c r="BCX72" s="88"/>
      <c r="BCY72" s="88"/>
      <c r="BCZ72" s="88"/>
      <c r="BDA72" s="88"/>
      <c r="BDB72" s="88"/>
      <c r="BDC72" s="88"/>
      <c r="BDD72" s="88"/>
      <c r="BDE72" s="88"/>
      <c r="BDF72" s="88"/>
      <c r="BDG72" s="88"/>
      <c r="BDH72" s="88"/>
      <c r="BDI72" s="88"/>
      <c r="BDJ72" s="88"/>
      <c r="BDK72" s="88"/>
      <c r="BDL72" s="88"/>
      <c r="BDM72" s="88"/>
      <c r="BDN72" s="88"/>
      <c r="BDO72" s="88"/>
      <c r="BDP72" s="88"/>
      <c r="BDQ72" s="88"/>
      <c r="BDR72" s="88"/>
      <c r="BDS72" s="88"/>
      <c r="BDT72" s="88"/>
      <c r="BDU72" s="88"/>
      <c r="BDV72" s="88"/>
      <c r="BDW72" s="88"/>
      <c r="BDX72" s="88"/>
      <c r="BDY72" s="88"/>
      <c r="BDZ72" s="88"/>
      <c r="BEA72" s="88"/>
      <c r="BEB72" s="88"/>
      <c r="BEC72" s="88"/>
      <c r="BED72" s="88"/>
      <c r="BEE72" s="88"/>
      <c r="BEF72" s="88"/>
      <c r="BEG72" s="88"/>
      <c r="BEH72" s="88"/>
      <c r="BEI72" s="88"/>
      <c r="BEJ72" s="88"/>
      <c r="BEK72" s="88"/>
      <c r="BEL72" s="88"/>
      <c r="BEM72" s="88"/>
      <c r="BEN72" s="88"/>
      <c r="BEO72" s="88"/>
      <c r="BEP72" s="88"/>
      <c r="BEQ72" s="88"/>
      <c r="BER72" s="88"/>
      <c r="BES72" s="88"/>
      <c r="BET72" s="88"/>
      <c r="BEU72" s="88"/>
      <c r="BEV72" s="88"/>
      <c r="BEW72" s="88"/>
      <c r="BEX72" s="88"/>
      <c r="BEY72" s="88"/>
      <c r="BEZ72" s="88"/>
      <c r="BFA72" s="88"/>
      <c r="BFB72" s="88"/>
      <c r="BFC72" s="88"/>
      <c r="BFD72" s="88"/>
      <c r="BFE72" s="88"/>
      <c r="BFF72" s="88"/>
      <c r="BFG72" s="88"/>
      <c r="BFH72" s="88"/>
      <c r="BFI72" s="88"/>
      <c r="BFJ72" s="88"/>
      <c r="BFK72" s="88"/>
      <c r="BFL72" s="88"/>
      <c r="BFM72" s="88"/>
      <c r="BFN72" s="88"/>
      <c r="BFO72" s="88"/>
      <c r="BFP72" s="88"/>
      <c r="BFQ72" s="88"/>
      <c r="BFR72" s="88"/>
      <c r="BFS72" s="88"/>
      <c r="BFT72" s="88"/>
      <c r="BFU72" s="88"/>
      <c r="BFV72" s="88"/>
      <c r="BFW72" s="88"/>
      <c r="BFX72" s="88"/>
      <c r="BFY72" s="88"/>
      <c r="BFZ72" s="88"/>
      <c r="BGA72" s="88"/>
      <c r="BGB72" s="88"/>
      <c r="BGC72" s="88"/>
      <c r="BGD72" s="88"/>
      <c r="BGE72" s="88"/>
      <c r="BGF72" s="88"/>
      <c r="BGG72" s="88"/>
      <c r="BGH72" s="88"/>
      <c r="BGI72" s="88"/>
      <c r="BGJ72" s="88"/>
      <c r="BGK72" s="88"/>
      <c r="BGL72" s="88"/>
      <c r="BGM72" s="88"/>
      <c r="BGN72" s="88"/>
      <c r="BGO72" s="88"/>
      <c r="BGP72" s="88"/>
      <c r="BGQ72" s="88"/>
      <c r="BGR72" s="88"/>
      <c r="BGS72" s="88"/>
      <c r="BGT72" s="88"/>
      <c r="BGU72" s="88"/>
      <c r="BGV72" s="88"/>
      <c r="BGW72" s="88"/>
      <c r="BGX72" s="88"/>
      <c r="BGY72" s="88"/>
      <c r="BGZ72" s="88"/>
      <c r="BHA72" s="88"/>
      <c r="BHB72" s="88"/>
      <c r="BHC72" s="88"/>
      <c r="BHD72" s="88"/>
      <c r="BHE72" s="88"/>
      <c r="BHF72" s="88"/>
      <c r="BHG72" s="88"/>
      <c r="BHH72" s="88"/>
      <c r="BHI72" s="88"/>
      <c r="BHJ72" s="88"/>
      <c r="BHK72" s="88"/>
      <c r="BHL72" s="88"/>
      <c r="BHM72" s="88"/>
      <c r="BHN72" s="88"/>
      <c r="BHO72" s="88"/>
      <c r="BHP72" s="88"/>
      <c r="BHQ72" s="88"/>
      <c r="BHR72" s="88"/>
      <c r="BHS72" s="88"/>
      <c r="BHT72" s="88"/>
      <c r="BHU72" s="88"/>
      <c r="BHV72" s="88"/>
      <c r="BHW72" s="88"/>
      <c r="BHX72" s="88"/>
      <c r="BHY72" s="88"/>
      <c r="BHZ72" s="88"/>
      <c r="BIA72" s="88"/>
      <c r="BIB72" s="88"/>
      <c r="BIC72" s="88"/>
      <c r="BID72" s="88"/>
      <c r="BIE72" s="88"/>
      <c r="BIF72" s="88"/>
      <c r="BIG72" s="88"/>
      <c r="BIH72" s="88"/>
      <c r="BII72" s="88"/>
      <c r="BIJ72" s="88"/>
      <c r="BIK72" s="88"/>
      <c r="BIL72" s="88"/>
      <c r="BIM72" s="88"/>
      <c r="BIN72" s="88"/>
      <c r="BIO72" s="88"/>
      <c r="BIP72" s="88"/>
      <c r="BIQ72" s="88"/>
      <c r="BIR72" s="88"/>
      <c r="BIS72" s="88"/>
      <c r="BIT72" s="88"/>
      <c r="BIU72" s="88"/>
      <c r="BIV72" s="88"/>
      <c r="BIW72" s="88"/>
      <c r="BIX72" s="88"/>
      <c r="BIY72" s="88"/>
      <c r="BIZ72" s="88"/>
      <c r="BJA72" s="88"/>
      <c r="BJB72" s="88"/>
      <c r="BJC72" s="88"/>
      <c r="BJD72" s="88"/>
      <c r="BJE72" s="88"/>
      <c r="BJF72" s="88"/>
      <c r="BJG72" s="88"/>
      <c r="BJH72" s="88"/>
      <c r="BJI72" s="88"/>
      <c r="BJJ72" s="88"/>
      <c r="BJK72" s="88"/>
      <c r="BJL72" s="88"/>
      <c r="BJM72" s="88"/>
      <c r="BJN72" s="88"/>
      <c r="BJO72" s="88"/>
      <c r="BJP72" s="88"/>
      <c r="BJQ72" s="88"/>
      <c r="BJR72" s="88"/>
      <c r="BJS72" s="88"/>
      <c r="BJT72" s="88"/>
      <c r="BJU72" s="88"/>
      <c r="BJV72" s="88"/>
      <c r="BJW72" s="88"/>
      <c r="BJX72" s="88"/>
      <c r="BJY72" s="88"/>
      <c r="BJZ72" s="88"/>
      <c r="BKA72" s="88"/>
      <c r="BKB72" s="88"/>
      <c r="BKC72" s="88"/>
      <c r="BKD72" s="88"/>
      <c r="BKE72" s="88"/>
      <c r="BKF72" s="88"/>
      <c r="BKG72" s="88"/>
      <c r="BKH72" s="88"/>
      <c r="BKI72" s="88"/>
      <c r="BKJ72" s="88"/>
      <c r="BKK72" s="88"/>
      <c r="BKL72" s="88"/>
      <c r="BKM72" s="88"/>
      <c r="BKN72" s="88"/>
      <c r="BKO72" s="88"/>
      <c r="BKP72" s="88"/>
      <c r="BKQ72" s="88"/>
      <c r="BKR72" s="88"/>
      <c r="BKS72" s="88"/>
      <c r="BKT72" s="88"/>
      <c r="BKU72" s="88"/>
      <c r="BKV72" s="88"/>
      <c r="BKW72" s="88"/>
      <c r="BKX72" s="88"/>
      <c r="BKY72" s="88"/>
      <c r="BKZ72" s="88"/>
      <c r="BLA72" s="88"/>
      <c r="BLB72" s="88"/>
      <c r="BLC72" s="88"/>
      <c r="BLD72" s="88"/>
      <c r="BLE72" s="88"/>
      <c r="BLF72" s="88"/>
      <c r="BLG72" s="88"/>
      <c r="BLH72" s="88"/>
      <c r="BLI72" s="88"/>
      <c r="BLJ72" s="88"/>
      <c r="BLK72" s="88"/>
      <c r="BLL72" s="88"/>
      <c r="BLM72" s="88"/>
      <c r="BLN72" s="88"/>
      <c r="BLO72" s="88"/>
      <c r="BLP72" s="88"/>
      <c r="BLQ72" s="88"/>
      <c r="BLR72" s="88"/>
      <c r="BLS72" s="88"/>
      <c r="BLT72" s="88"/>
      <c r="BLU72" s="88"/>
      <c r="BLV72" s="88"/>
      <c r="BLW72" s="88"/>
      <c r="BLX72" s="88"/>
      <c r="BLY72" s="88"/>
      <c r="BLZ72" s="88"/>
      <c r="BMA72" s="88"/>
      <c r="BMB72" s="88"/>
      <c r="BMC72" s="88"/>
      <c r="BMD72" s="88"/>
      <c r="BME72" s="88"/>
      <c r="BMF72" s="88"/>
      <c r="BMG72" s="88"/>
      <c r="BMH72" s="88"/>
      <c r="BMI72" s="88"/>
      <c r="BMJ72" s="88"/>
      <c r="BMK72" s="88"/>
      <c r="BML72" s="88"/>
      <c r="BMM72" s="88"/>
      <c r="BMN72" s="88"/>
      <c r="BMO72" s="88"/>
      <c r="BMP72" s="88"/>
      <c r="BMQ72" s="88"/>
      <c r="BMR72" s="88"/>
      <c r="BMS72" s="88"/>
      <c r="BMT72" s="88"/>
      <c r="BMU72" s="88"/>
      <c r="BMV72" s="88"/>
      <c r="BMW72" s="88"/>
      <c r="BMX72" s="88"/>
      <c r="BMY72" s="88"/>
      <c r="BMZ72" s="88"/>
      <c r="BNA72" s="88"/>
      <c r="BNB72" s="88"/>
      <c r="BNC72" s="88"/>
      <c r="BND72" s="88"/>
      <c r="BNE72" s="88"/>
      <c r="BNF72" s="88"/>
      <c r="BNG72" s="88"/>
      <c r="BNH72" s="88"/>
      <c r="BNI72" s="88"/>
      <c r="BNJ72" s="88"/>
      <c r="BNK72" s="88"/>
      <c r="BNL72" s="88"/>
      <c r="BNM72" s="88"/>
      <c r="BNN72" s="88"/>
      <c r="BNO72" s="88"/>
      <c r="BNP72" s="88"/>
      <c r="BNQ72" s="88"/>
      <c r="BNR72" s="88"/>
      <c r="BNS72" s="88"/>
      <c r="BNT72" s="88"/>
      <c r="BNU72" s="88"/>
      <c r="BNV72" s="88"/>
      <c r="BNW72" s="88"/>
      <c r="BNX72" s="88"/>
      <c r="BNY72" s="88"/>
      <c r="BNZ72" s="88"/>
      <c r="BOA72" s="88"/>
      <c r="BOB72" s="88"/>
      <c r="BOC72" s="88"/>
      <c r="BOD72" s="88"/>
      <c r="BOE72" s="88"/>
      <c r="BOF72" s="88"/>
      <c r="BOG72" s="88"/>
      <c r="BOH72" s="88"/>
      <c r="BOI72" s="88"/>
      <c r="BOJ72" s="88"/>
      <c r="BOK72" s="88"/>
      <c r="BOL72" s="88"/>
      <c r="BOM72" s="88"/>
      <c r="BON72" s="88"/>
      <c r="BOO72" s="88"/>
      <c r="BOP72" s="88"/>
      <c r="BOQ72" s="88"/>
      <c r="BOR72" s="88"/>
      <c r="BOS72" s="88"/>
      <c r="BOT72" s="88"/>
      <c r="BOU72" s="88"/>
      <c r="BOV72" s="88"/>
      <c r="BOW72" s="88"/>
      <c r="BOX72" s="88"/>
      <c r="BOY72" s="88"/>
      <c r="BOZ72" s="88"/>
      <c r="BPA72" s="88"/>
      <c r="BPB72" s="88"/>
      <c r="BPC72" s="88"/>
      <c r="BPD72" s="88"/>
      <c r="BPE72" s="88"/>
      <c r="BPF72" s="88"/>
      <c r="BPG72" s="88"/>
      <c r="BPH72" s="88"/>
      <c r="BPI72" s="88"/>
      <c r="BPJ72" s="88"/>
      <c r="BPK72" s="88"/>
      <c r="BPL72" s="88"/>
      <c r="BPM72" s="88"/>
      <c r="BPN72" s="88"/>
      <c r="BPO72" s="88"/>
      <c r="BPP72" s="88"/>
      <c r="BPQ72" s="88"/>
      <c r="BPR72" s="88"/>
      <c r="BPS72" s="88"/>
      <c r="BPT72" s="88"/>
      <c r="BPU72" s="88"/>
      <c r="BPV72" s="88"/>
      <c r="BPW72" s="88"/>
      <c r="BPX72" s="88"/>
      <c r="BPY72" s="88"/>
      <c r="BPZ72" s="88"/>
      <c r="BQA72" s="88"/>
      <c r="BQB72" s="88"/>
      <c r="BQC72" s="88"/>
      <c r="BQD72" s="88"/>
      <c r="BQE72" s="88"/>
      <c r="BQF72" s="88"/>
      <c r="BQG72" s="88"/>
      <c r="BQH72" s="88"/>
      <c r="BQI72" s="88"/>
      <c r="BQJ72" s="88"/>
      <c r="BQK72" s="88"/>
      <c r="BQL72" s="88"/>
      <c r="BQM72" s="88"/>
      <c r="BQN72" s="88"/>
      <c r="BQO72" s="88"/>
      <c r="BQP72" s="88"/>
      <c r="BQQ72" s="88"/>
      <c r="BQR72" s="88"/>
      <c r="BQS72" s="88"/>
      <c r="BQT72" s="88"/>
      <c r="BQU72" s="88"/>
      <c r="BQV72" s="88"/>
      <c r="BQW72" s="88"/>
      <c r="BQX72" s="88"/>
      <c r="BQY72" s="88"/>
      <c r="BQZ72" s="88"/>
      <c r="BRA72" s="88"/>
      <c r="BRB72" s="88"/>
      <c r="BRC72" s="88"/>
      <c r="BRD72" s="88"/>
      <c r="BRE72" s="88"/>
      <c r="BRF72" s="88"/>
      <c r="BRG72" s="88"/>
      <c r="BRH72" s="88"/>
      <c r="BRI72" s="88"/>
      <c r="BRJ72" s="88"/>
      <c r="BRK72" s="88"/>
      <c r="BRL72" s="88"/>
      <c r="BRM72" s="88"/>
      <c r="BRN72" s="88"/>
      <c r="BRO72" s="88"/>
      <c r="BRP72" s="88"/>
      <c r="BRQ72" s="88"/>
      <c r="BRR72" s="88"/>
      <c r="BRS72" s="88"/>
      <c r="BRT72" s="88"/>
      <c r="BRU72" s="88"/>
      <c r="BRV72" s="88"/>
      <c r="BRW72" s="88"/>
      <c r="BRX72" s="88"/>
      <c r="BRY72" s="88"/>
      <c r="BRZ72" s="88"/>
      <c r="BSA72" s="88"/>
      <c r="BSB72" s="88"/>
      <c r="BSC72" s="88"/>
      <c r="BSD72" s="88"/>
      <c r="BSE72" s="88"/>
      <c r="BSF72" s="88"/>
      <c r="BSG72" s="88"/>
      <c r="BSH72" s="88"/>
      <c r="BSI72" s="88"/>
      <c r="BSJ72" s="88"/>
      <c r="BSK72" s="88"/>
      <c r="BSL72" s="88"/>
      <c r="BSM72" s="88"/>
      <c r="BSN72" s="88"/>
      <c r="BSO72" s="88"/>
      <c r="BSP72" s="88"/>
      <c r="BSQ72" s="88"/>
      <c r="BSR72" s="88"/>
      <c r="BSS72" s="88"/>
      <c r="BST72" s="88"/>
      <c r="BSU72" s="88"/>
      <c r="BSV72" s="88"/>
      <c r="BSW72" s="88"/>
      <c r="BSX72" s="88"/>
      <c r="BSY72" s="88"/>
      <c r="BSZ72" s="88"/>
      <c r="BTA72" s="88"/>
      <c r="BTB72" s="88"/>
      <c r="BTC72" s="88"/>
      <c r="BTD72" s="88"/>
      <c r="BTE72" s="88"/>
      <c r="BTF72" s="88"/>
      <c r="BTG72" s="88"/>
      <c r="BTH72" s="88"/>
      <c r="BTI72" s="88"/>
      <c r="BTJ72" s="88"/>
      <c r="BTK72" s="88"/>
      <c r="BTL72" s="88"/>
      <c r="BTM72" s="88"/>
      <c r="BTN72" s="88"/>
      <c r="BTO72" s="88"/>
      <c r="BTP72" s="88"/>
      <c r="BTQ72" s="88"/>
      <c r="BTR72" s="88"/>
      <c r="BTS72" s="88"/>
      <c r="BTT72" s="88"/>
      <c r="BTU72" s="88"/>
      <c r="BTV72" s="88"/>
      <c r="BTW72" s="88"/>
      <c r="BTX72" s="88"/>
      <c r="BTY72" s="88"/>
      <c r="BTZ72" s="88"/>
      <c r="BUA72" s="88"/>
      <c r="BUB72" s="88"/>
      <c r="BUC72" s="88"/>
      <c r="BUD72" s="88"/>
      <c r="BUE72" s="88"/>
      <c r="BUF72" s="88"/>
      <c r="BUG72" s="88"/>
      <c r="BUH72" s="88"/>
      <c r="BUI72" s="88"/>
      <c r="BUJ72" s="88"/>
      <c r="BUK72" s="88"/>
      <c r="BUL72" s="88"/>
      <c r="BUM72" s="88"/>
      <c r="BUN72" s="88"/>
      <c r="BUO72" s="88"/>
      <c r="BUP72" s="88"/>
      <c r="BUQ72" s="88"/>
      <c r="BUR72" s="88"/>
      <c r="BUS72" s="88"/>
      <c r="BUT72" s="88"/>
      <c r="BUU72" s="88"/>
      <c r="BUV72" s="88"/>
      <c r="BUW72" s="88"/>
      <c r="BUX72" s="88"/>
      <c r="BUY72" s="88"/>
      <c r="BUZ72" s="88"/>
      <c r="BVA72" s="88"/>
      <c r="BVB72" s="88"/>
      <c r="BVC72" s="88"/>
      <c r="BVD72" s="88"/>
      <c r="BVE72" s="88"/>
      <c r="BVF72" s="88"/>
      <c r="BVG72" s="88"/>
      <c r="BVH72" s="88"/>
      <c r="BVI72" s="88"/>
      <c r="BVJ72" s="88"/>
      <c r="BVK72" s="88"/>
      <c r="BVL72" s="88"/>
      <c r="BVM72" s="88"/>
      <c r="BVN72" s="88"/>
      <c r="BVO72" s="88"/>
      <c r="BVP72" s="88"/>
      <c r="BVQ72" s="88"/>
      <c r="BVR72" s="88"/>
      <c r="BVS72" s="88"/>
      <c r="BVT72" s="88"/>
      <c r="BVU72" s="88"/>
      <c r="BVV72" s="88"/>
      <c r="BVW72" s="88"/>
      <c r="BVX72" s="88"/>
      <c r="BVY72" s="88"/>
      <c r="BVZ72" s="88"/>
      <c r="BWA72" s="88"/>
      <c r="BWB72" s="88"/>
      <c r="BWC72" s="88"/>
      <c r="BWD72" s="88"/>
      <c r="BWE72" s="88"/>
      <c r="BWF72" s="88"/>
      <c r="BWG72" s="88"/>
      <c r="BWH72" s="88"/>
      <c r="BWI72" s="88"/>
      <c r="BWJ72" s="88"/>
      <c r="BWK72" s="88"/>
      <c r="BWL72" s="88"/>
      <c r="BWM72" s="88"/>
      <c r="BWN72" s="88"/>
      <c r="BWO72" s="88"/>
      <c r="BWP72" s="88"/>
      <c r="BWQ72" s="88"/>
      <c r="BWR72" s="88"/>
      <c r="BWS72" s="88"/>
      <c r="BWT72" s="88"/>
      <c r="BWU72" s="88"/>
      <c r="BWV72" s="88"/>
      <c r="BWW72" s="88"/>
      <c r="BWX72" s="88"/>
      <c r="BWY72" s="88"/>
      <c r="BWZ72" s="88"/>
      <c r="BXA72" s="88"/>
      <c r="BXB72" s="88"/>
      <c r="BXC72" s="88"/>
      <c r="BXD72" s="88"/>
      <c r="BXE72" s="88"/>
      <c r="BXF72" s="88"/>
      <c r="BXG72" s="88"/>
      <c r="BXH72" s="88"/>
      <c r="BXI72" s="88"/>
      <c r="BXJ72" s="88"/>
      <c r="BXK72" s="88"/>
      <c r="BXL72" s="88"/>
      <c r="BXM72" s="88"/>
      <c r="BXN72" s="88"/>
      <c r="BXO72" s="88"/>
      <c r="BXP72" s="88"/>
      <c r="BXQ72" s="88"/>
      <c r="BXR72" s="88"/>
      <c r="BXS72" s="88"/>
      <c r="BXT72" s="88"/>
      <c r="BXU72" s="88"/>
      <c r="BXV72" s="88"/>
      <c r="BXW72" s="88"/>
      <c r="BXX72" s="88"/>
      <c r="BXY72" s="88"/>
      <c r="BXZ72" s="88"/>
      <c r="BYA72" s="88"/>
      <c r="BYB72" s="88"/>
      <c r="BYC72" s="88"/>
      <c r="BYD72" s="88"/>
      <c r="BYE72" s="88"/>
      <c r="BYF72" s="88"/>
      <c r="BYG72" s="88"/>
      <c r="BYH72" s="88"/>
      <c r="BYI72" s="88"/>
      <c r="BYJ72" s="88"/>
      <c r="BYK72" s="88"/>
      <c r="BYL72" s="88"/>
      <c r="BYM72" s="88"/>
      <c r="BYN72" s="88"/>
      <c r="BYO72" s="88"/>
      <c r="BYP72" s="88"/>
      <c r="BYQ72" s="88"/>
      <c r="BYR72" s="88"/>
      <c r="BYS72" s="88"/>
      <c r="BYT72" s="88"/>
      <c r="BYU72" s="88"/>
      <c r="BYV72" s="88"/>
      <c r="BYW72" s="88"/>
      <c r="BYX72" s="88"/>
      <c r="BYY72" s="88"/>
      <c r="BYZ72" s="88"/>
      <c r="BZA72" s="88"/>
      <c r="BZB72" s="88"/>
      <c r="BZC72" s="88"/>
      <c r="BZD72" s="88"/>
      <c r="BZE72" s="88"/>
      <c r="BZF72" s="88"/>
      <c r="BZG72" s="88"/>
      <c r="BZH72" s="88"/>
      <c r="BZI72" s="88"/>
      <c r="BZJ72" s="88"/>
      <c r="BZK72" s="88"/>
      <c r="BZL72" s="88"/>
      <c r="BZM72" s="88"/>
      <c r="BZN72" s="88"/>
      <c r="BZO72" s="88"/>
      <c r="BZP72" s="88"/>
      <c r="BZQ72" s="88"/>
      <c r="BZR72" s="88"/>
      <c r="BZS72" s="88"/>
      <c r="BZT72" s="88"/>
      <c r="BZU72" s="88"/>
      <c r="BZV72" s="88"/>
      <c r="BZW72" s="88"/>
      <c r="BZX72" s="88"/>
      <c r="BZY72" s="88"/>
      <c r="BZZ72" s="88"/>
      <c r="CAA72" s="88"/>
      <c r="CAB72" s="88"/>
      <c r="CAC72" s="88"/>
      <c r="CAD72" s="88"/>
      <c r="CAE72" s="88"/>
      <c r="CAF72" s="88"/>
      <c r="CAG72" s="88"/>
      <c r="CAH72" s="88"/>
      <c r="CAI72" s="88"/>
      <c r="CAJ72" s="88"/>
      <c r="CAK72" s="88"/>
      <c r="CAL72" s="88"/>
      <c r="CAM72" s="88"/>
      <c r="CAN72" s="88"/>
      <c r="CAO72" s="88"/>
      <c r="CAP72" s="88"/>
      <c r="CAQ72" s="88"/>
      <c r="CAR72" s="88"/>
      <c r="CAS72" s="88"/>
      <c r="CAT72" s="88"/>
      <c r="CAU72" s="88"/>
      <c r="CAV72" s="88"/>
      <c r="CAW72" s="88"/>
      <c r="CAX72" s="88"/>
      <c r="CAY72" s="88"/>
      <c r="CAZ72" s="88"/>
      <c r="CBA72" s="88"/>
      <c r="CBB72" s="88"/>
      <c r="CBC72" s="88"/>
      <c r="CBD72" s="88"/>
      <c r="CBE72" s="88"/>
      <c r="CBF72" s="88"/>
      <c r="CBG72" s="88"/>
      <c r="CBH72" s="88"/>
      <c r="CBI72" s="88"/>
      <c r="CBJ72" s="88"/>
      <c r="CBK72" s="88"/>
      <c r="CBL72" s="88"/>
      <c r="CBM72" s="88"/>
      <c r="CBN72" s="88"/>
      <c r="CBO72" s="88"/>
      <c r="CBP72" s="88"/>
      <c r="CBQ72" s="88"/>
      <c r="CBR72" s="88"/>
      <c r="CBS72" s="88"/>
      <c r="CBT72" s="88"/>
      <c r="CBU72" s="88"/>
      <c r="CBV72" s="88"/>
      <c r="CBW72" s="88"/>
      <c r="CBX72" s="88"/>
      <c r="CBY72" s="88"/>
      <c r="CBZ72" s="88"/>
      <c r="CCA72" s="88"/>
      <c r="CCB72" s="88"/>
      <c r="CCC72" s="88"/>
      <c r="CCD72" s="88"/>
      <c r="CCE72" s="88"/>
      <c r="CCF72" s="88"/>
      <c r="CCG72" s="88"/>
      <c r="CCH72" s="88"/>
      <c r="CCI72" s="88"/>
      <c r="CCJ72" s="88"/>
      <c r="CCK72" s="88"/>
      <c r="CCL72" s="88"/>
      <c r="CCM72" s="88"/>
      <c r="CCN72" s="88"/>
      <c r="CCO72" s="88"/>
      <c r="CCP72" s="88"/>
      <c r="CCQ72" s="88"/>
      <c r="CCR72" s="88"/>
      <c r="CCS72" s="88"/>
      <c r="CCT72" s="88"/>
      <c r="CCU72" s="88"/>
      <c r="CCV72" s="88"/>
      <c r="CCW72" s="88"/>
      <c r="CCX72" s="88"/>
      <c r="CCY72" s="88"/>
      <c r="CCZ72" s="88"/>
      <c r="CDA72" s="88"/>
      <c r="CDB72" s="88"/>
      <c r="CDC72" s="88"/>
      <c r="CDD72" s="88"/>
      <c r="CDE72" s="88"/>
      <c r="CDF72" s="88"/>
      <c r="CDG72" s="88"/>
      <c r="CDH72" s="88"/>
      <c r="CDI72" s="88"/>
      <c r="CDJ72" s="88"/>
      <c r="CDK72" s="88"/>
      <c r="CDL72" s="88"/>
      <c r="CDM72" s="88"/>
      <c r="CDN72" s="88"/>
      <c r="CDO72" s="88"/>
      <c r="CDP72" s="88"/>
      <c r="CDQ72" s="88"/>
      <c r="CDR72" s="88"/>
      <c r="CDS72" s="88"/>
      <c r="CDT72" s="88"/>
      <c r="CDU72" s="88"/>
      <c r="CDV72" s="88"/>
      <c r="CDW72" s="88"/>
      <c r="CDX72" s="88"/>
      <c r="CDY72" s="88"/>
      <c r="CDZ72" s="88"/>
      <c r="CEA72" s="88"/>
      <c r="CEB72" s="88"/>
      <c r="CEC72" s="88"/>
      <c r="CED72" s="88"/>
      <c r="CEE72" s="88"/>
      <c r="CEF72" s="88"/>
      <c r="CEG72" s="88"/>
      <c r="CEH72" s="88"/>
      <c r="CEI72" s="88"/>
      <c r="CEJ72" s="88"/>
      <c r="CEK72" s="88"/>
    </row>
    <row r="73" spans="1:2169" s="63" customFormat="1">
      <c r="A73" s="73" t="s">
        <v>15635</v>
      </c>
      <c r="B73" s="773" t="s">
        <v>15637</v>
      </c>
      <c r="C73" s="68" t="str">
        <f>IF('page 2'!$O$4="","",IF('page 2'!$O$4=Gestion!A73,1,0))</f>
        <v/>
      </c>
      <c r="D73" s="68" t="str">
        <f>IF('page 2'!$O$5="","",IF('page 2'!$O$5=Gestion!A73,1,0))</f>
        <v/>
      </c>
      <c r="E73" s="68" t="str">
        <f>IF('page 2'!$O$6="","",IF('page 2'!$O$6=Gestion!A73,1,0))</f>
        <v/>
      </c>
      <c r="F73" s="68" t="str">
        <f>IF('page 2'!$O$7="","",IF('page 2'!$O$7=Gestion!A73,1,0))</f>
        <v/>
      </c>
      <c r="G73" s="68" t="str">
        <f>IF('page 2'!$O$8="","",IF('page 2'!$O$8=Gestion!A73,1,0))</f>
        <v/>
      </c>
      <c r="H73" s="68" t="str">
        <f>IF('page 2'!$O$9="","",IF('page 2'!$O$9=Gestion!A73,1,0))</f>
        <v/>
      </c>
      <c r="I73" s="68" t="str">
        <f>IF('page 2'!$O$10="","",IF('page 2'!$O$10=Gestion!A73,1,0))</f>
        <v/>
      </c>
      <c r="J73" s="68" t="str">
        <f>IF('page 2'!$O$11="","",IF('page 2'!$O$11=Gestion!A73,1,0))</f>
        <v/>
      </c>
      <c r="K73" s="68" t="str">
        <f>IF('page 2'!$O$12="","",IF('page 2'!$O$12=Gestion!A73,1,0))</f>
        <v/>
      </c>
      <c r="L73" s="68" t="str">
        <f>IF('page 2'!$O$13="","",IF('page 2'!$O$13=Gestion!A73,1,0))</f>
        <v/>
      </c>
      <c r="M73" s="68" t="str">
        <f>IF('page 2'!$O$14="","",IF('page 2'!$O$14=Gestion!A73,1,0))</f>
        <v/>
      </c>
      <c r="N73" s="68" t="str">
        <f>IF('page 2'!$O$15="","",IF('page 2'!$O$15=Gestion!A73,1,0))</f>
        <v/>
      </c>
      <c r="O73" s="68" t="str">
        <f>IF('page 2'!$O$16="","",IF('page 2'!$O$16=Gestion!A73,1,0))</f>
        <v/>
      </c>
      <c r="P73" s="68" t="str">
        <f>IF('page 2'!$O$17="","",IF('page 2'!$O$17=Gestion!A73,1,0))</f>
        <v/>
      </c>
      <c r="Q73" s="68" t="str">
        <f>IF('page 2'!$O$18="","",IF('page 2'!$O$18=Gestion!A73,1,0))</f>
        <v/>
      </c>
      <c r="R73" s="68" t="str">
        <f>IF('page 2'!$O$19="","",IF('page 2'!$O$19=Gestion!A73,1,0))</f>
        <v/>
      </c>
      <c r="S73" s="68" t="str">
        <f>IF('page 2'!$O$20="","",IF('page 2'!$O$20=Gestion!A73,1,0))</f>
        <v/>
      </c>
      <c r="T73" s="68" t="str">
        <f>IF('page 2'!$O$25="","",IF('page 2'!$O$25=Gestion!A73,1,0))</f>
        <v/>
      </c>
      <c r="U73" s="68" t="str">
        <f>IF('page 2'!$O$26="","",IF('page 2'!$O$26=Gestion!A73,1,0))</f>
        <v/>
      </c>
      <c r="V73" s="68" t="str">
        <f>IF('page 2'!$O$27="","",IF('page 2'!$O$27=Gestion!A73,1,0))</f>
        <v/>
      </c>
      <c r="W73" s="722">
        <f t="shared" ref="W73" si="11">SUM(C73:V73)</f>
        <v>0</v>
      </c>
      <c r="X73" s="714"/>
      <c r="Y73" s="68"/>
      <c r="Z73" s="68"/>
      <c r="AA73" s="68"/>
      <c r="AB73" s="68"/>
      <c r="AC73" s="68"/>
      <c r="AD73" s="68"/>
      <c r="AP73" s="469"/>
      <c r="AQ73" s="469"/>
      <c r="AR73" s="469"/>
      <c r="AS73" s="602"/>
      <c r="AT73" s="602"/>
      <c r="AU73" s="602"/>
      <c r="AV73" s="602"/>
      <c r="AW73" s="602"/>
      <c r="AX73" s="602"/>
      <c r="AY73" s="602"/>
      <c r="AZ73" s="602"/>
      <c r="BA73" s="602"/>
      <c r="BB73" s="602"/>
      <c r="BC73" s="602"/>
      <c r="BD73" s="602"/>
      <c r="BE73" s="602"/>
      <c r="BF73" s="602"/>
      <c r="BG73" s="602"/>
      <c r="BH73" s="602"/>
      <c r="BI73" s="602"/>
      <c r="BJ73" s="602"/>
      <c r="BK73" s="602"/>
      <c r="BL73" s="602"/>
      <c r="BM73" s="602"/>
      <c r="BN73" s="602"/>
      <c r="BO73" s="602"/>
      <c r="BP73" s="602"/>
      <c r="BQ73" s="602"/>
      <c r="BR73" s="602"/>
      <c r="BS73" s="602"/>
      <c r="BT73" s="602"/>
      <c r="BU73" s="602"/>
      <c r="BV73" s="602"/>
      <c r="BW73" s="602"/>
      <c r="BX73" s="602"/>
      <c r="BY73" s="602"/>
      <c r="BZ73" s="602"/>
      <c r="CA73" s="602"/>
      <c r="CB73" s="602"/>
      <c r="CC73" s="602"/>
      <c r="CD73" s="602"/>
      <c r="CE73" s="602"/>
      <c r="CF73" s="602"/>
      <c r="CG73" s="602"/>
      <c r="CH73" s="602"/>
      <c r="CI73" s="602"/>
      <c r="CJ73" s="602"/>
      <c r="CK73" s="602"/>
      <c r="CL73" s="602"/>
      <c r="CM73" s="602"/>
      <c r="CN73" s="602"/>
      <c r="CO73" s="602"/>
      <c r="CP73" s="602"/>
      <c r="CQ73" s="602"/>
      <c r="CR73" s="602"/>
      <c r="CS73" s="602"/>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c r="HF73" s="88"/>
      <c r="HG73" s="88"/>
      <c r="HH73" s="88"/>
      <c r="HI73" s="88"/>
      <c r="HJ73" s="88"/>
      <c r="HK73" s="88"/>
      <c r="HL73" s="88"/>
      <c r="HM73" s="88"/>
      <c r="HN73" s="88"/>
      <c r="HO73" s="88"/>
      <c r="HP73" s="88"/>
      <c r="HQ73" s="88"/>
      <c r="HR73" s="88"/>
      <c r="HS73" s="88"/>
      <c r="HT73" s="88"/>
      <c r="HU73" s="88"/>
      <c r="HV73" s="88"/>
      <c r="HW73" s="88"/>
      <c r="HX73" s="88"/>
      <c r="HY73" s="88"/>
      <c r="HZ73" s="88"/>
      <c r="IA73" s="88"/>
      <c r="IB73" s="88"/>
      <c r="IC73" s="88"/>
      <c r="ID73" s="88"/>
      <c r="IE73" s="88"/>
      <c r="IF73" s="88"/>
      <c r="IG73" s="88"/>
      <c r="IH73" s="88"/>
      <c r="II73" s="88"/>
      <c r="IJ73" s="88"/>
      <c r="IK73" s="88"/>
      <c r="IL73" s="88"/>
      <c r="IM73" s="88"/>
      <c r="IN73" s="88"/>
      <c r="IO73" s="88"/>
      <c r="IP73" s="88"/>
      <c r="IQ73" s="88"/>
      <c r="IR73" s="88"/>
      <c r="IS73" s="88"/>
      <c r="IT73" s="88"/>
      <c r="IU73" s="88"/>
      <c r="IV73" s="88"/>
      <c r="IW73" s="88"/>
      <c r="IX73" s="88"/>
      <c r="IY73" s="88"/>
      <c r="IZ73" s="88"/>
      <c r="JA73" s="88"/>
      <c r="JB73" s="88"/>
      <c r="JC73" s="88"/>
      <c r="JD73" s="88"/>
      <c r="JE73" s="88"/>
      <c r="JF73" s="88"/>
      <c r="JG73" s="88"/>
      <c r="JH73" s="88"/>
      <c r="JI73" s="88"/>
      <c r="JJ73" s="88"/>
      <c r="JK73" s="88"/>
      <c r="JL73" s="88"/>
      <c r="JM73" s="88"/>
      <c r="JN73" s="88"/>
      <c r="JO73" s="88"/>
      <c r="JP73" s="88"/>
      <c r="JQ73" s="88"/>
      <c r="JR73" s="88"/>
      <c r="JS73" s="88"/>
      <c r="JT73" s="88"/>
      <c r="JU73" s="88"/>
      <c r="JV73" s="88"/>
      <c r="JW73" s="88"/>
      <c r="JX73" s="88"/>
      <c r="JY73" s="88"/>
      <c r="JZ73" s="88"/>
      <c r="KA73" s="88"/>
      <c r="KB73" s="88"/>
      <c r="KC73" s="88"/>
      <c r="KD73" s="88"/>
      <c r="KE73" s="88"/>
      <c r="KF73" s="88"/>
      <c r="KG73" s="88"/>
      <c r="KH73" s="88"/>
      <c r="KI73" s="88"/>
      <c r="KJ73" s="88"/>
      <c r="KK73" s="88"/>
      <c r="KL73" s="88"/>
      <c r="KM73" s="88"/>
      <c r="KN73" s="88"/>
      <c r="KO73" s="88"/>
      <c r="KP73" s="88"/>
      <c r="KQ73" s="88"/>
      <c r="KR73" s="88"/>
      <c r="KS73" s="88"/>
      <c r="KT73" s="88"/>
      <c r="KU73" s="88"/>
      <c r="KV73" s="88"/>
      <c r="KW73" s="88"/>
      <c r="KX73" s="88"/>
      <c r="KY73" s="88"/>
      <c r="KZ73" s="88"/>
      <c r="LA73" s="88"/>
      <c r="LB73" s="88"/>
      <c r="LC73" s="88"/>
      <c r="LD73" s="88"/>
      <c r="LE73" s="88"/>
      <c r="LF73" s="88"/>
      <c r="LG73" s="88"/>
      <c r="LH73" s="88"/>
      <c r="LI73" s="88"/>
      <c r="LJ73" s="88"/>
      <c r="LK73" s="88"/>
      <c r="LL73" s="88"/>
      <c r="LM73" s="88"/>
      <c r="LN73" s="88"/>
      <c r="LO73" s="88"/>
      <c r="LP73" s="88"/>
      <c r="LQ73" s="88"/>
      <c r="LR73" s="88"/>
      <c r="LS73" s="88"/>
      <c r="LT73" s="88"/>
      <c r="LU73" s="88"/>
      <c r="LV73" s="88"/>
      <c r="LW73" s="88"/>
      <c r="LX73" s="88"/>
      <c r="LY73" s="88"/>
      <c r="LZ73" s="88"/>
      <c r="MA73" s="88"/>
      <c r="MB73" s="88"/>
      <c r="MC73" s="88"/>
      <c r="MD73" s="88"/>
      <c r="ME73" s="88"/>
      <c r="MF73" s="88"/>
      <c r="MG73" s="88"/>
      <c r="MH73" s="88"/>
      <c r="MI73" s="88"/>
      <c r="MJ73" s="88"/>
      <c r="MK73" s="88"/>
      <c r="ML73" s="88"/>
      <c r="MM73" s="88"/>
      <c r="MN73" s="88"/>
      <c r="MO73" s="88"/>
      <c r="MP73" s="88"/>
      <c r="MQ73" s="88"/>
      <c r="MR73" s="88"/>
      <c r="MS73" s="88"/>
      <c r="MT73" s="88"/>
      <c r="MU73" s="88"/>
      <c r="MV73" s="88"/>
      <c r="MW73" s="88"/>
      <c r="MX73" s="88"/>
      <c r="MY73" s="88"/>
      <c r="MZ73" s="88"/>
      <c r="NA73" s="88"/>
      <c r="NB73" s="88"/>
      <c r="NC73" s="88"/>
      <c r="ND73" s="88"/>
      <c r="NE73" s="88"/>
      <c r="NF73" s="88"/>
      <c r="NG73" s="88"/>
      <c r="NH73" s="88"/>
      <c r="NI73" s="88"/>
      <c r="NJ73" s="88"/>
      <c r="NK73" s="88"/>
      <c r="NL73" s="88"/>
      <c r="NM73" s="88"/>
      <c r="NN73" s="88"/>
      <c r="NO73" s="88"/>
      <c r="NP73" s="88"/>
      <c r="NQ73" s="88"/>
      <c r="NR73" s="88"/>
      <c r="NS73" s="88"/>
      <c r="NT73" s="88"/>
      <c r="NU73" s="88"/>
      <c r="NV73" s="88"/>
      <c r="NW73" s="88"/>
      <c r="NX73" s="88"/>
      <c r="NY73" s="88"/>
      <c r="NZ73" s="88"/>
      <c r="OA73" s="88"/>
      <c r="OB73" s="88"/>
      <c r="OC73" s="88"/>
      <c r="OD73" s="88"/>
      <c r="OE73" s="88"/>
      <c r="OF73" s="88"/>
      <c r="OG73" s="88"/>
      <c r="OH73" s="88"/>
      <c r="OI73" s="88"/>
      <c r="OJ73" s="88"/>
      <c r="OK73" s="88"/>
      <c r="OL73" s="88"/>
      <c r="OM73" s="88"/>
      <c r="ON73" s="88"/>
      <c r="OO73" s="88"/>
      <c r="OP73" s="88"/>
      <c r="OQ73" s="88"/>
      <c r="OR73" s="88"/>
      <c r="OS73" s="88"/>
      <c r="OT73" s="88"/>
      <c r="OU73" s="88"/>
      <c r="OV73" s="88"/>
      <c r="OW73" s="88"/>
      <c r="OX73" s="88"/>
      <c r="OY73" s="88"/>
      <c r="OZ73" s="88"/>
      <c r="PA73" s="88"/>
      <c r="PB73" s="88"/>
      <c r="PC73" s="88"/>
      <c r="PD73" s="88"/>
      <c r="PE73" s="88"/>
      <c r="PF73" s="88"/>
      <c r="PG73" s="88"/>
      <c r="PH73" s="88"/>
      <c r="PI73" s="88"/>
      <c r="PJ73" s="88"/>
      <c r="PK73" s="88"/>
      <c r="PL73" s="88"/>
      <c r="PM73" s="88"/>
      <c r="PN73" s="88"/>
      <c r="PO73" s="88"/>
      <c r="PP73" s="88"/>
      <c r="PQ73" s="88"/>
      <c r="PR73" s="88"/>
      <c r="PS73" s="88"/>
      <c r="PT73" s="88"/>
      <c r="PU73" s="88"/>
      <c r="PV73" s="88"/>
      <c r="PW73" s="88"/>
      <c r="PX73" s="88"/>
      <c r="PY73" s="88"/>
      <c r="PZ73" s="88"/>
      <c r="QA73" s="88"/>
      <c r="QB73" s="88"/>
      <c r="QC73" s="88"/>
      <c r="QD73" s="88"/>
      <c r="QE73" s="88"/>
      <c r="QF73" s="88"/>
      <c r="QG73" s="88"/>
      <c r="QH73" s="88"/>
      <c r="QI73" s="88"/>
      <c r="QJ73" s="88"/>
      <c r="QK73" s="88"/>
      <c r="QL73" s="88"/>
      <c r="QM73" s="88"/>
      <c r="QN73" s="88"/>
      <c r="QO73" s="88"/>
      <c r="QP73" s="88"/>
      <c r="QQ73" s="88"/>
      <c r="QR73" s="88"/>
      <c r="QS73" s="88"/>
      <c r="QT73" s="88"/>
      <c r="QU73" s="88"/>
      <c r="QV73" s="88"/>
      <c r="QW73" s="88"/>
      <c r="QX73" s="88"/>
      <c r="QY73" s="88"/>
      <c r="QZ73" s="88"/>
      <c r="RA73" s="88"/>
      <c r="RB73" s="88"/>
      <c r="RC73" s="88"/>
      <c r="RD73" s="88"/>
      <c r="RE73" s="88"/>
      <c r="RF73" s="88"/>
      <c r="RG73" s="88"/>
      <c r="RH73" s="88"/>
      <c r="RI73" s="88"/>
      <c r="RJ73" s="88"/>
      <c r="RK73" s="88"/>
      <c r="RL73" s="88"/>
      <c r="RM73" s="88"/>
      <c r="RN73" s="88"/>
      <c r="RO73" s="88"/>
      <c r="RP73" s="88"/>
      <c r="RQ73" s="88"/>
      <c r="RR73" s="88"/>
      <c r="RS73" s="88"/>
      <c r="RT73" s="88"/>
      <c r="RU73" s="88"/>
      <c r="RV73" s="88"/>
      <c r="RW73" s="88"/>
      <c r="RX73" s="88"/>
      <c r="RY73" s="88"/>
      <c r="RZ73" s="88"/>
      <c r="SA73" s="88"/>
      <c r="SB73" s="88"/>
      <c r="SC73" s="88"/>
      <c r="SD73" s="88"/>
      <c r="SE73" s="88"/>
      <c r="SF73" s="88"/>
      <c r="SG73" s="88"/>
      <c r="SH73" s="88"/>
      <c r="SI73" s="88"/>
      <c r="SJ73" s="88"/>
      <c r="SK73" s="88"/>
      <c r="SL73" s="88"/>
      <c r="SM73" s="88"/>
      <c r="SN73" s="88"/>
      <c r="SO73" s="88"/>
      <c r="SP73" s="88"/>
      <c r="SQ73" s="88"/>
      <c r="SR73" s="88"/>
      <c r="SS73" s="88"/>
      <c r="ST73" s="88"/>
      <c r="SU73" s="88"/>
      <c r="SV73" s="88"/>
      <c r="SW73" s="88"/>
      <c r="SX73" s="88"/>
      <c r="SY73" s="88"/>
      <c r="SZ73" s="88"/>
      <c r="TA73" s="88"/>
      <c r="TB73" s="88"/>
      <c r="TC73" s="88"/>
      <c r="TD73" s="88"/>
      <c r="TE73" s="88"/>
      <c r="TF73" s="88"/>
      <c r="TG73" s="88"/>
      <c r="TH73" s="88"/>
      <c r="TI73" s="88"/>
      <c r="TJ73" s="88"/>
      <c r="TK73" s="88"/>
      <c r="TL73" s="88"/>
      <c r="TM73" s="88"/>
      <c r="TN73" s="88"/>
      <c r="TO73" s="88"/>
      <c r="TP73" s="88"/>
      <c r="TQ73" s="88"/>
      <c r="TR73" s="88"/>
      <c r="TS73" s="88"/>
      <c r="TT73" s="88"/>
      <c r="TU73" s="88"/>
      <c r="TV73" s="88"/>
      <c r="TW73" s="88"/>
      <c r="TX73" s="88"/>
      <c r="TY73" s="88"/>
      <c r="TZ73" s="88"/>
      <c r="UA73" s="88"/>
      <c r="UB73" s="88"/>
      <c r="UC73" s="88"/>
      <c r="UD73" s="88"/>
      <c r="UE73" s="88"/>
      <c r="UF73" s="88"/>
      <c r="UG73" s="88"/>
      <c r="UH73" s="88"/>
      <c r="UI73" s="88"/>
      <c r="UJ73" s="88"/>
      <c r="UK73" s="88"/>
      <c r="UL73" s="88"/>
      <c r="UM73" s="88"/>
      <c r="UN73" s="88"/>
      <c r="UO73" s="88"/>
      <c r="UP73" s="88"/>
      <c r="UQ73" s="88"/>
      <c r="UR73" s="88"/>
      <c r="US73" s="88"/>
      <c r="UT73" s="88"/>
      <c r="UU73" s="88"/>
      <c r="UV73" s="88"/>
      <c r="UW73" s="88"/>
      <c r="UX73" s="88"/>
      <c r="UY73" s="88"/>
      <c r="UZ73" s="88"/>
      <c r="VA73" s="88"/>
      <c r="VB73" s="88"/>
      <c r="VC73" s="88"/>
      <c r="VD73" s="88"/>
      <c r="VE73" s="88"/>
      <c r="VF73" s="88"/>
      <c r="VG73" s="88"/>
      <c r="VH73" s="88"/>
      <c r="VI73" s="88"/>
      <c r="VJ73" s="88"/>
      <c r="VK73" s="88"/>
      <c r="VL73" s="88"/>
      <c r="VM73" s="88"/>
      <c r="VN73" s="88"/>
      <c r="VO73" s="88"/>
      <c r="VP73" s="88"/>
      <c r="VQ73" s="88"/>
      <c r="VR73" s="88"/>
      <c r="VS73" s="88"/>
      <c r="VT73" s="88"/>
      <c r="VU73" s="88"/>
      <c r="VV73" s="88"/>
      <c r="VW73" s="88"/>
      <c r="VX73" s="88"/>
      <c r="VY73" s="88"/>
      <c r="VZ73" s="88"/>
      <c r="WA73" s="88"/>
      <c r="WB73" s="88"/>
      <c r="WC73" s="88"/>
      <c r="WD73" s="88"/>
      <c r="WE73" s="88"/>
      <c r="WF73" s="88"/>
      <c r="WG73" s="88"/>
      <c r="WH73" s="88"/>
      <c r="WI73" s="88"/>
      <c r="WJ73" s="88"/>
      <c r="WK73" s="88"/>
      <c r="WL73" s="88"/>
      <c r="WM73" s="88"/>
      <c r="WN73" s="88"/>
      <c r="WO73" s="88"/>
      <c r="WP73" s="88"/>
      <c r="WQ73" s="88"/>
      <c r="WR73" s="88"/>
      <c r="WS73" s="88"/>
      <c r="WT73" s="88"/>
      <c r="WU73" s="88"/>
      <c r="WV73" s="88"/>
      <c r="WW73" s="88"/>
      <c r="WX73" s="88"/>
      <c r="WY73" s="88"/>
      <c r="WZ73" s="88"/>
      <c r="XA73" s="88"/>
      <c r="XB73" s="88"/>
      <c r="XC73" s="88"/>
      <c r="XD73" s="88"/>
      <c r="XE73" s="88"/>
      <c r="XF73" s="88"/>
      <c r="XG73" s="88"/>
      <c r="XH73" s="88"/>
      <c r="XI73" s="88"/>
      <c r="XJ73" s="88"/>
      <c r="XK73" s="88"/>
      <c r="XL73" s="88"/>
      <c r="XM73" s="88"/>
      <c r="XN73" s="88"/>
      <c r="XO73" s="88"/>
      <c r="XP73" s="88"/>
      <c r="XQ73" s="88"/>
      <c r="XR73" s="88"/>
      <c r="XS73" s="88"/>
      <c r="XT73" s="88"/>
      <c r="XU73" s="88"/>
      <c r="XV73" s="88"/>
      <c r="XW73" s="88"/>
      <c r="XX73" s="88"/>
      <c r="XY73" s="88"/>
      <c r="XZ73" s="88"/>
      <c r="YA73" s="88"/>
      <c r="YB73" s="88"/>
      <c r="YC73" s="88"/>
      <c r="YD73" s="88"/>
      <c r="YE73" s="88"/>
      <c r="YF73" s="88"/>
      <c r="YG73" s="88"/>
      <c r="YH73" s="88"/>
      <c r="YI73" s="88"/>
      <c r="YJ73" s="88"/>
      <c r="YK73" s="88"/>
      <c r="YL73" s="88"/>
      <c r="YM73" s="88"/>
      <c r="YN73" s="88"/>
      <c r="YO73" s="88"/>
      <c r="YP73" s="88"/>
      <c r="YQ73" s="88"/>
      <c r="YR73" s="88"/>
      <c r="YS73" s="88"/>
      <c r="YT73" s="88"/>
      <c r="YU73" s="88"/>
      <c r="YV73" s="88"/>
      <c r="YW73" s="88"/>
      <c r="YX73" s="88"/>
      <c r="YY73" s="88"/>
      <c r="YZ73" s="88"/>
      <c r="ZA73" s="88"/>
      <c r="ZB73" s="88"/>
      <c r="ZC73" s="88"/>
      <c r="ZD73" s="88"/>
      <c r="ZE73" s="88"/>
      <c r="ZF73" s="88"/>
      <c r="ZG73" s="88"/>
      <c r="ZH73" s="88"/>
      <c r="ZI73" s="88"/>
      <c r="ZJ73" s="88"/>
      <c r="ZK73" s="88"/>
      <c r="ZL73" s="88"/>
      <c r="ZM73" s="88"/>
      <c r="ZN73" s="88"/>
      <c r="ZO73" s="88"/>
      <c r="ZP73" s="88"/>
      <c r="ZQ73" s="88"/>
      <c r="ZR73" s="88"/>
      <c r="ZS73" s="88"/>
      <c r="ZT73" s="88"/>
      <c r="ZU73" s="88"/>
      <c r="ZV73" s="88"/>
      <c r="ZW73" s="88"/>
      <c r="ZX73" s="88"/>
      <c r="ZY73" s="88"/>
      <c r="ZZ73" s="88"/>
      <c r="AAA73" s="88"/>
      <c r="AAB73" s="88"/>
      <c r="AAC73" s="88"/>
      <c r="AAD73" s="88"/>
      <c r="AAE73" s="88"/>
      <c r="AAF73" s="88"/>
      <c r="AAG73" s="88"/>
      <c r="AAH73" s="88"/>
      <c r="AAI73" s="88"/>
      <c r="AAJ73" s="88"/>
      <c r="AAK73" s="88"/>
      <c r="AAL73" s="88"/>
      <c r="AAM73" s="88"/>
      <c r="AAN73" s="88"/>
      <c r="AAO73" s="88"/>
      <c r="AAP73" s="88"/>
      <c r="AAQ73" s="88"/>
      <c r="AAR73" s="88"/>
      <c r="AAS73" s="88"/>
      <c r="AAT73" s="88"/>
      <c r="AAU73" s="88"/>
      <c r="AAV73" s="88"/>
      <c r="AAW73" s="88"/>
      <c r="AAX73" s="88"/>
      <c r="AAY73" s="88"/>
      <c r="AAZ73" s="88"/>
      <c r="ABA73" s="88"/>
      <c r="ABB73" s="88"/>
      <c r="ABC73" s="88"/>
      <c r="ABD73" s="88"/>
      <c r="ABE73" s="88"/>
      <c r="ABF73" s="88"/>
      <c r="ABG73" s="88"/>
      <c r="ABH73" s="88"/>
      <c r="ABI73" s="88"/>
      <c r="ABJ73" s="88"/>
      <c r="ABK73" s="88"/>
      <c r="ABL73" s="88"/>
      <c r="ABM73" s="88"/>
      <c r="ABN73" s="88"/>
      <c r="ABO73" s="88"/>
      <c r="ABP73" s="88"/>
      <c r="ABQ73" s="88"/>
      <c r="ABR73" s="88"/>
      <c r="ABS73" s="88"/>
      <c r="ABT73" s="88"/>
      <c r="ABU73" s="88"/>
      <c r="ABV73" s="88"/>
      <c r="ABW73" s="88"/>
      <c r="ABX73" s="88"/>
      <c r="ABY73" s="88"/>
      <c r="ABZ73" s="88"/>
      <c r="ACA73" s="88"/>
      <c r="ACB73" s="88"/>
      <c r="ACC73" s="88"/>
      <c r="ACD73" s="88"/>
      <c r="ACE73" s="88"/>
      <c r="ACF73" s="88"/>
      <c r="ACG73" s="88"/>
      <c r="ACH73" s="88"/>
      <c r="ACI73" s="88"/>
      <c r="ACJ73" s="88"/>
      <c r="ACK73" s="88"/>
      <c r="ACL73" s="88"/>
      <c r="ACM73" s="88"/>
      <c r="ACN73" s="88"/>
      <c r="ACO73" s="88"/>
      <c r="ACP73" s="88"/>
      <c r="ACQ73" s="88"/>
      <c r="ACR73" s="88"/>
      <c r="ACS73" s="88"/>
      <c r="ACT73" s="88"/>
      <c r="ACU73" s="88"/>
      <c r="ACV73" s="88"/>
      <c r="ACW73" s="88"/>
      <c r="ACX73" s="88"/>
      <c r="ACY73" s="88"/>
      <c r="ACZ73" s="88"/>
      <c r="ADA73" s="88"/>
      <c r="ADB73" s="88"/>
      <c r="ADC73" s="88"/>
      <c r="ADD73" s="88"/>
      <c r="ADE73" s="88"/>
      <c r="ADF73" s="88"/>
      <c r="ADG73" s="88"/>
      <c r="ADH73" s="88"/>
      <c r="ADI73" s="88"/>
      <c r="ADJ73" s="88"/>
      <c r="ADK73" s="88"/>
      <c r="ADL73" s="88"/>
      <c r="ADM73" s="88"/>
      <c r="ADN73" s="88"/>
      <c r="ADO73" s="88"/>
      <c r="ADP73" s="88"/>
      <c r="ADQ73" s="88"/>
      <c r="ADR73" s="88"/>
      <c r="ADS73" s="88"/>
      <c r="ADT73" s="88"/>
      <c r="ADU73" s="88"/>
      <c r="ADV73" s="88"/>
      <c r="ADW73" s="88"/>
      <c r="ADX73" s="88"/>
      <c r="ADY73" s="88"/>
      <c r="ADZ73" s="88"/>
      <c r="AEA73" s="88"/>
      <c r="AEB73" s="88"/>
      <c r="AEC73" s="88"/>
      <c r="AED73" s="88"/>
      <c r="AEE73" s="88"/>
      <c r="AEF73" s="88"/>
      <c r="AEG73" s="88"/>
      <c r="AEH73" s="88"/>
      <c r="AEI73" s="88"/>
      <c r="AEJ73" s="88"/>
      <c r="AEK73" s="88"/>
      <c r="AEL73" s="88"/>
      <c r="AEM73" s="88"/>
      <c r="AEN73" s="88"/>
      <c r="AEO73" s="88"/>
      <c r="AEP73" s="88"/>
      <c r="AEQ73" s="88"/>
      <c r="AER73" s="88"/>
      <c r="AES73" s="88"/>
      <c r="AET73" s="88"/>
      <c r="AEU73" s="88"/>
      <c r="AEV73" s="88"/>
      <c r="AEW73" s="88"/>
      <c r="AEX73" s="88"/>
      <c r="AEY73" s="88"/>
      <c r="AEZ73" s="88"/>
      <c r="AFA73" s="88"/>
      <c r="AFB73" s="88"/>
      <c r="AFC73" s="88"/>
      <c r="AFD73" s="88"/>
      <c r="AFE73" s="88"/>
      <c r="AFF73" s="88"/>
      <c r="AFG73" s="88"/>
      <c r="AFH73" s="88"/>
      <c r="AFI73" s="88"/>
      <c r="AFJ73" s="88"/>
      <c r="AFK73" s="88"/>
      <c r="AFL73" s="88"/>
      <c r="AFM73" s="88"/>
      <c r="AFN73" s="88"/>
      <c r="AFO73" s="88"/>
      <c r="AFP73" s="88"/>
      <c r="AFQ73" s="88"/>
      <c r="AFR73" s="88"/>
      <c r="AFS73" s="88"/>
      <c r="AFT73" s="88"/>
      <c r="AFU73" s="88"/>
      <c r="AFV73" s="88"/>
      <c r="AFW73" s="88"/>
      <c r="AFX73" s="88"/>
      <c r="AFY73" s="88"/>
      <c r="AFZ73" s="88"/>
      <c r="AGA73" s="88"/>
      <c r="AGB73" s="88"/>
      <c r="AGC73" s="88"/>
      <c r="AGD73" s="88"/>
      <c r="AGE73" s="88"/>
      <c r="AGF73" s="88"/>
      <c r="AGG73" s="88"/>
      <c r="AGH73" s="88"/>
      <c r="AGI73" s="88"/>
      <c r="AGJ73" s="88"/>
      <c r="AGK73" s="88"/>
      <c r="AGL73" s="88"/>
      <c r="AGM73" s="88"/>
      <c r="AGN73" s="88"/>
      <c r="AGO73" s="88"/>
      <c r="AGP73" s="88"/>
      <c r="AGQ73" s="88"/>
      <c r="AGR73" s="88"/>
      <c r="AGS73" s="88"/>
      <c r="AGT73" s="88"/>
      <c r="AGU73" s="88"/>
      <c r="AGV73" s="88"/>
      <c r="AGW73" s="88"/>
      <c r="AGX73" s="88"/>
      <c r="AGY73" s="88"/>
      <c r="AGZ73" s="88"/>
      <c r="AHA73" s="88"/>
      <c r="AHB73" s="88"/>
      <c r="AHC73" s="88"/>
      <c r="AHD73" s="88"/>
      <c r="AHE73" s="88"/>
      <c r="AHF73" s="88"/>
      <c r="AHG73" s="88"/>
      <c r="AHH73" s="88"/>
      <c r="AHI73" s="88"/>
      <c r="AHJ73" s="88"/>
      <c r="AHK73" s="88"/>
      <c r="AHL73" s="88"/>
      <c r="AHM73" s="88"/>
      <c r="AHN73" s="88"/>
      <c r="AHO73" s="88"/>
      <c r="AHP73" s="88"/>
      <c r="AHQ73" s="88"/>
      <c r="AHR73" s="88"/>
      <c r="AHS73" s="88"/>
      <c r="AHT73" s="88"/>
      <c r="AHU73" s="88"/>
      <c r="AHV73" s="88"/>
      <c r="AHW73" s="88"/>
      <c r="AHX73" s="88"/>
      <c r="AHY73" s="88"/>
      <c r="AHZ73" s="88"/>
      <c r="AIA73" s="88"/>
      <c r="AIB73" s="88"/>
      <c r="AIC73" s="88"/>
      <c r="AID73" s="88"/>
      <c r="AIE73" s="88"/>
      <c r="AIF73" s="88"/>
      <c r="AIG73" s="88"/>
      <c r="AIH73" s="88"/>
      <c r="AII73" s="88"/>
      <c r="AIJ73" s="88"/>
      <c r="AIK73" s="88"/>
      <c r="AIL73" s="88"/>
      <c r="AIM73" s="88"/>
      <c r="AIN73" s="88"/>
      <c r="AIO73" s="88"/>
      <c r="AIP73" s="88"/>
      <c r="AIQ73" s="88"/>
      <c r="AIR73" s="88"/>
      <c r="AIS73" s="88"/>
      <c r="AIT73" s="88"/>
      <c r="AIU73" s="88"/>
      <c r="AIV73" s="88"/>
      <c r="AIW73" s="88"/>
      <c r="AIX73" s="88"/>
      <c r="AIY73" s="88"/>
      <c r="AIZ73" s="88"/>
      <c r="AJA73" s="88"/>
      <c r="AJB73" s="88"/>
      <c r="AJC73" s="88"/>
      <c r="AJD73" s="88"/>
      <c r="AJE73" s="88"/>
      <c r="AJF73" s="88"/>
      <c r="AJG73" s="88"/>
      <c r="AJH73" s="88"/>
      <c r="AJI73" s="88"/>
      <c r="AJJ73" s="88"/>
      <c r="AJK73" s="88"/>
      <c r="AJL73" s="88"/>
      <c r="AJM73" s="88"/>
      <c r="AJN73" s="88"/>
      <c r="AJO73" s="88"/>
      <c r="AJP73" s="88"/>
      <c r="AJQ73" s="88"/>
      <c r="AJR73" s="88"/>
      <c r="AJS73" s="88"/>
      <c r="AJT73" s="88"/>
      <c r="AJU73" s="88"/>
      <c r="AJV73" s="88"/>
      <c r="AJW73" s="88"/>
      <c r="AJX73" s="88"/>
      <c r="AJY73" s="88"/>
      <c r="AJZ73" s="88"/>
      <c r="AKA73" s="88"/>
      <c r="AKB73" s="88"/>
      <c r="AKC73" s="88"/>
      <c r="AKD73" s="88"/>
      <c r="AKE73" s="88"/>
      <c r="AKF73" s="88"/>
      <c r="AKG73" s="88"/>
      <c r="AKH73" s="88"/>
      <c r="AKI73" s="88"/>
      <c r="AKJ73" s="88"/>
      <c r="AKK73" s="88"/>
      <c r="AKL73" s="88"/>
      <c r="AKM73" s="88"/>
      <c r="AKN73" s="88"/>
      <c r="AKO73" s="88"/>
      <c r="AKP73" s="88"/>
      <c r="AKQ73" s="88"/>
      <c r="AKR73" s="88"/>
      <c r="AKS73" s="88"/>
      <c r="AKT73" s="88"/>
      <c r="AKU73" s="88"/>
      <c r="AKV73" s="88"/>
      <c r="AKW73" s="88"/>
      <c r="AKX73" s="88"/>
      <c r="AKY73" s="88"/>
      <c r="AKZ73" s="88"/>
      <c r="ALA73" s="88"/>
      <c r="ALB73" s="88"/>
      <c r="ALC73" s="88"/>
      <c r="ALD73" s="88"/>
      <c r="ALE73" s="88"/>
      <c r="ALF73" s="88"/>
      <c r="ALG73" s="88"/>
      <c r="ALH73" s="88"/>
      <c r="ALI73" s="88"/>
      <c r="ALJ73" s="88"/>
      <c r="ALK73" s="88"/>
      <c r="ALL73" s="88"/>
      <c r="ALM73" s="88"/>
      <c r="ALN73" s="88"/>
      <c r="ALO73" s="88"/>
      <c r="ALP73" s="88"/>
      <c r="ALQ73" s="88"/>
      <c r="ALR73" s="88"/>
      <c r="ALS73" s="88"/>
      <c r="ALT73" s="88"/>
      <c r="ALU73" s="88"/>
      <c r="ALV73" s="88"/>
      <c r="ALW73" s="88"/>
      <c r="ALX73" s="88"/>
      <c r="ALY73" s="88"/>
      <c r="ALZ73" s="88"/>
      <c r="AMA73" s="88"/>
      <c r="AMB73" s="88"/>
      <c r="AMC73" s="88"/>
      <c r="AMD73" s="88"/>
      <c r="AME73" s="88"/>
      <c r="AMF73" s="88"/>
      <c r="AMG73" s="88"/>
      <c r="AMH73" s="88"/>
      <c r="AMI73" s="88"/>
      <c r="AMJ73" s="88"/>
      <c r="AMK73" s="88"/>
      <c r="AML73" s="88"/>
      <c r="AMM73" s="88"/>
      <c r="AMN73" s="88"/>
      <c r="AMO73" s="88"/>
      <c r="AMP73" s="88"/>
      <c r="AMQ73" s="88"/>
      <c r="AMR73" s="88"/>
      <c r="AMS73" s="88"/>
      <c r="AMT73" s="88"/>
      <c r="AMU73" s="88"/>
      <c r="AMV73" s="88"/>
      <c r="AMW73" s="88"/>
      <c r="AMX73" s="88"/>
      <c r="AMY73" s="88"/>
      <c r="AMZ73" s="88"/>
      <c r="ANA73" s="88"/>
      <c r="ANB73" s="88"/>
      <c r="ANC73" s="88"/>
      <c r="AND73" s="88"/>
      <c r="ANE73" s="88"/>
      <c r="ANF73" s="88"/>
      <c r="ANG73" s="88"/>
      <c r="ANH73" s="88"/>
      <c r="ANI73" s="88"/>
      <c r="ANJ73" s="88"/>
      <c r="ANK73" s="88"/>
      <c r="ANL73" s="88"/>
      <c r="ANM73" s="88"/>
      <c r="ANN73" s="88"/>
      <c r="ANO73" s="88"/>
      <c r="ANP73" s="88"/>
      <c r="ANQ73" s="88"/>
      <c r="ANR73" s="88"/>
      <c r="ANS73" s="88"/>
      <c r="ANT73" s="88"/>
      <c r="ANU73" s="88"/>
      <c r="ANV73" s="88"/>
      <c r="ANW73" s="88"/>
      <c r="ANX73" s="88"/>
      <c r="ANY73" s="88"/>
      <c r="ANZ73" s="88"/>
      <c r="AOA73" s="88"/>
      <c r="AOB73" s="88"/>
      <c r="AOC73" s="88"/>
      <c r="AOD73" s="88"/>
      <c r="AOE73" s="88"/>
      <c r="AOF73" s="88"/>
      <c r="AOG73" s="88"/>
      <c r="AOH73" s="88"/>
      <c r="AOI73" s="88"/>
      <c r="AOJ73" s="88"/>
      <c r="AOK73" s="88"/>
      <c r="AOL73" s="88"/>
      <c r="AOM73" s="88"/>
      <c r="AON73" s="88"/>
      <c r="AOO73" s="88"/>
      <c r="AOP73" s="88"/>
      <c r="AOQ73" s="88"/>
      <c r="AOR73" s="88"/>
      <c r="AOS73" s="88"/>
      <c r="AOT73" s="88"/>
      <c r="AOU73" s="88"/>
      <c r="AOV73" s="88"/>
      <c r="AOW73" s="88"/>
      <c r="AOX73" s="88"/>
      <c r="AOY73" s="88"/>
      <c r="AOZ73" s="88"/>
      <c r="APA73" s="88"/>
      <c r="APB73" s="88"/>
      <c r="APC73" s="88"/>
      <c r="APD73" s="88"/>
      <c r="APE73" s="88"/>
      <c r="APF73" s="88"/>
      <c r="APG73" s="88"/>
      <c r="APH73" s="88"/>
      <c r="API73" s="88"/>
      <c r="APJ73" s="88"/>
      <c r="APK73" s="88"/>
      <c r="APL73" s="88"/>
      <c r="APM73" s="88"/>
      <c r="APN73" s="88"/>
      <c r="APO73" s="88"/>
      <c r="APP73" s="88"/>
      <c r="APQ73" s="88"/>
      <c r="APR73" s="88"/>
      <c r="APS73" s="88"/>
      <c r="APT73" s="88"/>
      <c r="APU73" s="88"/>
      <c r="APV73" s="88"/>
      <c r="APW73" s="88"/>
      <c r="APX73" s="88"/>
      <c r="APY73" s="88"/>
      <c r="APZ73" s="88"/>
      <c r="AQA73" s="88"/>
      <c r="AQB73" s="88"/>
      <c r="AQC73" s="88"/>
      <c r="AQD73" s="88"/>
      <c r="AQE73" s="88"/>
      <c r="AQF73" s="88"/>
      <c r="AQG73" s="88"/>
      <c r="AQH73" s="88"/>
      <c r="AQI73" s="88"/>
      <c r="AQJ73" s="88"/>
      <c r="AQK73" s="88"/>
      <c r="AQL73" s="88"/>
      <c r="AQM73" s="88"/>
      <c r="AQN73" s="88"/>
      <c r="AQO73" s="88"/>
      <c r="AQP73" s="88"/>
      <c r="AQQ73" s="88"/>
      <c r="AQR73" s="88"/>
      <c r="AQS73" s="88"/>
      <c r="AQT73" s="88"/>
      <c r="AQU73" s="88"/>
      <c r="AQV73" s="88"/>
      <c r="AQW73" s="88"/>
      <c r="AQX73" s="88"/>
      <c r="AQY73" s="88"/>
      <c r="AQZ73" s="88"/>
      <c r="ARA73" s="88"/>
      <c r="ARB73" s="88"/>
      <c r="ARC73" s="88"/>
      <c r="ARD73" s="88"/>
      <c r="ARE73" s="88"/>
      <c r="ARF73" s="88"/>
      <c r="ARG73" s="88"/>
      <c r="ARH73" s="88"/>
      <c r="ARI73" s="88"/>
      <c r="ARJ73" s="88"/>
      <c r="ARK73" s="88"/>
      <c r="ARL73" s="88"/>
      <c r="ARM73" s="88"/>
      <c r="ARN73" s="88"/>
      <c r="ARO73" s="88"/>
      <c r="ARP73" s="88"/>
      <c r="ARQ73" s="88"/>
      <c r="ARR73" s="88"/>
      <c r="ARS73" s="88"/>
      <c r="ART73" s="88"/>
      <c r="ARU73" s="88"/>
      <c r="ARV73" s="88"/>
      <c r="ARW73" s="88"/>
      <c r="ARX73" s="88"/>
      <c r="ARY73" s="88"/>
      <c r="ARZ73" s="88"/>
      <c r="ASA73" s="88"/>
      <c r="ASB73" s="88"/>
      <c r="ASC73" s="88"/>
      <c r="ASD73" s="88"/>
      <c r="ASE73" s="88"/>
      <c r="ASF73" s="88"/>
      <c r="ASG73" s="88"/>
      <c r="ASH73" s="88"/>
      <c r="ASI73" s="88"/>
      <c r="ASJ73" s="88"/>
      <c r="ASK73" s="88"/>
      <c r="ASL73" s="88"/>
      <c r="ASM73" s="88"/>
      <c r="ASN73" s="88"/>
      <c r="ASO73" s="88"/>
      <c r="ASP73" s="88"/>
      <c r="ASQ73" s="88"/>
      <c r="ASR73" s="88"/>
      <c r="ASS73" s="88"/>
      <c r="AST73" s="88"/>
      <c r="ASU73" s="88"/>
      <c r="ASV73" s="88"/>
      <c r="ASW73" s="88"/>
      <c r="ASX73" s="88"/>
      <c r="ASY73" s="88"/>
      <c r="ASZ73" s="88"/>
      <c r="ATA73" s="88"/>
      <c r="ATB73" s="88"/>
      <c r="ATC73" s="88"/>
      <c r="ATD73" s="88"/>
      <c r="ATE73" s="88"/>
      <c r="ATF73" s="88"/>
      <c r="ATG73" s="88"/>
      <c r="ATH73" s="88"/>
      <c r="ATI73" s="88"/>
      <c r="ATJ73" s="88"/>
      <c r="ATK73" s="88"/>
      <c r="ATL73" s="88"/>
      <c r="ATM73" s="88"/>
      <c r="ATN73" s="88"/>
      <c r="ATO73" s="88"/>
      <c r="ATP73" s="88"/>
      <c r="ATQ73" s="88"/>
      <c r="ATR73" s="88"/>
      <c r="ATS73" s="88"/>
      <c r="ATT73" s="88"/>
      <c r="ATU73" s="88"/>
      <c r="ATV73" s="88"/>
      <c r="ATW73" s="88"/>
      <c r="ATX73" s="88"/>
      <c r="ATY73" s="88"/>
      <c r="ATZ73" s="88"/>
      <c r="AUA73" s="88"/>
      <c r="AUB73" s="88"/>
      <c r="AUC73" s="88"/>
      <c r="AUD73" s="88"/>
      <c r="AUE73" s="88"/>
      <c r="AUF73" s="88"/>
      <c r="AUG73" s="88"/>
      <c r="AUH73" s="88"/>
      <c r="AUI73" s="88"/>
      <c r="AUJ73" s="88"/>
      <c r="AUK73" s="88"/>
      <c r="AUL73" s="88"/>
      <c r="AUM73" s="88"/>
      <c r="AUN73" s="88"/>
      <c r="AUO73" s="88"/>
      <c r="AUP73" s="88"/>
      <c r="AUQ73" s="88"/>
      <c r="AUR73" s="88"/>
      <c r="AUS73" s="88"/>
      <c r="AUT73" s="88"/>
      <c r="AUU73" s="88"/>
      <c r="AUV73" s="88"/>
      <c r="AUW73" s="88"/>
      <c r="AUX73" s="88"/>
      <c r="AUY73" s="88"/>
      <c r="AUZ73" s="88"/>
      <c r="AVA73" s="88"/>
      <c r="AVB73" s="88"/>
      <c r="AVC73" s="88"/>
      <c r="AVD73" s="88"/>
      <c r="AVE73" s="88"/>
      <c r="AVF73" s="88"/>
      <c r="AVG73" s="88"/>
      <c r="AVH73" s="88"/>
      <c r="AVI73" s="88"/>
      <c r="AVJ73" s="88"/>
      <c r="AVK73" s="88"/>
      <c r="AVL73" s="88"/>
      <c r="AVM73" s="88"/>
      <c r="AVN73" s="88"/>
      <c r="AVO73" s="88"/>
      <c r="AVP73" s="88"/>
      <c r="AVQ73" s="88"/>
      <c r="AVR73" s="88"/>
      <c r="AVS73" s="88"/>
      <c r="AVT73" s="88"/>
      <c r="AVU73" s="88"/>
      <c r="AVV73" s="88"/>
      <c r="AVW73" s="88"/>
      <c r="AVX73" s="88"/>
      <c r="AVY73" s="88"/>
      <c r="AVZ73" s="88"/>
      <c r="AWA73" s="88"/>
      <c r="AWB73" s="88"/>
      <c r="AWC73" s="88"/>
      <c r="AWD73" s="88"/>
      <c r="AWE73" s="88"/>
      <c r="AWF73" s="88"/>
      <c r="AWG73" s="88"/>
      <c r="AWH73" s="88"/>
      <c r="AWI73" s="88"/>
      <c r="AWJ73" s="88"/>
      <c r="AWK73" s="88"/>
      <c r="AWL73" s="88"/>
      <c r="AWM73" s="88"/>
      <c r="AWN73" s="88"/>
      <c r="AWO73" s="88"/>
      <c r="AWP73" s="88"/>
      <c r="AWQ73" s="88"/>
      <c r="AWR73" s="88"/>
      <c r="AWS73" s="88"/>
      <c r="AWT73" s="88"/>
      <c r="AWU73" s="88"/>
      <c r="AWV73" s="88"/>
      <c r="AWW73" s="88"/>
      <c r="AWX73" s="88"/>
      <c r="AWY73" s="88"/>
      <c r="AWZ73" s="88"/>
      <c r="AXA73" s="88"/>
      <c r="AXB73" s="88"/>
      <c r="AXC73" s="88"/>
      <c r="AXD73" s="88"/>
      <c r="AXE73" s="88"/>
      <c r="AXF73" s="88"/>
      <c r="AXG73" s="88"/>
      <c r="AXH73" s="88"/>
      <c r="AXI73" s="88"/>
      <c r="AXJ73" s="88"/>
      <c r="AXK73" s="88"/>
      <c r="AXL73" s="88"/>
      <c r="AXM73" s="88"/>
      <c r="AXN73" s="88"/>
      <c r="AXO73" s="88"/>
      <c r="AXP73" s="88"/>
      <c r="AXQ73" s="88"/>
      <c r="AXR73" s="88"/>
      <c r="AXS73" s="88"/>
      <c r="AXT73" s="88"/>
      <c r="AXU73" s="88"/>
      <c r="AXV73" s="88"/>
      <c r="AXW73" s="88"/>
      <c r="AXX73" s="88"/>
      <c r="AXY73" s="88"/>
      <c r="AXZ73" s="88"/>
      <c r="AYA73" s="88"/>
      <c r="AYB73" s="88"/>
      <c r="AYC73" s="88"/>
      <c r="AYD73" s="88"/>
      <c r="AYE73" s="88"/>
      <c r="AYF73" s="88"/>
      <c r="AYG73" s="88"/>
      <c r="AYH73" s="88"/>
      <c r="AYI73" s="88"/>
      <c r="AYJ73" s="88"/>
      <c r="AYK73" s="88"/>
      <c r="AYL73" s="88"/>
      <c r="AYM73" s="88"/>
      <c r="AYN73" s="88"/>
      <c r="AYO73" s="88"/>
      <c r="AYP73" s="88"/>
      <c r="AYQ73" s="88"/>
      <c r="AYR73" s="88"/>
      <c r="AYS73" s="88"/>
      <c r="AYT73" s="88"/>
      <c r="AYU73" s="88"/>
      <c r="AYV73" s="88"/>
      <c r="AYW73" s="88"/>
      <c r="AYX73" s="88"/>
      <c r="AYY73" s="88"/>
      <c r="AYZ73" s="88"/>
      <c r="AZA73" s="88"/>
      <c r="AZB73" s="88"/>
      <c r="AZC73" s="88"/>
      <c r="AZD73" s="88"/>
      <c r="AZE73" s="88"/>
      <c r="AZF73" s="88"/>
      <c r="AZG73" s="88"/>
      <c r="AZH73" s="88"/>
      <c r="AZI73" s="88"/>
      <c r="AZJ73" s="88"/>
      <c r="AZK73" s="88"/>
      <c r="AZL73" s="88"/>
      <c r="AZM73" s="88"/>
      <c r="AZN73" s="88"/>
      <c r="AZO73" s="88"/>
      <c r="AZP73" s="88"/>
      <c r="AZQ73" s="88"/>
      <c r="AZR73" s="88"/>
      <c r="AZS73" s="88"/>
      <c r="AZT73" s="88"/>
      <c r="AZU73" s="88"/>
      <c r="AZV73" s="88"/>
      <c r="AZW73" s="88"/>
      <c r="AZX73" s="88"/>
      <c r="AZY73" s="88"/>
      <c r="AZZ73" s="88"/>
      <c r="BAA73" s="88"/>
      <c r="BAB73" s="88"/>
      <c r="BAC73" s="88"/>
      <c r="BAD73" s="88"/>
      <c r="BAE73" s="88"/>
      <c r="BAF73" s="88"/>
      <c r="BAG73" s="88"/>
      <c r="BAH73" s="88"/>
      <c r="BAI73" s="88"/>
      <c r="BAJ73" s="88"/>
      <c r="BAK73" s="88"/>
      <c r="BAL73" s="88"/>
      <c r="BAM73" s="88"/>
      <c r="BAN73" s="88"/>
      <c r="BAO73" s="88"/>
      <c r="BAP73" s="88"/>
      <c r="BAQ73" s="88"/>
      <c r="BAR73" s="88"/>
      <c r="BAS73" s="88"/>
      <c r="BAT73" s="88"/>
      <c r="BAU73" s="88"/>
      <c r="BAV73" s="88"/>
      <c r="BAW73" s="88"/>
      <c r="BAX73" s="88"/>
      <c r="BAY73" s="88"/>
      <c r="BAZ73" s="88"/>
      <c r="BBA73" s="88"/>
      <c r="BBB73" s="88"/>
      <c r="BBC73" s="88"/>
      <c r="BBD73" s="88"/>
      <c r="BBE73" s="88"/>
      <c r="BBF73" s="88"/>
      <c r="BBG73" s="88"/>
      <c r="BBH73" s="88"/>
      <c r="BBI73" s="88"/>
      <c r="BBJ73" s="88"/>
      <c r="BBK73" s="88"/>
      <c r="BBL73" s="88"/>
      <c r="BBM73" s="88"/>
      <c r="BBN73" s="88"/>
      <c r="BBO73" s="88"/>
      <c r="BBP73" s="88"/>
      <c r="BBQ73" s="88"/>
      <c r="BBR73" s="88"/>
      <c r="BBS73" s="88"/>
      <c r="BBT73" s="88"/>
      <c r="BBU73" s="88"/>
      <c r="BBV73" s="88"/>
      <c r="BBW73" s="88"/>
      <c r="BBX73" s="88"/>
      <c r="BBY73" s="88"/>
      <c r="BBZ73" s="88"/>
      <c r="BCA73" s="88"/>
      <c r="BCB73" s="88"/>
      <c r="BCC73" s="88"/>
      <c r="BCD73" s="88"/>
      <c r="BCE73" s="88"/>
      <c r="BCF73" s="88"/>
      <c r="BCG73" s="88"/>
      <c r="BCH73" s="88"/>
      <c r="BCI73" s="88"/>
      <c r="BCJ73" s="88"/>
      <c r="BCK73" s="88"/>
      <c r="BCL73" s="88"/>
      <c r="BCM73" s="88"/>
      <c r="BCN73" s="88"/>
      <c r="BCO73" s="88"/>
      <c r="BCP73" s="88"/>
      <c r="BCQ73" s="88"/>
      <c r="BCR73" s="88"/>
      <c r="BCS73" s="88"/>
      <c r="BCT73" s="88"/>
      <c r="BCU73" s="88"/>
      <c r="BCV73" s="88"/>
      <c r="BCW73" s="88"/>
      <c r="BCX73" s="88"/>
      <c r="BCY73" s="88"/>
      <c r="BCZ73" s="88"/>
      <c r="BDA73" s="88"/>
      <c r="BDB73" s="88"/>
      <c r="BDC73" s="88"/>
      <c r="BDD73" s="88"/>
      <c r="BDE73" s="88"/>
      <c r="BDF73" s="88"/>
      <c r="BDG73" s="88"/>
      <c r="BDH73" s="88"/>
      <c r="BDI73" s="88"/>
      <c r="BDJ73" s="88"/>
      <c r="BDK73" s="88"/>
      <c r="BDL73" s="88"/>
      <c r="BDM73" s="88"/>
      <c r="BDN73" s="88"/>
      <c r="BDO73" s="88"/>
      <c r="BDP73" s="88"/>
      <c r="BDQ73" s="88"/>
      <c r="BDR73" s="88"/>
      <c r="BDS73" s="88"/>
      <c r="BDT73" s="88"/>
      <c r="BDU73" s="88"/>
      <c r="BDV73" s="88"/>
      <c r="BDW73" s="88"/>
      <c r="BDX73" s="88"/>
      <c r="BDY73" s="88"/>
      <c r="BDZ73" s="88"/>
      <c r="BEA73" s="88"/>
      <c r="BEB73" s="88"/>
      <c r="BEC73" s="88"/>
      <c r="BED73" s="88"/>
      <c r="BEE73" s="88"/>
      <c r="BEF73" s="88"/>
      <c r="BEG73" s="88"/>
      <c r="BEH73" s="88"/>
      <c r="BEI73" s="88"/>
      <c r="BEJ73" s="88"/>
      <c r="BEK73" s="88"/>
      <c r="BEL73" s="88"/>
      <c r="BEM73" s="88"/>
      <c r="BEN73" s="88"/>
      <c r="BEO73" s="88"/>
      <c r="BEP73" s="88"/>
      <c r="BEQ73" s="88"/>
      <c r="BER73" s="88"/>
      <c r="BES73" s="88"/>
      <c r="BET73" s="88"/>
      <c r="BEU73" s="88"/>
      <c r="BEV73" s="88"/>
      <c r="BEW73" s="88"/>
      <c r="BEX73" s="88"/>
      <c r="BEY73" s="88"/>
      <c r="BEZ73" s="88"/>
      <c r="BFA73" s="88"/>
      <c r="BFB73" s="88"/>
      <c r="BFC73" s="88"/>
      <c r="BFD73" s="88"/>
      <c r="BFE73" s="88"/>
      <c r="BFF73" s="88"/>
      <c r="BFG73" s="88"/>
      <c r="BFH73" s="88"/>
      <c r="BFI73" s="88"/>
      <c r="BFJ73" s="88"/>
      <c r="BFK73" s="88"/>
      <c r="BFL73" s="88"/>
      <c r="BFM73" s="88"/>
      <c r="BFN73" s="88"/>
      <c r="BFO73" s="88"/>
      <c r="BFP73" s="88"/>
      <c r="BFQ73" s="88"/>
      <c r="BFR73" s="88"/>
      <c r="BFS73" s="88"/>
      <c r="BFT73" s="88"/>
      <c r="BFU73" s="88"/>
      <c r="BFV73" s="88"/>
      <c r="BFW73" s="88"/>
      <c r="BFX73" s="88"/>
      <c r="BFY73" s="88"/>
      <c r="BFZ73" s="88"/>
      <c r="BGA73" s="88"/>
      <c r="BGB73" s="88"/>
      <c r="BGC73" s="88"/>
      <c r="BGD73" s="88"/>
      <c r="BGE73" s="88"/>
      <c r="BGF73" s="88"/>
      <c r="BGG73" s="88"/>
      <c r="BGH73" s="88"/>
      <c r="BGI73" s="88"/>
      <c r="BGJ73" s="88"/>
      <c r="BGK73" s="88"/>
      <c r="BGL73" s="88"/>
      <c r="BGM73" s="88"/>
      <c r="BGN73" s="88"/>
      <c r="BGO73" s="88"/>
      <c r="BGP73" s="88"/>
      <c r="BGQ73" s="88"/>
      <c r="BGR73" s="88"/>
      <c r="BGS73" s="88"/>
      <c r="BGT73" s="88"/>
      <c r="BGU73" s="88"/>
      <c r="BGV73" s="88"/>
      <c r="BGW73" s="88"/>
      <c r="BGX73" s="88"/>
      <c r="BGY73" s="88"/>
      <c r="BGZ73" s="88"/>
      <c r="BHA73" s="88"/>
      <c r="BHB73" s="88"/>
      <c r="BHC73" s="88"/>
      <c r="BHD73" s="88"/>
      <c r="BHE73" s="88"/>
      <c r="BHF73" s="88"/>
      <c r="BHG73" s="88"/>
      <c r="BHH73" s="88"/>
      <c r="BHI73" s="88"/>
      <c r="BHJ73" s="88"/>
      <c r="BHK73" s="88"/>
      <c r="BHL73" s="88"/>
      <c r="BHM73" s="88"/>
      <c r="BHN73" s="88"/>
      <c r="BHO73" s="88"/>
      <c r="BHP73" s="88"/>
      <c r="BHQ73" s="88"/>
      <c r="BHR73" s="88"/>
      <c r="BHS73" s="88"/>
      <c r="BHT73" s="88"/>
      <c r="BHU73" s="88"/>
      <c r="BHV73" s="88"/>
      <c r="BHW73" s="88"/>
      <c r="BHX73" s="88"/>
      <c r="BHY73" s="88"/>
      <c r="BHZ73" s="88"/>
      <c r="BIA73" s="88"/>
      <c r="BIB73" s="88"/>
      <c r="BIC73" s="88"/>
      <c r="BID73" s="88"/>
      <c r="BIE73" s="88"/>
      <c r="BIF73" s="88"/>
      <c r="BIG73" s="88"/>
      <c r="BIH73" s="88"/>
      <c r="BII73" s="88"/>
      <c r="BIJ73" s="88"/>
      <c r="BIK73" s="88"/>
      <c r="BIL73" s="88"/>
      <c r="BIM73" s="88"/>
      <c r="BIN73" s="88"/>
      <c r="BIO73" s="88"/>
      <c r="BIP73" s="88"/>
      <c r="BIQ73" s="88"/>
      <c r="BIR73" s="88"/>
      <c r="BIS73" s="88"/>
      <c r="BIT73" s="88"/>
      <c r="BIU73" s="88"/>
      <c r="BIV73" s="88"/>
      <c r="BIW73" s="88"/>
      <c r="BIX73" s="88"/>
      <c r="BIY73" s="88"/>
      <c r="BIZ73" s="88"/>
      <c r="BJA73" s="88"/>
      <c r="BJB73" s="88"/>
      <c r="BJC73" s="88"/>
      <c r="BJD73" s="88"/>
      <c r="BJE73" s="88"/>
      <c r="BJF73" s="88"/>
      <c r="BJG73" s="88"/>
      <c r="BJH73" s="88"/>
      <c r="BJI73" s="88"/>
      <c r="BJJ73" s="88"/>
      <c r="BJK73" s="88"/>
      <c r="BJL73" s="88"/>
      <c r="BJM73" s="88"/>
      <c r="BJN73" s="88"/>
      <c r="BJO73" s="88"/>
      <c r="BJP73" s="88"/>
      <c r="BJQ73" s="88"/>
      <c r="BJR73" s="88"/>
      <c r="BJS73" s="88"/>
      <c r="BJT73" s="88"/>
      <c r="BJU73" s="88"/>
      <c r="BJV73" s="88"/>
      <c r="BJW73" s="88"/>
      <c r="BJX73" s="88"/>
      <c r="BJY73" s="88"/>
      <c r="BJZ73" s="88"/>
      <c r="BKA73" s="88"/>
      <c r="BKB73" s="88"/>
      <c r="BKC73" s="88"/>
      <c r="BKD73" s="88"/>
      <c r="BKE73" s="88"/>
      <c r="BKF73" s="88"/>
      <c r="BKG73" s="88"/>
      <c r="BKH73" s="88"/>
      <c r="BKI73" s="88"/>
      <c r="BKJ73" s="88"/>
      <c r="BKK73" s="88"/>
      <c r="BKL73" s="88"/>
      <c r="BKM73" s="88"/>
      <c r="BKN73" s="88"/>
      <c r="BKO73" s="88"/>
      <c r="BKP73" s="88"/>
      <c r="BKQ73" s="88"/>
      <c r="BKR73" s="88"/>
      <c r="BKS73" s="88"/>
      <c r="BKT73" s="88"/>
      <c r="BKU73" s="88"/>
      <c r="BKV73" s="88"/>
      <c r="BKW73" s="88"/>
      <c r="BKX73" s="88"/>
      <c r="BKY73" s="88"/>
      <c r="BKZ73" s="88"/>
      <c r="BLA73" s="88"/>
      <c r="BLB73" s="88"/>
      <c r="BLC73" s="88"/>
      <c r="BLD73" s="88"/>
      <c r="BLE73" s="88"/>
      <c r="BLF73" s="88"/>
      <c r="BLG73" s="88"/>
      <c r="BLH73" s="88"/>
      <c r="BLI73" s="88"/>
      <c r="BLJ73" s="88"/>
      <c r="BLK73" s="88"/>
      <c r="BLL73" s="88"/>
      <c r="BLM73" s="88"/>
      <c r="BLN73" s="88"/>
      <c r="BLO73" s="88"/>
      <c r="BLP73" s="88"/>
      <c r="BLQ73" s="88"/>
      <c r="BLR73" s="88"/>
      <c r="BLS73" s="88"/>
      <c r="BLT73" s="88"/>
      <c r="BLU73" s="88"/>
      <c r="BLV73" s="88"/>
      <c r="BLW73" s="88"/>
      <c r="BLX73" s="88"/>
      <c r="BLY73" s="88"/>
      <c r="BLZ73" s="88"/>
      <c r="BMA73" s="88"/>
      <c r="BMB73" s="88"/>
      <c r="BMC73" s="88"/>
      <c r="BMD73" s="88"/>
      <c r="BME73" s="88"/>
      <c r="BMF73" s="88"/>
      <c r="BMG73" s="88"/>
      <c r="BMH73" s="88"/>
      <c r="BMI73" s="88"/>
      <c r="BMJ73" s="88"/>
      <c r="BMK73" s="88"/>
      <c r="BML73" s="88"/>
      <c r="BMM73" s="88"/>
      <c r="BMN73" s="88"/>
      <c r="BMO73" s="88"/>
      <c r="BMP73" s="88"/>
      <c r="BMQ73" s="88"/>
      <c r="BMR73" s="88"/>
      <c r="BMS73" s="88"/>
      <c r="BMT73" s="88"/>
      <c r="BMU73" s="88"/>
      <c r="BMV73" s="88"/>
      <c r="BMW73" s="88"/>
      <c r="BMX73" s="88"/>
      <c r="BMY73" s="88"/>
      <c r="BMZ73" s="88"/>
      <c r="BNA73" s="88"/>
      <c r="BNB73" s="88"/>
      <c r="BNC73" s="88"/>
      <c r="BND73" s="88"/>
      <c r="BNE73" s="88"/>
      <c r="BNF73" s="88"/>
      <c r="BNG73" s="88"/>
      <c r="BNH73" s="88"/>
      <c r="BNI73" s="88"/>
      <c r="BNJ73" s="88"/>
      <c r="BNK73" s="88"/>
      <c r="BNL73" s="88"/>
      <c r="BNM73" s="88"/>
      <c r="BNN73" s="88"/>
      <c r="BNO73" s="88"/>
      <c r="BNP73" s="88"/>
      <c r="BNQ73" s="88"/>
      <c r="BNR73" s="88"/>
      <c r="BNS73" s="88"/>
      <c r="BNT73" s="88"/>
      <c r="BNU73" s="88"/>
      <c r="BNV73" s="88"/>
      <c r="BNW73" s="88"/>
      <c r="BNX73" s="88"/>
      <c r="BNY73" s="88"/>
      <c r="BNZ73" s="88"/>
      <c r="BOA73" s="88"/>
      <c r="BOB73" s="88"/>
      <c r="BOC73" s="88"/>
      <c r="BOD73" s="88"/>
      <c r="BOE73" s="88"/>
      <c r="BOF73" s="88"/>
      <c r="BOG73" s="88"/>
      <c r="BOH73" s="88"/>
      <c r="BOI73" s="88"/>
      <c r="BOJ73" s="88"/>
      <c r="BOK73" s="88"/>
      <c r="BOL73" s="88"/>
      <c r="BOM73" s="88"/>
      <c r="BON73" s="88"/>
      <c r="BOO73" s="88"/>
      <c r="BOP73" s="88"/>
      <c r="BOQ73" s="88"/>
      <c r="BOR73" s="88"/>
      <c r="BOS73" s="88"/>
      <c r="BOT73" s="88"/>
      <c r="BOU73" s="88"/>
      <c r="BOV73" s="88"/>
      <c r="BOW73" s="88"/>
      <c r="BOX73" s="88"/>
      <c r="BOY73" s="88"/>
      <c r="BOZ73" s="88"/>
      <c r="BPA73" s="88"/>
      <c r="BPB73" s="88"/>
      <c r="BPC73" s="88"/>
      <c r="BPD73" s="88"/>
      <c r="BPE73" s="88"/>
      <c r="BPF73" s="88"/>
      <c r="BPG73" s="88"/>
      <c r="BPH73" s="88"/>
      <c r="BPI73" s="88"/>
      <c r="BPJ73" s="88"/>
      <c r="BPK73" s="88"/>
      <c r="BPL73" s="88"/>
      <c r="BPM73" s="88"/>
      <c r="BPN73" s="88"/>
      <c r="BPO73" s="88"/>
      <c r="BPP73" s="88"/>
      <c r="BPQ73" s="88"/>
      <c r="BPR73" s="88"/>
      <c r="BPS73" s="88"/>
      <c r="BPT73" s="88"/>
      <c r="BPU73" s="88"/>
      <c r="BPV73" s="88"/>
      <c r="BPW73" s="88"/>
      <c r="BPX73" s="88"/>
      <c r="BPY73" s="88"/>
      <c r="BPZ73" s="88"/>
      <c r="BQA73" s="88"/>
      <c r="BQB73" s="88"/>
      <c r="BQC73" s="88"/>
      <c r="BQD73" s="88"/>
      <c r="BQE73" s="88"/>
      <c r="BQF73" s="88"/>
      <c r="BQG73" s="88"/>
      <c r="BQH73" s="88"/>
      <c r="BQI73" s="88"/>
      <c r="BQJ73" s="88"/>
      <c r="BQK73" s="88"/>
      <c r="BQL73" s="88"/>
      <c r="BQM73" s="88"/>
      <c r="BQN73" s="88"/>
      <c r="BQO73" s="88"/>
      <c r="BQP73" s="88"/>
      <c r="BQQ73" s="88"/>
      <c r="BQR73" s="88"/>
      <c r="BQS73" s="88"/>
      <c r="BQT73" s="88"/>
      <c r="BQU73" s="88"/>
      <c r="BQV73" s="88"/>
      <c r="BQW73" s="88"/>
      <c r="BQX73" s="88"/>
      <c r="BQY73" s="88"/>
      <c r="BQZ73" s="88"/>
      <c r="BRA73" s="88"/>
      <c r="BRB73" s="88"/>
      <c r="BRC73" s="88"/>
      <c r="BRD73" s="88"/>
      <c r="BRE73" s="88"/>
      <c r="BRF73" s="88"/>
      <c r="BRG73" s="88"/>
      <c r="BRH73" s="88"/>
      <c r="BRI73" s="88"/>
      <c r="BRJ73" s="88"/>
      <c r="BRK73" s="88"/>
      <c r="BRL73" s="88"/>
      <c r="BRM73" s="88"/>
      <c r="BRN73" s="88"/>
      <c r="BRO73" s="88"/>
      <c r="BRP73" s="88"/>
      <c r="BRQ73" s="88"/>
      <c r="BRR73" s="88"/>
      <c r="BRS73" s="88"/>
      <c r="BRT73" s="88"/>
      <c r="BRU73" s="88"/>
      <c r="BRV73" s="88"/>
      <c r="BRW73" s="88"/>
      <c r="BRX73" s="88"/>
      <c r="BRY73" s="88"/>
      <c r="BRZ73" s="88"/>
      <c r="BSA73" s="88"/>
      <c r="BSB73" s="88"/>
      <c r="BSC73" s="88"/>
      <c r="BSD73" s="88"/>
      <c r="BSE73" s="88"/>
      <c r="BSF73" s="88"/>
      <c r="BSG73" s="88"/>
      <c r="BSH73" s="88"/>
      <c r="BSI73" s="88"/>
      <c r="BSJ73" s="88"/>
      <c r="BSK73" s="88"/>
      <c r="BSL73" s="88"/>
      <c r="BSM73" s="88"/>
      <c r="BSN73" s="88"/>
      <c r="BSO73" s="88"/>
      <c r="BSP73" s="88"/>
      <c r="BSQ73" s="88"/>
      <c r="BSR73" s="88"/>
      <c r="BSS73" s="88"/>
      <c r="BST73" s="88"/>
      <c r="BSU73" s="88"/>
      <c r="BSV73" s="88"/>
      <c r="BSW73" s="88"/>
      <c r="BSX73" s="88"/>
      <c r="BSY73" s="88"/>
      <c r="BSZ73" s="88"/>
      <c r="BTA73" s="88"/>
      <c r="BTB73" s="88"/>
      <c r="BTC73" s="88"/>
      <c r="BTD73" s="88"/>
      <c r="BTE73" s="88"/>
      <c r="BTF73" s="88"/>
      <c r="BTG73" s="88"/>
      <c r="BTH73" s="88"/>
      <c r="BTI73" s="88"/>
      <c r="BTJ73" s="88"/>
      <c r="BTK73" s="88"/>
      <c r="BTL73" s="88"/>
      <c r="BTM73" s="88"/>
      <c r="BTN73" s="88"/>
      <c r="BTO73" s="88"/>
      <c r="BTP73" s="88"/>
      <c r="BTQ73" s="88"/>
      <c r="BTR73" s="88"/>
      <c r="BTS73" s="88"/>
      <c r="BTT73" s="88"/>
      <c r="BTU73" s="88"/>
      <c r="BTV73" s="88"/>
      <c r="BTW73" s="88"/>
      <c r="BTX73" s="88"/>
      <c r="BTY73" s="88"/>
      <c r="BTZ73" s="88"/>
      <c r="BUA73" s="88"/>
      <c r="BUB73" s="88"/>
      <c r="BUC73" s="88"/>
      <c r="BUD73" s="88"/>
      <c r="BUE73" s="88"/>
      <c r="BUF73" s="88"/>
      <c r="BUG73" s="88"/>
      <c r="BUH73" s="88"/>
      <c r="BUI73" s="88"/>
      <c r="BUJ73" s="88"/>
      <c r="BUK73" s="88"/>
      <c r="BUL73" s="88"/>
      <c r="BUM73" s="88"/>
      <c r="BUN73" s="88"/>
      <c r="BUO73" s="88"/>
      <c r="BUP73" s="88"/>
      <c r="BUQ73" s="88"/>
      <c r="BUR73" s="88"/>
      <c r="BUS73" s="88"/>
      <c r="BUT73" s="88"/>
      <c r="BUU73" s="88"/>
      <c r="BUV73" s="88"/>
      <c r="BUW73" s="88"/>
      <c r="BUX73" s="88"/>
      <c r="BUY73" s="88"/>
      <c r="BUZ73" s="88"/>
      <c r="BVA73" s="88"/>
      <c r="BVB73" s="88"/>
      <c r="BVC73" s="88"/>
      <c r="BVD73" s="88"/>
      <c r="BVE73" s="88"/>
      <c r="BVF73" s="88"/>
      <c r="BVG73" s="88"/>
      <c r="BVH73" s="88"/>
      <c r="BVI73" s="88"/>
      <c r="BVJ73" s="88"/>
      <c r="BVK73" s="88"/>
      <c r="BVL73" s="88"/>
      <c r="BVM73" s="88"/>
      <c r="BVN73" s="88"/>
      <c r="BVO73" s="88"/>
      <c r="BVP73" s="88"/>
      <c r="BVQ73" s="88"/>
      <c r="BVR73" s="88"/>
      <c r="BVS73" s="88"/>
      <c r="BVT73" s="88"/>
      <c r="BVU73" s="88"/>
      <c r="BVV73" s="88"/>
      <c r="BVW73" s="88"/>
      <c r="BVX73" s="88"/>
      <c r="BVY73" s="88"/>
      <c r="BVZ73" s="88"/>
      <c r="BWA73" s="88"/>
      <c r="BWB73" s="88"/>
      <c r="BWC73" s="88"/>
      <c r="BWD73" s="88"/>
      <c r="BWE73" s="88"/>
      <c r="BWF73" s="88"/>
      <c r="BWG73" s="88"/>
      <c r="BWH73" s="88"/>
      <c r="BWI73" s="88"/>
      <c r="BWJ73" s="88"/>
      <c r="BWK73" s="88"/>
      <c r="BWL73" s="88"/>
      <c r="BWM73" s="88"/>
      <c r="BWN73" s="88"/>
      <c r="BWO73" s="88"/>
      <c r="BWP73" s="88"/>
      <c r="BWQ73" s="88"/>
      <c r="BWR73" s="88"/>
      <c r="BWS73" s="88"/>
      <c r="BWT73" s="88"/>
      <c r="BWU73" s="88"/>
      <c r="BWV73" s="88"/>
      <c r="BWW73" s="88"/>
      <c r="BWX73" s="88"/>
      <c r="BWY73" s="88"/>
      <c r="BWZ73" s="88"/>
      <c r="BXA73" s="88"/>
      <c r="BXB73" s="88"/>
      <c r="BXC73" s="88"/>
      <c r="BXD73" s="88"/>
      <c r="BXE73" s="88"/>
      <c r="BXF73" s="88"/>
      <c r="BXG73" s="88"/>
      <c r="BXH73" s="88"/>
      <c r="BXI73" s="88"/>
      <c r="BXJ73" s="88"/>
      <c r="BXK73" s="88"/>
      <c r="BXL73" s="88"/>
      <c r="BXM73" s="88"/>
      <c r="BXN73" s="88"/>
      <c r="BXO73" s="88"/>
      <c r="BXP73" s="88"/>
      <c r="BXQ73" s="88"/>
      <c r="BXR73" s="88"/>
      <c r="BXS73" s="88"/>
      <c r="BXT73" s="88"/>
      <c r="BXU73" s="88"/>
      <c r="BXV73" s="88"/>
      <c r="BXW73" s="88"/>
      <c r="BXX73" s="88"/>
      <c r="BXY73" s="88"/>
      <c r="BXZ73" s="88"/>
      <c r="BYA73" s="88"/>
      <c r="BYB73" s="88"/>
      <c r="BYC73" s="88"/>
      <c r="BYD73" s="88"/>
      <c r="BYE73" s="88"/>
      <c r="BYF73" s="88"/>
      <c r="BYG73" s="88"/>
      <c r="BYH73" s="88"/>
      <c r="BYI73" s="88"/>
      <c r="BYJ73" s="88"/>
      <c r="BYK73" s="88"/>
      <c r="BYL73" s="88"/>
      <c r="BYM73" s="88"/>
      <c r="BYN73" s="88"/>
      <c r="BYO73" s="88"/>
      <c r="BYP73" s="88"/>
      <c r="BYQ73" s="88"/>
      <c r="BYR73" s="88"/>
      <c r="BYS73" s="88"/>
      <c r="BYT73" s="88"/>
      <c r="BYU73" s="88"/>
      <c r="BYV73" s="88"/>
      <c r="BYW73" s="88"/>
      <c r="BYX73" s="88"/>
      <c r="BYY73" s="88"/>
      <c r="BYZ73" s="88"/>
      <c r="BZA73" s="88"/>
      <c r="BZB73" s="88"/>
      <c r="BZC73" s="88"/>
      <c r="BZD73" s="88"/>
      <c r="BZE73" s="88"/>
      <c r="BZF73" s="88"/>
      <c r="BZG73" s="88"/>
      <c r="BZH73" s="88"/>
      <c r="BZI73" s="88"/>
      <c r="BZJ73" s="88"/>
      <c r="BZK73" s="88"/>
      <c r="BZL73" s="88"/>
      <c r="BZM73" s="88"/>
      <c r="BZN73" s="88"/>
      <c r="BZO73" s="88"/>
      <c r="BZP73" s="88"/>
      <c r="BZQ73" s="88"/>
      <c r="BZR73" s="88"/>
      <c r="BZS73" s="88"/>
      <c r="BZT73" s="88"/>
      <c r="BZU73" s="88"/>
      <c r="BZV73" s="88"/>
      <c r="BZW73" s="88"/>
      <c r="BZX73" s="88"/>
      <c r="BZY73" s="88"/>
      <c r="BZZ73" s="88"/>
      <c r="CAA73" s="88"/>
      <c r="CAB73" s="88"/>
      <c r="CAC73" s="88"/>
      <c r="CAD73" s="88"/>
      <c r="CAE73" s="88"/>
      <c r="CAF73" s="88"/>
      <c r="CAG73" s="88"/>
      <c r="CAH73" s="88"/>
      <c r="CAI73" s="88"/>
      <c r="CAJ73" s="88"/>
      <c r="CAK73" s="88"/>
      <c r="CAL73" s="88"/>
      <c r="CAM73" s="88"/>
      <c r="CAN73" s="88"/>
      <c r="CAO73" s="88"/>
      <c r="CAP73" s="88"/>
      <c r="CAQ73" s="88"/>
      <c r="CAR73" s="88"/>
      <c r="CAS73" s="88"/>
      <c r="CAT73" s="88"/>
      <c r="CAU73" s="88"/>
      <c r="CAV73" s="88"/>
      <c r="CAW73" s="88"/>
      <c r="CAX73" s="88"/>
      <c r="CAY73" s="88"/>
      <c r="CAZ73" s="88"/>
      <c r="CBA73" s="88"/>
      <c r="CBB73" s="88"/>
      <c r="CBC73" s="88"/>
      <c r="CBD73" s="88"/>
      <c r="CBE73" s="88"/>
      <c r="CBF73" s="88"/>
      <c r="CBG73" s="88"/>
      <c r="CBH73" s="88"/>
      <c r="CBI73" s="88"/>
      <c r="CBJ73" s="88"/>
      <c r="CBK73" s="88"/>
      <c r="CBL73" s="88"/>
      <c r="CBM73" s="88"/>
      <c r="CBN73" s="88"/>
      <c r="CBO73" s="88"/>
      <c r="CBP73" s="88"/>
      <c r="CBQ73" s="88"/>
      <c r="CBR73" s="88"/>
      <c r="CBS73" s="88"/>
      <c r="CBT73" s="88"/>
      <c r="CBU73" s="88"/>
      <c r="CBV73" s="88"/>
      <c r="CBW73" s="88"/>
      <c r="CBX73" s="88"/>
      <c r="CBY73" s="88"/>
      <c r="CBZ73" s="88"/>
      <c r="CCA73" s="88"/>
      <c r="CCB73" s="88"/>
      <c r="CCC73" s="88"/>
      <c r="CCD73" s="88"/>
      <c r="CCE73" s="88"/>
      <c r="CCF73" s="88"/>
      <c r="CCG73" s="88"/>
      <c r="CCH73" s="88"/>
      <c r="CCI73" s="88"/>
      <c r="CCJ73" s="88"/>
      <c r="CCK73" s="88"/>
      <c r="CCL73" s="88"/>
      <c r="CCM73" s="88"/>
      <c r="CCN73" s="88"/>
      <c r="CCO73" s="88"/>
      <c r="CCP73" s="88"/>
      <c r="CCQ73" s="88"/>
      <c r="CCR73" s="88"/>
      <c r="CCS73" s="88"/>
      <c r="CCT73" s="88"/>
      <c r="CCU73" s="88"/>
      <c r="CCV73" s="88"/>
      <c r="CCW73" s="88"/>
      <c r="CCX73" s="88"/>
      <c r="CCY73" s="88"/>
      <c r="CCZ73" s="88"/>
      <c r="CDA73" s="88"/>
      <c r="CDB73" s="88"/>
      <c r="CDC73" s="88"/>
      <c r="CDD73" s="88"/>
      <c r="CDE73" s="88"/>
      <c r="CDF73" s="88"/>
      <c r="CDG73" s="88"/>
      <c r="CDH73" s="88"/>
      <c r="CDI73" s="88"/>
      <c r="CDJ73" s="88"/>
      <c r="CDK73" s="88"/>
      <c r="CDL73" s="88"/>
      <c r="CDM73" s="88"/>
      <c r="CDN73" s="88"/>
      <c r="CDO73" s="88"/>
      <c r="CDP73" s="88"/>
      <c r="CDQ73" s="88"/>
      <c r="CDR73" s="88"/>
      <c r="CDS73" s="88"/>
      <c r="CDT73" s="88"/>
      <c r="CDU73" s="88"/>
      <c r="CDV73" s="88"/>
      <c r="CDW73" s="88"/>
      <c r="CDX73" s="88"/>
      <c r="CDY73" s="88"/>
      <c r="CDZ73" s="88"/>
      <c r="CEA73" s="88"/>
      <c r="CEB73" s="88"/>
      <c r="CEC73" s="88"/>
      <c r="CED73" s="88"/>
      <c r="CEE73" s="88"/>
      <c r="CEF73" s="88"/>
      <c r="CEG73" s="88"/>
      <c r="CEH73" s="88"/>
      <c r="CEI73" s="88"/>
      <c r="CEJ73" s="88"/>
      <c r="CEK73" s="88"/>
    </row>
    <row r="74" spans="1:2169" s="63" customFormat="1">
      <c r="A74" s="73" t="s">
        <v>431</v>
      </c>
      <c r="B74" s="71" t="s">
        <v>502</v>
      </c>
      <c r="C74" s="68" t="str">
        <f>IF('page 2'!$O$4="","",IF('page 2'!$O$4=Gestion!A74,1,0))</f>
        <v/>
      </c>
      <c r="D74" s="68" t="str">
        <f>IF('page 2'!$O$5="","",IF('page 2'!$O$5=Gestion!A74,1,0))</f>
        <v/>
      </c>
      <c r="E74" s="68" t="str">
        <f>IF('page 2'!$O$6="","",IF('page 2'!$O$6=Gestion!A74,1,0))</f>
        <v/>
      </c>
      <c r="F74" s="68" t="str">
        <f>IF('page 2'!$O$7="","",IF('page 2'!$O$7=Gestion!A74,1,0))</f>
        <v/>
      </c>
      <c r="G74" s="68" t="str">
        <f>IF('page 2'!$O$8="","",IF('page 2'!$O$8=Gestion!A74,1,0))</f>
        <v/>
      </c>
      <c r="H74" s="68" t="str">
        <f>IF('page 2'!$O$9="","",IF('page 2'!$O$9=Gestion!A74,1,0))</f>
        <v/>
      </c>
      <c r="I74" s="68" t="str">
        <f>IF('page 2'!$O$10="","",IF('page 2'!$O$10=Gestion!A74,1,0))</f>
        <v/>
      </c>
      <c r="J74" s="68" t="str">
        <f>IF('page 2'!$O$11="","",IF('page 2'!$O$11=Gestion!A74,1,0))</f>
        <v/>
      </c>
      <c r="K74" s="68" t="str">
        <f>IF('page 2'!$O$12="","",IF('page 2'!$O$12=Gestion!A74,1,0))</f>
        <v/>
      </c>
      <c r="L74" s="68" t="str">
        <f>IF('page 2'!$O$13="","",IF('page 2'!$O$13=Gestion!A74,1,0))</f>
        <v/>
      </c>
      <c r="M74" s="68" t="str">
        <f>IF('page 2'!$O$14="","",IF('page 2'!$O$14=Gestion!A74,1,0))</f>
        <v/>
      </c>
      <c r="N74" s="68" t="str">
        <f>IF('page 2'!$O$15="","",IF('page 2'!$O$15=Gestion!A74,1,0))</f>
        <v/>
      </c>
      <c r="O74" s="68" t="str">
        <f>IF('page 2'!$O$16="","",IF('page 2'!$O$16=Gestion!A74,1,0))</f>
        <v/>
      </c>
      <c r="P74" s="68" t="str">
        <f>IF('page 2'!$O$17="","",IF('page 2'!$O$17=Gestion!A74,1,0))</f>
        <v/>
      </c>
      <c r="Q74" s="68" t="str">
        <f>IF('page 2'!$O$18="","",IF('page 2'!$O$18=Gestion!A74,1,0))</f>
        <v/>
      </c>
      <c r="R74" s="68" t="str">
        <f>IF('page 2'!$O$19="","",IF('page 2'!$O$19=Gestion!A74,1,0))</f>
        <v/>
      </c>
      <c r="S74" s="68" t="str">
        <f>IF('page 2'!$O$20="","",IF('page 2'!$O$20=Gestion!A74,1,0))</f>
        <v/>
      </c>
      <c r="T74" s="68" t="str">
        <f>IF('page 2'!$O$25="","",IF('page 2'!$O$25=Gestion!A74,1,0))</f>
        <v/>
      </c>
      <c r="U74" s="68" t="str">
        <f>IF('page 2'!$O$26="","",IF('page 2'!$O$26=Gestion!A74,1,0))</f>
        <v/>
      </c>
      <c r="V74" s="68" t="str">
        <f>IF('page 2'!$O$27="","",IF('page 2'!$O$27=Gestion!A74,1,0))</f>
        <v/>
      </c>
      <c r="W74" s="722">
        <f t="shared" si="0"/>
        <v>0</v>
      </c>
      <c r="X74" s="714"/>
      <c r="Y74" s="68"/>
      <c r="Z74" s="68"/>
      <c r="AA74" s="68"/>
      <c r="AB74" s="68"/>
      <c r="AC74" s="68"/>
      <c r="AD74" s="68"/>
      <c r="AP74" s="130"/>
      <c r="AQ74" s="130"/>
      <c r="AR74" s="130"/>
      <c r="AS74" s="602"/>
      <c r="AT74" s="602"/>
      <c r="AU74" s="602"/>
      <c r="AV74" s="602"/>
      <c r="AW74" s="602"/>
      <c r="AX74" s="602"/>
      <c r="AY74" s="602"/>
      <c r="AZ74" s="602"/>
      <c r="BA74" s="602"/>
      <c r="BB74" s="602"/>
      <c r="BC74" s="602"/>
      <c r="BD74" s="602"/>
      <c r="BE74" s="602"/>
      <c r="BF74" s="602"/>
      <c r="BG74" s="602"/>
      <c r="BH74" s="602"/>
      <c r="BI74" s="602"/>
      <c r="BJ74" s="602"/>
      <c r="BK74" s="602"/>
      <c r="BL74" s="602"/>
      <c r="BM74" s="602"/>
      <c r="BN74" s="602"/>
      <c r="BO74" s="602"/>
      <c r="BP74" s="602"/>
      <c r="BQ74" s="602"/>
      <c r="BR74" s="602"/>
      <c r="BS74" s="602"/>
      <c r="BT74" s="602"/>
      <c r="BU74" s="602"/>
      <c r="BV74" s="602"/>
      <c r="BW74" s="602"/>
      <c r="BX74" s="602"/>
      <c r="BY74" s="602"/>
      <c r="BZ74" s="602"/>
      <c r="CA74" s="602"/>
      <c r="CB74" s="602"/>
      <c r="CC74" s="602"/>
      <c r="CD74" s="602"/>
      <c r="CE74" s="602"/>
      <c r="CF74" s="602"/>
      <c r="CG74" s="602"/>
      <c r="CH74" s="602"/>
      <c r="CI74" s="602"/>
      <c r="CJ74" s="602"/>
      <c r="CK74" s="602"/>
      <c r="CL74" s="602"/>
      <c r="CM74" s="602"/>
      <c r="CN74" s="602"/>
      <c r="CO74" s="602"/>
      <c r="CP74" s="602"/>
      <c r="CQ74" s="602"/>
      <c r="CR74" s="602"/>
      <c r="CS74" s="602"/>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c r="HF74" s="88"/>
      <c r="HG74" s="88"/>
      <c r="HH74" s="88"/>
      <c r="HI74" s="88"/>
      <c r="HJ74" s="88"/>
      <c r="HK74" s="88"/>
      <c r="HL74" s="88"/>
      <c r="HM74" s="88"/>
      <c r="HN74" s="88"/>
      <c r="HO74" s="88"/>
      <c r="HP74" s="88"/>
      <c r="HQ74" s="88"/>
      <c r="HR74" s="88"/>
      <c r="HS74" s="88"/>
      <c r="HT74" s="88"/>
      <c r="HU74" s="88"/>
      <c r="HV74" s="88"/>
      <c r="HW74" s="88"/>
      <c r="HX74" s="88"/>
      <c r="HY74" s="88"/>
      <c r="HZ74" s="88"/>
      <c r="IA74" s="88"/>
      <c r="IB74" s="88"/>
      <c r="IC74" s="88"/>
      <c r="ID74" s="88"/>
      <c r="IE74" s="88"/>
      <c r="IF74" s="88"/>
      <c r="IG74" s="88"/>
      <c r="IH74" s="88"/>
      <c r="II74" s="88"/>
      <c r="IJ74" s="88"/>
      <c r="IK74" s="88"/>
      <c r="IL74" s="88"/>
      <c r="IM74" s="88"/>
      <c r="IN74" s="88"/>
      <c r="IO74" s="88"/>
      <c r="IP74" s="88"/>
      <c r="IQ74" s="88"/>
      <c r="IR74" s="88"/>
      <c r="IS74" s="88"/>
      <c r="IT74" s="88"/>
      <c r="IU74" s="88"/>
      <c r="IV74" s="88"/>
      <c r="IW74" s="88"/>
      <c r="IX74" s="88"/>
      <c r="IY74" s="88"/>
      <c r="IZ74" s="88"/>
      <c r="JA74" s="88"/>
      <c r="JB74" s="88"/>
      <c r="JC74" s="88"/>
      <c r="JD74" s="88"/>
      <c r="JE74" s="88"/>
      <c r="JF74" s="88"/>
      <c r="JG74" s="88"/>
      <c r="JH74" s="88"/>
      <c r="JI74" s="88"/>
      <c r="JJ74" s="88"/>
      <c r="JK74" s="88"/>
      <c r="JL74" s="88"/>
      <c r="JM74" s="88"/>
      <c r="JN74" s="88"/>
      <c r="JO74" s="88"/>
      <c r="JP74" s="88"/>
      <c r="JQ74" s="88"/>
      <c r="JR74" s="88"/>
      <c r="JS74" s="88"/>
      <c r="JT74" s="88"/>
      <c r="JU74" s="88"/>
      <c r="JV74" s="88"/>
      <c r="JW74" s="88"/>
      <c r="JX74" s="88"/>
      <c r="JY74" s="88"/>
      <c r="JZ74" s="88"/>
      <c r="KA74" s="88"/>
      <c r="KB74" s="88"/>
      <c r="KC74" s="88"/>
      <c r="KD74" s="88"/>
      <c r="KE74" s="88"/>
      <c r="KF74" s="88"/>
      <c r="KG74" s="88"/>
      <c r="KH74" s="88"/>
      <c r="KI74" s="88"/>
      <c r="KJ74" s="88"/>
      <c r="KK74" s="88"/>
      <c r="KL74" s="88"/>
      <c r="KM74" s="88"/>
      <c r="KN74" s="88"/>
      <c r="KO74" s="88"/>
      <c r="KP74" s="88"/>
      <c r="KQ74" s="88"/>
      <c r="KR74" s="88"/>
      <c r="KS74" s="88"/>
      <c r="KT74" s="88"/>
      <c r="KU74" s="88"/>
      <c r="KV74" s="88"/>
      <c r="KW74" s="88"/>
      <c r="KX74" s="88"/>
      <c r="KY74" s="88"/>
      <c r="KZ74" s="88"/>
      <c r="LA74" s="88"/>
      <c r="LB74" s="88"/>
      <c r="LC74" s="88"/>
      <c r="LD74" s="88"/>
      <c r="LE74" s="88"/>
      <c r="LF74" s="88"/>
      <c r="LG74" s="88"/>
      <c r="LH74" s="88"/>
      <c r="LI74" s="88"/>
      <c r="LJ74" s="88"/>
      <c r="LK74" s="88"/>
      <c r="LL74" s="88"/>
      <c r="LM74" s="88"/>
      <c r="LN74" s="88"/>
      <c r="LO74" s="88"/>
      <c r="LP74" s="88"/>
      <c r="LQ74" s="88"/>
      <c r="LR74" s="88"/>
      <c r="LS74" s="88"/>
      <c r="LT74" s="88"/>
      <c r="LU74" s="88"/>
      <c r="LV74" s="88"/>
      <c r="LW74" s="88"/>
      <c r="LX74" s="88"/>
      <c r="LY74" s="88"/>
      <c r="LZ74" s="88"/>
      <c r="MA74" s="88"/>
      <c r="MB74" s="88"/>
      <c r="MC74" s="88"/>
      <c r="MD74" s="88"/>
      <c r="ME74" s="88"/>
      <c r="MF74" s="88"/>
      <c r="MG74" s="88"/>
      <c r="MH74" s="88"/>
      <c r="MI74" s="88"/>
      <c r="MJ74" s="88"/>
      <c r="MK74" s="88"/>
      <c r="ML74" s="88"/>
      <c r="MM74" s="88"/>
      <c r="MN74" s="88"/>
      <c r="MO74" s="88"/>
      <c r="MP74" s="88"/>
      <c r="MQ74" s="88"/>
      <c r="MR74" s="88"/>
      <c r="MS74" s="88"/>
      <c r="MT74" s="88"/>
      <c r="MU74" s="88"/>
      <c r="MV74" s="88"/>
      <c r="MW74" s="88"/>
      <c r="MX74" s="88"/>
      <c r="MY74" s="88"/>
      <c r="MZ74" s="88"/>
      <c r="NA74" s="88"/>
      <c r="NB74" s="88"/>
      <c r="NC74" s="88"/>
      <c r="ND74" s="88"/>
      <c r="NE74" s="88"/>
      <c r="NF74" s="88"/>
      <c r="NG74" s="88"/>
      <c r="NH74" s="88"/>
      <c r="NI74" s="88"/>
      <c r="NJ74" s="88"/>
      <c r="NK74" s="88"/>
      <c r="NL74" s="88"/>
      <c r="NM74" s="88"/>
      <c r="NN74" s="88"/>
      <c r="NO74" s="88"/>
      <c r="NP74" s="88"/>
      <c r="NQ74" s="88"/>
      <c r="NR74" s="88"/>
      <c r="NS74" s="88"/>
      <c r="NT74" s="88"/>
      <c r="NU74" s="88"/>
      <c r="NV74" s="88"/>
      <c r="NW74" s="88"/>
      <c r="NX74" s="88"/>
      <c r="NY74" s="88"/>
      <c r="NZ74" s="88"/>
      <c r="OA74" s="88"/>
      <c r="OB74" s="88"/>
      <c r="OC74" s="88"/>
      <c r="OD74" s="88"/>
      <c r="OE74" s="88"/>
      <c r="OF74" s="88"/>
      <c r="OG74" s="88"/>
      <c r="OH74" s="88"/>
      <c r="OI74" s="88"/>
      <c r="OJ74" s="88"/>
      <c r="OK74" s="88"/>
      <c r="OL74" s="88"/>
      <c r="OM74" s="88"/>
      <c r="ON74" s="88"/>
      <c r="OO74" s="88"/>
      <c r="OP74" s="88"/>
      <c r="OQ74" s="88"/>
      <c r="OR74" s="88"/>
      <c r="OS74" s="88"/>
      <c r="OT74" s="88"/>
      <c r="OU74" s="88"/>
      <c r="OV74" s="88"/>
      <c r="OW74" s="88"/>
      <c r="OX74" s="88"/>
      <c r="OY74" s="88"/>
      <c r="OZ74" s="88"/>
      <c r="PA74" s="88"/>
      <c r="PB74" s="88"/>
      <c r="PC74" s="88"/>
      <c r="PD74" s="88"/>
      <c r="PE74" s="88"/>
      <c r="PF74" s="88"/>
      <c r="PG74" s="88"/>
      <c r="PH74" s="88"/>
      <c r="PI74" s="88"/>
      <c r="PJ74" s="88"/>
      <c r="PK74" s="88"/>
      <c r="PL74" s="88"/>
      <c r="PM74" s="88"/>
      <c r="PN74" s="88"/>
      <c r="PO74" s="88"/>
      <c r="PP74" s="88"/>
      <c r="PQ74" s="88"/>
      <c r="PR74" s="88"/>
      <c r="PS74" s="88"/>
      <c r="PT74" s="88"/>
      <c r="PU74" s="88"/>
      <c r="PV74" s="88"/>
      <c r="PW74" s="88"/>
      <c r="PX74" s="88"/>
      <c r="PY74" s="88"/>
      <c r="PZ74" s="88"/>
      <c r="QA74" s="88"/>
      <c r="QB74" s="88"/>
      <c r="QC74" s="88"/>
      <c r="QD74" s="88"/>
      <c r="QE74" s="88"/>
      <c r="QF74" s="88"/>
      <c r="QG74" s="88"/>
      <c r="QH74" s="88"/>
      <c r="QI74" s="88"/>
      <c r="QJ74" s="88"/>
      <c r="QK74" s="88"/>
      <c r="QL74" s="88"/>
      <c r="QM74" s="88"/>
      <c r="QN74" s="88"/>
      <c r="QO74" s="88"/>
      <c r="QP74" s="88"/>
      <c r="QQ74" s="88"/>
      <c r="QR74" s="88"/>
      <c r="QS74" s="88"/>
      <c r="QT74" s="88"/>
      <c r="QU74" s="88"/>
      <c r="QV74" s="88"/>
      <c r="QW74" s="88"/>
      <c r="QX74" s="88"/>
      <c r="QY74" s="88"/>
      <c r="QZ74" s="88"/>
      <c r="RA74" s="88"/>
      <c r="RB74" s="88"/>
      <c r="RC74" s="88"/>
      <c r="RD74" s="88"/>
      <c r="RE74" s="88"/>
      <c r="RF74" s="88"/>
      <c r="RG74" s="88"/>
      <c r="RH74" s="88"/>
      <c r="RI74" s="88"/>
      <c r="RJ74" s="88"/>
      <c r="RK74" s="88"/>
      <c r="RL74" s="88"/>
      <c r="RM74" s="88"/>
      <c r="RN74" s="88"/>
      <c r="RO74" s="88"/>
      <c r="RP74" s="88"/>
      <c r="RQ74" s="88"/>
      <c r="RR74" s="88"/>
      <c r="RS74" s="88"/>
      <c r="RT74" s="88"/>
      <c r="RU74" s="88"/>
      <c r="RV74" s="88"/>
      <c r="RW74" s="88"/>
      <c r="RX74" s="88"/>
      <c r="RY74" s="88"/>
      <c r="RZ74" s="88"/>
      <c r="SA74" s="88"/>
      <c r="SB74" s="88"/>
      <c r="SC74" s="88"/>
      <c r="SD74" s="88"/>
      <c r="SE74" s="88"/>
      <c r="SF74" s="88"/>
      <c r="SG74" s="88"/>
      <c r="SH74" s="88"/>
      <c r="SI74" s="88"/>
      <c r="SJ74" s="88"/>
      <c r="SK74" s="88"/>
      <c r="SL74" s="88"/>
      <c r="SM74" s="88"/>
      <c r="SN74" s="88"/>
      <c r="SO74" s="88"/>
      <c r="SP74" s="88"/>
      <c r="SQ74" s="88"/>
      <c r="SR74" s="88"/>
      <c r="SS74" s="88"/>
      <c r="ST74" s="88"/>
      <c r="SU74" s="88"/>
      <c r="SV74" s="88"/>
      <c r="SW74" s="88"/>
      <c r="SX74" s="88"/>
      <c r="SY74" s="88"/>
      <c r="SZ74" s="88"/>
      <c r="TA74" s="88"/>
      <c r="TB74" s="88"/>
      <c r="TC74" s="88"/>
      <c r="TD74" s="88"/>
      <c r="TE74" s="88"/>
      <c r="TF74" s="88"/>
      <c r="TG74" s="88"/>
      <c r="TH74" s="88"/>
      <c r="TI74" s="88"/>
      <c r="TJ74" s="88"/>
      <c r="TK74" s="88"/>
      <c r="TL74" s="88"/>
      <c r="TM74" s="88"/>
      <c r="TN74" s="88"/>
      <c r="TO74" s="88"/>
      <c r="TP74" s="88"/>
      <c r="TQ74" s="88"/>
      <c r="TR74" s="88"/>
      <c r="TS74" s="88"/>
      <c r="TT74" s="88"/>
      <c r="TU74" s="88"/>
      <c r="TV74" s="88"/>
      <c r="TW74" s="88"/>
      <c r="TX74" s="88"/>
      <c r="TY74" s="88"/>
      <c r="TZ74" s="88"/>
      <c r="UA74" s="88"/>
      <c r="UB74" s="88"/>
      <c r="UC74" s="88"/>
      <c r="UD74" s="88"/>
      <c r="UE74" s="88"/>
      <c r="UF74" s="88"/>
      <c r="UG74" s="88"/>
      <c r="UH74" s="88"/>
      <c r="UI74" s="88"/>
      <c r="UJ74" s="88"/>
      <c r="UK74" s="88"/>
      <c r="UL74" s="88"/>
      <c r="UM74" s="88"/>
      <c r="UN74" s="88"/>
      <c r="UO74" s="88"/>
      <c r="UP74" s="88"/>
      <c r="UQ74" s="88"/>
      <c r="UR74" s="88"/>
      <c r="US74" s="88"/>
      <c r="UT74" s="88"/>
      <c r="UU74" s="88"/>
      <c r="UV74" s="88"/>
      <c r="UW74" s="88"/>
      <c r="UX74" s="88"/>
      <c r="UY74" s="88"/>
      <c r="UZ74" s="88"/>
      <c r="VA74" s="88"/>
      <c r="VB74" s="88"/>
      <c r="VC74" s="88"/>
      <c r="VD74" s="88"/>
      <c r="VE74" s="88"/>
      <c r="VF74" s="88"/>
      <c r="VG74" s="88"/>
      <c r="VH74" s="88"/>
      <c r="VI74" s="88"/>
      <c r="VJ74" s="88"/>
      <c r="VK74" s="88"/>
      <c r="VL74" s="88"/>
      <c r="VM74" s="88"/>
      <c r="VN74" s="88"/>
      <c r="VO74" s="88"/>
      <c r="VP74" s="88"/>
      <c r="VQ74" s="88"/>
      <c r="VR74" s="88"/>
      <c r="VS74" s="88"/>
      <c r="VT74" s="88"/>
      <c r="VU74" s="88"/>
      <c r="VV74" s="88"/>
      <c r="VW74" s="88"/>
      <c r="VX74" s="88"/>
      <c r="VY74" s="88"/>
      <c r="VZ74" s="88"/>
      <c r="WA74" s="88"/>
      <c r="WB74" s="88"/>
      <c r="WC74" s="88"/>
      <c r="WD74" s="88"/>
      <c r="WE74" s="88"/>
      <c r="WF74" s="88"/>
      <c r="WG74" s="88"/>
      <c r="WH74" s="88"/>
      <c r="WI74" s="88"/>
      <c r="WJ74" s="88"/>
      <c r="WK74" s="88"/>
      <c r="WL74" s="88"/>
      <c r="WM74" s="88"/>
      <c r="WN74" s="88"/>
      <c r="WO74" s="88"/>
      <c r="WP74" s="88"/>
      <c r="WQ74" s="88"/>
      <c r="WR74" s="88"/>
      <c r="WS74" s="88"/>
      <c r="WT74" s="88"/>
      <c r="WU74" s="88"/>
      <c r="WV74" s="88"/>
      <c r="WW74" s="88"/>
      <c r="WX74" s="88"/>
      <c r="WY74" s="88"/>
      <c r="WZ74" s="88"/>
      <c r="XA74" s="88"/>
      <c r="XB74" s="88"/>
      <c r="XC74" s="88"/>
      <c r="XD74" s="88"/>
      <c r="XE74" s="88"/>
      <c r="XF74" s="88"/>
      <c r="XG74" s="88"/>
      <c r="XH74" s="88"/>
      <c r="XI74" s="88"/>
      <c r="XJ74" s="88"/>
      <c r="XK74" s="88"/>
      <c r="XL74" s="88"/>
      <c r="XM74" s="88"/>
      <c r="XN74" s="88"/>
      <c r="XO74" s="88"/>
      <c r="XP74" s="88"/>
      <c r="XQ74" s="88"/>
      <c r="XR74" s="88"/>
      <c r="XS74" s="88"/>
      <c r="XT74" s="88"/>
      <c r="XU74" s="88"/>
      <c r="XV74" s="88"/>
      <c r="XW74" s="88"/>
      <c r="XX74" s="88"/>
      <c r="XY74" s="88"/>
      <c r="XZ74" s="88"/>
      <c r="YA74" s="88"/>
      <c r="YB74" s="88"/>
      <c r="YC74" s="88"/>
      <c r="YD74" s="88"/>
      <c r="YE74" s="88"/>
      <c r="YF74" s="88"/>
      <c r="YG74" s="88"/>
      <c r="YH74" s="88"/>
      <c r="YI74" s="88"/>
      <c r="YJ74" s="88"/>
      <c r="YK74" s="88"/>
      <c r="YL74" s="88"/>
      <c r="YM74" s="88"/>
      <c r="YN74" s="88"/>
      <c r="YO74" s="88"/>
      <c r="YP74" s="88"/>
      <c r="YQ74" s="88"/>
      <c r="YR74" s="88"/>
      <c r="YS74" s="88"/>
      <c r="YT74" s="88"/>
      <c r="YU74" s="88"/>
      <c r="YV74" s="88"/>
      <c r="YW74" s="88"/>
      <c r="YX74" s="88"/>
      <c r="YY74" s="88"/>
      <c r="YZ74" s="88"/>
      <c r="ZA74" s="88"/>
      <c r="ZB74" s="88"/>
      <c r="ZC74" s="88"/>
      <c r="ZD74" s="88"/>
      <c r="ZE74" s="88"/>
      <c r="ZF74" s="88"/>
      <c r="ZG74" s="88"/>
      <c r="ZH74" s="88"/>
      <c r="ZI74" s="88"/>
      <c r="ZJ74" s="88"/>
      <c r="ZK74" s="88"/>
      <c r="ZL74" s="88"/>
      <c r="ZM74" s="88"/>
      <c r="ZN74" s="88"/>
      <c r="ZO74" s="88"/>
      <c r="ZP74" s="88"/>
      <c r="ZQ74" s="88"/>
      <c r="ZR74" s="88"/>
      <c r="ZS74" s="88"/>
      <c r="ZT74" s="88"/>
      <c r="ZU74" s="88"/>
      <c r="ZV74" s="88"/>
      <c r="ZW74" s="88"/>
      <c r="ZX74" s="88"/>
      <c r="ZY74" s="88"/>
      <c r="ZZ74" s="88"/>
      <c r="AAA74" s="88"/>
      <c r="AAB74" s="88"/>
      <c r="AAC74" s="88"/>
      <c r="AAD74" s="88"/>
      <c r="AAE74" s="88"/>
      <c r="AAF74" s="88"/>
      <c r="AAG74" s="88"/>
      <c r="AAH74" s="88"/>
      <c r="AAI74" s="88"/>
      <c r="AAJ74" s="88"/>
      <c r="AAK74" s="88"/>
      <c r="AAL74" s="88"/>
      <c r="AAM74" s="88"/>
      <c r="AAN74" s="88"/>
      <c r="AAO74" s="88"/>
      <c r="AAP74" s="88"/>
      <c r="AAQ74" s="88"/>
      <c r="AAR74" s="88"/>
      <c r="AAS74" s="88"/>
      <c r="AAT74" s="88"/>
      <c r="AAU74" s="88"/>
      <c r="AAV74" s="88"/>
      <c r="AAW74" s="88"/>
      <c r="AAX74" s="88"/>
      <c r="AAY74" s="88"/>
      <c r="AAZ74" s="88"/>
      <c r="ABA74" s="88"/>
      <c r="ABB74" s="88"/>
      <c r="ABC74" s="88"/>
      <c r="ABD74" s="88"/>
      <c r="ABE74" s="88"/>
      <c r="ABF74" s="88"/>
      <c r="ABG74" s="88"/>
      <c r="ABH74" s="88"/>
      <c r="ABI74" s="88"/>
      <c r="ABJ74" s="88"/>
      <c r="ABK74" s="88"/>
      <c r="ABL74" s="88"/>
      <c r="ABM74" s="88"/>
      <c r="ABN74" s="88"/>
      <c r="ABO74" s="88"/>
      <c r="ABP74" s="88"/>
      <c r="ABQ74" s="88"/>
      <c r="ABR74" s="88"/>
      <c r="ABS74" s="88"/>
      <c r="ABT74" s="88"/>
      <c r="ABU74" s="88"/>
      <c r="ABV74" s="88"/>
      <c r="ABW74" s="88"/>
      <c r="ABX74" s="88"/>
      <c r="ABY74" s="88"/>
      <c r="ABZ74" s="88"/>
      <c r="ACA74" s="88"/>
      <c r="ACB74" s="88"/>
      <c r="ACC74" s="88"/>
      <c r="ACD74" s="88"/>
      <c r="ACE74" s="88"/>
      <c r="ACF74" s="88"/>
      <c r="ACG74" s="88"/>
      <c r="ACH74" s="88"/>
      <c r="ACI74" s="88"/>
      <c r="ACJ74" s="88"/>
      <c r="ACK74" s="88"/>
      <c r="ACL74" s="88"/>
      <c r="ACM74" s="88"/>
      <c r="ACN74" s="88"/>
      <c r="ACO74" s="88"/>
      <c r="ACP74" s="88"/>
      <c r="ACQ74" s="88"/>
      <c r="ACR74" s="88"/>
      <c r="ACS74" s="88"/>
      <c r="ACT74" s="88"/>
      <c r="ACU74" s="88"/>
      <c r="ACV74" s="88"/>
      <c r="ACW74" s="88"/>
      <c r="ACX74" s="88"/>
      <c r="ACY74" s="88"/>
      <c r="ACZ74" s="88"/>
      <c r="ADA74" s="88"/>
      <c r="ADB74" s="88"/>
      <c r="ADC74" s="88"/>
      <c r="ADD74" s="88"/>
      <c r="ADE74" s="88"/>
      <c r="ADF74" s="88"/>
      <c r="ADG74" s="88"/>
      <c r="ADH74" s="88"/>
      <c r="ADI74" s="88"/>
      <c r="ADJ74" s="88"/>
      <c r="ADK74" s="88"/>
      <c r="ADL74" s="88"/>
      <c r="ADM74" s="88"/>
      <c r="ADN74" s="88"/>
      <c r="ADO74" s="88"/>
      <c r="ADP74" s="88"/>
      <c r="ADQ74" s="88"/>
      <c r="ADR74" s="88"/>
      <c r="ADS74" s="88"/>
      <c r="ADT74" s="88"/>
      <c r="ADU74" s="88"/>
      <c r="ADV74" s="88"/>
      <c r="ADW74" s="88"/>
      <c r="ADX74" s="88"/>
      <c r="ADY74" s="88"/>
      <c r="ADZ74" s="88"/>
      <c r="AEA74" s="88"/>
      <c r="AEB74" s="88"/>
      <c r="AEC74" s="88"/>
      <c r="AED74" s="88"/>
      <c r="AEE74" s="88"/>
      <c r="AEF74" s="88"/>
      <c r="AEG74" s="88"/>
      <c r="AEH74" s="88"/>
      <c r="AEI74" s="88"/>
      <c r="AEJ74" s="88"/>
      <c r="AEK74" s="88"/>
      <c r="AEL74" s="88"/>
      <c r="AEM74" s="88"/>
      <c r="AEN74" s="88"/>
      <c r="AEO74" s="88"/>
      <c r="AEP74" s="88"/>
      <c r="AEQ74" s="88"/>
      <c r="AER74" s="88"/>
      <c r="AES74" s="88"/>
      <c r="AET74" s="88"/>
      <c r="AEU74" s="88"/>
      <c r="AEV74" s="88"/>
      <c r="AEW74" s="88"/>
      <c r="AEX74" s="88"/>
      <c r="AEY74" s="88"/>
      <c r="AEZ74" s="88"/>
      <c r="AFA74" s="88"/>
      <c r="AFB74" s="88"/>
      <c r="AFC74" s="88"/>
      <c r="AFD74" s="88"/>
      <c r="AFE74" s="88"/>
      <c r="AFF74" s="88"/>
      <c r="AFG74" s="88"/>
      <c r="AFH74" s="88"/>
      <c r="AFI74" s="88"/>
      <c r="AFJ74" s="88"/>
      <c r="AFK74" s="88"/>
      <c r="AFL74" s="88"/>
      <c r="AFM74" s="88"/>
      <c r="AFN74" s="88"/>
      <c r="AFO74" s="88"/>
      <c r="AFP74" s="88"/>
      <c r="AFQ74" s="88"/>
      <c r="AFR74" s="88"/>
      <c r="AFS74" s="88"/>
      <c r="AFT74" s="88"/>
      <c r="AFU74" s="88"/>
      <c r="AFV74" s="88"/>
      <c r="AFW74" s="88"/>
      <c r="AFX74" s="88"/>
      <c r="AFY74" s="88"/>
      <c r="AFZ74" s="88"/>
      <c r="AGA74" s="88"/>
      <c r="AGB74" s="88"/>
      <c r="AGC74" s="88"/>
      <c r="AGD74" s="88"/>
      <c r="AGE74" s="88"/>
      <c r="AGF74" s="88"/>
      <c r="AGG74" s="88"/>
      <c r="AGH74" s="88"/>
      <c r="AGI74" s="88"/>
      <c r="AGJ74" s="88"/>
      <c r="AGK74" s="88"/>
      <c r="AGL74" s="88"/>
      <c r="AGM74" s="88"/>
      <c r="AGN74" s="88"/>
      <c r="AGO74" s="88"/>
      <c r="AGP74" s="88"/>
      <c r="AGQ74" s="88"/>
      <c r="AGR74" s="88"/>
      <c r="AGS74" s="88"/>
      <c r="AGT74" s="88"/>
      <c r="AGU74" s="88"/>
      <c r="AGV74" s="88"/>
      <c r="AGW74" s="88"/>
      <c r="AGX74" s="88"/>
      <c r="AGY74" s="88"/>
      <c r="AGZ74" s="88"/>
      <c r="AHA74" s="88"/>
      <c r="AHB74" s="88"/>
      <c r="AHC74" s="88"/>
      <c r="AHD74" s="88"/>
      <c r="AHE74" s="88"/>
      <c r="AHF74" s="88"/>
      <c r="AHG74" s="88"/>
      <c r="AHH74" s="88"/>
      <c r="AHI74" s="88"/>
      <c r="AHJ74" s="88"/>
      <c r="AHK74" s="88"/>
      <c r="AHL74" s="88"/>
      <c r="AHM74" s="88"/>
      <c r="AHN74" s="88"/>
      <c r="AHO74" s="88"/>
      <c r="AHP74" s="88"/>
      <c r="AHQ74" s="88"/>
      <c r="AHR74" s="88"/>
      <c r="AHS74" s="88"/>
      <c r="AHT74" s="88"/>
      <c r="AHU74" s="88"/>
      <c r="AHV74" s="88"/>
      <c r="AHW74" s="88"/>
      <c r="AHX74" s="88"/>
      <c r="AHY74" s="88"/>
      <c r="AHZ74" s="88"/>
      <c r="AIA74" s="88"/>
      <c r="AIB74" s="88"/>
      <c r="AIC74" s="88"/>
      <c r="AID74" s="88"/>
      <c r="AIE74" s="88"/>
      <c r="AIF74" s="88"/>
      <c r="AIG74" s="88"/>
      <c r="AIH74" s="88"/>
      <c r="AII74" s="88"/>
      <c r="AIJ74" s="88"/>
      <c r="AIK74" s="88"/>
      <c r="AIL74" s="88"/>
      <c r="AIM74" s="88"/>
      <c r="AIN74" s="88"/>
      <c r="AIO74" s="88"/>
      <c r="AIP74" s="88"/>
      <c r="AIQ74" s="88"/>
      <c r="AIR74" s="88"/>
      <c r="AIS74" s="88"/>
      <c r="AIT74" s="88"/>
      <c r="AIU74" s="88"/>
      <c r="AIV74" s="88"/>
      <c r="AIW74" s="88"/>
      <c r="AIX74" s="88"/>
      <c r="AIY74" s="88"/>
      <c r="AIZ74" s="88"/>
      <c r="AJA74" s="88"/>
      <c r="AJB74" s="88"/>
      <c r="AJC74" s="88"/>
      <c r="AJD74" s="88"/>
      <c r="AJE74" s="88"/>
      <c r="AJF74" s="88"/>
      <c r="AJG74" s="88"/>
      <c r="AJH74" s="88"/>
      <c r="AJI74" s="88"/>
      <c r="AJJ74" s="88"/>
      <c r="AJK74" s="88"/>
      <c r="AJL74" s="88"/>
      <c r="AJM74" s="88"/>
      <c r="AJN74" s="88"/>
      <c r="AJO74" s="88"/>
      <c r="AJP74" s="88"/>
      <c r="AJQ74" s="88"/>
      <c r="AJR74" s="88"/>
      <c r="AJS74" s="88"/>
      <c r="AJT74" s="88"/>
      <c r="AJU74" s="88"/>
      <c r="AJV74" s="88"/>
      <c r="AJW74" s="88"/>
      <c r="AJX74" s="88"/>
      <c r="AJY74" s="88"/>
      <c r="AJZ74" s="88"/>
      <c r="AKA74" s="88"/>
      <c r="AKB74" s="88"/>
      <c r="AKC74" s="88"/>
      <c r="AKD74" s="88"/>
      <c r="AKE74" s="88"/>
      <c r="AKF74" s="88"/>
      <c r="AKG74" s="88"/>
      <c r="AKH74" s="88"/>
      <c r="AKI74" s="88"/>
      <c r="AKJ74" s="88"/>
      <c r="AKK74" s="88"/>
      <c r="AKL74" s="88"/>
      <c r="AKM74" s="88"/>
      <c r="AKN74" s="88"/>
      <c r="AKO74" s="88"/>
      <c r="AKP74" s="88"/>
      <c r="AKQ74" s="88"/>
      <c r="AKR74" s="88"/>
      <c r="AKS74" s="88"/>
      <c r="AKT74" s="88"/>
      <c r="AKU74" s="88"/>
      <c r="AKV74" s="88"/>
      <c r="AKW74" s="88"/>
      <c r="AKX74" s="88"/>
      <c r="AKY74" s="88"/>
      <c r="AKZ74" s="88"/>
      <c r="ALA74" s="88"/>
      <c r="ALB74" s="88"/>
      <c r="ALC74" s="88"/>
      <c r="ALD74" s="88"/>
      <c r="ALE74" s="88"/>
      <c r="ALF74" s="88"/>
      <c r="ALG74" s="88"/>
      <c r="ALH74" s="88"/>
      <c r="ALI74" s="88"/>
      <c r="ALJ74" s="88"/>
      <c r="ALK74" s="88"/>
      <c r="ALL74" s="88"/>
      <c r="ALM74" s="88"/>
      <c r="ALN74" s="88"/>
      <c r="ALO74" s="88"/>
      <c r="ALP74" s="88"/>
      <c r="ALQ74" s="88"/>
      <c r="ALR74" s="88"/>
      <c r="ALS74" s="88"/>
      <c r="ALT74" s="88"/>
      <c r="ALU74" s="88"/>
      <c r="ALV74" s="88"/>
      <c r="ALW74" s="88"/>
      <c r="ALX74" s="88"/>
      <c r="ALY74" s="88"/>
      <c r="ALZ74" s="88"/>
      <c r="AMA74" s="88"/>
      <c r="AMB74" s="88"/>
      <c r="AMC74" s="88"/>
      <c r="AMD74" s="88"/>
      <c r="AME74" s="88"/>
      <c r="AMF74" s="88"/>
      <c r="AMG74" s="88"/>
      <c r="AMH74" s="88"/>
      <c r="AMI74" s="88"/>
      <c r="AMJ74" s="88"/>
      <c r="AMK74" s="88"/>
      <c r="AML74" s="88"/>
      <c r="AMM74" s="88"/>
      <c r="AMN74" s="88"/>
      <c r="AMO74" s="88"/>
      <c r="AMP74" s="88"/>
      <c r="AMQ74" s="88"/>
      <c r="AMR74" s="88"/>
      <c r="AMS74" s="88"/>
      <c r="AMT74" s="88"/>
      <c r="AMU74" s="88"/>
      <c r="AMV74" s="88"/>
      <c r="AMW74" s="88"/>
      <c r="AMX74" s="88"/>
      <c r="AMY74" s="88"/>
      <c r="AMZ74" s="88"/>
      <c r="ANA74" s="88"/>
      <c r="ANB74" s="88"/>
      <c r="ANC74" s="88"/>
      <c r="AND74" s="88"/>
      <c r="ANE74" s="88"/>
      <c r="ANF74" s="88"/>
      <c r="ANG74" s="88"/>
      <c r="ANH74" s="88"/>
      <c r="ANI74" s="88"/>
      <c r="ANJ74" s="88"/>
      <c r="ANK74" s="88"/>
      <c r="ANL74" s="88"/>
      <c r="ANM74" s="88"/>
      <c r="ANN74" s="88"/>
      <c r="ANO74" s="88"/>
      <c r="ANP74" s="88"/>
      <c r="ANQ74" s="88"/>
      <c r="ANR74" s="88"/>
      <c r="ANS74" s="88"/>
      <c r="ANT74" s="88"/>
      <c r="ANU74" s="88"/>
      <c r="ANV74" s="88"/>
      <c r="ANW74" s="88"/>
      <c r="ANX74" s="88"/>
      <c r="ANY74" s="88"/>
      <c r="ANZ74" s="88"/>
      <c r="AOA74" s="88"/>
      <c r="AOB74" s="88"/>
      <c r="AOC74" s="88"/>
      <c r="AOD74" s="88"/>
      <c r="AOE74" s="88"/>
      <c r="AOF74" s="88"/>
      <c r="AOG74" s="88"/>
      <c r="AOH74" s="88"/>
      <c r="AOI74" s="88"/>
      <c r="AOJ74" s="88"/>
      <c r="AOK74" s="88"/>
      <c r="AOL74" s="88"/>
      <c r="AOM74" s="88"/>
      <c r="AON74" s="88"/>
      <c r="AOO74" s="88"/>
      <c r="AOP74" s="88"/>
      <c r="AOQ74" s="88"/>
      <c r="AOR74" s="88"/>
      <c r="AOS74" s="88"/>
      <c r="AOT74" s="88"/>
      <c r="AOU74" s="88"/>
      <c r="AOV74" s="88"/>
      <c r="AOW74" s="88"/>
      <c r="AOX74" s="88"/>
      <c r="AOY74" s="88"/>
      <c r="AOZ74" s="88"/>
      <c r="APA74" s="88"/>
      <c r="APB74" s="88"/>
      <c r="APC74" s="88"/>
      <c r="APD74" s="88"/>
      <c r="APE74" s="88"/>
      <c r="APF74" s="88"/>
      <c r="APG74" s="88"/>
      <c r="APH74" s="88"/>
      <c r="API74" s="88"/>
      <c r="APJ74" s="88"/>
      <c r="APK74" s="88"/>
      <c r="APL74" s="88"/>
      <c r="APM74" s="88"/>
      <c r="APN74" s="88"/>
      <c r="APO74" s="88"/>
      <c r="APP74" s="88"/>
      <c r="APQ74" s="88"/>
      <c r="APR74" s="88"/>
      <c r="APS74" s="88"/>
      <c r="APT74" s="88"/>
      <c r="APU74" s="88"/>
      <c r="APV74" s="88"/>
      <c r="APW74" s="88"/>
      <c r="APX74" s="88"/>
      <c r="APY74" s="88"/>
      <c r="APZ74" s="88"/>
      <c r="AQA74" s="88"/>
      <c r="AQB74" s="88"/>
      <c r="AQC74" s="88"/>
      <c r="AQD74" s="88"/>
      <c r="AQE74" s="88"/>
      <c r="AQF74" s="88"/>
      <c r="AQG74" s="88"/>
      <c r="AQH74" s="88"/>
      <c r="AQI74" s="88"/>
      <c r="AQJ74" s="88"/>
      <c r="AQK74" s="88"/>
      <c r="AQL74" s="88"/>
      <c r="AQM74" s="88"/>
      <c r="AQN74" s="88"/>
      <c r="AQO74" s="88"/>
      <c r="AQP74" s="88"/>
      <c r="AQQ74" s="88"/>
      <c r="AQR74" s="88"/>
      <c r="AQS74" s="88"/>
      <c r="AQT74" s="88"/>
      <c r="AQU74" s="88"/>
      <c r="AQV74" s="88"/>
      <c r="AQW74" s="88"/>
      <c r="AQX74" s="88"/>
      <c r="AQY74" s="88"/>
      <c r="AQZ74" s="88"/>
      <c r="ARA74" s="88"/>
      <c r="ARB74" s="88"/>
      <c r="ARC74" s="88"/>
      <c r="ARD74" s="88"/>
      <c r="ARE74" s="88"/>
      <c r="ARF74" s="88"/>
      <c r="ARG74" s="88"/>
      <c r="ARH74" s="88"/>
      <c r="ARI74" s="88"/>
      <c r="ARJ74" s="88"/>
      <c r="ARK74" s="88"/>
      <c r="ARL74" s="88"/>
      <c r="ARM74" s="88"/>
      <c r="ARN74" s="88"/>
      <c r="ARO74" s="88"/>
      <c r="ARP74" s="88"/>
      <c r="ARQ74" s="88"/>
      <c r="ARR74" s="88"/>
      <c r="ARS74" s="88"/>
      <c r="ART74" s="88"/>
      <c r="ARU74" s="88"/>
      <c r="ARV74" s="88"/>
      <c r="ARW74" s="88"/>
      <c r="ARX74" s="88"/>
      <c r="ARY74" s="88"/>
      <c r="ARZ74" s="88"/>
      <c r="ASA74" s="88"/>
      <c r="ASB74" s="88"/>
      <c r="ASC74" s="88"/>
      <c r="ASD74" s="88"/>
      <c r="ASE74" s="88"/>
      <c r="ASF74" s="88"/>
      <c r="ASG74" s="88"/>
      <c r="ASH74" s="88"/>
      <c r="ASI74" s="88"/>
      <c r="ASJ74" s="88"/>
      <c r="ASK74" s="88"/>
      <c r="ASL74" s="88"/>
      <c r="ASM74" s="88"/>
      <c r="ASN74" s="88"/>
      <c r="ASO74" s="88"/>
      <c r="ASP74" s="88"/>
      <c r="ASQ74" s="88"/>
      <c r="ASR74" s="88"/>
      <c r="ASS74" s="88"/>
      <c r="AST74" s="88"/>
      <c r="ASU74" s="88"/>
      <c r="ASV74" s="88"/>
      <c r="ASW74" s="88"/>
      <c r="ASX74" s="88"/>
      <c r="ASY74" s="88"/>
      <c r="ASZ74" s="88"/>
      <c r="ATA74" s="88"/>
      <c r="ATB74" s="88"/>
      <c r="ATC74" s="88"/>
      <c r="ATD74" s="88"/>
      <c r="ATE74" s="88"/>
      <c r="ATF74" s="88"/>
      <c r="ATG74" s="88"/>
      <c r="ATH74" s="88"/>
      <c r="ATI74" s="88"/>
      <c r="ATJ74" s="88"/>
      <c r="ATK74" s="88"/>
      <c r="ATL74" s="88"/>
      <c r="ATM74" s="88"/>
      <c r="ATN74" s="88"/>
      <c r="ATO74" s="88"/>
      <c r="ATP74" s="88"/>
      <c r="ATQ74" s="88"/>
      <c r="ATR74" s="88"/>
      <c r="ATS74" s="88"/>
      <c r="ATT74" s="88"/>
      <c r="ATU74" s="88"/>
      <c r="ATV74" s="88"/>
      <c r="ATW74" s="88"/>
      <c r="ATX74" s="88"/>
      <c r="ATY74" s="88"/>
      <c r="ATZ74" s="88"/>
      <c r="AUA74" s="88"/>
      <c r="AUB74" s="88"/>
      <c r="AUC74" s="88"/>
      <c r="AUD74" s="88"/>
      <c r="AUE74" s="88"/>
      <c r="AUF74" s="88"/>
      <c r="AUG74" s="88"/>
      <c r="AUH74" s="88"/>
      <c r="AUI74" s="88"/>
      <c r="AUJ74" s="88"/>
      <c r="AUK74" s="88"/>
      <c r="AUL74" s="88"/>
      <c r="AUM74" s="88"/>
      <c r="AUN74" s="88"/>
      <c r="AUO74" s="88"/>
      <c r="AUP74" s="88"/>
      <c r="AUQ74" s="88"/>
      <c r="AUR74" s="88"/>
      <c r="AUS74" s="88"/>
      <c r="AUT74" s="88"/>
      <c r="AUU74" s="88"/>
      <c r="AUV74" s="88"/>
      <c r="AUW74" s="88"/>
      <c r="AUX74" s="88"/>
      <c r="AUY74" s="88"/>
      <c r="AUZ74" s="88"/>
      <c r="AVA74" s="88"/>
      <c r="AVB74" s="88"/>
      <c r="AVC74" s="88"/>
      <c r="AVD74" s="88"/>
      <c r="AVE74" s="88"/>
      <c r="AVF74" s="88"/>
      <c r="AVG74" s="88"/>
      <c r="AVH74" s="88"/>
      <c r="AVI74" s="88"/>
      <c r="AVJ74" s="88"/>
      <c r="AVK74" s="88"/>
      <c r="AVL74" s="88"/>
      <c r="AVM74" s="88"/>
      <c r="AVN74" s="88"/>
      <c r="AVO74" s="88"/>
      <c r="AVP74" s="88"/>
      <c r="AVQ74" s="88"/>
      <c r="AVR74" s="88"/>
      <c r="AVS74" s="88"/>
      <c r="AVT74" s="88"/>
      <c r="AVU74" s="88"/>
      <c r="AVV74" s="88"/>
      <c r="AVW74" s="88"/>
      <c r="AVX74" s="88"/>
      <c r="AVY74" s="88"/>
      <c r="AVZ74" s="88"/>
      <c r="AWA74" s="88"/>
      <c r="AWB74" s="88"/>
      <c r="AWC74" s="88"/>
      <c r="AWD74" s="88"/>
      <c r="AWE74" s="88"/>
      <c r="AWF74" s="88"/>
      <c r="AWG74" s="88"/>
      <c r="AWH74" s="88"/>
      <c r="AWI74" s="88"/>
      <c r="AWJ74" s="88"/>
      <c r="AWK74" s="88"/>
      <c r="AWL74" s="88"/>
      <c r="AWM74" s="88"/>
      <c r="AWN74" s="88"/>
      <c r="AWO74" s="88"/>
      <c r="AWP74" s="88"/>
      <c r="AWQ74" s="88"/>
      <c r="AWR74" s="88"/>
      <c r="AWS74" s="88"/>
      <c r="AWT74" s="88"/>
      <c r="AWU74" s="88"/>
      <c r="AWV74" s="88"/>
      <c r="AWW74" s="88"/>
      <c r="AWX74" s="88"/>
      <c r="AWY74" s="88"/>
      <c r="AWZ74" s="88"/>
      <c r="AXA74" s="88"/>
      <c r="AXB74" s="88"/>
      <c r="AXC74" s="88"/>
      <c r="AXD74" s="88"/>
      <c r="AXE74" s="88"/>
      <c r="AXF74" s="88"/>
      <c r="AXG74" s="88"/>
      <c r="AXH74" s="88"/>
      <c r="AXI74" s="88"/>
      <c r="AXJ74" s="88"/>
      <c r="AXK74" s="88"/>
      <c r="AXL74" s="88"/>
      <c r="AXM74" s="88"/>
      <c r="AXN74" s="88"/>
      <c r="AXO74" s="88"/>
      <c r="AXP74" s="88"/>
      <c r="AXQ74" s="88"/>
      <c r="AXR74" s="88"/>
      <c r="AXS74" s="88"/>
      <c r="AXT74" s="88"/>
      <c r="AXU74" s="88"/>
      <c r="AXV74" s="88"/>
      <c r="AXW74" s="88"/>
      <c r="AXX74" s="88"/>
      <c r="AXY74" s="88"/>
      <c r="AXZ74" s="88"/>
      <c r="AYA74" s="88"/>
      <c r="AYB74" s="88"/>
      <c r="AYC74" s="88"/>
      <c r="AYD74" s="88"/>
      <c r="AYE74" s="88"/>
      <c r="AYF74" s="88"/>
      <c r="AYG74" s="88"/>
      <c r="AYH74" s="88"/>
      <c r="AYI74" s="88"/>
      <c r="AYJ74" s="88"/>
      <c r="AYK74" s="88"/>
      <c r="AYL74" s="88"/>
      <c r="AYM74" s="88"/>
      <c r="AYN74" s="88"/>
      <c r="AYO74" s="88"/>
      <c r="AYP74" s="88"/>
      <c r="AYQ74" s="88"/>
      <c r="AYR74" s="88"/>
      <c r="AYS74" s="88"/>
      <c r="AYT74" s="88"/>
      <c r="AYU74" s="88"/>
      <c r="AYV74" s="88"/>
      <c r="AYW74" s="88"/>
      <c r="AYX74" s="88"/>
      <c r="AYY74" s="88"/>
      <c r="AYZ74" s="88"/>
      <c r="AZA74" s="88"/>
      <c r="AZB74" s="88"/>
      <c r="AZC74" s="88"/>
      <c r="AZD74" s="88"/>
      <c r="AZE74" s="88"/>
      <c r="AZF74" s="88"/>
      <c r="AZG74" s="88"/>
      <c r="AZH74" s="88"/>
      <c r="AZI74" s="88"/>
      <c r="AZJ74" s="88"/>
      <c r="AZK74" s="88"/>
      <c r="AZL74" s="88"/>
      <c r="AZM74" s="88"/>
      <c r="AZN74" s="88"/>
      <c r="AZO74" s="88"/>
      <c r="AZP74" s="88"/>
      <c r="AZQ74" s="88"/>
      <c r="AZR74" s="88"/>
      <c r="AZS74" s="88"/>
      <c r="AZT74" s="88"/>
      <c r="AZU74" s="88"/>
      <c r="AZV74" s="88"/>
      <c r="AZW74" s="88"/>
      <c r="AZX74" s="88"/>
      <c r="AZY74" s="88"/>
      <c r="AZZ74" s="88"/>
      <c r="BAA74" s="88"/>
      <c r="BAB74" s="88"/>
      <c r="BAC74" s="88"/>
      <c r="BAD74" s="88"/>
      <c r="BAE74" s="88"/>
      <c r="BAF74" s="88"/>
      <c r="BAG74" s="88"/>
      <c r="BAH74" s="88"/>
      <c r="BAI74" s="88"/>
      <c r="BAJ74" s="88"/>
      <c r="BAK74" s="88"/>
      <c r="BAL74" s="88"/>
      <c r="BAM74" s="88"/>
      <c r="BAN74" s="88"/>
      <c r="BAO74" s="88"/>
      <c r="BAP74" s="88"/>
      <c r="BAQ74" s="88"/>
      <c r="BAR74" s="88"/>
      <c r="BAS74" s="88"/>
      <c r="BAT74" s="88"/>
      <c r="BAU74" s="88"/>
      <c r="BAV74" s="88"/>
      <c r="BAW74" s="88"/>
      <c r="BAX74" s="88"/>
      <c r="BAY74" s="88"/>
      <c r="BAZ74" s="88"/>
      <c r="BBA74" s="88"/>
      <c r="BBB74" s="88"/>
      <c r="BBC74" s="88"/>
      <c r="BBD74" s="88"/>
      <c r="BBE74" s="88"/>
      <c r="BBF74" s="88"/>
      <c r="BBG74" s="88"/>
      <c r="BBH74" s="88"/>
      <c r="BBI74" s="88"/>
      <c r="BBJ74" s="88"/>
      <c r="BBK74" s="88"/>
      <c r="BBL74" s="88"/>
      <c r="BBM74" s="88"/>
      <c r="BBN74" s="88"/>
      <c r="BBO74" s="88"/>
      <c r="BBP74" s="88"/>
      <c r="BBQ74" s="88"/>
      <c r="BBR74" s="88"/>
      <c r="BBS74" s="88"/>
      <c r="BBT74" s="88"/>
      <c r="BBU74" s="88"/>
      <c r="BBV74" s="88"/>
      <c r="BBW74" s="88"/>
      <c r="BBX74" s="88"/>
      <c r="BBY74" s="88"/>
      <c r="BBZ74" s="88"/>
      <c r="BCA74" s="88"/>
      <c r="BCB74" s="88"/>
      <c r="BCC74" s="88"/>
      <c r="BCD74" s="88"/>
      <c r="BCE74" s="88"/>
      <c r="BCF74" s="88"/>
      <c r="BCG74" s="88"/>
      <c r="BCH74" s="88"/>
      <c r="BCI74" s="88"/>
      <c r="BCJ74" s="88"/>
      <c r="BCK74" s="88"/>
      <c r="BCL74" s="88"/>
      <c r="BCM74" s="88"/>
      <c r="BCN74" s="88"/>
      <c r="BCO74" s="88"/>
      <c r="BCP74" s="88"/>
      <c r="BCQ74" s="88"/>
      <c r="BCR74" s="88"/>
      <c r="BCS74" s="88"/>
      <c r="BCT74" s="88"/>
      <c r="BCU74" s="88"/>
      <c r="BCV74" s="88"/>
      <c r="BCW74" s="88"/>
      <c r="BCX74" s="88"/>
      <c r="BCY74" s="88"/>
      <c r="BCZ74" s="88"/>
      <c r="BDA74" s="88"/>
      <c r="BDB74" s="88"/>
      <c r="BDC74" s="88"/>
      <c r="BDD74" s="88"/>
      <c r="BDE74" s="88"/>
      <c r="BDF74" s="88"/>
      <c r="BDG74" s="88"/>
      <c r="BDH74" s="88"/>
      <c r="BDI74" s="88"/>
      <c r="BDJ74" s="88"/>
      <c r="BDK74" s="88"/>
      <c r="BDL74" s="88"/>
      <c r="BDM74" s="88"/>
      <c r="BDN74" s="88"/>
      <c r="BDO74" s="88"/>
      <c r="BDP74" s="88"/>
      <c r="BDQ74" s="88"/>
      <c r="BDR74" s="88"/>
      <c r="BDS74" s="88"/>
      <c r="BDT74" s="88"/>
      <c r="BDU74" s="88"/>
      <c r="BDV74" s="88"/>
      <c r="BDW74" s="88"/>
      <c r="BDX74" s="88"/>
      <c r="BDY74" s="88"/>
      <c r="BDZ74" s="88"/>
      <c r="BEA74" s="88"/>
      <c r="BEB74" s="88"/>
      <c r="BEC74" s="88"/>
      <c r="BED74" s="88"/>
      <c r="BEE74" s="88"/>
      <c r="BEF74" s="88"/>
      <c r="BEG74" s="88"/>
      <c r="BEH74" s="88"/>
      <c r="BEI74" s="88"/>
      <c r="BEJ74" s="88"/>
      <c r="BEK74" s="88"/>
      <c r="BEL74" s="88"/>
      <c r="BEM74" s="88"/>
      <c r="BEN74" s="88"/>
      <c r="BEO74" s="88"/>
      <c r="BEP74" s="88"/>
      <c r="BEQ74" s="88"/>
      <c r="BER74" s="88"/>
      <c r="BES74" s="88"/>
      <c r="BET74" s="88"/>
      <c r="BEU74" s="88"/>
      <c r="BEV74" s="88"/>
      <c r="BEW74" s="88"/>
      <c r="BEX74" s="88"/>
      <c r="BEY74" s="88"/>
      <c r="BEZ74" s="88"/>
      <c r="BFA74" s="88"/>
      <c r="BFB74" s="88"/>
      <c r="BFC74" s="88"/>
      <c r="BFD74" s="88"/>
      <c r="BFE74" s="88"/>
      <c r="BFF74" s="88"/>
      <c r="BFG74" s="88"/>
      <c r="BFH74" s="88"/>
      <c r="BFI74" s="88"/>
      <c r="BFJ74" s="88"/>
      <c r="BFK74" s="88"/>
      <c r="BFL74" s="88"/>
      <c r="BFM74" s="88"/>
      <c r="BFN74" s="88"/>
      <c r="BFO74" s="88"/>
      <c r="BFP74" s="88"/>
      <c r="BFQ74" s="88"/>
      <c r="BFR74" s="88"/>
      <c r="BFS74" s="88"/>
      <c r="BFT74" s="88"/>
      <c r="BFU74" s="88"/>
      <c r="BFV74" s="88"/>
      <c r="BFW74" s="88"/>
      <c r="BFX74" s="88"/>
      <c r="BFY74" s="88"/>
      <c r="BFZ74" s="88"/>
      <c r="BGA74" s="88"/>
      <c r="BGB74" s="88"/>
      <c r="BGC74" s="88"/>
      <c r="BGD74" s="88"/>
      <c r="BGE74" s="88"/>
      <c r="BGF74" s="88"/>
      <c r="BGG74" s="88"/>
      <c r="BGH74" s="88"/>
      <c r="BGI74" s="88"/>
      <c r="BGJ74" s="88"/>
      <c r="BGK74" s="88"/>
      <c r="BGL74" s="88"/>
      <c r="BGM74" s="88"/>
      <c r="BGN74" s="88"/>
      <c r="BGO74" s="88"/>
      <c r="BGP74" s="88"/>
      <c r="BGQ74" s="88"/>
      <c r="BGR74" s="88"/>
      <c r="BGS74" s="88"/>
      <c r="BGT74" s="88"/>
      <c r="BGU74" s="88"/>
      <c r="BGV74" s="88"/>
      <c r="BGW74" s="88"/>
      <c r="BGX74" s="88"/>
      <c r="BGY74" s="88"/>
      <c r="BGZ74" s="88"/>
      <c r="BHA74" s="88"/>
      <c r="BHB74" s="88"/>
      <c r="BHC74" s="88"/>
      <c r="BHD74" s="88"/>
      <c r="BHE74" s="88"/>
      <c r="BHF74" s="88"/>
      <c r="BHG74" s="88"/>
      <c r="BHH74" s="88"/>
      <c r="BHI74" s="88"/>
      <c r="BHJ74" s="88"/>
      <c r="BHK74" s="88"/>
      <c r="BHL74" s="88"/>
      <c r="BHM74" s="88"/>
      <c r="BHN74" s="88"/>
      <c r="BHO74" s="88"/>
      <c r="BHP74" s="88"/>
      <c r="BHQ74" s="88"/>
      <c r="BHR74" s="88"/>
      <c r="BHS74" s="88"/>
      <c r="BHT74" s="88"/>
      <c r="BHU74" s="88"/>
      <c r="BHV74" s="88"/>
      <c r="BHW74" s="88"/>
      <c r="BHX74" s="88"/>
      <c r="BHY74" s="88"/>
      <c r="BHZ74" s="88"/>
      <c r="BIA74" s="88"/>
      <c r="BIB74" s="88"/>
      <c r="BIC74" s="88"/>
      <c r="BID74" s="88"/>
      <c r="BIE74" s="88"/>
      <c r="BIF74" s="88"/>
      <c r="BIG74" s="88"/>
      <c r="BIH74" s="88"/>
      <c r="BII74" s="88"/>
      <c r="BIJ74" s="88"/>
      <c r="BIK74" s="88"/>
      <c r="BIL74" s="88"/>
      <c r="BIM74" s="88"/>
      <c r="BIN74" s="88"/>
      <c r="BIO74" s="88"/>
      <c r="BIP74" s="88"/>
      <c r="BIQ74" s="88"/>
      <c r="BIR74" s="88"/>
      <c r="BIS74" s="88"/>
      <c r="BIT74" s="88"/>
      <c r="BIU74" s="88"/>
      <c r="BIV74" s="88"/>
      <c r="BIW74" s="88"/>
      <c r="BIX74" s="88"/>
      <c r="BIY74" s="88"/>
      <c r="BIZ74" s="88"/>
      <c r="BJA74" s="88"/>
      <c r="BJB74" s="88"/>
      <c r="BJC74" s="88"/>
      <c r="BJD74" s="88"/>
      <c r="BJE74" s="88"/>
      <c r="BJF74" s="88"/>
      <c r="BJG74" s="88"/>
      <c r="BJH74" s="88"/>
      <c r="BJI74" s="88"/>
      <c r="BJJ74" s="88"/>
      <c r="BJK74" s="88"/>
      <c r="BJL74" s="88"/>
      <c r="BJM74" s="88"/>
      <c r="BJN74" s="88"/>
      <c r="BJO74" s="88"/>
      <c r="BJP74" s="88"/>
      <c r="BJQ74" s="88"/>
      <c r="BJR74" s="88"/>
      <c r="BJS74" s="88"/>
      <c r="BJT74" s="88"/>
      <c r="BJU74" s="88"/>
      <c r="BJV74" s="88"/>
      <c r="BJW74" s="88"/>
      <c r="BJX74" s="88"/>
      <c r="BJY74" s="88"/>
      <c r="BJZ74" s="88"/>
      <c r="BKA74" s="88"/>
      <c r="BKB74" s="88"/>
      <c r="BKC74" s="88"/>
      <c r="BKD74" s="88"/>
      <c r="BKE74" s="88"/>
      <c r="BKF74" s="88"/>
      <c r="BKG74" s="88"/>
      <c r="BKH74" s="88"/>
      <c r="BKI74" s="88"/>
      <c r="BKJ74" s="88"/>
      <c r="BKK74" s="88"/>
      <c r="BKL74" s="88"/>
      <c r="BKM74" s="88"/>
      <c r="BKN74" s="88"/>
      <c r="BKO74" s="88"/>
      <c r="BKP74" s="88"/>
      <c r="BKQ74" s="88"/>
      <c r="BKR74" s="88"/>
      <c r="BKS74" s="88"/>
      <c r="BKT74" s="88"/>
      <c r="BKU74" s="88"/>
      <c r="BKV74" s="88"/>
      <c r="BKW74" s="88"/>
      <c r="BKX74" s="88"/>
      <c r="BKY74" s="88"/>
      <c r="BKZ74" s="88"/>
      <c r="BLA74" s="88"/>
      <c r="BLB74" s="88"/>
      <c r="BLC74" s="88"/>
      <c r="BLD74" s="88"/>
      <c r="BLE74" s="88"/>
      <c r="BLF74" s="88"/>
      <c r="BLG74" s="88"/>
      <c r="BLH74" s="88"/>
      <c r="BLI74" s="88"/>
      <c r="BLJ74" s="88"/>
      <c r="BLK74" s="88"/>
      <c r="BLL74" s="88"/>
      <c r="BLM74" s="88"/>
      <c r="BLN74" s="88"/>
      <c r="BLO74" s="88"/>
      <c r="BLP74" s="88"/>
      <c r="BLQ74" s="88"/>
      <c r="BLR74" s="88"/>
      <c r="BLS74" s="88"/>
      <c r="BLT74" s="88"/>
      <c r="BLU74" s="88"/>
      <c r="BLV74" s="88"/>
      <c r="BLW74" s="88"/>
      <c r="BLX74" s="88"/>
      <c r="BLY74" s="88"/>
      <c r="BLZ74" s="88"/>
      <c r="BMA74" s="88"/>
      <c r="BMB74" s="88"/>
      <c r="BMC74" s="88"/>
      <c r="BMD74" s="88"/>
      <c r="BME74" s="88"/>
      <c r="BMF74" s="88"/>
      <c r="BMG74" s="88"/>
      <c r="BMH74" s="88"/>
      <c r="BMI74" s="88"/>
      <c r="BMJ74" s="88"/>
      <c r="BMK74" s="88"/>
      <c r="BML74" s="88"/>
      <c r="BMM74" s="88"/>
      <c r="BMN74" s="88"/>
      <c r="BMO74" s="88"/>
      <c r="BMP74" s="88"/>
      <c r="BMQ74" s="88"/>
      <c r="BMR74" s="88"/>
      <c r="BMS74" s="88"/>
      <c r="BMT74" s="88"/>
      <c r="BMU74" s="88"/>
      <c r="BMV74" s="88"/>
      <c r="BMW74" s="88"/>
      <c r="BMX74" s="88"/>
      <c r="BMY74" s="88"/>
      <c r="BMZ74" s="88"/>
      <c r="BNA74" s="88"/>
      <c r="BNB74" s="88"/>
      <c r="BNC74" s="88"/>
      <c r="BND74" s="88"/>
      <c r="BNE74" s="88"/>
      <c r="BNF74" s="88"/>
      <c r="BNG74" s="88"/>
      <c r="BNH74" s="88"/>
      <c r="BNI74" s="88"/>
      <c r="BNJ74" s="88"/>
      <c r="BNK74" s="88"/>
      <c r="BNL74" s="88"/>
      <c r="BNM74" s="88"/>
      <c r="BNN74" s="88"/>
      <c r="BNO74" s="88"/>
      <c r="BNP74" s="88"/>
      <c r="BNQ74" s="88"/>
      <c r="BNR74" s="88"/>
      <c r="BNS74" s="88"/>
      <c r="BNT74" s="88"/>
      <c r="BNU74" s="88"/>
      <c r="BNV74" s="88"/>
      <c r="BNW74" s="88"/>
      <c r="BNX74" s="88"/>
      <c r="BNY74" s="88"/>
      <c r="BNZ74" s="88"/>
      <c r="BOA74" s="88"/>
      <c r="BOB74" s="88"/>
      <c r="BOC74" s="88"/>
      <c r="BOD74" s="88"/>
      <c r="BOE74" s="88"/>
      <c r="BOF74" s="88"/>
      <c r="BOG74" s="88"/>
      <c r="BOH74" s="88"/>
      <c r="BOI74" s="88"/>
      <c r="BOJ74" s="88"/>
      <c r="BOK74" s="88"/>
      <c r="BOL74" s="88"/>
      <c r="BOM74" s="88"/>
      <c r="BON74" s="88"/>
      <c r="BOO74" s="88"/>
      <c r="BOP74" s="88"/>
      <c r="BOQ74" s="88"/>
      <c r="BOR74" s="88"/>
      <c r="BOS74" s="88"/>
      <c r="BOT74" s="88"/>
      <c r="BOU74" s="88"/>
      <c r="BOV74" s="88"/>
      <c r="BOW74" s="88"/>
      <c r="BOX74" s="88"/>
      <c r="BOY74" s="88"/>
      <c r="BOZ74" s="88"/>
      <c r="BPA74" s="88"/>
      <c r="BPB74" s="88"/>
      <c r="BPC74" s="88"/>
      <c r="BPD74" s="88"/>
      <c r="BPE74" s="88"/>
      <c r="BPF74" s="88"/>
      <c r="BPG74" s="88"/>
      <c r="BPH74" s="88"/>
      <c r="BPI74" s="88"/>
      <c r="BPJ74" s="88"/>
      <c r="BPK74" s="88"/>
      <c r="BPL74" s="88"/>
      <c r="BPM74" s="88"/>
      <c r="BPN74" s="88"/>
      <c r="BPO74" s="88"/>
      <c r="BPP74" s="88"/>
      <c r="BPQ74" s="88"/>
      <c r="BPR74" s="88"/>
      <c r="BPS74" s="88"/>
      <c r="BPT74" s="88"/>
      <c r="BPU74" s="88"/>
      <c r="BPV74" s="88"/>
      <c r="BPW74" s="88"/>
      <c r="BPX74" s="88"/>
      <c r="BPY74" s="88"/>
      <c r="BPZ74" s="88"/>
      <c r="BQA74" s="88"/>
      <c r="BQB74" s="88"/>
      <c r="BQC74" s="88"/>
      <c r="BQD74" s="88"/>
      <c r="BQE74" s="88"/>
      <c r="BQF74" s="88"/>
      <c r="BQG74" s="88"/>
      <c r="BQH74" s="88"/>
      <c r="BQI74" s="88"/>
      <c r="BQJ74" s="88"/>
      <c r="BQK74" s="88"/>
      <c r="BQL74" s="88"/>
      <c r="BQM74" s="88"/>
      <c r="BQN74" s="88"/>
      <c r="BQO74" s="88"/>
      <c r="BQP74" s="88"/>
      <c r="BQQ74" s="88"/>
      <c r="BQR74" s="88"/>
      <c r="BQS74" s="88"/>
      <c r="BQT74" s="88"/>
      <c r="BQU74" s="88"/>
      <c r="BQV74" s="88"/>
      <c r="BQW74" s="88"/>
      <c r="BQX74" s="88"/>
      <c r="BQY74" s="88"/>
      <c r="BQZ74" s="88"/>
      <c r="BRA74" s="88"/>
      <c r="BRB74" s="88"/>
      <c r="BRC74" s="88"/>
      <c r="BRD74" s="88"/>
      <c r="BRE74" s="88"/>
      <c r="BRF74" s="88"/>
      <c r="BRG74" s="88"/>
      <c r="BRH74" s="88"/>
      <c r="BRI74" s="88"/>
      <c r="BRJ74" s="88"/>
      <c r="BRK74" s="88"/>
      <c r="BRL74" s="88"/>
      <c r="BRM74" s="88"/>
      <c r="BRN74" s="88"/>
      <c r="BRO74" s="88"/>
      <c r="BRP74" s="88"/>
      <c r="BRQ74" s="88"/>
      <c r="BRR74" s="88"/>
      <c r="BRS74" s="88"/>
      <c r="BRT74" s="88"/>
      <c r="BRU74" s="88"/>
      <c r="BRV74" s="88"/>
      <c r="BRW74" s="88"/>
      <c r="BRX74" s="88"/>
      <c r="BRY74" s="88"/>
      <c r="BRZ74" s="88"/>
      <c r="BSA74" s="88"/>
      <c r="BSB74" s="88"/>
      <c r="BSC74" s="88"/>
      <c r="BSD74" s="88"/>
      <c r="BSE74" s="88"/>
      <c r="BSF74" s="88"/>
      <c r="BSG74" s="88"/>
      <c r="BSH74" s="88"/>
      <c r="BSI74" s="88"/>
      <c r="BSJ74" s="88"/>
      <c r="BSK74" s="88"/>
      <c r="BSL74" s="88"/>
      <c r="BSM74" s="88"/>
      <c r="BSN74" s="88"/>
      <c r="BSO74" s="88"/>
      <c r="BSP74" s="88"/>
      <c r="BSQ74" s="88"/>
      <c r="BSR74" s="88"/>
      <c r="BSS74" s="88"/>
      <c r="BST74" s="88"/>
      <c r="BSU74" s="88"/>
      <c r="BSV74" s="88"/>
      <c r="BSW74" s="88"/>
      <c r="BSX74" s="88"/>
      <c r="BSY74" s="88"/>
      <c r="BSZ74" s="88"/>
      <c r="BTA74" s="88"/>
      <c r="BTB74" s="88"/>
      <c r="BTC74" s="88"/>
      <c r="BTD74" s="88"/>
      <c r="BTE74" s="88"/>
      <c r="BTF74" s="88"/>
      <c r="BTG74" s="88"/>
      <c r="BTH74" s="88"/>
      <c r="BTI74" s="88"/>
      <c r="BTJ74" s="88"/>
      <c r="BTK74" s="88"/>
      <c r="BTL74" s="88"/>
      <c r="BTM74" s="88"/>
      <c r="BTN74" s="88"/>
      <c r="BTO74" s="88"/>
      <c r="BTP74" s="88"/>
      <c r="BTQ74" s="88"/>
      <c r="BTR74" s="88"/>
      <c r="BTS74" s="88"/>
      <c r="BTT74" s="88"/>
      <c r="BTU74" s="88"/>
      <c r="BTV74" s="88"/>
      <c r="BTW74" s="88"/>
      <c r="BTX74" s="88"/>
      <c r="BTY74" s="88"/>
      <c r="BTZ74" s="88"/>
      <c r="BUA74" s="88"/>
      <c r="BUB74" s="88"/>
      <c r="BUC74" s="88"/>
      <c r="BUD74" s="88"/>
      <c r="BUE74" s="88"/>
      <c r="BUF74" s="88"/>
      <c r="BUG74" s="88"/>
      <c r="BUH74" s="88"/>
      <c r="BUI74" s="88"/>
      <c r="BUJ74" s="88"/>
      <c r="BUK74" s="88"/>
      <c r="BUL74" s="88"/>
      <c r="BUM74" s="88"/>
      <c r="BUN74" s="88"/>
      <c r="BUO74" s="88"/>
      <c r="BUP74" s="88"/>
      <c r="BUQ74" s="88"/>
      <c r="BUR74" s="88"/>
      <c r="BUS74" s="88"/>
      <c r="BUT74" s="88"/>
      <c r="BUU74" s="88"/>
      <c r="BUV74" s="88"/>
      <c r="BUW74" s="88"/>
      <c r="BUX74" s="88"/>
      <c r="BUY74" s="88"/>
      <c r="BUZ74" s="88"/>
      <c r="BVA74" s="88"/>
      <c r="BVB74" s="88"/>
      <c r="BVC74" s="88"/>
      <c r="BVD74" s="88"/>
      <c r="BVE74" s="88"/>
      <c r="BVF74" s="88"/>
      <c r="BVG74" s="88"/>
      <c r="BVH74" s="88"/>
      <c r="BVI74" s="88"/>
      <c r="BVJ74" s="88"/>
      <c r="BVK74" s="88"/>
      <c r="BVL74" s="88"/>
      <c r="BVM74" s="88"/>
      <c r="BVN74" s="88"/>
      <c r="BVO74" s="88"/>
      <c r="BVP74" s="88"/>
      <c r="BVQ74" s="88"/>
      <c r="BVR74" s="88"/>
      <c r="BVS74" s="88"/>
      <c r="BVT74" s="88"/>
      <c r="BVU74" s="88"/>
      <c r="BVV74" s="88"/>
      <c r="BVW74" s="88"/>
      <c r="BVX74" s="88"/>
      <c r="BVY74" s="88"/>
      <c r="BVZ74" s="88"/>
      <c r="BWA74" s="88"/>
      <c r="BWB74" s="88"/>
      <c r="BWC74" s="88"/>
      <c r="BWD74" s="88"/>
      <c r="BWE74" s="88"/>
      <c r="BWF74" s="88"/>
      <c r="BWG74" s="88"/>
      <c r="BWH74" s="88"/>
      <c r="BWI74" s="88"/>
      <c r="BWJ74" s="88"/>
      <c r="BWK74" s="88"/>
      <c r="BWL74" s="88"/>
      <c r="BWM74" s="88"/>
      <c r="BWN74" s="88"/>
      <c r="BWO74" s="88"/>
      <c r="BWP74" s="88"/>
      <c r="BWQ74" s="88"/>
      <c r="BWR74" s="88"/>
      <c r="BWS74" s="88"/>
      <c r="BWT74" s="88"/>
      <c r="BWU74" s="88"/>
      <c r="BWV74" s="88"/>
      <c r="BWW74" s="88"/>
      <c r="BWX74" s="88"/>
      <c r="BWY74" s="88"/>
      <c r="BWZ74" s="88"/>
      <c r="BXA74" s="88"/>
      <c r="BXB74" s="88"/>
      <c r="BXC74" s="88"/>
      <c r="BXD74" s="88"/>
      <c r="BXE74" s="88"/>
      <c r="BXF74" s="88"/>
      <c r="BXG74" s="88"/>
      <c r="BXH74" s="88"/>
      <c r="BXI74" s="88"/>
      <c r="BXJ74" s="88"/>
      <c r="BXK74" s="88"/>
      <c r="BXL74" s="88"/>
      <c r="BXM74" s="88"/>
      <c r="BXN74" s="88"/>
      <c r="BXO74" s="88"/>
      <c r="BXP74" s="88"/>
      <c r="BXQ74" s="88"/>
      <c r="BXR74" s="88"/>
      <c r="BXS74" s="88"/>
      <c r="BXT74" s="88"/>
      <c r="BXU74" s="88"/>
      <c r="BXV74" s="88"/>
      <c r="BXW74" s="88"/>
      <c r="BXX74" s="88"/>
      <c r="BXY74" s="88"/>
      <c r="BXZ74" s="88"/>
      <c r="BYA74" s="88"/>
      <c r="BYB74" s="88"/>
      <c r="BYC74" s="88"/>
      <c r="BYD74" s="88"/>
      <c r="BYE74" s="88"/>
      <c r="BYF74" s="88"/>
      <c r="BYG74" s="88"/>
      <c r="BYH74" s="88"/>
      <c r="BYI74" s="88"/>
      <c r="BYJ74" s="88"/>
      <c r="BYK74" s="88"/>
      <c r="BYL74" s="88"/>
      <c r="BYM74" s="88"/>
      <c r="BYN74" s="88"/>
      <c r="BYO74" s="88"/>
      <c r="BYP74" s="88"/>
      <c r="BYQ74" s="88"/>
      <c r="BYR74" s="88"/>
      <c r="BYS74" s="88"/>
      <c r="BYT74" s="88"/>
      <c r="BYU74" s="88"/>
      <c r="BYV74" s="88"/>
      <c r="BYW74" s="88"/>
      <c r="BYX74" s="88"/>
      <c r="BYY74" s="88"/>
      <c r="BYZ74" s="88"/>
      <c r="BZA74" s="88"/>
      <c r="BZB74" s="88"/>
      <c r="BZC74" s="88"/>
      <c r="BZD74" s="88"/>
      <c r="BZE74" s="88"/>
      <c r="BZF74" s="88"/>
      <c r="BZG74" s="88"/>
      <c r="BZH74" s="88"/>
      <c r="BZI74" s="88"/>
      <c r="BZJ74" s="88"/>
      <c r="BZK74" s="88"/>
      <c r="BZL74" s="88"/>
      <c r="BZM74" s="88"/>
      <c r="BZN74" s="88"/>
      <c r="BZO74" s="88"/>
      <c r="BZP74" s="88"/>
      <c r="BZQ74" s="88"/>
      <c r="BZR74" s="88"/>
      <c r="BZS74" s="88"/>
      <c r="BZT74" s="88"/>
      <c r="BZU74" s="88"/>
      <c r="BZV74" s="88"/>
      <c r="BZW74" s="88"/>
      <c r="BZX74" s="88"/>
      <c r="BZY74" s="88"/>
      <c r="BZZ74" s="88"/>
      <c r="CAA74" s="88"/>
      <c r="CAB74" s="88"/>
      <c r="CAC74" s="88"/>
      <c r="CAD74" s="88"/>
      <c r="CAE74" s="88"/>
      <c r="CAF74" s="88"/>
      <c r="CAG74" s="88"/>
      <c r="CAH74" s="88"/>
      <c r="CAI74" s="88"/>
      <c r="CAJ74" s="88"/>
      <c r="CAK74" s="88"/>
      <c r="CAL74" s="88"/>
      <c r="CAM74" s="88"/>
      <c r="CAN74" s="88"/>
      <c r="CAO74" s="88"/>
      <c r="CAP74" s="88"/>
      <c r="CAQ74" s="88"/>
      <c r="CAR74" s="88"/>
      <c r="CAS74" s="88"/>
      <c r="CAT74" s="88"/>
      <c r="CAU74" s="88"/>
      <c r="CAV74" s="88"/>
      <c r="CAW74" s="88"/>
      <c r="CAX74" s="88"/>
      <c r="CAY74" s="88"/>
      <c r="CAZ74" s="88"/>
      <c r="CBA74" s="88"/>
      <c r="CBB74" s="88"/>
      <c r="CBC74" s="88"/>
      <c r="CBD74" s="88"/>
      <c r="CBE74" s="88"/>
      <c r="CBF74" s="88"/>
      <c r="CBG74" s="88"/>
      <c r="CBH74" s="88"/>
      <c r="CBI74" s="88"/>
      <c r="CBJ74" s="88"/>
      <c r="CBK74" s="88"/>
      <c r="CBL74" s="88"/>
      <c r="CBM74" s="88"/>
      <c r="CBN74" s="88"/>
      <c r="CBO74" s="88"/>
      <c r="CBP74" s="88"/>
      <c r="CBQ74" s="88"/>
      <c r="CBR74" s="88"/>
      <c r="CBS74" s="88"/>
      <c r="CBT74" s="88"/>
      <c r="CBU74" s="88"/>
      <c r="CBV74" s="88"/>
      <c r="CBW74" s="88"/>
      <c r="CBX74" s="88"/>
      <c r="CBY74" s="88"/>
      <c r="CBZ74" s="88"/>
      <c r="CCA74" s="88"/>
      <c r="CCB74" s="88"/>
      <c r="CCC74" s="88"/>
      <c r="CCD74" s="88"/>
      <c r="CCE74" s="88"/>
      <c r="CCF74" s="88"/>
      <c r="CCG74" s="88"/>
      <c r="CCH74" s="88"/>
      <c r="CCI74" s="88"/>
      <c r="CCJ74" s="88"/>
      <c r="CCK74" s="88"/>
      <c r="CCL74" s="88"/>
      <c r="CCM74" s="88"/>
      <c r="CCN74" s="88"/>
      <c r="CCO74" s="88"/>
      <c r="CCP74" s="88"/>
      <c r="CCQ74" s="88"/>
      <c r="CCR74" s="88"/>
      <c r="CCS74" s="88"/>
      <c r="CCT74" s="88"/>
      <c r="CCU74" s="88"/>
      <c r="CCV74" s="88"/>
      <c r="CCW74" s="88"/>
      <c r="CCX74" s="88"/>
      <c r="CCY74" s="88"/>
      <c r="CCZ74" s="88"/>
      <c r="CDA74" s="88"/>
      <c r="CDB74" s="88"/>
      <c r="CDC74" s="88"/>
      <c r="CDD74" s="88"/>
      <c r="CDE74" s="88"/>
      <c r="CDF74" s="88"/>
      <c r="CDG74" s="88"/>
      <c r="CDH74" s="88"/>
      <c r="CDI74" s="88"/>
      <c r="CDJ74" s="88"/>
      <c r="CDK74" s="88"/>
      <c r="CDL74" s="88"/>
      <c r="CDM74" s="88"/>
      <c r="CDN74" s="88"/>
      <c r="CDO74" s="88"/>
      <c r="CDP74" s="88"/>
      <c r="CDQ74" s="88"/>
      <c r="CDR74" s="88"/>
      <c r="CDS74" s="88"/>
      <c r="CDT74" s="88"/>
      <c r="CDU74" s="88"/>
      <c r="CDV74" s="88"/>
      <c r="CDW74" s="88"/>
      <c r="CDX74" s="88"/>
      <c r="CDY74" s="88"/>
      <c r="CDZ74" s="88"/>
      <c r="CEA74" s="88"/>
      <c r="CEB74" s="88"/>
      <c r="CEC74" s="88"/>
      <c r="CED74" s="88"/>
      <c r="CEE74" s="88"/>
      <c r="CEF74" s="88"/>
      <c r="CEG74" s="88"/>
      <c r="CEH74" s="88"/>
      <c r="CEI74" s="88"/>
      <c r="CEJ74" s="88"/>
      <c r="CEK74" s="88"/>
    </row>
    <row r="75" spans="1:2169" s="63" customFormat="1">
      <c r="A75" s="73" t="s">
        <v>432</v>
      </c>
      <c r="B75" s="73" t="s">
        <v>503</v>
      </c>
      <c r="C75" s="68" t="str">
        <f>IF('page 2'!$O$4="","",IF('page 2'!$O$4=Gestion!A75,1,0))</f>
        <v/>
      </c>
      <c r="D75" s="68" t="str">
        <f>IF('page 2'!$O$5="","",IF('page 2'!$O$5=Gestion!A75,1,0))</f>
        <v/>
      </c>
      <c r="E75" s="68" t="str">
        <f>IF('page 2'!$O$6="","",IF('page 2'!$O$6=Gestion!A75,1,0))</f>
        <v/>
      </c>
      <c r="F75" s="68" t="str">
        <f>IF('page 2'!$O$7="","",IF('page 2'!$O$7=Gestion!A75,1,0))</f>
        <v/>
      </c>
      <c r="G75" s="68" t="str">
        <f>IF('page 2'!$O$8="","",IF('page 2'!$O$8=Gestion!A75,1,0))</f>
        <v/>
      </c>
      <c r="H75" s="68" t="str">
        <f>IF('page 2'!$O$9="","",IF('page 2'!$O$9=Gestion!A75,1,0))</f>
        <v/>
      </c>
      <c r="I75" s="68" t="str">
        <f>IF('page 2'!$O$10="","",IF('page 2'!$O$10=Gestion!A75,1,0))</f>
        <v/>
      </c>
      <c r="J75" s="68" t="str">
        <f>IF('page 2'!$O$11="","",IF('page 2'!$O$11=Gestion!A75,1,0))</f>
        <v/>
      </c>
      <c r="K75" s="68" t="str">
        <f>IF('page 2'!$O$12="","",IF('page 2'!$O$12=Gestion!A75,1,0))</f>
        <v/>
      </c>
      <c r="L75" s="68" t="str">
        <f>IF('page 2'!$O$13="","",IF('page 2'!$O$13=Gestion!A75,1,0))</f>
        <v/>
      </c>
      <c r="M75" s="68" t="str">
        <f>IF('page 2'!$O$14="","",IF('page 2'!$O$14=Gestion!A75,1,0))</f>
        <v/>
      </c>
      <c r="N75" s="68" t="str">
        <f>IF('page 2'!$O$15="","",IF('page 2'!$O$15=Gestion!A75,1,0))</f>
        <v/>
      </c>
      <c r="O75" s="68" t="str">
        <f>IF('page 2'!$O$16="","",IF('page 2'!$O$16=Gestion!A75,1,0))</f>
        <v/>
      </c>
      <c r="P75" s="68" t="str">
        <f>IF('page 2'!$O$17="","",IF('page 2'!$O$17=Gestion!A75,1,0))</f>
        <v/>
      </c>
      <c r="Q75" s="68" t="str">
        <f>IF('page 2'!$O$18="","",IF('page 2'!$O$18=Gestion!A75,1,0))</f>
        <v/>
      </c>
      <c r="R75" s="68" t="str">
        <f>IF('page 2'!$O$19="","",IF('page 2'!$O$19=Gestion!A75,1,0))</f>
        <v/>
      </c>
      <c r="S75" s="68" t="str">
        <f>IF('page 2'!$O$20="","",IF('page 2'!$O$20=Gestion!A75,1,0))</f>
        <v/>
      </c>
      <c r="T75" s="68" t="str">
        <f>IF('page 2'!$O$25="","",IF('page 2'!$O$25=Gestion!A75,1,0))</f>
        <v/>
      </c>
      <c r="U75" s="68" t="str">
        <f>IF('page 2'!$O$26="","",IF('page 2'!$O$26=Gestion!A75,1,0))</f>
        <v/>
      </c>
      <c r="V75" s="68" t="str">
        <f>IF('page 2'!$O$27="","",IF('page 2'!$O$27=Gestion!A75,1,0))</f>
        <v/>
      </c>
      <c r="W75" s="722">
        <f t="shared" si="0"/>
        <v>0</v>
      </c>
      <c r="X75" s="714"/>
      <c r="Y75" s="68"/>
      <c r="Z75" s="68"/>
      <c r="AA75" s="68"/>
      <c r="AB75" s="68"/>
      <c r="AC75" s="68"/>
      <c r="AD75" s="68"/>
      <c r="AP75" s="130"/>
      <c r="AQ75" s="130"/>
      <c r="AR75" s="130"/>
      <c r="AS75" s="576"/>
      <c r="AT75" s="576"/>
      <c r="AU75" s="576"/>
      <c r="AV75" s="576"/>
      <c r="AW75" s="602"/>
      <c r="AX75" s="602"/>
      <c r="AY75" s="576"/>
      <c r="AZ75" s="576"/>
      <c r="BA75" s="576"/>
      <c r="BB75" s="576"/>
      <c r="BC75" s="576"/>
      <c r="BD75" s="602"/>
      <c r="BE75" s="602"/>
      <c r="BF75" s="602"/>
      <c r="BG75" s="602"/>
      <c r="BH75" s="602"/>
      <c r="BI75" s="602"/>
      <c r="BJ75" s="602"/>
      <c r="BK75" s="602"/>
      <c r="BL75" s="602"/>
      <c r="BM75" s="602"/>
      <c r="BN75" s="602"/>
      <c r="BO75" s="602"/>
      <c r="BP75" s="602"/>
      <c r="BQ75" s="602"/>
      <c r="BR75" s="602"/>
      <c r="BS75" s="576"/>
      <c r="BT75" s="576"/>
      <c r="BU75" s="576"/>
      <c r="BV75" s="576"/>
      <c r="BW75" s="602"/>
      <c r="BX75" s="602"/>
      <c r="BY75" s="602"/>
      <c r="BZ75" s="576"/>
      <c r="CA75" s="602"/>
      <c r="CB75" s="602"/>
      <c r="CC75" s="576"/>
      <c r="CD75" s="576"/>
      <c r="CE75" s="602"/>
      <c r="CF75" s="576"/>
      <c r="CG75" s="576"/>
      <c r="CH75" s="576"/>
      <c r="CI75" s="576"/>
      <c r="CJ75" s="576"/>
      <c r="CK75" s="602"/>
      <c r="CL75" s="602"/>
      <c r="CM75" s="576"/>
      <c r="CN75" s="602"/>
      <c r="CO75" s="602"/>
      <c r="CP75" s="602"/>
      <c r="CQ75" s="576"/>
      <c r="CR75" s="576"/>
      <c r="CS75" s="602"/>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c r="IW75" s="88"/>
      <c r="IX75" s="88"/>
      <c r="IY75" s="88"/>
      <c r="IZ75" s="88"/>
      <c r="JA75" s="88"/>
      <c r="JB75" s="88"/>
      <c r="JC75" s="88"/>
      <c r="JD75" s="88"/>
      <c r="JE75" s="88"/>
      <c r="JF75" s="88"/>
      <c r="JG75" s="88"/>
      <c r="JH75" s="88"/>
      <c r="JI75" s="88"/>
      <c r="JJ75" s="88"/>
      <c r="JK75" s="88"/>
      <c r="JL75" s="88"/>
      <c r="JM75" s="88"/>
      <c r="JN75" s="88"/>
      <c r="JO75" s="88"/>
      <c r="JP75" s="88"/>
      <c r="JQ75" s="88"/>
      <c r="JR75" s="88"/>
      <c r="JS75" s="88"/>
      <c r="JT75" s="88"/>
      <c r="JU75" s="88"/>
      <c r="JV75" s="88"/>
      <c r="JW75" s="88"/>
      <c r="JX75" s="88"/>
      <c r="JY75" s="88"/>
      <c r="JZ75" s="88"/>
      <c r="KA75" s="88"/>
      <c r="KB75" s="88"/>
      <c r="KC75" s="88"/>
      <c r="KD75" s="88"/>
      <c r="KE75" s="88"/>
      <c r="KF75" s="88"/>
      <c r="KG75" s="88"/>
      <c r="KH75" s="88"/>
      <c r="KI75" s="88"/>
      <c r="KJ75" s="88"/>
      <c r="KK75" s="88"/>
      <c r="KL75" s="88"/>
      <c r="KM75" s="88"/>
      <c r="KN75" s="88"/>
      <c r="KO75" s="88"/>
      <c r="KP75" s="88"/>
      <c r="KQ75" s="88"/>
      <c r="KR75" s="88"/>
      <c r="KS75" s="88"/>
      <c r="KT75" s="88"/>
      <c r="KU75" s="88"/>
      <c r="KV75" s="88"/>
      <c r="KW75" s="88"/>
      <c r="KX75" s="88"/>
      <c r="KY75" s="88"/>
      <c r="KZ75" s="88"/>
      <c r="LA75" s="88"/>
      <c r="LB75" s="88"/>
      <c r="LC75" s="88"/>
      <c r="LD75" s="88"/>
      <c r="LE75" s="88"/>
      <c r="LF75" s="88"/>
      <c r="LG75" s="88"/>
      <c r="LH75" s="88"/>
      <c r="LI75" s="88"/>
      <c r="LJ75" s="88"/>
      <c r="LK75" s="88"/>
      <c r="LL75" s="88"/>
      <c r="LM75" s="88"/>
      <c r="LN75" s="88"/>
      <c r="LO75" s="88"/>
      <c r="LP75" s="88"/>
      <c r="LQ75" s="88"/>
      <c r="LR75" s="88"/>
      <c r="LS75" s="88"/>
      <c r="LT75" s="88"/>
      <c r="LU75" s="88"/>
      <c r="LV75" s="88"/>
      <c r="LW75" s="88"/>
      <c r="LX75" s="88"/>
      <c r="LY75" s="88"/>
      <c r="LZ75" s="88"/>
      <c r="MA75" s="88"/>
      <c r="MB75" s="88"/>
      <c r="MC75" s="88"/>
      <c r="MD75" s="88"/>
      <c r="ME75" s="88"/>
      <c r="MF75" s="88"/>
      <c r="MG75" s="88"/>
      <c r="MH75" s="88"/>
      <c r="MI75" s="88"/>
      <c r="MJ75" s="88"/>
      <c r="MK75" s="88"/>
      <c r="ML75" s="88"/>
      <c r="MM75" s="88"/>
      <c r="MN75" s="88"/>
      <c r="MO75" s="88"/>
      <c r="MP75" s="88"/>
      <c r="MQ75" s="88"/>
      <c r="MR75" s="88"/>
      <c r="MS75" s="88"/>
      <c r="MT75" s="88"/>
      <c r="MU75" s="88"/>
      <c r="MV75" s="88"/>
      <c r="MW75" s="88"/>
      <c r="MX75" s="88"/>
      <c r="MY75" s="88"/>
      <c r="MZ75" s="88"/>
      <c r="NA75" s="88"/>
      <c r="NB75" s="88"/>
      <c r="NC75" s="88"/>
      <c r="ND75" s="88"/>
      <c r="NE75" s="88"/>
      <c r="NF75" s="88"/>
      <c r="NG75" s="88"/>
      <c r="NH75" s="88"/>
      <c r="NI75" s="88"/>
      <c r="NJ75" s="88"/>
      <c r="NK75" s="88"/>
      <c r="NL75" s="88"/>
      <c r="NM75" s="88"/>
      <c r="NN75" s="88"/>
      <c r="NO75" s="88"/>
      <c r="NP75" s="88"/>
      <c r="NQ75" s="88"/>
      <c r="NR75" s="88"/>
      <c r="NS75" s="88"/>
      <c r="NT75" s="88"/>
      <c r="NU75" s="88"/>
      <c r="NV75" s="88"/>
      <c r="NW75" s="88"/>
      <c r="NX75" s="88"/>
      <c r="NY75" s="88"/>
      <c r="NZ75" s="88"/>
      <c r="OA75" s="88"/>
      <c r="OB75" s="88"/>
      <c r="OC75" s="88"/>
      <c r="OD75" s="88"/>
      <c r="OE75" s="88"/>
      <c r="OF75" s="88"/>
      <c r="OG75" s="88"/>
      <c r="OH75" s="88"/>
      <c r="OI75" s="88"/>
      <c r="OJ75" s="88"/>
      <c r="OK75" s="88"/>
      <c r="OL75" s="88"/>
      <c r="OM75" s="88"/>
      <c r="ON75" s="88"/>
      <c r="OO75" s="88"/>
      <c r="OP75" s="88"/>
      <c r="OQ75" s="88"/>
      <c r="OR75" s="88"/>
      <c r="OS75" s="88"/>
      <c r="OT75" s="88"/>
      <c r="OU75" s="88"/>
      <c r="OV75" s="88"/>
      <c r="OW75" s="88"/>
      <c r="OX75" s="88"/>
      <c r="OY75" s="88"/>
      <c r="OZ75" s="88"/>
      <c r="PA75" s="88"/>
      <c r="PB75" s="88"/>
      <c r="PC75" s="88"/>
      <c r="PD75" s="88"/>
      <c r="PE75" s="88"/>
      <c r="PF75" s="88"/>
      <c r="PG75" s="88"/>
      <c r="PH75" s="88"/>
      <c r="PI75" s="88"/>
      <c r="PJ75" s="88"/>
      <c r="PK75" s="88"/>
      <c r="PL75" s="88"/>
      <c r="PM75" s="88"/>
      <c r="PN75" s="88"/>
      <c r="PO75" s="88"/>
      <c r="PP75" s="88"/>
      <c r="PQ75" s="88"/>
      <c r="PR75" s="88"/>
      <c r="PS75" s="88"/>
      <c r="PT75" s="88"/>
      <c r="PU75" s="88"/>
      <c r="PV75" s="88"/>
      <c r="PW75" s="88"/>
      <c r="PX75" s="88"/>
      <c r="PY75" s="88"/>
      <c r="PZ75" s="88"/>
      <c r="QA75" s="88"/>
      <c r="QB75" s="88"/>
      <c r="QC75" s="88"/>
      <c r="QD75" s="88"/>
      <c r="QE75" s="88"/>
      <c r="QF75" s="88"/>
      <c r="QG75" s="88"/>
      <c r="QH75" s="88"/>
      <c r="QI75" s="88"/>
      <c r="QJ75" s="88"/>
      <c r="QK75" s="88"/>
      <c r="QL75" s="88"/>
      <c r="QM75" s="88"/>
      <c r="QN75" s="88"/>
      <c r="QO75" s="88"/>
      <c r="QP75" s="88"/>
      <c r="QQ75" s="88"/>
      <c r="QR75" s="88"/>
      <c r="QS75" s="88"/>
      <c r="QT75" s="88"/>
      <c r="QU75" s="88"/>
      <c r="QV75" s="88"/>
      <c r="QW75" s="88"/>
      <c r="QX75" s="88"/>
      <c r="QY75" s="88"/>
      <c r="QZ75" s="88"/>
      <c r="RA75" s="88"/>
      <c r="RB75" s="88"/>
      <c r="RC75" s="88"/>
      <c r="RD75" s="88"/>
      <c r="RE75" s="88"/>
      <c r="RF75" s="88"/>
      <c r="RG75" s="88"/>
      <c r="RH75" s="88"/>
      <c r="RI75" s="88"/>
      <c r="RJ75" s="88"/>
      <c r="RK75" s="88"/>
      <c r="RL75" s="88"/>
      <c r="RM75" s="88"/>
      <c r="RN75" s="88"/>
      <c r="RO75" s="88"/>
      <c r="RP75" s="88"/>
      <c r="RQ75" s="88"/>
      <c r="RR75" s="88"/>
      <c r="RS75" s="88"/>
      <c r="RT75" s="88"/>
      <c r="RU75" s="88"/>
      <c r="RV75" s="88"/>
      <c r="RW75" s="88"/>
      <c r="RX75" s="88"/>
      <c r="RY75" s="88"/>
      <c r="RZ75" s="88"/>
      <c r="SA75" s="88"/>
      <c r="SB75" s="88"/>
      <c r="SC75" s="88"/>
      <c r="SD75" s="88"/>
      <c r="SE75" s="88"/>
      <c r="SF75" s="88"/>
      <c r="SG75" s="88"/>
      <c r="SH75" s="88"/>
      <c r="SI75" s="88"/>
      <c r="SJ75" s="88"/>
      <c r="SK75" s="88"/>
      <c r="SL75" s="88"/>
      <c r="SM75" s="88"/>
      <c r="SN75" s="88"/>
      <c r="SO75" s="88"/>
      <c r="SP75" s="88"/>
      <c r="SQ75" s="88"/>
      <c r="SR75" s="88"/>
      <c r="SS75" s="88"/>
      <c r="ST75" s="88"/>
      <c r="SU75" s="88"/>
      <c r="SV75" s="88"/>
      <c r="SW75" s="88"/>
      <c r="SX75" s="88"/>
      <c r="SY75" s="88"/>
      <c r="SZ75" s="88"/>
      <c r="TA75" s="88"/>
      <c r="TB75" s="88"/>
      <c r="TC75" s="88"/>
      <c r="TD75" s="88"/>
      <c r="TE75" s="88"/>
      <c r="TF75" s="88"/>
      <c r="TG75" s="88"/>
      <c r="TH75" s="88"/>
      <c r="TI75" s="88"/>
      <c r="TJ75" s="88"/>
      <c r="TK75" s="88"/>
      <c r="TL75" s="88"/>
      <c r="TM75" s="88"/>
      <c r="TN75" s="88"/>
      <c r="TO75" s="88"/>
      <c r="TP75" s="88"/>
      <c r="TQ75" s="88"/>
      <c r="TR75" s="88"/>
      <c r="TS75" s="88"/>
      <c r="TT75" s="88"/>
      <c r="TU75" s="88"/>
      <c r="TV75" s="88"/>
      <c r="TW75" s="88"/>
      <c r="TX75" s="88"/>
      <c r="TY75" s="88"/>
      <c r="TZ75" s="88"/>
      <c r="UA75" s="88"/>
      <c r="UB75" s="88"/>
      <c r="UC75" s="88"/>
      <c r="UD75" s="88"/>
      <c r="UE75" s="88"/>
      <c r="UF75" s="88"/>
      <c r="UG75" s="88"/>
      <c r="UH75" s="88"/>
      <c r="UI75" s="88"/>
      <c r="UJ75" s="88"/>
      <c r="UK75" s="88"/>
      <c r="UL75" s="88"/>
      <c r="UM75" s="88"/>
      <c r="UN75" s="88"/>
      <c r="UO75" s="88"/>
      <c r="UP75" s="88"/>
      <c r="UQ75" s="88"/>
      <c r="UR75" s="88"/>
      <c r="US75" s="88"/>
      <c r="UT75" s="88"/>
      <c r="UU75" s="88"/>
      <c r="UV75" s="88"/>
      <c r="UW75" s="88"/>
      <c r="UX75" s="88"/>
      <c r="UY75" s="88"/>
      <c r="UZ75" s="88"/>
      <c r="VA75" s="88"/>
      <c r="VB75" s="88"/>
      <c r="VC75" s="88"/>
      <c r="VD75" s="88"/>
      <c r="VE75" s="88"/>
      <c r="VF75" s="88"/>
      <c r="VG75" s="88"/>
      <c r="VH75" s="88"/>
      <c r="VI75" s="88"/>
      <c r="VJ75" s="88"/>
      <c r="VK75" s="88"/>
      <c r="VL75" s="88"/>
      <c r="VM75" s="88"/>
      <c r="VN75" s="88"/>
      <c r="VO75" s="88"/>
      <c r="VP75" s="88"/>
      <c r="VQ75" s="88"/>
      <c r="VR75" s="88"/>
      <c r="VS75" s="88"/>
      <c r="VT75" s="88"/>
      <c r="VU75" s="88"/>
      <c r="VV75" s="88"/>
      <c r="VW75" s="88"/>
      <c r="VX75" s="88"/>
      <c r="VY75" s="88"/>
      <c r="VZ75" s="88"/>
      <c r="WA75" s="88"/>
      <c r="WB75" s="88"/>
      <c r="WC75" s="88"/>
      <c r="WD75" s="88"/>
      <c r="WE75" s="88"/>
      <c r="WF75" s="88"/>
      <c r="WG75" s="88"/>
      <c r="WH75" s="88"/>
      <c r="WI75" s="88"/>
      <c r="WJ75" s="88"/>
      <c r="WK75" s="88"/>
      <c r="WL75" s="88"/>
      <c r="WM75" s="88"/>
      <c r="WN75" s="88"/>
      <c r="WO75" s="88"/>
      <c r="WP75" s="88"/>
      <c r="WQ75" s="88"/>
      <c r="WR75" s="88"/>
      <c r="WS75" s="88"/>
      <c r="WT75" s="88"/>
      <c r="WU75" s="88"/>
      <c r="WV75" s="88"/>
      <c r="WW75" s="88"/>
      <c r="WX75" s="88"/>
      <c r="WY75" s="88"/>
      <c r="WZ75" s="88"/>
      <c r="XA75" s="88"/>
      <c r="XB75" s="88"/>
      <c r="XC75" s="88"/>
      <c r="XD75" s="88"/>
      <c r="XE75" s="88"/>
      <c r="XF75" s="88"/>
      <c r="XG75" s="88"/>
      <c r="XH75" s="88"/>
      <c r="XI75" s="88"/>
      <c r="XJ75" s="88"/>
      <c r="XK75" s="88"/>
      <c r="XL75" s="88"/>
      <c r="XM75" s="88"/>
      <c r="XN75" s="88"/>
      <c r="XO75" s="88"/>
      <c r="XP75" s="88"/>
      <c r="XQ75" s="88"/>
      <c r="XR75" s="88"/>
      <c r="XS75" s="88"/>
      <c r="XT75" s="88"/>
      <c r="XU75" s="88"/>
      <c r="XV75" s="88"/>
      <c r="XW75" s="88"/>
      <c r="XX75" s="88"/>
      <c r="XY75" s="88"/>
      <c r="XZ75" s="88"/>
      <c r="YA75" s="88"/>
      <c r="YB75" s="88"/>
      <c r="YC75" s="88"/>
      <c r="YD75" s="88"/>
      <c r="YE75" s="88"/>
      <c r="YF75" s="88"/>
      <c r="YG75" s="88"/>
      <c r="YH75" s="88"/>
      <c r="YI75" s="88"/>
      <c r="YJ75" s="88"/>
      <c r="YK75" s="88"/>
      <c r="YL75" s="88"/>
      <c r="YM75" s="88"/>
      <c r="YN75" s="88"/>
      <c r="YO75" s="88"/>
      <c r="YP75" s="88"/>
      <c r="YQ75" s="88"/>
      <c r="YR75" s="88"/>
      <c r="YS75" s="88"/>
      <c r="YT75" s="88"/>
      <c r="YU75" s="88"/>
      <c r="YV75" s="88"/>
      <c r="YW75" s="88"/>
      <c r="YX75" s="88"/>
      <c r="YY75" s="88"/>
      <c r="YZ75" s="88"/>
      <c r="ZA75" s="88"/>
      <c r="ZB75" s="88"/>
      <c r="ZC75" s="88"/>
      <c r="ZD75" s="88"/>
      <c r="ZE75" s="88"/>
      <c r="ZF75" s="88"/>
      <c r="ZG75" s="88"/>
      <c r="ZH75" s="88"/>
      <c r="ZI75" s="88"/>
      <c r="ZJ75" s="88"/>
      <c r="ZK75" s="88"/>
      <c r="ZL75" s="88"/>
      <c r="ZM75" s="88"/>
      <c r="ZN75" s="88"/>
      <c r="ZO75" s="88"/>
      <c r="ZP75" s="88"/>
      <c r="ZQ75" s="88"/>
      <c r="ZR75" s="88"/>
      <c r="ZS75" s="88"/>
      <c r="ZT75" s="88"/>
      <c r="ZU75" s="88"/>
      <c r="ZV75" s="88"/>
      <c r="ZW75" s="88"/>
      <c r="ZX75" s="88"/>
      <c r="ZY75" s="88"/>
      <c r="ZZ75" s="88"/>
      <c r="AAA75" s="88"/>
      <c r="AAB75" s="88"/>
      <c r="AAC75" s="88"/>
      <c r="AAD75" s="88"/>
      <c r="AAE75" s="88"/>
      <c r="AAF75" s="88"/>
      <c r="AAG75" s="88"/>
      <c r="AAH75" s="88"/>
      <c r="AAI75" s="88"/>
      <c r="AAJ75" s="88"/>
      <c r="AAK75" s="88"/>
      <c r="AAL75" s="88"/>
      <c r="AAM75" s="88"/>
      <c r="AAN75" s="88"/>
      <c r="AAO75" s="88"/>
      <c r="AAP75" s="88"/>
      <c r="AAQ75" s="88"/>
      <c r="AAR75" s="88"/>
      <c r="AAS75" s="88"/>
      <c r="AAT75" s="88"/>
      <c r="AAU75" s="88"/>
      <c r="AAV75" s="88"/>
      <c r="AAW75" s="88"/>
      <c r="AAX75" s="88"/>
      <c r="AAY75" s="88"/>
      <c r="AAZ75" s="88"/>
      <c r="ABA75" s="88"/>
      <c r="ABB75" s="88"/>
      <c r="ABC75" s="88"/>
      <c r="ABD75" s="88"/>
      <c r="ABE75" s="88"/>
      <c r="ABF75" s="88"/>
      <c r="ABG75" s="88"/>
      <c r="ABH75" s="88"/>
      <c r="ABI75" s="88"/>
      <c r="ABJ75" s="88"/>
      <c r="ABK75" s="88"/>
      <c r="ABL75" s="88"/>
      <c r="ABM75" s="88"/>
      <c r="ABN75" s="88"/>
      <c r="ABO75" s="88"/>
      <c r="ABP75" s="88"/>
      <c r="ABQ75" s="88"/>
      <c r="ABR75" s="88"/>
      <c r="ABS75" s="88"/>
      <c r="ABT75" s="88"/>
      <c r="ABU75" s="88"/>
      <c r="ABV75" s="88"/>
      <c r="ABW75" s="88"/>
      <c r="ABX75" s="88"/>
      <c r="ABY75" s="88"/>
      <c r="ABZ75" s="88"/>
      <c r="ACA75" s="88"/>
      <c r="ACB75" s="88"/>
      <c r="ACC75" s="88"/>
      <c r="ACD75" s="88"/>
      <c r="ACE75" s="88"/>
      <c r="ACF75" s="88"/>
      <c r="ACG75" s="88"/>
      <c r="ACH75" s="88"/>
      <c r="ACI75" s="88"/>
      <c r="ACJ75" s="88"/>
      <c r="ACK75" s="88"/>
      <c r="ACL75" s="88"/>
      <c r="ACM75" s="88"/>
      <c r="ACN75" s="88"/>
      <c r="ACO75" s="88"/>
      <c r="ACP75" s="88"/>
      <c r="ACQ75" s="88"/>
      <c r="ACR75" s="88"/>
      <c r="ACS75" s="88"/>
      <c r="ACT75" s="88"/>
      <c r="ACU75" s="88"/>
      <c r="ACV75" s="88"/>
      <c r="ACW75" s="88"/>
      <c r="ACX75" s="88"/>
      <c r="ACY75" s="88"/>
      <c r="ACZ75" s="88"/>
      <c r="ADA75" s="88"/>
      <c r="ADB75" s="88"/>
      <c r="ADC75" s="88"/>
      <c r="ADD75" s="88"/>
      <c r="ADE75" s="88"/>
      <c r="ADF75" s="88"/>
      <c r="ADG75" s="88"/>
      <c r="ADH75" s="88"/>
      <c r="ADI75" s="88"/>
      <c r="ADJ75" s="88"/>
      <c r="ADK75" s="88"/>
      <c r="ADL75" s="88"/>
      <c r="ADM75" s="88"/>
      <c r="ADN75" s="88"/>
      <c r="ADO75" s="88"/>
      <c r="ADP75" s="88"/>
      <c r="ADQ75" s="88"/>
      <c r="ADR75" s="88"/>
      <c r="ADS75" s="88"/>
      <c r="ADT75" s="88"/>
      <c r="ADU75" s="88"/>
      <c r="ADV75" s="88"/>
      <c r="ADW75" s="88"/>
      <c r="ADX75" s="88"/>
      <c r="ADY75" s="88"/>
      <c r="ADZ75" s="88"/>
      <c r="AEA75" s="88"/>
      <c r="AEB75" s="88"/>
      <c r="AEC75" s="88"/>
      <c r="AED75" s="88"/>
      <c r="AEE75" s="88"/>
      <c r="AEF75" s="88"/>
      <c r="AEG75" s="88"/>
      <c r="AEH75" s="88"/>
      <c r="AEI75" s="88"/>
      <c r="AEJ75" s="88"/>
      <c r="AEK75" s="88"/>
      <c r="AEL75" s="88"/>
      <c r="AEM75" s="88"/>
      <c r="AEN75" s="88"/>
      <c r="AEO75" s="88"/>
      <c r="AEP75" s="88"/>
      <c r="AEQ75" s="88"/>
      <c r="AER75" s="88"/>
      <c r="AES75" s="88"/>
      <c r="AET75" s="88"/>
      <c r="AEU75" s="88"/>
      <c r="AEV75" s="88"/>
      <c r="AEW75" s="88"/>
      <c r="AEX75" s="88"/>
      <c r="AEY75" s="88"/>
      <c r="AEZ75" s="88"/>
      <c r="AFA75" s="88"/>
      <c r="AFB75" s="88"/>
      <c r="AFC75" s="88"/>
      <c r="AFD75" s="88"/>
      <c r="AFE75" s="88"/>
      <c r="AFF75" s="88"/>
      <c r="AFG75" s="88"/>
      <c r="AFH75" s="88"/>
      <c r="AFI75" s="88"/>
      <c r="AFJ75" s="88"/>
      <c r="AFK75" s="88"/>
      <c r="AFL75" s="88"/>
      <c r="AFM75" s="88"/>
      <c r="AFN75" s="88"/>
      <c r="AFO75" s="88"/>
      <c r="AFP75" s="88"/>
      <c r="AFQ75" s="88"/>
      <c r="AFR75" s="88"/>
      <c r="AFS75" s="88"/>
      <c r="AFT75" s="88"/>
      <c r="AFU75" s="88"/>
      <c r="AFV75" s="88"/>
      <c r="AFW75" s="88"/>
      <c r="AFX75" s="88"/>
      <c r="AFY75" s="88"/>
      <c r="AFZ75" s="88"/>
      <c r="AGA75" s="88"/>
      <c r="AGB75" s="88"/>
      <c r="AGC75" s="88"/>
      <c r="AGD75" s="88"/>
      <c r="AGE75" s="88"/>
      <c r="AGF75" s="88"/>
      <c r="AGG75" s="88"/>
      <c r="AGH75" s="88"/>
      <c r="AGI75" s="88"/>
      <c r="AGJ75" s="88"/>
      <c r="AGK75" s="88"/>
      <c r="AGL75" s="88"/>
      <c r="AGM75" s="88"/>
      <c r="AGN75" s="88"/>
      <c r="AGO75" s="88"/>
      <c r="AGP75" s="88"/>
      <c r="AGQ75" s="88"/>
      <c r="AGR75" s="88"/>
      <c r="AGS75" s="88"/>
      <c r="AGT75" s="88"/>
      <c r="AGU75" s="88"/>
      <c r="AGV75" s="88"/>
      <c r="AGW75" s="88"/>
      <c r="AGX75" s="88"/>
      <c r="AGY75" s="88"/>
      <c r="AGZ75" s="88"/>
      <c r="AHA75" s="88"/>
      <c r="AHB75" s="88"/>
      <c r="AHC75" s="88"/>
      <c r="AHD75" s="88"/>
      <c r="AHE75" s="88"/>
      <c r="AHF75" s="88"/>
      <c r="AHG75" s="88"/>
      <c r="AHH75" s="88"/>
      <c r="AHI75" s="88"/>
      <c r="AHJ75" s="88"/>
      <c r="AHK75" s="88"/>
      <c r="AHL75" s="88"/>
      <c r="AHM75" s="88"/>
      <c r="AHN75" s="88"/>
      <c r="AHO75" s="88"/>
      <c r="AHP75" s="88"/>
      <c r="AHQ75" s="88"/>
      <c r="AHR75" s="88"/>
      <c r="AHS75" s="88"/>
      <c r="AHT75" s="88"/>
      <c r="AHU75" s="88"/>
      <c r="AHV75" s="88"/>
      <c r="AHW75" s="88"/>
      <c r="AHX75" s="88"/>
      <c r="AHY75" s="88"/>
      <c r="AHZ75" s="88"/>
      <c r="AIA75" s="88"/>
      <c r="AIB75" s="88"/>
      <c r="AIC75" s="88"/>
      <c r="AID75" s="88"/>
      <c r="AIE75" s="88"/>
      <c r="AIF75" s="88"/>
      <c r="AIG75" s="88"/>
      <c r="AIH75" s="88"/>
      <c r="AII75" s="88"/>
      <c r="AIJ75" s="88"/>
      <c r="AIK75" s="88"/>
      <c r="AIL75" s="88"/>
      <c r="AIM75" s="88"/>
      <c r="AIN75" s="88"/>
      <c r="AIO75" s="88"/>
      <c r="AIP75" s="88"/>
      <c r="AIQ75" s="88"/>
      <c r="AIR75" s="88"/>
      <c r="AIS75" s="88"/>
      <c r="AIT75" s="88"/>
      <c r="AIU75" s="88"/>
      <c r="AIV75" s="88"/>
      <c r="AIW75" s="88"/>
      <c r="AIX75" s="88"/>
      <c r="AIY75" s="88"/>
      <c r="AIZ75" s="88"/>
      <c r="AJA75" s="88"/>
      <c r="AJB75" s="88"/>
      <c r="AJC75" s="88"/>
      <c r="AJD75" s="88"/>
      <c r="AJE75" s="88"/>
      <c r="AJF75" s="88"/>
      <c r="AJG75" s="88"/>
      <c r="AJH75" s="88"/>
      <c r="AJI75" s="88"/>
      <c r="AJJ75" s="88"/>
      <c r="AJK75" s="88"/>
      <c r="AJL75" s="88"/>
      <c r="AJM75" s="88"/>
      <c r="AJN75" s="88"/>
      <c r="AJO75" s="88"/>
      <c r="AJP75" s="88"/>
      <c r="AJQ75" s="88"/>
      <c r="AJR75" s="88"/>
      <c r="AJS75" s="88"/>
      <c r="AJT75" s="88"/>
      <c r="AJU75" s="88"/>
      <c r="AJV75" s="88"/>
      <c r="AJW75" s="88"/>
      <c r="AJX75" s="88"/>
      <c r="AJY75" s="88"/>
      <c r="AJZ75" s="88"/>
      <c r="AKA75" s="88"/>
      <c r="AKB75" s="88"/>
      <c r="AKC75" s="88"/>
      <c r="AKD75" s="88"/>
      <c r="AKE75" s="88"/>
      <c r="AKF75" s="88"/>
      <c r="AKG75" s="88"/>
      <c r="AKH75" s="88"/>
      <c r="AKI75" s="88"/>
      <c r="AKJ75" s="88"/>
      <c r="AKK75" s="88"/>
      <c r="AKL75" s="88"/>
      <c r="AKM75" s="88"/>
      <c r="AKN75" s="88"/>
      <c r="AKO75" s="88"/>
      <c r="AKP75" s="88"/>
      <c r="AKQ75" s="88"/>
      <c r="AKR75" s="88"/>
      <c r="AKS75" s="88"/>
      <c r="AKT75" s="88"/>
      <c r="AKU75" s="88"/>
      <c r="AKV75" s="88"/>
      <c r="AKW75" s="88"/>
      <c r="AKX75" s="88"/>
      <c r="AKY75" s="88"/>
      <c r="AKZ75" s="88"/>
      <c r="ALA75" s="88"/>
      <c r="ALB75" s="88"/>
      <c r="ALC75" s="88"/>
      <c r="ALD75" s="88"/>
      <c r="ALE75" s="88"/>
      <c r="ALF75" s="88"/>
      <c r="ALG75" s="88"/>
      <c r="ALH75" s="88"/>
      <c r="ALI75" s="88"/>
      <c r="ALJ75" s="88"/>
      <c r="ALK75" s="88"/>
      <c r="ALL75" s="88"/>
      <c r="ALM75" s="88"/>
      <c r="ALN75" s="88"/>
      <c r="ALO75" s="88"/>
      <c r="ALP75" s="88"/>
      <c r="ALQ75" s="88"/>
      <c r="ALR75" s="88"/>
      <c r="ALS75" s="88"/>
      <c r="ALT75" s="88"/>
      <c r="ALU75" s="88"/>
      <c r="ALV75" s="88"/>
      <c r="ALW75" s="88"/>
      <c r="ALX75" s="88"/>
      <c r="ALY75" s="88"/>
      <c r="ALZ75" s="88"/>
      <c r="AMA75" s="88"/>
      <c r="AMB75" s="88"/>
      <c r="AMC75" s="88"/>
      <c r="AMD75" s="88"/>
      <c r="AME75" s="88"/>
      <c r="AMF75" s="88"/>
      <c r="AMG75" s="88"/>
      <c r="AMH75" s="88"/>
      <c r="AMI75" s="88"/>
      <c r="AMJ75" s="88"/>
      <c r="AMK75" s="88"/>
      <c r="AML75" s="88"/>
      <c r="AMM75" s="88"/>
      <c r="AMN75" s="88"/>
      <c r="AMO75" s="88"/>
      <c r="AMP75" s="88"/>
      <c r="AMQ75" s="88"/>
      <c r="AMR75" s="88"/>
      <c r="AMS75" s="88"/>
      <c r="AMT75" s="88"/>
      <c r="AMU75" s="88"/>
      <c r="AMV75" s="88"/>
      <c r="AMW75" s="88"/>
      <c r="AMX75" s="88"/>
      <c r="AMY75" s="88"/>
      <c r="AMZ75" s="88"/>
      <c r="ANA75" s="88"/>
      <c r="ANB75" s="88"/>
      <c r="ANC75" s="88"/>
      <c r="AND75" s="88"/>
      <c r="ANE75" s="88"/>
      <c r="ANF75" s="88"/>
      <c r="ANG75" s="88"/>
      <c r="ANH75" s="88"/>
      <c r="ANI75" s="88"/>
      <c r="ANJ75" s="88"/>
      <c r="ANK75" s="88"/>
      <c r="ANL75" s="88"/>
      <c r="ANM75" s="88"/>
      <c r="ANN75" s="88"/>
      <c r="ANO75" s="88"/>
      <c r="ANP75" s="88"/>
      <c r="ANQ75" s="88"/>
      <c r="ANR75" s="88"/>
      <c r="ANS75" s="88"/>
      <c r="ANT75" s="88"/>
      <c r="ANU75" s="88"/>
      <c r="ANV75" s="88"/>
      <c r="ANW75" s="88"/>
      <c r="ANX75" s="88"/>
      <c r="ANY75" s="88"/>
      <c r="ANZ75" s="88"/>
      <c r="AOA75" s="88"/>
      <c r="AOB75" s="88"/>
      <c r="AOC75" s="88"/>
      <c r="AOD75" s="88"/>
      <c r="AOE75" s="88"/>
      <c r="AOF75" s="88"/>
      <c r="AOG75" s="88"/>
      <c r="AOH75" s="88"/>
      <c r="AOI75" s="88"/>
      <c r="AOJ75" s="88"/>
      <c r="AOK75" s="88"/>
      <c r="AOL75" s="88"/>
      <c r="AOM75" s="88"/>
      <c r="AON75" s="88"/>
      <c r="AOO75" s="88"/>
      <c r="AOP75" s="88"/>
      <c r="AOQ75" s="88"/>
      <c r="AOR75" s="88"/>
      <c r="AOS75" s="88"/>
      <c r="AOT75" s="88"/>
      <c r="AOU75" s="88"/>
      <c r="AOV75" s="88"/>
      <c r="AOW75" s="88"/>
      <c r="AOX75" s="88"/>
      <c r="AOY75" s="88"/>
      <c r="AOZ75" s="88"/>
      <c r="APA75" s="88"/>
      <c r="APB75" s="88"/>
      <c r="APC75" s="88"/>
      <c r="APD75" s="88"/>
      <c r="APE75" s="88"/>
      <c r="APF75" s="88"/>
      <c r="APG75" s="88"/>
      <c r="APH75" s="88"/>
      <c r="API75" s="88"/>
      <c r="APJ75" s="88"/>
      <c r="APK75" s="88"/>
      <c r="APL75" s="88"/>
      <c r="APM75" s="88"/>
      <c r="APN75" s="88"/>
      <c r="APO75" s="88"/>
      <c r="APP75" s="88"/>
      <c r="APQ75" s="88"/>
      <c r="APR75" s="88"/>
      <c r="APS75" s="88"/>
      <c r="APT75" s="88"/>
      <c r="APU75" s="88"/>
      <c r="APV75" s="88"/>
      <c r="APW75" s="88"/>
      <c r="APX75" s="88"/>
      <c r="APY75" s="88"/>
      <c r="APZ75" s="88"/>
      <c r="AQA75" s="88"/>
      <c r="AQB75" s="88"/>
      <c r="AQC75" s="88"/>
      <c r="AQD75" s="88"/>
      <c r="AQE75" s="88"/>
      <c r="AQF75" s="88"/>
      <c r="AQG75" s="88"/>
      <c r="AQH75" s="88"/>
      <c r="AQI75" s="88"/>
      <c r="AQJ75" s="88"/>
      <c r="AQK75" s="88"/>
      <c r="AQL75" s="88"/>
      <c r="AQM75" s="88"/>
      <c r="AQN75" s="88"/>
      <c r="AQO75" s="88"/>
      <c r="AQP75" s="88"/>
      <c r="AQQ75" s="88"/>
      <c r="AQR75" s="88"/>
      <c r="AQS75" s="88"/>
      <c r="AQT75" s="88"/>
      <c r="AQU75" s="88"/>
      <c r="AQV75" s="88"/>
      <c r="AQW75" s="88"/>
      <c r="AQX75" s="88"/>
      <c r="AQY75" s="88"/>
      <c r="AQZ75" s="88"/>
      <c r="ARA75" s="88"/>
      <c r="ARB75" s="88"/>
      <c r="ARC75" s="88"/>
      <c r="ARD75" s="88"/>
      <c r="ARE75" s="88"/>
      <c r="ARF75" s="88"/>
      <c r="ARG75" s="88"/>
      <c r="ARH75" s="88"/>
      <c r="ARI75" s="88"/>
      <c r="ARJ75" s="88"/>
      <c r="ARK75" s="88"/>
      <c r="ARL75" s="88"/>
      <c r="ARM75" s="88"/>
      <c r="ARN75" s="88"/>
      <c r="ARO75" s="88"/>
      <c r="ARP75" s="88"/>
      <c r="ARQ75" s="88"/>
      <c r="ARR75" s="88"/>
      <c r="ARS75" s="88"/>
      <c r="ART75" s="88"/>
      <c r="ARU75" s="88"/>
      <c r="ARV75" s="88"/>
      <c r="ARW75" s="88"/>
      <c r="ARX75" s="88"/>
      <c r="ARY75" s="88"/>
      <c r="ARZ75" s="88"/>
      <c r="ASA75" s="88"/>
      <c r="ASB75" s="88"/>
      <c r="ASC75" s="88"/>
      <c r="ASD75" s="88"/>
      <c r="ASE75" s="88"/>
      <c r="ASF75" s="88"/>
      <c r="ASG75" s="88"/>
      <c r="ASH75" s="88"/>
      <c r="ASI75" s="88"/>
      <c r="ASJ75" s="88"/>
      <c r="ASK75" s="88"/>
      <c r="ASL75" s="88"/>
      <c r="ASM75" s="88"/>
      <c r="ASN75" s="88"/>
      <c r="ASO75" s="88"/>
      <c r="ASP75" s="88"/>
      <c r="ASQ75" s="88"/>
      <c r="ASR75" s="88"/>
      <c r="ASS75" s="88"/>
      <c r="AST75" s="88"/>
      <c r="ASU75" s="88"/>
      <c r="ASV75" s="88"/>
      <c r="ASW75" s="88"/>
      <c r="ASX75" s="88"/>
      <c r="ASY75" s="88"/>
      <c r="ASZ75" s="88"/>
      <c r="ATA75" s="88"/>
      <c r="ATB75" s="88"/>
      <c r="ATC75" s="88"/>
      <c r="ATD75" s="88"/>
      <c r="ATE75" s="88"/>
      <c r="ATF75" s="88"/>
      <c r="ATG75" s="88"/>
      <c r="ATH75" s="88"/>
      <c r="ATI75" s="88"/>
      <c r="ATJ75" s="88"/>
      <c r="ATK75" s="88"/>
      <c r="ATL75" s="88"/>
      <c r="ATM75" s="88"/>
      <c r="ATN75" s="88"/>
      <c r="ATO75" s="88"/>
      <c r="ATP75" s="88"/>
      <c r="ATQ75" s="88"/>
      <c r="ATR75" s="88"/>
      <c r="ATS75" s="88"/>
      <c r="ATT75" s="88"/>
      <c r="ATU75" s="88"/>
      <c r="ATV75" s="88"/>
      <c r="ATW75" s="88"/>
      <c r="ATX75" s="88"/>
      <c r="ATY75" s="88"/>
      <c r="ATZ75" s="88"/>
      <c r="AUA75" s="88"/>
      <c r="AUB75" s="88"/>
      <c r="AUC75" s="88"/>
      <c r="AUD75" s="88"/>
      <c r="AUE75" s="88"/>
      <c r="AUF75" s="88"/>
      <c r="AUG75" s="88"/>
      <c r="AUH75" s="88"/>
      <c r="AUI75" s="88"/>
      <c r="AUJ75" s="88"/>
      <c r="AUK75" s="88"/>
      <c r="AUL75" s="88"/>
      <c r="AUM75" s="88"/>
      <c r="AUN75" s="88"/>
      <c r="AUO75" s="88"/>
      <c r="AUP75" s="88"/>
      <c r="AUQ75" s="88"/>
      <c r="AUR75" s="88"/>
      <c r="AUS75" s="88"/>
      <c r="AUT75" s="88"/>
      <c r="AUU75" s="88"/>
      <c r="AUV75" s="88"/>
      <c r="AUW75" s="88"/>
      <c r="AUX75" s="88"/>
      <c r="AUY75" s="88"/>
      <c r="AUZ75" s="88"/>
      <c r="AVA75" s="88"/>
      <c r="AVB75" s="88"/>
      <c r="AVC75" s="88"/>
      <c r="AVD75" s="88"/>
      <c r="AVE75" s="88"/>
      <c r="AVF75" s="88"/>
      <c r="AVG75" s="88"/>
      <c r="AVH75" s="88"/>
      <c r="AVI75" s="88"/>
      <c r="AVJ75" s="88"/>
      <c r="AVK75" s="88"/>
      <c r="AVL75" s="88"/>
      <c r="AVM75" s="88"/>
      <c r="AVN75" s="88"/>
      <c r="AVO75" s="88"/>
      <c r="AVP75" s="88"/>
      <c r="AVQ75" s="88"/>
      <c r="AVR75" s="88"/>
      <c r="AVS75" s="88"/>
      <c r="AVT75" s="88"/>
      <c r="AVU75" s="88"/>
      <c r="AVV75" s="88"/>
      <c r="AVW75" s="88"/>
      <c r="AVX75" s="88"/>
      <c r="AVY75" s="88"/>
      <c r="AVZ75" s="88"/>
      <c r="AWA75" s="88"/>
      <c r="AWB75" s="88"/>
      <c r="AWC75" s="88"/>
      <c r="AWD75" s="88"/>
      <c r="AWE75" s="88"/>
      <c r="AWF75" s="88"/>
      <c r="AWG75" s="88"/>
      <c r="AWH75" s="88"/>
      <c r="AWI75" s="88"/>
      <c r="AWJ75" s="88"/>
      <c r="AWK75" s="88"/>
      <c r="AWL75" s="88"/>
      <c r="AWM75" s="88"/>
      <c r="AWN75" s="88"/>
      <c r="AWO75" s="88"/>
      <c r="AWP75" s="88"/>
      <c r="AWQ75" s="88"/>
      <c r="AWR75" s="88"/>
      <c r="AWS75" s="88"/>
      <c r="AWT75" s="88"/>
      <c r="AWU75" s="88"/>
      <c r="AWV75" s="88"/>
      <c r="AWW75" s="88"/>
      <c r="AWX75" s="88"/>
      <c r="AWY75" s="88"/>
      <c r="AWZ75" s="88"/>
      <c r="AXA75" s="88"/>
      <c r="AXB75" s="88"/>
      <c r="AXC75" s="88"/>
      <c r="AXD75" s="88"/>
      <c r="AXE75" s="88"/>
      <c r="AXF75" s="88"/>
      <c r="AXG75" s="88"/>
      <c r="AXH75" s="88"/>
      <c r="AXI75" s="88"/>
      <c r="AXJ75" s="88"/>
      <c r="AXK75" s="88"/>
      <c r="AXL75" s="88"/>
      <c r="AXM75" s="88"/>
      <c r="AXN75" s="88"/>
      <c r="AXO75" s="88"/>
      <c r="AXP75" s="88"/>
      <c r="AXQ75" s="88"/>
      <c r="AXR75" s="88"/>
      <c r="AXS75" s="88"/>
      <c r="AXT75" s="88"/>
      <c r="AXU75" s="88"/>
      <c r="AXV75" s="88"/>
      <c r="AXW75" s="88"/>
      <c r="AXX75" s="88"/>
      <c r="AXY75" s="88"/>
      <c r="AXZ75" s="88"/>
      <c r="AYA75" s="88"/>
      <c r="AYB75" s="88"/>
      <c r="AYC75" s="88"/>
      <c r="AYD75" s="88"/>
      <c r="AYE75" s="88"/>
      <c r="AYF75" s="88"/>
      <c r="AYG75" s="88"/>
      <c r="AYH75" s="88"/>
      <c r="AYI75" s="88"/>
      <c r="AYJ75" s="88"/>
      <c r="AYK75" s="88"/>
      <c r="AYL75" s="88"/>
      <c r="AYM75" s="88"/>
      <c r="AYN75" s="88"/>
      <c r="AYO75" s="88"/>
      <c r="AYP75" s="88"/>
      <c r="AYQ75" s="88"/>
      <c r="AYR75" s="88"/>
      <c r="AYS75" s="88"/>
      <c r="AYT75" s="88"/>
      <c r="AYU75" s="88"/>
      <c r="AYV75" s="88"/>
      <c r="AYW75" s="88"/>
      <c r="AYX75" s="88"/>
      <c r="AYY75" s="88"/>
      <c r="AYZ75" s="88"/>
      <c r="AZA75" s="88"/>
      <c r="AZB75" s="88"/>
      <c r="AZC75" s="88"/>
      <c r="AZD75" s="88"/>
      <c r="AZE75" s="88"/>
      <c r="AZF75" s="88"/>
      <c r="AZG75" s="88"/>
      <c r="AZH75" s="88"/>
      <c r="AZI75" s="88"/>
      <c r="AZJ75" s="88"/>
      <c r="AZK75" s="88"/>
      <c r="AZL75" s="88"/>
      <c r="AZM75" s="88"/>
      <c r="AZN75" s="88"/>
      <c r="AZO75" s="88"/>
      <c r="AZP75" s="88"/>
      <c r="AZQ75" s="88"/>
      <c r="AZR75" s="88"/>
      <c r="AZS75" s="88"/>
      <c r="AZT75" s="88"/>
      <c r="AZU75" s="88"/>
      <c r="AZV75" s="88"/>
      <c r="AZW75" s="88"/>
      <c r="AZX75" s="88"/>
      <c r="AZY75" s="88"/>
      <c r="AZZ75" s="88"/>
      <c r="BAA75" s="88"/>
      <c r="BAB75" s="88"/>
      <c r="BAC75" s="88"/>
      <c r="BAD75" s="88"/>
      <c r="BAE75" s="88"/>
      <c r="BAF75" s="88"/>
      <c r="BAG75" s="88"/>
      <c r="BAH75" s="88"/>
      <c r="BAI75" s="88"/>
      <c r="BAJ75" s="88"/>
      <c r="BAK75" s="88"/>
      <c r="BAL75" s="88"/>
      <c r="BAM75" s="88"/>
      <c r="BAN75" s="88"/>
      <c r="BAO75" s="88"/>
      <c r="BAP75" s="88"/>
      <c r="BAQ75" s="88"/>
      <c r="BAR75" s="88"/>
      <c r="BAS75" s="88"/>
      <c r="BAT75" s="88"/>
      <c r="BAU75" s="88"/>
      <c r="BAV75" s="88"/>
      <c r="BAW75" s="88"/>
      <c r="BAX75" s="88"/>
      <c r="BAY75" s="88"/>
      <c r="BAZ75" s="88"/>
      <c r="BBA75" s="88"/>
      <c r="BBB75" s="88"/>
      <c r="BBC75" s="88"/>
      <c r="BBD75" s="88"/>
      <c r="BBE75" s="88"/>
      <c r="BBF75" s="88"/>
      <c r="BBG75" s="88"/>
      <c r="BBH75" s="88"/>
      <c r="BBI75" s="88"/>
      <c r="BBJ75" s="88"/>
      <c r="BBK75" s="88"/>
      <c r="BBL75" s="88"/>
      <c r="BBM75" s="88"/>
      <c r="BBN75" s="88"/>
      <c r="BBO75" s="88"/>
      <c r="BBP75" s="88"/>
      <c r="BBQ75" s="88"/>
      <c r="BBR75" s="88"/>
      <c r="BBS75" s="88"/>
      <c r="BBT75" s="88"/>
      <c r="BBU75" s="88"/>
      <c r="BBV75" s="88"/>
      <c r="BBW75" s="88"/>
      <c r="BBX75" s="88"/>
      <c r="BBY75" s="88"/>
      <c r="BBZ75" s="88"/>
      <c r="BCA75" s="88"/>
      <c r="BCB75" s="88"/>
      <c r="BCC75" s="88"/>
      <c r="BCD75" s="88"/>
      <c r="BCE75" s="88"/>
      <c r="BCF75" s="88"/>
      <c r="BCG75" s="88"/>
      <c r="BCH75" s="88"/>
      <c r="BCI75" s="88"/>
      <c r="BCJ75" s="88"/>
      <c r="BCK75" s="88"/>
      <c r="BCL75" s="88"/>
      <c r="BCM75" s="88"/>
      <c r="BCN75" s="88"/>
      <c r="BCO75" s="88"/>
      <c r="BCP75" s="88"/>
      <c r="BCQ75" s="88"/>
      <c r="BCR75" s="88"/>
      <c r="BCS75" s="88"/>
      <c r="BCT75" s="88"/>
      <c r="BCU75" s="88"/>
      <c r="BCV75" s="88"/>
      <c r="BCW75" s="88"/>
      <c r="BCX75" s="88"/>
      <c r="BCY75" s="88"/>
      <c r="BCZ75" s="88"/>
      <c r="BDA75" s="88"/>
      <c r="BDB75" s="88"/>
      <c r="BDC75" s="88"/>
      <c r="BDD75" s="88"/>
      <c r="BDE75" s="88"/>
      <c r="BDF75" s="88"/>
      <c r="BDG75" s="88"/>
      <c r="BDH75" s="88"/>
      <c r="BDI75" s="88"/>
      <c r="BDJ75" s="88"/>
      <c r="BDK75" s="88"/>
      <c r="BDL75" s="88"/>
      <c r="BDM75" s="88"/>
      <c r="BDN75" s="88"/>
      <c r="BDO75" s="88"/>
      <c r="BDP75" s="88"/>
      <c r="BDQ75" s="88"/>
      <c r="BDR75" s="88"/>
      <c r="BDS75" s="88"/>
      <c r="BDT75" s="88"/>
      <c r="BDU75" s="88"/>
      <c r="BDV75" s="88"/>
      <c r="BDW75" s="88"/>
      <c r="BDX75" s="88"/>
      <c r="BDY75" s="88"/>
      <c r="BDZ75" s="88"/>
      <c r="BEA75" s="88"/>
      <c r="BEB75" s="88"/>
      <c r="BEC75" s="88"/>
      <c r="BED75" s="88"/>
      <c r="BEE75" s="88"/>
      <c r="BEF75" s="88"/>
      <c r="BEG75" s="88"/>
      <c r="BEH75" s="88"/>
      <c r="BEI75" s="88"/>
      <c r="BEJ75" s="88"/>
      <c r="BEK75" s="88"/>
      <c r="BEL75" s="88"/>
      <c r="BEM75" s="88"/>
      <c r="BEN75" s="88"/>
      <c r="BEO75" s="88"/>
      <c r="BEP75" s="88"/>
      <c r="BEQ75" s="88"/>
      <c r="BER75" s="88"/>
      <c r="BES75" s="88"/>
      <c r="BET75" s="88"/>
      <c r="BEU75" s="88"/>
      <c r="BEV75" s="88"/>
      <c r="BEW75" s="88"/>
      <c r="BEX75" s="88"/>
      <c r="BEY75" s="88"/>
      <c r="BEZ75" s="88"/>
      <c r="BFA75" s="88"/>
      <c r="BFB75" s="88"/>
      <c r="BFC75" s="88"/>
      <c r="BFD75" s="88"/>
      <c r="BFE75" s="88"/>
      <c r="BFF75" s="88"/>
      <c r="BFG75" s="88"/>
      <c r="BFH75" s="88"/>
      <c r="BFI75" s="88"/>
      <c r="BFJ75" s="88"/>
      <c r="BFK75" s="88"/>
      <c r="BFL75" s="88"/>
      <c r="BFM75" s="88"/>
      <c r="BFN75" s="88"/>
      <c r="BFO75" s="88"/>
      <c r="BFP75" s="88"/>
      <c r="BFQ75" s="88"/>
      <c r="BFR75" s="88"/>
      <c r="BFS75" s="88"/>
      <c r="BFT75" s="88"/>
      <c r="BFU75" s="88"/>
      <c r="BFV75" s="88"/>
      <c r="BFW75" s="88"/>
      <c r="BFX75" s="88"/>
      <c r="BFY75" s="88"/>
      <c r="BFZ75" s="88"/>
      <c r="BGA75" s="88"/>
      <c r="BGB75" s="88"/>
      <c r="BGC75" s="88"/>
      <c r="BGD75" s="88"/>
      <c r="BGE75" s="88"/>
      <c r="BGF75" s="88"/>
      <c r="BGG75" s="88"/>
      <c r="BGH75" s="88"/>
      <c r="BGI75" s="88"/>
      <c r="BGJ75" s="88"/>
      <c r="BGK75" s="88"/>
      <c r="BGL75" s="88"/>
      <c r="BGM75" s="88"/>
      <c r="BGN75" s="88"/>
      <c r="BGO75" s="88"/>
      <c r="BGP75" s="88"/>
      <c r="BGQ75" s="88"/>
      <c r="BGR75" s="88"/>
      <c r="BGS75" s="88"/>
      <c r="BGT75" s="88"/>
      <c r="BGU75" s="88"/>
      <c r="BGV75" s="88"/>
      <c r="BGW75" s="88"/>
      <c r="BGX75" s="88"/>
      <c r="BGY75" s="88"/>
      <c r="BGZ75" s="88"/>
      <c r="BHA75" s="88"/>
      <c r="BHB75" s="88"/>
      <c r="BHC75" s="88"/>
      <c r="BHD75" s="88"/>
      <c r="BHE75" s="88"/>
      <c r="BHF75" s="88"/>
      <c r="BHG75" s="88"/>
      <c r="BHH75" s="88"/>
      <c r="BHI75" s="88"/>
      <c r="BHJ75" s="88"/>
      <c r="BHK75" s="88"/>
      <c r="BHL75" s="88"/>
      <c r="BHM75" s="88"/>
      <c r="BHN75" s="88"/>
      <c r="BHO75" s="88"/>
      <c r="BHP75" s="88"/>
      <c r="BHQ75" s="88"/>
      <c r="BHR75" s="88"/>
      <c r="BHS75" s="88"/>
      <c r="BHT75" s="88"/>
      <c r="BHU75" s="88"/>
      <c r="BHV75" s="88"/>
      <c r="BHW75" s="88"/>
      <c r="BHX75" s="88"/>
      <c r="BHY75" s="88"/>
      <c r="BHZ75" s="88"/>
      <c r="BIA75" s="88"/>
      <c r="BIB75" s="88"/>
      <c r="BIC75" s="88"/>
      <c r="BID75" s="88"/>
      <c r="BIE75" s="88"/>
      <c r="BIF75" s="88"/>
      <c r="BIG75" s="88"/>
      <c r="BIH75" s="88"/>
      <c r="BII75" s="88"/>
      <c r="BIJ75" s="88"/>
      <c r="BIK75" s="88"/>
      <c r="BIL75" s="88"/>
      <c r="BIM75" s="88"/>
      <c r="BIN75" s="88"/>
      <c r="BIO75" s="88"/>
      <c r="BIP75" s="88"/>
      <c r="BIQ75" s="88"/>
      <c r="BIR75" s="88"/>
      <c r="BIS75" s="88"/>
      <c r="BIT75" s="88"/>
      <c r="BIU75" s="88"/>
      <c r="BIV75" s="88"/>
      <c r="BIW75" s="88"/>
      <c r="BIX75" s="88"/>
      <c r="BIY75" s="88"/>
      <c r="BIZ75" s="88"/>
      <c r="BJA75" s="88"/>
      <c r="BJB75" s="88"/>
      <c r="BJC75" s="88"/>
      <c r="BJD75" s="88"/>
      <c r="BJE75" s="88"/>
      <c r="BJF75" s="88"/>
      <c r="BJG75" s="88"/>
      <c r="BJH75" s="88"/>
      <c r="BJI75" s="88"/>
      <c r="BJJ75" s="88"/>
      <c r="BJK75" s="88"/>
      <c r="BJL75" s="88"/>
      <c r="BJM75" s="88"/>
      <c r="BJN75" s="88"/>
      <c r="BJO75" s="88"/>
      <c r="BJP75" s="88"/>
      <c r="BJQ75" s="88"/>
      <c r="BJR75" s="88"/>
      <c r="BJS75" s="88"/>
      <c r="BJT75" s="88"/>
      <c r="BJU75" s="88"/>
      <c r="BJV75" s="88"/>
      <c r="BJW75" s="88"/>
      <c r="BJX75" s="88"/>
      <c r="BJY75" s="88"/>
      <c r="BJZ75" s="88"/>
      <c r="BKA75" s="88"/>
      <c r="BKB75" s="88"/>
      <c r="BKC75" s="88"/>
      <c r="BKD75" s="88"/>
      <c r="BKE75" s="88"/>
      <c r="BKF75" s="88"/>
      <c r="BKG75" s="88"/>
      <c r="BKH75" s="88"/>
      <c r="BKI75" s="88"/>
      <c r="BKJ75" s="88"/>
      <c r="BKK75" s="88"/>
      <c r="BKL75" s="88"/>
      <c r="BKM75" s="88"/>
      <c r="BKN75" s="88"/>
      <c r="BKO75" s="88"/>
      <c r="BKP75" s="88"/>
      <c r="BKQ75" s="88"/>
      <c r="BKR75" s="88"/>
      <c r="BKS75" s="88"/>
      <c r="BKT75" s="88"/>
      <c r="BKU75" s="88"/>
      <c r="BKV75" s="88"/>
      <c r="BKW75" s="88"/>
      <c r="BKX75" s="88"/>
      <c r="BKY75" s="88"/>
      <c r="BKZ75" s="88"/>
      <c r="BLA75" s="88"/>
      <c r="BLB75" s="88"/>
      <c r="BLC75" s="88"/>
      <c r="BLD75" s="88"/>
      <c r="BLE75" s="88"/>
      <c r="BLF75" s="88"/>
      <c r="BLG75" s="88"/>
      <c r="BLH75" s="88"/>
      <c r="BLI75" s="88"/>
      <c r="BLJ75" s="88"/>
      <c r="BLK75" s="88"/>
      <c r="BLL75" s="88"/>
      <c r="BLM75" s="88"/>
      <c r="BLN75" s="88"/>
      <c r="BLO75" s="88"/>
      <c r="BLP75" s="88"/>
      <c r="BLQ75" s="88"/>
      <c r="BLR75" s="88"/>
      <c r="BLS75" s="88"/>
      <c r="BLT75" s="88"/>
      <c r="BLU75" s="88"/>
      <c r="BLV75" s="88"/>
      <c r="BLW75" s="88"/>
      <c r="BLX75" s="88"/>
      <c r="BLY75" s="88"/>
      <c r="BLZ75" s="88"/>
      <c r="BMA75" s="88"/>
      <c r="BMB75" s="88"/>
      <c r="BMC75" s="88"/>
      <c r="BMD75" s="88"/>
      <c r="BME75" s="88"/>
      <c r="BMF75" s="88"/>
      <c r="BMG75" s="88"/>
      <c r="BMH75" s="88"/>
      <c r="BMI75" s="88"/>
      <c r="BMJ75" s="88"/>
      <c r="BMK75" s="88"/>
      <c r="BML75" s="88"/>
      <c r="BMM75" s="88"/>
      <c r="BMN75" s="88"/>
      <c r="BMO75" s="88"/>
      <c r="BMP75" s="88"/>
      <c r="BMQ75" s="88"/>
      <c r="BMR75" s="88"/>
      <c r="BMS75" s="88"/>
      <c r="BMT75" s="88"/>
      <c r="BMU75" s="88"/>
      <c r="BMV75" s="88"/>
      <c r="BMW75" s="88"/>
      <c r="BMX75" s="88"/>
      <c r="BMY75" s="88"/>
      <c r="BMZ75" s="88"/>
      <c r="BNA75" s="88"/>
      <c r="BNB75" s="88"/>
      <c r="BNC75" s="88"/>
      <c r="BND75" s="88"/>
      <c r="BNE75" s="88"/>
      <c r="BNF75" s="88"/>
      <c r="BNG75" s="88"/>
      <c r="BNH75" s="88"/>
      <c r="BNI75" s="88"/>
      <c r="BNJ75" s="88"/>
      <c r="BNK75" s="88"/>
      <c r="BNL75" s="88"/>
      <c r="BNM75" s="88"/>
      <c r="BNN75" s="88"/>
      <c r="BNO75" s="88"/>
      <c r="BNP75" s="88"/>
      <c r="BNQ75" s="88"/>
      <c r="BNR75" s="88"/>
      <c r="BNS75" s="88"/>
      <c r="BNT75" s="88"/>
      <c r="BNU75" s="88"/>
      <c r="BNV75" s="88"/>
      <c r="BNW75" s="88"/>
      <c r="BNX75" s="88"/>
      <c r="BNY75" s="88"/>
      <c r="BNZ75" s="88"/>
      <c r="BOA75" s="88"/>
      <c r="BOB75" s="88"/>
      <c r="BOC75" s="88"/>
      <c r="BOD75" s="88"/>
      <c r="BOE75" s="88"/>
      <c r="BOF75" s="88"/>
      <c r="BOG75" s="88"/>
      <c r="BOH75" s="88"/>
      <c r="BOI75" s="88"/>
      <c r="BOJ75" s="88"/>
      <c r="BOK75" s="88"/>
      <c r="BOL75" s="88"/>
      <c r="BOM75" s="88"/>
      <c r="BON75" s="88"/>
      <c r="BOO75" s="88"/>
      <c r="BOP75" s="88"/>
      <c r="BOQ75" s="88"/>
      <c r="BOR75" s="88"/>
      <c r="BOS75" s="88"/>
      <c r="BOT75" s="88"/>
      <c r="BOU75" s="88"/>
      <c r="BOV75" s="88"/>
      <c r="BOW75" s="88"/>
      <c r="BOX75" s="88"/>
      <c r="BOY75" s="88"/>
      <c r="BOZ75" s="88"/>
      <c r="BPA75" s="88"/>
      <c r="BPB75" s="88"/>
      <c r="BPC75" s="88"/>
      <c r="BPD75" s="88"/>
      <c r="BPE75" s="88"/>
      <c r="BPF75" s="88"/>
      <c r="BPG75" s="88"/>
      <c r="BPH75" s="88"/>
      <c r="BPI75" s="88"/>
      <c r="BPJ75" s="88"/>
      <c r="BPK75" s="88"/>
      <c r="BPL75" s="88"/>
      <c r="BPM75" s="88"/>
      <c r="BPN75" s="88"/>
      <c r="BPO75" s="88"/>
      <c r="BPP75" s="88"/>
      <c r="BPQ75" s="88"/>
      <c r="BPR75" s="88"/>
      <c r="BPS75" s="88"/>
      <c r="BPT75" s="88"/>
      <c r="BPU75" s="88"/>
      <c r="BPV75" s="88"/>
      <c r="BPW75" s="88"/>
      <c r="BPX75" s="88"/>
      <c r="BPY75" s="88"/>
      <c r="BPZ75" s="88"/>
      <c r="BQA75" s="88"/>
      <c r="BQB75" s="88"/>
      <c r="BQC75" s="88"/>
      <c r="BQD75" s="88"/>
      <c r="BQE75" s="88"/>
      <c r="BQF75" s="88"/>
      <c r="BQG75" s="88"/>
      <c r="BQH75" s="88"/>
      <c r="BQI75" s="88"/>
      <c r="BQJ75" s="88"/>
      <c r="BQK75" s="88"/>
      <c r="BQL75" s="88"/>
      <c r="BQM75" s="88"/>
      <c r="BQN75" s="88"/>
      <c r="BQO75" s="88"/>
      <c r="BQP75" s="88"/>
      <c r="BQQ75" s="88"/>
      <c r="BQR75" s="88"/>
      <c r="BQS75" s="88"/>
      <c r="BQT75" s="88"/>
      <c r="BQU75" s="88"/>
      <c r="BQV75" s="88"/>
      <c r="BQW75" s="88"/>
      <c r="BQX75" s="88"/>
      <c r="BQY75" s="88"/>
      <c r="BQZ75" s="88"/>
      <c r="BRA75" s="88"/>
      <c r="BRB75" s="88"/>
      <c r="BRC75" s="88"/>
      <c r="BRD75" s="88"/>
      <c r="BRE75" s="88"/>
      <c r="BRF75" s="88"/>
      <c r="BRG75" s="88"/>
      <c r="BRH75" s="88"/>
      <c r="BRI75" s="88"/>
      <c r="BRJ75" s="88"/>
      <c r="BRK75" s="88"/>
      <c r="BRL75" s="88"/>
      <c r="BRM75" s="88"/>
      <c r="BRN75" s="88"/>
      <c r="BRO75" s="88"/>
      <c r="BRP75" s="88"/>
      <c r="BRQ75" s="88"/>
      <c r="BRR75" s="88"/>
      <c r="BRS75" s="88"/>
      <c r="BRT75" s="88"/>
      <c r="BRU75" s="88"/>
      <c r="BRV75" s="88"/>
      <c r="BRW75" s="88"/>
      <c r="BRX75" s="88"/>
      <c r="BRY75" s="88"/>
      <c r="BRZ75" s="88"/>
      <c r="BSA75" s="88"/>
      <c r="BSB75" s="88"/>
      <c r="BSC75" s="88"/>
      <c r="BSD75" s="88"/>
      <c r="BSE75" s="88"/>
      <c r="BSF75" s="88"/>
      <c r="BSG75" s="88"/>
      <c r="BSH75" s="88"/>
      <c r="BSI75" s="88"/>
      <c r="BSJ75" s="88"/>
      <c r="BSK75" s="88"/>
      <c r="BSL75" s="88"/>
      <c r="BSM75" s="88"/>
      <c r="BSN75" s="88"/>
      <c r="BSO75" s="88"/>
      <c r="BSP75" s="88"/>
      <c r="BSQ75" s="88"/>
      <c r="BSR75" s="88"/>
      <c r="BSS75" s="88"/>
      <c r="BST75" s="88"/>
      <c r="BSU75" s="88"/>
      <c r="BSV75" s="88"/>
      <c r="BSW75" s="88"/>
      <c r="BSX75" s="88"/>
      <c r="BSY75" s="88"/>
      <c r="BSZ75" s="88"/>
      <c r="BTA75" s="88"/>
      <c r="BTB75" s="88"/>
      <c r="BTC75" s="88"/>
      <c r="BTD75" s="88"/>
      <c r="BTE75" s="88"/>
      <c r="BTF75" s="88"/>
      <c r="BTG75" s="88"/>
      <c r="BTH75" s="88"/>
      <c r="BTI75" s="88"/>
      <c r="BTJ75" s="88"/>
      <c r="BTK75" s="88"/>
      <c r="BTL75" s="88"/>
      <c r="BTM75" s="88"/>
      <c r="BTN75" s="88"/>
      <c r="BTO75" s="88"/>
      <c r="BTP75" s="88"/>
      <c r="BTQ75" s="88"/>
      <c r="BTR75" s="88"/>
      <c r="BTS75" s="88"/>
      <c r="BTT75" s="88"/>
      <c r="BTU75" s="88"/>
      <c r="BTV75" s="88"/>
      <c r="BTW75" s="88"/>
      <c r="BTX75" s="88"/>
      <c r="BTY75" s="88"/>
      <c r="BTZ75" s="88"/>
      <c r="BUA75" s="88"/>
      <c r="BUB75" s="88"/>
      <c r="BUC75" s="88"/>
      <c r="BUD75" s="88"/>
      <c r="BUE75" s="88"/>
      <c r="BUF75" s="88"/>
      <c r="BUG75" s="88"/>
      <c r="BUH75" s="88"/>
      <c r="BUI75" s="88"/>
      <c r="BUJ75" s="88"/>
      <c r="BUK75" s="88"/>
      <c r="BUL75" s="88"/>
      <c r="BUM75" s="88"/>
      <c r="BUN75" s="88"/>
      <c r="BUO75" s="88"/>
      <c r="BUP75" s="88"/>
      <c r="BUQ75" s="88"/>
      <c r="BUR75" s="88"/>
      <c r="BUS75" s="88"/>
      <c r="BUT75" s="88"/>
      <c r="BUU75" s="88"/>
      <c r="BUV75" s="88"/>
      <c r="BUW75" s="88"/>
      <c r="BUX75" s="88"/>
      <c r="BUY75" s="88"/>
      <c r="BUZ75" s="88"/>
      <c r="BVA75" s="88"/>
      <c r="BVB75" s="88"/>
      <c r="BVC75" s="88"/>
      <c r="BVD75" s="88"/>
      <c r="BVE75" s="88"/>
      <c r="BVF75" s="88"/>
      <c r="BVG75" s="88"/>
      <c r="BVH75" s="88"/>
      <c r="BVI75" s="88"/>
      <c r="BVJ75" s="88"/>
      <c r="BVK75" s="88"/>
      <c r="BVL75" s="88"/>
      <c r="BVM75" s="88"/>
      <c r="BVN75" s="88"/>
      <c r="BVO75" s="88"/>
      <c r="BVP75" s="88"/>
      <c r="BVQ75" s="88"/>
      <c r="BVR75" s="88"/>
      <c r="BVS75" s="88"/>
      <c r="BVT75" s="88"/>
      <c r="BVU75" s="88"/>
      <c r="BVV75" s="88"/>
      <c r="BVW75" s="88"/>
      <c r="BVX75" s="88"/>
      <c r="BVY75" s="88"/>
      <c r="BVZ75" s="88"/>
      <c r="BWA75" s="88"/>
      <c r="BWB75" s="88"/>
      <c r="BWC75" s="88"/>
      <c r="BWD75" s="88"/>
      <c r="BWE75" s="88"/>
      <c r="BWF75" s="88"/>
      <c r="BWG75" s="88"/>
      <c r="BWH75" s="88"/>
      <c r="BWI75" s="88"/>
      <c r="BWJ75" s="88"/>
      <c r="BWK75" s="88"/>
      <c r="BWL75" s="88"/>
      <c r="BWM75" s="88"/>
      <c r="BWN75" s="88"/>
      <c r="BWO75" s="88"/>
      <c r="BWP75" s="88"/>
      <c r="BWQ75" s="88"/>
      <c r="BWR75" s="88"/>
      <c r="BWS75" s="88"/>
      <c r="BWT75" s="88"/>
      <c r="BWU75" s="88"/>
      <c r="BWV75" s="88"/>
      <c r="BWW75" s="88"/>
      <c r="BWX75" s="88"/>
      <c r="BWY75" s="88"/>
      <c r="BWZ75" s="88"/>
      <c r="BXA75" s="88"/>
      <c r="BXB75" s="88"/>
      <c r="BXC75" s="88"/>
      <c r="BXD75" s="88"/>
      <c r="BXE75" s="88"/>
      <c r="BXF75" s="88"/>
      <c r="BXG75" s="88"/>
      <c r="BXH75" s="88"/>
      <c r="BXI75" s="88"/>
      <c r="BXJ75" s="88"/>
      <c r="BXK75" s="88"/>
      <c r="BXL75" s="88"/>
      <c r="BXM75" s="88"/>
      <c r="BXN75" s="88"/>
      <c r="BXO75" s="88"/>
      <c r="BXP75" s="88"/>
      <c r="BXQ75" s="88"/>
      <c r="BXR75" s="88"/>
      <c r="BXS75" s="88"/>
      <c r="BXT75" s="88"/>
      <c r="BXU75" s="88"/>
      <c r="BXV75" s="88"/>
      <c r="BXW75" s="88"/>
      <c r="BXX75" s="88"/>
      <c r="BXY75" s="88"/>
      <c r="BXZ75" s="88"/>
      <c r="BYA75" s="88"/>
      <c r="BYB75" s="88"/>
      <c r="BYC75" s="88"/>
      <c r="BYD75" s="88"/>
      <c r="BYE75" s="88"/>
      <c r="BYF75" s="88"/>
      <c r="BYG75" s="88"/>
      <c r="BYH75" s="88"/>
      <c r="BYI75" s="88"/>
      <c r="BYJ75" s="88"/>
      <c r="BYK75" s="88"/>
      <c r="BYL75" s="88"/>
      <c r="BYM75" s="88"/>
      <c r="BYN75" s="88"/>
      <c r="BYO75" s="88"/>
      <c r="BYP75" s="88"/>
      <c r="BYQ75" s="88"/>
      <c r="BYR75" s="88"/>
      <c r="BYS75" s="88"/>
      <c r="BYT75" s="88"/>
      <c r="BYU75" s="88"/>
      <c r="BYV75" s="88"/>
      <c r="BYW75" s="88"/>
      <c r="BYX75" s="88"/>
      <c r="BYY75" s="88"/>
      <c r="BYZ75" s="88"/>
      <c r="BZA75" s="88"/>
      <c r="BZB75" s="88"/>
      <c r="BZC75" s="88"/>
      <c r="BZD75" s="88"/>
      <c r="BZE75" s="88"/>
      <c r="BZF75" s="88"/>
      <c r="BZG75" s="88"/>
      <c r="BZH75" s="88"/>
      <c r="BZI75" s="88"/>
      <c r="BZJ75" s="88"/>
      <c r="BZK75" s="88"/>
      <c r="BZL75" s="88"/>
      <c r="BZM75" s="88"/>
      <c r="BZN75" s="88"/>
      <c r="BZO75" s="88"/>
      <c r="BZP75" s="88"/>
      <c r="BZQ75" s="88"/>
      <c r="BZR75" s="88"/>
      <c r="BZS75" s="88"/>
      <c r="BZT75" s="88"/>
      <c r="BZU75" s="88"/>
      <c r="BZV75" s="88"/>
      <c r="BZW75" s="88"/>
      <c r="BZX75" s="88"/>
      <c r="BZY75" s="88"/>
      <c r="BZZ75" s="88"/>
      <c r="CAA75" s="88"/>
      <c r="CAB75" s="88"/>
      <c r="CAC75" s="88"/>
      <c r="CAD75" s="88"/>
      <c r="CAE75" s="88"/>
      <c r="CAF75" s="88"/>
      <c r="CAG75" s="88"/>
      <c r="CAH75" s="88"/>
      <c r="CAI75" s="88"/>
      <c r="CAJ75" s="88"/>
      <c r="CAK75" s="88"/>
      <c r="CAL75" s="88"/>
      <c r="CAM75" s="88"/>
      <c r="CAN75" s="88"/>
      <c r="CAO75" s="88"/>
      <c r="CAP75" s="88"/>
      <c r="CAQ75" s="88"/>
      <c r="CAR75" s="88"/>
      <c r="CAS75" s="88"/>
      <c r="CAT75" s="88"/>
      <c r="CAU75" s="88"/>
      <c r="CAV75" s="88"/>
      <c r="CAW75" s="88"/>
      <c r="CAX75" s="88"/>
      <c r="CAY75" s="88"/>
      <c r="CAZ75" s="88"/>
      <c r="CBA75" s="88"/>
      <c r="CBB75" s="88"/>
      <c r="CBC75" s="88"/>
      <c r="CBD75" s="88"/>
      <c r="CBE75" s="88"/>
      <c r="CBF75" s="88"/>
      <c r="CBG75" s="88"/>
      <c r="CBH75" s="88"/>
      <c r="CBI75" s="88"/>
      <c r="CBJ75" s="88"/>
      <c r="CBK75" s="88"/>
      <c r="CBL75" s="88"/>
      <c r="CBM75" s="88"/>
      <c r="CBN75" s="88"/>
      <c r="CBO75" s="88"/>
      <c r="CBP75" s="88"/>
      <c r="CBQ75" s="88"/>
      <c r="CBR75" s="88"/>
      <c r="CBS75" s="88"/>
      <c r="CBT75" s="88"/>
      <c r="CBU75" s="88"/>
      <c r="CBV75" s="88"/>
      <c r="CBW75" s="88"/>
      <c r="CBX75" s="88"/>
      <c r="CBY75" s="88"/>
      <c r="CBZ75" s="88"/>
      <c r="CCA75" s="88"/>
      <c r="CCB75" s="88"/>
      <c r="CCC75" s="88"/>
      <c r="CCD75" s="88"/>
      <c r="CCE75" s="88"/>
      <c r="CCF75" s="88"/>
      <c r="CCG75" s="88"/>
      <c r="CCH75" s="88"/>
      <c r="CCI75" s="88"/>
      <c r="CCJ75" s="88"/>
      <c r="CCK75" s="88"/>
      <c r="CCL75" s="88"/>
      <c r="CCM75" s="88"/>
      <c r="CCN75" s="88"/>
      <c r="CCO75" s="88"/>
      <c r="CCP75" s="88"/>
      <c r="CCQ75" s="88"/>
      <c r="CCR75" s="88"/>
      <c r="CCS75" s="88"/>
      <c r="CCT75" s="88"/>
      <c r="CCU75" s="88"/>
      <c r="CCV75" s="88"/>
      <c r="CCW75" s="88"/>
      <c r="CCX75" s="88"/>
      <c r="CCY75" s="88"/>
      <c r="CCZ75" s="88"/>
      <c r="CDA75" s="88"/>
      <c r="CDB75" s="88"/>
      <c r="CDC75" s="88"/>
      <c r="CDD75" s="88"/>
      <c r="CDE75" s="88"/>
      <c r="CDF75" s="88"/>
      <c r="CDG75" s="88"/>
      <c r="CDH75" s="88"/>
      <c r="CDI75" s="88"/>
      <c r="CDJ75" s="88"/>
      <c r="CDK75" s="88"/>
      <c r="CDL75" s="88"/>
      <c r="CDM75" s="88"/>
      <c r="CDN75" s="88"/>
      <c r="CDO75" s="88"/>
      <c r="CDP75" s="88"/>
      <c r="CDQ75" s="88"/>
      <c r="CDR75" s="88"/>
      <c r="CDS75" s="88"/>
      <c r="CDT75" s="88"/>
      <c r="CDU75" s="88"/>
      <c r="CDV75" s="88"/>
      <c r="CDW75" s="88"/>
      <c r="CDX75" s="88"/>
      <c r="CDY75" s="88"/>
      <c r="CDZ75" s="88"/>
      <c r="CEA75" s="88"/>
      <c r="CEB75" s="88"/>
      <c r="CEC75" s="88"/>
      <c r="CED75" s="88"/>
      <c r="CEE75" s="88"/>
      <c r="CEF75" s="88"/>
      <c r="CEG75" s="88"/>
      <c r="CEH75" s="88"/>
      <c r="CEI75" s="88"/>
      <c r="CEJ75" s="88"/>
      <c r="CEK75" s="88"/>
    </row>
    <row r="76" spans="1:2169" s="63" customFormat="1">
      <c r="A76" s="522" t="s">
        <v>12949</v>
      </c>
      <c r="B76" s="677" t="s">
        <v>12959</v>
      </c>
      <c r="C76" s="68" t="str">
        <f>IF('page 2'!$O$4="","",IF('page 2'!$O$4=Gestion!A76,1,0))</f>
        <v/>
      </c>
      <c r="D76" s="68" t="str">
        <f>IF('page 2'!$O$5="","",IF('page 2'!$O$5=Gestion!A76,1,0))</f>
        <v/>
      </c>
      <c r="E76" s="68" t="str">
        <f>IF('page 2'!$O$6="","",IF('page 2'!$O$6=Gestion!A76,1,0))</f>
        <v/>
      </c>
      <c r="F76" s="68" t="str">
        <f>IF('page 2'!$O$7="","",IF('page 2'!$O$7=Gestion!A76,1,0))</f>
        <v/>
      </c>
      <c r="G76" s="68" t="str">
        <f>IF('page 2'!$O$8="","",IF('page 2'!$O$8=Gestion!A76,1,0))</f>
        <v/>
      </c>
      <c r="H76" s="68" t="str">
        <f>IF('page 2'!$O$9="","",IF('page 2'!$O$9=Gestion!A76,1,0))</f>
        <v/>
      </c>
      <c r="I76" s="68" t="str">
        <f>IF('page 2'!$O$10="","",IF('page 2'!$O$10=Gestion!A76,1,0))</f>
        <v/>
      </c>
      <c r="J76" s="68" t="str">
        <f>IF('page 2'!$O$11="","",IF('page 2'!$O$11=Gestion!A76,1,0))</f>
        <v/>
      </c>
      <c r="K76" s="68" t="str">
        <f>IF('page 2'!$O$12="","",IF('page 2'!$O$12=Gestion!A76,1,0))</f>
        <v/>
      </c>
      <c r="L76" s="68" t="str">
        <f>IF('page 2'!$O$13="","",IF('page 2'!$O$13=Gestion!A76,1,0))</f>
        <v/>
      </c>
      <c r="M76" s="68" t="str">
        <f>IF('page 2'!$O$14="","",IF('page 2'!$O$14=Gestion!A76,1,0))</f>
        <v/>
      </c>
      <c r="N76" s="68" t="str">
        <f>IF('page 2'!$O$15="","",IF('page 2'!$O$15=Gestion!A76,1,0))</f>
        <v/>
      </c>
      <c r="O76" s="68" t="str">
        <f>IF('page 2'!$O$16="","",IF('page 2'!$O$16=Gestion!A76,1,0))</f>
        <v/>
      </c>
      <c r="P76" s="68" t="str">
        <f>IF('page 2'!$O$17="","",IF('page 2'!$O$17=Gestion!A76,1,0))</f>
        <v/>
      </c>
      <c r="Q76" s="68" t="str">
        <f>IF('page 2'!$O$18="","",IF('page 2'!$O$18=Gestion!A76,1,0))</f>
        <v/>
      </c>
      <c r="R76" s="68" t="str">
        <f>IF('page 2'!$O$19="","",IF('page 2'!$O$19=Gestion!A76,1,0))</f>
        <v/>
      </c>
      <c r="S76" s="68" t="str">
        <f>IF('page 2'!$O$20="","",IF('page 2'!$O$20=Gestion!A76,1,0))</f>
        <v/>
      </c>
      <c r="T76" s="68" t="str">
        <f>IF('page 2'!$O$25="","",IF('page 2'!$O$25=Gestion!A76,1,0))</f>
        <v/>
      </c>
      <c r="U76" s="68" t="str">
        <f>IF('page 2'!$O$26="","",IF('page 2'!$O$26=Gestion!A76,1,0))</f>
        <v/>
      </c>
      <c r="V76" s="68" t="str">
        <f>IF('page 2'!$O$27="","",IF('page 2'!$O$27=Gestion!A76,1,0))</f>
        <v/>
      </c>
      <c r="W76" s="722">
        <f t="shared" ref="W76" si="12">SUM(C76:V76)</f>
        <v>0</v>
      </c>
      <c r="X76" s="714"/>
      <c r="Y76" s="68"/>
      <c r="Z76" s="68"/>
      <c r="AA76" s="68"/>
      <c r="AB76" s="68"/>
      <c r="AC76" s="68"/>
      <c r="AD76" s="68"/>
      <c r="AP76" s="469"/>
      <c r="AQ76" s="469"/>
      <c r="AR76" s="469"/>
      <c r="AS76" s="576"/>
      <c r="AT76" s="576"/>
      <c r="AU76" s="576"/>
      <c r="AV76" s="576"/>
      <c r="AW76" s="602"/>
      <c r="AX76" s="602"/>
      <c r="AY76" s="576"/>
      <c r="AZ76" s="576"/>
      <c r="BA76" s="576"/>
      <c r="BB76" s="576"/>
      <c r="BC76" s="576"/>
      <c r="BD76" s="602"/>
      <c r="BE76" s="602"/>
      <c r="BF76" s="602"/>
      <c r="BG76" s="602"/>
      <c r="BH76" s="602"/>
      <c r="BI76" s="602"/>
      <c r="BJ76" s="602"/>
      <c r="BK76" s="602"/>
      <c r="BL76" s="602"/>
      <c r="BM76" s="602"/>
      <c r="BN76" s="602"/>
      <c r="BO76" s="602"/>
      <c r="BP76" s="602"/>
      <c r="BQ76" s="602"/>
      <c r="BR76" s="602"/>
      <c r="BS76" s="576"/>
      <c r="BT76" s="576"/>
      <c r="BU76" s="576"/>
      <c r="BV76" s="576"/>
      <c r="BW76" s="602"/>
      <c r="BX76" s="602"/>
      <c r="BY76" s="602"/>
      <c r="BZ76" s="576"/>
      <c r="CA76" s="602"/>
      <c r="CB76" s="602"/>
      <c r="CC76" s="576"/>
      <c r="CD76" s="576"/>
      <c r="CE76" s="602"/>
      <c r="CF76" s="576"/>
      <c r="CG76" s="576"/>
      <c r="CH76" s="576"/>
      <c r="CI76" s="576"/>
      <c r="CJ76" s="576"/>
      <c r="CK76" s="602"/>
      <c r="CL76" s="602"/>
      <c r="CM76" s="576"/>
      <c r="CN76" s="602"/>
      <c r="CO76" s="602"/>
      <c r="CP76" s="602"/>
      <c r="CQ76" s="576"/>
      <c r="CR76" s="576"/>
      <c r="CS76" s="602"/>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c r="HF76" s="88"/>
      <c r="HG76" s="88"/>
      <c r="HH76" s="88"/>
      <c r="HI76" s="88"/>
      <c r="HJ76" s="88"/>
      <c r="HK76" s="88"/>
      <c r="HL76" s="88"/>
      <c r="HM76" s="88"/>
      <c r="HN76" s="88"/>
      <c r="HO76" s="88"/>
      <c r="HP76" s="88"/>
      <c r="HQ76" s="88"/>
      <c r="HR76" s="88"/>
      <c r="HS76" s="88"/>
      <c r="HT76" s="88"/>
      <c r="HU76" s="88"/>
      <c r="HV76" s="88"/>
      <c r="HW76" s="88"/>
      <c r="HX76" s="88"/>
      <c r="HY76" s="88"/>
      <c r="HZ76" s="88"/>
      <c r="IA76" s="88"/>
      <c r="IB76" s="88"/>
      <c r="IC76" s="88"/>
      <c r="ID76" s="88"/>
      <c r="IE76" s="88"/>
      <c r="IF76" s="88"/>
      <c r="IG76" s="88"/>
      <c r="IH76" s="88"/>
      <c r="II76" s="88"/>
      <c r="IJ76" s="88"/>
      <c r="IK76" s="88"/>
      <c r="IL76" s="88"/>
      <c r="IM76" s="88"/>
      <c r="IN76" s="88"/>
      <c r="IO76" s="88"/>
      <c r="IP76" s="88"/>
      <c r="IQ76" s="88"/>
      <c r="IR76" s="88"/>
      <c r="IS76" s="88"/>
      <c r="IT76" s="88"/>
      <c r="IU76" s="88"/>
      <c r="IV76" s="88"/>
      <c r="IW76" s="88"/>
      <c r="IX76" s="88"/>
      <c r="IY76" s="88"/>
      <c r="IZ76" s="88"/>
      <c r="JA76" s="88"/>
      <c r="JB76" s="88"/>
      <c r="JC76" s="88"/>
      <c r="JD76" s="88"/>
      <c r="JE76" s="88"/>
      <c r="JF76" s="88"/>
      <c r="JG76" s="88"/>
      <c r="JH76" s="88"/>
      <c r="JI76" s="88"/>
      <c r="JJ76" s="88"/>
      <c r="JK76" s="88"/>
      <c r="JL76" s="88"/>
      <c r="JM76" s="88"/>
      <c r="JN76" s="88"/>
      <c r="JO76" s="88"/>
      <c r="JP76" s="88"/>
      <c r="JQ76" s="88"/>
      <c r="JR76" s="88"/>
      <c r="JS76" s="88"/>
      <c r="JT76" s="88"/>
      <c r="JU76" s="88"/>
      <c r="JV76" s="88"/>
      <c r="JW76" s="88"/>
      <c r="JX76" s="88"/>
      <c r="JY76" s="88"/>
      <c r="JZ76" s="88"/>
      <c r="KA76" s="88"/>
      <c r="KB76" s="88"/>
      <c r="KC76" s="88"/>
      <c r="KD76" s="88"/>
      <c r="KE76" s="88"/>
      <c r="KF76" s="88"/>
      <c r="KG76" s="88"/>
      <c r="KH76" s="88"/>
      <c r="KI76" s="88"/>
      <c r="KJ76" s="88"/>
      <c r="KK76" s="88"/>
      <c r="KL76" s="88"/>
      <c r="KM76" s="88"/>
      <c r="KN76" s="88"/>
      <c r="KO76" s="88"/>
      <c r="KP76" s="88"/>
      <c r="KQ76" s="88"/>
      <c r="KR76" s="88"/>
      <c r="KS76" s="88"/>
      <c r="KT76" s="88"/>
      <c r="KU76" s="88"/>
      <c r="KV76" s="88"/>
      <c r="KW76" s="88"/>
      <c r="KX76" s="88"/>
      <c r="KY76" s="88"/>
      <c r="KZ76" s="88"/>
      <c r="LA76" s="88"/>
      <c r="LB76" s="88"/>
      <c r="LC76" s="88"/>
      <c r="LD76" s="88"/>
      <c r="LE76" s="88"/>
      <c r="LF76" s="88"/>
      <c r="LG76" s="88"/>
      <c r="LH76" s="88"/>
      <c r="LI76" s="88"/>
      <c r="LJ76" s="88"/>
      <c r="LK76" s="88"/>
      <c r="LL76" s="88"/>
      <c r="LM76" s="88"/>
      <c r="LN76" s="88"/>
      <c r="LO76" s="88"/>
      <c r="LP76" s="88"/>
      <c r="LQ76" s="88"/>
      <c r="LR76" s="88"/>
      <c r="LS76" s="88"/>
      <c r="LT76" s="88"/>
      <c r="LU76" s="88"/>
      <c r="LV76" s="88"/>
      <c r="LW76" s="88"/>
      <c r="LX76" s="88"/>
      <c r="LY76" s="88"/>
      <c r="LZ76" s="88"/>
      <c r="MA76" s="88"/>
      <c r="MB76" s="88"/>
      <c r="MC76" s="88"/>
      <c r="MD76" s="88"/>
      <c r="ME76" s="88"/>
      <c r="MF76" s="88"/>
      <c r="MG76" s="88"/>
      <c r="MH76" s="88"/>
      <c r="MI76" s="88"/>
      <c r="MJ76" s="88"/>
      <c r="MK76" s="88"/>
      <c r="ML76" s="88"/>
      <c r="MM76" s="88"/>
      <c r="MN76" s="88"/>
      <c r="MO76" s="88"/>
      <c r="MP76" s="88"/>
      <c r="MQ76" s="88"/>
      <c r="MR76" s="88"/>
      <c r="MS76" s="88"/>
      <c r="MT76" s="88"/>
      <c r="MU76" s="88"/>
      <c r="MV76" s="88"/>
      <c r="MW76" s="88"/>
      <c r="MX76" s="88"/>
      <c r="MY76" s="88"/>
      <c r="MZ76" s="88"/>
      <c r="NA76" s="88"/>
      <c r="NB76" s="88"/>
      <c r="NC76" s="88"/>
      <c r="ND76" s="88"/>
      <c r="NE76" s="88"/>
      <c r="NF76" s="88"/>
      <c r="NG76" s="88"/>
      <c r="NH76" s="88"/>
      <c r="NI76" s="88"/>
      <c r="NJ76" s="88"/>
      <c r="NK76" s="88"/>
      <c r="NL76" s="88"/>
      <c r="NM76" s="88"/>
      <c r="NN76" s="88"/>
      <c r="NO76" s="88"/>
      <c r="NP76" s="88"/>
      <c r="NQ76" s="88"/>
      <c r="NR76" s="88"/>
      <c r="NS76" s="88"/>
      <c r="NT76" s="88"/>
      <c r="NU76" s="88"/>
      <c r="NV76" s="88"/>
      <c r="NW76" s="88"/>
      <c r="NX76" s="88"/>
      <c r="NY76" s="88"/>
      <c r="NZ76" s="88"/>
      <c r="OA76" s="88"/>
      <c r="OB76" s="88"/>
      <c r="OC76" s="88"/>
      <c r="OD76" s="88"/>
      <c r="OE76" s="88"/>
      <c r="OF76" s="88"/>
      <c r="OG76" s="88"/>
      <c r="OH76" s="88"/>
      <c r="OI76" s="88"/>
      <c r="OJ76" s="88"/>
      <c r="OK76" s="88"/>
      <c r="OL76" s="88"/>
      <c r="OM76" s="88"/>
      <c r="ON76" s="88"/>
      <c r="OO76" s="88"/>
      <c r="OP76" s="88"/>
      <c r="OQ76" s="88"/>
      <c r="OR76" s="88"/>
      <c r="OS76" s="88"/>
      <c r="OT76" s="88"/>
      <c r="OU76" s="88"/>
      <c r="OV76" s="88"/>
      <c r="OW76" s="88"/>
      <c r="OX76" s="88"/>
      <c r="OY76" s="88"/>
      <c r="OZ76" s="88"/>
      <c r="PA76" s="88"/>
      <c r="PB76" s="88"/>
      <c r="PC76" s="88"/>
      <c r="PD76" s="88"/>
      <c r="PE76" s="88"/>
      <c r="PF76" s="88"/>
      <c r="PG76" s="88"/>
      <c r="PH76" s="88"/>
      <c r="PI76" s="88"/>
      <c r="PJ76" s="88"/>
      <c r="PK76" s="88"/>
      <c r="PL76" s="88"/>
      <c r="PM76" s="88"/>
      <c r="PN76" s="88"/>
      <c r="PO76" s="88"/>
      <c r="PP76" s="88"/>
      <c r="PQ76" s="88"/>
      <c r="PR76" s="88"/>
      <c r="PS76" s="88"/>
      <c r="PT76" s="88"/>
      <c r="PU76" s="88"/>
      <c r="PV76" s="88"/>
      <c r="PW76" s="88"/>
      <c r="PX76" s="88"/>
      <c r="PY76" s="88"/>
      <c r="PZ76" s="88"/>
      <c r="QA76" s="88"/>
      <c r="QB76" s="88"/>
      <c r="QC76" s="88"/>
      <c r="QD76" s="88"/>
      <c r="QE76" s="88"/>
      <c r="QF76" s="88"/>
      <c r="QG76" s="88"/>
      <c r="QH76" s="88"/>
      <c r="QI76" s="88"/>
      <c r="QJ76" s="88"/>
      <c r="QK76" s="88"/>
      <c r="QL76" s="88"/>
      <c r="QM76" s="88"/>
      <c r="QN76" s="88"/>
      <c r="QO76" s="88"/>
      <c r="QP76" s="88"/>
      <c r="QQ76" s="88"/>
      <c r="QR76" s="88"/>
      <c r="QS76" s="88"/>
      <c r="QT76" s="88"/>
      <c r="QU76" s="88"/>
      <c r="QV76" s="88"/>
      <c r="QW76" s="88"/>
      <c r="QX76" s="88"/>
      <c r="QY76" s="88"/>
      <c r="QZ76" s="88"/>
      <c r="RA76" s="88"/>
      <c r="RB76" s="88"/>
      <c r="RC76" s="88"/>
      <c r="RD76" s="88"/>
      <c r="RE76" s="88"/>
      <c r="RF76" s="88"/>
      <c r="RG76" s="88"/>
      <c r="RH76" s="88"/>
      <c r="RI76" s="88"/>
      <c r="RJ76" s="88"/>
      <c r="RK76" s="88"/>
      <c r="RL76" s="88"/>
      <c r="RM76" s="88"/>
      <c r="RN76" s="88"/>
      <c r="RO76" s="88"/>
      <c r="RP76" s="88"/>
      <c r="RQ76" s="88"/>
      <c r="RR76" s="88"/>
      <c r="RS76" s="88"/>
      <c r="RT76" s="88"/>
      <c r="RU76" s="88"/>
      <c r="RV76" s="88"/>
      <c r="RW76" s="88"/>
      <c r="RX76" s="88"/>
      <c r="RY76" s="88"/>
      <c r="RZ76" s="88"/>
      <c r="SA76" s="88"/>
      <c r="SB76" s="88"/>
      <c r="SC76" s="88"/>
      <c r="SD76" s="88"/>
      <c r="SE76" s="88"/>
      <c r="SF76" s="88"/>
      <c r="SG76" s="88"/>
      <c r="SH76" s="88"/>
      <c r="SI76" s="88"/>
      <c r="SJ76" s="88"/>
      <c r="SK76" s="88"/>
      <c r="SL76" s="88"/>
      <c r="SM76" s="88"/>
      <c r="SN76" s="88"/>
      <c r="SO76" s="88"/>
      <c r="SP76" s="88"/>
      <c r="SQ76" s="88"/>
      <c r="SR76" s="88"/>
      <c r="SS76" s="88"/>
      <c r="ST76" s="88"/>
      <c r="SU76" s="88"/>
      <c r="SV76" s="88"/>
      <c r="SW76" s="88"/>
      <c r="SX76" s="88"/>
      <c r="SY76" s="88"/>
      <c r="SZ76" s="88"/>
      <c r="TA76" s="88"/>
      <c r="TB76" s="88"/>
      <c r="TC76" s="88"/>
      <c r="TD76" s="88"/>
      <c r="TE76" s="88"/>
      <c r="TF76" s="88"/>
      <c r="TG76" s="88"/>
      <c r="TH76" s="88"/>
      <c r="TI76" s="88"/>
      <c r="TJ76" s="88"/>
      <c r="TK76" s="88"/>
      <c r="TL76" s="88"/>
      <c r="TM76" s="88"/>
      <c r="TN76" s="88"/>
      <c r="TO76" s="88"/>
      <c r="TP76" s="88"/>
      <c r="TQ76" s="88"/>
      <c r="TR76" s="88"/>
      <c r="TS76" s="88"/>
      <c r="TT76" s="88"/>
      <c r="TU76" s="88"/>
      <c r="TV76" s="88"/>
      <c r="TW76" s="88"/>
      <c r="TX76" s="88"/>
      <c r="TY76" s="88"/>
      <c r="TZ76" s="88"/>
      <c r="UA76" s="88"/>
      <c r="UB76" s="88"/>
      <c r="UC76" s="88"/>
      <c r="UD76" s="88"/>
      <c r="UE76" s="88"/>
      <c r="UF76" s="88"/>
      <c r="UG76" s="88"/>
      <c r="UH76" s="88"/>
      <c r="UI76" s="88"/>
      <c r="UJ76" s="88"/>
      <c r="UK76" s="88"/>
      <c r="UL76" s="88"/>
      <c r="UM76" s="88"/>
      <c r="UN76" s="88"/>
      <c r="UO76" s="88"/>
      <c r="UP76" s="88"/>
      <c r="UQ76" s="88"/>
      <c r="UR76" s="88"/>
      <c r="US76" s="88"/>
      <c r="UT76" s="88"/>
      <c r="UU76" s="88"/>
      <c r="UV76" s="88"/>
      <c r="UW76" s="88"/>
      <c r="UX76" s="88"/>
      <c r="UY76" s="88"/>
      <c r="UZ76" s="88"/>
      <c r="VA76" s="88"/>
      <c r="VB76" s="88"/>
      <c r="VC76" s="88"/>
      <c r="VD76" s="88"/>
      <c r="VE76" s="88"/>
      <c r="VF76" s="88"/>
      <c r="VG76" s="88"/>
      <c r="VH76" s="88"/>
      <c r="VI76" s="88"/>
      <c r="VJ76" s="88"/>
      <c r="VK76" s="88"/>
      <c r="VL76" s="88"/>
      <c r="VM76" s="88"/>
      <c r="VN76" s="88"/>
      <c r="VO76" s="88"/>
      <c r="VP76" s="88"/>
      <c r="VQ76" s="88"/>
      <c r="VR76" s="88"/>
      <c r="VS76" s="88"/>
      <c r="VT76" s="88"/>
      <c r="VU76" s="88"/>
      <c r="VV76" s="88"/>
      <c r="VW76" s="88"/>
      <c r="VX76" s="88"/>
      <c r="VY76" s="88"/>
      <c r="VZ76" s="88"/>
      <c r="WA76" s="88"/>
      <c r="WB76" s="88"/>
      <c r="WC76" s="88"/>
      <c r="WD76" s="88"/>
      <c r="WE76" s="88"/>
      <c r="WF76" s="88"/>
      <c r="WG76" s="88"/>
      <c r="WH76" s="88"/>
      <c r="WI76" s="88"/>
      <c r="WJ76" s="88"/>
      <c r="WK76" s="88"/>
      <c r="WL76" s="88"/>
      <c r="WM76" s="88"/>
      <c r="WN76" s="88"/>
      <c r="WO76" s="88"/>
      <c r="WP76" s="88"/>
      <c r="WQ76" s="88"/>
      <c r="WR76" s="88"/>
      <c r="WS76" s="88"/>
      <c r="WT76" s="88"/>
      <c r="WU76" s="88"/>
      <c r="WV76" s="88"/>
      <c r="WW76" s="88"/>
      <c r="WX76" s="88"/>
      <c r="WY76" s="88"/>
      <c r="WZ76" s="88"/>
      <c r="XA76" s="88"/>
      <c r="XB76" s="88"/>
      <c r="XC76" s="88"/>
      <c r="XD76" s="88"/>
      <c r="XE76" s="88"/>
      <c r="XF76" s="88"/>
      <c r="XG76" s="88"/>
      <c r="XH76" s="88"/>
      <c r="XI76" s="88"/>
      <c r="XJ76" s="88"/>
      <c r="XK76" s="88"/>
      <c r="XL76" s="88"/>
      <c r="XM76" s="88"/>
      <c r="XN76" s="88"/>
      <c r="XO76" s="88"/>
      <c r="XP76" s="88"/>
      <c r="XQ76" s="88"/>
      <c r="XR76" s="88"/>
      <c r="XS76" s="88"/>
      <c r="XT76" s="88"/>
      <c r="XU76" s="88"/>
      <c r="XV76" s="88"/>
      <c r="XW76" s="88"/>
      <c r="XX76" s="88"/>
      <c r="XY76" s="88"/>
      <c r="XZ76" s="88"/>
      <c r="YA76" s="88"/>
      <c r="YB76" s="88"/>
      <c r="YC76" s="88"/>
      <c r="YD76" s="88"/>
      <c r="YE76" s="88"/>
      <c r="YF76" s="88"/>
      <c r="YG76" s="88"/>
      <c r="YH76" s="88"/>
      <c r="YI76" s="88"/>
      <c r="YJ76" s="88"/>
      <c r="YK76" s="88"/>
      <c r="YL76" s="88"/>
      <c r="YM76" s="88"/>
      <c r="YN76" s="88"/>
      <c r="YO76" s="88"/>
      <c r="YP76" s="88"/>
      <c r="YQ76" s="88"/>
      <c r="YR76" s="88"/>
      <c r="YS76" s="88"/>
      <c r="YT76" s="88"/>
      <c r="YU76" s="88"/>
      <c r="YV76" s="88"/>
      <c r="YW76" s="88"/>
      <c r="YX76" s="88"/>
      <c r="YY76" s="88"/>
      <c r="YZ76" s="88"/>
      <c r="ZA76" s="88"/>
      <c r="ZB76" s="88"/>
      <c r="ZC76" s="88"/>
      <c r="ZD76" s="88"/>
      <c r="ZE76" s="88"/>
      <c r="ZF76" s="88"/>
      <c r="ZG76" s="88"/>
      <c r="ZH76" s="88"/>
      <c r="ZI76" s="88"/>
      <c r="ZJ76" s="88"/>
      <c r="ZK76" s="88"/>
      <c r="ZL76" s="88"/>
      <c r="ZM76" s="88"/>
      <c r="ZN76" s="88"/>
      <c r="ZO76" s="88"/>
      <c r="ZP76" s="88"/>
      <c r="ZQ76" s="88"/>
      <c r="ZR76" s="88"/>
      <c r="ZS76" s="88"/>
      <c r="ZT76" s="88"/>
      <c r="ZU76" s="88"/>
      <c r="ZV76" s="88"/>
      <c r="ZW76" s="88"/>
      <c r="ZX76" s="88"/>
      <c r="ZY76" s="88"/>
      <c r="ZZ76" s="88"/>
      <c r="AAA76" s="88"/>
      <c r="AAB76" s="88"/>
      <c r="AAC76" s="88"/>
      <c r="AAD76" s="88"/>
      <c r="AAE76" s="88"/>
      <c r="AAF76" s="88"/>
      <c r="AAG76" s="88"/>
      <c r="AAH76" s="88"/>
      <c r="AAI76" s="88"/>
      <c r="AAJ76" s="88"/>
      <c r="AAK76" s="88"/>
      <c r="AAL76" s="88"/>
      <c r="AAM76" s="88"/>
      <c r="AAN76" s="88"/>
      <c r="AAO76" s="88"/>
      <c r="AAP76" s="88"/>
      <c r="AAQ76" s="88"/>
      <c r="AAR76" s="88"/>
      <c r="AAS76" s="88"/>
      <c r="AAT76" s="88"/>
      <c r="AAU76" s="88"/>
      <c r="AAV76" s="88"/>
      <c r="AAW76" s="88"/>
      <c r="AAX76" s="88"/>
      <c r="AAY76" s="88"/>
      <c r="AAZ76" s="88"/>
      <c r="ABA76" s="88"/>
      <c r="ABB76" s="88"/>
      <c r="ABC76" s="88"/>
      <c r="ABD76" s="88"/>
      <c r="ABE76" s="88"/>
      <c r="ABF76" s="88"/>
      <c r="ABG76" s="88"/>
      <c r="ABH76" s="88"/>
      <c r="ABI76" s="88"/>
      <c r="ABJ76" s="88"/>
      <c r="ABK76" s="88"/>
      <c r="ABL76" s="88"/>
      <c r="ABM76" s="88"/>
      <c r="ABN76" s="88"/>
      <c r="ABO76" s="88"/>
      <c r="ABP76" s="88"/>
      <c r="ABQ76" s="88"/>
      <c r="ABR76" s="88"/>
      <c r="ABS76" s="88"/>
      <c r="ABT76" s="88"/>
      <c r="ABU76" s="88"/>
      <c r="ABV76" s="88"/>
      <c r="ABW76" s="88"/>
      <c r="ABX76" s="88"/>
      <c r="ABY76" s="88"/>
      <c r="ABZ76" s="88"/>
      <c r="ACA76" s="88"/>
      <c r="ACB76" s="88"/>
      <c r="ACC76" s="88"/>
      <c r="ACD76" s="88"/>
      <c r="ACE76" s="88"/>
      <c r="ACF76" s="88"/>
      <c r="ACG76" s="88"/>
      <c r="ACH76" s="88"/>
      <c r="ACI76" s="88"/>
      <c r="ACJ76" s="88"/>
      <c r="ACK76" s="88"/>
      <c r="ACL76" s="88"/>
      <c r="ACM76" s="88"/>
      <c r="ACN76" s="88"/>
      <c r="ACO76" s="88"/>
      <c r="ACP76" s="88"/>
      <c r="ACQ76" s="88"/>
      <c r="ACR76" s="88"/>
      <c r="ACS76" s="88"/>
      <c r="ACT76" s="88"/>
      <c r="ACU76" s="88"/>
      <c r="ACV76" s="88"/>
      <c r="ACW76" s="88"/>
      <c r="ACX76" s="88"/>
      <c r="ACY76" s="88"/>
      <c r="ACZ76" s="88"/>
      <c r="ADA76" s="88"/>
      <c r="ADB76" s="88"/>
      <c r="ADC76" s="88"/>
      <c r="ADD76" s="88"/>
      <c r="ADE76" s="88"/>
      <c r="ADF76" s="88"/>
      <c r="ADG76" s="88"/>
      <c r="ADH76" s="88"/>
      <c r="ADI76" s="88"/>
      <c r="ADJ76" s="88"/>
      <c r="ADK76" s="88"/>
      <c r="ADL76" s="88"/>
      <c r="ADM76" s="88"/>
      <c r="ADN76" s="88"/>
      <c r="ADO76" s="88"/>
      <c r="ADP76" s="88"/>
      <c r="ADQ76" s="88"/>
      <c r="ADR76" s="88"/>
      <c r="ADS76" s="88"/>
      <c r="ADT76" s="88"/>
      <c r="ADU76" s="88"/>
      <c r="ADV76" s="88"/>
      <c r="ADW76" s="88"/>
      <c r="ADX76" s="88"/>
      <c r="ADY76" s="88"/>
      <c r="ADZ76" s="88"/>
      <c r="AEA76" s="88"/>
      <c r="AEB76" s="88"/>
      <c r="AEC76" s="88"/>
      <c r="AED76" s="88"/>
      <c r="AEE76" s="88"/>
      <c r="AEF76" s="88"/>
      <c r="AEG76" s="88"/>
      <c r="AEH76" s="88"/>
      <c r="AEI76" s="88"/>
      <c r="AEJ76" s="88"/>
      <c r="AEK76" s="88"/>
      <c r="AEL76" s="88"/>
      <c r="AEM76" s="88"/>
      <c r="AEN76" s="88"/>
      <c r="AEO76" s="88"/>
      <c r="AEP76" s="88"/>
      <c r="AEQ76" s="88"/>
      <c r="AER76" s="88"/>
      <c r="AES76" s="88"/>
      <c r="AET76" s="88"/>
      <c r="AEU76" s="88"/>
      <c r="AEV76" s="88"/>
      <c r="AEW76" s="88"/>
      <c r="AEX76" s="88"/>
      <c r="AEY76" s="88"/>
      <c r="AEZ76" s="88"/>
      <c r="AFA76" s="88"/>
      <c r="AFB76" s="88"/>
      <c r="AFC76" s="88"/>
      <c r="AFD76" s="88"/>
      <c r="AFE76" s="88"/>
      <c r="AFF76" s="88"/>
      <c r="AFG76" s="88"/>
      <c r="AFH76" s="88"/>
      <c r="AFI76" s="88"/>
      <c r="AFJ76" s="88"/>
      <c r="AFK76" s="88"/>
      <c r="AFL76" s="88"/>
      <c r="AFM76" s="88"/>
      <c r="AFN76" s="88"/>
      <c r="AFO76" s="88"/>
      <c r="AFP76" s="88"/>
      <c r="AFQ76" s="88"/>
      <c r="AFR76" s="88"/>
      <c r="AFS76" s="88"/>
      <c r="AFT76" s="88"/>
      <c r="AFU76" s="88"/>
      <c r="AFV76" s="88"/>
      <c r="AFW76" s="88"/>
      <c r="AFX76" s="88"/>
      <c r="AFY76" s="88"/>
      <c r="AFZ76" s="88"/>
      <c r="AGA76" s="88"/>
      <c r="AGB76" s="88"/>
      <c r="AGC76" s="88"/>
      <c r="AGD76" s="88"/>
      <c r="AGE76" s="88"/>
      <c r="AGF76" s="88"/>
      <c r="AGG76" s="88"/>
      <c r="AGH76" s="88"/>
      <c r="AGI76" s="88"/>
      <c r="AGJ76" s="88"/>
      <c r="AGK76" s="88"/>
      <c r="AGL76" s="88"/>
      <c r="AGM76" s="88"/>
      <c r="AGN76" s="88"/>
      <c r="AGO76" s="88"/>
      <c r="AGP76" s="88"/>
      <c r="AGQ76" s="88"/>
      <c r="AGR76" s="88"/>
      <c r="AGS76" s="88"/>
      <c r="AGT76" s="88"/>
      <c r="AGU76" s="88"/>
      <c r="AGV76" s="88"/>
      <c r="AGW76" s="88"/>
      <c r="AGX76" s="88"/>
      <c r="AGY76" s="88"/>
      <c r="AGZ76" s="88"/>
      <c r="AHA76" s="88"/>
      <c r="AHB76" s="88"/>
      <c r="AHC76" s="88"/>
      <c r="AHD76" s="88"/>
      <c r="AHE76" s="88"/>
      <c r="AHF76" s="88"/>
      <c r="AHG76" s="88"/>
      <c r="AHH76" s="88"/>
      <c r="AHI76" s="88"/>
      <c r="AHJ76" s="88"/>
      <c r="AHK76" s="88"/>
      <c r="AHL76" s="88"/>
      <c r="AHM76" s="88"/>
      <c r="AHN76" s="88"/>
      <c r="AHO76" s="88"/>
      <c r="AHP76" s="88"/>
      <c r="AHQ76" s="88"/>
      <c r="AHR76" s="88"/>
      <c r="AHS76" s="88"/>
      <c r="AHT76" s="88"/>
      <c r="AHU76" s="88"/>
      <c r="AHV76" s="88"/>
      <c r="AHW76" s="88"/>
      <c r="AHX76" s="88"/>
      <c r="AHY76" s="88"/>
      <c r="AHZ76" s="88"/>
      <c r="AIA76" s="88"/>
      <c r="AIB76" s="88"/>
      <c r="AIC76" s="88"/>
      <c r="AID76" s="88"/>
      <c r="AIE76" s="88"/>
      <c r="AIF76" s="88"/>
      <c r="AIG76" s="88"/>
      <c r="AIH76" s="88"/>
      <c r="AII76" s="88"/>
      <c r="AIJ76" s="88"/>
      <c r="AIK76" s="88"/>
      <c r="AIL76" s="88"/>
      <c r="AIM76" s="88"/>
      <c r="AIN76" s="88"/>
      <c r="AIO76" s="88"/>
      <c r="AIP76" s="88"/>
      <c r="AIQ76" s="88"/>
      <c r="AIR76" s="88"/>
      <c r="AIS76" s="88"/>
      <c r="AIT76" s="88"/>
      <c r="AIU76" s="88"/>
      <c r="AIV76" s="88"/>
      <c r="AIW76" s="88"/>
      <c r="AIX76" s="88"/>
      <c r="AIY76" s="88"/>
      <c r="AIZ76" s="88"/>
      <c r="AJA76" s="88"/>
      <c r="AJB76" s="88"/>
      <c r="AJC76" s="88"/>
      <c r="AJD76" s="88"/>
      <c r="AJE76" s="88"/>
      <c r="AJF76" s="88"/>
      <c r="AJG76" s="88"/>
      <c r="AJH76" s="88"/>
      <c r="AJI76" s="88"/>
      <c r="AJJ76" s="88"/>
      <c r="AJK76" s="88"/>
      <c r="AJL76" s="88"/>
      <c r="AJM76" s="88"/>
      <c r="AJN76" s="88"/>
      <c r="AJO76" s="88"/>
      <c r="AJP76" s="88"/>
      <c r="AJQ76" s="88"/>
      <c r="AJR76" s="88"/>
      <c r="AJS76" s="88"/>
      <c r="AJT76" s="88"/>
      <c r="AJU76" s="88"/>
      <c r="AJV76" s="88"/>
      <c r="AJW76" s="88"/>
      <c r="AJX76" s="88"/>
      <c r="AJY76" s="88"/>
      <c r="AJZ76" s="88"/>
      <c r="AKA76" s="88"/>
      <c r="AKB76" s="88"/>
      <c r="AKC76" s="88"/>
      <c r="AKD76" s="88"/>
      <c r="AKE76" s="88"/>
      <c r="AKF76" s="88"/>
      <c r="AKG76" s="88"/>
      <c r="AKH76" s="88"/>
      <c r="AKI76" s="88"/>
      <c r="AKJ76" s="88"/>
      <c r="AKK76" s="88"/>
      <c r="AKL76" s="88"/>
      <c r="AKM76" s="88"/>
      <c r="AKN76" s="88"/>
      <c r="AKO76" s="88"/>
      <c r="AKP76" s="88"/>
      <c r="AKQ76" s="88"/>
      <c r="AKR76" s="88"/>
      <c r="AKS76" s="88"/>
      <c r="AKT76" s="88"/>
      <c r="AKU76" s="88"/>
      <c r="AKV76" s="88"/>
      <c r="AKW76" s="88"/>
      <c r="AKX76" s="88"/>
      <c r="AKY76" s="88"/>
      <c r="AKZ76" s="88"/>
      <c r="ALA76" s="88"/>
      <c r="ALB76" s="88"/>
      <c r="ALC76" s="88"/>
      <c r="ALD76" s="88"/>
      <c r="ALE76" s="88"/>
      <c r="ALF76" s="88"/>
      <c r="ALG76" s="88"/>
      <c r="ALH76" s="88"/>
      <c r="ALI76" s="88"/>
      <c r="ALJ76" s="88"/>
      <c r="ALK76" s="88"/>
      <c r="ALL76" s="88"/>
      <c r="ALM76" s="88"/>
      <c r="ALN76" s="88"/>
      <c r="ALO76" s="88"/>
      <c r="ALP76" s="88"/>
      <c r="ALQ76" s="88"/>
      <c r="ALR76" s="88"/>
      <c r="ALS76" s="88"/>
      <c r="ALT76" s="88"/>
      <c r="ALU76" s="88"/>
      <c r="ALV76" s="88"/>
      <c r="ALW76" s="88"/>
      <c r="ALX76" s="88"/>
      <c r="ALY76" s="88"/>
      <c r="ALZ76" s="88"/>
      <c r="AMA76" s="88"/>
      <c r="AMB76" s="88"/>
      <c r="AMC76" s="88"/>
      <c r="AMD76" s="88"/>
      <c r="AME76" s="88"/>
      <c r="AMF76" s="88"/>
      <c r="AMG76" s="88"/>
      <c r="AMH76" s="88"/>
      <c r="AMI76" s="88"/>
      <c r="AMJ76" s="88"/>
      <c r="AMK76" s="88"/>
      <c r="AML76" s="88"/>
      <c r="AMM76" s="88"/>
      <c r="AMN76" s="88"/>
      <c r="AMO76" s="88"/>
      <c r="AMP76" s="88"/>
      <c r="AMQ76" s="88"/>
      <c r="AMR76" s="88"/>
      <c r="AMS76" s="88"/>
      <c r="AMT76" s="88"/>
      <c r="AMU76" s="88"/>
      <c r="AMV76" s="88"/>
      <c r="AMW76" s="88"/>
      <c r="AMX76" s="88"/>
      <c r="AMY76" s="88"/>
      <c r="AMZ76" s="88"/>
      <c r="ANA76" s="88"/>
      <c r="ANB76" s="88"/>
      <c r="ANC76" s="88"/>
      <c r="AND76" s="88"/>
      <c r="ANE76" s="88"/>
      <c r="ANF76" s="88"/>
      <c r="ANG76" s="88"/>
      <c r="ANH76" s="88"/>
      <c r="ANI76" s="88"/>
      <c r="ANJ76" s="88"/>
      <c r="ANK76" s="88"/>
      <c r="ANL76" s="88"/>
      <c r="ANM76" s="88"/>
      <c r="ANN76" s="88"/>
      <c r="ANO76" s="88"/>
      <c r="ANP76" s="88"/>
      <c r="ANQ76" s="88"/>
      <c r="ANR76" s="88"/>
      <c r="ANS76" s="88"/>
      <c r="ANT76" s="88"/>
      <c r="ANU76" s="88"/>
      <c r="ANV76" s="88"/>
      <c r="ANW76" s="88"/>
      <c r="ANX76" s="88"/>
      <c r="ANY76" s="88"/>
      <c r="ANZ76" s="88"/>
      <c r="AOA76" s="88"/>
      <c r="AOB76" s="88"/>
      <c r="AOC76" s="88"/>
      <c r="AOD76" s="88"/>
      <c r="AOE76" s="88"/>
      <c r="AOF76" s="88"/>
      <c r="AOG76" s="88"/>
      <c r="AOH76" s="88"/>
      <c r="AOI76" s="88"/>
      <c r="AOJ76" s="88"/>
      <c r="AOK76" s="88"/>
      <c r="AOL76" s="88"/>
      <c r="AOM76" s="88"/>
      <c r="AON76" s="88"/>
      <c r="AOO76" s="88"/>
      <c r="AOP76" s="88"/>
      <c r="AOQ76" s="88"/>
      <c r="AOR76" s="88"/>
      <c r="AOS76" s="88"/>
      <c r="AOT76" s="88"/>
      <c r="AOU76" s="88"/>
      <c r="AOV76" s="88"/>
      <c r="AOW76" s="88"/>
      <c r="AOX76" s="88"/>
      <c r="AOY76" s="88"/>
      <c r="AOZ76" s="88"/>
      <c r="APA76" s="88"/>
      <c r="APB76" s="88"/>
      <c r="APC76" s="88"/>
      <c r="APD76" s="88"/>
      <c r="APE76" s="88"/>
      <c r="APF76" s="88"/>
      <c r="APG76" s="88"/>
      <c r="APH76" s="88"/>
      <c r="API76" s="88"/>
      <c r="APJ76" s="88"/>
      <c r="APK76" s="88"/>
      <c r="APL76" s="88"/>
      <c r="APM76" s="88"/>
      <c r="APN76" s="88"/>
      <c r="APO76" s="88"/>
      <c r="APP76" s="88"/>
      <c r="APQ76" s="88"/>
      <c r="APR76" s="88"/>
      <c r="APS76" s="88"/>
      <c r="APT76" s="88"/>
      <c r="APU76" s="88"/>
      <c r="APV76" s="88"/>
      <c r="APW76" s="88"/>
      <c r="APX76" s="88"/>
      <c r="APY76" s="88"/>
      <c r="APZ76" s="88"/>
      <c r="AQA76" s="88"/>
      <c r="AQB76" s="88"/>
      <c r="AQC76" s="88"/>
      <c r="AQD76" s="88"/>
      <c r="AQE76" s="88"/>
      <c r="AQF76" s="88"/>
      <c r="AQG76" s="88"/>
      <c r="AQH76" s="88"/>
      <c r="AQI76" s="88"/>
      <c r="AQJ76" s="88"/>
      <c r="AQK76" s="88"/>
      <c r="AQL76" s="88"/>
      <c r="AQM76" s="88"/>
      <c r="AQN76" s="88"/>
      <c r="AQO76" s="88"/>
      <c r="AQP76" s="88"/>
      <c r="AQQ76" s="88"/>
      <c r="AQR76" s="88"/>
      <c r="AQS76" s="88"/>
      <c r="AQT76" s="88"/>
      <c r="AQU76" s="88"/>
      <c r="AQV76" s="88"/>
      <c r="AQW76" s="88"/>
      <c r="AQX76" s="88"/>
      <c r="AQY76" s="88"/>
      <c r="AQZ76" s="88"/>
      <c r="ARA76" s="88"/>
      <c r="ARB76" s="88"/>
      <c r="ARC76" s="88"/>
      <c r="ARD76" s="88"/>
      <c r="ARE76" s="88"/>
      <c r="ARF76" s="88"/>
      <c r="ARG76" s="88"/>
      <c r="ARH76" s="88"/>
      <c r="ARI76" s="88"/>
      <c r="ARJ76" s="88"/>
      <c r="ARK76" s="88"/>
      <c r="ARL76" s="88"/>
      <c r="ARM76" s="88"/>
      <c r="ARN76" s="88"/>
      <c r="ARO76" s="88"/>
      <c r="ARP76" s="88"/>
      <c r="ARQ76" s="88"/>
      <c r="ARR76" s="88"/>
      <c r="ARS76" s="88"/>
      <c r="ART76" s="88"/>
      <c r="ARU76" s="88"/>
      <c r="ARV76" s="88"/>
      <c r="ARW76" s="88"/>
      <c r="ARX76" s="88"/>
      <c r="ARY76" s="88"/>
      <c r="ARZ76" s="88"/>
      <c r="ASA76" s="88"/>
      <c r="ASB76" s="88"/>
      <c r="ASC76" s="88"/>
      <c r="ASD76" s="88"/>
      <c r="ASE76" s="88"/>
      <c r="ASF76" s="88"/>
      <c r="ASG76" s="88"/>
      <c r="ASH76" s="88"/>
      <c r="ASI76" s="88"/>
      <c r="ASJ76" s="88"/>
      <c r="ASK76" s="88"/>
      <c r="ASL76" s="88"/>
      <c r="ASM76" s="88"/>
      <c r="ASN76" s="88"/>
      <c r="ASO76" s="88"/>
      <c r="ASP76" s="88"/>
      <c r="ASQ76" s="88"/>
      <c r="ASR76" s="88"/>
      <c r="ASS76" s="88"/>
      <c r="AST76" s="88"/>
      <c r="ASU76" s="88"/>
      <c r="ASV76" s="88"/>
      <c r="ASW76" s="88"/>
      <c r="ASX76" s="88"/>
      <c r="ASY76" s="88"/>
      <c r="ASZ76" s="88"/>
      <c r="ATA76" s="88"/>
      <c r="ATB76" s="88"/>
      <c r="ATC76" s="88"/>
      <c r="ATD76" s="88"/>
      <c r="ATE76" s="88"/>
      <c r="ATF76" s="88"/>
      <c r="ATG76" s="88"/>
      <c r="ATH76" s="88"/>
      <c r="ATI76" s="88"/>
      <c r="ATJ76" s="88"/>
      <c r="ATK76" s="88"/>
      <c r="ATL76" s="88"/>
      <c r="ATM76" s="88"/>
      <c r="ATN76" s="88"/>
      <c r="ATO76" s="88"/>
      <c r="ATP76" s="88"/>
      <c r="ATQ76" s="88"/>
      <c r="ATR76" s="88"/>
      <c r="ATS76" s="88"/>
      <c r="ATT76" s="88"/>
      <c r="ATU76" s="88"/>
      <c r="ATV76" s="88"/>
      <c r="ATW76" s="88"/>
      <c r="ATX76" s="88"/>
      <c r="ATY76" s="88"/>
      <c r="ATZ76" s="88"/>
      <c r="AUA76" s="88"/>
      <c r="AUB76" s="88"/>
      <c r="AUC76" s="88"/>
      <c r="AUD76" s="88"/>
      <c r="AUE76" s="88"/>
      <c r="AUF76" s="88"/>
      <c r="AUG76" s="88"/>
      <c r="AUH76" s="88"/>
      <c r="AUI76" s="88"/>
      <c r="AUJ76" s="88"/>
      <c r="AUK76" s="88"/>
      <c r="AUL76" s="88"/>
      <c r="AUM76" s="88"/>
      <c r="AUN76" s="88"/>
      <c r="AUO76" s="88"/>
      <c r="AUP76" s="88"/>
      <c r="AUQ76" s="88"/>
      <c r="AUR76" s="88"/>
      <c r="AUS76" s="88"/>
      <c r="AUT76" s="88"/>
      <c r="AUU76" s="88"/>
      <c r="AUV76" s="88"/>
      <c r="AUW76" s="88"/>
      <c r="AUX76" s="88"/>
      <c r="AUY76" s="88"/>
      <c r="AUZ76" s="88"/>
      <c r="AVA76" s="88"/>
      <c r="AVB76" s="88"/>
      <c r="AVC76" s="88"/>
      <c r="AVD76" s="88"/>
      <c r="AVE76" s="88"/>
      <c r="AVF76" s="88"/>
      <c r="AVG76" s="88"/>
      <c r="AVH76" s="88"/>
      <c r="AVI76" s="88"/>
      <c r="AVJ76" s="88"/>
      <c r="AVK76" s="88"/>
      <c r="AVL76" s="88"/>
      <c r="AVM76" s="88"/>
      <c r="AVN76" s="88"/>
      <c r="AVO76" s="88"/>
      <c r="AVP76" s="88"/>
      <c r="AVQ76" s="88"/>
      <c r="AVR76" s="88"/>
      <c r="AVS76" s="88"/>
      <c r="AVT76" s="88"/>
      <c r="AVU76" s="88"/>
      <c r="AVV76" s="88"/>
      <c r="AVW76" s="88"/>
      <c r="AVX76" s="88"/>
      <c r="AVY76" s="88"/>
      <c r="AVZ76" s="88"/>
      <c r="AWA76" s="88"/>
      <c r="AWB76" s="88"/>
      <c r="AWC76" s="88"/>
      <c r="AWD76" s="88"/>
      <c r="AWE76" s="88"/>
      <c r="AWF76" s="88"/>
      <c r="AWG76" s="88"/>
      <c r="AWH76" s="88"/>
      <c r="AWI76" s="88"/>
      <c r="AWJ76" s="88"/>
      <c r="AWK76" s="88"/>
      <c r="AWL76" s="88"/>
      <c r="AWM76" s="88"/>
      <c r="AWN76" s="88"/>
      <c r="AWO76" s="88"/>
      <c r="AWP76" s="88"/>
      <c r="AWQ76" s="88"/>
      <c r="AWR76" s="88"/>
      <c r="AWS76" s="88"/>
      <c r="AWT76" s="88"/>
      <c r="AWU76" s="88"/>
      <c r="AWV76" s="88"/>
      <c r="AWW76" s="88"/>
      <c r="AWX76" s="88"/>
      <c r="AWY76" s="88"/>
      <c r="AWZ76" s="88"/>
      <c r="AXA76" s="88"/>
      <c r="AXB76" s="88"/>
      <c r="AXC76" s="88"/>
      <c r="AXD76" s="88"/>
      <c r="AXE76" s="88"/>
      <c r="AXF76" s="88"/>
      <c r="AXG76" s="88"/>
      <c r="AXH76" s="88"/>
      <c r="AXI76" s="88"/>
      <c r="AXJ76" s="88"/>
      <c r="AXK76" s="88"/>
      <c r="AXL76" s="88"/>
      <c r="AXM76" s="88"/>
      <c r="AXN76" s="88"/>
      <c r="AXO76" s="88"/>
      <c r="AXP76" s="88"/>
      <c r="AXQ76" s="88"/>
      <c r="AXR76" s="88"/>
      <c r="AXS76" s="88"/>
      <c r="AXT76" s="88"/>
      <c r="AXU76" s="88"/>
      <c r="AXV76" s="88"/>
      <c r="AXW76" s="88"/>
      <c r="AXX76" s="88"/>
      <c r="AXY76" s="88"/>
      <c r="AXZ76" s="88"/>
      <c r="AYA76" s="88"/>
      <c r="AYB76" s="88"/>
      <c r="AYC76" s="88"/>
      <c r="AYD76" s="88"/>
      <c r="AYE76" s="88"/>
      <c r="AYF76" s="88"/>
      <c r="AYG76" s="88"/>
      <c r="AYH76" s="88"/>
      <c r="AYI76" s="88"/>
      <c r="AYJ76" s="88"/>
      <c r="AYK76" s="88"/>
      <c r="AYL76" s="88"/>
      <c r="AYM76" s="88"/>
      <c r="AYN76" s="88"/>
      <c r="AYO76" s="88"/>
      <c r="AYP76" s="88"/>
      <c r="AYQ76" s="88"/>
      <c r="AYR76" s="88"/>
      <c r="AYS76" s="88"/>
      <c r="AYT76" s="88"/>
      <c r="AYU76" s="88"/>
      <c r="AYV76" s="88"/>
      <c r="AYW76" s="88"/>
      <c r="AYX76" s="88"/>
      <c r="AYY76" s="88"/>
      <c r="AYZ76" s="88"/>
      <c r="AZA76" s="88"/>
      <c r="AZB76" s="88"/>
      <c r="AZC76" s="88"/>
      <c r="AZD76" s="88"/>
      <c r="AZE76" s="88"/>
      <c r="AZF76" s="88"/>
      <c r="AZG76" s="88"/>
      <c r="AZH76" s="88"/>
      <c r="AZI76" s="88"/>
      <c r="AZJ76" s="88"/>
      <c r="AZK76" s="88"/>
      <c r="AZL76" s="88"/>
      <c r="AZM76" s="88"/>
      <c r="AZN76" s="88"/>
      <c r="AZO76" s="88"/>
      <c r="AZP76" s="88"/>
      <c r="AZQ76" s="88"/>
      <c r="AZR76" s="88"/>
      <c r="AZS76" s="88"/>
      <c r="AZT76" s="88"/>
      <c r="AZU76" s="88"/>
      <c r="AZV76" s="88"/>
      <c r="AZW76" s="88"/>
      <c r="AZX76" s="88"/>
      <c r="AZY76" s="88"/>
      <c r="AZZ76" s="88"/>
      <c r="BAA76" s="88"/>
      <c r="BAB76" s="88"/>
      <c r="BAC76" s="88"/>
      <c r="BAD76" s="88"/>
      <c r="BAE76" s="88"/>
      <c r="BAF76" s="88"/>
      <c r="BAG76" s="88"/>
      <c r="BAH76" s="88"/>
      <c r="BAI76" s="88"/>
      <c r="BAJ76" s="88"/>
      <c r="BAK76" s="88"/>
      <c r="BAL76" s="88"/>
      <c r="BAM76" s="88"/>
      <c r="BAN76" s="88"/>
      <c r="BAO76" s="88"/>
      <c r="BAP76" s="88"/>
      <c r="BAQ76" s="88"/>
      <c r="BAR76" s="88"/>
      <c r="BAS76" s="88"/>
      <c r="BAT76" s="88"/>
      <c r="BAU76" s="88"/>
      <c r="BAV76" s="88"/>
      <c r="BAW76" s="88"/>
      <c r="BAX76" s="88"/>
      <c r="BAY76" s="88"/>
      <c r="BAZ76" s="88"/>
      <c r="BBA76" s="88"/>
      <c r="BBB76" s="88"/>
      <c r="BBC76" s="88"/>
      <c r="BBD76" s="88"/>
      <c r="BBE76" s="88"/>
      <c r="BBF76" s="88"/>
      <c r="BBG76" s="88"/>
      <c r="BBH76" s="88"/>
      <c r="BBI76" s="88"/>
      <c r="BBJ76" s="88"/>
      <c r="BBK76" s="88"/>
      <c r="BBL76" s="88"/>
      <c r="BBM76" s="88"/>
      <c r="BBN76" s="88"/>
      <c r="BBO76" s="88"/>
      <c r="BBP76" s="88"/>
      <c r="BBQ76" s="88"/>
      <c r="BBR76" s="88"/>
      <c r="BBS76" s="88"/>
      <c r="BBT76" s="88"/>
      <c r="BBU76" s="88"/>
      <c r="BBV76" s="88"/>
      <c r="BBW76" s="88"/>
      <c r="BBX76" s="88"/>
      <c r="BBY76" s="88"/>
      <c r="BBZ76" s="88"/>
      <c r="BCA76" s="88"/>
      <c r="BCB76" s="88"/>
      <c r="BCC76" s="88"/>
      <c r="BCD76" s="88"/>
      <c r="BCE76" s="88"/>
      <c r="BCF76" s="88"/>
      <c r="BCG76" s="88"/>
      <c r="BCH76" s="88"/>
      <c r="BCI76" s="88"/>
      <c r="BCJ76" s="88"/>
      <c r="BCK76" s="88"/>
      <c r="BCL76" s="88"/>
      <c r="BCM76" s="88"/>
      <c r="BCN76" s="88"/>
      <c r="BCO76" s="88"/>
      <c r="BCP76" s="88"/>
      <c r="BCQ76" s="88"/>
      <c r="BCR76" s="88"/>
      <c r="BCS76" s="88"/>
      <c r="BCT76" s="88"/>
      <c r="BCU76" s="88"/>
      <c r="BCV76" s="88"/>
      <c r="BCW76" s="88"/>
      <c r="BCX76" s="88"/>
      <c r="BCY76" s="88"/>
      <c r="BCZ76" s="88"/>
      <c r="BDA76" s="88"/>
      <c r="BDB76" s="88"/>
      <c r="BDC76" s="88"/>
      <c r="BDD76" s="88"/>
      <c r="BDE76" s="88"/>
      <c r="BDF76" s="88"/>
      <c r="BDG76" s="88"/>
      <c r="BDH76" s="88"/>
      <c r="BDI76" s="88"/>
      <c r="BDJ76" s="88"/>
      <c r="BDK76" s="88"/>
      <c r="BDL76" s="88"/>
      <c r="BDM76" s="88"/>
      <c r="BDN76" s="88"/>
      <c r="BDO76" s="88"/>
      <c r="BDP76" s="88"/>
      <c r="BDQ76" s="88"/>
      <c r="BDR76" s="88"/>
      <c r="BDS76" s="88"/>
      <c r="BDT76" s="88"/>
      <c r="BDU76" s="88"/>
      <c r="BDV76" s="88"/>
      <c r="BDW76" s="88"/>
      <c r="BDX76" s="88"/>
      <c r="BDY76" s="88"/>
      <c r="BDZ76" s="88"/>
      <c r="BEA76" s="88"/>
      <c r="BEB76" s="88"/>
      <c r="BEC76" s="88"/>
      <c r="BED76" s="88"/>
      <c r="BEE76" s="88"/>
      <c r="BEF76" s="88"/>
      <c r="BEG76" s="88"/>
      <c r="BEH76" s="88"/>
      <c r="BEI76" s="88"/>
      <c r="BEJ76" s="88"/>
      <c r="BEK76" s="88"/>
      <c r="BEL76" s="88"/>
      <c r="BEM76" s="88"/>
      <c r="BEN76" s="88"/>
      <c r="BEO76" s="88"/>
      <c r="BEP76" s="88"/>
      <c r="BEQ76" s="88"/>
      <c r="BER76" s="88"/>
      <c r="BES76" s="88"/>
      <c r="BET76" s="88"/>
      <c r="BEU76" s="88"/>
      <c r="BEV76" s="88"/>
      <c r="BEW76" s="88"/>
      <c r="BEX76" s="88"/>
      <c r="BEY76" s="88"/>
      <c r="BEZ76" s="88"/>
      <c r="BFA76" s="88"/>
      <c r="BFB76" s="88"/>
      <c r="BFC76" s="88"/>
      <c r="BFD76" s="88"/>
      <c r="BFE76" s="88"/>
      <c r="BFF76" s="88"/>
      <c r="BFG76" s="88"/>
      <c r="BFH76" s="88"/>
      <c r="BFI76" s="88"/>
      <c r="BFJ76" s="88"/>
      <c r="BFK76" s="88"/>
      <c r="BFL76" s="88"/>
      <c r="BFM76" s="88"/>
      <c r="BFN76" s="88"/>
      <c r="BFO76" s="88"/>
      <c r="BFP76" s="88"/>
      <c r="BFQ76" s="88"/>
      <c r="BFR76" s="88"/>
      <c r="BFS76" s="88"/>
      <c r="BFT76" s="88"/>
      <c r="BFU76" s="88"/>
      <c r="BFV76" s="88"/>
      <c r="BFW76" s="88"/>
      <c r="BFX76" s="88"/>
      <c r="BFY76" s="88"/>
      <c r="BFZ76" s="88"/>
      <c r="BGA76" s="88"/>
      <c r="BGB76" s="88"/>
      <c r="BGC76" s="88"/>
      <c r="BGD76" s="88"/>
      <c r="BGE76" s="88"/>
      <c r="BGF76" s="88"/>
      <c r="BGG76" s="88"/>
      <c r="BGH76" s="88"/>
      <c r="BGI76" s="88"/>
      <c r="BGJ76" s="88"/>
      <c r="BGK76" s="88"/>
      <c r="BGL76" s="88"/>
      <c r="BGM76" s="88"/>
      <c r="BGN76" s="88"/>
      <c r="BGO76" s="88"/>
      <c r="BGP76" s="88"/>
      <c r="BGQ76" s="88"/>
      <c r="BGR76" s="88"/>
      <c r="BGS76" s="88"/>
      <c r="BGT76" s="88"/>
      <c r="BGU76" s="88"/>
      <c r="BGV76" s="88"/>
      <c r="BGW76" s="88"/>
      <c r="BGX76" s="88"/>
      <c r="BGY76" s="88"/>
      <c r="BGZ76" s="88"/>
      <c r="BHA76" s="88"/>
      <c r="BHB76" s="88"/>
      <c r="BHC76" s="88"/>
      <c r="BHD76" s="88"/>
      <c r="BHE76" s="88"/>
      <c r="BHF76" s="88"/>
      <c r="BHG76" s="88"/>
      <c r="BHH76" s="88"/>
      <c r="BHI76" s="88"/>
      <c r="BHJ76" s="88"/>
      <c r="BHK76" s="88"/>
      <c r="BHL76" s="88"/>
      <c r="BHM76" s="88"/>
      <c r="BHN76" s="88"/>
      <c r="BHO76" s="88"/>
      <c r="BHP76" s="88"/>
      <c r="BHQ76" s="88"/>
      <c r="BHR76" s="88"/>
      <c r="BHS76" s="88"/>
      <c r="BHT76" s="88"/>
      <c r="BHU76" s="88"/>
      <c r="BHV76" s="88"/>
      <c r="BHW76" s="88"/>
      <c r="BHX76" s="88"/>
      <c r="BHY76" s="88"/>
      <c r="BHZ76" s="88"/>
      <c r="BIA76" s="88"/>
      <c r="BIB76" s="88"/>
      <c r="BIC76" s="88"/>
      <c r="BID76" s="88"/>
      <c r="BIE76" s="88"/>
      <c r="BIF76" s="88"/>
      <c r="BIG76" s="88"/>
      <c r="BIH76" s="88"/>
      <c r="BII76" s="88"/>
      <c r="BIJ76" s="88"/>
      <c r="BIK76" s="88"/>
      <c r="BIL76" s="88"/>
      <c r="BIM76" s="88"/>
      <c r="BIN76" s="88"/>
      <c r="BIO76" s="88"/>
      <c r="BIP76" s="88"/>
      <c r="BIQ76" s="88"/>
      <c r="BIR76" s="88"/>
      <c r="BIS76" s="88"/>
      <c r="BIT76" s="88"/>
      <c r="BIU76" s="88"/>
      <c r="BIV76" s="88"/>
      <c r="BIW76" s="88"/>
      <c r="BIX76" s="88"/>
      <c r="BIY76" s="88"/>
      <c r="BIZ76" s="88"/>
      <c r="BJA76" s="88"/>
      <c r="BJB76" s="88"/>
      <c r="BJC76" s="88"/>
      <c r="BJD76" s="88"/>
      <c r="BJE76" s="88"/>
      <c r="BJF76" s="88"/>
      <c r="BJG76" s="88"/>
      <c r="BJH76" s="88"/>
      <c r="BJI76" s="88"/>
      <c r="BJJ76" s="88"/>
      <c r="BJK76" s="88"/>
      <c r="BJL76" s="88"/>
      <c r="BJM76" s="88"/>
      <c r="BJN76" s="88"/>
      <c r="BJO76" s="88"/>
      <c r="BJP76" s="88"/>
      <c r="BJQ76" s="88"/>
      <c r="BJR76" s="88"/>
      <c r="BJS76" s="88"/>
      <c r="BJT76" s="88"/>
      <c r="BJU76" s="88"/>
      <c r="BJV76" s="88"/>
      <c r="BJW76" s="88"/>
      <c r="BJX76" s="88"/>
      <c r="BJY76" s="88"/>
      <c r="BJZ76" s="88"/>
      <c r="BKA76" s="88"/>
      <c r="BKB76" s="88"/>
      <c r="BKC76" s="88"/>
      <c r="BKD76" s="88"/>
      <c r="BKE76" s="88"/>
      <c r="BKF76" s="88"/>
      <c r="BKG76" s="88"/>
      <c r="BKH76" s="88"/>
      <c r="BKI76" s="88"/>
      <c r="BKJ76" s="88"/>
      <c r="BKK76" s="88"/>
      <c r="BKL76" s="88"/>
      <c r="BKM76" s="88"/>
      <c r="BKN76" s="88"/>
      <c r="BKO76" s="88"/>
      <c r="BKP76" s="88"/>
      <c r="BKQ76" s="88"/>
      <c r="BKR76" s="88"/>
      <c r="BKS76" s="88"/>
      <c r="BKT76" s="88"/>
      <c r="BKU76" s="88"/>
      <c r="BKV76" s="88"/>
      <c r="BKW76" s="88"/>
      <c r="BKX76" s="88"/>
      <c r="BKY76" s="88"/>
      <c r="BKZ76" s="88"/>
      <c r="BLA76" s="88"/>
      <c r="BLB76" s="88"/>
      <c r="BLC76" s="88"/>
      <c r="BLD76" s="88"/>
      <c r="BLE76" s="88"/>
      <c r="BLF76" s="88"/>
      <c r="BLG76" s="88"/>
      <c r="BLH76" s="88"/>
      <c r="BLI76" s="88"/>
      <c r="BLJ76" s="88"/>
      <c r="BLK76" s="88"/>
      <c r="BLL76" s="88"/>
      <c r="BLM76" s="88"/>
      <c r="BLN76" s="88"/>
      <c r="BLO76" s="88"/>
      <c r="BLP76" s="88"/>
      <c r="BLQ76" s="88"/>
      <c r="BLR76" s="88"/>
      <c r="BLS76" s="88"/>
      <c r="BLT76" s="88"/>
      <c r="BLU76" s="88"/>
      <c r="BLV76" s="88"/>
      <c r="BLW76" s="88"/>
      <c r="BLX76" s="88"/>
      <c r="BLY76" s="88"/>
      <c r="BLZ76" s="88"/>
      <c r="BMA76" s="88"/>
      <c r="BMB76" s="88"/>
      <c r="BMC76" s="88"/>
      <c r="BMD76" s="88"/>
      <c r="BME76" s="88"/>
      <c r="BMF76" s="88"/>
      <c r="BMG76" s="88"/>
      <c r="BMH76" s="88"/>
      <c r="BMI76" s="88"/>
      <c r="BMJ76" s="88"/>
      <c r="BMK76" s="88"/>
      <c r="BML76" s="88"/>
      <c r="BMM76" s="88"/>
      <c r="BMN76" s="88"/>
      <c r="BMO76" s="88"/>
      <c r="BMP76" s="88"/>
      <c r="BMQ76" s="88"/>
      <c r="BMR76" s="88"/>
      <c r="BMS76" s="88"/>
      <c r="BMT76" s="88"/>
      <c r="BMU76" s="88"/>
      <c r="BMV76" s="88"/>
      <c r="BMW76" s="88"/>
      <c r="BMX76" s="88"/>
      <c r="BMY76" s="88"/>
      <c r="BMZ76" s="88"/>
      <c r="BNA76" s="88"/>
      <c r="BNB76" s="88"/>
      <c r="BNC76" s="88"/>
      <c r="BND76" s="88"/>
      <c r="BNE76" s="88"/>
      <c r="BNF76" s="88"/>
      <c r="BNG76" s="88"/>
      <c r="BNH76" s="88"/>
      <c r="BNI76" s="88"/>
      <c r="BNJ76" s="88"/>
      <c r="BNK76" s="88"/>
      <c r="BNL76" s="88"/>
      <c r="BNM76" s="88"/>
      <c r="BNN76" s="88"/>
      <c r="BNO76" s="88"/>
      <c r="BNP76" s="88"/>
      <c r="BNQ76" s="88"/>
      <c r="BNR76" s="88"/>
      <c r="BNS76" s="88"/>
      <c r="BNT76" s="88"/>
      <c r="BNU76" s="88"/>
      <c r="BNV76" s="88"/>
      <c r="BNW76" s="88"/>
      <c r="BNX76" s="88"/>
      <c r="BNY76" s="88"/>
      <c r="BNZ76" s="88"/>
      <c r="BOA76" s="88"/>
      <c r="BOB76" s="88"/>
      <c r="BOC76" s="88"/>
      <c r="BOD76" s="88"/>
      <c r="BOE76" s="88"/>
      <c r="BOF76" s="88"/>
      <c r="BOG76" s="88"/>
      <c r="BOH76" s="88"/>
      <c r="BOI76" s="88"/>
      <c r="BOJ76" s="88"/>
      <c r="BOK76" s="88"/>
      <c r="BOL76" s="88"/>
      <c r="BOM76" s="88"/>
      <c r="BON76" s="88"/>
      <c r="BOO76" s="88"/>
      <c r="BOP76" s="88"/>
      <c r="BOQ76" s="88"/>
      <c r="BOR76" s="88"/>
      <c r="BOS76" s="88"/>
      <c r="BOT76" s="88"/>
      <c r="BOU76" s="88"/>
      <c r="BOV76" s="88"/>
      <c r="BOW76" s="88"/>
      <c r="BOX76" s="88"/>
      <c r="BOY76" s="88"/>
      <c r="BOZ76" s="88"/>
      <c r="BPA76" s="88"/>
      <c r="BPB76" s="88"/>
      <c r="BPC76" s="88"/>
      <c r="BPD76" s="88"/>
      <c r="BPE76" s="88"/>
      <c r="BPF76" s="88"/>
      <c r="BPG76" s="88"/>
      <c r="BPH76" s="88"/>
      <c r="BPI76" s="88"/>
      <c r="BPJ76" s="88"/>
      <c r="BPK76" s="88"/>
      <c r="BPL76" s="88"/>
      <c r="BPM76" s="88"/>
      <c r="BPN76" s="88"/>
      <c r="BPO76" s="88"/>
      <c r="BPP76" s="88"/>
      <c r="BPQ76" s="88"/>
      <c r="BPR76" s="88"/>
      <c r="BPS76" s="88"/>
      <c r="BPT76" s="88"/>
      <c r="BPU76" s="88"/>
      <c r="BPV76" s="88"/>
      <c r="BPW76" s="88"/>
      <c r="BPX76" s="88"/>
      <c r="BPY76" s="88"/>
      <c r="BPZ76" s="88"/>
      <c r="BQA76" s="88"/>
      <c r="BQB76" s="88"/>
      <c r="BQC76" s="88"/>
      <c r="BQD76" s="88"/>
      <c r="BQE76" s="88"/>
      <c r="BQF76" s="88"/>
      <c r="BQG76" s="88"/>
      <c r="BQH76" s="88"/>
      <c r="BQI76" s="88"/>
      <c r="BQJ76" s="88"/>
      <c r="BQK76" s="88"/>
      <c r="BQL76" s="88"/>
      <c r="BQM76" s="88"/>
      <c r="BQN76" s="88"/>
      <c r="BQO76" s="88"/>
      <c r="BQP76" s="88"/>
      <c r="BQQ76" s="88"/>
      <c r="BQR76" s="88"/>
      <c r="BQS76" s="88"/>
      <c r="BQT76" s="88"/>
      <c r="BQU76" s="88"/>
      <c r="BQV76" s="88"/>
      <c r="BQW76" s="88"/>
      <c r="BQX76" s="88"/>
      <c r="BQY76" s="88"/>
      <c r="BQZ76" s="88"/>
      <c r="BRA76" s="88"/>
      <c r="BRB76" s="88"/>
      <c r="BRC76" s="88"/>
      <c r="BRD76" s="88"/>
      <c r="BRE76" s="88"/>
      <c r="BRF76" s="88"/>
      <c r="BRG76" s="88"/>
      <c r="BRH76" s="88"/>
      <c r="BRI76" s="88"/>
      <c r="BRJ76" s="88"/>
      <c r="BRK76" s="88"/>
      <c r="BRL76" s="88"/>
      <c r="BRM76" s="88"/>
      <c r="BRN76" s="88"/>
      <c r="BRO76" s="88"/>
      <c r="BRP76" s="88"/>
      <c r="BRQ76" s="88"/>
      <c r="BRR76" s="88"/>
      <c r="BRS76" s="88"/>
      <c r="BRT76" s="88"/>
      <c r="BRU76" s="88"/>
      <c r="BRV76" s="88"/>
      <c r="BRW76" s="88"/>
      <c r="BRX76" s="88"/>
      <c r="BRY76" s="88"/>
      <c r="BRZ76" s="88"/>
      <c r="BSA76" s="88"/>
      <c r="BSB76" s="88"/>
      <c r="BSC76" s="88"/>
      <c r="BSD76" s="88"/>
      <c r="BSE76" s="88"/>
      <c r="BSF76" s="88"/>
      <c r="BSG76" s="88"/>
      <c r="BSH76" s="88"/>
      <c r="BSI76" s="88"/>
      <c r="BSJ76" s="88"/>
      <c r="BSK76" s="88"/>
      <c r="BSL76" s="88"/>
      <c r="BSM76" s="88"/>
      <c r="BSN76" s="88"/>
      <c r="BSO76" s="88"/>
      <c r="BSP76" s="88"/>
      <c r="BSQ76" s="88"/>
      <c r="BSR76" s="88"/>
      <c r="BSS76" s="88"/>
      <c r="BST76" s="88"/>
      <c r="BSU76" s="88"/>
      <c r="BSV76" s="88"/>
      <c r="BSW76" s="88"/>
      <c r="BSX76" s="88"/>
      <c r="BSY76" s="88"/>
      <c r="BSZ76" s="88"/>
      <c r="BTA76" s="88"/>
      <c r="BTB76" s="88"/>
      <c r="BTC76" s="88"/>
      <c r="BTD76" s="88"/>
      <c r="BTE76" s="88"/>
      <c r="BTF76" s="88"/>
      <c r="BTG76" s="88"/>
      <c r="BTH76" s="88"/>
      <c r="BTI76" s="88"/>
      <c r="BTJ76" s="88"/>
      <c r="BTK76" s="88"/>
      <c r="BTL76" s="88"/>
      <c r="BTM76" s="88"/>
      <c r="BTN76" s="88"/>
      <c r="BTO76" s="88"/>
      <c r="BTP76" s="88"/>
      <c r="BTQ76" s="88"/>
      <c r="BTR76" s="88"/>
      <c r="BTS76" s="88"/>
      <c r="BTT76" s="88"/>
      <c r="BTU76" s="88"/>
      <c r="BTV76" s="88"/>
      <c r="BTW76" s="88"/>
      <c r="BTX76" s="88"/>
      <c r="BTY76" s="88"/>
      <c r="BTZ76" s="88"/>
      <c r="BUA76" s="88"/>
      <c r="BUB76" s="88"/>
      <c r="BUC76" s="88"/>
      <c r="BUD76" s="88"/>
      <c r="BUE76" s="88"/>
      <c r="BUF76" s="88"/>
      <c r="BUG76" s="88"/>
      <c r="BUH76" s="88"/>
      <c r="BUI76" s="88"/>
      <c r="BUJ76" s="88"/>
      <c r="BUK76" s="88"/>
      <c r="BUL76" s="88"/>
      <c r="BUM76" s="88"/>
      <c r="BUN76" s="88"/>
      <c r="BUO76" s="88"/>
      <c r="BUP76" s="88"/>
      <c r="BUQ76" s="88"/>
      <c r="BUR76" s="88"/>
      <c r="BUS76" s="88"/>
      <c r="BUT76" s="88"/>
      <c r="BUU76" s="88"/>
      <c r="BUV76" s="88"/>
      <c r="BUW76" s="88"/>
      <c r="BUX76" s="88"/>
      <c r="BUY76" s="88"/>
      <c r="BUZ76" s="88"/>
      <c r="BVA76" s="88"/>
      <c r="BVB76" s="88"/>
      <c r="BVC76" s="88"/>
      <c r="BVD76" s="88"/>
      <c r="BVE76" s="88"/>
      <c r="BVF76" s="88"/>
      <c r="BVG76" s="88"/>
      <c r="BVH76" s="88"/>
      <c r="BVI76" s="88"/>
      <c r="BVJ76" s="88"/>
      <c r="BVK76" s="88"/>
      <c r="BVL76" s="88"/>
      <c r="BVM76" s="88"/>
      <c r="BVN76" s="88"/>
      <c r="BVO76" s="88"/>
      <c r="BVP76" s="88"/>
      <c r="BVQ76" s="88"/>
      <c r="BVR76" s="88"/>
      <c r="BVS76" s="88"/>
      <c r="BVT76" s="88"/>
      <c r="BVU76" s="88"/>
      <c r="BVV76" s="88"/>
      <c r="BVW76" s="88"/>
      <c r="BVX76" s="88"/>
      <c r="BVY76" s="88"/>
      <c r="BVZ76" s="88"/>
      <c r="BWA76" s="88"/>
      <c r="BWB76" s="88"/>
      <c r="BWC76" s="88"/>
      <c r="BWD76" s="88"/>
      <c r="BWE76" s="88"/>
      <c r="BWF76" s="88"/>
      <c r="BWG76" s="88"/>
      <c r="BWH76" s="88"/>
      <c r="BWI76" s="88"/>
      <c r="BWJ76" s="88"/>
      <c r="BWK76" s="88"/>
      <c r="BWL76" s="88"/>
      <c r="BWM76" s="88"/>
      <c r="BWN76" s="88"/>
      <c r="BWO76" s="88"/>
      <c r="BWP76" s="88"/>
      <c r="BWQ76" s="88"/>
      <c r="BWR76" s="88"/>
      <c r="BWS76" s="88"/>
      <c r="BWT76" s="88"/>
      <c r="BWU76" s="88"/>
      <c r="BWV76" s="88"/>
      <c r="BWW76" s="88"/>
      <c r="BWX76" s="88"/>
      <c r="BWY76" s="88"/>
      <c r="BWZ76" s="88"/>
      <c r="BXA76" s="88"/>
      <c r="BXB76" s="88"/>
      <c r="BXC76" s="88"/>
      <c r="BXD76" s="88"/>
      <c r="BXE76" s="88"/>
      <c r="BXF76" s="88"/>
      <c r="BXG76" s="88"/>
      <c r="BXH76" s="88"/>
      <c r="BXI76" s="88"/>
      <c r="BXJ76" s="88"/>
      <c r="BXK76" s="88"/>
      <c r="BXL76" s="88"/>
      <c r="BXM76" s="88"/>
      <c r="BXN76" s="88"/>
      <c r="BXO76" s="88"/>
      <c r="BXP76" s="88"/>
      <c r="BXQ76" s="88"/>
      <c r="BXR76" s="88"/>
      <c r="BXS76" s="88"/>
      <c r="BXT76" s="88"/>
      <c r="BXU76" s="88"/>
      <c r="BXV76" s="88"/>
      <c r="BXW76" s="88"/>
      <c r="BXX76" s="88"/>
      <c r="BXY76" s="88"/>
      <c r="BXZ76" s="88"/>
      <c r="BYA76" s="88"/>
      <c r="BYB76" s="88"/>
      <c r="BYC76" s="88"/>
      <c r="BYD76" s="88"/>
      <c r="BYE76" s="88"/>
      <c r="BYF76" s="88"/>
      <c r="BYG76" s="88"/>
      <c r="BYH76" s="88"/>
      <c r="BYI76" s="88"/>
      <c r="BYJ76" s="88"/>
      <c r="BYK76" s="88"/>
      <c r="BYL76" s="88"/>
      <c r="BYM76" s="88"/>
      <c r="BYN76" s="88"/>
      <c r="BYO76" s="88"/>
      <c r="BYP76" s="88"/>
      <c r="BYQ76" s="88"/>
      <c r="BYR76" s="88"/>
      <c r="BYS76" s="88"/>
      <c r="BYT76" s="88"/>
      <c r="BYU76" s="88"/>
      <c r="BYV76" s="88"/>
      <c r="BYW76" s="88"/>
      <c r="BYX76" s="88"/>
      <c r="BYY76" s="88"/>
      <c r="BYZ76" s="88"/>
      <c r="BZA76" s="88"/>
      <c r="BZB76" s="88"/>
      <c r="BZC76" s="88"/>
      <c r="BZD76" s="88"/>
      <c r="BZE76" s="88"/>
      <c r="BZF76" s="88"/>
      <c r="BZG76" s="88"/>
      <c r="BZH76" s="88"/>
      <c r="BZI76" s="88"/>
      <c r="BZJ76" s="88"/>
      <c r="BZK76" s="88"/>
      <c r="BZL76" s="88"/>
      <c r="BZM76" s="88"/>
      <c r="BZN76" s="88"/>
      <c r="BZO76" s="88"/>
      <c r="BZP76" s="88"/>
      <c r="BZQ76" s="88"/>
      <c r="BZR76" s="88"/>
      <c r="BZS76" s="88"/>
      <c r="BZT76" s="88"/>
      <c r="BZU76" s="88"/>
      <c r="BZV76" s="88"/>
      <c r="BZW76" s="88"/>
      <c r="BZX76" s="88"/>
      <c r="BZY76" s="88"/>
      <c r="BZZ76" s="88"/>
      <c r="CAA76" s="88"/>
      <c r="CAB76" s="88"/>
      <c r="CAC76" s="88"/>
      <c r="CAD76" s="88"/>
      <c r="CAE76" s="88"/>
      <c r="CAF76" s="88"/>
      <c r="CAG76" s="88"/>
      <c r="CAH76" s="88"/>
      <c r="CAI76" s="88"/>
      <c r="CAJ76" s="88"/>
      <c r="CAK76" s="88"/>
      <c r="CAL76" s="88"/>
      <c r="CAM76" s="88"/>
      <c r="CAN76" s="88"/>
      <c r="CAO76" s="88"/>
      <c r="CAP76" s="88"/>
      <c r="CAQ76" s="88"/>
      <c r="CAR76" s="88"/>
      <c r="CAS76" s="88"/>
      <c r="CAT76" s="88"/>
      <c r="CAU76" s="88"/>
      <c r="CAV76" s="88"/>
      <c r="CAW76" s="88"/>
      <c r="CAX76" s="88"/>
      <c r="CAY76" s="88"/>
      <c r="CAZ76" s="88"/>
      <c r="CBA76" s="88"/>
      <c r="CBB76" s="88"/>
      <c r="CBC76" s="88"/>
      <c r="CBD76" s="88"/>
      <c r="CBE76" s="88"/>
      <c r="CBF76" s="88"/>
      <c r="CBG76" s="88"/>
      <c r="CBH76" s="88"/>
      <c r="CBI76" s="88"/>
      <c r="CBJ76" s="88"/>
      <c r="CBK76" s="88"/>
      <c r="CBL76" s="88"/>
      <c r="CBM76" s="88"/>
      <c r="CBN76" s="88"/>
      <c r="CBO76" s="88"/>
      <c r="CBP76" s="88"/>
      <c r="CBQ76" s="88"/>
      <c r="CBR76" s="88"/>
      <c r="CBS76" s="88"/>
      <c r="CBT76" s="88"/>
      <c r="CBU76" s="88"/>
      <c r="CBV76" s="88"/>
      <c r="CBW76" s="88"/>
      <c r="CBX76" s="88"/>
      <c r="CBY76" s="88"/>
      <c r="CBZ76" s="88"/>
      <c r="CCA76" s="88"/>
      <c r="CCB76" s="88"/>
      <c r="CCC76" s="88"/>
      <c r="CCD76" s="88"/>
      <c r="CCE76" s="88"/>
      <c r="CCF76" s="88"/>
      <c r="CCG76" s="88"/>
      <c r="CCH76" s="88"/>
      <c r="CCI76" s="88"/>
      <c r="CCJ76" s="88"/>
      <c r="CCK76" s="88"/>
      <c r="CCL76" s="88"/>
      <c r="CCM76" s="88"/>
      <c r="CCN76" s="88"/>
      <c r="CCO76" s="88"/>
      <c r="CCP76" s="88"/>
      <c r="CCQ76" s="88"/>
      <c r="CCR76" s="88"/>
      <c r="CCS76" s="88"/>
      <c r="CCT76" s="88"/>
      <c r="CCU76" s="88"/>
      <c r="CCV76" s="88"/>
      <c r="CCW76" s="88"/>
      <c r="CCX76" s="88"/>
      <c r="CCY76" s="88"/>
      <c r="CCZ76" s="88"/>
      <c r="CDA76" s="88"/>
      <c r="CDB76" s="88"/>
      <c r="CDC76" s="88"/>
      <c r="CDD76" s="88"/>
      <c r="CDE76" s="88"/>
      <c r="CDF76" s="88"/>
      <c r="CDG76" s="88"/>
      <c r="CDH76" s="88"/>
      <c r="CDI76" s="88"/>
      <c r="CDJ76" s="88"/>
      <c r="CDK76" s="88"/>
      <c r="CDL76" s="88"/>
      <c r="CDM76" s="88"/>
      <c r="CDN76" s="88"/>
      <c r="CDO76" s="88"/>
      <c r="CDP76" s="88"/>
      <c r="CDQ76" s="88"/>
      <c r="CDR76" s="88"/>
      <c r="CDS76" s="88"/>
      <c r="CDT76" s="88"/>
      <c r="CDU76" s="88"/>
      <c r="CDV76" s="88"/>
      <c r="CDW76" s="88"/>
      <c r="CDX76" s="88"/>
      <c r="CDY76" s="88"/>
      <c r="CDZ76" s="88"/>
      <c r="CEA76" s="88"/>
      <c r="CEB76" s="88"/>
      <c r="CEC76" s="88"/>
      <c r="CED76" s="88"/>
      <c r="CEE76" s="88"/>
      <c r="CEF76" s="88"/>
      <c r="CEG76" s="88"/>
      <c r="CEH76" s="88"/>
      <c r="CEI76" s="88"/>
      <c r="CEJ76" s="88"/>
      <c r="CEK76" s="88"/>
    </row>
    <row r="77" spans="1:2169" s="63" customFormat="1">
      <c r="A77" s="522" t="s">
        <v>11350</v>
      </c>
      <c r="B77" s="578" t="s">
        <v>11351</v>
      </c>
      <c r="C77" s="68" t="str">
        <f>IF('page 2'!$O$4="","",IF('page 2'!$O$4=Gestion!A77,1,0))</f>
        <v/>
      </c>
      <c r="D77" s="68" t="str">
        <f>IF('page 2'!$O$5="","",IF('page 2'!$O$5=Gestion!A77,1,0))</f>
        <v/>
      </c>
      <c r="E77" s="68" t="str">
        <f>IF('page 2'!$O$6="","",IF('page 2'!$O$6=Gestion!A77,1,0))</f>
        <v/>
      </c>
      <c r="F77" s="68" t="str">
        <f>IF('page 2'!$O$7="","",IF('page 2'!$O$7=Gestion!A77,1,0))</f>
        <v/>
      </c>
      <c r="G77" s="68" t="str">
        <f>IF('page 2'!$O$8="","",IF('page 2'!$O$8=Gestion!A77,1,0))</f>
        <v/>
      </c>
      <c r="H77" s="68" t="str">
        <f>IF('page 2'!$O$9="","",IF('page 2'!$O$9=Gestion!A77,1,0))</f>
        <v/>
      </c>
      <c r="I77" s="68" t="str">
        <f>IF('page 2'!$O$10="","",IF('page 2'!$O$10=Gestion!A77,1,0))</f>
        <v/>
      </c>
      <c r="J77" s="68" t="str">
        <f>IF('page 2'!$O$11="","",IF('page 2'!$O$11=Gestion!A77,1,0))</f>
        <v/>
      </c>
      <c r="K77" s="68" t="str">
        <f>IF('page 2'!$O$12="","",IF('page 2'!$O$12=Gestion!A77,1,0))</f>
        <v/>
      </c>
      <c r="L77" s="68" t="str">
        <f>IF('page 2'!$O$13="","",IF('page 2'!$O$13=Gestion!A77,1,0))</f>
        <v/>
      </c>
      <c r="M77" s="68" t="str">
        <f>IF('page 2'!$O$14="","",IF('page 2'!$O$14=Gestion!A77,1,0))</f>
        <v/>
      </c>
      <c r="N77" s="68" t="str">
        <f>IF('page 2'!$O$15="","",IF('page 2'!$O$15=Gestion!A77,1,0))</f>
        <v/>
      </c>
      <c r="O77" s="68" t="str">
        <f>IF('page 2'!$O$16="","",IF('page 2'!$O$16=Gestion!A77,1,0))</f>
        <v/>
      </c>
      <c r="P77" s="68" t="str">
        <f>IF('page 2'!$O$17="","",IF('page 2'!$O$17=Gestion!A77,1,0))</f>
        <v/>
      </c>
      <c r="Q77" s="68" t="str">
        <f>IF('page 2'!$O$18="","",IF('page 2'!$O$18=Gestion!A77,1,0))</f>
        <v/>
      </c>
      <c r="R77" s="68" t="str">
        <f>IF('page 2'!$O$19="","",IF('page 2'!$O$19=Gestion!A77,1,0))</f>
        <v/>
      </c>
      <c r="S77" s="68" t="str">
        <f>IF('page 2'!$O$20="","",IF('page 2'!$O$20=Gestion!A77,1,0))</f>
        <v/>
      </c>
      <c r="T77" s="68" t="str">
        <f>IF('page 2'!$O$25="","",IF('page 2'!$O$25=Gestion!A77,1,0))</f>
        <v/>
      </c>
      <c r="U77" s="68" t="str">
        <f>IF('page 2'!$O$26="","",IF('page 2'!$O$26=Gestion!A77,1,0))</f>
        <v/>
      </c>
      <c r="V77" s="68" t="str">
        <f>IF('page 2'!$O$27="","",IF('page 2'!$O$27=Gestion!A77,1,0))</f>
        <v/>
      </c>
      <c r="W77" s="722">
        <f t="shared" ref="W77" si="13">SUM(C77:V77)</f>
        <v>0</v>
      </c>
      <c r="X77" s="714"/>
      <c r="Y77" s="68"/>
      <c r="Z77" s="68"/>
      <c r="AA77" s="68"/>
      <c r="AB77" s="68"/>
      <c r="AC77" s="68"/>
      <c r="AD77" s="68"/>
      <c r="AP77" s="469"/>
      <c r="AQ77" s="469"/>
      <c r="AR77" s="469"/>
      <c r="AS77" s="576"/>
      <c r="AT77" s="576"/>
      <c r="AU77" s="576"/>
      <c r="AV77" s="576"/>
      <c r="AW77" s="602"/>
      <c r="AX77" s="602"/>
      <c r="AY77" s="576"/>
      <c r="AZ77" s="576"/>
      <c r="BA77" s="576"/>
      <c r="BB77" s="576"/>
      <c r="BC77" s="576"/>
      <c r="BD77" s="602"/>
      <c r="BE77" s="602"/>
      <c r="BF77" s="602"/>
      <c r="BG77" s="602"/>
      <c r="BH77" s="602"/>
      <c r="BI77" s="602"/>
      <c r="BJ77" s="602"/>
      <c r="BK77" s="602"/>
      <c r="BL77" s="602"/>
      <c r="BM77" s="602"/>
      <c r="BN77" s="602"/>
      <c r="BO77" s="602"/>
      <c r="BP77" s="602"/>
      <c r="BQ77" s="602"/>
      <c r="BR77" s="602"/>
      <c r="BS77" s="576"/>
      <c r="BT77" s="576"/>
      <c r="BU77" s="576"/>
      <c r="BV77" s="576"/>
      <c r="BW77" s="602"/>
      <c r="BX77" s="602"/>
      <c r="BY77" s="602"/>
      <c r="BZ77" s="576"/>
      <c r="CA77" s="602"/>
      <c r="CB77" s="602"/>
      <c r="CC77" s="576"/>
      <c r="CD77" s="576"/>
      <c r="CE77" s="602"/>
      <c r="CF77" s="576"/>
      <c r="CG77" s="576"/>
      <c r="CH77" s="576"/>
      <c r="CI77" s="576"/>
      <c r="CJ77" s="576"/>
      <c r="CK77" s="602"/>
      <c r="CL77" s="602"/>
      <c r="CM77" s="576"/>
      <c r="CN77" s="602"/>
      <c r="CO77" s="602"/>
      <c r="CP77" s="602"/>
      <c r="CQ77" s="576"/>
      <c r="CR77" s="576"/>
      <c r="CS77" s="602"/>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8"/>
      <c r="HL77" s="88"/>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8"/>
      <c r="IM77" s="88"/>
      <c r="IN77" s="88"/>
      <c r="IO77" s="88"/>
      <c r="IP77" s="88"/>
      <c r="IQ77" s="88"/>
      <c r="IR77" s="88"/>
      <c r="IS77" s="88"/>
      <c r="IT77" s="88"/>
      <c r="IU77" s="88"/>
      <c r="IV77" s="88"/>
      <c r="IW77" s="88"/>
      <c r="IX77" s="88"/>
      <c r="IY77" s="88"/>
      <c r="IZ77" s="88"/>
      <c r="JA77" s="88"/>
      <c r="JB77" s="88"/>
      <c r="JC77" s="88"/>
      <c r="JD77" s="88"/>
      <c r="JE77" s="88"/>
      <c r="JF77" s="88"/>
      <c r="JG77" s="88"/>
      <c r="JH77" s="88"/>
      <c r="JI77" s="88"/>
      <c r="JJ77" s="88"/>
      <c r="JK77" s="88"/>
      <c r="JL77" s="88"/>
      <c r="JM77" s="88"/>
      <c r="JN77" s="88"/>
      <c r="JO77" s="88"/>
      <c r="JP77" s="88"/>
      <c r="JQ77" s="88"/>
      <c r="JR77" s="88"/>
      <c r="JS77" s="88"/>
      <c r="JT77" s="88"/>
      <c r="JU77" s="88"/>
      <c r="JV77" s="88"/>
      <c r="JW77" s="88"/>
      <c r="JX77" s="88"/>
      <c r="JY77" s="88"/>
      <c r="JZ77" s="88"/>
      <c r="KA77" s="88"/>
      <c r="KB77" s="88"/>
      <c r="KC77" s="88"/>
      <c r="KD77" s="88"/>
      <c r="KE77" s="88"/>
      <c r="KF77" s="88"/>
      <c r="KG77" s="88"/>
      <c r="KH77" s="88"/>
      <c r="KI77" s="88"/>
      <c r="KJ77" s="88"/>
      <c r="KK77" s="88"/>
      <c r="KL77" s="88"/>
      <c r="KM77" s="88"/>
      <c r="KN77" s="88"/>
      <c r="KO77" s="88"/>
      <c r="KP77" s="88"/>
      <c r="KQ77" s="88"/>
      <c r="KR77" s="88"/>
      <c r="KS77" s="88"/>
      <c r="KT77" s="88"/>
      <c r="KU77" s="88"/>
      <c r="KV77" s="88"/>
      <c r="KW77" s="88"/>
      <c r="KX77" s="88"/>
      <c r="KY77" s="88"/>
      <c r="KZ77" s="88"/>
      <c r="LA77" s="88"/>
      <c r="LB77" s="88"/>
      <c r="LC77" s="88"/>
      <c r="LD77" s="88"/>
      <c r="LE77" s="88"/>
      <c r="LF77" s="88"/>
      <c r="LG77" s="88"/>
      <c r="LH77" s="88"/>
      <c r="LI77" s="88"/>
      <c r="LJ77" s="88"/>
      <c r="LK77" s="88"/>
      <c r="LL77" s="88"/>
      <c r="LM77" s="88"/>
      <c r="LN77" s="88"/>
      <c r="LO77" s="88"/>
      <c r="LP77" s="88"/>
      <c r="LQ77" s="88"/>
      <c r="LR77" s="88"/>
      <c r="LS77" s="88"/>
      <c r="LT77" s="88"/>
      <c r="LU77" s="88"/>
      <c r="LV77" s="88"/>
      <c r="LW77" s="88"/>
      <c r="LX77" s="88"/>
      <c r="LY77" s="88"/>
      <c r="LZ77" s="88"/>
      <c r="MA77" s="88"/>
      <c r="MB77" s="88"/>
      <c r="MC77" s="88"/>
      <c r="MD77" s="88"/>
      <c r="ME77" s="88"/>
      <c r="MF77" s="88"/>
      <c r="MG77" s="88"/>
      <c r="MH77" s="88"/>
      <c r="MI77" s="88"/>
      <c r="MJ77" s="88"/>
      <c r="MK77" s="88"/>
      <c r="ML77" s="88"/>
      <c r="MM77" s="88"/>
      <c r="MN77" s="88"/>
      <c r="MO77" s="88"/>
      <c r="MP77" s="88"/>
      <c r="MQ77" s="88"/>
      <c r="MR77" s="88"/>
      <c r="MS77" s="88"/>
      <c r="MT77" s="88"/>
      <c r="MU77" s="88"/>
      <c r="MV77" s="88"/>
      <c r="MW77" s="88"/>
      <c r="MX77" s="88"/>
      <c r="MY77" s="88"/>
      <c r="MZ77" s="88"/>
      <c r="NA77" s="88"/>
      <c r="NB77" s="88"/>
      <c r="NC77" s="88"/>
      <c r="ND77" s="88"/>
      <c r="NE77" s="88"/>
      <c r="NF77" s="88"/>
      <c r="NG77" s="88"/>
      <c r="NH77" s="88"/>
      <c r="NI77" s="88"/>
      <c r="NJ77" s="88"/>
      <c r="NK77" s="88"/>
      <c r="NL77" s="88"/>
      <c r="NM77" s="88"/>
      <c r="NN77" s="88"/>
      <c r="NO77" s="88"/>
      <c r="NP77" s="88"/>
      <c r="NQ77" s="88"/>
      <c r="NR77" s="88"/>
      <c r="NS77" s="88"/>
      <c r="NT77" s="88"/>
      <c r="NU77" s="88"/>
      <c r="NV77" s="88"/>
      <c r="NW77" s="88"/>
      <c r="NX77" s="88"/>
      <c r="NY77" s="88"/>
      <c r="NZ77" s="88"/>
      <c r="OA77" s="88"/>
      <c r="OB77" s="88"/>
      <c r="OC77" s="88"/>
      <c r="OD77" s="88"/>
      <c r="OE77" s="88"/>
      <c r="OF77" s="88"/>
      <c r="OG77" s="88"/>
      <c r="OH77" s="88"/>
      <c r="OI77" s="88"/>
      <c r="OJ77" s="88"/>
      <c r="OK77" s="88"/>
      <c r="OL77" s="88"/>
      <c r="OM77" s="88"/>
      <c r="ON77" s="88"/>
      <c r="OO77" s="88"/>
      <c r="OP77" s="88"/>
      <c r="OQ77" s="88"/>
      <c r="OR77" s="88"/>
      <c r="OS77" s="88"/>
      <c r="OT77" s="88"/>
      <c r="OU77" s="88"/>
      <c r="OV77" s="88"/>
      <c r="OW77" s="88"/>
      <c r="OX77" s="88"/>
      <c r="OY77" s="88"/>
      <c r="OZ77" s="88"/>
      <c r="PA77" s="88"/>
      <c r="PB77" s="88"/>
      <c r="PC77" s="88"/>
      <c r="PD77" s="88"/>
      <c r="PE77" s="88"/>
      <c r="PF77" s="88"/>
      <c r="PG77" s="88"/>
      <c r="PH77" s="88"/>
      <c r="PI77" s="88"/>
      <c r="PJ77" s="88"/>
      <c r="PK77" s="88"/>
      <c r="PL77" s="88"/>
      <c r="PM77" s="88"/>
      <c r="PN77" s="88"/>
      <c r="PO77" s="88"/>
      <c r="PP77" s="88"/>
      <c r="PQ77" s="88"/>
      <c r="PR77" s="88"/>
      <c r="PS77" s="88"/>
      <c r="PT77" s="88"/>
      <c r="PU77" s="88"/>
      <c r="PV77" s="88"/>
      <c r="PW77" s="88"/>
      <c r="PX77" s="88"/>
      <c r="PY77" s="88"/>
      <c r="PZ77" s="88"/>
      <c r="QA77" s="88"/>
      <c r="QB77" s="88"/>
      <c r="QC77" s="88"/>
      <c r="QD77" s="88"/>
      <c r="QE77" s="88"/>
      <c r="QF77" s="88"/>
      <c r="QG77" s="88"/>
      <c r="QH77" s="88"/>
      <c r="QI77" s="88"/>
      <c r="QJ77" s="88"/>
      <c r="QK77" s="88"/>
      <c r="QL77" s="88"/>
      <c r="QM77" s="88"/>
      <c r="QN77" s="88"/>
      <c r="QO77" s="88"/>
      <c r="QP77" s="88"/>
      <c r="QQ77" s="88"/>
      <c r="QR77" s="88"/>
      <c r="QS77" s="88"/>
      <c r="QT77" s="88"/>
      <c r="QU77" s="88"/>
      <c r="QV77" s="88"/>
      <c r="QW77" s="88"/>
      <c r="QX77" s="88"/>
      <c r="QY77" s="88"/>
      <c r="QZ77" s="88"/>
      <c r="RA77" s="88"/>
      <c r="RB77" s="88"/>
      <c r="RC77" s="88"/>
      <c r="RD77" s="88"/>
      <c r="RE77" s="88"/>
      <c r="RF77" s="88"/>
      <c r="RG77" s="88"/>
      <c r="RH77" s="88"/>
      <c r="RI77" s="88"/>
      <c r="RJ77" s="88"/>
      <c r="RK77" s="88"/>
      <c r="RL77" s="88"/>
      <c r="RM77" s="88"/>
      <c r="RN77" s="88"/>
      <c r="RO77" s="88"/>
      <c r="RP77" s="88"/>
      <c r="RQ77" s="88"/>
      <c r="RR77" s="88"/>
      <c r="RS77" s="88"/>
      <c r="RT77" s="88"/>
      <c r="RU77" s="88"/>
      <c r="RV77" s="88"/>
      <c r="RW77" s="88"/>
      <c r="RX77" s="88"/>
      <c r="RY77" s="88"/>
      <c r="RZ77" s="88"/>
      <c r="SA77" s="88"/>
      <c r="SB77" s="88"/>
      <c r="SC77" s="88"/>
      <c r="SD77" s="88"/>
      <c r="SE77" s="88"/>
      <c r="SF77" s="88"/>
      <c r="SG77" s="88"/>
      <c r="SH77" s="88"/>
      <c r="SI77" s="88"/>
      <c r="SJ77" s="88"/>
      <c r="SK77" s="88"/>
      <c r="SL77" s="88"/>
      <c r="SM77" s="88"/>
      <c r="SN77" s="88"/>
      <c r="SO77" s="88"/>
      <c r="SP77" s="88"/>
      <c r="SQ77" s="88"/>
      <c r="SR77" s="88"/>
      <c r="SS77" s="88"/>
      <c r="ST77" s="88"/>
      <c r="SU77" s="88"/>
      <c r="SV77" s="88"/>
      <c r="SW77" s="88"/>
      <c r="SX77" s="88"/>
      <c r="SY77" s="88"/>
      <c r="SZ77" s="88"/>
      <c r="TA77" s="88"/>
      <c r="TB77" s="88"/>
      <c r="TC77" s="88"/>
      <c r="TD77" s="88"/>
      <c r="TE77" s="88"/>
      <c r="TF77" s="88"/>
      <c r="TG77" s="88"/>
      <c r="TH77" s="88"/>
      <c r="TI77" s="88"/>
      <c r="TJ77" s="88"/>
      <c r="TK77" s="88"/>
      <c r="TL77" s="88"/>
      <c r="TM77" s="88"/>
      <c r="TN77" s="88"/>
      <c r="TO77" s="88"/>
      <c r="TP77" s="88"/>
      <c r="TQ77" s="88"/>
      <c r="TR77" s="88"/>
      <c r="TS77" s="88"/>
      <c r="TT77" s="88"/>
      <c r="TU77" s="88"/>
      <c r="TV77" s="88"/>
      <c r="TW77" s="88"/>
      <c r="TX77" s="88"/>
      <c r="TY77" s="88"/>
      <c r="TZ77" s="88"/>
      <c r="UA77" s="88"/>
      <c r="UB77" s="88"/>
      <c r="UC77" s="88"/>
      <c r="UD77" s="88"/>
      <c r="UE77" s="88"/>
      <c r="UF77" s="88"/>
      <c r="UG77" s="88"/>
      <c r="UH77" s="88"/>
      <c r="UI77" s="88"/>
      <c r="UJ77" s="88"/>
      <c r="UK77" s="88"/>
      <c r="UL77" s="88"/>
      <c r="UM77" s="88"/>
      <c r="UN77" s="88"/>
      <c r="UO77" s="88"/>
      <c r="UP77" s="88"/>
      <c r="UQ77" s="88"/>
      <c r="UR77" s="88"/>
      <c r="US77" s="88"/>
      <c r="UT77" s="88"/>
      <c r="UU77" s="88"/>
      <c r="UV77" s="88"/>
      <c r="UW77" s="88"/>
      <c r="UX77" s="88"/>
      <c r="UY77" s="88"/>
      <c r="UZ77" s="88"/>
      <c r="VA77" s="88"/>
      <c r="VB77" s="88"/>
      <c r="VC77" s="88"/>
      <c r="VD77" s="88"/>
      <c r="VE77" s="88"/>
      <c r="VF77" s="88"/>
      <c r="VG77" s="88"/>
      <c r="VH77" s="88"/>
      <c r="VI77" s="88"/>
      <c r="VJ77" s="88"/>
      <c r="VK77" s="88"/>
      <c r="VL77" s="88"/>
      <c r="VM77" s="88"/>
      <c r="VN77" s="88"/>
      <c r="VO77" s="88"/>
      <c r="VP77" s="88"/>
      <c r="VQ77" s="88"/>
      <c r="VR77" s="88"/>
      <c r="VS77" s="88"/>
      <c r="VT77" s="88"/>
      <c r="VU77" s="88"/>
      <c r="VV77" s="88"/>
      <c r="VW77" s="88"/>
      <c r="VX77" s="88"/>
      <c r="VY77" s="88"/>
      <c r="VZ77" s="88"/>
      <c r="WA77" s="88"/>
      <c r="WB77" s="88"/>
      <c r="WC77" s="88"/>
      <c r="WD77" s="88"/>
      <c r="WE77" s="88"/>
      <c r="WF77" s="88"/>
      <c r="WG77" s="88"/>
      <c r="WH77" s="88"/>
      <c r="WI77" s="88"/>
      <c r="WJ77" s="88"/>
      <c r="WK77" s="88"/>
      <c r="WL77" s="88"/>
      <c r="WM77" s="88"/>
      <c r="WN77" s="88"/>
      <c r="WO77" s="88"/>
      <c r="WP77" s="88"/>
      <c r="WQ77" s="88"/>
      <c r="WR77" s="88"/>
      <c r="WS77" s="88"/>
      <c r="WT77" s="88"/>
      <c r="WU77" s="88"/>
      <c r="WV77" s="88"/>
      <c r="WW77" s="88"/>
      <c r="WX77" s="88"/>
      <c r="WY77" s="88"/>
      <c r="WZ77" s="88"/>
      <c r="XA77" s="88"/>
      <c r="XB77" s="88"/>
      <c r="XC77" s="88"/>
      <c r="XD77" s="88"/>
      <c r="XE77" s="88"/>
      <c r="XF77" s="88"/>
      <c r="XG77" s="88"/>
      <c r="XH77" s="88"/>
      <c r="XI77" s="88"/>
      <c r="XJ77" s="88"/>
      <c r="XK77" s="88"/>
      <c r="XL77" s="88"/>
      <c r="XM77" s="88"/>
      <c r="XN77" s="88"/>
      <c r="XO77" s="88"/>
      <c r="XP77" s="88"/>
      <c r="XQ77" s="88"/>
      <c r="XR77" s="88"/>
      <c r="XS77" s="88"/>
      <c r="XT77" s="88"/>
      <c r="XU77" s="88"/>
      <c r="XV77" s="88"/>
      <c r="XW77" s="88"/>
      <c r="XX77" s="88"/>
      <c r="XY77" s="88"/>
      <c r="XZ77" s="88"/>
      <c r="YA77" s="88"/>
      <c r="YB77" s="88"/>
      <c r="YC77" s="88"/>
      <c r="YD77" s="88"/>
      <c r="YE77" s="88"/>
      <c r="YF77" s="88"/>
      <c r="YG77" s="88"/>
      <c r="YH77" s="88"/>
      <c r="YI77" s="88"/>
      <c r="YJ77" s="88"/>
      <c r="YK77" s="88"/>
      <c r="YL77" s="88"/>
      <c r="YM77" s="88"/>
      <c r="YN77" s="88"/>
      <c r="YO77" s="88"/>
      <c r="YP77" s="88"/>
      <c r="YQ77" s="88"/>
      <c r="YR77" s="88"/>
      <c r="YS77" s="88"/>
      <c r="YT77" s="88"/>
      <c r="YU77" s="88"/>
      <c r="YV77" s="88"/>
      <c r="YW77" s="88"/>
      <c r="YX77" s="88"/>
      <c r="YY77" s="88"/>
      <c r="YZ77" s="88"/>
      <c r="ZA77" s="88"/>
      <c r="ZB77" s="88"/>
      <c r="ZC77" s="88"/>
      <c r="ZD77" s="88"/>
      <c r="ZE77" s="88"/>
      <c r="ZF77" s="88"/>
      <c r="ZG77" s="88"/>
      <c r="ZH77" s="88"/>
      <c r="ZI77" s="88"/>
      <c r="ZJ77" s="88"/>
      <c r="ZK77" s="88"/>
      <c r="ZL77" s="88"/>
      <c r="ZM77" s="88"/>
      <c r="ZN77" s="88"/>
      <c r="ZO77" s="88"/>
      <c r="ZP77" s="88"/>
      <c r="ZQ77" s="88"/>
      <c r="ZR77" s="88"/>
      <c r="ZS77" s="88"/>
      <c r="ZT77" s="88"/>
      <c r="ZU77" s="88"/>
      <c r="ZV77" s="88"/>
      <c r="ZW77" s="88"/>
      <c r="ZX77" s="88"/>
      <c r="ZY77" s="88"/>
      <c r="ZZ77" s="88"/>
      <c r="AAA77" s="88"/>
      <c r="AAB77" s="88"/>
      <c r="AAC77" s="88"/>
      <c r="AAD77" s="88"/>
      <c r="AAE77" s="88"/>
      <c r="AAF77" s="88"/>
      <c r="AAG77" s="88"/>
      <c r="AAH77" s="88"/>
      <c r="AAI77" s="88"/>
      <c r="AAJ77" s="88"/>
      <c r="AAK77" s="88"/>
      <c r="AAL77" s="88"/>
      <c r="AAM77" s="88"/>
      <c r="AAN77" s="88"/>
      <c r="AAO77" s="88"/>
      <c r="AAP77" s="88"/>
      <c r="AAQ77" s="88"/>
      <c r="AAR77" s="88"/>
      <c r="AAS77" s="88"/>
      <c r="AAT77" s="88"/>
      <c r="AAU77" s="88"/>
      <c r="AAV77" s="88"/>
      <c r="AAW77" s="88"/>
      <c r="AAX77" s="88"/>
      <c r="AAY77" s="88"/>
      <c r="AAZ77" s="88"/>
      <c r="ABA77" s="88"/>
      <c r="ABB77" s="88"/>
      <c r="ABC77" s="88"/>
      <c r="ABD77" s="88"/>
      <c r="ABE77" s="88"/>
      <c r="ABF77" s="88"/>
      <c r="ABG77" s="88"/>
      <c r="ABH77" s="88"/>
      <c r="ABI77" s="88"/>
      <c r="ABJ77" s="88"/>
      <c r="ABK77" s="88"/>
      <c r="ABL77" s="88"/>
      <c r="ABM77" s="88"/>
      <c r="ABN77" s="88"/>
      <c r="ABO77" s="88"/>
      <c r="ABP77" s="88"/>
      <c r="ABQ77" s="88"/>
      <c r="ABR77" s="88"/>
      <c r="ABS77" s="88"/>
      <c r="ABT77" s="88"/>
      <c r="ABU77" s="88"/>
      <c r="ABV77" s="88"/>
      <c r="ABW77" s="88"/>
      <c r="ABX77" s="88"/>
      <c r="ABY77" s="88"/>
      <c r="ABZ77" s="88"/>
      <c r="ACA77" s="88"/>
      <c r="ACB77" s="88"/>
      <c r="ACC77" s="88"/>
      <c r="ACD77" s="88"/>
      <c r="ACE77" s="88"/>
      <c r="ACF77" s="88"/>
      <c r="ACG77" s="88"/>
      <c r="ACH77" s="88"/>
      <c r="ACI77" s="88"/>
      <c r="ACJ77" s="88"/>
      <c r="ACK77" s="88"/>
      <c r="ACL77" s="88"/>
      <c r="ACM77" s="88"/>
      <c r="ACN77" s="88"/>
      <c r="ACO77" s="88"/>
      <c r="ACP77" s="88"/>
      <c r="ACQ77" s="88"/>
      <c r="ACR77" s="88"/>
      <c r="ACS77" s="88"/>
      <c r="ACT77" s="88"/>
      <c r="ACU77" s="88"/>
      <c r="ACV77" s="88"/>
      <c r="ACW77" s="88"/>
      <c r="ACX77" s="88"/>
      <c r="ACY77" s="88"/>
      <c r="ACZ77" s="88"/>
      <c r="ADA77" s="88"/>
      <c r="ADB77" s="88"/>
      <c r="ADC77" s="88"/>
      <c r="ADD77" s="88"/>
      <c r="ADE77" s="88"/>
      <c r="ADF77" s="88"/>
      <c r="ADG77" s="88"/>
      <c r="ADH77" s="88"/>
      <c r="ADI77" s="88"/>
      <c r="ADJ77" s="88"/>
      <c r="ADK77" s="88"/>
      <c r="ADL77" s="88"/>
      <c r="ADM77" s="88"/>
      <c r="ADN77" s="88"/>
      <c r="ADO77" s="88"/>
      <c r="ADP77" s="88"/>
      <c r="ADQ77" s="88"/>
      <c r="ADR77" s="88"/>
      <c r="ADS77" s="88"/>
      <c r="ADT77" s="88"/>
      <c r="ADU77" s="88"/>
      <c r="ADV77" s="88"/>
      <c r="ADW77" s="88"/>
      <c r="ADX77" s="88"/>
      <c r="ADY77" s="88"/>
      <c r="ADZ77" s="88"/>
      <c r="AEA77" s="88"/>
      <c r="AEB77" s="88"/>
      <c r="AEC77" s="88"/>
      <c r="AED77" s="88"/>
      <c r="AEE77" s="88"/>
      <c r="AEF77" s="88"/>
      <c r="AEG77" s="88"/>
      <c r="AEH77" s="88"/>
      <c r="AEI77" s="88"/>
      <c r="AEJ77" s="88"/>
      <c r="AEK77" s="88"/>
      <c r="AEL77" s="88"/>
      <c r="AEM77" s="88"/>
      <c r="AEN77" s="88"/>
      <c r="AEO77" s="88"/>
      <c r="AEP77" s="88"/>
      <c r="AEQ77" s="88"/>
      <c r="AER77" s="88"/>
      <c r="AES77" s="88"/>
      <c r="AET77" s="88"/>
      <c r="AEU77" s="88"/>
      <c r="AEV77" s="88"/>
      <c r="AEW77" s="88"/>
      <c r="AEX77" s="88"/>
      <c r="AEY77" s="88"/>
      <c r="AEZ77" s="88"/>
      <c r="AFA77" s="88"/>
      <c r="AFB77" s="88"/>
      <c r="AFC77" s="88"/>
      <c r="AFD77" s="88"/>
      <c r="AFE77" s="88"/>
      <c r="AFF77" s="88"/>
      <c r="AFG77" s="88"/>
      <c r="AFH77" s="88"/>
      <c r="AFI77" s="88"/>
      <c r="AFJ77" s="88"/>
      <c r="AFK77" s="88"/>
      <c r="AFL77" s="88"/>
      <c r="AFM77" s="88"/>
      <c r="AFN77" s="88"/>
      <c r="AFO77" s="88"/>
      <c r="AFP77" s="88"/>
      <c r="AFQ77" s="88"/>
      <c r="AFR77" s="88"/>
      <c r="AFS77" s="88"/>
      <c r="AFT77" s="88"/>
      <c r="AFU77" s="88"/>
      <c r="AFV77" s="88"/>
      <c r="AFW77" s="88"/>
      <c r="AFX77" s="88"/>
      <c r="AFY77" s="88"/>
      <c r="AFZ77" s="88"/>
      <c r="AGA77" s="88"/>
      <c r="AGB77" s="88"/>
      <c r="AGC77" s="88"/>
      <c r="AGD77" s="88"/>
      <c r="AGE77" s="88"/>
      <c r="AGF77" s="88"/>
      <c r="AGG77" s="88"/>
      <c r="AGH77" s="88"/>
      <c r="AGI77" s="88"/>
      <c r="AGJ77" s="88"/>
      <c r="AGK77" s="88"/>
      <c r="AGL77" s="88"/>
      <c r="AGM77" s="88"/>
      <c r="AGN77" s="88"/>
      <c r="AGO77" s="88"/>
      <c r="AGP77" s="88"/>
      <c r="AGQ77" s="88"/>
      <c r="AGR77" s="88"/>
      <c r="AGS77" s="88"/>
      <c r="AGT77" s="88"/>
      <c r="AGU77" s="88"/>
      <c r="AGV77" s="88"/>
      <c r="AGW77" s="88"/>
      <c r="AGX77" s="88"/>
      <c r="AGY77" s="88"/>
      <c r="AGZ77" s="88"/>
      <c r="AHA77" s="88"/>
      <c r="AHB77" s="88"/>
      <c r="AHC77" s="88"/>
      <c r="AHD77" s="88"/>
      <c r="AHE77" s="88"/>
      <c r="AHF77" s="88"/>
      <c r="AHG77" s="88"/>
      <c r="AHH77" s="88"/>
      <c r="AHI77" s="88"/>
      <c r="AHJ77" s="88"/>
      <c r="AHK77" s="88"/>
      <c r="AHL77" s="88"/>
      <c r="AHM77" s="88"/>
      <c r="AHN77" s="88"/>
      <c r="AHO77" s="88"/>
      <c r="AHP77" s="88"/>
      <c r="AHQ77" s="88"/>
      <c r="AHR77" s="88"/>
      <c r="AHS77" s="88"/>
      <c r="AHT77" s="88"/>
      <c r="AHU77" s="88"/>
      <c r="AHV77" s="88"/>
      <c r="AHW77" s="88"/>
      <c r="AHX77" s="88"/>
      <c r="AHY77" s="88"/>
      <c r="AHZ77" s="88"/>
      <c r="AIA77" s="88"/>
      <c r="AIB77" s="88"/>
      <c r="AIC77" s="88"/>
      <c r="AID77" s="88"/>
      <c r="AIE77" s="88"/>
      <c r="AIF77" s="88"/>
      <c r="AIG77" s="88"/>
      <c r="AIH77" s="88"/>
      <c r="AII77" s="88"/>
      <c r="AIJ77" s="88"/>
      <c r="AIK77" s="88"/>
      <c r="AIL77" s="88"/>
      <c r="AIM77" s="88"/>
      <c r="AIN77" s="88"/>
      <c r="AIO77" s="88"/>
      <c r="AIP77" s="88"/>
      <c r="AIQ77" s="88"/>
      <c r="AIR77" s="88"/>
      <c r="AIS77" s="88"/>
      <c r="AIT77" s="88"/>
      <c r="AIU77" s="88"/>
      <c r="AIV77" s="88"/>
      <c r="AIW77" s="88"/>
      <c r="AIX77" s="88"/>
      <c r="AIY77" s="88"/>
      <c r="AIZ77" s="88"/>
      <c r="AJA77" s="88"/>
      <c r="AJB77" s="88"/>
      <c r="AJC77" s="88"/>
      <c r="AJD77" s="88"/>
      <c r="AJE77" s="88"/>
      <c r="AJF77" s="88"/>
      <c r="AJG77" s="88"/>
      <c r="AJH77" s="88"/>
      <c r="AJI77" s="88"/>
      <c r="AJJ77" s="88"/>
      <c r="AJK77" s="88"/>
      <c r="AJL77" s="88"/>
      <c r="AJM77" s="88"/>
      <c r="AJN77" s="88"/>
      <c r="AJO77" s="88"/>
      <c r="AJP77" s="88"/>
      <c r="AJQ77" s="88"/>
      <c r="AJR77" s="88"/>
      <c r="AJS77" s="88"/>
      <c r="AJT77" s="88"/>
      <c r="AJU77" s="88"/>
      <c r="AJV77" s="88"/>
      <c r="AJW77" s="88"/>
      <c r="AJX77" s="88"/>
      <c r="AJY77" s="88"/>
      <c r="AJZ77" s="88"/>
      <c r="AKA77" s="88"/>
      <c r="AKB77" s="88"/>
      <c r="AKC77" s="88"/>
      <c r="AKD77" s="88"/>
      <c r="AKE77" s="88"/>
      <c r="AKF77" s="88"/>
      <c r="AKG77" s="88"/>
      <c r="AKH77" s="88"/>
      <c r="AKI77" s="88"/>
      <c r="AKJ77" s="88"/>
      <c r="AKK77" s="88"/>
      <c r="AKL77" s="88"/>
      <c r="AKM77" s="88"/>
      <c r="AKN77" s="88"/>
      <c r="AKO77" s="88"/>
      <c r="AKP77" s="88"/>
      <c r="AKQ77" s="88"/>
      <c r="AKR77" s="88"/>
      <c r="AKS77" s="88"/>
      <c r="AKT77" s="88"/>
      <c r="AKU77" s="88"/>
      <c r="AKV77" s="88"/>
      <c r="AKW77" s="88"/>
      <c r="AKX77" s="88"/>
      <c r="AKY77" s="88"/>
      <c r="AKZ77" s="88"/>
      <c r="ALA77" s="88"/>
      <c r="ALB77" s="88"/>
      <c r="ALC77" s="88"/>
      <c r="ALD77" s="88"/>
      <c r="ALE77" s="88"/>
      <c r="ALF77" s="88"/>
      <c r="ALG77" s="88"/>
      <c r="ALH77" s="88"/>
      <c r="ALI77" s="88"/>
      <c r="ALJ77" s="88"/>
      <c r="ALK77" s="88"/>
      <c r="ALL77" s="88"/>
      <c r="ALM77" s="88"/>
      <c r="ALN77" s="88"/>
      <c r="ALO77" s="88"/>
      <c r="ALP77" s="88"/>
      <c r="ALQ77" s="88"/>
      <c r="ALR77" s="88"/>
      <c r="ALS77" s="88"/>
      <c r="ALT77" s="88"/>
      <c r="ALU77" s="88"/>
      <c r="ALV77" s="88"/>
      <c r="ALW77" s="88"/>
      <c r="ALX77" s="88"/>
      <c r="ALY77" s="88"/>
      <c r="ALZ77" s="88"/>
      <c r="AMA77" s="88"/>
      <c r="AMB77" s="88"/>
      <c r="AMC77" s="88"/>
      <c r="AMD77" s="88"/>
      <c r="AME77" s="88"/>
      <c r="AMF77" s="88"/>
      <c r="AMG77" s="88"/>
      <c r="AMH77" s="88"/>
      <c r="AMI77" s="88"/>
      <c r="AMJ77" s="88"/>
      <c r="AMK77" s="88"/>
      <c r="AML77" s="88"/>
      <c r="AMM77" s="88"/>
      <c r="AMN77" s="88"/>
      <c r="AMO77" s="88"/>
      <c r="AMP77" s="88"/>
      <c r="AMQ77" s="88"/>
      <c r="AMR77" s="88"/>
      <c r="AMS77" s="88"/>
      <c r="AMT77" s="88"/>
      <c r="AMU77" s="88"/>
      <c r="AMV77" s="88"/>
      <c r="AMW77" s="88"/>
      <c r="AMX77" s="88"/>
      <c r="AMY77" s="88"/>
      <c r="AMZ77" s="88"/>
      <c r="ANA77" s="88"/>
      <c r="ANB77" s="88"/>
      <c r="ANC77" s="88"/>
      <c r="AND77" s="88"/>
      <c r="ANE77" s="88"/>
      <c r="ANF77" s="88"/>
      <c r="ANG77" s="88"/>
      <c r="ANH77" s="88"/>
      <c r="ANI77" s="88"/>
      <c r="ANJ77" s="88"/>
      <c r="ANK77" s="88"/>
      <c r="ANL77" s="88"/>
      <c r="ANM77" s="88"/>
      <c r="ANN77" s="88"/>
      <c r="ANO77" s="88"/>
      <c r="ANP77" s="88"/>
      <c r="ANQ77" s="88"/>
      <c r="ANR77" s="88"/>
      <c r="ANS77" s="88"/>
      <c r="ANT77" s="88"/>
      <c r="ANU77" s="88"/>
      <c r="ANV77" s="88"/>
      <c r="ANW77" s="88"/>
      <c r="ANX77" s="88"/>
      <c r="ANY77" s="88"/>
      <c r="ANZ77" s="88"/>
      <c r="AOA77" s="88"/>
      <c r="AOB77" s="88"/>
      <c r="AOC77" s="88"/>
      <c r="AOD77" s="88"/>
      <c r="AOE77" s="88"/>
      <c r="AOF77" s="88"/>
      <c r="AOG77" s="88"/>
      <c r="AOH77" s="88"/>
      <c r="AOI77" s="88"/>
      <c r="AOJ77" s="88"/>
      <c r="AOK77" s="88"/>
      <c r="AOL77" s="88"/>
      <c r="AOM77" s="88"/>
      <c r="AON77" s="88"/>
      <c r="AOO77" s="88"/>
      <c r="AOP77" s="88"/>
      <c r="AOQ77" s="88"/>
      <c r="AOR77" s="88"/>
      <c r="AOS77" s="88"/>
      <c r="AOT77" s="88"/>
      <c r="AOU77" s="88"/>
      <c r="AOV77" s="88"/>
      <c r="AOW77" s="88"/>
      <c r="AOX77" s="88"/>
      <c r="AOY77" s="88"/>
      <c r="AOZ77" s="88"/>
      <c r="APA77" s="88"/>
      <c r="APB77" s="88"/>
      <c r="APC77" s="88"/>
      <c r="APD77" s="88"/>
      <c r="APE77" s="88"/>
      <c r="APF77" s="88"/>
      <c r="APG77" s="88"/>
      <c r="APH77" s="88"/>
      <c r="API77" s="88"/>
      <c r="APJ77" s="88"/>
      <c r="APK77" s="88"/>
      <c r="APL77" s="88"/>
      <c r="APM77" s="88"/>
      <c r="APN77" s="88"/>
      <c r="APO77" s="88"/>
      <c r="APP77" s="88"/>
      <c r="APQ77" s="88"/>
      <c r="APR77" s="88"/>
      <c r="APS77" s="88"/>
      <c r="APT77" s="88"/>
      <c r="APU77" s="88"/>
      <c r="APV77" s="88"/>
      <c r="APW77" s="88"/>
      <c r="APX77" s="88"/>
      <c r="APY77" s="88"/>
      <c r="APZ77" s="88"/>
      <c r="AQA77" s="88"/>
      <c r="AQB77" s="88"/>
      <c r="AQC77" s="88"/>
      <c r="AQD77" s="88"/>
      <c r="AQE77" s="88"/>
      <c r="AQF77" s="88"/>
      <c r="AQG77" s="88"/>
      <c r="AQH77" s="88"/>
      <c r="AQI77" s="88"/>
      <c r="AQJ77" s="88"/>
      <c r="AQK77" s="88"/>
      <c r="AQL77" s="88"/>
      <c r="AQM77" s="88"/>
      <c r="AQN77" s="88"/>
      <c r="AQO77" s="88"/>
      <c r="AQP77" s="88"/>
      <c r="AQQ77" s="88"/>
      <c r="AQR77" s="88"/>
      <c r="AQS77" s="88"/>
      <c r="AQT77" s="88"/>
      <c r="AQU77" s="88"/>
      <c r="AQV77" s="88"/>
      <c r="AQW77" s="88"/>
      <c r="AQX77" s="88"/>
      <c r="AQY77" s="88"/>
      <c r="AQZ77" s="88"/>
      <c r="ARA77" s="88"/>
      <c r="ARB77" s="88"/>
      <c r="ARC77" s="88"/>
      <c r="ARD77" s="88"/>
      <c r="ARE77" s="88"/>
      <c r="ARF77" s="88"/>
      <c r="ARG77" s="88"/>
      <c r="ARH77" s="88"/>
      <c r="ARI77" s="88"/>
      <c r="ARJ77" s="88"/>
      <c r="ARK77" s="88"/>
      <c r="ARL77" s="88"/>
      <c r="ARM77" s="88"/>
      <c r="ARN77" s="88"/>
      <c r="ARO77" s="88"/>
      <c r="ARP77" s="88"/>
      <c r="ARQ77" s="88"/>
      <c r="ARR77" s="88"/>
      <c r="ARS77" s="88"/>
      <c r="ART77" s="88"/>
      <c r="ARU77" s="88"/>
      <c r="ARV77" s="88"/>
      <c r="ARW77" s="88"/>
      <c r="ARX77" s="88"/>
      <c r="ARY77" s="88"/>
      <c r="ARZ77" s="88"/>
      <c r="ASA77" s="88"/>
      <c r="ASB77" s="88"/>
      <c r="ASC77" s="88"/>
      <c r="ASD77" s="88"/>
      <c r="ASE77" s="88"/>
      <c r="ASF77" s="88"/>
      <c r="ASG77" s="88"/>
      <c r="ASH77" s="88"/>
      <c r="ASI77" s="88"/>
      <c r="ASJ77" s="88"/>
      <c r="ASK77" s="88"/>
      <c r="ASL77" s="88"/>
      <c r="ASM77" s="88"/>
      <c r="ASN77" s="88"/>
      <c r="ASO77" s="88"/>
      <c r="ASP77" s="88"/>
      <c r="ASQ77" s="88"/>
      <c r="ASR77" s="88"/>
      <c r="ASS77" s="88"/>
      <c r="AST77" s="88"/>
      <c r="ASU77" s="88"/>
      <c r="ASV77" s="88"/>
      <c r="ASW77" s="88"/>
      <c r="ASX77" s="88"/>
      <c r="ASY77" s="88"/>
      <c r="ASZ77" s="88"/>
      <c r="ATA77" s="88"/>
      <c r="ATB77" s="88"/>
      <c r="ATC77" s="88"/>
      <c r="ATD77" s="88"/>
      <c r="ATE77" s="88"/>
      <c r="ATF77" s="88"/>
      <c r="ATG77" s="88"/>
      <c r="ATH77" s="88"/>
      <c r="ATI77" s="88"/>
      <c r="ATJ77" s="88"/>
      <c r="ATK77" s="88"/>
      <c r="ATL77" s="88"/>
      <c r="ATM77" s="88"/>
      <c r="ATN77" s="88"/>
      <c r="ATO77" s="88"/>
      <c r="ATP77" s="88"/>
      <c r="ATQ77" s="88"/>
      <c r="ATR77" s="88"/>
      <c r="ATS77" s="88"/>
      <c r="ATT77" s="88"/>
      <c r="ATU77" s="88"/>
      <c r="ATV77" s="88"/>
      <c r="ATW77" s="88"/>
      <c r="ATX77" s="88"/>
      <c r="ATY77" s="88"/>
      <c r="ATZ77" s="88"/>
      <c r="AUA77" s="88"/>
      <c r="AUB77" s="88"/>
      <c r="AUC77" s="88"/>
      <c r="AUD77" s="88"/>
      <c r="AUE77" s="88"/>
      <c r="AUF77" s="88"/>
      <c r="AUG77" s="88"/>
      <c r="AUH77" s="88"/>
      <c r="AUI77" s="88"/>
      <c r="AUJ77" s="88"/>
      <c r="AUK77" s="88"/>
      <c r="AUL77" s="88"/>
      <c r="AUM77" s="88"/>
      <c r="AUN77" s="88"/>
      <c r="AUO77" s="88"/>
      <c r="AUP77" s="88"/>
      <c r="AUQ77" s="88"/>
      <c r="AUR77" s="88"/>
      <c r="AUS77" s="88"/>
      <c r="AUT77" s="88"/>
      <c r="AUU77" s="88"/>
      <c r="AUV77" s="88"/>
      <c r="AUW77" s="88"/>
      <c r="AUX77" s="88"/>
      <c r="AUY77" s="88"/>
      <c r="AUZ77" s="88"/>
      <c r="AVA77" s="88"/>
      <c r="AVB77" s="88"/>
      <c r="AVC77" s="88"/>
      <c r="AVD77" s="88"/>
      <c r="AVE77" s="88"/>
      <c r="AVF77" s="88"/>
      <c r="AVG77" s="88"/>
      <c r="AVH77" s="88"/>
      <c r="AVI77" s="88"/>
      <c r="AVJ77" s="88"/>
      <c r="AVK77" s="88"/>
      <c r="AVL77" s="88"/>
      <c r="AVM77" s="88"/>
      <c r="AVN77" s="88"/>
      <c r="AVO77" s="88"/>
      <c r="AVP77" s="88"/>
      <c r="AVQ77" s="88"/>
      <c r="AVR77" s="88"/>
      <c r="AVS77" s="88"/>
      <c r="AVT77" s="88"/>
      <c r="AVU77" s="88"/>
      <c r="AVV77" s="88"/>
      <c r="AVW77" s="88"/>
      <c r="AVX77" s="88"/>
      <c r="AVY77" s="88"/>
      <c r="AVZ77" s="88"/>
      <c r="AWA77" s="88"/>
      <c r="AWB77" s="88"/>
      <c r="AWC77" s="88"/>
      <c r="AWD77" s="88"/>
      <c r="AWE77" s="88"/>
      <c r="AWF77" s="88"/>
      <c r="AWG77" s="88"/>
      <c r="AWH77" s="88"/>
      <c r="AWI77" s="88"/>
      <c r="AWJ77" s="88"/>
      <c r="AWK77" s="88"/>
      <c r="AWL77" s="88"/>
      <c r="AWM77" s="88"/>
      <c r="AWN77" s="88"/>
      <c r="AWO77" s="88"/>
      <c r="AWP77" s="88"/>
      <c r="AWQ77" s="88"/>
      <c r="AWR77" s="88"/>
      <c r="AWS77" s="88"/>
      <c r="AWT77" s="88"/>
      <c r="AWU77" s="88"/>
      <c r="AWV77" s="88"/>
      <c r="AWW77" s="88"/>
      <c r="AWX77" s="88"/>
      <c r="AWY77" s="88"/>
      <c r="AWZ77" s="88"/>
      <c r="AXA77" s="88"/>
      <c r="AXB77" s="88"/>
      <c r="AXC77" s="88"/>
      <c r="AXD77" s="88"/>
      <c r="AXE77" s="88"/>
      <c r="AXF77" s="88"/>
      <c r="AXG77" s="88"/>
      <c r="AXH77" s="88"/>
      <c r="AXI77" s="88"/>
      <c r="AXJ77" s="88"/>
      <c r="AXK77" s="88"/>
      <c r="AXL77" s="88"/>
      <c r="AXM77" s="88"/>
      <c r="AXN77" s="88"/>
      <c r="AXO77" s="88"/>
      <c r="AXP77" s="88"/>
      <c r="AXQ77" s="88"/>
      <c r="AXR77" s="88"/>
      <c r="AXS77" s="88"/>
      <c r="AXT77" s="88"/>
      <c r="AXU77" s="88"/>
      <c r="AXV77" s="88"/>
      <c r="AXW77" s="88"/>
      <c r="AXX77" s="88"/>
      <c r="AXY77" s="88"/>
      <c r="AXZ77" s="88"/>
      <c r="AYA77" s="88"/>
      <c r="AYB77" s="88"/>
      <c r="AYC77" s="88"/>
      <c r="AYD77" s="88"/>
      <c r="AYE77" s="88"/>
      <c r="AYF77" s="88"/>
      <c r="AYG77" s="88"/>
      <c r="AYH77" s="88"/>
      <c r="AYI77" s="88"/>
      <c r="AYJ77" s="88"/>
      <c r="AYK77" s="88"/>
      <c r="AYL77" s="88"/>
      <c r="AYM77" s="88"/>
      <c r="AYN77" s="88"/>
      <c r="AYO77" s="88"/>
      <c r="AYP77" s="88"/>
      <c r="AYQ77" s="88"/>
      <c r="AYR77" s="88"/>
      <c r="AYS77" s="88"/>
      <c r="AYT77" s="88"/>
      <c r="AYU77" s="88"/>
      <c r="AYV77" s="88"/>
      <c r="AYW77" s="88"/>
      <c r="AYX77" s="88"/>
      <c r="AYY77" s="88"/>
      <c r="AYZ77" s="88"/>
      <c r="AZA77" s="88"/>
      <c r="AZB77" s="88"/>
      <c r="AZC77" s="88"/>
      <c r="AZD77" s="88"/>
      <c r="AZE77" s="88"/>
      <c r="AZF77" s="88"/>
      <c r="AZG77" s="88"/>
      <c r="AZH77" s="88"/>
      <c r="AZI77" s="88"/>
      <c r="AZJ77" s="88"/>
      <c r="AZK77" s="88"/>
      <c r="AZL77" s="88"/>
      <c r="AZM77" s="88"/>
      <c r="AZN77" s="88"/>
      <c r="AZO77" s="88"/>
      <c r="AZP77" s="88"/>
      <c r="AZQ77" s="88"/>
      <c r="AZR77" s="88"/>
      <c r="AZS77" s="88"/>
      <c r="AZT77" s="88"/>
      <c r="AZU77" s="88"/>
      <c r="AZV77" s="88"/>
      <c r="AZW77" s="88"/>
      <c r="AZX77" s="88"/>
      <c r="AZY77" s="88"/>
      <c r="AZZ77" s="88"/>
      <c r="BAA77" s="88"/>
      <c r="BAB77" s="88"/>
      <c r="BAC77" s="88"/>
      <c r="BAD77" s="88"/>
      <c r="BAE77" s="88"/>
      <c r="BAF77" s="88"/>
      <c r="BAG77" s="88"/>
      <c r="BAH77" s="88"/>
      <c r="BAI77" s="88"/>
      <c r="BAJ77" s="88"/>
      <c r="BAK77" s="88"/>
      <c r="BAL77" s="88"/>
      <c r="BAM77" s="88"/>
      <c r="BAN77" s="88"/>
      <c r="BAO77" s="88"/>
      <c r="BAP77" s="88"/>
      <c r="BAQ77" s="88"/>
      <c r="BAR77" s="88"/>
      <c r="BAS77" s="88"/>
      <c r="BAT77" s="88"/>
      <c r="BAU77" s="88"/>
      <c r="BAV77" s="88"/>
      <c r="BAW77" s="88"/>
      <c r="BAX77" s="88"/>
      <c r="BAY77" s="88"/>
      <c r="BAZ77" s="88"/>
      <c r="BBA77" s="88"/>
      <c r="BBB77" s="88"/>
      <c r="BBC77" s="88"/>
      <c r="BBD77" s="88"/>
      <c r="BBE77" s="88"/>
      <c r="BBF77" s="88"/>
      <c r="BBG77" s="88"/>
      <c r="BBH77" s="88"/>
      <c r="BBI77" s="88"/>
      <c r="BBJ77" s="88"/>
      <c r="BBK77" s="88"/>
      <c r="BBL77" s="88"/>
      <c r="BBM77" s="88"/>
      <c r="BBN77" s="88"/>
      <c r="BBO77" s="88"/>
      <c r="BBP77" s="88"/>
      <c r="BBQ77" s="88"/>
      <c r="BBR77" s="88"/>
      <c r="BBS77" s="88"/>
      <c r="BBT77" s="88"/>
      <c r="BBU77" s="88"/>
      <c r="BBV77" s="88"/>
      <c r="BBW77" s="88"/>
      <c r="BBX77" s="88"/>
      <c r="BBY77" s="88"/>
      <c r="BBZ77" s="88"/>
      <c r="BCA77" s="88"/>
      <c r="BCB77" s="88"/>
      <c r="BCC77" s="88"/>
      <c r="BCD77" s="88"/>
      <c r="BCE77" s="88"/>
      <c r="BCF77" s="88"/>
      <c r="BCG77" s="88"/>
      <c r="BCH77" s="88"/>
      <c r="BCI77" s="88"/>
      <c r="BCJ77" s="88"/>
      <c r="BCK77" s="88"/>
      <c r="BCL77" s="88"/>
      <c r="BCM77" s="88"/>
      <c r="BCN77" s="88"/>
      <c r="BCO77" s="88"/>
      <c r="BCP77" s="88"/>
      <c r="BCQ77" s="88"/>
      <c r="BCR77" s="88"/>
      <c r="BCS77" s="88"/>
      <c r="BCT77" s="88"/>
      <c r="BCU77" s="88"/>
      <c r="BCV77" s="88"/>
      <c r="BCW77" s="88"/>
      <c r="BCX77" s="88"/>
      <c r="BCY77" s="88"/>
      <c r="BCZ77" s="88"/>
      <c r="BDA77" s="88"/>
      <c r="BDB77" s="88"/>
      <c r="BDC77" s="88"/>
      <c r="BDD77" s="88"/>
      <c r="BDE77" s="88"/>
      <c r="BDF77" s="88"/>
      <c r="BDG77" s="88"/>
      <c r="BDH77" s="88"/>
      <c r="BDI77" s="88"/>
      <c r="BDJ77" s="88"/>
      <c r="BDK77" s="88"/>
      <c r="BDL77" s="88"/>
      <c r="BDM77" s="88"/>
      <c r="BDN77" s="88"/>
      <c r="BDO77" s="88"/>
      <c r="BDP77" s="88"/>
      <c r="BDQ77" s="88"/>
      <c r="BDR77" s="88"/>
      <c r="BDS77" s="88"/>
      <c r="BDT77" s="88"/>
      <c r="BDU77" s="88"/>
      <c r="BDV77" s="88"/>
      <c r="BDW77" s="88"/>
      <c r="BDX77" s="88"/>
      <c r="BDY77" s="88"/>
      <c r="BDZ77" s="88"/>
      <c r="BEA77" s="88"/>
      <c r="BEB77" s="88"/>
      <c r="BEC77" s="88"/>
      <c r="BED77" s="88"/>
      <c r="BEE77" s="88"/>
      <c r="BEF77" s="88"/>
      <c r="BEG77" s="88"/>
      <c r="BEH77" s="88"/>
      <c r="BEI77" s="88"/>
      <c r="BEJ77" s="88"/>
      <c r="BEK77" s="88"/>
      <c r="BEL77" s="88"/>
      <c r="BEM77" s="88"/>
      <c r="BEN77" s="88"/>
      <c r="BEO77" s="88"/>
      <c r="BEP77" s="88"/>
      <c r="BEQ77" s="88"/>
      <c r="BER77" s="88"/>
      <c r="BES77" s="88"/>
      <c r="BET77" s="88"/>
      <c r="BEU77" s="88"/>
      <c r="BEV77" s="88"/>
      <c r="BEW77" s="88"/>
      <c r="BEX77" s="88"/>
      <c r="BEY77" s="88"/>
      <c r="BEZ77" s="88"/>
      <c r="BFA77" s="88"/>
      <c r="BFB77" s="88"/>
      <c r="BFC77" s="88"/>
      <c r="BFD77" s="88"/>
      <c r="BFE77" s="88"/>
      <c r="BFF77" s="88"/>
      <c r="BFG77" s="88"/>
      <c r="BFH77" s="88"/>
      <c r="BFI77" s="88"/>
      <c r="BFJ77" s="88"/>
      <c r="BFK77" s="88"/>
      <c r="BFL77" s="88"/>
      <c r="BFM77" s="88"/>
      <c r="BFN77" s="88"/>
      <c r="BFO77" s="88"/>
      <c r="BFP77" s="88"/>
      <c r="BFQ77" s="88"/>
      <c r="BFR77" s="88"/>
      <c r="BFS77" s="88"/>
      <c r="BFT77" s="88"/>
      <c r="BFU77" s="88"/>
      <c r="BFV77" s="88"/>
      <c r="BFW77" s="88"/>
      <c r="BFX77" s="88"/>
      <c r="BFY77" s="88"/>
      <c r="BFZ77" s="88"/>
      <c r="BGA77" s="88"/>
      <c r="BGB77" s="88"/>
      <c r="BGC77" s="88"/>
      <c r="BGD77" s="88"/>
      <c r="BGE77" s="88"/>
      <c r="BGF77" s="88"/>
      <c r="BGG77" s="88"/>
      <c r="BGH77" s="88"/>
      <c r="BGI77" s="88"/>
      <c r="BGJ77" s="88"/>
      <c r="BGK77" s="88"/>
      <c r="BGL77" s="88"/>
      <c r="BGM77" s="88"/>
      <c r="BGN77" s="88"/>
      <c r="BGO77" s="88"/>
      <c r="BGP77" s="88"/>
      <c r="BGQ77" s="88"/>
      <c r="BGR77" s="88"/>
      <c r="BGS77" s="88"/>
      <c r="BGT77" s="88"/>
      <c r="BGU77" s="88"/>
      <c r="BGV77" s="88"/>
      <c r="BGW77" s="88"/>
      <c r="BGX77" s="88"/>
      <c r="BGY77" s="88"/>
      <c r="BGZ77" s="88"/>
      <c r="BHA77" s="88"/>
      <c r="BHB77" s="88"/>
      <c r="BHC77" s="88"/>
      <c r="BHD77" s="88"/>
      <c r="BHE77" s="88"/>
      <c r="BHF77" s="88"/>
      <c r="BHG77" s="88"/>
      <c r="BHH77" s="88"/>
      <c r="BHI77" s="88"/>
      <c r="BHJ77" s="88"/>
      <c r="BHK77" s="88"/>
      <c r="BHL77" s="88"/>
      <c r="BHM77" s="88"/>
      <c r="BHN77" s="88"/>
      <c r="BHO77" s="88"/>
      <c r="BHP77" s="88"/>
      <c r="BHQ77" s="88"/>
      <c r="BHR77" s="88"/>
      <c r="BHS77" s="88"/>
      <c r="BHT77" s="88"/>
      <c r="BHU77" s="88"/>
      <c r="BHV77" s="88"/>
      <c r="BHW77" s="88"/>
      <c r="BHX77" s="88"/>
      <c r="BHY77" s="88"/>
      <c r="BHZ77" s="88"/>
      <c r="BIA77" s="88"/>
      <c r="BIB77" s="88"/>
      <c r="BIC77" s="88"/>
      <c r="BID77" s="88"/>
      <c r="BIE77" s="88"/>
      <c r="BIF77" s="88"/>
      <c r="BIG77" s="88"/>
      <c r="BIH77" s="88"/>
      <c r="BII77" s="88"/>
      <c r="BIJ77" s="88"/>
      <c r="BIK77" s="88"/>
      <c r="BIL77" s="88"/>
      <c r="BIM77" s="88"/>
      <c r="BIN77" s="88"/>
      <c r="BIO77" s="88"/>
      <c r="BIP77" s="88"/>
      <c r="BIQ77" s="88"/>
      <c r="BIR77" s="88"/>
      <c r="BIS77" s="88"/>
      <c r="BIT77" s="88"/>
      <c r="BIU77" s="88"/>
      <c r="BIV77" s="88"/>
      <c r="BIW77" s="88"/>
      <c r="BIX77" s="88"/>
      <c r="BIY77" s="88"/>
      <c r="BIZ77" s="88"/>
      <c r="BJA77" s="88"/>
      <c r="BJB77" s="88"/>
      <c r="BJC77" s="88"/>
      <c r="BJD77" s="88"/>
      <c r="BJE77" s="88"/>
      <c r="BJF77" s="88"/>
      <c r="BJG77" s="88"/>
      <c r="BJH77" s="88"/>
      <c r="BJI77" s="88"/>
      <c r="BJJ77" s="88"/>
      <c r="BJK77" s="88"/>
      <c r="BJL77" s="88"/>
      <c r="BJM77" s="88"/>
      <c r="BJN77" s="88"/>
      <c r="BJO77" s="88"/>
      <c r="BJP77" s="88"/>
      <c r="BJQ77" s="88"/>
      <c r="BJR77" s="88"/>
      <c r="BJS77" s="88"/>
      <c r="BJT77" s="88"/>
      <c r="BJU77" s="88"/>
      <c r="BJV77" s="88"/>
      <c r="BJW77" s="88"/>
      <c r="BJX77" s="88"/>
      <c r="BJY77" s="88"/>
      <c r="BJZ77" s="88"/>
      <c r="BKA77" s="88"/>
      <c r="BKB77" s="88"/>
      <c r="BKC77" s="88"/>
      <c r="BKD77" s="88"/>
      <c r="BKE77" s="88"/>
      <c r="BKF77" s="88"/>
      <c r="BKG77" s="88"/>
      <c r="BKH77" s="88"/>
      <c r="BKI77" s="88"/>
      <c r="BKJ77" s="88"/>
      <c r="BKK77" s="88"/>
      <c r="BKL77" s="88"/>
      <c r="BKM77" s="88"/>
      <c r="BKN77" s="88"/>
      <c r="BKO77" s="88"/>
      <c r="BKP77" s="88"/>
      <c r="BKQ77" s="88"/>
      <c r="BKR77" s="88"/>
      <c r="BKS77" s="88"/>
      <c r="BKT77" s="88"/>
      <c r="BKU77" s="88"/>
      <c r="BKV77" s="88"/>
      <c r="BKW77" s="88"/>
      <c r="BKX77" s="88"/>
      <c r="BKY77" s="88"/>
      <c r="BKZ77" s="88"/>
      <c r="BLA77" s="88"/>
      <c r="BLB77" s="88"/>
      <c r="BLC77" s="88"/>
      <c r="BLD77" s="88"/>
      <c r="BLE77" s="88"/>
      <c r="BLF77" s="88"/>
      <c r="BLG77" s="88"/>
      <c r="BLH77" s="88"/>
      <c r="BLI77" s="88"/>
      <c r="BLJ77" s="88"/>
      <c r="BLK77" s="88"/>
      <c r="BLL77" s="88"/>
      <c r="BLM77" s="88"/>
      <c r="BLN77" s="88"/>
      <c r="BLO77" s="88"/>
      <c r="BLP77" s="88"/>
      <c r="BLQ77" s="88"/>
      <c r="BLR77" s="88"/>
      <c r="BLS77" s="88"/>
      <c r="BLT77" s="88"/>
      <c r="BLU77" s="88"/>
      <c r="BLV77" s="88"/>
      <c r="BLW77" s="88"/>
      <c r="BLX77" s="88"/>
      <c r="BLY77" s="88"/>
      <c r="BLZ77" s="88"/>
      <c r="BMA77" s="88"/>
      <c r="BMB77" s="88"/>
      <c r="BMC77" s="88"/>
      <c r="BMD77" s="88"/>
      <c r="BME77" s="88"/>
      <c r="BMF77" s="88"/>
      <c r="BMG77" s="88"/>
      <c r="BMH77" s="88"/>
      <c r="BMI77" s="88"/>
      <c r="BMJ77" s="88"/>
      <c r="BMK77" s="88"/>
      <c r="BML77" s="88"/>
      <c r="BMM77" s="88"/>
      <c r="BMN77" s="88"/>
      <c r="BMO77" s="88"/>
      <c r="BMP77" s="88"/>
      <c r="BMQ77" s="88"/>
      <c r="BMR77" s="88"/>
      <c r="BMS77" s="88"/>
      <c r="BMT77" s="88"/>
      <c r="BMU77" s="88"/>
      <c r="BMV77" s="88"/>
      <c r="BMW77" s="88"/>
      <c r="BMX77" s="88"/>
      <c r="BMY77" s="88"/>
      <c r="BMZ77" s="88"/>
      <c r="BNA77" s="88"/>
      <c r="BNB77" s="88"/>
      <c r="BNC77" s="88"/>
      <c r="BND77" s="88"/>
      <c r="BNE77" s="88"/>
      <c r="BNF77" s="88"/>
      <c r="BNG77" s="88"/>
      <c r="BNH77" s="88"/>
      <c r="BNI77" s="88"/>
      <c r="BNJ77" s="88"/>
      <c r="BNK77" s="88"/>
      <c r="BNL77" s="88"/>
      <c r="BNM77" s="88"/>
      <c r="BNN77" s="88"/>
      <c r="BNO77" s="88"/>
      <c r="BNP77" s="88"/>
      <c r="BNQ77" s="88"/>
      <c r="BNR77" s="88"/>
      <c r="BNS77" s="88"/>
      <c r="BNT77" s="88"/>
      <c r="BNU77" s="88"/>
      <c r="BNV77" s="88"/>
      <c r="BNW77" s="88"/>
      <c r="BNX77" s="88"/>
      <c r="BNY77" s="88"/>
      <c r="BNZ77" s="88"/>
      <c r="BOA77" s="88"/>
      <c r="BOB77" s="88"/>
      <c r="BOC77" s="88"/>
      <c r="BOD77" s="88"/>
      <c r="BOE77" s="88"/>
      <c r="BOF77" s="88"/>
      <c r="BOG77" s="88"/>
      <c r="BOH77" s="88"/>
      <c r="BOI77" s="88"/>
      <c r="BOJ77" s="88"/>
      <c r="BOK77" s="88"/>
      <c r="BOL77" s="88"/>
      <c r="BOM77" s="88"/>
      <c r="BON77" s="88"/>
      <c r="BOO77" s="88"/>
      <c r="BOP77" s="88"/>
      <c r="BOQ77" s="88"/>
      <c r="BOR77" s="88"/>
      <c r="BOS77" s="88"/>
      <c r="BOT77" s="88"/>
      <c r="BOU77" s="88"/>
      <c r="BOV77" s="88"/>
      <c r="BOW77" s="88"/>
      <c r="BOX77" s="88"/>
      <c r="BOY77" s="88"/>
      <c r="BOZ77" s="88"/>
      <c r="BPA77" s="88"/>
      <c r="BPB77" s="88"/>
      <c r="BPC77" s="88"/>
      <c r="BPD77" s="88"/>
      <c r="BPE77" s="88"/>
      <c r="BPF77" s="88"/>
      <c r="BPG77" s="88"/>
      <c r="BPH77" s="88"/>
      <c r="BPI77" s="88"/>
      <c r="BPJ77" s="88"/>
      <c r="BPK77" s="88"/>
      <c r="BPL77" s="88"/>
      <c r="BPM77" s="88"/>
      <c r="BPN77" s="88"/>
      <c r="BPO77" s="88"/>
      <c r="BPP77" s="88"/>
      <c r="BPQ77" s="88"/>
      <c r="BPR77" s="88"/>
      <c r="BPS77" s="88"/>
      <c r="BPT77" s="88"/>
      <c r="BPU77" s="88"/>
      <c r="BPV77" s="88"/>
      <c r="BPW77" s="88"/>
      <c r="BPX77" s="88"/>
      <c r="BPY77" s="88"/>
      <c r="BPZ77" s="88"/>
      <c r="BQA77" s="88"/>
      <c r="BQB77" s="88"/>
      <c r="BQC77" s="88"/>
      <c r="BQD77" s="88"/>
      <c r="BQE77" s="88"/>
      <c r="BQF77" s="88"/>
      <c r="BQG77" s="88"/>
      <c r="BQH77" s="88"/>
      <c r="BQI77" s="88"/>
      <c r="BQJ77" s="88"/>
      <c r="BQK77" s="88"/>
      <c r="BQL77" s="88"/>
      <c r="BQM77" s="88"/>
      <c r="BQN77" s="88"/>
      <c r="BQO77" s="88"/>
      <c r="BQP77" s="88"/>
      <c r="BQQ77" s="88"/>
      <c r="BQR77" s="88"/>
      <c r="BQS77" s="88"/>
      <c r="BQT77" s="88"/>
      <c r="BQU77" s="88"/>
      <c r="BQV77" s="88"/>
      <c r="BQW77" s="88"/>
      <c r="BQX77" s="88"/>
      <c r="BQY77" s="88"/>
      <c r="BQZ77" s="88"/>
      <c r="BRA77" s="88"/>
      <c r="BRB77" s="88"/>
      <c r="BRC77" s="88"/>
      <c r="BRD77" s="88"/>
      <c r="BRE77" s="88"/>
      <c r="BRF77" s="88"/>
      <c r="BRG77" s="88"/>
      <c r="BRH77" s="88"/>
      <c r="BRI77" s="88"/>
      <c r="BRJ77" s="88"/>
      <c r="BRK77" s="88"/>
      <c r="BRL77" s="88"/>
      <c r="BRM77" s="88"/>
      <c r="BRN77" s="88"/>
      <c r="BRO77" s="88"/>
      <c r="BRP77" s="88"/>
      <c r="BRQ77" s="88"/>
      <c r="BRR77" s="88"/>
      <c r="BRS77" s="88"/>
      <c r="BRT77" s="88"/>
      <c r="BRU77" s="88"/>
      <c r="BRV77" s="88"/>
      <c r="BRW77" s="88"/>
      <c r="BRX77" s="88"/>
      <c r="BRY77" s="88"/>
      <c r="BRZ77" s="88"/>
      <c r="BSA77" s="88"/>
      <c r="BSB77" s="88"/>
      <c r="BSC77" s="88"/>
      <c r="BSD77" s="88"/>
      <c r="BSE77" s="88"/>
      <c r="BSF77" s="88"/>
      <c r="BSG77" s="88"/>
      <c r="BSH77" s="88"/>
      <c r="BSI77" s="88"/>
      <c r="BSJ77" s="88"/>
      <c r="BSK77" s="88"/>
      <c r="BSL77" s="88"/>
      <c r="BSM77" s="88"/>
      <c r="BSN77" s="88"/>
      <c r="BSO77" s="88"/>
      <c r="BSP77" s="88"/>
      <c r="BSQ77" s="88"/>
      <c r="BSR77" s="88"/>
      <c r="BSS77" s="88"/>
      <c r="BST77" s="88"/>
      <c r="BSU77" s="88"/>
      <c r="BSV77" s="88"/>
      <c r="BSW77" s="88"/>
      <c r="BSX77" s="88"/>
      <c r="BSY77" s="88"/>
      <c r="BSZ77" s="88"/>
      <c r="BTA77" s="88"/>
      <c r="BTB77" s="88"/>
      <c r="BTC77" s="88"/>
      <c r="BTD77" s="88"/>
      <c r="BTE77" s="88"/>
      <c r="BTF77" s="88"/>
      <c r="BTG77" s="88"/>
      <c r="BTH77" s="88"/>
      <c r="BTI77" s="88"/>
      <c r="BTJ77" s="88"/>
      <c r="BTK77" s="88"/>
      <c r="BTL77" s="88"/>
      <c r="BTM77" s="88"/>
      <c r="BTN77" s="88"/>
      <c r="BTO77" s="88"/>
      <c r="BTP77" s="88"/>
      <c r="BTQ77" s="88"/>
      <c r="BTR77" s="88"/>
      <c r="BTS77" s="88"/>
      <c r="BTT77" s="88"/>
      <c r="BTU77" s="88"/>
      <c r="BTV77" s="88"/>
      <c r="BTW77" s="88"/>
      <c r="BTX77" s="88"/>
      <c r="BTY77" s="88"/>
      <c r="BTZ77" s="88"/>
      <c r="BUA77" s="88"/>
      <c r="BUB77" s="88"/>
      <c r="BUC77" s="88"/>
      <c r="BUD77" s="88"/>
      <c r="BUE77" s="88"/>
      <c r="BUF77" s="88"/>
      <c r="BUG77" s="88"/>
      <c r="BUH77" s="88"/>
      <c r="BUI77" s="88"/>
      <c r="BUJ77" s="88"/>
      <c r="BUK77" s="88"/>
      <c r="BUL77" s="88"/>
      <c r="BUM77" s="88"/>
      <c r="BUN77" s="88"/>
      <c r="BUO77" s="88"/>
      <c r="BUP77" s="88"/>
      <c r="BUQ77" s="88"/>
      <c r="BUR77" s="88"/>
      <c r="BUS77" s="88"/>
      <c r="BUT77" s="88"/>
      <c r="BUU77" s="88"/>
      <c r="BUV77" s="88"/>
      <c r="BUW77" s="88"/>
      <c r="BUX77" s="88"/>
      <c r="BUY77" s="88"/>
      <c r="BUZ77" s="88"/>
      <c r="BVA77" s="88"/>
      <c r="BVB77" s="88"/>
      <c r="BVC77" s="88"/>
      <c r="BVD77" s="88"/>
      <c r="BVE77" s="88"/>
      <c r="BVF77" s="88"/>
      <c r="BVG77" s="88"/>
      <c r="BVH77" s="88"/>
      <c r="BVI77" s="88"/>
      <c r="BVJ77" s="88"/>
      <c r="BVK77" s="88"/>
      <c r="BVL77" s="88"/>
      <c r="BVM77" s="88"/>
      <c r="BVN77" s="88"/>
      <c r="BVO77" s="88"/>
      <c r="BVP77" s="88"/>
      <c r="BVQ77" s="88"/>
      <c r="BVR77" s="88"/>
      <c r="BVS77" s="88"/>
      <c r="BVT77" s="88"/>
      <c r="BVU77" s="88"/>
      <c r="BVV77" s="88"/>
      <c r="BVW77" s="88"/>
      <c r="BVX77" s="88"/>
      <c r="BVY77" s="88"/>
      <c r="BVZ77" s="88"/>
      <c r="BWA77" s="88"/>
      <c r="BWB77" s="88"/>
      <c r="BWC77" s="88"/>
      <c r="BWD77" s="88"/>
      <c r="BWE77" s="88"/>
      <c r="BWF77" s="88"/>
      <c r="BWG77" s="88"/>
      <c r="BWH77" s="88"/>
      <c r="BWI77" s="88"/>
      <c r="BWJ77" s="88"/>
      <c r="BWK77" s="88"/>
      <c r="BWL77" s="88"/>
      <c r="BWM77" s="88"/>
      <c r="BWN77" s="88"/>
      <c r="BWO77" s="88"/>
      <c r="BWP77" s="88"/>
      <c r="BWQ77" s="88"/>
      <c r="BWR77" s="88"/>
      <c r="BWS77" s="88"/>
      <c r="BWT77" s="88"/>
      <c r="BWU77" s="88"/>
      <c r="BWV77" s="88"/>
      <c r="BWW77" s="88"/>
      <c r="BWX77" s="88"/>
      <c r="BWY77" s="88"/>
      <c r="BWZ77" s="88"/>
      <c r="BXA77" s="88"/>
      <c r="BXB77" s="88"/>
      <c r="BXC77" s="88"/>
      <c r="BXD77" s="88"/>
      <c r="BXE77" s="88"/>
      <c r="BXF77" s="88"/>
      <c r="BXG77" s="88"/>
      <c r="BXH77" s="88"/>
      <c r="BXI77" s="88"/>
      <c r="BXJ77" s="88"/>
      <c r="BXK77" s="88"/>
      <c r="BXL77" s="88"/>
      <c r="BXM77" s="88"/>
      <c r="BXN77" s="88"/>
      <c r="BXO77" s="88"/>
      <c r="BXP77" s="88"/>
      <c r="BXQ77" s="88"/>
      <c r="BXR77" s="88"/>
      <c r="BXS77" s="88"/>
      <c r="BXT77" s="88"/>
      <c r="BXU77" s="88"/>
      <c r="BXV77" s="88"/>
      <c r="BXW77" s="88"/>
      <c r="BXX77" s="88"/>
      <c r="BXY77" s="88"/>
      <c r="BXZ77" s="88"/>
      <c r="BYA77" s="88"/>
      <c r="BYB77" s="88"/>
      <c r="BYC77" s="88"/>
      <c r="BYD77" s="88"/>
      <c r="BYE77" s="88"/>
      <c r="BYF77" s="88"/>
      <c r="BYG77" s="88"/>
      <c r="BYH77" s="88"/>
      <c r="BYI77" s="88"/>
      <c r="BYJ77" s="88"/>
      <c r="BYK77" s="88"/>
      <c r="BYL77" s="88"/>
      <c r="BYM77" s="88"/>
      <c r="BYN77" s="88"/>
      <c r="BYO77" s="88"/>
      <c r="BYP77" s="88"/>
      <c r="BYQ77" s="88"/>
      <c r="BYR77" s="88"/>
      <c r="BYS77" s="88"/>
      <c r="BYT77" s="88"/>
      <c r="BYU77" s="88"/>
      <c r="BYV77" s="88"/>
      <c r="BYW77" s="88"/>
      <c r="BYX77" s="88"/>
      <c r="BYY77" s="88"/>
      <c r="BYZ77" s="88"/>
      <c r="BZA77" s="88"/>
      <c r="BZB77" s="88"/>
      <c r="BZC77" s="88"/>
      <c r="BZD77" s="88"/>
      <c r="BZE77" s="88"/>
      <c r="BZF77" s="88"/>
      <c r="BZG77" s="88"/>
      <c r="BZH77" s="88"/>
      <c r="BZI77" s="88"/>
      <c r="BZJ77" s="88"/>
      <c r="BZK77" s="88"/>
      <c r="BZL77" s="88"/>
      <c r="BZM77" s="88"/>
      <c r="BZN77" s="88"/>
      <c r="BZO77" s="88"/>
      <c r="BZP77" s="88"/>
      <c r="BZQ77" s="88"/>
      <c r="BZR77" s="88"/>
      <c r="BZS77" s="88"/>
      <c r="BZT77" s="88"/>
      <c r="BZU77" s="88"/>
      <c r="BZV77" s="88"/>
      <c r="BZW77" s="88"/>
      <c r="BZX77" s="88"/>
      <c r="BZY77" s="88"/>
      <c r="BZZ77" s="88"/>
      <c r="CAA77" s="88"/>
      <c r="CAB77" s="88"/>
      <c r="CAC77" s="88"/>
      <c r="CAD77" s="88"/>
      <c r="CAE77" s="88"/>
      <c r="CAF77" s="88"/>
      <c r="CAG77" s="88"/>
      <c r="CAH77" s="88"/>
      <c r="CAI77" s="88"/>
      <c r="CAJ77" s="88"/>
      <c r="CAK77" s="88"/>
      <c r="CAL77" s="88"/>
      <c r="CAM77" s="88"/>
      <c r="CAN77" s="88"/>
      <c r="CAO77" s="88"/>
      <c r="CAP77" s="88"/>
      <c r="CAQ77" s="88"/>
      <c r="CAR77" s="88"/>
      <c r="CAS77" s="88"/>
      <c r="CAT77" s="88"/>
      <c r="CAU77" s="88"/>
      <c r="CAV77" s="88"/>
      <c r="CAW77" s="88"/>
      <c r="CAX77" s="88"/>
      <c r="CAY77" s="88"/>
      <c r="CAZ77" s="88"/>
      <c r="CBA77" s="88"/>
      <c r="CBB77" s="88"/>
      <c r="CBC77" s="88"/>
      <c r="CBD77" s="88"/>
      <c r="CBE77" s="88"/>
      <c r="CBF77" s="88"/>
      <c r="CBG77" s="88"/>
      <c r="CBH77" s="88"/>
      <c r="CBI77" s="88"/>
      <c r="CBJ77" s="88"/>
      <c r="CBK77" s="88"/>
      <c r="CBL77" s="88"/>
      <c r="CBM77" s="88"/>
      <c r="CBN77" s="88"/>
      <c r="CBO77" s="88"/>
      <c r="CBP77" s="88"/>
      <c r="CBQ77" s="88"/>
      <c r="CBR77" s="88"/>
      <c r="CBS77" s="88"/>
      <c r="CBT77" s="88"/>
      <c r="CBU77" s="88"/>
      <c r="CBV77" s="88"/>
      <c r="CBW77" s="88"/>
      <c r="CBX77" s="88"/>
      <c r="CBY77" s="88"/>
      <c r="CBZ77" s="88"/>
      <c r="CCA77" s="88"/>
      <c r="CCB77" s="88"/>
      <c r="CCC77" s="88"/>
      <c r="CCD77" s="88"/>
      <c r="CCE77" s="88"/>
      <c r="CCF77" s="88"/>
      <c r="CCG77" s="88"/>
      <c r="CCH77" s="88"/>
      <c r="CCI77" s="88"/>
      <c r="CCJ77" s="88"/>
      <c r="CCK77" s="88"/>
      <c r="CCL77" s="88"/>
      <c r="CCM77" s="88"/>
      <c r="CCN77" s="88"/>
      <c r="CCO77" s="88"/>
      <c r="CCP77" s="88"/>
      <c r="CCQ77" s="88"/>
      <c r="CCR77" s="88"/>
      <c r="CCS77" s="88"/>
      <c r="CCT77" s="88"/>
      <c r="CCU77" s="88"/>
      <c r="CCV77" s="88"/>
      <c r="CCW77" s="88"/>
      <c r="CCX77" s="88"/>
      <c r="CCY77" s="88"/>
      <c r="CCZ77" s="88"/>
      <c r="CDA77" s="88"/>
      <c r="CDB77" s="88"/>
      <c r="CDC77" s="88"/>
      <c r="CDD77" s="88"/>
      <c r="CDE77" s="88"/>
      <c r="CDF77" s="88"/>
      <c r="CDG77" s="88"/>
      <c r="CDH77" s="88"/>
      <c r="CDI77" s="88"/>
      <c r="CDJ77" s="88"/>
      <c r="CDK77" s="88"/>
      <c r="CDL77" s="88"/>
      <c r="CDM77" s="88"/>
      <c r="CDN77" s="88"/>
      <c r="CDO77" s="88"/>
      <c r="CDP77" s="88"/>
      <c r="CDQ77" s="88"/>
      <c r="CDR77" s="88"/>
      <c r="CDS77" s="88"/>
      <c r="CDT77" s="88"/>
      <c r="CDU77" s="88"/>
      <c r="CDV77" s="88"/>
      <c r="CDW77" s="88"/>
      <c r="CDX77" s="88"/>
      <c r="CDY77" s="88"/>
      <c r="CDZ77" s="88"/>
      <c r="CEA77" s="88"/>
      <c r="CEB77" s="88"/>
      <c r="CEC77" s="88"/>
      <c r="CED77" s="88"/>
      <c r="CEE77" s="88"/>
      <c r="CEF77" s="88"/>
      <c r="CEG77" s="88"/>
      <c r="CEH77" s="88"/>
      <c r="CEI77" s="88"/>
      <c r="CEJ77" s="88"/>
      <c r="CEK77" s="88"/>
    </row>
    <row r="78" spans="1:2169" s="63" customFormat="1">
      <c r="A78" s="73" t="s">
        <v>433</v>
      </c>
      <c r="B78" s="73" t="s">
        <v>504</v>
      </c>
      <c r="C78" s="68" t="str">
        <f>IF('page 2'!$O$4="","",IF('page 2'!$O$4=Gestion!A78,1,0))</f>
        <v/>
      </c>
      <c r="D78" s="68" t="str">
        <f>IF('page 2'!$O$5="","",IF('page 2'!$O$5=Gestion!A78,1,0))</f>
        <v/>
      </c>
      <c r="E78" s="68" t="str">
        <f>IF('page 2'!$O$6="","",IF('page 2'!$O$6=Gestion!A78,1,0))</f>
        <v/>
      </c>
      <c r="F78" s="68" t="str">
        <f>IF('page 2'!$O$7="","",IF('page 2'!$O$7=Gestion!A78,1,0))</f>
        <v/>
      </c>
      <c r="G78" s="68" t="str">
        <f>IF('page 2'!$O$8="","",IF('page 2'!$O$8=Gestion!A78,1,0))</f>
        <v/>
      </c>
      <c r="H78" s="68" t="str">
        <f>IF('page 2'!$O$9="","",IF('page 2'!$O$9=Gestion!A78,1,0))</f>
        <v/>
      </c>
      <c r="I78" s="68" t="str">
        <f>IF('page 2'!$O$10="","",IF('page 2'!$O$10=Gestion!A78,1,0))</f>
        <v/>
      </c>
      <c r="J78" s="68" t="str">
        <f>IF('page 2'!$O$11="","",IF('page 2'!$O$11=Gestion!A78,1,0))</f>
        <v/>
      </c>
      <c r="K78" s="68" t="str">
        <f>IF('page 2'!$O$12="","",IF('page 2'!$O$12=Gestion!A78,1,0))</f>
        <v/>
      </c>
      <c r="L78" s="68" t="str">
        <f>IF('page 2'!$O$13="","",IF('page 2'!$O$13=Gestion!A78,1,0))</f>
        <v/>
      </c>
      <c r="M78" s="68" t="str">
        <f>IF('page 2'!$O$14="","",IF('page 2'!$O$14=Gestion!A78,1,0))</f>
        <v/>
      </c>
      <c r="N78" s="68" t="str">
        <f>IF('page 2'!$O$15="","",IF('page 2'!$O$15=Gestion!A78,1,0))</f>
        <v/>
      </c>
      <c r="O78" s="68" t="str">
        <f>IF('page 2'!$O$16="","",IF('page 2'!$O$16=Gestion!A78,1,0))</f>
        <v/>
      </c>
      <c r="P78" s="68" t="str">
        <f>IF('page 2'!$O$17="","",IF('page 2'!$O$17=Gestion!A78,1,0))</f>
        <v/>
      </c>
      <c r="Q78" s="68" t="str">
        <f>IF('page 2'!$O$18="","",IF('page 2'!$O$18=Gestion!A78,1,0))</f>
        <v/>
      </c>
      <c r="R78" s="68" t="str">
        <f>IF('page 2'!$O$19="","",IF('page 2'!$O$19=Gestion!A78,1,0))</f>
        <v/>
      </c>
      <c r="S78" s="68" t="str">
        <f>IF('page 2'!$O$20="","",IF('page 2'!$O$20=Gestion!A78,1,0))</f>
        <v/>
      </c>
      <c r="T78" s="68" t="str">
        <f>IF('page 2'!$O$25="","",IF('page 2'!$O$25=Gestion!A78,1,0))</f>
        <v/>
      </c>
      <c r="U78" s="68" t="str">
        <f>IF('page 2'!$O$26="","",IF('page 2'!$O$26=Gestion!A78,1,0))</f>
        <v/>
      </c>
      <c r="V78" s="68" t="str">
        <f>IF('page 2'!$O$27="","",IF('page 2'!$O$27=Gestion!A78,1,0))</f>
        <v/>
      </c>
      <c r="W78" s="722">
        <f t="shared" si="0"/>
        <v>0</v>
      </c>
      <c r="X78" s="714"/>
      <c r="Y78" s="68"/>
      <c r="Z78" s="68"/>
      <c r="AA78" s="68"/>
      <c r="AB78" s="68"/>
      <c r="AC78" s="68"/>
      <c r="AD78" s="68"/>
      <c r="AP78" s="130"/>
      <c r="AQ78" s="130"/>
      <c r="AR78" s="130"/>
      <c r="AS78" s="576"/>
      <c r="AT78" s="576"/>
      <c r="AU78" s="576"/>
      <c r="AV78" s="576"/>
      <c r="AW78" s="602"/>
      <c r="AX78" s="602"/>
      <c r="AY78" s="576"/>
      <c r="AZ78" s="576"/>
      <c r="BA78" s="576"/>
      <c r="BB78" s="576"/>
      <c r="BC78" s="576"/>
      <c r="BD78" s="602"/>
      <c r="BE78" s="602"/>
      <c r="BF78" s="602"/>
      <c r="BG78" s="602"/>
      <c r="BH78" s="602"/>
      <c r="BI78" s="602"/>
      <c r="BJ78" s="602"/>
      <c r="BK78" s="602"/>
      <c r="BL78" s="602"/>
      <c r="BM78" s="602"/>
      <c r="BN78" s="602"/>
      <c r="BO78" s="602"/>
      <c r="BP78" s="602"/>
      <c r="BQ78" s="602"/>
      <c r="BR78" s="602"/>
      <c r="BS78" s="576"/>
      <c r="BT78" s="576"/>
      <c r="BU78" s="576"/>
      <c r="BV78" s="576"/>
      <c r="BW78" s="602"/>
      <c r="BX78" s="602"/>
      <c r="BY78" s="602"/>
      <c r="BZ78" s="576"/>
      <c r="CA78" s="602"/>
      <c r="CB78" s="602"/>
      <c r="CC78" s="576"/>
      <c r="CD78" s="576"/>
      <c r="CE78" s="602"/>
      <c r="CF78" s="576"/>
      <c r="CG78" s="576"/>
      <c r="CH78" s="576"/>
      <c r="CI78" s="576"/>
      <c r="CJ78" s="576"/>
      <c r="CK78" s="602"/>
      <c r="CL78" s="602"/>
      <c r="CM78" s="576"/>
      <c r="CN78" s="602"/>
      <c r="CO78" s="602"/>
      <c r="CP78" s="602"/>
      <c r="CQ78" s="576"/>
      <c r="CR78" s="576"/>
      <c r="CS78" s="602"/>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c r="IW78" s="88"/>
      <c r="IX78" s="88"/>
      <c r="IY78" s="88"/>
      <c r="IZ78" s="88"/>
      <c r="JA78" s="88"/>
      <c r="JB78" s="88"/>
      <c r="JC78" s="88"/>
      <c r="JD78" s="88"/>
      <c r="JE78" s="88"/>
      <c r="JF78" s="88"/>
      <c r="JG78" s="88"/>
      <c r="JH78" s="88"/>
      <c r="JI78" s="88"/>
      <c r="JJ78" s="88"/>
      <c r="JK78" s="88"/>
      <c r="JL78" s="88"/>
      <c r="JM78" s="88"/>
      <c r="JN78" s="88"/>
      <c r="JO78" s="88"/>
      <c r="JP78" s="88"/>
      <c r="JQ78" s="88"/>
      <c r="JR78" s="88"/>
      <c r="JS78" s="88"/>
      <c r="JT78" s="88"/>
      <c r="JU78" s="88"/>
      <c r="JV78" s="88"/>
      <c r="JW78" s="88"/>
      <c r="JX78" s="88"/>
      <c r="JY78" s="88"/>
      <c r="JZ78" s="88"/>
      <c r="KA78" s="88"/>
      <c r="KB78" s="88"/>
      <c r="KC78" s="88"/>
      <c r="KD78" s="88"/>
      <c r="KE78" s="88"/>
      <c r="KF78" s="88"/>
      <c r="KG78" s="88"/>
      <c r="KH78" s="88"/>
      <c r="KI78" s="88"/>
      <c r="KJ78" s="88"/>
      <c r="KK78" s="88"/>
      <c r="KL78" s="88"/>
      <c r="KM78" s="88"/>
      <c r="KN78" s="88"/>
      <c r="KO78" s="88"/>
      <c r="KP78" s="88"/>
      <c r="KQ78" s="88"/>
      <c r="KR78" s="88"/>
      <c r="KS78" s="88"/>
      <c r="KT78" s="88"/>
      <c r="KU78" s="88"/>
      <c r="KV78" s="88"/>
      <c r="KW78" s="88"/>
      <c r="KX78" s="88"/>
      <c r="KY78" s="88"/>
      <c r="KZ78" s="88"/>
      <c r="LA78" s="88"/>
      <c r="LB78" s="88"/>
      <c r="LC78" s="88"/>
      <c r="LD78" s="88"/>
      <c r="LE78" s="88"/>
      <c r="LF78" s="88"/>
      <c r="LG78" s="88"/>
      <c r="LH78" s="88"/>
      <c r="LI78" s="88"/>
      <c r="LJ78" s="88"/>
      <c r="LK78" s="88"/>
      <c r="LL78" s="88"/>
      <c r="LM78" s="88"/>
      <c r="LN78" s="88"/>
      <c r="LO78" s="88"/>
      <c r="LP78" s="88"/>
      <c r="LQ78" s="88"/>
      <c r="LR78" s="88"/>
      <c r="LS78" s="88"/>
      <c r="LT78" s="88"/>
      <c r="LU78" s="88"/>
      <c r="LV78" s="88"/>
      <c r="LW78" s="88"/>
      <c r="LX78" s="88"/>
      <c r="LY78" s="88"/>
      <c r="LZ78" s="88"/>
      <c r="MA78" s="88"/>
      <c r="MB78" s="88"/>
      <c r="MC78" s="88"/>
      <c r="MD78" s="88"/>
      <c r="ME78" s="88"/>
      <c r="MF78" s="88"/>
      <c r="MG78" s="88"/>
      <c r="MH78" s="88"/>
      <c r="MI78" s="88"/>
      <c r="MJ78" s="88"/>
      <c r="MK78" s="88"/>
      <c r="ML78" s="88"/>
      <c r="MM78" s="88"/>
      <c r="MN78" s="88"/>
      <c r="MO78" s="88"/>
      <c r="MP78" s="88"/>
      <c r="MQ78" s="88"/>
      <c r="MR78" s="88"/>
      <c r="MS78" s="88"/>
      <c r="MT78" s="88"/>
      <c r="MU78" s="88"/>
      <c r="MV78" s="88"/>
      <c r="MW78" s="88"/>
      <c r="MX78" s="88"/>
      <c r="MY78" s="88"/>
      <c r="MZ78" s="88"/>
      <c r="NA78" s="88"/>
      <c r="NB78" s="88"/>
      <c r="NC78" s="88"/>
      <c r="ND78" s="88"/>
      <c r="NE78" s="88"/>
      <c r="NF78" s="88"/>
      <c r="NG78" s="88"/>
      <c r="NH78" s="88"/>
      <c r="NI78" s="88"/>
      <c r="NJ78" s="88"/>
      <c r="NK78" s="88"/>
      <c r="NL78" s="88"/>
      <c r="NM78" s="88"/>
      <c r="NN78" s="88"/>
      <c r="NO78" s="88"/>
      <c r="NP78" s="88"/>
      <c r="NQ78" s="88"/>
      <c r="NR78" s="88"/>
      <c r="NS78" s="88"/>
      <c r="NT78" s="88"/>
      <c r="NU78" s="88"/>
      <c r="NV78" s="88"/>
      <c r="NW78" s="88"/>
      <c r="NX78" s="88"/>
      <c r="NY78" s="88"/>
      <c r="NZ78" s="88"/>
      <c r="OA78" s="88"/>
      <c r="OB78" s="88"/>
      <c r="OC78" s="88"/>
      <c r="OD78" s="88"/>
      <c r="OE78" s="88"/>
      <c r="OF78" s="88"/>
      <c r="OG78" s="88"/>
      <c r="OH78" s="88"/>
      <c r="OI78" s="88"/>
      <c r="OJ78" s="88"/>
      <c r="OK78" s="88"/>
      <c r="OL78" s="88"/>
      <c r="OM78" s="88"/>
      <c r="ON78" s="88"/>
      <c r="OO78" s="88"/>
      <c r="OP78" s="88"/>
      <c r="OQ78" s="88"/>
      <c r="OR78" s="88"/>
      <c r="OS78" s="88"/>
      <c r="OT78" s="88"/>
      <c r="OU78" s="88"/>
      <c r="OV78" s="88"/>
      <c r="OW78" s="88"/>
      <c r="OX78" s="88"/>
      <c r="OY78" s="88"/>
      <c r="OZ78" s="88"/>
      <c r="PA78" s="88"/>
      <c r="PB78" s="88"/>
      <c r="PC78" s="88"/>
      <c r="PD78" s="88"/>
      <c r="PE78" s="88"/>
      <c r="PF78" s="88"/>
      <c r="PG78" s="88"/>
      <c r="PH78" s="88"/>
      <c r="PI78" s="88"/>
      <c r="PJ78" s="88"/>
      <c r="PK78" s="88"/>
      <c r="PL78" s="88"/>
      <c r="PM78" s="88"/>
      <c r="PN78" s="88"/>
      <c r="PO78" s="88"/>
      <c r="PP78" s="88"/>
      <c r="PQ78" s="88"/>
      <c r="PR78" s="88"/>
      <c r="PS78" s="88"/>
      <c r="PT78" s="88"/>
      <c r="PU78" s="88"/>
      <c r="PV78" s="88"/>
      <c r="PW78" s="88"/>
      <c r="PX78" s="88"/>
      <c r="PY78" s="88"/>
      <c r="PZ78" s="88"/>
      <c r="QA78" s="88"/>
      <c r="QB78" s="88"/>
      <c r="QC78" s="88"/>
      <c r="QD78" s="88"/>
      <c r="QE78" s="88"/>
      <c r="QF78" s="88"/>
      <c r="QG78" s="88"/>
      <c r="QH78" s="88"/>
      <c r="QI78" s="88"/>
      <c r="QJ78" s="88"/>
      <c r="QK78" s="88"/>
      <c r="QL78" s="88"/>
      <c r="QM78" s="88"/>
      <c r="QN78" s="88"/>
      <c r="QO78" s="88"/>
      <c r="QP78" s="88"/>
      <c r="QQ78" s="88"/>
      <c r="QR78" s="88"/>
      <c r="QS78" s="88"/>
      <c r="QT78" s="88"/>
      <c r="QU78" s="88"/>
      <c r="QV78" s="88"/>
      <c r="QW78" s="88"/>
      <c r="QX78" s="88"/>
      <c r="QY78" s="88"/>
      <c r="QZ78" s="88"/>
      <c r="RA78" s="88"/>
      <c r="RB78" s="88"/>
      <c r="RC78" s="88"/>
      <c r="RD78" s="88"/>
      <c r="RE78" s="88"/>
      <c r="RF78" s="88"/>
      <c r="RG78" s="88"/>
      <c r="RH78" s="88"/>
      <c r="RI78" s="88"/>
      <c r="RJ78" s="88"/>
      <c r="RK78" s="88"/>
      <c r="RL78" s="88"/>
      <c r="RM78" s="88"/>
      <c r="RN78" s="88"/>
      <c r="RO78" s="88"/>
      <c r="RP78" s="88"/>
      <c r="RQ78" s="88"/>
      <c r="RR78" s="88"/>
      <c r="RS78" s="88"/>
      <c r="RT78" s="88"/>
      <c r="RU78" s="88"/>
      <c r="RV78" s="88"/>
      <c r="RW78" s="88"/>
      <c r="RX78" s="88"/>
      <c r="RY78" s="88"/>
      <c r="RZ78" s="88"/>
      <c r="SA78" s="88"/>
      <c r="SB78" s="88"/>
      <c r="SC78" s="88"/>
      <c r="SD78" s="88"/>
      <c r="SE78" s="88"/>
      <c r="SF78" s="88"/>
      <c r="SG78" s="88"/>
      <c r="SH78" s="88"/>
      <c r="SI78" s="88"/>
      <c r="SJ78" s="88"/>
      <c r="SK78" s="88"/>
      <c r="SL78" s="88"/>
      <c r="SM78" s="88"/>
      <c r="SN78" s="88"/>
      <c r="SO78" s="88"/>
      <c r="SP78" s="88"/>
      <c r="SQ78" s="88"/>
      <c r="SR78" s="88"/>
      <c r="SS78" s="88"/>
      <c r="ST78" s="88"/>
      <c r="SU78" s="88"/>
      <c r="SV78" s="88"/>
      <c r="SW78" s="88"/>
      <c r="SX78" s="88"/>
      <c r="SY78" s="88"/>
      <c r="SZ78" s="88"/>
      <c r="TA78" s="88"/>
      <c r="TB78" s="88"/>
      <c r="TC78" s="88"/>
      <c r="TD78" s="88"/>
      <c r="TE78" s="88"/>
      <c r="TF78" s="88"/>
      <c r="TG78" s="88"/>
      <c r="TH78" s="88"/>
      <c r="TI78" s="88"/>
      <c r="TJ78" s="88"/>
      <c r="TK78" s="88"/>
      <c r="TL78" s="88"/>
      <c r="TM78" s="88"/>
      <c r="TN78" s="88"/>
      <c r="TO78" s="88"/>
      <c r="TP78" s="88"/>
      <c r="TQ78" s="88"/>
      <c r="TR78" s="88"/>
      <c r="TS78" s="88"/>
      <c r="TT78" s="88"/>
      <c r="TU78" s="88"/>
      <c r="TV78" s="88"/>
      <c r="TW78" s="88"/>
      <c r="TX78" s="88"/>
      <c r="TY78" s="88"/>
      <c r="TZ78" s="88"/>
      <c r="UA78" s="88"/>
      <c r="UB78" s="88"/>
      <c r="UC78" s="88"/>
      <c r="UD78" s="88"/>
      <c r="UE78" s="88"/>
      <c r="UF78" s="88"/>
      <c r="UG78" s="88"/>
      <c r="UH78" s="88"/>
      <c r="UI78" s="88"/>
      <c r="UJ78" s="88"/>
      <c r="UK78" s="88"/>
      <c r="UL78" s="88"/>
      <c r="UM78" s="88"/>
      <c r="UN78" s="88"/>
      <c r="UO78" s="88"/>
      <c r="UP78" s="88"/>
      <c r="UQ78" s="88"/>
      <c r="UR78" s="88"/>
      <c r="US78" s="88"/>
      <c r="UT78" s="88"/>
      <c r="UU78" s="88"/>
      <c r="UV78" s="88"/>
      <c r="UW78" s="88"/>
      <c r="UX78" s="88"/>
      <c r="UY78" s="88"/>
      <c r="UZ78" s="88"/>
      <c r="VA78" s="88"/>
      <c r="VB78" s="88"/>
      <c r="VC78" s="88"/>
      <c r="VD78" s="88"/>
      <c r="VE78" s="88"/>
      <c r="VF78" s="88"/>
      <c r="VG78" s="88"/>
      <c r="VH78" s="88"/>
      <c r="VI78" s="88"/>
      <c r="VJ78" s="88"/>
      <c r="VK78" s="88"/>
      <c r="VL78" s="88"/>
      <c r="VM78" s="88"/>
      <c r="VN78" s="88"/>
      <c r="VO78" s="88"/>
      <c r="VP78" s="88"/>
      <c r="VQ78" s="88"/>
      <c r="VR78" s="88"/>
      <c r="VS78" s="88"/>
      <c r="VT78" s="88"/>
      <c r="VU78" s="88"/>
      <c r="VV78" s="88"/>
      <c r="VW78" s="88"/>
      <c r="VX78" s="88"/>
      <c r="VY78" s="88"/>
      <c r="VZ78" s="88"/>
      <c r="WA78" s="88"/>
      <c r="WB78" s="88"/>
      <c r="WC78" s="88"/>
      <c r="WD78" s="88"/>
      <c r="WE78" s="88"/>
      <c r="WF78" s="88"/>
      <c r="WG78" s="88"/>
      <c r="WH78" s="88"/>
      <c r="WI78" s="88"/>
      <c r="WJ78" s="88"/>
      <c r="WK78" s="88"/>
      <c r="WL78" s="88"/>
      <c r="WM78" s="88"/>
      <c r="WN78" s="88"/>
      <c r="WO78" s="88"/>
      <c r="WP78" s="88"/>
      <c r="WQ78" s="88"/>
      <c r="WR78" s="88"/>
      <c r="WS78" s="88"/>
      <c r="WT78" s="88"/>
      <c r="WU78" s="88"/>
      <c r="WV78" s="88"/>
      <c r="WW78" s="88"/>
      <c r="WX78" s="88"/>
      <c r="WY78" s="88"/>
      <c r="WZ78" s="88"/>
      <c r="XA78" s="88"/>
      <c r="XB78" s="88"/>
      <c r="XC78" s="88"/>
      <c r="XD78" s="88"/>
      <c r="XE78" s="88"/>
      <c r="XF78" s="88"/>
      <c r="XG78" s="88"/>
      <c r="XH78" s="88"/>
      <c r="XI78" s="88"/>
      <c r="XJ78" s="88"/>
      <c r="XK78" s="88"/>
      <c r="XL78" s="88"/>
      <c r="XM78" s="88"/>
      <c r="XN78" s="88"/>
      <c r="XO78" s="88"/>
      <c r="XP78" s="88"/>
      <c r="XQ78" s="88"/>
      <c r="XR78" s="88"/>
      <c r="XS78" s="88"/>
      <c r="XT78" s="88"/>
      <c r="XU78" s="88"/>
      <c r="XV78" s="88"/>
      <c r="XW78" s="88"/>
      <c r="XX78" s="88"/>
      <c r="XY78" s="88"/>
      <c r="XZ78" s="88"/>
      <c r="YA78" s="88"/>
      <c r="YB78" s="88"/>
      <c r="YC78" s="88"/>
      <c r="YD78" s="88"/>
      <c r="YE78" s="88"/>
      <c r="YF78" s="88"/>
      <c r="YG78" s="88"/>
      <c r="YH78" s="88"/>
      <c r="YI78" s="88"/>
      <c r="YJ78" s="88"/>
      <c r="YK78" s="88"/>
      <c r="YL78" s="88"/>
      <c r="YM78" s="88"/>
      <c r="YN78" s="88"/>
      <c r="YO78" s="88"/>
      <c r="YP78" s="88"/>
      <c r="YQ78" s="88"/>
      <c r="YR78" s="88"/>
      <c r="YS78" s="88"/>
      <c r="YT78" s="88"/>
      <c r="YU78" s="88"/>
      <c r="YV78" s="88"/>
      <c r="YW78" s="88"/>
      <c r="YX78" s="88"/>
      <c r="YY78" s="88"/>
      <c r="YZ78" s="88"/>
      <c r="ZA78" s="88"/>
      <c r="ZB78" s="88"/>
      <c r="ZC78" s="88"/>
      <c r="ZD78" s="88"/>
      <c r="ZE78" s="88"/>
      <c r="ZF78" s="88"/>
      <c r="ZG78" s="88"/>
      <c r="ZH78" s="88"/>
      <c r="ZI78" s="88"/>
      <c r="ZJ78" s="88"/>
      <c r="ZK78" s="88"/>
      <c r="ZL78" s="88"/>
      <c r="ZM78" s="88"/>
      <c r="ZN78" s="88"/>
      <c r="ZO78" s="88"/>
      <c r="ZP78" s="88"/>
      <c r="ZQ78" s="88"/>
      <c r="ZR78" s="88"/>
      <c r="ZS78" s="88"/>
      <c r="ZT78" s="88"/>
      <c r="ZU78" s="88"/>
      <c r="ZV78" s="88"/>
      <c r="ZW78" s="88"/>
      <c r="ZX78" s="88"/>
      <c r="ZY78" s="88"/>
      <c r="ZZ78" s="88"/>
      <c r="AAA78" s="88"/>
      <c r="AAB78" s="88"/>
      <c r="AAC78" s="88"/>
      <c r="AAD78" s="88"/>
      <c r="AAE78" s="88"/>
      <c r="AAF78" s="88"/>
      <c r="AAG78" s="88"/>
      <c r="AAH78" s="88"/>
      <c r="AAI78" s="88"/>
      <c r="AAJ78" s="88"/>
      <c r="AAK78" s="88"/>
      <c r="AAL78" s="88"/>
      <c r="AAM78" s="88"/>
      <c r="AAN78" s="88"/>
      <c r="AAO78" s="88"/>
      <c r="AAP78" s="88"/>
      <c r="AAQ78" s="88"/>
      <c r="AAR78" s="88"/>
      <c r="AAS78" s="88"/>
      <c r="AAT78" s="88"/>
      <c r="AAU78" s="88"/>
      <c r="AAV78" s="88"/>
      <c r="AAW78" s="88"/>
      <c r="AAX78" s="88"/>
      <c r="AAY78" s="88"/>
      <c r="AAZ78" s="88"/>
      <c r="ABA78" s="88"/>
      <c r="ABB78" s="88"/>
      <c r="ABC78" s="88"/>
      <c r="ABD78" s="88"/>
      <c r="ABE78" s="88"/>
      <c r="ABF78" s="88"/>
      <c r="ABG78" s="88"/>
      <c r="ABH78" s="88"/>
      <c r="ABI78" s="88"/>
      <c r="ABJ78" s="88"/>
      <c r="ABK78" s="88"/>
      <c r="ABL78" s="88"/>
      <c r="ABM78" s="88"/>
      <c r="ABN78" s="88"/>
      <c r="ABO78" s="88"/>
      <c r="ABP78" s="88"/>
      <c r="ABQ78" s="88"/>
      <c r="ABR78" s="88"/>
      <c r="ABS78" s="88"/>
      <c r="ABT78" s="88"/>
      <c r="ABU78" s="88"/>
      <c r="ABV78" s="88"/>
      <c r="ABW78" s="88"/>
      <c r="ABX78" s="88"/>
      <c r="ABY78" s="88"/>
      <c r="ABZ78" s="88"/>
      <c r="ACA78" s="88"/>
      <c r="ACB78" s="88"/>
      <c r="ACC78" s="88"/>
      <c r="ACD78" s="88"/>
      <c r="ACE78" s="88"/>
      <c r="ACF78" s="88"/>
      <c r="ACG78" s="88"/>
      <c r="ACH78" s="88"/>
      <c r="ACI78" s="88"/>
      <c r="ACJ78" s="88"/>
      <c r="ACK78" s="88"/>
      <c r="ACL78" s="88"/>
      <c r="ACM78" s="88"/>
      <c r="ACN78" s="88"/>
      <c r="ACO78" s="88"/>
      <c r="ACP78" s="88"/>
      <c r="ACQ78" s="88"/>
      <c r="ACR78" s="88"/>
      <c r="ACS78" s="88"/>
      <c r="ACT78" s="88"/>
      <c r="ACU78" s="88"/>
      <c r="ACV78" s="88"/>
      <c r="ACW78" s="88"/>
      <c r="ACX78" s="88"/>
      <c r="ACY78" s="88"/>
      <c r="ACZ78" s="88"/>
      <c r="ADA78" s="88"/>
      <c r="ADB78" s="88"/>
      <c r="ADC78" s="88"/>
      <c r="ADD78" s="88"/>
      <c r="ADE78" s="88"/>
      <c r="ADF78" s="88"/>
      <c r="ADG78" s="88"/>
      <c r="ADH78" s="88"/>
      <c r="ADI78" s="88"/>
      <c r="ADJ78" s="88"/>
      <c r="ADK78" s="88"/>
      <c r="ADL78" s="88"/>
      <c r="ADM78" s="88"/>
      <c r="ADN78" s="88"/>
      <c r="ADO78" s="88"/>
      <c r="ADP78" s="88"/>
      <c r="ADQ78" s="88"/>
      <c r="ADR78" s="88"/>
      <c r="ADS78" s="88"/>
      <c r="ADT78" s="88"/>
      <c r="ADU78" s="88"/>
      <c r="ADV78" s="88"/>
      <c r="ADW78" s="88"/>
      <c r="ADX78" s="88"/>
      <c r="ADY78" s="88"/>
      <c r="ADZ78" s="88"/>
      <c r="AEA78" s="88"/>
      <c r="AEB78" s="88"/>
      <c r="AEC78" s="88"/>
      <c r="AED78" s="88"/>
      <c r="AEE78" s="88"/>
      <c r="AEF78" s="88"/>
      <c r="AEG78" s="88"/>
      <c r="AEH78" s="88"/>
      <c r="AEI78" s="88"/>
      <c r="AEJ78" s="88"/>
      <c r="AEK78" s="88"/>
      <c r="AEL78" s="88"/>
      <c r="AEM78" s="88"/>
      <c r="AEN78" s="88"/>
      <c r="AEO78" s="88"/>
      <c r="AEP78" s="88"/>
      <c r="AEQ78" s="88"/>
      <c r="AER78" s="88"/>
      <c r="AES78" s="88"/>
      <c r="AET78" s="88"/>
      <c r="AEU78" s="88"/>
      <c r="AEV78" s="88"/>
      <c r="AEW78" s="88"/>
      <c r="AEX78" s="88"/>
      <c r="AEY78" s="88"/>
      <c r="AEZ78" s="88"/>
      <c r="AFA78" s="88"/>
      <c r="AFB78" s="88"/>
      <c r="AFC78" s="88"/>
      <c r="AFD78" s="88"/>
      <c r="AFE78" s="88"/>
      <c r="AFF78" s="88"/>
      <c r="AFG78" s="88"/>
      <c r="AFH78" s="88"/>
      <c r="AFI78" s="88"/>
      <c r="AFJ78" s="88"/>
      <c r="AFK78" s="88"/>
      <c r="AFL78" s="88"/>
      <c r="AFM78" s="88"/>
      <c r="AFN78" s="88"/>
      <c r="AFO78" s="88"/>
      <c r="AFP78" s="88"/>
      <c r="AFQ78" s="88"/>
      <c r="AFR78" s="88"/>
      <c r="AFS78" s="88"/>
      <c r="AFT78" s="88"/>
      <c r="AFU78" s="88"/>
      <c r="AFV78" s="88"/>
      <c r="AFW78" s="88"/>
      <c r="AFX78" s="88"/>
      <c r="AFY78" s="88"/>
      <c r="AFZ78" s="88"/>
      <c r="AGA78" s="88"/>
      <c r="AGB78" s="88"/>
      <c r="AGC78" s="88"/>
      <c r="AGD78" s="88"/>
      <c r="AGE78" s="88"/>
      <c r="AGF78" s="88"/>
      <c r="AGG78" s="88"/>
      <c r="AGH78" s="88"/>
      <c r="AGI78" s="88"/>
      <c r="AGJ78" s="88"/>
      <c r="AGK78" s="88"/>
      <c r="AGL78" s="88"/>
      <c r="AGM78" s="88"/>
      <c r="AGN78" s="88"/>
      <c r="AGO78" s="88"/>
      <c r="AGP78" s="88"/>
      <c r="AGQ78" s="88"/>
      <c r="AGR78" s="88"/>
      <c r="AGS78" s="88"/>
      <c r="AGT78" s="88"/>
      <c r="AGU78" s="88"/>
      <c r="AGV78" s="88"/>
      <c r="AGW78" s="88"/>
      <c r="AGX78" s="88"/>
      <c r="AGY78" s="88"/>
      <c r="AGZ78" s="88"/>
      <c r="AHA78" s="88"/>
      <c r="AHB78" s="88"/>
      <c r="AHC78" s="88"/>
      <c r="AHD78" s="88"/>
      <c r="AHE78" s="88"/>
      <c r="AHF78" s="88"/>
      <c r="AHG78" s="88"/>
      <c r="AHH78" s="88"/>
      <c r="AHI78" s="88"/>
      <c r="AHJ78" s="88"/>
      <c r="AHK78" s="88"/>
      <c r="AHL78" s="88"/>
      <c r="AHM78" s="88"/>
      <c r="AHN78" s="88"/>
      <c r="AHO78" s="88"/>
      <c r="AHP78" s="88"/>
      <c r="AHQ78" s="88"/>
      <c r="AHR78" s="88"/>
      <c r="AHS78" s="88"/>
      <c r="AHT78" s="88"/>
      <c r="AHU78" s="88"/>
      <c r="AHV78" s="88"/>
      <c r="AHW78" s="88"/>
      <c r="AHX78" s="88"/>
      <c r="AHY78" s="88"/>
      <c r="AHZ78" s="88"/>
      <c r="AIA78" s="88"/>
      <c r="AIB78" s="88"/>
      <c r="AIC78" s="88"/>
      <c r="AID78" s="88"/>
      <c r="AIE78" s="88"/>
      <c r="AIF78" s="88"/>
      <c r="AIG78" s="88"/>
      <c r="AIH78" s="88"/>
      <c r="AII78" s="88"/>
      <c r="AIJ78" s="88"/>
      <c r="AIK78" s="88"/>
      <c r="AIL78" s="88"/>
      <c r="AIM78" s="88"/>
      <c r="AIN78" s="88"/>
      <c r="AIO78" s="88"/>
      <c r="AIP78" s="88"/>
      <c r="AIQ78" s="88"/>
      <c r="AIR78" s="88"/>
      <c r="AIS78" s="88"/>
      <c r="AIT78" s="88"/>
      <c r="AIU78" s="88"/>
      <c r="AIV78" s="88"/>
      <c r="AIW78" s="88"/>
      <c r="AIX78" s="88"/>
      <c r="AIY78" s="88"/>
      <c r="AIZ78" s="88"/>
      <c r="AJA78" s="88"/>
      <c r="AJB78" s="88"/>
      <c r="AJC78" s="88"/>
      <c r="AJD78" s="88"/>
      <c r="AJE78" s="88"/>
      <c r="AJF78" s="88"/>
      <c r="AJG78" s="88"/>
      <c r="AJH78" s="88"/>
      <c r="AJI78" s="88"/>
      <c r="AJJ78" s="88"/>
      <c r="AJK78" s="88"/>
      <c r="AJL78" s="88"/>
      <c r="AJM78" s="88"/>
      <c r="AJN78" s="88"/>
      <c r="AJO78" s="88"/>
      <c r="AJP78" s="88"/>
      <c r="AJQ78" s="88"/>
      <c r="AJR78" s="88"/>
      <c r="AJS78" s="88"/>
      <c r="AJT78" s="88"/>
      <c r="AJU78" s="88"/>
      <c r="AJV78" s="88"/>
      <c r="AJW78" s="88"/>
      <c r="AJX78" s="88"/>
      <c r="AJY78" s="88"/>
      <c r="AJZ78" s="88"/>
      <c r="AKA78" s="88"/>
      <c r="AKB78" s="88"/>
      <c r="AKC78" s="88"/>
      <c r="AKD78" s="88"/>
      <c r="AKE78" s="88"/>
      <c r="AKF78" s="88"/>
      <c r="AKG78" s="88"/>
      <c r="AKH78" s="88"/>
      <c r="AKI78" s="88"/>
      <c r="AKJ78" s="88"/>
      <c r="AKK78" s="88"/>
      <c r="AKL78" s="88"/>
      <c r="AKM78" s="88"/>
      <c r="AKN78" s="88"/>
      <c r="AKO78" s="88"/>
      <c r="AKP78" s="88"/>
      <c r="AKQ78" s="88"/>
      <c r="AKR78" s="88"/>
      <c r="AKS78" s="88"/>
      <c r="AKT78" s="88"/>
      <c r="AKU78" s="88"/>
      <c r="AKV78" s="88"/>
      <c r="AKW78" s="88"/>
      <c r="AKX78" s="88"/>
      <c r="AKY78" s="88"/>
      <c r="AKZ78" s="88"/>
      <c r="ALA78" s="88"/>
      <c r="ALB78" s="88"/>
      <c r="ALC78" s="88"/>
      <c r="ALD78" s="88"/>
      <c r="ALE78" s="88"/>
      <c r="ALF78" s="88"/>
      <c r="ALG78" s="88"/>
      <c r="ALH78" s="88"/>
      <c r="ALI78" s="88"/>
      <c r="ALJ78" s="88"/>
      <c r="ALK78" s="88"/>
      <c r="ALL78" s="88"/>
      <c r="ALM78" s="88"/>
      <c r="ALN78" s="88"/>
      <c r="ALO78" s="88"/>
      <c r="ALP78" s="88"/>
      <c r="ALQ78" s="88"/>
      <c r="ALR78" s="88"/>
      <c r="ALS78" s="88"/>
      <c r="ALT78" s="88"/>
      <c r="ALU78" s="88"/>
      <c r="ALV78" s="88"/>
      <c r="ALW78" s="88"/>
      <c r="ALX78" s="88"/>
      <c r="ALY78" s="88"/>
      <c r="ALZ78" s="88"/>
      <c r="AMA78" s="88"/>
      <c r="AMB78" s="88"/>
      <c r="AMC78" s="88"/>
      <c r="AMD78" s="88"/>
      <c r="AME78" s="88"/>
      <c r="AMF78" s="88"/>
      <c r="AMG78" s="88"/>
      <c r="AMH78" s="88"/>
      <c r="AMI78" s="88"/>
      <c r="AMJ78" s="88"/>
      <c r="AMK78" s="88"/>
      <c r="AML78" s="88"/>
      <c r="AMM78" s="88"/>
      <c r="AMN78" s="88"/>
      <c r="AMO78" s="88"/>
      <c r="AMP78" s="88"/>
      <c r="AMQ78" s="88"/>
      <c r="AMR78" s="88"/>
      <c r="AMS78" s="88"/>
      <c r="AMT78" s="88"/>
      <c r="AMU78" s="88"/>
      <c r="AMV78" s="88"/>
      <c r="AMW78" s="88"/>
      <c r="AMX78" s="88"/>
      <c r="AMY78" s="88"/>
      <c r="AMZ78" s="88"/>
      <c r="ANA78" s="88"/>
      <c r="ANB78" s="88"/>
      <c r="ANC78" s="88"/>
      <c r="AND78" s="88"/>
      <c r="ANE78" s="88"/>
      <c r="ANF78" s="88"/>
      <c r="ANG78" s="88"/>
      <c r="ANH78" s="88"/>
      <c r="ANI78" s="88"/>
      <c r="ANJ78" s="88"/>
      <c r="ANK78" s="88"/>
      <c r="ANL78" s="88"/>
      <c r="ANM78" s="88"/>
      <c r="ANN78" s="88"/>
      <c r="ANO78" s="88"/>
      <c r="ANP78" s="88"/>
      <c r="ANQ78" s="88"/>
      <c r="ANR78" s="88"/>
      <c r="ANS78" s="88"/>
      <c r="ANT78" s="88"/>
      <c r="ANU78" s="88"/>
      <c r="ANV78" s="88"/>
      <c r="ANW78" s="88"/>
      <c r="ANX78" s="88"/>
      <c r="ANY78" s="88"/>
      <c r="ANZ78" s="88"/>
      <c r="AOA78" s="88"/>
      <c r="AOB78" s="88"/>
      <c r="AOC78" s="88"/>
      <c r="AOD78" s="88"/>
      <c r="AOE78" s="88"/>
      <c r="AOF78" s="88"/>
      <c r="AOG78" s="88"/>
      <c r="AOH78" s="88"/>
      <c r="AOI78" s="88"/>
      <c r="AOJ78" s="88"/>
      <c r="AOK78" s="88"/>
      <c r="AOL78" s="88"/>
      <c r="AOM78" s="88"/>
      <c r="AON78" s="88"/>
      <c r="AOO78" s="88"/>
      <c r="AOP78" s="88"/>
      <c r="AOQ78" s="88"/>
      <c r="AOR78" s="88"/>
      <c r="AOS78" s="88"/>
      <c r="AOT78" s="88"/>
      <c r="AOU78" s="88"/>
      <c r="AOV78" s="88"/>
      <c r="AOW78" s="88"/>
      <c r="AOX78" s="88"/>
      <c r="AOY78" s="88"/>
      <c r="AOZ78" s="88"/>
      <c r="APA78" s="88"/>
      <c r="APB78" s="88"/>
      <c r="APC78" s="88"/>
      <c r="APD78" s="88"/>
      <c r="APE78" s="88"/>
      <c r="APF78" s="88"/>
      <c r="APG78" s="88"/>
      <c r="APH78" s="88"/>
      <c r="API78" s="88"/>
      <c r="APJ78" s="88"/>
      <c r="APK78" s="88"/>
      <c r="APL78" s="88"/>
      <c r="APM78" s="88"/>
      <c r="APN78" s="88"/>
      <c r="APO78" s="88"/>
      <c r="APP78" s="88"/>
      <c r="APQ78" s="88"/>
      <c r="APR78" s="88"/>
      <c r="APS78" s="88"/>
      <c r="APT78" s="88"/>
      <c r="APU78" s="88"/>
      <c r="APV78" s="88"/>
      <c r="APW78" s="88"/>
      <c r="APX78" s="88"/>
      <c r="APY78" s="88"/>
      <c r="APZ78" s="88"/>
      <c r="AQA78" s="88"/>
      <c r="AQB78" s="88"/>
      <c r="AQC78" s="88"/>
      <c r="AQD78" s="88"/>
      <c r="AQE78" s="88"/>
      <c r="AQF78" s="88"/>
      <c r="AQG78" s="88"/>
      <c r="AQH78" s="88"/>
      <c r="AQI78" s="88"/>
      <c r="AQJ78" s="88"/>
      <c r="AQK78" s="88"/>
      <c r="AQL78" s="88"/>
      <c r="AQM78" s="88"/>
      <c r="AQN78" s="88"/>
      <c r="AQO78" s="88"/>
      <c r="AQP78" s="88"/>
      <c r="AQQ78" s="88"/>
      <c r="AQR78" s="88"/>
      <c r="AQS78" s="88"/>
      <c r="AQT78" s="88"/>
      <c r="AQU78" s="88"/>
      <c r="AQV78" s="88"/>
      <c r="AQW78" s="88"/>
      <c r="AQX78" s="88"/>
      <c r="AQY78" s="88"/>
      <c r="AQZ78" s="88"/>
      <c r="ARA78" s="88"/>
      <c r="ARB78" s="88"/>
      <c r="ARC78" s="88"/>
      <c r="ARD78" s="88"/>
      <c r="ARE78" s="88"/>
      <c r="ARF78" s="88"/>
      <c r="ARG78" s="88"/>
      <c r="ARH78" s="88"/>
      <c r="ARI78" s="88"/>
      <c r="ARJ78" s="88"/>
      <c r="ARK78" s="88"/>
      <c r="ARL78" s="88"/>
      <c r="ARM78" s="88"/>
      <c r="ARN78" s="88"/>
      <c r="ARO78" s="88"/>
      <c r="ARP78" s="88"/>
      <c r="ARQ78" s="88"/>
      <c r="ARR78" s="88"/>
      <c r="ARS78" s="88"/>
      <c r="ART78" s="88"/>
      <c r="ARU78" s="88"/>
      <c r="ARV78" s="88"/>
      <c r="ARW78" s="88"/>
      <c r="ARX78" s="88"/>
      <c r="ARY78" s="88"/>
      <c r="ARZ78" s="88"/>
      <c r="ASA78" s="88"/>
      <c r="ASB78" s="88"/>
      <c r="ASC78" s="88"/>
      <c r="ASD78" s="88"/>
      <c r="ASE78" s="88"/>
      <c r="ASF78" s="88"/>
      <c r="ASG78" s="88"/>
      <c r="ASH78" s="88"/>
      <c r="ASI78" s="88"/>
      <c r="ASJ78" s="88"/>
      <c r="ASK78" s="88"/>
      <c r="ASL78" s="88"/>
      <c r="ASM78" s="88"/>
      <c r="ASN78" s="88"/>
      <c r="ASO78" s="88"/>
      <c r="ASP78" s="88"/>
      <c r="ASQ78" s="88"/>
      <c r="ASR78" s="88"/>
      <c r="ASS78" s="88"/>
      <c r="AST78" s="88"/>
      <c r="ASU78" s="88"/>
      <c r="ASV78" s="88"/>
      <c r="ASW78" s="88"/>
      <c r="ASX78" s="88"/>
      <c r="ASY78" s="88"/>
      <c r="ASZ78" s="88"/>
      <c r="ATA78" s="88"/>
      <c r="ATB78" s="88"/>
      <c r="ATC78" s="88"/>
      <c r="ATD78" s="88"/>
      <c r="ATE78" s="88"/>
      <c r="ATF78" s="88"/>
      <c r="ATG78" s="88"/>
      <c r="ATH78" s="88"/>
      <c r="ATI78" s="88"/>
      <c r="ATJ78" s="88"/>
      <c r="ATK78" s="88"/>
      <c r="ATL78" s="88"/>
      <c r="ATM78" s="88"/>
      <c r="ATN78" s="88"/>
      <c r="ATO78" s="88"/>
      <c r="ATP78" s="88"/>
      <c r="ATQ78" s="88"/>
      <c r="ATR78" s="88"/>
      <c r="ATS78" s="88"/>
      <c r="ATT78" s="88"/>
      <c r="ATU78" s="88"/>
      <c r="ATV78" s="88"/>
      <c r="ATW78" s="88"/>
      <c r="ATX78" s="88"/>
      <c r="ATY78" s="88"/>
      <c r="ATZ78" s="88"/>
      <c r="AUA78" s="88"/>
      <c r="AUB78" s="88"/>
      <c r="AUC78" s="88"/>
      <c r="AUD78" s="88"/>
      <c r="AUE78" s="88"/>
      <c r="AUF78" s="88"/>
      <c r="AUG78" s="88"/>
      <c r="AUH78" s="88"/>
      <c r="AUI78" s="88"/>
      <c r="AUJ78" s="88"/>
      <c r="AUK78" s="88"/>
      <c r="AUL78" s="88"/>
      <c r="AUM78" s="88"/>
      <c r="AUN78" s="88"/>
      <c r="AUO78" s="88"/>
      <c r="AUP78" s="88"/>
      <c r="AUQ78" s="88"/>
      <c r="AUR78" s="88"/>
      <c r="AUS78" s="88"/>
      <c r="AUT78" s="88"/>
      <c r="AUU78" s="88"/>
      <c r="AUV78" s="88"/>
      <c r="AUW78" s="88"/>
      <c r="AUX78" s="88"/>
      <c r="AUY78" s="88"/>
      <c r="AUZ78" s="88"/>
      <c r="AVA78" s="88"/>
      <c r="AVB78" s="88"/>
      <c r="AVC78" s="88"/>
      <c r="AVD78" s="88"/>
      <c r="AVE78" s="88"/>
      <c r="AVF78" s="88"/>
      <c r="AVG78" s="88"/>
      <c r="AVH78" s="88"/>
      <c r="AVI78" s="88"/>
      <c r="AVJ78" s="88"/>
      <c r="AVK78" s="88"/>
      <c r="AVL78" s="88"/>
      <c r="AVM78" s="88"/>
      <c r="AVN78" s="88"/>
      <c r="AVO78" s="88"/>
      <c r="AVP78" s="88"/>
      <c r="AVQ78" s="88"/>
      <c r="AVR78" s="88"/>
      <c r="AVS78" s="88"/>
      <c r="AVT78" s="88"/>
      <c r="AVU78" s="88"/>
      <c r="AVV78" s="88"/>
      <c r="AVW78" s="88"/>
      <c r="AVX78" s="88"/>
      <c r="AVY78" s="88"/>
      <c r="AVZ78" s="88"/>
      <c r="AWA78" s="88"/>
      <c r="AWB78" s="88"/>
      <c r="AWC78" s="88"/>
      <c r="AWD78" s="88"/>
      <c r="AWE78" s="88"/>
      <c r="AWF78" s="88"/>
      <c r="AWG78" s="88"/>
      <c r="AWH78" s="88"/>
      <c r="AWI78" s="88"/>
      <c r="AWJ78" s="88"/>
      <c r="AWK78" s="88"/>
      <c r="AWL78" s="88"/>
      <c r="AWM78" s="88"/>
      <c r="AWN78" s="88"/>
      <c r="AWO78" s="88"/>
      <c r="AWP78" s="88"/>
      <c r="AWQ78" s="88"/>
      <c r="AWR78" s="88"/>
      <c r="AWS78" s="88"/>
      <c r="AWT78" s="88"/>
      <c r="AWU78" s="88"/>
      <c r="AWV78" s="88"/>
      <c r="AWW78" s="88"/>
      <c r="AWX78" s="88"/>
      <c r="AWY78" s="88"/>
      <c r="AWZ78" s="88"/>
      <c r="AXA78" s="88"/>
      <c r="AXB78" s="88"/>
      <c r="AXC78" s="88"/>
      <c r="AXD78" s="88"/>
      <c r="AXE78" s="88"/>
      <c r="AXF78" s="88"/>
      <c r="AXG78" s="88"/>
      <c r="AXH78" s="88"/>
      <c r="AXI78" s="88"/>
      <c r="AXJ78" s="88"/>
      <c r="AXK78" s="88"/>
      <c r="AXL78" s="88"/>
      <c r="AXM78" s="88"/>
      <c r="AXN78" s="88"/>
      <c r="AXO78" s="88"/>
      <c r="AXP78" s="88"/>
      <c r="AXQ78" s="88"/>
      <c r="AXR78" s="88"/>
      <c r="AXS78" s="88"/>
      <c r="AXT78" s="88"/>
      <c r="AXU78" s="88"/>
      <c r="AXV78" s="88"/>
      <c r="AXW78" s="88"/>
      <c r="AXX78" s="88"/>
      <c r="AXY78" s="88"/>
      <c r="AXZ78" s="88"/>
      <c r="AYA78" s="88"/>
      <c r="AYB78" s="88"/>
      <c r="AYC78" s="88"/>
      <c r="AYD78" s="88"/>
      <c r="AYE78" s="88"/>
      <c r="AYF78" s="88"/>
      <c r="AYG78" s="88"/>
      <c r="AYH78" s="88"/>
      <c r="AYI78" s="88"/>
      <c r="AYJ78" s="88"/>
      <c r="AYK78" s="88"/>
      <c r="AYL78" s="88"/>
      <c r="AYM78" s="88"/>
      <c r="AYN78" s="88"/>
      <c r="AYO78" s="88"/>
      <c r="AYP78" s="88"/>
      <c r="AYQ78" s="88"/>
      <c r="AYR78" s="88"/>
      <c r="AYS78" s="88"/>
      <c r="AYT78" s="88"/>
      <c r="AYU78" s="88"/>
      <c r="AYV78" s="88"/>
      <c r="AYW78" s="88"/>
      <c r="AYX78" s="88"/>
      <c r="AYY78" s="88"/>
      <c r="AYZ78" s="88"/>
      <c r="AZA78" s="88"/>
      <c r="AZB78" s="88"/>
      <c r="AZC78" s="88"/>
      <c r="AZD78" s="88"/>
      <c r="AZE78" s="88"/>
      <c r="AZF78" s="88"/>
      <c r="AZG78" s="88"/>
      <c r="AZH78" s="88"/>
      <c r="AZI78" s="88"/>
      <c r="AZJ78" s="88"/>
      <c r="AZK78" s="88"/>
      <c r="AZL78" s="88"/>
      <c r="AZM78" s="88"/>
      <c r="AZN78" s="88"/>
      <c r="AZO78" s="88"/>
      <c r="AZP78" s="88"/>
      <c r="AZQ78" s="88"/>
      <c r="AZR78" s="88"/>
      <c r="AZS78" s="88"/>
      <c r="AZT78" s="88"/>
      <c r="AZU78" s="88"/>
      <c r="AZV78" s="88"/>
      <c r="AZW78" s="88"/>
      <c r="AZX78" s="88"/>
      <c r="AZY78" s="88"/>
      <c r="AZZ78" s="88"/>
      <c r="BAA78" s="88"/>
      <c r="BAB78" s="88"/>
      <c r="BAC78" s="88"/>
      <c r="BAD78" s="88"/>
      <c r="BAE78" s="88"/>
      <c r="BAF78" s="88"/>
      <c r="BAG78" s="88"/>
      <c r="BAH78" s="88"/>
      <c r="BAI78" s="88"/>
      <c r="BAJ78" s="88"/>
      <c r="BAK78" s="88"/>
      <c r="BAL78" s="88"/>
      <c r="BAM78" s="88"/>
      <c r="BAN78" s="88"/>
      <c r="BAO78" s="88"/>
      <c r="BAP78" s="88"/>
      <c r="BAQ78" s="88"/>
      <c r="BAR78" s="88"/>
      <c r="BAS78" s="88"/>
      <c r="BAT78" s="88"/>
      <c r="BAU78" s="88"/>
      <c r="BAV78" s="88"/>
      <c r="BAW78" s="88"/>
      <c r="BAX78" s="88"/>
      <c r="BAY78" s="88"/>
      <c r="BAZ78" s="88"/>
      <c r="BBA78" s="88"/>
      <c r="BBB78" s="88"/>
      <c r="BBC78" s="88"/>
      <c r="BBD78" s="88"/>
      <c r="BBE78" s="88"/>
      <c r="BBF78" s="88"/>
      <c r="BBG78" s="88"/>
      <c r="BBH78" s="88"/>
      <c r="BBI78" s="88"/>
      <c r="BBJ78" s="88"/>
      <c r="BBK78" s="88"/>
      <c r="BBL78" s="88"/>
      <c r="BBM78" s="88"/>
      <c r="BBN78" s="88"/>
      <c r="BBO78" s="88"/>
      <c r="BBP78" s="88"/>
      <c r="BBQ78" s="88"/>
      <c r="BBR78" s="88"/>
      <c r="BBS78" s="88"/>
      <c r="BBT78" s="88"/>
      <c r="BBU78" s="88"/>
      <c r="BBV78" s="88"/>
      <c r="BBW78" s="88"/>
      <c r="BBX78" s="88"/>
      <c r="BBY78" s="88"/>
      <c r="BBZ78" s="88"/>
      <c r="BCA78" s="88"/>
      <c r="BCB78" s="88"/>
      <c r="BCC78" s="88"/>
      <c r="BCD78" s="88"/>
      <c r="BCE78" s="88"/>
      <c r="BCF78" s="88"/>
      <c r="BCG78" s="88"/>
      <c r="BCH78" s="88"/>
      <c r="BCI78" s="88"/>
      <c r="BCJ78" s="88"/>
      <c r="BCK78" s="88"/>
      <c r="BCL78" s="88"/>
      <c r="BCM78" s="88"/>
      <c r="BCN78" s="88"/>
      <c r="BCO78" s="88"/>
      <c r="BCP78" s="88"/>
      <c r="BCQ78" s="88"/>
      <c r="BCR78" s="88"/>
      <c r="BCS78" s="88"/>
      <c r="BCT78" s="88"/>
      <c r="BCU78" s="88"/>
      <c r="BCV78" s="88"/>
      <c r="BCW78" s="88"/>
      <c r="BCX78" s="88"/>
      <c r="BCY78" s="88"/>
      <c r="BCZ78" s="88"/>
      <c r="BDA78" s="88"/>
      <c r="BDB78" s="88"/>
      <c r="BDC78" s="88"/>
      <c r="BDD78" s="88"/>
      <c r="BDE78" s="88"/>
      <c r="BDF78" s="88"/>
      <c r="BDG78" s="88"/>
      <c r="BDH78" s="88"/>
      <c r="BDI78" s="88"/>
      <c r="BDJ78" s="88"/>
      <c r="BDK78" s="88"/>
      <c r="BDL78" s="88"/>
      <c r="BDM78" s="88"/>
      <c r="BDN78" s="88"/>
      <c r="BDO78" s="88"/>
      <c r="BDP78" s="88"/>
      <c r="BDQ78" s="88"/>
      <c r="BDR78" s="88"/>
      <c r="BDS78" s="88"/>
      <c r="BDT78" s="88"/>
      <c r="BDU78" s="88"/>
      <c r="BDV78" s="88"/>
      <c r="BDW78" s="88"/>
      <c r="BDX78" s="88"/>
      <c r="BDY78" s="88"/>
      <c r="BDZ78" s="88"/>
      <c r="BEA78" s="88"/>
      <c r="BEB78" s="88"/>
      <c r="BEC78" s="88"/>
      <c r="BED78" s="88"/>
      <c r="BEE78" s="88"/>
      <c r="BEF78" s="88"/>
      <c r="BEG78" s="88"/>
      <c r="BEH78" s="88"/>
      <c r="BEI78" s="88"/>
      <c r="BEJ78" s="88"/>
      <c r="BEK78" s="88"/>
      <c r="BEL78" s="88"/>
      <c r="BEM78" s="88"/>
      <c r="BEN78" s="88"/>
      <c r="BEO78" s="88"/>
      <c r="BEP78" s="88"/>
      <c r="BEQ78" s="88"/>
      <c r="BER78" s="88"/>
      <c r="BES78" s="88"/>
      <c r="BET78" s="88"/>
      <c r="BEU78" s="88"/>
      <c r="BEV78" s="88"/>
      <c r="BEW78" s="88"/>
      <c r="BEX78" s="88"/>
      <c r="BEY78" s="88"/>
      <c r="BEZ78" s="88"/>
      <c r="BFA78" s="88"/>
      <c r="BFB78" s="88"/>
      <c r="BFC78" s="88"/>
      <c r="BFD78" s="88"/>
      <c r="BFE78" s="88"/>
      <c r="BFF78" s="88"/>
      <c r="BFG78" s="88"/>
      <c r="BFH78" s="88"/>
      <c r="BFI78" s="88"/>
      <c r="BFJ78" s="88"/>
      <c r="BFK78" s="88"/>
      <c r="BFL78" s="88"/>
      <c r="BFM78" s="88"/>
      <c r="BFN78" s="88"/>
      <c r="BFO78" s="88"/>
      <c r="BFP78" s="88"/>
      <c r="BFQ78" s="88"/>
      <c r="BFR78" s="88"/>
      <c r="BFS78" s="88"/>
      <c r="BFT78" s="88"/>
      <c r="BFU78" s="88"/>
      <c r="BFV78" s="88"/>
      <c r="BFW78" s="88"/>
      <c r="BFX78" s="88"/>
      <c r="BFY78" s="88"/>
      <c r="BFZ78" s="88"/>
      <c r="BGA78" s="88"/>
      <c r="BGB78" s="88"/>
      <c r="BGC78" s="88"/>
      <c r="BGD78" s="88"/>
      <c r="BGE78" s="88"/>
      <c r="BGF78" s="88"/>
      <c r="BGG78" s="88"/>
      <c r="BGH78" s="88"/>
      <c r="BGI78" s="88"/>
      <c r="BGJ78" s="88"/>
      <c r="BGK78" s="88"/>
      <c r="BGL78" s="88"/>
      <c r="BGM78" s="88"/>
      <c r="BGN78" s="88"/>
      <c r="BGO78" s="88"/>
      <c r="BGP78" s="88"/>
      <c r="BGQ78" s="88"/>
      <c r="BGR78" s="88"/>
      <c r="BGS78" s="88"/>
      <c r="BGT78" s="88"/>
      <c r="BGU78" s="88"/>
      <c r="BGV78" s="88"/>
      <c r="BGW78" s="88"/>
      <c r="BGX78" s="88"/>
      <c r="BGY78" s="88"/>
      <c r="BGZ78" s="88"/>
      <c r="BHA78" s="88"/>
      <c r="BHB78" s="88"/>
      <c r="BHC78" s="88"/>
      <c r="BHD78" s="88"/>
      <c r="BHE78" s="88"/>
      <c r="BHF78" s="88"/>
      <c r="BHG78" s="88"/>
      <c r="BHH78" s="88"/>
      <c r="BHI78" s="88"/>
      <c r="BHJ78" s="88"/>
      <c r="BHK78" s="88"/>
      <c r="BHL78" s="88"/>
      <c r="BHM78" s="88"/>
      <c r="BHN78" s="88"/>
      <c r="BHO78" s="88"/>
      <c r="BHP78" s="88"/>
      <c r="BHQ78" s="88"/>
      <c r="BHR78" s="88"/>
      <c r="BHS78" s="88"/>
      <c r="BHT78" s="88"/>
      <c r="BHU78" s="88"/>
      <c r="BHV78" s="88"/>
      <c r="BHW78" s="88"/>
      <c r="BHX78" s="88"/>
      <c r="BHY78" s="88"/>
      <c r="BHZ78" s="88"/>
      <c r="BIA78" s="88"/>
      <c r="BIB78" s="88"/>
      <c r="BIC78" s="88"/>
      <c r="BID78" s="88"/>
      <c r="BIE78" s="88"/>
      <c r="BIF78" s="88"/>
      <c r="BIG78" s="88"/>
      <c r="BIH78" s="88"/>
      <c r="BII78" s="88"/>
      <c r="BIJ78" s="88"/>
      <c r="BIK78" s="88"/>
      <c r="BIL78" s="88"/>
      <c r="BIM78" s="88"/>
      <c r="BIN78" s="88"/>
      <c r="BIO78" s="88"/>
      <c r="BIP78" s="88"/>
      <c r="BIQ78" s="88"/>
      <c r="BIR78" s="88"/>
      <c r="BIS78" s="88"/>
      <c r="BIT78" s="88"/>
      <c r="BIU78" s="88"/>
      <c r="BIV78" s="88"/>
      <c r="BIW78" s="88"/>
      <c r="BIX78" s="88"/>
      <c r="BIY78" s="88"/>
      <c r="BIZ78" s="88"/>
      <c r="BJA78" s="88"/>
      <c r="BJB78" s="88"/>
      <c r="BJC78" s="88"/>
      <c r="BJD78" s="88"/>
      <c r="BJE78" s="88"/>
      <c r="BJF78" s="88"/>
      <c r="BJG78" s="88"/>
      <c r="BJH78" s="88"/>
      <c r="BJI78" s="88"/>
      <c r="BJJ78" s="88"/>
      <c r="BJK78" s="88"/>
      <c r="BJL78" s="88"/>
      <c r="BJM78" s="88"/>
      <c r="BJN78" s="88"/>
      <c r="BJO78" s="88"/>
      <c r="BJP78" s="88"/>
      <c r="BJQ78" s="88"/>
      <c r="BJR78" s="88"/>
      <c r="BJS78" s="88"/>
      <c r="BJT78" s="88"/>
      <c r="BJU78" s="88"/>
      <c r="BJV78" s="88"/>
      <c r="BJW78" s="88"/>
      <c r="BJX78" s="88"/>
      <c r="BJY78" s="88"/>
      <c r="BJZ78" s="88"/>
      <c r="BKA78" s="88"/>
      <c r="BKB78" s="88"/>
      <c r="BKC78" s="88"/>
      <c r="BKD78" s="88"/>
      <c r="BKE78" s="88"/>
      <c r="BKF78" s="88"/>
      <c r="BKG78" s="88"/>
      <c r="BKH78" s="88"/>
      <c r="BKI78" s="88"/>
      <c r="BKJ78" s="88"/>
      <c r="BKK78" s="88"/>
      <c r="BKL78" s="88"/>
      <c r="BKM78" s="88"/>
      <c r="BKN78" s="88"/>
      <c r="BKO78" s="88"/>
      <c r="BKP78" s="88"/>
      <c r="BKQ78" s="88"/>
      <c r="BKR78" s="88"/>
      <c r="BKS78" s="88"/>
      <c r="BKT78" s="88"/>
      <c r="BKU78" s="88"/>
      <c r="BKV78" s="88"/>
      <c r="BKW78" s="88"/>
      <c r="BKX78" s="88"/>
      <c r="BKY78" s="88"/>
      <c r="BKZ78" s="88"/>
      <c r="BLA78" s="88"/>
      <c r="BLB78" s="88"/>
      <c r="BLC78" s="88"/>
      <c r="BLD78" s="88"/>
      <c r="BLE78" s="88"/>
      <c r="BLF78" s="88"/>
      <c r="BLG78" s="88"/>
      <c r="BLH78" s="88"/>
      <c r="BLI78" s="88"/>
      <c r="BLJ78" s="88"/>
      <c r="BLK78" s="88"/>
      <c r="BLL78" s="88"/>
      <c r="BLM78" s="88"/>
      <c r="BLN78" s="88"/>
      <c r="BLO78" s="88"/>
      <c r="BLP78" s="88"/>
      <c r="BLQ78" s="88"/>
      <c r="BLR78" s="88"/>
      <c r="BLS78" s="88"/>
      <c r="BLT78" s="88"/>
      <c r="BLU78" s="88"/>
      <c r="BLV78" s="88"/>
      <c r="BLW78" s="88"/>
      <c r="BLX78" s="88"/>
      <c r="BLY78" s="88"/>
      <c r="BLZ78" s="88"/>
      <c r="BMA78" s="88"/>
      <c r="BMB78" s="88"/>
      <c r="BMC78" s="88"/>
      <c r="BMD78" s="88"/>
      <c r="BME78" s="88"/>
      <c r="BMF78" s="88"/>
      <c r="BMG78" s="88"/>
      <c r="BMH78" s="88"/>
      <c r="BMI78" s="88"/>
      <c r="BMJ78" s="88"/>
      <c r="BMK78" s="88"/>
      <c r="BML78" s="88"/>
      <c r="BMM78" s="88"/>
      <c r="BMN78" s="88"/>
      <c r="BMO78" s="88"/>
      <c r="BMP78" s="88"/>
      <c r="BMQ78" s="88"/>
      <c r="BMR78" s="88"/>
      <c r="BMS78" s="88"/>
      <c r="BMT78" s="88"/>
      <c r="BMU78" s="88"/>
      <c r="BMV78" s="88"/>
      <c r="BMW78" s="88"/>
      <c r="BMX78" s="88"/>
      <c r="BMY78" s="88"/>
      <c r="BMZ78" s="88"/>
      <c r="BNA78" s="88"/>
      <c r="BNB78" s="88"/>
      <c r="BNC78" s="88"/>
      <c r="BND78" s="88"/>
      <c r="BNE78" s="88"/>
      <c r="BNF78" s="88"/>
      <c r="BNG78" s="88"/>
      <c r="BNH78" s="88"/>
      <c r="BNI78" s="88"/>
      <c r="BNJ78" s="88"/>
      <c r="BNK78" s="88"/>
      <c r="BNL78" s="88"/>
      <c r="BNM78" s="88"/>
      <c r="BNN78" s="88"/>
      <c r="BNO78" s="88"/>
      <c r="BNP78" s="88"/>
      <c r="BNQ78" s="88"/>
      <c r="BNR78" s="88"/>
      <c r="BNS78" s="88"/>
      <c r="BNT78" s="88"/>
      <c r="BNU78" s="88"/>
      <c r="BNV78" s="88"/>
      <c r="BNW78" s="88"/>
      <c r="BNX78" s="88"/>
      <c r="BNY78" s="88"/>
      <c r="BNZ78" s="88"/>
      <c r="BOA78" s="88"/>
      <c r="BOB78" s="88"/>
      <c r="BOC78" s="88"/>
      <c r="BOD78" s="88"/>
      <c r="BOE78" s="88"/>
      <c r="BOF78" s="88"/>
      <c r="BOG78" s="88"/>
      <c r="BOH78" s="88"/>
      <c r="BOI78" s="88"/>
      <c r="BOJ78" s="88"/>
      <c r="BOK78" s="88"/>
      <c r="BOL78" s="88"/>
      <c r="BOM78" s="88"/>
      <c r="BON78" s="88"/>
      <c r="BOO78" s="88"/>
      <c r="BOP78" s="88"/>
      <c r="BOQ78" s="88"/>
      <c r="BOR78" s="88"/>
      <c r="BOS78" s="88"/>
      <c r="BOT78" s="88"/>
      <c r="BOU78" s="88"/>
      <c r="BOV78" s="88"/>
      <c r="BOW78" s="88"/>
      <c r="BOX78" s="88"/>
      <c r="BOY78" s="88"/>
      <c r="BOZ78" s="88"/>
      <c r="BPA78" s="88"/>
      <c r="BPB78" s="88"/>
      <c r="BPC78" s="88"/>
      <c r="BPD78" s="88"/>
      <c r="BPE78" s="88"/>
      <c r="BPF78" s="88"/>
      <c r="BPG78" s="88"/>
      <c r="BPH78" s="88"/>
      <c r="BPI78" s="88"/>
      <c r="BPJ78" s="88"/>
      <c r="BPK78" s="88"/>
      <c r="BPL78" s="88"/>
      <c r="BPM78" s="88"/>
      <c r="BPN78" s="88"/>
      <c r="BPO78" s="88"/>
      <c r="BPP78" s="88"/>
      <c r="BPQ78" s="88"/>
      <c r="BPR78" s="88"/>
      <c r="BPS78" s="88"/>
      <c r="BPT78" s="88"/>
      <c r="BPU78" s="88"/>
      <c r="BPV78" s="88"/>
      <c r="BPW78" s="88"/>
      <c r="BPX78" s="88"/>
      <c r="BPY78" s="88"/>
      <c r="BPZ78" s="88"/>
      <c r="BQA78" s="88"/>
      <c r="BQB78" s="88"/>
      <c r="BQC78" s="88"/>
      <c r="BQD78" s="88"/>
      <c r="BQE78" s="88"/>
      <c r="BQF78" s="88"/>
      <c r="BQG78" s="88"/>
      <c r="BQH78" s="88"/>
      <c r="BQI78" s="88"/>
      <c r="BQJ78" s="88"/>
      <c r="BQK78" s="88"/>
      <c r="BQL78" s="88"/>
      <c r="BQM78" s="88"/>
      <c r="BQN78" s="88"/>
      <c r="BQO78" s="88"/>
      <c r="BQP78" s="88"/>
      <c r="BQQ78" s="88"/>
      <c r="BQR78" s="88"/>
      <c r="BQS78" s="88"/>
      <c r="BQT78" s="88"/>
      <c r="BQU78" s="88"/>
      <c r="BQV78" s="88"/>
      <c r="BQW78" s="88"/>
      <c r="BQX78" s="88"/>
      <c r="BQY78" s="88"/>
      <c r="BQZ78" s="88"/>
      <c r="BRA78" s="88"/>
      <c r="BRB78" s="88"/>
      <c r="BRC78" s="88"/>
      <c r="BRD78" s="88"/>
      <c r="BRE78" s="88"/>
      <c r="BRF78" s="88"/>
      <c r="BRG78" s="88"/>
      <c r="BRH78" s="88"/>
      <c r="BRI78" s="88"/>
      <c r="BRJ78" s="88"/>
      <c r="BRK78" s="88"/>
      <c r="BRL78" s="88"/>
      <c r="BRM78" s="88"/>
      <c r="BRN78" s="88"/>
      <c r="BRO78" s="88"/>
      <c r="BRP78" s="88"/>
      <c r="BRQ78" s="88"/>
      <c r="BRR78" s="88"/>
      <c r="BRS78" s="88"/>
      <c r="BRT78" s="88"/>
      <c r="BRU78" s="88"/>
      <c r="BRV78" s="88"/>
      <c r="BRW78" s="88"/>
      <c r="BRX78" s="88"/>
      <c r="BRY78" s="88"/>
      <c r="BRZ78" s="88"/>
      <c r="BSA78" s="88"/>
      <c r="BSB78" s="88"/>
      <c r="BSC78" s="88"/>
      <c r="BSD78" s="88"/>
      <c r="BSE78" s="88"/>
      <c r="BSF78" s="88"/>
      <c r="BSG78" s="88"/>
      <c r="BSH78" s="88"/>
      <c r="BSI78" s="88"/>
      <c r="BSJ78" s="88"/>
      <c r="BSK78" s="88"/>
      <c r="BSL78" s="88"/>
      <c r="BSM78" s="88"/>
      <c r="BSN78" s="88"/>
      <c r="BSO78" s="88"/>
      <c r="BSP78" s="88"/>
      <c r="BSQ78" s="88"/>
      <c r="BSR78" s="88"/>
      <c r="BSS78" s="88"/>
      <c r="BST78" s="88"/>
      <c r="BSU78" s="88"/>
      <c r="BSV78" s="88"/>
      <c r="BSW78" s="88"/>
      <c r="BSX78" s="88"/>
      <c r="BSY78" s="88"/>
      <c r="BSZ78" s="88"/>
      <c r="BTA78" s="88"/>
      <c r="BTB78" s="88"/>
      <c r="BTC78" s="88"/>
      <c r="BTD78" s="88"/>
      <c r="BTE78" s="88"/>
      <c r="BTF78" s="88"/>
      <c r="BTG78" s="88"/>
      <c r="BTH78" s="88"/>
      <c r="BTI78" s="88"/>
      <c r="BTJ78" s="88"/>
      <c r="BTK78" s="88"/>
      <c r="BTL78" s="88"/>
      <c r="BTM78" s="88"/>
      <c r="BTN78" s="88"/>
      <c r="BTO78" s="88"/>
      <c r="BTP78" s="88"/>
      <c r="BTQ78" s="88"/>
      <c r="BTR78" s="88"/>
      <c r="BTS78" s="88"/>
      <c r="BTT78" s="88"/>
      <c r="BTU78" s="88"/>
      <c r="BTV78" s="88"/>
      <c r="BTW78" s="88"/>
      <c r="BTX78" s="88"/>
      <c r="BTY78" s="88"/>
      <c r="BTZ78" s="88"/>
      <c r="BUA78" s="88"/>
      <c r="BUB78" s="88"/>
      <c r="BUC78" s="88"/>
      <c r="BUD78" s="88"/>
      <c r="BUE78" s="88"/>
      <c r="BUF78" s="88"/>
      <c r="BUG78" s="88"/>
      <c r="BUH78" s="88"/>
      <c r="BUI78" s="88"/>
      <c r="BUJ78" s="88"/>
      <c r="BUK78" s="88"/>
      <c r="BUL78" s="88"/>
      <c r="BUM78" s="88"/>
      <c r="BUN78" s="88"/>
      <c r="BUO78" s="88"/>
      <c r="BUP78" s="88"/>
      <c r="BUQ78" s="88"/>
      <c r="BUR78" s="88"/>
      <c r="BUS78" s="88"/>
      <c r="BUT78" s="88"/>
      <c r="BUU78" s="88"/>
      <c r="BUV78" s="88"/>
      <c r="BUW78" s="88"/>
      <c r="BUX78" s="88"/>
      <c r="BUY78" s="88"/>
      <c r="BUZ78" s="88"/>
      <c r="BVA78" s="88"/>
      <c r="BVB78" s="88"/>
      <c r="BVC78" s="88"/>
      <c r="BVD78" s="88"/>
      <c r="BVE78" s="88"/>
      <c r="BVF78" s="88"/>
      <c r="BVG78" s="88"/>
      <c r="BVH78" s="88"/>
      <c r="BVI78" s="88"/>
      <c r="BVJ78" s="88"/>
      <c r="BVK78" s="88"/>
      <c r="BVL78" s="88"/>
      <c r="BVM78" s="88"/>
      <c r="BVN78" s="88"/>
      <c r="BVO78" s="88"/>
      <c r="BVP78" s="88"/>
      <c r="BVQ78" s="88"/>
      <c r="BVR78" s="88"/>
      <c r="BVS78" s="88"/>
      <c r="BVT78" s="88"/>
      <c r="BVU78" s="88"/>
      <c r="BVV78" s="88"/>
      <c r="BVW78" s="88"/>
      <c r="BVX78" s="88"/>
      <c r="BVY78" s="88"/>
      <c r="BVZ78" s="88"/>
      <c r="BWA78" s="88"/>
      <c r="BWB78" s="88"/>
      <c r="BWC78" s="88"/>
      <c r="BWD78" s="88"/>
      <c r="BWE78" s="88"/>
      <c r="BWF78" s="88"/>
      <c r="BWG78" s="88"/>
      <c r="BWH78" s="88"/>
      <c r="BWI78" s="88"/>
      <c r="BWJ78" s="88"/>
      <c r="BWK78" s="88"/>
      <c r="BWL78" s="88"/>
      <c r="BWM78" s="88"/>
      <c r="BWN78" s="88"/>
      <c r="BWO78" s="88"/>
      <c r="BWP78" s="88"/>
      <c r="BWQ78" s="88"/>
      <c r="BWR78" s="88"/>
      <c r="BWS78" s="88"/>
      <c r="BWT78" s="88"/>
      <c r="BWU78" s="88"/>
      <c r="BWV78" s="88"/>
      <c r="BWW78" s="88"/>
      <c r="BWX78" s="88"/>
      <c r="BWY78" s="88"/>
      <c r="BWZ78" s="88"/>
      <c r="BXA78" s="88"/>
      <c r="BXB78" s="88"/>
      <c r="BXC78" s="88"/>
      <c r="BXD78" s="88"/>
      <c r="BXE78" s="88"/>
      <c r="BXF78" s="88"/>
      <c r="BXG78" s="88"/>
      <c r="BXH78" s="88"/>
      <c r="BXI78" s="88"/>
      <c r="BXJ78" s="88"/>
      <c r="BXK78" s="88"/>
      <c r="BXL78" s="88"/>
      <c r="BXM78" s="88"/>
      <c r="BXN78" s="88"/>
      <c r="BXO78" s="88"/>
      <c r="BXP78" s="88"/>
      <c r="BXQ78" s="88"/>
      <c r="BXR78" s="88"/>
      <c r="BXS78" s="88"/>
      <c r="BXT78" s="88"/>
      <c r="BXU78" s="88"/>
      <c r="BXV78" s="88"/>
      <c r="BXW78" s="88"/>
      <c r="BXX78" s="88"/>
      <c r="BXY78" s="88"/>
      <c r="BXZ78" s="88"/>
      <c r="BYA78" s="88"/>
      <c r="BYB78" s="88"/>
      <c r="BYC78" s="88"/>
      <c r="BYD78" s="88"/>
      <c r="BYE78" s="88"/>
      <c r="BYF78" s="88"/>
      <c r="BYG78" s="88"/>
      <c r="BYH78" s="88"/>
      <c r="BYI78" s="88"/>
      <c r="BYJ78" s="88"/>
      <c r="BYK78" s="88"/>
      <c r="BYL78" s="88"/>
      <c r="BYM78" s="88"/>
      <c r="BYN78" s="88"/>
      <c r="BYO78" s="88"/>
      <c r="BYP78" s="88"/>
      <c r="BYQ78" s="88"/>
      <c r="BYR78" s="88"/>
      <c r="BYS78" s="88"/>
      <c r="BYT78" s="88"/>
      <c r="BYU78" s="88"/>
      <c r="BYV78" s="88"/>
      <c r="BYW78" s="88"/>
      <c r="BYX78" s="88"/>
      <c r="BYY78" s="88"/>
      <c r="BYZ78" s="88"/>
      <c r="BZA78" s="88"/>
      <c r="BZB78" s="88"/>
      <c r="BZC78" s="88"/>
      <c r="BZD78" s="88"/>
      <c r="BZE78" s="88"/>
      <c r="BZF78" s="88"/>
      <c r="BZG78" s="88"/>
      <c r="BZH78" s="88"/>
      <c r="BZI78" s="88"/>
      <c r="BZJ78" s="88"/>
      <c r="BZK78" s="88"/>
      <c r="BZL78" s="88"/>
      <c r="BZM78" s="88"/>
      <c r="BZN78" s="88"/>
      <c r="BZO78" s="88"/>
      <c r="BZP78" s="88"/>
      <c r="BZQ78" s="88"/>
      <c r="BZR78" s="88"/>
      <c r="BZS78" s="88"/>
      <c r="BZT78" s="88"/>
      <c r="BZU78" s="88"/>
      <c r="BZV78" s="88"/>
      <c r="BZW78" s="88"/>
      <c r="BZX78" s="88"/>
      <c r="BZY78" s="88"/>
      <c r="BZZ78" s="88"/>
      <c r="CAA78" s="88"/>
      <c r="CAB78" s="88"/>
      <c r="CAC78" s="88"/>
      <c r="CAD78" s="88"/>
      <c r="CAE78" s="88"/>
      <c r="CAF78" s="88"/>
      <c r="CAG78" s="88"/>
      <c r="CAH78" s="88"/>
      <c r="CAI78" s="88"/>
      <c r="CAJ78" s="88"/>
      <c r="CAK78" s="88"/>
      <c r="CAL78" s="88"/>
      <c r="CAM78" s="88"/>
      <c r="CAN78" s="88"/>
      <c r="CAO78" s="88"/>
      <c r="CAP78" s="88"/>
      <c r="CAQ78" s="88"/>
      <c r="CAR78" s="88"/>
      <c r="CAS78" s="88"/>
      <c r="CAT78" s="88"/>
      <c r="CAU78" s="88"/>
      <c r="CAV78" s="88"/>
      <c r="CAW78" s="88"/>
      <c r="CAX78" s="88"/>
      <c r="CAY78" s="88"/>
      <c r="CAZ78" s="88"/>
      <c r="CBA78" s="88"/>
      <c r="CBB78" s="88"/>
      <c r="CBC78" s="88"/>
      <c r="CBD78" s="88"/>
      <c r="CBE78" s="88"/>
      <c r="CBF78" s="88"/>
      <c r="CBG78" s="88"/>
      <c r="CBH78" s="88"/>
      <c r="CBI78" s="88"/>
      <c r="CBJ78" s="88"/>
      <c r="CBK78" s="88"/>
      <c r="CBL78" s="88"/>
      <c r="CBM78" s="88"/>
      <c r="CBN78" s="88"/>
      <c r="CBO78" s="88"/>
      <c r="CBP78" s="88"/>
      <c r="CBQ78" s="88"/>
      <c r="CBR78" s="88"/>
      <c r="CBS78" s="88"/>
      <c r="CBT78" s="88"/>
      <c r="CBU78" s="88"/>
      <c r="CBV78" s="88"/>
      <c r="CBW78" s="88"/>
      <c r="CBX78" s="88"/>
      <c r="CBY78" s="88"/>
      <c r="CBZ78" s="88"/>
      <c r="CCA78" s="88"/>
      <c r="CCB78" s="88"/>
      <c r="CCC78" s="88"/>
      <c r="CCD78" s="88"/>
      <c r="CCE78" s="88"/>
      <c r="CCF78" s="88"/>
      <c r="CCG78" s="88"/>
      <c r="CCH78" s="88"/>
      <c r="CCI78" s="88"/>
      <c r="CCJ78" s="88"/>
      <c r="CCK78" s="88"/>
      <c r="CCL78" s="88"/>
      <c r="CCM78" s="88"/>
      <c r="CCN78" s="88"/>
      <c r="CCO78" s="88"/>
      <c r="CCP78" s="88"/>
      <c r="CCQ78" s="88"/>
      <c r="CCR78" s="88"/>
      <c r="CCS78" s="88"/>
      <c r="CCT78" s="88"/>
      <c r="CCU78" s="88"/>
      <c r="CCV78" s="88"/>
      <c r="CCW78" s="88"/>
      <c r="CCX78" s="88"/>
      <c r="CCY78" s="88"/>
      <c r="CCZ78" s="88"/>
      <c r="CDA78" s="88"/>
      <c r="CDB78" s="88"/>
      <c r="CDC78" s="88"/>
      <c r="CDD78" s="88"/>
      <c r="CDE78" s="88"/>
      <c r="CDF78" s="88"/>
      <c r="CDG78" s="88"/>
      <c r="CDH78" s="88"/>
      <c r="CDI78" s="88"/>
      <c r="CDJ78" s="88"/>
      <c r="CDK78" s="88"/>
      <c r="CDL78" s="88"/>
      <c r="CDM78" s="88"/>
      <c r="CDN78" s="88"/>
      <c r="CDO78" s="88"/>
      <c r="CDP78" s="88"/>
      <c r="CDQ78" s="88"/>
      <c r="CDR78" s="88"/>
      <c r="CDS78" s="88"/>
      <c r="CDT78" s="88"/>
      <c r="CDU78" s="88"/>
      <c r="CDV78" s="88"/>
      <c r="CDW78" s="88"/>
      <c r="CDX78" s="88"/>
      <c r="CDY78" s="88"/>
      <c r="CDZ78" s="88"/>
      <c r="CEA78" s="88"/>
      <c r="CEB78" s="88"/>
      <c r="CEC78" s="88"/>
      <c r="CED78" s="88"/>
      <c r="CEE78" s="88"/>
      <c r="CEF78" s="88"/>
      <c r="CEG78" s="88"/>
      <c r="CEH78" s="88"/>
      <c r="CEI78" s="88"/>
      <c r="CEJ78" s="88"/>
      <c r="CEK78" s="88"/>
    </row>
    <row r="79" spans="1:2169" s="63" customFormat="1">
      <c r="A79" s="73" t="s">
        <v>434</v>
      </c>
      <c r="B79" s="73" t="s">
        <v>2905</v>
      </c>
      <c r="C79" s="68" t="str">
        <f>IF('page 2'!$O$4="","",IF('page 2'!$O$4=Gestion!A79,1,0))</f>
        <v/>
      </c>
      <c r="D79" s="68" t="str">
        <f>IF('page 2'!$O$5="","",IF('page 2'!$O$5=Gestion!A79,1,0))</f>
        <v/>
      </c>
      <c r="E79" s="68" t="str">
        <f>IF('page 2'!$O$6="","",IF('page 2'!$O$6=Gestion!A79,1,0))</f>
        <v/>
      </c>
      <c r="F79" s="68" t="str">
        <f>IF('page 2'!$O$7="","",IF('page 2'!$O$7=Gestion!A79,1,0))</f>
        <v/>
      </c>
      <c r="G79" s="68" t="str">
        <f>IF('page 2'!$O$8="","",IF('page 2'!$O$8=Gestion!A79,1,0))</f>
        <v/>
      </c>
      <c r="H79" s="68" t="str">
        <f>IF('page 2'!$O$9="","",IF('page 2'!$O$9=Gestion!A79,1,0))</f>
        <v/>
      </c>
      <c r="I79" s="68" t="str">
        <f>IF('page 2'!$O$10="","",IF('page 2'!$O$10=Gestion!A79,1,0))</f>
        <v/>
      </c>
      <c r="J79" s="68" t="str">
        <f>IF('page 2'!$O$11="","",IF('page 2'!$O$11=Gestion!A79,1,0))</f>
        <v/>
      </c>
      <c r="K79" s="68" t="str">
        <f>IF('page 2'!$O$12="","",IF('page 2'!$O$12=Gestion!A79,1,0))</f>
        <v/>
      </c>
      <c r="L79" s="68" t="str">
        <f>IF('page 2'!$O$13="","",IF('page 2'!$O$13=Gestion!A79,1,0))</f>
        <v/>
      </c>
      <c r="M79" s="68" t="str">
        <f>IF('page 2'!$O$14="","",IF('page 2'!$O$14=Gestion!A79,1,0))</f>
        <v/>
      </c>
      <c r="N79" s="68" t="str">
        <f>IF('page 2'!$O$15="","",IF('page 2'!$O$15=Gestion!A79,1,0))</f>
        <v/>
      </c>
      <c r="O79" s="68" t="str">
        <f>IF('page 2'!$O$16="","",IF('page 2'!$O$16=Gestion!A79,1,0))</f>
        <v/>
      </c>
      <c r="P79" s="68" t="str">
        <f>IF('page 2'!$O$17="","",IF('page 2'!$O$17=Gestion!A79,1,0))</f>
        <v/>
      </c>
      <c r="Q79" s="68" t="str">
        <f>IF('page 2'!$O$18="","",IF('page 2'!$O$18=Gestion!A79,1,0))</f>
        <v/>
      </c>
      <c r="R79" s="68" t="str">
        <f>IF('page 2'!$O$19="","",IF('page 2'!$O$19=Gestion!A79,1,0))</f>
        <v/>
      </c>
      <c r="S79" s="68" t="str">
        <f>IF('page 2'!$O$20="","",IF('page 2'!$O$20=Gestion!A79,1,0))</f>
        <v/>
      </c>
      <c r="T79" s="68" t="str">
        <f>IF('page 2'!$O$25="","",IF('page 2'!$O$25=Gestion!A79,1,0))</f>
        <v/>
      </c>
      <c r="U79" s="68" t="str">
        <f>IF('page 2'!$O$26="","",IF('page 2'!$O$26=Gestion!A79,1,0))</f>
        <v/>
      </c>
      <c r="V79" s="68" t="str">
        <f>IF('page 2'!$O$27="","",IF('page 2'!$O$27=Gestion!A79,1,0))</f>
        <v/>
      </c>
      <c r="W79" s="722">
        <f t="shared" si="0"/>
        <v>0</v>
      </c>
      <c r="X79" s="714"/>
      <c r="Y79" s="68"/>
      <c r="Z79" s="68"/>
      <c r="AA79" s="68"/>
      <c r="AB79" s="68"/>
      <c r="AC79" s="68"/>
      <c r="AD79" s="68"/>
      <c r="AP79" s="130"/>
      <c r="AQ79" s="130"/>
      <c r="AR79" s="130"/>
      <c r="AS79" s="576"/>
      <c r="AT79" s="576"/>
      <c r="AU79" s="576"/>
      <c r="AV79" s="576"/>
      <c r="AW79" s="602"/>
      <c r="AX79" s="602"/>
      <c r="AY79" s="576"/>
      <c r="AZ79" s="576"/>
      <c r="BA79" s="576"/>
      <c r="BB79" s="576"/>
      <c r="BC79" s="576"/>
      <c r="BD79" s="602"/>
      <c r="BE79" s="602"/>
      <c r="BF79" s="602"/>
      <c r="BG79" s="602"/>
      <c r="BH79" s="602"/>
      <c r="BI79" s="602"/>
      <c r="BJ79" s="602"/>
      <c r="BK79" s="602"/>
      <c r="BL79" s="602"/>
      <c r="BM79" s="602"/>
      <c r="BN79" s="602"/>
      <c r="BO79" s="602"/>
      <c r="BP79" s="602"/>
      <c r="BQ79" s="602"/>
      <c r="BR79" s="602"/>
      <c r="BS79" s="576"/>
      <c r="BT79" s="576"/>
      <c r="BU79" s="576"/>
      <c r="BV79" s="576"/>
      <c r="BW79" s="602"/>
      <c r="BX79" s="602"/>
      <c r="BY79" s="602"/>
      <c r="BZ79" s="576"/>
      <c r="CA79" s="602"/>
      <c r="CB79" s="602"/>
      <c r="CC79" s="576"/>
      <c r="CD79" s="576"/>
      <c r="CE79" s="602"/>
      <c r="CF79" s="576"/>
      <c r="CG79" s="576"/>
      <c r="CH79" s="576"/>
      <c r="CI79" s="576"/>
      <c r="CJ79" s="576"/>
      <c r="CK79" s="602"/>
      <c r="CL79" s="602"/>
      <c r="CM79" s="576"/>
      <c r="CN79" s="602"/>
      <c r="CO79" s="602"/>
      <c r="CP79" s="602"/>
      <c r="CQ79" s="576"/>
      <c r="CR79" s="576"/>
      <c r="CS79" s="602"/>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c r="SF79" s="88"/>
      <c r="SG79" s="88"/>
      <c r="SH79" s="88"/>
      <c r="SI79" s="88"/>
      <c r="SJ79" s="88"/>
      <c r="SK79" s="88"/>
      <c r="SL79" s="88"/>
      <c r="SM79" s="88"/>
      <c r="SN79" s="88"/>
      <c r="SO79" s="88"/>
      <c r="SP79" s="88"/>
      <c r="SQ79" s="88"/>
      <c r="SR79" s="88"/>
      <c r="SS79" s="88"/>
      <c r="ST79" s="88"/>
      <c r="SU79" s="88"/>
      <c r="SV79" s="88"/>
      <c r="SW79" s="88"/>
      <c r="SX79" s="88"/>
      <c r="SY79" s="88"/>
      <c r="SZ79" s="88"/>
      <c r="TA79" s="88"/>
      <c r="TB79" s="88"/>
      <c r="TC79" s="88"/>
      <c r="TD79" s="88"/>
      <c r="TE79" s="88"/>
      <c r="TF79" s="88"/>
      <c r="TG79" s="88"/>
      <c r="TH79" s="88"/>
      <c r="TI79" s="88"/>
      <c r="TJ79" s="88"/>
      <c r="TK79" s="88"/>
      <c r="TL79" s="88"/>
      <c r="TM79" s="88"/>
      <c r="TN79" s="88"/>
      <c r="TO79" s="88"/>
      <c r="TP79" s="88"/>
      <c r="TQ79" s="88"/>
      <c r="TR79" s="88"/>
      <c r="TS79" s="88"/>
      <c r="TT79" s="88"/>
      <c r="TU79" s="88"/>
      <c r="TV79" s="88"/>
      <c r="TW79" s="88"/>
      <c r="TX79" s="88"/>
      <c r="TY79" s="88"/>
      <c r="TZ79" s="88"/>
      <c r="UA79" s="88"/>
      <c r="UB79" s="88"/>
      <c r="UC79" s="88"/>
      <c r="UD79" s="88"/>
      <c r="UE79" s="88"/>
      <c r="UF79" s="88"/>
      <c r="UG79" s="88"/>
      <c r="UH79" s="88"/>
      <c r="UI79" s="88"/>
      <c r="UJ79" s="88"/>
      <c r="UK79" s="88"/>
      <c r="UL79" s="88"/>
      <c r="UM79" s="88"/>
      <c r="UN79" s="88"/>
      <c r="UO79" s="88"/>
      <c r="UP79" s="88"/>
      <c r="UQ79" s="88"/>
      <c r="UR79" s="88"/>
      <c r="US79" s="88"/>
      <c r="UT79" s="88"/>
      <c r="UU79" s="88"/>
      <c r="UV79" s="88"/>
      <c r="UW79" s="88"/>
      <c r="UX79" s="88"/>
      <c r="UY79" s="88"/>
      <c r="UZ79" s="88"/>
      <c r="VA79" s="88"/>
      <c r="VB79" s="88"/>
      <c r="VC79" s="88"/>
      <c r="VD79" s="88"/>
      <c r="VE79" s="88"/>
      <c r="VF79" s="88"/>
      <c r="VG79" s="88"/>
      <c r="VH79" s="88"/>
      <c r="VI79" s="88"/>
      <c r="VJ79" s="88"/>
      <c r="VK79" s="88"/>
      <c r="VL79" s="88"/>
      <c r="VM79" s="88"/>
      <c r="VN79" s="88"/>
      <c r="VO79" s="88"/>
      <c r="VP79" s="88"/>
      <c r="VQ79" s="88"/>
      <c r="VR79" s="88"/>
      <c r="VS79" s="88"/>
      <c r="VT79" s="88"/>
      <c r="VU79" s="88"/>
      <c r="VV79" s="88"/>
      <c r="VW79" s="88"/>
      <c r="VX79" s="88"/>
      <c r="VY79" s="88"/>
      <c r="VZ79" s="88"/>
      <c r="WA79" s="88"/>
      <c r="WB79" s="88"/>
      <c r="WC79" s="88"/>
      <c r="WD79" s="88"/>
      <c r="WE79" s="88"/>
      <c r="WF79" s="88"/>
      <c r="WG79" s="88"/>
      <c r="WH79" s="88"/>
      <c r="WI79" s="88"/>
      <c r="WJ79" s="88"/>
      <c r="WK79" s="88"/>
      <c r="WL79" s="88"/>
      <c r="WM79" s="88"/>
      <c r="WN79" s="88"/>
      <c r="WO79" s="88"/>
      <c r="WP79" s="88"/>
      <c r="WQ79" s="88"/>
      <c r="WR79" s="88"/>
      <c r="WS79" s="88"/>
      <c r="WT79" s="88"/>
      <c r="WU79" s="88"/>
      <c r="WV79" s="88"/>
      <c r="WW79" s="88"/>
      <c r="WX79" s="88"/>
      <c r="WY79" s="88"/>
      <c r="WZ79" s="88"/>
      <c r="XA79" s="88"/>
      <c r="XB79" s="88"/>
      <c r="XC79" s="88"/>
      <c r="XD79" s="88"/>
      <c r="XE79" s="88"/>
      <c r="XF79" s="88"/>
      <c r="XG79" s="88"/>
      <c r="XH79" s="88"/>
      <c r="XI79" s="88"/>
      <c r="XJ79" s="88"/>
      <c r="XK79" s="88"/>
      <c r="XL79" s="88"/>
      <c r="XM79" s="88"/>
      <c r="XN79" s="88"/>
      <c r="XO79" s="88"/>
      <c r="XP79" s="88"/>
      <c r="XQ79" s="88"/>
      <c r="XR79" s="88"/>
      <c r="XS79" s="88"/>
      <c r="XT79" s="88"/>
      <c r="XU79" s="88"/>
      <c r="XV79" s="88"/>
      <c r="XW79" s="88"/>
      <c r="XX79" s="88"/>
      <c r="XY79" s="88"/>
      <c r="XZ79" s="88"/>
      <c r="YA79" s="88"/>
      <c r="YB79" s="88"/>
      <c r="YC79" s="88"/>
      <c r="YD79" s="88"/>
      <c r="YE79" s="88"/>
      <c r="YF79" s="88"/>
      <c r="YG79" s="88"/>
      <c r="YH79" s="88"/>
      <c r="YI79" s="88"/>
      <c r="YJ79" s="88"/>
      <c r="YK79" s="88"/>
      <c r="YL79" s="88"/>
      <c r="YM79" s="88"/>
      <c r="YN79" s="88"/>
      <c r="YO79" s="88"/>
      <c r="YP79" s="88"/>
      <c r="YQ79" s="88"/>
      <c r="YR79" s="88"/>
      <c r="YS79" s="88"/>
      <c r="YT79" s="88"/>
      <c r="YU79" s="88"/>
      <c r="YV79" s="88"/>
      <c r="YW79" s="88"/>
      <c r="YX79" s="88"/>
      <c r="YY79" s="88"/>
      <c r="YZ79" s="88"/>
      <c r="ZA79" s="88"/>
      <c r="ZB79" s="88"/>
      <c r="ZC79" s="88"/>
      <c r="ZD79" s="88"/>
      <c r="ZE79" s="88"/>
      <c r="ZF79" s="88"/>
      <c r="ZG79" s="88"/>
      <c r="ZH79" s="88"/>
      <c r="ZI79" s="88"/>
      <c r="ZJ79" s="88"/>
      <c r="ZK79" s="88"/>
      <c r="ZL79" s="88"/>
      <c r="ZM79" s="88"/>
      <c r="ZN79" s="88"/>
      <c r="ZO79" s="88"/>
      <c r="ZP79" s="88"/>
      <c r="ZQ79" s="88"/>
      <c r="ZR79" s="88"/>
      <c r="ZS79" s="88"/>
      <c r="ZT79" s="88"/>
      <c r="ZU79" s="88"/>
      <c r="ZV79" s="88"/>
      <c r="ZW79" s="88"/>
      <c r="ZX79" s="88"/>
      <c r="ZY79" s="88"/>
      <c r="ZZ79" s="88"/>
      <c r="AAA79" s="88"/>
      <c r="AAB79" s="88"/>
      <c r="AAC79" s="88"/>
      <c r="AAD79" s="88"/>
      <c r="AAE79" s="88"/>
      <c r="AAF79" s="88"/>
      <c r="AAG79" s="88"/>
      <c r="AAH79" s="88"/>
      <c r="AAI79" s="88"/>
      <c r="AAJ79" s="88"/>
      <c r="AAK79" s="88"/>
      <c r="AAL79" s="88"/>
      <c r="AAM79" s="88"/>
      <c r="AAN79" s="88"/>
      <c r="AAO79" s="88"/>
      <c r="AAP79" s="88"/>
      <c r="AAQ79" s="88"/>
      <c r="AAR79" s="88"/>
      <c r="AAS79" s="88"/>
      <c r="AAT79" s="88"/>
      <c r="AAU79" s="88"/>
      <c r="AAV79" s="88"/>
      <c r="AAW79" s="88"/>
      <c r="AAX79" s="88"/>
      <c r="AAY79" s="88"/>
      <c r="AAZ79" s="88"/>
      <c r="ABA79" s="88"/>
      <c r="ABB79" s="88"/>
      <c r="ABC79" s="88"/>
      <c r="ABD79" s="88"/>
      <c r="ABE79" s="88"/>
      <c r="ABF79" s="88"/>
      <c r="ABG79" s="88"/>
      <c r="ABH79" s="88"/>
      <c r="ABI79" s="88"/>
      <c r="ABJ79" s="88"/>
      <c r="ABK79" s="88"/>
      <c r="ABL79" s="88"/>
      <c r="ABM79" s="88"/>
      <c r="ABN79" s="88"/>
      <c r="ABO79" s="88"/>
      <c r="ABP79" s="88"/>
      <c r="ABQ79" s="88"/>
      <c r="ABR79" s="88"/>
      <c r="ABS79" s="88"/>
      <c r="ABT79" s="88"/>
      <c r="ABU79" s="88"/>
      <c r="ABV79" s="88"/>
      <c r="ABW79" s="88"/>
      <c r="ABX79" s="88"/>
      <c r="ABY79" s="88"/>
      <c r="ABZ79" s="88"/>
      <c r="ACA79" s="88"/>
      <c r="ACB79" s="88"/>
      <c r="ACC79" s="88"/>
      <c r="ACD79" s="88"/>
      <c r="ACE79" s="88"/>
      <c r="ACF79" s="88"/>
      <c r="ACG79" s="88"/>
      <c r="ACH79" s="88"/>
      <c r="ACI79" s="88"/>
      <c r="ACJ79" s="88"/>
      <c r="ACK79" s="88"/>
      <c r="ACL79" s="88"/>
      <c r="ACM79" s="88"/>
      <c r="ACN79" s="88"/>
      <c r="ACO79" s="88"/>
      <c r="ACP79" s="88"/>
      <c r="ACQ79" s="88"/>
      <c r="ACR79" s="88"/>
      <c r="ACS79" s="88"/>
      <c r="ACT79" s="88"/>
      <c r="ACU79" s="88"/>
      <c r="ACV79" s="88"/>
      <c r="ACW79" s="88"/>
      <c r="ACX79" s="88"/>
      <c r="ACY79" s="88"/>
      <c r="ACZ79" s="88"/>
      <c r="ADA79" s="88"/>
      <c r="ADB79" s="88"/>
      <c r="ADC79" s="88"/>
      <c r="ADD79" s="88"/>
      <c r="ADE79" s="88"/>
      <c r="ADF79" s="88"/>
      <c r="ADG79" s="88"/>
      <c r="ADH79" s="88"/>
      <c r="ADI79" s="88"/>
      <c r="ADJ79" s="88"/>
      <c r="ADK79" s="88"/>
      <c r="ADL79" s="88"/>
      <c r="ADM79" s="88"/>
      <c r="ADN79" s="88"/>
      <c r="ADO79" s="88"/>
      <c r="ADP79" s="88"/>
      <c r="ADQ79" s="88"/>
      <c r="ADR79" s="88"/>
      <c r="ADS79" s="88"/>
      <c r="ADT79" s="88"/>
      <c r="ADU79" s="88"/>
      <c r="ADV79" s="88"/>
      <c r="ADW79" s="88"/>
      <c r="ADX79" s="88"/>
      <c r="ADY79" s="88"/>
      <c r="ADZ79" s="88"/>
      <c r="AEA79" s="88"/>
      <c r="AEB79" s="88"/>
      <c r="AEC79" s="88"/>
      <c r="AED79" s="88"/>
      <c r="AEE79" s="88"/>
      <c r="AEF79" s="88"/>
      <c r="AEG79" s="88"/>
      <c r="AEH79" s="88"/>
      <c r="AEI79" s="88"/>
      <c r="AEJ79" s="88"/>
      <c r="AEK79" s="88"/>
      <c r="AEL79" s="88"/>
      <c r="AEM79" s="88"/>
      <c r="AEN79" s="88"/>
      <c r="AEO79" s="88"/>
      <c r="AEP79" s="88"/>
      <c r="AEQ79" s="88"/>
      <c r="AER79" s="88"/>
      <c r="AES79" s="88"/>
      <c r="AET79" s="88"/>
      <c r="AEU79" s="88"/>
      <c r="AEV79" s="88"/>
      <c r="AEW79" s="88"/>
      <c r="AEX79" s="88"/>
      <c r="AEY79" s="88"/>
      <c r="AEZ79" s="88"/>
      <c r="AFA79" s="88"/>
      <c r="AFB79" s="88"/>
      <c r="AFC79" s="88"/>
      <c r="AFD79" s="88"/>
      <c r="AFE79" s="88"/>
      <c r="AFF79" s="88"/>
      <c r="AFG79" s="88"/>
      <c r="AFH79" s="88"/>
      <c r="AFI79" s="88"/>
      <c r="AFJ79" s="88"/>
      <c r="AFK79" s="88"/>
      <c r="AFL79" s="88"/>
      <c r="AFM79" s="88"/>
      <c r="AFN79" s="88"/>
      <c r="AFO79" s="88"/>
      <c r="AFP79" s="88"/>
      <c r="AFQ79" s="88"/>
      <c r="AFR79" s="88"/>
      <c r="AFS79" s="88"/>
      <c r="AFT79" s="88"/>
      <c r="AFU79" s="88"/>
      <c r="AFV79" s="88"/>
      <c r="AFW79" s="88"/>
      <c r="AFX79" s="88"/>
      <c r="AFY79" s="88"/>
      <c r="AFZ79" s="88"/>
      <c r="AGA79" s="88"/>
      <c r="AGB79" s="88"/>
      <c r="AGC79" s="88"/>
      <c r="AGD79" s="88"/>
      <c r="AGE79" s="88"/>
      <c r="AGF79" s="88"/>
      <c r="AGG79" s="88"/>
      <c r="AGH79" s="88"/>
      <c r="AGI79" s="88"/>
      <c r="AGJ79" s="88"/>
      <c r="AGK79" s="88"/>
      <c r="AGL79" s="88"/>
      <c r="AGM79" s="88"/>
      <c r="AGN79" s="88"/>
      <c r="AGO79" s="88"/>
      <c r="AGP79" s="88"/>
      <c r="AGQ79" s="88"/>
      <c r="AGR79" s="88"/>
      <c r="AGS79" s="88"/>
      <c r="AGT79" s="88"/>
      <c r="AGU79" s="88"/>
      <c r="AGV79" s="88"/>
      <c r="AGW79" s="88"/>
      <c r="AGX79" s="88"/>
      <c r="AGY79" s="88"/>
      <c r="AGZ79" s="88"/>
      <c r="AHA79" s="88"/>
      <c r="AHB79" s="88"/>
      <c r="AHC79" s="88"/>
      <c r="AHD79" s="88"/>
      <c r="AHE79" s="88"/>
      <c r="AHF79" s="88"/>
      <c r="AHG79" s="88"/>
      <c r="AHH79" s="88"/>
      <c r="AHI79" s="88"/>
      <c r="AHJ79" s="88"/>
      <c r="AHK79" s="88"/>
      <c r="AHL79" s="88"/>
      <c r="AHM79" s="88"/>
      <c r="AHN79" s="88"/>
      <c r="AHO79" s="88"/>
      <c r="AHP79" s="88"/>
      <c r="AHQ79" s="88"/>
      <c r="AHR79" s="88"/>
      <c r="AHS79" s="88"/>
      <c r="AHT79" s="88"/>
      <c r="AHU79" s="88"/>
      <c r="AHV79" s="88"/>
      <c r="AHW79" s="88"/>
      <c r="AHX79" s="88"/>
      <c r="AHY79" s="88"/>
      <c r="AHZ79" s="88"/>
      <c r="AIA79" s="88"/>
      <c r="AIB79" s="88"/>
      <c r="AIC79" s="88"/>
      <c r="AID79" s="88"/>
      <c r="AIE79" s="88"/>
      <c r="AIF79" s="88"/>
      <c r="AIG79" s="88"/>
      <c r="AIH79" s="88"/>
      <c r="AII79" s="88"/>
      <c r="AIJ79" s="88"/>
      <c r="AIK79" s="88"/>
      <c r="AIL79" s="88"/>
      <c r="AIM79" s="88"/>
      <c r="AIN79" s="88"/>
      <c r="AIO79" s="88"/>
      <c r="AIP79" s="88"/>
      <c r="AIQ79" s="88"/>
      <c r="AIR79" s="88"/>
      <c r="AIS79" s="88"/>
      <c r="AIT79" s="88"/>
      <c r="AIU79" s="88"/>
      <c r="AIV79" s="88"/>
      <c r="AIW79" s="88"/>
      <c r="AIX79" s="88"/>
      <c r="AIY79" s="88"/>
      <c r="AIZ79" s="88"/>
      <c r="AJA79" s="88"/>
      <c r="AJB79" s="88"/>
      <c r="AJC79" s="88"/>
      <c r="AJD79" s="88"/>
      <c r="AJE79" s="88"/>
      <c r="AJF79" s="88"/>
      <c r="AJG79" s="88"/>
      <c r="AJH79" s="88"/>
      <c r="AJI79" s="88"/>
      <c r="AJJ79" s="88"/>
      <c r="AJK79" s="88"/>
      <c r="AJL79" s="88"/>
      <c r="AJM79" s="88"/>
      <c r="AJN79" s="88"/>
      <c r="AJO79" s="88"/>
      <c r="AJP79" s="88"/>
      <c r="AJQ79" s="88"/>
      <c r="AJR79" s="88"/>
      <c r="AJS79" s="88"/>
      <c r="AJT79" s="88"/>
      <c r="AJU79" s="88"/>
      <c r="AJV79" s="88"/>
      <c r="AJW79" s="88"/>
      <c r="AJX79" s="88"/>
      <c r="AJY79" s="88"/>
      <c r="AJZ79" s="88"/>
      <c r="AKA79" s="88"/>
      <c r="AKB79" s="88"/>
      <c r="AKC79" s="88"/>
      <c r="AKD79" s="88"/>
      <c r="AKE79" s="88"/>
      <c r="AKF79" s="88"/>
      <c r="AKG79" s="88"/>
      <c r="AKH79" s="88"/>
      <c r="AKI79" s="88"/>
      <c r="AKJ79" s="88"/>
      <c r="AKK79" s="88"/>
      <c r="AKL79" s="88"/>
      <c r="AKM79" s="88"/>
      <c r="AKN79" s="88"/>
      <c r="AKO79" s="88"/>
      <c r="AKP79" s="88"/>
      <c r="AKQ79" s="88"/>
      <c r="AKR79" s="88"/>
      <c r="AKS79" s="88"/>
      <c r="AKT79" s="88"/>
      <c r="AKU79" s="88"/>
      <c r="AKV79" s="88"/>
      <c r="AKW79" s="88"/>
      <c r="AKX79" s="88"/>
      <c r="AKY79" s="88"/>
      <c r="AKZ79" s="88"/>
      <c r="ALA79" s="88"/>
      <c r="ALB79" s="88"/>
      <c r="ALC79" s="88"/>
      <c r="ALD79" s="88"/>
      <c r="ALE79" s="88"/>
      <c r="ALF79" s="88"/>
      <c r="ALG79" s="88"/>
      <c r="ALH79" s="88"/>
      <c r="ALI79" s="88"/>
      <c r="ALJ79" s="88"/>
      <c r="ALK79" s="88"/>
      <c r="ALL79" s="88"/>
      <c r="ALM79" s="88"/>
      <c r="ALN79" s="88"/>
      <c r="ALO79" s="88"/>
      <c r="ALP79" s="88"/>
      <c r="ALQ79" s="88"/>
      <c r="ALR79" s="88"/>
      <c r="ALS79" s="88"/>
      <c r="ALT79" s="88"/>
      <c r="ALU79" s="88"/>
      <c r="ALV79" s="88"/>
      <c r="ALW79" s="88"/>
      <c r="ALX79" s="88"/>
      <c r="ALY79" s="88"/>
      <c r="ALZ79" s="88"/>
      <c r="AMA79" s="88"/>
      <c r="AMB79" s="88"/>
      <c r="AMC79" s="88"/>
      <c r="AMD79" s="88"/>
      <c r="AME79" s="88"/>
      <c r="AMF79" s="88"/>
      <c r="AMG79" s="88"/>
      <c r="AMH79" s="88"/>
      <c r="AMI79" s="88"/>
      <c r="AMJ79" s="88"/>
      <c r="AMK79" s="88"/>
      <c r="AML79" s="88"/>
      <c r="AMM79" s="88"/>
      <c r="AMN79" s="88"/>
      <c r="AMO79" s="88"/>
      <c r="AMP79" s="88"/>
      <c r="AMQ79" s="88"/>
      <c r="AMR79" s="88"/>
      <c r="AMS79" s="88"/>
      <c r="AMT79" s="88"/>
      <c r="AMU79" s="88"/>
      <c r="AMV79" s="88"/>
      <c r="AMW79" s="88"/>
      <c r="AMX79" s="88"/>
      <c r="AMY79" s="88"/>
      <c r="AMZ79" s="88"/>
      <c r="ANA79" s="88"/>
      <c r="ANB79" s="88"/>
      <c r="ANC79" s="88"/>
      <c r="AND79" s="88"/>
      <c r="ANE79" s="88"/>
      <c r="ANF79" s="88"/>
      <c r="ANG79" s="88"/>
      <c r="ANH79" s="88"/>
      <c r="ANI79" s="88"/>
      <c r="ANJ79" s="88"/>
      <c r="ANK79" s="88"/>
      <c r="ANL79" s="88"/>
      <c r="ANM79" s="88"/>
      <c r="ANN79" s="88"/>
      <c r="ANO79" s="88"/>
      <c r="ANP79" s="88"/>
      <c r="ANQ79" s="88"/>
      <c r="ANR79" s="88"/>
      <c r="ANS79" s="88"/>
      <c r="ANT79" s="88"/>
      <c r="ANU79" s="88"/>
      <c r="ANV79" s="88"/>
      <c r="ANW79" s="88"/>
      <c r="ANX79" s="88"/>
      <c r="ANY79" s="88"/>
      <c r="ANZ79" s="88"/>
      <c r="AOA79" s="88"/>
      <c r="AOB79" s="88"/>
      <c r="AOC79" s="88"/>
      <c r="AOD79" s="88"/>
      <c r="AOE79" s="88"/>
      <c r="AOF79" s="88"/>
      <c r="AOG79" s="88"/>
      <c r="AOH79" s="88"/>
      <c r="AOI79" s="88"/>
      <c r="AOJ79" s="88"/>
      <c r="AOK79" s="88"/>
      <c r="AOL79" s="88"/>
      <c r="AOM79" s="88"/>
      <c r="AON79" s="88"/>
      <c r="AOO79" s="88"/>
      <c r="AOP79" s="88"/>
      <c r="AOQ79" s="88"/>
      <c r="AOR79" s="88"/>
      <c r="AOS79" s="88"/>
      <c r="AOT79" s="88"/>
      <c r="AOU79" s="88"/>
      <c r="AOV79" s="88"/>
      <c r="AOW79" s="88"/>
      <c r="AOX79" s="88"/>
      <c r="AOY79" s="88"/>
      <c r="AOZ79" s="88"/>
      <c r="APA79" s="88"/>
      <c r="APB79" s="88"/>
      <c r="APC79" s="88"/>
      <c r="APD79" s="88"/>
      <c r="APE79" s="88"/>
      <c r="APF79" s="88"/>
      <c r="APG79" s="88"/>
      <c r="APH79" s="88"/>
      <c r="API79" s="88"/>
      <c r="APJ79" s="88"/>
      <c r="APK79" s="88"/>
      <c r="APL79" s="88"/>
      <c r="APM79" s="88"/>
      <c r="APN79" s="88"/>
      <c r="APO79" s="88"/>
      <c r="APP79" s="88"/>
      <c r="APQ79" s="88"/>
      <c r="APR79" s="88"/>
      <c r="APS79" s="88"/>
      <c r="APT79" s="88"/>
      <c r="APU79" s="88"/>
      <c r="APV79" s="88"/>
      <c r="APW79" s="88"/>
      <c r="APX79" s="88"/>
      <c r="APY79" s="88"/>
      <c r="APZ79" s="88"/>
      <c r="AQA79" s="88"/>
      <c r="AQB79" s="88"/>
      <c r="AQC79" s="88"/>
      <c r="AQD79" s="88"/>
      <c r="AQE79" s="88"/>
      <c r="AQF79" s="88"/>
      <c r="AQG79" s="88"/>
      <c r="AQH79" s="88"/>
      <c r="AQI79" s="88"/>
      <c r="AQJ79" s="88"/>
      <c r="AQK79" s="88"/>
      <c r="AQL79" s="88"/>
      <c r="AQM79" s="88"/>
      <c r="AQN79" s="88"/>
      <c r="AQO79" s="88"/>
      <c r="AQP79" s="88"/>
      <c r="AQQ79" s="88"/>
      <c r="AQR79" s="88"/>
      <c r="AQS79" s="88"/>
      <c r="AQT79" s="88"/>
      <c r="AQU79" s="88"/>
      <c r="AQV79" s="88"/>
      <c r="AQW79" s="88"/>
      <c r="AQX79" s="88"/>
      <c r="AQY79" s="88"/>
      <c r="AQZ79" s="88"/>
      <c r="ARA79" s="88"/>
      <c r="ARB79" s="88"/>
      <c r="ARC79" s="88"/>
      <c r="ARD79" s="88"/>
      <c r="ARE79" s="88"/>
      <c r="ARF79" s="88"/>
      <c r="ARG79" s="88"/>
      <c r="ARH79" s="88"/>
      <c r="ARI79" s="88"/>
      <c r="ARJ79" s="88"/>
      <c r="ARK79" s="88"/>
      <c r="ARL79" s="88"/>
      <c r="ARM79" s="88"/>
      <c r="ARN79" s="88"/>
      <c r="ARO79" s="88"/>
      <c r="ARP79" s="88"/>
      <c r="ARQ79" s="88"/>
      <c r="ARR79" s="88"/>
      <c r="ARS79" s="88"/>
      <c r="ART79" s="88"/>
      <c r="ARU79" s="88"/>
      <c r="ARV79" s="88"/>
      <c r="ARW79" s="88"/>
      <c r="ARX79" s="88"/>
      <c r="ARY79" s="88"/>
      <c r="ARZ79" s="88"/>
      <c r="ASA79" s="88"/>
      <c r="ASB79" s="88"/>
      <c r="ASC79" s="88"/>
      <c r="ASD79" s="88"/>
      <c r="ASE79" s="88"/>
      <c r="ASF79" s="88"/>
      <c r="ASG79" s="88"/>
      <c r="ASH79" s="88"/>
      <c r="ASI79" s="88"/>
      <c r="ASJ79" s="88"/>
      <c r="ASK79" s="88"/>
      <c r="ASL79" s="88"/>
      <c r="ASM79" s="88"/>
      <c r="ASN79" s="88"/>
      <c r="ASO79" s="88"/>
      <c r="ASP79" s="88"/>
      <c r="ASQ79" s="88"/>
      <c r="ASR79" s="88"/>
      <c r="ASS79" s="88"/>
      <c r="AST79" s="88"/>
      <c r="ASU79" s="88"/>
      <c r="ASV79" s="88"/>
      <c r="ASW79" s="88"/>
      <c r="ASX79" s="88"/>
      <c r="ASY79" s="88"/>
      <c r="ASZ79" s="88"/>
      <c r="ATA79" s="88"/>
      <c r="ATB79" s="88"/>
      <c r="ATC79" s="88"/>
      <c r="ATD79" s="88"/>
      <c r="ATE79" s="88"/>
      <c r="ATF79" s="88"/>
      <c r="ATG79" s="88"/>
      <c r="ATH79" s="88"/>
      <c r="ATI79" s="88"/>
      <c r="ATJ79" s="88"/>
      <c r="ATK79" s="88"/>
      <c r="ATL79" s="88"/>
      <c r="ATM79" s="88"/>
      <c r="ATN79" s="88"/>
      <c r="ATO79" s="88"/>
      <c r="ATP79" s="88"/>
      <c r="ATQ79" s="88"/>
      <c r="ATR79" s="88"/>
      <c r="ATS79" s="88"/>
      <c r="ATT79" s="88"/>
      <c r="ATU79" s="88"/>
      <c r="ATV79" s="88"/>
      <c r="ATW79" s="88"/>
      <c r="ATX79" s="88"/>
      <c r="ATY79" s="88"/>
      <c r="ATZ79" s="88"/>
      <c r="AUA79" s="88"/>
      <c r="AUB79" s="88"/>
      <c r="AUC79" s="88"/>
      <c r="AUD79" s="88"/>
      <c r="AUE79" s="88"/>
      <c r="AUF79" s="88"/>
      <c r="AUG79" s="88"/>
      <c r="AUH79" s="88"/>
      <c r="AUI79" s="88"/>
      <c r="AUJ79" s="88"/>
      <c r="AUK79" s="88"/>
      <c r="AUL79" s="88"/>
      <c r="AUM79" s="88"/>
      <c r="AUN79" s="88"/>
      <c r="AUO79" s="88"/>
      <c r="AUP79" s="88"/>
      <c r="AUQ79" s="88"/>
      <c r="AUR79" s="88"/>
      <c r="AUS79" s="88"/>
      <c r="AUT79" s="88"/>
      <c r="AUU79" s="88"/>
      <c r="AUV79" s="88"/>
      <c r="AUW79" s="88"/>
      <c r="AUX79" s="88"/>
      <c r="AUY79" s="88"/>
      <c r="AUZ79" s="88"/>
      <c r="AVA79" s="88"/>
      <c r="AVB79" s="88"/>
      <c r="AVC79" s="88"/>
      <c r="AVD79" s="88"/>
      <c r="AVE79" s="88"/>
      <c r="AVF79" s="88"/>
      <c r="AVG79" s="88"/>
      <c r="AVH79" s="88"/>
      <c r="AVI79" s="88"/>
      <c r="AVJ79" s="88"/>
      <c r="AVK79" s="88"/>
      <c r="AVL79" s="88"/>
      <c r="AVM79" s="88"/>
      <c r="AVN79" s="88"/>
      <c r="AVO79" s="88"/>
      <c r="AVP79" s="88"/>
      <c r="AVQ79" s="88"/>
      <c r="AVR79" s="88"/>
      <c r="AVS79" s="88"/>
      <c r="AVT79" s="88"/>
      <c r="AVU79" s="88"/>
      <c r="AVV79" s="88"/>
      <c r="AVW79" s="88"/>
      <c r="AVX79" s="88"/>
      <c r="AVY79" s="88"/>
      <c r="AVZ79" s="88"/>
      <c r="AWA79" s="88"/>
      <c r="AWB79" s="88"/>
      <c r="AWC79" s="88"/>
      <c r="AWD79" s="88"/>
      <c r="AWE79" s="88"/>
      <c r="AWF79" s="88"/>
      <c r="AWG79" s="88"/>
      <c r="AWH79" s="88"/>
      <c r="AWI79" s="88"/>
      <c r="AWJ79" s="88"/>
      <c r="AWK79" s="88"/>
      <c r="AWL79" s="88"/>
      <c r="AWM79" s="88"/>
      <c r="AWN79" s="88"/>
      <c r="AWO79" s="88"/>
      <c r="AWP79" s="88"/>
      <c r="AWQ79" s="88"/>
      <c r="AWR79" s="88"/>
      <c r="AWS79" s="88"/>
      <c r="AWT79" s="88"/>
      <c r="AWU79" s="88"/>
      <c r="AWV79" s="88"/>
      <c r="AWW79" s="88"/>
      <c r="AWX79" s="88"/>
      <c r="AWY79" s="88"/>
      <c r="AWZ79" s="88"/>
      <c r="AXA79" s="88"/>
      <c r="AXB79" s="88"/>
      <c r="AXC79" s="88"/>
      <c r="AXD79" s="88"/>
      <c r="AXE79" s="88"/>
      <c r="AXF79" s="88"/>
      <c r="AXG79" s="88"/>
      <c r="AXH79" s="88"/>
      <c r="AXI79" s="88"/>
      <c r="AXJ79" s="88"/>
      <c r="AXK79" s="88"/>
      <c r="AXL79" s="88"/>
      <c r="AXM79" s="88"/>
      <c r="AXN79" s="88"/>
      <c r="AXO79" s="88"/>
      <c r="AXP79" s="88"/>
      <c r="AXQ79" s="88"/>
      <c r="AXR79" s="88"/>
      <c r="AXS79" s="88"/>
      <c r="AXT79" s="88"/>
      <c r="AXU79" s="88"/>
      <c r="AXV79" s="88"/>
      <c r="AXW79" s="88"/>
      <c r="AXX79" s="88"/>
      <c r="AXY79" s="88"/>
      <c r="AXZ79" s="88"/>
      <c r="AYA79" s="88"/>
      <c r="AYB79" s="88"/>
      <c r="AYC79" s="88"/>
      <c r="AYD79" s="88"/>
      <c r="AYE79" s="88"/>
      <c r="AYF79" s="88"/>
      <c r="AYG79" s="88"/>
      <c r="AYH79" s="88"/>
      <c r="AYI79" s="88"/>
      <c r="AYJ79" s="88"/>
      <c r="AYK79" s="88"/>
      <c r="AYL79" s="88"/>
      <c r="AYM79" s="88"/>
      <c r="AYN79" s="88"/>
      <c r="AYO79" s="88"/>
      <c r="AYP79" s="88"/>
      <c r="AYQ79" s="88"/>
      <c r="AYR79" s="88"/>
      <c r="AYS79" s="88"/>
      <c r="AYT79" s="88"/>
      <c r="AYU79" s="88"/>
      <c r="AYV79" s="88"/>
      <c r="AYW79" s="88"/>
      <c r="AYX79" s="88"/>
      <c r="AYY79" s="88"/>
      <c r="AYZ79" s="88"/>
      <c r="AZA79" s="88"/>
      <c r="AZB79" s="88"/>
      <c r="AZC79" s="88"/>
      <c r="AZD79" s="88"/>
      <c r="AZE79" s="88"/>
      <c r="AZF79" s="88"/>
      <c r="AZG79" s="88"/>
      <c r="AZH79" s="88"/>
      <c r="AZI79" s="88"/>
      <c r="AZJ79" s="88"/>
      <c r="AZK79" s="88"/>
      <c r="AZL79" s="88"/>
      <c r="AZM79" s="88"/>
      <c r="AZN79" s="88"/>
      <c r="AZO79" s="88"/>
      <c r="AZP79" s="88"/>
      <c r="AZQ79" s="88"/>
      <c r="AZR79" s="88"/>
      <c r="AZS79" s="88"/>
      <c r="AZT79" s="88"/>
      <c r="AZU79" s="88"/>
      <c r="AZV79" s="88"/>
      <c r="AZW79" s="88"/>
      <c r="AZX79" s="88"/>
      <c r="AZY79" s="88"/>
      <c r="AZZ79" s="88"/>
      <c r="BAA79" s="88"/>
      <c r="BAB79" s="88"/>
      <c r="BAC79" s="88"/>
      <c r="BAD79" s="88"/>
      <c r="BAE79" s="88"/>
      <c r="BAF79" s="88"/>
      <c r="BAG79" s="88"/>
      <c r="BAH79" s="88"/>
      <c r="BAI79" s="88"/>
      <c r="BAJ79" s="88"/>
      <c r="BAK79" s="88"/>
      <c r="BAL79" s="88"/>
      <c r="BAM79" s="88"/>
      <c r="BAN79" s="88"/>
      <c r="BAO79" s="88"/>
      <c r="BAP79" s="88"/>
      <c r="BAQ79" s="88"/>
      <c r="BAR79" s="88"/>
      <c r="BAS79" s="88"/>
      <c r="BAT79" s="88"/>
      <c r="BAU79" s="88"/>
      <c r="BAV79" s="88"/>
      <c r="BAW79" s="88"/>
      <c r="BAX79" s="88"/>
      <c r="BAY79" s="88"/>
      <c r="BAZ79" s="88"/>
      <c r="BBA79" s="88"/>
      <c r="BBB79" s="88"/>
      <c r="BBC79" s="88"/>
      <c r="BBD79" s="88"/>
      <c r="BBE79" s="88"/>
      <c r="BBF79" s="88"/>
      <c r="BBG79" s="88"/>
      <c r="BBH79" s="88"/>
      <c r="BBI79" s="88"/>
      <c r="BBJ79" s="88"/>
      <c r="BBK79" s="88"/>
      <c r="BBL79" s="88"/>
      <c r="BBM79" s="88"/>
      <c r="BBN79" s="88"/>
      <c r="BBO79" s="88"/>
      <c r="BBP79" s="88"/>
      <c r="BBQ79" s="88"/>
      <c r="BBR79" s="88"/>
      <c r="BBS79" s="88"/>
      <c r="BBT79" s="88"/>
      <c r="BBU79" s="88"/>
      <c r="BBV79" s="88"/>
      <c r="BBW79" s="88"/>
      <c r="BBX79" s="88"/>
      <c r="BBY79" s="88"/>
      <c r="BBZ79" s="88"/>
      <c r="BCA79" s="88"/>
      <c r="BCB79" s="88"/>
      <c r="BCC79" s="88"/>
      <c r="BCD79" s="88"/>
      <c r="BCE79" s="88"/>
      <c r="BCF79" s="88"/>
      <c r="BCG79" s="88"/>
      <c r="BCH79" s="88"/>
      <c r="BCI79" s="88"/>
      <c r="BCJ79" s="88"/>
      <c r="BCK79" s="88"/>
      <c r="BCL79" s="88"/>
      <c r="BCM79" s="88"/>
      <c r="BCN79" s="88"/>
      <c r="BCO79" s="88"/>
      <c r="BCP79" s="88"/>
      <c r="BCQ79" s="88"/>
      <c r="BCR79" s="88"/>
      <c r="BCS79" s="88"/>
      <c r="BCT79" s="88"/>
      <c r="BCU79" s="88"/>
      <c r="BCV79" s="88"/>
      <c r="BCW79" s="88"/>
      <c r="BCX79" s="88"/>
      <c r="BCY79" s="88"/>
      <c r="BCZ79" s="88"/>
      <c r="BDA79" s="88"/>
      <c r="BDB79" s="88"/>
      <c r="BDC79" s="88"/>
      <c r="BDD79" s="88"/>
      <c r="BDE79" s="88"/>
      <c r="BDF79" s="88"/>
      <c r="BDG79" s="88"/>
      <c r="BDH79" s="88"/>
      <c r="BDI79" s="88"/>
      <c r="BDJ79" s="88"/>
      <c r="BDK79" s="88"/>
      <c r="BDL79" s="88"/>
      <c r="BDM79" s="88"/>
      <c r="BDN79" s="88"/>
      <c r="BDO79" s="88"/>
      <c r="BDP79" s="88"/>
      <c r="BDQ79" s="88"/>
      <c r="BDR79" s="88"/>
      <c r="BDS79" s="88"/>
      <c r="BDT79" s="88"/>
      <c r="BDU79" s="88"/>
      <c r="BDV79" s="88"/>
      <c r="BDW79" s="88"/>
      <c r="BDX79" s="88"/>
      <c r="BDY79" s="88"/>
      <c r="BDZ79" s="88"/>
      <c r="BEA79" s="88"/>
      <c r="BEB79" s="88"/>
      <c r="BEC79" s="88"/>
      <c r="BED79" s="88"/>
      <c r="BEE79" s="88"/>
      <c r="BEF79" s="88"/>
      <c r="BEG79" s="88"/>
      <c r="BEH79" s="88"/>
      <c r="BEI79" s="88"/>
      <c r="BEJ79" s="88"/>
      <c r="BEK79" s="88"/>
      <c r="BEL79" s="88"/>
      <c r="BEM79" s="88"/>
      <c r="BEN79" s="88"/>
      <c r="BEO79" s="88"/>
      <c r="BEP79" s="88"/>
      <c r="BEQ79" s="88"/>
      <c r="BER79" s="88"/>
      <c r="BES79" s="88"/>
      <c r="BET79" s="88"/>
      <c r="BEU79" s="88"/>
      <c r="BEV79" s="88"/>
      <c r="BEW79" s="88"/>
      <c r="BEX79" s="88"/>
      <c r="BEY79" s="88"/>
      <c r="BEZ79" s="88"/>
      <c r="BFA79" s="88"/>
      <c r="BFB79" s="88"/>
      <c r="BFC79" s="88"/>
      <c r="BFD79" s="88"/>
      <c r="BFE79" s="88"/>
      <c r="BFF79" s="88"/>
      <c r="BFG79" s="88"/>
      <c r="BFH79" s="88"/>
      <c r="BFI79" s="88"/>
      <c r="BFJ79" s="88"/>
      <c r="BFK79" s="88"/>
      <c r="BFL79" s="88"/>
      <c r="BFM79" s="88"/>
      <c r="BFN79" s="88"/>
      <c r="BFO79" s="88"/>
      <c r="BFP79" s="88"/>
      <c r="BFQ79" s="88"/>
      <c r="BFR79" s="88"/>
      <c r="BFS79" s="88"/>
      <c r="BFT79" s="88"/>
      <c r="BFU79" s="88"/>
      <c r="BFV79" s="88"/>
      <c r="BFW79" s="88"/>
      <c r="BFX79" s="88"/>
      <c r="BFY79" s="88"/>
      <c r="BFZ79" s="88"/>
      <c r="BGA79" s="88"/>
      <c r="BGB79" s="88"/>
      <c r="BGC79" s="88"/>
      <c r="BGD79" s="88"/>
      <c r="BGE79" s="88"/>
      <c r="BGF79" s="88"/>
      <c r="BGG79" s="88"/>
      <c r="BGH79" s="88"/>
      <c r="BGI79" s="88"/>
      <c r="BGJ79" s="88"/>
      <c r="BGK79" s="88"/>
      <c r="BGL79" s="88"/>
      <c r="BGM79" s="88"/>
      <c r="BGN79" s="88"/>
      <c r="BGO79" s="88"/>
      <c r="BGP79" s="88"/>
      <c r="BGQ79" s="88"/>
      <c r="BGR79" s="88"/>
      <c r="BGS79" s="88"/>
      <c r="BGT79" s="88"/>
      <c r="BGU79" s="88"/>
      <c r="BGV79" s="88"/>
      <c r="BGW79" s="88"/>
      <c r="BGX79" s="88"/>
      <c r="BGY79" s="88"/>
      <c r="BGZ79" s="88"/>
      <c r="BHA79" s="88"/>
      <c r="BHB79" s="88"/>
      <c r="BHC79" s="88"/>
      <c r="BHD79" s="88"/>
      <c r="BHE79" s="88"/>
      <c r="BHF79" s="88"/>
      <c r="BHG79" s="88"/>
      <c r="BHH79" s="88"/>
      <c r="BHI79" s="88"/>
      <c r="BHJ79" s="88"/>
      <c r="BHK79" s="88"/>
      <c r="BHL79" s="88"/>
      <c r="BHM79" s="88"/>
      <c r="BHN79" s="88"/>
      <c r="BHO79" s="88"/>
      <c r="BHP79" s="88"/>
      <c r="BHQ79" s="88"/>
      <c r="BHR79" s="88"/>
      <c r="BHS79" s="88"/>
      <c r="BHT79" s="88"/>
      <c r="BHU79" s="88"/>
      <c r="BHV79" s="88"/>
      <c r="BHW79" s="88"/>
      <c r="BHX79" s="88"/>
      <c r="BHY79" s="88"/>
      <c r="BHZ79" s="88"/>
      <c r="BIA79" s="88"/>
      <c r="BIB79" s="88"/>
      <c r="BIC79" s="88"/>
      <c r="BID79" s="88"/>
      <c r="BIE79" s="88"/>
      <c r="BIF79" s="88"/>
      <c r="BIG79" s="88"/>
      <c r="BIH79" s="88"/>
      <c r="BII79" s="88"/>
      <c r="BIJ79" s="88"/>
      <c r="BIK79" s="88"/>
      <c r="BIL79" s="88"/>
      <c r="BIM79" s="88"/>
      <c r="BIN79" s="88"/>
      <c r="BIO79" s="88"/>
      <c r="BIP79" s="88"/>
      <c r="BIQ79" s="88"/>
      <c r="BIR79" s="88"/>
      <c r="BIS79" s="88"/>
      <c r="BIT79" s="88"/>
      <c r="BIU79" s="88"/>
      <c r="BIV79" s="88"/>
      <c r="BIW79" s="88"/>
      <c r="BIX79" s="88"/>
      <c r="BIY79" s="88"/>
      <c r="BIZ79" s="88"/>
      <c r="BJA79" s="88"/>
      <c r="BJB79" s="88"/>
      <c r="BJC79" s="88"/>
      <c r="BJD79" s="88"/>
      <c r="BJE79" s="88"/>
      <c r="BJF79" s="88"/>
      <c r="BJG79" s="88"/>
      <c r="BJH79" s="88"/>
      <c r="BJI79" s="88"/>
      <c r="BJJ79" s="88"/>
      <c r="BJK79" s="88"/>
      <c r="BJL79" s="88"/>
      <c r="BJM79" s="88"/>
      <c r="BJN79" s="88"/>
      <c r="BJO79" s="88"/>
      <c r="BJP79" s="88"/>
      <c r="BJQ79" s="88"/>
      <c r="BJR79" s="88"/>
      <c r="BJS79" s="88"/>
      <c r="BJT79" s="88"/>
      <c r="BJU79" s="88"/>
      <c r="BJV79" s="88"/>
      <c r="BJW79" s="88"/>
      <c r="BJX79" s="88"/>
      <c r="BJY79" s="88"/>
      <c r="BJZ79" s="88"/>
      <c r="BKA79" s="88"/>
      <c r="BKB79" s="88"/>
      <c r="BKC79" s="88"/>
      <c r="BKD79" s="88"/>
      <c r="BKE79" s="88"/>
      <c r="BKF79" s="88"/>
      <c r="BKG79" s="88"/>
      <c r="BKH79" s="88"/>
      <c r="BKI79" s="88"/>
      <c r="BKJ79" s="88"/>
      <c r="BKK79" s="88"/>
      <c r="BKL79" s="88"/>
      <c r="BKM79" s="88"/>
      <c r="BKN79" s="88"/>
      <c r="BKO79" s="88"/>
      <c r="BKP79" s="88"/>
      <c r="BKQ79" s="88"/>
      <c r="BKR79" s="88"/>
      <c r="BKS79" s="88"/>
      <c r="BKT79" s="88"/>
      <c r="BKU79" s="88"/>
      <c r="BKV79" s="88"/>
      <c r="BKW79" s="88"/>
      <c r="BKX79" s="88"/>
      <c r="BKY79" s="88"/>
      <c r="BKZ79" s="88"/>
      <c r="BLA79" s="88"/>
      <c r="BLB79" s="88"/>
      <c r="BLC79" s="88"/>
      <c r="BLD79" s="88"/>
      <c r="BLE79" s="88"/>
      <c r="BLF79" s="88"/>
      <c r="BLG79" s="88"/>
      <c r="BLH79" s="88"/>
      <c r="BLI79" s="88"/>
      <c r="BLJ79" s="88"/>
      <c r="BLK79" s="88"/>
      <c r="BLL79" s="88"/>
      <c r="BLM79" s="88"/>
      <c r="BLN79" s="88"/>
      <c r="BLO79" s="88"/>
      <c r="BLP79" s="88"/>
      <c r="BLQ79" s="88"/>
      <c r="BLR79" s="88"/>
      <c r="BLS79" s="88"/>
      <c r="BLT79" s="88"/>
      <c r="BLU79" s="88"/>
      <c r="BLV79" s="88"/>
      <c r="BLW79" s="88"/>
      <c r="BLX79" s="88"/>
      <c r="BLY79" s="88"/>
      <c r="BLZ79" s="88"/>
      <c r="BMA79" s="88"/>
      <c r="BMB79" s="88"/>
      <c r="BMC79" s="88"/>
      <c r="BMD79" s="88"/>
      <c r="BME79" s="88"/>
      <c r="BMF79" s="88"/>
      <c r="BMG79" s="88"/>
      <c r="BMH79" s="88"/>
      <c r="BMI79" s="88"/>
      <c r="BMJ79" s="88"/>
      <c r="BMK79" s="88"/>
      <c r="BML79" s="88"/>
      <c r="BMM79" s="88"/>
      <c r="BMN79" s="88"/>
      <c r="BMO79" s="88"/>
      <c r="BMP79" s="88"/>
      <c r="BMQ79" s="88"/>
      <c r="BMR79" s="88"/>
      <c r="BMS79" s="88"/>
      <c r="BMT79" s="88"/>
      <c r="BMU79" s="88"/>
      <c r="BMV79" s="88"/>
      <c r="BMW79" s="88"/>
      <c r="BMX79" s="88"/>
      <c r="BMY79" s="88"/>
      <c r="BMZ79" s="88"/>
      <c r="BNA79" s="88"/>
      <c r="BNB79" s="88"/>
      <c r="BNC79" s="88"/>
      <c r="BND79" s="88"/>
      <c r="BNE79" s="88"/>
      <c r="BNF79" s="88"/>
      <c r="BNG79" s="88"/>
      <c r="BNH79" s="88"/>
      <c r="BNI79" s="88"/>
      <c r="BNJ79" s="88"/>
      <c r="BNK79" s="88"/>
      <c r="BNL79" s="88"/>
      <c r="BNM79" s="88"/>
      <c r="BNN79" s="88"/>
      <c r="BNO79" s="88"/>
      <c r="BNP79" s="88"/>
      <c r="BNQ79" s="88"/>
      <c r="BNR79" s="88"/>
      <c r="BNS79" s="88"/>
      <c r="BNT79" s="88"/>
      <c r="BNU79" s="88"/>
      <c r="BNV79" s="88"/>
      <c r="BNW79" s="88"/>
      <c r="BNX79" s="88"/>
      <c r="BNY79" s="88"/>
      <c r="BNZ79" s="88"/>
      <c r="BOA79" s="88"/>
      <c r="BOB79" s="88"/>
      <c r="BOC79" s="88"/>
      <c r="BOD79" s="88"/>
      <c r="BOE79" s="88"/>
      <c r="BOF79" s="88"/>
      <c r="BOG79" s="88"/>
      <c r="BOH79" s="88"/>
      <c r="BOI79" s="88"/>
      <c r="BOJ79" s="88"/>
      <c r="BOK79" s="88"/>
      <c r="BOL79" s="88"/>
      <c r="BOM79" s="88"/>
      <c r="BON79" s="88"/>
      <c r="BOO79" s="88"/>
      <c r="BOP79" s="88"/>
      <c r="BOQ79" s="88"/>
      <c r="BOR79" s="88"/>
      <c r="BOS79" s="88"/>
      <c r="BOT79" s="88"/>
      <c r="BOU79" s="88"/>
      <c r="BOV79" s="88"/>
      <c r="BOW79" s="88"/>
      <c r="BOX79" s="88"/>
      <c r="BOY79" s="88"/>
      <c r="BOZ79" s="88"/>
      <c r="BPA79" s="88"/>
      <c r="BPB79" s="88"/>
      <c r="BPC79" s="88"/>
      <c r="BPD79" s="88"/>
      <c r="BPE79" s="88"/>
      <c r="BPF79" s="88"/>
      <c r="BPG79" s="88"/>
      <c r="BPH79" s="88"/>
      <c r="BPI79" s="88"/>
      <c r="BPJ79" s="88"/>
      <c r="BPK79" s="88"/>
      <c r="BPL79" s="88"/>
      <c r="BPM79" s="88"/>
      <c r="BPN79" s="88"/>
      <c r="BPO79" s="88"/>
      <c r="BPP79" s="88"/>
      <c r="BPQ79" s="88"/>
      <c r="BPR79" s="88"/>
      <c r="BPS79" s="88"/>
      <c r="BPT79" s="88"/>
      <c r="BPU79" s="88"/>
      <c r="BPV79" s="88"/>
      <c r="BPW79" s="88"/>
      <c r="BPX79" s="88"/>
      <c r="BPY79" s="88"/>
      <c r="BPZ79" s="88"/>
      <c r="BQA79" s="88"/>
      <c r="BQB79" s="88"/>
      <c r="BQC79" s="88"/>
      <c r="BQD79" s="88"/>
      <c r="BQE79" s="88"/>
      <c r="BQF79" s="88"/>
      <c r="BQG79" s="88"/>
      <c r="BQH79" s="88"/>
      <c r="BQI79" s="88"/>
      <c r="BQJ79" s="88"/>
      <c r="BQK79" s="88"/>
      <c r="BQL79" s="88"/>
      <c r="BQM79" s="88"/>
      <c r="BQN79" s="88"/>
      <c r="BQO79" s="88"/>
      <c r="BQP79" s="88"/>
      <c r="BQQ79" s="88"/>
      <c r="BQR79" s="88"/>
      <c r="BQS79" s="88"/>
      <c r="BQT79" s="88"/>
      <c r="BQU79" s="88"/>
      <c r="BQV79" s="88"/>
      <c r="BQW79" s="88"/>
      <c r="BQX79" s="88"/>
      <c r="BQY79" s="88"/>
      <c r="BQZ79" s="88"/>
      <c r="BRA79" s="88"/>
      <c r="BRB79" s="88"/>
      <c r="BRC79" s="88"/>
      <c r="BRD79" s="88"/>
      <c r="BRE79" s="88"/>
      <c r="BRF79" s="88"/>
      <c r="BRG79" s="88"/>
      <c r="BRH79" s="88"/>
      <c r="BRI79" s="88"/>
      <c r="BRJ79" s="88"/>
      <c r="BRK79" s="88"/>
      <c r="BRL79" s="88"/>
      <c r="BRM79" s="88"/>
      <c r="BRN79" s="88"/>
      <c r="BRO79" s="88"/>
      <c r="BRP79" s="88"/>
      <c r="BRQ79" s="88"/>
      <c r="BRR79" s="88"/>
      <c r="BRS79" s="88"/>
      <c r="BRT79" s="88"/>
      <c r="BRU79" s="88"/>
      <c r="BRV79" s="88"/>
      <c r="BRW79" s="88"/>
      <c r="BRX79" s="88"/>
      <c r="BRY79" s="88"/>
      <c r="BRZ79" s="88"/>
      <c r="BSA79" s="88"/>
      <c r="BSB79" s="88"/>
      <c r="BSC79" s="88"/>
      <c r="BSD79" s="88"/>
      <c r="BSE79" s="88"/>
      <c r="BSF79" s="88"/>
      <c r="BSG79" s="88"/>
      <c r="BSH79" s="88"/>
      <c r="BSI79" s="88"/>
      <c r="BSJ79" s="88"/>
      <c r="BSK79" s="88"/>
      <c r="BSL79" s="88"/>
      <c r="BSM79" s="88"/>
      <c r="BSN79" s="88"/>
      <c r="BSO79" s="88"/>
      <c r="BSP79" s="88"/>
      <c r="BSQ79" s="88"/>
      <c r="BSR79" s="88"/>
      <c r="BSS79" s="88"/>
      <c r="BST79" s="88"/>
      <c r="BSU79" s="88"/>
      <c r="BSV79" s="88"/>
      <c r="BSW79" s="88"/>
      <c r="BSX79" s="88"/>
      <c r="BSY79" s="88"/>
      <c r="BSZ79" s="88"/>
      <c r="BTA79" s="88"/>
      <c r="BTB79" s="88"/>
      <c r="BTC79" s="88"/>
      <c r="BTD79" s="88"/>
      <c r="BTE79" s="88"/>
      <c r="BTF79" s="88"/>
      <c r="BTG79" s="88"/>
      <c r="BTH79" s="88"/>
      <c r="BTI79" s="88"/>
      <c r="BTJ79" s="88"/>
      <c r="BTK79" s="88"/>
      <c r="BTL79" s="88"/>
      <c r="BTM79" s="88"/>
      <c r="BTN79" s="88"/>
      <c r="BTO79" s="88"/>
      <c r="BTP79" s="88"/>
      <c r="BTQ79" s="88"/>
      <c r="BTR79" s="88"/>
      <c r="BTS79" s="88"/>
      <c r="BTT79" s="88"/>
      <c r="BTU79" s="88"/>
      <c r="BTV79" s="88"/>
      <c r="BTW79" s="88"/>
      <c r="BTX79" s="88"/>
      <c r="BTY79" s="88"/>
      <c r="BTZ79" s="88"/>
      <c r="BUA79" s="88"/>
      <c r="BUB79" s="88"/>
      <c r="BUC79" s="88"/>
      <c r="BUD79" s="88"/>
      <c r="BUE79" s="88"/>
      <c r="BUF79" s="88"/>
      <c r="BUG79" s="88"/>
      <c r="BUH79" s="88"/>
      <c r="BUI79" s="88"/>
      <c r="BUJ79" s="88"/>
      <c r="BUK79" s="88"/>
      <c r="BUL79" s="88"/>
      <c r="BUM79" s="88"/>
      <c r="BUN79" s="88"/>
      <c r="BUO79" s="88"/>
      <c r="BUP79" s="88"/>
      <c r="BUQ79" s="88"/>
      <c r="BUR79" s="88"/>
      <c r="BUS79" s="88"/>
      <c r="BUT79" s="88"/>
      <c r="BUU79" s="88"/>
      <c r="BUV79" s="88"/>
      <c r="BUW79" s="88"/>
      <c r="BUX79" s="88"/>
      <c r="BUY79" s="88"/>
      <c r="BUZ79" s="88"/>
      <c r="BVA79" s="88"/>
      <c r="BVB79" s="88"/>
      <c r="BVC79" s="88"/>
      <c r="BVD79" s="88"/>
      <c r="BVE79" s="88"/>
      <c r="BVF79" s="88"/>
      <c r="BVG79" s="88"/>
      <c r="BVH79" s="88"/>
      <c r="BVI79" s="88"/>
      <c r="BVJ79" s="88"/>
      <c r="BVK79" s="88"/>
      <c r="BVL79" s="88"/>
      <c r="BVM79" s="88"/>
      <c r="BVN79" s="88"/>
      <c r="BVO79" s="88"/>
      <c r="BVP79" s="88"/>
      <c r="BVQ79" s="88"/>
      <c r="BVR79" s="88"/>
      <c r="BVS79" s="88"/>
      <c r="BVT79" s="88"/>
      <c r="BVU79" s="88"/>
      <c r="BVV79" s="88"/>
      <c r="BVW79" s="88"/>
      <c r="BVX79" s="88"/>
      <c r="BVY79" s="88"/>
      <c r="BVZ79" s="88"/>
      <c r="BWA79" s="88"/>
      <c r="BWB79" s="88"/>
      <c r="BWC79" s="88"/>
      <c r="BWD79" s="88"/>
      <c r="BWE79" s="88"/>
      <c r="BWF79" s="88"/>
      <c r="BWG79" s="88"/>
      <c r="BWH79" s="88"/>
      <c r="BWI79" s="88"/>
      <c r="BWJ79" s="88"/>
      <c r="BWK79" s="88"/>
      <c r="BWL79" s="88"/>
      <c r="BWM79" s="88"/>
      <c r="BWN79" s="88"/>
      <c r="BWO79" s="88"/>
      <c r="BWP79" s="88"/>
      <c r="BWQ79" s="88"/>
      <c r="BWR79" s="88"/>
      <c r="BWS79" s="88"/>
      <c r="BWT79" s="88"/>
      <c r="BWU79" s="88"/>
      <c r="BWV79" s="88"/>
      <c r="BWW79" s="88"/>
      <c r="BWX79" s="88"/>
      <c r="BWY79" s="88"/>
      <c r="BWZ79" s="88"/>
      <c r="BXA79" s="88"/>
      <c r="BXB79" s="88"/>
      <c r="BXC79" s="88"/>
      <c r="BXD79" s="88"/>
      <c r="BXE79" s="88"/>
      <c r="BXF79" s="88"/>
      <c r="BXG79" s="88"/>
      <c r="BXH79" s="88"/>
      <c r="BXI79" s="88"/>
      <c r="BXJ79" s="88"/>
      <c r="BXK79" s="88"/>
      <c r="BXL79" s="88"/>
      <c r="BXM79" s="88"/>
      <c r="BXN79" s="88"/>
      <c r="BXO79" s="88"/>
      <c r="BXP79" s="88"/>
      <c r="BXQ79" s="88"/>
      <c r="BXR79" s="88"/>
      <c r="BXS79" s="88"/>
      <c r="BXT79" s="88"/>
      <c r="BXU79" s="88"/>
      <c r="BXV79" s="88"/>
      <c r="BXW79" s="88"/>
      <c r="BXX79" s="88"/>
      <c r="BXY79" s="88"/>
      <c r="BXZ79" s="88"/>
      <c r="BYA79" s="88"/>
      <c r="BYB79" s="88"/>
      <c r="BYC79" s="88"/>
      <c r="BYD79" s="88"/>
      <c r="BYE79" s="88"/>
      <c r="BYF79" s="88"/>
      <c r="BYG79" s="88"/>
      <c r="BYH79" s="88"/>
      <c r="BYI79" s="88"/>
      <c r="BYJ79" s="88"/>
      <c r="BYK79" s="88"/>
      <c r="BYL79" s="88"/>
      <c r="BYM79" s="88"/>
      <c r="BYN79" s="88"/>
      <c r="BYO79" s="88"/>
      <c r="BYP79" s="88"/>
      <c r="BYQ79" s="88"/>
      <c r="BYR79" s="88"/>
      <c r="BYS79" s="88"/>
      <c r="BYT79" s="88"/>
      <c r="BYU79" s="88"/>
      <c r="BYV79" s="88"/>
      <c r="BYW79" s="88"/>
      <c r="BYX79" s="88"/>
      <c r="BYY79" s="88"/>
      <c r="BYZ79" s="88"/>
      <c r="BZA79" s="88"/>
      <c r="BZB79" s="88"/>
      <c r="BZC79" s="88"/>
      <c r="BZD79" s="88"/>
      <c r="BZE79" s="88"/>
      <c r="BZF79" s="88"/>
      <c r="BZG79" s="88"/>
      <c r="BZH79" s="88"/>
      <c r="BZI79" s="88"/>
      <c r="BZJ79" s="88"/>
      <c r="BZK79" s="88"/>
      <c r="BZL79" s="88"/>
      <c r="BZM79" s="88"/>
      <c r="BZN79" s="88"/>
      <c r="BZO79" s="88"/>
      <c r="BZP79" s="88"/>
      <c r="BZQ79" s="88"/>
      <c r="BZR79" s="88"/>
      <c r="BZS79" s="88"/>
      <c r="BZT79" s="88"/>
      <c r="BZU79" s="88"/>
      <c r="BZV79" s="88"/>
      <c r="BZW79" s="88"/>
      <c r="BZX79" s="88"/>
      <c r="BZY79" s="88"/>
      <c r="BZZ79" s="88"/>
      <c r="CAA79" s="88"/>
      <c r="CAB79" s="88"/>
      <c r="CAC79" s="88"/>
      <c r="CAD79" s="88"/>
      <c r="CAE79" s="88"/>
      <c r="CAF79" s="88"/>
      <c r="CAG79" s="88"/>
      <c r="CAH79" s="88"/>
      <c r="CAI79" s="88"/>
      <c r="CAJ79" s="88"/>
      <c r="CAK79" s="88"/>
      <c r="CAL79" s="88"/>
      <c r="CAM79" s="88"/>
      <c r="CAN79" s="88"/>
      <c r="CAO79" s="88"/>
      <c r="CAP79" s="88"/>
      <c r="CAQ79" s="88"/>
      <c r="CAR79" s="88"/>
      <c r="CAS79" s="88"/>
      <c r="CAT79" s="88"/>
      <c r="CAU79" s="88"/>
      <c r="CAV79" s="88"/>
      <c r="CAW79" s="88"/>
      <c r="CAX79" s="88"/>
      <c r="CAY79" s="88"/>
      <c r="CAZ79" s="88"/>
      <c r="CBA79" s="88"/>
      <c r="CBB79" s="88"/>
      <c r="CBC79" s="88"/>
      <c r="CBD79" s="88"/>
      <c r="CBE79" s="88"/>
      <c r="CBF79" s="88"/>
      <c r="CBG79" s="88"/>
      <c r="CBH79" s="88"/>
      <c r="CBI79" s="88"/>
      <c r="CBJ79" s="88"/>
      <c r="CBK79" s="88"/>
      <c r="CBL79" s="88"/>
      <c r="CBM79" s="88"/>
      <c r="CBN79" s="88"/>
      <c r="CBO79" s="88"/>
      <c r="CBP79" s="88"/>
      <c r="CBQ79" s="88"/>
      <c r="CBR79" s="88"/>
      <c r="CBS79" s="88"/>
      <c r="CBT79" s="88"/>
      <c r="CBU79" s="88"/>
      <c r="CBV79" s="88"/>
      <c r="CBW79" s="88"/>
      <c r="CBX79" s="88"/>
      <c r="CBY79" s="88"/>
      <c r="CBZ79" s="88"/>
      <c r="CCA79" s="88"/>
      <c r="CCB79" s="88"/>
      <c r="CCC79" s="88"/>
      <c r="CCD79" s="88"/>
      <c r="CCE79" s="88"/>
      <c r="CCF79" s="88"/>
      <c r="CCG79" s="88"/>
      <c r="CCH79" s="88"/>
      <c r="CCI79" s="88"/>
      <c r="CCJ79" s="88"/>
      <c r="CCK79" s="88"/>
      <c r="CCL79" s="88"/>
      <c r="CCM79" s="88"/>
      <c r="CCN79" s="88"/>
      <c r="CCO79" s="88"/>
      <c r="CCP79" s="88"/>
      <c r="CCQ79" s="88"/>
      <c r="CCR79" s="88"/>
      <c r="CCS79" s="88"/>
      <c r="CCT79" s="88"/>
      <c r="CCU79" s="88"/>
      <c r="CCV79" s="88"/>
      <c r="CCW79" s="88"/>
      <c r="CCX79" s="88"/>
      <c r="CCY79" s="88"/>
      <c r="CCZ79" s="88"/>
      <c r="CDA79" s="88"/>
      <c r="CDB79" s="88"/>
      <c r="CDC79" s="88"/>
      <c r="CDD79" s="88"/>
      <c r="CDE79" s="88"/>
      <c r="CDF79" s="88"/>
      <c r="CDG79" s="88"/>
      <c r="CDH79" s="88"/>
      <c r="CDI79" s="88"/>
      <c r="CDJ79" s="88"/>
      <c r="CDK79" s="88"/>
      <c r="CDL79" s="88"/>
      <c r="CDM79" s="88"/>
      <c r="CDN79" s="88"/>
      <c r="CDO79" s="88"/>
      <c r="CDP79" s="88"/>
      <c r="CDQ79" s="88"/>
      <c r="CDR79" s="88"/>
      <c r="CDS79" s="88"/>
      <c r="CDT79" s="88"/>
      <c r="CDU79" s="88"/>
      <c r="CDV79" s="88"/>
      <c r="CDW79" s="88"/>
      <c r="CDX79" s="88"/>
      <c r="CDY79" s="88"/>
      <c r="CDZ79" s="88"/>
      <c r="CEA79" s="88"/>
      <c r="CEB79" s="88"/>
      <c r="CEC79" s="88"/>
      <c r="CED79" s="88"/>
      <c r="CEE79" s="88"/>
      <c r="CEF79" s="88"/>
      <c r="CEG79" s="88"/>
      <c r="CEH79" s="88"/>
      <c r="CEI79" s="88"/>
      <c r="CEJ79" s="88"/>
      <c r="CEK79" s="88"/>
    </row>
    <row r="80" spans="1:2169" s="63" customFormat="1">
      <c r="A80" s="73" t="s">
        <v>435</v>
      </c>
      <c r="B80" s="73" t="s">
        <v>1256</v>
      </c>
      <c r="C80" s="68" t="str">
        <f>IF('page 2'!$O$4="","",IF('page 2'!$O$4=Gestion!A80,1,0))</f>
        <v/>
      </c>
      <c r="D80" s="68" t="str">
        <f>IF('page 2'!$O$5="","",IF('page 2'!$O$5=Gestion!A80,1,0))</f>
        <v/>
      </c>
      <c r="E80" s="68" t="str">
        <f>IF('page 2'!$O$6="","",IF('page 2'!$O$6=Gestion!A80,1,0))</f>
        <v/>
      </c>
      <c r="F80" s="68" t="str">
        <f>IF('page 2'!$O$7="","",IF('page 2'!$O$7=Gestion!A80,1,0))</f>
        <v/>
      </c>
      <c r="G80" s="68" t="str">
        <f>IF('page 2'!$O$8="","",IF('page 2'!$O$8=Gestion!A80,1,0))</f>
        <v/>
      </c>
      <c r="H80" s="68" t="str">
        <f>IF('page 2'!$O$9="","",IF('page 2'!$O$9=Gestion!A80,1,0))</f>
        <v/>
      </c>
      <c r="I80" s="68" t="str">
        <f>IF('page 2'!$O$10="","",IF('page 2'!$O$10=Gestion!A80,1,0))</f>
        <v/>
      </c>
      <c r="J80" s="68" t="str">
        <f>IF('page 2'!$O$11="","",IF('page 2'!$O$11=Gestion!A80,1,0))</f>
        <v/>
      </c>
      <c r="K80" s="68" t="str">
        <f>IF('page 2'!$O$12="","",IF('page 2'!$O$12=Gestion!A80,1,0))</f>
        <v/>
      </c>
      <c r="L80" s="68" t="str">
        <f>IF('page 2'!$O$13="","",IF('page 2'!$O$13=Gestion!A80,1,0))</f>
        <v/>
      </c>
      <c r="M80" s="68" t="str">
        <f>IF('page 2'!$O$14="","",IF('page 2'!$O$14=Gestion!A80,1,0))</f>
        <v/>
      </c>
      <c r="N80" s="68" t="str">
        <f>IF('page 2'!$O$15="","",IF('page 2'!$O$15=Gestion!A80,1,0))</f>
        <v/>
      </c>
      <c r="O80" s="68" t="str">
        <f>IF('page 2'!$O$16="","",IF('page 2'!$O$16=Gestion!A80,1,0))</f>
        <v/>
      </c>
      <c r="P80" s="68" t="str">
        <f>IF('page 2'!$O$17="","",IF('page 2'!$O$17=Gestion!A80,1,0))</f>
        <v/>
      </c>
      <c r="Q80" s="68" t="str">
        <f>IF('page 2'!$O$18="","",IF('page 2'!$O$18=Gestion!A80,1,0))</f>
        <v/>
      </c>
      <c r="R80" s="68" t="str">
        <f>IF('page 2'!$O$19="","",IF('page 2'!$O$19=Gestion!A80,1,0))</f>
        <v/>
      </c>
      <c r="S80" s="68" t="str">
        <f>IF('page 2'!$O$20="","",IF('page 2'!$O$20=Gestion!A80,1,0))</f>
        <v/>
      </c>
      <c r="T80" s="68" t="str">
        <f>IF('page 2'!$O$25="","",IF('page 2'!$O$25=Gestion!A80,1,0))</f>
        <v/>
      </c>
      <c r="U80" s="68" t="str">
        <f>IF('page 2'!$O$26="","",IF('page 2'!$O$26=Gestion!A80,1,0))</f>
        <v/>
      </c>
      <c r="V80" s="68" t="str">
        <f>IF('page 2'!$O$27="","",IF('page 2'!$O$27=Gestion!A80,1,0))</f>
        <v/>
      </c>
      <c r="W80" s="722">
        <f t="shared" ref="W80:W138" si="14">SUM(C80:V80)</f>
        <v>0</v>
      </c>
      <c r="X80" s="714"/>
      <c r="Y80" s="68"/>
      <c r="Z80" s="68"/>
      <c r="AA80" s="68"/>
      <c r="AB80" s="68"/>
      <c r="AC80" s="68"/>
      <c r="AD80" s="68"/>
      <c r="AP80" s="130"/>
      <c r="AQ80" s="130"/>
      <c r="AR80" s="130"/>
      <c r="AS80" s="576"/>
      <c r="AT80" s="576"/>
      <c r="AU80" s="576"/>
      <c r="AV80" s="576"/>
      <c r="AW80" s="602"/>
      <c r="AX80" s="602"/>
      <c r="AY80" s="576"/>
      <c r="AZ80" s="576"/>
      <c r="BA80" s="576"/>
      <c r="BB80" s="576"/>
      <c r="BC80" s="576"/>
      <c r="BD80" s="602"/>
      <c r="BE80" s="602"/>
      <c r="BF80" s="602"/>
      <c r="BG80" s="602"/>
      <c r="BH80" s="602"/>
      <c r="BI80" s="602"/>
      <c r="BJ80" s="602"/>
      <c r="BK80" s="602"/>
      <c r="BL80" s="602"/>
      <c r="BM80" s="602"/>
      <c r="BN80" s="602"/>
      <c r="BO80" s="602"/>
      <c r="BP80" s="602"/>
      <c r="BQ80" s="602"/>
      <c r="BR80" s="602"/>
      <c r="BS80" s="576"/>
      <c r="BT80" s="576"/>
      <c r="BU80" s="576"/>
      <c r="BV80" s="576"/>
      <c r="BW80" s="602"/>
      <c r="BX80" s="602"/>
      <c r="BY80" s="602"/>
      <c r="BZ80" s="576"/>
      <c r="CA80" s="602"/>
      <c r="CB80" s="602"/>
      <c r="CC80" s="576"/>
      <c r="CD80" s="576"/>
      <c r="CE80" s="602"/>
      <c r="CF80" s="576"/>
      <c r="CG80" s="576"/>
      <c r="CH80" s="576"/>
      <c r="CI80" s="576"/>
      <c r="CJ80" s="576"/>
      <c r="CK80" s="602"/>
      <c r="CL80" s="602"/>
      <c r="CM80" s="576"/>
      <c r="CN80" s="602"/>
      <c r="CO80" s="602"/>
      <c r="CP80" s="602"/>
      <c r="CQ80" s="576"/>
      <c r="CR80" s="576"/>
      <c r="CS80" s="602"/>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c r="HF80" s="88"/>
      <c r="HG80" s="88"/>
      <c r="HH80" s="88"/>
      <c r="HI80" s="88"/>
      <c r="HJ80" s="88"/>
      <c r="HK80" s="88"/>
      <c r="HL80" s="88"/>
      <c r="HM80" s="88"/>
      <c r="HN80" s="88"/>
      <c r="HO80" s="88"/>
      <c r="HP80" s="88"/>
      <c r="HQ80" s="88"/>
      <c r="HR80" s="88"/>
      <c r="HS80" s="88"/>
      <c r="HT80" s="88"/>
      <c r="HU80" s="88"/>
      <c r="HV80" s="88"/>
      <c r="HW80" s="88"/>
      <c r="HX80" s="88"/>
      <c r="HY80" s="88"/>
      <c r="HZ80" s="88"/>
      <c r="IA80" s="88"/>
      <c r="IB80" s="88"/>
      <c r="IC80" s="88"/>
      <c r="ID80" s="88"/>
      <c r="IE80" s="88"/>
      <c r="IF80" s="88"/>
      <c r="IG80" s="88"/>
      <c r="IH80" s="88"/>
      <c r="II80" s="88"/>
      <c r="IJ80" s="88"/>
      <c r="IK80" s="88"/>
      <c r="IL80" s="88"/>
      <c r="IM80" s="88"/>
      <c r="IN80" s="88"/>
      <c r="IO80" s="88"/>
      <c r="IP80" s="88"/>
      <c r="IQ80" s="88"/>
      <c r="IR80" s="88"/>
      <c r="IS80" s="88"/>
      <c r="IT80" s="88"/>
      <c r="IU80" s="88"/>
      <c r="IV80" s="88"/>
      <c r="IW80" s="88"/>
      <c r="IX80" s="88"/>
      <c r="IY80" s="88"/>
      <c r="IZ80" s="88"/>
      <c r="JA80" s="88"/>
      <c r="JB80" s="88"/>
      <c r="JC80" s="88"/>
      <c r="JD80" s="88"/>
      <c r="JE80" s="88"/>
      <c r="JF80" s="88"/>
      <c r="JG80" s="88"/>
      <c r="JH80" s="88"/>
      <c r="JI80" s="88"/>
      <c r="JJ80" s="88"/>
      <c r="JK80" s="88"/>
      <c r="JL80" s="88"/>
      <c r="JM80" s="88"/>
      <c r="JN80" s="88"/>
      <c r="JO80" s="88"/>
      <c r="JP80" s="88"/>
      <c r="JQ80" s="88"/>
      <c r="JR80" s="88"/>
      <c r="JS80" s="88"/>
      <c r="JT80" s="88"/>
      <c r="JU80" s="88"/>
      <c r="JV80" s="88"/>
      <c r="JW80" s="88"/>
      <c r="JX80" s="88"/>
      <c r="JY80" s="88"/>
      <c r="JZ80" s="88"/>
      <c r="KA80" s="88"/>
      <c r="KB80" s="88"/>
      <c r="KC80" s="88"/>
      <c r="KD80" s="88"/>
      <c r="KE80" s="88"/>
      <c r="KF80" s="88"/>
      <c r="KG80" s="88"/>
      <c r="KH80" s="88"/>
      <c r="KI80" s="88"/>
      <c r="KJ80" s="88"/>
      <c r="KK80" s="88"/>
      <c r="KL80" s="88"/>
      <c r="KM80" s="88"/>
      <c r="KN80" s="88"/>
      <c r="KO80" s="88"/>
      <c r="KP80" s="88"/>
      <c r="KQ80" s="88"/>
      <c r="KR80" s="88"/>
      <c r="KS80" s="88"/>
      <c r="KT80" s="88"/>
      <c r="KU80" s="88"/>
      <c r="KV80" s="88"/>
      <c r="KW80" s="88"/>
      <c r="KX80" s="88"/>
      <c r="KY80" s="88"/>
      <c r="KZ80" s="88"/>
      <c r="LA80" s="88"/>
      <c r="LB80" s="88"/>
      <c r="LC80" s="88"/>
      <c r="LD80" s="88"/>
      <c r="LE80" s="88"/>
      <c r="LF80" s="88"/>
      <c r="LG80" s="88"/>
      <c r="LH80" s="88"/>
      <c r="LI80" s="88"/>
      <c r="LJ80" s="88"/>
      <c r="LK80" s="88"/>
      <c r="LL80" s="88"/>
      <c r="LM80" s="88"/>
      <c r="LN80" s="88"/>
      <c r="LO80" s="88"/>
      <c r="LP80" s="88"/>
      <c r="LQ80" s="88"/>
      <c r="LR80" s="88"/>
      <c r="LS80" s="88"/>
      <c r="LT80" s="88"/>
      <c r="LU80" s="88"/>
      <c r="LV80" s="88"/>
      <c r="LW80" s="88"/>
      <c r="LX80" s="88"/>
      <c r="LY80" s="88"/>
      <c r="LZ80" s="88"/>
      <c r="MA80" s="88"/>
      <c r="MB80" s="88"/>
      <c r="MC80" s="88"/>
      <c r="MD80" s="88"/>
      <c r="ME80" s="88"/>
      <c r="MF80" s="88"/>
      <c r="MG80" s="88"/>
      <c r="MH80" s="88"/>
      <c r="MI80" s="88"/>
      <c r="MJ80" s="88"/>
      <c r="MK80" s="88"/>
      <c r="ML80" s="88"/>
      <c r="MM80" s="88"/>
      <c r="MN80" s="88"/>
      <c r="MO80" s="88"/>
      <c r="MP80" s="88"/>
      <c r="MQ80" s="88"/>
      <c r="MR80" s="88"/>
      <c r="MS80" s="88"/>
      <c r="MT80" s="88"/>
      <c r="MU80" s="88"/>
      <c r="MV80" s="88"/>
      <c r="MW80" s="88"/>
      <c r="MX80" s="88"/>
      <c r="MY80" s="88"/>
      <c r="MZ80" s="88"/>
      <c r="NA80" s="88"/>
      <c r="NB80" s="88"/>
      <c r="NC80" s="88"/>
      <c r="ND80" s="88"/>
      <c r="NE80" s="88"/>
      <c r="NF80" s="88"/>
      <c r="NG80" s="88"/>
      <c r="NH80" s="88"/>
      <c r="NI80" s="88"/>
      <c r="NJ80" s="88"/>
      <c r="NK80" s="88"/>
      <c r="NL80" s="88"/>
      <c r="NM80" s="88"/>
      <c r="NN80" s="88"/>
      <c r="NO80" s="88"/>
      <c r="NP80" s="88"/>
      <c r="NQ80" s="88"/>
      <c r="NR80" s="88"/>
      <c r="NS80" s="88"/>
      <c r="NT80" s="88"/>
      <c r="NU80" s="88"/>
      <c r="NV80" s="88"/>
      <c r="NW80" s="88"/>
      <c r="NX80" s="88"/>
      <c r="NY80" s="88"/>
      <c r="NZ80" s="88"/>
      <c r="OA80" s="88"/>
      <c r="OB80" s="88"/>
      <c r="OC80" s="88"/>
      <c r="OD80" s="88"/>
      <c r="OE80" s="88"/>
      <c r="OF80" s="88"/>
      <c r="OG80" s="88"/>
      <c r="OH80" s="88"/>
      <c r="OI80" s="88"/>
      <c r="OJ80" s="88"/>
      <c r="OK80" s="88"/>
      <c r="OL80" s="88"/>
      <c r="OM80" s="88"/>
      <c r="ON80" s="88"/>
      <c r="OO80" s="88"/>
      <c r="OP80" s="88"/>
      <c r="OQ80" s="88"/>
      <c r="OR80" s="88"/>
      <c r="OS80" s="88"/>
      <c r="OT80" s="88"/>
      <c r="OU80" s="88"/>
      <c r="OV80" s="88"/>
      <c r="OW80" s="88"/>
      <c r="OX80" s="88"/>
      <c r="OY80" s="88"/>
      <c r="OZ80" s="88"/>
      <c r="PA80" s="88"/>
      <c r="PB80" s="88"/>
      <c r="PC80" s="88"/>
      <c r="PD80" s="88"/>
      <c r="PE80" s="88"/>
      <c r="PF80" s="88"/>
      <c r="PG80" s="88"/>
      <c r="PH80" s="88"/>
      <c r="PI80" s="88"/>
      <c r="PJ80" s="88"/>
      <c r="PK80" s="88"/>
      <c r="PL80" s="88"/>
      <c r="PM80" s="88"/>
      <c r="PN80" s="88"/>
      <c r="PO80" s="88"/>
      <c r="PP80" s="88"/>
      <c r="PQ80" s="88"/>
      <c r="PR80" s="88"/>
      <c r="PS80" s="88"/>
      <c r="PT80" s="88"/>
      <c r="PU80" s="88"/>
      <c r="PV80" s="88"/>
      <c r="PW80" s="88"/>
      <c r="PX80" s="88"/>
      <c r="PY80" s="88"/>
      <c r="PZ80" s="88"/>
      <c r="QA80" s="88"/>
      <c r="QB80" s="88"/>
      <c r="QC80" s="88"/>
      <c r="QD80" s="88"/>
      <c r="QE80" s="88"/>
      <c r="QF80" s="88"/>
      <c r="QG80" s="88"/>
      <c r="QH80" s="88"/>
      <c r="QI80" s="88"/>
      <c r="QJ80" s="88"/>
      <c r="QK80" s="88"/>
      <c r="QL80" s="88"/>
      <c r="QM80" s="88"/>
      <c r="QN80" s="88"/>
      <c r="QO80" s="88"/>
      <c r="QP80" s="88"/>
      <c r="QQ80" s="88"/>
      <c r="QR80" s="88"/>
      <c r="QS80" s="88"/>
      <c r="QT80" s="88"/>
      <c r="QU80" s="88"/>
      <c r="QV80" s="88"/>
      <c r="QW80" s="88"/>
      <c r="QX80" s="88"/>
      <c r="QY80" s="88"/>
      <c r="QZ80" s="88"/>
      <c r="RA80" s="88"/>
      <c r="RB80" s="88"/>
      <c r="RC80" s="88"/>
      <c r="RD80" s="88"/>
      <c r="RE80" s="88"/>
      <c r="RF80" s="88"/>
      <c r="RG80" s="88"/>
      <c r="RH80" s="88"/>
      <c r="RI80" s="88"/>
      <c r="RJ80" s="88"/>
      <c r="RK80" s="88"/>
      <c r="RL80" s="88"/>
      <c r="RM80" s="88"/>
      <c r="RN80" s="88"/>
      <c r="RO80" s="88"/>
      <c r="RP80" s="88"/>
      <c r="RQ80" s="88"/>
      <c r="RR80" s="88"/>
      <c r="RS80" s="88"/>
      <c r="RT80" s="88"/>
      <c r="RU80" s="88"/>
      <c r="RV80" s="88"/>
      <c r="RW80" s="88"/>
      <c r="RX80" s="88"/>
      <c r="RY80" s="88"/>
      <c r="RZ80" s="88"/>
      <c r="SA80" s="88"/>
      <c r="SB80" s="88"/>
      <c r="SC80" s="88"/>
      <c r="SD80" s="88"/>
      <c r="SE80" s="88"/>
      <c r="SF80" s="88"/>
      <c r="SG80" s="88"/>
      <c r="SH80" s="88"/>
      <c r="SI80" s="88"/>
      <c r="SJ80" s="88"/>
      <c r="SK80" s="88"/>
      <c r="SL80" s="88"/>
      <c r="SM80" s="88"/>
      <c r="SN80" s="88"/>
      <c r="SO80" s="88"/>
      <c r="SP80" s="88"/>
      <c r="SQ80" s="88"/>
      <c r="SR80" s="88"/>
      <c r="SS80" s="88"/>
      <c r="ST80" s="88"/>
      <c r="SU80" s="88"/>
      <c r="SV80" s="88"/>
      <c r="SW80" s="88"/>
      <c r="SX80" s="88"/>
      <c r="SY80" s="88"/>
      <c r="SZ80" s="88"/>
      <c r="TA80" s="88"/>
      <c r="TB80" s="88"/>
      <c r="TC80" s="88"/>
      <c r="TD80" s="88"/>
      <c r="TE80" s="88"/>
      <c r="TF80" s="88"/>
      <c r="TG80" s="88"/>
      <c r="TH80" s="88"/>
      <c r="TI80" s="88"/>
      <c r="TJ80" s="88"/>
      <c r="TK80" s="88"/>
      <c r="TL80" s="88"/>
      <c r="TM80" s="88"/>
      <c r="TN80" s="88"/>
      <c r="TO80" s="88"/>
      <c r="TP80" s="88"/>
      <c r="TQ80" s="88"/>
      <c r="TR80" s="88"/>
      <c r="TS80" s="88"/>
      <c r="TT80" s="88"/>
      <c r="TU80" s="88"/>
      <c r="TV80" s="88"/>
      <c r="TW80" s="88"/>
      <c r="TX80" s="88"/>
      <c r="TY80" s="88"/>
      <c r="TZ80" s="88"/>
      <c r="UA80" s="88"/>
      <c r="UB80" s="88"/>
      <c r="UC80" s="88"/>
      <c r="UD80" s="88"/>
      <c r="UE80" s="88"/>
      <c r="UF80" s="88"/>
      <c r="UG80" s="88"/>
      <c r="UH80" s="88"/>
      <c r="UI80" s="88"/>
      <c r="UJ80" s="88"/>
      <c r="UK80" s="88"/>
      <c r="UL80" s="88"/>
      <c r="UM80" s="88"/>
      <c r="UN80" s="88"/>
      <c r="UO80" s="88"/>
      <c r="UP80" s="88"/>
      <c r="UQ80" s="88"/>
      <c r="UR80" s="88"/>
      <c r="US80" s="88"/>
      <c r="UT80" s="88"/>
      <c r="UU80" s="88"/>
      <c r="UV80" s="88"/>
      <c r="UW80" s="88"/>
      <c r="UX80" s="88"/>
      <c r="UY80" s="88"/>
      <c r="UZ80" s="88"/>
      <c r="VA80" s="88"/>
      <c r="VB80" s="88"/>
      <c r="VC80" s="88"/>
      <c r="VD80" s="88"/>
      <c r="VE80" s="88"/>
      <c r="VF80" s="88"/>
      <c r="VG80" s="88"/>
      <c r="VH80" s="88"/>
      <c r="VI80" s="88"/>
      <c r="VJ80" s="88"/>
      <c r="VK80" s="88"/>
      <c r="VL80" s="88"/>
      <c r="VM80" s="88"/>
      <c r="VN80" s="88"/>
      <c r="VO80" s="88"/>
      <c r="VP80" s="88"/>
      <c r="VQ80" s="88"/>
      <c r="VR80" s="88"/>
      <c r="VS80" s="88"/>
      <c r="VT80" s="88"/>
      <c r="VU80" s="88"/>
      <c r="VV80" s="88"/>
      <c r="VW80" s="88"/>
      <c r="VX80" s="88"/>
      <c r="VY80" s="88"/>
      <c r="VZ80" s="88"/>
      <c r="WA80" s="88"/>
      <c r="WB80" s="88"/>
      <c r="WC80" s="88"/>
      <c r="WD80" s="88"/>
      <c r="WE80" s="88"/>
      <c r="WF80" s="88"/>
      <c r="WG80" s="88"/>
      <c r="WH80" s="88"/>
      <c r="WI80" s="88"/>
      <c r="WJ80" s="88"/>
      <c r="WK80" s="88"/>
      <c r="WL80" s="88"/>
      <c r="WM80" s="88"/>
      <c r="WN80" s="88"/>
      <c r="WO80" s="88"/>
      <c r="WP80" s="88"/>
      <c r="WQ80" s="88"/>
      <c r="WR80" s="88"/>
      <c r="WS80" s="88"/>
      <c r="WT80" s="88"/>
      <c r="WU80" s="88"/>
      <c r="WV80" s="88"/>
      <c r="WW80" s="88"/>
      <c r="WX80" s="88"/>
      <c r="WY80" s="88"/>
      <c r="WZ80" s="88"/>
      <c r="XA80" s="88"/>
      <c r="XB80" s="88"/>
      <c r="XC80" s="88"/>
      <c r="XD80" s="88"/>
      <c r="XE80" s="88"/>
      <c r="XF80" s="88"/>
      <c r="XG80" s="88"/>
      <c r="XH80" s="88"/>
      <c r="XI80" s="88"/>
      <c r="XJ80" s="88"/>
      <c r="XK80" s="88"/>
      <c r="XL80" s="88"/>
      <c r="XM80" s="88"/>
      <c r="XN80" s="88"/>
      <c r="XO80" s="88"/>
      <c r="XP80" s="88"/>
      <c r="XQ80" s="88"/>
      <c r="XR80" s="88"/>
      <c r="XS80" s="88"/>
      <c r="XT80" s="88"/>
      <c r="XU80" s="88"/>
      <c r="XV80" s="88"/>
      <c r="XW80" s="88"/>
      <c r="XX80" s="88"/>
      <c r="XY80" s="88"/>
      <c r="XZ80" s="88"/>
      <c r="YA80" s="88"/>
      <c r="YB80" s="88"/>
      <c r="YC80" s="88"/>
      <c r="YD80" s="88"/>
      <c r="YE80" s="88"/>
      <c r="YF80" s="88"/>
      <c r="YG80" s="88"/>
      <c r="YH80" s="88"/>
      <c r="YI80" s="88"/>
      <c r="YJ80" s="88"/>
      <c r="YK80" s="88"/>
      <c r="YL80" s="88"/>
      <c r="YM80" s="88"/>
      <c r="YN80" s="88"/>
      <c r="YO80" s="88"/>
      <c r="YP80" s="88"/>
      <c r="YQ80" s="88"/>
      <c r="YR80" s="88"/>
      <c r="YS80" s="88"/>
      <c r="YT80" s="88"/>
      <c r="YU80" s="88"/>
      <c r="YV80" s="88"/>
      <c r="YW80" s="88"/>
      <c r="YX80" s="88"/>
      <c r="YY80" s="88"/>
      <c r="YZ80" s="88"/>
      <c r="ZA80" s="88"/>
      <c r="ZB80" s="88"/>
      <c r="ZC80" s="88"/>
      <c r="ZD80" s="88"/>
      <c r="ZE80" s="88"/>
      <c r="ZF80" s="88"/>
      <c r="ZG80" s="88"/>
      <c r="ZH80" s="88"/>
      <c r="ZI80" s="88"/>
      <c r="ZJ80" s="88"/>
      <c r="ZK80" s="88"/>
      <c r="ZL80" s="88"/>
      <c r="ZM80" s="88"/>
      <c r="ZN80" s="88"/>
      <c r="ZO80" s="88"/>
      <c r="ZP80" s="88"/>
      <c r="ZQ80" s="88"/>
      <c r="ZR80" s="88"/>
      <c r="ZS80" s="88"/>
      <c r="ZT80" s="88"/>
      <c r="ZU80" s="88"/>
      <c r="ZV80" s="88"/>
      <c r="ZW80" s="88"/>
      <c r="ZX80" s="88"/>
      <c r="ZY80" s="88"/>
      <c r="ZZ80" s="88"/>
      <c r="AAA80" s="88"/>
      <c r="AAB80" s="88"/>
      <c r="AAC80" s="88"/>
      <c r="AAD80" s="88"/>
      <c r="AAE80" s="88"/>
      <c r="AAF80" s="88"/>
      <c r="AAG80" s="88"/>
      <c r="AAH80" s="88"/>
      <c r="AAI80" s="88"/>
      <c r="AAJ80" s="88"/>
      <c r="AAK80" s="88"/>
      <c r="AAL80" s="88"/>
      <c r="AAM80" s="88"/>
      <c r="AAN80" s="88"/>
      <c r="AAO80" s="88"/>
      <c r="AAP80" s="88"/>
      <c r="AAQ80" s="88"/>
      <c r="AAR80" s="88"/>
      <c r="AAS80" s="88"/>
      <c r="AAT80" s="88"/>
      <c r="AAU80" s="88"/>
      <c r="AAV80" s="88"/>
      <c r="AAW80" s="88"/>
      <c r="AAX80" s="88"/>
      <c r="AAY80" s="88"/>
      <c r="AAZ80" s="88"/>
      <c r="ABA80" s="88"/>
      <c r="ABB80" s="88"/>
      <c r="ABC80" s="88"/>
      <c r="ABD80" s="88"/>
      <c r="ABE80" s="88"/>
      <c r="ABF80" s="88"/>
      <c r="ABG80" s="88"/>
      <c r="ABH80" s="88"/>
      <c r="ABI80" s="88"/>
      <c r="ABJ80" s="88"/>
      <c r="ABK80" s="88"/>
      <c r="ABL80" s="88"/>
      <c r="ABM80" s="88"/>
      <c r="ABN80" s="88"/>
      <c r="ABO80" s="88"/>
      <c r="ABP80" s="88"/>
      <c r="ABQ80" s="88"/>
      <c r="ABR80" s="88"/>
      <c r="ABS80" s="88"/>
      <c r="ABT80" s="88"/>
      <c r="ABU80" s="88"/>
      <c r="ABV80" s="88"/>
      <c r="ABW80" s="88"/>
      <c r="ABX80" s="88"/>
      <c r="ABY80" s="88"/>
      <c r="ABZ80" s="88"/>
      <c r="ACA80" s="88"/>
      <c r="ACB80" s="88"/>
      <c r="ACC80" s="88"/>
      <c r="ACD80" s="88"/>
      <c r="ACE80" s="88"/>
      <c r="ACF80" s="88"/>
      <c r="ACG80" s="88"/>
      <c r="ACH80" s="88"/>
      <c r="ACI80" s="88"/>
      <c r="ACJ80" s="88"/>
      <c r="ACK80" s="88"/>
      <c r="ACL80" s="88"/>
      <c r="ACM80" s="88"/>
      <c r="ACN80" s="88"/>
      <c r="ACO80" s="88"/>
      <c r="ACP80" s="88"/>
      <c r="ACQ80" s="88"/>
      <c r="ACR80" s="88"/>
      <c r="ACS80" s="88"/>
      <c r="ACT80" s="88"/>
      <c r="ACU80" s="88"/>
      <c r="ACV80" s="88"/>
      <c r="ACW80" s="88"/>
      <c r="ACX80" s="88"/>
      <c r="ACY80" s="88"/>
      <c r="ACZ80" s="88"/>
      <c r="ADA80" s="88"/>
      <c r="ADB80" s="88"/>
      <c r="ADC80" s="88"/>
      <c r="ADD80" s="88"/>
      <c r="ADE80" s="88"/>
      <c r="ADF80" s="88"/>
      <c r="ADG80" s="88"/>
      <c r="ADH80" s="88"/>
      <c r="ADI80" s="88"/>
      <c r="ADJ80" s="88"/>
      <c r="ADK80" s="88"/>
      <c r="ADL80" s="88"/>
      <c r="ADM80" s="88"/>
      <c r="ADN80" s="88"/>
      <c r="ADO80" s="88"/>
      <c r="ADP80" s="88"/>
      <c r="ADQ80" s="88"/>
      <c r="ADR80" s="88"/>
      <c r="ADS80" s="88"/>
      <c r="ADT80" s="88"/>
      <c r="ADU80" s="88"/>
      <c r="ADV80" s="88"/>
      <c r="ADW80" s="88"/>
      <c r="ADX80" s="88"/>
      <c r="ADY80" s="88"/>
      <c r="ADZ80" s="88"/>
      <c r="AEA80" s="88"/>
      <c r="AEB80" s="88"/>
      <c r="AEC80" s="88"/>
      <c r="AED80" s="88"/>
      <c r="AEE80" s="88"/>
      <c r="AEF80" s="88"/>
      <c r="AEG80" s="88"/>
      <c r="AEH80" s="88"/>
      <c r="AEI80" s="88"/>
      <c r="AEJ80" s="88"/>
      <c r="AEK80" s="88"/>
      <c r="AEL80" s="88"/>
      <c r="AEM80" s="88"/>
      <c r="AEN80" s="88"/>
      <c r="AEO80" s="88"/>
      <c r="AEP80" s="88"/>
      <c r="AEQ80" s="88"/>
      <c r="AER80" s="88"/>
      <c r="AES80" s="88"/>
      <c r="AET80" s="88"/>
      <c r="AEU80" s="88"/>
      <c r="AEV80" s="88"/>
      <c r="AEW80" s="88"/>
      <c r="AEX80" s="88"/>
      <c r="AEY80" s="88"/>
      <c r="AEZ80" s="88"/>
      <c r="AFA80" s="88"/>
      <c r="AFB80" s="88"/>
      <c r="AFC80" s="88"/>
      <c r="AFD80" s="88"/>
      <c r="AFE80" s="88"/>
      <c r="AFF80" s="88"/>
      <c r="AFG80" s="88"/>
      <c r="AFH80" s="88"/>
      <c r="AFI80" s="88"/>
      <c r="AFJ80" s="88"/>
      <c r="AFK80" s="88"/>
      <c r="AFL80" s="88"/>
      <c r="AFM80" s="88"/>
      <c r="AFN80" s="88"/>
      <c r="AFO80" s="88"/>
      <c r="AFP80" s="88"/>
      <c r="AFQ80" s="88"/>
      <c r="AFR80" s="88"/>
      <c r="AFS80" s="88"/>
      <c r="AFT80" s="88"/>
      <c r="AFU80" s="88"/>
      <c r="AFV80" s="88"/>
      <c r="AFW80" s="88"/>
      <c r="AFX80" s="88"/>
      <c r="AFY80" s="88"/>
      <c r="AFZ80" s="88"/>
      <c r="AGA80" s="88"/>
      <c r="AGB80" s="88"/>
      <c r="AGC80" s="88"/>
      <c r="AGD80" s="88"/>
      <c r="AGE80" s="88"/>
      <c r="AGF80" s="88"/>
      <c r="AGG80" s="88"/>
      <c r="AGH80" s="88"/>
      <c r="AGI80" s="88"/>
      <c r="AGJ80" s="88"/>
      <c r="AGK80" s="88"/>
      <c r="AGL80" s="88"/>
      <c r="AGM80" s="88"/>
      <c r="AGN80" s="88"/>
      <c r="AGO80" s="88"/>
      <c r="AGP80" s="88"/>
      <c r="AGQ80" s="88"/>
      <c r="AGR80" s="88"/>
      <c r="AGS80" s="88"/>
      <c r="AGT80" s="88"/>
      <c r="AGU80" s="88"/>
      <c r="AGV80" s="88"/>
      <c r="AGW80" s="88"/>
      <c r="AGX80" s="88"/>
      <c r="AGY80" s="88"/>
      <c r="AGZ80" s="88"/>
      <c r="AHA80" s="88"/>
      <c r="AHB80" s="88"/>
      <c r="AHC80" s="88"/>
      <c r="AHD80" s="88"/>
      <c r="AHE80" s="88"/>
      <c r="AHF80" s="88"/>
      <c r="AHG80" s="88"/>
      <c r="AHH80" s="88"/>
      <c r="AHI80" s="88"/>
      <c r="AHJ80" s="88"/>
      <c r="AHK80" s="88"/>
      <c r="AHL80" s="88"/>
      <c r="AHM80" s="88"/>
      <c r="AHN80" s="88"/>
      <c r="AHO80" s="88"/>
      <c r="AHP80" s="88"/>
      <c r="AHQ80" s="88"/>
      <c r="AHR80" s="88"/>
      <c r="AHS80" s="88"/>
      <c r="AHT80" s="88"/>
      <c r="AHU80" s="88"/>
      <c r="AHV80" s="88"/>
      <c r="AHW80" s="88"/>
      <c r="AHX80" s="88"/>
      <c r="AHY80" s="88"/>
      <c r="AHZ80" s="88"/>
      <c r="AIA80" s="88"/>
      <c r="AIB80" s="88"/>
      <c r="AIC80" s="88"/>
      <c r="AID80" s="88"/>
      <c r="AIE80" s="88"/>
      <c r="AIF80" s="88"/>
      <c r="AIG80" s="88"/>
      <c r="AIH80" s="88"/>
      <c r="AII80" s="88"/>
      <c r="AIJ80" s="88"/>
      <c r="AIK80" s="88"/>
      <c r="AIL80" s="88"/>
      <c r="AIM80" s="88"/>
      <c r="AIN80" s="88"/>
      <c r="AIO80" s="88"/>
      <c r="AIP80" s="88"/>
      <c r="AIQ80" s="88"/>
      <c r="AIR80" s="88"/>
      <c r="AIS80" s="88"/>
      <c r="AIT80" s="88"/>
      <c r="AIU80" s="88"/>
      <c r="AIV80" s="88"/>
      <c r="AIW80" s="88"/>
      <c r="AIX80" s="88"/>
      <c r="AIY80" s="88"/>
      <c r="AIZ80" s="88"/>
      <c r="AJA80" s="88"/>
      <c r="AJB80" s="88"/>
      <c r="AJC80" s="88"/>
      <c r="AJD80" s="88"/>
      <c r="AJE80" s="88"/>
      <c r="AJF80" s="88"/>
      <c r="AJG80" s="88"/>
      <c r="AJH80" s="88"/>
      <c r="AJI80" s="88"/>
      <c r="AJJ80" s="88"/>
      <c r="AJK80" s="88"/>
      <c r="AJL80" s="88"/>
      <c r="AJM80" s="88"/>
      <c r="AJN80" s="88"/>
      <c r="AJO80" s="88"/>
      <c r="AJP80" s="88"/>
      <c r="AJQ80" s="88"/>
      <c r="AJR80" s="88"/>
      <c r="AJS80" s="88"/>
      <c r="AJT80" s="88"/>
      <c r="AJU80" s="88"/>
      <c r="AJV80" s="88"/>
      <c r="AJW80" s="88"/>
      <c r="AJX80" s="88"/>
      <c r="AJY80" s="88"/>
      <c r="AJZ80" s="88"/>
      <c r="AKA80" s="88"/>
      <c r="AKB80" s="88"/>
      <c r="AKC80" s="88"/>
      <c r="AKD80" s="88"/>
      <c r="AKE80" s="88"/>
      <c r="AKF80" s="88"/>
      <c r="AKG80" s="88"/>
      <c r="AKH80" s="88"/>
      <c r="AKI80" s="88"/>
      <c r="AKJ80" s="88"/>
      <c r="AKK80" s="88"/>
      <c r="AKL80" s="88"/>
      <c r="AKM80" s="88"/>
      <c r="AKN80" s="88"/>
      <c r="AKO80" s="88"/>
      <c r="AKP80" s="88"/>
      <c r="AKQ80" s="88"/>
      <c r="AKR80" s="88"/>
      <c r="AKS80" s="88"/>
      <c r="AKT80" s="88"/>
      <c r="AKU80" s="88"/>
      <c r="AKV80" s="88"/>
      <c r="AKW80" s="88"/>
      <c r="AKX80" s="88"/>
      <c r="AKY80" s="88"/>
      <c r="AKZ80" s="88"/>
      <c r="ALA80" s="88"/>
      <c r="ALB80" s="88"/>
      <c r="ALC80" s="88"/>
      <c r="ALD80" s="88"/>
      <c r="ALE80" s="88"/>
      <c r="ALF80" s="88"/>
      <c r="ALG80" s="88"/>
      <c r="ALH80" s="88"/>
      <c r="ALI80" s="88"/>
      <c r="ALJ80" s="88"/>
      <c r="ALK80" s="88"/>
      <c r="ALL80" s="88"/>
      <c r="ALM80" s="88"/>
      <c r="ALN80" s="88"/>
      <c r="ALO80" s="88"/>
      <c r="ALP80" s="88"/>
      <c r="ALQ80" s="88"/>
      <c r="ALR80" s="88"/>
      <c r="ALS80" s="88"/>
      <c r="ALT80" s="88"/>
      <c r="ALU80" s="88"/>
      <c r="ALV80" s="88"/>
      <c r="ALW80" s="88"/>
      <c r="ALX80" s="88"/>
      <c r="ALY80" s="88"/>
      <c r="ALZ80" s="88"/>
      <c r="AMA80" s="88"/>
      <c r="AMB80" s="88"/>
      <c r="AMC80" s="88"/>
      <c r="AMD80" s="88"/>
      <c r="AME80" s="88"/>
      <c r="AMF80" s="88"/>
      <c r="AMG80" s="88"/>
      <c r="AMH80" s="88"/>
      <c r="AMI80" s="88"/>
      <c r="AMJ80" s="88"/>
      <c r="AMK80" s="88"/>
      <c r="AML80" s="88"/>
      <c r="AMM80" s="88"/>
      <c r="AMN80" s="88"/>
      <c r="AMO80" s="88"/>
      <c r="AMP80" s="88"/>
      <c r="AMQ80" s="88"/>
      <c r="AMR80" s="88"/>
      <c r="AMS80" s="88"/>
      <c r="AMT80" s="88"/>
      <c r="AMU80" s="88"/>
      <c r="AMV80" s="88"/>
      <c r="AMW80" s="88"/>
      <c r="AMX80" s="88"/>
      <c r="AMY80" s="88"/>
      <c r="AMZ80" s="88"/>
      <c r="ANA80" s="88"/>
      <c r="ANB80" s="88"/>
      <c r="ANC80" s="88"/>
      <c r="AND80" s="88"/>
      <c r="ANE80" s="88"/>
      <c r="ANF80" s="88"/>
      <c r="ANG80" s="88"/>
      <c r="ANH80" s="88"/>
      <c r="ANI80" s="88"/>
      <c r="ANJ80" s="88"/>
      <c r="ANK80" s="88"/>
      <c r="ANL80" s="88"/>
      <c r="ANM80" s="88"/>
      <c r="ANN80" s="88"/>
      <c r="ANO80" s="88"/>
      <c r="ANP80" s="88"/>
      <c r="ANQ80" s="88"/>
      <c r="ANR80" s="88"/>
      <c r="ANS80" s="88"/>
      <c r="ANT80" s="88"/>
      <c r="ANU80" s="88"/>
      <c r="ANV80" s="88"/>
      <c r="ANW80" s="88"/>
      <c r="ANX80" s="88"/>
      <c r="ANY80" s="88"/>
      <c r="ANZ80" s="88"/>
      <c r="AOA80" s="88"/>
      <c r="AOB80" s="88"/>
      <c r="AOC80" s="88"/>
      <c r="AOD80" s="88"/>
      <c r="AOE80" s="88"/>
      <c r="AOF80" s="88"/>
      <c r="AOG80" s="88"/>
      <c r="AOH80" s="88"/>
      <c r="AOI80" s="88"/>
      <c r="AOJ80" s="88"/>
      <c r="AOK80" s="88"/>
      <c r="AOL80" s="88"/>
      <c r="AOM80" s="88"/>
      <c r="AON80" s="88"/>
      <c r="AOO80" s="88"/>
      <c r="AOP80" s="88"/>
      <c r="AOQ80" s="88"/>
      <c r="AOR80" s="88"/>
      <c r="AOS80" s="88"/>
      <c r="AOT80" s="88"/>
      <c r="AOU80" s="88"/>
      <c r="AOV80" s="88"/>
      <c r="AOW80" s="88"/>
      <c r="AOX80" s="88"/>
      <c r="AOY80" s="88"/>
      <c r="AOZ80" s="88"/>
      <c r="APA80" s="88"/>
      <c r="APB80" s="88"/>
      <c r="APC80" s="88"/>
      <c r="APD80" s="88"/>
      <c r="APE80" s="88"/>
      <c r="APF80" s="88"/>
      <c r="APG80" s="88"/>
      <c r="APH80" s="88"/>
      <c r="API80" s="88"/>
      <c r="APJ80" s="88"/>
      <c r="APK80" s="88"/>
      <c r="APL80" s="88"/>
      <c r="APM80" s="88"/>
      <c r="APN80" s="88"/>
      <c r="APO80" s="88"/>
      <c r="APP80" s="88"/>
      <c r="APQ80" s="88"/>
      <c r="APR80" s="88"/>
      <c r="APS80" s="88"/>
      <c r="APT80" s="88"/>
      <c r="APU80" s="88"/>
      <c r="APV80" s="88"/>
      <c r="APW80" s="88"/>
      <c r="APX80" s="88"/>
      <c r="APY80" s="88"/>
      <c r="APZ80" s="88"/>
      <c r="AQA80" s="88"/>
      <c r="AQB80" s="88"/>
      <c r="AQC80" s="88"/>
      <c r="AQD80" s="88"/>
      <c r="AQE80" s="88"/>
      <c r="AQF80" s="88"/>
      <c r="AQG80" s="88"/>
      <c r="AQH80" s="88"/>
      <c r="AQI80" s="88"/>
      <c r="AQJ80" s="88"/>
      <c r="AQK80" s="88"/>
      <c r="AQL80" s="88"/>
      <c r="AQM80" s="88"/>
      <c r="AQN80" s="88"/>
      <c r="AQO80" s="88"/>
      <c r="AQP80" s="88"/>
      <c r="AQQ80" s="88"/>
      <c r="AQR80" s="88"/>
      <c r="AQS80" s="88"/>
      <c r="AQT80" s="88"/>
      <c r="AQU80" s="88"/>
      <c r="AQV80" s="88"/>
      <c r="AQW80" s="88"/>
      <c r="AQX80" s="88"/>
      <c r="AQY80" s="88"/>
      <c r="AQZ80" s="88"/>
      <c r="ARA80" s="88"/>
      <c r="ARB80" s="88"/>
      <c r="ARC80" s="88"/>
      <c r="ARD80" s="88"/>
      <c r="ARE80" s="88"/>
      <c r="ARF80" s="88"/>
      <c r="ARG80" s="88"/>
      <c r="ARH80" s="88"/>
      <c r="ARI80" s="88"/>
      <c r="ARJ80" s="88"/>
      <c r="ARK80" s="88"/>
      <c r="ARL80" s="88"/>
      <c r="ARM80" s="88"/>
      <c r="ARN80" s="88"/>
      <c r="ARO80" s="88"/>
      <c r="ARP80" s="88"/>
      <c r="ARQ80" s="88"/>
      <c r="ARR80" s="88"/>
      <c r="ARS80" s="88"/>
      <c r="ART80" s="88"/>
      <c r="ARU80" s="88"/>
      <c r="ARV80" s="88"/>
      <c r="ARW80" s="88"/>
      <c r="ARX80" s="88"/>
      <c r="ARY80" s="88"/>
      <c r="ARZ80" s="88"/>
      <c r="ASA80" s="88"/>
      <c r="ASB80" s="88"/>
      <c r="ASC80" s="88"/>
      <c r="ASD80" s="88"/>
      <c r="ASE80" s="88"/>
      <c r="ASF80" s="88"/>
      <c r="ASG80" s="88"/>
      <c r="ASH80" s="88"/>
      <c r="ASI80" s="88"/>
      <c r="ASJ80" s="88"/>
      <c r="ASK80" s="88"/>
      <c r="ASL80" s="88"/>
      <c r="ASM80" s="88"/>
      <c r="ASN80" s="88"/>
      <c r="ASO80" s="88"/>
      <c r="ASP80" s="88"/>
      <c r="ASQ80" s="88"/>
      <c r="ASR80" s="88"/>
      <c r="ASS80" s="88"/>
      <c r="AST80" s="88"/>
      <c r="ASU80" s="88"/>
      <c r="ASV80" s="88"/>
      <c r="ASW80" s="88"/>
      <c r="ASX80" s="88"/>
      <c r="ASY80" s="88"/>
      <c r="ASZ80" s="88"/>
      <c r="ATA80" s="88"/>
      <c r="ATB80" s="88"/>
      <c r="ATC80" s="88"/>
      <c r="ATD80" s="88"/>
      <c r="ATE80" s="88"/>
      <c r="ATF80" s="88"/>
      <c r="ATG80" s="88"/>
      <c r="ATH80" s="88"/>
      <c r="ATI80" s="88"/>
      <c r="ATJ80" s="88"/>
      <c r="ATK80" s="88"/>
      <c r="ATL80" s="88"/>
      <c r="ATM80" s="88"/>
      <c r="ATN80" s="88"/>
      <c r="ATO80" s="88"/>
      <c r="ATP80" s="88"/>
      <c r="ATQ80" s="88"/>
      <c r="ATR80" s="88"/>
      <c r="ATS80" s="88"/>
      <c r="ATT80" s="88"/>
      <c r="ATU80" s="88"/>
      <c r="ATV80" s="88"/>
      <c r="ATW80" s="88"/>
      <c r="ATX80" s="88"/>
      <c r="ATY80" s="88"/>
      <c r="ATZ80" s="88"/>
      <c r="AUA80" s="88"/>
      <c r="AUB80" s="88"/>
      <c r="AUC80" s="88"/>
      <c r="AUD80" s="88"/>
      <c r="AUE80" s="88"/>
      <c r="AUF80" s="88"/>
      <c r="AUG80" s="88"/>
      <c r="AUH80" s="88"/>
      <c r="AUI80" s="88"/>
      <c r="AUJ80" s="88"/>
      <c r="AUK80" s="88"/>
      <c r="AUL80" s="88"/>
      <c r="AUM80" s="88"/>
      <c r="AUN80" s="88"/>
      <c r="AUO80" s="88"/>
      <c r="AUP80" s="88"/>
      <c r="AUQ80" s="88"/>
      <c r="AUR80" s="88"/>
      <c r="AUS80" s="88"/>
      <c r="AUT80" s="88"/>
      <c r="AUU80" s="88"/>
      <c r="AUV80" s="88"/>
      <c r="AUW80" s="88"/>
      <c r="AUX80" s="88"/>
      <c r="AUY80" s="88"/>
      <c r="AUZ80" s="88"/>
      <c r="AVA80" s="88"/>
      <c r="AVB80" s="88"/>
      <c r="AVC80" s="88"/>
      <c r="AVD80" s="88"/>
      <c r="AVE80" s="88"/>
      <c r="AVF80" s="88"/>
      <c r="AVG80" s="88"/>
      <c r="AVH80" s="88"/>
      <c r="AVI80" s="88"/>
      <c r="AVJ80" s="88"/>
      <c r="AVK80" s="88"/>
      <c r="AVL80" s="88"/>
      <c r="AVM80" s="88"/>
      <c r="AVN80" s="88"/>
      <c r="AVO80" s="88"/>
      <c r="AVP80" s="88"/>
      <c r="AVQ80" s="88"/>
      <c r="AVR80" s="88"/>
      <c r="AVS80" s="88"/>
      <c r="AVT80" s="88"/>
      <c r="AVU80" s="88"/>
      <c r="AVV80" s="88"/>
      <c r="AVW80" s="88"/>
      <c r="AVX80" s="88"/>
      <c r="AVY80" s="88"/>
      <c r="AVZ80" s="88"/>
      <c r="AWA80" s="88"/>
      <c r="AWB80" s="88"/>
      <c r="AWC80" s="88"/>
      <c r="AWD80" s="88"/>
      <c r="AWE80" s="88"/>
      <c r="AWF80" s="88"/>
      <c r="AWG80" s="88"/>
      <c r="AWH80" s="88"/>
      <c r="AWI80" s="88"/>
      <c r="AWJ80" s="88"/>
      <c r="AWK80" s="88"/>
      <c r="AWL80" s="88"/>
      <c r="AWM80" s="88"/>
      <c r="AWN80" s="88"/>
      <c r="AWO80" s="88"/>
      <c r="AWP80" s="88"/>
      <c r="AWQ80" s="88"/>
      <c r="AWR80" s="88"/>
      <c r="AWS80" s="88"/>
      <c r="AWT80" s="88"/>
      <c r="AWU80" s="88"/>
      <c r="AWV80" s="88"/>
      <c r="AWW80" s="88"/>
      <c r="AWX80" s="88"/>
      <c r="AWY80" s="88"/>
      <c r="AWZ80" s="88"/>
      <c r="AXA80" s="88"/>
      <c r="AXB80" s="88"/>
      <c r="AXC80" s="88"/>
      <c r="AXD80" s="88"/>
      <c r="AXE80" s="88"/>
      <c r="AXF80" s="88"/>
      <c r="AXG80" s="88"/>
      <c r="AXH80" s="88"/>
      <c r="AXI80" s="88"/>
      <c r="AXJ80" s="88"/>
      <c r="AXK80" s="88"/>
      <c r="AXL80" s="88"/>
      <c r="AXM80" s="88"/>
      <c r="AXN80" s="88"/>
      <c r="AXO80" s="88"/>
      <c r="AXP80" s="88"/>
      <c r="AXQ80" s="88"/>
      <c r="AXR80" s="88"/>
      <c r="AXS80" s="88"/>
      <c r="AXT80" s="88"/>
      <c r="AXU80" s="88"/>
      <c r="AXV80" s="88"/>
      <c r="AXW80" s="88"/>
      <c r="AXX80" s="88"/>
      <c r="AXY80" s="88"/>
      <c r="AXZ80" s="88"/>
      <c r="AYA80" s="88"/>
      <c r="AYB80" s="88"/>
      <c r="AYC80" s="88"/>
      <c r="AYD80" s="88"/>
      <c r="AYE80" s="88"/>
      <c r="AYF80" s="88"/>
      <c r="AYG80" s="88"/>
      <c r="AYH80" s="88"/>
      <c r="AYI80" s="88"/>
      <c r="AYJ80" s="88"/>
      <c r="AYK80" s="88"/>
      <c r="AYL80" s="88"/>
      <c r="AYM80" s="88"/>
      <c r="AYN80" s="88"/>
      <c r="AYO80" s="88"/>
      <c r="AYP80" s="88"/>
      <c r="AYQ80" s="88"/>
      <c r="AYR80" s="88"/>
      <c r="AYS80" s="88"/>
      <c r="AYT80" s="88"/>
      <c r="AYU80" s="88"/>
      <c r="AYV80" s="88"/>
      <c r="AYW80" s="88"/>
      <c r="AYX80" s="88"/>
      <c r="AYY80" s="88"/>
      <c r="AYZ80" s="88"/>
      <c r="AZA80" s="88"/>
      <c r="AZB80" s="88"/>
      <c r="AZC80" s="88"/>
      <c r="AZD80" s="88"/>
      <c r="AZE80" s="88"/>
      <c r="AZF80" s="88"/>
      <c r="AZG80" s="88"/>
      <c r="AZH80" s="88"/>
      <c r="AZI80" s="88"/>
      <c r="AZJ80" s="88"/>
      <c r="AZK80" s="88"/>
      <c r="AZL80" s="88"/>
      <c r="AZM80" s="88"/>
      <c r="AZN80" s="88"/>
      <c r="AZO80" s="88"/>
      <c r="AZP80" s="88"/>
      <c r="AZQ80" s="88"/>
      <c r="AZR80" s="88"/>
      <c r="AZS80" s="88"/>
      <c r="AZT80" s="88"/>
      <c r="AZU80" s="88"/>
      <c r="AZV80" s="88"/>
      <c r="AZW80" s="88"/>
      <c r="AZX80" s="88"/>
      <c r="AZY80" s="88"/>
      <c r="AZZ80" s="88"/>
      <c r="BAA80" s="88"/>
      <c r="BAB80" s="88"/>
      <c r="BAC80" s="88"/>
      <c r="BAD80" s="88"/>
      <c r="BAE80" s="88"/>
      <c r="BAF80" s="88"/>
      <c r="BAG80" s="88"/>
      <c r="BAH80" s="88"/>
      <c r="BAI80" s="88"/>
      <c r="BAJ80" s="88"/>
      <c r="BAK80" s="88"/>
      <c r="BAL80" s="88"/>
      <c r="BAM80" s="88"/>
      <c r="BAN80" s="88"/>
      <c r="BAO80" s="88"/>
      <c r="BAP80" s="88"/>
      <c r="BAQ80" s="88"/>
      <c r="BAR80" s="88"/>
      <c r="BAS80" s="88"/>
      <c r="BAT80" s="88"/>
      <c r="BAU80" s="88"/>
      <c r="BAV80" s="88"/>
      <c r="BAW80" s="88"/>
      <c r="BAX80" s="88"/>
      <c r="BAY80" s="88"/>
      <c r="BAZ80" s="88"/>
      <c r="BBA80" s="88"/>
      <c r="BBB80" s="88"/>
      <c r="BBC80" s="88"/>
      <c r="BBD80" s="88"/>
      <c r="BBE80" s="88"/>
      <c r="BBF80" s="88"/>
      <c r="BBG80" s="88"/>
      <c r="BBH80" s="88"/>
      <c r="BBI80" s="88"/>
      <c r="BBJ80" s="88"/>
      <c r="BBK80" s="88"/>
      <c r="BBL80" s="88"/>
      <c r="BBM80" s="88"/>
      <c r="BBN80" s="88"/>
      <c r="BBO80" s="88"/>
      <c r="BBP80" s="88"/>
      <c r="BBQ80" s="88"/>
      <c r="BBR80" s="88"/>
      <c r="BBS80" s="88"/>
      <c r="BBT80" s="88"/>
      <c r="BBU80" s="88"/>
      <c r="BBV80" s="88"/>
      <c r="BBW80" s="88"/>
      <c r="BBX80" s="88"/>
      <c r="BBY80" s="88"/>
      <c r="BBZ80" s="88"/>
      <c r="BCA80" s="88"/>
      <c r="BCB80" s="88"/>
      <c r="BCC80" s="88"/>
      <c r="BCD80" s="88"/>
      <c r="BCE80" s="88"/>
      <c r="BCF80" s="88"/>
      <c r="BCG80" s="88"/>
      <c r="BCH80" s="88"/>
      <c r="BCI80" s="88"/>
      <c r="BCJ80" s="88"/>
      <c r="BCK80" s="88"/>
      <c r="BCL80" s="88"/>
      <c r="BCM80" s="88"/>
      <c r="BCN80" s="88"/>
      <c r="BCO80" s="88"/>
      <c r="BCP80" s="88"/>
      <c r="BCQ80" s="88"/>
      <c r="BCR80" s="88"/>
      <c r="BCS80" s="88"/>
      <c r="BCT80" s="88"/>
      <c r="BCU80" s="88"/>
      <c r="BCV80" s="88"/>
      <c r="BCW80" s="88"/>
      <c r="BCX80" s="88"/>
      <c r="BCY80" s="88"/>
      <c r="BCZ80" s="88"/>
      <c r="BDA80" s="88"/>
      <c r="BDB80" s="88"/>
      <c r="BDC80" s="88"/>
      <c r="BDD80" s="88"/>
      <c r="BDE80" s="88"/>
      <c r="BDF80" s="88"/>
      <c r="BDG80" s="88"/>
      <c r="BDH80" s="88"/>
      <c r="BDI80" s="88"/>
      <c r="BDJ80" s="88"/>
      <c r="BDK80" s="88"/>
      <c r="BDL80" s="88"/>
      <c r="BDM80" s="88"/>
      <c r="BDN80" s="88"/>
      <c r="BDO80" s="88"/>
      <c r="BDP80" s="88"/>
      <c r="BDQ80" s="88"/>
      <c r="BDR80" s="88"/>
      <c r="BDS80" s="88"/>
      <c r="BDT80" s="88"/>
      <c r="BDU80" s="88"/>
      <c r="BDV80" s="88"/>
      <c r="BDW80" s="88"/>
      <c r="BDX80" s="88"/>
      <c r="BDY80" s="88"/>
      <c r="BDZ80" s="88"/>
      <c r="BEA80" s="88"/>
      <c r="BEB80" s="88"/>
      <c r="BEC80" s="88"/>
      <c r="BED80" s="88"/>
      <c r="BEE80" s="88"/>
      <c r="BEF80" s="88"/>
      <c r="BEG80" s="88"/>
      <c r="BEH80" s="88"/>
      <c r="BEI80" s="88"/>
      <c r="BEJ80" s="88"/>
      <c r="BEK80" s="88"/>
      <c r="BEL80" s="88"/>
      <c r="BEM80" s="88"/>
      <c r="BEN80" s="88"/>
      <c r="BEO80" s="88"/>
      <c r="BEP80" s="88"/>
      <c r="BEQ80" s="88"/>
      <c r="BER80" s="88"/>
      <c r="BES80" s="88"/>
      <c r="BET80" s="88"/>
      <c r="BEU80" s="88"/>
      <c r="BEV80" s="88"/>
      <c r="BEW80" s="88"/>
      <c r="BEX80" s="88"/>
      <c r="BEY80" s="88"/>
      <c r="BEZ80" s="88"/>
      <c r="BFA80" s="88"/>
      <c r="BFB80" s="88"/>
      <c r="BFC80" s="88"/>
      <c r="BFD80" s="88"/>
      <c r="BFE80" s="88"/>
      <c r="BFF80" s="88"/>
      <c r="BFG80" s="88"/>
      <c r="BFH80" s="88"/>
      <c r="BFI80" s="88"/>
      <c r="BFJ80" s="88"/>
      <c r="BFK80" s="88"/>
      <c r="BFL80" s="88"/>
      <c r="BFM80" s="88"/>
      <c r="BFN80" s="88"/>
      <c r="BFO80" s="88"/>
      <c r="BFP80" s="88"/>
      <c r="BFQ80" s="88"/>
      <c r="BFR80" s="88"/>
      <c r="BFS80" s="88"/>
      <c r="BFT80" s="88"/>
      <c r="BFU80" s="88"/>
      <c r="BFV80" s="88"/>
      <c r="BFW80" s="88"/>
      <c r="BFX80" s="88"/>
      <c r="BFY80" s="88"/>
      <c r="BFZ80" s="88"/>
      <c r="BGA80" s="88"/>
      <c r="BGB80" s="88"/>
      <c r="BGC80" s="88"/>
      <c r="BGD80" s="88"/>
      <c r="BGE80" s="88"/>
      <c r="BGF80" s="88"/>
      <c r="BGG80" s="88"/>
      <c r="BGH80" s="88"/>
      <c r="BGI80" s="88"/>
      <c r="BGJ80" s="88"/>
      <c r="BGK80" s="88"/>
      <c r="BGL80" s="88"/>
      <c r="BGM80" s="88"/>
      <c r="BGN80" s="88"/>
      <c r="BGO80" s="88"/>
      <c r="BGP80" s="88"/>
      <c r="BGQ80" s="88"/>
      <c r="BGR80" s="88"/>
      <c r="BGS80" s="88"/>
      <c r="BGT80" s="88"/>
      <c r="BGU80" s="88"/>
      <c r="BGV80" s="88"/>
      <c r="BGW80" s="88"/>
      <c r="BGX80" s="88"/>
      <c r="BGY80" s="88"/>
      <c r="BGZ80" s="88"/>
      <c r="BHA80" s="88"/>
      <c r="BHB80" s="88"/>
      <c r="BHC80" s="88"/>
      <c r="BHD80" s="88"/>
      <c r="BHE80" s="88"/>
      <c r="BHF80" s="88"/>
      <c r="BHG80" s="88"/>
      <c r="BHH80" s="88"/>
      <c r="BHI80" s="88"/>
      <c r="BHJ80" s="88"/>
      <c r="BHK80" s="88"/>
      <c r="BHL80" s="88"/>
      <c r="BHM80" s="88"/>
      <c r="BHN80" s="88"/>
      <c r="BHO80" s="88"/>
      <c r="BHP80" s="88"/>
      <c r="BHQ80" s="88"/>
      <c r="BHR80" s="88"/>
      <c r="BHS80" s="88"/>
      <c r="BHT80" s="88"/>
      <c r="BHU80" s="88"/>
      <c r="BHV80" s="88"/>
      <c r="BHW80" s="88"/>
      <c r="BHX80" s="88"/>
      <c r="BHY80" s="88"/>
      <c r="BHZ80" s="88"/>
      <c r="BIA80" s="88"/>
      <c r="BIB80" s="88"/>
      <c r="BIC80" s="88"/>
      <c r="BID80" s="88"/>
      <c r="BIE80" s="88"/>
      <c r="BIF80" s="88"/>
      <c r="BIG80" s="88"/>
      <c r="BIH80" s="88"/>
      <c r="BII80" s="88"/>
      <c r="BIJ80" s="88"/>
      <c r="BIK80" s="88"/>
      <c r="BIL80" s="88"/>
      <c r="BIM80" s="88"/>
      <c r="BIN80" s="88"/>
      <c r="BIO80" s="88"/>
      <c r="BIP80" s="88"/>
      <c r="BIQ80" s="88"/>
      <c r="BIR80" s="88"/>
      <c r="BIS80" s="88"/>
      <c r="BIT80" s="88"/>
      <c r="BIU80" s="88"/>
      <c r="BIV80" s="88"/>
      <c r="BIW80" s="88"/>
      <c r="BIX80" s="88"/>
      <c r="BIY80" s="88"/>
      <c r="BIZ80" s="88"/>
      <c r="BJA80" s="88"/>
      <c r="BJB80" s="88"/>
      <c r="BJC80" s="88"/>
      <c r="BJD80" s="88"/>
      <c r="BJE80" s="88"/>
      <c r="BJF80" s="88"/>
      <c r="BJG80" s="88"/>
      <c r="BJH80" s="88"/>
      <c r="BJI80" s="88"/>
      <c r="BJJ80" s="88"/>
      <c r="BJK80" s="88"/>
      <c r="BJL80" s="88"/>
      <c r="BJM80" s="88"/>
      <c r="BJN80" s="88"/>
      <c r="BJO80" s="88"/>
      <c r="BJP80" s="88"/>
      <c r="BJQ80" s="88"/>
      <c r="BJR80" s="88"/>
      <c r="BJS80" s="88"/>
      <c r="BJT80" s="88"/>
      <c r="BJU80" s="88"/>
      <c r="BJV80" s="88"/>
      <c r="BJW80" s="88"/>
      <c r="BJX80" s="88"/>
      <c r="BJY80" s="88"/>
      <c r="BJZ80" s="88"/>
      <c r="BKA80" s="88"/>
      <c r="BKB80" s="88"/>
      <c r="BKC80" s="88"/>
      <c r="BKD80" s="88"/>
      <c r="BKE80" s="88"/>
      <c r="BKF80" s="88"/>
      <c r="BKG80" s="88"/>
      <c r="BKH80" s="88"/>
      <c r="BKI80" s="88"/>
      <c r="BKJ80" s="88"/>
      <c r="BKK80" s="88"/>
      <c r="BKL80" s="88"/>
      <c r="BKM80" s="88"/>
      <c r="BKN80" s="88"/>
      <c r="BKO80" s="88"/>
      <c r="BKP80" s="88"/>
      <c r="BKQ80" s="88"/>
      <c r="BKR80" s="88"/>
      <c r="BKS80" s="88"/>
      <c r="BKT80" s="88"/>
      <c r="BKU80" s="88"/>
      <c r="BKV80" s="88"/>
      <c r="BKW80" s="88"/>
      <c r="BKX80" s="88"/>
      <c r="BKY80" s="88"/>
      <c r="BKZ80" s="88"/>
      <c r="BLA80" s="88"/>
      <c r="BLB80" s="88"/>
      <c r="BLC80" s="88"/>
      <c r="BLD80" s="88"/>
      <c r="BLE80" s="88"/>
      <c r="BLF80" s="88"/>
      <c r="BLG80" s="88"/>
      <c r="BLH80" s="88"/>
      <c r="BLI80" s="88"/>
      <c r="BLJ80" s="88"/>
      <c r="BLK80" s="88"/>
      <c r="BLL80" s="88"/>
      <c r="BLM80" s="88"/>
      <c r="BLN80" s="88"/>
      <c r="BLO80" s="88"/>
      <c r="BLP80" s="88"/>
      <c r="BLQ80" s="88"/>
      <c r="BLR80" s="88"/>
      <c r="BLS80" s="88"/>
      <c r="BLT80" s="88"/>
      <c r="BLU80" s="88"/>
      <c r="BLV80" s="88"/>
      <c r="BLW80" s="88"/>
      <c r="BLX80" s="88"/>
      <c r="BLY80" s="88"/>
      <c r="BLZ80" s="88"/>
      <c r="BMA80" s="88"/>
      <c r="BMB80" s="88"/>
      <c r="BMC80" s="88"/>
      <c r="BMD80" s="88"/>
      <c r="BME80" s="88"/>
      <c r="BMF80" s="88"/>
      <c r="BMG80" s="88"/>
      <c r="BMH80" s="88"/>
      <c r="BMI80" s="88"/>
      <c r="BMJ80" s="88"/>
      <c r="BMK80" s="88"/>
      <c r="BML80" s="88"/>
      <c r="BMM80" s="88"/>
      <c r="BMN80" s="88"/>
      <c r="BMO80" s="88"/>
      <c r="BMP80" s="88"/>
      <c r="BMQ80" s="88"/>
      <c r="BMR80" s="88"/>
      <c r="BMS80" s="88"/>
      <c r="BMT80" s="88"/>
      <c r="BMU80" s="88"/>
      <c r="BMV80" s="88"/>
      <c r="BMW80" s="88"/>
      <c r="BMX80" s="88"/>
      <c r="BMY80" s="88"/>
      <c r="BMZ80" s="88"/>
      <c r="BNA80" s="88"/>
      <c r="BNB80" s="88"/>
      <c r="BNC80" s="88"/>
      <c r="BND80" s="88"/>
      <c r="BNE80" s="88"/>
      <c r="BNF80" s="88"/>
      <c r="BNG80" s="88"/>
      <c r="BNH80" s="88"/>
      <c r="BNI80" s="88"/>
      <c r="BNJ80" s="88"/>
      <c r="BNK80" s="88"/>
      <c r="BNL80" s="88"/>
      <c r="BNM80" s="88"/>
      <c r="BNN80" s="88"/>
      <c r="BNO80" s="88"/>
      <c r="BNP80" s="88"/>
      <c r="BNQ80" s="88"/>
      <c r="BNR80" s="88"/>
      <c r="BNS80" s="88"/>
      <c r="BNT80" s="88"/>
      <c r="BNU80" s="88"/>
      <c r="BNV80" s="88"/>
      <c r="BNW80" s="88"/>
      <c r="BNX80" s="88"/>
      <c r="BNY80" s="88"/>
      <c r="BNZ80" s="88"/>
      <c r="BOA80" s="88"/>
      <c r="BOB80" s="88"/>
      <c r="BOC80" s="88"/>
      <c r="BOD80" s="88"/>
      <c r="BOE80" s="88"/>
      <c r="BOF80" s="88"/>
      <c r="BOG80" s="88"/>
      <c r="BOH80" s="88"/>
      <c r="BOI80" s="88"/>
      <c r="BOJ80" s="88"/>
      <c r="BOK80" s="88"/>
      <c r="BOL80" s="88"/>
      <c r="BOM80" s="88"/>
      <c r="BON80" s="88"/>
      <c r="BOO80" s="88"/>
      <c r="BOP80" s="88"/>
      <c r="BOQ80" s="88"/>
      <c r="BOR80" s="88"/>
      <c r="BOS80" s="88"/>
      <c r="BOT80" s="88"/>
      <c r="BOU80" s="88"/>
      <c r="BOV80" s="88"/>
      <c r="BOW80" s="88"/>
      <c r="BOX80" s="88"/>
      <c r="BOY80" s="88"/>
      <c r="BOZ80" s="88"/>
      <c r="BPA80" s="88"/>
      <c r="BPB80" s="88"/>
      <c r="BPC80" s="88"/>
      <c r="BPD80" s="88"/>
      <c r="BPE80" s="88"/>
      <c r="BPF80" s="88"/>
      <c r="BPG80" s="88"/>
      <c r="BPH80" s="88"/>
      <c r="BPI80" s="88"/>
      <c r="BPJ80" s="88"/>
      <c r="BPK80" s="88"/>
      <c r="BPL80" s="88"/>
      <c r="BPM80" s="88"/>
      <c r="BPN80" s="88"/>
      <c r="BPO80" s="88"/>
      <c r="BPP80" s="88"/>
      <c r="BPQ80" s="88"/>
      <c r="BPR80" s="88"/>
      <c r="BPS80" s="88"/>
      <c r="BPT80" s="88"/>
      <c r="BPU80" s="88"/>
      <c r="BPV80" s="88"/>
      <c r="BPW80" s="88"/>
      <c r="BPX80" s="88"/>
      <c r="BPY80" s="88"/>
      <c r="BPZ80" s="88"/>
      <c r="BQA80" s="88"/>
      <c r="BQB80" s="88"/>
      <c r="BQC80" s="88"/>
      <c r="BQD80" s="88"/>
      <c r="BQE80" s="88"/>
      <c r="BQF80" s="88"/>
      <c r="BQG80" s="88"/>
      <c r="BQH80" s="88"/>
      <c r="BQI80" s="88"/>
      <c r="BQJ80" s="88"/>
      <c r="BQK80" s="88"/>
      <c r="BQL80" s="88"/>
      <c r="BQM80" s="88"/>
      <c r="BQN80" s="88"/>
      <c r="BQO80" s="88"/>
      <c r="BQP80" s="88"/>
      <c r="BQQ80" s="88"/>
      <c r="BQR80" s="88"/>
      <c r="BQS80" s="88"/>
      <c r="BQT80" s="88"/>
      <c r="BQU80" s="88"/>
      <c r="BQV80" s="88"/>
      <c r="BQW80" s="88"/>
      <c r="BQX80" s="88"/>
      <c r="BQY80" s="88"/>
      <c r="BQZ80" s="88"/>
      <c r="BRA80" s="88"/>
      <c r="BRB80" s="88"/>
      <c r="BRC80" s="88"/>
      <c r="BRD80" s="88"/>
      <c r="BRE80" s="88"/>
      <c r="BRF80" s="88"/>
      <c r="BRG80" s="88"/>
      <c r="BRH80" s="88"/>
      <c r="BRI80" s="88"/>
      <c r="BRJ80" s="88"/>
      <c r="BRK80" s="88"/>
      <c r="BRL80" s="88"/>
      <c r="BRM80" s="88"/>
      <c r="BRN80" s="88"/>
      <c r="BRO80" s="88"/>
      <c r="BRP80" s="88"/>
      <c r="BRQ80" s="88"/>
      <c r="BRR80" s="88"/>
      <c r="BRS80" s="88"/>
      <c r="BRT80" s="88"/>
      <c r="BRU80" s="88"/>
      <c r="BRV80" s="88"/>
      <c r="BRW80" s="88"/>
      <c r="BRX80" s="88"/>
      <c r="BRY80" s="88"/>
      <c r="BRZ80" s="88"/>
      <c r="BSA80" s="88"/>
      <c r="BSB80" s="88"/>
      <c r="BSC80" s="88"/>
      <c r="BSD80" s="88"/>
      <c r="BSE80" s="88"/>
      <c r="BSF80" s="88"/>
      <c r="BSG80" s="88"/>
      <c r="BSH80" s="88"/>
      <c r="BSI80" s="88"/>
      <c r="BSJ80" s="88"/>
      <c r="BSK80" s="88"/>
      <c r="BSL80" s="88"/>
      <c r="BSM80" s="88"/>
      <c r="BSN80" s="88"/>
      <c r="BSO80" s="88"/>
      <c r="BSP80" s="88"/>
      <c r="BSQ80" s="88"/>
      <c r="BSR80" s="88"/>
      <c r="BSS80" s="88"/>
      <c r="BST80" s="88"/>
      <c r="BSU80" s="88"/>
      <c r="BSV80" s="88"/>
      <c r="BSW80" s="88"/>
      <c r="BSX80" s="88"/>
      <c r="BSY80" s="88"/>
      <c r="BSZ80" s="88"/>
      <c r="BTA80" s="88"/>
      <c r="BTB80" s="88"/>
      <c r="BTC80" s="88"/>
      <c r="BTD80" s="88"/>
      <c r="BTE80" s="88"/>
      <c r="BTF80" s="88"/>
      <c r="BTG80" s="88"/>
      <c r="BTH80" s="88"/>
      <c r="BTI80" s="88"/>
      <c r="BTJ80" s="88"/>
      <c r="BTK80" s="88"/>
      <c r="BTL80" s="88"/>
      <c r="BTM80" s="88"/>
      <c r="BTN80" s="88"/>
      <c r="BTO80" s="88"/>
      <c r="BTP80" s="88"/>
      <c r="BTQ80" s="88"/>
      <c r="BTR80" s="88"/>
      <c r="BTS80" s="88"/>
      <c r="BTT80" s="88"/>
      <c r="BTU80" s="88"/>
      <c r="BTV80" s="88"/>
      <c r="BTW80" s="88"/>
      <c r="BTX80" s="88"/>
      <c r="BTY80" s="88"/>
      <c r="BTZ80" s="88"/>
      <c r="BUA80" s="88"/>
      <c r="BUB80" s="88"/>
      <c r="BUC80" s="88"/>
      <c r="BUD80" s="88"/>
      <c r="BUE80" s="88"/>
      <c r="BUF80" s="88"/>
      <c r="BUG80" s="88"/>
      <c r="BUH80" s="88"/>
      <c r="BUI80" s="88"/>
      <c r="BUJ80" s="88"/>
      <c r="BUK80" s="88"/>
      <c r="BUL80" s="88"/>
      <c r="BUM80" s="88"/>
      <c r="BUN80" s="88"/>
      <c r="BUO80" s="88"/>
      <c r="BUP80" s="88"/>
      <c r="BUQ80" s="88"/>
      <c r="BUR80" s="88"/>
      <c r="BUS80" s="88"/>
      <c r="BUT80" s="88"/>
      <c r="BUU80" s="88"/>
      <c r="BUV80" s="88"/>
      <c r="BUW80" s="88"/>
      <c r="BUX80" s="88"/>
      <c r="BUY80" s="88"/>
      <c r="BUZ80" s="88"/>
      <c r="BVA80" s="88"/>
      <c r="BVB80" s="88"/>
      <c r="BVC80" s="88"/>
      <c r="BVD80" s="88"/>
      <c r="BVE80" s="88"/>
      <c r="BVF80" s="88"/>
      <c r="BVG80" s="88"/>
      <c r="BVH80" s="88"/>
      <c r="BVI80" s="88"/>
      <c r="BVJ80" s="88"/>
      <c r="BVK80" s="88"/>
      <c r="BVL80" s="88"/>
      <c r="BVM80" s="88"/>
      <c r="BVN80" s="88"/>
      <c r="BVO80" s="88"/>
      <c r="BVP80" s="88"/>
      <c r="BVQ80" s="88"/>
      <c r="BVR80" s="88"/>
      <c r="BVS80" s="88"/>
      <c r="BVT80" s="88"/>
      <c r="BVU80" s="88"/>
      <c r="BVV80" s="88"/>
      <c r="BVW80" s="88"/>
      <c r="BVX80" s="88"/>
      <c r="BVY80" s="88"/>
      <c r="BVZ80" s="88"/>
      <c r="BWA80" s="88"/>
      <c r="BWB80" s="88"/>
      <c r="BWC80" s="88"/>
      <c r="BWD80" s="88"/>
      <c r="BWE80" s="88"/>
      <c r="BWF80" s="88"/>
      <c r="BWG80" s="88"/>
      <c r="BWH80" s="88"/>
      <c r="BWI80" s="88"/>
      <c r="BWJ80" s="88"/>
      <c r="BWK80" s="88"/>
      <c r="BWL80" s="88"/>
      <c r="BWM80" s="88"/>
      <c r="BWN80" s="88"/>
      <c r="BWO80" s="88"/>
      <c r="BWP80" s="88"/>
      <c r="BWQ80" s="88"/>
      <c r="BWR80" s="88"/>
      <c r="BWS80" s="88"/>
      <c r="BWT80" s="88"/>
      <c r="BWU80" s="88"/>
      <c r="BWV80" s="88"/>
      <c r="BWW80" s="88"/>
      <c r="BWX80" s="88"/>
      <c r="BWY80" s="88"/>
      <c r="BWZ80" s="88"/>
      <c r="BXA80" s="88"/>
      <c r="BXB80" s="88"/>
      <c r="BXC80" s="88"/>
      <c r="BXD80" s="88"/>
      <c r="BXE80" s="88"/>
      <c r="BXF80" s="88"/>
      <c r="BXG80" s="88"/>
      <c r="BXH80" s="88"/>
      <c r="BXI80" s="88"/>
      <c r="BXJ80" s="88"/>
      <c r="BXK80" s="88"/>
      <c r="BXL80" s="88"/>
      <c r="BXM80" s="88"/>
      <c r="BXN80" s="88"/>
      <c r="BXO80" s="88"/>
      <c r="BXP80" s="88"/>
      <c r="BXQ80" s="88"/>
      <c r="BXR80" s="88"/>
      <c r="BXS80" s="88"/>
      <c r="BXT80" s="88"/>
      <c r="BXU80" s="88"/>
      <c r="BXV80" s="88"/>
      <c r="BXW80" s="88"/>
      <c r="BXX80" s="88"/>
      <c r="BXY80" s="88"/>
      <c r="BXZ80" s="88"/>
      <c r="BYA80" s="88"/>
      <c r="BYB80" s="88"/>
      <c r="BYC80" s="88"/>
      <c r="BYD80" s="88"/>
      <c r="BYE80" s="88"/>
      <c r="BYF80" s="88"/>
      <c r="BYG80" s="88"/>
      <c r="BYH80" s="88"/>
      <c r="BYI80" s="88"/>
      <c r="BYJ80" s="88"/>
      <c r="BYK80" s="88"/>
      <c r="BYL80" s="88"/>
      <c r="BYM80" s="88"/>
      <c r="BYN80" s="88"/>
      <c r="BYO80" s="88"/>
      <c r="BYP80" s="88"/>
      <c r="BYQ80" s="88"/>
      <c r="BYR80" s="88"/>
      <c r="BYS80" s="88"/>
      <c r="BYT80" s="88"/>
      <c r="BYU80" s="88"/>
      <c r="BYV80" s="88"/>
      <c r="BYW80" s="88"/>
      <c r="BYX80" s="88"/>
      <c r="BYY80" s="88"/>
      <c r="BYZ80" s="88"/>
      <c r="BZA80" s="88"/>
      <c r="BZB80" s="88"/>
      <c r="BZC80" s="88"/>
      <c r="BZD80" s="88"/>
      <c r="BZE80" s="88"/>
      <c r="BZF80" s="88"/>
      <c r="BZG80" s="88"/>
      <c r="BZH80" s="88"/>
      <c r="BZI80" s="88"/>
      <c r="BZJ80" s="88"/>
      <c r="BZK80" s="88"/>
      <c r="BZL80" s="88"/>
      <c r="BZM80" s="88"/>
      <c r="BZN80" s="88"/>
      <c r="BZO80" s="88"/>
      <c r="BZP80" s="88"/>
      <c r="BZQ80" s="88"/>
      <c r="BZR80" s="88"/>
      <c r="BZS80" s="88"/>
      <c r="BZT80" s="88"/>
      <c r="BZU80" s="88"/>
      <c r="BZV80" s="88"/>
      <c r="BZW80" s="88"/>
      <c r="BZX80" s="88"/>
      <c r="BZY80" s="88"/>
      <c r="BZZ80" s="88"/>
      <c r="CAA80" s="88"/>
      <c r="CAB80" s="88"/>
      <c r="CAC80" s="88"/>
      <c r="CAD80" s="88"/>
      <c r="CAE80" s="88"/>
      <c r="CAF80" s="88"/>
      <c r="CAG80" s="88"/>
      <c r="CAH80" s="88"/>
      <c r="CAI80" s="88"/>
      <c r="CAJ80" s="88"/>
      <c r="CAK80" s="88"/>
      <c r="CAL80" s="88"/>
      <c r="CAM80" s="88"/>
      <c r="CAN80" s="88"/>
      <c r="CAO80" s="88"/>
      <c r="CAP80" s="88"/>
      <c r="CAQ80" s="88"/>
      <c r="CAR80" s="88"/>
      <c r="CAS80" s="88"/>
      <c r="CAT80" s="88"/>
      <c r="CAU80" s="88"/>
      <c r="CAV80" s="88"/>
      <c r="CAW80" s="88"/>
      <c r="CAX80" s="88"/>
      <c r="CAY80" s="88"/>
      <c r="CAZ80" s="88"/>
      <c r="CBA80" s="88"/>
      <c r="CBB80" s="88"/>
      <c r="CBC80" s="88"/>
      <c r="CBD80" s="88"/>
      <c r="CBE80" s="88"/>
      <c r="CBF80" s="88"/>
      <c r="CBG80" s="88"/>
      <c r="CBH80" s="88"/>
      <c r="CBI80" s="88"/>
      <c r="CBJ80" s="88"/>
      <c r="CBK80" s="88"/>
      <c r="CBL80" s="88"/>
      <c r="CBM80" s="88"/>
      <c r="CBN80" s="88"/>
      <c r="CBO80" s="88"/>
      <c r="CBP80" s="88"/>
      <c r="CBQ80" s="88"/>
      <c r="CBR80" s="88"/>
      <c r="CBS80" s="88"/>
      <c r="CBT80" s="88"/>
      <c r="CBU80" s="88"/>
      <c r="CBV80" s="88"/>
      <c r="CBW80" s="88"/>
      <c r="CBX80" s="88"/>
      <c r="CBY80" s="88"/>
      <c r="CBZ80" s="88"/>
      <c r="CCA80" s="88"/>
      <c r="CCB80" s="88"/>
      <c r="CCC80" s="88"/>
      <c r="CCD80" s="88"/>
      <c r="CCE80" s="88"/>
      <c r="CCF80" s="88"/>
      <c r="CCG80" s="88"/>
      <c r="CCH80" s="88"/>
      <c r="CCI80" s="88"/>
      <c r="CCJ80" s="88"/>
      <c r="CCK80" s="88"/>
      <c r="CCL80" s="88"/>
      <c r="CCM80" s="88"/>
      <c r="CCN80" s="88"/>
      <c r="CCO80" s="88"/>
      <c r="CCP80" s="88"/>
      <c r="CCQ80" s="88"/>
      <c r="CCR80" s="88"/>
      <c r="CCS80" s="88"/>
      <c r="CCT80" s="88"/>
      <c r="CCU80" s="88"/>
      <c r="CCV80" s="88"/>
      <c r="CCW80" s="88"/>
      <c r="CCX80" s="88"/>
      <c r="CCY80" s="88"/>
      <c r="CCZ80" s="88"/>
      <c r="CDA80" s="88"/>
      <c r="CDB80" s="88"/>
      <c r="CDC80" s="88"/>
      <c r="CDD80" s="88"/>
      <c r="CDE80" s="88"/>
      <c r="CDF80" s="88"/>
      <c r="CDG80" s="88"/>
      <c r="CDH80" s="88"/>
      <c r="CDI80" s="88"/>
      <c r="CDJ80" s="88"/>
      <c r="CDK80" s="88"/>
      <c r="CDL80" s="88"/>
      <c r="CDM80" s="88"/>
      <c r="CDN80" s="88"/>
      <c r="CDO80" s="88"/>
      <c r="CDP80" s="88"/>
      <c r="CDQ80" s="88"/>
      <c r="CDR80" s="88"/>
      <c r="CDS80" s="88"/>
      <c r="CDT80" s="88"/>
      <c r="CDU80" s="88"/>
      <c r="CDV80" s="88"/>
      <c r="CDW80" s="88"/>
      <c r="CDX80" s="88"/>
      <c r="CDY80" s="88"/>
      <c r="CDZ80" s="88"/>
      <c r="CEA80" s="88"/>
      <c r="CEB80" s="88"/>
      <c r="CEC80" s="88"/>
      <c r="CED80" s="88"/>
      <c r="CEE80" s="88"/>
      <c r="CEF80" s="88"/>
      <c r="CEG80" s="88"/>
      <c r="CEH80" s="88"/>
      <c r="CEI80" s="88"/>
      <c r="CEJ80" s="88"/>
      <c r="CEK80" s="88"/>
    </row>
    <row r="81" spans="1:2169" s="63" customFormat="1">
      <c r="A81" s="73" t="s">
        <v>436</v>
      </c>
      <c r="B81" s="71" t="s">
        <v>505</v>
      </c>
      <c r="C81" s="68" t="str">
        <f>IF('page 2'!$O$4="","",IF('page 2'!$O$4=Gestion!A81,1,0))</f>
        <v/>
      </c>
      <c r="D81" s="68" t="str">
        <f>IF('page 2'!$O$5="","",IF('page 2'!$O$5=Gestion!A81,1,0))</f>
        <v/>
      </c>
      <c r="E81" s="68" t="str">
        <f>IF('page 2'!$O$6="","",IF('page 2'!$O$6=Gestion!A81,1,0))</f>
        <v/>
      </c>
      <c r="F81" s="68" t="str">
        <f>IF('page 2'!$O$7="","",IF('page 2'!$O$7=Gestion!A81,1,0))</f>
        <v/>
      </c>
      <c r="G81" s="68" t="str">
        <f>IF('page 2'!$O$8="","",IF('page 2'!$O$8=Gestion!A81,1,0))</f>
        <v/>
      </c>
      <c r="H81" s="68" t="str">
        <f>IF('page 2'!$O$9="","",IF('page 2'!$O$9=Gestion!A81,1,0))</f>
        <v/>
      </c>
      <c r="I81" s="68" t="str">
        <f>IF('page 2'!$O$10="","",IF('page 2'!$O$10=Gestion!A81,1,0))</f>
        <v/>
      </c>
      <c r="J81" s="68" t="str">
        <f>IF('page 2'!$O$11="","",IF('page 2'!$O$11=Gestion!A81,1,0))</f>
        <v/>
      </c>
      <c r="K81" s="68" t="str">
        <f>IF('page 2'!$O$12="","",IF('page 2'!$O$12=Gestion!A81,1,0))</f>
        <v/>
      </c>
      <c r="L81" s="68" t="str">
        <f>IF('page 2'!$O$13="","",IF('page 2'!$O$13=Gestion!A81,1,0))</f>
        <v/>
      </c>
      <c r="M81" s="68" t="str">
        <f>IF('page 2'!$O$14="","",IF('page 2'!$O$14=Gestion!A81,1,0))</f>
        <v/>
      </c>
      <c r="N81" s="68" t="str">
        <f>IF('page 2'!$O$15="","",IF('page 2'!$O$15=Gestion!A81,1,0))</f>
        <v/>
      </c>
      <c r="O81" s="68" t="str">
        <f>IF('page 2'!$O$16="","",IF('page 2'!$O$16=Gestion!A81,1,0))</f>
        <v/>
      </c>
      <c r="P81" s="68" t="str">
        <f>IF('page 2'!$O$17="","",IF('page 2'!$O$17=Gestion!A81,1,0))</f>
        <v/>
      </c>
      <c r="Q81" s="68" t="str">
        <f>IF('page 2'!$O$18="","",IF('page 2'!$O$18=Gestion!A81,1,0))</f>
        <v/>
      </c>
      <c r="R81" s="68" t="str">
        <f>IF('page 2'!$O$19="","",IF('page 2'!$O$19=Gestion!A81,1,0))</f>
        <v/>
      </c>
      <c r="S81" s="68" t="str">
        <f>IF('page 2'!$O$20="","",IF('page 2'!$O$20=Gestion!A81,1,0))</f>
        <v/>
      </c>
      <c r="T81" s="68" t="str">
        <f>IF('page 2'!$O$25="","",IF('page 2'!$O$25=Gestion!A81,1,0))</f>
        <v/>
      </c>
      <c r="U81" s="68" t="str">
        <f>IF('page 2'!$O$26="","",IF('page 2'!$O$26=Gestion!A81,1,0))</f>
        <v/>
      </c>
      <c r="V81" s="68" t="str">
        <f>IF('page 2'!$O$27="","",IF('page 2'!$O$27=Gestion!A81,1,0))</f>
        <v/>
      </c>
      <c r="W81" s="722">
        <f t="shared" si="14"/>
        <v>0</v>
      </c>
      <c r="X81" s="714"/>
      <c r="Y81" s="68"/>
      <c r="Z81" s="68"/>
      <c r="AA81" s="68"/>
      <c r="AB81" s="68"/>
      <c r="AC81" s="68"/>
      <c r="AD81" s="68"/>
      <c r="AP81" s="130"/>
      <c r="AQ81" s="130"/>
      <c r="AR81" s="130"/>
      <c r="AS81" s="576"/>
      <c r="AT81" s="576"/>
      <c r="AU81" s="576"/>
      <c r="AV81" s="576"/>
      <c r="AW81" s="602"/>
      <c r="AX81" s="602"/>
      <c r="AY81" s="576"/>
      <c r="AZ81" s="576"/>
      <c r="BA81" s="576"/>
      <c r="BB81" s="576"/>
      <c r="BC81" s="576"/>
      <c r="BD81" s="602"/>
      <c r="BE81" s="602"/>
      <c r="BF81" s="602"/>
      <c r="BG81" s="602"/>
      <c r="BH81" s="602"/>
      <c r="BI81" s="602"/>
      <c r="BJ81" s="602"/>
      <c r="BK81" s="602"/>
      <c r="BL81" s="602"/>
      <c r="BM81" s="602"/>
      <c r="BN81" s="602"/>
      <c r="BO81" s="602"/>
      <c r="BP81" s="602"/>
      <c r="BQ81" s="602"/>
      <c r="BR81" s="602"/>
      <c r="BS81" s="576"/>
      <c r="BT81" s="576"/>
      <c r="BU81" s="576"/>
      <c r="BV81" s="576"/>
      <c r="BW81" s="602"/>
      <c r="BX81" s="602"/>
      <c r="BY81" s="602"/>
      <c r="BZ81" s="576"/>
      <c r="CA81" s="602"/>
      <c r="CB81" s="602"/>
      <c r="CC81" s="576"/>
      <c r="CD81" s="576"/>
      <c r="CE81" s="602"/>
      <c r="CF81" s="576"/>
      <c r="CG81" s="576"/>
      <c r="CH81" s="576"/>
      <c r="CI81" s="576"/>
      <c r="CJ81" s="576"/>
      <c r="CK81" s="602"/>
      <c r="CL81" s="602"/>
      <c r="CM81" s="576"/>
      <c r="CN81" s="602"/>
      <c r="CO81" s="602"/>
      <c r="CP81" s="602"/>
      <c r="CQ81" s="576"/>
      <c r="CR81" s="576"/>
      <c r="CS81" s="602"/>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c r="IW81" s="88"/>
      <c r="IX81" s="88"/>
      <c r="IY81" s="88"/>
      <c r="IZ81" s="88"/>
      <c r="JA81" s="88"/>
      <c r="JB81" s="88"/>
      <c r="JC81" s="88"/>
      <c r="JD81" s="88"/>
      <c r="JE81" s="88"/>
      <c r="JF81" s="88"/>
      <c r="JG81" s="88"/>
      <c r="JH81" s="88"/>
      <c r="JI81" s="88"/>
      <c r="JJ81" s="88"/>
      <c r="JK81" s="88"/>
      <c r="JL81" s="88"/>
      <c r="JM81" s="88"/>
      <c r="JN81" s="88"/>
      <c r="JO81" s="88"/>
      <c r="JP81" s="88"/>
      <c r="JQ81" s="88"/>
      <c r="JR81" s="88"/>
      <c r="JS81" s="88"/>
      <c r="JT81" s="88"/>
      <c r="JU81" s="88"/>
      <c r="JV81" s="88"/>
      <c r="JW81" s="88"/>
      <c r="JX81" s="88"/>
      <c r="JY81" s="88"/>
      <c r="JZ81" s="88"/>
      <c r="KA81" s="88"/>
      <c r="KB81" s="88"/>
      <c r="KC81" s="88"/>
      <c r="KD81" s="88"/>
      <c r="KE81" s="88"/>
      <c r="KF81" s="88"/>
      <c r="KG81" s="88"/>
      <c r="KH81" s="88"/>
      <c r="KI81" s="88"/>
      <c r="KJ81" s="88"/>
      <c r="KK81" s="88"/>
      <c r="KL81" s="88"/>
      <c r="KM81" s="88"/>
      <c r="KN81" s="88"/>
      <c r="KO81" s="88"/>
      <c r="KP81" s="88"/>
      <c r="KQ81" s="88"/>
      <c r="KR81" s="88"/>
      <c r="KS81" s="88"/>
      <c r="KT81" s="88"/>
      <c r="KU81" s="88"/>
      <c r="KV81" s="88"/>
      <c r="KW81" s="88"/>
      <c r="KX81" s="88"/>
      <c r="KY81" s="88"/>
      <c r="KZ81" s="88"/>
      <c r="LA81" s="88"/>
      <c r="LB81" s="88"/>
      <c r="LC81" s="88"/>
      <c r="LD81" s="88"/>
      <c r="LE81" s="88"/>
      <c r="LF81" s="88"/>
      <c r="LG81" s="88"/>
      <c r="LH81" s="88"/>
      <c r="LI81" s="88"/>
      <c r="LJ81" s="88"/>
      <c r="LK81" s="88"/>
      <c r="LL81" s="88"/>
      <c r="LM81" s="88"/>
      <c r="LN81" s="88"/>
      <c r="LO81" s="88"/>
      <c r="LP81" s="88"/>
      <c r="LQ81" s="88"/>
      <c r="LR81" s="88"/>
      <c r="LS81" s="88"/>
      <c r="LT81" s="88"/>
      <c r="LU81" s="88"/>
      <c r="LV81" s="88"/>
      <c r="LW81" s="88"/>
      <c r="LX81" s="88"/>
      <c r="LY81" s="88"/>
      <c r="LZ81" s="88"/>
      <c r="MA81" s="88"/>
      <c r="MB81" s="88"/>
      <c r="MC81" s="88"/>
      <c r="MD81" s="88"/>
      <c r="ME81" s="88"/>
      <c r="MF81" s="88"/>
      <c r="MG81" s="88"/>
      <c r="MH81" s="88"/>
      <c r="MI81" s="88"/>
      <c r="MJ81" s="88"/>
      <c r="MK81" s="88"/>
      <c r="ML81" s="88"/>
      <c r="MM81" s="88"/>
      <c r="MN81" s="88"/>
      <c r="MO81" s="88"/>
      <c r="MP81" s="88"/>
      <c r="MQ81" s="88"/>
      <c r="MR81" s="88"/>
      <c r="MS81" s="88"/>
      <c r="MT81" s="88"/>
      <c r="MU81" s="88"/>
      <c r="MV81" s="88"/>
      <c r="MW81" s="88"/>
      <c r="MX81" s="88"/>
      <c r="MY81" s="88"/>
      <c r="MZ81" s="88"/>
      <c r="NA81" s="88"/>
      <c r="NB81" s="88"/>
      <c r="NC81" s="88"/>
      <c r="ND81" s="88"/>
      <c r="NE81" s="88"/>
      <c r="NF81" s="88"/>
      <c r="NG81" s="88"/>
      <c r="NH81" s="88"/>
      <c r="NI81" s="88"/>
      <c r="NJ81" s="88"/>
      <c r="NK81" s="88"/>
      <c r="NL81" s="88"/>
      <c r="NM81" s="88"/>
      <c r="NN81" s="88"/>
      <c r="NO81" s="88"/>
      <c r="NP81" s="88"/>
      <c r="NQ81" s="88"/>
      <c r="NR81" s="88"/>
      <c r="NS81" s="88"/>
      <c r="NT81" s="88"/>
      <c r="NU81" s="88"/>
      <c r="NV81" s="88"/>
      <c r="NW81" s="88"/>
      <c r="NX81" s="88"/>
      <c r="NY81" s="88"/>
      <c r="NZ81" s="88"/>
      <c r="OA81" s="88"/>
      <c r="OB81" s="88"/>
      <c r="OC81" s="88"/>
      <c r="OD81" s="88"/>
      <c r="OE81" s="88"/>
      <c r="OF81" s="88"/>
      <c r="OG81" s="88"/>
      <c r="OH81" s="88"/>
      <c r="OI81" s="88"/>
      <c r="OJ81" s="88"/>
      <c r="OK81" s="88"/>
      <c r="OL81" s="88"/>
      <c r="OM81" s="88"/>
      <c r="ON81" s="88"/>
      <c r="OO81" s="88"/>
      <c r="OP81" s="88"/>
      <c r="OQ81" s="88"/>
      <c r="OR81" s="88"/>
      <c r="OS81" s="88"/>
      <c r="OT81" s="88"/>
      <c r="OU81" s="88"/>
      <c r="OV81" s="88"/>
      <c r="OW81" s="88"/>
      <c r="OX81" s="88"/>
      <c r="OY81" s="88"/>
      <c r="OZ81" s="88"/>
      <c r="PA81" s="88"/>
      <c r="PB81" s="88"/>
      <c r="PC81" s="88"/>
      <c r="PD81" s="88"/>
      <c r="PE81" s="88"/>
      <c r="PF81" s="88"/>
      <c r="PG81" s="88"/>
      <c r="PH81" s="88"/>
      <c r="PI81" s="88"/>
      <c r="PJ81" s="88"/>
      <c r="PK81" s="88"/>
      <c r="PL81" s="88"/>
      <c r="PM81" s="88"/>
      <c r="PN81" s="88"/>
      <c r="PO81" s="88"/>
      <c r="PP81" s="88"/>
      <c r="PQ81" s="88"/>
      <c r="PR81" s="88"/>
      <c r="PS81" s="88"/>
      <c r="PT81" s="88"/>
      <c r="PU81" s="88"/>
      <c r="PV81" s="88"/>
      <c r="PW81" s="88"/>
      <c r="PX81" s="88"/>
      <c r="PY81" s="88"/>
      <c r="PZ81" s="88"/>
      <c r="QA81" s="88"/>
      <c r="QB81" s="88"/>
      <c r="QC81" s="88"/>
      <c r="QD81" s="88"/>
      <c r="QE81" s="88"/>
      <c r="QF81" s="88"/>
      <c r="QG81" s="88"/>
      <c r="QH81" s="88"/>
      <c r="QI81" s="88"/>
      <c r="QJ81" s="88"/>
      <c r="QK81" s="88"/>
      <c r="QL81" s="88"/>
      <c r="QM81" s="88"/>
      <c r="QN81" s="88"/>
      <c r="QO81" s="88"/>
      <c r="QP81" s="88"/>
      <c r="QQ81" s="88"/>
      <c r="QR81" s="88"/>
      <c r="QS81" s="88"/>
      <c r="QT81" s="88"/>
      <c r="QU81" s="88"/>
      <c r="QV81" s="88"/>
      <c r="QW81" s="88"/>
      <c r="QX81" s="88"/>
      <c r="QY81" s="88"/>
      <c r="QZ81" s="88"/>
      <c r="RA81" s="88"/>
      <c r="RB81" s="88"/>
      <c r="RC81" s="88"/>
      <c r="RD81" s="88"/>
      <c r="RE81" s="88"/>
      <c r="RF81" s="88"/>
      <c r="RG81" s="88"/>
      <c r="RH81" s="88"/>
      <c r="RI81" s="88"/>
      <c r="RJ81" s="88"/>
      <c r="RK81" s="88"/>
      <c r="RL81" s="88"/>
      <c r="RM81" s="88"/>
      <c r="RN81" s="88"/>
      <c r="RO81" s="88"/>
      <c r="RP81" s="88"/>
      <c r="RQ81" s="88"/>
      <c r="RR81" s="88"/>
      <c r="RS81" s="88"/>
      <c r="RT81" s="88"/>
      <c r="RU81" s="88"/>
      <c r="RV81" s="88"/>
      <c r="RW81" s="88"/>
      <c r="RX81" s="88"/>
      <c r="RY81" s="88"/>
      <c r="RZ81" s="88"/>
      <c r="SA81" s="88"/>
      <c r="SB81" s="88"/>
      <c r="SC81" s="88"/>
      <c r="SD81" s="88"/>
      <c r="SE81" s="88"/>
      <c r="SF81" s="88"/>
      <c r="SG81" s="88"/>
      <c r="SH81" s="88"/>
      <c r="SI81" s="88"/>
      <c r="SJ81" s="88"/>
      <c r="SK81" s="88"/>
      <c r="SL81" s="88"/>
      <c r="SM81" s="88"/>
      <c r="SN81" s="88"/>
      <c r="SO81" s="88"/>
      <c r="SP81" s="88"/>
      <c r="SQ81" s="88"/>
      <c r="SR81" s="88"/>
      <c r="SS81" s="88"/>
      <c r="ST81" s="88"/>
      <c r="SU81" s="88"/>
      <c r="SV81" s="88"/>
      <c r="SW81" s="88"/>
      <c r="SX81" s="88"/>
      <c r="SY81" s="88"/>
      <c r="SZ81" s="88"/>
      <c r="TA81" s="88"/>
      <c r="TB81" s="88"/>
      <c r="TC81" s="88"/>
      <c r="TD81" s="88"/>
      <c r="TE81" s="88"/>
      <c r="TF81" s="88"/>
      <c r="TG81" s="88"/>
      <c r="TH81" s="88"/>
      <c r="TI81" s="88"/>
      <c r="TJ81" s="88"/>
      <c r="TK81" s="88"/>
      <c r="TL81" s="88"/>
      <c r="TM81" s="88"/>
      <c r="TN81" s="88"/>
      <c r="TO81" s="88"/>
      <c r="TP81" s="88"/>
      <c r="TQ81" s="88"/>
      <c r="TR81" s="88"/>
      <c r="TS81" s="88"/>
      <c r="TT81" s="88"/>
      <c r="TU81" s="88"/>
      <c r="TV81" s="88"/>
      <c r="TW81" s="88"/>
      <c r="TX81" s="88"/>
      <c r="TY81" s="88"/>
      <c r="TZ81" s="88"/>
      <c r="UA81" s="88"/>
      <c r="UB81" s="88"/>
      <c r="UC81" s="88"/>
      <c r="UD81" s="88"/>
      <c r="UE81" s="88"/>
      <c r="UF81" s="88"/>
      <c r="UG81" s="88"/>
      <c r="UH81" s="88"/>
      <c r="UI81" s="88"/>
      <c r="UJ81" s="88"/>
      <c r="UK81" s="88"/>
      <c r="UL81" s="88"/>
      <c r="UM81" s="88"/>
      <c r="UN81" s="88"/>
      <c r="UO81" s="88"/>
      <c r="UP81" s="88"/>
      <c r="UQ81" s="88"/>
      <c r="UR81" s="88"/>
      <c r="US81" s="88"/>
      <c r="UT81" s="88"/>
      <c r="UU81" s="88"/>
      <c r="UV81" s="88"/>
      <c r="UW81" s="88"/>
      <c r="UX81" s="88"/>
      <c r="UY81" s="88"/>
      <c r="UZ81" s="88"/>
      <c r="VA81" s="88"/>
      <c r="VB81" s="88"/>
      <c r="VC81" s="88"/>
      <c r="VD81" s="88"/>
      <c r="VE81" s="88"/>
      <c r="VF81" s="88"/>
      <c r="VG81" s="88"/>
      <c r="VH81" s="88"/>
      <c r="VI81" s="88"/>
      <c r="VJ81" s="88"/>
      <c r="VK81" s="88"/>
      <c r="VL81" s="88"/>
      <c r="VM81" s="88"/>
      <c r="VN81" s="88"/>
      <c r="VO81" s="88"/>
      <c r="VP81" s="88"/>
      <c r="VQ81" s="88"/>
      <c r="VR81" s="88"/>
      <c r="VS81" s="88"/>
      <c r="VT81" s="88"/>
      <c r="VU81" s="88"/>
      <c r="VV81" s="88"/>
      <c r="VW81" s="88"/>
      <c r="VX81" s="88"/>
      <c r="VY81" s="88"/>
      <c r="VZ81" s="88"/>
      <c r="WA81" s="88"/>
      <c r="WB81" s="88"/>
      <c r="WC81" s="88"/>
      <c r="WD81" s="88"/>
      <c r="WE81" s="88"/>
      <c r="WF81" s="88"/>
      <c r="WG81" s="88"/>
      <c r="WH81" s="88"/>
      <c r="WI81" s="88"/>
      <c r="WJ81" s="88"/>
      <c r="WK81" s="88"/>
      <c r="WL81" s="88"/>
      <c r="WM81" s="88"/>
      <c r="WN81" s="88"/>
      <c r="WO81" s="88"/>
      <c r="WP81" s="88"/>
      <c r="WQ81" s="88"/>
      <c r="WR81" s="88"/>
      <c r="WS81" s="88"/>
      <c r="WT81" s="88"/>
      <c r="WU81" s="88"/>
      <c r="WV81" s="88"/>
      <c r="WW81" s="88"/>
      <c r="WX81" s="88"/>
      <c r="WY81" s="88"/>
      <c r="WZ81" s="88"/>
      <c r="XA81" s="88"/>
      <c r="XB81" s="88"/>
      <c r="XC81" s="88"/>
      <c r="XD81" s="88"/>
      <c r="XE81" s="88"/>
      <c r="XF81" s="88"/>
      <c r="XG81" s="88"/>
      <c r="XH81" s="88"/>
      <c r="XI81" s="88"/>
      <c r="XJ81" s="88"/>
      <c r="XK81" s="88"/>
      <c r="XL81" s="88"/>
      <c r="XM81" s="88"/>
      <c r="XN81" s="88"/>
      <c r="XO81" s="88"/>
      <c r="XP81" s="88"/>
      <c r="XQ81" s="88"/>
      <c r="XR81" s="88"/>
      <c r="XS81" s="88"/>
      <c r="XT81" s="88"/>
      <c r="XU81" s="88"/>
      <c r="XV81" s="88"/>
      <c r="XW81" s="88"/>
      <c r="XX81" s="88"/>
      <c r="XY81" s="88"/>
      <c r="XZ81" s="88"/>
      <c r="YA81" s="88"/>
      <c r="YB81" s="88"/>
      <c r="YC81" s="88"/>
      <c r="YD81" s="88"/>
      <c r="YE81" s="88"/>
      <c r="YF81" s="88"/>
      <c r="YG81" s="88"/>
      <c r="YH81" s="88"/>
      <c r="YI81" s="88"/>
      <c r="YJ81" s="88"/>
      <c r="YK81" s="88"/>
      <c r="YL81" s="88"/>
      <c r="YM81" s="88"/>
      <c r="YN81" s="88"/>
      <c r="YO81" s="88"/>
      <c r="YP81" s="88"/>
      <c r="YQ81" s="88"/>
      <c r="YR81" s="88"/>
      <c r="YS81" s="88"/>
      <c r="YT81" s="88"/>
      <c r="YU81" s="88"/>
      <c r="YV81" s="88"/>
      <c r="YW81" s="88"/>
      <c r="YX81" s="88"/>
      <c r="YY81" s="88"/>
      <c r="YZ81" s="88"/>
      <c r="ZA81" s="88"/>
      <c r="ZB81" s="88"/>
      <c r="ZC81" s="88"/>
      <c r="ZD81" s="88"/>
      <c r="ZE81" s="88"/>
      <c r="ZF81" s="88"/>
      <c r="ZG81" s="88"/>
      <c r="ZH81" s="88"/>
      <c r="ZI81" s="88"/>
      <c r="ZJ81" s="88"/>
      <c r="ZK81" s="88"/>
      <c r="ZL81" s="88"/>
      <c r="ZM81" s="88"/>
      <c r="ZN81" s="88"/>
      <c r="ZO81" s="88"/>
      <c r="ZP81" s="88"/>
      <c r="ZQ81" s="88"/>
      <c r="ZR81" s="88"/>
      <c r="ZS81" s="88"/>
      <c r="ZT81" s="88"/>
      <c r="ZU81" s="88"/>
      <c r="ZV81" s="88"/>
      <c r="ZW81" s="88"/>
      <c r="ZX81" s="88"/>
      <c r="ZY81" s="88"/>
      <c r="ZZ81" s="88"/>
      <c r="AAA81" s="88"/>
      <c r="AAB81" s="88"/>
      <c r="AAC81" s="88"/>
      <c r="AAD81" s="88"/>
      <c r="AAE81" s="88"/>
      <c r="AAF81" s="88"/>
      <c r="AAG81" s="88"/>
      <c r="AAH81" s="88"/>
      <c r="AAI81" s="88"/>
      <c r="AAJ81" s="88"/>
      <c r="AAK81" s="88"/>
      <c r="AAL81" s="88"/>
      <c r="AAM81" s="88"/>
      <c r="AAN81" s="88"/>
      <c r="AAO81" s="88"/>
      <c r="AAP81" s="88"/>
      <c r="AAQ81" s="88"/>
      <c r="AAR81" s="88"/>
      <c r="AAS81" s="88"/>
      <c r="AAT81" s="88"/>
      <c r="AAU81" s="88"/>
      <c r="AAV81" s="88"/>
      <c r="AAW81" s="88"/>
      <c r="AAX81" s="88"/>
      <c r="AAY81" s="88"/>
      <c r="AAZ81" s="88"/>
      <c r="ABA81" s="88"/>
      <c r="ABB81" s="88"/>
      <c r="ABC81" s="88"/>
      <c r="ABD81" s="88"/>
      <c r="ABE81" s="88"/>
      <c r="ABF81" s="88"/>
      <c r="ABG81" s="88"/>
      <c r="ABH81" s="88"/>
      <c r="ABI81" s="88"/>
      <c r="ABJ81" s="88"/>
      <c r="ABK81" s="88"/>
      <c r="ABL81" s="88"/>
      <c r="ABM81" s="88"/>
      <c r="ABN81" s="88"/>
      <c r="ABO81" s="88"/>
      <c r="ABP81" s="88"/>
      <c r="ABQ81" s="88"/>
      <c r="ABR81" s="88"/>
      <c r="ABS81" s="88"/>
      <c r="ABT81" s="88"/>
      <c r="ABU81" s="88"/>
      <c r="ABV81" s="88"/>
      <c r="ABW81" s="88"/>
      <c r="ABX81" s="88"/>
      <c r="ABY81" s="88"/>
      <c r="ABZ81" s="88"/>
      <c r="ACA81" s="88"/>
      <c r="ACB81" s="88"/>
      <c r="ACC81" s="88"/>
      <c r="ACD81" s="88"/>
      <c r="ACE81" s="88"/>
      <c r="ACF81" s="88"/>
      <c r="ACG81" s="88"/>
      <c r="ACH81" s="88"/>
      <c r="ACI81" s="88"/>
      <c r="ACJ81" s="88"/>
      <c r="ACK81" s="88"/>
      <c r="ACL81" s="88"/>
      <c r="ACM81" s="88"/>
      <c r="ACN81" s="88"/>
      <c r="ACO81" s="88"/>
      <c r="ACP81" s="88"/>
      <c r="ACQ81" s="88"/>
      <c r="ACR81" s="88"/>
      <c r="ACS81" s="88"/>
      <c r="ACT81" s="88"/>
      <c r="ACU81" s="88"/>
      <c r="ACV81" s="88"/>
      <c r="ACW81" s="88"/>
      <c r="ACX81" s="88"/>
      <c r="ACY81" s="88"/>
      <c r="ACZ81" s="88"/>
      <c r="ADA81" s="88"/>
      <c r="ADB81" s="88"/>
      <c r="ADC81" s="88"/>
      <c r="ADD81" s="88"/>
      <c r="ADE81" s="88"/>
      <c r="ADF81" s="88"/>
      <c r="ADG81" s="88"/>
      <c r="ADH81" s="88"/>
      <c r="ADI81" s="88"/>
      <c r="ADJ81" s="88"/>
      <c r="ADK81" s="88"/>
      <c r="ADL81" s="88"/>
      <c r="ADM81" s="88"/>
      <c r="ADN81" s="88"/>
      <c r="ADO81" s="88"/>
      <c r="ADP81" s="88"/>
      <c r="ADQ81" s="88"/>
      <c r="ADR81" s="88"/>
      <c r="ADS81" s="88"/>
      <c r="ADT81" s="88"/>
      <c r="ADU81" s="88"/>
      <c r="ADV81" s="88"/>
      <c r="ADW81" s="88"/>
      <c r="ADX81" s="88"/>
      <c r="ADY81" s="88"/>
      <c r="ADZ81" s="88"/>
      <c r="AEA81" s="88"/>
      <c r="AEB81" s="88"/>
      <c r="AEC81" s="88"/>
      <c r="AED81" s="88"/>
      <c r="AEE81" s="88"/>
      <c r="AEF81" s="88"/>
      <c r="AEG81" s="88"/>
      <c r="AEH81" s="88"/>
      <c r="AEI81" s="88"/>
      <c r="AEJ81" s="88"/>
      <c r="AEK81" s="88"/>
      <c r="AEL81" s="88"/>
      <c r="AEM81" s="88"/>
      <c r="AEN81" s="88"/>
      <c r="AEO81" s="88"/>
      <c r="AEP81" s="88"/>
      <c r="AEQ81" s="88"/>
      <c r="AER81" s="88"/>
      <c r="AES81" s="88"/>
      <c r="AET81" s="88"/>
      <c r="AEU81" s="88"/>
      <c r="AEV81" s="88"/>
      <c r="AEW81" s="88"/>
      <c r="AEX81" s="88"/>
      <c r="AEY81" s="88"/>
      <c r="AEZ81" s="88"/>
      <c r="AFA81" s="88"/>
      <c r="AFB81" s="88"/>
      <c r="AFC81" s="88"/>
      <c r="AFD81" s="88"/>
      <c r="AFE81" s="88"/>
      <c r="AFF81" s="88"/>
      <c r="AFG81" s="88"/>
      <c r="AFH81" s="88"/>
      <c r="AFI81" s="88"/>
      <c r="AFJ81" s="88"/>
      <c r="AFK81" s="88"/>
      <c r="AFL81" s="88"/>
      <c r="AFM81" s="88"/>
      <c r="AFN81" s="88"/>
      <c r="AFO81" s="88"/>
      <c r="AFP81" s="88"/>
      <c r="AFQ81" s="88"/>
      <c r="AFR81" s="88"/>
      <c r="AFS81" s="88"/>
      <c r="AFT81" s="88"/>
      <c r="AFU81" s="88"/>
      <c r="AFV81" s="88"/>
      <c r="AFW81" s="88"/>
      <c r="AFX81" s="88"/>
      <c r="AFY81" s="88"/>
      <c r="AFZ81" s="88"/>
      <c r="AGA81" s="88"/>
      <c r="AGB81" s="88"/>
      <c r="AGC81" s="88"/>
      <c r="AGD81" s="88"/>
      <c r="AGE81" s="88"/>
      <c r="AGF81" s="88"/>
      <c r="AGG81" s="88"/>
      <c r="AGH81" s="88"/>
      <c r="AGI81" s="88"/>
      <c r="AGJ81" s="88"/>
      <c r="AGK81" s="88"/>
      <c r="AGL81" s="88"/>
      <c r="AGM81" s="88"/>
      <c r="AGN81" s="88"/>
      <c r="AGO81" s="88"/>
      <c r="AGP81" s="88"/>
      <c r="AGQ81" s="88"/>
      <c r="AGR81" s="88"/>
      <c r="AGS81" s="88"/>
      <c r="AGT81" s="88"/>
      <c r="AGU81" s="88"/>
      <c r="AGV81" s="88"/>
      <c r="AGW81" s="88"/>
      <c r="AGX81" s="88"/>
      <c r="AGY81" s="88"/>
      <c r="AGZ81" s="88"/>
      <c r="AHA81" s="88"/>
      <c r="AHB81" s="88"/>
      <c r="AHC81" s="88"/>
      <c r="AHD81" s="88"/>
      <c r="AHE81" s="88"/>
      <c r="AHF81" s="88"/>
      <c r="AHG81" s="88"/>
      <c r="AHH81" s="88"/>
      <c r="AHI81" s="88"/>
      <c r="AHJ81" s="88"/>
      <c r="AHK81" s="88"/>
      <c r="AHL81" s="88"/>
      <c r="AHM81" s="88"/>
      <c r="AHN81" s="88"/>
      <c r="AHO81" s="88"/>
      <c r="AHP81" s="88"/>
      <c r="AHQ81" s="88"/>
      <c r="AHR81" s="88"/>
      <c r="AHS81" s="88"/>
      <c r="AHT81" s="88"/>
      <c r="AHU81" s="88"/>
      <c r="AHV81" s="88"/>
      <c r="AHW81" s="88"/>
      <c r="AHX81" s="88"/>
      <c r="AHY81" s="88"/>
      <c r="AHZ81" s="88"/>
      <c r="AIA81" s="88"/>
      <c r="AIB81" s="88"/>
      <c r="AIC81" s="88"/>
      <c r="AID81" s="88"/>
      <c r="AIE81" s="88"/>
      <c r="AIF81" s="88"/>
      <c r="AIG81" s="88"/>
      <c r="AIH81" s="88"/>
      <c r="AII81" s="88"/>
      <c r="AIJ81" s="88"/>
      <c r="AIK81" s="88"/>
      <c r="AIL81" s="88"/>
      <c r="AIM81" s="88"/>
      <c r="AIN81" s="88"/>
      <c r="AIO81" s="88"/>
      <c r="AIP81" s="88"/>
      <c r="AIQ81" s="88"/>
      <c r="AIR81" s="88"/>
      <c r="AIS81" s="88"/>
      <c r="AIT81" s="88"/>
      <c r="AIU81" s="88"/>
      <c r="AIV81" s="88"/>
      <c r="AIW81" s="88"/>
      <c r="AIX81" s="88"/>
      <c r="AIY81" s="88"/>
      <c r="AIZ81" s="88"/>
      <c r="AJA81" s="88"/>
      <c r="AJB81" s="88"/>
      <c r="AJC81" s="88"/>
      <c r="AJD81" s="88"/>
      <c r="AJE81" s="88"/>
      <c r="AJF81" s="88"/>
      <c r="AJG81" s="88"/>
      <c r="AJH81" s="88"/>
      <c r="AJI81" s="88"/>
      <c r="AJJ81" s="88"/>
      <c r="AJK81" s="88"/>
      <c r="AJL81" s="88"/>
      <c r="AJM81" s="88"/>
      <c r="AJN81" s="88"/>
      <c r="AJO81" s="88"/>
      <c r="AJP81" s="88"/>
      <c r="AJQ81" s="88"/>
      <c r="AJR81" s="88"/>
      <c r="AJS81" s="88"/>
      <c r="AJT81" s="88"/>
      <c r="AJU81" s="88"/>
      <c r="AJV81" s="88"/>
      <c r="AJW81" s="88"/>
      <c r="AJX81" s="88"/>
      <c r="AJY81" s="88"/>
      <c r="AJZ81" s="88"/>
      <c r="AKA81" s="88"/>
      <c r="AKB81" s="88"/>
      <c r="AKC81" s="88"/>
      <c r="AKD81" s="88"/>
      <c r="AKE81" s="88"/>
      <c r="AKF81" s="88"/>
      <c r="AKG81" s="88"/>
      <c r="AKH81" s="88"/>
      <c r="AKI81" s="88"/>
      <c r="AKJ81" s="88"/>
      <c r="AKK81" s="88"/>
      <c r="AKL81" s="88"/>
      <c r="AKM81" s="88"/>
      <c r="AKN81" s="88"/>
      <c r="AKO81" s="88"/>
      <c r="AKP81" s="88"/>
      <c r="AKQ81" s="88"/>
      <c r="AKR81" s="88"/>
      <c r="AKS81" s="88"/>
      <c r="AKT81" s="88"/>
      <c r="AKU81" s="88"/>
      <c r="AKV81" s="88"/>
      <c r="AKW81" s="88"/>
      <c r="AKX81" s="88"/>
      <c r="AKY81" s="88"/>
      <c r="AKZ81" s="88"/>
      <c r="ALA81" s="88"/>
      <c r="ALB81" s="88"/>
      <c r="ALC81" s="88"/>
      <c r="ALD81" s="88"/>
      <c r="ALE81" s="88"/>
      <c r="ALF81" s="88"/>
      <c r="ALG81" s="88"/>
      <c r="ALH81" s="88"/>
      <c r="ALI81" s="88"/>
      <c r="ALJ81" s="88"/>
      <c r="ALK81" s="88"/>
      <c r="ALL81" s="88"/>
      <c r="ALM81" s="88"/>
      <c r="ALN81" s="88"/>
      <c r="ALO81" s="88"/>
      <c r="ALP81" s="88"/>
      <c r="ALQ81" s="88"/>
      <c r="ALR81" s="88"/>
      <c r="ALS81" s="88"/>
      <c r="ALT81" s="88"/>
      <c r="ALU81" s="88"/>
      <c r="ALV81" s="88"/>
      <c r="ALW81" s="88"/>
      <c r="ALX81" s="88"/>
      <c r="ALY81" s="88"/>
      <c r="ALZ81" s="88"/>
      <c r="AMA81" s="88"/>
      <c r="AMB81" s="88"/>
      <c r="AMC81" s="88"/>
      <c r="AMD81" s="88"/>
      <c r="AME81" s="88"/>
      <c r="AMF81" s="88"/>
      <c r="AMG81" s="88"/>
      <c r="AMH81" s="88"/>
      <c r="AMI81" s="88"/>
      <c r="AMJ81" s="88"/>
      <c r="AMK81" s="88"/>
      <c r="AML81" s="88"/>
      <c r="AMM81" s="88"/>
      <c r="AMN81" s="88"/>
      <c r="AMO81" s="88"/>
      <c r="AMP81" s="88"/>
      <c r="AMQ81" s="88"/>
      <c r="AMR81" s="88"/>
      <c r="AMS81" s="88"/>
      <c r="AMT81" s="88"/>
      <c r="AMU81" s="88"/>
      <c r="AMV81" s="88"/>
      <c r="AMW81" s="88"/>
      <c r="AMX81" s="88"/>
      <c r="AMY81" s="88"/>
      <c r="AMZ81" s="88"/>
      <c r="ANA81" s="88"/>
      <c r="ANB81" s="88"/>
      <c r="ANC81" s="88"/>
      <c r="AND81" s="88"/>
      <c r="ANE81" s="88"/>
      <c r="ANF81" s="88"/>
      <c r="ANG81" s="88"/>
      <c r="ANH81" s="88"/>
      <c r="ANI81" s="88"/>
      <c r="ANJ81" s="88"/>
      <c r="ANK81" s="88"/>
      <c r="ANL81" s="88"/>
      <c r="ANM81" s="88"/>
      <c r="ANN81" s="88"/>
      <c r="ANO81" s="88"/>
      <c r="ANP81" s="88"/>
      <c r="ANQ81" s="88"/>
      <c r="ANR81" s="88"/>
      <c r="ANS81" s="88"/>
      <c r="ANT81" s="88"/>
      <c r="ANU81" s="88"/>
      <c r="ANV81" s="88"/>
      <c r="ANW81" s="88"/>
      <c r="ANX81" s="88"/>
      <c r="ANY81" s="88"/>
      <c r="ANZ81" s="88"/>
      <c r="AOA81" s="88"/>
      <c r="AOB81" s="88"/>
      <c r="AOC81" s="88"/>
      <c r="AOD81" s="88"/>
      <c r="AOE81" s="88"/>
      <c r="AOF81" s="88"/>
      <c r="AOG81" s="88"/>
      <c r="AOH81" s="88"/>
      <c r="AOI81" s="88"/>
      <c r="AOJ81" s="88"/>
      <c r="AOK81" s="88"/>
      <c r="AOL81" s="88"/>
      <c r="AOM81" s="88"/>
      <c r="AON81" s="88"/>
      <c r="AOO81" s="88"/>
      <c r="AOP81" s="88"/>
      <c r="AOQ81" s="88"/>
      <c r="AOR81" s="88"/>
      <c r="AOS81" s="88"/>
      <c r="AOT81" s="88"/>
      <c r="AOU81" s="88"/>
      <c r="AOV81" s="88"/>
      <c r="AOW81" s="88"/>
      <c r="AOX81" s="88"/>
      <c r="AOY81" s="88"/>
      <c r="AOZ81" s="88"/>
      <c r="APA81" s="88"/>
      <c r="APB81" s="88"/>
      <c r="APC81" s="88"/>
      <c r="APD81" s="88"/>
      <c r="APE81" s="88"/>
      <c r="APF81" s="88"/>
      <c r="APG81" s="88"/>
      <c r="APH81" s="88"/>
      <c r="API81" s="88"/>
      <c r="APJ81" s="88"/>
      <c r="APK81" s="88"/>
      <c r="APL81" s="88"/>
      <c r="APM81" s="88"/>
      <c r="APN81" s="88"/>
      <c r="APO81" s="88"/>
      <c r="APP81" s="88"/>
      <c r="APQ81" s="88"/>
      <c r="APR81" s="88"/>
      <c r="APS81" s="88"/>
      <c r="APT81" s="88"/>
      <c r="APU81" s="88"/>
      <c r="APV81" s="88"/>
      <c r="APW81" s="88"/>
      <c r="APX81" s="88"/>
      <c r="APY81" s="88"/>
      <c r="APZ81" s="88"/>
      <c r="AQA81" s="88"/>
      <c r="AQB81" s="88"/>
      <c r="AQC81" s="88"/>
      <c r="AQD81" s="88"/>
      <c r="AQE81" s="88"/>
      <c r="AQF81" s="88"/>
      <c r="AQG81" s="88"/>
      <c r="AQH81" s="88"/>
      <c r="AQI81" s="88"/>
      <c r="AQJ81" s="88"/>
      <c r="AQK81" s="88"/>
      <c r="AQL81" s="88"/>
      <c r="AQM81" s="88"/>
      <c r="AQN81" s="88"/>
      <c r="AQO81" s="88"/>
      <c r="AQP81" s="88"/>
      <c r="AQQ81" s="88"/>
      <c r="AQR81" s="88"/>
      <c r="AQS81" s="88"/>
      <c r="AQT81" s="88"/>
      <c r="AQU81" s="88"/>
      <c r="AQV81" s="88"/>
      <c r="AQW81" s="88"/>
      <c r="AQX81" s="88"/>
      <c r="AQY81" s="88"/>
      <c r="AQZ81" s="88"/>
      <c r="ARA81" s="88"/>
      <c r="ARB81" s="88"/>
      <c r="ARC81" s="88"/>
      <c r="ARD81" s="88"/>
      <c r="ARE81" s="88"/>
      <c r="ARF81" s="88"/>
      <c r="ARG81" s="88"/>
      <c r="ARH81" s="88"/>
      <c r="ARI81" s="88"/>
      <c r="ARJ81" s="88"/>
      <c r="ARK81" s="88"/>
      <c r="ARL81" s="88"/>
      <c r="ARM81" s="88"/>
      <c r="ARN81" s="88"/>
      <c r="ARO81" s="88"/>
      <c r="ARP81" s="88"/>
      <c r="ARQ81" s="88"/>
      <c r="ARR81" s="88"/>
      <c r="ARS81" s="88"/>
      <c r="ART81" s="88"/>
      <c r="ARU81" s="88"/>
      <c r="ARV81" s="88"/>
      <c r="ARW81" s="88"/>
      <c r="ARX81" s="88"/>
      <c r="ARY81" s="88"/>
      <c r="ARZ81" s="88"/>
      <c r="ASA81" s="88"/>
      <c r="ASB81" s="88"/>
      <c r="ASC81" s="88"/>
      <c r="ASD81" s="88"/>
      <c r="ASE81" s="88"/>
      <c r="ASF81" s="88"/>
      <c r="ASG81" s="88"/>
      <c r="ASH81" s="88"/>
      <c r="ASI81" s="88"/>
      <c r="ASJ81" s="88"/>
      <c r="ASK81" s="88"/>
      <c r="ASL81" s="88"/>
      <c r="ASM81" s="88"/>
      <c r="ASN81" s="88"/>
      <c r="ASO81" s="88"/>
      <c r="ASP81" s="88"/>
      <c r="ASQ81" s="88"/>
      <c r="ASR81" s="88"/>
      <c r="ASS81" s="88"/>
      <c r="AST81" s="88"/>
      <c r="ASU81" s="88"/>
      <c r="ASV81" s="88"/>
      <c r="ASW81" s="88"/>
      <c r="ASX81" s="88"/>
      <c r="ASY81" s="88"/>
      <c r="ASZ81" s="88"/>
      <c r="ATA81" s="88"/>
      <c r="ATB81" s="88"/>
      <c r="ATC81" s="88"/>
      <c r="ATD81" s="88"/>
      <c r="ATE81" s="88"/>
      <c r="ATF81" s="88"/>
      <c r="ATG81" s="88"/>
      <c r="ATH81" s="88"/>
      <c r="ATI81" s="88"/>
      <c r="ATJ81" s="88"/>
      <c r="ATK81" s="88"/>
      <c r="ATL81" s="88"/>
      <c r="ATM81" s="88"/>
      <c r="ATN81" s="88"/>
      <c r="ATO81" s="88"/>
      <c r="ATP81" s="88"/>
      <c r="ATQ81" s="88"/>
      <c r="ATR81" s="88"/>
      <c r="ATS81" s="88"/>
      <c r="ATT81" s="88"/>
      <c r="ATU81" s="88"/>
      <c r="ATV81" s="88"/>
      <c r="ATW81" s="88"/>
      <c r="ATX81" s="88"/>
      <c r="ATY81" s="88"/>
      <c r="ATZ81" s="88"/>
      <c r="AUA81" s="88"/>
      <c r="AUB81" s="88"/>
      <c r="AUC81" s="88"/>
      <c r="AUD81" s="88"/>
      <c r="AUE81" s="88"/>
      <c r="AUF81" s="88"/>
      <c r="AUG81" s="88"/>
      <c r="AUH81" s="88"/>
      <c r="AUI81" s="88"/>
      <c r="AUJ81" s="88"/>
      <c r="AUK81" s="88"/>
      <c r="AUL81" s="88"/>
      <c r="AUM81" s="88"/>
      <c r="AUN81" s="88"/>
      <c r="AUO81" s="88"/>
      <c r="AUP81" s="88"/>
      <c r="AUQ81" s="88"/>
      <c r="AUR81" s="88"/>
      <c r="AUS81" s="88"/>
      <c r="AUT81" s="88"/>
      <c r="AUU81" s="88"/>
      <c r="AUV81" s="88"/>
      <c r="AUW81" s="88"/>
      <c r="AUX81" s="88"/>
      <c r="AUY81" s="88"/>
      <c r="AUZ81" s="88"/>
      <c r="AVA81" s="88"/>
      <c r="AVB81" s="88"/>
      <c r="AVC81" s="88"/>
      <c r="AVD81" s="88"/>
      <c r="AVE81" s="88"/>
      <c r="AVF81" s="88"/>
      <c r="AVG81" s="88"/>
      <c r="AVH81" s="88"/>
      <c r="AVI81" s="88"/>
      <c r="AVJ81" s="88"/>
      <c r="AVK81" s="88"/>
      <c r="AVL81" s="88"/>
      <c r="AVM81" s="88"/>
      <c r="AVN81" s="88"/>
      <c r="AVO81" s="88"/>
      <c r="AVP81" s="88"/>
      <c r="AVQ81" s="88"/>
      <c r="AVR81" s="88"/>
      <c r="AVS81" s="88"/>
      <c r="AVT81" s="88"/>
      <c r="AVU81" s="88"/>
      <c r="AVV81" s="88"/>
      <c r="AVW81" s="88"/>
      <c r="AVX81" s="88"/>
      <c r="AVY81" s="88"/>
      <c r="AVZ81" s="88"/>
      <c r="AWA81" s="88"/>
      <c r="AWB81" s="88"/>
      <c r="AWC81" s="88"/>
      <c r="AWD81" s="88"/>
      <c r="AWE81" s="88"/>
      <c r="AWF81" s="88"/>
      <c r="AWG81" s="88"/>
      <c r="AWH81" s="88"/>
      <c r="AWI81" s="88"/>
      <c r="AWJ81" s="88"/>
      <c r="AWK81" s="88"/>
      <c r="AWL81" s="88"/>
      <c r="AWM81" s="88"/>
      <c r="AWN81" s="88"/>
      <c r="AWO81" s="88"/>
      <c r="AWP81" s="88"/>
      <c r="AWQ81" s="88"/>
      <c r="AWR81" s="88"/>
      <c r="AWS81" s="88"/>
      <c r="AWT81" s="88"/>
      <c r="AWU81" s="88"/>
      <c r="AWV81" s="88"/>
      <c r="AWW81" s="88"/>
      <c r="AWX81" s="88"/>
      <c r="AWY81" s="88"/>
      <c r="AWZ81" s="88"/>
      <c r="AXA81" s="88"/>
      <c r="AXB81" s="88"/>
      <c r="AXC81" s="88"/>
      <c r="AXD81" s="88"/>
      <c r="AXE81" s="88"/>
      <c r="AXF81" s="88"/>
      <c r="AXG81" s="88"/>
      <c r="AXH81" s="88"/>
      <c r="AXI81" s="88"/>
      <c r="AXJ81" s="88"/>
      <c r="AXK81" s="88"/>
      <c r="AXL81" s="88"/>
      <c r="AXM81" s="88"/>
      <c r="AXN81" s="88"/>
      <c r="AXO81" s="88"/>
      <c r="AXP81" s="88"/>
      <c r="AXQ81" s="88"/>
      <c r="AXR81" s="88"/>
      <c r="AXS81" s="88"/>
      <c r="AXT81" s="88"/>
      <c r="AXU81" s="88"/>
      <c r="AXV81" s="88"/>
      <c r="AXW81" s="88"/>
      <c r="AXX81" s="88"/>
      <c r="AXY81" s="88"/>
      <c r="AXZ81" s="88"/>
      <c r="AYA81" s="88"/>
      <c r="AYB81" s="88"/>
      <c r="AYC81" s="88"/>
      <c r="AYD81" s="88"/>
      <c r="AYE81" s="88"/>
      <c r="AYF81" s="88"/>
      <c r="AYG81" s="88"/>
      <c r="AYH81" s="88"/>
      <c r="AYI81" s="88"/>
      <c r="AYJ81" s="88"/>
      <c r="AYK81" s="88"/>
      <c r="AYL81" s="88"/>
      <c r="AYM81" s="88"/>
      <c r="AYN81" s="88"/>
      <c r="AYO81" s="88"/>
      <c r="AYP81" s="88"/>
      <c r="AYQ81" s="88"/>
      <c r="AYR81" s="88"/>
      <c r="AYS81" s="88"/>
      <c r="AYT81" s="88"/>
      <c r="AYU81" s="88"/>
      <c r="AYV81" s="88"/>
      <c r="AYW81" s="88"/>
      <c r="AYX81" s="88"/>
      <c r="AYY81" s="88"/>
      <c r="AYZ81" s="88"/>
      <c r="AZA81" s="88"/>
      <c r="AZB81" s="88"/>
      <c r="AZC81" s="88"/>
      <c r="AZD81" s="88"/>
      <c r="AZE81" s="88"/>
      <c r="AZF81" s="88"/>
      <c r="AZG81" s="88"/>
      <c r="AZH81" s="88"/>
      <c r="AZI81" s="88"/>
      <c r="AZJ81" s="88"/>
      <c r="AZK81" s="88"/>
      <c r="AZL81" s="88"/>
      <c r="AZM81" s="88"/>
      <c r="AZN81" s="88"/>
      <c r="AZO81" s="88"/>
      <c r="AZP81" s="88"/>
      <c r="AZQ81" s="88"/>
      <c r="AZR81" s="88"/>
      <c r="AZS81" s="88"/>
      <c r="AZT81" s="88"/>
      <c r="AZU81" s="88"/>
      <c r="AZV81" s="88"/>
      <c r="AZW81" s="88"/>
      <c r="AZX81" s="88"/>
      <c r="AZY81" s="88"/>
      <c r="AZZ81" s="88"/>
      <c r="BAA81" s="88"/>
      <c r="BAB81" s="88"/>
      <c r="BAC81" s="88"/>
      <c r="BAD81" s="88"/>
      <c r="BAE81" s="88"/>
      <c r="BAF81" s="88"/>
      <c r="BAG81" s="88"/>
      <c r="BAH81" s="88"/>
      <c r="BAI81" s="88"/>
      <c r="BAJ81" s="88"/>
      <c r="BAK81" s="88"/>
      <c r="BAL81" s="88"/>
      <c r="BAM81" s="88"/>
      <c r="BAN81" s="88"/>
      <c r="BAO81" s="88"/>
      <c r="BAP81" s="88"/>
      <c r="BAQ81" s="88"/>
      <c r="BAR81" s="88"/>
      <c r="BAS81" s="88"/>
      <c r="BAT81" s="88"/>
      <c r="BAU81" s="88"/>
      <c r="BAV81" s="88"/>
      <c r="BAW81" s="88"/>
      <c r="BAX81" s="88"/>
      <c r="BAY81" s="88"/>
      <c r="BAZ81" s="88"/>
      <c r="BBA81" s="88"/>
      <c r="BBB81" s="88"/>
      <c r="BBC81" s="88"/>
      <c r="BBD81" s="88"/>
      <c r="BBE81" s="88"/>
      <c r="BBF81" s="88"/>
      <c r="BBG81" s="88"/>
      <c r="BBH81" s="88"/>
      <c r="BBI81" s="88"/>
      <c r="BBJ81" s="88"/>
      <c r="BBK81" s="88"/>
      <c r="BBL81" s="88"/>
      <c r="BBM81" s="88"/>
      <c r="BBN81" s="88"/>
      <c r="BBO81" s="88"/>
      <c r="BBP81" s="88"/>
      <c r="BBQ81" s="88"/>
      <c r="BBR81" s="88"/>
      <c r="BBS81" s="88"/>
      <c r="BBT81" s="88"/>
      <c r="BBU81" s="88"/>
      <c r="BBV81" s="88"/>
      <c r="BBW81" s="88"/>
      <c r="BBX81" s="88"/>
      <c r="BBY81" s="88"/>
      <c r="BBZ81" s="88"/>
      <c r="BCA81" s="88"/>
      <c r="BCB81" s="88"/>
      <c r="BCC81" s="88"/>
      <c r="BCD81" s="88"/>
      <c r="BCE81" s="88"/>
      <c r="BCF81" s="88"/>
      <c r="BCG81" s="88"/>
      <c r="BCH81" s="88"/>
      <c r="BCI81" s="88"/>
      <c r="BCJ81" s="88"/>
      <c r="BCK81" s="88"/>
      <c r="BCL81" s="88"/>
      <c r="BCM81" s="88"/>
      <c r="BCN81" s="88"/>
      <c r="BCO81" s="88"/>
      <c r="BCP81" s="88"/>
      <c r="BCQ81" s="88"/>
      <c r="BCR81" s="88"/>
      <c r="BCS81" s="88"/>
      <c r="BCT81" s="88"/>
      <c r="BCU81" s="88"/>
      <c r="BCV81" s="88"/>
      <c r="BCW81" s="88"/>
      <c r="BCX81" s="88"/>
      <c r="BCY81" s="88"/>
      <c r="BCZ81" s="88"/>
      <c r="BDA81" s="88"/>
      <c r="BDB81" s="88"/>
      <c r="BDC81" s="88"/>
      <c r="BDD81" s="88"/>
      <c r="BDE81" s="88"/>
      <c r="BDF81" s="88"/>
      <c r="BDG81" s="88"/>
      <c r="BDH81" s="88"/>
      <c r="BDI81" s="88"/>
      <c r="BDJ81" s="88"/>
      <c r="BDK81" s="88"/>
      <c r="BDL81" s="88"/>
      <c r="BDM81" s="88"/>
      <c r="BDN81" s="88"/>
      <c r="BDO81" s="88"/>
      <c r="BDP81" s="88"/>
      <c r="BDQ81" s="88"/>
      <c r="BDR81" s="88"/>
      <c r="BDS81" s="88"/>
      <c r="BDT81" s="88"/>
      <c r="BDU81" s="88"/>
      <c r="BDV81" s="88"/>
      <c r="BDW81" s="88"/>
      <c r="BDX81" s="88"/>
      <c r="BDY81" s="88"/>
      <c r="BDZ81" s="88"/>
      <c r="BEA81" s="88"/>
      <c r="BEB81" s="88"/>
      <c r="BEC81" s="88"/>
      <c r="BED81" s="88"/>
      <c r="BEE81" s="88"/>
      <c r="BEF81" s="88"/>
      <c r="BEG81" s="88"/>
      <c r="BEH81" s="88"/>
      <c r="BEI81" s="88"/>
      <c r="BEJ81" s="88"/>
      <c r="BEK81" s="88"/>
      <c r="BEL81" s="88"/>
      <c r="BEM81" s="88"/>
      <c r="BEN81" s="88"/>
      <c r="BEO81" s="88"/>
      <c r="BEP81" s="88"/>
      <c r="BEQ81" s="88"/>
      <c r="BER81" s="88"/>
      <c r="BES81" s="88"/>
      <c r="BET81" s="88"/>
      <c r="BEU81" s="88"/>
      <c r="BEV81" s="88"/>
      <c r="BEW81" s="88"/>
      <c r="BEX81" s="88"/>
      <c r="BEY81" s="88"/>
      <c r="BEZ81" s="88"/>
      <c r="BFA81" s="88"/>
      <c r="BFB81" s="88"/>
      <c r="BFC81" s="88"/>
      <c r="BFD81" s="88"/>
      <c r="BFE81" s="88"/>
      <c r="BFF81" s="88"/>
      <c r="BFG81" s="88"/>
      <c r="BFH81" s="88"/>
      <c r="BFI81" s="88"/>
      <c r="BFJ81" s="88"/>
      <c r="BFK81" s="88"/>
      <c r="BFL81" s="88"/>
      <c r="BFM81" s="88"/>
      <c r="BFN81" s="88"/>
      <c r="BFO81" s="88"/>
      <c r="BFP81" s="88"/>
      <c r="BFQ81" s="88"/>
      <c r="BFR81" s="88"/>
      <c r="BFS81" s="88"/>
      <c r="BFT81" s="88"/>
      <c r="BFU81" s="88"/>
      <c r="BFV81" s="88"/>
      <c r="BFW81" s="88"/>
      <c r="BFX81" s="88"/>
      <c r="BFY81" s="88"/>
      <c r="BFZ81" s="88"/>
      <c r="BGA81" s="88"/>
      <c r="BGB81" s="88"/>
      <c r="BGC81" s="88"/>
      <c r="BGD81" s="88"/>
      <c r="BGE81" s="88"/>
      <c r="BGF81" s="88"/>
      <c r="BGG81" s="88"/>
      <c r="BGH81" s="88"/>
      <c r="BGI81" s="88"/>
      <c r="BGJ81" s="88"/>
      <c r="BGK81" s="88"/>
      <c r="BGL81" s="88"/>
      <c r="BGM81" s="88"/>
      <c r="BGN81" s="88"/>
      <c r="BGO81" s="88"/>
      <c r="BGP81" s="88"/>
      <c r="BGQ81" s="88"/>
      <c r="BGR81" s="88"/>
      <c r="BGS81" s="88"/>
      <c r="BGT81" s="88"/>
      <c r="BGU81" s="88"/>
      <c r="BGV81" s="88"/>
      <c r="BGW81" s="88"/>
      <c r="BGX81" s="88"/>
      <c r="BGY81" s="88"/>
      <c r="BGZ81" s="88"/>
      <c r="BHA81" s="88"/>
      <c r="BHB81" s="88"/>
      <c r="BHC81" s="88"/>
      <c r="BHD81" s="88"/>
      <c r="BHE81" s="88"/>
      <c r="BHF81" s="88"/>
      <c r="BHG81" s="88"/>
      <c r="BHH81" s="88"/>
      <c r="BHI81" s="88"/>
      <c r="BHJ81" s="88"/>
      <c r="BHK81" s="88"/>
      <c r="BHL81" s="88"/>
      <c r="BHM81" s="88"/>
      <c r="BHN81" s="88"/>
      <c r="BHO81" s="88"/>
      <c r="BHP81" s="88"/>
      <c r="BHQ81" s="88"/>
      <c r="BHR81" s="88"/>
      <c r="BHS81" s="88"/>
      <c r="BHT81" s="88"/>
      <c r="BHU81" s="88"/>
      <c r="BHV81" s="88"/>
      <c r="BHW81" s="88"/>
      <c r="BHX81" s="88"/>
      <c r="BHY81" s="88"/>
      <c r="BHZ81" s="88"/>
      <c r="BIA81" s="88"/>
      <c r="BIB81" s="88"/>
      <c r="BIC81" s="88"/>
      <c r="BID81" s="88"/>
      <c r="BIE81" s="88"/>
      <c r="BIF81" s="88"/>
      <c r="BIG81" s="88"/>
      <c r="BIH81" s="88"/>
      <c r="BII81" s="88"/>
      <c r="BIJ81" s="88"/>
      <c r="BIK81" s="88"/>
      <c r="BIL81" s="88"/>
      <c r="BIM81" s="88"/>
      <c r="BIN81" s="88"/>
      <c r="BIO81" s="88"/>
      <c r="BIP81" s="88"/>
      <c r="BIQ81" s="88"/>
      <c r="BIR81" s="88"/>
      <c r="BIS81" s="88"/>
      <c r="BIT81" s="88"/>
      <c r="BIU81" s="88"/>
      <c r="BIV81" s="88"/>
      <c r="BIW81" s="88"/>
      <c r="BIX81" s="88"/>
      <c r="BIY81" s="88"/>
      <c r="BIZ81" s="88"/>
      <c r="BJA81" s="88"/>
      <c r="BJB81" s="88"/>
      <c r="BJC81" s="88"/>
      <c r="BJD81" s="88"/>
      <c r="BJE81" s="88"/>
      <c r="BJF81" s="88"/>
      <c r="BJG81" s="88"/>
      <c r="BJH81" s="88"/>
      <c r="BJI81" s="88"/>
      <c r="BJJ81" s="88"/>
      <c r="BJK81" s="88"/>
      <c r="BJL81" s="88"/>
      <c r="BJM81" s="88"/>
      <c r="BJN81" s="88"/>
      <c r="BJO81" s="88"/>
      <c r="BJP81" s="88"/>
      <c r="BJQ81" s="88"/>
      <c r="BJR81" s="88"/>
      <c r="BJS81" s="88"/>
      <c r="BJT81" s="88"/>
      <c r="BJU81" s="88"/>
      <c r="BJV81" s="88"/>
      <c r="BJW81" s="88"/>
      <c r="BJX81" s="88"/>
      <c r="BJY81" s="88"/>
      <c r="BJZ81" s="88"/>
      <c r="BKA81" s="88"/>
      <c r="BKB81" s="88"/>
      <c r="BKC81" s="88"/>
      <c r="BKD81" s="88"/>
      <c r="BKE81" s="88"/>
      <c r="BKF81" s="88"/>
      <c r="BKG81" s="88"/>
      <c r="BKH81" s="88"/>
      <c r="BKI81" s="88"/>
      <c r="BKJ81" s="88"/>
      <c r="BKK81" s="88"/>
      <c r="BKL81" s="88"/>
      <c r="BKM81" s="88"/>
      <c r="BKN81" s="88"/>
      <c r="BKO81" s="88"/>
      <c r="BKP81" s="88"/>
      <c r="BKQ81" s="88"/>
      <c r="BKR81" s="88"/>
      <c r="BKS81" s="88"/>
      <c r="BKT81" s="88"/>
      <c r="BKU81" s="88"/>
      <c r="BKV81" s="88"/>
      <c r="BKW81" s="88"/>
      <c r="BKX81" s="88"/>
      <c r="BKY81" s="88"/>
      <c r="BKZ81" s="88"/>
      <c r="BLA81" s="88"/>
      <c r="BLB81" s="88"/>
      <c r="BLC81" s="88"/>
      <c r="BLD81" s="88"/>
      <c r="BLE81" s="88"/>
      <c r="BLF81" s="88"/>
      <c r="BLG81" s="88"/>
      <c r="BLH81" s="88"/>
      <c r="BLI81" s="88"/>
      <c r="BLJ81" s="88"/>
      <c r="BLK81" s="88"/>
      <c r="BLL81" s="88"/>
      <c r="BLM81" s="88"/>
      <c r="BLN81" s="88"/>
      <c r="BLO81" s="88"/>
      <c r="BLP81" s="88"/>
      <c r="BLQ81" s="88"/>
      <c r="BLR81" s="88"/>
      <c r="BLS81" s="88"/>
      <c r="BLT81" s="88"/>
      <c r="BLU81" s="88"/>
      <c r="BLV81" s="88"/>
      <c r="BLW81" s="88"/>
      <c r="BLX81" s="88"/>
      <c r="BLY81" s="88"/>
      <c r="BLZ81" s="88"/>
      <c r="BMA81" s="88"/>
      <c r="BMB81" s="88"/>
      <c r="BMC81" s="88"/>
      <c r="BMD81" s="88"/>
      <c r="BME81" s="88"/>
      <c r="BMF81" s="88"/>
      <c r="BMG81" s="88"/>
      <c r="BMH81" s="88"/>
      <c r="BMI81" s="88"/>
      <c r="BMJ81" s="88"/>
      <c r="BMK81" s="88"/>
      <c r="BML81" s="88"/>
      <c r="BMM81" s="88"/>
      <c r="BMN81" s="88"/>
      <c r="BMO81" s="88"/>
      <c r="BMP81" s="88"/>
      <c r="BMQ81" s="88"/>
      <c r="BMR81" s="88"/>
      <c r="BMS81" s="88"/>
      <c r="BMT81" s="88"/>
      <c r="BMU81" s="88"/>
      <c r="BMV81" s="88"/>
      <c r="BMW81" s="88"/>
      <c r="BMX81" s="88"/>
      <c r="BMY81" s="88"/>
      <c r="BMZ81" s="88"/>
      <c r="BNA81" s="88"/>
      <c r="BNB81" s="88"/>
      <c r="BNC81" s="88"/>
      <c r="BND81" s="88"/>
      <c r="BNE81" s="88"/>
      <c r="BNF81" s="88"/>
      <c r="BNG81" s="88"/>
      <c r="BNH81" s="88"/>
      <c r="BNI81" s="88"/>
      <c r="BNJ81" s="88"/>
      <c r="BNK81" s="88"/>
      <c r="BNL81" s="88"/>
      <c r="BNM81" s="88"/>
      <c r="BNN81" s="88"/>
      <c r="BNO81" s="88"/>
      <c r="BNP81" s="88"/>
      <c r="BNQ81" s="88"/>
      <c r="BNR81" s="88"/>
      <c r="BNS81" s="88"/>
      <c r="BNT81" s="88"/>
      <c r="BNU81" s="88"/>
      <c r="BNV81" s="88"/>
      <c r="BNW81" s="88"/>
      <c r="BNX81" s="88"/>
      <c r="BNY81" s="88"/>
      <c r="BNZ81" s="88"/>
      <c r="BOA81" s="88"/>
      <c r="BOB81" s="88"/>
      <c r="BOC81" s="88"/>
      <c r="BOD81" s="88"/>
      <c r="BOE81" s="88"/>
      <c r="BOF81" s="88"/>
      <c r="BOG81" s="88"/>
      <c r="BOH81" s="88"/>
      <c r="BOI81" s="88"/>
      <c r="BOJ81" s="88"/>
      <c r="BOK81" s="88"/>
      <c r="BOL81" s="88"/>
      <c r="BOM81" s="88"/>
      <c r="BON81" s="88"/>
      <c r="BOO81" s="88"/>
      <c r="BOP81" s="88"/>
      <c r="BOQ81" s="88"/>
      <c r="BOR81" s="88"/>
      <c r="BOS81" s="88"/>
      <c r="BOT81" s="88"/>
      <c r="BOU81" s="88"/>
      <c r="BOV81" s="88"/>
      <c r="BOW81" s="88"/>
      <c r="BOX81" s="88"/>
      <c r="BOY81" s="88"/>
      <c r="BOZ81" s="88"/>
      <c r="BPA81" s="88"/>
      <c r="BPB81" s="88"/>
      <c r="BPC81" s="88"/>
      <c r="BPD81" s="88"/>
      <c r="BPE81" s="88"/>
      <c r="BPF81" s="88"/>
      <c r="BPG81" s="88"/>
      <c r="BPH81" s="88"/>
      <c r="BPI81" s="88"/>
      <c r="BPJ81" s="88"/>
      <c r="BPK81" s="88"/>
      <c r="BPL81" s="88"/>
      <c r="BPM81" s="88"/>
      <c r="BPN81" s="88"/>
      <c r="BPO81" s="88"/>
      <c r="BPP81" s="88"/>
      <c r="BPQ81" s="88"/>
      <c r="BPR81" s="88"/>
      <c r="BPS81" s="88"/>
      <c r="BPT81" s="88"/>
      <c r="BPU81" s="88"/>
      <c r="BPV81" s="88"/>
      <c r="BPW81" s="88"/>
      <c r="BPX81" s="88"/>
      <c r="BPY81" s="88"/>
      <c r="BPZ81" s="88"/>
      <c r="BQA81" s="88"/>
      <c r="BQB81" s="88"/>
      <c r="BQC81" s="88"/>
      <c r="BQD81" s="88"/>
      <c r="BQE81" s="88"/>
      <c r="BQF81" s="88"/>
      <c r="BQG81" s="88"/>
      <c r="BQH81" s="88"/>
      <c r="BQI81" s="88"/>
      <c r="BQJ81" s="88"/>
      <c r="BQK81" s="88"/>
      <c r="BQL81" s="88"/>
      <c r="BQM81" s="88"/>
      <c r="BQN81" s="88"/>
      <c r="BQO81" s="88"/>
      <c r="BQP81" s="88"/>
      <c r="BQQ81" s="88"/>
      <c r="BQR81" s="88"/>
      <c r="BQS81" s="88"/>
      <c r="BQT81" s="88"/>
      <c r="BQU81" s="88"/>
      <c r="BQV81" s="88"/>
      <c r="BQW81" s="88"/>
      <c r="BQX81" s="88"/>
      <c r="BQY81" s="88"/>
      <c r="BQZ81" s="88"/>
      <c r="BRA81" s="88"/>
      <c r="BRB81" s="88"/>
      <c r="BRC81" s="88"/>
      <c r="BRD81" s="88"/>
      <c r="BRE81" s="88"/>
      <c r="BRF81" s="88"/>
      <c r="BRG81" s="88"/>
      <c r="BRH81" s="88"/>
      <c r="BRI81" s="88"/>
      <c r="BRJ81" s="88"/>
      <c r="BRK81" s="88"/>
      <c r="BRL81" s="88"/>
      <c r="BRM81" s="88"/>
      <c r="BRN81" s="88"/>
      <c r="BRO81" s="88"/>
      <c r="BRP81" s="88"/>
      <c r="BRQ81" s="88"/>
      <c r="BRR81" s="88"/>
      <c r="BRS81" s="88"/>
      <c r="BRT81" s="88"/>
      <c r="BRU81" s="88"/>
      <c r="BRV81" s="88"/>
      <c r="BRW81" s="88"/>
      <c r="BRX81" s="88"/>
      <c r="BRY81" s="88"/>
      <c r="BRZ81" s="88"/>
      <c r="BSA81" s="88"/>
      <c r="BSB81" s="88"/>
      <c r="BSC81" s="88"/>
      <c r="BSD81" s="88"/>
      <c r="BSE81" s="88"/>
      <c r="BSF81" s="88"/>
      <c r="BSG81" s="88"/>
      <c r="BSH81" s="88"/>
      <c r="BSI81" s="88"/>
      <c r="BSJ81" s="88"/>
      <c r="BSK81" s="88"/>
      <c r="BSL81" s="88"/>
      <c r="BSM81" s="88"/>
      <c r="BSN81" s="88"/>
      <c r="BSO81" s="88"/>
      <c r="BSP81" s="88"/>
      <c r="BSQ81" s="88"/>
      <c r="BSR81" s="88"/>
      <c r="BSS81" s="88"/>
      <c r="BST81" s="88"/>
      <c r="BSU81" s="88"/>
      <c r="BSV81" s="88"/>
      <c r="BSW81" s="88"/>
      <c r="BSX81" s="88"/>
      <c r="BSY81" s="88"/>
      <c r="BSZ81" s="88"/>
      <c r="BTA81" s="88"/>
      <c r="BTB81" s="88"/>
      <c r="BTC81" s="88"/>
      <c r="BTD81" s="88"/>
      <c r="BTE81" s="88"/>
      <c r="BTF81" s="88"/>
      <c r="BTG81" s="88"/>
      <c r="BTH81" s="88"/>
      <c r="BTI81" s="88"/>
      <c r="BTJ81" s="88"/>
      <c r="BTK81" s="88"/>
      <c r="BTL81" s="88"/>
      <c r="BTM81" s="88"/>
      <c r="BTN81" s="88"/>
      <c r="BTO81" s="88"/>
      <c r="BTP81" s="88"/>
      <c r="BTQ81" s="88"/>
      <c r="BTR81" s="88"/>
      <c r="BTS81" s="88"/>
      <c r="BTT81" s="88"/>
      <c r="BTU81" s="88"/>
      <c r="BTV81" s="88"/>
      <c r="BTW81" s="88"/>
      <c r="BTX81" s="88"/>
      <c r="BTY81" s="88"/>
      <c r="BTZ81" s="88"/>
      <c r="BUA81" s="88"/>
      <c r="BUB81" s="88"/>
      <c r="BUC81" s="88"/>
      <c r="BUD81" s="88"/>
      <c r="BUE81" s="88"/>
      <c r="BUF81" s="88"/>
      <c r="BUG81" s="88"/>
      <c r="BUH81" s="88"/>
      <c r="BUI81" s="88"/>
      <c r="BUJ81" s="88"/>
      <c r="BUK81" s="88"/>
      <c r="BUL81" s="88"/>
      <c r="BUM81" s="88"/>
      <c r="BUN81" s="88"/>
      <c r="BUO81" s="88"/>
      <c r="BUP81" s="88"/>
      <c r="BUQ81" s="88"/>
      <c r="BUR81" s="88"/>
      <c r="BUS81" s="88"/>
      <c r="BUT81" s="88"/>
      <c r="BUU81" s="88"/>
      <c r="BUV81" s="88"/>
      <c r="BUW81" s="88"/>
      <c r="BUX81" s="88"/>
      <c r="BUY81" s="88"/>
      <c r="BUZ81" s="88"/>
      <c r="BVA81" s="88"/>
      <c r="BVB81" s="88"/>
      <c r="BVC81" s="88"/>
      <c r="BVD81" s="88"/>
      <c r="BVE81" s="88"/>
      <c r="BVF81" s="88"/>
      <c r="BVG81" s="88"/>
      <c r="BVH81" s="88"/>
      <c r="BVI81" s="88"/>
      <c r="BVJ81" s="88"/>
      <c r="BVK81" s="88"/>
      <c r="BVL81" s="88"/>
      <c r="BVM81" s="88"/>
      <c r="BVN81" s="88"/>
      <c r="BVO81" s="88"/>
      <c r="BVP81" s="88"/>
      <c r="BVQ81" s="88"/>
      <c r="BVR81" s="88"/>
      <c r="BVS81" s="88"/>
      <c r="BVT81" s="88"/>
      <c r="BVU81" s="88"/>
      <c r="BVV81" s="88"/>
      <c r="BVW81" s="88"/>
      <c r="BVX81" s="88"/>
      <c r="BVY81" s="88"/>
      <c r="BVZ81" s="88"/>
      <c r="BWA81" s="88"/>
      <c r="BWB81" s="88"/>
      <c r="BWC81" s="88"/>
      <c r="BWD81" s="88"/>
      <c r="BWE81" s="88"/>
      <c r="BWF81" s="88"/>
      <c r="BWG81" s="88"/>
      <c r="BWH81" s="88"/>
      <c r="BWI81" s="88"/>
      <c r="BWJ81" s="88"/>
      <c r="BWK81" s="88"/>
      <c r="BWL81" s="88"/>
      <c r="BWM81" s="88"/>
      <c r="BWN81" s="88"/>
      <c r="BWO81" s="88"/>
      <c r="BWP81" s="88"/>
      <c r="BWQ81" s="88"/>
      <c r="BWR81" s="88"/>
      <c r="BWS81" s="88"/>
      <c r="BWT81" s="88"/>
      <c r="BWU81" s="88"/>
      <c r="BWV81" s="88"/>
      <c r="BWW81" s="88"/>
      <c r="BWX81" s="88"/>
      <c r="BWY81" s="88"/>
      <c r="BWZ81" s="88"/>
      <c r="BXA81" s="88"/>
      <c r="BXB81" s="88"/>
      <c r="BXC81" s="88"/>
      <c r="BXD81" s="88"/>
      <c r="BXE81" s="88"/>
      <c r="BXF81" s="88"/>
      <c r="BXG81" s="88"/>
      <c r="BXH81" s="88"/>
      <c r="BXI81" s="88"/>
      <c r="BXJ81" s="88"/>
      <c r="BXK81" s="88"/>
      <c r="BXL81" s="88"/>
      <c r="BXM81" s="88"/>
      <c r="BXN81" s="88"/>
      <c r="BXO81" s="88"/>
      <c r="BXP81" s="88"/>
      <c r="BXQ81" s="88"/>
      <c r="BXR81" s="88"/>
      <c r="BXS81" s="88"/>
      <c r="BXT81" s="88"/>
      <c r="BXU81" s="88"/>
      <c r="BXV81" s="88"/>
      <c r="BXW81" s="88"/>
      <c r="BXX81" s="88"/>
      <c r="BXY81" s="88"/>
      <c r="BXZ81" s="88"/>
      <c r="BYA81" s="88"/>
      <c r="BYB81" s="88"/>
      <c r="BYC81" s="88"/>
      <c r="BYD81" s="88"/>
      <c r="BYE81" s="88"/>
      <c r="BYF81" s="88"/>
      <c r="BYG81" s="88"/>
      <c r="BYH81" s="88"/>
      <c r="BYI81" s="88"/>
      <c r="BYJ81" s="88"/>
      <c r="BYK81" s="88"/>
      <c r="BYL81" s="88"/>
      <c r="BYM81" s="88"/>
      <c r="BYN81" s="88"/>
      <c r="BYO81" s="88"/>
      <c r="BYP81" s="88"/>
      <c r="BYQ81" s="88"/>
      <c r="BYR81" s="88"/>
      <c r="BYS81" s="88"/>
      <c r="BYT81" s="88"/>
      <c r="BYU81" s="88"/>
      <c r="BYV81" s="88"/>
      <c r="BYW81" s="88"/>
      <c r="BYX81" s="88"/>
      <c r="BYY81" s="88"/>
      <c r="BYZ81" s="88"/>
      <c r="BZA81" s="88"/>
      <c r="BZB81" s="88"/>
      <c r="BZC81" s="88"/>
      <c r="BZD81" s="88"/>
      <c r="BZE81" s="88"/>
      <c r="BZF81" s="88"/>
      <c r="BZG81" s="88"/>
      <c r="BZH81" s="88"/>
      <c r="BZI81" s="88"/>
      <c r="BZJ81" s="88"/>
      <c r="BZK81" s="88"/>
      <c r="BZL81" s="88"/>
      <c r="BZM81" s="88"/>
      <c r="BZN81" s="88"/>
      <c r="BZO81" s="88"/>
      <c r="BZP81" s="88"/>
      <c r="BZQ81" s="88"/>
      <c r="BZR81" s="88"/>
      <c r="BZS81" s="88"/>
      <c r="BZT81" s="88"/>
      <c r="BZU81" s="88"/>
      <c r="BZV81" s="88"/>
      <c r="BZW81" s="88"/>
      <c r="BZX81" s="88"/>
      <c r="BZY81" s="88"/>
      <c r="BZZ81" s="88"/>
      <c r="CAA81" s="88"/>
      <c r="CAB81" s="88"/>
      <c r="CAC81" s="88"/>
      <c r="CAD81" s="88"/>
      <c r="CAE81" s="88"/>
      <c r="CAF81" s="88"/>
      <c r="CAG81" s="88"/>
      <c r="CAH81" s="88"/>
      <c r="CAI81" s="88"/>
      <c r="CAJ81" s="88"/>
      <c r="CAK81" s="88"/>
      <c r="CAL81" s="88"/>
      <c r="CAM81" s="88"/>
      <c r="CAN81" s="88"/>
      <c r="CAO81" s="88"/>
      <c r="CAP81" s="88"/>
      <c r="CAQ81" s="88"/>
      <c r="CAR81" s="88"/>
      <c r="CAS81" s="88"/>
      <c r="CAT81" s="88"/>
      <c r="CAU81" s="88"/>
      <c r="CAV81" s="88"/>
      <c r="CAW81" s="88"/>
      <c r="CAX81" s="88"/>
      <c r="CAY81" s="88"/>
      <c r="CAZ81" s="88"/>
      <c r="CBA81" s="88"/>
      <c r="CBB81" s="88"/>
      <c r="CBC81" s="88"/>
      <c r="CBD81" s="88"/>
      <c r="CBE81" s="88"/>
      <c r="CBF81" s="88"/>
      <c r="CBG81" s="88"/>
      <c r="CBH81" s="88"/>
      <c r="CBI81" s="88"/>
      <c r="CBJ81" s="88"/>
      <c r="CBK81" s="88"/>
      <c r="CBL81" s="88"/>
      <c r="CBM81" s="88"/>
      <c r="CBN81" s="88"/>
      <c r="CBO81" s="88"/>
      <c r="CBP81" s="88"/>
      <c r="CBQ81" s="88"/>
      <c r="CBR81" s="88"/>
      <c r="CBS81" s="88"/>
      <c r="CBT81" s="88"/>
      <c r="CBU81" s="88"/>
      <c r="CBV81" s="88"/>
      <c r="CBW81" s="88"/>
      <c r="CBX81" s="88"/>
      <c r="CBY81" s="88"/>
      <c r="CBZ81" s="88"/>
      <c r="CCA81" s="88"/>
      <c r="CCB81" s="88"/>
      <c r="CCC81" s="88"/>
      <c r="CCD81" s="88"/>
      <c r="CCE81" s="88"/>
      <c r="CCF81" s="88"/>
      <c r="CCG81" s="88"/>
      <c r="CCH81" s="88"/>
      <c r="CCI81" s="88"/>
      <c r="CCJ81" s="88"/>
      <c r="CCK81" s="88"/>
      <c r="CCL81" s="88"/>
      <c r="CCM81" s="88"/>
      <c r="CCN81" s="88"/>
      <c r="CCO81" s="88"/>
      <c r="CCP81" s="88"/>
      <c r="CCQ81" s="88"/>
      <c r="CCR81" s="88"/>
      <c r="CCS81" s="88"/>
      <c r="CCT81" s="88"/>
      <c r="CCU81" s="88"/>
      <c r="CCV81" s="88"/>
      <c r="CCW81" s="88"/>
      <c r="CCX81" s="88"/>
      <c r="CCY81" s="88"/>
      <c r="CCZ81" s="88"/>
      <c r="CDA81" s="88"/>
      <c r="CDB81" s="88"/>
      <c r="CDC81" s="88"/>
      <c r="CDD81" s="88"/>
      <c r="CDE81" s="88"/>
      <c r="CDF81" s="88"/>
      <c r="CDG81" s="88"/>
      <c r="CDH81" s="88"/>
      <c r="CDI81" s="88"/>
      <c r="CDJ81" s="88"/>
      <c r="CDK81" s="88"/>
      <c r="CDL81" s="88"/>
      <c r="CDM81" s="88"/>
      <c r="CDN81" s="88"/>
      <c r="CDO81" s="88"/>
      <c r="CDP81" s="88"/>
      <c r="CDQ81" s="88"/>
      <c r="CDR81" s="88"/>
      <c r="CDS81" s="88"/>
      <c r="CDT81" s="88"/>
      <c r="CDU81" s="88"/>
      <c r="CDV81" s="88"/>
      <c r="CDW81" s="88"/>
      <c r="CDX81" s="88"/>
      <c r="CDY81" s="88"/>
      <c r="CDZ81" s="88"/>
      <c r="CEA81" s="88"/>
      <c r="CEB81" s="88"/>
      <c r="CEC81" s="88"/>
      <c r="CED81" s="88"/>
      <c r="CEE81" s="88"/>
      <c r="CEF81" s="88"/>
      <c r="CEG81" s="88"/>
      <c r="CEH81" s="88"/>
      <c r="CEI81" s="88"/>
      <c r="CEJ81" s="88"/>
      <c r="CEK81" s="88"/>
    </row>
    <row r="82" spans="1:2169" s="63" customFormat="1">
      <c r="A82" s="73" t="s">
        <v>437</v>
      </c>
      <c r="B82" s="71" t="s">
        <v>506</v>
      </c>
      <c r="C82" s="68" t="str">
        <f>IF('page 2'!$O$4="","",IF('page 2'!$O$4=Gestion!A82,1,0))</f>
        <v/>
      </c>
      <c r="D82" s="68" t="str">
        <f>IF('page 2'!$O$5="","",IF('page 2'!$O$5=Gestion!A82,1,0))</f>
        <v/>
      </c>
      <c r="E82" s="68" t="str">
        <f>IF('page 2'!$O$6="","",IF('page 2'!$O$6=Gestion!A82,1,0))</f>
        <v/>
      </c>
      <c r="F82" s="68" t="str">
        <f>IF('page 2'!$O$7="","",IF('page 2'!$O$7=Gestion!A82,1,0))</f>
        <v/>
      </c>
      <c r="G82" s="68" t="str">
        <f>IF('page 2'!$O$8="","",IF('page 2'!$O$8=Gestion!A82,1,0))</f>
        <v/>
      </c>
      <c r="H82" s="68" t="str">
        <f>IF('page 2'!$O$9="","",IF('page 2'!$O$9=Gestion!A82,1,0))</f>
        <v/>
      </c>
      <c r="I82" s="68" t="str">
        <f>IF('page 2'!$O$10="","",IF('page 2'!$O$10=Gestion!A82,1,0))</f>
        <v/>
      </c>
      <c r="J82" s="68" t="str">
        <f>IF('page 2'!$O$11="","",IF('page 2'!$O$11=Gestion!A82,1,0))</f>
        <v/>
      </c>
      <c r="K82" s="68" t="str">
        <f>IF('page 2'!$O$12="","",IF('page 2'!$O$12=Gestion!A82,1,0))</f>
        <v/>
      </c>
      <c r="L82" s="68" t="str">
        <f>IF('page 2'!$O$13="","",IF('page 2'!$O$13=Gestion!A82,1,0))</f>
        <v/>
      </c>
      <c r="M82" s="68" t="str">
        <f>IF('page 2'!$O$14="","",IF('page 2'!$O$14=Gestion!A82,1,0))</f>
        <v/>
      </c>
      <c r="N82" s="68" t="str">
        <f>IF('page 2'!$O$15="","",IF('page 2'!$O$15=Gestion!A82,1,0))</f>
        <v/>
      </c>
      <c r="O82" s="68" t="str">
        <f>IF('page 2'!$O$16="","",IF('page 2'!$O$16=Gestion!A82,1,0))</f>
        <v/>
      </c>
      <c r="P82" s="68" t="str">
        <f>IF('page 2'!$O$17="","",IF('page 2'!$O$17=Gestion!A82,1,0))</f>
        <v/>
      </c>
      <c r="Q82" s="68" t="str">
        <f>IF('page 2'!$O$18="","",IF('page 2'!$O$18=Gestion!A82,1,0))</f>
        <v/>
      </c>
      <c r="R82" s="68" t="str">
        <f>IF('page 2'!$O$19="","",IF('page 2'!$O$19=Gestion!A82,1,0))</f>
        <v/>
      </c>
      <c r="S82" s="68" t="str">
        <f>IF('page 2'!$O$20="","",IF('page 2'!$O$20=Gestion!A82,1,0))</f>
        <v/>
      </c>
      <c r="T82" s="68" t="str">
        <f>IF('page 2'!$O$25="","",IF('page 2'!$O$25=Gestion!A82,1,0))</f>
        <v/>
      </c>
      <c r="U82" s="68" t="str">
        <f>IF('page 2'!$O$26="","",IF('page 2'!$O$26=Gestion!A82,1,0))</f>
        <v/>
      </c>
      <c r="V82" s="68" t="str">
        <f>IF('page 2'!$O$27="","",IF('page 2'!$O$27=Gestion!A82,1,0))</f>
        <v/>
      </c>
      <c r="W82" s="722">
        <f t="shared" si="14"/>
        <v>0</v>
      </c>
      <c r="X82" s="714"/>
      <c r="Y82" s="68"/>
      <c r="Z82" s="68"/>
      <c r="AA82" s="68"/>
      <c r="AB82" s="68"/>
      <c r="AC82" s="68"/>
      <c r="AD82" s="68"/>
      <c r="AP82" s="130"/>
      <c r="AQ82" s="130"/>
      <c r="AR82" s="130"/>
      <c r="AS82" s="576"/>
      <c r="AT82" s="576"/>
      <c r="AU82" s="576"/>
      <c r="AV82" s="576"/>
      <c r="AW82" s="602"/>
      <c r="AX82" s="602"/>
      <c r="AY82" s="576"/>
      <c r="AZ82" s="576"/>
      <c r="BA82" s="576"/>
      <c r="BB82" s="576"/>
      <c r="BC82" s="576"/>
      <c r="BD82" s="602"/>
      <c r="BE82" s="602"/>
      <c r="BF82" s="602"/>
      <c r="BG82" s="602"/>
      <c r="BH82" s="602"/>
      <c r="BI82" s="602"/>
      <c r="BJ82" s="602"/>
      <c r="BK82" s="602"/>
      <c r="BL82" s="602"/>
      <c r="BM82" s="602"/>
      <c r="BN82" s="602"/>
      <c r="BO82" s="602"/>
      <c r="BP82" s="602"/>
      <c r="BQ82" s="602"/>
      <c r="BR82" s="602"/>
      <c r="BS82" s="576"/>
      <c r="BT82" s="576"/>
      <c r="BU82" s="576"/>
      <c r="BV82" s="576"/>
      <c r="BW82" s="602"/>
      <c r="BX82" s="602"/>
      <c r="BY82" s="602"/>
      <c r="BZ82" s="576"/>
      <c r="CA82" s="602"/>
      <c r="CB82" s="602"/>
      <c r="CC82" s="576"/>
      <c r="CD82" s="576"/>
      <c r="CE82" s="602"/>
      <c r="CF82" s="576"/>
      <c r="CG82" s="576"/>
      <c r="CH82" s="576"/>
      <c r="CI82" s="576"/>
      <c r="CJ82" s="576"/>
      <c r="CK82" s="602"/>
      <c r="CL82" s="602"/>
      <c r="CM82" s="576"/>
      <c r="CN82" s="602"/>
      <c r="CO82" s="602"/>
      <c r="CP82" s="602"/>
      <c r="CQ82" s="576"/>
      <c r="CR82" s="576"/>
      <c r="CS82" s="602"/>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c r="IW82" s="88"/>
      <c r="IX82" s="88"/>
      <c r="IY82" s="88"/>
      <c r="IZ82" s="88"/>
      <c r="JA82" s="88"/>
      <c r="JB82" s="88"/>
      <c r="JC82" s="88"/>
      <c r="JD82" s="88"/>
      <c r="JE82" s="88"/>
      <c r="JF82" s="88"/>
      <c r="JG82" s="88"/>
      <c r="JH82" s="88"/>
      <c r="JI82" s="88"/>
      <c r="JJ82" s="88"/>
      <c r="JK82" s="88"/>
      <c r="JL82" s="88"/>
      <c r="JM82" s="88"/>
      <c r="JN82" s="88"/>
      <c r="JO82" s="88"/>
      <c r="JP82" s="88"/>
      <c r="JQ82" s="88"/>
      <c r="JR82" s="88"/>
      <c r="JS82" s="88"/>
      <c r="JT82" s="88"/>
      <c r="JU82" s="88"/>
      <c r="JV82" s="88"/>
      <c r="JW82" s="88"/>
      <c r="JX82" s="88"/>
      <c r="JY82" s="88"/>
      <c r="JZ82" s="88"/>
      <c r="KA82" s="88"/>
      <c r="KB82" s="88"/>
      <c r="KC82" s="88"/>
      <c r="KD82" s="88"/>
      <c r="KE82" s="88"/>
      <c r="KF82" s="88"/>
      <c r="KG82" s="88"/>
      <c r="KH82" s="88"/>
      <c r="KI82" s="88"/>
      <c r="KJ82" s="88"/>
      <c r="KK82" s="88"/>
      <c r="KL82" s="88"/>
      <c r="KM82" s="88"/>
      <c r="KN82" s="88"/>
      <c r="KO82" s="88"/>
      <c r="KP82" s="88"/>
      <c r="KQ82" s="88"/>
      <c r="KR82" s="88"/>
      <c r="KS82" s="88"/>
      <c r="KT82" s="88"/>
      <c r="KU82" s="88"/>
      <c r="KV82" s="88"/>
      <c r="KW82" s="88"/>
      <c r="KX82" s="88"/>
      <c r="KY82" s="88"/>
      <c r="KZ82" s="88"/>
      <c r="LA82" s="88"/>
      <c r="LB82" s="88"/>
      <c r="LC82" s="88"/>
      <c r="LD82" s="88"/>
      <c r="LE82" s="88"/>
      <c r="LF82" s="88"/>
      <c r="LG82" s="88"/>
      <c r="LH82" s="88"/>
      <c r="LI82" s="88"/>
      <c r="LJ82" s="88"/>
      <c r="LK82" s="88"/>
      <c r="LL82" s="88"/>
      <c r="LM82" s="88"/>
      <c r="LN82" s="88"/>
      <c r="LO82" s="88"/>
      <c r="LP82" s="88"/>
      <c r="LQ82" s="88"/>
      <c r="LR82" s="88"/>
      <c r="LS82" s="88"/>
      <c r="LT82" s="88"/>
      <c r="LU82" s="88"/>
      <c r="LV82" s="88"/>
      <c r="LW82" s="88"/>
      <c r="LX82" s="88"/>
      <c r="LY82" s="88"/>
      <c r="LZ82" s="88"/>
      <c r="MA82" s="88"/>
      <c r="MB82" s="88"/>
      <c r="MC82" s="88"/>
      <c r="MD82" s="88"/>
      <c r="ME82" s="88"/>
      <c r="MF82" s="88"/>
      <c r="MG82" s="88"/>
      <c r="MH82" s="88"/>
      <c r="MI82" s="88"/>
      <c r="MJ82" s="88"/>
      <c r="MK82" s="88"/>
      <c r="ML82" s="88"/>
      <c r="MM82" s="88"/>
      <c r="MN82" s="88"/>
      <c r="MO82" s="88"/>
      <c r="MP82" s="88"/>
      <c r="MQ82" s="88"/>
      <c r="MR82" s="88"/>
      <c r="MS82" s="88"/>
      <c r="MT82" s="88"/>
      <c r="MU82" s="88"/>
      <c r="MV82" s="88"/>
      <c r="MW82" s="88"/>
      <c r="MX82" s="88"/>
      <c r="MY82" s="88"/>
      <c r="MZ82" s="88"/>
      <c r="NA82" s="88"/>
      <c r="NB82" s="88"/>
      <c r="NC82" s="88"/>
      <c r="ND82" s="88"/>
      <c r="NE82" s="88"/>
      <c r="NF82" s="88"/>
      <c r="NG82" s="88"/>
      <c r="NH82" s="88"/>
      <c r="NI82" s="88"/>
      <c r="NJ82" s="88"/>
      <c r="NK82" s="88"/>
      <c r="NL82" s="88"/>
      <c r="NM82" s="88"/>
      <c r="NN82" s="88"/>
      <c r="NO82" s="88"/>
      <c r="NP82" s="88"/>
      <c r="NQ82" s="88"/>
      <c r="NR82" s="88"/>
      <c r="NS82" s="88"/>
      <c r="NT82" s="88"/>
      <c r="NU82" s="88"/>
      <c r="NV82" s="88"/>
      <c r="NW82" s="88"/>
      <c r="NX82" s="88"/>
      <c r="NY82" s="88"/>
      <c r="NZ82" s="88"/>
      <c r="OA82" s="88"/>
      <c r="OB82" s="88"/>
      <c r="OC82" s="88"/>
      <c r="OD82" s="88"/>
      <c r="OE82" s="88"/>
      <c r="OF82" s="88"/>
      <c r="OG82" s="88"/>
      <c r="OH82" s="88"/>
      <c r="OI82" s="88"/>
      <c r="OJ82" s="88"/>
      <c r="OK82" s="88"/>
      <c r="OL82" s="88"/>
      <c r="OM82" s="88"/>
      <c r="ON82" s="88"/>
      <c r="OO82" s="88"/>
      <c r="OP82" s="88"/>
      <c r="OQ82" s="88"/>
      <c r="OR82" s="88"/>
      <c r="OS82" s="88"/>
      <c r="OT82" s="88"/>
      <c r="OU82" s="88"/>
      <c r="OV82" s="88"/>
      <c r="OW82" s="88"/>
      <c r="OX82" s="88"/>
      <c r="OY82" s="88"/>
      <c r="OZ82" s="88"/>
      <c r="PA82" s="88"/>
      <c r="PB82" s="88"/>
      <c r="PC82" s="88"/>
      <c r="PD82" s="88"/>
      <c r="PE82" s="88"/>
      <c r="PF82" s="88"/>
      <c r="PG82" s="88"/>
      <c r="PH82" s="88"/>
      <c r="PI82" s="88"/>
      <c r="PJ82" s="88"/>
      <c r="PK82" s="88"/>
      <c r="PL82" s="88"/>
      <c r="PM82" s="88"/>
      <c r="PN82" s="88"/>
      <c r="PO82" s="88"/>
      <c r="PP82" s="88"/>
      <c r="PQ82" s="88"/>
      <c r="PR82" s="88"/>
      <c r="PS82" s="88"/>
      <c r="PT82" s="88"/>
      <c r="PU82" s="88"/>
      <c r="PV82" s="88"/>
      <c r="PW82" s="88"/>
      <c r="PX82" s="88"/>
      <c r="PY82" s="88"/>
      <c r="PZ82" s="88"/>
      <c r="QA82" s="88"/>
      <c r="QB82" s="88"/>
      <c r="QC82" s="88"/>
      <c r="QD82" s="88"/>
      <c r="QE82" s="88"/>
      <c r="QF82" s="88"/>
      <c r="QG82" s="88"/>
      <c r="QH82" s="88"/>
      <c r="QI82" s="88"/>
      <c r="QJ82" s="88"/>
      <c r="QK82" s="88"/>
      <c r="QL82" s="88"/>
      <c r="QM82" s="88"/>
      <c r="QN82" s="88"/>
      <c r="QO82" s="88"/>
      <c r="QP82" s="88"/>
      <c r="QQ82" s="88"/>
      <c r="QR82" s="88"/>
      <c r="QS82" s="88"/>
      <c r="QT82" s="88"/>
      <c r="QU82" s="88"/>
      <c r="QV82" s="88"/>
      <c r="QW82" s="88"/>
      <c r="QX82" s="88"/>
      <c r="QY82" s="88"/>
      <c r="QZ82" s="88"/>
      <c r="RA82" s="88"/>
      <c r="RB82" s="88"/>
      <c r="RC82" s="88"/>
      <c r="RD82" s="88"/>
      <c r="RE82" s="88"/>
      <c r="RF82" s="88"/>
      <c r="RG82" s="88"/>
      <c r="RH82" s="88"/>
      <c r="RI82" s="88"/>
      <c r="RJ82" s="88"/>
      <c r="RK82" s="88"/>
      <c r="RL82" s="88"/>
      <c r="RM82" s="88"/>
      <c r="RN82" s="88"/>
      <c r="RO82" s="88"/>
      <c r="RP82" s="88"/>
      <c r="RQ82" s="88"/>
      <c r="RR82" s="88"/>
      <c r="RS82" s="88"/>
      <c r="RT82" s="88"/>
      <c r="RU82" s="88"/>
      <c r="RV82" s="88"/>
      <c r="RW82" s="88"/>
      <c r="RX82" s="88"/>
      <c r="RY82" s="88"/>
      <c r="RZ82" s="88"/>
      <c r="SA82" s="88"/>
      <c r="SB82" s="88"/>
      <c r="SC82" s="88"/>
      <c r="SD82" s="88"/>
      <c r="SE82" s="88"/>
      <c r="SF82" s="88"/>
      <c r="SG82" s="88"/>
      <c r="SH82" s="88"/>
      <c r="SI82" s="88"/>
      <c r="SJ82" s="88"/>
      <c r="SK82" s="88"/>
      <c r="SL82" s="88"/>
      <c r="SM82" s="88"/>
      <c r="SN82" s="88"/>
      <c r="SO82" s="88"/>
      <c r="SP82" s="88"/>
      <c r="SQ82" s="88"/>
      <c r="SR82" s="88"/>
      <c r="SS82" s="88"/>
      <c r="ST82" s="88"/>
      <c r="SU82" s="88"/>
      <c r="SV82" s="88"/>
      <c r="SW82" s="88"/>
      <c r="SX82" s="88"/>
      <c r="SY82" s="88"/>
      <c r="SZ82" s="88"/>
      <c r="TA82" s="88"/>
      <c r="TB82" s="88"/>
      <c r="TC82" s="88"/>
      <c r="TD82" s="88"/>
      <c r="TE82" s="88"/>
      <c r="TF82" s="88"/>
      <c r="TG82" s="88"/>
      <c r="TH82" s="88"/>
      <c r="TI82" s="88"/>
      <c r="TJ82" s="88"/>
      <c r="TK82" s="88"/>
      <c r="TL82" s="88"/>
      <c r="TM82" s="88"/>
      <c r="TN82" s="88"/>
      <c r="TO82" s="88"/>
      <c r="TP82" s="88"/>
      <c r="TQ82" s="88"/>
      <c r="TR82" s="88"/>
      <c r="TS82" s="88"/>
      <c r="TT82" s="88"/>
      <c r="TU82" s="88"/>
      <c r="TV82" s="88"/>
      <c r="TW82" s="88"/>
      <c r="TX82" s="88"/>
      <c r="TY82" s="88"/>
      <c r="TZ82" s="88"/>
      <c r="UA82" s="88"/>
      <c r="UB82" s="88"/>
      <c r="UC82" s="88"/>
      <c r="UD82" s="88"/>
      <c r="UE82" s="88"/>
      <c r="UF82" s="88"/>
      <c r="UG82" s="88"/>
      <c r="UH82" s="88"/>
      <c r="UI82" s="88"/>
      <c r="UJ82" s="88"/>
      <c r="UK82" s="88"/>
      <c r="UL82" s="88"/>
      <c r="UM82" s="88"/>
      <c r="UN82" s="88"/>
      <c r="UO82" s="88"/>
      <c r="UP82" s="88"/>
      <c r="UQ82" s="88"/>
      <c r="UR82" s="88"/>
      <c r="US82" s="88"/>
      <c r="UT82" s="88"/>
      <c r="UU82" s="88"/>
      <c r="UV82" s="88"/>
      <c r="UW82" s="88"/>
      <c r="UX82" s="88"/>
      <c r="UY82" s="88"/>
      <c r="UZ82" s="88"/>
      <c r="VA82" s="88"/>
      <c r="VB82" s="88"/>
      <c r="VC82" s="88"/>
      <c r="VD82" s="88"/>
      <c r="VE82" s="88"/>
      <c r="VF82" s="88"/>
      <c r="VG82" s="88"/>
      <c r="VH82" s="88"/>
      <c r="VI82" s="88"/>
      <c r="VJ82" s="88"/>
      <c r="VK82" s="88"/>
      <c r="VL82" s="88"/>
      <c r="VM82" s="88"/>
      <c r="VN82" s="88"/>
      <c r="VO82" s="88"/>
      <c r="VP82" s="88"/>
      <c r="VQ82" s="88"/>
      <c r="VR82" s="88"/>
      <c r="VS82" s="88"/>
      <c r="VT82" s="88"/>
      <c r="VU82" s="88"/>
      <c r="VV82" s="88"/>
      <c r="VW82" s="88"/>
      <c r="VX82" s="88"/>
      <c r="VY82" s="88"/>
      <c r="VZ82" s="88"/>
      <c r="WA82" s="88"/>
      <c r="WB82" s="88"/>
      <c r="WC82" s="88"/>
      <c r="WD82" s="88"/>
      <c r="WE82" s="88"/>
      <c r="WF82" s="88"/>
      <c r="WG82" s="88"/>
      <c r="WH82" s="88"/>
      <c r="WI82" s="88"/>
      <c r="WJ82" s="88"/>
      <c r="WK82" s="88"/>
      <c r="WL82" s="88"/>
      <c r="WM82" s="88"/>
      <c r="WN82" s="88"/>
      <c r="WO82" s="88"/>
      <c r="WP82" s="88"/>
      <c r="WQ82" s="88"/>
      <c r="WR82" s="88"/>
      <c r="WS82" s="88"/>
      <c r="WT82" s="88"/>
      <c r="WU82" s="88"/>
      <c r="WV82" s="88"/>
      <c r="WW82" s="88"/>
      <c r="WX82" s="88"/>
      <c r="WY82" s="88"/>
      <c r="WZ82" s="88"/>
      <c r="XA82" s="88"/>
      <c r="XB82" s="88"/>
      <c r="XC82" s="88"/>
      <c r="XD82" s="88"/>
      <c r="XE82" s="88"/>
      <c r="XF82" s="88"/>
      <c r="XG82" s="88"/>
      <c r="XH82" s="88"/>
      <c r="XI82" s="88"/>
      <c r="XJ82" s="88"/>
      <c r="XK82" s="88"/>
      <c r="XL82" s="88"/>
      <c r="XM82" s="88"/>
      <c r="XN82" s="88"/>
      <c r="XO82" s="88"/>
      <c r="XP82" s="88"/>
      <c r="XQ82" s="88"/>
      <c r="XR82" s="88"/>
      <c r="XS82" s="88"/>
      <c r="XT82" s="88"/>
      <c r="XU82" s="88"/>
      <c r="XV82" s="88"/>
      <c r="XW82" s="88"/>
      <c r="XX82" s="88"/>
      <c r="XY82" s="88"/>
      <c r="XZ82" s="88"/>
      <c r="YA82" s="88"/>
      <c r="YB82" s="88"/>
      <c r="YC82" s="88"/>
      <c r="YD82" s="88"/>
      <c r="YE82" s="88"/>
      <c r="YF82" s="88"/>
      <c r="YG82" s="88"/>
      <c r="YH82" s="88"/>
      <c r="YI82" s="88"/>
      <c r="YJ82" s="88"/>
      <c r="YK82" s="88"/>
      <c r="YL82" s="88"/>
      <c r="YM82" s="88"/>
      <c r="YN82" s="88"/>
      <c r="YO82" s="88"/>
      <c r="YP82" s="88"/>
      <c r="YQ82" s="88"/>
      <c r="YR82" s="88"/>
      <c r="YS82" s="88"/>
      <c r="YT82" s="88"/>
      <c r="YU82" s="88"/>
      <c r="YV82" s="88"/>
      <c r="YW82" s="88"/>
      <c r="YX82" s="88"/>
      <c r="YY82" s="88"/>
      <c r="YZ82" s="88"/>
      <c r="ZA82" s="88"/>
      <c r="ZB82" s="88"/>
      <c r="ZC82" s="88"/>
      <c r="ZD82" s="88"/>
      <c r="ZE82" s="88"/>
      <c r="ZF82" s="88"/>
      <c r="ZG82" s="88"/>
      <c r="ZH82" s="88"/>
      <c r="ZI82" s="88"/>
      <c r="ZJ82" s="88"/>
      <c r="ZK82" s="88"/>
      <c r="ZL82" s="88"/>
      <c r="ZM82" s="88"/>
      <c r="ZN82" s="88"/>
      <c r="ZO82" s="88"/>
      <c r="ZP82" s="88"/>
      <c r="ZQ82" s="88"/>
      <c r="ZR82" s="88"/>
      <c r="ZS82" s="88"/>
      <c r="ZT82" s="88"/>
      <c r="ZU82" s="88"/>
      <c r="ZV82" s="88"/>
      <c r="ZW82" s="88"/>
      <c r="ZX82" s="88"/>
      <c r="ZY82" s="88"/>
      <c r="ZZ82" s="88"/>
      <c r="AAA82" s="88"/>
      <c r="AAB82" s="88"/>
      <c r="AAC82" s="88"/>
      <c r="AAD82" s="88"/>
      <c r="AAE82" s="88"/>
      <c r="AAF82" s="88"/>
      <c r="AAG82" s="88"/>
      <c r="AAH82" s="88"/>
      <c r="AAI82" s="88"/>
      <c r="AAJ82" s="88"/>
      <c r="AAK82" s="88"/>
      <c r="AAL82" s="88"/>
      <c r="AAM82" s="88"/>
      <c r="AAN82" s="88"/>
      <c r="AAO82" s="88"/>
      <c r="AAP82" s="88"/>
      <c r="AAQ82" s="88"/>
      <c r="AAR82" s="88"/>
      <c r="AAS82" s="88"/>
      <c r="AAT82" s="88"/>
      <c r="AAU82" s="88"/>
      <c r="AAV82" s="88"/>
      <c r="AAW82" s="88"/>
      <c r="AAX82" s="88"/>
      <c r="AAY82" s="88"/>
      <c r="AAZ82" s="88"/>
      <c r="ABA82" s="88"/>
      <c r="ABB82" s="88"/>
      <c r="ABC82" s="88"/>
      <c r="ABD82" s="88"/>
      <c r="ABE82" s="88"/>
      <c r="ABF82" s="88"/>
      <c r="ABG82" s="88"/>
      <c r="ABH82" s="88"/>
      <c r="ABI82" s="88"/>
      <c r="ABJ82" s="88"/>
      <c r="ABK82" s="88"/>
      <c r="ABL82" s="88"/>
      <c r="ABM82" s="88"/>
      <c r="ABN82" s="88"/>
      <c r="ABO82" s="88"/>
      <c r="ABP82" s="88"/>
      <c r="ABQ82" s="88"/>
      <c r="ABR82" s="88"/>
      <c r="ABS82" s="88"/>
      <c r="ABT82" s="88"/>
      <c r="ABU82" s="88"/>
      <c r="ABV82" s="88"/>
      <c r="ABW82" s="88"/>
      <c r="ABX82" s="88"/>
      <c r="ABY82" s="88"/>
      <c r="ABZ82" s="88"/>
      <c r="ACA82" s="88"/>
      <c r="ACB82" s="88"/>
      <c r="ACC82" s="88"/>
      <c r="ACD82" s="88"/>
      <c r="ACE82" s="88"/>
      <c r="ACF82" s="88"/>
      <c r="ACG82" s="88"/>
      <c r="ACH82" s="88"/>
      <c r="ACI82" s="88"/>
      <c r="ACJ82" s="88"/>
      <c r="ACK82" s="88"/>
      <c r="ACL82" s="88"/>
      <c r="ACM82" s="88"/>
      <c r="ACN82" s="88"/>
      <c r="ACO82" s="88"/>
      <c r="ACP82" s="88"/>
      <c r="ACQ82" s="88"/>
      <c r="ACR82" s="88"/>
      <c r="ACS82" s="88"/>
      <c r="ACT82" s="88"/>
      <c r="ACU82" s="88"/>
      <c r="ACV82" s="88"/>
      <c r="ACW82" s="88"/>
      <c r="ACX82" s="88"/>
      <c r="ACY82" s="88"/>
      <c r="ACZ82" s="88"/>
      <c r="ADA82" s="88"/>
      <c r="ADB82" s="88"/>
      <c r="ADC82" s="88"/>
      <c r="ADD82" s="88"/>
      <c r="ADE82" s="88"/>
      <c r="ADF82" s="88"/>
      <c r="ADG82" s="88"/>
      <c r="ADH82" s="88"/>
      <c r="ADI82" s="88"/>
      <c r="ADJ82" s="88"/>
      <c r="ADK82" s="88"/>
      <c r="ADL82" s="88"/>
      <c r="ADM82" s="88"/>
      <c r="ADN82" s="88"/>
      <c r="ADO82" s="88"/>
      <c r="ADP82" s="88"/>
      <c r="ADQ82" s="88"/>
      <c r="ADR82" s="88"/>
      <c r="ADS82" s="88"/>
      <c r="ADT82" s="88"/>
      <c r="ADU82" s="88"/>
      <c r="ADV82" s="88"/>
      <c r="ADW82" s="88"/>
      <c r="ADX82" s="88"/>
      <c r="ADY82" s="88"/>
      <c r="ADZ82" s="88"/>
      <c r="AEA82" s="88"/>
      <c r="AEB82" s="88"/>
      <c r="AEC82" s="88"/>
      <c r="AED82" s="88"/>
      <c r="AEE82" s="88"/>
      <c r="AEF82" s="88"/>
      <c r="AEG82" s="88"/>
      <c r="AEH82" s="88"/>
      <c r="AEI82" s="88"/>
      <c r="AEJ82" s="88"/>
      <c r="AEK82" s="88"/>
      <c r="AEL82" s="88"/>
      <c r="AEM82" s="88"/>
      <c r="AEN82" s="88"/>
      <c r="AEO82" s="88"/>
      <c r="AEP82" s="88"/>
      <c r="AEQ82" s="88"/>
      <c r="AER82" s="88"/>
      <c r="AES82" s="88"/>
      <c r="AET82" s="88"/>
      <c r="AEU82" s="88"/>
      <c r="AEV82" s="88"/>
      <c r="AEW82" s="88"/>
      <c r="AEX82" s="88"/>
      <c r="AEY82" s="88"/>
      <c r="AEZ82" s="88"/>
      <c r="AFA82" s="88"/>
      <c r="AFB82" s="88"/>
      <c r="AFC82" s="88"/>
      <c r="AFD82" s="88"/>
      <c r="AFE82" s="88"/>
      <c r="AFF82" s="88"/>
      <c r="AFG82" s="88"/>
      <c r="AFH82" s="88"/>
      <c r="AFI82" s="88"/>
      <c r="AFJ82" s="88"/>
      <c r="AFK82" s="88"/>
      <c r="AFL82" s="88"/>
      <c r="AFM82" s="88"/>
      <c r="AFN82" s="88"/>
      <c r="AFO82" s="88"/>
      <c r="AFP82" s="88"/>
      <c r="AFQ82" s="88"/>
      <c r="AFR82" s="88"/>
      <c r="AFS82" s="88"/>
      <c r="AFT82" s="88"/>
      <c r="AFU82" s="88"/>
      <c r="AFV82" s="88"/>
      <c r="AFW82" s="88"/>
      <c r="AFX82" s="88"/>
      <c r="AFY82" s="88"/>
      <c r="AFZ82" s="88"/>
      <c r="AGA82" s="88"/>
      <c r="AGB82" s="88"/>
      <c r="AGC82" s="88"/>
      <c r="AGD82" s="88"/>
      <c r="AGE82" s="88"/>
      <c r="AGF82" s="88"/>
      <c r="AGG82" s="88"/>
      <c r="AGH82" s="88"/>
      <c r="AGI82" s="88"/>
      <c r="AGJ82" s="88"/>
      <c r="AGK82" s="88"/>
      <c r="AGL82" s="88"/>
      <c r="AGM82" s="88"/>
      <c r="AGN82" s="88"/>
      <c r="AGO82" s="88"/>
      <c r="AGP82" s="88"/>
      <c r="AGQ82" s="88"/>
      <c r="AGR82" s="88"/>
      <c r="AGS82" s="88"/>
      <c r="AGT82" s="88"/>
      <c r="AGU82" s="88"/>
      <c r="AGV82" s="88"/>
      <c r="AGW82" s="88"/>
      <c r="AGX82" s="88"/>
      <c r="AGY82" s="88"/>
      <c r="AGZ82" s="88"/>
      <c r="AHA82" s="88"/>
      <c r="AHB82" s="88"/>
      <c r="AHC82" s="88"/>
      <c r="AHD82" s="88"/>
      <c r="AHE82" s="88"/>
      <c r="AHF82" s="88"/>
      <c r="AHG82" s="88"/>
      <c r="AHH82" s="88"/>
      <c r="AHI82" s="88"/>
      <c r="AHJ82" s="88"/>
      <c r="AHK82" s="88"/>
      <c r="AHL82" s="88"/>
      <c r="AHM82" s="88"/>
      <c r="AHN82" s="88"/>
      <c r="AHO82" s="88"/>
      <c r="AHP82" s="88"/>
      <c r="AHQ82" s="88"/>
      <c r="AHR82" s="88"/>
      <c r="AHS82" s="88"/>
      <c r="AHT82" s="88"/>
      <c r="AHU82" s="88"/>
      <c r="AHV82" s="88"/>
      <c r="AHW82" s="88"/>
      <c r="AHX82" s="88"/>
      <c r="AHY82" s="88"/>
      <c r="AHZ82" s="88"/>
      <c r="AIA82" s="88"/>
      <c r="AIB82" s="88"/>
      <c r="AIC82" s="88"/>
      <c r="AID82" s="88"/>
      <c r="AIE82" s="88"/>
      <c r="AIF82" s="88"/>
      <c r="AIG82" s="88"/>
      <c r="AIH82" s="88"/>
      <c r="AII82" s="88"/>
      <c r="AIJ82" s="88"/>
      <c r="AIK82" s="88"/>
      <c r="AIL82" s="88"/>
      <c r="AIM82" s="88"/>
      <c r="AIN82" s="88"/>
      <c r="AIO82" s="88"/>
      <c r="AIP82" s="88"/>
      <c r="AIQ82" s="88"/>
      <c r="AIR82" s="88"/>
      <c r="AIS82" s="88"/>
      <c r="AIT82" s="88"/>
      <c r="AIU82" s="88"/>
      <c r="AIV82" s="88"/>
      <c r="AIW82" s="88"/>
      <c r="AIX82" s="88"/>
      <c r="AIY82" s="88"/>
      <c r="AIZ82" s="88"/>
      <c r="AJA82" s="88"/>
      <c r="AJB82" s="88"/>
      <c r="AJC82" s="88"/>
      <c r="AJD82" s="88"/>
      <c r="AJE82" s="88"/>
      <c r="AJF82" s="88"/>
      <c r="AJG82" s="88"/>
      <c r="AJH82" s="88"/>
      <c r="AJI82" s="88"/>
      <c r="AJJ82" s="88"/>
      <c r="AJK82" s="88"/>
      <c r="AJL82" s="88"/>
      <c r="AJM82" s="88"/>
      <c r="AJN82" s="88"/>
      <c r="AJO82" s="88"/>
      <c r="AJP82" s="88"/>
      <c r="AJQ82" s="88"/>
      <c r="AJR82" s="88"/>
      <c r="AJS82" s="88"/>
      <c r="AJT82" s="88"/>
      <c r="AJU82" s="88"/>
      <c r="AJV82" s="88"/>
      <c r="AJW82" s="88"/>
      <c r="AJX82" s="88"/>
      <c r="AJY82" s="88"/>
      <c r="AJZ82" s="88"/>
      <c r="AKA82" s="88"/>
      <c r="AKB82" s="88"/>
      <c r="AKC82" s="88"/>
      <c r="AKD82" s="88"/>
      <c r="AKE82" s="88"/>
      <c r="AKF82" s="88"/>
      <c r="AKG82" s="88"/>
      <c r="AKH82" s="88"/>
      <c r="AKI82" s="88"/>
      <c r="AKJ82" s="88"/>
      <c r="AKK82" s="88"/>
      <c r="AKL82" s="88"/>
      <c r="AKM82" s="88"/>
      <c r="AKN82" s="88"/>
      <c r="AKO82" s="88"/>
      <c r="AKP82" s="88"/>
      <c r="AKQ82" s="88"/>
      <c r="AKR82" s="88"/>
      <c r="AKS82" s="88"/>
      <c r="AKT82" s="88"/>
      <c r="AKU82" s="88"/>
      <c r="AKV82" s="88"/>
      <c r="AKW82" s="88"/>
      <c r="AKX82" s="88"/>
      <c r="AKY82" s="88"/>
      <c r="AKZ82" s="88"/>
      <c r="ALA82" s="88"/>
      <c r="ALB82" s="88"/>
      <c r="ALC82" s="88"/>
      <c r="ALD82" s="88"/>
      <c r="ALE82" s="88"/>
      <c r="ALF82" s="88"/>
      <c r="ALG82" s="88"/>
      <c r="ALH82" s="88"/>
      <c r="ALI82" s="88"/>
      <c r="ALJ82" s="88"/>
      <c r="ALK82" s="88"/>
      <c r="ALL82" s="88"/>
      <c r="ALM82" s="88"/>
      <c r="ALN82" s="88"/>
      <c r="ALO82" s="88"/>
      <c r="ALP82" s="88"/>
      <c r="ALQ82" s="88"/>
      <c r="ALR82" s="88"/>
      <c r="ALS82" s="88"/>
      <c r="ALT82" s="88"/>
      <c r="ALU82" s="88"/>
      <c r="ALV82" s="88"/>
      <c r="ALW82" s="88"/>
      <c r="ALX82" s="88"/>
      <c r="ALY82" s="88"/>
      <c r="ALZ82" s="88"/>
      <c r="AMA82" s="88"/>
      <c r="AMB82" s="88"/>
      <c r="AMC82" s="88"/>
      <c r="AMD82" s="88"/>
      <c r="AME82" s="88"/>
      <c r="AMF82" s="88"/>
      <c r="AMG82" s="88"/>
      <c r="AMH82" s="88"/>
      <c r="AMI82" s="88"/>
      <c r="AMJ82" s="88"/>
      <c r="AMK82" s="88"/>
      <c r="AML82" s="88"/>
      <c r="AMM82" s="88"/>
      <c r="AMN82" s="88"/>
      <c r="AMO82" s="88"/>
      <c r="AMP82" s="88"/>
      <c r="AMQ82" s="88"/>
      <c r="AMR82" s="88"/>
      <c r="AMS82" s="88"/>
      <c r="AMT82" s="88"/>
      <c r="AMU82" s="88"/>
      <c r="AMV82" s="88"/>
      <c r="AMW82" s="88"/>
      <c r="AMX82" s="88"/>
      <c r="AMY82" s="88"/>
      <c r="AMZ82" s="88"/>
      <c r="ANA82" s="88"/>
      <c r="ANB82" s="88"/>
      <c r="ANC82" s="88"/>
      <c r="AND82" s="88"/>
      <c r="ANE82" s="88"/>
      <c r="ANF82" s="88"/>
      <c r="ANG82" s="88"/>
      <c r="ANH82" s="88"/>
      <c r="ANI82" s="88"/>
      <c r="ANJ82" s="88"/>
      <c r="ANK82" s="88"/>
      <c r="ANL82" s="88"/>
      <c r="ANM82" s="88"/>
      <c r="ANN82" s="88"/>
      <c r="ANO82" s="88"/>
      <c r="ANP82" s="88"/>
      <c r="ANQ82" s="88"/>
      <c r="ANR82" s="88"/>
      <c r="ANS82" s="88"/>
      <c r="ANT82" s="88"/>
      <c r="ANU82" s="88"/>
      <c r="ANV82" s="88"/>
      <c r="ANW82" s="88"/>
      <c r="ANX82" s="88"/>
      <c r="ANY82" s="88"/>
      <c r="ANZ82" s="88"/>
      <c r="AOA82" s="88"/>
      <c r="AOB82" s="88"/>
      <c r="AOC82" s="88"/>
      <c r="AOD82" s="88"/>
      <c r="AOE82" s="88"/>
      <c r="AOF82" s="88"/>
      <c r="AOG82" s="88"/>
      <c r="AOH82" s="88"/>
      <c r="AOI82" s="88"/>
      <c r="AOJ82" s="88"/>
      <c r="AOK82" s="88"/>
      <c r="AOL82" s="88"/>
      <c r="AOM82" s="88"/>
      <c r="AON82" s="88"/>
      <c r="AOO82" s="88"/>
      <c r="AOP82" s="88"/>
      <c r="AOQ82" s="88"/>
      <c r="AOR82" s="88"/>
      <c r="AOS82" s="88"/>
      <c r="AOT82" s="88"/>
      <c r="AOU82" s="88"/>
      <c r="AOV82" s="88"/>
      <c r="AOW82" s="88"/>
      <c r="AOX82" s="88"/>
      <c r="AOY82" s="88"/>
      <c r="AOZ82" s="88"/>
      <c r="APA82" s="88"/>
      <c r="APB82" s="88"/>
      <c r="APC82" s="88"/>
      <c r="APD82" s="88"/>
      <c r="APE82" s="88"/>
      <c r="APF82" s="88"/>
      <c r="APG82" s="88"/>
      <c r="APH82" s="88"/>
      <c r="API82" s="88"/>
      <c r="APJ82" s="88"/>
      <c r="APK82" s="88"/>
      <c r="APL82" s="88"/>
      <c r="APM82" s="88"/>
      <c r="APN82" s="88"/>
      <c r="APO82" s="88"/>
      <c r="APP82" s="88"/>
      <c r="APQ82" s="88"/>
      <c r="APR82" s="88"/>
      <c r="APS82" s="88"/>
      <c r="APT82" s="88"/>
      <c r="APU82" s="88"/>
      <c r="APV82" s="88"/>
      <c r="APW82" s="88"/>
      <c r="APX82" s="88"/>
      <c r="APY82" s="88"/>
      <c r="APZ82" s="88"/>
      <c r="AQA82" s="88"/>
      <c r="AQB82" s="88"/>
      <c r="AQC82" s="88"/>
      <c r="AQD82" s="88"/>
      <c r="AQE82" s="88"/>
      <c r="AQF82" s="88"/>
      <c r="AQG82" s="88"/>
      <c r="AQH82" s="88"/>
      <c r="AQI82" s="88"/>
      <c r="AQJ82" s="88"/>
      <c r="AQK82" s="88"/>
      <c r="AQL82" s="88"/>
      <c r="AQM82" s="88"/>
      <c r="AQN82" s="88"/>
      <c r="AQO82" s="88"/>
      <c r="AQP82" s="88"/>
      <c r="AQQ82" s="88"/>
      <c r="AQR82" s="88"/>
      <c r="AQS82" s="88"/>
      <c r="AQT82" s="88"/>
      <c r="AQU82" s="88"/>
      <c r="AQV82" s="88"/>
      <c r="AQW82" s="88"/>
      <c r="AQX82" s="88"/>
      <c r="AQY82" s="88"/>
      <c r="AQZ82" s="88"/>
      <c r="ARA82" s="88"/>
      <c r="ARB82" s="88"/>
      <c r="ARC82" s="88"/>
      <c r="ARD82" s="88"/>
      <c r="ARE82" s="88"/>
      <c r="ARF82" s="88"/>
      <c r="ARG82" s="88"/>
      <c r="ARH82" s="88"/>
      <c r="ARI82" s="88"/>
      <c r="ARJ82" s="88"/>
      <c r="ARK82" s="88"/>
      <c r="ARL82" s="88"/>
      <c r="ARM82" s="88"/>
      <c r="ARN82" s="88"/>
      <c r="ARO82" s="88"/>
      <c r="ARP82" s="88"/>
      <c r="ARQ82" s="88"/>
      <c r="ARR82" s="88"/>
      <c r="ARS82" s="88"/>
      <c r="ART82" s="88"/>
      <c r="ARU82" s="88"/>
      <c r="ARV82" s="88"/>
      <c r="ARW82" s="88"/>
      <c r="ARX82" s="88"/>
      <c r="ARY82" s="88"/>
      <c r="ARZ82" s="88"/>
      <c r="ASA82" s="88"/>
      <c r="ASB82" s="88"/>
      <c r="ASC82" s="88"/>
      <c r="ASD82" s="88"/>
      <c r="ASE82" s="88"/>
      <c r="ASF82" s="88"/>
      <c r="ASG82" s="88"/>
      <c r="ASH82" s="88"/>
      <c r="ASI82" s="88"/>
      <c r="ASJ82" s="88"/>
      <c r="ASK82" s="88"/>
      <c r="ASL82" s="88"/>
      <c r="ASM82" s="88"/>
      <c r="ASN82" s="88"/>
      <c r="ASO82" s="88"/>
      <c r="ASP82" s="88"/>
      <c r="ASQ82" s="88"/>
      <c r="ASR82" s="88"/>
      <c r="ASS82" s="88"/>
      <c r="AST82" s="88"/>
      <c r="ASU82" s="88"/>
      <c r="ASV82" s="88"/>
      <c r="ASW82" s="88"/>
      <c r="ASX82" s="88"/>
      <c r="ASY82" s="88"/>
      <c r="ASZ82" s="88"/>
      <c r="ATA82" s="88"/>
      <c r="ATB82" s="88"/>
      <c r="ATC82" s="88"/>
      <c r="ATD82" s="88"/>
      <c r="ATE82" s="88"/>
      <c r="ATF82" s="88"/>
      <c r="ATG82" s="88"/>
      <c r="ATH82" s="88"/>
      <c r="ATI82" s="88"/>
      <c r="ATJ82" s="88"/>
      <c r="ATK82" s="88"/>
      <c r="ATL82" s="88"/>
      <c r="ATM82" s="88"/>
      <c r="ATN82" s="88"/>
      <c r="ATO82" s="88"/>
      <c r="ATP82" s="88"/>
      <c r="ATQ82" s="88"/>
      <c r="ATR82" s="88"/>
      <c r="ATS82" s="88"/>
      <c r="ATT82" s="88"/>
      <c r="ATU82" s="88"/>
      <c r="ATV82" s="88"/>
      <c r="ATW82" s="88"/>
      <c r="ATX82" s="88"/>
      <c r="ATY82" s="88"/>
      <c r="ATZ82" s="88"/>
      <c r="AUA82" s="88"/>
      <c r="AUB82" s="88"/>
      <c r="AUC82" s="88"/>
      <c r="AUD82" s="88"/>
      <c r="AUE82" s="88"/>
      <c r="AUF82" s="88"/>
      <c r="AUG82" s="88"/>
      <c r="AUH82" s="88"/>
      <c r="AUI82" s="88"/>
      <c r="AUJ82" s="88"/>
      <c r="AUK82" s="88"/>
      <c r="AUL82" s="88"/>
      <c r="AUM82" s="88"/>
      <c r="AUN82" s="88"/>
      <c r="AUO82" s="88"/>
      <c r="AUP82" s="88"/>
      <c r="AUQ82" s="88"/>
      <c r="AUR82" s="88"/>
      <c r="AUS82" s="88"/>
      <c r="AUT82" s="88"/>
      <c r="AUU82" s="88"/>
      <c r="AUV82" s="88"/>
      <c r="AUW82" s="88"/>
      <c r="AUX82" s="88"/>
      <c r="AUY82" s="88"/>
      <c r="AUZ82" s="88"/>
      <c r="AVA82" s="88"/>
      <c r="AVB82" s="88"/>
      <c r="AVC82" s="88"/>
      <c r="AVD82" s="88"/>
      <c r="AVE82" s="88"/>
      <c r="AVF82" s="88"/>
      <c r="AVG82" s="88"/>
      <c r="AVH82" s="88"/>
      <c r="AVI82" s="88"/>
      <c r="AVJ82" s="88"/>
      <c r="AVK82" s="88"/>
      <c r="AVL82" s="88"/>
      <c r="AVM82" s="88"/>
      <c r="AVN82" s="88"/>
      <c r="AVO82" s="88"/>
      <c r="AVP82" s="88"/>
      <c r="AVQ82" s="88"/>
      <c r="AVR82" s="88"/>
      <c r="AVS82" s="88"/>
      <c r="AVT82" s="88"/>
      <c r="AVU82" s="88"/>
      <c r="AVV82" s="88"/>
      <c r="AVW82" s="88"/>
      <c r="AVX82" s="88"/>
      <c r="AVY82" s="88"/>
      <c r="AVZ82" s="88"/>
      <c r="AWA82" s="88"/>
      <c r="AWB82" s="88"/>
      <c r="AWC82" s="88"/>
      <c r="AWD82" s="88"/>
      <c r="AWE82" s="88"/>
      <c r="AWF82" s="88"/>
      <c r="AWG82" s="88"/>
      <c r="AWH82" s="88"/>
      <c r="AWI82" s="88"/>
      <c r="AWJ82" s="88"/>
      <c r="AWK82" s="88"/>
      <c r="AWL82" s="88"/>
      <c r="AWM82" s="88"/>
      <c r="AWN82" s="88"/>
      <c r="AWO82" s="88"/>
      <c r="AWP82" s="88"/>
      <c r="AWQ82" s="88"/>
      <c r="AWR82" s="88"/>
      <c r="AWS82" s="88"/>
      <c r="AWT82" s="88"/>
      <c r="AWU82" s="88"/>
      <c r="AWV82" s="88"/>
      <c r="AWW82" s="88"/>
      <c r="AWX82" s="88"/>
      <c r="AWY82" s="88"/>
      <c r="AWZ82" s="88"/>
      <c r="AXA82" s="88"/>
      <c r="AXB82" s="88"/>
      <c r="AXC82" s="88"/>
      <c r="AXD82" s="88"/>
      <c r="AXE82" s="88"/>
      <c r="AXF82" s="88"/>
      <c r="AXG82" s="88"/>
      <c r="AXH82" s="88"/>
      <c r="AXI82" s="88"/>
      <c r="AXJ82" s="88"/>
      <c r="AXK82" s="88"/>
      <c r="AXL82" s="88"/>
      <c r="AXM82" s="88"/>
      <c r="AXN82" s="88"/>
      <c r="AXO82" s="88"/>
      <c r="AXP82" s="88"/>
      <c r="AXQ82" s="88"/>
      <c r="AXR82" s="88"/>
      <c r="AXS82" s="88"/>
      <c r="AXT82" s="88"/>
      <c r="AXU82" s="88"/>
      <c r="AXV82" s="88"/>
      <c r="AXW82" s="88"/>
      <c r="AXX82" s="88"/>
      <c r="AXY82" s="88"/>
      <c r="AXZ82" s="88"/>
      <c r="AYA82" s="88"/>
      <c r="AYB82" s="88"/>
      <c r="AYC82" s="88"/>
      <c r="AYD82" s="88"/>
      <c r="AYE82" s="88"/>
      <c r="AYF82" s="88"/>
      <c r="AYG82" s="88"/>
      <c r="AYH82" s="88"/>
      <c r="AYI82" s="88"/>
      <c r="AYJ82" s="88"/>
      <c r="AYK82" s="88"/>
      <c r="AYL82" s="88"/>
      <c r="AYM82" s="88"/>
      <c r="AYN82" s="88"/>
      <c r="AYO82" s="88"/>
      <c r="AYP82" s="88"/>
      <c r="AYQ82" s="88"/>
      <c r="AYR82" s="88"/>
      <c r="AYS82" s="88"/>
      <c r="AYT82" s="88"/>
      <c r="AYU82" s="88"/>
      <c r="AYV82" s="88"/>
      <c r="AYW82" s="88"/>
      <c r="AYX82" s="88"/>
      <c r="AYY82" s="88"/>
      <c r="AYZ82" s="88"/>
      <c r="AZA82" s="88"/>
      <c r="AZB82" s="88"/>
      <c r="AZC82" s="88"/>
      <c r="AZD82" s="88"/>
      <c r="AZE82" s="88"/>
      <c r="AZF82" s="88"/>
      <c r="AZG82" s="88"/>
      <c r="AZH82" s="88"/>
      <c r="AZI82" s="88"/>
      <c r="AZJ82" s="88"/>
      <c r="AZK82" s="88"/>
      <c r="AZL82" s="88"/>
      <c r="AZM82" s="88"/>
      <c r="AZN82" s="88"/>
      <c r="AZO82" s="88"/>
      <c r="AZP82" s="88"/>
      <c r="AZQ82" s="88"/>
      <c r="AZR82" s="88"/>
      <c r="AZS82" s="88"/>
      <c r="AZT82" s="88"/>
      <c r="AZU82" s="88"/>
      <c r="AZV82" s="88"/>
      <c r="AZW82" s="88"/>
      <c r="AZX82" s="88"/>
      <c r="AZY82" s="88"/>
      <c r="AZZ82" s="88"/>
      <c r="BAA82" s="88"/>
      <c r="BAB82" s="88"/>
      <c r="BAC82" s="88"/>
      <c r="BAD82" s="88"/>
      <c r="BAE82" s="88"/>
      <c r="BAF82" s="88"/>
      <c r="BAG82" s="88"/>
      <c r="BAH82" s="88"/>
      <c r="BAI82" s="88"/>
      <c r="BAJ82" s="88"/>
      <c r="BAK82" s="88"/>
      <c r="BAL82" s="88"/>
      <c r="BAM82" s="88"/>
      <c r="BAN82" s="88"/>
      <c r="BAO82" s="88"/>
      <c r="BAP82" s="88"/>
      <c r="BAQ82" s="88"/>
      <c r="BAR82" s="88"/>
      <c r="BAS82" s="88"/>
      <c r="BAT82" s="88"/>
      <c r="BAU82" s="88"/>
      <c r="BAV82" s="88"/>
      <c r="BAW82" s="88"/>
      <c r="BAX82" s="88"/>
      <c r="BAY82" s="88"/>
      <c r="BAZ82" s="88"/>
      <c r="BBA82" s="88"/>
      <c r="BBB82" s="88"/>
      <c r="BBC82" s="88"/>
      <c r="BBD82" s="88"/>
      <c r="BBE82" s="88"/>
      <c r="BBF82" s="88"/>
      <c r="BBG82" s="88"/>
      <c r="BBH82" s="88"/>
      <c r="BBI82" s="88"/>
      <c r="BBJ82" s="88"/>
      <c r="BBK82" s="88"/>
      <c r="BBL82" s="88"/>
      <c r="BBM82" s="88"/>
      <c r="BBN82" s="88"/>
      <c r="BBO82" s="88"/>
      <c r="BBP82" s="88"/>
      <c r="BBQ82" s="88"/>
      <c r="BBR82" s="88"/>
      <c r="BBS82" s="88"/>
      <c r="BBT82" s="88"/>
      <c r="BBU82" s="88"/>
      <c r="BBV82" s="88"/>
      <c r="BBW82" s="88"/>
      <c r="BBX82" s="88"/>
      <c r="BBY82" s="88"/>
      <c r="BBZ82" s="88"/>
      <c r="BCA82" s="88"/>
      <c r="BCB82" s="88"/>
      <c r="BCC82" s="88"/>
      <c r="BCD82" s="88"/>
      <c r="BCE82" s="88"/>
      <c r="BCF82" s="88"/>
      <c r="BCG82" s="88"/>
      <c r="BCH82" s="88"/>
      <c r="BCI82" s="88"/>
      <c r="BCJ82" s="88"/>
      <c r="BCK82" s="88"/>
      <c r="BCL82" s="88"/>
      <c r="BCM82" s="88"/>
      <c r="BCN82" s="88"/>
      <c r="BCO82" s="88"/>
      <c r="BCP82" s="88"/>
      <c r="BCQ82" s="88"/>
      <c r="BCR82" s="88"/>
      <c r="BCS82" s="88"/>
      <c r="BCT82" s="88"/>
      <c r="BCU82" s="88"/>
      <c r="BCV82" s="88"/>
      <c r="BCW82" s="88"/>
      <c r="BCX82" s="88"/>
      <c r="BCY82" s="88"/>
      <c r="BCZ82" s="88"/>
      <c r="BDA82" s="88"/>
      <c r="BDB82" s="88"/>
      <c r="BDC82" s="88"/>
      <c r="BDD82" s="88"/>
      <c r="BDE82" s="88"/>
      <c r="BDF82" s="88"/>
      <c r="BDG82" s="88"/>
      <c r="BDH82" s="88"/>
      <c r="BDI82" s="88"/>
      <c r="BDJ82" s="88"/>
      <c r="BDK82" s="88"/>
      <c r="BDL82" s="88"/>
      <c r="BDM82" s="88"/>
      <c r="BDN82" s="88"/>
      <c r="BDO82" s="88"/>
      <c r="BDP82" s="88"/>
      <c r="BDQ82" s="88"/>
      <c r="BDR82" s="88"/>
      <c r="BDS82" s="88"/>
      <c r="BDT82" s="88"/>
      <c r="BDU82" s="88"/>
      <c r="BDV82" s="88"/>
      <c r="BDW82" s="88"/>
      <c r="BDX82" s="88"/>
      <c r="BDY82" s="88"/>
      <c r="BDZ82" s="88"/>
      <c r="BEA82" s="88"/>
      <c r="BEB82" s="88"/>
      <c r="BEC82" s="88"/>
      <c r="BED82" s="88"/>
      <c r="BEE82" s="88"/>
      <c r="BEF82" s="88"/>
      <c r="BEG82" s="88"/>
      <c r="BEH82" s="88"/>
      <c r="BEI82" s="88"/>
      <c r="BEJ82" s="88"/>
      <c r="BEK82" s="88"/>
      <c r="BEL82" s="88"/>
      <c r="BEM82" s="88"/>
      <c r="BEN82" s="88"/>
      <c r="BEO82" s="88"/>
      <c r="BEP82" s="88"/>
      <c r="BEQ82" s="88"/>
      <c r="BER82" s="88"/>
      <c r="BES82" s="88"/>
      <c r="BET82" s="88"/>
      <c r="BEU82" s="88"/>
      <c r="BEV82" s="88"/>
      <c r="BEW82" s="88"/>
      <c r="BEX82" s="88"/>
      <c r="BEY82" s="88"/>
      <c r="BEZ82" s="88"/>
      <c r="BFA82" s="88"/>
      <c r="BFB82" s="88"/>
      <c r="BFC82" s="88"/>
      <c r="BFD82" s="88"/>
      <c r="BFE82" s="88"/>
      <c r="BFF82" s="88"/>
      <c r="BFG82" s="88"/>
      <c r="BFH82" s="88"/>
      <c r="BFI82" s="88"/>
      <c r="BFJ82" s="88"/>
      <c r="BFK82" s="88"/>
      <c r="BFL82" s="88"/>
      <c r="BFM82" s="88"/>
      <c r="BFN82" s="88"/>
      <c r="BFO82" s="88"/>
      <c r="BFP82" s="88"/>
      <c r="BFQ82" s="88"/>
      <c r="BFR82" s="88"/>
      <c r="BFS82" s="88"/>
      <c r="BFT82" s="88"/>
      <c r="BFU82" s="88"/>
      <c r="BFV82" s="88"/>
      <c r="BFW82" s="88"/>
      <c r="BFX82" s="88"/>
      <c r="BFY82" s="88"/>
      <c r="BFZ82" s="88"/>
      <c r="BGA82" s="88"/>
      <c r="BGB82" s="88"/>
      <c r="BGC82" s="88"/>
      <c r="BGD82" s="88"/>
      <c r="BGE82" s="88"/>
      <c r="BGF82" s="88"/>
      <c r="BGG82" s="88"/>
      <c r="BGH82" s="88"/>
      <c r="BGI82" s="88"/>
      <c r="BGJ82" s="88"/>
      <c r="BGK82" s="88"/>
      <c r="BGL82" s="88"/>
      <c r="BGM82" s="88"/>
      <c r="BGN82" s="88"/>
      <c r="BGO82" s="88"/>
      <c r="BGP82" s="88"/>
      <c r="BGQ82" s="88"/>
      <c r="BGR82" s="88"/>
      <c r="BGS82" s="88"/>
      <c r="BGT82" s="88"/>
      <c r="BGU82" s="88"/>
      <c r="BGV82" s="88"/>
      <c r="BGW82" s="88"/>
      <c r="BGX82" s="88"/>
      <c r="BGY82" s="88"/>
      <c r="BGZ82" s="88"/>
      <c r="BHA82" s="88"/>
      <c r="BHB82" s="88"/>
      <c r="BHC82" s="88"/>
      <c r="BHD82" s="88"/>
      <c r="BHE82" s="88"/>
      <c r="BHF82" s="88"/>
      <c r="BHG82" s="88"/>
      <c r="BHH82" s="88"/>
      <c r="BHI82" s="88"/>
      <c r="BHJ82" s="88"/>
      <c r="BHK82" s="88"/>
      <c r="BHL82" s="88"/>
      <c r="BHM82" s="88"/>
      <c r="BHN82" s="88"/>
      <c r="BHO82" s="88"/>
      <c r="BHP82" s="88"/>
      <c r="BHQ82" s="88"/>
      <c r="BHR82" s="88"/>
      <c r="BHS82" s="88"/>
      <c r="BHT82" s="88"/>
      <c r="BHU82" s="88"/>
      <c r="BHV82" s="88"/>
      <c r="BHW82" s="88"/>
      <c r="BHX82" s="88"/>
      <c r="BHY82" s="88"/>
      <c r="BHZ82" s="88"/>
      <c r="BIA82" s="88"/>
      <c r="BIB82" s="88"/>
      <c r="BIC82" s="88"/>
      <c r="BID82" s="88"/>
      <c r="BIE82" s="88"/>
      <c r="BIF82" s="88"/>
      <c r="BIG82" s="88"/>
      <c r="BIH82" s="88"/>
      <c r="BII82" s="88"/>
      <c r="BIJ82" s="88"/>
      <c r="BIK82" s="88"/>
      <c r="BIL82" s="88"/>
      <c r="BIM82" s="88"/>
      <c r="BIN82" s="88"/>
      <c r="BIO82" s="88"/>
      <c r="BIP82" s="88"/>
      <c r="BIQ82" s="88"/>
      <c r="BIR82" s="88"/>
      <c r="BIS82" s="88"/>
      <c r="BIT82" s="88"/>
      <c r="BIU82" s="88"/>
      <c r="BIV82" s="88"/>
      <c r="BIW82" s="88"/>
      <c r="BIX82" s="88"/>
      <c r="BIY82" s="88"/>
      <c r="BIZ82" s="88"/>
      <c r="BJA82" s="88"/>
      <c r="BJB82" s="88"/>
      <c r="BJC82" s="88"/>
      <c r="BJD82" s="88"/>
      <c r="BJE82" s="88"/>
      <c r="BJF82" s="88"/>
      <c r="BJG82" s="88"/>
      <c r="BJH82" s="88"/>
      <c r="BJI82" s="88"/>
      <c r="BJJ82" s="88"/>
      <c r="BJK82" s="88"/>
      <c r="BJL82" s="88"/>
      <c r="BJM82" s="88"/>
      <c r="BJN82" s="88"/>
      <c r="BJO82" s="88"/>
      <c r="BJP82" s="88"/>
      <c r="BJQ82" s="88"/>
      <c r="BJR82" s="88"/>
      <c r="BJS82" s="88"/>
      <c r="BJT82" s="88"/>
      <c r="BJU82" s="88"/>
      <c r="BJV82" s="88"/>
      <c r="BJW82" s="88"/>
      <c r="BJX82" s="88"/>
      <c r="BJY82" s="88"/>
      <c r="BJZ82" s="88"/>
      <c r="BKA82" s="88"/>
      <c r="BKB82" s="88"/>
      <c r="BKC82" s="88"/>
      <c r="BKD82" s="88"/>
      <c r="BKE82" s="88"/>
      <c r="BKF82" s="88"/>
      <c r="BKG82" s="88"/>
      <c r="BKH82" s="88"/>
      <c r="BKI82" s="88"/>
      <c r="BKJ82" s="88"/>
      <c r="BKK82" s="88"/>
      <c r="BKL82" s="88"/>
      <c r="BKM82" s="88"/>
      <c r="BKN82" s="88"/>
      <c r="BKO82" s="88"/>
      <c r="BKP82" s="88"/>
      <c r="BKQ82" s="88"/>
      <c r="BKR82" s="88"/>
      <c r="BKS82" s="88"/>
      <c r="BKT82" s="88"/>
      <c r="BKU82" s="88"/>
      <c r="BKV82" s="88"/>
      <c r="BKW82" s="88"/>
      <c r="BKX82" s="88"/>
      <c r="BKY82" s="88"/>
      <c r="BKZ82" s="88"/>
      <c r="BLA82" s="88"/>
      <c r="BLB82" s="88"/>
      <c r="BLC82" s="88"/>
      <c r="BLD82" s="88"/>
      <c r="BLE82" s="88"/>
      <c r="BLF82" s="88"/>
      <c r="BLG82" s="88"/>
      <c r="BLH82" s="88"/>
      <c r="BLI82" s="88"/>
      <c r="BLJ82" s="88"/>
      <c r="BLK82" s="88"/>
      <c r="BLL82" s="88"/>
      <c r="BLM82" s="88"/>
      <c r="BLN82" s="88"/>
      <c r="BLO82" s="88"/>
      <c r="BLP82" s="88"/>
      <c r="BLQ82" s="88"/>
      <c r="BLR82" s="88"/>
      <c r="BLS82" s="88"/>
      <c r="BLT82" s="88"/>
      <c r="BLU82" s="88"/>
      <c r="BLV82" s="88"/>
      <c r="BLW82" s="88"/>
      <c r="BLX82" s="88"/>
      <c r="BLY82" s="88"/>
      <c r="BLZ82" s="88"/>
      <c r="BMA82" s="88"/>
      <c r="BMB82" s="88"/>
      <c r="BMC82" s="88"/>
      <c r="BMD82" s="88"/>
      <c r="BME82" s="88"/>
      <c r="BMF82" s="88"/>
      <c r="BMG82" s="88"/>
      <c r="BMH82" s="88"/>
      <c r="BMI82" s="88"/>
      <c r="BMJ82" s="88"/>
      <c r="BMK82" s="88"/>
      <c r="BML82" s="88"/>
      <c r="BMM82" s="88"/>
      <c r="BMN82" s="88"/>
      <c r="BMO82" s="88"/>
      <c r="BMP82" s="88"/>
      <c r="BMQ82" s="88"/>
      <c r="BMR82" s="88"/>
      <c r="BMS82" s="88"/>
      <c r="BMT82" s="88"/>
      <c r="BMU82" s="88"/>
      <c r="BMV82" s="88"/>
      <c r="BMW82" s="88"/>
      <c r="BMX82" s="88"/>
      <c r="BMY82" s="88"/>
      <c r="BMZ82" s="88"/>
      <c r="BNA82" s="88"/>
      <c r="BNB82" s="88"/>
      <c r="BNC82" s="88"/>
      <c r="BND82" s="88"/>
      <c r="BNE82" s="88"/>
      <c r="BNF82" s="88"/>
      <c r="BNG82" s="88"/>
      <c r="BNH82" s="88"/>
      <c r="BNI82" s="88"/>
      <c r="BNJ82" s="88"/>
      <c r="BNK82" s="88"/>
      <c r="BNL82" s="88"/>
      <c r="BNM82" s="88"/>
      <c r="BNN82" s="88"/>
      <c r="BNO82" s="88"/>
      <c r="BNP82" s="88"/>
      <c r="BNQ82" s="88"/>
      <c r="BNR82" s="88"/>
      <c r="BNS82" s="88"/>
      <c r="BNT82" s="88"/>
      <c r="BNU82" s="88"/>
      <c r="BNV82" s="88"/>
      <c r="BNW82" s="88"/>
      <c r="BNX82" s="88"/>
      <c r="BNY82" s="88"/>
      <c r="BNZ82" s="88"/>
      <c r="BOA82" s="88"/>
      <c r="BOB82" s="88"/>
      <c r="BOC82" s="88"/>
      <c r="BOD82" s="88"/>
      <c r="BOE82" s="88"/>
      <c r="BOF82" s="88"/>
      <c r="BOG82" s="88"/>
      <c r="BOH82" s="88"/>
      <c r="BOI82" s="88"/>
      <c r="BOJ82" s="88"/>
      <c r="BOK82" s="88"/>
      <c r="BOL82" s="88"/>
      <c r="BOM82" s="88"/>
      <c r="BON82" s="88"/>
      <c r="BOO82" s="88"/>
      <c r="BOP82" s="88"/>
      <c r="BOQ82" s="88"/>
      <c r="BOR82" s="88"/>
      <c r="BOS82" s="88"/>
      <c r="BOT82" s="88"/>
      <c r="BOU82" s="88"/>
      <c r="BOV82" s="88"/>
      <c r="BOW82" s="88"/>
      <c r="BOX82" s="88"/>
      <c r="BOY82" s="88"/>
      <c r="BOZ82" s="88"/>
      <c r="BPA82" s="88"/>
      <c r="BPB82" s="88"/>
      <c r="BPC82" s="88"/>
      <c r="BPD82" s="88"/>
      <c r="BPE82" s="88"/>
      <c r="BPF82" s="88"/>
      <c r="BPG82" s="88"/>
      <c r="BPH82" s="88"/>
      <c r="BPI82" s="88"/>
      <c r="BPJ82" s="88"/>
      <c r="BPK82" s="88"/>
      <c r="BPL82" s="88"/>
      <c r="BPM82" s="88"/>
      <c r="BPN82" s="88"/>
      <c r="BPO82" s="88"/>
      <c r="BPP82" s="88"/>
      <c r="BPQ82" s="88"/>
      <c r="BPR82" s="88"/>
      <c r="BPS82" s="88"/>
      <c r="BPT82" s="88"/>
      <c r="BPU82" s="88"/>
      <c r="BPV82" s="88"/>
      <c r="BPW82" s="88"/>
      <c r="BPX82" s="88"/>
      <c r="BPY82" s="88"/>
      <c r="BPZ82" s="88"/>
      <c r="BQA82" s="88"/>
      <c r="BQB82" s="88"/>
      <c r="BQC82" s="88"/>
      <c r="BQD82" s="88"/>
      <c r="BQE82" s="88"/>
      <c r="BQF82" s="88"/>
      <c r="BQG82" s="88"/>
      <c r="BQH82" s="88"/>
      <c r="BQI82" s="88"/>
      <c r="BQJ82" s="88"/>
      <c r="BQK82" s="88"/>
      <c r="BQL82" s="88"/>
      <c r="BQM82" s="88"/>
      <c r="BQN82" s="88"/>
      <c r="BQO82" s="88"/>
      <c r="BQP82" s="88"/>
      <c r="BQQ82" s="88"/>
      <c r="BQR82" s="88"/>
      <c r="BQS82" s="88"/>
      <c r="BQT82" s="88"/>
      <c r="BQU82" s="88"/>
      <c r="BQV82" s="88"/>
      <c r="BQW82" s="88"/>
      <c r="BQX82" s="88"/>
      <c r="BQY82" s="88"/>
      <c r="BQZ82" s="88"/>
      <c r="BRA82" s="88"/>
      <c r="BRB82" s="88"/>
      <c r="BRC82" s="88"/>
      <c r="BRD82" s="88"/>
      <c r="BRE82" s="88"/>
      <c r="BRF82" s="88"/>
      <c r="BRG82" s="88"/>
      <c r="BRH82" s="88"/>
      <c r="BRI82" s="88"/>
      <c r="BRJ82" s="88"/>
      <c r="BRK82" s="88"/>
      <c r="BRL82" s="88"/>
      <c r="BRM82" s="88"/>
      <c r="BRN82" s="88"/>
      <c r="BRO82" s="88"/>
      <c r="BRP82" s="88"/>
      <c r="BRQ82" s="88"/>
      <c r="BRR82" s="88"/>
      <c r="BRS82" s="88"/>
      <c r="BRT82" s="88"/>
      <c r="BRU82" s="88"/>
      <c r="BRV82" s="88"/>
      <c r="BRW82" s="88"/>
      <c r="BRX82" s="88"/>
      <c r="BRY82" s="88"/>
      <c r="BRZ82" s="88"/>
      <c r="BSA82" s="88"/>
      <c r="BSB82" s="88"/>
      <c r="BSC82" s="88"/>
      <c r="BSD82" s="88"/>
      <c r="BSE82" s="88"/>
      <c r="BSF82" s="88"/>
      <c r="BSG82" s="88"/>
      <c r="BSH82" s="88"/>
      <c r="BSI82" s="88"/>
      <c r="BSJ82" s="88"/>
      <c r="BSK82" s="88"/>
      <c r="BSL82" s="88"/>
      <c r="BSM82" s="88"/>
      <c r="BSN82" s="88"/>
      <c r="BSO82" s="88"/>
      <c r="BSP82" s="88"/>
      <c r="BSQ82" s="88"/>
      <c r="BSR82" s="88"/>
      <c r="BSS82" s="88"/>
      <c r="BST82" s="88"/>
      <c r="BSU82" s="88"/>
      <c r="BSV82" s="88"/>
      <c r="BSW82" s="88"/>
      <c r="BSX82" s="88"/>
      <c r="BSY82" s="88"/>
      <c r="BSZ82" s="88"/>
      <c r="BTA82" s="88"/>
      <c r="BTB82" s="88"/>
      <c r="BTC82" s="88"/>
      <c r="BTD82" s="88"/>
      <c r="BTE82" s="88"/>
      <c r="BTF82" s="88"/>
      <c r="BTG82" s="88"/>
      <c r="BTH82" s="88"/>
      <c r="BTI82" s="88"/>
      <c r="BTJ82" s="88"/>
      <c r="BTK82" s="88"/>
      <c r="BTL82" s="88"/>
      <c r="BTM82" s="88"/>
      <c r="BTN82" s="88"/>
      <c r="BTO82" s="88"/>
      <c r="BTP82" s="88"/>
      <c r="BTQ82" s="88"/>
      <c r="BTR82" s="88"/>
      <c r="BTS82" s="88"/>
      <c r="BTT82" s="88"/>
      <c r="BTU82" s="88"/>
      <c r="BTV82" s="88"/>
      <c r="BTW82" s="88"/>
      <c r="BTX82" s="88"/>
      <c r="BTY82" s="88"/>
      <c r="BTZ82" s="88"/>
      <c r="BUA82" s="88"/>
      <c r="BUB82" s="88"/>
      <c r="BUC82" s="88"/>
      <c r="BUD82" s="88"/>
      <c r="BUE82" s="88"/>
      <c r="BUF82" s="88"/>
      <c r="BUG82" s="88"/>
      <c r="BUH82" s="88"/>
      <c r="BUI82" s="88"/>
      <c r="BUJ82" s="88"/>
      <c r="BUK82" s="88"/>
      <c r="BUL82" s="88"/>
      <c r="BUM82" s="88"/>
      <c r="BUN82" s="88"/>
      <c r="BUO82" s="88"/>
      <c r="BUP82" s="88"/>
      <c r="BUQ82" s="88"/>
      <c r="BUR82" s="88"/>
      <c r="BUS82" s="88"/>
      <c r="BUT82" s="88"/>
      <c r="BUU82" s="88"/>
      <c r="BUV82" s="88"/>
      <c r="BUW82" s="88"/>
      <c r="BUX82" s="88"/>
      <c r="BUY82" s="88"/>
      <c r="BUZ82" s="88"/>
      <c r="BVA82" s="88"/>
      <c r="BVB82" s="88"/>
      <c r="BVC82" s="88"/>
      <c r="BVD82" s="88"/>
      <c r="BVE82" s="88"/>
      <c r="BVF82" s="88"/>
      <c r="BVG82" s="88"/>
      <c r="BVH82" s="88"/>
      <c r="BVI82" s="88"/>
      <c r="BVJ82" s="88"/>
      <c r="BVK82" s="88"/>
      <c r="BVL82" s="88"/>
      <c r="BVM82" s="88"/>
      <c r="BVN82" s="88"/>
      <c r="BVO82" s="88"/>
      <c r="BVP82" s="88"/>
      <c r="BVQ82" s="88"/>
      <c r="BVR82" s="88"/>
      <c r="BVS82" s="88"/>
      <c r="BVT82" s="88"/>
      <c r="BVU82" s="88"/>
      <c r="BVV82" s="88"/>
      <c r="BVW82" s="88"/>
      <c r="BVX82" s="88"/>
      <c r="BVY82" s="88"/>
      <c r="BVZ82" s="88"/>
      <c r="BWA82" s="88"/>
      <c r="BWB82" s="88"/>
      <c r="BWC82" s="88"/>
      <c r="BWD82" s="88"/>
      <c r="BWE82" s="88"/>
      <c r="BWF82" s="88"/>
      <c r="BWG82" s="88"/>
      <c r="BWH82" s="88"/>
      <c r="BWI82" s="88"/>
      <c r="BWJ82" s="88"/>
      <c r="BWK82" s="88"/>
      <c r="BWL82" s="88"/>
      <c r="BWM82" s="88"/>
      <c r="BWN82" s="88"/>
      <c r="BWO82" s="88"/>
      <c r="BWP82" s="88"/>
      <c r="BWQ82" s="88"/>
      <c r="BWR82" s="88"/>
      <c r="BWS82" s="88"/>
      <c r="BWT82" s="88"/>
      <c r="BWU82" s="88"/>
      <c r="BWV82" s="88"/>
      <c r="BWW82" s="88"/>
      <c r="BWX82" s="88"/>
      <c r="BWY82" s="88"/>
      <c r="BWZ82" s="88"/>
      <c r="BXA82" s="88"/>
      <c r="BXB82" s="88"/>
      <c r="BXC82" s="88"/>
      <c r="BXD82" s="88"/>
      <c r="BXE82" s="88"/>
      <c r="BXF82" s="88"/>
      <c r="BXG82" s="88"/>
      <c r="BXH82" s="88"/>
      <c r="BXI82" s="88"/>
      <c r="BXJ82" s="88"/>
      <c r="BXK82" s="88"/>
      <c r="BXL82" s="88"/>
      <c r="BXM82" s="88"/>
      <c r="BXN82" s="88"/>
      <c r="BXO82" s="88"/>
      <c r="BXP82" s="88"/>
      <c r="BXQ82" s="88"/>
      <c r="BXR82" s="88"/>
      <c r="BXS82" s="88"/>
      <c r="BXT82" s="88"/>
      <c r="BXU82" s="88"/>
      <c r="BXV82" s="88"/>
      <c r="BXW82" s="88"/>
      <c r="BXX82" s="88"/>
      <c r="BXY82" s="88"/>
      <c r="BXZ82" s="88"/>
      <c r="BYA82" s="88"/>
      <c r="BYB82" s="88"/>
      <c r="BYC82" s="88"/>
      <c r="BYD82" s="88"/>
      <c r="BYE82" s="88"/>
      <c r="BYF82" s="88"/>
      <c r="BYG82" s="88"/>
      <c r="BYH82" s="88"/>
      <c r="BYI82" s="88"/>
      <c r="BYJ82" s="88"/>
      <c r="BYK82" s="88"/>
      <c r="BYL82" s="88"/>
      <c r="BYM82" s="88"/>
      <c r="BYN82" s="88"/>
      <c r="BYO82" s="88"/>
      <c r="BYP82" s="88"/>
      <c r="BYQ82" s="88"/>
      <c r="BYR82" s="88"/>
      <c r="BYS82" s="88"/>
      <c r="BYT82" s="88"/>
      <c r="BYU82" s="88"/>
      <c r="BYV82" s="88"/>
      <c r="BYW82" s="88"/>
      <c r="BYX82" s="88"/>
      <c r="BYY82" s="88"/>
      <c r="BYZ82" s="88"/>
      <c r="BZA82" s="88"/>
      <c r="BZB82" s="88"/>
      <c r="BZC82" s="88"/>
      <c r="BZD82" s="88"/>
      <c r="BZE82" s="88"/>
      <c r="BZF82" s="88"/>
      <c r="BZG82" s="88"/>
      <c r="BZH82" s="88"/>
      <c r="BZI82" s="88"/>
      <c r="BZJ82" s="88"/>
      <c r="BZK82" s="88"/>
      <c r="BZL82" s="88"/>
      <c r="BZM82" s="88"/>
      <c r="BZN82" s="88"/>
      <c r="BZO82" s="88"/>
      <c r="BZP82" s="88"/>
      <c r="BZQ82" s="88"/>
      <c r="BZR82" s="88"/>
      <c r="BZS82" s="88"/>
      <c r="BZT82" s="88"/>
      <c r="BZU82" s="88"/>
      <c r="BZV82" s="88"/>
      <c r="BZW82" s="88"/>
      <c r="BZX82" s="88"/>
      <c r="BZY82" s="88"/>
      <c r="BZZ82" s="88"/>
      <c r="CAA82" s="88"/>
      <c r="CAB82" s="88"/>
      <c r="CAC82" s="88"/>
      <c r="CAD82" s="88"/>
      <c r="CAE82" s="88"/>
      <c r="CAF82" s="88"/>
      <c r="CAG82" s="88"/>
      <c r="CAH82" s="88"/>
      <c r="CAI82" s="88"/>
      <c r="CAJ82" s="88"/>
      <c r="CAK82" s="88"/>
      <c r="CAL82" s="88"/>
      <c r="CAM82" s="88"/>
      <c r="CAN82" s="88"/>
      <c r="CAO82" s="88"/>
      <c r="CAP82" s="88"/>
      <c r="CAQ82" s="88"/>
      <c r="CAR82" s="88"/>
      <c r="CAS82" s="88"/>
      <c r="CAT82" s="88"/>
      <c r="CAU82" s="88"/>
      <c r="CAV82" s="88"/>
      <c r="CAW82" s="88"/>
      <c r="CAX82" s="88"/>
      <c r="CAY82" s="88"/>
      <c r="CAZ82" s="88"/>
      <c r="CBA82" s="88"/>
      <c r="CBB82" s="88"/>
      <c r="CBC82" s="88"/>
      <c r="CBD82" s="88"/>
      <c r="CBE82" s="88"/>
      <c r="CBF82" s="88"/>
      <c r="CBG82" s="88"/>
      <c r="CBH82" s="88"/>
      <c r="CBI82" s="88"/>
      <c r="CBJ82" s="88"/>
      <c r="CBK82" s="88"/>
      <c r="CBL82" s="88"/>
      <c r="CBM82" s="88"/>
      <c r="CBN82" s="88"/>
      <c r="CBO82" s="88"/>
      <c r="CBP82" s="88"/>
      <c r="CBQ82" s="88"/>
      <c r="CBR82" s="88"/>
      <c r="CBS82" s="88"/>
      <c r="CBT82" s="88"/>
      <c r="CBU82" s="88"/>
      <c r="CBV82" s="88"/>
      <c r="CBW82" s="88"/>
      <c r="CBX82" s="88"/>
      <c r="CBY82" s="88"/>
      <c r="CBZ82" s="88"/>
      <c r="CCA82" s="88"/>
      <c r="CCB82" s="88"/>
      <c r="CCC82" s="88"/>
      <c r="CCD82" s="88"/>
      <c r="CCE82" s="88"/>
      <c r="CCF82" s="88"/>
      <c r="CCG82" s="88"/>
      <c r="CCH82" s="88"/>
      <c r="CCI82" s="88"/>
      <c r="CCJ82" s="88"/>
      <c r="CCK82" s="88"/>
      <c r="CCL82" s="88"/>
      <c r="CCM82" s="88"/>
      <c r="CCN82" s="88"/>
      <c r="CCO82" s="88"/>
      <c r="CCP82" s="88"/>
      <c r="CCQ82" s="88"/>
      <c r="CCR82" s="88"/>
      <c r="CCS82" s="88"/>
      <c r="CCT82" s="88"/>
      <c r="CCU82" s="88"/>
      <c r="CCV82" s="88"/>
      <c r="CCW82" s="88"/>
      <c r="CCX82" s="88"/>
      <c r="CCY82" s="88"/>
      <c r="CCZ82" s="88"/>
      <c r="CDA82" s="88"/>
      <c r="CDB82" s="88"/>
      <c r="CDC82" s="88"/>
      <c r="CDD82" s="88"/>
      <c r="CDE82" s="88"/>
      <c r="CDF82" s="88"/>
      <c r="CDG82" s="88"/>
      <c r="CDH82" s="88"/>
      <c r="CDI82" s="88"/>
      <c r="CDJ82" s="88"/>
      <c r="CDK82" s="88"/>
      <c r="CDL82" s="88"/>
      <c r="CDM82" s="88"/>
      <c r="CDN82" s="88"/>
      <c r="CDO82" s="88"/>
      <c r="CDP82" s="88"/>
      <c r="CDQ82" s="88"/>
      <c r="CDR82" s="88"/>
      <c r="CDS82" s="88"/>
      <c r="CDT82" s="88"/>
      <c r="CDU82" s="88"/>
      <c r="CDV82" s="88"/>
      <c r="CDW82" s="88"/>
      <c r="CDX82" s="88"/>
      <c r="CDY82" s="88"/>
      <c r="CDZ82" s="88"/>
      <c r="CEA82" s="88"/>
      <c r="CEB82" s="88"/>
      <c r="CEC82" s="88"/>
      <c r="CED82" s="88"/>
      <c r="CEE82" s="88"/>
      <c r="CEF82" s="88"/>
      <c r="CEG82" s="88"/>
      <c r="CEH82" s="88"/>
      <c r="CEI82" s="88"/>
      <c r="CEJ82" s="88"/>
      <c r="CEK82" s="88"/>
    </row>
    <row r="83" spans="1:2169" s="51" customFormat="1">
      <c r="A83" s="72" t="s">
        <v>2862</v>
      </c>
      <c r="B83" s="70" t="s">
        <v>2867</v>
      </c>
      <c r="C83" s="69" t="str">
        <f>IF('page 2'!$O$4="","",IF('page 2'!$O$4=Gestion!A83,1,0))</f>
        <v/>
      </c>
      <c r="D83" s="69" t="str">
        <f>IF('page 2'!$O$5="","",IF('page 2'!$O$5=Gestion!A83,1,0))</f>
        <v/>
      </c>
      <c r="E83" s="69" t="str">
        <f>IF('page 2'!$O$6="","",IF('page 2'!$O$6=Gestion!A83,1,0))</f>
        <v/>
      </c>
      <c r="F83" s="69" t="str">
        <f>IF('page 2'!$O$7="","",IF('page 2'!$O$7=Gestion!A83,1,0))</f>
        <v/>
      </c>
      <c r="G83" s="69" t="str">
        <f>IF('page 2'!$O$8="","",IF('page 2'!$O$8=Gestion!A83,1,0))</f>
        <v/>
      </c>
      <c r="H83" s="69" t="str">
        <f>IF('page 2'!$O$9="","",IF('page 2'!$O$9=Gestion!A83,1,0))</f>
        <v/>
      </c>
      <c r="I83" s="69" t="str">
        <f>IF('page 2'!$O$10="","",IF('page 2'!$O$10=Gestion!A83,1,0))</f>
        <v/>
      </c>
      <c r="J83" s="69" t="str">
        <f>IF('page 2'!$O$11="","",IF('page 2'!$O$11=Gestion!A83,1,0))</f>
        <v/>
      </c>
      <c r="K83" s="69" t="str">
        <f>IF('page 2'!$O$12="","",IF('page 2'!$O$12=Gestion!A83,1,0))</f>
        <v/>
      </c>
      <c r="L83" s="69" t="str">
        <f>IF('page 2'!$O$13="","",IF('page 2'!$O$13=Gestion!A83,1,0))</f>
        <v/>
      </c>
      <c r="M83" s="69" t="str">
        <f>IF('page 2'!$O$14="","",IF('page 2'!$O$14=Gestion!A83,1,0))</f>
        <v/>
      </c>
      <c r="N83" s="69" t="str">
        <f>IF('page 2'!$O$15="","",IF('page 2'!$O$15=Gestion!A83,1,0))</f>
        <v/>
      </c>
      <c r="O83" s="69" t="str">
        <f>IF('page 2'!$O$16="","",IF('page 2'!$O$16=Gestion!A83,1,0))</f>
        <v/>
      </c>
      <c r="P83" s="69" t="str">
        <f>IF('page 2'!$O$17="","",IF('page 2'!$O$17=Gestion!A83,1,0))</f>
        <v/>
      </c>
      <c r="Q83" s="69" t="str">
        <f>IF('page 2'!$O$18="","",IF('page 2'!$O$18=Gestion!A83,1,0))</f>
        <v/>
      </c>
      <c r="R83" s="69" t="str">
        <f>IF('page 2'!$O$19="","",IF('page 2'!$O$19=Gestion!A83,1,0))</f>
        <v/>
      </c>
      <c r="S83" s="69" t="str">
        <f>IF('page 2'!$O$20="","",IF('page 2'!$O$20=Gestion!A83,1,0))</f>
        <v/>
      </c>
      <c r="T83" s="69" t="str">
        <f>IF('page 2'!$O$25="","",IF('page 2'!$O$25=Gestion!A83,1,0))</f>
        <v/>
      </c>
      <c r="U83" s="69" t="str">
        <f>IF('page 2'!$O$26="","",IF('page 2'!$O$26=Gestion!A83,1,0))</f>
        <v/>
      </c>
      <c r="V83" s="69" t="str">
        <f>IF('page 2'!$O$27="","",IF('page 2'!$O$27=Gestion!A83,1,0))</f>
        <v/>
      </c>
      <c r="W83" s="723">
        <f t="shared" si="14"/>
        <v>0</v>
      </c>
      <c r="X83" s="713"/>
      <c r="Y83" s="69"/>
      <c r="Z83" s="69"/>
      <c r="AA83" s="69"/>
      <c r="AB83" s="542"/>
      <c r="AC83" s="542"/>
      <c r="AD83" s="542"/>
      <c r="AE83" s="88"/>
      <c r="AP83" s="130"/>
      <c r="AQ83" s="130"/>
      <c r="AR83" s="130"/>
      <c r="AS83" s="576"/>
      <c r="AT83" s="576"/>
      <c r="AU83" s="576"/>
      <c r="AV83" s="576"/>
      <c r="AW83" s="602"/>
      <c r="AX83" s="602"/>
      <c r="AY83" s="576"/>
      <c r="AZ83" s="576"/>
      <c r="BA83" s="576"/>
      <c r="BB83" s="576"/>
      <c r="BC83" s="576"/>
      <c r="BD83" s="602"/>
      <c r="BE83" s="602"/>
      <c r="BF83" s="602"/>
      <c r="BG83" s="602"/>
      <c r="BH83" s="602"/>
      <c r="BI83" s="602"/>
      <c r="BJ83" s="602"/>
      <c r="BK83" s="602"/>
      <c r="BL83" s="602"/>
      <c r="BM83" s="602"/>
      <c r="BN83" s="602"/>
      <c r="BO83" s="602"/>
      <c r="BP83" s="602"/>
      <c r="BQ83" s="602"/>
      <c r="BR83" s="602"/>
      <c r="BS83" s="576"/>
      <c r="BT83" s="576"/>
      <c r="BU83" s="576"/>
      <c r="BV83" s="576"/>
      <c r="BW83" s="602"/>
      <c r="BX83" s="602"/>
      <c r="BY83" s="602"/>
      <c r="BZ83" s="576"/>
      <c r="CA83" s="602"/>
      <c r="CB83" s="602"/>
      <c r="CC83" s="576"/>
      <c r="CD83" s="576"/>
      <c r="CE83" s="602"/>
      <c r="CF83" s="576"/>
      <c r="CG83" s="576"/>
      <c r="CH83" s="576"/>
      <c r="CI83" s="576"/>
      <c r="CJ83" s="576"/>
      <c r="CK83" s="602"/>
      <c r="CL83" s="602"/>
      <c r="CM83" s="576"/>
      <c r="CN83" s="602"/>
      <c r="CO83" s="602"/>
      <c r="CP83" s="602"/>
      <c r="CQ83" s="576"/>
      <c r="CR83" s="576"/>
      <c r="CS83" s="602"/>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8"/>
      <c r="HN83" s="88"/>
      <c r="HO83" s="88"/>
      <c r="HP83" s="88"/>
      <c r="HQ83" s="88"/>
      <c r="HR83" s="88"/>
      <c r="HS83" s="88"/>
      <c r="HT83" s="88"/>
      <c r="HU83" s="88"/>
      <c r="HV83" s="88"/>
      <c r="HW83" s="88"/>
      <c r="HX83" s="88"/>
      <c r="HY83" s="88"/>
      <c r="HZ83" s="88"/>
      <c r="IA83" s="88"/>
      <c r="IB83" s="88"/>
      <c r="IC83" s="88"/>
      <c r="ID83" s="88"/>
      <c r="IE83" s="88"/>
      <c r="IF83" s="88"/>
      <c r="IG83" s="88"/>
      <c r="IH83" s="88"/>
      <c r="II83" s="88"/>
      <c r="IJ83" s="88"/>
      <c r="IK83" s="88"/>
      <c r="IL83" s="88"/>
      <c r="IM83" s="88"/>
      <c r="IN83" s="88"/>
      <c r="IO83" s="88"/>
      <c r="IP83" s="88"/>
      <c r="IQ83" s="88"/>
      <c r="IR83" s="88"/>
      <c r="IS83" s="88"/>
      <c r="IT83" s="88"/>
      <c r="IU83" s="88"/>
      <c r="IV83" s="88"/>
      <c r="IW83" s="88"/>
      <c r="IX83" s="88"/>
      <c r="IY83" s="88"/>
      <c r="IZ83" s="88"/>
      <c r="JA83" s="88"/>
      <c r="JB83" s="88"/>
      <c r="JC83" s="88"/>
      <c r="JD83" s="88"/>
      <c r="JE83" s="88"/>
      <c r="JF83" s="88"/>
      <c r="JG83" s="88"/>
      <c r="JH83" s="88"/>
      <c r="JI83" s="88"/>
      <c r="JJ83" s="88"/>
      <c r="JK83" s="88"/>
      <c r="JL83" s="88"/>
      <c r="JM83" s="88"/>
      <c r="JN83" s="88"/>
      <c r="JO83" s="88"/>
      <c r="JP83" s="88"/>
      <c r="JQ83" s="88"/>
      <c r="JR83" s="88"/>
      <c r="JS83" s="88"/>
      <c r="JT83" s="88"/>
      <c r="JU83" s="88"/>
      <c r="JV83" s="88"/>
      <c r="JW83" s="88"/>
      <c r="JX83" s="88"/>
      <c r="JY83" s="88"/>
      <c r="JZ83" s="88"/>
      <c r="KA83" s="88"/>
      <c r="KB83" s="88"/>
      <c r="KC83" s="88"/>
      <c r="KD83" s="88"/>
      <c r="KE83" s="88"/>
      <c r="KF83" s="88"/>
      <c r="KG83" s="88"/>
      <c r="KH83" s="88"/>
      <c r="KI83" s="88"/>
      <c r="KJ83" s="88"/>
      <c r="KK83" s="88"/>
      <c r="KL83" s="88"/>
      <c r="KM83" s="88"/>
      <c r="KN83" s="88"/>
      <c r="KO83" s="88"/>
      <c r="KP83" s="88"/>
      <c r="KQ83" s="88"/>
      <c r="KR83" s="88"/>
      <c r="KS83" s="88"/>
      <c r="KT83" s="88"/>
      <c r="KU83" s="88"/>
      <c r="KV83" s="88"/>
      <c r="KW83" s="88"/>
      <c r="KX83" s="88"/>
      <c r="KY83" s="88"/>
      <c r="KZ83" s="88"/>
      <c r="LA83" s="88"/>
      <c r="LB83" s="88"/>
      <c r="LC83" s="88"/>
      <c r="LD83" s="88"/>
      <c r="LE83" s="88"/>
      <c r="LF83" s="88"/>
      <c r="LG83" s="88"/>
      <c r="LH83" s="88"/>
      <c r="LI83" s="88"/>
      <c r="LJ83" s="88"/>
      <c r="LK83" s="88"/>
      <c r="LL83" s="88"/>
      <c r="LM83" s="88"/>
      <c r="LN83" s="88"/>
      <c r="LO83" s="88"/>
      <c r="LP83" s="88"/>
      <c r="LQ83" s="88"/>
      <c r="LR83" s="88"/>
      <c r="LS83" s="88"/>
      <c r="LT83" s="88"/>
      <c r="LU83" s="88"/>
      <c r="LV83" s="88"/>
      <c r="LW83" s="88"/>
      <c r="LX83" s="88"/>
      <c r="LY83" s="88"/>
      <c r="LZ83" s="88"/>
      <c r="MA83" s="88"/>
      <c r="MB83" s="88"/>
      <c r="MC83" s="88"/>
      <c r="MD83" s="88"/>
      <c r="ME83" s="88"/>
      <c r="MF83" s="88"/>
      <c r="MG83" s="88"/>
      <c r="MH83" s="88"/>
      <c r="MI83" s="88"/>
      <c r="MJ83" s="88"/>
      <c r="MK83" s="88"/>
      <c r="ML83" s="88"/>
      <c r="MM83" s="88"/>
      <c r="MN83" s="88"/>
      <c r="MO83" s="88"/>
      <c r="MP83" s="88"/>
      <c r="MQ83" s="88"/>
      <c r="MR83" s="88"/>
      <c r="MS83" s="88"/>
      <c r="MT83" s="88"/>
      <c r="MU83" s="88"/>
      <c r="MV83" s="88"/>
      <c r="MW83" s="88"/>
      <c r="MX83" s="88"/>
      <c r="MY83" s="88"/>
      <c r="MZ83" s="88"/>
      <c r="NA83" s="88"/>
      <c r="NB83" s="88"/>
      <c r="NC83" s="88"/>
      <c r="ND83" s="88"/>
      <c r="NE83" s="88"/>
      <c r="NF83" s="88"/>
      <c r="NG83" s="88"/>
      <c r="NH83" s="88"/>
      <c r="NI83" s="88"/>
      <c r="NJ83" s="88"/>
      <c r="NK83" s="88"/>
      <c r="NL83" s="88"/>
      <c r="NM83" s="88"/>
      <c r="NN83" s="88"/>
      <c r="NO83" s="88"/>
      <c r="NP83" s="88"/>
      <c r="NQ83" s="88"/>
      <c r="NR83" s="88"/>
      <c r="NS83" s="88"/>
      <c r="NT83" s="88"/>
      <c r="NU83" s="88"/>
      <c r="NV83" s="88"/>
      <c r="NW83" s="88"/>
      <c r="NX83" s="88"/>
      <c r="NY83" s="88"/>
      <c r="NZ83" s="88"/>
      <c r="OA83" s="88"/>
      <c r="OB83" s="88"/>
      <c r="OC83" s="88"/>
      <c r="OD83" s="88"/>
      <c r="OE83" s="88"/>
      <c r="OF83" s="88"/>
      <c r="OG83" s="88"/>
      <c r="OH83" s="88"/>
      <c r="OI83" s="88"/>
      <c r="OJ83" s="88"/>
      <c r="OK83" s="88"/>
      <c r="OL83" s="88"/>
      <c r="OM83" s="88"/>
      <c r="ON83" s="88"/>
      <c r="OO83" s="88"/>
      <c r="OP83" s="88"/>
      <c r="OQ83" s="88"/>
      <c r="OR83" s="88"/>
      <c r="OS83" s="88"/>
      <c r="OT83" s="88"/>
      <c r="OU83" s="88"/>
      <c r="OV83" s="88"/>
      <c r="OW83" s="88"/>
      <c r="OX83" s="88"/>
      <c r="OY83" s="88"/>
      <c r="OZ83" s="88"/>
      <c r="PA83" s="88"/>
      <c r="PB83" s="88"/>
      <c r="PC83" s="88"/>
      <c r="PD83" s="88"/>
      <c r="PE83" s="88"/>
      <c r="PF83" s="88"/>
      <c r="PG83" s="88"/>
      <c r="PH83" s="88"/>
      <c r="PI83" s="88"/>
      <c r="PJ83" s="88"/>
      <c r="PK83" s="88"/>
      <c r="PL83" s="88"/>
      <c r="PM83" s="88"/>
      <c r="PN83" s="88"/>
      <c r="PO83" s="88"/>
      <c r="PP83" s="88"/>
      <c r="PQ83" s="88"/>
      <c r="PR83" s="88"/>
      <c r="PS83" s="88"/>
      <c r="PT83" s="88"/>
      <c r="PU83" s="88"/>
      <c r="PV83" s="88"/>
      <c r="PW83" s="88"/>
      <c r="PX83" s="88"/>
      <c r="PY83" s="88"/>
      <c r="PZ83" s="88"/>
      <c r="QA83" s="88"/>
      <c r="QB83" s="88"/>
      <c r="QC83" s="88"/>
      <c r="QD83" s="88"/>
      <c r="QE83" s="88"/>
      <c r="QF83" s="88"/>
      <c r="QG83" s="88"/>
      <c r="QH83" s="88"/>
      <c r="QI83" s="88"/>
      <c r="QJ83" s="88"/>
      <c r="QK83" s="88"/>
      <c r="QL83" s="88"/>
      <c r="QM83" s="88"/>
      <c r="QN83" s="88"/>
      <c r="QO83" s="88"/>
      <c r="QP83" s="88"/>
      <c r="QQ83" s="88"/>
      <c r="QR83" s="88"/>
      <c r="QS83" s="88"/>
      <c r="QT83" s="88"/>
      <c r="QU83" s="88"/>
      <c r="QV83" s="88"/>
      <c r="QW83" s="88"/>
      <c r="QX83" s="88"/>
      <c r="QY83" s="88"/>
      <c r="QZ83" s="88"/>
      <c r="RA83" s="88"/>
      <c r="RB83" s="88"/>
      <c r="RC83" s="88"/>
      <c r="RD83" s="88"/>
      <c r="RE83" s="88"/>
      <c r="RF83" s="88"/>
      <c r="RG83" s="88"/>
      <c r="RH83" s="88"/>
      <c r="RI83" s="88"/>
      <c r="RJ83" s="88"/>
      <c r="RK83" s="88"/>
      <c r="RL83" s="88"/>
      <c r="RM83" s="88"/>
      <c r="RN83" s="88"/>
      <c r="RO83" s="88"/>
      <c r="RP83" s="88"/>
      <c r="RQ83" s="88"/>
      <c r="RR83" s="88"/>
      <c r="RS83" s="88"/>
      <c r="RT83" s="88"/>
      <c r="RU83" s="88"/>
      <c r="RV83" s="88"/>
      <c r="RW83" s="88"/>
      <c r="RX83" s="88"/>
      <c r="RY83" s="88"/>
      <c r="RZ83" s="88"/>
      <c r="SA83" s="88"/>
      <c r="SB83" s="88"/>
      <c r="SC83" s="88"/>
      <c r="SD83" s="88"/>
      <c r="SE83" s="88"/>
      <c r="SF83" s="88"/>
      <c r="SG83" s="88"/>
      <c r="SH83" s="88"/>
      <c r="SI83" s="88"/>
      <c r="SJ83" s="88"/>
      <c r="SK83" s="88"/>
      <c r="SL83" s="88"/>
      <c r="SM83" s="88"/>
      <c r="SN83" s="88"/>
      <c r="SO83" s="88"/>
      <c r="SP83" s="88"/>
      <c r="SQ83" s="88"/>
      <c r="SR83" s="88"/>
      <c r="SS83" s="88"/>
      <c r="ST83" s="88"/>
      <c r="SU83" s="88"/>
      <c r="SV83" s="88"/>
      <c r="SW83" s="88"/>
      <c r="SX83" s="88"/>
      <c r="SY83" s="88"/>
      <c r="SZ83" s="88"/>
      <c r="TA83" s="88"/>
      <c r="TB83" s="88"/>
      <c r="TC83" s="88"/>
      <c r="TD83" s="88"/>
      <c r="TE83" s="88"/>
      <c r="TF83" s="88"/>
      <c r="TG83" s="88"/>
      <c r="TH83" s="88"/>
      <c r="TI83" s="88"/>
      <c r="TJ83" s="88"/>
      <c r="TK83" s="88"/>
      <c r="TL83" s="88"/>
      <c r="TM83" s="88"/>
      <c r="TN83" s="88"/>
      <c r="TO83" s="88"/>
      <c r="TP83" s="88"/>
      <c r="TQ83" s="88"/>
      <c r="TR83" s="88"/>
      <c r="TS83" s="88"/>
      <c r="TT83" s="88"/>
      <c r="TU83" s="88"/>
      <c r="TV83" s="88"/>
      <c r="TW83" s="88"/>
      <c r="TX83" s="88"/>
      <c r="TY83" s="88"/>
      <c r="TZ83" s="88"/>
      <c r="UA83" s="88"/>
      <c r="UB83" s="88"/>
      <c r="UC83" s="88"/>
      <c r="UD83" s="88"/>
      <c r="UE83" s="88"/>
      <c r="UF83" s="88"/>
      <c r="UG83" s="88"/>
      <c r="UH83" s="88"/>
      <c r="UI83" s="88"/>
      <c r="UJ83" s="88"/>
      <c r="UK83" s="88"/>
      <c r="UL83" s="88"/>
      <c r="UM83" s="88"/>
      <c r="UN83" s="88"/>
      <c r="UO83" s="88"/>
      <c r="UP83" s="88"/>
      <c r="UQ83" s="88"/>
      <c r="UR83" s="88"/>
      <c r="US83" s="88"/>
      <c r="UT83" s="88"/>
      <c r="UU83" s="88"/>
      <c r="UV83" s="88"/>
      <c r="UW83" s="88"/>
      <c r="UX83" s="88"/>
      <c r="UY83" s="88"/>
      <c r="UZ83" s="88"/>
      <c r="VA83" s="88"/>
      <c r="VB83" s="88"/>
      <c r="VC83" s="88"/>
      <c r="VD83" s="88"/>
      <c r="VE83" s="88"/>
      <c r="VF83" s="88"/>
      <c r="VG83" s="88"/>
      <c r="VH83" s="88"/>
      <c r="VI83" s="88"/>
      <c r="VJ83" s="88"/>
      <c r="VK83" s="88"/>
      <c r="VL83" s="88"/>
      <c r="VM83" s="88"/>
      <c r="VN83" s="88"/>
      <c r="VO83" s="88"/>
      <c r="VP83" s="88"/>
      <c r="VQ83" s="88"/>
      <c r="VR83" s="88"/>
      <c r="VS83" s="88"/>
      <c r="VT83" s="88"/>
      <c r="VU83" s="88"/>
      <c r="VV83" s="88"/>
      <c r="VW83" s="88"/>
      <c r="VX83" s="88"/>
      <c r="VY83" s="88"/>
      <c r="VZ83" s="88"/>
      <c r="WA83" s="88"/>
      <c r="WB83" s="88"/>
      <c r="WC83" s="88"/>
      <c r="WD83" s="88"/>
      <c r="WE83" s="88"/>
      <c r="WF83" s="88"/>
      <c r="WG83" s="88"/>
      <c r="WH83" s="88"/>
      <c r="WI83" s="88"/>
      <c r="WJ83" s="88"/>
      <c r="WK83" s="88"/>
      <c r="WL83" s="88"/>
      <c r="WM83" s="88"/>
      <c r="WN83" s="88"/>
      <c r="WO83" s="88"/>
      <c r="WP83" s="88"/>
      <c r="WQ83" s="88"/>
      <c r="WR83" s="88"/>
      <c r="WS83" s="88"/>
      <c r="WT83" s="88"/>
      <c r="WU83" s="88"/>
      <c r="WV83" s="88"/>
      <c r="WW83" s="88"/>
      <c r="WX83" s="88"/>
      <c r="WY83" s="88"/>
      <c r="WZ83" s="88"/>
      <c r="XA83" s="88"/>
      <c r="XB83" s="88"/>
      <c r="XC83" s="88"/>
      <c r="XD83" s="88"/>
      <c r="XE83" s="88"/>
      <c r="XF83" s="88"/>
      <c r="XG83" s="88"/>
      <c r="XH83" s="88"/>
      <c r="XI83" s="88"/>
      <c r="XJ83" s="88"/>
      <c r="XK83" s="88"/>
      <c r="XL83" s="88"/>
      <c r="XM83" s="88"/>
      <c r="XN83" s="88"/>
      <c r="XO83" s="88"/>
      <c r="XP83" s="88"/>
      <c r="XQ83" s="88"/>
      <c r="XR83" s="88"/>
      <c r="XS83" s="88"/>
      <c r="XT83" s="88"/>
      <c r="XU83" s="88"/>
      <c r="XV83" s="88"/>
      <c r="XW83" s="88"/>
      <c r="XX83" s="88"/>
      <c r="XY83" s="88"/>
      <c r="XZ83" s="88"/>
      <c r="YA83" s="88"/>
      <c r="YB83" s="88"/>
      <c r="YC83" s="88"/>
      <c r="YD83" s="88"/>
      <c r="YE83" s="88"/>
      <c r="YF83" s="88"/>
      <c r="YG83" s="88"/>
      <c r="YH83" s="88"/>
      <c r="YI83" s="88"/>
      <c r="YJ83" s="88"/>
      <c r="YK83" s="88"/>
      <c r="YL83" s="88"/>
      <c r="YM83" s="88"/>
      <c r="YN83" s="88"/>
      <c r="YO83" s="88"/>
      <c r="YP83" s="88"/>
      <c r="YQ83" s="88"/>
      <c r="YR83" s="88"/>
      <c r="YS83" s="88"/>
      <c r="YT83" s="88"/>
      <c r="YU83" s="88"/>
      <c r="YV83" s="88"/>
      <c r="YW83" s="88"/>
      <c r="YX83" s="88"/>
      <c r="YY83" s="88"/>
      <c r="YZ83" s="88"/>
      <c r="ZA83" s="88"/>
      <c r="ZB83" s="88"/>
      <c r="ZC83" s="88"/>
      <c r="ZD83" s="88"/>
      <c r="ZE83" s="88"/>
      <c r="ZF83" s="88"/>
      <c r="ZG83" s="88"/>
      <c r="ZH83" s="88"/>
      <c r="ZI83" s="88"/>
      <c r="ZJ83" s="88"/>
      <c r="ZK83" s="88"/>
      <c r="ZL83" s="88"/>
      <c r="ZM83" s="88"/>
      <c r="ZN83" s="88"/>
      <c r="ZO83" s="88"/>
      <c r="ZP83" s="88"/>
      <c r="ZQ83" s="88"/>
      <c r="ZR83" s="88"/>
      <c r="ZS83" s="88"/>
      <c r="ZT83" s="88"/>
      <c r="ZU83" s="88"/>
      <c r="ZV83" s="88"/>
      <c r="ZW83" s="88"/>
      <c r="ZX83" s="88"/>
      <c r="ZY83" s="88"/>
      <c r="ZZ83" s="88"/>
      <c r="AAA83" s="88"/>
      <c r="AAB83" s="88"/>
      <c r="AAC83" s="88"/>
      <c r="AAD83" s="88"/>
      <c r="AAE83" s="88"/>
      <c r="AAF83" s="88"/>
      <c r="AAG83" s="88"/>
      <c r="AAH83" s="88"/>
      <c r="AAI83" s="88"/>
      <c r="AAJ83" s="88"/>
      <c r="AAK83" s="88"/>
      <c r="AAL83" s="88"/>
      <c r="AAM83" s="88"/>
      <c r="AAN83" s="88"/>
      <c r="AAO83" s="88"/>
      <c r="AAP83" s="88"/>
      <c r="AAQ83" s="88"/>
      <c r="AAR83" s="88"/>
      <c r="AAS83" s="88"/>
      <c r="AAT83" s="88"/>
      <c r="AAU83" s="88"/>
      <c r="AAV83" s="88"/>
      <c r="AAW83" s="88"/>
      <c r="AAX83" s="88"/>
      <c r="AAY83" s="88"/>
      <c r="AAZ83" s="88"/>
      <c r="ABA83" s="88"/>
      <c r="ABB83" s="88"/>
      <c r="ABC83" s="88"/>
      <c r="ABD83" s="88"/>
      <c r="ABE83" s="88"/>
      <c r="ABF83" s="88"/>
      <c r="ABG83" s="88"/>
      <c r="ABH83" s="88"/>
      <c r="ABI83" s="88"/>
      <c r="ABJ83" s="88"/>
      <c r="ABK83" s="88"/>
      <c r="ABL83" s="88"/>
      <c r="ABM83" s="88"/>
      <c r="ABN83" s="88"/>
      <c r="ABO83" s="88"/>
      <c r="ABP83" s="88"/>
      <c r="ABQ83" s="88"/>
      <c r="ABR83" s="88"/>
      <c r="ABS83" s="88"/>
      <c r="ABT83" s="88"/>
      <c r="ABU83" s="88"/>
      <c r="ABV83" s="88"/>
      <c r="ABW83" s="88"/>
      <c r="ABX83" s="88"/>
      <c r="ABY83" s="88"/>
      <c r="ABZ83" s="88"/>
      <c r="ACA83" s="88"/>
      <c r="ACB83" s="88"/>
      <c r="ACC83" s="88"/>
      <c r="ACD83" s="88"/>
      <c r="ACE83" s="88"/>
      <c r="ACF83" s="88"/>
      <c r="ACG83" s="88"/>
      <c r="ACH83" s="88"/>
      <c r="ACI83" s="88"/>
      <c r="ACJ83" s="88"/>
      <c r="ACK83" s="88"/>
      <c r="ACL83" s="88"/>
      <c r="ACM83" s="88"/>
      <c r="ACN83" s="88"/>
      <c r="ACO83" s="88"/>
      <c r="ACP83" s="88"/>
      <c r="ACQ83" s="88"/>
      <c r="ACR83" s="88"/>
      <c r="ACS83" s="88"/>
      <c r="ACT83" s="88"/>
      <c r="ACU83" s="88"/>
      <c r="ACV83" s="88"/>
      <c r="ACW83" s="88"/>
      <c r="ACX83" s="88"/>
      <c r="ACY83" s="88"/>
      <c r="ACZ83" s="88"/>
      <c r="ADA83" s="88"/>
      <c r="ADB83" s="88"/>
      <c r="ADC83" s="88"/>
      <c r="ADD83" s="88"/>
      <c r="ADE83" s="88"/>
      <c r="ADF83" s="88"/>
      <c r="ADG83" s="88"/>
      <c r="ADH83" s="88"/>
      <c r="ADI83" s="88"/>
      <c r="ADJ83" s="88"/>
      <c r="ADK83" s="88"/>
      <c r="ADL83" s="88"/>
      <c r="ADM83" s="88"/>
      <c r="ADN83" s="88"/>
      <c r="ADO83" s="88"/>
      <c r="ADP83" s="88"/>
      <c r="ADQ83" s="88"/>
      <c r="ADR83" s="88"/>
      <c r="ADS83" s="88"/>
      <c r="ADT83" s="88"/>
      <c r="ADU83" s="88"/>
      <c r="ADV83" s="88"/>
      <c r="ADW83" s="88"/>
      <c r="ADX83" s="88"/>
      <c r="ADY83" s="88"/>
      <c r="ADZ83" s="88"/>
      <c r="AEA83" s="88"/>
      <c r="AEB83" s="88"/>
      <c r="AEC83" s="88"/>
      <c r="AED83" s="88"/>
      <c r="AEE83" s="88"/>
      <c r="AEF83" s="88"/>
      <c r="AEG83" s="88"/>
      <c r="AEH83" s="88"/>
      <c r="AEI83" s="88"/>
      <c r="AEJ83" s="88"/>
      <c r="AEK83" s="88"/>
      <c r="AEL83" s="88"/>
      <c r="AEM83" s="88"/>
      <c r="AEN83" s="88"/>
      <c r="AEO83" s="88"/>
      <c r="AEP83" s="88"/>
      <c r="AEQ83" s="88"/>
      <c r="AER83" s="88"/>
      <c r="AES83" s="88"/>
      <c r="AET83" s="88"/>
      <c r="AEU83" s="88"/>
      <c r="AEV83" s="88"/>
      <c r="AEW83" s="88"/>
      <c r="AEX83" s="88"/>
      <c r="AEY83" s="88"/>
      <c r="AEZ83" s="88"/>
      <c r="AFA83" s="88"/>
      <c r="AFB83" s="88"/>
      <c r="AFC83" s="88"/>
      <c r="AFD83" s="88"/>
      <c r="AFE83" s="88"/>
      <c r="AFF83" s="88"/>
      <c r="AFG83" s="88"/>
      <c r="AFH83" s="88"/>
      <c r="AFI83" s="88"/>
      <c r="AFJ83" s="88"/>
      <c r="AFK83" s="88"/>
      <c r="AFL83" s="88"/>
      <c r="AFM83" s="88"/>
      <c r="AFN83" s="88"/>
      <c r="AFO83" s="88"/>
      <c r="AFP83" s="88"/>
      <c r="AFQ83" s="88"/>
      <c r="AFR83" s="88"/>
      <c r="AFS83" s="88"/>
      <c r="AFT83" s="88"/>
      <c r="AFU83" s="88"/>
      <c r="AFV83" s="88"/>
      <c r="AFW83" s="88"/>
      <c r="AFX83" s="88"/>
      <c r="AFY83" s="88"/>
      <c r="AFZ83" s="88"/>
      <c r="AGA83" s="88"/>
      <c r="AGB83" s="88"/>
      <c r="AGC83" s="88"/>
      <c r="AGD83" s="88"/>
      <c r="AGE83" s="88"/>
      <c r="AGF83" s="88"/>
      <c r="AGG83" s="88"/>
      <c r="AGH83" s="88"/>
      <c r="AGI83" s="88"/>
      <c r="AGJ83" s="88"/>
      <c r="AGK83" s="88"/>
      <c r="AGL83" s="88"/>
      <c r="AGM83" s="88"/>
      <c r="AGN83" s="88"/>
      <c r="AGO83" s="88"/>
      <c r="AGP83" s="88"/>
      <c r="AGQ83" s="88"/>
      <c r="AGR83" s="88"/>
      <c r="AGS83" s="88"/>
      <c r="AGT83" s="88"/>
      <c r="AGU83" s="88"/>
      <c r="AGV83" s="88"/>
      <c r="AGW83" s="88"/>
      <c r="AGX83" s="88"/>
      <c r="AGY83" s="88"/>
      <c r="AGZ83" s="88"/>
      <c r="AHA83" s="88"/>
      <c r="AHB83" s="88"/>
      <c r="AHC83" s="88"/>
      <c r="AHD83" s="88"/>
      <c r="AHE83" s="88"/>
      <c r="AHF83" s="88"/>
      <c r="AHG83" s="88"/>
      <c r="AHH83" s="88"/>
      <c r="AHI83" s="88"/>
      <c r="AHJ83" s="88"/>
      <c r="AHK83" s="88"/>
      <c r="AHL83" s="88"/>
      <c r="AHM83" s="88"/>
      <c r="AHN83" s="88"/>
      <c r="AHO83" s="88"/>
      <c r="AHP83" s="88"/>
      <c r="AHQ83" s="88"/>
      <c r="AHR83" s="88"/>
      <c r="AHS83" s="88"/>
      <c r="AHT83" s="88"/>
      <c r="AHU83" s="88"/>
      <c r="AHV83" s="88"/>
      <c r="AHW83" s="88"/>
      <c r="AHX83" s="88"/>
      <c r="AHY83" s="88"/>
      <c r="AHZ83" s="88"/>
      <c r="AIA83" s="88"/>
      <c r="AIB83" s="88"/>
      <c r="AIC83" s="88"/>
      <c r="AID83" s="88"/>
      <c r="AIE83" s="88"/>
      <c r="AIF83" s="88"/>
      <c r="AIG83" s="88"/>
      <c r="AIH83" s="88"/>
      <c r="AII83" s="88"/>
      <c r="AIJ83" s="88"/>
      <c r="AIK83" s="88"/>
      <c r="AIL83" s="88"/>
      <c r="AIM83" s="88"/>
      <c r="AIN83" s="88"/>
      <c r="AIO83" s="88"/>
      <c r="AIP83" s="88"/>
      <c r="AIQ83" s="88"/>
      <c r="AIR83" s="88"/>
      <c r="AIS83" s="88"/>
      <c r="AIT83" s="88"/>
      <c r="AIU83" s="88"/>
      <c r="AIV83" s="88"/>
      <c r="AIW83" s="88"/>
      <c r="AIX83" s="88"/>
      <c r="AIY83" s="88"/>
      <c r="AIZ83" s="88"/>
      <c r="AJA83" s="88"/>
      <c r="AJB83" s="88"/>
      <c r="AJC83" s="88"/>
      <c r="AJD83" s="88"/>
      <c r="AJE83" s="88"/>
      <c r="AJF83" s="88"/>
      <c r="AJG83" s="88"/>
      <c r="AJH83" s="88"/>
      <c r="AJI83" s="88"/>
      <c r="AJJ83" s="88"/>
      <c r="AJK83" s="88"/>
      <c r="AJL83" s="88"/>
      <c r="AJM83" s="88"/>
      <c r="AJN83" s="88"/>
      <c r="AJO83" s="88"/>
      <c r="AJP83" s="88"/>
      <c r="AJQ83" s="88"/>
      <c r="AJR83" s="88"/>
      <c r="AJS83" s="88"/>
      <c r="AJT83" s="88"/>
      <c r="AJU83" s="88"/>
      <c r="AJV83" s="88"/>
      <c r="AJW83" s="88"/>
      <c r="AJX83" s="88"/>
      <c r="AJY83" s="88"/>
      <c r="AJZ83" s="88"/>
      <c r="AKA83" s="88"/>
      <c r="AKB83" s="88"/>
      <c r="AKC83" s="88"/>
      <c r="AKD83" s="88"/>
      <c r="AKE83" s="88"/>
      <c r="AKF83" s="88"/>
      <c r="AKG83" s="88"/>
      <c r="AKH83" s="88"/>
      <c r="AKI83" s="88"/>
      <c r="AKJ83" s="88"/>
      <c r="AKK83" s="88"/>
      <c r="AKL83" s="88"/>
      <c r="AKM83" s="88"/>
      <c r="AKN83" s="88"/>
      <c r="AKO83" s="88"/>
      <c r="AKP83" s="88"/>
      <c r="AKQ83" s="88"/>
      <c r="AKR83" s="88"/>
      <c r="AKS83" s="88"/>
      <c r="AKT83" s="88"/>
      <c r="AKU83" s="88"/>
      <c r="AKV83" s="88"/>
      <c r="AKW83" s="88"/>
      <c r="AKX83" s="88"/>
      <c r="AKY83" s="88"/>
      <c r="AKZ83" s="88"/>
      <c r="ALA83" s="88"/>
      <c r="ALB83" s="88"/>
      <c r="ALC83" s="88"/>
      <c r="ALD83" s="88"/>
      <c r="ALE83" s="88"/>
      <c r="ALF83" s="88"/>
      <c r="ALG83" s="88"/>
      <c r="ALH83" s="88"/>
      <c r="ALI83" s="88"/>
      <c r="ALJ83" s="88"/>
      <c r="ALK83" s="88"/>
      <c r="ALL83" s="88"/>
      <c r="ALM83" s="88"/>
      <c r="ALN83" s="88"/>
      <c r="ALO83" s="88"/>
      <c r="ALP83" s="88"/>
      <c r="ALQ83" s="88"/>
      <c r="ALR83" s="88"/>
      <c r="ALS83" s="88"/>
      <c r="ALT83" s="88"/>
      <c r="ALU83" s="88"/>
      <c r="ALV83" s="88"/>
      <c r="ALW83" s="88"/>
      <c r="ALX83" s="88"/>
      <c r="ALY83" s="88"/>
      <c r="ALZ83" s="88"/>
      <c r="AMA83" s="88"/>
      <c r="AMB83" s="88"/>
      <c r="AMC83" s="88"/>
      <c r="AMD83" s="88"/>
      <c r="AME83" s="88"/>
      <c r="AMF83" s="88"/>
      <c r="AMG83" s="88"/>
      <c r="AMH83" s="88"/>
      <c r="AMI83" s="88"/>
      <c r="AMJ83" s="88"/>
      <c r="AMK83" s="88"/>
      <c r="AML83" s="88"/>
      <c r="AMM83" s="88"/>
      <c r="AMN83" s="88"/>
      <c r="AMO83" s="88"/>
      <c r="AMP83" s="88"/>
      <c r="AMQ83" s="88"/>
      <c r="AMR83" s="88"/>
      <c r="AMS83" s="88"/>
      <c r="AMT83" s="88"/>
      <c r="AMU83" s="88"/>
      <c r="AMV83" s="88"/>
      <c r="AMW83" s="88"/>
      <c r="AMX83" s="88"/>
      <c r="AMY83" s="88"/>
      <c r="AMZ83" s="88"/>
      <c r="ANA83" s="88"/>
      <c r="ANB83" s="88"/>
      <c r="ANC83" s="88"/>
      <c r="AND83" s="88"/>
      <c r="ANE83" s="88"/>
      <c r="ANF83" s="88"/>
      <c r="ANG83" s="88"/>
      <c r="ANH83" s="88"/>
      <c r="ANI83" s="88"/>
      <c r="ANJ83" s="88"/>
      <c r="ANK83" s="88"/>
      <c r="ANL83" s="88"/>
      <c r="ANM83" s="88"/>
      <c r="ANN83" s="88"/>
      <c r="ANO83" s="88"/>
      <c r="ANP83" s="88"/>
      <c r="ANQ83" s="88"/>
      <c r="ANR83" s="88"/>
      <c r="ANS83" s="88"/>
      <c r="ANT83" s="88"/>
      <c r="ANU83" s="88"/>
      <c r="ANV83" s="88"/>
      <c r="ANW83" s="88"/>
      <c r="ANX83" s="88"/>
      <c r="ANY83" s="88"/>
      <c r="ANZ83" s="88"/>
      <c r="AOA83" s="88"/>
      <c r="AOB83" s="88"/>
      <c r="AOC83" s="88"/>
      <c r="AOD83" s="88"/>
      <c r="AOE83" s="88"/>
      <c r="AOF83" s="88"/>
      <c r="AOG83" s="88"/>
      <c r="AOH83" s="88"/>
      <c r="AOI83" s="88"/>
      <c r="AOJ83" s="88"/>
      <c r="AOK83" s="88"/>
      <c r="AOL83" s="88"/>
      <c r="AOM83" s="88"/>
      <c r="AON83" s="88"/>
      <c r="AOO83" s="88"/>
      <c r="AOP83" s="88"/>
      <c r="AOQ83" s="88"/>
      <c r="AOR83" s="88"/>
      <c r="AOS83" s="88"/>
      <c r="AOT83" s="88"/>
      <c r="AOU83" s="88"/>
      <c r="AOV83" s="88"/>
      <c r="AOW83" s="88"/>
      <c r="AOX83" s="88"/>
      <c r="AOY83" s="88"/>
      <c r="AOZ83" s="88"/>
      <c r="APA83" s="88"/>
      <c r="APB83" s="88"/>
      <c r="APC83" s="88"/>
      <c r="APD83" s="88"/>
      <c r="APE83" s="88"/>
      <c r="APF83" s="88"/>
      <c r="APG83" s="88"/>
      <c r="APH83" s="88"/>
      <c r="API83" s="88"/>
      <c r="APJ83" s="88"/>
      <c r="APK83" s="88"/>
      <c r="APL83" s="88"/>
      <c r="APM83" s="88"/>
      <c r="APN83" s="88"/>
      <c r="APO83" s="88"/>
      <c r="APP83" s="88"/>
      <c r="APQ83" s="88"/>
      <c r="APR83" s="88"/>
      <c r="APS83" s="88"/>
      <c r="APT83" s="88"/>
      <c r="APU83" s="88"/>
      <c r="APV83" s="88"/>
      <c r="APW83" s="88"/>
      <c r="APX83" s="88"/>
      <c r="APY83" s="88"/>
      <c r="APZ83" s="88"/>
      <c r="AQA83" s="88"/>
      <c r="AQB83" s="88"/>
      <c r="AQC83" s="88"/>
      <c r="AQD83" s="88"/>
      <c r="AQE83" s="88"/>
      <c r="AQF83" s="88"/>
      <c r="AQG83" s="88"/>
      <c r="AQH83" s="88"/>
      <c r="AQI83" s="88"/>
      <c r="AQJ83" s="88"/>
      <c r="AQK83" s="88"/>
      <c r="AQL83" s="88"/>
      <c r="AQM83" s="88"/>
      <c r="AQN83" s="88"/>
      <c r="AQO83" s="88"/>
      <c r="AQP83" s="88"/>
      <c r="AQQ83" s="88"/>
      <c r="AQR83" s="88"/>
      <c r="AQS83" s="88"/>
      <c r="AQT83" s="88"/>
      <c r="AQU83" s="88"/>
      <c r="AQV83" s="88"/>
      <c r="AQW83" s="88"/>
      <c r="AQX83" s="88"/>
      <c r="AQY83" s="88"/>
      <c r="AQZ83" s="88"/>
      <c r="ARA83" s="88"/>
      <c r="ARB83" s="88"/>
      <c r="ARC83" s="88"/>
      <c r="ARD83" s="88"/>
      <c r="ARE83" s="88"/>
      <c r="ARF83" s="88"/>
      <c r="ARG83" s="88"/>
      <c r="ARH83" s="88"/>
      <c r="ARI83" s="88"/>
      <c r="ARJ83" s="88"/>
      <c r="ARK83" s="88"/>
      <c r="ARL83" s="88"/>
      <c r="ARM83" s="88"/>
      <c r="ARN83" s="88"/>
      <c r="ARO83" s="88"/>
      <c r="ARP83" s="88"/>
      <c r="ARQ83" s="88"/>
      <c r="ARR83" s="88"/>
      <c r="ARS83" s="88"/>
      <c r="ART83" s="88"/>
      <c r="ARU83" s="88"/>
      <c r="ARV83" s="88"/>
      <c r="ARW83" s="88"/>
      <c r="ARX83" s="88"/>
      <c r="ARY83" s="88"/>
      <c r="ARZ83" s="88"/>
      <c r="ASA83" s="88"/>
      <c r="ASB83" s="88"/>
      <c r="ASC83" s="88"/>
      <c r="ASD83" s="88"/>
      <c r="ASE83" s="88"/>
      <c r="ASF83" s="88"/>
      <c r="ASG83" s="88"/>
      <c r="ASH83" s="88"/>
      <c r="ASI83" s="88"/>
      <c r="ASJ83" s="88"/>
      <c r="ASK83" s="88"/>
      <c r="ASL83" s="88"/>
      <c r="ASM83" s="88"/>
      <c r="ASN83" s="88"/>
      <c r="ASO83" s="88"/>
      <c r="ASP83" s="88"/>
      <c r="ASQ83" s="88"/>
      <c r="ASR83" s="88"/>
      <c r="ASS83" s="88"/>
      <c r="AST83" s="88"/>
      <c r="ASU83" s="88"/>
      <c r="ASV83" s="88"/>
      <c r="ASW83" s="88"/>
      <c r="ASX83" s="88"/>
      <c r="ASY83" s="88"/>
      <c r="ASZ83" s="88"/>
      <c r="ATA83" s="88"/>
      <c r="ATB83" s="88"/>
      <c r="ATC83" s="88"/>
      <c r="ATD83" s="88"/>
      <c r="ATE83" s="88"/>
      <c r="ATF83" s="88"/>
      <c r="ATG83" s="88"/>
      <c r="ATH83" s="88"/>
      <c r="ATI83" s="88"/>
      <c r="ATJ83" s="88"/>
      <c r="ATK83" s="88"/>
      <c r="ATL83" s="88"/>
      <c r="ATM83" s="88"/>
      <c r="ATN83" s="88"/>
      <c r="ATO83" s="88"/>
      <c r="ATP83" s="88"/>
      <c r="ATQ83" s="88"/>
      <c r="ATR83" s="88"/>
      <c r="ATS83" s="88"/>
      <c r="ATT83" s="88"/>
      <c r="ATU83" s="88"/>
      <c r="ATV83" s="88"/>
      <c r="ATW83" s="88"/>
      <c r="ATX83" s="88"/>
      <c r="ATY83" s="88"/>
      <c r="ATZ83" s="88"/>
      <c r="AUA83" s="88"/>
      <c r="AUB83" s="88"/>
      <c r="AUC83" s="88"/>
      <c r="AUD83" s="88"/>
      <c r="AUE83" s="88"/>
      <c r="AUF83" s="88"/>
      <c r="AUG83" s="88"/>
      <c r="AUH83" s="88"/>
      <c r="AUI83" s="88"/>
      <c r="AUJ83" s="88"/>
      <c r="AUK83" s="88"/>
      <c r="AUL83" s="88"/>
      <c r="AUM83" s="88"/>
      <c r="AUN83" s="88"/>
      <c r="AUO83" s="88"/>
      <c r="AUP83" s="88"/>
      <c r="AUQ83" s="88"/>
      <c r="AUR83" s="88"/>
      <c r="AUS83" s="88"/>
      <c r="AUT83" s="88"/>
      <c r="AUU83" s="88"/>
      <c r="AUV83" s="88"/>
      <c r="AUW83" s="88"/>
      <c r="AUX83" s="88"/>
      <c r="AUY83" s="88"/>
      <c r="AUZ83" s="88"/>
      <c r="AVA83" s="88"/>
      <c r="AVB83" s="88"/>
      <c r="AVC83" s="88"/>
      <c r="AVD83" s="88"/>
      <c r="AVE83" s="88"/>
      <c r="AVF83" s="88"/>
      <c r="AVG83" s="88"/>
      <c r="AVH83" s="88"/>
      <c r="AVI83" s="88"/>
      <c r="AVJ83" s="88"/>
      <c r="AVK83" s="88"/>
      <c r="AVL83" s="88"/>
      <c r="AVM83" s="88"/>
      <c r="AVN83" s="88"/>
      <c r="AVO83" s="88"/>
      <c r="AVP83" s="88"/>
      <c r="AVQ83" s="88"/>
      <c r="AVR83" s="88"/>
      <c r="AVS83" s="88"/>
      <c r="AVT83" s="88"/>
      <c r="AVU83" s="88"/>
      <c r="AVV83" s="88"/>
      <c r="AVW83" s="88"/>
      <c r="AVX83" s="88"/>
      <c r="AVY83" s="88"/>
      <c r="AVZ83" s="88"/>
      <c r="AWA83" s="88"/>
      <c r="AWB83" s="88"/>
      <c r="AWC83" s="88"/>
      <c r="AWD83" s="88"/>
      <c r="AWE83" s="88"/>
      <c r="AWF83" s="88"/>
      <c r="AWG83" s="88"/>
      <c r="AWH83" s="88"/>
      <c r="AWI83" s="88"/>
      <c r="AWJ83" s="88"/>
      <c r="AWK83" s="88"/>
      <c r="AWL83" s="88"/>
      <c r="AWM83" s="88"/>
      <c r="AWN83" s="88"/>
      <c r="AWO83" s="88"/>
      <c r="AWP83" s="88"/>
      <c r="AWQ83" s="88"/>
      <c r="AWR83" s="88"/>
      <c r="AWS83" s="88"/>
      <c r="AWT83" s="88"/>
      <c r="AWU83" s="88"/>
      <c r="AWV83" s="88"/>
      <c r="AWW83" s="88"/>
      <c r="AWX83" s="88"/>
      <c r="AWY83" s="88"/>
      <c r="AWZ83" s="88"/>
      <c r="AXA83" s="88"/>
      <c r="AXB83" s="88"/>
      <c r="AXC83" s="88"/>
      <c r="AXD83" s="88"/>
      <c r="AXE83" s="88"/>
      <c r="AXF83" s="88"/>
      <c r="AXG83" s="88"/>
      <c r="AXH83" s="88"/>
      <c r="AXI83" s="88"/>
      <c r="AXJ83" s="88"/>
      <c r="AXK83" s="88"/>
      <c r="AXL83" s="88"/>
      <c r="AXM83" s="88"/>
      <c r="AXN83" s="88"/>
      <c r="AXO83" s="88"/>
      <c r="AXP83" s="88"/>
      <c r="AXQ83" s="88"/>
      <c r="AXR83" s="88"/>
      <c r="AXS83" s="88"/>
      <c r="AXT83" s="88"/>
      <c r="AXU83" s="88"/>
      <c r="AXV83" s="88"/>
      <c r="AXW83" s="88"/>
      <c r="AXX83" s="88"/>
      <c r="AXY83" s="88"/>
      <c r="AXZ83" s="88"/>
      <c r="AYA83" s="88"/>
      <c r="AYB83" s="88"/>
      <c r="AYC83" s="88"/>
      <c r="AYD83" s="88"/>
      <c r="AYE83" s="88"/>
      <c r="AYF83" s="88"/>
      <c r="AYG83" s="88"/>
      <c r="AYH83" s="88"/>
      <c r="AYI83" s="88"/>
      <c r="AYJ83" s="88"/>
      <c r="AYK83" s="88"/>
      <c r="AYL83" s="88"/>
      <c r="AYM83" s="88"/>
      <c r="AYN83" s="88"/>
      <c r="AYO83" s="88"/>
      <c r="AYP83" s="88"/>
      <c r="AYQ83" s="88"/>
      <c r="AYR83" s="88"/>
      <c r="AYS83" s="88"/>
      <c r="AYT83" s="88"/>
      <c r="AYU83" s="88"/>
      <c r="AYV83" s="88"/>
      <c r="AYW83" s="88"/>
      <c r="AYX83" s="88"/>
      <c r="AYY83" s="88"/>
      <c r="AYZ83" s="88"/>
      <c r="AZA83" s="88"/>
      <c r="AZB83" s="88"/>
      <c r="AZC83" s="88"/>
      <c r="AZD83" s="88"/>
      <c r="AZE83" s="88"/>
      <c r="AZF83" s="88"/>
      <c r="AZG83" s="88"/>
      <c r="AZH83" s="88"/>
      <c r="AZI83" s="88"/>
      <c r="AZJ83" s="88"/>
      <c r="AZK83" s="88"/>
      <c r="AZL83" s="88"/>
      <c r="AZM83" s="88"/>
      <c r="AZN83" s="88"/>
      <c r="AZO83" s="88"/>
      <c r="AZP83" s="88"/>
      <c r="AZQ83" s="88"/>
      <c r="AZR83" s="88"/>
      <c r="AZS83" s="88"/>
      <c r="AZT83" s="88"/>
      <c r="AZU83" s="88"/>
      <c r="AZV83" s="88"/>
      <c r="AZW83" s="88"/>
      <c r="AZX83" s="88"/>
      <c r="AZY83" s="88"/>
      <c r="AZZ83" s="88"/>
      <c r="BAA83" s="88"/>
      <c r="BAB83" s="88"/>
      <c r="BAC83" s="88"/>
      <c r="BAD83" s="88"/>
      <c r="BAE83" s="88"/>
      <c r="BAF83" s="88"/>
      <c r="BAG83" s="88"/>
      <c r="BAH83" s="88"/>
      <c r="BAI83" s="88"/>
      <c r="BAJ83" s="88"/>
      <c r="BAK83" s="88"/>
      <c r="BAL83" s="88"/>
      <c r="BAM83" s="88"/>
      <c r="BAN83" s="88"/>
      <c r="BAO83" s="88"/>
      <c r="BAP83" s="88"/>
      <c r="BAQ83" s="88"/>
      <c r="BAR83" s="88"/>
      <c r="BAS83" s="88"/>
      <c r="BAT83" s="88"/>
      <c r="BAU83" s="88"/>
      <c r="BAV83" s="88"/>
      <c r="BAW83" s="88"/>
      <c r="BAX83" s="88"/>
      <c r="BAY83" s="88"/>
      <c r="BAZ83" s="88"/>
      <c r="BBA83" s="88"/>
      <c r="BBB83" s="88"/>
      <c r="BBC83" s="88"/>
      <c r="BBD83" s="88"/>
      <c r="BBE83" s="88"/>
      <c r="BBF83" s="88"/>
      <c r="BBG83" s="88"/>
      <c r="BBH83" s="88"/>
      <c r="BBI83" s="88"/>
      <c r="BBJ83" s="88"/>
      <c r="BBK83" s="88"/>
      <c r="BBL83" s="88"/>
      <c r="BBM83" s="88"/>
      <c r="BBN83" s="88"/>
      <c r="BBO83" s="88"/>
      <c r="BBP83" s="88"/>
      <c r="BBQ83" s="88"/>
      <c r="BBR83" s="88"/>
      <c r="BBS83" s="88"/>
      <c r="BBT83" s="88"/>
      <c r="BBU83" s="88"/>
      <c r="BBV83" s="88"/>
      <c r="BBW83" s="88"/>
      <c r="BBX83" s="88"/>
      <c r="BBY83" s="88"/>
      <c r="BBZ83" s="88"/>
      <c r="BCA83" s="88"/>
      <c r="BCB83" s="88"/>
      <c r="BCC83" s="88"/>
      <c r="BCD83" s="88"/>
      <c r="BCE83" s="88"/>
      <c r="BCF83" s="88"/>
      <c r="BCG83" s="88"/>
      <c r="BCH83" s="88"/>
      <c r="BCI83" s="88"/>
      <c r="BCJ83" s="88"/>
      <c r="BCK83" s="88"/>
      <c r="BCL83" s="88"/>
      <c r="BCM83" s="88"/>
      <c r="BCN83" s="88"/>
      <c r="BCO83" s="88"/>
      <c r="BCP83" s="88"/>
      <c r="BCQ83" s="88"/>
      <c r="BCR83" s="88"/>
      <c r="BCS83" s="88"/>
      <c r="BCT83" s="88"/>
      <c r="BCU83" s="88"/>
      <c r="BCV83" s="88"/>
      <c r="BCW83" s="88"/>
      <c r="BCX83" s="88"/>
      <c r="BCY83" s="88"/>
      <c r="BCZ83" s="88"/>
      <c r="BDA83" s="88"/>
      <c r="BDB83" s="88"/>
      <c r="BDC83" s="88"/>
      <c r="BDD83" s="88"/>
      <c r="BDE83" s="88"/>
      <c r="BDF83" s="88"/>
      <c r="BDG83" s="88"/>
      <c r="BDH83" s="88"/>
      <c r="BDI83" s="88"/>
      <c r="BDJ83" s="88"/>
      <c r="BDK83" s="88"/>
      <c r="BDL83" s="88"/>
      <c r="BDM83" s="88"/>
      <c r="BDN83" s="88"/>
      <c r="BDO83" s="88"/>
      <c r="BDP83" s="88"/>
      <c r="BDQ83" s="88"/>
      <c r="BDR83" s="88"/>
      <c r="BDS83" s="88"/>
      <c r="BDT83" s="88"/>
      <c r="BDU83" s="88"/>
      <c r="BDV83" s="88"/>
      <c r="BDW83" s="88"/>
      <c r="BDX83" s="88"/>
      <c r="BDY83" s="88"/>
      <c r="BDZ83" s="88"/>
      <c r="BEA83" s="88"/>
      <c r="BEB83" s="88"/>
      <c r="BEC83" s="88"/>
      <c r="BED83" s="88"/>
      <c r="BEE83" s="88"/>
      <c r="BEF83" s="88"/>
      <c r="BEG83" s="88"/>
      <c r="BEH83" s="88"/>
      <c r="BEI83" s="88"/>
      <c r="BEJ83" s="88"/>
      <c r="BEK83" s="88"/>
      <c r="BEL83" s="88"/>
      <c r="BEM83" s="88"/>
      <c r="BEN83" s="88"/>
      <c r="BEO83" s="88"/>
      <c r="BEP83" s="88"/>
      <c r="BEQ83" s="88"/>
      <c r="BER83" s="88"/>
      <c r="BES83" s="88"/>
      <c r="BET83" s="88"/>
      <c r="BEU83" s="88"/>
      <c r="BEV83" s="88"/>
      <c r="BEW83" s="88"/>
      <c r="BEX83" s="88"/>
      <c r="BEY83" s="88"/>
      <c r="BEZ83" s="88"/>
      <c r="BFA83" s="88"/>
      <c r="BFB83" s="88"/>
      <c r="BFC83" s="88"/>
      <c r="BFD83" s="88"/>
      <c r="BFE83" s="88"/>
      <c r="BFF83" s="88"/>
      <c r="BFG83" s="88"/>
      <c r="BFH83" s="88"/>
      <c r="BFI83" s="88"/>
      <c r="BFJ83" s="88"/>
      <c r="BFK83" s="88"/>
      <c r="BFL83" s="88"/>
      <c r="BFM83" s="88"/>
      <c r="BFN83" s="88"/>
      <c r="BFO83" s="88"/>
      <c r="BFP83" s="88"/>
      <c r="BFQ83" s="88"/>
      <c r="BFR83" s="88"/>
      <c r="BFS83" s="88"/>
      <c r="BFT83" s="88"/>
      <c r="BFU83" s="88"/>
      <c r="BFV83" s="88"/>
      <c r="BFW83" s="88"/>
      <c r="BFX83" s="88"/>
      <c r="BFY83" s="88"/>
      <c r="BFZ83" s="88"/>
      <c r="BGA83" s="88"/>
      <c r="BGB83" s="88"/>
      <c r="BGC83" s="88"/>
      <c r="BGD83" s="88"/>
      <c r="BGE83" s="88"/>
      <c r="BGF83" s="88"/>
      <c r="BGG83" s="88"/>
      <c r="BGH83" s="88"/>
      <c r="BGI83" s="88"/>
      <c r="BGJ83" s="88"/>
      <c r="BGK83" s="88"/>
      <c r="BGL83" s="88"/>
      <c r="BGM83" s="88"/>
      <c r="BGN83" s="88"/>
      <c r="BGO83" s="88"/>
      <c r="BGP83" s="88"/>
      <c r="BGQ83" s="88"/>
      <c r="BGR83" s="88"/>
      <c r="BGS83" s="88"/>
      <c r="BGT83" s="88"/>
      <c r="BGU83" s="88"/>
      <c r="BGV83" s="88"/>
      <c r="BGW83" s="88"/>
      <c r="BGX83" s="88"/>
      <c r="BGY83" s="88"/>
      <c r="BGZ83" s="88"/>
      <c r="BHA83" s="88"/>
      <c r="BHB83" s="88"/>
      <c r="BHC83" s="88"/>
      <c r="BHD83" s="88"/>
      <c r="BHE83" s="88"/>
      <c r="BHF83" s="88"/>
      <c r="BHG83" s="88"/>
      <c r="BHH83" s="88"/>
      <c r="BHI83" s="88"/>
      <c r="BHJ83" s="88"/>
      <c r="BHK83" s="88"/>
      <c r="BHL83" s="88"/>
      <c r="BHM83" s="88"/>
      <c r="BHN83" s="88"/>
      <c r="BHO83" s="88"/>
      <c r="BHP83" s="88"/>
      <c r="BHQ83" s="88"/>
      <c r="BHR83" s="88"/>
      <c r="BHS83" s="88"/>
      <c r="BHT83" s="88"/>
      <c r="BHU83" s="88"/>
      <c r="BHV83" s="88"/>
      <c r="BHW83" s="88"/>
      <c r="BHX83" s="88"/>
      <c r="BHY83" s="88"/>
      <c r="BHZ83" s="88"/>
      <c r="BIA83" s="88"/>
      <c r="BIB83" s="88"/>
      <c r="BIC83" s="88"/>
      <c r="BID83" s="88"/>
      <c r="BIE83" s="88"/>
      <c r="BIF83" s="88"/>
      <c r="BIG83" s="88"/>
      <c r="BIH83" s="88"/>
      <c r="BII83" s="88"/>
      <c r="BIJ83" s="88"/>
      <c r="BIK83" s="88"/>
      <c r="BIL83" s="88"/>
      <c r="BIM83" s="88"/>
      <c r="BIN83" s="88"/>
      <c r="BIO83" s="88"/>
      <c r="BIP83" s="88"/>
      <c r="BIQ83" s="88"/>
      <c r="BIR83" s="88"/>
      <c r="BIS83" s="88"/>
      <c r="BIT83" s="88"/>
      <c r="BIU83" s="88"/>
      <c r="BIV83" s="88"/>
      <c r="BIW83" s="88"/>
      <c r="BIX83" s="88"/>
      <c r="BIY83" s="88"/>
      <c r="BIZ83" s="88"/>
      <c r="BJA83" s="88"/>
      <c r="BJB83" s="88"/>
      <c r="BJC83" s="88"/>
      <c r="BJD83" s="88"/>
      <c r="BJE83" s="88"/>
      <c r="BJF83" s="88"/>
      <c r="BJG83" s="88"/>
      <c r="BJH83" s="88"/>
      <c r="BJI83" s="88"/>
      <c r="BJJ83" s="88"/>
      <c r="BJK83" s="88"/>
      <c r="BJL83" s="88"/>
      <c r="BJM83" s="88"/>
      <c r="BJN83" s="88"/>
      <c r="BJO83" s="88"/>
      <c r="BJP83" s="88"/>
      <c r="BJQ83" s="88"/>
      <c r="BJR83" s="88"/>
      <c r="BJS83" s="88"/>
      <c r="BJT83" s="88"/>
      <c r="BJU83" s="88"/>
      <c r="BJV83" s="88"/>
      <c r="BJW83" s="88"/>
      <c r="BJX83" s="88"/>
      <c r="BJY83" s="88"/>
      <c r="BJZ83" s="88"/>
      <c r="BKA83" s="88"/>
      <c r="BKB83" s="88"/>
      <c r="BKC83" s="88"/>
      <c r="BKD83" s="88"/>
      <c r="BKE83" s="88"/>
      <c r="BKF83" s="88"/>
      <c r="BKG83" s="88"/>
      <c r="BKH83" s="88"/>
      <c r="BKI83" s="88"/>
      <c r="BKJ83" s="88"/>
      <c r="BKK83" s="88"/>
      <c r="BKL83" s="88"/>
      <c r="BKM83" s="88"/>
      <c r="BKN83" s="88"/>
      <c r="BKO83" s="88"/>
      <c r="BKP83" s="88"/>
      <c r="BKQ83" s="88"/>
      <c r="BKR83" s="88"/>
      <c r="BKS83" s="88"/>
      <c r="BKT83" s="88"/>
      <c r="BKU83" s="88"/>
      <c r="BKV83" s="88"/>
      <c r="BKW83" s="88"/>
      <c r="BKX83" s="88"/>
      <c r="BKY83" s="88"/>
      <c r="BKZ83" s="88"/>
      <c r="BLA83" s="88"/>
      <c r="BLB83" s="88"/>
      <c r="BLC83" s="88"/>
      <c r="BLD83" s="88"/>
      <c r="BLE83" s="88"/>
      <c r="BLF83" s="88"/>
      <c r="BLG83" s="88"/>
      <c r="BLH83" s="88"/>
      <c r="BLI83" s="88"/>
      <c r="BLJ83" s="88"/>
      <c r="BLK83" s="88"/>
      <c r="BLL83" s="88"/>
      <c r="BLM83" s="88"/>
      <c r="BLN83" s="88"/>
      <c r="BLO83" s="88"/>
      <c r="BLP83" s="88"/>
      <c r="BLQ83" s="88"/>
      <c r="BLR83" s="88"/>
      <c r="BLS83" s="88"/>
      <c r="BLT83" s="88"/>
      <c r="BLU83" s="88"/>
      <c r="BLV83" s="88"/>
      <c r="BLW83" s="88"/>
      <c r="BLX83" s="88"/>
      <c r="BLY83" s="88"/>
      <c r="BLZ83" s="88"/>
      <c r="BMA83" s="88"/>
      <c r="BMB83" s="88"/>
      <c r="BMC83" s="88"/>
      <c r="BMD83" s="88"/>
      <c r="BME83" s="88"/>
      <c r="BMF83" s="88"/>
      <c r="BMG83" s="88"/>
      <c r="BMH83" s="88"/>
      <c r="BMI83" s="88"/>
      <c r="BMJ83" s="88"/>
      <c r="BMK83" s="88"/>
      <c r="BML83" s="88"/>
      <c r="BMM83" s="88"/>
      <c r="BMN83" s="88"/>
      <c r="BMO83" s="88"/>
      <c r="BMP83" s="88"/>
      <c r="BMQ83" s="88"/>
      <c r="BMR83" s="88"/>
      <c r="BMS83" s="88"/>
      <c r="BMT83" s="88"/>
      <c r="BMU83" s="88"/>
      <c r="BMV83" s="88"/>
      <c r="BMW83" s="88"/>
      <c r="BMX83" s="88"/>
      <c r="BMY83" s="88"/>
      <c r="BMZ83" s="88"/>
      <c r="BNA83" s="88"/>
      <c r="BNB83" s="88"/>
      <c r="BNC83" s="88"/>
      <c r="BND83" s="88"/>
      <c r="BNE83" s="88"/>
      <c r="BNF83" s="88"/>
      <c r="BNG83" s="88"/>
      <c r="BNH83" s="88"/>
      <c r="BNI83" s="88"/>
      <c r="BNJ83" s="88"/>
      <c r="BNK83" s="88"/>
      <c r="BNL83" s="88"/>
      <c r="BNM83" s="88"/>
      <c r="BNN83" s="88"/>
      <c r="BNO83" s="88"/>
      <c r="BNP83" s="88"/>
      <c r="BNQ83" s="88"/>
      <c r="BNR83" s="88"/>
      <c r="BNS83" s="88"/>
      <c r="BNT83" s="88"/>
      <c r="BNU83" s="88"/>
      <c r="BNV83" s="88"/>
      <c r="BNW83" s="88"/>
      <c r="BNX83" s="88"/>
      <c r="BNY83" s="88"/>
      <c r="BNZ83" s="88"/>
      <c r="BOA83" s="88"/>
      <c r="BOB83" s="88"/>
      <c r="BOC83" s="88"/>
      <c r="BOD83" s="88"/>
      <c r="BOE83" s="88"/>
      <c r="BOF83" s="88"/>
      <c r="BOG83" s="88"/>
      <c r="BOH83" s="88"/>
      <c r="BOI83" s="88"/>
      <c r="BOJ83" s="88"/>
      <c r="BOK83" s="88"/>
      <c r="BOL83" s="88"/>
      <c r="BOM83" s="88"/>
      <c r="BON83" s="88"/>
      <c r="BOO83" s="88"/>
      <c r="BOP83" s="88"/>
      <c r="BOQ83" s="88"/>
      <c r="BOR83" s="88"/>
      <c r="BOS83" s="88"/>
      <c r="BOT83" s="88"/>
      <c r="BOU83" s="88"/>
      <c r="BOV83" s="88"/>
      <c r="BOW83" s="88"/>
      <c r="BOX83" s="88"/>
      <c r="BOY83" s="88"/>
      <c r="BOZ83" s="88"/>
      <c r="BPA83" s="88"/>
      <c r="BPB83" s="88"/>
      <c r="BPC83" s="88"/>
      <c r="BPD83" s="88"/>
      <c r="BPE83" s="88"/>
      <c r="BPF83" s="88"/>
      <c r="BPG83" s="88"/>
      <c r="BPH83" s="88"/>
      <c r="BPI83" s="88"/>
      <c r="BPJ83" s="88"/>
      <c r="BPK83" s="88"/>
      <c r="BPL83" s="88"/>
      <c r="BPM83" s="88"/>
      <c r="BPN83" s="88"/>
      <c r="BPO83" s="88"/>
      <c r="BPP83" s="88"/>
      <c r="BPQ83" s="88"/>
      <c r="BPR83" s="88"/>
      <c r="BPS83" s="88"/>
      <c r="BPT83" s="88"/>
      <c r="BPU83" s="88"/>
      <c r="BPV83" s="88"/>
      <c r="BPW83" s="88"/>
      <c r="BPX83" s="88"/>
      <c r="BPY83" s="88"/>
      <c r="BPZ83" s="88"/>
      <c r="BQA83" s="88"/>
      <c r="BQB83" s="88"/>
      <c r="BQC83" s="88"/>
      <c r="BQD83" s="88"/>
      <c r="BQE83" s="88"/>
      <c r="BQF83" s="88"/>
      <c r="BQG83" s="88"/>
      <c r="BQH83" s="88"/>
      <c r="BQI83" s="88"/>
      <c r="BQJ83" s="88"/>
      <c r="BQK83" s="88"/>
      <c r="BQL83" s="88"/>
      <c r="BQM83" s="88"/>
      <c r="BQN83" s="88"/>
      <c r="BQO83" s="88"/>
      <c r="BQP83" s="88"/>
      <c r="BQQ83" s="88"/>
      <c r="BQR83" s="88"/>
      <c r="BQS83" s="88"/>
      <c r="BQT83" s="88"/>
      <c r="BQU83" s="88"/>
      <c r="BQV83" s="88"/>
      <c r="BQW83" s="88"/>
      <c r="BQX83" s="88"/>
      <c r="BQY83" s="88"/>
      <c r="BQZ83" s="88"/>
      <c r="BRA83" s="88"/>
      <c r="BRB83" s="88"/>
      <c r="BRC83" s="88"/>
      <c r="BRD83" s="88"/>
      <c r="BRE83" s="88"/>
      <c r="BRF83" s="88"/>
      <c r="BRG83" s="88"/>
      <c r="BRH83" s="88"/>
      <c r="BRI83" s="88"/>
      <c r="BRJ83" s="88"/>
      <c r="BRK83" s="88"/>
      <c r="BRL83" s="88"/>
      <c r="BRM83" s="88"/>
      <c r="BRN83" s="88"/>
      <c r="BRO83" s="88"/>
      <c r="BRP83" s="88"/>
      <c r="BRQ83" s="88"/>
      <c r="BRR83" s="88"/>
      <c r="BRS83" s="88"/>
      <c r="BRT83" s="88"/>
      <c r="BRU83" s="88"/>
      <c r="BRV83" s="88"/>
      <c r="BRW83" s="88"/>
      <c r="BRX83" s="88"/>
      <c r="BRY83" s="88"/>
      <c r="BRZ83" s="88"/>
      <c r="BSA83" s="88"/>
      <c r="BSB83" s="88"/>
      <c r="BSC83" s="88"/>
      <c r="BSD83" s="88"/>
      <c r="BSE83" s="88"/>
      <c r="BSF83" s="88"/>
      <c r="BSG83" s="88"/>
      <c r="BSH83" s="88"/>
      <c r="BSI83" s="88"/>
      <c r="BSJ83" s="88"/>
      <c r="BSK83" s="88"/>
      <c r="BSL83" s="88"/>
      <c r="BSM83" s="88"/>
      <c r="BSN83" s="88"/>
      <c r="BSO83" s="88"/>
      <c r="BSP83" s="88"/>
      <c r="BSQ83" s="88"/>
      <c r="BSR83" s="88"/>
      <c r="BSS83" s="88"/>
      <c r="BST83" s="88"/>
      <c r="BSU83" s="88"/>
      <c r="BSV83" s="88"/>
      <c r="BSW83" s="88"/>
      <c r="BSX83" s="88"/>
      <c r="BSY83" s="88"/>
      <c r="BSZ83" s="88"/>
      <c r="BTA83" s="88"/>
      <c r="BTB83" s="88"/>
      <c r="BTC83" s="88"/>
      <c r="BTD83" s="88"/>
      <c r="BTE83" s="88"/>
      <c r="BTF83" s="88"/>
      <c r="BTG83" s="88"/>
      <c r="BTH83" s="88"/>
      <c r="BTI83" s="88"/>
      <c r="BTJ83" s="88"/>
      <c r="BTK83" s="88"/>
      <c r="BTL83" s="88"/>
      <c r="BTM83" s="88"/>
      <c r="BTN83" s="88"/>
      <c r="BTO83" s="88"/>
      <c r="BTP83" s="88"/>
      <c r="BTQ83" s="88"/>
      <c r="BTR83" s="88"/>
      <c r="BTS83" s="88"/>
      <c r="BTT83" s="88"/>
      <c r="BTU83" s="88"/>
      <c r="BTV83" s="88"/>
      <c r="BTW83" s="88"/>
      <c r="BTX83" s="88"/>
      <c r="BTY83" s="88"/>
      <c r="BTZ83" s="88"/>
      <c r="BUA83" s="88"/>
      <c r="BUB83" s="88"/>
      <c r="BUC83" s="88"/>
      <c r="BUD83" s="88"/>
      <c r="BUE83" s="88"/>
      <c r="BUF83" s="88"/>
      <c r="BUG83" s="88"/>
      <c r="BUH83" s="88"/>
      <c r="BUI83" s="88"/>
      <c r="BUJ83" s="88"/>
      <c r="BUK83" s="88"/>
      <c r="BUL83" s="88"/>
      <c r="BUM83" s="88"/>
      <c r="BUN83" s="88"/>
      <c r="BUO83" s="88"/>
      <c r="BUP83" s="88"/>
      <c r="BUQ83" s="88"/>
      <c r="BUR83" s="88"/>
      <c r="BUS83" s="88"/>
      <c r="BUT83" s="88"/>
      <c r="BUU83" s="88"/>
      <c r="BUV83" s="88"/>
      <c r="BUW83" s="88"/>
      <c r="BUX83" s="88"/>
      <c r="BUY83" s="88"/>
      <c r="BUZ83" s="88"/>
      <c r="BVA83" s="88"/>
      <c r="BVB83" s="88"/>
      <c r="BVC83" s="88"/>
      <c r="BVD83" s="88"/>
      <c r="BVE83" s="88"/>
      <c r="BVF83" s="88"/>
      <c r="BVG83" s="88"/>
      <c r="BVH83" s="88"/>
      <c r="BVI83" s="88"/>
      <c r="BVJ83" s="88"/>
      <c r="BVK83" s="88"/>
      <c r="BVL83" s="88"/>
      <c r="BVM83" s="88"/>
      <c r="BVN83" s="88"/>
      <c r="BVO83" s="88"/>
      <c r="BVP83" s="88"/>
      <c r="BVQ83" s="88"/>
      <c r="BVR83" s="88"/>
      <c r="BVS83" s="88"/>
      <c r="BVT83" s="88"/>
      <c r="BVU83" s="88"/>
      <c r="BVV83" s="88"/>
      <c r="BVW83" s="88"/>
      <c r="BVX83" s="88"/>
      <c r="BVY83" s="88"/>
      <c r="BVZ83" s="88"/>
      <c r="BWA83" s="88"/>
      <c r="BWB83" s="88"/>
      <c r="BWC83" s="88"/>
      <c r="BWD83" s="88"/>
      <c r="BWE83" s="88"/>
      <c r="BWF83" s="88"/>
      <c r="BWG83" s="88"/>
      <c r="BWH83" s="88"/>
      <c r="BWI83" s="88"/>
      <c r="BWJ83" s="88"/>
      <c r="BWK83" s="88"/>
      <c r="BWL83" s="88"/>
      <c r="BWM83" s="88"/>
      <c r="BWN83" s="88"/>
      <c r="BWO83" s="88"/>
      <c r="BWP83" s="88"/>
      <c r="BWQ83" s="88"/>
      <c r="BWR83" s="88"/>
      <c r="BWS83" s="88"/>
      <c r="BWT83" s="88"/>
      <c r="BWU83" s="88"/>
      <c r="BWV83" s="88"/>
      <c r="BWW83" s="88"/>
      <c r="BWX83" s="88"/>
      <c r="BWY83" s="88"/>
      <c r="BWZ83" s="88"/>
      <c r="BXA83" s="88"/>
      <c r="BXB83" s="88"/>
      <c r="BXC83" s="88"/>
      <c r="BXD83" s="88"/>
      <c r="BXE83" s="88"/>
      <c r="BXF83" s="88"/>
      <c r="BXG83" s="88"/>
      <c r="BXH83" s="88"/>
      <c r="BXI83" s="88"/>
      <c r="BXJ83" s="88"/>
      <c r="BXK83" s="88"/>
      <c r="BXL83" s="88"/>
      <c r="BXM83" s="88"/>
      <c r="BXN83" s="88"/>
      <c r="BXO83" s="88"/>
      <c r="BXP83" s="88"/>
      <c r="BXQ83" s="88"/>
      <c r="BXR83" s="88"/>
      <c r="BXS83" s="88"/>
      <c r="BXT83" s="88"/>
      <c r="BXU83" s="88"/>
      <c r="BXV83" s="88"/>
      <c r="BXW83" s="88"/>
      <c r="BXX83" s="88"/>
      <c r="BXY83" s="88"/>
      <c r="BXZ83" s="88"/>
      <c r="BYA83" s="88"/>
      <c r="BYB83" s="88"/>
      <c r="BYC83" s="88"/>
      <c r="BYD83" s="88"/>
      <c r="BYE83" s="88"/>
      <c r="BYF83" s="88"/>
      <c r="BYG83" s="88"/>
      <c r="BYH83" s="88"/>
      <c r="BYI83" s="88"/>
      <c r="BYJ83" s="88"/>
      <c r="BYK83" s="88"/>
      <c r="BYL83" s="88"/>
      <c r="BYM83" s="88"/>
      <c r="BYN83" s="88"/>
      <c r="BYO83" s="88"/>
      <c r="BYP83" s="88"/>
      <c r="BYQ83" s="88"/>
      <c r="BYR83" s="88"/>
      <c r="BYS83" s="88"/>
      <c r="BYT83" s="88"/>
      <c r="BYU83" s="88"/>
      <c r="BYV83" s="88"/>
      <c r="BYW83" s="88"/>
      <c r="BYX83" s="88"/>
      <c r="BYY83" s="88"/>
      <c r="BYZ83" s="88"/>
      <c r="BZA83" s="88"/>
      <c r="BZB83" s="88"/>
      <c r="BZC83" s="88"/>
      <c r="BZD83" s="88"/>
      <c r="BZE83" s="88"/>
      <c r="BZF83" s="88"/>
      <c r="BZG83" s="88"/>
      <c r="BZH83" s="88"/>
      <c r="BZI83" s="88"/>
      <c r="BZJ83" s="88"/>
      <c r="BZK83" s="88"/>
      <c r="BZL83" s="88"/>
      <c r="BZM83" s="88"/>
      <c r="BZN83" s="88"/>
      <c r="BZO83" s="88"/>
      <c r="BZP83" s="88"/>
      <c r="BZQ83" s="88"/>
      <c r="BZR83" s="88"/>
      <c r="BZS83" s="88"/>
      <c r="BZT83" s="88"/>
      <c r="BZU83" s="88"/>
      <c r="BZV83" s="88"/>
      <c r="BZW83" s="88"/>
      <c r="BZX83" s="88"/>
      <c r="BZY83" s="88"/>
      <c r="BZZ83" s="88"/>
      <c r="CAA83" s="88"/>
      <c r="CAB83" s="88"/>
      <c r="CAC83" s="88"/>
      <c r="CAD83" s="88"/>
      <c r="CAE83" s="88"/>
      <c r="CAF83" s="88"/>
      <c r="CAG83" s="88"/>
      <c r="CAH83" s="88"/>
      <c r="CAI83" s="88"/>
      <c r="CAJ83" s="88"/>
      <c r="CAK83" s="88"/>
      <c r="CAL83" s="88"/>
      <c r="CAM83" s="88"/>
      <c r="CAN83" s="88"/>
      <c r="CAO83" s="88"/>
      <c r="CAP83" s="88"/>
      <c r="CAQ83" s="88"/>
      <c r="CAR83" s="88"/>
      <c r="CAS83" s="88"/>
      <c r="CAT83" s="88"/>
      <c r="CAU83" s="88"/>
      <c r="CAV83" s="88"/>
      <c r="CAW83" s="88"/>
      <c r="CAX83" s="88"/>
      <c r="CAY83" s="88"/>
      <c r="CAZ83" s="88"/>
      <c r="CBA83" s="88"/>
      <c r="CBB83" s="88"/>
      <c r="CBC83" s="88"/>
      <c r="CBD83" s="88"/>
      <c r="CBE83" s="88"/>
      <c r="CBF83" s="88"/>
      <c r="CBG83" s="88"/>
      <c r="CBH83" s="88"/>
      <c r="CBI83" s="88"/>
      <c r="CBJ83" s="88"/>
      <c r="CBK83" s="88"/>
      <c r="CBL83" s="88"/>
      <c r="CBM83" s="88"/>
      <c r="CBN83" s="88"/>
      <c r="CBO83" s="88"/>
      <c r="CBP83" s="88"/>
      <c r="CBQ83" s="88"/>
      <c r="CBR83" s="88"/>
      <c r="CBS83" s="88"/>
      <c r="CBT83" s="88"/>
      <c r="CBU83" s="88"/>
      <c r="CBV83" s="88"/>
      <c r="CBW83" s="88"/>
      <c r="CBX83" s="88"/>
      <c r="CBY83" s="88"/>
      <c r="CBZ83" s="88"/>
      <c r="CCA83" s="88"/>
      <c r="CCB83" s="88"/>
      <c r="CCC83" s="88"/>
      <c r="CCD83" s="88"/>
      <c r="CCE83" s="88"/>
      <c r="CCF83" s="88"/>
      <c r="CCG83" s="88"/>
      <c r="CCH83" s="88"/>
      <c r="CCI83" s="88"/>
      <c r="CCJ83" s="88"/>
      <c r="CCK83" s="88"/>
      <c r="CCL83" s="88"/>
      <c r="CCM83" s="88"/>
      <c r="CCN83" s="88"/>
      <c r="CCO83" s="88"/>
      <c r="CCP83" s="88"/>
      <c r="CCQ83" s="88"/>
      <c r="CCR83" s="88"/>
      <c r="CCS83" s="88"/>
      <c r="CCT83" s="88"/>
      <c r="CCU83" s="88"/>
      <c r="CCV83" s="88"/>
      <c r="CCW83" s="88"/>
      <c r="CCX83" s="88"/>
      <c r="CCY83" s="88"/>
      <c r="CCZ83" s="88"/>
      <c r="CDA83" s="88"/>
      <c r="CDB83" s="88"/>
      <c r="CDC83" s="88"/>
      <c r="CDD83" s="88"/>
      <c r="CDE83" s="88"/>
      <c r="CDF83" s="88"/>
      <c r="CDG83" s="88"/>
      <c r="CDH83" s="88"/>
      <c r="CDI83" s="88"/>
      <c r="CDJ83" s="88"/>
      <c r="CDK83" s="88"/>
      <c r="CDL83" s="88"/>
      <c r="CDM83" s="88"/>
      <c r="CDN83" s="88"/>
      <c r="CDO83" s="88"/>
      <c r="CDP83" s="88"/>
      <c r="CDQ83" s="88"/>
      <c r="CDR83" s="88"/>
      <c r="CDS83" s="88"/>
      <c r="CDT83" s="88"/>
      <c r="CDU83" s="88"/>
      <c r="CDV83" s="88"/>
      <c r="CDW83" s="88"/>
      <c r="CDX83" s="88"/>
      <c r="CDY83" s="88"/>
      <c r="CDZ83" s="88"/>
      <c r="CEA83" s="88"/>
      <c r="CEB83" s="88"/>
      <c r="CEC83" s="88"/>
      <c r="CED83" s="88"/>
      <c r="CEE83" s="88"/>
      <c r="CEF83" s="88"/>
      <c r="CEG83" s="88"/>
      <c r="CEH83" s="88"/>
      <c r="CEI83" s="88"/>
      <c r="CEJ83" s="88"/>
      <c r="CEK83" s="88"/>
    </row>
    <row r="84" spans="1:2169" s="63" customFormat="1">
      <c r="A84" s="73" t="s">
        <v>457</v>
      </c>
      <c r="B84" s="73" t="s">
        <v>511</v>
      </c>
      <c r="C84" s="68" t="str">
        <f>IF('page 2'!$O$4="","",IF('page 2'!$O$4=Gestion!A84,1,0))</f>
        <v/>
      </c>
      <c r="D84" s="68" t="str">
        <f>IF('page 2'!$O$5="","",IF('page 2'!$O$5=Gestion!A84,1,0))</f>
        <v/>
      </c>
      <c r="E84" s="68" t="str">
        <f>IF('page 2'!$O$6="","",IF('page 2'!$O$6=Gestion!A84,1,0))</f>
        <v/>
      </c>
      <c r="F84" s="68" t="str">
        <f>IF('page 2'!$O$7="","",IF('page 2'!$O$7=Gestion!A84,1,0))</f>
        <v/>
      </c>
      <c r="G84" s="68" t="str">
        <f>IF('page 2'!$O$8="","",IF('page 2'!$O$8=Gestion!A84,1,0))</f>
        <v/>
      </c>
      <c r="H84" s="68" t="str">
        <f>IF('page 2'!$O$9="","",IF('page 2'!$O$9=Gestion!A84,1,0))</f>
        <v/>
      </c>
      <c r="I84" s="68" t="str">
        <f>IF('page 2'!$O$10="","",IF('page 2'!$O$10=Gestion!A84,1,0))</f>
        <v/>
      </c>
      <c r="J84" s="68" t="str">
        <f>IF('page 2'!$O$11="","",IF('page 2'!$O$11=Gestion!A84,1,0))</f>
        <v/>
      </c>
      <c r="K84" s="68" t="str">
        <f>IF('page 2'!$O$12="","",IF('page 2'!$O$12=Gestion!A84,1,0))</f>
        <v/>
      </c>
      <c r="L84" s="68" t="str">
        <f>IF('page 2'!$O$13="","",IF('page 2'!$O$13=Gestion!A84,1,0))</f>
        <v/>
      </c>
      <c r="M84" s="68" t="str">
        <f>IF('page 2'!$O$14="","",IF('page 2'!$O$14=Gestion!A84,1,0))</f>
        <v/>
      </c>
      <c r="N84" s="68" t="str">
        <f>IF('page 2'!$O$15="","",IF('page 2'!$O$15=Gestion!A84,1,0))</f>
        <v/>
      </c>
      <c r="O84" s="68" t="str">
        <f>IF('page 2'!$O$16="","",IF('page 2'!$O$16=Gestion!A84,1,0))</f>
        <v/>
      </c>
      <c r="P84" s="68" t="str">
        <f>IF('page 2'!$O$17="","",IF('page 2'!$O$17=Gestion!A84,1,0))</f>
        <v/>
      </c>
      <c r="Q84" s="68" t="str">
        <f>IF('page 2'!$O$18="","",IF('page 2'!$O$18=Gestion!A84,1,0))</f>
        <v/>
      </c>
      <c r="R84" s="68" t="str">
        <f>IF('page 2'!$O$19="","",IF('page 2'!$O$19=Gestion!A84,1,0))</f>
        <v/>
      </c>
      <c r="S84" s="68" t="str">
        <f>IF('page 2'!$O$20="","",IF('page 2'!$O$20=Gestion!A84,1,0))</f>
        <v/>
      </c>
      <c r="T84" s="68" t="str">
        <f>IF('page 2'!$O$25="","",IF('page 2'!$O$25=Gestion!A84,1,0))</f>
        <v/>
      </c>
      <c r="U84" s="68" t="str">
        <f>IF('page 2'!$O$26="","",IF('page 2'!$O$26=Gestion!A84,1,0))</f>
        <v/>
      </c>
      <c r="V84" s="68" t="str">
        <f>IF('page 2'!$O$27="","",IF('page 2'!$O$27=Gestion!A84,1,0))</f>
        <v/>
      </c>
      <c r="W84" s="722">
        <f t="shared" si="14"/>
        <v>0</v>
      </c>
      <c r="X84" s="714"/>
      <c r="Y84" s="68"/>
      <c r="Z84" s="68"/>
      <c r="AA84" s="68"/>
      <c r="AB84" s="68"/>
      <c r="AC84" s="68"/>
      <c r="AD84" s="68"/>
      <c r="AP84" s="130"/>
      <c r="AQ84" s="130"/>
      <c r="AR84" s="130"/>
      <c r="AS84" s="576"/>
      <c r="AT84" s="576"/>
      <c r="AU84" s="576"/>
      <c r="AV84" s="576"/>
      <c r="AW84" s="602"/>
      <c r="AX84" s="602"/>
      <c r="AY84" s="576"/>
      <c r="AZ84" s="576"/>
      <c r="BA84" s="576"/>
      <c r="BB84" s="576"/>
      <c r="BC84" s="576"/>
      <c r="BD84" s="602"/>
      <c r="BE84" s="602"/>
      <c r="BF84" s="602"/>
      <c r="BG84" s="602"/>
      <c r="BH84" s="602"/>
      <c r="BI84" s="602"/>
      <c r="BJ84" s="602"/>
      <c r="BK84" s="602"/>
      <c r="BL84" s="602"/>
      <c r="BM84" s="602"/>
      <c r="BN84" s="602"/>
      <c r="BO84" s="602"/>
      <c r="BP84" s="602"/>
      <c r="BQ84" s="602"/>
      <c r="BR84" s="602"/>
      <c r="BS84" s="576"/>
      <c r="BT84" s="576"/>
      <c r="BU84" s="576"/>
      <c r="BV84" s="576"/>
      <c r="BW84" s="602"/>
      <c r="BX84" s="602"/>
      <c r="BY84" s="602"/>
      <c r="BZ84" s="576"/>
      <c r="CA84" s="602"/>
      <c r="CB84" s="602"/>
      <c r="CC84" s="576"/>
      <c r="CD84" s="576"/>
      <c r="CE84" s="602"/>
      <c r="CF84" s="576"/>
      <c r="CG84" s="576"/>
      <c r="CH84" s="576"/>
      <c r="CI84" s="576"/>
      <c r="CJ84" s="576"/>
      <c r="CK84" s="602"/>
      <c r="CL84" s="602"/>
      <c r="CM84" s="576"/>
      <c r="CN84" s="602"/>
      <c r="CO84" s="602"/>
      <c r="CP84" s="602"/>
      <c r="CQ84" s="576"/>
      <c r="CR84" s="576"/>
      <c r="CS84" s="602"/>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c r="HF84" s="88"/>
      <c r="HG84" s="88"/>
      <c r="HH84" s="88"/>
      <c r="HI84" s="88"/>
      <c r="HJ84" s="88"/>
      <c r="HK84" s="88"/>
      <c r="HL84" s="88"/>
      <c r="HM84" s="88"/>
      <c r="HN84" s="88"/>
      <c r="HO84" s="88"/>
      <c r="HP84" s="88"/>
      <c r="HQ84" s="88"/>
      <c r="HR84" s="88"/>
      <c r="HS84" s="88"/>
      <c r="HT84" s="88"/>
      <c r="HU84" s="88"/>
      <c r="HV84" s="88"/>
      <c r="HW84" s="88"/>
      <c r="HX84" s="88"/>
      <c r="HY84" s="88"/>
      <c r="HZ84" s="88"/>
      <c r="IA84" s="88"/>
      <c r="IB84" s="88"/>
      <c r="IC84" s="88"/>
      <c r="ID84" s="88"/>
      <c r="IE84" s="88"/>
      <c r="IF84" s="88"/>
      <c r="IG84" s="88"/>
      <c r="IH84" s="88"/>
      <c r="II84" s="88"/>
      <c r="IJ84" s="88"/>
      <c r="IK84" s="88"/>
      <c r="IL84" s="88"/>
      <c r="IM84" s="88"/>
      <c r="IN84" s="88"/>
      <c r="IO84" s="88"/>
      <c r="IP84" s="88"/>
      <c r="IQ84" s="88"/>
      <c r="IR84" s="88"/>
      <c r="IS84" s="88"/>
      <c r="IT84" s="88"/>
      <c r="IU84" s="88"/>
      <c r="IV84" s="88"/>
      <c r="IW84" s="88"/>
      <c r="IX84" s="88"/>
      <c r="IY84" s="88"/>
      <c r="IZ84" s="88"/>
      <c r="JA84" s="88"/>
      <c r="JB84" s="88"/>
      <c r="JC84" s="88"/>
      <c r="JD84" s="88"/>
      <c r="JE84" s="88"/>
      <c r="JF84" s="88"/>
      <c r="JG84" s="88"/>
      <c r="JH84" s="88"/>
      <c r="JI84" s="88"/>
      <c r="JJ84" s="88"/>
      <c r="JK84" s="88"/>
      <c r="JL84" s="88"/>
      <c r="JM84" s="88"/>
      <c r="JN84" s="88"/>
      <c r="JO84" s="88"/>
      <c r="JP84" s="88"/>
      <c r="JQ84" s="88"/>
      <c r="JR84" s="88"/>
      <c r="JS84" s="88"/>
      <c r="JT84" s="88"/>
      <c r="JU84" s="88"/>
      <c r="JV84" s="88"/>
      <c r="JW84" s="88"/>
      <c r="JX84" s="88"/>
      <c r="JY84" s="88"/>
      <c r="JZ84" s="88"/>
      <c r="KA84" s="88"/>
      <c r="KB84" s="88"/>
      <c r="KC84" s="88"/>
      <c r="KD84" s="88"/>
      <c r="KE84" s="88"/>
      <c r="KF84" s="88"/>
      <c r="KG84" s="88"/>
      <c r="KH84" s="88"/>
      <c r="KI84" s="88"/>
      <c r="KJ84" s="88"/>
      <c r="KK84" s="88"/>
      <c r="KL84" s="88"/>
      <c r="KM84" s="88"/>
      <c r="KN84" s="88"/>
      <c r="KO84" s="88"/>
      <c r="KP84" s="88"/>
      <c r="KQ84" s="88"/>
      <c r="KR84" s="88"/>
      <c r="KS84" s="88"/>
      <c r="KT84" s="88"/>
      <c r="KU84" s="88"/>
      <c r="KV84" s="88"/>
      <c r="KW84" s="88"/>
      <c r="KX84" s="88"/>
      <c r="KY84" s="88"/>
      <c r="KZ84" s="88"/>
      <c r="LA84" s="88"/>
      <c r="LB84" s="88"/>
      <c r="LC84" s="88"/>
      <c r="LD84" s="88"/>
      <c r="LE84" s="88"/>
      <c r="LF84" s="88"/>
      <c r="LG84" s="88"/>
      <c r="LH84" s="88"/>
      <c r="LI84" s="88"/>
      <c r="LJ84" s="88"/>
      <c r="LK84" s="88"/>
      <c r="LL84" s="88"/>
      <c r="LM84" s="88"/>
      <c r="LN84" s="88"/>
      <c r="LO84" s="88"/>
      <c r="LP84" s="88"/>
      <c r="LQ84" s="88"/>
      <c r="LR84" s="88"/>
      <c r="LS84" s="88"/>
      <c r="LT84" s="88"/>
      <c r="LU84" s="88"/>
      <c r="LV84" s="88"/>
      <c r="LW84" s="88"/>
      <c r="LX84" s="88"/>
      <c r="LY84" s="88"/>
      <c r="LZ84" s="88"/>
      <c r="MA84" s="88"/>
      <c r="MB84" s="88"/>
      <c r="MC84" s="88"/>
      <c r="MD84" s="88"/>
      <c r="ME84" s="88"/>
      <c r="MF84" s="88"/>
      <c r="MG84" s="88"/>
      <c r="MH84" s="88"/>
      <c r="MI84" s="88"/>
      <c r="MJ84" s="88"/>
      <c r="MK84" s="88"/>
      <c r="ML84" s="88"/>
      <c r="MM84" s="88"/>
      <c r="MN84" s="88"/>
      <c r="MO84" s="88"/>
      <c r="MP84" s="88"/>
      <c r="MQ84" s="88"/>
      <c r="MR84" s="88"/>
      <c r="MS84" s="88"/>
      <c r="MT84" s="88"/>
      <c r="MU84" s="88"/>
      <c r="MV84" s="88"/>
      <c r="MW84" s="88"/>
      <c r="MX84" s="88"/>
      <c r="MY84" s="88"/>
      <c r="MZ84" s="88"/>
      <c r="NA84" s="88"/>
      <c r="NB84" s="88"/>
      <c r="NC84" s="88"/>
      <c r="ND84" s="88"/>
      <c r="NE84" s="88"/>
      <c r="NF84" s="88"/>
      <c r="NG84" s="88"/>
      <c r="NH84" s="88"/>
      <c r="NI84" s="88"/>
      <c r="NJ84" s="88"/>
      <c r="NK84" s="88"/>
      <c r="NL84" s="88"/>
      <c r="NM84" s="88"/>
      <c r="NN84" s="88"/>
      <c r="NO84" s="88"/>
      <c r="NP84" s="88"/>
      <c r="NQ84" s="88"/>
      <c r="NR84" s="88"/>
      <c r="NS84" s="88"/>
      <c r="NT84" s="88"/>
      <c r="NU84" s="88"/>
      <c r="NV84" s="88"/>
      <c r="NW84" s="88"/>
      <c r="NX84" s="88"/>
      <c r="NY84" s="88"/>
      <c r="NZ84" s="88"/>
      <c r="OA84" s="88"/>
      <c r="OB84" s="88"/>
      <c r="OC84" s="88"/>
      <c r="OD84" s="88"/>
      <c r="OE84" s="88"/>
      <c r="OF84" s="88"/>
      <c r="OG84" s="88"/>
      <c r="OH84" s="88"/>
      <c r="OI84" s="88"/>
      <c r="OJ84" s="88"/>
      <c r="OK84" s="88"/>
      <c r="OL84" s="88"/>
      <c r="OM84" s="88"/>
      <c r="ON84" s="88"/>
      <c r="OO84" s="88"/>
      <c r="OP84" s="88"/>
      <c r="OQ84" s="88"/>
      <c r="OR84" s="88"/>
      <c r="OS84" s="88"/>
      <c r="OT84" s="88"/>
      <c r="OU84" s="88"/>
      <c r="OV84" s="88"/>
      <c r="OW84" s="88"/>
      <c r="OX84" s="88"/>
      <c r="OY84" s="88"/>
      <c r="OZ84" s="88"/>
      <c r="PA84" s="88"/>
      <c r="PB84" s="88"/>
      <c r="PC84" s="88"/>
      <c r="PD84" s="88"/>
      <c r="PE84" s="88"/>
      <c r="PF84" s="88"/>
      <c r="PG84" s="88"/>
      <c r="PH84" s="88"/>
      <c r="PI84" s="88"/>
      <c r="PJ84" s="88"/>
      <c r="PK84" s="88"/>
      <c r="PL84" s="88"/>
      <c r="PM84" s="88"/>
      <c r="PN84" s="88"/>
      <c r="PO84" s="88"/>
      <c r="PP84" s="88"/>
      <c r="PQ84" s="88"/>
      <c r="PR84" s="88"/>
      <c r="PS84" s="88"/>
      <c r="PT84" s="88"/>
      <c r="PU84" s="88"/>
      <c r="PV84" s="88"/>
      <c r="PW84" s="88"/>
      <c r="PX84" s="88"/>
      <c r="PY84" s="88"/>
      <c r="PZ84" s="88"/>
      <c r="QA84" s="88"/>
      <c r="QB84" s="88"/>
      <c r="QC84" s="88"/>
      <c r="QD84" s="88"/>
      <c r="QE84" s="88"/>
      <c r="QF84" s="88"/>
      <c r="QG84" s="88"/>
      <c r="QH84" s="88"/>
      <c r="QI84" s="88"/>
      <c r="QJ84" s="88"/>
      <c r="QK84" s="88"/>
      <c r="QL84" s="88"/>
      <c r="QM84" s="88"/>
      <c r="QN84" s="88"/>
      <c r="QO84" s="88"/>
      <c r="QP84" s="88"/>
      <c r="QQ84" s="88"/>
      <c r="QR84" s="88"/>
      <c r="QS84" s="88"/>
      <c r="QT84" s="88"/>
      <c r="QU84" s="88"/>
      <c r="QV84" s="88"/>
      <c r="QW84" s="88"/>
      <c r="QX84" s="88"/>
      <c r="QY84" s="88"/>
      <c r="QZ84" s="88"/>
      <c r="RA84" s="88"/>
      <c r="RB84" s="88"/>
      <c r="RC84" s="88"/>
      <c r="RD84" s="88"/>
      <c r="RE84" s="88"/>
      <c r="RF84" s="88"/>
      <c r="RG84" s="88"/>
      <c r="RH84" s="88"/>
      <c r="RI84" s="88"/>
      <c r="RJ84" s="88"/>
      <c r="RK84" s="88"/>
      <c r="RL84" s="88"/>
      <c r="RM84" s="88"/>
      <c r="RN84" s="88"/>
      <c r="RO84" s="88"/>
      <c r="RP84" s="88"/>
      <c r="RQ84" s="88"/>
      <c r="RR84" s="88"/>
      <c r="RS84" s="88"/>
      <c r="RT84" s="88"/>
      <c r="RU84" s="88"/>
      <c r="RV84" s="88"/>
      <c r="RW84" s="88"/>
      <c r="RX84" s="88"/>
      <c r="RY84" s="88"/>
      <c r="RZ84" s="88"/>
      <c r="SA84" s="88"/>
      <c r="SB84" s="88"/>
      <c r="SC84" s="88"/>
      <c r="SD84" s="88"/>
      <c r="SE84" s="88"/>
      <c r="SF84" s="88"/>
      <c r="SG84" s="88"/>
      <c r="SH84" s="88"/>
      <c r="SI84" s="88"/>
      <c r="SJ84" s="88"/>
      <c r="SK84" s="88"/>
      <c r="SL84" s="88"/>
      <c r="SM84" s="88"/>
      <c r="SN84" s="88"/>
      <c r="SO84" s="88"/>
      <c r="SP84" s="88"/>
      <c r="SQ84" s="88"/>
      <c r="SR84" s="88"/>
      <c r="SS84" s="88"/>
      <c r="ST84" s="88"/>
      <c r="SU84" s="88"/>
      <c r="SV84" s="88"/>
      <c r="SW84" s="88"/>
      <c r="SX84" s="88"/>
      <c r="SY84" s="88"/>
      <c r="SZ84" s="88"/>
      <c r="TA84" s="88"/>
      <c r="TB84" s="88"/>
      <c r="TC84" s="88"/>
      <c r="TD84" s="88"/>
      <c r="TE84" s="88"/>
      <c r="TF84" s="88"/>
      <c r="TG84" s="88"/>
      <c r="TH84" s="88"/>
      <c r="TI84" s="88"/>
      <c r="TJ84" s="88"/>
      <c r="TK84" s="88"/>
      <c r="TL84" s="88"/>
      <c r="TM84" s="88"/>
      <c r="TN84" s="88"/>
      <c r="TO84" s="88"/>
      <c r="TP84" s="88"/>
      <c r="TQ84" s="88"/>
      <c r="TR84" s="88"/>
      <c r="TS84" s="88"/>
      <c r="TT84" s="88"/>
      <c r="TU84" s="88"/>
      <c r="TV84" s="88"/>
      <c r="TW84" s="88"/>
      <c r="TX84" s="88"/>
      <c r="TY84" s="88"/>
      <c r="TZ84" s="88"/>
      <c r="UA84" s="88"/>
      <c r="UB84" s="88"/>
      <c r="UC84" s="88"/>
      <c r="UD84" s="88"/>
      <c r="UE84" s="88"/>
      <c r="UF84" s="88"/>
      <c r="UG84" s="88"/>
      <c r="UH84" s="88"/>
      <c r="UI84" s="88"/>
      <c r="UJ84" s="88"/>
      <c r="UK84" s="88"/>
      <c r="UL84" s="88"/>
      <c r="UM84" s="88"/>
      <c r="UN84" s="88"/>
      <c r="UO84" s="88"/>
      <c r="UP84" s="88"/>
      <c r="UQ84" s="88"/>
      <c r="UR84" s="88"/>
      <c r="US84" s="88"/>
      <c r="UT84" s="88"/>
      <c r="UU84" s="88"/>
      <c r="UV84" s="88"/>
      <c r="UW84" s="88"/>
      <c r="UX84" s="88"/>
      <c r="UY84" s="88"/>
      <c r="UZ84" s="88"/>
      <c r="VA84" s="88"/>
      <c r="VB84" s="88"/>
      <c r="VC84" s="88"/>
      <c r="VD84" s="88"/>
      <c r="VE84" s="88"/>
      <c r="VF84" s="88"/>
      <c r="VG84" s="88"/>
      <c r="VH84" s="88"/>
      <c r="VI84" s="88"/>
      <c r="VJ84" s="88"/>
      <c r="VK84" s="88"/>
      <c r="VL84" s="88"/>
      <c r="VM84" s="88"/>
      <c r="VN84" s="88"/>
      <c r="VO84" s="88"/>
      <c r="VP84" s="88"/>
      <c r="VQ84" s="88"/>
      <c r="VR84" s="88"/>
      <c r="VS84" s="88"/>
      <c r="VT84" s="88"/>
      <c r="VU84" s="88"/>
      <c r="VV84" s="88"/>
      <c r="VW84" s="88"/>
      <c r="VX84" s="88"/>
      <c r="VY84" s="88"/>
      <c r="VZ84" s="88"/>
      <c r="WA84" s="88"/>
      <c r="WB84" s="88"/>
      <c r="WC84" s="88"/>
      <c r="WD84" s="88"/>
      <c r="WE84" s="88"/>
      <c r="WF84" s="88"/>
      <c r="WG84" s="88"/>
      <c r="WH84" s="88"/>
      <c r="WI84" s="88"/>
      <c r="WJ84" s="88"/>
      <c r="WK84" s="88"/>
      <c r="WL84" s="88"/>
      <c r="WM84" s="88"/>
      <c r="WN84" s="88"/>
      <c r="WO84" s="88"/>
      <c r="WP84" s="88"/>
      <c r="WQ84" s="88"/>
      <c r="WR84" s="88"/>
      <c r="WS84" s="88"/>
      <c r="WT84" s="88"/>
      <c r="WU84" s="88"/>
      <c r="WV84" s="88"/>
      <c r="WW84" s="88"/>
      <c r="WX84" s="88"/>
      <c r="WY84" s="88"/>
      <c r="WZ84" s="88"/>
      <c r="XA84" s="88"/>
      <c r="XB84" s="88"/>
      <c r="XC84" s="88"/>
      <c r="XD84" s="88"/>
      <c r="XE84" s="88"/>
      <c r="XF84" s="88"/>
      <c r="XG84" s="88"/>
      <c r="XH84" s="88"/>
      <c r="XI84" s="88"/>
      <c r="XJ84" s="88"/>
      <c r="XK84" s="88"/>
      <c r="XL84" s="88"/>
      <c r="XM84" s="88"/>
      <c r="XN84" s="88"/>
      <c r="XO84" s="88"/>
      <c r="XP84" s="88"/>
      <c r="XQ84" s="88"/>
      <c r="XR84" s="88"/>
      <c r="XS84" s="88"/>
      <c r="XT84" s="88"/>
      <c r="XU84" s="88"/>
      <c r="XV84" s="88"/>
      <c r="XW84" s="88"/>
      <c r="XX84" s="88"/>
      <c r="XY84" s="88"/>
      <c r="XZ84" s="88"/>
      <c r="YA84" s="88"/>
      <c r="YB84" s="88"/>
      <c r="YC84" s="88"/>
      <c r="YD84" s="88"/>
      <c r="YE84" s="88"/>
      <c r="YF84" s="88"/>
      <c r="YG84" s="88"/>
      <c r="YH84" s="88"/>
      <c r="YI84" s="88"/>
      <c r="YJ84" s="88"/>
      <c r="YK84" s="88"/>
      <c r="YL84" s="88"/>
      <c r="YM84" s="88"/>
      <c r="YN84" s="88"/>
      <c r="YO84" s="88"/>
      <c r="YP84" s="88"/>
      <c r="YQ84" s="88"/>
      <c r="YR84" s="88"/>
      <c r="YS84" s="88"/>
      <c r="YT84" s="88"/>
      <c r="YU84" s="88"/>
      <c r="YV84" s="88"/>
      <c r="YW84" s="88"/>
      <c r="YX84" s="88"/>
      <c r="YY84" s="88"/>
      <c r="YZ84" s="88"/>
      <c r="ZA84" s="88"/>
      <c r="ZB84" s="88"/>
      <c r="ZC84" s="88"/>
      <c r="ZD84" s="88"/>
      <c r="ZE84" s="88"/>
      <c r="ZF84" s="88"/>
      <c r="ZG84" s="88"/>
      <c r="ZH84" s="88"/>
      <c r="ZI84" s="88"/>
      <c r="ZJ84" s="88"/>
      <c r="ZK84" s="88"/>
      <c r="ZL84" s="88"/>
      <c r="ZM84" s="88"/>
      <c r="ZN84" s="88"/>
      <c r="ZO84" s="88"/>
      <c r="ZP84" s="88"/>
      <c r="ZQ84" s="88"/>
      <c r="ZR84" s="88"/>
      <c r="ZS84" s="88"/>
      <c r="ZT84" s="88"/>
      <c r="ZU84" s="88"/>
      <c r="ZV84" s="88"/>
      <c r="ZW84" s="88"/>
      <c r="ZX84" s="88"/>
      <c r="ZY84" s="88"/>
      <c r="ZZ84" s="88"/>
      <c r="AAA84" s="88"/>
      <c r="AAB84" s="88"/>
      <c r="AAC84" s="88"/>
      <c r="AAD84" s="88"/>
      <c r="AAE84" s="88"/>
      <c r="AAF84" s="88"/>
      <c r="AAG84" s="88"/>
      <c r="AAH84" s="88"/>
      <c r="AAI84" s="88"/>
      <c r="AAJ84" s="88"/>
      <c r="AAK84" s="88"/>
      <c r="AAL84" s="88"/>
      <c r="AAM84" s="88"/>
      <c r="AAN84" s="88"/>
      <c r="AAO84" s="88"/>
      <c r="AAP84" s="88"/>
      <c r="AAQ84" s="88"/>
      <c r="AAR84" s="88"/>
      <c r="AAS84" s="88"/>
      <c r="AAT84" s="88"/>
      <c r="AAU84" s="88"/>
      <c r="AAV84" s="88"/>
      <c r="AAW84" s="88"/>
      <c r="AAX84" s="88"/>
      <c r="AAY84" s="88"/>
      <c r="AAZ84" s="88"/>
      <c r="ABA84" s="88"/>
      <c r="ABB84" s="88"/>
      <c r="ABC84" s="88"/>
      <c r="ABD84" s="88"/>
      <c r="ABE84" s="88"/>
      <c r="ABF84" s="88"/>
      <c r="ABG84" s="88"/>
      <c r="ABH84" s="88"/>
      <c r="ABI84" s="88"/>
      <c r="ABJ84" s="88"/>
      <c r="ABK84" s="88"/>
      <c r="ABL84" s="88"/>
      <c r="ABM84" s="88"/>
      <c r="ABN84" s="88"/>
      <c r="ABO84" s="88"/>
      <c r="ABP84" s="88"/>
      <c r="ABQ84" s="88"/>
      <c r="ABR84" s="88"/>
      <c r="ABS84" s="88"/>
      <c r="ABT84" s="88"/>
      <c r="ABU84" s="88"/>
      <c r="ABV84" s="88"/>
      <c r="ABW84" s="88"/>
      <c r="ABX84" s="88"/>
      <c r="ABY84" s="88"/>
      <c r="ABZ84" s="88"/>
      <c r="ACA84" s="88"/>
      <c r="ACB84" s="88"/>
      <c r="ACC84" s="88"/>
      <c r="ACD84" s="88"/>
      <c r="ACE84" s="88"/>
      <c r="ACF84" s="88"/>
      <c r="ACG84" s="88"/>
      <c r="ACH84" s="88"/>
      <c r="ACI84" s="88"/>
      <c r="ACJ84" s="88"/>
      <c r="ACK84" s="88"/>
      <c r="ACL84" s="88"/>
      <c r="ACM84" s="88"/>
      <c r="ACN84" s="88"/>
      <c r="ACO84" s="88"/>
      <c r="ACP84" s="88"/>
      <c r="ACQ84" s="88"/>
      <c r="ACR84" s="88"/>
      <c r="ACS84" s="88"/>
      <c r="ACT84" s="88"/>
      <c r="ACU84" s="88"/>
      <c r="ACV84" s="88"/>
      <c r="ACW84" s="88"/>
      <c r="ACX84" s="88"/>
      <c r="ACY84" s="88"/>
      <c r="ACZ84" s="88"/>
      <c r="ADA84" s="88"/>
      <c r="ADB84" s="88"/>
      <c r="ADC84" s="88"/>
      <c r="ADD84" s="88"/>
      <c r="ADE84" s="88"/>
      <c r="ADF84" s="88"/>
      <c r="ADG84" s="88"/>
      <c r="ADH84" s="88"/>
      <c r="ADI84" s="88"/>
      <c r="ADJ84" s="88"/>
      <c r="ADK84" s="88"/>
      <c r="ADL84" s="88"/>
      <c r="ADM84" s="88"/>
      <c r="ADN84" s="88"/>
      <c r="ADO84" s="88"/>
      <c r="ADP84" s="88"/>
      <c r="ADQ84" s="88"/>
      <c r="ADR84" s="88"/>
      <c r="ADS84" s="88"/>
      <c r="ADT84" s="88"/>
      <c r="ADU84" s="88"/>
      <c r="ADV84" s="88"/>
      <c r="ADW84" s="88"/>
      <c r="ADX84" s="88"/>
      <c r="ADY84" s="88"/>
      <c r="ADZ84" s="88"/>
      <c r="AEA84" s="88"/>
      <c r="AEB84" s="88"/>
      <c r="AEC84" s="88"/>
      <c r="AED84" s="88"/>
      <c r="AEE84" s="88"/>
      <c r="AEF84" s="88"/>
      <c r="AEG84" s="88"/>
      <c r="AEH84" s="88"/>
      <c r="AEI84" s="88"/>
      <c r="AEJ84" s="88"/>
      <c r="AEK84" s="88"/>
      <c r="AEL84" s="88"/>
      <c r="AEM84" s="88"/>
      <c r="AEN84" s="88"/>
      <c r="AEO84" s="88"/>
      <c r="AEP84" s="88"/>
      <c r="AEQ84" s="88"/>
      <c r="AER84" s="88"/>
      <c r="AES84" s="88"/>
      <c r="AET84" s="88"/>
      <c r="AEU84" s="88"/>
      <c r="AEV84" s="88"/>
      <c r="AEW84" s="88"/>
      <c r="AEX84" s="88"/>
      <c r="AEY84" s="88"/>
      <c r="AEZ84" s="88"/>
      <c r="AFA84" s="88"/>
      <c r="AFB84" s="88"/>
      <c r="AFC84" s="88"/>
      <c r="AFD84" s="88"/>
      <c r="AFE84" s="88"/>
      <c r="AFF84" s="88"/>
      <c r="AFG84" s="88"/>
      <c r="AFH84" s="88"/>
      <c r="AFI84" s="88"/>
      <c r="AFJ84" s="88"/>
      <c r="AFK84" s="88"/>
      <c r="AFL84" s="88"/>
      <c r="AFM84" s="88"/>
      <c r="AFN84" s="88"/>
      <c r="AFO84" s="88"/>
      <c r="AFP84" s="88"/>
      <c r="AFQ84" s="88"/>
      <c r="AFR84" s="88"/>
      <c r="AFS84" s="88"/>
      <c r="AFT84" s="88"/>
      <c r="AFU84" s="88"/>
      <c r="AFV84" s="88"/>
      <c r="AFW84" s="88"/>
      <c r="AFX84" s="88"/>
      <c r="AFY84" s="88"/>
      <c r="AFZ84" s="88"/>
      <c r="AGA84" s="88"/>
      <c r="AGB84" s="88"/>
      <c r="AGC84" s="88"/>
      <c r="AGD84" s="88"/>
      <c r="AGE84" s="88"/>
      <c r="AGF84" s="88"/>
      <c r="AGG84" s="88"/>
      <c r="AGH84" s="88"/>
      <c r="AGI84" s="88"/>
      <c r="AGJ84" s="88"/>
      <c r="AGK84" s="88"/>
      <c r="AGL84" s="88"/>
      <c r="AGM84" s="88"/>
      <c r="AGN84" s="88"/>
      <c r="AGO84" s="88"/>
      <c r="AGP84" s="88"/>
      <c r="AGQ84" s="88"/>
      <c r="AGR84" s="88"/>
      <c r="AGS84" s="88"/>
      <c r="AGT84" s="88"/>
      <c r="AGU84" s="88"/>
      <c r="AGV84" s="88"/>
      <c r="AGW84" s="88"/>
      <c r="AGX84" s="88"/>
      <c r="AGY84" s="88"/>
      <c r="AGZ84" s="88"/>
      <c r="AHA84" s="88"/>
      <c r="AHB84" s="88"/>
      <c r="AHC84" s="88"/>
      <c r="AHD84" s="88"/>
      <c r="AHE84" s="88"/>
      <c r="AHF84" s="88"/>
      <c r="AHG84" s="88"/>
      <c r="AHH84" s="88"/>
      <c r="AHI84" s="88"/>
      <c r="AHJ84" s="88"/>
      <c r="AHK84" s="88"/>
      <c r="AHL84" s="88"/>
      <c r="AHM84" s="88"/>
      <c r="AHN84" s="88"/>
      <c r="AHO84" s="88"/>
      <c r="AHP84" s="88"/>
      <c r="AHQ84" s="88"/>
      <c r="AHR84" s="88"/>
      <c r="AHS84" s="88"/>
      <c r="AHT84" s="88"/>
      <c r="AHU84" s="88"/>
      <c r="AHV84" s="88"/>
      <c r="AHW84" s="88"/>
      <c r="AHX84" s="88"/>
      <c r="AHY84" s="88"/>
      <c r="AHZ84" s="88"/>
      <c r="AIA84" s="88"/>
      <c r="AIB84" s="88"/>
      <c r="AIC84" s="88"/>
      <c r="AID84" s="88"/>
      <c r="AIE84" s="88"/>
      <c r="AIF84" s="88"/>
      <c r="AIG84" s="88"/>
      <c r="AIH84" s="88"/>
      <c r="AII84" s="88"/>
      <c r="AIJ84" s="88"/>
      <c r="AIK84" s="88"/>
      <c r="AIL84" s="88"/>
      <c r="AIM84" s="88"/>
      <c r="AIN84" s="88"/>
      <c r="AIO84" s="88"/>
      <c r="AIP84" s="88"/>
      <c r="AIQ84" s="88"/>
      <c r="AIR84" s="88"/>
      <c r="AIS84" s="88"/>
      <c r="AIT84" s="88"/>
      <c r="AIU84" s="88"/>
      <c r="AIV84" s="88"/>
      <c r="AIW84" s="88"/>
      <c r="AIX84" s="88"/>
      <c r="AIY84" s="88"/>
      <c r="AIZ84" s="88"/>
      <c r="AJA84" s="88"/>
      <c r="AJB84" s="88"/>
      <c r="AJC84" s="88"/>
      <c r="AJD84" s="88"/>
      <c r="AJE84" s="88"/>
      <c r="AJF84" s="88"/>
      <c r="AJG84" s="88"/>
      <c r="AJH84" s="88"/>
      <c r="AJI84" s="88"/>
      <c r="AJJ84" s="88"/>
      <c r="AJK84" s="88"/>
      <c r="AJL84" s="88"/>
      <c r="AJM84" s="88"/>
      <c r="AJN84" s="88"/>
      <c r="AJO84" s="88"/>
      <c r="AJP84" s="88"/>
      <c r="AJQ84" s="88"/>
      <c r="AJR84" s="88"/>
      <c r="AJS84" s="88"/>
      <c r="AJT84" s="88"/>
      <c r="AJU84" s="88"/>
      <c r="AJV84" s="88"/>
      <c r="AJW84" s="88"/>
      <c r="AJX84" s="88"/>
      <c r="AJY84" s="88"/>
      <c r="AJZ84" s="88"/>
      <c r="AKA84" s="88"/>
      <c r="AKB84" s="88"/>
      <c r="AKC84" s="88"/>
      <c r="AKD84" s="88"/>
      <c r="AKE84" s="88"/>
      <c r="AKF84" s="88"/>
      <c r="AKG84" s="88"/>
      <c r="AKH84" s="88"/>
      <c r="AKI84" s="88"/>
      <c r="AKJ84" s="88"/>
      <c r="AKK84" s="88"/>
      <c r="AKL84" s="88"/>
      <c r="AKM84" s="88"/>
      <c r="AKN84" s="88"/>
      <c r="AKO84" s="88"/>
      <c r="AKP84" s="88"/>
      <c r="AKQ84" s="88"/>
      <c r="AKR84" s="88"/>
      <c r="AKS84" s="88"/>
      <c r="AKT84" s="88"/>
      <c r="AKU84" s="88"/>
      <c r="AKV84" s="88"/>
      <c r="AKW84" s="88"/>
      <c r="AKX84" s="88"/>
      <c r="AKY84" s="88"/>
      <c r="AKZ84" s="88"/>
      <c r="ALA84" s="88"/>
      <c r="ALB84" s="88"/>
      <c r="ALC84" s="88"/>
      <c r="ALD84" s="88"/>
      <c r="ALE84" s="88"/>
      <c r="ALF84" s="88"/>
      <c r="ALG84" s="88"/>
      <c r="ALH84" s="88"/>
      <c r="ALI84" s="88"/>
      <c r="ALJ84" s="88"/>
      <c r="ALK84" s="88"/>
      <c r="ALL84" s="88"/>
      <c r="ALM84" s="88"/>
      <c r="ALN84" s="88"/>
      <c r="ALO84" s="88"/>
      <c r="ALP84" s="88"/>
      <c r="ALQ84" s="88"/>
      <c r="ALR84" s="88"/>
      <c r="ALS84" s="88"/>
      <c r="ALT84" s="88"/>
      <c r="ALU84" s="88"/>
      <c r="ALV84" s="88"/>
      <c r="ALW84" s="88"/>
      <c r="ALX84" s="88"/>
      <c r="ALY84" s="88"/>
      <c r="ALZ84" s="88"/>
      <c r="AMA84" s="88"/>
      <c r="AMB84" s="88"/>
      <c r="AMC84" s="88"/>
      <c r="AMD84" s="88"/>
      <c r="AME84" s="88"/>
      <c r="AMF84" s="88"/>
      <c r="AMG84" s="88"/>
      <c r="AMH84" s="88"/>
      <c r="AMI84" s="88"/>
      <c r="AMJ84" s="88"/>
      <c r="AMK84" s="88"/>
      <c r="AML84" s="88"/>
      <c r="AMM84" s="88"/>
      <c r="AMN84" s="88"/>
      <c r="AMO84" s="88"/>
      <c r="AMP84" s="88"/>
      <c r="AMQ84" s="88"/>
      <c r="AMR84" s="88"/>
      <c r="AMS84" s="88"/>
      <c r="AMT84" s="88"/>
      <c r="AMU84" s="88"/>
      <c r="AMV84" s="88"/>
      <c r="AMW84" s="88"/>
      <c r="AMX84" s="88"/>
      <c r="AMY84" s="88"/>
      <c r="AMZ84" s="88"/>
      <c r="ANA84" s="88"/>
      <c r="ANB84" s="88"/>
      <c r="ANC84" s="88"/>
      <c r="AND84" s="88"/>
      <c r="ANE84" s="88"/>
      <c r="ANF84" s="88"/>
      <c r="ANG84" s="88"/>
      <c r="ANH84" s="88"/>
      <c r="ANI84" s="88"/>
      <c r="ANJ84" s="88"/>
      <c r="ANK84" s="88"/>
      <c r="ANL84" s="88"/>
      <c r="ANM84" s="88"/>
      <c r="ANN84" s="88"/>
      <c r="ANO84" s="88"/>
      <c r="ANP84" s="88"/>
      <c r="ANQ84" s="88"/>
      <c r="ANR84" s="88"/>
      <c r="ANS84" s="88"/>
      <c r="ANT84" s="88"/>
      <c r="ANU84" s="88"/>
      <c r="ANV84" s="88"/>
      <c r="ANW84" s="88"/>
      <c r="ANX84" s="88"/>
      <c r="ANY84" s="88"/>
      <c r="ANZ84" s="88"/>
      <c r="AOA84" s="88"/>
      <c r="AOB84" s="88"/>
      <c r="AOC84" s="88"/>
      <c r="AOD84" s="88"/>
      <c r="AOE84" s="88"/>
      <c r="AOF84" s="88"/>
      <c r="AOG84" s="88"/>
      <c r="AOH84" s="88"/>
      <c r="AOI84" s="88"/>
      <c r="AOJ84" s="88"/>
      <c r="AOK84" s="88"/>
      <c r="AOL84" s="88"/>
      <c r="AOM84" s="88"/>
      <c r="AON84" s="88"/>
      <c r="AOO84" s="88"/>
      <c r="AOP84" s="88"/>
      <c r="AOQ84" s="88"/>
      <c r="AOR84" s="88"/>
      <c r="AOS84" s="88"/>
      <c r="AOT84" s="88"/>
      <c r="AOU84" s="88"/>
      <c r="AOV84" s="88"/>
      <c r="AOW84" s="88"/>
      <c r="AOX84" s="88"/>
      <c r="AOY84" s="88"/>
      <c r="AOZ84" s="88"/>
      <c r="APA84" s="88"/>
      <c r="APB84" s="88"/>
      <c r="APC84" s="88"/>
      <c r="APD84" s="88"/>
      <c r="APE84" s="88"/>
      <c r="APF84" s="88"/>
      <c r="APG84" s="88"/>
      <c r="APH84" s="88"/>
      <c r="API84" s="88"/>
      <c r="APJ84" s="88"/>
      <c r="APK84" s="88"/>
      <c r="APL84" s="88"/>
      <c r="APM84" s="88"/>
      <c r="APN84" s="88"/>
      <c r="APO84" s="88"/>
      <c r="APP84" s="88"/>
      <c r="APQ84" s="88"/>
      <c r="APR84" s="88"/>
      <c r="APS84" s="88"/>
      <c r="APT84" s="88"/>
      <c r="APU84" s="88"/>
      <c r="APV84" s="88"/>
      <c r="APW84" s="88"/>
      <c r="APX84" s="88"/>
      <c r="APY84" s="88"/>
      <c r="APZ84" s="88"/>
      <c r="AQA84" s="88"/>
      <c r="AQB84" s="88"/>
      <c r="AQC84" s="88"/>
      <c r="AQD84" s="88"/>
      <c r="AQE84" s="88"/>
      <c r="AQF84" s="88"/>
      <c r="AQG84" s="88"/>
      <c r="AQH84" s="88"/>
      <c r="AQI84" s="88"/>
      <c r="AQJ84" s="88"/>
      <c r="AQK84" s="88"/>
      <c r="AQL84" s="88"/>
      <c r="AQM84" s="88"/>
      <c r="AQN84" s="88"/>
      <c r="AQO84" s="88"/>
      <c r="AQP84" s="88"/>
      <c r="AQQ84" s="88"/>
      <c r="AQR84" s="88"/>
      <c r="AQS84" s="88"/>
      <c r="AQT84" s="88"/>
      <c r="AQU84" s="88"/>
      <c r="AQV84" s="88"/>
      <c r="AQW84" s="88"/>
      <c r="AQX84" s="88"/>
      <c r="AQY84" s="88"/>
      <c r="AQZ84" s="88"/>
      <c r="ARA84" s="88"/>
      <c r="ARB84" s="88"/>
      <c r="ARC84" s="88"/>
      <c r="ARD84" s="88"/>
      <c r="ARE84" s="88"/>
      <c r="ARF84" s="88"/>
      <c r="ARG84" s="88"/>
      <c r="ARH84" s="88"/>
      <c r="ARI84" s="88"/>
      <c r="ARJ84" s="88"/>
      <c r="ARK84" s="88"/>
      <c r="ARL84" s="88"/>
      <c r="ARM84" s="88"/>
      <c r="ARN84" s="88"/>
      <c r="ARO84" s="88"/>
      <c r="ARP84" s="88"/>
      <c r="ARQ84" s="88"/>
      <c r="ARR84" s="88"/>
      <c r="ARS84" s="88"/>
      <c r="ART84" s="88"/>
      <c r="ARU84" s="88"/>
      <c r="ARV84" s="88"/>
      <c r="ARW84" s="88"/>
      <c r="ARX84" s="88"/>
      <c r="ARY84" s="88"/>
      <c r="ARZ84" s="88"/>
      <c r="ASA84" s="88"/>
      <c r="ASB84" s="88"/>
      <c r="ASC84" s="88"/>
      <c r="ASD84" s="88"/>
      <c r="ASE84" s="88"/>
      <c r="ASF84" s="88"/>
      <c r="ASG84" s="88"/>
      <c r="ASH84" s="88"/>
      <c r="ASI84" s="88"/>
      <c r="ASJ84" s="88"/>
      <c r="ASK84" s="88"/>
      <c r="ASL84" s="88"/>
      <c r="ASM84" s="88"/>
      <c r="ASN84" s="88"/>
      <c r="ASO84" s="88"/>
      <c r="ASP84" s="88"/>
      <c r="ASQ84" s="88"/>
      <c r="ASR84" s="88"/>
      <c r="ASS84" s="88"/>
      <c r="AST84" s="88"/>
      <c r="ASU84" s="88"/>
      <c r="ASV84" s="88"/>
      <c r="ASW84" s="88"/>
      <c r="ASX84" s="88"/>
      <c r="ASY84" s="88"/>
      <c r="ASZ84" s="88"/>
      <c r="ATA84" s="88"/>
      <c r="ATB84" s="88"/>
      <c r="ATC84" s="88"/>
      <c r="ATD84" s="88"/>
      <c r="ATE84" s="88"/>
      <c r="ATF84" s="88"/>
      <c r="ATG84" s="88"/>
      <c r="ATH84" s="88"/>
      <c r="ATI84" s="88"/>
      <c r="ATJ84" s="88"/>
      <c r="ATK84" s="88"/>
      <c r="ATL84" s="88"/>
      <c r="ATM84" s="88"/>
      <c r="ATN84" s="88"/>
      <c r="ATO84" s="88"/>
      <c r="ATP84" s="88"/>
      <c r="ATQ84" s="88"/>
      <c r="ATR84" s="88"/>
      <c r="ATS84" s="88"/>
      <c r="ATT84" s="88"/>
      <c r="ATU84" s="88"/>
      <c r="ATV84" s="88"/>
      <c r="ATW84" s="88"/>
      <c r="ATX84" s="88"/>
      <c r="ATY84" s="88"/>
      <c r="ATZ84" s="88"/>
      <c r="AUA84" s="88"/>
      <c r="AUB84" s="88"/>
      <c r="AUC84" s="88"/>
      <c r="AUD84" s="88"/>
      <c r="AUE84" s="88"/>
      <c r="AUF84" s="88"/>
      <c r="AUG84" s="88"/>
      <c r="AUH84" s="88"/>
      <c r="AUI84" s="88"/>
      <c r="AUJ84" s="88"/>
      <c r="AUK84" s="88"/>
      <c r="AUL84" s="88"/>
      <c r="AUM84" s="88"/>
      <c r="AUN84" s="88"/>
      <c r="AUO84" s="88"/>
      <c r="AUP84" s="88"/>
      <c r="AUQ84" s="88"/>
      <c r="AUR84" s="88"/>
      <c r="AUS84" s="88"/>
      <c r="AUT84" s="88"/>
      <c r="AUU84" s="88"/>
      <c r="AUV84" s="88"/>
      <c r="AUW84" s="88"/>
      <c r="AUX84" s="88"/>
      <c r="AUY84" s="88"/>
      <c r="AUZ84" s="88"/>
      <c r="AVA84" s="88"/>
      <c r="AVB84" s="88"/>
      <c r="AVC84" s="88"/>
      <c r="AVD84" s="88"/>
      <c r="AVE84" s="88"/>
      <c r="AVF84" s="88"/>
      <c r="AVG84" s="88"/>
      <c r="AVH84" s="88"/>
      <c r="AVI84" s="88"/>
      <c r="AVJ84" s="88"/>
      <c r="AVK84" s="88"/>
      <c r="AVL84" s="88"/>
      <c r="AVM84" s="88"/>
      <c r="AVN84" s="88"/>
      <c r="AVO84" s="88"/>
      <c r="AVP84" s="88"/>
      <c r="AVQ84" s="88"/>
      <c r="AVR84" s="88"/>
      <c r="AVS84" s="88"/>
      <c r="AVT84" s="88"/>
      <c r="AVU84" s="88"/>
      <c r="AVV84" s="88"/>
      <c r="AVW84" s="88"/>
      <c r="AVX84" s="88"/>
      <c r="AVY84" s="88"/>
      <c r="AVZ84" s="88"/>
      <c r="AWA84" s="88"/>
      <c r="AWB84" s="88"/>
      <c r="AWC84" s="88"/>
      <c r="AWD84" s="88"/>
      <c r="AWE84" s="88"/>
      <c r="AWF84" s="88"/>
      <c r="AWG84" s="88"/>
      <c r="AWH84" s="88"/>
      <c r="AWI84" s="88"/>
      <c r="AWJ84" s="88"/>
      <c r="AWK84" s="88"/>
      <c r="AWL84" s="88"/>
      <c r="AWM84" s="88"/>
      <c r="AWN84" s="88"/>
      <c r="AWO84" s="88"/>
      <c r="AWP84" s="88"/>
      <c r="AWQ84" s="88"/>
      <c r="AWR84" s="88"/>
      <c r="AWS84" s="88"/>
      <c r="AWT84" s="88"/>
      <c r="AWU84" s="88"/>
      <c r="AWV84" s="88"/>
      <c r="AWW84" s="88"/>
      <c r="AWX84" s="88"/>
      <c r="AWY84" s="88"/>
      <c r="AWZ84" s="88"/>
      <c r="AXA84" s="88"/>
      <c r="AXB84" s="88"/>
      <c r="AXC84" s="88"/>
      <c r="AXD84" s="88"/>
      <c r="AXE84" s="88"/>
      <c r="AXF84" s="88"/>
      <c r="AXG84" s="88"/>
      <c r="AXH84" s="88"/>
      <c r="AXI84" s="88"/>
      <c r="AXJ84" s="88"/>
      <c r="AXK84" s="88"/>
      <c r="AXL84" s="88"/>
      <c r="AXM84" s="88"/>
      <c r="AXN84" s="88"/>
      <c r="AXO84" s="88"/>
      <c r="AXP84" s="88"/>
      <c r="AXQ84" s="88"/>
      <c r="AXR84" s="88"/>
      <c r="AXS84" s="88"/>
      <c r="AXT84" s="88"/>
      <c r="AXU84" s="88"/>
      <c r="AXV84" s="88"/>
      <c r="AXW84" s="88"/>
      <c r="AXX84" s="88"/>
      <c r="AXY84" s="88"/>
      <c r="AXZ84" s="88"/>
      <c r="AYA84" s="88"/>
      <c r="AYB84" s="88"/>
      <c r="AYC84" s="88"/>
      <c r="AYD84" s="88"/>
      <c r="AYE84" s="88"/>
      <c r="AYF84" s="88"/>
      <c r="AYG84" s="88"/>
      <c r="AYH84" s="88"/>
      <c r="AYI84" s="88"/>
      <c r="AYJ84" s="88"/>
      <c r="AYK84" s="88"/>
      <c r="AYL84" s="88"/>
      <c r="AYM84" s="88"/>
      <c r="AYN84" s="88"/>
      <c r="AYO84" s="88"/>
      <c r="AYP84" s="88"/>
      <c r="AYQ84" s="88"/>
      <c r="AYR84" s="88"/>
      <c r="AYS84" s="88"/>
      <c r="AYT84" s="88"/>
      <c r="AYU84" s="88"/>
      <c r="AYV84" s="88"/>
      <c r="AYW84" s="88"/>
      <c r="AYX84" s="88"/>
      <c r="AYY84" s="88"/>
      <c r="AYZ84" s="88"/>
      <c r="AZA84" s="88"/>
      <c r="AZB84" s="88"/>
      <c r="AZC84" s="88"/>
      <c r="AZD84" s="88"/>
      <c r="AZE84" s="88"/>
      <c r="AZF84" s="88"/>
      <c r="AZG84" s="88"/>
      <c r="AZH84" s="88"/>
      <c r="AZI84" s="88"/>
      <c r="AZJ84" s="88"/>
      <c r="AZK84" s="88"/>
      <c r="AZL84" s="88"/>
      <c r="AZM84" s="88"/>
      <c r="AZN84" s="88"/>
      <c r="AZO84" s="88"/>
      <c r="AZP84" s="88"/>
      <c r="AZQ84" s="88"/>
      <c r="AZR84" s="88"/>
      <c r="AZS84" s="88"/>
      <c r="AZT84" s="88"/>
      <c r="AZU84" s="88"/>
      <c r="AZV84" s="88"/>
      <c r="AZW84" s="88"/>
      <c r="AZX84" s="88"/>
      <c r="AZY84" s="88"/>
      <c r="AZZ84" s="88"/>
      <c r="BAA84" s="88"/>
      <c r="BAB84" s="88"/>
      <c r="BAC84" s="88"/>
      <c r="BAD84" s="88"/>
      <c r="BAE84" s="88"/>
      <c r="BAF84" s="88"/>
      <c r="BAG84" s="88"/>
      <c r="BAH84" s="88"/>
      <c r="BAI84" s="88"/>
      <c r="BAJ84" s="88"/>
      <c r="BAK84" s="88"/>
      <c r="BAL84" s="88"/>
      <c r="BAM84" s="88"/>
      <c r="BAN84" s="88"/>
      <c r="BAO84" s="88"/>
      <c r="BAP84" s="88"/>
      <c r="BAQ84" s="88"/>
      <c r="BAR84" s="88"/>
      <c r="BAS84" s="88"/>
      <c r="BAT84" s="88"/>
      <c r="BAU84" s="88"/>
      <c r="BAV84" s="88"/>
      <c r="BAW84" s="88"/>
      <c r="BAX84" s="88"/>
      <c r="BAY84" s="88"/>
      <c r="BAZ84" s="88"/>
      <c r="BBA84" s="88"/>
      <c r="BBB84" s="88"/>
      <c r="BBC84" s="88"/>
      <c r="BBD84" s="88"/>
      <c r="BBE84" s="88"/>
      <c r="BBF84" s="88"/>
      <c r="BBG84" s="88"/>
      <c r="BBH84" s="88"/>
      <c r="BBI84" s="88"/>
      <c r="BBJ84" s="88"/>
      <c r="BBK84" s="88"/>
      <c r="BBL84" s="88"/>
      <c r="BBM84" s="88"/>
      <c r="BBN84" s="88"/>
      <c r="BBO84" s="88"/>
      <c r="BBP84" s="88"/>
      <c r="BBQ84" s="88"/>
      <c r="BBR84" s="88"/>
      <c r="BBS84" s="88"/>
      <c r="BBT84" s="88"/>
      <c r="BBU84" s="88"/>
      <c r="BBV84" s="88"/>
      <c r="BBW84" s="88"/>
      <c r="BBX84" s="88"/>
      <c r="BBY84" s="88"/>
      <c r="BBZ84" s="88"/>
      <c r="BCA84" s="88"/>
      <c r="BCB84" s="88"/>
      <c r="BCC84" s="88"/>
      <c r="BCD84" s="88"/>
      <c r="BCE84" s="88"/>
      <c r="BCF84" s="88"/>
      <c r="BCG84" s="88"/>
      <c r="BCH84" s="88"/>
      <c r="BCI84" s="88"/>
      <c r="BCJ84" s="88"/>
      <c r="BCK84" s="88"/>
      <c r="BCL84" s="88"/>
      <c r="BCM84" s="88"/>
      <c r="BCN84" s="88"/>
      <c r="BCO84" s="88"/>
      <c r="BCP84" s="88"/>
      <c r="BCQ84" s="88"/>
      <c r="BCR84" s="88"/>
      <c r="BCS84" s="88"/>
      <c r="BCT84" s="88"/>
      <c r="BCU84" s="88"/>
      <c r="BCV84" s="88"/>
      <c r="BCW84" s="88"/>
      <c r="BCX84" s="88"/>
      <c r="BCY84" s="88"/>
      <c r="BCZ84" s="88"/>
      <c r="BDA84" s="88"/>
      <c r="BDB84" s="88"/>
      <c r="BDC84" s="88"/>
      <c r="BDD84" s="88"/>
      <c r="BDE84" s="88"/>
      <c r="BDF84" s="88"/>
      <c r="BDG84" s="88"/>
      <c r="BDH84" s="88"/>
      <c r="BDI84" s="88"/>
      <c r="BDJ84" s="88"/>
      <c r="BDK84" s="88"/>
      <c r="BDL84" s="88"/>
      <c r="BDM84" s="88"/>
      <c r="BDN84" s="88"/>
      <c r="BDO84" s="88"/>
      <c r="BDP84" s="88"/>
      <c r="BDQ84" s="88"/>
      <c r="BDR84" s="88"/>
      <c r="BDS84" s="88"/>
      <c r="BDT84" s="88"/>
      <c r="BDU84" s="88"/>
      <c r="BDV84" s="88"/>
      <c r="BDW84" s="88"/>
      <c r="BDX84" s="88"/>
      <c r="BDY84" s="88"/>
      <c r="BDZ84" s="88"/>
      <c r="BEA84" s="88"/>
      <c r="BEB84" s="88"/>
      <c r="BEC84" s="88"/>
      <c r="BED84" s="88"/>
      <c r="BEE84" s="88"/>
      <c r="BEF84" s="88"/>
      <c r="BEG84" s="88"/>
      <c r="BEH84" s="88"/>
      <c r="BEI84" s="88"/>
      <c r="BEJ84" s="88"/>
      <c r="BEK84" s="88"/>
      <c r="BEL84" s="88"/>
      <c r="BEM84" s="88"/>
      <c r="BEN84" s="88"/>
      <c r="BEO84" s="88"/>
      <c r="BEP84" s="88"/>
      <c r="BEQ84" s="88"/>
      <c r="BER84" s="88"/>
      <c r="BES84" s="88"/>
      <c r="BET84" s="88"/>
      <c r="BEU84" s="88"/>
      <c r="BEV84" s="88"/>
      <c r="BEW84" s="88"/>
      <c r="BEX84" s="88"/>
      <c r="BEY84" s="88"/>
      <c r="BEZ84" s="88"/>
      <c r="BFA84" s="88"/>
      <c r="BFB84" s="88"/>
      <c r="BFC84" s="88"/>
      <c r="BFD84" s="88"/>
      <c r="BFE84" s="88"/>
      <c r="BFF84" s="88"/>
      <c r="BFG84" s="88"/>
      <c r="BFH84" s="88"/>
      <c r="BFI84" s="88"/>
      <c r="BFJ84" s="88"/>
      <c r="BFK84" s="88"/>
      <c r="BFL84" s="88"/>
      <c r="BFM84" s="88"/>
      <c r="BFN84" s="88"/>
      <c r="BFO84" s="88"/>
      <c r="BFP84" s="88"/>
      <c r="BFQ84" s="88"/>
      <c r="BFR84" s="88"/>
      <c r="BFS84" s="88"/>
      <c r="BFT84" s="88"/>
      <c r="BFU84" s="88"/>
      <c r="BFV84" s="88"/>
      <c r="BFW84" s="88"/>
      <c r="BFX84" s="88"/>
      <c r="BFY84" s="88"/>
      <c r="BFZ84" s="88"/>
      <c r="BGA84" s="88"/>
      <c r="BGB84" s="88"/>
      <c r="BGC84" s="88"/>
      <c r="BGD84" s="88"/>
      <c r="BGE84" s="88"/>
      <c r="BGF84" s="88"/>
      <c r="BGG84" s="88"/>
      <c r="BGH84" s="88"/>
      <c r="BGI84" s="88"/>
      <c r="BGJ84" s="88"/>
      <c r="BGK84" s="88"/>
      <c r="BGL84" s="88"/>
      <c r="BGM84" s="88"/>
      <c r="BGN84" s="88"/>
      <c r="BGO84" s="88"/>
      <c r="BGP84" s="88"/>
      <c r="BGQ84" s="88"/>
      <c r="BGR84" s="88"/>
      <c r="BGS84" s="88"/>
      <c r="BGT84" s="88"/>
      <c r="BGU84" s="88"/>
      <c r="BGV84" s="88"/>
      <c r="BGW84" s="88"/>
      <c r="BGX84" s="88"/>
      <c r="BGY84" s="88"/>
      <c r="BGZ84" s="88"/>
      <c r="BHA84" s="88"/>
      <c r="BHB84" s="88"/>
      <c r="BHC84" s="88"/>
      <c r="BHD84" s="88"/>
      <c r="BHE84" s="88"/>
      <c r="BHF84" s="88"/>
      <c r="BHG84" s="88"/>
      <c r="BHH84" s="88"/>
      <c r="BHI84" s="88"/>
      <c r="BHJ84" s="88"/>
      <c r="BHK84" s="88"/>
      <c r="BHL84" s="88"/>
      <c r="BHM84" s="88"/>
      <c r="BHN84" s="88"/>
      <c r="BHO84" s="88"/>
      <c r="BHP84" s="88"/>
      <c r="BHQ84" s="88"/>
      <c r="BHR84" s="88"/>
      <c r="BHS84" s="88"/>
      <c r="BHT84" s="88"/>
      <c r="BHU84" s="88"/>
      <c r="BHV84" s="88"/>
      <c r="BHW84" s="88"/>
      <c r="BHX84" s="88"/>
      <c r="BHY84" s="88"/>
      <c r="BHZ84" s="88"/>
      <c r="BIA84" s="88"/>
      <c r="BIB84" s="88"/>
      <c r="BIC84" s="88"/>
      <c r="BID84" s="88"/>
      <c r="BIE84" s="88"/>
      <c r="BIF84" s="88"/>
      <c r="BIG84" s="88"/>
      <c r="BIH84" s="88"/>
      <c r="BII84" s="88"/>
      <c r="BIJ84" s="88"/>
      <c r="BIK84" s="88"/>
      <c r="BIL84" s="88"/>
      <c r="BIM84" s="88"/>
      <c r="BIN84" s="88"/>
      <c r="BIO84" s="88"/>
      <c r="BIP84" s="88"/>
      <c r="BIQ84" s="88"/>
      <c r="BIR84" s="88"/>
      <c r="BIS84" s="88"/>
      <c r="BIT84" s="88"/>
      <c r="BIU84" s="88"/>
      <c r="BIV84" s="88"/>
      <c r="BIW84" s="88"/>
      <c r="BIX84" s="88"/>
      <c r="BIY84" s="88"/>
      <c r="BIZ84" s="88"/>
      <c r="BJA84" s="88"/>
      <c r="BJB84" s="88"/>
      <c r="BJC84" s="88"/>
      <c r="BJD84" s="88"/>
      <c r="BJE84" s="88"/>
      <c r="BJF84" s="88"/>
      <c r="BJG84" s="88"/>
      <c r="BJH84" s="88"/>
      <c r="BJI84" s="88"/>
      <c r="BJJ84" s="88"/>
      <c r="BJK84" s="88"/>
      <c r="BJL84" s="88"/>
      <c r="BJM84" s="88"/>
      <c r="BJN84" s="88"/>
      <c r="BJO84" s="88"/>
      <c r="BJP84" s="88"/>
      <c r="BJQ84" s="88"/>
      <c r="BJR84" s="88"/>
      <c r="BJS84" s="88"/>
      <c r="BJT84" s="88"/>
      <c r="BJU84" s="88"/>
      <c r="BJV84" s="88"/>
      <c r="BJW84" s="88"/>
      <c r="BJX84" s="88"/>
      <c r="BJY84" s="88"/>
      <c r="BJZ84" s="88"/>
      <c r="BKA84" s="88"/>
      <c r="BKB84" s="88"/>
      <c r="BKC84" s="88"/>
      <c r="BKD84" s="88"/>
      <c r="BKE84" s="88"/>
      <c r="BKF84" s="88"/>
      <c r="BKG84" s="88"/>
      <c r="BKH84" s="88"/>
      <c r="BKI84" s="88"/>
      <c r="BKJ84" s="88"/>
      <c r="BKK84" s="88"/>
      <c r="BKL84" s="88"/>
      <c r="BKM84" s="88"/>
      <c r="BKN84" s="88"/>
      <c r="BKO84" s="88"/>
      <c r="BKP84" s="88"/>
      <c r="BKQ84" s="88"/>
      <c r="BKR84" s="88"/>
      <c r="BKS84" s="88"/>
      <c r="BKT84" s="88"/>
      <c r="BKU84" s="88"/>
      <c r="BKV84" s="88"/>
      <c r="BKW84" s="88"/>
      <c r="BKX84" s="88"/>
      <c r="BKY84" s="88"/>
      <c r="BKZ84" s="88"/>
      <c r="BLA84" s="88"/>
      <c r="BLB84" s="88"/>
      <c r="BLC84" s="88"/>
      <c r="BLD84" s="88"/>
      <c r="BLE84" s="88"/>
      <c r="BLF84" s="88"/>
      <c r="BLG84" s="88"/>
      <c r="BLH84" s="88"/>
      <c r="BLI84" s="88"/>
      <c r="BLJ84" s="88"/>
      <c r="BLK84" s="88"/>
      <c r="BLL84" s="88"/>
      <c r="BLM84" s="88"/>
      <c r="BLN84" s="88"/>
      <c r="BLO84" s="88"/>
      <c r="BLP84" s="88"/>
      <c r="BLQ84" s="88"/>
      <c r="BLR84" s="88"/>
      <c r="BLS84" s="88"/>
      <c r="BLT84" s="88"/>
      <c r="BLU84" s="88"/>
      <c r="BLV84" s="88"/>
      <c r="BLW84" s="88"/>
      <c r="BLX84" s="88"/>
      <c r="BLY84" s="88"/>
      <c r="BLZ84" s="88"/>
      <c r="BMA84" s="88"/>
      <c r="BMB84" s="88"/>
      <c r="BMC84" s="88"/>
      <c r="BMD84" s="88"/>
      <c r="BME84" s="88"/>
      <c r="BMF84" s="88"/>
      <c r="BMG84" s="88"/>
      <c r="BMH84" s="88"/>
      <c r="BMI84" s="88"/>
      <c r="BMJ84" s="88"/>
      <c r="BMK84" s="88"/>
      <c r="BML84" s="88"/>
      <c r="BMM84" s="88"/>
      <c r="BMN84" s="88"/>
      <c r="BMO84" s="88"/>
      <c r="BMP84" s="88"/>
      <c r="BMQ84" s="88"/>
      <c r="BMR84" s="88"/>
      <c r="BMS84" s="88"/>
      <c r="BMT84" s="88"/>
      <c r="BMU84" s="88"/>
      <c r="BMV84" s="88"/>
      <c r="BMW84" s="88"/>
      <c r="BMX84" s="88"/>
      <c r="BMY84" s="88"/>
      <c r="BMZ84" s="88"/>
      <c r="BNA84" s="88"/>
      <c r="BNB84" s="88"/>
      <c r="BNC84" s="88"/>
      <c r="BND84" s="88"/>
      <c r="BNE84" s="88"/>
      <c r="BNF84" s="88"/>
      <c r="BNG84" s="88"/>
      <c r="BNH84" s="88"/>
      <c r="BNI84" s="88"/>
      <c r="BNJ84" s="88"/>
      <c r="BNK84" s="88"/>
      <c r="BNL84" s="88"/>
      <c r="BNM84" s="88"/>
      <c r="BNN84" s="88"/>
      <c r="BNO84" s="88"/>
      <c r="BNP84" s="88"/>
      <c r="BNQ84" s="88"/>
      <c r="BNR84" s="88"/>
      <c r="BNS84" s="88"/>
      <c r="BNT84" s="88"/>
      <c r="BNU84" s="88"/>
      <c r="BNV84" s="88"/>
      <c r="BNW84" s="88"/>
      <c r="BNX84" s="88"/>
      <c r="BNY84" s="88"/>
      <c r="BNZ84" s="88"/>
      <c r="BOA84" s="88"/>
      <c r="BOB84" s="88"/>
      <c r="BOC84" s="88"/>
      <c r="BOD84" s="88"/>
      <c r="BOE84" s="88"/>
      <c r="BOF84" s="88"/>
      <c r="BOG84" s="88"/>
      <c r="BOH84" s="88"/>
      <c r="BOI84" s="88"/>
      <c r="BOJ84" s="88"/>
      <c r="BOK84" s="88"/>
      <c r="BOL84" s="88"/>
      <c r="BOM84" s="88"/>
      <c r="BON84" s="88"/>
      <c r="BOO84" s="88"/>
      <c r="BOP84" s="88"/>
      <c r="BOQ84" s="88"/>
      <c r="BOR84" s="88"/>
      <c r="BOS84" s="88"/>
      <c r="BOT84" s="88"/>
      <c r="BOU84" s="88"/>
      <c r="BOV84" s="88"/>
      <c r="BOW84" s="88"/>
      <c r="BOX84" s="88"/>
      <c r="BOY84" s="88"/>
      <c r="BOZ84" s="88"/>
      <c r="BPA84" s="88"/>
      <c r="BPB84" s="88"/>
      <c r="BPC84" s="88"/>
      <c r="BPD84" s="88"/>
      <c r="BPE84" s="88"/>
      <c r="BPF84" s="88"/>
      <c r="BPG84" s="88"/>
      <c r="BPH84" s="88"/>
      <c r="BPI84" s="88"/>
      <c r="BPJ84" s="88"/>
      <c r="BPK84" s="88"/>
      <c r="BPL84" s="88"/>
      <c r="BPM84" s="88"/>
      <c r="BPN84" s="88"/>
      <c r="BPO84" s="88"/>
      <c r="BPP84" s="88"/>
      <c r="BPQ84" s="88"/>
      <c r="BPR84" s="88"/>
      <c r="BPS84" s="88"/>
      <c r="BPT84" s="88"/>
      <c r="BPU84" s="88"/>
      <c r="BPV84" s="88"/>
      <c r="BPW84" s="88"/>
      <c r="BPX84" s="88"/>
      <c r="BPY84" s="88"/>
      <c r="BPZ84" s="88"/>
      <c r="BQA84" s="88"/>
      <c r="BQB84" s="88"/>
      <c r="BQC84" s="88"/>
      <c r="BQD84" s="88"/>
      <c r="BQE84" s="88"/>
      <c r="BQF84" s="88"/>
      <c r="BQG84" s="88"/>
      <c r="BQH84" s="88"/>
      <c r="BQI84" s="88"/>
      <c r="BQJ84" s="88"/>
      <c r="BQK84" s="88"/>
      <c r="BQL84" s="88"/>
      <c r="BQM84" s="88"/>
      <c r="BQN84" s="88"/>
      <c r="BQO84" s="88"/>
      <c r="BQP84" s="88"/>
      <c r="BQQ84" s="88"/>
      <c r="BQR84" s="88"/>
      <c r="BQS84" s="88"/>
      <c r="BQT84" s="88"/>
      <c r="BQU84" s="88"/>
      <c r="BQV84" s="88"/>
      <c r="BQW84" s="88"/>
      <c r="BQX84" s="88"/>
      <c r="BQY84" s="88"/>
      <c r="BQZ84" s="88"/>
      <c r="BRA84" s="88"/>
      <c r="BRB84" s="88"/>
      <c r="BRC84" s="88"/>
      <c r="BRD84" s="88"/>
      <c r="BRE84" s="88"/>
      <c r="BRF84" s="88"/>
      <c r="BRG84" s="88"/>
      <c r="BRH84" s="88"/>
      <c r="BRI84" s="88"/>
      <c r="BRJ84" s="88"/>
      <c r="BRK84" s="88"/>
      <c r="BRL84" s="88"/>
      <c r="BRM84" s="88"/>
      <c r="BRN84" s="88"/>
      <c r="BRO84" s="88"/>
      <c r="BRP84" s="88"/>
      <c r="BRQ84" s="88"/>
      <c r="BRR84" s="88"/>
      <c r="BRS84" s="88"/>
      <c r="BRT84" s="88"/>
      <c r="BRU84" s="88"/>
      <c r="BRV84" s="88"/>
      <c r="BRW84" s="88"/>
      <c r="BRX84" s="88"/>
      <c r="BRY84" s="88"/>
      <c r="BRZ84" s="88"/>
      <c r="BSA84" s="88"/>
      <c r="BSB84" s="88"/>
      <c r="BSC84" s="88"/>
      <c r="BSD84" s="88"/>
      <c r="BSE84" s="88"/>
      <c r="BSF84" s="88"/>
      <c r="BSG84" s="88"/>
      <c r="BSH84" s="88"/>
      <c r="BSI84" s="88"/>
      <c r="BSJ84" s="88"/>
      <c r="BSK84" s="88"/>
      <c r="BSL84" s="88"/>
      <c r="BSM84" s="88"/>
      <c r="BSN84" s="88"/>
      <c r="BSO84" s="88"/>
      <c r="BSP84" s="88"/>
      <c r="BSQ84" s="88"/>
      <c r="BSR84" s="88"/>
      <c r="BSS84" s="88"/>
      <c r="BST84" s="88"/>
      <c r="BSU84" s="88"/>
      <c r="BSV84" s="88"/>
      <c r="BSW84" s="88"/>
      <c r="BSX84" s="88"/>
      <c r="BSY84" s="88"/>
      <c r="BSZ84" s="88"/>
      <c r="BTA84" s="88"/>
      <c r="BTB84" s="88"/>
      <c r="BTC84" s="88"/>
      <c r="BTD84" s="88"/>
      <c r="BTE84" s="88"/>
      <c r="BTF84" s="88"/>
      <c r="BTG84" s="88"/>
      <c r="BTH84" s="88"/>
      <c r="BTI84" s="88"/>
      <c r="BTJ84" s="88"/>
      <c r="BTK84" s="88"/>
      <c r="BTL84" s="88"/>
      <c r="BTM84" s="88"/>
      <c r="BTN84" s="88"/>
      <c r="BTO84" s="88"/>
      <c r="BTP84" s="88"/>
      <c r="BTQ84" s="88"/>
      <c r="BTR84" s="88"/>
      <c r="BTS84" s="88"/>
      <c r="BTT84" s="88"/>
      <c r="BTU84" s="88"/>
      <c r="BTV84" s="88"/>
      <c r="BTW84" s="88"/>
      <c r="BTX84" s="88"/>
      <c r="BTY84" s="88"/>
      <c r="BTZ84" s="88"/>
      <c r="BUA84" s="88"/>
      <c r="BUB84" s="88"/>
      <c r="BUC84" s="88"/>
      <c r="BUD84" s="88"/>
      <c r="BUE84" s="88"/>
      <c r="BUF84" s="88"/>
      <c r="BUG84" s="88"/>
      <c r="BUH84" s="88"/>
      <c r="BUI84" s="88"/>
      <c r="BUJ84" s="88"/>
      <c r="BUK84" s="88"/>
      <c r="BUL84" s="88"/>
      <c r="BUM84" s="88"/>
      <c r="BUN84" s="88"/>
      <c r="BUO84" s="88"/>
      <c r="BUP84" s="88"/>
      <c r="BUQ84" s="88"/>
      <c r="BUR84" s="88"/>
      <c r="BUS84" s="88"/>
      <c r="BUT84" s="88"/>
      <c r="BUU84" s="88"/>
      <c r="BUV84" s="88"/>
      <c r="BUW84" s="88"/>
      <c r="BUX84" s="88"/>
      <c r="BUY84" s="88"/>
      <c r="BUZ84" s="88"/>
      <c r="BVA84" s="88"/>
      <c r="BVB84" s="88"/>
      <c r="BVC84" s="88"/>
      <c r="BVD84" s="88"/>
      <c r="BVE84" s="88"/>
      <c r="BVF84" s="88"/>
      <c r="BVG84" s="88"/>
      <c r="BVH84" s="88"/>
      <c r="BVI84" s="88"/>
      <c r="BVJ84" s="88"/>
      <c r="BVK84" s="88"/>
      <c r="BVL84" s="88"/>
      <c r="BVM84" s="88"/>
      <c r="BVN84" s="88"/>
      <c r="BVO84" s="88"/>
      <c r="BVP84" s="88"/>
      <c r="BVQ84" s="88"/>
      <c r="BVR84" s="88"/>
      <c r="BVS84" s="88"/>
      <c r="BVT84" s="88"/>
      <c r="BVU84" s="88"/>
      <c r="BVV84" s="88"/>
      <c r="BVW84" s="88"/>
      <c r="BVX84" s="88"/>
      <c r="BVY84" s="88"/>
      <c r="BVZ84" s="88"/>
      <c r="BWA84" s="88"/>
      <c r="BWB84" s="88"/>
      <c r="BWC84" s="88"/>
      <c r="BWD84" s="88"/>
      <c r="BWE84" s="88"/>
      <c r="BWF84" s="88"/>
      <c r="BWG84" s="88"/>
      <c r="BWH84" s="88"/>
      <c r="BWI84" s="88"/>
      <c r="BWJ84" s="88"/>
      <c r="BWK84" s="88"/>
      <c r="BWL84" s="88"/>
      <c r="BWM84" s="88"/>
      <c r="BWN84" s="88"/>
      <c r="BWO84" s="88"/>
      <c r="BWP84" s="88"/>
      <c r="BWQ84" s="88"/>
      <c r="BWR84" s="88"/>
      <c r="BWS84" s="88"/>
      <c r="BWT84" s="88"/>
      <c r="BWU84" s="88"/>
      <c r="BWV84" s="88"/>
      <c r="BWW84" s="88"/>
      <c r="BWX84" s="88"/>
      <c r="BWY84" s="88"/>
      <c r="BWZ84" s="88"/>
      <c r="BXA84" s="88"/>
      <c r="BXB84" s="88"/>
      <c r="BXC84" s="88"/>
      <c r="BXD84" s="88"/>
      <c r="BXE84" s="88"/>
      <c r="BXF84" s="88"/>
      <c r="BXG84" s="88"/>
      <c r="BXH84" s="88"/>
      <c r="BXI84" s="88"/>
      <c r="BXJ84" s="88"/>
      <c r="BXK84" s="88"/>
      <c r="BXL84" s="88"/>
      <c r="BXM84" s="88"/>
      <c r="BXN84" s="88"/>
      <c r="BXO84" s="88"/>
      <c r="BXP84" s="88"/>
      <c r="BXQ84" s="88"/>
      <c r="BXR84" s="88"/>
      <c r="BXS84" s="88"/>
      <c r="BXT84" s="88"/>
      <c r="BXU84" s="88"/>
      <c r="BXV84" s="88"/>
      <c r="BXW84" s="88"/>
      <c r="BXX84" s="88"/>
      <c r="BXY84" s="88"/>
      <c r="BXZ84" s="88"/>
      <c r="BYA84" s="88"/>
      <c r="BYB84" s="88"/>
      <c r="BYC84" s="88"/>
      <c r="BYD84" s="88"/>
      <c r="BYE84" s="88"/>
      <c r="BYF84" s="88"/>
      <c r="BYG84" s="88"/>
      <c r="BYH84" s="88"/>
      <c r="BYI84" s="88"/>
      <c r="BYJ84" s="88"/>
      <c r="BYK84" s="88"/>
      <c r="BYL84" s="88"/>
      <c r="BYM84" s="88"/>
      <c r="BYN84" s="88"/>
      <c r="BYO84" s="88"/>
      <c r="BYP84" s="88"/>
      <c r="BYQ84" s="88"/>
      <c r="BYR84" s="88"/>
      <c r="BYS84" s="88"/>
      <c r="BYT84" s="88"/>
      <c r="BYU84" s="88"/>
      <c r="BYV84" s="88"/>
      <c r="BYW84" s="88"/>
      <c r="BYX84" s="88"/>
      <c r="BYY84" s="88"/>
      <c r="BYZ84" s="88"/>
      <c r="BZA84" s="88"/>
      <c r="BZB84" s="88"/>
      <c r="BZC84" s="88"/>
      <c r="BZD84" s="88"/>
      <c r="BZE84" s="88"/>
      <c r="BZF84" s="88"/>
      <c r="BZG84" s="88"/>
      <c r="BZH84" s="88"/>
      <c r="BZI84" s="88"/>
      <c r="BZJ84" s="88"/>
      <c r="BZK84" s="88"/>
      <c r="BZL84" s="88"/>
      <c r="BZM84" s="88"/>
      <c r="BZN84" s="88"/>
      <c r="BZO84" s="88"/>
      <c r="BZP84" s="88"/>
      <c r="BZQ84" s="88"/>
      <c r="BZR84" s="88"/>
      <c r="BZS84" s="88"/>
      <c r="BZT84" s="88"/>
      <c r="BZU84" s="88"/>
      <c r="BZV84" s="88"/>
      <c r="BZW84" s="88"/>
      <c r="BZX84" s="88"/>
      <c r="BZY84" s="88"/>
      <c r="BZZ84" s="88"/>
      <c r="CAA84" s="88"/>
      <c r="CAB84" s="88"/>
      <c r="CAC84" s="88"/>
      <c r="CAD84" s="88"/>
      <c r="CAE84" s="88"/>
      <c r="CAF84" s="88"/>
      <c r="CAG84" s="88"/>
      <c r="CAH84" s="88"/>
      <c r="CAI84" s="88"/>
      <c r="CAJ84" s="88"/>
      <c r="CAK84" s="88"/>
      <c r="CAL84" s="88"/>
      <c r="CAM84" s="88"/>
      <c r="CAN84" s="88"/>
      <c r="CAO84" s="88"/>
      <c r="CAP84" s="88"/>
      <c r="CAQ84" s="88"/>
      <c r="CAR84" s="88"/>
      <c r="CAS84" s="88"/>
      <c r="CAT84" s="88"/>
      <c r="CAU84" s="88"/>
      <c r="CAV84" s="88"/>
      <c r="CAW84" s="88"/>
      <c r="CAX84" s="88"/>
      <c r="CAY84" s="88"/>
      <c r="CAZ84" s="88"/>
      <c r="CBA84" s="88"/>
      <c r="CBB84" s="88"/>
      <c r="CBC84" s="88"/>
      <c r="CBD84" s="88"/>
      <c r="CBE84" s="88"/>
      <c r="CBF84" s="88"/>
      <c r="CBG84" s="88"/>
      <c r="CBH84" s="88"/>
      <c r="CBI84" s="88"/>
      <c r="CBJ84" s="88"/>
      <c r="CBK84" s="88"/>
      <c r="CBL84" s="88"/>
      <c r="CBM84" s="88"/>
      <c r="CBN84" s="88"/>
      <c r="CBO84" s="88"/>
      <c r="CBP84" s="88"/>
      <c r="CBQ84" s="88"/>
      <c r="CBR84" s="88"/>
      <c r="CBS84" s="88"/>
      <c r="CBT84" s="88"/>
      <c r="CBU84" s="88"/>
      <c r="CBV84" s="88"/>
      <c r="CBW84" s="88"/>
      <c r="CBX84" s="88"/>
      <c r="CBY84" s="88"/>
      <c r="CBZ84" s="88"/>
      <c r="CCA84" s="88"/>
      <c r="CCB84" s="88"/>
      <c r="CCC84" s="88"/>
      <c r="CCD84" s="88"/>
      <c r="CCE84" s="88"/>
      <c r="CCF84" s="88"/>
      <c r="CCG84" s="88"/>
      <c r="CCH84" s="88"/>
      <c r="CCI84" s="88"/>
      <c r="CCJ84" s="88"/>
      <c r="CCK84" s="88"/>
      <c r="CCL84" s="88"/>
      <c r="CCM84" s="88"/>
      <c r="CCN84" s="88"/>
      <c r="CCO84" s="88"/>
      <c r="CCP84" s="88"/>
      <c r="CCQ84" s="88"/>
      <c r="CCR84" s="88"/>
      <c r="CCS84" s="88"/>
      <c r="CCT84" s="88"/>
      <c r="CCU84" s="88"/>
      <c r="CCV84" s="88"/>
      <c r="CCW84" s="88"/>
      <c r="CCX84" s="88"/>
      <c r="CCY84" s="88"/>
      <c r="CCZ84" s="88"/>
      <c r="CDA84" s="88"/>
      <c r="CDB84" s="88"/>
      <c r="CDC84" s="88"/>
      <c r="CDD84" s="88"/>
      <c r="CDE84" s="88"/>
      <c r="CDF84" s="88"/>
      <c r="CDG84" s="88"/>
      <c r="CDH84" s="88"/>
      <c r="CDI84" s="88"/>
      <c r="CDJ84" s="88"/>
      <c r="CDK84" s="88"/>
      <c r="CDL84" s="88"/>
      <c r="CDM84" s="88"/>
      <c r="CDN84" s="88"/>
      <c r="CDO84" s="88"/>
      <c r="CDP84" s="88"/>
      <c r="CDQ84" s="88"/>
      <c r="CDR84" s="88"/>
      <c r="CDS84" s="88"/>
      <c r="CDT84" s="88"/>
      <c r="CDU84" s="88"/>
      <c r="CDV84" s="88"/>
      <c r="CDW84" s="88"/>
      <c r="CDX84" s="88"/>
      <c r="CDY84" s="88"/>
      <c r="CDZ84" s="88"/>
      <c r="CEA84" s="88"/>
      <c r="CEB84" s="88"/>
      <c r="CEC84" s="88"/>
      <c r="CED84" s="88"/>
      <c r="CEE84" s="88"/>
      <c r="CEF84" s="88"/>
      <c r="CEG84" s="88"/>
      <c r="CEH84" s="88"/>
      <c r="CEI84" s="88"/>
      <c r="CEJ84" s="88"/>
      <c r="CEK84" s="88"/>
    </row>
    <row r="85" spans="1:2169" s="51" customFormat="1">
      <c r="A85" s="72" t="s">
        <v>438</v>
      </c>
      <c r="B85" s="72" t="s">
        <v>507</v>
      </c>
      <c r="C85" s="69" t="str">
        <f>IF('page 2'!$O$4="","",IF('page 2'!$O$4=Gestion!A85,1,0))</f>
        <v/>
      </c>
      <c r="D85" s="69" t="str">
        <f>IF('page 2'!$O$5="","",IF('page 2'!$O$5=Gestion!A85,1,0))</f>
        <v/>
      </c>
      <c r="E85" s="69" t="str">
        <f>IF('page 2'!$O$6="","",IF('page 2'!$O$6=Gestion!A85,1,0))</f>
        <v/>
      </c>
      <c r="F85" s="69" t="str">
        <f>IF('page 2'!$O$7="","",IF('page 2'!$O$7=Gestion!A85,1,0))</f>
        <v/>
      </c>
      <c r="G85" s="69" t="str">
        <f>IF('page 2'!$O$8="","",IF('page 2'!$O$8=Gestion!A85,1,0))</f>
        <v/>
      </c>
      <c r="H85" s="69" t="str">
        <f>IF('page 2'!$O$9="","",IF('page 2'!$O$9=Gestion!A85,1,0))</f>
        <v/>
      </c>
      <c r="I85" s="69" t="str">
        <f>IF('page 2'!$O$10="","",IF('page 2'!$O$10=Gestion!A85,1,0))</f>
        <v/>
      </c>
      <c r="J85" s="69" t="str">
        <f>IF('page 2'!$O$11="","",IF('page 2'!$O$11=Gestion!A85,1,0))</f>
        <v/>
      </c>
      <c r="K85" s="69" t="str">
        <f>IF('page 2'!$O$12="","",IF('page 2'!$O$12=Gestion!A85,1,0))</f>
        <v/>
      </c>
      <c r="L85" s="69" t="str">
        <f>IF('page 2'!$O$13="","",IF('page 2'!$O$13=Gestion!A85,1,0))</f>
        <v/>
      </c>
      <c r="M85" s="69" t="str">
        <f>IF('page 2'!$O$14="","",IF('page 2'!$O$14=Gestion!A85,1,0))</f>
        <v/>
      </c>
      <c r="N85" s="69" t="str">
        <f>IF('page 2'!$O$15="","",IF('page 2'!$O$15=Gestion!A85,1,0))</f>
        <v/>
      </c>
      <c r="O85" s="69" t="str">
        <f>IF('page 2'!$O$16="","",IF('page 2'!$O$16=Gestion!A85,1,0))</f>
        <v/>
      </c>
      <c r="P85" s="69" t="str">
        <f>IF('page 2'!$O$17="","",IF('page 2'!$O$17=Gestion!A85,1,0))</f>
        <v/>
      </c>
      <c r="Q85" s="69" t="str">
        <f>IF('page 2'!$O$18="","",IF('page 2'!$O$18=Gestion!A85,1,0))</f>
        <v/>
      </c>
      <c r="R85" s="69" t="str">
        <f>IF('page 2'!$O$19="","",IF('page 2'!$O$19=Gestion!A85,1,0))</f>
        <v/>
      </c>
      <c r="S85" s="69" t="str">
        <f>IF('page 2'!$O$20="","",IF('page 2'!$O$20=Gestion!A85,1,0))</f>
        <v/>
      </c>
      <c r="T85" s="69" t="str">
        <f>IF('page 2'!$O$25="","",IF('page 2'!$O$25=Gestion!A85,1,0))</f>
        <v/>
      </c>
      <c r="U85" s="69" t="str">
        <f>IF('page 2'!$O$26="","",IF('page 2'!$O$26=Gestion!A85,1,0))</f>
        <v/>
      </c>
      <c r="V85" s="69" t="str">
        <f>IF('page 2'!$O$27="","",IF('page 2'!$O$27=Gestion!A85,1,0))</f>
        <v/>
      </c>
      <c r="W85" s="723">
        <f t="shared" si="14"/>
        <v>0</v>
      </c>
      <c r="X85" s="713"/>
      <c r="Y85" s="69"/>
      <c r="Z85" s="69"/>
      <c r="AA85" s="69"/>
      <c r="AB85" s="542"/>
      <c r="AC85" s="542"/>
      <c r="AD85" s="542"/>
      <c r="AE85" s="88"/>
      <c r="AP85" s="130"/>
      <c r="AQ85" s="130"/>
      <c r="AR85" s="130"/>
      <c r="AS85" s="576"/>
      <c r="AT85" s="576"/>
      <c r="AU85" s="576"/>
      <c r="AV85" s="576"/>
      <c r="AW85" s="602"/>
      <c r="AX85" s="602"/>
      <c r="AY85" s="576"/>
      <c r="AZ85" s="576"/>
      <c r="BA85" s="576"/>
      <c r="BB85" s="576"/>
      <c r="BC85" s="576"/>
      <c r="BD85" s="602"/>
      <c r="BE85" s="602"/>
      <c r="BF85" s="602"/>
      <c r="BG85" s="602"/>
      <c r="BH85" s="602"/>
      <c r="BI85" s="602"/>
      <c r="BJ85" s="602"/>
      <c r="BK85" s="602"/>
      <c r="BL85" s="602"/>
      <c r="BM85" s="602"/>
      <c r="BN85" s="602"/>
      <c r="BO85" s="602"/>
      <c r="BP85" s="602"/>
      <c r="BQ85" s="602"/>
      <c r="BR85" s="602"/>
      <c r="BS85" s="576"/>
      <c r="BT85" s="576"/>
      <c r="BU85" s="576"/>
      <c r="BV85" s="576"/>
      <c r="BW85" s="602"/>
      <c r="BX85" s="602"/>
      <c r="BY85" s="602"/>
      <c r="BZ85" s="576"/>
      <c r="CA85" s="602"/>
      <c r="CB85" s="602"/>
      <c r="CC85" s="576"/>
      <c r="CD85" s="576"/>
      <c r="CE85" s="602"/>
      <c r="CF85" s="576"/>
      <c r="CG85" s="576"/>
      <c r="CH85" s="576"/>
      <c r="CI85" s="576"/>
      <c r="CJ85" s="576"/>
      <c r="CK85" s="602"/>
      <c r="CL85" s="602"/>
      <c r="CM85" s="576"/>
      <c r="CN85" s="602"/>
      <c r="CO85" s="602"/>
      <c r="CP85" s="602"/>
      <c r="CQ85" s="576"/>
      <c r="CR85" s="576"/>
      <c r="CS85" s="602"/>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c r="JT85" s="88"/>
      <c r="JU85" s="88"/>
      <c r="JV85" s="88"/>
      <c r="JW85" s="88"/>
      <c r="JX85" s="88"/>
      <c r="JY85" s="88"/>
      <c r="JZ85" s="88"/>
      <c r="KA85" s="88"/>
      <c r="KB85" s="88"/>
      <c r="KC85" s="88"/>
      <c r="KD85" s="88"/>
      <c r="KE85" s="88"/>
      <c r="KF85" s="88"/>
      <c r="KG85" s="88"/>
      <c r="KH85" s="88"/>
      <c r="KI85" s="88"/>
      <c r="KJ85" s="88"/>
      <c r="KK85" s="88"/>
      <c r="KL85" s="88"/>
      <c r="KM85" s="88"/>
      <c r="KN85" s="88"/>
      <c r="KO85" s="88"/>
      <c r="KP85" s="88"/>
      <c r="KQ85" s="88"/>
      <c r="KR85" s="88"/>
      <c r="KS85" s="88"/>
      <c r="KT85" s="88"/>
      <c r="KU85" s="88"/>
      <c r="KV85" s="88"/>
      <c r="KW85" s="88"/>
      <c r="KX85" s="88"/>
      <c r="KY85" s="88"/>
      <c r="KZ85" s="88"/>
      <c r="LA85" s="88"/>
      <c r="LB85" s="88"/>
      <c r="LC85" s="88"/>
      <c r="LD85" s="88"/>
      <c r="LE85" s="88"/>
      <c r="LF85" s="88"/>
      <c r="LG85" s="88"/>
      <c r="LH85" s="88"/>
      <c r="LI85" s="88"/>
      <c r="LJ85" s="88"/>
      <c r="LK85" s="88"/>
      <c r="LL85" s="88"/>
      <c r="LM85" s="88"/>
      <c r="LN85" s="88"/>
      <c r="LO85" s="88"/>
      <c r="LP85" s="88"/>
      <c r="LQ85" s="88"/>
      <c r="LR85" s="88"/>
      <c r="LS85" s="88"/>
      <c r="LT85" s="88"/>
      <c r="LU85" s="88"/>
      <c r="LV85" s="88"/>
      <c r="LW85" s="88"/>
      <c r="LX85" s="88"/>
      <c r="LY85" s="88"/>
      <c r="LZ85" s="88"/>
      <c r="MA85" s="88"/>
      <c r="MB85" s="88"/>
      <c r="MC85" s="88"/>
      <c r="MD85" s="88"/>
      <c r="ME85" s="88"/>
      <c r="MF85" s="88"/>
      <c r="MG85" s="88"/>
      <c r="MH85" s="88"/>
      <c r="MI85" s="88"/>
      <c r="MJ85" s="88"/>
      <c r="MK85" s="88"/>
      <c r="ML85" s="88"/>
      <c r="MM85" s="88"/>
      <c r="MN85" s="88"/>
      <c r="MO85" s="88"/>
      <c r="MP85" s="88"/>
      <c r="MQ85" s="88"/>
      <c r="MR85" s="88"/>
      <c r="MS85" s="88"/>
      <c r="MT85" s="88"/>
      <c r="MU85" s="88"/>
      <c r="MV85" s="88"/>
      <c r="MW85" s="88"/>
      <c r="MX85" s="88"/>
      <c r="MY85" s="88"/>
      <c r="MZ85" s="88"/>
      <c r="NA85" s="88"/>
      <c r="NB85" s="88"/>
      <c r="NC85" s="88"/>
      <c r="ND85" s="88"/>
      <c r="NE85" s="88"/>
      <c r="NF85" s="88"/>
      <c r="NG85" s="88"/>
      <c r="NH85" s="88"/>
      <c r="NI85" s="88"/>
      <c r="NJ85" s="88"/>
      <c r="NK85" s="88"/>
      <c r="NL85" s="88"/>
      <c r="NM85" s="88"/>
      <c r="NN85" s="88"/>
      <c r="NO85" s="88"/>
      <c r="NP85" s="88"/>
      <c r="NQ85" s="88"/>
      <c r="NR85" s="88"/>
      <c r="NS85" s="88"/>
      <c r="NT85" s="88"/>
      <c r="NU85" s="88"/>
      <c r="NV85" s="88"/>
      <c r="NW85" s="88"/>
      <c r="NX85" s="88"/>
      <c r="NY85" s="88"/>
      <c r="NZ85" s="88"/>
      <c r="OA85" s="88"/>
      <c r="OB85" s="88"/>
      <c r="OC85" s="88"/>
      <c r="OD85" s="88"/>
      <c r="OE85" s="88"/>
      <c r="OF85" s="88"/>
      <c r="OG85" s="88"/>
      <c r="OH85" s="88"/>
      <c r="OI85" s="88"/>
      <c r="OJ85" s="88"/>
      <c r="OK85" s="88"/>
      <c r="OL85" s="88"/>
      <c r="OM85" s="88"/>
      <c r="ON85" s="88"/>
      <c r="OO85" s="88"/>
      <c r="OP85" s="88"/>
      <c r="OQ85" s="88"/>
      <c r="OR85" s="88"/>
      <c r="OS85" s="88"/>
      <c r="OT85" s="88"/>
      <c r="OU85" s="88"/>
      <c r="OV85" s="88"/>
      <c r="OW85" s="88"/>
      <c r="OX85" s="88"/>
      <c r="OY85" s="88"/>
      <c r="OZ85" s="88"/>
      <c r="PA85" s="88"/>
      <c r="PB85" s="88"/>
      <c r="PC85" s="88"/>
      <c r="PD85" s="88"/>
      <c r="PE85" s="88"/>
      <c r="PF85" s="88"/>
      <c r="PG85" s="88"/>
      <c r="PH85" s="88"/>
      <c r="PI85" s="88"/>
      <c r="PJ85" s="88"/>
      <c r="PK85" s="88"/>
      <c r="PL85" s="88"/>
      <c r="PM85" s="88"/>
      <c r="PN85" s="88"/>
      <c r="PO85" s="88"/>
      <c r="PP85" s="88"/>
      <c r="PQ85" s="88"/>
      <c r="PR85" s="88"/>
      <c r="PS85" s="88"/>
      <c r="PT85" s="88"/>
      <c r="PU85" s="88"/>
      <c r="PV85" s="88"/>
      <c r="PW85" s="88"/>
      <c r="PX85" s="88"/>
      <c r="PY85" s="88"/>
      <c r="PZ85" s="88"/>
      <c r="QA85" s="88"/>
      <c r="QB85" s="88"/>
      <c r="QC85" s="88"/>
      <c r="QD85" s="88"/>
      <c r="QE85" s="88"/>
      <c r="QF85" s="88"/>
      <c r="QG85" s="88"/>
      <c r="QH85" s="88"/>
      <c r="QI85" s="88"/>
      <c r="QJ85" s="88"/>
      <c r="QK85" s="88"/>
      <c r="QL85" s="88"/>
      <c r="QM85" s="88"/>
      <c r="QN85" s="88"/>
      <c r="QO85" s="88"/>
      <c r="QP85" s="88"/>
      <c r="QQ85" s="88"/>
      <c r="QR85" s="88"/>
      <c r="QS85" s="88"/>
      <c r="QT85" s="88"/>
      <c r="QU85" s="88"/>
      <c r="QV85" s="88"/>
      <c r="QW85" s="88"/>
      <c r="QX85" s="88"/>
      <c r="QY85" s="88"/>
      <c r="QZ85" s="88"/>
      <c r="RA85" s="88"/>
      <c r="RB85" s="88"/>
      <c r="RC85" s="88"/>
      <c r="RD85" s="88"/>
      <c r="RE85" s="88"/>
      <c r="RF85" s="88"/>
      <c r="RG85" s="88"/>
      <c r="RH85" s="88"/>
      <c r="RI85" s="88"/>
      <c r="RJ85" s="88"/>
      <c r="RK85" s="88"/>
      <c r="RL85" s="88"/>
      <c r="RM85" s="88"/>
      <c r="RN85" s="88"/>
      <c r="RO85" s="88"/>
      <c r="RP85" s="88"/>
      <c r="RQ85" s="88"/>
      <c r="RR85" s="88"/>
      <c r="RS85" s="88"/>
      <c r="RT85" s="88"/>
      <c r="RU85" s="88"/>
      <c r="RV85" s="88"/>
      <c r="RW85" s="88"/>
      <c r="RX85" s="88"/>
      <c r="RY85" s="88"/>
      <c r="RZ85" s="88"/>
      <c r="SA85" s="88"/>
      <c r="SB85" s="88"/>
      <c r="SC85" s="88"/>
      <c r="SD85" s="88"/>
      <c r="SE85" s="88"/>
      <c r="SF85" s="88"/>
      <c r="SG85" s="88"/>
      <c r="SH85" s="88"/>
      <c r="SI85" s="88"/>
      <c r="SJ85" s="88"/>
      <c r="SK85" s="88"/>
      <c r="SL85" s="88"/>
      <c r="SM85" s="88"/>
      <c r="SN85" s="88"/>
      <c r="SO85" s="88"/>
      <c r="SP85" s="88"/>
      <c r="SQ85" s="88"/>
      <c r="SR85" s="88"/>
      <c r="SS85" s="88"/>
      <c r="ST85" s="88"/>
      <c r="SU85" s="88"/>
      <c r="SV85" s="88"/>
      <c r="SW85" s="88"/>
      <c r="SX85" s="88"/>
      <c r="SY85" s="88"/>
      <c r="SZ85" s="88"/>
      <c r="TA85" s="88"/>
      <c r="TB85" s="88"/>
      <c r="TC85" s="88"/>
      <c r="TD85" s="88"/>
      <c r="TE85" s="88"/>
      <c r="TF85" s="88"/>
      <c r="TG85" s="88"/>
      <c r="TH85" s="88"/>
      <c r="TI85" s="88"/>
      <c r="TJ85" s="88"/>
      <c r="TK85" s="88"/>
      <c r="TL85" s="88"/>
      <c r="TM85" s="88"/>
      <c r="TN85" s="88"/>
      <c r="TO85" s="88"/>
      <c r="TP85" s="88"/>
      <c r="TQ85" s="88"/>
      <c r="TR85" s="88"/>
      <c r="TS85" s="88"/>
      <c r="TT85" s="88"/>
      <c r="TU85" s="88"/>
      <c r="TV85" s="88"/>
      <c r="TW85" s="88"/>
      <c r="TX85" s="88"/>
      <c r="TY85" s="88"/>
      <c r="TZ85" s="88"/>
      <c r="UA85" s="88"/>
      <c r="UB85" s="88"/>
      <c r="UC85" s="88"/>
      <c r="UD85" s="88"/>
      <c r="UE85" s="88"/>
      <c r="UF85" s="88"/>
      <c r="UG85" s="88"/>
      <c r="UH85" s="88"/>
      <c r="UI85" s="88"/>
      <c r="UJ85" s="88"/>
      <c r="UK85" s="88"/>
      <c r="UL85" s="88"/>
      <c r="UM85" s="88"/>
      <c r="UN85" s="88"/>
      <c r="UO85" s="88"/>
      <c r="UP85" s="88"/>
      <c r="UQ85" s="88"/>
      <c r="UR85" s="88"/>
      <c r="US85" s="88"/>
      <c r="UT85" s="88"/>
      <c r="UU85" s="88"/>
      <c r="UV85" s="88"/>
      <c r="UW85" s="88"/>
      <c r="UX85" s="88"/>
      <c r="UY85" s="88"/>
      <c r="UZ85" s="88"/>
      <c r="VA85" s="88"/>
      <c r="VB85" s="88"/>
      <c r="VC85" s="88"/>
      <c r="VD85" s="88"/>
      <c r="VE85" s="88"/>
      <c r="VF85" s="88"/>
      <c r="VG85" s="88"/>
      <c r="VH85" s="88"/>
      <c r="VI85" s="88"/>
      <c r="VJ85" s="88"/>
      <c r="VK85" s="88"/>
      <c r="VL85" s="88"/>
      <c r="VM85" s="88"/>
      <c r="VN85" s="88"/>
      <c r="VO85" s="88"/>
      <c r="VP85" s="88"/>
      <c r="VQ85" s="88"/>
      <c r="VR85" s="88"/>
      <c r="VS85" s="88"/>
      <c r="VT85" s="88"/>
      <c r="VU85" s="88"/>
      <c r="VV85" s="88"/>
      <c r="VW85" s="88"/>
      <c r="VX85" s="88"/>
      <c r="VY85" s="88"/>
      <c r="VZ85" s="88"/>
      <c r="WA85" s="88"/>
      <c r="WB85" s="88"/>
      <c r="WC85" s="88"/>
      <c r="WD85" s="88"/>
      <c r="WE85" s="88"/>
      <c r="WF85" s="88"/>
      <c r="WG85" s="88"/>
      <c r="WH85" s="88"/>
      <c r="WI85" s="88"/>
      <c r="WJ85" s="88"/>
      <c r="WK85" s="88"/>
      <c r="WL85" s="88"/>
      <c r="WM85" s="88"/>
      <c r="WN85" s="88"/>
      <c r="WO85" s="88"/>
      <c r="WP85" s="88"/>
      <c r="WQ85" s="88"/>
      <c r="WR85" s="88"/>
      <c r="WS85" s="88"/>
      <c r="WT85" s="88"/>
      <c r="WU85" s="88"/>
      <c r="WV85" s="88"/>
      <c r="WW85" s="88"/>
      <c r="WX85" s="88"/>
      <c r="WY85" s="88"/>
      <c r="WZ85" s="88"/>
      <c r="XA85" s="88"/>
      <c r="XB85" s="88"/>
      <c r="XC85" s="88"/>
      <c r="XD85" s="88"/>
      <c r="XE85" s="88"/>
      <c r="XF85" s="88"/>
      <c r="XG85" s="88"/>
      <c r="XH85" s="88"/>
      <c r="XI85" s="88"/>
      <c r="XJ85" s="88"/>
      <c r="XK85" s="88"/>
      <c r="XL85" s="88"/>
      <c r="XM85" s="88"/>
      <c r="XN85" s="88"/>
      <c r="XO85" s="88"/>
      <c r="XP85" s="88"/>
      <c r="XQ85" s="88"/>
      <c r="XR85" s="88"/>
      <c r="XS85" s="88"/>
      <c r="XT85" s="88"/>
      <c r="XU85" s="88"/>
      <c r="XV85" s="88"/>
      <c r="XW85" s="88"/>
      <c r="XX85" s="88"/>
      <c r="XY85" s="88"/>
      <c r="XZ85" s="88"/>
      <c r="YA85" s="88"/>
      <c r="YB85" s="88"/>
      <c r="YC85" s="88"/>
      <c r="YD85" s="88"/>
      <c r="YE85" s="88"/>
      <c r="YF85" s="88"/>
      <c r="YG85" s="88"/>
      <c r="YH85" s="88"/>
      <c r="YI85" s="88"/>
      <c r="YJ85" s="88"/>
      <c r="YK85" s="88"/>
      <c r="YL85" s="88"/>
      <c r="YM85" s="88"/>
      <c r="YN85" s="88"/>
      <c r="YO85" s="88"/>
      <c r="YP85" s="88"/>
      <c r="YQ85" s="88"/>
      <c r="YR85" s="88"/>
      <c r="YS85" s="88"/>
      <c r="YT85" s="88"/>
      <c r="YU85" s="88"/>
      <c r="YV85" s="88"/>
      <c r="YW85" s="88"/>
      <c r="YX85" s="88"/>
      <c r="YY85" s="88"/>
      <c r="YZ85" s="88"/>
      <c r="ZA85" s="88"/>
      <c r="ZB85" s="88"/>
      <c r="ZC85" s="88"/>
      <c r="ZD85" s="88"/>
      <c r="ZE85" s="88"/>
      <c r="ZF85" s="88"/>
      <c r="ZG85" s="88"/>
      <c r="ZH85" s="88"/>
      <c r="ZI85" s="88"/>
      <c r="ZJ85" s="88"/>
      <c r="ZK85" s="88"/>
      <c r="ZL85" s="88"/>
      <c r="ZM85" s="88"/>
      <c r="ZN85" s="88"/>
      <c r="ZO85" s="88"/>
      <c r="ZP85" s="88"/>
      <c r="ZQ85" s="88"/>
      <c r="ZR85" s="88"/>
      <c r="ZS85" s="88"/>
      <c r="ZT85" s="88"/>
      <c r="ZU85" s="88"/>
      <c r="ZV85" s="88"/>
      <c r="ZW85" s="88"/>
      <c r="ZX85" s="88"/>
      <c r="ZY85" s="88"/>
      <c r="ZZ85" s="88"/>
      <c r="AAA85" s="88"/>
      <c r="AAB85" s="88"/>
      <c r="AAC85" s="88"/>
      <c r="AAD85" s="88"/>
      <c r="AAE85" s="88"/>
      <c r="AAF85" s="88"/>
      <c r="AAG85" s="88"/>
      <c r="AAH85" s="88"/>
      <c r="AAI85" s="88"/>
      <c r="AAJ85" s="88"/>
      <c r="AAK85" s="88"/>
      <c r="AAL85" s="88"/>
      <c r="AAM85" s="88"/>
      <c r="AAN85" s="88"/>
      <c r="AAO85" s="88"/>
      <c r="AAP85" s="88"/>
      <c r="AAQ85" s="88"/>
      <c r="AAR85" s="88"/>
      <c r="AAS85" s="88"/>
      <c r="AAT85" s="88"/>
      <c r="AAU85" s="88"/>
      <c r="AAV85" s="88"/>
      <c r="AAW85" s="88"/>
      <c r="AAX85" s="88"/>
      <c r="AAY85" s="88"/>
      <c r="AAZ85" s="88"/>
      <c r="ABA85" s="88"/>
      <c r="ABB85" s="88"/>
      <c r="ABC85" s="88"/>
      <c r="ABD85" s="88"/>
      <c r="ABE85" s="88"/>
      <c r="ABF85" s="88"/>
      <c r="ABG85" s="88"/>
      <c r="ABH85" s="88"/>
      <c r="ABI85" s="88"/>
      <c r="ABJ85" s="88"/>
      <c r="ABK85" s="88"/>
      <c r="ABL85" s="88"/>
      <c r="ABM85" s="88"/>
      <c r="ABN85" s="88"/>
      <c r="ABO85" s="88"/>
      <c r="ABP85" s="88"/>
      <c r="ABQ85" s="88"/>
      <c r="ABR85" s="88"/>
      <c r="ABS85" s="88"/>
      <c r="ABT85" s="88"/>
      <c r="ABU85" s="88"/>
      <c r="ABV85" s="88"/>
      <c r="ABW85" s="88"/>
      <c r="ABX85" s="88"/>
      <c r="ABY85" s="88"/>
      <c r="ABZ85" s="88"/>
      <c r="ACA85" s="88"/>
      <c r="ACB85" s="88"/>
      <c r="ACC85" s="88"/>
      <c r="ACD85" s="88"/>
      <c r="ACE85" s="88"/>
      <c r="ACF85" s="88"/>
      <c r="ACG85" s="88"/>
      <c r="ACH85" s="88"/>
      <c r="ACI85" s="88"/>
      <c r="ACJ85" s="88"/>
      <c r="ACK85" s="88"/>
      <c r="ACL85" s="88"/>
      <c r="ACM85" s="88"/>
      <c r="ACN85" s="88"/>
      <c r="ACO85" s="88"/>
      <c r="ACP85" s="88"/>
      <c r="ACQ85" s="88"/>
      <c r="ACR85" s="88"/>
      <c r="ACS85" s="88"/>
      <c r="ACT85" s="88"/>
      <c r="ACU85" s="88"/>
      <c r="ACV85" s="88"/>
      <c r="ACW85" s="88"/>
      <c r="ACX85" s="88"/>
      <c r="ACY85" s="88"/>
      <c r="ACZ85" s="88"/>
      <c r="ADA85" s="88"/>
      <c r="ADB85" s="88"/>
      <c r="ADC85" s="88"/>
      <c r="ADD85" s="88"/>
      <c r="ADE85" s="88"/>
      <c r="ADF85" s="88"/>
      <c r="ADG85" s="88"/>
      <c r="ADH85" s="88"/>
      <c r="ADI85" s="88"/>
      <c r="ADJ85" s="88"/>
      <c r="ADK85" s="88"/>
      <c r="ADL85" s="88"/>
      <c r="ADM85" s="88"/>
      <c r="ADN85" s="88"/>
      <c r="ADO85" s="88"/>
      <c r="ADP85" s="88"/>
      <c r="ADQ85" s="88"/>
      <c r="ADR85" s="88"/>
      <c r="ADS85" s="88"/>
      <c r="ADT85" s="88"/>
      <c r="ADU85" s="88"/>
      <c r="ADV85" s="88"/>
      <c r="ADW85" s="88"/>
      <c r="ADX85" s="88"/>
      <c r="ADY85" s="88"/>
      <c r="ADZ85" s="88"/>
      <c r="AEA85" s="88"/>
      <c r="AEB85" s="88"/>
      <c r="AEC85" s="88"/>
      <c r="AED85" s="88"/>
      <c r="AEE85" s="88"/>
      <c r="AEF85" s="88"/>
      <c r="AEG85" s="88"/>
      <c r="AEH85" s="88"/>
      <c r="AEI85" s="88"/>
      <c r="AEJ85" s="88"/>
      <c r="AEK85" s="88"/>
      <c r="AEL85" s="88"/>
      <c r="AEM85" s="88"/>
      <c r="AEN85" s="88"/>
      <c r="AEO85" s="88"/>
      <c r="AEP85" s="88"/>
      <c r="AEQ85" s="88"/>
      <c r="AER85" s="88"/>
      <c r="AES85" s="88"/>
      <c r="AET85" s="88"/>
      <c r="AEU85" s="88"/>
      <c r="AEV85" s="88"/>
      <c r="AEW85" s="88"/>
      <c r="AEX85" s="88"/>
      <c r="AEY85" s="88"/>
      <c r="AEZ85" s="88"/>
      <c r="AFA85" s="88"/>
      <c r="AFB85" s="88"/>
      <c r="AFC85" s="88"/>
      <c r="AFD85" s="88"/>
      <c r="AFE85" s="88"/>
      <c r="AFF85" s="88"/>
      <c r="AFG85" s="88"/>
      <c r="AFH85" s="88"/>
      <c r="AFI85" s="88"/>
      <c r="AFJ85" s="88"/>
      <c r="AFK85" s="88"/>
      <c r="AFL85" s="88"/>
      <c r="AFM85" s="88"/>
      <c r="AFN85" s="88"/>
      <c r="AFO85" s="88"/>
      <c r="AFP85" s="88"/>
      <c r="AFQ85" s="88"/>
      <c r="AFR85" s="88"/>
      <c r="AFS85" s="88"/>
      <c r="AFT85" s="88"/>
      <c r="AFU85" s="88"/>
      <c r="AFV85" s="88"/>
      <c r="AFW85" s="88"/>
      <c r="AFX85" s="88"/>
      <c r="AFY85" s="88"/>
      <c r="AFZ85" s="88"/>
      <c r="AGA85" s="88"/>
      <c r="AGB85" s="88"/>
      <c r="AGC85" s="88"/>
      <c r="AGD85" s="88"/>
      <c r="AGE85" s="88"/>
      <c r="AGF85" s="88"/>
      <c r="AGG85" s="88"/>
      <c r="AGH85" s="88"/>
      <c r="AGI85" s="88"/>
      <c r="AGJ85" s="88"/>
      <c r="AGK85" s="88"/>
      <c r="AGL85" s="88"/>
      <c r="AGM85" s="88"/>
      <c r="AGN85" s="88"/>
      <c r="AGO85" s="88"/>
      <c r="AGP85" s="88"/>
      <c r="AGQ85" s="88"/>
      <c r="AGR85" s="88"/>
      <c r="AGS85" s="88"/>
      <c r="AGT85" s="88"/>
      <c r="AGU85" s="88"/>
      <c r="AGV85" s="88"/>
      <c r="AGW85" s="88"/>
      <c r="AGX85" s="88"/>
      <c r="AGY85" s="88"/>
      <c r="AGZ85" s="88"/>
      <c r="AHA85" s="88"/>
      <c r="AHB85" s="88"/>
      <c r="AHC85" s="88"/>
      <c r="AHD85" s="88"/>
      <c r="AHE85" s="88"/>
      <c r="AHF85" s="88"/>
      <c r="AHG85" s="88"/>
      <c r="AHH85" s="88"/>
      <c r="AHI85" s="88"/>
      <c r="AHJ85" s="88"/>
      <c r="AHK85" s="88"/>
      <c r="AHL85" s="88"/>
      <c r="AHM85" s="88"/>
      <c r="AHN85" s="88"/>
      <c r="AHO85" s="88"/>
      <c r="AHP85" s="88"/>
      <c r="AHQ85" s="88"/>
      <c r="AHR85" s="88"/>
      <c r="AHS85" s="88"/>
      <c r="AHT85" s="88"/>
      <c r="AHU85" s="88"/>
      <c r="AHV85" s="88"/>
      <c r="AHW85" s="88"/>
      <c r="AHX85" s="88"/>
      <c r="AHY85" s="88"/>
      <c r="AHZ85" s="88"/>
      <c r="AIA85" s="88"/>
      <c r="AIB85" s="88"/>
      <c r="AIC85" s="88"/>
      <c r="AID85" s="88"/>
      <c r="AIE85" s="88"/>
      <c r="AIF85" s="88"/>
      <c r="AIG85" s="88"/>
      <c r="AIH85" s="88"/>
      <c r="AII85" s="88"/>
      <c r="AIJ85" s="88"/>
      <c r="AIK85" s="88"/>
      <c r="AIL85" s="88"/>
      <c r="AIM85" s="88"/>
      <c r="AIN85" s="88"/>
      <c r="AIO85" s="88"/>
      <c r="AIP85" s="88"/>
      <c r="AIQ85" s="88"/>
      <c r="AIR85" s="88"/>
      <c r="AIS85" s="88"/>
      <c r="AIT85" s="88"/>
      <c r="AIU85" s="88"/>
      <c r="AIV85" s="88"/>
      <c r="AIW85" s="88"/>
      <c r="AIX85" s="88"/>
      <c r="AIY85" s="88"/>
      <c r="AIZ85" s="88"/>
      <c r="AJA85" s="88"/>
      <c r="AJB85" s="88"/>
      <c r="AJC85" s="88"/>
      <c r="AJD85" s="88"/>
      <c r="AJE85" s="88"/>
      <c r="AJF85" s="88"/>
      <c r="AJG85" s="88"/>
      <c r="AJH85" s="88"/>
      <c r="AJI85" s="88"/>
      <c r="AJJ85" s="88"/>
      <c r="AJK85" s="88"/>
      <c r="AJL85" s="88"/>
      <c r="AJM85" s="88"/>
      <c r="AJN85" s="88"/>
      <c r="AJO85" s="88"/>
      <c r="AJP85" s="88"/>
      <c r="AJQ85" s="88"/>
      <c r="AJR85" s="88"/>
      <c r="AJS85" s="88"/>
      <c r="AJT85" s="88"/>
      <c r="AJU85" s="88"/>
      <c r="AJV85" s="88"/>
      <c r="AJW85" s="88"/>
      <c r="AJX85" s="88"/>
      <c r="AJY85" s="88"/>
      <c r="AJZ85" s="88"/>
      <c r="AKA85" s="88"/>
      <c r="AKB85" s="88"/>
      <c r="AKC85" s="88"/>
      <c r="AKD85" s="88"/>
      <c r="AKE85" s="88"/>
      <c r="AKF85" s="88"/>
      <c r="AKG85" s="88"/>
      <c r="AKH85" s="88"/>
      <c r="AKI85" s="88"/>
      <c r="AKJ85" s="88"/>
      <c r="AKK85" s="88"/>
      <c r="AKL85" s="88"/>
      <c r="AKM85" s="88"/>
      <c r="AKN85" s="88"/>
      <c r="AKO85" s="88"/>
      <c r="AKP85" s="88"/>
      <c r="AKQ85" s="88"/>
      <c r="AKR85" s="88"/>
      <c r="AKS85" s="88"/>
      <c r="AKT85" s="88"/>
      <c r="AKU85" s="88"/>
      <c r="AKV85" s="88"/>
      <c r="AKW85" s="88"/>
      <c r="AKX85" s="88"/>
      <c r="AKY85" s="88"/>
      <c r="AKZ85" s="88"/>
      <c r="ALA85" s="88"/>
      <c r="ALB85" s="88"/>
      <c r="ALC85" s="88"/>
      <c r="ALD85" s="88"/>
      <c r="ALE85" s="88"/>
      <c r="ALF85" s="88"/>
      <c r="ALG85" s="88"/>
      <c r="ALH85" s="88"/>
      <c r="ALI85" s="88"/>
      <c r="ALJ85" s="88"/>
      <c r="ALK85" s="88"/>
      <c r="ALL85" s="88"/>
      <c r="ALM85" s="88"/>
      <c r="ALN85" s="88"/>
      <c r="ALO85" s="88"/>
      <c r="ALP85" s="88"/>
      <c r="ALQ85" s="88"/>
      <c r="ALR85" s="88"/>
      <c r="ALS85" s="88"/>
      <c r="ALT85" s="88"/>
      <c r="ALU85" s="88"/>
      <c r="ALV85" s="88"/>
      <c r="ALW85" s="88"/>
      <c r="ALX85" s="88"/>
      <c r="ALY85" s="88"/>
      <c r="ALZ85" s="88"/>
      <c r="AMA85" s="88"/>
      <c r="AMB85" s="88"/>
      <c r="AMC85" s="88"/>
      <c r="AMD85" s="88"/>
      <c r="AME85" s="88"/>
      <c r="AMF85" s="88"/>
      <c r="AMG85" s="88"/>
      <c r="AMH85" s="88"/>
      <c r="AMI85" s="88"/>
      <c r="AMJ85" s="88"/>
      <c r="AMK85" s="88"/>
      <c r="AML85" s="88"/>
      <c r="AMM85" s="88"/>
      <c r="AMN85" s="88"/>
      <c r="AMO85" s="88"/>
      <c r="AMP85" s="88"/>
      <c r="AMQ85" s="88"/>
      <c r="AMR85" s="88"/>
      <c r="AMS85" s="88"/>
      <c r="AMT85" s="88"/>
      <c r="AMU85" s="88"/>
      <c r="AMV85" s="88"/>
      <c r="AMW85" s="88"/>
      <c r="AMX85" s="88"/>
      <c r="AMY85" s="88"/>
      <c r="AMZ85" s="88"/>
      <c r="ANA85" s="88"/>
      <c r="ANB85" s="88"/>
      <c r="ANC85" s="88"/>
      <c r="AND85" s="88"/>
      <c r="ANE85" s="88"/>
      <c r="ANF85" s="88"/>
      <c r="ANG85" s="88"/>
      <c r="ANH85" s="88"/>
      <c r="ANI85" s="88"/>
      <c r="ANJ85" s="88"/>
      <c r="ANK85" s="88"/>
      <c r="ANL85" s="88"/>
      <c r="ANM85" s="88"/>
      <c r="ANN85" s="88"/>
      <c r="ANO85" s="88"/>
      <c r="ANP85" s="88"/>
      <c r="ANQ85" s="88"/>
      <c r="ANR85" s="88"/>
      <c r="ANS85" s="88"/>
      <c r="ANT85" s="88"/>
      <c r="ANU85" s="88"/>
      <c r="ANV85" s="88"/>
      <c r="ANW85" s="88"/>
      <c r="ANX85" s="88"/>
      <c r="ANY85" s="88"/>
      <c r="ANZ85" s="88"/>
      <c r="AOA85" s="88"/>
      <c r="AOB85" s="88"/>
      <c r="AOC85" s="88"/>
      <c r="AOD85" s="88"/>
      <c r="AOE85" s="88"/>
      <c r="AOF85" s="88"/>
      <c r="AOG85" s="88"/>
      <c r="AOH85" s="88"/>
      <c r="AOI85" s="88"/>
      <c r="AOJ85" s="88"/>
      <c r="AOK85" s="88"/>
      <c r="AOL85" s="88"/>
      <c r="AOM85" s="88"/>
      <c r="AON85" s="88"/>
      <c r="AOO85" s="88"/>
      <c r="AOP85" s="88"/>
      <c r="AOQ85" s="88"/>
      <c r="AOR85" s="88"/>
      <c r="AOS85" s="88"/>
      <c r="AOT85" s="88"/>
      <c r="AOU85" s="88"/>
      <c r="AOV85" s="88"/>
      <c r="AOW85" s="88"/>
      <c r="AOX85" s="88"/>
      <c r="AOY85" s="88"/>
      <c r="AOZ85" s="88"/>
      <c r="APA85" s="88"/>
      <c r="APB85" s="88"/>
      <c r="APC85" s="88"/>
      <c r="APD85" s="88"/>
      <c r="APE85" s="88"/>
      <c r="APF85" s="88"/>
      <c r="APG85" s="88"/>
      <c r="APH85" s="88"/>
      <c r="API85" s="88"/>
      <c r="APJ85" s="88"/>
      <c r="APK85" s="88"/>
      <c r="APL85" s="88"/>
      <c r="APM85" s="88"/>
      <c r="APN85" s="88"/>
      <c r="APO85" s="88"/>
      <c r="APP85" s="88"/>
      <c r="APQ85" s="88"/>
      <c r="APR85" s="88"/>
      <c r="APS85" s="88"/>
      <c r="APT85" s="88"/>
      <c r="APU85" s="88"/>
      <c r="APV85" s="88"/>
      <c r="APW85" s="88"/>
      <c r="APX85" s="88"/>
      <c r="APY85" s="88"/>
      <c r="APZ85" s="88"/>
      <c r="AQA85" s="88"/>
      <c r="AQB85" s="88"/>
      <c r="AQC85" s="88"/>
      <c r="AQD85" s="88"/>
      <c r="AQE85" s="88"/>
      <c r="AQF85" s="88"/>
      <c r="AQG85" s="88"/>
      <c r="AQH85" s="88"/>
      <c r="AQI85" s="88"/>
      <c r="AQJ85" s="88"/>
      <c r="AQK85" s="88"/>
      <c r="AQL85" s="88"/>
      <c r="AQM85" s="88"/>
      <c r="AQN85" s="88"/>
      <c r="AQO85" s="88"/>
      <c r="AQP85" s="88"/>
      <c r="AQQ85" s="88"/>
      <c r="AQR85" s="88"/>
      <c r="AQS85" s="88"/>
      <c r="AQT85" s="88"/>
      <c r="AQU85" s="88"/>
      <c r="AQV85" s="88"/>
      <c r="AQW85" s="88"/>
      <c r="AQX85" s="88"/>
      <c r="AQY85" s="88"/>
      <c r="AQZ85" s="88"/>
      <c r="ARA85" s="88"/>
      <c r="ARB85" s="88"/>
      <c r="ARC85" s="88"/>
      <c r="ARD85" s="88"/>
      <c r="ARE85" s="88"/>
      <c r="ARF85" s="88"/>
      <c r="ARG85" s="88"/>
      <c r="ARH85" s="88"/>
      <c r="ARI85" s="88"/>
      <c r="ARJ85" s="88"/>
      <c r="ARK85" s="88"/>
      <c r="ARL85" s="88"/>
      <c r="ARM85" s="88"/>
      <c r="ARN85" s="88"/>
      <c r="ARO85" s="88"/>
      <c r="ARP85" s="88"/>
      <c r="ARQ85" s="88"/>
      <c r="ARR85" s="88"/>
      <c r="ARS85" s="88"/>
      <c r="ART85" s="88"/>
      <c r="ARU85" s="88"/>
      <c r="ARV85" s="88"/>
      <c r="ARW85" s="88"/>
      <c r="ARX85" s="88"/>
      <c r="ARY85" s="88"/>
      <c r="ARZ85" s="88"/>
      <c r="ASA85" s="88"/>
      <c r="ASB85" s="88"/>
      <c r="ASC85" s="88"/>
      <c r="ASD85" s="88"/>
      <c r="ASE85" s="88"/>
      <c r="ASF85" s="88"/>
      <c r="ASG85" s="88"/>
      <c r="ASH85" s="88"/>
      <c r="ASI85" s="88"/>
      <c r="ASJ85" s="88"/>
      <c r="ASK85" s="88"/>
      <c r="ASL85" s="88"/>
      <c r="ASM85" s="88"/>
      <c r="ASN85" s="88"/>
      <c r="ASO85" s="88"/>
      <c r="ASP85" s="88"/>
      <c r="ASQ85" s="88"/>
      <c r="ASR85" s="88"/>
      <c r="ASS85" s="88"/>
      <c r="AST85" s="88"/>
      <c r="ASU85" s="88"/>
      <c r="ASV85" s="88"/>
      <c r="ASW85" s="88"/>
      <c r="ASX85" s="88"/>
      <c r="ASY85" s="88"/>
      <c r="ASZ85" s="88"/>
      <c r="ATA85" s="88"/>
      <c r="ATB85" s="88"/>
      <c r="ATC85" s="88"/>
      <c r="ATD85" s="88"/>
      <c r="ATE85" s="88"/>
      <c r="ATF85" s="88"/>
      <c r="ATG85" s="88"/>
      <c r="ATH85" s="88"/>
      <c r="ATI85" s="88"/>
      <c r="ATJ85" s="88"/>
      <c r="ATK85" s="88"/>
      <c r="ATL85" s="88"/>
      <c r="ATM85" s="88"/>
      <c r="ATN85" s="88"/>
      <c r="ATO85" s="88"/>
      <c r="ATP85" s="88"/>
      <c r="ATQ85" s="88"/>
      <c r="ATR85" s="88"/>
      <c r="ATS85" s="88"/>
      <c r="ATT85" s="88"/>
      <c r="ATU85" s="88"/>
      <c r="ATV85" s="88"/>
      <c r="ATW85" s="88"/>
      <c r="ATX85" s="88"/>
      <c r="ATY85" s="88"/>
      <c r="ATZ85" s="88"/>
      <c r="AUA85" s="88"/>
      <c r="AUB85" s="88"/>
      <c r="AUC85" s="88"/>
      <c r="AUD85" s="88"/>
      <c r="AUE85" s="88"/>
      <c r="AUF85" s="88"/>
      <c r="AUG85" s="88"/>
      <c r="AUH85" s="88"/>
      <c r="AUI85" s="88"/>
      <c r="AUJ85" s="88"/>
      <c r="AUK85" s="88"/>
      <c r="AUL85" s="88"/>
      <c r="AUM85" s="88"/>
      <c r="AUN85" s="88"/>
      <c r="AUO85" s="88"/>
      <c r="AUP85" s="88"/>
      <c r="AUQ85" s="88"/>
      <c r="AUR85" s="88"/>
      <c r="AUS85" s="88"/>
      <c r="AUT85" s="88"/>
      <c r="AUU85" s="88"/>
      <c r="AUV85" s="88"/>
      <c r="AUW85" s="88"/>
      <c r="AUX85" s="88"/>
      <c r="AUY85" s="88"/>
      <c r="AUZ85" s="88"/>
      <c r="AVA85" s="88"/>
      <c r="AVB85" s="88"/>
      <c r="AVC85" s="88"/>
      <c r="AVD85" s="88"/>
      <c r="AVE85" s="88"/>
      <c r="AVF85" s="88"/>
      <c r="AVG85" s="88"/>
      <c r="AVH85" s="88"/>
      <c r="AVI85" s="88"/>
      <c r="AVJ85" s="88"/>
      <c r="AVK85" s="88"/>
      <c r="AVL85" s="88"/>
      <c r="AVM85" s="88"/>
      <c r="AVN85" s="88"/>
      <c r="AVO85" s="88"/>
      <c r="AVP85" s="88"/>
      <c r="AVQ85" s="88"/>
      <c r="AVR85" s="88"/>
      <c r="AVS85" s="88"/>
      <c r="AVT85" s="88"/>
      <c r="AVU85" s="88"/>
      <c r="AVV85" s="88"/>
      <c r="AVW85" s="88"/>
      <c r="AVX85" s="88"/>
      <c r="AVY85" s="88"/>
      <c r="AVZ85" s="88"/>
      <c r="AWA85" s="88"/>
      <c r="AWB85" s="88"/>
      <c r="AWC85" s="88"/>
      <c r="AWD85" s="88"/>
      <c r="AWE85" s="88"/>
      <c r="AWF85" s="88"/>
      <c r="AWG85" s="88"/>
      <c r="AWH85" s="88"/>
      <c r="AWI85" s="88"/>
      <c r="AWJ85" s="88"/>
      <c r="AWK85" s="88"/>
      <c r="AWL85" s="88"/>
      <c r="AWM85" s="88"/>
      <c r="AWN85" s="88"/>
      <c r="AWO85" s="88"/>
      <c r="AWP85" s="88"/>
      <c r="AWQ85" s="88"/>
      <c r="AWR85" s="88"/>
      <c r="AWS85" s="88"/>
      <c r="AWT85" s="88"/>
      <c r="AWU85" s="88"/>
      <c r="AWV85" s="88"/>
      <c r="AWW85" s="88"/>
      <c r="AWX85" s="88"/>
      <c r="AWY85" s="88"/>
      <c r="AWZ85" s="88"/>
      <c r="AXA85" s="88"/>
      <c r="AXB85" s="88"/>
      <c r="AXC85" s="88"/>
      <c r="AXD85" s="88"/>
      <c r="AXE85" s="88"/>
      <c r="AXF85" s="88"/>
      <c r="AXG85" s="88"/>
      <c r="AXH85" s="88"/>
      <c r="AXI85" s="88"/>
      <c r="AXJ85" s="88"/>
      <c r="AXK85" s="88"/>
      <c r="AXL85" s="88"/>
      <c r="AXM85" s="88"/>
      <c r="AXN85" s="88"/>
      <c r="AXO85" s="88"/>
      <c r="AXP85" s="88"/>
      <c r="AXQ85" s="88"/>
      <c r="AXR85" s="88"/>
      <c r="AXS85" s="88"/>
      <c r="AXT85" s="88"/>
      <c r="AXU85" s="88"/>
      <c r="AXV85" s="88"/>
      <c r="AXW85" s="88"/>
      <c r="AXX85" s="88"/>
      <c r="AXY85" s="88"/>
      <c r="AXZ85" s="88"/>
      <c r="AYA85" s="88"/>
      <c r="AYB85" s="88"/>
      <c r="AYC85" s="88"/>
      <c r="AYD85" s="88"/>
      <c r="AYE85" s="88"/>
      <c r="AYF85" s="88"/>
      <c r="AYG85" s="88"/>
      <c r="AYH85" s="88"/>
      <c r="AYI85" s="88"/>
      <c r="AYJ85" s="88"/>
      <c r="AYK85" s="88"/>
      <c r="AYL85" s="88"/>
      <c r="AYM85" s="88"/>
      <c r="AYN85" s="88"/>
      <c r="AYO85" s="88"/>
      <c r="AYP85" s="88"/>
      <c r="AYQ85" s="88"/>
      <c r="AYR85" s="88"/>
      <c r="AYS85" s="88"/>
      <c r="AYT85" s="88"/>
      <c r="AYU85" s="88"/>
      <c r="AYV85" s="88"/>
      <c r="AYW85" s="88"/>
      <c r="AYX85" s="88"/>
      <c r="AYY85" s="88"/>
      <c r="AYZ85" s="88"/>
      <c r="AZA85" s="88"/>
      <c r="AZB85" s="88"/>
      <c r="AZC85" s="88"/>
      <c r="AZD85" s="88"/>
      <c r="AZE85" s="88"/>
      <c r="AZF85" s="88"/>
      <c r="AZG85" s="88"/>
      <c r="AZH85" s="88"/>
      <c r="AZI85" s="88"/>
      <c r="AZJ85" s="88"/>
      <c r="AZK85" s="88"/>
      <c r="AZL85" s="88"/>
      <c r="AZM85" s="88"/>
      <c r="AZN85" s="88"/>
      <c r="AZO85" s="88"/>
      <c r="AZP85" s="88"/>
      <c r="AZQ85" s="88"/>
      <c r="AZR85" s="88"/>
      <c r="AZS85" s="88"/>
      <c r="AZT85" s="88"/>
      <c r="AZU85" s="88"/>
      <c r="AZV85" s="88"/>
      <c r="AZW85" s="88"/>
      <c r="AZX85" s="88"/>
      <c r="AZY85" s="88"/>
      <c r="AZZ85" s="88"/>
      <c r="BAA85" s="88"/>
      <c r="BAB85" s="88"/>
      <c r="BAC85" s="88"/>
      <c r="BAD85" s="88"/>
      <c r="BAE85" s="88"/>
      <c r="BAF85" s="88"/>
      <c r="BAG85" s="88"/>
      <c r="BAH85" s="88"/>
      <c r="BAI85" s="88"/>
      <c r="BAJ85" s="88"/>
      <c r="BAK85" s="88"/>
      <c r="BAL85" s="88"/>
      <c r="BAM85" s="88"/>
      <c r="BAN85" s="88"/>
      <c r="BAO85" s="88"/>
      <c r="BAP85" s="88"/>
      <c r="BAQ85" s="88"/>
      <c r="BAR85" s="88"/>
      <c r="BAS85" s="88"/>
      <c r="BAT85" s="88"/>
      <c r="BAU85" s="88"/>
      <c r="BAV85" s="88"/>
      <c r="BAW85" s="88"/>
      <c r="BAX85" s="88"/>
      <c r="BAY85" s="88"/>
      <c r="BAZ85" s="88"/>
      <c r="BBA85" s="88"/>
      <c r="BBB85" s="88"/>
      <c r="BBC85" s="88"/>
      <c r="BBD85" s="88"/>
      <c r="BBE85" s="88"/>
      <c r="BBF85" s="88"/>
      <c r="BBG85" s="88"/>
      <c r="BBH85" s="88"/>
      <c r="BBI85" s="88"/>
      <c r="BBJ85" s="88"/>
      <c r="BBK85" s="88"/>
      <c r="BBL85" s="88"/>
      <c r="BBM85" s="88"/>
      <c r="BBN85" s="88"/>
      <c r="BBO85" s="88"/>
      <c r="BBP85" s="88"/>
      <c r="BBQ85" s="88"/>
      <c r="BBR85" s="88"/>
      <c r="BBS85" s="88"/>
      <c r="BBT85" s="88"/>
      <c r="BBU85" s="88"/>
      <c r="BBV85" s="88"/>
      <c r="BBW85" s="88"/>
      <c r="BBX85" s="88"/>
      <c r="BBY85" s="88"/>
      <c r="BBZ85" s="88"/>
      <c r="BCA85" s="88"/>
      <c r="BCB85" s="88"/>
      <c r="BCC85" s="88"/>
      <c r="BCD85" s="88"/>
      <c r="BCE85" s="88"/>
      <c r="BCF85" s="88"/>
      <c r="BCG85" s="88"/>
      <c r="BCH85" s="88"/>
      <c r="BCI85" s="88"/>
      <c r="BCJ85" s="88"/>
      <c r="BCK85" s="88"/>
      <c r="BCL85" s="88"/>
      <c r="BCM85" s="88"/>
      <c r="BCN85" s="88"/>
      <c r="BCO85" s="88"/>
      <c r="BCP85" s="88"/>
      <c r="BCQ85" s="88"/>
      <c r="BCR85" s="88"/>
      <c r="BCS85" s="88"/>
      <c r="BCT85" s="88"/>
      <c r="BCU85" s="88"/>
      <c r="BCV85" s="88"/>
      <c r="BCW85" s="88"/>
      <c r="BCX85" s="88"/>
      <c r="BCY85" s="88"/>
      <c r="BCZ85" s="88"/>
      <c r="BDA85" s="88"/>
      <c r="BDB85" s="88"/>
      <c r="BDC85" s="88"/>
      <c r="BDD85" s="88"/>
      <c r="BDE85" s="88"/>
      <c r="BDF85" s="88"/>
      <c r="BDG85" s="88"/>
      <c r="BDH85" s="88"/>
      <c r="BDI85" s="88"/>
      <c r="BDJ85" s="88"/>
      <c r="BDK85" s="88"/>
      <c r="BDL85" s="88"/>
      <c r="BDM85" s="88"/>
      <c r="BDN85" s="88"/>
      <c r="BDO85" s="88"/>
      <c r="BDP85" s="88"/>
      <c r="BDQ85" s="88"/>
      <c r="BDR85" s="88"/>
      <c r="BDS85" s="88"/>
      <c r="BDT85" s="88"/>
      <c r="BDU85" s="88"/>
      <c r="BDV85" s="88"/>
      <c r="BDW85" s="88"/>
      <c r="BDX85" s="88"/>
      <c r="BDY85" s="88"/>
      <c r="BDZ85" s="88"/>
      <c r="BEA85" s="88"/>
      <c r="BEB85" s="88"/>
      <c r="BEC85" s="88"/>
      <c r="BED85" s="88"/>
      <c r="BEE85" s="88"/>
      <c r="BEF85" s="88"/>
      <c r="BEG85" s="88"/>
      <c r="BEH85" s="88"/>
      <c r="BEI85" s="88"/>
      <c r="BEJ85" s="88"/>
      <c r="BEK85" s="88"/>
      <c r="BEL85" s="88"/>
      <c r="BEM85" s="88"/>
      <c r="BEN85" s="88"/>
      <c r="BEO85" s="88"/>
      <c r="BEP85" s="88"/>
      <c r="BEQ85" s="88"/>
      <c r="BER85" s="88"/>
      <c r="BES85" s="88"/>
      <c r="BET85" s="88"/>
      <c r="BEU85" s="88"/>
      <c r="BEV85" s="88"/>
      <c r="BEW85" s="88"/>
      <c r="BEX85" s="88"/>
      <c r="BEY85" s="88"/>
      <c r="BEZ85" s="88"/>
      <c r="BFA85" s="88"/>
      <c r="BFB85" s="88"/>
      <c r="BFC85" s="88"/>
      <c r="BFD85" s="88"/>
      <c r="BFE85" s="88"/>
      <c r="BFF85" s="88"/>
      <c r="BFG85" s="88"/>
      <c r="BFH85" s="88"/>
      <c r="BFI85" s="88"/>
      <c r="BFJ85" s="88"/>
      <c r="BFK85" s="88"/>
      <c r="BFL85" s="88"/>
      <c r="BFM85" s="88"/>
      <c r="BFN85" s="88"/>
      <c r="BFO85" s="88"/>
      <c r="BFP85" s="88"/>
      <c r="BFQ85" s="88"/>
      <c r="BFR85" s="88"/>
      <c r="BFS85" s="88"/>
      <c r="BFT85" s="88"/>
      <c r="BFU85" s="88"/>
      <c r="BFV85" s="88"/>
      <c r="BFW85" s="88"/>
      <c r="BFX85" s="88"/>
      <c r="BFY85" s="88"/>
      <c r="BFZ85" s="88"/>
      <c r="BGA85" s="88"/>
      <c r="BGB85" s="88"/>
      <c r="BGC85" s="88"/>
      <c r="BGD85" s="88"/>
      <c r="BGE85" s="88"/>
      <c r="BGF85" s="88"/>
      <c r="BGG85" s="88"/>
      <c r="BGH85" s="88"/>
      <c r="BGI85" s="88"/>
      <c r="BGJ85" s="88"/>
      <c r="BGK85" s="88"/>
      <c r="BGL85" s="88"/>
      <c r="BGM85" s="88"/>
      <c r="BGN85" s="88"/>
      <c r="BGO85" s="88"/>
      <c r="BGP85" s="88"/>
      <c r="BGQ85" s="88"/>
      <c r="BGR85" s="88"/>
      <c r="BGS85" s="88"/>
      <c r="BGT85" s="88"/>
      <c r="BGU85" s="88"/>
      <c r="BGV85" s="88"/>
      <c r="BGW85" s="88"/>
      <c r="BGX85" s="88"/>
      <c r="BGY85" s="88"/>
      <c r="BGZ85" s="88"/>
      <c r="BHA85" s="88"/>
      <c r="BHB85" s="88"/>
      <c r="BHC85" s="88"/>
      <c r="BHD85" s="88"/>
      <c r="BHE85" s="88"/>
      <c r="BHF85" s="88"/>
      <c r="BHG85" s="88"/>
      <c r="BHH85" s="88"/>
      <c r="BHI85" s="88"/>
      <c r="BHJ85" s="88"/>
      <c r="BHK85" s="88"/>
      <c r="BHL85" s="88"/>
      <c r="BHM85" s="88"/>
      <c r="BHN85" s="88"/>
      <c r="BHO85" s="88"/>
      <c r="BHP85" s="88"/>
      <c r="BHQ85" s="88"/>
      <c r="BHR85" s="88"/>
      <c r="BHS85" s="88"/>
      <c r="BHT85" s="88"/>
      <c r="BHU85" s="88"/>
      <c r="BHV85" s="88"/>
      <c r="BHW85" s="88"/>
      <c r="BHX85" s="88"/>
      <c r="BHY85" s="88"/>
      <c r="BHZ85" s="88"/>
      <c r="BIA85" s="88"/>
      <c r="BIB85" s="88"/>
      <c r="BIC85" s="88"/>
      <c r="BID85" s="88"/>
      <c r="BIE85" s="88"/>
      <c r="BIF85" s="88"/>
      <c r="BIG85" s="88"/>
      <c r="BIH85" s="88"/>
      <c r="BII85" s="88"/>
      <c r="BIJ85" s="88"/>
      <c r="BIK85" s="88"/>
      <c r="BIL85" s="88"/>
      <c r="BIM85" s="88"/>
      <c r="BIN85" s="88"/>
      <c r="BIO85" s="88"/>
      <c r="BIP85" s="88"/>
      <c r="BIQ85" s="88"/>
      <c r="BIR85" s="88"/>
      <c r="BIS85" s="88"/>
      <c r="BIT85" s="88"/>
      <c r="BIU85" s="88"/>
      <c r="BIV85" s="88"/>
      <c r="BIW85" s="88"/>
      <c r="BIX85" s="88"/>
      <c r="BIY85" s="88"/>
      <c r="BIZ85" s="88"/>
      <c r="BJA85" s="88"/>
      <c r="BJB85" s="88"/>
      <c r="BJC85" s="88"/>
      <c r="BJD85" s="88"/>
      <c r="BJE85" s="88"/>
      <c r="BJF85" s="88"/>
      <c r="BJG85" s="88"/>
      <c r="BJH85" s="88"/>
      <c r="BJI85" s="88"/>
      <c r="BJJ85" s="88"/>
      <c r="BJK85" s="88"/>
      <c r="BJL85" s="88"/>
      <c r="BJM85" s="88"/>
      <c r="BJN85" s="88"/>
      <c r="BJO85" s="88"/>
      <c r="BJP85" s="88"/>
      <c r="BJQ85" s="88"/>
      <c r="BJR85" s="88"/>
      <c r="BJS85" s="88"/>
      <c r="BJT85" s="88"/>
      <c r="BJU85" s="88"/>
      <c r="BJV85" s="88"/>
      <c r="BJW85" s="88"/>
      <c r="BJX85" s="88"/>
      <c r="BJY85" s="88"/>
      <c r="BJZ85" s="88"/>
      <c r="BKA85" s="88"/>
      <c r="BKB85" s="88"/>
      <c r="BKC85" s="88"/>
      <c r="BKD85" s="88"/>
      <c r="BKE85" s="88"/>
      <c r="BKF85" s="88"/>
      <c r="BKG85" s="88"/>
      <c r="BKH85" s="88"/>
      <c r="BKI85" s="88"/>
      <c r="BKJ85" s="88"/>
      <c r="BKK85" s="88"/>
      <c r="BKL85" s="88"/>
      <c r="BKM85" s="88"/>
      <c r="BKN85" s="88"/>
      <c r="BKO85" s="88"/>
      <c r="BKP85" s="88"/>
      <c r="BKQ85" s="88"/>
      <c r="BKR85" s="88"/>
      <c r="BKS85" s="88"/>
      <c r="BKT85" s="88"/>
      <c r="BKU85" s="88"/>
      <c r="BKV85" s="88"/>
      <c r="BKW85" s="88"/>
      <c r="BKX85" s="88"/>
      <c r="BKY85" s="88"/>
      <c r="BKZ85" s="88"/>
      <c r="BLA85" s="88"/>
      <c r="BLB85" s="88"/>
      <c r="BLC85" s="88"/>
      <c r="BLD85" s="88"/>
      <c r="BLE85" s="88"/>
      <c r="BLF85" s="88"/>
      <c r="BLG85" s="88"/>
      <c r="BLH85" s="88"/>
      <c r="BLI85" s="88"/>
      <c r="BLJ85" s="88"/>
      <c r="BLK85" s="88"/>
      <c r="BLL85" s="88"/>
      <c r="BLM85" s="88"/>
      <c r="BLN85" s="88"/>
      <c r="BLO85" s="88"/>
      <c r="BLP85" s="88"/>
      <c r="BLQ85" s="88"/>
      <c r="BLR85" s="88"/>
      <c r="BLS85" s="88"/>
      <c r="BLT85" s="88"/>
      <c r="BLU85" s="88"/>
      <c r="BLV85" s="88"/>
      <c r="BLW85" s="88"/>
      <c r="BLX85" s="88"/>
      <c r="BLY85" s="88"/>
      <c r="BLZ85" s="88"/>
      <c r="BMA85" s="88"/>
      <c r="BMB85" s="88"/>
      <c r="BMC85" s="88"/>
      <c r="BMD85" s="88"/>
      <c r="BME85" s="88"/>
      <c r="BMF85" s="88"/>
      <c r="BMG85" s="88"/>
      <c r="BMH85" s="88"/>
      <c r="BMI85" s="88"/>
      <c r="BMJ85" s="88"/>
      <c r="BMK85" s="88"/>
      <c r="BML85" s="88"/>
      <c r="BMM85" s="88"/>
      <c r="BMN85" s="88"/>
      <c r="BMO85" s="88"/>
      <c r="BMP85" s="88"/>
      <c r="BMQ85" s="88"/>
      <c r="BMR85" s="88"/>
      <c r="BMS85" s="88"/>
      <c r="BMT85" s="88"/>
      <c r="BMU85" s="88"/>
      <c r="BMV85" s="88"/>
      <c r="BMW85" s="88"/>
      <c r="BMX85" s="88"/>
      <c r="BMY85" s="88"/>
      <c r="BMZ85" s="88"/>
      <c r="BNA85" s="88"/>
      <c r="BNB85" s="88"/>
      <c r="BNC85" s="88"/>
      <c r="BND85" s="88"/>
      <c r="BNE85" s="88"/>
      <c r="BNF85" s="88"/>
      <c r="BNG85" s="88"/>
      <c r="BNH85" s="88"/>
      <c r="BNI85" s="88"/>
      <c r="BNJ85" s="88"/>
      <c r="BNK85" s="88"/>
      <c r="BNL85" s="88"/>
      <c r="BNM85" s="88"/>
      <c r="BNN85" s="88"/>
      <c r="BNO85" s="88"/>
      <c r="BNP85" s="88"/>
      <c r="BNQ85" s="88"/>
      <c r="BNR85" s="88"/>
      <c r="BNS85" s="88"/>
      <c r="BNT85" s="88"/>
      <c r="BNU85" s="88"/>
      <c r="BNV85" s="88"/>
      <c r="BNW85" s="88"/>
      <c r="BNX85" s="88"/>
      <c r="BNY85" s="88"/>
      <c r="BNZ85" s="88"/>
      <c r="BOA85" s="88"/>
      <c r="BOB85" s="88"/>
      <c r="BOC85" s="88"/>
      <c r="BOD85" s="88"/>
      <c r="BOE85" s="88"/>
      <c r="BOF85" s="88"/>
      <c r="BOG85" s="88"/>
      <c r="BOH85" s="88"/>
      <c r="BOI85" s="88"/>
      <c r="BOJ85" s="88"/>
      <c r="BOK85" s="88"/>
      <c r="BOL85" s="88"/>
      <c r="BOM85" s="88"/>
      <c r="BON85" s="88"/>
      <c r="BOO85" s="88"/>
      <c r="BOP85" s="88"/>
      <c r="BOQ85" s="88"/>
      <c r="BOR85" s="88"/>
      <c r="BOS85" s="88"/>
      <c r="BOT85" s="88"/>
      <c r="BOU85" s="88"/>
      <c r="BOV85" s="88"/>
      <c r="BOW85" s="88"/>
      <c r="BOX85" s="88"/>
      <c r="BOY85" s="88"/>
      <c r="BOZ85" s="88"/>
      <c r="BPA85" s="88"/>
      <c r="BPB85" s="88"/>
      <c r="BPC85" s="88"/>
      <c r="BPD85" s="88"/>
      <c r="BPE85" s="88"/>
      <c r="BPF85" s="88"/>
      <c r="BPG85" s="88"/>
      <c r="BPH85" s="88"/>
      <c r="BPI85" s="88"/>
      <c r="BPJ85" s="88"/>
      <c r="BPK85" s="88"/>
      <c r="BPL85" s="88"/>
      <c r="BPM85" s="88"/>
      <c r="BPN85" s="88"/>
      <c r="BPO85" s="88"/>
      <c r="BPP85" s="88"/>
      <c r="BPQ85" s="88"/>
      <c r="BPR85" s="88"/>
      <c r="BPS85" s="88"/>
      <c r="BPT85" s="88"/>
      <c r="BPU85" s="88"/>
      <c r="BPV85" s="88"/>
      <c r="BPW85" s="88"/>
      <c r="BPX85" s="88"/>
      <c r="BPY85" s="88"/>
      <c r="BPZ85" s="88"/>
      <c r="BQA85" s="88"/>
      <c r="BQB85" s="88"/>
      <c r="BQC85" s="88"/>
      <c r="BQD85" s="88"/>
      <c r="BQE85" s="88"/>
      <c r="BQF85" s="88"/>
      <c r="BQG85" s="88"/>
      <c r="BQH85" s="88"/>
      <c r="BQI85" s="88"/>
      <c r="BQJ85" s="88"/>
      <c r="BQK85" s="88"/>
      <c r="BQL85" s="88"/>
      <c r="BQM85" s="88"/>
      <c r="BQN85" s="88"/>
      <c r="BQO85" s="88"/>
      <c r="BQP85" s="88"/>
      <c r="BQQ85" s="88"/>
      <c r="BQR85" s="88"/>
      <c r="BQS85" s="88"/>
      <c r="BQT85" s="88"/>
      <c r="BQU85" s="88"/>
      <c r="BQV85" s="88"/>
      <c r="BQW85" s="88"/>
      <c r="BQX85" s="88"/>
      <c r="BQY85" s="88"/>
      <c r="BQZ85" s="88"/>
      <c r="BRA85" s="88"/>
      <c r="BRB85" s="88"/>
      <c r="BRC85" s="88"/>
      <c r="BRD85" s="88"/>
      <c r="BRE85" s="88"/>
      <c r="BRF85" s="88"/>
      <c r="BRG85" s="88"/>
      <c r="BRH85" s="88"/>
      <c r="BRI85" s="88"/>
      <c r="BRJ85" s="88"/>
      <c r="BRK85" s="88"/>
      <c r="BRL85" s="88"/>
      <c r="BRM85" s="88"/>
      <c r="BRN85" s="88"/>
      <c r="BRO85" s="88"/>
      <c r="BRP85" s="88"/>
      <c r="BRQ85" s="88"/>
      <c r="BRR85" s="88"/>
      <c r="BRS85" s="88"/>
      <c r="BRT85" s="88"/>
      <c r="BRU85" s="88"/>
      <c r="BRV85" s="88"/>
      <c r="BRW85" s="88"/>
      <c r="BRX85" s="88"/>
      <c r="BRY85" s="88"/>
      <c r="BRZ85" s="88"/>
      <c r="BSA85" s="88"/>
      <c r="BSB85" s="88"/>
      <c r="BSC85" s="88"/>
      <c r="BSD85" s="88"/>
      <c r="BSE85" s="88"/>
      <c r="BSF85" s="88"/>
      <c r="BSG85" s="88"/>
      <c r="BSH85" s="88"/>
      <c r="BSI85" s="88"/>
      <c r="BSJ85" s="88"/>
      <c r="BSK85" s="88"/>
      <c r="BSL85" s="88"/>
      <c r="BSM85" s="88"/>
      <c r="BSN85" s="88"/>
      <c r="BSO85" s="88"/>
      <c r="BSP85" s="88"/>
      <c r="BSQ85" s="88"/>
      <c r="BSR85" s="88"/>
      <c r="BSS85" s="88"/>
      <c r="BST85" s="88"/>
      <c r="BSU85" s="88"/>
      <c r="BSV85" s="88"/>
      <c r="BSW85" s="88"/>
      <c r="BSX85" s="88"/>
      <c r="BSY85" s="88"/>
      <c r="BSZ85" s="88"/>
      <c r="BTA85" s="88"/>
      <c r="BTB85" s="88"/>
      <c r="BTC85" s="88"/>
      <c r="BTD85" s="88"/>
      <c r="BTE85" s="88"/>
      <c r="BTF85" s="88"/>
      <c r="BTG85" s="88"/>
      <c r="BTH85" s="88"/>
      <c r="BTI85" s="88"/>
      <c r="BTJ85" s="88"/>
      <c r="BTK85" s="88"/>
      <c r="BTL85" s="88"/>
      <c r="BTM85" s="88"/>
      <c r="BTN85" s="88"/>
      <c r="BTO85" s="88"/>
      <c r="BTP85" s="88"/>
      <c r="BTQ85" s="88"/>
      <c r="BTR85" s="88"/>
      <c r="BTS85" s="88"/>
      <c r="BTT85" s="88"/>
      <c r="BTU85" s="88"/>
      <c r="BTV85" s="88"/>
      <c r="BTW85" s="88"/>
      <c r="BTX85" s="88"/>
      <c r="BTY85" s="88"/>
      <c r="BTZ85" s="88"/>
      <c r="BUA85" s="88"/>
      <c r="BUB85" s="88"/>
      <c r="BUC85" s="88"/>
      <c r="BUD85" s="88"/>
      <c r="BUE85" s="88"/>
      <c r="BUF85" s="88"/>
      <c r="BUG85" s="88"/>
      <c r="BUH85" s="88"/>
      <c r="BUI85" s="88"/>
      <c r="BUJ85" s="88"/>
      <c r="BUK85" s="88"/>
      <c r="BUL85" s="88"/>
      <c r="BUM85" s="88"/>
      <c r="BUN85" s="88"/>
      <c r="BUO85" s="88"/>
      <c r="BUP85" s="88"/>
      <c r="BUQ85" s="88"/>
      <c r="BUR85" s="88"/>
      <c r="BUS85" s="88"/>
      <c r="BUT85" s="88"/>
      <c r="BUU85" s="88"/>
      <c r="BUV85" s="88"/>
      <c r="BUW85" s="88"/>
      <c r="BUX85" s="88"/>
      <c r="BUY85" s="88"/>
      <c r="BUZ85" s="88"/>
      <c r="BVA85" s="88"/>
      <c r="BVB85" s="88"/>
      <c r="BVC85" s="88"/>
      <c r="BVD85" s="88"/>
      <c r="BVE85" s="88"/>
      <c r="BVF85" s="88"/>
      <c r="BVG85" s="88"/>
      <c r="BVH85" s="88"/>
      <c r="BVI85" s="88"/>
      <c r="BVJ85" s="88"/>
      <c r="BVK85" s="88"/>
      <c r="BVL85" s="88"/>
      <c r="BVM85" s="88"/>
      <c r="BVN85" s="88"/>
      <c r="BVO85" s="88"/>
      <c r="BVP85" s="88"/>
      <c r="BVQ85" s="88"/>
      <c r="BVR85" s="88"/>
      <c r="BVS85" s="88"/>
      <c r="BVT85" s="88"/>
      <c r="BVU85" s="88"/>
      <c r="BVV85" s="88"/>
      <c r="BVW85" s="88"/>
      <c r="BVX85" s="88"/>
      <c r="BVY85" s="88"/>
      <c r="BVZ85" s="88"/>
      <c r="BWA85" s="88"/>
      <c r="BWB85" s="88"/>
      <c r="BWC85" s="88"/>
      <c r="BWD85" s="88"/>
      <c r="BWE85" s="88"/>
      <c r="BWF85" s="88"/>
      <c r="BWG85" s="88"/>
      <c r="BWH85" s="88"/>
      <c r="BWI85" s="88"/>
      <c r="BWJ85" s="88"/>
      <c r="BWK85" s="88"/>
      <c r="BWL85" s="88"/>
      <c r="BWM85" s="88"/>
      <c r="BWN85" s="88"/>
      <c r="BWO85" s="88"/>
      <c r="BWP85" s="88"/>
      <c r="BWQ85" s="88"/>
      <c r="BWR85" s="88"/>
      <c r="BWS85" s="88"/>
      <c r="BWT85" s="88"/>
      <c r="BWU85" s="88"/>
      <c r="BWV85" s="88"/>
      <c r="BWW85" s="88"/>
      <c r="BWX85" s="88"/>
      <c r="BWY85" s="88"/>
      <c r="BWZ85" s="88"/>
      <c r="BXA85" s="88"/>
      <c r="BXB85" s="88"/>
      <c r="BXC85" s="88"/>
      <c r="BXD85" s="88"/>
      <c r="BXE85" s="88"/>
      <c r="BXF85" s="88"/>
      <c r="BXG85" s="88"/>
      <c r="BXH85" s="88"/>
      <c r="BXI85" s="88"/>
      <c r="BXJ85" s="88"/>
      <c r="BXK85" s="88"/>
      <c r="BXL85" s="88"/>
      <c r="BXM85" s="88"/>
      <c r="BXN85" s="88"/>
      <c r="BXO85" s="88"/>
      <c r="BXP85" s="88"/>
      <c r="BXQ85" s="88"/>
      <c r="BXR85" s="88"/>
      <c r="BXS85" s="88"/>
      <c r="BXT85" s="88"/>
      <c r="BXU85" s="88"/>
      <c r="BXV85" s="88"/>
      <c r="BXW85" s="88"/>
      <c r="BXX85" s="88"/>
      <c r="BXY85" s="88"/>
      <c r="BXZ85" s="88"/>
      <c r="BYA85" s="88"/>
      <c r="BYB85" s="88"/>
      <c r="BYC85" s="88"/>
      <c r="BYD85" s="88"/>
      <c r="BYE85" s="88"/>
      <c r="BYF85" s="88"/>
      <c r="BYG85" s="88"/>
      <c r="BYH85" s="88"/>
      <c r="BYI85" s="88"/>
      <c r="BYJ85" s="88"/>
      <c r="BYK85" s="88"/>
      <c r="BYL85" s="88"/>
      <c r="BYM85" s="88"/>
      <c r="BYN85" s="88"/>
      <c r="BYO85" s="88"/>
      <c r="BYP85" s="88"/>
      <c r="BYQ85" s="88"/>
      <c r="BYR85" s="88"/>
      <c r="BYS85" s="88"/>
      <c r="BYT85" s="88"/>
      <c r="BYU85" s="88"/>
      <c r="BYV85" s="88"/>
      <c r="BYW85" s="88"/>
      <c r="BYX85" s="88"/>
      <c r="BYY85" s="88"/>
      <c r="BYZ85" s="88"/>
      <c r="BZA85" s="88"/>
      <c r="BZB85" s="88"/>
      <c r="BZC85" s="88"/>
      <c r="BZD85" s="88"/>
      <c r="BZE85" s="88"/>
      <c r="BZF85" s="88"/>
      <c r="BZG85" s="88"/>
      <c r="BZH85" s="88"/>
      <c r="BZI85" s="88"/>
      <c r="BZJ85" s="88"/>
      <c r="BZK85" s="88"/>
      <c r="BZL85" s="88"/>
      <c r="BZM85" s="88"/>
      <c r="BZN85" s="88"/>
      <c r="BZO85" s="88"/>
      <c r="BZP85" s="88"/>
      <c r="BZQ85" s="88"/>
      <c r="BZR85" s="88"/>
      <c r="BZS85" s="88"/>
      <c r="BZT85" s="88"/>
      <c r="BZU85" s="88"/>
      <c r="BZV85" s="88"/>
      <c r="BZW85" s="88"/>
      <c r="BZX85" s="88"/>
      <c r="BZY85" s="88"/>
      <c r="BZZ85" s="88"/>
      <c r="CAA85" s="88"/>
      <c r="CAB85" s="88"/>
      <c r="CAC85" s="88"/>
      <c r="CAD85" s="88"/>
      <c r="CAE85" s="88"/>
      <c r="CAF85" s="88"/>
      <c r="CAG85" s="88"/>
      <c r="CAH85" s="88"/>
      <c r="CAI85" s="88"/>
      <c r="CAJ85" s="88"/>
      <c r="CAK85" s="88"/>
      <c r="CAL85" s="88"/>
      <c r="CAM85" s="88"/>
      <c r="CAN85" s="88"/>
      <c r="CAO85" s="88"/>
      <c r="CAP85" s="88"/>
      <c r="CAQ85" s="88"/>
      <c r="CAR85" s="88"/>
      <c r="CAS85" s="88"/>
      <c r="CAT85" s="88"/>
      <c r="CAU85" s="88"/>
      <c r="CAV85" s="88"/>
      <c r="CAW85" s="88"/>
      <c r="CAX85" s="88"/>
      <c r="CAY85" s="88"/>
      <c r="CAZ85" s="88"/>
      <c r="CBA85" s="88"/>
      <c r="CBB85" s="88"/>
      <c r="CBC85" s="88"/>
      <c r="CBD85" s="88"/>
      <c r="CBE85" s="88"/>
      <c r="CBF85" s="88"/>
      <c r="CBG85" s="88"/>
      <c r="CBH85" s="88"/>
      <c r="CBI85" s="88"/>
      <c r="CBJ85" s="88"/>
      <c r="CBK85" s="88"/>
      <c r="CBL85" s="88"/>
      <c r="CBM85" s="88"/>
      <c r="CBN85" s="88"/>
      <c r="CBO85" s="88"/>
      <c r="CBP85" s="88"/>
      <c r="CBQ85" s="88"/>
      <c r="CBR85" s="88"/>
      <c r="CBS85" s="88"/>
      <c r="CBT85" s="88"/>
      <c r="CBU85" s="88"/>
      <c r="CBV85" s="88"/>
      <c r="CBW85" s="88"/>
      <c r="CBX85" s="88"/>
      <c r="CBY85" s="88"/>
      <c r="CBZ85" s="88"/>
      <c r="CCA85" s="88"/>
      <c r="CCB85" s="88"/>
      <c r="CCC85" s="88"/>
      <c r="CCD85" s="88"/>
      <c r="CCE85" s="88"/>
      <c r="CCF85" s="88"/>
      <c r="CCG85" s="88"/>
      <c r="CCH85" s="88"/>
      <c r="CCI85" s="88"/>
      <c r="CCJ85" s="88"/>
      <c r="CCK85" s="88"/>
      <c r="CCL85" s="88"/>
      <c r="CCM85" s="88"/>
      <c r="CCN85" s="88"/>
      <c r="CCO85" s="88"/>
      <c r="CCP85" s="88"/>
      <c r="CCQ85" s="88"/>
      <c r="CCR85" s="88"/>
      <c r="CCS85" s="88"/>
      <c r="CCT85" s="88"/>
      <c r="CCU85" s="88"/>
      <c r="CCV85" s="88"/>
      <c r="CCW85" s="88"/>
      <c r="CCX85" s="88"/>
      <c r="CCY85" s="88"/>
      <c r="CCZ85" s="88"/>
      <c r="CDA85" s="88"/>
      <c r="CDB85" s="88"/>
      <c r="CDC85" s="88"/>
      <c r="CDD85" s="88"/>
      <c r="CDE85" s="88"/>
      <c r="CDF85" s="88"/>
      <c r="CDG85" s="88"/>
      <c r="CDH85" s="88"/>
      <c r="CDI85" s="88"/>
      <c r="CDJ85" s="88"/>
      <c r="CDK85" s="88"/>
      <c r="CDL85" s="88"/>
      <c r="CDM85" s="88"/>
      <c r="CDN85" s="88"/>
      <c r="CDO85" s="88"/>
      <c r="CDP85" s="88"/>
      <c r="CDQ85" s="88"/>
      <c r="CDR85" s="88"/>
      <c r="CDS85" s="88"/>
      <c r="CDT85" s="88"/>
      <c r="CDU85" s="88"/>
      <c r="CDV85" s="88"/>
      <c r="CDW85" s="88"/>
      <c r="CDX85" s="88"/>
      <c r="CDY85" s="88"/>
      <c r="CDZ85" s="88"/>
      <c r="CEA85" s="88"/>
      <c r="CEB85" s="88"/>
      <c r="CEC85" s="88"/>
      <c r="CED85" s="88"/>
      <c r="CEE85" s="88"/>
      <c r="CEF85" s="88"/>
      <c r="CEG85" s="88"/>
      <c r="CEH85" s="88"/>
      <c r="CEI85" s="88"/>
      <c r="CEJ85" s="88"/>
      <c r="CEK85" s="88"/>
    </row>
    <row r="86" spans="1:2169" s="63" customFormat="1">
      <c r="A86" s="73" t="s">
        <v>439</v>
      </c>
      <c r="B86" s="71" t="s">
        <v>508</v>
      </c>
      <c r="C86" s="68" t="str">
        <f>IF('page 2'!$O$4="","",IF('page 2'!$O$4=Gestion!A86,1,0))</f>
        <v/>
      </c>
      <c r="D86" s="68" t="str">
        <f>IF('page 2'!$O$5="","",IF('page 2'!$O$5=Gestion!A86,1,0))</f>
        <v/>
      </c>
      <c r="E86" s="68" t="str">
        <f>IF('page 2'!$O$6="","",IF('page 2'!$O$6=Gestion!A86,1,0))</f>
        <v/>
      </c>
      <c r="F86" s="68" t="str">
        <f>IF('page 2'!$O$7="","",IF('page 2'!$O$7=Gestion!A86,1,0))</f>
        <v/>
      </c>
      <c r="G86" s="68" t="str">
        <f>IF('page 2'!$O$8="","",IF('page 2'!$O$8=Gestion!A86,1,0))</f>
        <v/>
      </c>
      <c r="H86" s="68" t="str">
        <f>IF('page 2'!$O$9="","",IF('page 2'!$O$9=Gestion!A86,1,0))</f>
        <v/>
      </c>
      <c r="I86" s="68" t="str">
        <f>IF('page 2'!$O$10="","",IF('page 2'!$O$10=Gestion!A86,1,0))</f>
        <v/>
      </c>
      <c r="J86" s="68" t="str">
        <f>IF('page 2'!$O$11="","",IF('page 2'!$O$11=Gestion!A86,1,0))</f>
        <v/>
      </c>
      <c r="K86" s="68" t="str">
        <f>IF('page 2'!$O$12="","",IF('page 2'!$O$12=Gestion!A86,1,0))</f>
        <v/>
      </c>
      <c r="L86" s="68" t="str">
        <f>IF('page 2'!$O$13="","",IF('page 2'!$O$13=Gestion!A86,1,0))</f>
        <v/>
      </c>
      <c r="M86" s="68" t="str">
        <f>IF('page 2'!$O$14="","",IF('page 2'!$O$14=Gestion!A86,1,0))</f>
        <v/>
      </c>
      <c r="N86" s="68" t="str">
        <f>IF('page 2'!$O$15="","",IF('page 2'!$O$15=Gestion!A86,1,0))</f>
        <v/>
      </c>
      <c r="O86" s="68" t="str">
        <f>IF('page 2'!$O$16="","",IF('page 2'!$O$16=Gestion!A86,1,0))</f>
        <v/>
      </c>
      <c r="P86" s="68" t="str">
        <f>IF('page 2'!$O$17="","",IF('page 2'!$O$17=Gestion!A86,1,0))</f>
        <v/>
      </c>
      <c r="Q86" s="68" t="str">
        <f>IF('page 2'!$O$18="","",IF('page 2'!$O$18=Gestion!A86,1,0))</f>
        <v/>
      </c>
      <c r="R86" s="68" t="str">
        <f>IF('page 2'!$O$19="","",IF('page 2'!$O$19=Gestion!A86,1,0))</f>
        <v/>
      </c>
      <c r="S86" s="68" t="str">
        <f>IF('page 2'!$O$20="","",IF('page 2'!$O$20=Gestion!A86,1,0))</f>
        <v/>
      </c>
      <c r="T86" s="68" t="str">
        <f>IF('page 2'!$O$25="","",IF('page 2'!$O$25=Gestion!A86,1,0))</f>
        <v/>
      </c>
      <c r="U86" s="68" t="str">
        <f>IF('page 2'!$O$26="","",IF('page 2'!$O$26=Gestion!A86,1,0))</f>
        <v/>
      </c>
      <c r="V86" s="68" t="str">
        <f>IF('page 2'!$O$27="","",IF('page 2'!$O$27=Gestion!A86,1,0))</f>
        <v/>
      </c>
      <c r="W86" s="722">
        <f t="shared" si="14"/>
        <v>0</v>
      </c>
      <c r="X86" s="714"/>
      <c r="Y86" s="68"/>
      <c r="Z86" s="68"/>
      <c r="AA86" s="68"/>
      <c r="AB86" s="68"/>
      <c r="AC86" s="68"/>
      <c r="AD86" s="68"/>
      <c r="AP86" s="130"/>
      <c r="AQ86" s="130"/>
      <c r="AR86" s="130"/>
      <c r="AS86" s="576"/>
      <c r="AT86" s="576"/>
      <c r="AU86" s="576"/>
      <c r="AV86" s="576"/>
      <c r="AW86" s="602"/>
      <c r="AX86" s="602"/>
      <c r="AY86" s="576"/>
      <c r="AZ86" s="576"/>
      <c r="BA86" s="576"/>
      <c r="BB86" s="576"/>
      <c r="BC86" s="576"/>
      <c r="BD86" s="602"/>
      <c r="BE86" s="602"/>
      <c r="BF86" s="602"/>
      <c r="BG86" s="602"/>
      <c r="BH86" s="602"/>
      <c r="BI86" s="602"/>
      <c r="BJ86" s="602"/>
      <c r="BK86" s="602"/>
      <c r="BL86" s="602"/>
      <c r="BM86" s="602"/>
      <c r="BN86" s="602"/>
      <c r="BO86" s="602"/>
      <c r="BP86" s="602"/>
      <c r="BQ86" s="602"/>
      <c r="BR86" s="602"/>
      <c r="BS86" s="576"/>
      <c r="BT86" s="576"/>
      <c r="BU86" s="576"/>
      <c r="BV86" s="576"/>
      <c r="BW86" s="602"/>
      <c r="BX86" s="602"/>
      <c r="BY86" s="602"/>
      <c r="BZ86" s="576"/>
      <c r="CA86" s="602"/>
      <c r="CB86" s="602"/>
      <c r="CC86" s="576"/>
      <c r="CD86" s="576"/>
      <c r="CE86" s="602"/>
      <c r="CF86" s="576"/>
      <c r="CG86" s="576"/>
      <c r="CH86" s="576"/>
      <c r="CI86" s="576"/>
      <c r="CJ86" s="576"/>
      <c r="CK86" s="602"/>
      <c r="CL86" s="602"/>
      <c r="CM86" s="576"/>
      <c r="CN86" s="602"/>
      <c r="CO86" s="602"/>
      <c r="CP86" s="602"/>
      <c r="CQ86" s="576"/>
      <c r="CR86" s="576"/>
      <c r="CS86" s="602"/>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c r="HF86" s="88"/>
      <c r="HG86" s="88"/>
      <c r="HH86" s="88"/>
      <c r="HI86" s="88"/>
      <c r="HJ86" s="88"/>
      <c r="HK86" s="88"/>
      <c r="HL86" s="88"/>
      <c r="HM86" s="88"/>
      <c r="HN86" s="88"/>
      <c r="HO86" s="88"/>
      <c r="HP86" s="88"/>
      <c r="HQ86" s="88"/>
      <c r="HR86" s="88"/>
      <c r="HS86" s="88"/>
      <c r="HT86" s="88"/>
      <c r="HU86" s="88"/>
      <c r="HV86" s="88"/>
      <c r="HW86" s="88"/>
      <c r="HX86" s="88"/>
      <c r="HY86" s="88"/>
      <c r="HZ86" s="88"/>
      <c r="IA86" s="88"/>
      <c r="IB86" s="88"/>
      <c r="IC86" s="88"/>
      <c r="ID86" s="88"/>
      <c r="IE86" s="88"/>
      <c r="IF86" s="88"/>
      <c r="IG86" s="88"/>
      <c r="IH86" s="88"/>
      <c r="II86" s="88"/>
      <c r="IJ86" s="88"/>
      <c r="IK86" s="88"/>
      <c r="IL86" s="88"/>
      <c r="IM86" s="88"/>
      <c r="IN86" s="88"/>
      <c r="IO86" s="88"/>
      <c r="IP86" s="88"/>
      <c r="IQ86" s="88"/>
      <c r="IR86" s="88"/>
      <c r="IS86" s="88"/>
      <c r="IT86" s="88"/>
      <c r="IU86" s="88"/>
      <c r="IV86" s="88"/>
      <c r="IW86" s="88"/>
      <c r="IX86" s="88"/>
      <c r="IY86" s="88"/>
      <c r="IZ86" s="88"/>
      <c r="JA86" s="88"/>
      <c r="JB86" s="88"/>
      <c r="JC86" s="88"/>
      <c r="JD86" s="88"/>
      <c r="JE86" s="88"/>
      <c r="JF86" s="88"/>
      <c r="JG86" s="88"/>
      <c r="JH86" s="88"/>
      <c r="JI86" s="88"/>
      <c r="JJ86" s="88"/>
      <c r="JK86" s="88"/>
      <c r="JL86" s="88"/>
      <c r="JM86" s="88"/>
      <c r="JN86" s="88"/>
      <c r="JO86" s="88"/>
      <c r="JP86" s="88"/>
      <c r="JQ86" s="88"/>
      <c r="JR86" s="88"/>
      <c r="JS86" s="88"/>
      <c r="JT86" s="88"/>
      <c r="JU86" s="88"/>
      <c r="JV86" s="88"/>
      <c r="JW86" s="88"/>
      <c r="JX86" s="88"/>
      <c r="JY86" s="88"/>
      <c r="JZ86" s="88"/>
      <c r="KA86" s="88"/>
      <c r="KB86" s="88"/>
      <c r="KC86" s="88"/>
      <c r="KD86" s="88"/>
      <c r="KE86" s="88"/>
      <c r="KF86" s="88"/>
      <c r="KG86" s="88"/>
      <c r="KH86" s="88"/>
      <c r="KI86" s="88"/>
      <c r="KJ86" s="88"/>
      <c r="KK86" s="88"/>
      <c r="KL86" s="88"/>
      <c r="KM86" s="88"/>
      <c r="KN86" s="88"/>
      <c r="KO86" s="88"/>
      <c r="KP86" s="88"/>
      <c r="KQ86" s="88"/>
      <c r="KR86" s="88"/>
      <c r="KS86" s="88"/>
      <c r="KT86" s="88"/>
      <c r="KU86" s="88"/>
      <c r="KV86" s="88"/>
      <c r="KW86" s="88"/>
      <c r="KX86" s="88"/>
      <c r="KY86" s="88"/>
      <c r="KZ86" s="88"/>
      <c r="LA86" s="88"/>
      <c r="LB86" s="88"/>
      <c r="LC86" s="88"/>
      <c r="LD86" s="88"/>
      <c r="LE86" s="88"/>
      <c r="LF86" s="88"/>
      <c r="LG86" s="88"/>
      <c r="LH86" s="88"/>
      <c r="LI86" s="88"/>
      <c r="LJ86" s="88"/>
      <c r="LK86" s="88"/>
      <c r="LL86" s="88"/>
      <c r="LM86" s="88"/>
      <c r="LN86" s="88"/>
      <c r="LO86" s="88"/>
      <c r="LP86" s="88"/>
      <c r="LQ86" s="88"/>
      <c r="LR86" s="88"/>
      <c r="LS86" s="88"/>
      <c r="LT86" s="88"/>
      <c r="LU86" s="88"/>
      <c r="LV86" s="88"/>
      <c r="LW86" s="88"/>
      <c r="LX86" s="88"/>
      <c r="LY86" s="88"/>
      <c r="LZ86" s="88"/>
      <c r="MA86" s="88"/>
      <c r="MB86" s="88"/>
      <c r="MC86" s="88"/>
      <c r="MD86" s="88"/>
      <c r="ME86" s="88"/>
      <c r="MF86" s="88"/>
      <c r="MG86" s="88"/>
      <c r="MH86" s="88"/>
      <c r="MI86" s="88"/>
      <c r="MJ86" s="88"/>
      <c r="MK86" s="88"/>
      <c r="ML86" s="88"/>
      <c r="MM86" s="88"/>
      <c r="MN86" s="88"/>
      <c r="MO86" s="88"/>
      <c r="MP86" s="88"/>
      <c r="MQ86" s="88"/>
      <c r="MR86" s="88"/>
      <c r="MS86" s="88"/>
      <c r="MT86" s="88"/>
      <c r="MU86" s="88"/>
      <c r="MV86" s="88"/>
      <c r="MW86" s="88"/>
      <c r="MX86" s="88"/>
      <c r="MY86" s="88"/>
      <c r="MZ86" s="88"/>
      <c r="NA86" s="88"/>
      <c r="NB86" s="88"/>
      <c r="NC86" s="88"/>
      <c r="ND86" s="88"/>
      <c r="NE86" s="88"/>
      <c r="NF86" s="88"/>
      <c r="NG86" s="88"/>
      <c r="NH86" s="88"/>
      <c r="NI86" s="88"/>
      <c r="NJ86" s="88"/>
      <c r="NK86" s="88"/>
      <c r="NL86" s="88"/>
      <c r="NM86" s="88"/>
      <c r="NN86" s="88"/>
      <c r="NO86" s="88"/>
      <c r="NP86" s="88"/>
      <c r="NQ86" s="88"/>
      <c r="NR86" s="88"/>
      <c r="NS86" s="88"/>
      <c r="NT86" s="88"/>
      <c r="NU86" s="88"/>
      <c r="NV86" s="88"/>
      <c r="NW86" s="88"/>
      <c r="NX86" s="88"/>
      <c r="NY86" s="88"/>
      <c r="NZ86" s="88"/>
      <c r="OA86" s="88"/>
      <c r="OB86" s="88"/>
      <c r="OC86" s="88"/>
      <c r="OD86" s="88"/>
      <c r="OE86" s="88"/>
      <c r="OF86" s="88"/>
      <c r="OG86" s="88"/>
      <c r="OH86" s="88"/>
      <c r="OI86" s="88"/>
      <c r="OJ86" s="88"/>
      <c r="OK86" s="88"/>
      <c r="OL86" s="88"/>
      <c r="OM86" s="88"/>
      <c r="ON86" s="88"/>
      <c r="OO86" s="88"/>
      <c r="OP86" s="88"/>
      <c r="OQ86" s="88"/>
      <c r="OR86" s="88"/>
      <c r="OS86" s="88"/>
      <c r="OT86" s="88"/>
      <c r="OU86" s="88"/>
      <c r="OV86" s="88"/>
      <c r="OW86" s="88"/>
      <c r="OX86" s="88"/>
      <c r="OY86" s="88"/>
      <c r="OZ86" s="88"/>
      <c r="PA86" s="88"/>
      <c r="PB86" s="88"/>
      <c r="PC86" s="88"/>
      <c r="PD86" s="88"/>
      <c r="PE86" s="88"/>
      <c r="PF86" s="88"/>
      <c r="PG86" s="88"/>
      <c r="PH86" s="88"/>
      <c r="PI86" s="88"/>
      <c r="PJ86" s="88"/>
      <c r="PK86" s="88"/>
      <c r="PL86" s="88"/>
      <c r="PM86" s="88"/>
      <c r="PN86" s="88"/>
      <c r="PO86" s="88"/>
      <c r="PP86" s="88"/>
      <c r="PQ86" s="88"/>
      <c r="PR86" s="88"/>
      <c r="PS86" s="88"/>
      <c r="PT86" s="88"/>
      <c r="PU86" s="88"/>
      <c r="PV86" s="88"/>
      <c r="PW86" s="88"/>
      <c r="PX86" s="88"/>
      <c r="PY86" s="88"/>
      <c r="PZ86" s="88"/>
      <c r="QA86" s="88"/>
      <c r="QB86" s="88"/>
      <c r="QC86" s="88"/>
      <c r="QD86" s="88"/>
      <c r="QE86" s="88"/>
      <c r="QF86" s="88"/>
      <c r="QG86" s="88"/>
      <c r="QH86" s="88"/>
      <c r="QI86" s="88"/>
      <c r="QJ86" s="88"/>
      <c r="QK86" s="88"/>
      <c r="QL86" s="88"/>
      <c r="QM86" s="88"/>
      <c r="QN86" s="88"/>
      <c r="QO86" s="88"/>
      <c r="QP86" s="88"/>
      <c r="QQ86" s="88"/>
      <c r="QR86" s="88"/>
      <c r="QS86" s="88"/>
      <c r="QT86" s="88"/>
      <c r="QU86" s="88"/>
      <c r="QV86" s="88"/>
      <c r="QW86" s="88"/>
      <c r="QX86" s="88"/>
      <c r="QY86" s="88"/>
      <c r="QZ86" s="88"/>
      <c r="RA86" s="88"/>
      <c r="RB86" s="88"/>
      <c r="RC86" s="88"/>
      <c r="RD86" s="88"/>
      <c r="RE86" s="88"/>
      <c r="RF86" s="88"/>
      <c r="RG86" s="88"/>
      <c r="RH86" s="88"/>
      <c r="RI86" s="88"/>
      <c r="RJ86" s="88"/>
      <c r="RK86" s="88"/>
      <c r="RL86" s="88"/>
      <c r="RM86" s="88"/>
      <c r="RN86" s="88"/>
      <c r="RO86" s="88"/>
      <c r="RP86" s="88"/>
      <c r="RQ86" s="88"/>
      <c r="RR86" s="88"/>
      <c r="RS86" s="88"/>
      <c r="RT86" s="88"/>
      <c r="RU86" s="88"/>
      <c r="RV86" s="88"/>
      <c r="RW86" s="88"/>
      <c r="RX86" s="88"/>
      <c r="RY86" s="88"/>
      <c r="RZ86" s="88"/>
      <c r="SA86" s="88"/>
      <c r="SB86" s="88"/>
      <c r="SC86" s="88"/>
      <c r="SD86" s="88"/>
      <c r="SE86" s="88"/>
      <c r="SF86" s="88"/>
      <c r="SG86" s="88"/>
      <c r="SH86" s="88"/>
      <c r="SI86" s="88"/>
      <c r="SJ86" s="88"/>
      <c r="SK86" s="88"/>
      <c r="SL86" s="88"/>
      <c r="SM86" s="88"/>
      <c r="SN86" s="88"/>
      <c r="SO86" s="88"/>
      <c r="SP86" s="88"/>
      <c r="SQ86" s="88"/>
      <c r="SR86" s="88"/>
      <c r="SS86" s="88"/>
      <c r="ST86" s="88"/>
      <c r="SU86" s="88"/>
      <c r="SV86" s="88"/>
      <c r="SW86" s="88"/>
      <c r="SX86" s="88"/>
      <c r="SY86" s="88"/>
      <c r="SZ86" s="88"/>
      <c r="TA86" s="88"/>
      <c r="TB86" s="88"/>
      <c r="TC86" s="88"/>
      <c r="TD86" s="88"/>
      <c r="TE86" s="88"/>
      <c r="TF86" s="88"/>
      <c r="TG86" s="88"/>
      <c r="TH86" s="88"/>
      <c r="TI86" s="88"/>
      <c r="TJ86" s="88"/>
      <c r="TK86" s="88"/>
      <c r="TL86" s="88"/>
      <c r="TM86" s="88"/>
      <c r="TN86" s="88"/>
      <c r="TO86" s="88"/>
      <c r="TP86" s="88"/>
      <c r="TQ86" s="88"/>
      <c r="TR86" s="88"/>
      <c r="TS86" s="88"/>
      <c r="TT86" s="88"/>
      <c r="TU86" s="88"/>
      <c r="TV86" s="88"/>
      <c r="TW86" s="88"/>
      <c r="TX86" s="88"/>
      <c r="TY86" s="88"/>
      <c r="TZ86" s="88"/>
      <c r="UA86" s="88"/>
      <c r="UB86" s="88"/>
      <c r="UC86" s="88"/>
      <c r="UD86" s="88"/>
      <c r="UE86" s="88"/>
      <c r="UF86" s="88"/>
      <c r="UG86" s="88"/>
      <c r="UH86" s="88"/>
      <c r="UI86" s="88"/>
      <c r="UJ86" s="88"/>
      <c r="UK86" s="88"/>
      <c r="UL86" s="88"/>
      <c r="UM86" s="88"/>
      <c r="UN86" s="88"/>
      <c r="UO86" s="88"/>
      <c r="UP86" s="88"/>
      <c r="UQ86" s="88"/>
      <c r="UR86" s="88"/>
      <c r="US86" s="88"/>
      <c r="UT86" s="88"/>
      <c r="UU86" s="88"/>
      <c r="UV86" s="88"/>
      <c r="UW86" s="88"/>
      <c r="UX86" s="88"/>
      <c r="UY86" s="88"/>
      <c r="UZ86" s="88"/>
      <c r="VA86" s="88"/>
      <c r="VB86" s="88"/>
      <c r="VC86" s="88"/>
      <c r="VD86" s="88"/>
      <c r="VE86" s="88"/>
      <c r="VF86" s="88"/>
      <c r="VG86" s="88"/>
      <c r="VH86" s="88"/>
      <c r="VI86" s="88"/>
      <c r="VJ86" s="88"/>
      <c r="VK86" s="88"/>
      <c r="VL86" s="88"/>
      <c r="VM86" s="88"/>
      <c r="VN86" s="88"/>
      <c r="VO86" s="88"/>
      <c r="VP86" s="88"/>
      <c r="VQ86" s="88"/>
      <c r="VR86" s="88"/>
      <c r="VS86" s="88"/>
      <c r="VT86" s="88"/>
      <c r="VU86" s="88"/>
      <c r="VV86" s="88"/>
      <c r="VW86" s="88"/>
      <c r="VX86" s="88"/>
      <c r="VY86" s="88"/>
      <c r="VZ86" s="88"/>
      <c r="WA86" s="88"/>
      <c r="WB86" s="88"/>
      <c r="WC86" s="88"/>
      <c r="WD86" s="88"/>
      <c r="WE86" s="88"/>
      <c r="WF86" s="88"/>
      <c r="WG86" s="88"/>
      <c r="WH86" s="88"/>
      <c r="WI86" s="88"/>
      <c r="WJ86" s="88"/>
      <c r="WK86" s="88"/>
      <c r="WL86" s="88"/>
      <c r="WM86" s="88"/>
      <c r="WN86" s="88"/>
      <c r="WO86" s="88"/>
      <c r="WP86" s="88"/>
      <c r="WQ86" s="88"/>
      <c r="WR86" s="88"/>
      <c r="WS86" s="88"/>
      <c r="WT86" s="88"/>
      <c r="WU86" s="88"/>
      <c r="WV86" s="88"/>
      <c r="WW86" s="88"/>
      <c r="WX86" s="88"/>
      <c r="WY86" s="88"/>
      <c r="WZ86" s="88"/>
      <c r="XA86" s="88"/>
      <c r="XB86" s="88"/>
      <c r="XC86" s="88"/>
      <c r="XD86" s="88"/>
      <c r="XE86" s="88"/>
      <c r="XF86" s="88"/>
      <c r="XG86" s="88"/>
      <c r="XH86" s="88"/>
      <c r="XI86" s="88"/>
      <c r="XJ86" s="88"/>
      <c r="XK86" s="88"/>
      <c r="XL86" s="88"/>
      <c r="XM86" s="88"/>
      <c r="XN86" s="88"/>
      <c r="XO86" s="88"/>
      <c r="XP86" s="88"/>
      <c r="XQ86" s="88"/>
      <c r="XR86" s="88"/>
      <c r="XS86" s="88"/>
      <c r="XT86" s="88"/>
      <c r="XU86" s="88"/>
      <c r="XV86" s="88"/>
      <c r="XW86" s="88"/>
      <c r="XX86" s="88"/>
      <c r="XY86" s="88"/>
      <c r="XZ86" s="88"/>
      <c r="YA86" s="88"/>
      <c r="YB86" s="88"/>
      <c r="YC86" s="88"/>
      <c r="YD86" s="88"/>
      <c r="YE86" s="88"/>
      <c r="YF86" s="88"/>
      <c r="YG86" s="88"/>
      <c r="YH86" s="88"/>
      <c r="YI86" s="88"/>
      <c r="YJ86" s="88"/>
      <c r="YK86" s="88"/>
      <c r="YL86" s="88"/>
      <c r="YM86" s="88"/>
      <c r="YN86" s="88"/>
      <c r="YO86" s="88"/>
      <c r="YP86" s="88"/>
      <c r="YQ86" s="88"/>
      <c r="YR86" s="88"/>
      <c r="YS86" s="88"/>
      <c r="YT86" s="88"/>
      <c r="YU86" s="88"/>
      <c r="YV86" s="88"/>
      <c r="YW86" s="88"/>
      <c r="YX86" s="88"/>
      <c r="YY86" s="88"/>
      <c r="YZ86" s="88"/>
      <c r="ZA86" s="88"/>
      <c r="ZB86" s="88"/>
      <c r="ZC86" s="88"/>
      <c r="ZD86" s="88"/>
      <c r="ZE86" s="88"/>
      <c r="ZF86" s="88"/>
      <c r="ZG86" s="88"/>
      <c r="ZH86" s="88"/>
      <c r="ZI86" s="88"/>
      <c r="ZJ86" s="88"/>
      <c r="ZK86" s="88"/>
      <c r="ZL86" s="88"/>
      <c r="ZM86" s="88"/>
      <c r="ZN86" s="88"/>
      <c r="ZO86" s="88"/>
      <c r="ZP86" s="88"/>
      <c r="ZQ86" s="88"/>
      <c r="ZR86" s="88"/>
      <c r="ZS86" s="88"/>
      <c r="ZT86" s="88"/>
      <c r="ZU86" s="88"/>
      <c r="ZV86" s="88"/>
      <c r="ZW86" s="88"/>
      <c r="ZX86" s="88"/>
      <c r="ZY86" s="88"/>
      <c r="ZZ86" s="88"/>
      <c r="AAA86" s="88"/>
      <c r="AAB86" s="88"/>
      <c r="AAC86" s="88"/>
      <c r="AAD86" s="88"/>
      <c r="AAE86" s="88"/>
      <c r="AAF86" s="88"/>
      <c r="AAG86" s="88"/>
      <c r="AAH86" s="88"/>
      <c r="AAI86" s="88"/>
      <c r="AAJ86" s="88"/>
      <c r="AAK86" s="88"/>
      <c r="AAL86" s="88"/>
      <c r="AAM86" s="88"/>
      <c r="AAN86" s="88"/>
      <c r="AAO86" s="88"/>
      <c r="AAP86" s="88"/>
      <c r="AAQ86" s="88"/>
      <c r="AAR86" s="88"/>
      <c r="AAS86" s="88"/>
      <c r="AAT86" s="88"/>
      <c r="AAU86" s="88"/>
      <c r="AAV86" s="88"/>
      <c r="AAW86" s="88"/>
      <c r="AAX86" s="88"/>
      <c r="AAY86" s="88"/>
      <c r="AAZ86" s="88"/>
      <c r="ABA86" s="88"/>
      <c r="ABB86" s="88"/>
      <c r="ABC86" s="88"/>
      <c r="ABD86" s="88"/>
      <c r="ABE86" s="88"/>
      <c r="ABF86" s="88"/>
      <c r="ABG86" s="88"/>
      <c r="ABH86" s="88"/>
      <c r="ABI86" s="88"/>
      <c r="ABJ86" s="88"/>
      <c r="ABK86" s="88"/>
      <c r="ABL86" s="88"/>
      <c r="ABM86" s="88"/>
      <c r="ABN86" s="88"/>
      <c r="ABO86" s="88"/>
      <c r="ABP86" s="88"/>
      <c r="ABQ86" s="88"/>
      <c r="ABR86" s="88"/>
      <c r="ABS86" s="88"/>
      <c r="ABT86" s="88"/>
      <c r="ABU86" s="88"/>
      <c r="ABV86" s="88"/>
      <c r="ABW86" s="88"/>
      <c r="ABX86" s="88"/>
      <c r="ABY86" s="88"/>
      <c r="ABZ86" s="88"/>
      <c r="ACA86" s="88"/>
      <c r="ACB86" s="88"/>
      <c r="ACC86" s="88"/>
      <c r="ACD86" s="88"/>
      <c r="ACE86" s="88"/>
      <c r="ACF86" s="88"/>
      <c r="ACG86" s="88"/>
      <c r="ACH86" s="88"/>
      <c r="ACI86" s="88"/>
      <c r="ACJ86" s="88"/>
      <c r="ACK86" s="88"/>
      <c r="ACL86" s="88"/>
      <c r="ACM86" s="88"/>
      <c r="ACN86" s="88"/>
      <c r="ACO86" s="88"/>
      <c r="ACP86" s="88"/>
      <c r="ACQ86" s="88"/>
      <c r="ACR86" s="88"/>
      <c r="ACS86" s="88"/>
      <c r="ACT86" s="88"/>
      <c r="ACU86" s="88"/>
      <c r="ACV86" s="88"/>
      <c r="ACW86" s="88"/>
      <c r="ACX86" s="88"/>
      <c r="ACY86" s="88"/>
      <c r="ACZ86" s="88"/>
      <c r="ADA86" s="88"/>
      <c r="ADB86" s="88"/>
      <c r="ADC86" s="88"/>
      <c r="ADD86" s="88"/>
      <c r="ADE86" s="88"/>
      <c r="ADF86" s="88"/>
      <c r="ADG86" s="88"/>
      <c r="ADH86" s="88"/>
      <c r="ADI86" s="88"/>
      <c r="ADJ86" s="88"/>
      <c r="ADK86" s="88"/>
      <c r="ADL86" s="88"/>
      <c r="ADM86" s="88"/>
      <c r="ADN86" s="88"/>
      <c r="ADO86" s="88"/>
      <c r="ADP86" s="88"/>
      <c r="ADQ86" s="88"/>
      <c r="ADR86" s="88"/>
      <c r="ADS86" s="88"/>
      <c r="ADT86" s="88"/>
      <c r="ADU86" s="88"/>
      <c r="ADV86" s="88"/>
      <c r="ADW86" s="88"/>
      <c r="ADX86" s="88"/>
      <c r="ADY86" s="88"/>
      <c r="ADZ86" s="88"/>
      <c r="AEA86" s="88"/>
      <c r="AEB86" s="88"/>
      <c r="AEC86" s="88"/>
      <c r="AED86" s="88"/>
      <c r="AEE86" s="88"/>
      <c r="AEF86" s="88"/>
      <c r="AEG86" s="88"/>
      <c r="AEH86" s="88"/>
      <c r="AEI86" s="88"/>
      <c r="AEJ86" s="88"/>
      <c r="AEK86" s="88"/>
      <c r="AEL86" s="88"/>
      <c r="AEM86" s="88"/>
      <c r="AEN86" s="88"/>
      <c r="AEO86" s="88"/>
      <c r="AEP86" s="88"/>
      <c r="AEQ86" s="88"/>
      <c r="AER86" s="88"/>
      <c r="AES86" s="88"/>
      <c r="AET86" s="88"/>
      <c r="AEU86" s="88"/>
      <c r="AEV86" s="88"/>
      <c r="AEW86" s="88"/>
      <c r="AEX86" s="88"/>
      <c r="AEY86" s="88"/>
      <c r="AEZ86" s="88"/>
      <c r="AFA86" s="88"/>
      <c r="AFB86" s="88"/>
      <c r="AFC86" s="88"/>
      <c r="AFD86" s="88"/>
      <c r="AFE86" s="88"/>
      <c r="AFF86" s="88"/>
      <c r="AFG86" s="88"/>
      <c r="AFH86" s="88"/>
      <c r="AFI86" s="88"/>
      <c r="AFJ86" s="88"/>
      <c r="AFK86" s="88"/>
      <c r="AFL86" s="88"/>
      <c r="AFM86" s="88"/>
      <c r="AFN86" s="88"/>
      <c r="AFO86" s="88"/>
      <c r="AFP86" s="88"/>
      <c r="AFQ86" s="88"/>
      <c r="AFR86" s="88"/>
      <c r="AFS86" s="88"/>
      <c r="AFT86" s="88"/>
      <c r="AFU86" s="88"/>
      <c r="AFV86" s="88"/>
      <c r="AFW86" s="88"/>
      <c r="AFX86" s="88"/>
      <c r="AFY86" s="88"/>
      <c r="AFZ86" s="88"/>
      <c r="AGA86" s="88"/>
      <c r="AGB86" s="88"/>
      <c r="AGC86" s="88"/>
      <c r="AGD86" s="88"/>
      <c r="AGE86" s="88"/>
      <c r="AGF86" s="88"/>
      <c r="AGG86" s="88"/>
      <c r="AGH86" s="88"/>
      <c r="AGI86" s="88"/>
      <c r="AGJ86" s="88"/>
      <c r="AGK86" s="88"/>
      <c r="AGL86" s="88"/>
      <c r="AGM86" s="88"/>
      <c r="AGN86" s="88"/>
      <c r="AGO86" s="88"/>
      <c r="AGP86" s="88"/>
      <c r="AGQ86" s="88"/>
      <c r="AGR86" s="88"/>
      <c r="AGS86" s="88"/>
      <c r="AGT86" s="88"/>
      <c r="AGU86" s="88"/>
      <c r="AGV86" s="88"/>
      <c r="AGW86" s="88"/>
      <c r="AGX86" s="88"/>
      <c r="AGY86" s="88"/>
      <c r="AGZ86" s="88"/>
      <c r="AHA86" s="88"/>
      <c r="AHB86" s="88"/>
      <c r="AHC86" s="88"/>
      <c r="AHD86" s="88"/>
      <c r="AHE86" s="88"/>
      <c r="AHF86" s="88"/>
      <c r="AHG86" s="88"/>
      <c r="AHH86" s="88"/>
      <c r="AHI86" s="88"/>
      <c r="AHJ86" s="88"/>
      <c r="AHK86" s="88"/>
      <c r="AHL86" s="88"/>
      <c r="AHM86" s="88"/>
      <c r="AHN86" s="88"/>
      <c r="AHO86" s="88"/>
      <c r="AHP86" s="88"/>
      <c r="AHQ86" s="88"/>
      <c r="AHR86" s="88"/>
      <c r="AHS86" s="88"/>
      <c r="AHT86" s="88"/>
      <c r="AHU86" s="88"/>
      <c r="AHV86" s="88"/>
      <c r="AHW86" s="88"/>
      <c r="AHX86" s="88"/>
      <c r="AHY86" s="88"/>
      <c r="AHZ86" s="88"/>
      <c r="AIA86" s="88"/>
      <c r="AIB86" s="88"/>
      <c r="AIC86" s="88"/>
      <c r="AID86" s="88"/>
      <c r="AIE86" s="88"/>
      <c r="AIF86" s="88"/>
      <c r="AIG86" s="88"/>
      <c r="AIH86" s="88"/>
      <c r="AII86" s="88"/>
      <c r="AIJ86" s="88"/>
      <c r="AIK86" s="88"/>
      <c r="AIL86" s="88"/>
      <c r="AIM86" s="88"/>
      <c r="AIN86" s="88"/>
      <c r="AIO86" s="88"/>
      <c r="AIP86" s="88"/>
      <c r="AIQ86" s="88"/>
      <c r="AIR86" s="88"/>
      <c r="AIS86" s="88"/>
      <c r="AIT86" s="88"/>
      <c r="AIU86" s="88"/>
      <c r="AIV86" s="88"/>
      <c r="AIW86" s="88"/>
      <c r="AIX86" s="88"/>
      <c r="AIY86" s="88"/>
      <c r="AIZ86" s="88"/>
      <c r="AJA86" s="88"/>
      <c r="AJB86" s="88"/>
      <c r="AJC86" s="88"/>
      <c r="AJD86" s="88"/>
      <c r="AJE86" s="88"/>
      <c r="AJF86" s="88"/>
      <c r="AJG86" s="88"/>
      <c r="AJH86" s="88"/>
      <c r="AJI86" s="88"/>
      <c r="AJJ86" s="88"/>
      <c r="AJK86" s="88"/>
      <c r="AJL86" s="88"/>
      <c r="AJM86" s="88"/>
      <c r="AJN86" s="88"/>
      <c r="AJO86" s="88"/>
      <c r="AJP86" s="88"/>
      <c r="AJQ86" s="88"/>
      <c r="AJR86" s="88"/>
      <c r="AJS86" s="88"/>
      <c r="AJT86" s="88"/>
      <c r="AJU86" s="88"/>
      <c r="AJV86" s="88"/>
      <c r="AJW86" s="88"/>
      <c r="AJX86" s="88"/>
      <c r="AJY86" s="88"/>
      <c r="AJZ86" s="88"/>
      <c r="AKA86" s="88"/>
      <c r="AKB86" s="88"/>
      <c r="AKC86" s="88"/>
      <c r="AKD86" s="88"/>
      <c r="AKE86" s="88"/>
      <c r="AKF86" s="88"/>
      <c r="AKG86" s="88"/>
      <c r="AKH86" s="88"/>
      <c r="AKI86" s="88"/>
      <c r="AKJ86" s="88"/>
      <c r="AKK86" s="88"/>
      <c r="AKL86" s="88"/>
      <c r="AKM86" s="88"/>
      <c r="AKN86" s="88"/>
      <c r="AKO86" s="88"/>
      <c r="AKP86" s="88"/>
      <c r="AKQ86" s="88"/>
      <c r="AKR86" s="88"/>
      <c r="AKS86" s="88"/>
      <c r="AKT86" s="88"/>
      <c r="AKU86" s="88"/>
      <c r="AKV86" s="88"/>
      <c r="AKW86" s="88"/>
      <c r="AKX86" s="88"/>
      <c r="AKY86" s="88"/>
      <c r="AKZ86" s="88"/>
      <c r="ALA86" s="88"/>
      <c r="ALB86" s="88"/>
      <c r="ALC86" s="88"/>
      <c r="ALD86" s="88"/>
      <c r="ALE86" s="88"/>
      <c r="ALF86" s="88"/>
      <c r="ALG86" s="88"/>
      <c r="ALH86" s="88"/>
      <c r="ALI86" s="88"/>
      <c r="ALJ86" s="88"/>
      <c r="ALK86" s="88"/>
      <c r="ALL86" s="88"/>
      <c r="ALM86" s="88"/>
      <c r="ALN86" s="88"/>
      <c r="ALO86" s="88"/>
      <c r="ALP86" s="88"/>
      <c r="ALQ86" s="88"/>
      <c r="ALR86" s="88"/>
      <c r="ALS86" s="88"/>
      <c r="ALT86" s="88"/>
      <c r="ALU86" s="88"/>
      <c r="ALV86" s="88"/>
      <c r="ALW86" s="88"/>
      <c r="ALX86" s="88"/>
      <c r="ALY86" s="88"/>
      <c r="ALZ86" s="88"/>
      <c r="AMA86" s="88"/>
      <c r="AMB86" s="88"/>
      <c r="AMC86" s="88"/>
      <c r="AMD86" s="88"/>
      <c r="AME86" s="88"/>
      <c r="AMF86" s="88"/>
      <c r="AMG86" s="88"/>
      <c r="AMH86" s="88"/>
      <c r="AMI86" s="88"/>
      <c r="AMJ86" s="88"/>
      <c r="AMK86" s="88"/>
      <c r="AML86" s="88"/>
      <c r="AMM86" s="88"/>
      <c r="AMN86" s="88"/>
      <c r="AMO86" s="88"/>
      <c r="AMP86" s="88"/>
      <c r="AMQ86" s="88"/>
      <c r="AMR86" s="88"/>
      <c r="AMS86" s="88"/>
      <c r="AMT86" s="88"/>
      <c r="AMU86" s="88"/>
      <c r="AMV86" s="88"/>
      <c r="AMW86" s="88"/>
      <c r="AMX86" s="88"/>
      <c r="AMY86" s="88"/>
      <c r="AMZ86" s="88"/>
      <c r="ANA86" s="88"/>
      <c r="ANB86" s="88"/>
      <c r="ANC86" s="88"/>
      <c r="AND86" s="88"/>
      <c r="ANE86" s="88"/>
      <c r="ANF86" s="88"/>
      <c r="ANG86" s="88"/>
      <c r="ANH86" s="88"/>
      <c r="ANI86" s="88"/>
      <c r="ANJ86" s="88"/>
      <c r="ANK86" s="88"/>
      <c r="ANL86" s="88"/>
      <c r="ANM86" s="88"/>
      <c r="ANN86" s="88"/>
      <c r="ANO86" s="88"/>
      <c r="ANP86" s="88"/>
      <c r="ANQ86" s="88"/>
      <c r="ANR86" s="88"/>
      <c r="ANS86" s="88"/>
      <c r="ANT86" s="88"/>
      <c r="ANU86" s="88"/>
      <c r="ANV86" s="88"/>
      <c r="ANW86" s="88"/>
      <c r="ANX86" s="88"/>
      <c r="ANY86" s="88"/>
      <c r="ANZ86" s="88"/>
      <c r="AOA86" s="88"/>
      <c r="AOB86" s="88"/>
      <c r="AOC86" s="88"/>
      <c r="AOD86" s="88"/>
      <c r="AOE86" s="88"/>
      <c r="AOF86" s="88"/>
      <c r="AOG86" s="88"/>
      <c r="AOH86" s="88"/>
      <c r="AOI86" s="88"/>
      <c r="AOJ86" s="88"/>
      <c r="AOK86" s="88"/>
      <c r="AOL86" s="88"/>
      <c r="AOM86" s="88"/>
      <c r="AON86" s="88"/>
      <c r="AOO86" s="88"/>
      <c r="AOP86" s="88"/>
      <c r="AOQ86" s="88"/>
      <c r="AOR86" s="88"/>
      <c r="AOS86" s="88"/>
      <c r="AOT86" s="88"/>
      <c r="AOU86" s="88"/>
      <c r="AOV86" s="88"/>
      <c r="AOW86" s="88"/>
      <c r="AOX86" s="88"/>
      <c r="AOY86" s="88"/>
      <c r="AOZ86" s="88"/>
      <c r="APA86" s="88"/>
      <c r="APB86" s="88"/>
      <c r="APC86" s="88"/>
      <c r="APD86" s="88"/>
      <c r="APE86" s="88"/>
      <c r="APF86" s="88"/>
      <c r="APG86" s="88"/>
      <c r="APH86" s="88"/>
      <c r="API86" s="88"/>
      <c r="APJ86" s="88"/>
      <c r="APK86" s="88"/>
      <c r="APL86" s="88"/>
      <c r="APM86" s="88"/>
      <c r="APN86" s="88"/>
      <c r="APO86" s="88"/>
      <c r="APP86" s="88"/>
      <c r="APQ86" s="88"/>
      <c r="APR86" s="88"/>
      <c r="APS86" s="88"/>
      <c r="APT86" s="88"/>
      <c r="APU86" s="88"/>
      <c r="APV86" s="88"/>
      <c r="APW86" s="88"/>
      <c r="APX86" s="88"/>
      <c r="APY86" s="88"/>
      <c r="APZ86" s="88"/>
      <c r="AQA86" s="88"/>
      <c r="AQB86" s="88"/>
      <c r="AQC86" s="88"/>
      <c r="AQD86" s="88"/>
      <c r="AQE86" s="88"/>
      <c r="AQF86" s="88"/>
      <c r="AQG86" s="88"/>
      <c r="AQH86" s="88"/>
      <c r="AQI86" s="88"/>
      <c r="AQJ86" s="88"/>
      <c r="AQK86" s="88"/>
      <c r="AQL86" s="88"/>
      <c r="AQM86" s="88"/>
      <c r="AQN86" s="88"/>
      <c r="AQO86" s="88"/>
      <c r="AQP86" s="88"/>
      <c r="AQQ86" s="88"/>
      <c r="AQR86" s="88"/>
      <c r="AQS86" s="88"/>
      <c r="AQT86" s="88"/>
      <c r="AQU86" s="88"/>
      <c r="AQV86" s="88"/>
      <c r="AQW86" s="88"/>
      <c r="AQX86" s="88"/>
      <c r="AQY86" s="88"/>
      <c r="AQZ86" s="88"/>
      <c r="ARA86" s="88"/>
      <c r="ARB86" s="88"/>
      <c r="ARC86" s="88"/>
      <c r="ARD86" s="88"/>
      <c r="ARE86" s="88"/>
      <c r="ARF86" s="88"/>
      <c r="ARG86" s="88"/>
      <c r="ARH86" s="88"/>
      <c r="ARI86" s="88"/>
      <c r="ARJ86" s="88"/>
      <c r="ARK86" s="88"/>
      <c r="ARL86" s="88"/>
      <c r="ARM86" s="88"/>
      <c r="ARN86" s="88"/>
      <c r="ARO86" s="88"/>
      <c r="ARP86" s="88"/>
      <c r="ARQ86" s="88"/>
      <c r="ARR86" s="88"/>
      <c r="ARS86" s="88"/>
      <c r="ART86" s="88"/>
      <c r="ARU86" s="88"/>
      <c r="ARV86" s="88"/>
      <c r="ARW86" s="88"/>
      <c r="ARX86" s="88"/>
      <c r="ARY86" s="88"/>
      <c r="ARZ86" s="88"/>
      <c r="ASA86" s="88"/>
      <c r="ASB86" s="88"/>
      <c r="ASC86" s="88"/>
      <c r="ASD86" s="88"/>
      <c r="ASE86" s="88"/>
      <c r="ASF86" s="88"/>
      <c r="ASG86" s="88"/>
      <c r="ASH86" s="88"/>
      <c r="ASI86" s="88"/>
      <c r="ASJ86" s="88"/>
      <c r="ASK86" s="88"/>
      <c r="ASL86" s="88"/>
      <c r="ASM86" s="88"/>
      <c r="ASN86" s="88"/>
      <c r="ASO86" s="88"/>
      <c r="ASP86" s="88"/>
      <c r="ASQ86" s="88"/>
      <c r="ASR86" s="88"/>
      <c r="ASS86" s="88"/>
      <c r="AST86" s="88"/>
      <c r="ASU86" s="88"/>
      <c r="ASV86" s="88"/>
      <c r="ASW86" s="88"/>
      <c r="ASX86" s="88"/>
      <c r="ASY86" s="88"/>
      <c r="ASZ86" s="88"/>
      <c r="ATA86" s="88"/>
      <c r="ATB86" s="88"/>
      <c r="ATC86" s="88"/>
      <c r="ATD86" s="88"/>
      <c r="ATE86" s="88"/>
      <c r="ATF86" s="88"/>
      <c r="ATG86" s="88"/>
      <c r="ATH86" s="88"/>
      <c r="ATI86" s="88"/>
      <c r="ATJ86" s="88"/>
      <c r="ATK86" s="88"/>
      <c r="ATL86" s="88"/>
      <c r="ATM86" s="88"/>
      <c r="ATN86" s="88"/>
      <c r="ATO86" s="88"/>
      <c r="ATP86" s="88"/>
      <c r="ATQ86" s="88"/>
      <c r="ATR86" s="88"/>
      <c r="ATS86" s="88"/>
      <c r="ATT86" s="88"/>
      <c r="ATU86" s="88"/>
      <c r="ATV86" s="88"/>
      <c r="ATW86" s="88"/>
      <c r="ATX86" s="88"/>
      <c r="ATY86" s="88"/>
      <c r="ATZ86" s="88"/>
      <c r="AUA86" s="88"/>
      <c r="AUB86" s="88"/>
      <c r="AUC86" s="88"/>
      <c r="AUD86" s="88"/>
      <c r="AUE86" s="88"/>
      <c r="AUF86" s="88"/>
      <c r="AUG86" s="88"/>
      <c r="AUH86" s="88"/>
      <c r="AUI86" s="88"/>
      <c r="AUJ86" s="88"/>
      <c r="AUK86" s="88"/>
      <c r="AUL86" s="88"/>
      <c r="AUM86" s="88"/>
      <c r="AUN86" s="88"/>
      <c r="AUO86" s="88"/>
      <c r="AUP86" s="88"/>
      <c r="AUQ86" s="88"/>
      <c r="AUR86" s="88"/>
      <c r="AUS86" s="88"/>
      <c r="AUT86" s="88"/>
      <c r="AUU86" s="88"/>
      <c r="AUV86" s="88"/>
      <c r="AUW86" s="88"/>
      <c r="AUX86" s="88"/>
      <c r="AUY86" s="88"/>
      <c r="AUZ86" s="88"/>
      <c r="AVA86" s="88"/>
      <c r="AVB86" s="88"/>
      <c r="AVC86" s="88"/>
      <c r="AVD86" s="88"/>
      <c r="AVE86" s="88"/>
      <c r="AVF86" s="88"/>
      <c r="AVG86" s="88"/>
      <c r="AVH86" s="88"/>
      <c r="AVI86" s="88"/>
      <c r="AVJ86" s="88"/>
      <c r="AVK86" s="88"/>
      <c r="AVL86" s="88"/>
      <c r="AVM86" s="88"/>
      <c r="AVN86" s="88"/>
      <c r="AVO86" s="88"/>
      <c r="AVP86" s="88"/>
      <c r="AVQ86" s="88"/>
      <c r="AVR86" s="88"/>
      <c r="AVS86" s="88"/>
      <c r="AVT86" s="88"/>
      <c r="AVU86" s="88"/>
      <c r="AVV86" s="88"/>
      <c r="AVW86" s="88"/>
      <c r="AVX86" s="88"/>
      <c r="AVY86" s="88"/>
      <c r="AVZ86" s="88"/>
      <c r="AWA86" s="88"/>
      <c r="AWB86" s="88"/>
      <c r="AWC86" s="88"/>
      <c r="AWD86" s="88"/>
      <c r="AWE86" s="88"/>
      <c r="AWF86" s="88"/>
      <c r="AWG86" s="88"/>
      <c r="AWH86" s="88"/>
      <c r="AWI86" s="88"/>
      <c r="AWJ86" s="88"/>
      <c r="AWK86" s="88"/>
      <c r="AWL86" s="88"/>
      <c r="AWM86" s="88"/>
      <c r="AWN86" s="88"/>
      <c r="AWO86" s="88"/>
      <c r="AWP86" s="88"/>
      <c r="AWQ86" s="88"/>
      <c r="AWR86" s="88"/>
      <c r="AWS86" s="88"/>
      <c r="AWT86" s="88"/>
      <c r="AWU86" s="88"/>
      <c r="AWV86" s="88"/>
      <c r="AWW86" s="88"/>
      <c r="AWX86" s="88"/>
      <c r="AWY86" s="88"/>
      <c r="AWZ86" s="88"/>
      <c r="AXA86" s="88"/>
      <c r="AXB86" s="88"/>
      <c r="AXC86" s="88"/>
      <c r="AXD86" s="88"/>
      <c r="AXE86" s="88"/>
      <c r="AXF86" s="88"/>
      <c r="AXG86" s="88"/>
      <c r="AXH86" s="88"/>
      <c r="AXI86" s="88"/>
      <c r="AXJ86" s="88"/>
      <c r="AXK86" s="88"/>
      <c r="AXL86" s="88"/>
      <c r="AXM86" s="88"/>
      <c r="AXN86" s="88"/>
      <c r="AXO86" s="88"/>
      <c r="AXP86" s="88"/>
      <c r="AXQ86" s="88"/>
      <c r="AXR86" s="88"/>
      <c r="AXS86" s="88"/>
      <c r="AXT86" s="88"/>
      <c r="AXU86" s="88"/>
      <c r="AXV86" s="88"/>
      <c r="AXW86" s="88"/>
      <c r="AXX86" s="88"/>
      <c r="AXY86" s="88"/>
      <c r="AXZ86" s="88"/>
      <c r="AYA86" s="88"/>
      <c r="AYB86" s="88"/>
      <c r="AYC86" s="88"/>
      <c r="AYD86" s="88"/>
      <c r="AYE86" s="88"/>
      <c r="AYF86" s="88"/>
      <c r="AYG86" s="88"/>
      <c r="AYH86" s="88"/>
      <c r="AYI86" s="88"/>
      <c r="AYJ86" s="88"/>
      <c r="AYK86" s="88"/>
      <c r="AYL86" s="88"/>
      <c r="AYM86" s="88"/>
      <c r="AYN86" s="88"/>
      <c r="AYO86" s="88"/>
      <c r="AYP86" s="88"/>
      <c r="AYQ86" s="88"/>
      <c r="AYR86" s="88"/>
      <c r="AYS86" s="88"/>
      <c r="AYT86" s="88"/>
      <c r="AYU86" s="88"/>
      <c r="AYV86" s="88"/>
      <c r="AYW86" s="88"/>
      <c r="AYX86" s="88"/>
      <c r="AYY86" s="88"/>
      <c r="AYZ86" s="88"/>
      <c r="AZA86" s="88"/>
      <c r="AZB86" s="88"/>
      <c r="AZC86" s="88"/>
      <c r="AZD86" s="88"/>
      <c r="AZE86" s="88"/>
      <c r="AZF86" s="88"/>
      <c r="AZG86" s="88"/>
      <c r="AZH86" s="88"/>
      <c r="AZI86" s="88"/>
      <c r="AZJ86" s="88"/>
      <c r="AZK86" s="88"/>
      <c r="AZL86" s="88"/>
      <c r="AZM86" s="88"/>
      <c r="AZN86" s="88"/>
      <c r="AZO86" s="88"/>
      <c r="AZP86" s="88"/>
      <c r="AZQ86" s="88"/>
      <c r="AZR86" s="88"/>
      <c r="AZS86" s="88"/>
      <c r="AZT86" s="88"/>
      <c r="AZU86" s="88"/>
      <c r="AZV86" s="88"/>
      <c r="AZW86" s="88"/>
      <c r="AZX86" s="88"/>
      <c r="AZY86" s="88"/>
      <c r="AZZ86" s="88"/>
      <c r="BAA86" s="88"/>
      <c r="BAB86" s="88"/>
      <c r="BAC86" s="88"/>
      <c r="BAD86" s="88"/>
      <c r="BAE86" s="88"/>
      <c r="BAF86" s="88"/>
      <c r="BAG86" s="88"/>
      <c r="BAH86" s="88"/>
      <c r="BAI86" s="88"/>
      <c r="BAJ86" s="88"/>
      <c r="BAK86" s="88"/>
      <c r="BAL86" s="88"/>
      <c r="BAM86" s="88"/>
      <c r="BAN86" s="88"/>
      <c r="BAO86" s="88"/>
      <c r="BAP86" s="88"/>
      <c r="BAQ86" s="88"/>
      <c r="BAR86" s="88"/>
      <c r="BAS86" s="88"/>
      <c r="BAT86" s="88"/>
      <c r="BAU86" s="88"/>
      <c r="BAV86" s="88"/>
      <c r="BAW86" s="88"/>
      <c r="BAX86" s="88"/>
      <c r="BAY86" s="88"/>
      <c r="BAZ86" s="88"/>
      <c r="BBA86" s="88"/>
      <c r="BBB86" s="88"/>
      <c r="BBC86" s="88"/>
      <c r="BBD86" s="88"/>
      <c r="BBE86" s="88"/>
      <c r="BBF86" s="88"/>
      <c r="BBG86" s="88"/>
      <c r="BBH86" s="88"/>
      <c r="BBI86" s="88"/>
      <c r="BBJ86" s="88"/>
      <c r="BBK86" s="88"/>
      <c r="BBL86" s="88"/>
      <c r="BBM86" s="88"/>
      <c r="BBN86" s="88"/>
      <c r="BBO86" s="88"/>
      <c r="BBP86" s="88"/>
      <c r="BBQ86" s="88"/>
      <c r="BBR86" s="88"/>
      <c r="BBS86" s="88"/>
      <c r="BBT86" s="88"/>
      <c r="BBU86" s="88"/>
      <c r="BBV86" s="88"/>
      <c r="BBW86" s="88"/>
      <c r="BBX86" s="88"/>
      <c r="BBY86" s="88"/>
      <c r="BBZ86" s="88"/>
      <c r="BCA86" s="88"/>
      <c r="BCB86" s="88"/>
      <c r="BCC86" s="88"/>
      <c r="BCD86" s="88"/>
      <c r="BCE86" s="88"/>
      <c r="BCF86" s="88"/>
      <c r="BCG86" s="88"/>
      <c r="BCH86" s="88"/>
      <c r="BCI86" s="88"/>
      <c r="BCJ86" s="88"/>
      <c r="BCK86" s="88"/>
      <c r="BCL86" s="88"/>
      <c r="BCM86" s="88"/>
      <c r="BCN86" s="88"/>
      <c r="BCO86" s="88"/>
      <c r="BCP86" s="88"/>
      <c r="BCQ86" s="88"/>
      <c r="BCR86" s="88"/>
      <c r="BCS86" s="88"/>
      <c r="BCT86" s="88"/>
      <c r="BCU86" s="88"/>
      <c r="BCV86" s="88"/>
      <c r="BCW86" s="88"/>
      <c r="BCX86" s="88"/>
      <c r="BCY86" s="88"/>
      <c r="BCZ86" s="88"/>
      <c r="BDA86" s="88"/>
      <c r="BDB86" s="88"/>
      <c r="BDC86" s="88"/>
      <c r="BDD86" s="88"/>
      <c r="BDE86" s="88"/>
      <c r="BDF86" s="88"/>
      <c r="BDG86" s="88"/>
      <c r="BDH86" s="88"/>
      <c r="BDI86" s="88"/>
      <c r="BDJ86" s="88"/>
      <c r="BDK86" s="88"/>
      <c r="BDL86" s="88"/>
      <c r="BDM86" s="88"/>
      <c r="BDN86" s="88"/>
      <c r="BDO86" s="88"/>
      <c r="BDP86" s="88"/>
      <c r="BDQ86" s="88"/>
      <c r="BDR86" s="88"/>
      <c r="BDS86" s="88"/>
      <c r="BDT86" s="88"/>
      <c r="BDU86" s="88"/>
      <c r="BDV86" s="88"/>
      <c r="BDW86" s="88"/>
      <c r="BDX86" s="88"/>
      <c r="BDY86" s="88"/>
      <c r="BDZ86" s="88"/>
      <c r="BEA86" s="88"/>
      <c r="BEB86" s="88"/>
      <c r="BEC86" s="88"/>
      <c r="BED86" s="88"/>
      <c r="BEE86" s="88"/>
      <c r="BEF86" s="88"/>
      <c r="BEG86" s="88"/>
      <c r="BEH86" s="88"/>
      <c r="BEI86" s="88"/>
      <c r="BEJ86" s="88"/>
      <c r="BEK86" s="88"/>
      <c r="BEL86" s="88"/>
      <c r="BEM86" s="88"/>
      <c r="BEN86" s="88"/>
      <c r="BEO86" s="88"/>
      <c r="BEP86" s="88"/>
      <c r="BEQ86" s="88"/>
      <c r="BER86" s="88"/>
      <c r="BES86" s="88"/>
      <c r="BET86" s="88"/>
      <c r="BEU86" s="88"/>
      <c r="BEV86" s="88"/>
      <c r="BEW86" s="88"/>
      <c r="BEX86" s="88"/>
      <c r="BEY86" s="88"/>
      <c r="BEZ86" s="88"/>
      <c r="BFA86" s="88"/>
      <c r="BFB86" s="88"/>
      <c r="BFC86" s="88"/>
      <c r="BFD86" s="88"/>
      <c r="BFE86" s="88"/>
      <c r="BFF86" s="88"/>
      <c r="BFG86" s="88"/>
      <c r="BFH86" s="88"/>
      <c r="BFI86" s="88"/>
      <c r="BFJ86" s="88"/>
      <c r="BFK86" s="88"/>
      <c r="BFL86" s="88"/>
      <c r="BFM86" s="88"/>
      <c r="BFN86" s="88"/>
      <c r="BFO86" s="88"/>
      <c r="BFP86" s="88"/>
      <c r="BFQ86" s="88"/>
      <c r="BFR86" s="88"/>
      <c r="BFS86" s="88"/>
      <c r="BFT86" s="88"/>
      <c r="BFU86" s="88"/>
      <c r="BFV86" s="88"/>
      <c r="BFW86" s="88"/>
      <c r="BFX86" s="88"/>
      <c r="BFY86" s="88"/>
      <c r="BFZ86" s="88"/>
      <c r="BGA86" s="88"/>
      <c r="BGB86" s="88"/>
      <c r="BGC86" s="88"/>
      <c r="BGD86" s="88"/>
      <c r="BGE86" s="88"/>
      <c r="BGF86" s="88"/>
      <c r="BGG86" s="88"/>
      <c r="BGH86" s="88"/>
      <c r="BGI86" s="88"/>
      <c r="BGJ86" s="88"/>
      <c r="BGK86" s="88"/>
      <c r="BGL86" s="88"/>
      <c r="BGM86" s="88"/>
      <c r="BGN86" s="88"/>
      <c r="BGO86" s="88"/>
      <c r="BGP86" s="88"/>
      <c r="BGQ86" s="88"/>
      <c r="BGR86" s="88"/>
      <c r="BGS86" s="88"/>
      <c r="BGT86" s="88"/>
      <c r="BGU86" s="88"/>
      <c r="BGV86" s="88"/>
      <c r="BGW86" s="88"/>
      <c r="BGX86" s="88"/>
      <c r="BGY86" s="88"/>
      <c r="BGZ86" s="88"/>
      <c r="BHA86" s="88"/>
      <c r="BHB86" s="88"/>
      <c r="BHC86" s="88"/>
      <c r="BHD86" s="88"/>
      <c r="BHE86" s="88"/>
      <c r="BHF86" s="88"/>
      <c r="BHG86" s="88"/>
      <c r="BHH86" s="88"/>
      <c r="BHI86" s="88"/>
      <c r="BHJ86" s="88"/>
      <c r="BHK86" s="88"/>
      <c r="BHL86" s="88"/>
      <c r="BHM86" s="88"/>
      <c r="BHN86" s="88"/>
      <c r="BHO86" s="88"/>
      <c r="BHP86" s="88"/>
      <c r="BHQ86" s="88"/>
      <c r="BHR86" s="88"/>
      <c r="BHS86" s="88"/>
      <c r="BHT86" s="88"/>
      <c r="BHU86" s="88"/>
      <c r="BHV86" s="88"/>
      <c r="BHW86" s="88"/>
      <c r="BHX86" s="88"/>
      <c r="BHY86" s="88"/>
      <c r="BHZ86" s="88"/>
      <c r="BIA86" s="88"/>
      <c r="BIB86" s="88"/>
      <c r="BIC86" s="88"/>
      <c r="BID86" s="88"/>
      <c r="BIE86" s="88"/>
      <c r="BIF86" s="88"/>
      <c r="BIG86" s="88"/>
      <c r="BIH86" s="88"/>
      <c r="BII86" s="88"/>
      <c r="BIJ86" s="88"/>
      <c r="BIK86" s="88"/>
      <c r="BIL86" s="88"/>
      <c r="BIM86" s="88"/>
      <c r="BIN86" s="88"/>
      <c r="BIO86" s="88"/>
      <c r="BIP86" s="88"/>
      <c r="BIQ86" s="88"/>
      <c r="BIR86" s="88"/>
      <c r="BIS86" s="88"/>
      <c r="BIT86" s="88"/>
      <c r="BIU86" s="88"/>
      <c r="BIV86" s="88"/>
      <c r="BIW86" s="88"/>
      <c r="BIX86" s="88"/>
      <c r="BIY86" s="88"/>
      <c r="BIZ86" s="88"/>
      <c r="BJA86" s="88"/>
      <c r="BJB86" s="88"/>
      <c r="BJC86" s="88"/>
      <c r="BJD86" s="88"/>
      <c r="BJE86" s="88"/>
      <c r="BJF86" s="88"/>
      <c r="BJG86" s="88"/>
      <c r="BJH86" s="88"/>
      <c r="BJI86" s="88"/>
      <c r="BJJ86" s="88"/>
      <c r="BJK86" s="88"/>
      <c r="BJL86" s="88"/>
      <c r="BJM86" s="88"/>
      <c r="BJN86" s="88"/>
      <c r="BJO86" s="88"/>
      <c r="BJP86" s="88"/>
      <c r="BJQ86" s="88"/>
      <c r="BJR86" s="88"/>
      <c r="BJS86" s="88"/>
      <c r="BJT86" s="88"/>
      <c r="BJU86" s="88"/>
      <c r="BJV86" s="88"/>
      <c r="BJW86" s="88"/>
      <c r="BJX86" s="88"/>
      <c r="BJY86" s="88"/>
      <c r="BJZ86" s="88"/>
      <c r="BKA86" s="88"/>
      <c r="BKB86" s="88"/>
      <c r="BKC86" s="88"/>
      <c r="BKD86" s="88"/>
      <c r="BKE86" s="88"/>
      <c r="BKF86" s="88"/>
      <c r="BKG86" s="88"/>
      <c r="BKH86" s="88"/>
      <c r="BKI86" s="88"/>
      <c r="BKJ86" s="88"/>
      <c r="BKK86" s="88"/>
      <c r="BKL86" s="88"/>
      <c r="BKM86" s="88"/>
      <c r="BKN86" s="88"/>
      <c r="BKO86" s="88"/>
      <c r="BKP86" s="88"/>
      <c r="BKQ86" s="88"/>
      <c r="BKR86" s="88"/>
      <c r="BKS86" s="88"/>
      <c r="BKT86" s="88"/>
      <c r="BKU86" s="88"/>
      <c r="BKV86" s="88"/>
      <c r="BKW86" s="88"/>
      <c r="BKX86" s="88"/>
      <c r="BKY86" s="88"/>
      <c r="BKZ86" s="88"/>
      <c r="BLA86" s="88"/>
      <c r="BLB86" s="88"/>
      <c r="BLC86" s="88"/>
      <c r="BLD86" s="88"/>
      <c r="BLE86" s="88"/>
      <c r="BLF86" s="88"/>
      <c r="BLG86" s="88"/>
      <c r="BLH86" s="88"/>
      <c r="BLI86" s="88"/>
      <c r="BLJ86" s="88"/>
      <c r="BLK86" s="88"/>
      <c r="BLL86" s="88"/>
      <c r="BLM86" s="88"/>
      <c r="BLN86" s="88"/>
      <c r="BLO86" s="88"/>
      <c r="BLP86" s="88"/>
      <c r="BLQ86" s="88"/>
      <c r="BLR86" s="88"/>
      <c r="BLS86" s="88"/>
      <c r="BLT86" s="88"/>
      <c r="BLU86" s="88"/>
      <c r="BLV86" s="88"/>
      <c r="BLW86" s="88"/>
      <c r="BLX86" s="88"/>
      <c r="BLY86" s="88"/>
      <c r="BLZ86" s="88"/>
      <c r="BMA86" s="88"/>
      <c r="BMB86" s="88"/>
      <c r="BMC86" s="88"/>
      <c r="BMD86" s="88"/>
      <c r="BME86" s="88"/>
      <c r="BMF86" s="88"/>
      <c r="BMG86" s="88"/>
      <c r="BMH86" s="88"/>
      <c r="BMI86" s="88"/>
      <c r="BMJ86" s="88"/>
      <c r="BMK86" s="88"/>
      <c r="BML86" s="88"/>
      <c r="BMM86" s="88"/>
      <c r="BMN86" s="88"/>
      <c r="BMO86" s="88"/>
      <c r="BMP86" s="88"/>
      <c r="BMQ86" s="88"/>
      <c r="BMR86" s="88"/>
      <c r="BMS86" s="88"/>
      <c r="BMT86" s="88"/>
      <c r="BMU86" s="88"/>
      <c r="BMV86" s="88"/>
      <c r="BMW86" s="88"/>
      <c r="BMX86" s="88"/>
      <c r="BMY86" s="88"/>
      <c r="BMZ86" s="88"/>
      <c r="BNA86" s="88"/>
      <c r="BNB86" s="88"/>
      <c r="BNC86" s="88"/>
      <c r="BND86" s="88"/>
      <c r="BNE86" s="88"/>
      <c r="BNF86" s="88"/>
      <c r="BNG86" s="88"/>
      <c r="BNH86" s="88"/>
      <c r="BNI86" s="88"/>
      <c r="BNJ86" s="88"/>
      <c r="BNK86" s="88"/>
      <c r="BNL86" s="88"/>
      <c r="BNM86" s="88"/>
      <c r="BNN86" s="88"/>
      <c r="BNO86" s="88"/>
      <c r="BNP86" s="88"/>
      <c r="BNQ86" s="88"/>
      <c r="BNR86" s="88"/>
      <c r="BNS86" s="88"/>
      <c r="BNT86" s="88"/>
      <c r="BNU86" s="88"/>
      <c r="BNV86" s="88"/>
      <c r="BNW86" s="88"/>
      <c r="BNX86" s="88"/>
      <c r="BNY86" s="88"/>
      <c r="BNZ86" s="88"/>
      <c r="BOA86" s="88"/>
      <c r="BOB86" s="88"/>
      <c r="BOC86" s="88"/>
      <c r="BOD86" s="88"/>
      <c r="BOE86" s="88"/>
      <c r="BOF86" s="88"/>
      <c r="BOG86" s="88"/>
      <c r="BOH86" s="88"/>
      <c r="BOI86" s="88"/>
      <c r="BOJ86" s="88"/>
      <c r="BOK86" s="88"/>
      <c r="BOL86" s="88"/>
      <c r="BOM86" s="88"/>
      <c r="BON86" s="88"/>
      <c r="BOO86" s="88"/>
      <c r="BOP86" s="88"/>
      <c r="BOQ86" s="88"/>
      <c r="BOR86" s="88"/>
      <c r="BOS86" s="88"/>
      <c r="BOT86" s="88"/>
      <c r="BOU86" s="88"/>
      <c r="BOV86" s="88"/>
      <c r="BOW86" s="88"/>
      <c r="BOX86" s="88"/>
      <c r="BOY86" s="88"/>
      <c r="BOZ86" s="88"/>
      <c r="BPA86" s="88"/>
      <c r="BPB86" s="88"/>
      <c r="BPC86" s="88"/>
      <c r="BPD86" s="88"/>
      <c r="BPE86" s="88"/>
      <c r="BPF86" s="88"/>
      <c r="BPG86" s="88"/>
      <c r="BPH86" s="88"/>
      <c r="BPI86" s="88"/>
      <c r="BPJ86" s="88"/>
      <c r="BPK86" s="88"/>
      <c r="BPL86" s="88"/>
      <c r="BPM86" s="88"/>
      <c r="BPN86" s="88"/>
      <c r="BPO86" s="88"/>
      <c r="BPP86" s="88"/>
      <c r="BPQ86" s="88"/>
      <c r="BPR86" s="88"/>
      <c r="BPS86" s="88"/>
      <c r="BPT86" s="88"/>
      <c r="BPU86" s="88"/>
      <c r="BPV86" s="88"/>
      <c r="BPW86" s="88"/>
      <c r="BPX86" s="88"/>
      <c r="BPY86" s="88"/>
      <c r="BPZ86" s="88"/>
      <c r="BQA86" s="88"/>
      <c r="BQB86" s="88"/>
      <c r="BQC86" s="88"/>
      <c r="BQD86" s="88"/>
      <c r="BQE86" s="88"/>
      <c r="BQF86" s="88"/>
      <c r="BQG86" s="88"/>
      <c r="BQH86" s="88"/>
      <c r="BQI86" s="88"/>
      <c r="BQJ86" s="88"/>
      <c r="BQK86" s="88"/>
      <c r="BQL86" s="88"/>
      <c r="BQM86" s="88"/>
      <c r="BQN86" s="88"/>
      <c r="BQO86" s="88"/>
      <c r="BQP86" s="88"/>
      <c r="BQQ86" s="88"/>
      <c r="BQR86" s="88"/>
      <c r="BQS86" s="88"/>
      <c r="BQT86" s="88"/>
      <c r="BQU86" s="88"/>
      <c r="BQV86" s="88"/>
      <c r="BQW86" s="88"/>
      <c r="BQX86" s="88"/>
      <c r="BQY86" s="88"/>
      <c r="BQZ86" s="88"/>
      <c r="BRA86" s="88"/>
      <c r="BRB86" s="88"/>
      <c r="BRC86" s="88"/>
      <c r="BRD86" s="88"/>
      <c r="BRE86" s="88"/>
      <c r="BRF86" s="88"/>
      <c r="BRG86" s="88"/>
      <c r="BRH86" s="88"/>
      <c r="BRI86" s="88"/>
      <c r="BRJ86" s="88"/>
      <c r="BRK86" s="88"/>
      <c r="BRL86" s="88"/>
      <c r="BRM86" s="88"/>
      <c r="BRN86" s="88"/>
      <c r="BRO86" s="88"/>
      <c r="BRP86" s="88"/>
      <c r="BRQ86" s="88"/>
      <c r="BRR86" s="88"/>
      <c r="BRS86" s="88"/>
      <c r="BRT86" s="88"/>
      <c r="BRU86" s="88"/>
      <c r="BRV86" s="88"/>
      <c r="BRW86" s="88"/>
      <c r="BRX86" s="88"/>
      <c r="BRY86" s="88"/>
      <c r="BRZ86" s="88"/>
      <c r="BSA86" s="88"/>
      <c r="BSB86" s="88"/>
      <c r="BSC86" s="88"/>
      <c r="BSD86" s="88"/>
      <c r="BSE86" s="88"/>
      <c r="BSF86" s="88"/>
      <c r="BSG86" s="88"/>
      <c r="BSH86" s="88"/>
      <c r="BSI86" s="88"/>
      <c r="BSJ86" s="88"/>
      <c r="BSK86" s="88"/>
      <c r="BSL86" s="88"/>
      <c r="BSM86" s="88"/>
      <c r="BSN86" s="88"/>
      <c r="BSO86" s="88"/>
      <c r="BSP86" s="88"/>
      <c r="BSQ86" s="88"/>
      <c r="BSR86" s="88"/>
      <c r="BSS86" s="88"/>
      <c r="BST86" s="88"/>
      <c r="BSU86" s="88"/>
      <c r="BSV86" s="88"/>
      <c r="BSW86" s="88"/>
      <c r="BSX86" s="88"/>
      <c r="BSY86" s="88"/>
      <c r="BSZ86" s="88"/>
      <c r="BTA86" s="88"/>
      <c r="BTB86" s="88"/>
      <c r="BTC86" s="88"/>
      <c r="BTD86" s="88"/>
      <c r="BTE86" s="88"/>
      <c r="BTF86" s="88"/>
      <c r="BTG86" s="88"/>
      <c r="BTH86" s="88"/>
      <c r="BTI86" s="88"/>
      <c r="BTJ86" s="88"/>
      <c r="BTK86" s="88"/>
      <c r="BTL86" s="88"/>
      <c r="BTM86" s="88"/>
      <c r="BTN86" s="88"/>
      <c r="BTO86" s="88"/>
      <c r="BTP86" s="88"/>
      <c r="BTQ86" s="88"/>
      <c r="BTR86" s="88"/>
      <c r="BTS86" s="88"/>
      <c r="BTT86" s="88"/>
      <c r="BTU86" s="88"/>
      <c r="BTV86" s="88"/>
      <c r="BTW86" s="88"/>
      <c r="BTX86" s="88"/>
      <c r="BTY86" s="88"/>
      <c r="BTZ86" s="88"/>
      <c r="BUA86" s="88"/>
      <c r="BUB86" s="88"/>
      <c r="BUC86" s="88"/>
      <c r="BUD86" s="88"/>
      <c r="BUE86" s="88"/>
      <c r="BUF86" s="88"/>
      <c r="BUG86" s="88"/>
      <c r="BUH86" s="88"/>
      <c r="BUI86" s="88"/>
      <c r="BUJ86" s="88"/>
      <c r="BUK86" s="88"/>
      <c r="BUL86" s="88"/>
      <c r="BUM86" s="88"/>
      <c r="BUN86" s="88"/>
      <c r="BUO86" s="88"/>
      <c r="BUP86" s="88"/>
      <c r="BUQ86" s="88"/>
      <c r="BUR86" s="88"/>
      <c r="BUS86" s="88"/>
      <c r="BUT86" s="88"/>
      <c r="BUU86" s="88"/>
      <c r="BUV86" s="88"/>
      <c r="BUW86" s="88"/>
      <c r="BUX86" s="88"/>
      <c r="BUY86" s="88"/>
      <c r="BUZ86" s="88"/>
      <c r="BVA86" s="88"/>
      <c r="BVB86" s="88"/>
      <c r="BVC86" s="88"/>
      <c r="BVD86" s="88"/>
      <c r="BVE86" s="88"/>
      <c r="BVF86" s="88"/>
      <c r="BVG86" s="88"/>
      <c r="BVH86" s="88"/>
      <c r="BVI86" s="88"/>
      <c r="BVJ86" s="88"/>
      <c r="BVK86" s="88"/>
      <c r="BVL86" s="88"/>
      <c r="BVM86" s="88"/>
      <c r="BVN86" s="88"/>
      <c r="BVO86" s="88"/>
      <c r="BVP86" s="88"/>
      <c r="BVQ86" s="88"/>
      <c r="BVR86" s="88"/>
      <c r="BVS86" s="88"/>
      <c r="BVT86" s="88"/>
      <c r="BVU86" s="88"/>
      <c r="BVV86" s="88"/>
      <c r="BVW86" s="88"/>
      <c r="BVX86" s="88"/>
      <c r="BVY86" s="88"/>
      <c r="BVZ86" s="88"/>
      <c r="BWA86" s="88"/>
      <c r="BWB86" s="88"/>
      <c r="BWC86" s="88"/>
      <c r="BWD86" s="88"/>
      <c r="BWE86" s="88"/>
      <c r="BWF86" s="88"/>
      <c r="BWG86" s="88"/>
      <c r="BWH86" s="88"/>
      <c r="BWI86" s="88"/>
      <c r="BWJ86" s="88"/>
      <c r="BWK86" s="88"/>
      <c r="BWL86" s="88"/>
      <c r="BWM86" s="88"/>
      <c r="BWN86" s="88"/>
      <c r="BWO86" s="88"/>
      <c r="BWP86" s="88"/>
      <c r="BWQ86" s="88"/>
      <c r="BWR86" s="88"/>
      <c r="BWS86" s="88"/>
      <c r="BWT86" s="88"/>
      <c r="BWU86" s="88"/>
      <c r="BWV86" s="88"/>
      <c r="BWW86" s="88"/>
      <c r="BWX86" s="88"/>
      <c r="BWY86" s="88"/>
      <c r="BWZ86" s="88"/>
      <c r="BXA86" s="88"/>
      <c r="BXB86" s="88"/>
      <c r="BXC86" s="88"/>
      <c r="BXD86" s="88"/>
      <c r="BXE86" s="88"/>
      <c r="BXF86" s="88"/>
      <c r="BXG86" s="88"/>
      <c r="BXH86" s="88"/>
      <c r="BXI86" s="88"/>
      <c r="BXJ86" s="88"/>
      <c r="BXK86" s="88"/>
      <c r="BXL86" s="88"/>
      <c r="BXM86" s="88"/>
      <c r="BXN86" s="88"/>
      <c r="BXO86" s="88"/>
      <c r="BXP86" s="88"/>
      <c r="BXQ86" s="88"/>
      <c r="BXR86" s="88"/>
      <c r="BXS86" s="88"/>
      <c r="BXT86" s="88"/>
      <c r="BXU86" s="88"/>
      <c r="BXV86" s="88"/>
      <c r="BXW86" s="88"/>
      <c r="BXX86" s="88"/>
      <c r="BXY86" s="88"/>
      <c r="BXZ86" s="88"/>
      <c r="BYA86" s="88"/>
      <c r="BYB86" s="88"/>
      <c r="BYC86" s="88"/>
      <c r="BYD86" s="88"/>
      <c r="BYE86" s="88"/>
      <c r="BYF86" s="88"/>
      <c r="BYG86" s="88"/>
      <c r="BYH86" s="88"/>
      <c r="BYI86" s="88"/>
      <c r="BYJ86" s="88"/>
      <c r="BYK86" s="88"/>
      <c r="BYL86" s="88"/>
      <c r="BYM86" s="88"/>
      <c r="BYN86" s="88"/>
      <c r="BYO86" s="88"/>
      <c r="BYP86" s="88"/>
      <c r="BYQ86" s="88"/>
      <c r="BYR86" s="88"/>
      <c r="BYS86" s="88"/>
      <c r="BYT86" s="88"/>
      <c r="BYU86" s="88"/>
      <c r="BYV86" s="88"/>
      <c r="BYW86" s="88"/>
      <c r="BYX86" s="88"/>
      <c r="BYY86" s="88"/>
      <c r="BYZ86" s="88"/>
      <c r="BZA86" s="88"/>
      <c r="BZB86" s="88"/>
      <c r="BZC86" s="88"/>
      <c r="BZD86" s="88"/>
      <c r="BZE86" s="88"/>
      <c r="BZF86" s="88"/>
      <c r="BZG86" s="88"/>
      <c r="BZH86" s="88"/>
      <c r="BZI86" s="88"/>
      <c r="BZJ86" s="88"/>
      <c r="BZK86" s="88"/>
      <c r="BZL86" s="88"/>
      <c r="BZM86" s="88"/>
      <c r="BZN86" s="88"/>
      <c r="BZO86" s="88"/>
      <c r="BZP86" s="88"/>
      <c r="BZQ86" s="88"/>
      <c r="BZR86" s="88"/>
      <c r="BZS86" s="88"/>
      <c r="BZT86" s="88"/>
      <c r="BZU86" s="88"/>
      <c r="BZV86" s="88"/>
      <c r="BZW86" s="88"/>
      <c r="BZX86" s="88"/>
      <c r="BZY86" s="88"/>
      <c r="BZZ86" s="88"/>
      <c r="CAA86" s="88"/>
      <c r="CAB86" s="88"/>
      <c r="CAC86" s="88"/>
      <c r="CAD86" s="88"/>
      <c r="CAE86" s="88"/>
      <c r="CAF86" s="88"/>
      <c r="CAG86" s="88"/>
      <c r="CAH86" s="88"/>
      <c r="CAI86" s="88"/>
      <c r="CAJ86" s="88"/>
      <c r="CAK86" s="88"/>
      <c r="CAL86" s="88"/>
      <c r="CAM86" s="88"/>
      <c r="CAN86" s="88"/>
      <c r="CAO86" s="88"/>
      <c r="CAP86" s="88"/>
      <c r="CAQ86" s="88"/>
      <c r="CAR86" s="88"/>
      <c r="CAS86" s="88"/>
      <c r="CAT86" s="88"/>
      <c r="CAU86" s="88"/>
      <c r="CAV86" s="88"/>
      <c r="CAW86" s="88"/>
      <c r="CAX86" s="88"/>
      <c r="CAY86" s="88"/>
      <c r="CAZ86" s="88"/>
      <c r="CBA86" s="88"/>
      <c r="CBB86" s="88"/>
      <c r="CBC86" s="88"/>
      <c r="CBD86" s="88"/>
      <c r="CBE86" s="88"/>
      <c r="CBF86" s="88"/>
      <c r="CBG86" s="88"/>
      <c r="CBH86" s="88"/>
      <c r="CBI86" s="88"/>
      <c r="CBJ86" s="88"/>
      <c r="CBK86" s="88"/>
      <c r="CBL86" s="88"/>
      <c r="CBM86" s="88"/>
      <c r="CBN86" s="88"/>
      <c r="CBO86" s="88"/>
      <c r="CBP86" s="88"/>
      <c r="CBQ86" s="88"/>
      <c r="CBR86" s="88"/>
      <c r="CBS86" s="88"/>
      <c r="CBT86" s="88"/>
      <c r="CBU86" s="88"/>
      <c r="CBV86" s="88"/>
      <c r="CBW86" s="88"/>
      <c r="CBX86" s="88"/>
      <c r="CBY86" s="88"/>
      <c r="CBZ86" s="88"/>
      <c r="CCA86" s="88"/>
      <c r="CCB86" s="88"/>
      <c r="CCC86" s="88"/>
      <c r="CCD86" s="88"/>
      <c r="CCE86" s="88"/>
      <c r="CCF86" s="88"/>
      <c r="CCG86" s="88"/>
      <c r="CCH86" s="88"/>
      <c r="CCI86" s="88"/>
      <c r="CCJ86" s="88"/>
      <c r="CCK86" s="88"/>
      <c r="CCL86" s="88"/>
      <c r="CCM86" s="88"/>
      <c r="CCN86" s="88"/>
      <c r="CCO86" s="88"/>
      <c r="CCP86" s="88"/>
      <c r="CCQ86" s="88"/>
      <c r="CCR86" s="88"/>
      <c r="CCS86" s="88"/>
      <c r="CCT86" s="88"/>
      <c r="CCU86" s="88"/>
      <c r="CCV86" s="88"/>
      <c r="CCW86" s="88"/>
      <c r="CCX86" s="88"/>
      <c r="CCY86" s="88"/>
      <c r="CCZ86" s="88"/>
      <c r="CDA86" s="88"/>
      <c r="CDB86" s="88"/>
      <c r="CDC86" s="88"/>
      <c r="CDD86" s="88"/>
      <c r="CDE86" s="88"/>
      <c r="CDF86" s="88"/>
      <c r="CDG86" s="88"/>
      <c r="CDH86" s="88"/>
      <c r="CDI86" s="88"/>
      <c r="CDJ86" s="88"/>
      <c r="CDK86" s="88"/>
      <c r="CDL86" s="88"/>
      <c r="CDM86" s="88"/>
      <c r="CDN86" s="88"/>
      <c r="CDO86" s="88"/>
      <c r="CDP86" s="88"/>
      <c r="CDQ86" s="88"/>
      <c r="CDR86" s="88"/>
      <c r="CDS86" s="88"/>
      <c r="CDT86" s="88"/>
      <c r="CDU86" s="88"/>
      <c r="CDV86" s="88"/>
      <c r="CDW86" s="88"/>
      <c r="CDX86" s="88"/>
      <c r="CDY86" s="88"/>
      <c r="CDZ86" s="88"/>
      <c r="CEA86" s="88"/>
      <c r="CEB86" s="88"/>
      <c r="CEC86" s="88"/>
      <c r="CED86" s="88"/>
      <c r="CEE86" s="88"/>
      <c r="CEF86" s="88"/>
      <c r="CEG86" s="88"/>
      <c r="CEH86" s="88"/>
      <c r="CEI86" s="88"/>
      <c r="CEJ86" s="88"/>
      <c r="CEK86" s="88"/>
    </row>
    <row r="87" spans="1:2169" s="63" customFormat="1">
      <c r="A87" s="73" t="s">
        <v>2863</v>
      </c>
      <c r="B87" s="73" t="s">
        <v>2864</v>
      </c>
      <c r="C87" s="68" t="str">
        <f>IF('page 2'!$O$4="","",IF('page 2'!$O$4=Gestion!A87,1,0))</f>
        <v/>
      </c>
      <c r="D87" s="68" t="str">
        <f>IF('page 2'!$O$5="","",IF('page 2'!$O$5=Gestion!A87,1,0))</f>
        <v/>
      </c>
      <c r="E87" s="68" t="str">
        <f>IF('page 2'!$O$6="","",IF('page 2'!$O$6=Gestion!A87,1,0))</f>
        <v/>
      </c>
      <c r="F87" s="68" t="str">
        <f>IF('page 2'!$O$7="","",IF('page 2'!$O$7=Gestion!A87,1,0))</f>
        <v/>
      </c>
      <c r="G87" s="68" t="str">
        <f>IF('page 2'!$O$8="","",IF('page 2'!$O$8=Gestion!A87,1,0))</f>
        <v/>
      </c>
      <c r="H87" s="68" t="str">
        <f>IF('page 2'!$O$9="","",IF('page 2'!$O$9=Gestion!A87,1,0))</f>
        <v/>
      </c>
      <c r="I87" s="68" t="str">
        <f>IF('page 2'!$O$10="","",IF('page 2'!$O$10=Gestion!A87,1,0))</f>
        <v/>
      </c>
      <c r="J87" s="68" t="str">
        <f>IF('page 2'!$O$11="","",IF('page 2'!$O$11=Gestion!A87,1,0))</f>
        <v/>
      </c>
      <c r="K87" s="68" t="str">
        <f>IF('page 2'!$O$12="","",IF('page 2'!$O$12=Gestion!A87,1,0))</f>
        <v/>
      </c>
      <c r="L87" s="68" t="str">
        <f>IF('page 2'!$O$13="","",IF('page 2'!$O$13=Gestion!A87,1,0))</f>
        <v/>
      </c>
      <c r="M87" s="68" t="str">
        <f>IF('page 2'!$O$14="","",IF('page 2'!$O$14=Gestion!A87,1,0))</f>
        <v/>
      </c>
      <c r="N87" s="68" t="str">
        <f>IF('page 2'!$O$15="","",IF('page 2'!$O$15=Gestion!A87,1,0))</f>
        <v/>
      </c>
      <c r="O87" s="68" t="str">
        <f>IF('page 2'!$O$16="","",IF('page 2'!$O$16=Gestion!A87,1,0))</f>
        <v/>
      </c>
      <c r="P87" s="68" t="str">
        <f>IF('page 2'!$O$17="","",IF('page 2'!$O$17=Gestion!A87,1,0))</f>
        <v/>
      </c>
      <c r="Q87" s="68" t="str">
        <f>IF('page 2'!$O$18="","",IF('page 2'!$O$18=Gestion!A87,1,0))</f>
        <v/>
      </c>
      <c r="R87" s="68" t="str">
        <f>IF('page 2'!$O$19="","",IF('page 2'!$O$19=Gestion!A87,1,0))</f>
        <v/>
      </c>
      <c r="S87" s="68" t="str">
        <f>IF('page 2'!$O$20="","",IF('page 2'!$O$20=Gestion!A87,1,0))</f>
        <v/>
      </c>
      <c r="T87" s="68" t="str">
        <f>IF('page 2'!$O$25="","",IF('page 2'!$O$25=Gestion!A87,1,0))</f>
        <v/>
      </c>
      <c r="U87" s="68" t="str">
        <f>IF('page 2'!$O$26="","",IF('page 2'!$O$26=Gestion!A87,1,0))</f>
        <v/>
      </c>
      <c r="V87" s="68" t="str">
        <f>IF('page 2'!$O$27="","",IF('page 2'!$O$27=Gestion!A87,1,0))</f>
        <v/>
      </c>
      <c r="W87" s="722">
        <f t="shared" si="14"/>
        <v>0</v>
      </c>
      <c r="X87" s="714"/>
      <c r="Y87" s="68"/>
      <c r="Z87" s="68"/>
      <c r="AA87" s="68"/>
      <c r="AB87" s="68"/>
      <c r="AC87" s="68"/>
      <c r="AD87" s="68"/>
      <c r="AP87" s="130"/>
      <c r="AQ87" s="130"/>
      <c r="AR87" s="130"/>
      <c r="AS87" s="602"/>
      <c r="AT87" s="602"/>
      <c r="AU87" s="602"/>
      <c r="AV87" s="602"/>
      <c r="AW87" s="602"/>
      <c r="AX87" s="602"/>
      <c r="AY87" s="602"/>
      <c r="AZ87" s="602"/>
      <c r="BA87" s="602"/>
      <c r="BB87" s="602"/>
      <c r="BC87" s="602"/>
      <c r="BD87" s="602"/>
      <c r="BE87" s="602"/>
      <c r="BF87" s="602"/>
      <c r="BG87" s="602"/>
      <c r="BH87" s="602"/>
      <c r="BI87" s="602"/>
      <c r="BJ87" s="602"/>
      <c r="BK87" s="602"/>
      <c r="BL87" s="602"/>
      <c r="BM87" s="602"/>
      <c r="BN87" s="602"/>
      <c r="BO87" s="602"/>
      <c r="BP87" s="602"/>
      <c r="BQ87" s="602"/>
      <c r="BR87" s="602"/>
      <c r="BS87" s="602"/>
      <c r="BT87" s="602"/>
      <c r="BU87" s="602"/>
      <c r="BV87" s="602"/>
      <c r="BW87" s="602"/>
      <c r="BX87" s="602"/>
      <c r="BY87" s="602"/>
      <c r="BZ87" s="602"/>
      <c r="CA87" s="602"/>
      <c r="CB87" s="602"/>
      <c r="CC87" s="602"/>
      <c r="CD87" s="602"/>
      <c r="CE87" s="602"/>
      <c r="CF87" s="602"/>
      <c r="CG87" s="602"/>
      <c r="CH87" s="602"/>
      <c r="CI87" s="602"/>
      <c r="CJ87" s="602"/>
      <c r="CK87" s="602"/>
      <c r="CL87" s="602"/>
      <c r="CM87" s="602"/>
      <c r="CN87" s="602"/>
      <c r="CO87" s="602"/>
      <c r="CP87" s="602"/>
      <c r="CQ87" s="602"/>
      <c r="CR87" s="602"/>
      <c r="CS87" s="602"/>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c r="HF87" s="88"/>
      <c r="HG87" s="88"/>
      <c r="HH87" s="88"/>
      <c r="HI87" s="88"/>
      <c r="HJ87" s="88"/>
      <c r="HK87" s="88"/>
      <c r="HL87" s="88"/>
      <c r="HM87" s="88"/>
      <c r="HN87" s="88"/>
      <c r="HO87" s="88"/>
      <c r="HP87" s="88"/>
      <c r="HQ87" s="88"/>
      <c r="HR87" s="88"/>
      <c r="HS87" s="88"/>
      <c r="HT87" s="88"/>
      <c r="HU87" s="88"/>
      <c r="HV87" s="88"/>
      <c r="HW87" s="88"/>
      <c r="HX87" s="88"/>
      <c r="HY87" s="88"/>
      <c r="HZ87" s="88"/>
      <c r="IA87" s="88"/>
      <c r="IB87" s="88"/>
      <c r="IC87" s="88"/>
      <c r="ID87" s="88"/>
      <c r="IE87" s="88"/>
      <c r="IF87" s="88"/>
      <c r="IG87" s="88"/>
      <c r="IH87" s="88"/>
      <c r="II87" s="88"/>
      <c r="IJ87" s="88"/>
      <c r="IK87" s="88"/>
      <c r="IL87" s="88"/>
      <c r="IM87" s="88"/>
      <c r="IN87" s="88"/>
      <c r="IO87" s="88"/>
      <c r="IP87" s="88"/>
      <c r="IQ87" s="88"/>
      <c r="IR87" s="88"/>
      <c r="IS87" s="88"/>
      <c r="IT87" s="88"/>
      <c r="IU87" s="88"/>
      <c r="IV87" s="88"/>
      <c r="IW87" s="88"/>
      <c r="IX87" s="88"/>
      <c r="IY87" s="88"/>
      <c r="IZ87" s="88"/>
      <c r="JA87" s="88"/>
      <c r="JB87" s="88"/>
      <c r="JC87" s="88"/>
      <c r="JD87" s="88"/>
      <c r="JE87" s="88"/>
      <c r="JF87" s="88"/>
      <c r="JG87" s="88"/>
      <c r="JH87" s="88"/>
      <c r="JI87" s="88"/>
      <c r="JJ87" s="88"/>
      <c r="JK87" s="88"/>
      <c r="JL87" s="88"/>
      <c r="JM87" s="88"/>
      <c r="JN87" s="88"/>
      <c r="JO87" s="88"/>
      <c r="JP87" s="88"/>
      <c r="JQ87" s="88"/>
      <c r="JR87" s="88"/>
      <c r="JS87" s="88"/>
      <c r="JT87" s="88"/>
      <c r="JU87" s="88"/>
      <c r="JV87" s="88"/>
      <c r="JW87" s="88"/>
      <c r="JX87" s="88"/>
      <c r="JY87" s="88"/>
      <c r="JZ87" s="88"/>
      <c r="KA87" s="88"/>
      <c r="KB87" s="88"/>
      <c r="KC87" s="88"/>
      <c r="KD87" s="88"/>
      <c r="KE87" s="88"/>
      <c r="KF87" s="88"/>
      <c r="KG87" s="88"/>
      <c r="KH87" s="88"/>
      <c r="KI87" s="88"/>
      <c r="KJ87" s="88"/>
      <c r="KK87" s="88"/>
      <c r="KL87" s="88"/>
      <c r="KM87" s="88"/>
      <c r="KN87" s="88"/>
      <c r="KO87" s="88"/>
      <c r="KP87" s="88"/>
      <c r="KQ87" s="88"/>
      <c r="KR87" s="88"/>
      <c r="KS87" s="88"/>
      <c r="KT87" s="88"/>
      <c r="KU87" s="88"/>
      <c r="KV87" s="88"/>
      <c r="KW87" s="88"/>
      <c r="KX87" s="88"/>
      <c r="KY87" s="88"/>
      <c r="KZ87" s="88"/>
      <c r="LA87" s="88"/>
      <c r="LB87" s="88"/>
      <c r="LC87" s="88"/>
      <c r="LD87" s="88"/>
      <c r="LE87" s="88"/>
      <c r="LF87" s="88"/>
      <c r="LG87" s="88"/>
      <c r="LH87" s="88"/>
      <c r="LI87" s="88"/>
      <c r="LJ87" s="88"/>
      <c r="LK87" s="88"/>
      <c r="LL87" s="88"/>
      <c r="LM87" s="88"/>
      <c r="LN87" s="88"/>
      <c r="LO87" s="88"/>
      <c r="LP87" s="88"/>
      <c r="LQ87" s="88"/>
      <c r="LR87" s="88"/>
      <c r="LS87" s="88"/>
      <c r="LT87" s="88"/>
      <c r="LU87" s="88"/>
      <c r="LV87" s="88"/>
      <c r="LW87" s="88"/>
      <c r="LX87" s="88"/>
      <c r="LY87" s="88"/>
      <c r="LZ87" s="88"/>
      <c r="MA87" s="88"/>
      <c r="MB87" s="88"/>
      <c r="MC87" s="88"/>
      <c r="MD87" s="88"/>
      <c r="ME87" s="88"/>
      <c r="MF87" s="88"/>
      <c r="MG87" s="88"/>
      <c r="MH87" s="88"/>
      <c r="MI87" s="88"/>
      <c r="MJ87" s="88"/>
      <c r="MK87" s="88"/>
      <c r="ML87" s="88"/>
      <c r="MM87" s="88"/>
      <c r="MN87" s="88"/>
      <c r="MO87" s="88"/>
      <c r="MP87" s="88"/>
      <c r="MQ87" s="88"/>
      <c r="MR87" s="88"/>
      <c r="MS87" s="88"/>
      <c r="MT87" s="88"/>
      <c r="MU87" s="88"/>
      <c r="MV87" s="88"/>
      <c r="MW87" s="88"/>
      <c r="MX87" s="88"/>
      <c r="MY87" s="88"/>
      <c r="MZ87" s="88"/>
      <c r="NA87" s="88"/>
      <c r="NB87" s="88"/>
      <c r="NC87" s="88"/>
      <c r="ND87" s="88"/>
      <c r="NE87" s="88"/>
      <c r="NF87" s="88"/>
      <c r="NG87" s="88"/>
      <c r="NH87" s="88"/>
      <c r="NI87" s="88"/>
      <c r="NJ87" s="88"/>
      <c r="NK87" s="88"/>
      <c r="NL87" s="88"/>
      <c r="NM87" s="88"/>
      <c r="NN87" s="88"/>
      <c r="NO87" s="88"/>
      <c r="NP87" s="88"/>
      <c r="NQ87" s="88"/>
      <c r="NR87" s="88"/>
      <c r="NS87" s="88"/>
      <c r="NT87" s="88"/>
      <c r="NU87" s="88"/>
      <c r="NV87" s="88"/>
      <c r="NW87" s="88"/>
      <c r="NX87" s="88"/>
      <c r="NY87" s="88"/>
      <c r="NZ87" s="88"/>
      <c r="OA87" s="88"/>
      <c r="OB87" s="88"/>
      <c r="OC87" s="88"/>
      <c r="OD87" s="88"/>
      <c r="OE87" s="88"/>
      <c r="OF87" s="88"/>
      <c r="OG87" s="88"/>
      <c r="OH87" s="88"/>
      <c r="OI87" s="88"/>
      <c r="OJ87" s="88"/>
      <c r="OK87" s="88"/>
      <c r="OL87" s="88"/>
      <c r="OM87" s="88"/>
      <c r="ON87" s="88"/>
      <c r="OO87" s="88"/>
      <c r="OP87" s="88"/>
      <c r="OQ87" s="88"/>
      <c r="OR87" s="88"/>
      <c r="OS87" s="88"/>
      <c r="OT87" s="88"/>
      <c r="OU87" s="88"/>
      <c r="OV87" s="88"/>
      <c r="OW87" s="88"/>
      <c r="OX87" s="88"/>
      <c r="OY87" s="88"/>
      <c r="OZ87" s="88"/>
      <c r="PA87" s="88"/>
      <c r="PB87" s="88"/>
      <c r="PC87" s="88"/>
      <c r="PD87" s="88"/>
      <c r="PE87" s="88"/>
      <c r="PF87" s="88"/>
      <c r="PG87" s="88"/>
      <c r="PH87" s="88"/>
      <c r="PI87" s="88"/>
      <c r="PJ87" s="88"/>
      <c r="PK87" s="88"/>
      <c r="PL87" s="88"/>
      <c r="PM87" s="88"/>
      <c r="PN87" s="88"/>
      <c r="PO87" s="88"/>
      <c r="PP87" s="88"/>
      <c r="PQ87" s="88"/>
      <c r="PR87" s="88"/>
      <c r="PS87" s="88"/>
      <c r="PT87" s="88"/>
      <c r="PU87" s="88"/>
      <c r="PV87" s="88"/>
      <c r="PW87" s="88"/>
      <c r="PX87" s="88"/>
      <c r="PY87" s="88"/>
      <c r="PZ87" s="88"/>
      <c r="QA87" s="88"/>
      <c r="QB87" s="88"/>
      <c r="QC87" s="88"/>
      <c r="QD87" s="88"/>
      <c r="QE87" s="88"/>
      <c r="QF87" s="88"/>
      <c r="QG87" s="88"/>
      <c r="QH87" s="88"/>
      <c r="QI87" s="88"/>
      <c r="QJ87" s="88"/>
      <c r="QK87" s="88"/>
      <c r="QL87" s="88"/>
      <c r="QM87" s="88"/>
      <c r="QN87" s="88"/>
      <c r="QO87" s="88"/>
      <c r="QP87" s="88"/>
      <c r="QQ87" s="88"/>
      <c r="QR87" s="88"/>
      <c r="QS87" s="88"/>
      <c r="QT87" s="88"/>
      <c r="QU87" s="88"/>
      <c r="QV87" s="88"/>
      <c r="QW87" s="88"/>
      <c r="QX87" s="88"/>
      <c r="QY87" s="88"/>
      <c r="QZ87" s="88"/>
      <c r="RA87" s="88"/>
      <c r="RB87" s="88"/>
      <c r="RC87" s="88"/>
      <c r="RD87" s="88"/>
      <c r="RE87" s="88"/>
      <c r="RF87" s="88"/>
      <c r="RG87" s="88"/>
      <c r="RH87" s="88"/>
      <c r="RI87" s="88"/>
      <c r="RJ87" s="88"/>
      <c r="RK87" s="88"/>
      <c r="RL87" s="88"/>
      <c r="RM87" s="88"/>
      <c r="RN87" s="88"/>
      <c r="RO87" s="88"/>
      <c r="RP87" s="88"/>
      <c r="RQ87" s="88"/>
      <c r="RR87" s="88"/>
      <c r="RS87" s="88"/>
      <c r="RT87" s="88"/>
      <c r="RU87" s="88"/>
      <c r="RV87" s="88"/>
      <c r="RW87" s="88"/>
      <c r="RX87" s="88"/>
      <c r="RY87" s="88"/>
      <c r="RZ87" s="88"/>
      <c r="SA87" s="88"/>
      <c r="SB87" s="88"/>
      <c r="SC87" s="88"/>
      <c r="SD87" s="88"/>
      <c r="SE87" s="88"/>
      <c r="SF87" s="88"/>
      <c r="SG87" s="88"/>
      <c r="SH87" s="88"/>
      <c r="SI87" s="88"/>
      <c r="SJ87" s="88"/>
      <c r="SK87" s="88"/>
      <c r="SL87" s="88"/>
      <c r="SM87" s="88"/>
      <c r="SN87" s="88"/>
      <c r="SO87" s="88"/>
      <c r="SP87" s="88"/>
      <c r="SQ87" s="88"/>
      <c r="SR87" s="88"/>
      <c r="SS87" s="88"/>
      <c r="ST87" s="88"/>
      <c r="SU87" s="88"/>
      <c r="SV87" s="88"/>
      <c r="SW87" s="88"/>
      <c r="SX87" s="88"/>
      <c r="SY87" s="88"/>
      <c r="SZ87" s="88"/>
      <c r="TA87" s="88"/>
      <c r="TB87" s="88"/>
      <c r="TC87" s="88"/>
      <c r="TD87" s="88"/>
      <c r="TE87" s="88"/>
      <c r="TF87" s="88"/>
      <c r="TG87" s="88"/>
      <c r="TH87" s="88"/>
      <c r="TI87" s="88"/>
      <c r="TJ87" s="88"/>
      <c r="TK87" s="88"/>
      <c r="TL87" s="88"/>
      <c r="TM87" s="88"/>
      <c r="TN87" s="88"/>
      <c r="TO87" s="88"/>
      <c r="TP87" s="88"/>
      <c r="TQ87" s="88"/>
      <c r="TR87" s="88"/>
      <c r="TS87" s="88"/>
      <c r="TT87" s="88"/>
      <c r="TU87" s="88"/>
      <c r="TV87" s="88"/>
      <c r="TW87" s="88"/>
      <c r="TX87" s="88"/>
      <c r="TY87" s="88"/>
      <c r="TZ87" s="88"/>
      <c r="UA87" s="88"/>
      <c r="UB87" s="88"/>
      <c r="UC87" s="88"/>
      <c r="UD87" s="88"/>
      <c r="UE87" s="88"/>
      <c r="UF87" s="88"/>
      <c r="UG87" s="88"/>
      <c r="UH87" s="88"/>
      <c r="UI87" s="88"/>
      <c r="UJ87" s="88"/>
      <c r="UK87" s="88"/>
      <c r="UL87" s="88"/>
      <c r="UM87" s="88"/>
      <c r="UN87" s="88"/>
      <c r="UO87" s="88"/>
      <c r="UP87" s="88"/>
      <c r="UQ87" s="88"/>
      <c r="UR87" s="88"/>
      <c r="US87" s="88"/>
      <c r="UT87" s="88"/>
      <c r="UU87" s="88"/>
      <c r="UV87" s="88"/>
      <c r="UW87" s="88"/>
      <c r="UX87" s="88"/>
      <c r="UY87" s="88"/>
      <c r="UZ87" s="88"/>
      <c r="VA87" s="88"/>
      <c r="VB87" s="88"/>
      <c r="VC87" s="88"/>
      <c r="VD87" s="88"/>
      <c r="VE87" s="88"/>
      <c r="VF87" s="88"/>
      <c r="VG87" s="88"/>
      <c r="VH87" s="88"/>
      <c r="VI87" s="88"/>
      <c r="VJ87" s="88"/>
      <c r="VK87" s="88"/>
      <c r="VL87" s="88"/>
      <c r="VM87" s="88"/>
      <c r="VN87" s="88"/>
      <c r="VO87" s="88"/>
      <c r="VP87" s="88"/>
      <c r="VQ87" s="88"/>
      <c r="VR87" s="88"/>
      <c r="VS87" s="88"/>
      <c r="VT87" s="88"/>
      <c r="VU87" s="88"/>
      <c r="VV87" s="88"/>
      <c r="VW87" s="88"/>
      <c r="VX87" s="88"/>
      <c r="VY87" s="88"/>
      <c r="VZ87" s="88"/>
      <c r="WA87" s="88"/>
      <c r="WB87" s="88"/>
      <c r="WC87" s="88"/>
      <c r="WD87" s="88"/>
      <c r="WE87" s="88"/>
      <c r="WF87" s="88"/>
      <c r="WG87" s="88"/>
      <c r="WH87" s="88"/>
      <c r="WI87" s="88"/>
      <c r="WJ87" s="88"/>
      <c r="WK87" s="88"/>
      <c r="WL87" s="88"/>
      <c r="WM87" s="88"/>
      <c r="WN87" s="88"/>
      <c r="WO87" s="88"/>
      <c r="WP87" s="88"/>
      <c r="WQ87" s="88"/>
      <c r="WR87" s="88"/>
      <c r="WS87" s="88"/>
      <c r="WT87" s="88"/>
      <c r="WU87" s="88"/>
      <c r="WV87" s="88"/>
      <c r="WW87" s="88"/>
      <c r="WX87" s="88"/>
      <c r="WY87" s="88"/>
      <c r="WZ87" s="88"/>
      <c r="XA87" s="88"/>
      <c r="XB87" s="88"/>
      <c r="XC87" s="88"/>
      <c r="XD87" s="88"/>
      <c r="XE87" s="88"/>
      <c r="XF87" s="88"/>
      <c r="XG87" s="88"/>
      <c r="XH87" s="88"/>
      <c r="XI87" s="88"/>
      <c r="XJ87" s="88"/>
      <c r="XK87" s="88"/>
      <c r="XL87" s="88"/>
      <c r="XM87" s="88"/>
      <c r="XN87" s="88"/>
      <c r="XO87" s="88"/>
      <c r="XP87" s="88"/>
      <c r="XQ87" s="88"/>
      <c r="XR87" s="88"/>
      <c r="XS87" s="88"/>
      <c r="XT87" s="88"/>
      <c r="XU87" s="88"/>
      <c r="XV87" s="88"/>
      <c r="XW87" s="88"/>
      <c r="XX87" s="88"/>
      <c r="XY87" s="88"/>
      <c r="XZ87" s="88"/>
      <c r="YA87" s="88"/>
      <c r="YB87" s="88"/>
      <c r="YC87" s="88"/>
      <c r="YD87" s="88"/>
      <c r="YE87" s="88"/>
      <c r="YF87" s="88"/>
      <c r="YG87" s="88"/>
      <c r="YH87" s="88"/>
      <c r="YI87" s="88"/>
      <c r="YJ87" s="88"/>
      <c r="YK87" s="88"/>
      <c r="YL87" s="88"/>
      <c r="YM87" s="88"/>
      <c r="YN87" s="88"/>
      <c r="YO87" s="88"/>
      <c r="YP87" s="88"/>
      <c r="YQ87" s="88"/>
      <c r="YR87" s="88"/>
      <c r="YS87" s="88"/>
      <c r="YT87" s="88"/>
      <c r="YU87" s="88"/>
      <c r="YV87" s="88"/>
      <c r="YW87" s="88"/>
      <c r="YX87" s="88"/>
      <c r="YY87" s="88"/>
      <c r="YZ87" s="88"/>
      <c r="ZA87" s="88"/>
      <c r="ZB87" s="88"/>
      <c r="ZC87" s="88"/>
      <c r="ZD87" s="88"/>
      <c r="ZE87" s="88"/>
      <c r="ZF87" s="88"/>
      <c r="ZG87" s="88"/>
      <c r="ZH87" s="88"/>
      <c r="ZI87" s="88"/>
      <c r="ZJ87" s="88"/>
      <c r="ZK87" s="88"/>
      <c r="ZL87" s="88"/>
      <c r="ZM87" s="88"/>
      <c r="ZN87" s="88"/>
      <c r="ZO87" s="88"/>
      <c r="ZP87" s="88"/>
      <c r="ZQ87" s="88"/>
      <c r="ZR87" s="88"/>
      <c r="ZS87" s="88"/>
      <c r="ZT87" s="88"/>
      <c r="ZU87" s="88"/>
      <c r="ZV87" s="88"/>
      <c r="ZW87" s="88"/>
      <c r="ZX87" s="88"/>
      <c r="ZY87" s="88"/>
      <c r="ZZ87" s="88"/>
      <c r="AAA87" s="88"/>
      <c r="AAB87" s="88"/>
      <c r="AAC87" s="88"/>
      <c r="AAD87" s="88"/>
      <c r="AAE87" s="88"/>
      <c r="AAF87" s="88"/>
      <c r="AAG87" s="88"/>
      <c r="AAH87" s="88"/>
      <c r="AAI87" s="88"/>
      <c r="AAJ87" s="88"/>
      <c r="AAK87" s="88"/>
      <c r="AAL87" s="88"/>
      <c r="AAM87" s="88"/>
      <c r="AAN87" s="88"/>
      <c r="AAO87" s="88"/>
      <c r="AAP87" s="88"/>
      <c r="AAQ87" s="88"/>
      <c r="AAR87" s="88"/>
      <c r="AAS87" s="88"/>
      <c r="AAT87" s="88"/>
      <c r="AAU87" s="88"/>
      <c r="AAV87" s="88"/>
      <c r="AAW87" s="88"/>
      <c r="AAX87" s="88"/>
      <c r="AAY87" s="88"/>
      <c r="AAZ87" s="88"/>
      <c r="ABA87" s="88"/>
      <c r="ABB87" s="88"/>
      <c r="ABC87" s="88"/>
      <c r="ABD87" s="88"/>
      <c r="ABE87" s="88"/>
      <c r="ABF87" s="88"/>
      <c r="ABG87" s="88"/>
      <c r="ABH87" s="88"/>
      <c r="ABI87" s="88"/>
      <c r="ABJ87" s="88"/>
      <c r="ABK87" s="88"/>
      <c r="ABL87" s="88"/>
      <c r="ABM87" s="88"/>
      <c r="ABN87" s="88"/>
      <c r="ABO87" s="88"/>
      <c r="ABP87" s="88"/>
      <c r="ABQ87" s="88"/>
      <c r="ABR87" s="88"/>
      <c r="ABS87" s="88"/>
      <c r="ABT87" s="88"/>
      <c r="ABU87" s="88"/>
      <c r="ABV87" s="88"/>
      <c r="ABW87" s="88"/>
      <c r="ABX87" s="88"/>
      <c r="ABY87" s="88"/>
      <c r="ABZ87" s="88"/>
      <c r="ACA87" s="88"/>
      <c r="ACB87" s="88"/>
      <c r="ACC87" s="88"/>
      <c r="ACD87" s="88"/>
      <c r="ACE87" s="88"/>
      <c r="ACF87" s="88"/>
      <c r="ACG87" s="88"/>
      <c r="ACH87" s="88"/>
      <c r="ACI87" s="88"/>
      <c r="ACJ87" s="88"/>
      <c r="ACK87" s="88"/>
      <c r="ACL87" s="88"/>
      <c r="ACM87" s="88"/>
      <c r="ACN87" s="88"/>
      <c r="ACO87" s="88"/>
      <c r="ACP87" s="88"/>
      <c r="ACQ87" s="88"/>
      <c r="ACR87" s="88"/>
      <c r="ACS87" s="88"/>
      <c r="ACT87" s="88"/>
      <c r="ACU87" s="88"/>
      <c r="ACV87" s="88"/>
      <c r="ACW87" s="88"/>
      <c r="ACX87" s="88"/>
      <c r="ACY87" s="88"/>
      <c r="ACZ87" s="88"/>
      <c r="ADA87" s="88"/>
      <c r="ADB87" s="88"/>
      <c r="ADC87" s="88"/>
      <c r="ADD87" s="88"/>
      <c r="ADE87" s="88"/>
      <c r="ADF87" s="88"/>
      <c r="ADG87" s="88"/>
      <c r="ADH87" s="88"/>
      <c r="ADI87" s="88"/>
      <c r="ADJ87" s="88"/>
      <c r="ADK87" s="88"/>
      <c r="ADL87" s="88"/>
      <c r="ADM87" s="88"/>
      <c r="ADN87" s="88"/>
      <c r="ADO87" s="88"/>
      <c r="ADP87" s="88"/>
      <c r="ADQ87" s="88"/>
      <c r="ADR87" s="88"/>
      <c r="ADS87" s="88"/>
      <c r="ADT87" s="88"/>
      <c r="ADU87" s="88"/>
      <c r="ADV87" s="88"/>
      <c r="ADW87" s="88"/>
      <c r="ADX87" s="88"/>
      <c r="ADY87" s="88"/>
      <c r="ADZ87" s="88"/>
      <c r="AEA87" s="88"/>
      <c r="AEB87" s="88"/>
      <c r="AEC87" s="88"/>
      <c r="AED87" s="88"/>
      <c r="AEE87" s="88"/>
      <c r="AEF87" s="88"/>
      <c r="AEG87" s="88"/>
      <c r="AEH87" s="88"/>
      <c r="AEI87" s="88"/>
      <c r="AEJ87" s="88"/>
      <c r="AEK87" s="88"/>
      <c r="AEL87" s="88"/>
      <c r="AEM87" s="88"/>
      <c r="AEN87" s="88"/>
      <c r="AEO87" s="88"/>
      <c r="AEP87" s="88"/>
      <c r="AEQ87" s="88"/>
      <c r="AER87" s="88"/>
      <c r="AES87" s="88"/>
      <c r="AET87" s="88"/>
      <c r="AEU87" s="88"/>
      <c r="AEV87" s="88"/>
      <c r="AEW87" s="88"/>
      <c r="AEX87" s="88"/>
      <c r="AEY87" s="88"/>
      <c r="AEZ87" s="88"/>
      <c r="AFA87" s="88"/>
      <c r="AFB87" s="88"/>
      <c r="AFC87" s="88"/>
      <c r="AFD87" s="88"/>
      <c r="AFE87" s="88"/>
      <c r="AFF87" s="88"/>
      <c r="AFG87" s="88"/>
      <c r="AFH87" s="88"/>
      <c r="AFI87" s="88"/>
      <c r="AFJ87" s="88"/>
      <c r="AFK87" s="88"/>
      <c r="AFL87" s="88"/>
      <c r="AFM87" s="88"/>
      <c r="AFN87" s="88"/>
      <c r="AFO87" s="88"/>
      <c r="AFP87" s="88"/>
      <c r="AFQ87" s="88"/>
      <c r="AFR87" s="88"/>
      <c r="AFS87" s="88"/>
      <c r="AFT87" s="88"/>
      <c r="AFU87" s="88"/>
      <c r="AFV87" s="88"/>
      <c r="AFW87" s="88"/>
      <c r="AFX87" s="88"/>
      <c r="AFY87" s="88"/>
      <c r="AFZ87" s="88"/>
      <c r="AGA87" s="88"/>
      <c r="AGB87" s="88"/>
      <c r="AGC87" s="88"/>
      <c r="AGD87" s="88"/>
      <c r="AGE87" s="88"/>
      <c r="AGF87" s="88"/>
      <c r="AGG87" s="88"/>
      <c r="AGH87" s="88"/>
      <c r="AGI87" s="88"/>
      <c r="AGJ87" s="88"/>
      <c r="AGK87" s="88"/>
      <c r="AGL87" s="88"/>
      <c r="AGM87" s="88"/>
      <c r="AGN87" s="88"/>
      <c r="AGO87" s="88"/>
      <c r="AGP87" s="88"/>
      <c r="AGQ87" s="88"/>
      <c r="AGR87" s="88"/>
      <c r="AGS87" s="88"/>
      <c r="AGT87" s="88"/>
      <c r="AGU87" s="88"/>
      <c r="AGV87" s="88"/>
      <c r="AGW87" s="88"/>
      <c r="AGX87" s="88"/>
      <c r="AGY87" s="88"/>
      <c r="AGZ87" s="88"/>
      <c r="AHA87" s="88"/>
      <c r="AHB87" s="88"/>
      <c r="AHC87" s="88"/>
      <c r="AHD87" s="88"/>
      <c r="AHE87" s="88"/>
      <c r="AHF87" s="88"/>
      <c r="AHG87" s="88"/>
      <c r="AHH87" s="88"/>
      <c r="AHI87" s="88"/>
      <c r="AHJ87" s="88"/>
      <c r="AHK87" s="88"/>
      <c r="AHL87" s="88"/>
      <c r="AHM87" s="88"/>
      <c r="AHN87" s="88"/>
      <c r="AHO87" s="88"/>
      <c r="AHP87" s="88"/>
      <c r="AHQ87" s="88"/>
      <c r="AHR87" s="88"/>
      <c r="AHS87" s="88"/>
      <c r="AHT87" s="88"/>
      <c r="AHU87" s="88"/>
      <c r="AHV87" s="88"/>
      <c r="AHW87" s="88"/>
      <c r="AHX87" s="88"/>
      <c r="AHY87" s="88"/>
      <c r="AHZ87" s="88"/>
      <c r="AIA87" s="88"/>
      <c r="AIB87" s="88"/>
      <c r="AIC87" s="88"/>
      <c r="AID87" s="88"/>
      <c r="AIE87" s="88"/>
      <c r="AIF87" s="88"/>
      <c r="AIG87" s="88"/>
      <c r="AIH87" s="88"/>
      <c r="AII87" s="88"/>
      <c r="AIJ87" s="88"/>
      <c r="AIK87" s="88"/>
      <c r="AIL87" s="88"/>
      <c r="AIM87" s="88"/>
      <c r="AIN87" s="88"/>
      <c r="AIO87" s="88"/>
      <c r="AIP87" s="88"/>
      <c r="AIQ87" s="88"/>
      <c r="AIR87" s="88"/>
      <c r="AIS87" s="88"/>
      <c r="AIT87" s="88"/>
      <c r="AIU87" s="88"/>
      <c r="AIV87" s="88"/>
      <c r="AIW87" s="88"/>
      <c r="AIX87" s="88"/>
      <c r="AIY87" s="88"/>
      <c r="AIZ87" s="88"/>
      <c r="AJA87" s="88"/>
      <c r="AJB87" s="88"/>
      <c r="AJC87" s="88"/>
      <c r="AJD87" s="88"/>
      <c r="AJE87" s="88"/>
      <c r="AJF87" s="88"/>
      <c r="AJG87" s="88"/>
      <c r="AJH87" s="88"/>
      <c r="AJI87" s="88"/>
      <c r="AJJ87" s="88"/>
      <c r="AJK87" s="88"/>
      <c r="AJL87" s="88"/>
      <c r="AJM87" s="88"/>
      <c r="AJN87" s="88"/>
      <c r="AJO87" s="88"/>
      <c r="AJP87" s="88"/>
      <c r="AJQ87" s="88"/>
      <c r="AJR87" s="88"/>
      <c r="AJS87" s="88"/>
      <c r="AJT87" s="88"/>
      <c r="AJU87" s="88"/>
      <c r="AJV87" s="88"/>
      <c r="AJW87" s="88"/>
      <c r="AJX87" s="88"/>
      <c r="AJY87" s="88"/>
      <c r="AJZ87" s="88"/>
      <c r="AKA87" s="88"/>
      <c r="AKB87" s="88"/>
      <c r="AKC87" s="88"/>
      <c r="AKD87" s="88"/>
      <c r="AKE87" s="88"/>
      <c r="AKF87" s="88"/>
      <c r="AKG87" s="88"/>
      <c r="AKH87" s="88"/>
      <c r="AKI87" s="88"/>
      <c r="AKJ87" s="88"/>
      <c r="AKK87" s="88"/>
      <c r="AKL87" s="88"/>
      <c r="AKM87" s="88"/>
      <c r="AKN87" s="88"/>
      <c r="AKO87" s="88"/>
      <c r="AKP87" s="88"/>
      <c r="AKQ87" s="88"/>
      <c r="AKR87" s="88"/>
      <c r="AKS87" s="88"/>
      <c r="AKT87" s="88"/>
      <c r="AKU87" s="88"/>
      <c r="AKV87" s="88"/>
      <c r="AKW87" s="88"/>
      <c r="AKX87" s="88"/>
      <c r="AKY87" s="88"/>
      <c r="AKZ87" s="88"/>
      <c r="ALA87" s="88"/>
      <c r="ALB87" s="88"/>
      <c r="ALC87" s="88"/>
      <c r="ALD87" s="88"/>
      <c r="ALE87" s="88"/>
      <c r="ALF87" s="88"/>
      <c r="ALG87" s="88"/>
      <c r="ALH87" s="88"/>
      <c r="ALI87" s="88"/>
      <c r="ALJ87" s="88"/>
      <c r="ALK87" s="88"/>
      <c r="ALL87" s="88"/>
      <c r="ALM87" s="88"/>
      <c r="ALN87" s="88"/>
      <c r="ALO87" s="88"/>
      <c r="ALP87" s="88"/>
      <c r="ALQ87" s="88"/>
      <c r="ALR87" s="88"/>
      <c r="ALS87" s="88"/>
      <c r="ALT87" s="88"/>
      <c r="ALU87" s="88"/>
      <c r="ALV87" s="88"/>
      <c r="ALW87" s="88"/>
      <c r="ALX87" s="88"/>
      <c r="ALY87" s="88"/>
      <c r="ALZ87" s="88"/>
      <c r="AMA87" s="88"/>
      <c r="AMB87" s="88"/>
      <c r="AMC87" s="88"/>
      <c r="AMD87" s="88"/>
      <c r="AME87" s="88"/>
      <c r="AMF87" s="88"/>
      <c r="AMG87" s="88"/>
      <c r="AMH87" s="88"/>
      <c r="AMI87" s="88"/>
      <c r="AMJ87" s="88"/>
      <c r="AMK87" s="88"/>
      <c r="AML87" s="88"/>
      <c r="AMM87" s="88"/>
      <c r="AMN87" s="88"/>
      <c r="AMO87" s="88"/>
      <c r="AMP87" s="88"/>
      <c r="AMQ87" s="88"/>
      <c r="AMR87" s="88"/>
      <c r="AMS87" s="88"/>
      <c r="AMT87" s="88"/>
      <c r="AMU87" s="88"/>
      <c r="AMV87" s="88"/>
      <c r="AMW87" s="88"/>
      <c r="AMX87" s="88"/>
      <c r="AMY87" s="88"/>
      <c r="AMZ87" s="88"/>
      <c r="ANA87" s="88"/>
      <c r="ANB87" s="88"/>
      <c r="ANC87" s="88"/>
      <c r="AND87" s="88"/>
      <c r="ANE87" s="88"/>
      <c r="ANF87" s="88"/>
      <c r="ANG87" s="88"/>
      <c r="ANH87" s="88"/>
      <c r="ANI87" s="88"/>
      <c r="ANJ87" s="88"/>
      <c r="ANK87" s="88"/>
      <c r="ANL87" s="88"/>
      <c r="ANM87" s="88"/>
      <c r="ANN87" s="88"/>
      <c r="ANO87" s="88"/>
      <c r="ANP87" s="88"/>
      <c r="ANQ87" s="88"/>
      <c r="ANR87" s="88"/>
      <c r="ANS87" s="88"/>
      <c r="ANT87" s="88"/>
      <c r="ANU87" s="88"/>
      <c r="ANV87" s="88"/>
      <c r="ANW87" s="88"/>
      <c r="ANX87" s="88"/>
      <c r="ANY87" s="88"/>
      <c r="ANZ87" s="88"/>
      <c r="AOA87" s="88"/>
      <c r="AOB87" s="88"/>
      <c r="AOC87" s="88"/>
      <c r="AOD87" s="88"/>
      <c r="AOE87" s="88"/>
      <c r="AOF87" s="88"/>
      <c r="AOG87" s="88"/>
      <c r="AOH87" s="88"/>
      <c r="AOI87" s="88"/>
      <c r="AOJ87" s="88"/>
      <c r="AOK87" s="88"/>
      <c r="AOL87" s="88"/>
      <c r="AOM87" s="88"/>
      <c r="AON87" s="88"/>
      <c r="AOO87" s="88"/>
      <c r="AOP87" s="88"/>
      <c r="AOQ87" s="88"/>
      <c r="AOR87" s="88"/>
      <c r="AOS87" s="88"/>
      <c r="AOT87" s="88"/>
      <c r="AOU87" s="88"/>
      <c r="AOV87" s="88"/>
      <c r="AOW87" s="88"/>
      <c r="AOX87" s="88"/>
      <c r="AOY87" s="88"/>
      <c r="AOZ87" s="88"/>
      <c r="APA87" s="88"/>
      <c r="APB87" s="88"/>
      <c r="APC87" s="88"/>
      <c r="APD87" s="88"/>
      <c r="APE87" s="88"/>
      <c r="APF87" s="88"/>
      <c r="APG87" s="88"/>
      <c r="APH87" s="88"/>
      <c r="API87" s="88"/>
      <c r="APJ87" s="88"/>
      <c r="APK87" s="88"/>
      <c r="APL87" s="88"/>
      <c r="APM87" s="88"/>
      <c r="APN87" s="88"/>
      <c r="APO87" s="88"/>
      <c r="APP87" s="88"/>
      <c r="APQ87" s="88"/>
      <c r="APR87" s="88"/>
      <c r="APS87" s="88"/>
      <c r="APT87" s="88"/>
      <c r="APU87" s="88"/>
      <c r="APV87" s="88"/>
      <c r="APW87" s="88"/>
      <c r="APX87" s="88"/>
      <c r="APY87" s="88"/>
      <c r="APZ87" s="88"/>
      <c r="AQA87" s="88"/>
      <c r="AQB87" s="88"/>
      <c r="AQC87" s="88"/>
      <c r="AQD87" s="88"/>
      <c r="AQE87" s="88"/>
      <c r="AQF87" s="88"/>
      <c r="AQG87" s="88"/>
      <c r="AQH87" s="88"/>
      <c r="AQI87" s="88"/>
      <c r="AQJ87" s="88"/>
      <c r="AQK87" s="88"/>
      <c r="AQL87" s="88"/>
      <c r="AQM87" s="88"/>
      <c r="AQN87" s="88"/>
      <c r="AQO87" s="88"/>
      <c r="AQP87" s="88"/>
      <c r="AQQ87" s="88"/>
      <c r="AQR87" s="88"/>
      <c r="AQS87" s="88"/>
      <c r="AQT87" s="88"/>
      <c r="AQU87" s="88"/>
      <c r="AQV87" s="88"/>
      <c r="AQW87" s="88"/>
      <c r="AQX87" s="88"/>
      <c r="AQY87" s="88"/>
      <c r="AQZ87" s="88"/>
      <c r="ARA87" s="88"/>
      <c r="ARB87" s="88"/>
      <c r="ARC87" s="88"/>
      <c r="ARD87" s="88"/>
      <c r="ARE87" s="88"/>
      <c r="ARF87" s="88"/>
      <c r="ARG87" s="88"/>
      <c r="ARH87" s="88"/>
      <c r="ARI87" s="88"/>
      <c r="ARJ87" s="88"/>
      <c r="ARK87" s="88"/>
      <c r="ARL87" s="88"/>
      <c r="ARM87" s="88"/>
      <c r="ARN87" s="88"/>
      <c r="ARO87" s="88"/>
      <c r="ARP87" s="88"/>
      <c r="ARQ87" s="88"/>
      <c r="ARR87" s="88"/>
      <c r="ARS87" s="88"/>
      <c r="ART87" s="88"/>
      <c r="ARU87" s="88"/>
      <c r="ARV87" s="88"/>
      <c r="ARW87" s="88"/>
      <c r="ARX87" s="88"/>
      <c r="ARY87" s="88"/>
      <c r="ARZ87" s="88"/>
      <c r="ASA87" s="88"/>
      <c r="ASB87" s="88"/>
      <c r="ASC87" s="88"/>
      <c r="ASD87" s="88"/>
      <c r="ASE87" s="88"/>
      <c r="ASF87" s="88"/>
      <c r="ASG87" s="88"/>
      <c r="ASH87" s="88"/>
      <c r="ASI87" s="88"/>
      <c r="ASJ87" s="88"/>
      <c r="ASK87" s="88"/>
      <c r="ASL87" s="88"/>
      <c r="ASM87" s="88"/>
      <c r="ASN87" s="88"/>
      <c r="ASO87" s="88"/>
      <c r="ASP87" s="88"/>
      <c r="ASQ87" s="88"/>
      <c r="ASR87" s="88"/>
      <c r="ASS87" s="88"/>
      <c r="AST87" s="88"/>
      <c r="ASU87" s="88"/>
      <c r="ASV87" s="88"/>
      <c r="ASW87" s="88"/>
      <c r="ASX87" s="88"/>
      <c r="ASY87" s="88"/>
      <c r="ASZ87" s="88"/>
      <c r="ATA87" s="88"/>
      <c r="ATB87" s="88"/>
      <c r="ATC87" s="88"/>
      <c r="ATD87" s="88"/>
      <c r="ATE87" s="88"/>
      <c r="ATF87" s="88"/>
      <c r="ATG87" s="88"/>
      <c r="ATH87" s="88"/>
      <c r="ATI87" s="88"/>
      <c r="ATJ87" s="88"/>
      <c r="ATK87" s="88"/>
      <c r="ATL87" s="88"/>
      <c r="ATM87" s="88"/>
      <c r="ATN87" s="88"/>
      <c r="ATO87" s="88"/>
      <c r="ATP87" s="88"/>
      <c r="ATQ87" s="88"/>
      <c r="ATR87" s="88"/>
      <c r="ATS87" s="88"/>
      <c r="ATT87" s="88"/>
      <c r="ATU87" s="88"/>
      <c r="ATV87" s="88"/>
      <c r="ATW87" s="88"/>
      <c r="ATX87" s="88"/>
      <c r="ATY87" s="88"/>
      <c r="ATZ87" s="88"/>
      <c r="AUA87" s="88"/>
      <c r="AUB87" s="88"/>
      <c r="AUC87" s="88"/>
      <c r="AUD87" s="88"/>
      <c r="AUE87" s="88"/>
      <c r="AUF87" s="88"/>
      <c r="AUG87" s="88"/>
      <c r="AUH87" s="88"/>
      <c r="AUI87" s="88"/>
      <c r="AUJ87" s="88"/>
      <c r="AUK87" s="88"/>
      <c r="AUL87" s="88"/>
      <c r="AUM87" s="88"/>
      <c r="AUN87" s="88"/>
      <c r="AUO87" s="88"/>
      <c r="AUP87" s="88"/>
      <c r="AUQ87" s="88"/>
      <c r="AUR87" s="88"/>
      <c r="AUS87" s="88"/>
      <c r="AUT87" s="88"/>
      <c r="AUU87" s="88"/>
      <c r="AUV87" s="88"/>
      <c r="AUW87" s="88"/>
      <c r="AUX87" s="88"/>
      <c r="AUY87" s="88"/>
      <c r="AUZ87" s="88"/>
      <c r="AVA87" s="88"/>
      <c r="AVB87" s="88"/>
      <c r="AVC87" s="88"/>
      <c r="AVD87" s="88"/>
      <c r="AVE87" s="88"/>
      <c r="AVF87" s="88"/>
      <c r="AVG87" s="88"/>
      <c r="AVH87" s="88"/>
      <c r="AVI87" s="88"/>
      <c r="AVJ87" s="88"/>
      <c r="AVK87" s="88"/>
      <c r="AVL87" s="88"/>
      <c r="AVM87" s="88"/>
      <c r="AVN87" s="88"/>
      <c r="AVO87" s="88"/>
      <c r="AVP87" s="88"/>
      <c r="AVQ87" s="88"/>
      <c r="AVR87" s="88"/>
      <c r="AVS87" s="88"/>
      <c r="AVT87" s="88"/>
      <c r="AVU87" s="88"/>
      <c r="AVV87" s="88"/>
      <c r="AVW87" s="88"/>
      <c r="AVX87" s="88"/>
      <c r="AVY87" s="88"/>
      <c r="AVZ87" s="88"/>
      <c r="AWA87" s="88"/>
      <c r="AWB87" s="88"/>
      <c r="AWC87" s="88"/>
      <c r="AWD87" s="88"/>
      <c r="AWE87" s="88"/>
      <c r="AWF87" s="88"/>
      <c r="AWG87" s="88"/>
      <c r="AWH87" s="88"/>
      <c r="AWI87" s="88"/>
      <c r="AWJ87" s="88"/>
      <c r="AWK87" s="88"/>
      <c r="AWL87" s="88"/>
      <c r="AWM87" s="88"/>
      <c r="AWN87" s="88"/>
      <c r="AWO87" s="88"/>
      <c r="AWP87" s="88"/>
      <c r="AWQ87" s="88"/>
      <c r="AWR87" s="88"/>
      <c r="AWS87" s="88"/>
      <c r="AWT87" s="88"/>
      <c r="AWU87" s="88"/>
      <c r="AWV87" s="88"/>
      <c r="AWW87" s="88"/>
      <c r="AWX87" s="88"/>
      <c r="AWY87" s="88"/>
      <c r="AWZ87" s="88"/>
      <c r="AXA87" s="88"/>
      <c r="AXB87" s="88"/>
      <c r="AXC87" s="88"/>
      <c r="AXD87" s="88"/>
      <c r="AXE87" s="88"/>
      <c r="AXF87" s="88"/>
      <c r="AXG87" s="88"/>
      <c r="AXH87" s="88"/>
      <c r="AXI87" s="88"/>
      <c r="AXJ87" s="88"/>
      <c r="AXK87" s="88"/>
      <c r="AXL87" s="88"/>
      <c r="AXM87" s="88"/>
      <c r="AXN87" s="88"/>
      <c r="AXO87" s="88"/>
      <c r="AXP87" s="88"/>
      <c r="AXQ87" s="88"/>
      <c r="AXR87" s="88"/>
      <c r="AXS87" s="88"/>
      <c r="AXT87" s="88"/>
      <c r="AXU87" s="88"/>
      <c r="AXV87" s="88"/>
      <c r="AXW87" s="88"/>
      <c r="AXX87" s="88"/>
      <c r="AXY87" s="88"/>
      <c r="AXZ87" s="88"/>
      <c r="AYA87" s="88"/>
      <c r="AYB87" s="88"/>
      <c r="AYC87" s="88"/>
      <c r="AYD87" s="88"/>
      <c r="AYE87" s="88"/>
      <c r="AYF87" s="88"/>
      <c r="AYG87" s="88"/>
      <c r="AYH87" s="88"/>
      <c r="AYI87" s="88"/>
      <c r="AYJ87" s="88"/>
      <c r="AYK87" s="88"/>
      <c r="AYL87" s="88"/>
      <c r="AYM87" s="88"/>
      <c r="AYN87" s="88"/>
      <c r="AYO87" s="88"/>
      <c r="AYP87" s="88"/>
      <c r="AYQ87" s="88"/>
      <c r="AYR87" s="88"/>
      <c r="AYS87" s="88"/>
      <c r="AYT87" s="88"/>
      <c r="AYU87" s="88"/>
      <c r="AYV87" s="88"/>
      <c r="AYW87" s="88"/>
      <c r="AYX87" s="88"/>
      <c r="AYY87" s="88"/>
      <c r="AYZ87" s="88"/>
      <c r="AZA87" s="88"/>
      <c r="AZB87" s="88"/>
      <c r="AZC87" s="88"/>
      <c r="AZD87" s="88"/>
      <c r="AZE87" s="88"/>
      <c r="AZF87" s="88"/>
      <c r="AZG87" s="88"/>
      <c r="AZH87" s="88"/>
      <c r="AZI87" s="88"/>
      <c r="AZJ87" s="88"/>
      <c r="AZK87" s="88"/>
      <c r="AZL87" s="88"/>
      <c r="AZM87" s="88"/>
      <c r="AZN87" s="88"/>
      <c r="AZO87" s="88"/>
      <c r="AZP87" s="88"/>
      <c r="AZQ87" s="88"/>
      <c r="AZR87" s="88"/>
      <c r="AZS87" s="88"/>
      <c r="AZT87" s="88"/>
      <c r="AZU87" s="88"/>
      <c r="AZV87" s="88"/>
      <c r="AZW87" s="88"/>
      <c r="AZX87" s="88"/>
      <c r="AZY87" s="88"/>
      <c r="AZZ87" s="88"/>
      <c r="BAA87" s="88"/>
      <c r="BAB87" s="88"/>
      <c r="BAC87" s="88"/>
      <c r="BAD87" s="88"/>
      <c r="BAE87" s="88"/>
      <c r="BAF87" s="88"/>
      <c r="BAG87" s="88"/>
      <c r="BAH87" s="88"/>
      <c r="BAI87" s="88"/>
      <c r="BAJ87" s="88"/>
      <c r="BAK87" s="88"/>
      <c r="BAL87" s="88"/>
      <c r="BAM87" s="88"/>
      <c r="BAN87" s="88"/>
      <c r="BAO87" s="88"/>
      <c r="BAP87" s="88"/>
      <c r="BAQ87" s="88"/>
      <c r="BAR87" s="88"/>
      <c r="BAS87" s="88"/>
      <c r="BAT87" s="88"/>
      <c r="BAU87" s="88"/>
      <c r="BAV87" s="88"/>
      <c r="BAW87" s="88"/>
      <c r="BAX87" s="88"/>
      <c r="BAY87" s="88"/>
      <c r="BAZ87" s="88"/>
      <c r="BBA87" s="88"/>
      <c r="BBB87" s="88"/>
      <c r="BBC87" s="88"/>
      <c r="BBD87" s="88"/>
      <c r="BBE87" s="88"/>
      <c r="BBF87" s="88"/>
      <c r="BBG87" s="88"/>
      <c r="BBH87" s="88"/>
      <c r="BBI87" s="88"/>
      <c r="BBJ87" s="88"/>
      <c r="BBK87" s="88"/>
      <c r="BBL87" s="88"/>
      <c r="BBM87" s="88"/>
      <c r="BBN87" s="88"/>
      <c r="BBO87" s="88"/>
      <c r="BBP87" s="88"/>
      <c r="BBQ87" s="88"/>
      <c r="BBR87" s="88"/>
      <c r="BBS87" s="88"/>
      <c r="BBT87" s="88"/>
      <c r="BBU87" s="88"/>
      <c r="BBV87" s="88"/>
      <c r="BBW87" s="88"/>
      <c r="BBX87" s="88"/>
      <c r="BBY87" s="88"/>
      <c r="BBZ87" s="88"/>
      <c r="BCA87" s="88"/>
      <c r="BCB87" s="88"/>
      <c r="BCC87" s="88"/>
      <c r="BCD87" s="88"/>
      <c r="BCE87" s="88"/>
      <c r="BCF87" s="88"/>
      <c r="BCG87" s="88"/>
      <c r="BCH87" s="88"/>
      <c r="BCI87" s="88"/>
      <c r="BCJ87" s="88"/>
      <c r="BCK87" s="88"/>
      <c r="BCL87" s="88"/>
      <c r="BCM87" s="88"/>
      <c r="BCN87" s="88"/>
      <c r="BCO87" s="88"/>
      <c r="BCP87" s="88"/>
      <c r="BCQ87" s="88"/>
      <c r="BCR87" s="88"/>
      <c r="BCS87" s="88"/>
      <c r="BCT87" s="88"/>
      <c r="BCU87" s="88"/>
      <c r="BCV87" s="88"/>
      <c r="BCW87" s="88"/>
      <c r="BCX87" s="88"/>
      <c r="BCY87" s="88"/>
      <c r="BCZ87" s="88"/>
      <c r="BDA87" s="88"/>
      <c r="BDB87" s="88"/>
      <c r="BDC87" s="88"/>
      <c r="BDD87" s="88"/>
      <c r="BDE87" s="88"/>
      <c r="BDF87" s="88"/>
      <c r="BDG87" s="88"/>
      <c r="BDH87" s="88"/>
      <c r="BDI87" s="88"/>
      <c r="BDJ87" s="88"/>
      <c r="BDK87" s="88"/>
      <c r="BDL87" s="88"/>
      <c r="BDM87" s="88"/>
      <c r="BDN87" s="88"/>
      <c r="BDO87" s="88"/>
      <c r="BDP87" s="88"/>
      <c r="BDQ87" s="88"/>
      <c r="BDR87" s="88"/>
      <c r="BDS87" s="88"/>
      <c r="BDT87" s="88"/>
      <c r="BDU87" s="88"/>
      <c r="BDV87" s="88"/>
      <c r="BDW87" s="88"/>
      <c r="BDX87" s="88"/>
      <c r="BDY87" s="88"/>
      <c r="BDZ87" s="88"/>
      <c r="BEA87" s="88"/>
      <c r="BEB87" s="88"/>
      <c r="BEC87" s="88"/>
      <c r="BED87" s="88"/>
      <c r="BEE87" s="88"/>
      <c r="BEF87" s="88"/>
      <c r="BEG87" s="88"/>
      <c r="BEH87" s="88"/>
      <c r="BEI87" s="88"/>
      <c r="BEJ87" s="88"/>
      <c r="BEK87" s="88"/>
      <c r="BEL87" s="88"/>
      <c r="BEM87" s="88"/>
      <c r="BEN87" s="88"/>
      <c r="BEO87" s="88"/>
      <c r="BEP87" s="88"/>
      <c r="BEQ87" s="88"/>
      <c r="BER87" s="88"/>
      <c r="BES87" s="88"/>
      <c r="BET87" s="88"/>
      <c r="BEU87" s="88"/>
      <c r="BEV87" s="88"/>
      <c r="BEW87" s="88"/>
      <c r="BEX87" s="88"/>
      <c r="BEY87" s="88"/>
      <c r="BEZ87" s="88"/>
      <c r="BFA87" s="88"/>
      <c r="BFB87" s="88"/>
      <c r="BFC87" s="88"/>
      <c r="BFD87" s="88"/>
      <c r="BFE87" s="88"/>
      <c r="BFF87" s="88"/>
      <c r="BFG87" s="88"/>
      <c r="BFH87" s="88"/>
      <c r="BFI87" s="88"/>
      <c r="BFJ87" s="88"/>
      <c r="BFK87" s="88"/>
      <c r="BFL87" s="88"/>
      <c r="BFM87" s="88"/>
      <c r="BFN87" s="88"/>
      <c r="BFO87" s="88"/>
      <c r="BFP87" s="88"/>
      <c r="BFQ87" s="88"/>
      <c r="BFR87" s="88"/>
      <c r="BFS87" s="88"/>
      <c r="BFT87" s="88"/>
      <c r="BFU87" s="88"/>
      <c r="BFV87" s="88"/>
      <c r="BFW87" s="88"/>
      <c r="BFX87" s="88"/>
      <c r="BFY87" s="88"/>
      <c r="BFZ87" s="88"/>
      <c r="BGA87" s="88"/>
      <c r="BGB87" s="88"/>
      <c r="BGC87" s="88"/>
      <c r="BGD87" s="88"/>
      <c r="BGE87" s="88"/>
      <c r="BGF87" s="88"/>
      <c r="BGG87" s="88"/>
      <c r="BGH87" s="88"/>
      <c r="BGI87" s="88"/>
      <c r="BGJ87" s="88"/>
      <c r="BGK87" s="88"/>
      <c r="BGL87" s="88"/>
      <c r="BGM87" s="88"/>
      <c r="BGN87" s="88"/>
      <c r="BGO87" s="88"/>
      <c r="BGP87" s="88"/>
      <c r="BGQ87" s="88"/>
      <c r="BGR87" s="88"/>
      <c r="BGS87" s="88"/>
      <c r="BGT87" s="88"/>
      <c r="BGU87" s="88"/>
      <c r="BGV87" s="88"/>
      <c r="BGW87" s="88"/>
      <c r="BGX87" s="88"/>
      <c r="BGY87" s="88"/>
      <c r="BGZ87" s="88"/>
      <c r="BHA87" s="88"/>
      <c r="BHB87" s="88"/>
      <c r="BHC87" s="88"/>
      <c r="BHD87" s="88"/>
      <c r="BHE87" s="88"/>
      <c r="BHF87" s="88"/>
      <c r="BHG87" s="88"/>
      <c r="BHH87" s="88"/>
      <c r="BHI87" s="88"/>
      <c r="BHJ87" s="88"/>
      <c r="BHK87" s="88"/>
      <c r="BHL87" s="88"/>
      <c r="BHM87" s="88"/>
      <c r="BHN87" s="88"/>
      <c r="BHO87" s="88"/>
      <c r="BHP87" s="88"/>
      <c r="BHQ87" s="88"/>
      <c r="BHR87" s="88"/>
      <c r="BHS87" s="88"/>
      <c r="BHT87" s="88"/>
      <c r="BHU87" s="88"/>
      <c r="BHV87" s="88"/>
      <c r="BHW87" s="88"/>
      <c r="BHX87" s="88"/>
      <c r="BHY87" s="88"/>
      <c r="BHZ87" s="88"/>
      <c r="BIA87" s="88"/>
      <c r="BIB87" s="88"/>
      <c r="BIC87" s="88"/>
      <c r="BID87" s="88"/>
      <c r="BIE87" s="88"/>
      <c r="BIF87" s="88"/>
      <c r="BIG87" s="88"/>
      <c r="BIH87" s="88"/>
      <c r="BII87" s="88"/>
      <c r="BIJ87" s="88"/>
      <c r="BIK87" s="88"/>
      <c r="BIL87" s="88"/>
      <c r="BIM87" s="88"/>
      <c r="BIN87" s="88"/>
      <c r="BIO87" s="88"/>
      <c r="BIP87" s="88"/>
      <c r="BIQ87" s="88"/>
      <c r="BIR87" s="88"/>
      <c r="BIS87" s="88"/>
      <c r="BIT87" s="88"/>
      <c r="BIU87" s="88"/>
      <c r="BIV87" s="88"/>
      <c r="BIW87" s="88"/>
      <c r="BIX87" s="88"/>
      <c r="BIY87" s="88"/>
      <c r="BIZ87" s="88"/>
      <c r="BJA87" s="88"/>
      <c r="BJB87" s="88"/>
      <c r="BJC87" s="88"/>
      <c r="BJD87" s="88"/>
      <c r="BJE87" s="88"/>
      <c r="BJF87" s="88"/>
      <c r="BJG87" s="88"/>
      <c r="BJH87" s="88"/>
      <c r="BJI87" s="88"/>
      <c r="BJJ87" s="88"/>
      <c r="BJK87" s="88"/>
      <c r="BJL87" s="88"/>
      <c r="BJM87" s="88"/>
      <c r="BJN87" s="88"/>
      <c r="BJO87" s="88"/>
      <c r="BJP87" s="88"/>
      <c r="BJQ87" s="88"/>
      <c r="BJR87" s="88"/>
      <c r="BJS87" s="88"/>
      <c r="BJT87" s="88"/>
      <c r="BJU87" s="88"/>
      <c r="BJV87" s="88"/>
      <c r="BJW87" s="88"/>
      <c r="BJX87" s="88"/>
      <c r="BJY87" s="88"/>
      <c r="BJZ87" s="88"/>
      <c r="BKA87" s="88"/>
      <c r="BKB87" s="88"/>
      <c r="BKC87" s="88"/>
      <c r="BKD87" s="88"/>
      <c r="BKE87" s="88"/>
      <c r="BKF87" s="88"/>
      <c r="BKG87" s="88"/>
      <c r="BKH87" s="88"/>
      <c r="BKI87" s="88"/>
      <c r="BKJ87" s="88"/>
      <c r="BKK87" s="88"/>
      <c r="BKL87" s="88"/>
      <c r="BKM87" s="88"/>
      <c r="BKN87" s="88"/>
      <c r="BKO87" s="88"/>
      <c r="BKP87" s="88"/>
      <c r="BKQ87" s="88"/>
      <c r="BKR87" s="88"/>
      <c r="BKS87" s="88"/>
      <c r="BKT87" s="88"/>
      <c r="BKU87" s="88"/>
      <c r="BKV87" s="88"/>
      <c r="BKW87" s="88"/>
      <c r="BKX87" s="88"/>
      <c r="BKY87" s="88"/>
      <c r="BKZ87" s="88"/>
      <c r="BLA87" s="88"/>
      <c r="BLB87" s="88"/>
      <c r="BLC87" s="88"/>
      <c r="BLD87" s="88"/>
      <c r="BLE87" s="88"/>
      <c r="BLF87" s="88"/>
      <c r="BLG87" s="88"/>
      <c r="BLH87" s="88"/>
      <c r="BLI87" s="88"/>
      <c r="BLJ87" s="88"/>
      <c r="BLK87" s="88"/>
      <c r="BLL87" s="88"/>
      <c r="BLM87" s="88"/>
      <c r="BLN87" s="88"/>
      <c r="BLO87" s="88"/>
      <c r="BLP87" s="88"/>
      <c r="BLQ87" s="88"/>
      <c r="BLR87" s="88"/>
      <c r="BLS87" s="88"/>
      <c r="BLT87" s="88"/>
      <c r="BLU87" s="88"/>
      <c r="BLV87" s="88"/>
      <c r="BLW87" s="88"/>
      <c r="BLX87" s="88"/>
      <c r="BLY87" s="88"/>
      <c r="BLZ87" s="88"/>
      <c r="BMA87" s="88"/>
      <c r="BMB87" s="88"/>
      <c r="BMC87" s="88"/>
      <c r="BMD87" s="88"/>
      <c r="BME87" s="88"/>
      <c r="BMF87" s="88"/>
      <c r="BMG87" s="88"/>
      <c r="BMH87" s="88"/>
      <c r="BMI87" s="88"/>
      <c r="BMJ87" s="88"/>
      <c r="BMK87" s="88"/>
      <c r="BML87" s="88"/>
      <c r="BMM87" s="88"/>
      <c r="BMN87" s="88"/>
      <c r="BMO87" s="88"/>
      <c r="BMP87" s="88"/>
      <c r="BMQ87" s="88"/>
      <c r="BMR87" s="88"/>
      <c r="BMS87" s="88"/>
      <c r="BMT87" s="88"/>
      <c r="BMU87" s="88"/>
      <c r="BMV87" s="88"/>
      <c r="BMW87" s="88"/>
      <c r="BMX87" s="88"/>
      <c r="BMY87" s="88"/>
      <c r="BMZ87" s="88"/>
      <c r="BNA87" s="88"/>
      <c r="BNB87" s="88"/>
      <c r="BNC87" s="88"/>
      <c r="BND87" s="88"/>
      <c r="BNE87" s="88"/>
      <c r="BNF87" s="88"/>
      <c r="BNG87" s="88"/>
      <c r="BNH87" s="88"/>
      <c r="BNI87" s="88"/>
      <c r="BNJ87" s="88"/>
      <c r="BNK87" s="88"/>
      <c r="BNL87" s="88"/>
      <c r="BNM87" s="88"/>
      <c r="BNN87" s="88"/>
      <c r="BNO87" s="88"/>
      <c r="BNP87" s="88"/>
      <c r="BNQ87" s="88"/>
      <c r="BNR87" s="88"/>
      <c r="BNS87" s="88"/>
      <c r="BNT87" s="88"/>
      <c r="BNU87" s="88"/>
      <c r="BNV87" s="88"/>
      <c r="BNW87" s="88"/>
      <c r="BNX87" s="88"/>
      <c r="BNY87" s="88"/>
      <c r="BNZ87" s="88"/>
      <c r="BOA87" s="88"/>
      <c r="BOB87" s="88"/>
      <c r="BOC87" s="88"/>
      <c r="BOD87" s="88"/>
      <c r="BOE87" s="88"/>
      <c r="BOF87" s="88"/>
      <c r="BOG87" s="88"/>
      <c r="BOH87" s="88"/>
      <c r="BOI87" s="88"/>
      <c r="BOJ87" s="88"/>
      <c r="BOK87" s="88"/>
      <c r="BOL87" s="88"/>
      <c r="BOM87" s="88"/>
      <c r="BON87" s="88"/>
      <c r="BOO87" s="88"/>
      <c r="BOP87" s="88"/>
      <c r="BOQ87" s="88"/>
      <c r="BOR87" s="88"/>
      <c r="BOS87" s="88"/>
      <c r="BOT87" s="88"/>
      <c r="BOU87" s="88"/>
      <c r="BOV87" s="88"/>
      <c r="BOW87" s="88"/>
      <c r="BOX87" s="88"/>
      <c r="BOY87" s="88"/>
      <c r="BOZ87" s="88"/>
      <c r="BPA87" s="88"/>
      <c r="BPB87" s="88"/>
      <c r="BPC87" s="88"/>
      <c r="BPD87" s="88"/>
      <c r="BPE87" s="88"/>
      <c r="BPF87" s="88"/>
      <c r="BPG87" s="88"/>
      <c r="BPH87" s="88"/>
      <c r="BPI87" s="88"/>
      <c r="BPJ87" s="88"/>
      <c r="BPK87" s="88"/>
      <c r="BPL87" s="88"/>
      <c r="BPM87" s="88"/>
      <c r="BPN87" s="88"/>
      <c r="BPO87" s="88"/>
      <c r="BPP87" s="88"/>
      <c r="BPQ87" s="88"/>
      <c r="BPR87" s="88"/>
      <c r="BPS87" s="88"/>
      <c r="BPT87" s="88"/>
      <c r="BPU87" s="88"/>
      <c r="BPV87" s="88"/>
      <c r="BPW87" s="88"/>
      <c r="BPX87" s="88"/>
      <c r="BPY87" s="88"/>
      <c r="BPZ87" s="88"/>
      <c r="BQA87" s="88"/>
      <c r="BQB87" s="88"/>
      <c r="BQC87" s="88"/>
      <c r="BQD87" s="88"/>
      <c r="BQE87" s="88"/>
      <c r="BQF87" s="88"/>
      <c r="BQG87" s="88"/>
      <c r="BQH87" s="88"/>
      <c r="BQI87" s="88"/>
      <c r="BQJ87" s="88"/>
      <c r="BQK87" s="88"/>
      <c r="BQL87" s="88"/>
      <c r="BQM87" s="88"/>
      <c r="BQN87" s="88"/>
      <c r="BQO87" s="88"/>
      <c r="BQP87" s="88"/>
      <c r="BQQ87" s="88"/>
      <c r="BQR87" s="88"/>
      <c r="BQS87" s="88"/>
      <c r="BQT87" s="88"/>
      <c r="BQU87" s="88"/>
      <c r="BQV87" s="88"/>
      <c r="BQW87" s="88"/>
      <c r="BQX87" s="88"/>
      <c r="BQY87" s="88"/>
      <c r="BQZ87" s="88"/>
      <c r="BRA87" s="88"/>
      <c r="BRB87" s="88"/>
      <c r="BRC87" s="88"/>
      <c r="BRD87" s="88"/>
      <c r="BRE87" s="88"/>
      <c r="BRF87" s="88"/>
      <c r="BRG87" s="88"/>
      <c r="BRH87" s="88"/>
      <c r="BRI87" s="88"/>
      <c r="BRJ87" s="88"/>
      <c r="BRK87" s="88"/>
      <c r="BRL87" s="88"/>
      <c r="BRM87" s="88"/>
      <c r="BRN87" s="88"/>
      <c r="BRO87" s="88"/>
      <c r="BRP87" s="88"/>
      <c r="BRQ87" s="88"/>
      <c r="BRR87" s="88"/>
      <c r="BRS87" s="88"/>
      <c r="BRT87" s="88"/>
      <c r="BRU87" s="88"/>
      <c r="BRV87" s="88"/>
      <c r="BRW87" s="88"/>
      <c r="BRX87" s="88"/>
      <c r="BRY87" s="88"/>
      <c r="BRZ87" s="88"/>
      <c r="BSA87" s="88"/>
      <c r="BSB87" s="88"/>
      <c r="BSC87" s="88"/>
      <c r="BSD87" s="88"/>
      <c r="BSE87" s="88"/>
      <c r="BSF87" s="88"/>
      <c r="BSG87" s="88"/>
      <c r="BSH87" s="88"/>
      <c r="BSI87" s="88"/>
      <c r="BSJ87" s="88"/>
      <c r="BSK87" s="88"/>
      <c r="BSL87" s="88"/>
      <c r="BSM87" s="88"/>
      <c r="BSN87" s="88"/>
      <c r="BSO87" s="88"/>
      <c r="BSP87" s="88"/>
      <c r="BSQ87" s="88"/>
      <c r="BSR87" s="88"/>
      <c r="BSS87" s="88"/>
      <c r="BST87" s="88"/>
      <c r="BSU87" s="88"/>
      <c r="BSV87" s="88"/>
      <c r="BSW87" s="88"/>
      <c r="BSX87" s="88"/>
      <c r="BSY87" s="88"/>
      <c r="BSZ87" s="88"/>
      <c r="BTA87" s="88"/>
      <c r="BTB87" s="88"/>
      <c r="BTC87" s="88"/>
      <c r="BTD87" s="88"/>
      <c r="BTE87" s="88"/>
      <c r="BTF87" s="88"/>
      <c r="BTG87" s="88"/>
      <c r="BTH87" s="88"/>
      <c r="BTI87" s="88"/>
      <c r="BTJ87" s="88"/>
      <c r="BTK87" s="88"/>
      <c r="BTL87" s="88"/>
      <c r="BTM87" s="88"/>
      <c r="BTN87" s="88"/>
      <c r="BTO87" s="88"/>
      <c r="BTP87" s="88"/>
      <c r="BTQ87" s="88"/>
      <c r="BTR87" s="88"/>
      <c r="BTS87" s="88"/>
      <c r="BTT87" s="88"/>
      <c r="BTU87" s="88"/>
      <c r="BTV87" s="88"/>
      <c r="BTW87" s="88"/>
      <c r="BTX87" s="88"/>
      <c r="BTY87" s="88"/>
      <c r="BTZ87" s="88"/>
      <c r="BUA87" s="88"/>
      <c r="BUB87" s="88"/>
      <c r="BUC87" s="88"/>
      <c r="BUD87" s="88"/>
      <c r="BUE87" s="88"/>
      <c r="BUF87" s="88"/>
      <c r="BUG87" s="88"/>
      <c r="BUH87" s="88"/>
      <c r="BUI87" s="88"/>
      <c r="BUJ87" s="88"/>
      <c r="BUK87" s="88"/>
      <c r="BUL87" s="88"/>
      <c r="BUM87" s="88"/>
      <c r="BUN87" s="88"/>
      <c r="BUO87" s="88"/>
      <c r="BUP87" s="88"/>
      <c r="BUQ87" s="88"/>
      <c r="BUR87" s="88"/>
      <c r="BUS87" s="88"/>
      <c r="BUT87" s="88"/>
      <c r="BUU87" s="88"/>
      <c r="BUV87" s="88"/>
      <c r="BUW87" s="88"/>
      <c r="BUX87" s="88"/>
      <c r="BUY87" s="88"/>
      <c r="BUZ87" s="88"/>
      <c r="BVA87" s="88"/>
      <c r="BVB87" s="88"/>
      <c r="BVC87" s="88"/>
      <c r="BVD87" s="88"/>
      <c r="BVE87" s="88"/>
      <c r="BVF87" s="88"/>
      <c r="BVG87" s="88"/>
      <c r="BVH87" s="88"/>
      <c r="BVI87" s="88"/>
      <c r="BVJ87" s="88"/>
      <c r="BVK87" s="88"/>
      <c r="BVL87" s="88"/>
      <c r="BVM87" s="88"/>
      <c r="BVN87" s="88"/>
      <c r="BVO87" s="88"/>
      <c r="BVP87" s="88"/>
      <c r="BVQ87" s="88"/>
      <c r="BVR87" s="88"/>
      <c r="BVS87" s="88"/>
      <c r="BVT87" s="88"/>
      <c r="BVU87" s="88"/>
      <c r="BVV87" s="88"/>
      <c r="BVW87" s="88"/>
      <c r="BVX87" s="88"/>
      <c r="BVY87" s="88"/>
      <c r="BVZ87" s="88"/>
      <c r="BWA87" s="88"/>
      <c r="BWB87" s="88"/>
      <c r="BWC87" s="88"/>
      <c r="BWD87" s="88"/>
      <c r="BWE87" s="88"/>
      <c r="BWF87" s="88"/>
      <c r="BWG87" s="88"/>
      <c r="BWH87" s="88"/>
      <c r="BWI87" s="88"/>
      <c r="BWJ87" s="88"/>
      <c r="BWK87" s="88"/>
      <c r="BWL87" s="88"/>
      <c r="BWM87" s="88"/>
      <c r="BWN87" s="88"/>
      <c r="BWO87" s="88"/>
      <c r="BWP87" s="88"/>
      <c r="BWQ87" s="88"/>
      <c r="BWR87" s="88"/>
      <c r="BWS87" s="88"/>
      <c r="BWT87" s="88"/>
      <c r="BWU87" s="88"/>
      <c r="BWV87" s="88"/>
      <c r="BWW87" s="88"/>
      <c r="BWX87" s="88"/>
      <c r="BWY87" s="88"/>
      <c r="BWZ87" s="88"/>
      <c r="BXA87" s="88"/>
      <c r="BXB87" s="88"/>
      <c r="BXC87" s="88"/>
      <c r="BXD87" s="88"/>
      <c r="BXE87" s="88"/>
      <c r="BXF87" s="88"/>
      <c r="BXG87" s="88"/>
      <c r="BXH87" s="88"/>
      <c r="BXI87" s="88"/>
      <c r="BXJ87" s="88"/>
      <c r="BXK87" s="88"/>
      <c r="BXL87" s="88"/>
      <c r="BXM87" s="88"/>
      <c r="BXN87" s="88"/>
      <c r="BXO87" s="88"/>
      <c r="BXP87" s="88"/>
      <c r="BXQ87" s="88"/>
      <c r="BXR87" s="88"/>
      <c r="BXS87" s="88"/>
      <c r="BXT87" s="88"/>
      <c r="BXU87" s="88"/>
      <c r="BXV87" s="88"/>
      <c r="BXW87" s="88"/>
      <c r="BXX87" s="88"/>
      <c r="BXY87" s="88"/>
      <c r="BXZ87" s="88"/>
      <c r="BYA87" s="88"/>
      <c r="BYB87" s="88"/>
      <c r="BYC87" s="88"/>
      <c r="BYD87" s="88"/>
      <c r="BYE87" s="88"/>
      <c r="BYF87" s="88"/>
      <c r="BYG87" s="88"/>
      <c r="BYH87" s="88"/>
      <c r="BYI87" s="88"/>
      <c r="BYJ87" s="88"/>
      <c r="BYK87" s="88"/>
      <c r="BYL87" s="88"/>
      <c r="BYM87" s="88"/>
      <c r="BYN87" s="88"/>
      <c r="BYO87" s="88"/>
      <c r="BYP87" s="88"/>
      <c r="BYQ87" s="88"/>
      <c r="BYR87" s="88"/>
      <c r="BYS87" s="88"/>
      <c r="BYT87" s="88"/>
      <c r="BYU87" s="88"/>
      <c r="BYV87" s="88"/>
      <c r="BYW87" s="88"/>
      <c r="BYX87" s="88"/>
      <c r="BYY87" s="88"/>
      <c r="BYZ87" s="88"/>
      <c r="BZA87" s="88"/>
      <c r="BZB87" s="88"/>
      <c r="BZC87" s="88"/>
      <c r="BZD87" s="88"/>
      <c r="BZE87" s="88"/>
      <c r="BZF87" s="88"/>
      <c r="BZG87" s="88"/>
      <c r="BZH87" s="88"/>
      <c r="BZI87" s="88"/>
      <c r="BZJ87" s="88"/>
      <c r="BZK87" s="88"/>
      <c r="BZL87" s="88"/>
      <c r="BZM87" s="88"/>
      <c r="BZN87" s="88"/>
      <c r="BZO87" s="88"/>
      <c r="BZP87" s="88"/>
      <c r="BZQ87" s="88"/>
      <c r="BZR87" s="88"/>
      <c r="BZS87" s="88"/>
      <c r="BZT87" s="88"/>
      <c r="BZU87" s="88"/>
      <c r="BZV87" s="88"/>
      <c r="BZW87" s="88"/>
      <c r="BZX87" s="88"/>
      <c r="BZY87" s="88"/>
      <c r="BZZ87" s="88"/>
      <c r="CAA87" s="88"/>
      <c r="CAB87" s="88"/>
      <c r="CAC87" s="88"/>
      <c r="CAD87" s="88"/>
      <c r="CAE87" s="88"/>
      <c r="CAF87" s="88"/>
      <c r="CAG87" s="88"/>
      <c r="CAH87" s="88"/>
      <c r="CAI87" s="88"/>
      <c r="CAJ87" s="88"/>
      <c r="CAK87" s="88"/>
      <c r="CAL87" s="88"/>
      <c r="CAM87" s="88"/>
      <c r="CAN87" s="88"/>
      <c r="CAO87" s="88"/>
      <c r="CAP87" s="88"/>
      <c r="CAQ87" s="88"/>
      <c r="CAR87" s="88"/>
      <c r="CAS87" s="88"/>
      <c r="CAT87" s="88"/>
      <c r="CAU87" s="88"/>
      <c r="CAV87" s="88"/>
      <c r="CAW87" s="88"/>
      <c r="CAX87" s="88"/>
      <c r="CAY87" s="88"/>
      <c r="CAZ87" s="88"/>
      <c r="CBA87" s="88"/>
      <c r="CBB87" s="88"/>
      <c r="CBC87" s="88"/>
      <c r="CBD87" s="88"/>
      <c r="CBE87" s="88"/>
      <c r="CBF87" s="88"/>
      <c r="CBG87" s="88"/>
      <c r="CBH87" s="88"/>
      <c r="CBI87" s="88"/>
      <c r="CBJ87" s="88"/>
      <c r="CBK87" s="88"/>
      <c r="CBL87" s="88"/>
      <c r="CBM87" s="88"/>
      <c r="CBN87" s="88"/>
      <c r="CBO87" s="88"/>
      <c r="CBP87" s="88"/>
      <c r="CBQ87" s="88"/>
      <c r="CBR87" s="88"/>
      <c r="CBS87" s="88"/>
      <c r="CBT87" s="88"/>
      <c r="CBU87" s="88"/>
      <c r="CBV87" s="88"/>
      <c r="CBW87" s="88"/>
      <c r="CBX87" s="88"/>
      <c r="CBY87" s="88"/>
      <c r="CBZ87" s="88"/>
      <c r="CCA87" s="88"/>
      <c r="CCB87" s="88"/>
      <c r="CCC87" s="88"/>
      <c r="CCD87" s="88"/>
      <c r="CCE87" s="88"/>
      <c r="CCF87" s="88"/>
      <c r="CCG87" s="88"/>
      <c r="CCH87" s="88"/>
      <c r="CCI87" s="88"/>
      <c r="CCJ87" s="88"/>
      <c r="CCK87" s="88"/>
      <c r="CCL87" s="88"/>
      <c r="CCM87" s="88"/>
      <c r="CCN87" s="88"/>
      <c r="CCO87" s="88"/>
      <c r="CCP87" s="88"/>
      <c r="CCQ87" s="88"/>
      <c r="CCR87" s="88"/>
      <c r="CCS87" s="88"/>
      <c r="CCT87" s="88"/>
      <c r="CCU87" s="88"/>
      <c r="CCV87" s="88"/>
      <c r="CCW87" s="88"/>
      <c r="CCX87" s="88"/>
      <c r="CCY87" s="88"/>
      <c r="CCZ87" s="88"/>
      <c r="CDA87" s="88"/>
      <c r="CDB87" s="88"/>
      <c r="CDC87" s="88"/>
      <c r="CDD87" s="88"/>
      <c r="CDE87" s="88"/>
      <c r="CDF87" s="88"/>
      <c r="CDG87" s="88"/>
      <c r="CDH87" s="88"/>
      <c r="CDI87" s="88"/>
      <c r="CDJ87" s="88"/>
      <c r="CDK87" s="88"/>
      <c r="CDL87" s="88"/>
      <c r="CDM87" s="88"/>
      <c r="CDN87" s="88"/>
      <c r="CDO87" s="88"/>
      <c r="CDP87" s="88"/>
      <c r="CDQ87" s="88"/>
      <c r="CDR87" s="88"/>
      <c r="CDS87" s="88"/>
      <c r="CDT87" s="88"/>
      <c r="CDU87" s="88"/>
      <c r="CDV87" s="88"/>
      <c r="CDW87" s="88"/>
      <c r="CDX87" s="88"/>
      <c r="CDY87" s="88"/>
      <c r="CDZ87" s="88"/>
      <c r="CEA87" s="88"/>
      <c r="CEB87" s="88"/>
      <c r="CEC87" s="88"/>
      <c r="CED87" s="88"/>
      <c r="CEE87" s="88"/>
      <c r="CEF87" s="88"/>
      <c r="CEG87" s="88"/>
      <c r="CEH87" s="88"/>
      <c r="CEI87" s="88"/>
      <c r="CEJ87" s="88"/>
      <c r="CEK87" s="88"/>
    </row>
    <row r="88" spans="1:2169" s="51" customFormat="1">
      <c r="A88" s="72" t="s">
        <v>1257</v>
      </c>
      <c r="B88" s="72" t="s">
        <v>509</v>
      </c>
      <c r="C88" s="69" t="str">
        <f>IF('page 2'!$O$4="","",IF('page 2'!$O$4=Gestion!A88,1,0))</f>
        <v/>
      </c>
      <c r="D88" s="69" t="str">
        <f>IF('page 2'!$O$5="","",IF('page 2'!$O$5=Gestion!A88,1,0))</f>
        <v/>
      </c>
      <c r="E88" s="69" t="str">
        <f>IF('page 2'!$O$6="","",IF('page 2'!$O$6=Gestion!A88,1,0))</f>
        <v/>
      </c>
      <c r="F88" s="69" t="str">
        <f>IF('page 2'!$O$7="","",IF('page 2'!$O$7=Gestion!A88,1,0))</f>
        <v/>
      </c>
      <c r="G88" s="69" t="str">
        <f>IF('page 2'!$O$8="","",IF('page 2'!$O$8=Gestion!A88,1,0))</f>
        <v/>
      </c>
      <c r="H88" s="69" t="str">
        <f>IF('page 2'!$O$9="","",IF('page 2'!$O$9=Gestion!A88,1,0))</f>
        <v/>
      </c>
      <c r="I88" s="69" t="str">
        <f>IF('page 2'!$O$10="","",IF('page 2'!$O$10=Gestion!A88,1,0))</f>
        <v/>
      </c>
      <c r="J88" s="69" t="str">
        <f>IF('page 2'!$O$11="","",IF('page 2'!$O$11=Gestion!A88,1,0))</f>
        <v/>
      </c>
      <c r="K88" s="69" t="str">
        <f>IF('page 2'!$O$12="","",IF('page 2'!$O$12=Gestion!A88,1,0))</f>
        <v/>
      </c>
      <c r="L88" s="69" t="str">
        <f>IF('page 2'!$O$13="","",IF('page 2'!$O$13=Gestion!A88,1,0))</f>
        <v/>
      </c>
      <c r="M88" s="69" t="str">
        <f>IF('page 2'!$O$14="","",IF('page 2'!$O$14=Gestion!A88,1,0))</f>
        <v/>
      </c>
      <c r="N88" s="69" t="str">
        <f>IF('page 2'!$O$15="","",IF('page 2'!$O$15=Gestion!A88,1,0))</f>
        <v/>
      </c>
      <c r="O88" s="69" t="str">
        <f>IF('page 2'!$O$16="","",IF('page 2'!$O$16=Gestion!A88,1,0))</f>
        <v/>
      </c>
      <c r="P88" s="69" t="str">
        <f>IF('page 2'!$O$17="","",IF('page 2'!$O$17=Gestion!A88,1,0))</f>
        <v/>
      </c>
      <c r="Q88" s="69" t="str">
        <f>IF('page 2'!$O$18="","",IF('page 2'!$O$18=Gestion!A88,1,0))</f>
        <v/>
      </c>
      <c r="R88" s="69" t="str">
        <f>IF('page 2'!$O$19="","",IF('page 2'!$O$19=Gestion!A88,1,0))</f>
        <v/>
      </c>
      <c r="S88" s="69" t="str">
        <f>IF('page 2'!$O$20="","",IF('page 2'!$O$20=Gestion!A88,1,0))</f>
        <v/>
      </c>
      <c r="T88" s="69" t="str">
        <f>IF('page 2'!$O$25="","",IF('page 2'!$O$25=Gestion!A88,1,0))</f>
        <v/>
      </c>
      <c r="U88" s="69" t="str">
        <f>IF('page 2'!$O$26="","",IF('page 2'!$O$26=Gestion!A88,1,0))</f>
        <v/>
      </c>
      <c r="V88" s="69" t="str">
        <f>IF('page 2'!$O$27="","",IF('page 2'!$O$27=Gestion!A88,1,0))</f>
        <v/>
      </c>
      <c r="W88" s="723">
        <f t="shared" si="14"/>
        <v>0</v>
      </c>
      <c r="X88" s="713"/>
      <c r="Y88" s="69"/>
      <c r="Z88" s="69"/>
      <c r="AA88" s="69"/>
      <c r="AB88" s="542"/>
      <c r="AC88" s="542"/>
      <c r="AD88" s="542"/>
      <c r="AE88" s="88"/>
      <c r="AP88" s="130"/>
      <c r="AQ88" s="130"/>
      <c r="AR88" s="130"/>
      <c r="AS88" s="576"/>
      <c r="AT88" s="576"/>
      <c r="AU88" s="576"/>
      <c r="AV88" s="576"/>
      <c r="AW88" s="602"/>
      <c r="AX88" s="602"/>
      <c r="AY88" s="576"/>
      <c r="AZ88" s="576"/>
      <c r="BA88" s="576"/>
      <c r="BB88" s="576"/>
      <c r="BC88" s="576"/>
      <c r="BD88" s="602"/>
      <c r="BE88" s="602"/>
      <c r="BF88" s="602"/>
      <c r="BG88" s="602"/>
      <c r="BH88" s="602"/>
      <c r="BI88" s="602"/>
      <c r="BJ88" s="602"/>
      <c r="BK88" s="602"/>
      <c r="BL88" s="602"/>
      <c r="BM88" s="602"/>
      <c r="BN88" s="602"/>
      <c r="BO88" s="602"/>
      <c r="BP88" s="602"/>
      <c r="BQ88" s="602"/>
      <c r="BR88" s="602"/>
      <c r="BS88" s="576"/>
      <c r="BT88" s="576"/>
      <c r="BU88" s="576"/>
      <c r="BV88" s="576"/>
      <c r="BW88" s="602"/>
      <c r="BX88" s="602"/>
      <c r="BY88" s="602"/>
      <c r="BZ88" s="576"/>
      <c r="CA88" s="602"/>
      <c r="CB88" s="602"/>
      <c r="CC88" s="576"/>
      <c r="CD88" s="576"/>
      <c r="CE88" s="602"/>
      <c r="CF88" s="576"/>
      <c r="CG88" s="576"/>
      <c r="CH88" s="576"/>
      <c r="CI88" s="576"/>
      <c r="CJ88" s="576"/>
      <c r="CK88" s="602"/>
      <c r="CL88" s="602"/>
      <c r="CM88" s="576"/>
      <c r="CN88" s="602"/>
      <c r="CO88" s="602"/>
      <c r="CP88" s="602"/>
      <c r="CQ88" s="576"/>
      <c r="CR88" s="576"/>
      <c r="CS88" s="602"/>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c r="HF88" s="88"/>
      <c r="HG88" s="88"/>
      <c r="HH88" s="88"/>
      <c r="HI88" s="88"/>
      <c r="HJ88" s="88"/>
      <c r="HK88" s="88"/>
      <c r="HL88" s="88"/>
      <c r="HM88" s="88"/>
      <c r="HN88" s="88"/>
      <c r="HO88" s="88"/>
      <c r="HP88" s="88"/>
      <c r="HQ88" s="88"/>
      <c r="HR88" s="88"/>
      <c r="HS88" s="88"/>
      <c r="HT88" s="88"/>
      <c r="HU88" s="88"/>
      <c r="HV88" s="88"/>
      <c r="HW88" s="88"/>
      <c r="HX88" s="88"/>
      <c r="HY88" s="88"/>
      <c r="HZ88" s="88"/>
      <c r="IA88" s="88"/>
      <c r="IB88" s="88"/>
      <c r="IC88" s="88"/>
      <c r="ID88" s="88"/>
      <c r="IE88" s="88"/>
      <c r="IF88" s="88"/>
      <c r="IG88" s="88"/>
      <c r="IH88" s="88"/>
      <c r="II88" s="88"/>
      <c r="IJ88" s="88"/>
      <c r="IK88" s="88"/>
      <c r="IL88" s="88"/>
      <c r="IM88" s="88"/>
      <c r="IN88" s="88"/>
      <c r="IO88" s="88"/>
      <c r="IP88" s="88"/>
      <c r="IQ88" s="88"/>
      <c r="IR88" s="88"/>
      <c r="IS88" s="88"/>
      <c r="IT88" s="88"/>
      <c r="IU88" s="88"/>
      <c r="IV88" s="88"/>
      <c r="IW88" s="88"/>
      <c r="IX88" s="88"/>
      <c r="IY88" s="88"/>
      <c r="IZ88" s="88"/>
      <c r="JA88" s="88"/>
      <c r="JB88" s="88"/>
      <c r="JC88" s="88"/>
      <c r="JD88" s="88"/>
      <c r="JE88" s="88"/>
      <c r="JF88" s="88"/>
      <c r="JG88" s="88"/>
      <c r="JH88" s="88"/>
      <c r="JI88" s="88"/>
      <c r="JJ88" s="88"/>
      <c r="JK88" s="88"/>
      <c r="JL88" s="88"/>
      <c r="JM88" s="88"/>
      <c r="JN88" s="88"/>
      <c r="JO88" s="88"/>
      <c r="JP88" s="88"/>
      <c r="JQ88" s="88"/>
      <c r="JR88" s="88"/>
      <c r="JS88" s="88"/>
      <c r="JT88" s="88"/>
      <c r="JU88" s="88"/>
      <c r="JV88" s="88"/>
      <c r="JW88" s="88"/>
      <c r="JX88" s="88"/>
      <c r="JY88" s="88"/>
      <c r="JZ88" s="88"/>
      <c r="KA88" s="88"/>
      <c r="KB88" s="88"/>
      <c r="KC88" s="88"/>
      <c r="KD88" s="88"/>
      <c r="KE88" s="88"/>
      <c r="KF88" s="88"/>
      <c r="KG88" s="88"/>
      <c r="KH88" s="88"/>
      <c r="KI88" s="88"/>
      <c r="KJ88" s="88"/>
      <c r="KK88" s="88"/>
      <c r="KL88" s="88"/>
      <c r="KM88" s="88"/>
      <c r="KN88" s="88"/>
      <c r="KO88" s="88"/>
      <c r="KP88" s="88"/>
      <c r="KQ88" s="88"/>
      <c r="KR88" s="88"/>
      <c r="KS88" s="88"/>
      <c r="KT88" s="88"/>
      <c r="KU88" s="88"/>
      <c r="KV88" s="88"/>
      <c r="KW88" s="88"/>
      <c r="KX88" s="88"/>
      <c r="KY88" s="88"/>
      <c r="KZ88" s="88"/>
      <c r="LA88" s="88"/>
      <c r="LB88" s="88"/>
      <c r="LC88" s="88"/>
      <c r="LD88" s="88"/>
      <c r="LE88" s="88"/>
      <c r="LF88" s="88"/>
      <c r="LG88" s="88"/>
      <c r="LH88" s="88"/>
      <c r="LI88" s="88"/>
      <c r="LJ88" s="88"/>
      <c r="LK88" s="88"/>
      <c r="LL88" s="88"/>
      <c r="LM88" s="88"/>
      <c r="LN88" s="88"/>
      <c r="LO88" s="88"/>
      <c r="LP88" s="88"/>
      <c r="LQ88" s="88"/>
      <c r="LR88" s="88"/>
      <c r="LS88" s="88"/>
      <c r="LT88" s="88"/>
      <c r="LU88" s="88"/>
      <c r="LV88" s="88"/>
      <c r="LW88" s="88"/>
      <c r="LX88" s="88"/>
      <c r="LY88" s="88"/>
      <c r="LZ88" s="88"/>
      <c r="MA88" s="88"/>
      <c r="MB88" s="88"/>
      <c r="MC88" s="88"/>
      <c r="MD88" s="88"/>
      <c r="ME88" s="88"/>
      <c r="MF88" s="88"/>
      <c r="MG88" s="88"/>
      <c r="MH88" s="88"/>
      <c r="MI88" s="88"/>
      <c r="MJ88" s="88"/>
      <c r="MK88" s="88"/>
      <c r="ML88" s="88"/>
      <c r="MM88" s="88"/>
      <c r="MN88" s="88"/>
      <c r="MO88" s="88"/>
      <c r="MP88" s="88"/>
      <c r="MQ88" s="88"/>
      <c r="MR88" s="88"/>
      <c r="MS88" s="88"/>
      <c r="MT88" s="88"/>
      <c r="MU88" s="88"/>
      <c r="MV88" s="88"/>
      <c r="MW88" s="88"/>
      <c r="MX88" s="88"/>
      <c r="MY88" s="88"/>
      <c r="MZ88" s="88"/>
      <c r="NA88" s="88"/>
      <c r="NB88" s="88"/>
      <c r="NC88" s="88"/>
      <c r="ND88" s="88"/>
      <c r="NE88" s="88"/>
      <c r="NF88" s="88"/>
      <c r="NG88" s="88"/>
      <c r="NH88" s="88"/>
      <c r="NI88" s="88"/>
      <c r="NJ88" s="88"/>
      <c r="NK88" s="88"/>
      <c r="NL88" s="88"/>
      <c r="NM88" s="88"/>
      <c r="NN88" s="88"/>
      <c r="NO88" s="88"/>
      <c r="NP88" s="88"/>
      <c r="NQ88" s="88"/>
      <c r="NR88" s="88"/>
      <c r="NS88" s="88"/>
      <c r="NT88" s="88"/>
      <c r="NU88" s="88"/>
      <c r="NV88" s="88"/>
      <c r="NW88" s="88"/>
      <c r="NX88" s="88"/>
      <c r="NY88" s="88"/>
      <c r="NZ88" s="88"/>
      <c r="OA88" s="88"/>
      <c r="OB88" s="88"/>
      <c r="OC88" s="88"/>
      <c r="OD88" s="88"/>
      <c r="OE88" s="88"/>
      <c r="OF88" s="88"/>
      <c r="OG88" s="88"/>
      <c r="OH88" s="88"/>
      <c r="OI88" s="88"/>
      <c r="OJ88" s="88"/>
      <c r="OK88" s="88"/>
      <c r="OL88" s="88"/>
      <c r="OM88" s="88"/>
      <c r="ON88" s="88"/>
      <c r="OO88" s="88"/>
      <c r="OP88" s="88"/>
      <c r="OQ88" s="88"/>
      <c r="OR88" s="88"/>
      <c r="OS88" s="88"/>
      <c r="OT88" s="88"/>
      <c r="OU88" s="88"/>
      <c r="OV88" s="88"/>
      <c r="OW88" s="88"/>
      <c r="OX88" s="88"/>
      <c r="OY88" s="88"/>
      <c r="OZ88" s="88"/>
      <c r="PA88" s="88"/>
      <c r="PB88" s="88"/>
      <c r="PC88" s="88"/>
      <c r="PD88" s="88"/>
      <c r="PE88" s="88"/>
      <c r="PF88" s="88"/>
      <c r="PG88" s="88"/>
      <c r="PH88" s="88"/>
      <c r="PI88" s="88"/>
      <c r="PJ88" s="88"/>
      <c r="PK88" s="88"/>
      <c r="PL88" s="88"/>
      <c r="PM88" s="88"/>
      <c r="PN88" s="88"/>
      <c r="PO88" s="88"/>
      <c r="PP88" s="88"/>
      <c r="PQ88" s="88"/>
      <c r="PR88" s="88"/>
      <c r="PS88" s="88"/>
      <c r="PT88" s="88"/>
      <c r="PU88" s="88"/>
      <c r="PV88" s="88"/>
      <c r="PW88" s="88"/>
      <c r="PX88" s="88"/>
      <c r="PY88" s="88"/>
      <c r="PZ88" s="88"/>
      <c r="QA88" s="88"/>
      <c r="QB88" s="88"/>
      <c r="QC88" s="88"/>
      <c r="QD88" s="88"/>
      <c r="QE88" s="88"/>
      <c r="QF88" s="88"/>
      <c r="QG88" s="88"/>
      <c r="QH88" s="88"/>
      <c r="QI88" s="88"/>
      <c r="QJ88" s="88"/>
      <c r="QK88" s="88"/>
      <c r="QL88" s="88"/>
      <c r="QM88" s="88"/>
      <c r="QN88" s="88"/>
      <c r="QO88" s="88"/>
      <c r="QP88" s="88"/>
      <c r="QQ88" s="88"/>
      <c r="QR88" s="88"/>
      <c r="QS88" s="88"/>
      <c r="QT88" s="88"/>
      <c r="QU88" s="88"/>
      <c r="QV88" s="88"/>
      <c r="QW88" s="88"/>
      <c r="QX88" s="88"/>
      <c r="QY88" s="88"/>
      <c r="QZ88" s="88"/>
      <c r="RA88" s="88"/>
      <c r="RB88" s="88"/>
      <c r="RC88" s="88"/>
      <c r="RD88" s="88"/>
      <c r="RE88" s="88"/>
      <c r="RF88" s="88"/>
      <c r="RG88" s="88"/>
      <c r="RH88" s="88"/>
      <c r="RI88" s="88"/>
      <c r="RJ88" s="88"/>
      <c r="RK88" s="88"/>
      <c r="RL88" s="88"/>
      <c r="RM88" s="88"/>
      <c r="RN88" s="88"/>
      <c r="RO88" s="88"/>
      <c r="RP88" s="88"/>
      <c r="RQ88" s="88"/>
      <c r="RR88" s="88"/>
      <c r="RS88" s="88"/>
      <c r="RT88" s="88"/>
      <c r="RU88" s="88"/>
      <c r="RV88" s="88"/>
      <c r="RW88" s="88"/>
      <c r="RX88" s="88"/>
      <c r="RY88" s="88"/>
      <c r="RZ88" s="88"/>
      <c r="SA88" s="88"/>
      <c r="SB88" s="88"/>
      <c r="SC88" s="88"/>
      <c r="SD88" s="88"/>
      <c r="SE88" s="88"/>
      <c r="SF88" s="88"/>
      <c r="SG88" s="88"/>
      <c r="SH88" s="88"/>
      <c r="SI88" s="88"/>
      <c r="SJ88" s="88"/>
      <c r="SK88" s="88"/>
      <c r="SL88" s="88"/>
      <c r="SM88" s="88"/>
      <c r="SN88" s="88"/>
      <c r="SO88" s="88"/>
      <c r="SP88" s="88"/>
      <c r="SQ88" s="88"/>
      <c r="SR88" s="88"/>
      <c r="SS88" s="88"/>
      <c r="ST88" s="88"/>
      <c r="SU88" s="88"/>
      <c r="SV88" s="88"/>
      <c r="SW88" s="88"/>
      <c r="SX88" s="88"/>
      <c r="SY88" s="88"/>
      <c r="SZ88" s="88"/>
      <c r="TA88" s="88"/>
      <c r="TB88" s="88"/>
      <c r="TC88" s="88"/>
      <c r="TD88" s="88"/>
      <c r="TE88" s="88"/>
      <c r="TF88" s="88"/>
      <c r="TG88" s="88"/>
      <c r="TH88" s="88"/>
      <c r="TI88" s="88"/>
      <c r="TJ88" s="88"/>
      <c r="TK88" s="88"/>
      <c r="TL88" s="88"/>
      <c r="TM88" s="88"/>
      <c r="TN88" s="88"/>
      <c r="TO88" s="88"/>
      <c r="TP88" s="88"/>
      <c r="TQ88" s="88"/>
      <c r="TR88" s="88"/>
      <c r="TS88" s="88"/>
      <c r="TT88" s="88"/>
      <c r="TU88" s="88"/>
      <c r="TV88" s="88"/>
      <c r="TW88" s="88"/>
      <c r="TX88" s="88"/>
      <c r="TY88" s="88"/>
      <c r="TZ88" s="88"/>
      <c r="UA88" s="88"/>
      <c r="UB88" s="88"/>
      <c r="UC88" s="88"/>
      <c r="UD88" s="88"/>
      <c r="UE88" s="88"/>
      <c r="UF88" s="88"/>
      <c r="UG88" s="88"/>
      <c r="UH88" s="88"/>
      <c r="UI88" s="88"/>
      <c r="UJ88" s="88"/>
      <c r="UK88" s="88"/>
      <c r="UL88" s="88"/>
      <c r="UM88" s="88"/>
      <c r="UN88" s="88"/>
      <c r="UO88" s="88"/>
      <c r="UP88" s="88"/>
      <c r="UQ88" s="88"/>
      <c r="UR88" s="88"/>
      <c r="US88" s="88"/>
      <c r="UT88" s="88"/>
      <c r="UU88" s="88"/>
      <c r="UV88" s="88"/>
      <c r="UW88" s="88"/>
      <c r="UX88" s="88"/>
      <c r="UY88" s="88"/>
      <c r="UZ88" s="88"/>
      <c r="VA88" s="88"/>
      <c r="VB88" s="88"/>
      <c r="VC88" s="88"/>
      <c r="VD88" s="88"/>
      <c r="VE88" s="88"/>
      <c r="VF88" s="88"/>
      <c r="VG88" s="88"/>
      <c r="VH88" s="88"/>
      <c r="VI88" s="88"/>
      <c r="VJ88" s="88"/>
      <c r="VK88" s="88"/>
      <c r="VL88" s="88"/>
      <c r="VM88" s="88"/>
      <c r="VN88" s="88"/>
      <c r="VO88" s="88"/>
      <c r="VP88" s="88"/>
      <c r="VQ88" s="88"/>
      <c r="VR88" s="88"/>
      <c r="VS88" s="88"/>
      <c r="VT88" s="88"/>
      <c r="VU88" s="88"/>
      <c r="VV88" s="88"/>
      <c r="VW88" s="88"/>
      <c r="VX88" s="88"/>
      <c r="VY88" s="88"/>
      <c r="VZ88" s="88"/>
      <c r="WA88" s="88"/>
      <c r="WB88" s="88"/>
      <c r="WC88" s="88"/>
      <c r="WD88" s="88"/>
      <c r="WE88" s="88"/>
      <c r="WF88" s="88"/>
      <c r="WG88" s="88"/>
      <c r="WH88" s="88"/>
      <c r="WI88" s="88"/>
      <c r="WJ88" s="88"/>
      <c r="WK88" s="88"/>
      <c r="WL88" s="88"/>
      <c r="WM88" s="88"/>
      <c r="WN88" s="88"/>
      <c r="WO88" s="88"/>
      <c r="WP88" s="88"/>
      <c r="WQ88" s="88"/>
      <c r="WR88" s="88"/>
      <c r="WS88" s="88"/>
      <c r="WT88" s="88"/>
      <c r="WU88" s="88"/>
      <c r="WV88" s="88"/>
      <c r="WW88" s="88"/>
      <c r="WX88" s="88"/>
      <c r="WY88" s="88"/>
      <c r="WZ88" s="88"/>
      <c r="XA88" s="88"/>
      <c r="XB88" s="88"/>
      <c r="XC88" s="88"/>
      <c r="XD88" s="88"/>
      <c r="XE88" s="88"/>
      <c r="XF88" s="88"/>
      <c r="XG88" s="88"/>
      <c r="XH88" s="88"/>
      <c r="XI88" s="88"/>
      <c r="XJ88" s="88"/>
      <c r="XK88" s="88"/>
      <c r="XL88" s="88"/>
      <c r="XM88" s="88"/>
      <c r="XN88" s="88"/>
      <c r="XO88" s="88"/>
      <c r="XP88" s="88"/>
      <c r="XQ88" s="88"/>
      <c r="XR88" s="88"/>
      <c r="XS88" s="88"/>
      <c r="XT88" s="88"/>
      <c r="XU88" s="88"/>
      <c r="XV88" s="88"/>
      <c r="XW88" s="88"/>
      <c r="XX88" s="88"/>
      <c r="XY88" s="88"/>
      <c r="XZ88" s="88"/>
      <c r="YA88" s="88"/>
      <c r="YB88" s="88"/>
      <c r="YC88" s="88"/>
      <c r="YD88" s="88"/>
      <c r="YE88" s="88"/>
      <c r="YF88" s="88"/>
      <c r="YG88" s="88"/>
      <c r="YH88" s="88"/>
      <c r="YI88" s="88"/>
      <c r="YJ88" s="88"/>
      <c r="YK88" s="88"/>
      <c r="YL88" s="88"/>
      <c r="YM88" s="88"/>
      <c r="YN88" s="88"/>
      <c r="YO88" s="88"/>
      <c r="YP88" s="88"/>
      <c r="YQ88" s="88"/>
      <c r="YR88" s="88"/>
      <c r="YS88" s="88"/>
      <c r="YT88" s="88"/>
      <c r="YU88" s="88"/>
      <c r="YV88" s="88"/>
      <c r="YW88" s="88"/>
      <c r="YX88" s="88"/>
      <c r="YY88" s="88"/>
      <c r="YZ88" s="88"/>
      <c r="ZA88" s="88"/>
      <c r="ZB88" s="88"/>
      <c r="ZC88" s="88"/>
      <c r="ZD88" s="88"/>
      <c r="ZE88" s="88"/>
      <c r="ZF88" s="88"/>
      <c r="ZG88" s="88"/>
      <c r="ZH88" s="88"/>
      <c r="ZI88" s="88"/>
      <c r="ZJ88" s="88"/>
      <c r="ZK88" s="88"/>
      <c r="ZL88" s="88"/>
      <c r="ZM88" s="88"/>
      <c r="ZN88" s="88"/>
      <c r="ZO88" s="88"/>
      <c r="ZP88" s="88"/>
      <c r="ZQ88" s="88"/>
      <c r="ZR88" s="88"/>
      <c r="ZS88" s="88"/>
      <c r="ZT88" s="88"/>
      <c r="ZU88" s="88"/>
      <c r="ZV88" s="88"/>
      <c r="ZW88" s="88"/>
      <c r="ZX88" s="88"/>
      <c r="ZY88" s="88"/>
      <c r="ZZ88" s="88"/>
      <c r="AAA88" s="88"/>
      <c r="AAB88" s="88"/>
      <c r="AAC88" s="88"/>
      <c r="AAD88" s="88"/>
      <c r="AAE88" s="88"/>
      <c r="AAF88" s="88"/>
      <c r="AAG88" s="88"/>
      <c r="AAH88" s="88"/>
      <c r="AAI88" s="88"/>
      <c r="AAJ88" s="88"/>
      <c r="AAK88" s="88"/>
      <c r="AAL88" s="88"/>
      <c r="AAM88" s="88"/>
      <c r="AAN88" s="88"/>
      <c r="AAO88" s="88"/>
      <c r="AAP88" s="88"/>
      <c r="AAQ88" s="88"/>
      <c r="AAR88" s="88"/>
      <c r="AAS88" s="88"/>
      <c r="AAT88" s="88"/>
      <c r="AAU88" s="88"/>
      <c r="AAV88" s="88"/>
      <c r="AAW88" s="88"/>
      <c r="AAX88" s="88"/>
      <c r="AAY88" s="88"/>
      <c r="AAZ88" s="88"/>
      <c r="ABA88" s="88"/>
      <c r="ABB88" s="88"/>
      <c r="ABC88" s="88"/>
      <c r="ABD88" s="88"/>
      <c r="ABE88" s="88"/>
      <c r="ABF88" s="88"/>
      <c r="ABG88" s="88"/>
      <c r="ABH88" s="88"/>
      <c r="ABI88" s="88"/>
      <c r="ABJ88" s="88"/>
      <c r="ABK88" s="88"/>
      <c r="ABL88" s="88"/>
      <c r="ABM88" s="88"/>
      <c r="ABN88" s="88"/>
      <c r="ABO88" s="88"/>
      <c r="ABP88" s="88"/>
      <c r="ABQ88" s="88"/>
      <c r="ABR88" s="88"/>
      <c r="ABS88" s="88"/>
      <c r="ABT88" s="88"/>
      <c r="ABU88" s="88"/>
      <c r="ABV88" s="88"/>
      <c r="ABW88" s="88"/>
      <c r="ABX88" s="88"/>
      <c r="ABY88" s="88"/>
      <c r="ABZ88" s="88"/>
      <c r="ACA88" s="88"/>
      <c r="ACB88" s="88"/>
      <c r="ACC88" s="88"/>
      <c r="ACD88" s="88"/>
      <c r="ACE88" s="88"/>
      <c r="ACF88" s="88"/>
      <c r="ACG88" s="88"/>
      <c r="ACH88" s="88"/>
      <c r="ACI88" s="88"/>
      <c r="ACJ88" s="88"/>
      <c r="ACK88" s="88"/>
      <c r="ACL88" s="88"/>
      <c r="ACM88" s="88"/>
      <c r="ACN88" s="88"/>
      <c r="ACO88" s="88"/>
      <c r="ACP88" s="88"/>
      <c r="ACQ88" s="88"/>
      <c r="ACR88" s="88"/>
      <c r="ACS88" s="88"/>
      <c r="ACT88" s="88"/>
      <c r="ACU88" s="88"/>
      <c r="ACV88" s="88"/>
      <c r="ACW88" s="88"/>
      <c r="ACX88" s="88"/>
      <c r="ACY88" s="88"/>
      <c r="ACZ88" s="88"/>
      <c r="ADA88" s="88"/>
      <c r="ADB88" s="88"/>
      <c r="ADC88" s="88"/>
      <c r="ADD88" s="88"/>
      <c r="ADE88" s="88"/>
      <c r="ADF88" s="88"/>
      <c r="ADG88" s="88"/>
      <c r="ADH88" s="88"/>
      <c r="ADI88" s="88"/>
      <c r="ADJ88" s="88"/>
      <c r="ADK88" s="88"/>
      <c r="ADL88" s="88"/>
      <c r="ADM88" s="88"/>
      <c r="ADN88" s="88"/>
      <c r="ADO88" s="88"/>
      <c r="ADP88" s="88"/>
      <c r="ADQ88" s="88"/>
      <c r="ADR88" s="88"/>
      <c r="ADS88" s="88"/>
      <c r="ADT88" s="88"/>
      <c r="ADU88" s="88"/>
      <c r="ADV88" s="88"/>
      <c r="ADW88" s="88"/>
      <c r="ADX88" s="88"/>
      <c r="ADY88" s="88"/>
      <c r="ADZ88" s="88"/>
      <c r="AEA88" s="88"/>
      <c r="AEB88" s="88"/>
      <c r="AEC88" s="88"/>
      <c r="AED88" s="88"/>
      <c r="AEE88" s="88"/>
      <c r="AEF88" s="88"/>
      <c r="AEG88" s="88"/>
      <c r="AEH88" s="88"/>
      <c r="AEI88" s="88"/>
      <c r="AEJ88" s="88"/>
      <c r="AEK88" s="88"/>
      <c r="AEL88" s="88"/>
      <c r="AEM88" s="88"/>
      <c r="AEN88" s="88"/>
      <c r="AEO88" s="88"/>
      <c r="AEP88" s="88"/>
      <c r="AEQ88" s="88"/>
      <c r="AER88" s="88"/>
      <c r="AES88" s="88"/>
      <c r="AET88" s="88"/>
      <c r="AEU88" s="88"/>
      <c r="AEV88" s="88"/>
      <c r="AEW88" s="88"/>
      <c r="AEX88" s="88"/>
      <c r="AEY88" s="88"/>
      <c r="AEZ88" s="88"/>
      <c r="AFA88" s="88"/>
      <c r="AFB88" s="88"/>
      <c r="AFC88" s="88"/>
      <c r="AFD88" s="88"/>
      <c r="AFE88" s="88"/>
      <c r="AFF88" s="88"/>
      <c r="AFG88" s="88"/>
      <c r="AFH88" s="88"/>
      <c r="AFI88" s="88"/>
      <c r="AFJ88" s="88"/>
      <c r="AFK88" s="88"/>
      <c r="AFL88" s="88"/>
      <c r="AFM88" s="88"/>
      <c r="AFN88" s="88"/>
      <c r="AFO88" s="88"/>
      <c r="AFP88" s="88"/>
      <c r="AFQ88" s="88"/>
      <c r="AFR88" s="88"/>
      <c r="AFS88" s="88"/>
      <c r="AFT88" s="88"/>
      <c r="AFU88" s="88"/>
      <c r="AFV88" s="88"/>
      <c r="AFW88" s="88"/>
      <c r="AFX88" s="88"/>
      <c r="AFY88" s="88"/>
      <c r="AFZ88" s="88"/>
      <c r="AGA88" s="88"/>
      <c r="AGB88" s="88"/>
      <c r="AGC88" s="88"/>
      <c r="AGD88" s="88"/>
      <c r="AGE88" s="88"/>
      <c r="AGF88" s="88"/>
      <c r="AGG88" s="88"/>
      <c r="AGH88" s="88"/>
      <c r="AGI88" s="88"/>
      <c r="AGJ88" s="88"/>
      <c r="AGK88" s="88"/>
      <c r="AGL88" s="88"/>
      <c r="AGM88" s="88"/>
      <c r="AGN88" s="88"/>
      <c r="AGO88" s="88"/>
      <c r="AGP88" s="88"/>
      <c r="AGQ88" s="88"/>
      <c r="AGR88" s="88"/>
      <c r="AGS88" s="88"/>
      <c r="AGT88" s="88"/>
      <c r="AGU88" s="88"/>
      <c r="AGV88" s="88"/>
      <c r="AGW88" s="88"/>
      <c r="AGX88" s="88"/>
      <c r="AGY88" s="88"/>
      <c r="AGZ88" s="88"/>
      <c r="AHA88" s="88"/>
      <c r="AHB88" s="88"/>
      <c r="AHC88" s="88"/>
      <c r="AHD88" s="88"/>
      <c r="AHE88" s="88"/>
      <c r="AHF88" s="88"/>
      <c r="AHG88" s="88"/>
      <c r="AHH88" s="88"/>
      <c r="AHI88" s="88"/>
      <c r="AHJ88" s="88"/>
      <c r="AHK88" s="88"/>
      <c r="AHL88" s="88"/>
      <c r="AHM88" s="88"/>
      <c r="AHN88" s="88"/>
      <c r="AHO88" s="88"/>
      <c r="AHP88" s="88"/>
      <c r="AHQ88" s="88"/>
      <c r="AHR88" s="88"/>
      <c r="AHS88" s="88"/>
      <c r="AHT88" s="88"/>
      <c r="AHU88" s="88"/>
      <c r="AHV88" s="88"/>
      <c r="AHW88" s="88"/>
      <c r="AHX88" s="88"/>
      <c r="AHY88" s="88"/>
      <c r="AHZ88" s="88"/>
      <c r="AIA88" s="88"/>
      <c r="AIB88" s="88"/>
      <c r="AIC88" s="88"/>
      <c r="AID88" s="88"/>
      <c r="AIE88" s="88"/>
      <c r="AIF88" s="88"/>
      <c r="AIG88" s="88"/>
      <c r="AIH88" s="88"/>
      <c r="AII88" s="88"/>
      <c r="AIJ88" s="88"/>
      <c r="AIK88" s="88"/>
      <c r="AIL88" s="88"/>
      <c r="AIM88" s="88"/>
      <c r="AIN88" s="88"/>
      <c r="AIO88" s="88"/>
      <c r="AIP88" s="88"/>
      <c r="AIQ88" s="88"/>
      <c r="AIR88" s="88"/>
      <c r="AIS88" s="88"/>
      <c r="AIT88" s="88"/>
      <c r="AIU88" s="88"/>
      <c r="AIV88" s="88"/>
      <c r="AIW88" s="88"/>
      <c r="AIX88" s="88"/>
      <c r="AIY88" s="88"/>
      <c r="AIZ88" s="88"/>
      <c r="AJA88" s="88"/>
      <c r="AJB88" s="88"/>
      <c r="AJC88" s="88"/>
      <c r="AJD88" s="88"/>
      <c r="AJE88" s="88"/>
      <c r="AJF88" s="88"/>
      <c r="AJG88" s="88"/>
      <c r="AJH88" s="88"/>
      <c r="AJI88" s="88"/>
      <c r="AJJ88" s="88"/>
      <c r="AJK88" s="88"/>
      <c r="AJL88" s="88"/>
      <c r="AJM88" s="88"/>
      <c r="AJN88" s="88"/>
      <c r="AJO88" s="88"/>
      <c r="AJP88" s="88"/>
      <c r="AJQ88" s="88"/>
      <c r="AJR88" s="88"/>
      <c r="AJS88" s="88"/>
      <c r="AJT88" s="88"/>
      <c r="AJU88" s="88"/>
      <c r="AJV88" s="88"/>
      <c r="AJW88" s="88"/>
      <c r="AJX88" s="88"/>
      <c r="AJY88" s="88"/>
      <c r="AJZ88" s="88"/>
      <c r="AKA88" s="88"/>
      <c r="AKB88" s="88"/>
      <c r="AKC88" s="88"/>
      <c r="AKD88" s="88"/>
      <c r="AKE88" s="88"/>
      <c r="AKF88" s="88"/>
      <c r="AKG88" s="88"/>
      <c r="AKH88" s="88"/>
      <c r="AKI88" s="88"/>
      <c r="AKJ88" s="88"/>
      <c r="AKK88" s="88"/>
      <c r="AKL88" s="88"/>
      <c r="AKM88" s="88"/>
      <c r="AKN88" s="88"/>
      <c r="AKO88" s="88"/>
      <c r="AKP88" s="88"/>
      <c r="AKQ88" s="88"/>
      <c r="AKR88" s="88"/>
      <c r="AKS88" s="88"/>
      <c r="AKT88" s="88"/>
      <c r="AKU88" s="88"/>
      <c r="AKV88" s="88"/>
      <c r="AKW88" s="88"/>
      <c r="AKX88" s="88"/>
      <c r="AKY88" s="88"/>
      <c r="AKZ88" s="88"/>
      <c r="ALA88" s="88"/>
      <c r="ALB88" s="88"/>
      <c r="ALC88" s="88"/>
      <c r="ALD88" s="88"/>
      <c r="ALE88" s="88"/>
      <c r="ALF88" s="88"/>
      <c r="ALG88" s="88"/>
      <c r="ALH88" s="88"/>
      <c r="ALI88" s="88"/>
      <c r="ALJ88" s="88"/>
      <c r="ALK88" s="88"/>
      <c r="ALL88" s="88"/>
      <c r="ALM88" s="88"/>
      <c r="ALN88" s="88"/>
      <c r="ALO88" s="88"/>
      <c r="ALP88" s="88"/>
      <c r="ALQ88" s="88"/>
      <c r="ALR88" s="88"/>
      <c r="ALS88" s="88"/>
      <c r="ALT88" s="88"/>
      <c r="ALU88" s="88"/>
      <c r="ALV88" s="88"/>
      <c r="ALW88" s="88"/>
      <c r="ALX88" s="88"/>
      <c r="ALY88" s="88"/>
      <c r="ALZ88" s="88"/>
      <c r="AMA88" s="88"/>
      <c r="AMB88" s="88"/>
      <c r="AMC88" s="88"/>
      <c r="AMD88" s="88"/>
      <c r="AME88" s="88"/>
      <c r="AMF88" s="88"/>
      <c r="AMG88" s="88"/>
      <c r="AMH88" s="88"/>
      <c r="AMI88" s="88"/>
      <c r="AMJ88" s="88"/>
      <c r="AMK88" s="88"/>
      <c r="AML88" s="88"/>
      <c r="AMM88" s="88"/>
      <c r="AMN88" s="88"/>
      <c r="AMO88" s="88"/>
      <c r="AMP88" s="88"/>
      <c r="AMQ88" s="88"/>
      <c r="AMR88" s="88"/>
      <c r="AMS88" s="88"/>
      <c r="AMT88" s="88"/>
      <c r="AMU88" s="88"/>
      <c r="AMV88" s="88"/>
      <c r="AMW88" s="88"/>
      <c r="AMX88" s="88"/>
      <c r="AMY88" s="88"/>
      <c r="AMZ88" s="88"/>
      <c r="ANA88" s="88"/>
      <c r="ANB88" s="88"/>
      <c r="ANC88" s="88"/>
      <c r="AND88" s="88"/>
      <c r="ANE88" s="88"/>
      <c r="ANF88" s="88"/>
      <c r="ANG88" s="88"/>
      <c r="ANH88" s="88"/>
      <c r="ANI88" s="88"/>
      <c r="ANJ88" s="88"/>
      <c r="ANK88" s="88"/>
      <c r="ANL88" s="88"/>
      <c r="ANM88" s="88"/>
      <c r="ANN88" s="88"/>
      <c r="ANO88" s="88"/>
      <c r="ANP88" s="88"/>
      <c r="ANQ88" s="88"/>
      <c r="ANR88" s="88"/>
      <c r="ANS88" s="88"/>
      <c r="ANT88" s="88"/>
      <c r="ANU88" s="88"/>
      <c r="ANV88" s="88"/>
      <c r="ANW88" s="88"/>
      <c r="ANX88" s="88"/>
      <c r="ANY88" s="88"/>
      <c r="ANZ88" s="88"/>
      <c r="AOA88" s="88"/>
      <c r="AOB88" s="88"/>
      <c r="AOC88" s="88"/>
      <c r="AOD88" s="88"/>
      <c r="AOE88" s="88"/>
      <c r="AOF88" s="88"/>
      <c r="AOG88" s="88"/>
      <c r="AOH88" s="88"/>
      <c r="AOI88" s="88"/>
      <c r="AOJ88" s="88"/>
      <c r="AOK88" s="88"/>
      <c r="AOL88" s="88"/>
      <c r="AOM88" s="88"/>
      <c r="AON88" s="88"/>
      <c r="AOO88" s="88"/>
      <c r="AOP88" s="88"/>
      <c r="AOQ88" s="88"/>
      <c r="AOR88" s="88"/>
      <c r="AOS88" s="88"/>
      <c r="AOT88" s="88"/>
      <c r="AOU88" s="88"/>
      <c r="AOV88" s="88"/>
      <c r="AOW88" s="88"/>
      <c r="AOX88" s="88"/>
      <c r="AOY88" s="88"/>
      <c r="AOZ88" s="88"/>
      <c r="APA88" s="88"/>
      <c r="APB88" s="88"/>
      <c r="APC88" s="88"/>
      <c r="APD88" s="88"/>
      <c r="APE88" s="88"/>
      <c r="APF88" s="88"/>
      <c r="APG88" s="88"/>
      <c r="APH88" s="88"/>
      <c r="API88" s="88"/>
      <c r="APJ88" s="88"/>
      <c r="APK88" s="88"/>
      <c r="APL88" s="88"/>
      <c r="APM88" s="88"/>
      <c r="APN88" s="88"/>
      <c r="APO88" s="88"/>
      <c r="APP88" s="88"/>
      <c r="APQ88" s="88"/>
      <c r="APR88" s="88"/>
      <c r="APS88" s="88"/>
      <c r="APT88" s="88"/>
      <c r="APU88" s="88"/>
      <c r="APV88" s="88"/>
      <c r="APW88" s="88"/>
      <c r="APX88" s="88"/>
      <c r="APY88" s="88"/>
      <c r="APZ88" s="88"/>
      <c r="AQA88" s="88"/>
      <c r="AQB88" s="88"/>
      <c r="AQC88" s="88"/>
      <c r="AQD88" s="88"/>
      <c r="AQE88" s="88"/>
      <c r="AQF88" s="88"/>
      <c r="AQG88" s="88"/>
      <c r="AQH88" s="88"/>
      <c r="AQI88" s="88"/>
      <c r="AQJ88" s="88"/>
      <c r="AQK88" s="88"/>
      <c r="AQL88" s="88"/>
      <c r="AQM88" s="88"/>
      <c r="AQN88" s="88"/>
      <c r="AQO88" s="88"/>
      <c r="AQP88" s="88"/>
      <c r="AQQ88" s="88"/>
      <c r="AQR88" s="88"/>
      <c r="AQS88" s="88"/>
      <c r="AQT88" s="88"/>
      <c r="AQU88" s="88"/>
      <c r="AQV88" s="88"/>
      <c r="AQW88" s="88"/>
      <c r="AQX88" s="88"/>
      <c r="AQY88" s="88"/>
      <c r="AQZ88" s="88"/>
      <c r="ARA88" s="88"/>
      <c r="ARB88" s="88"/>
      <c r="ARC88" s="88"/>
      <c r="ARD88" s="88"/>
      <c r="ARE88" s="88"/>
      <c r="ARF88" s="88"/>
      <c r="ARG88" s="88"/>
      <c r="ARH88" s="88"/>
      <c r="ARI88" s="88"/>
      <c r="ARJ88" s="88"/>
      <c r="ARK88" s="88"/>
      <c r="ARL88" s="88"/>
      <c r="ARM88" s="88"/>
      <c r="ARN88" s="88"/>
      <c r="ARO88" s="88"/>
      <c r="ARP88" s="88"/>
      <c r="ARQ88" s="88"/>
      <c r="ARR88" s="88"/>
      <c r="ARS88" s="88"/>
      <c r="ART88" s="88"/>
      <c r="ARU88" s="88"/>
      <c r="ARV88" s="88"/>
      <c r="ARW88" s="88"/>
      <c r="ARX88" s="88"/>
      <c r="ARY88" s="88"/>
      <c r="ARZ88" s="88"/>
      <c r="ASA88" s="88"/>
      <c r="ASB88" s="88"/>
      <c r="ASC88" s="88"/>
      <c r="ASD88" s="88"/>
      <c r="ASE88" s="88"/>
      <c r="ASF88" s="88"/>
      <c r="ASG88" s="88"/>
      <c r="ASH88" s="88"/>
      <c r="ASI88" s="88"/>
      <c r="ASJ88" s="88"/>
      <c r="ASK88" s="88"/>
      <c r="ASL88" s="88"/>
      <c r="ASM88" s="88"/>
      <c r="ASN88" s="88"/>
      <c r="ASO88" s="88"/>
      <c r="ASP88" s="88"/>
      <c r="ASQ88" s="88"/>
      <c r="ASR88" s="88"/>
      <c r="ASS88" s="88"/>
      <c r="AST88" s="88"/>
      <c r="ASU88" s="88"/>
      <c r="ASV88" s="88"/>
      <c r="ASW88" s="88"/>
      <c r="ASX88" s="88"/>
      <c r="ASY88" s="88"/>
      <c r="ASZ88" s="88"/>
      <c r="ATA88" s="88"/>
      <c r="ATB88" s="88"/>
      <c r="ATC88" s="88"/>
      <c r="ATD88" s="88"/>
      <c r="ATE88" s="88"/>
      <c r="ATF88" s="88"/>
      <c r="ATG88" s="88"/>
      <c r="ATH88" s="88"/>
      <c r="ATI88" s="88"/>
      <c r="ATJ88" s="88"/>
      <c r="ATK88" s="88"/>
      <c r="ATL88" s="88"/>
      <c r="ATM88" s="88"/>
      <c r="ATN88" s="88"/>
      <c r="ATO88" s="88"/>
      <c r="ATP88" s="88"/>
      <c r="ATQ88" s="88"/>
      <c r="ATR88" s="88"/>
      <c r="ATS88" s="88"/>
      <c r="ATT88" s="88"/>
      <c r="ATU88" s="88"/>
      <c r="ATV88" s="88"/>
      <c r="ATW88" s="88"/>
      <c r="ATX88" s="88"/>
      <c r="ATY88" s="88"/>
      <c r="ATZ88" s="88"/>
      <c r="AUA88" s="88"/>
      <c r="AUB88" s="88"/>
      <c r="AUC88" s="88"/>
      <c r="AUD88" s="88"/>
      <c r="AUE88" s="88"/>
      <c r="AUF88" s="88"/>
      <c r="AUG88" s="88"/>
      <c r="AUH88" s="88"/>
      <c r="AUI88" s="88"/>
      <c r="AUJ88" s="88"/>
      <c r="AUK88" s="88"/>
      <c r="AUL88" s="88"/>
      <c r="AUM88" s="88"/>
      <c r="AUN88" s="88"/>
      <c r="AUO88" s="88"/>
      <c r="AUP88" s="88"/>
      <c r="AUQ88" s="88"/>
      <c r="AUR88" s="88"/>
      <c r="AUS88" s="88"/>
      <c r="AUT88" s="88"/>
      <c r="AUU88" s="88"/>
      <c r="AUV88" s="88"/>
      <c r="AUW88" s="88"/>
      <c r="AUX88" s="88"/>
      <c r="AUY88" s="88"/>
      <c r="AUZ88" s="88"/>
      <c r="AVA88" s="88"/>
      <c r="AVB88" s="88"/>
      <c r="AVC88" s="88"/>
      <c r="AVD88" s="88"/>
      <c r="AVE88" s="88"/>
      <c r="AVF88" s="88"/>
      <c r="AVG88" s="88"/>
      <c r="AVH88" s="88"/>
      <c r="AVI88" s="88"/>
      <c r="AVJ88" s="88"/>
      <c r="AVK88" s="88"/>
      <c r="AVL88" s="88"/>
      <c r="AVM88" s="88"/>
      <c r="AVN88" s="88"/>
      <c r="AVO88" s="88"/>
      <c r="AVP88" s="88"/>
      <c r="AVQ88" s="88"/>
      <c r="AVR88" s="88"/>
      <c r="AVS88" s="88"/>
      <c r="AVT88" s="88"/>
      <c r="AVU88" s="88"/>
      <c r="AVV88" s="88"/>
      <c r="AVW88" s="88"/>
      <c r="AVX88" s="88"/>
      <c r="AVY88" s="88"/>
      <c r="AVZ88" s="88"/>
      <c r="AWA88" s="88"/>
      <c r="AWB88" s="88"/>
      <c r="AWC88" s="88"/>
      <c r="AWD88" s="88"/>
      <c r="AWE88" s="88"/>
      <c r="AWF88" s="88"/>
      <c r="AWG88" s="88"/>
      <c r="AWH88" s="88"/>
      <c r="AWI88" s="88"/>
      <c r="AWJ88" s="88"/>
      <c r="AWK88" s="88"/>
      <c r="AWL88" s="88"/>
      <c r="AWM88" s="88"/>
      <c r="AWN88" s="88"/>
      <c r="AWO88" s="88"/>
      <c r="AWP88" s="88"/>
      <c r="AWQ88" s="88"/>
      <c r="AWR88" s="88"/>
      <c r="AWS88" s="88"/>
      <c r="AWT88" s="88"/>
      <c r="AWU88" s="88"/>
      <c r="AWV88" s="88"/>
      <c r="AWW88" s="88"/>
      <c r="AWX88" s="88"/>
      <c r="AWY88" s="88"/>
      <c r="AWZ88" s="88"/>
      <c r="AXA88" s="88"/>
      <c r="AXB88" s="88"/>
      <c r="AXC88" s="88"/>
      <c r="AXD88" s="88"/>
      <c r="AXE88" s="88"/>
      <c r="AXF88" s="88"/>
      <c r="AXG88" s="88"/>
      <c r="AXH88" s="88"/>
      <c r="AXI88" s="88"/>
      <c r="AXJ88" s="88"/>
      <c r="AXK88" s="88"/>
      <c r="AXL88" s="88"/>
      <c r="AXM88" s="88"/>
      <c r="AXN88" s="88"/>
      <c r="AXO88" s="88"/>
      <c r="AXP88" s="88"/>
      <c r="AXQ88" s="88"/>
      <c r="AXR88" s="88"/>
      <c r="AXS88" s="88"/>
      <c r="AXT88" s="88"/>
      <c r="AXU88" s="88"/>
      <c r="AXV88" s="88"/>
      <c r="AXW88" s="88"/>
      <c r="AXX88" s="88"/>
      <c r="AXY88" s="88"/>
      <c r="AXZ88" s="88"/>
      <c r="AYA88" s="88"/>
      <c r="AYB88" s="88"/>
      <c r="AYC88" s="88"/>
      <c r="AYD88" s="88"/>
      <c r="AYE88" s="88"/>
      <c r="AYF88" s="88"/>
      <c r="AYG88" s="88"/>
      <c r="AYH88" s="88"/>
      <c r="AYI88" s="88"/>
      <c r="AYJ88" s="88"/>
      <c r="AYK88" s="88"/>
      <c r="AYL88" s="88"/>
      <c r="AYM88" s="88"/>
      <c r="AYN88" s="88"/>
      <c r="AYO88" s="88"/>
      <c r="AYP88" s="88"/>
      <c r="AYQ88" s="88"/>
      <c r="AYR88" s="88"/>
      <c r="AYS88" s="88"/>
      <c r="AYT88" s="88"/>
      <c r="AYU88" s="88"/>
      <c r="AYV88" s="88"/>
      <c r="AYW88" s="88"/>
      <c r="AYX88" s="88"/>
      <c r="AYY88" s="88"/>
      <c r="AYZ88" s="88"/>
      <c r="AZA88" s="88"/>
      <c r="AZB88" s="88"/>
      <c r="AZC88" s="88"/>
      <c r="AZD88" s="88"/>
      <c r="AZE88" s="88"/>
      <c r="AZF88" s="88"/>
      <c r="AZG88" s="88"/>
      <c r="AZH88" s="88"/>
      <c r="AZI88" s="88"/>
      <c r="AZJ88" s="88"/>
      <c r="AZK88" s="88"/>
      <c r="AZL88" s="88"/>
      <c r="AZM88" s="88"/>
      <c r="AZN88" s="88"/>
      <c r="AZO88" s="88"/>
      <c r="AZP88" s="88"/>
      <c r="AZQ88" s="88"/>
      <c r="AZR88" s="88"/>
      <c r="AZS88" s="88"/>
      <c r="AZT88" s="88"/>
      <c r="AZU88" s="88"/>
      <c r="AZV88" s="88"/>
      <c r="AZW88" s="88"/>
      <c r="AZX88" s="88"/>
      <c r="AZY88" s="88"/>
      <c r="AZZ88" s="88"/>
      <c r="BAA88" s="88"/>
      <c r="BAB88" s="88"/>
      <c r="BAC88" s="88"/>
      <c r="BAD88" s="88"/>
      <c r="BAE88" s="88"/>
      <c r="BAF88" s="88"/>
      <c r="BAG88" s="88"/>
      <c r="BAH88" s="88"/>
      <c r="BAI88" s="88"/>
      <c r="BAJ88" s="88"/>
      <c r="BAK88" s="88"/>
      <c r="BAL88" s="88"/>
      <c r="BAM88" s="88"/>
      <c r="BAN88" s="88"/>
      <c r="BAO88" s="88"/>
      <c r="BAP88" s="88"/>
      <c r="BAQ88" s="88"/>
      <c r="BAR88" s="88"/>
      <c r="BAS88" s="88"/>
      <c r="BAT88" s="88"/>
      <c r="BAU88" s="88"/>
      <c r="BAV88" s="88"/>
      <c r="BAW88" s="88"/>
      <c r="BAX88" s="88"/>
      <c r="BAY88" s="88"/>
      <c r="BAZ88" s="88"/>
      <c r="BBA88" s="88"/>
      <c r="BBB88" s="88"/>
      <c r="BBC88" s="88"/>
      <c r="BBD88" s="88"/>
      <c r="BBE88" s="88"/>
      <c r="BBF88" s="88"/>
      <c r="BBG88" s="88"/>
      <c r="BBH88" s="88"/>
      <c r="BBI88" s="88"/>
      <c r="BBJ88" s="88"/>
      <c r="BBK88" s="88"/>
      <c r="BBL88" s="88"/>
      <c r="BBM88" s="88"/>
      <c r="BBN88" s="88"/>
      <c r="BBO88" s="88"/>
      <c r="BBP88" s="88"/>
      <c r="BBQ88" s="88"/>
      <c r="BBR88" s="88"/>
      <c r="BBS88" s="88"/>
      <c r="BBT88" s="88"/>
      <c r="BBU88" s="88"/>
      <c r="BBV88" s="88"/>
      <c r="BBW88" s="88"/>
      <c r="BBX88" s="88"/>
      <c r="BBY88" s="88"/>
      <c r="BBZ88" s="88"/>
      <c r="BCA88" s="88"/>
      <c r="BCB88" s="88"/>
      <c r="BCC88" s="88"/>
      <c r="BCD88" s="88"/>
      <c r="BCE88" s="88"/>
      <c r="BCF88" s="88"/>
      <c r="BCG88" s="88"/>
      <c r="BCH88" s="88"/>
      <c r="BCI88" s="88"/>
      <c r="BCJ88" s="88"/>
      <c r="BCK88" s="88"/>
      <c r="BCL88" s="88"/>
      <c r="BCM88" s="88"/>
      <c r="BCN88" s="88"/>
      <c r="BCO88" s="88"/>
      <c r="BCP88" s="88"/>
      <c r="BCQ88" s="88"/>
      <c r="BCR88" s="88"/>
      <c r="BCS88" s="88"/>
      <c r="BCT88" s="88"/>
      <c r="BCU88" s="88"/>
      <c r="BCV88" s="88"/>
      <c r="BCW88" s="88"/>
      <c r="BCX88" s="88"/>
      <c r="BCY88" s="88"/>
      <c r="BCZ88" s="88"/>
      <c r="BDA88" s="88"/>
      <c r="BDB88" s="88"/>
      <c r="BDC88" s="88"/>
      <c r="BDD88" s="88"/>
      <c r="BDE88" s="88"/>
      <c r="BDF88" s="88"/>
      <c r="BDG88" s="88"/>
      <c r="BDH88" s="88"/>
      <c r="BDI88" s="88"/>
      <c r="BDJ88" s="88"/>
      <c r="BDK88" s="88"/>
      <c r="BDL88" s="88"/>
      <c r="BDM88" s="88"/>
      <c r="BDN88" s="88"/>
      <c r="BDO88" s="88"/>
      <c r="BDP88" s="88"/>
      <c r="BDQ88" s="88"/>
      <c r="BDR88" s="88"/>
      <c r="BDS88" s="88"/>
      <c r="BDT88" s="88"/>
      <c r="BDU88" s="88"/>
      <c r="BDV88" s="88"/>
      <c r="BDW88" s="88"/>
      <c r="BDX88" s="88"/>
      <c r="BDY88" s="88"/>
      <c r="BDZ88" s="88"/>
      <c r="BEA88" s="88"/>
      <c r="BEB88" s="88"/>
      <c r="BEC88" s="88"/>
      <c r="BED88" s="88"/>
      <c r="BEE88" s="88"/>
      <c r="BEF88" s="88"/>
      <c r="BEG88" s="88"/>
      <c r="BEH88" s="88"/>
      <c r="BEI88" s="88"/>
      <c r="BEJ88" s="88"/>
      <c r="BEK88" s="88"/>
      <c r="BEL88" s="88"/>
      <c r="BEM88" s="88"/>
      <c r="BEN88" s="88"/>
      <c r="BEO88" s="88"/>
      <c r="BEP88" s="88"/>
      <c r="BEQ88" s="88"/>
      <c r="BER88" s="88"/>
      <c r="BES88" s="88"/>
      <c r="BET88" s="88"/>
      <c r="BEU88" s="88"/>
      <c r="BEV88" s="88"/>
      <c r="BEW88" s="88"/>
      <c r="BEX88" s="88"/>
      <c r="BEY88" s="88"/>
      <c r="BEZ88" s="88"/>
      <c r="BFA88" s="88"/>
      <c r="BFB88" s="88"/>
      <c r="BFC88" s="88"/>
      <c r="BFD88" s="88"/>
      <c r="BFE88" s="88"/>
      <c r="BFF88" s="88"/>
      <c r="BFG88" s="88"/>
      <c r="BFH88" s="88"/>
      <c r="BFI88" s="88"/>
      <c r="BFJ88" s="88"/>
      <c r="BFK88" s="88"/>
      <c r="BFL88" s="88"/>
      <c r="BFM88" s="88"/>
      <c r="BFN88" s="88"/>
      <c r="BFO88" s="88"/>
      <c r="BFP88" s="88"/>
      <c r="BFQ88" s="88"/>
      <c r="BFR88" s="88"/>
      <c r="BFS88" s="88"/>
      <c r="BFT88" s="88"/>
      <c r="BFU88" s="88"/>
      <c r="BFV88" s="88"/>
      <c r="BFW88" s="88"/>
      <c r="BFX88" s="88"/>
      <c r="BFY88" s="88"/>
      <c r="BFZ88" s="88"/>
      <c r="BGA88" s="88"/>
      <c r="BGB88" s="88"/>
      <c r="BGC88" s="88"/>
      <c r="BGD88" s="88"/>
      <c r="BGE88" s="88"/>
      <c r="BGF88" s="88"/>
      <c r="BGG88" s="88"/>
      <c r="BGH88" s="88"/>
      <c r="BGI88" s="88"/>
      <c r="BGJ88" s="88"/>
      <c r="BGK88" s="88"/>
      <c r="BGL88" s="88"/>
      <c r="BGM88" s="88"/>
      <c r="BGN88" s="88"/>
      <c r="BGO88" s="88"/>
      <c r="BGP88" s="88"/>
      <c r="BGQ88" s="88"/>
      <c r="BGR88" s="88"/>
      <c r="BGS88" s="88"/>
      <c r="BGT88" s="88"/>
      <c r="BGU88" s="88"/>
      <c r="BGV88" s="88"/>
      <c r="BGW88" s="88"/>
      <c r="BGX88" s="88"/>
      <c r="BGY88" s="88"/>
      <c r="BGZ88" s="88"/>
      <c r="BHA88" s="88"/>
      <c r="BHB88" s="88"/>
      <c r="BHC88" s="88"/>
      <c r="BHD88" s="88"/>
      <c r="BHE88" s="88"/>
      <c r="BHF88" s="88"/>
      <c r="BHG88" s="88"/>
      <c r="BHH88" s="88"/>
      <c r="BHI88" s="88"/>
      <c r="BHJ88" s="88"/>
      <c r="BHK88" s="88"/>
      <c r="BHL88" s="88"/>
      <c r="BHM88" s="88"/>
      <c r="BHN88" s="88"/>
      <c r="BHO88" s="88"/>
      <c r="BHP88" s="88"/>
      <c r="BHQ88" s="88"/>
      <c r="BHR88" s="88"/>
      <c r="BHS88" s="88"/>
      <c r="BHT88" s="88"/>
      <c r="BHU88" s="88"/>
      <c r="BHV88" s="88"/>
      <c r="BHW88" s="88"/>
      <c r="BHX88" s="88"/>
      <c r="BHY88" s="88"/>
      <c r="BHZ88" s="88"/>
      <c r="BIA88" s="88"/>
      <c r="BIB88" s="88"/>
      <c r="BIC88" s="88"/>
      <c r="BID88" s="88"/>
      <c r="BIE88" s="88"/>
      <c r="BIF88" s="88"/>
      <c r="BIG88" s="88"/>
      <c r="BIH88" s="88"/>
      <c r="BII88" s="88"/>
      <c r="BIJ88" s="88"/>
      <c r="BIK88" s="88"/>
      <c r="BIL88" s="88"/>
      <c r="BIM88" s="88"/>
      <c r="BIN88" s="88"/>
      <c r="BIO88" s="88"/>
      <c r="BIP88" s="88"/>
      <c r="BIQ88" s="88"/>
      <c r="BIR88" s="88"/>
      <c r="BIS88" s="88"/>
      <c r="BIT88" s="88"/>
      <c r="BIU88" s="88"/>
      <c r="BIV88" s="88"/>
      <c r="BIW88" s="88"/>
      <c r="BIX88" s="88"/>
      <c r="BIY88" s="88"/>
      <c r="BIZ88" s="88"/>
      <c r="BJA88" s="88"/>
      <c r="BJB88" s="88"/>
      <c r="BJC88" s="88"/>
      <c r="BJD88" s="88"/>
      <c r="BJE88" s="88"/>
      <c r="BJF88" s="88"/>
      <c r="BJG88" s="88"/>
      <c r="BJH88" s="88"/>
      <c r="BJI88" s="88"/>
      <c r="BJJ88" s="88"/>
      <c r="BJK88" s="88"/>
      <c r="BJL88" s="88"/>
      <c r="BJM88" s="88"/>
      <c r="BJN88" s="88"/>
      <c r="BJO88" s="88"/>
      <c r="BJP88" s="88"/>
      <c r="BJQ88" s="88"/>
      <c r="BJR88" s="88"/>
      <c r="BJS88" s="88"/>
      <c r="BJT88" s="88"/>
      <c r="BJU88" s="88"/>
      <c r="BJV88" s="88"/>
      <c r="BJW88" s="88"/>
      <c r="BJX88" s="88"/>
      <c r="BJY88" s="88"/>
      <c r="BJZ88" s="88"/>
      <c r="BKA88" s="88"/>
      <c r="BKB88" s="88"/>
      <c r="BKC88" s="88"/>
      <c r="BKD88" s="88"/>
      <c r="BKE88" s="88"/>
      <c r="BKF88" s="88"/>
      <c r="BKG88" s="88"/>
      <c r="BKH88" s="88"/>
      <c r="BKI88" s="88"/>
      <c r="BKJ88" s="88"/>
      <c r="BKK88" s="88"/>
      <c r="BKL88" s="88"/>
      <c r="BKM88" s="88"/>
      <c r="BKN88" s="88"/>
      <c r="BKO88" s="88"/>
      <c r="BKP88" s="88"/>
      <c r="BKQ88" s="88"/>
      <c r="BKR88" s="88"/>
      <c r="BKS88" s="88"/>
      <c r="BKT88" s="88"/>
      <c r="BKU88" s="88"/>
      <c r="BKV88" s="88"/>
      <c r="BKW88" s="88"/>
      <c r="BKX88" s="88"/>
      <c r="BKY88" s="88"/>
      <c r="BKZ88" s="88"/>
      <c r="BLA88" s="88"/>
      <c r="BLB88" s="88"/>
      <c r="BLC88" s="88"/>
      <c r="BLD88" s="88"/>
      <c r="BLE88" s="88"/>
      <c r="BLF88" s="88"/>
      <c r="BLG88" s="88"/>
      <c r="BLH88" s="88"/>
      <c r="BLI88" s="88"/>
      <c r="BLJ88" s="88"/>
      <c r="BLK88" s="88"/>
      <c r="BLL88" s="88"/>
      <c r="BLM88" s="88"/>
      <c r="BLN88" s="88"/>
      <c r="BLO88" s="88"/>
      <c r="BLP88" s="88"/>
      <c r="BLQ88" s="88"/>
      <c r="BLR88" s="88"/>
      <c r="BLS88" s="88"/>
      <c r="BLT88" s="88"/>
      <c r="BLU88" s="88"/>
      <c r="BLV88" s="88"/>
      <c r="BLW88" s="88"/>
      <c r="BLX88" s="88"/>
      <c r="BLY88" s="88"/>
      <c r="BLZ88" s="88"/>
      <c r="BMA88" s="88"/>
      <c r="BMB88" s="88"/>
      <c r="BMC88" s="88"/>
      <c r="BMD88" s="88"/>
      <c r="BME88" s="88"/>
      <c r="BMF88" s="88"/>
      <c r="BMG88" s="88"/>
      <c r="BMH88" s="88"/>
      <c r="BMI88" s="88"/>
      <c r="BMJ88" s="88"/>
      <c r="BMK88" s="88"/>
      <c r="BML88" s="88"/>
      <c r="BMM88" s="88"/>
      <c r="BMN88" s="88"/>
      <c r="BMO88" s="88"/>
      <c r="BMP88" s="88"/>
      <c r="BMQ88" s="88"/>
      <c r="BMR88" s="88"/>
      <c r="BMS88" s="88"/>
      <c r="BMT88" s="88"/>
      <c r="BMU88" s="88"/>
      <c r="BMV88" s="88"/>
      <c r="BMW88" s="88"/>
      <c r="BMX88" s="88"/>
      <c r="BMY88" s="88"/>
      <c r="BMZ88" s="88"/>
      <c r="BNA88" s="88"/>
      <c r="BNB88" s="88"/>
      <c r="BNC88" s="88"/>
      <c r="BND88" s="88"/>
      <c r="BNE88" s="88"/>
      <c r="BNF88" s="88"/>
      <c r="BNG88" s="88"/>
      <c r="BNH88" s="88"/>
      <c r="BNI88" s="88"/>
      <c r="BNJ88" s="88"/>
      <c r="BNK88" s="88"/>
      <c r="BNL88" s="88"/>
      <c r="BNM88" s="88"/>
      <c r="BNN88" s="88"/>
      <c r="BNO88" s="88"/>
      <c r="BNP88" s="88"/>
      <c r="BNQ88" s="88"/>
      <c r="BNR88" s="88"/>
      <c r="BNS88" s="88"/>
      <c r="BNT88" s="88"/>
      <c r="BNU88" s="88"/>
      <c r="BNV88" s="88"/>
      <c r="BNW88" s="88"/>
      <c r="BNX88" s="88"/>
      <c r="BNY88" s="88"/>
      <c r="BNZ88" s="88"/>
      <c r="BOA88" s="88"/>
      <c r="BOB88" s="88"/>
      <c r="BOC88" s="88"/>
      <c r="BOD88" s="88"/>
      <c r="BOE88" s="88"/>
      <c r="BOF88" s="88"/>
      <c r="BOG88" s="88"/>
      <c r="BOH88" s="88"/>
      <c r="BOI88" s="88"/>
      <c r="BOJ88" s="88"/>
      <c r="BOK88" s="88"/>
      <c r="BOL88" s="88"/>
      <c r="BOM88" s="88"/>
      <c r="BON88" s="88"/>
      <c r="BOO88" s="88"/>
      <c r="BOP88" s="88"/>
      <c r="BOQ88" s="88"/>
      <c r="BOR88" s="88"/>
      <c r="BOS88" s="88"/>
      <c r="BOT88" s="88"/>
      <c r="BOU88" s="88"/>
      <c r="BOV88" s="88"/>
      <c r="BOW88" s="88"/>
      <c r="BOX88" s="88"/>
      <c r="BOY88" s="88"/>
      <c r="BOZ88" s="88"/>
      <c r="BPA88" s="88"/>
      <c r="BPB88" s="88"/>
      <c r="BPC88" s="88"/>
      <c r="BPD88" s="88"/>
      <c r="BPE88" s="88"/>
      <c r="BPF88" s="88"/>
      <c r="BPG88" s="88"/>
      <c r="BPH88" s="88"/>
      <c r="BPI88" s="88"/>
      <c r="BPJ88" s="88"/>
      <c r="BPK88" s="88"/>
      <c r="BPL88" s="88"/>
      <c r="BPM88" s="88"/>
      <c r="BPN88" s="88"/>
      <c r="BPO88" s="88"/>
      <c r="BPP88" s="88"/>
      <c r="BPQ88" s="88"/>
      <c r="BPR88" s="88"/>
      <c r="BPS88" s="88"/>
      <c r="BPT88" s="88"/>
      <c r="BPU88" s="88"/>
      <c r="BPV88" s="88"/>
      <c r="BPW88" s="88"/>
      <c r="BPX88" s="88"/>
      <c r="BPY88" s="88"/>
      <c r="BPZ88" s="88"/>
      <c r="BQA88" s="88"/>
      <c r="BQB88" s="88"/>
      <c r="BQC88" s="88"/>
      <c r="BQD88" s="88"/>
      <c r="BQE88" s="88"/>
      <c r="BQF88" s="88"/>
      <c r="BQG88" s="88"/>
      <c r="BQH88" s="88"/>
      <c r="BQI88" s="88"/>
      <c r="BQJ88" s="88"/>
      <c r="BQK88" s="88"/>
      <c r="BQL88" s="88"/>
      <c r="BQM88" s="88"/>
      <c r="BQN88" s="88"/>
      <c r="BQO88" s="88"/>
      <c r="BQP88" s="88"/>
      <c r="BQQ88" s="88"/>
      <c r="BQR88" s="88"/>
      <c r="BQS88" s="88"/>
      <c r="BQT88" s="88"/>
      <c r="BQU88" s="88"/>
      <c r="BQV88" s="88"/>
      <c r="BQW88" s="88"/>
      <c r="BQX88" s="88"/>
      <c r="BQY88" s="88"/>
      <c r="BQZ88" s="88"/>
      <c r="BRA88" s="88"/>
      <c r="BRB88" s="88"/>
      <c r="BRC88" s="88"/>
      <c r="BRD88" s="88"/>
      <c r="BRE88" s="88"/>
      <c r="BRF88" s="88"/>
      <c r="BRG88" s="88"/>
      <c r="BRH88" s="88"/>
      <c r="BRI88" s="88"/>
      <c r="BRJ88" s="88"/>
      <c r="BRK88" s="88"/>
      <c r="BRL88" s="88"/>
      <c r="BRM88" s="88"/>
      <c r="BRN88" s="88"/>
      <c r="BRO88" s="88"/>
      <c r="BRP88" s="88"/>
      <c r="BRQ88" s="88"/>
      <c r="BRR88" s="88"/>
      <c r="BRS88" s="88"/>
      <c r="BRT88" s="88"/>
      <c r="BRU88" s="88"/>
      <c r="BRV88" s="88"/>
      <c r="BRW88" s="88"/>
      <c r="BRX88" s="88"/>
      <c r="BRY88" s="88"/>
      <c r="BRZ88" s="88"/>
      <c r="BSA88" s="88"/>
      <c r="BSB88" s="88"/>
      <c r="BSC88" s="88"/>
      <c r="BSD88" s="88"/>
      <c r="BSE88" s="88"/>
      <c r="BSF88" s="88"/>
      <c r="BSG88" s="88"/>
      <c r="BSH88" s="88"/>
      <c r="BSI88" s="88"/>
      <c r="BSJ88" s="88"/>
      <c r="BSK88" s="88"/>
      <c r="BSL88" s="88"/>
      <c r="BSM88" s="88"/>
      <c r="BSN88" s="88"/>
      <c r="BSO88" s="88"/>
      <c r="BSP88" s="88"/>
      <c r="BSQ88" s="88"/>
      <c r="BSR88" s="88"/>
      <c r="BSS88" s="88"/>
      <c r="BST88" s="88"/>
      <c r="BSU88" s="88"/>
      <c r="BSV88" s="88"/>
      <c r="BSW88" s="88"/>
      <c r="BSX88" s="88"/>
      <c r="BSY88" s="88"/>
      <c r="BSZ88" s="88"/>
      <c r="BTA88" s="88"/>
      <c r="BTB88" s="88"/>
      <c r="BTC88" s="88"/>
      <c r="BTD88" s="88"/>
      <c r="BTE88" s="88"/>
      <c r="BTF88" s="88"/>
      <c r="BTG88" s="88"/>
      <c r="BTH88" s="88"/>
      <c r="BTI88" s="88"/>
      <c r="BTJ88" s="88"/>
      <c r="BTK88" s="88"/>
      <c r="BTL88" s="88"/>
      <c r="BTM88" s="88"/>
      <c r="BTN88" s="88"/>
      <c r="BTO88" s="88"/>
      <c r="BTP88" s="88"/>
      <c r="BTQ88" s="88"/>
      <c r="BTR88" s="88"/>
      <c r="BTS88" s="88"/>
      <c r="BTT88" s="88"/>
      <c r="BTU88" s="88"/>
      <c r="BTV88" s="88"/>
      <c r="BTW88" s="88"/>
      <c r="BTX88" s="88"/>
      <c r="BTY88" s="88"/>
      <c r="BTZ88" s="88"/>
      <c r="BUA88" s="88"/>
      <c r="BUB88" s="88"/>
      <c r="BUC88" s="88"/>
      <c r="BUD88" s="88"/>
      <c r="BUE88" s="88"/>
      <c r="BUF88" s="88"/>
      <c r="BUG88" s="88"/>
      <c r="BUH88" s="88"/>
      <c r="BUI88" s="88"/>
      <c r="BUJ88" s="88"/>
      <c r="BUK88" s="88"/>
      <c r="BUL88" s="88"/>
      <c r="BUM88" s="88"/>
      <c r="BUN88" s="88"/>
      <c r="BUO88" s="88"/>
      <c r="BUP88" s="88"/>
      <c r="BUQ88" s="88"/>
      <c r="BUR88" s="88"/>
      <c r="BUS88" s="88"/>
      <c r="BUT88" s="88"/>
      <c r="BUU88" s="88"/>
      <c r="BUV88" s="88"/>
      <c r="BUW88" s="88"/>
      <c r="BUX88" s="88"/>
      <c r="BUY88" s="88"/>
      <c r="BUZ88" s="88"/>
      <c r="BVA88" s="88"/>
      <c r="BVB88" s="88"/>
      <c r="BVC88" s="88"/>
      <c r="BVD88" s="88"/>
      <c r="BVE88" s="88"/>
      <c r="BVF88" s="88"/>
      <c r="BVG88" s="88"/>
      <c r="BVH88" s="88"/>
      <c r="BVI88" s="88"/>
      <c r="BVJ88" s="88"/>
      <c r="BVK88" s="88"/>
      <c r="BVL88" s="88"/>
      <c r="BVM88" s="88"/>
      <c r="BVN88" s="88"/>
      <c r="BVO88" s="88"/>
      <c r="BVP88" s="88"/>
      <c r="BVQ88" s="88"/>
      <c r="BVR88" s="88"/>
      <c r="BVS88" s="88"/>
      <c r="BVT88" s="88"/>
      <c r="BVU88" s="88"/>
      <c r="BVV88" s="88"/>
      <c r="BVW88" s="88"/>
      <c r="BVX88" s="88"/>
      <c r="BVY88" s="88"/>
      <c r="BVZ88" s="88"/>
      <c r="BWA88" s="88"/>
      <c r="BWB88" s="88"/>
      <c r="BWC88" s="88"/>
      <c r="BWD88" s="88"/>
      <c r="BWE88" s="88"/>
      <c r="BWF88" s="88"/>
      <c r="BWG88" s="88"/>
      <c r="BWH88" s="88"/>
      <c r="BWI88" s="88"/>
      <c r="BWJ88" s="88"/>
      <c r="BWK88" s="88"/>
      <c r="BWL88" s="88"/>
      <c r="BWM88" s="88"/>
      <c r="BWN88" s="88"/>
      <c r="BWO88" s="88"/>
      <c r="BWP88" s="88"/>
      <c r="BWQ88" s="88"/>
      <c r="BWR88" s="88"/>
      <c r="BWS88" s="88"/>
      <c r="BWT88" s="88"/>
      <c r="BWU88" s="88"/>
      <c r="BWV88" s="88"/>
      <c r="BWW88" s="88"/>
      <c r="BWX88" s="88"/>
      <c r="BWY88" s="88"/>
      <c r="BWZ88" s="88"/>
      <c r="BXA88" s="88"/>
      <c r="BXB88" s="88"/>
      <c r="BXC88" s="88"/>
      <c r="BXD88" s="88"/>
      <c r="BXE88" s="88"/>
      <c r="BXF88" s="88"/>
      <c r="BXG88" s="88"/>
      <c r="BXH88" s="88"/>
      <c r="BXI88" s="88"/>
      <c r="BXJ88" s="88"/>
      <c r="BXK88" s="88"/>
      <c r="BXL88" s="88"/>
      <c r="BXM88" s="88"/>
      <c r="BXN88" s="88"/>
      <c r="BXO88" s="88"/>
      <c r="BXP88" s="88"/>
      <c r="BXQ88" s="88"/>
      <c r="BXR88" s="88"/>
      <c r="BXS88" s="88"/>
      <c r="BXT88" s="88"/>
      <c r="BXU88" s="88"/>
      <c r="BXV88" s="88"/>
      <c r="BXW88" s="88"/>
      <c r="BXX88" s="88"/>
      <c r="BXY88" s="88"/>
      <c r="BXZ88" s="88"/>
      <c r="BYA88" s="88"/>
      <c r="BYB88" s="88"/>
      <c r="BYC88" s="88"/>
      <c r="BYD88" s="88"/>
      <c r="BYE88" s="88"/>
      <c r="BYF88" s="88"/>
      <c r="BYG88" s="88"/>
      <c r="BYH88" s="88"/>
      <c r="BYI88" s="88"/>
      <c r="BYJ88" s="88"/>
      <c r="BYK88" s="88"/>
      <c r="BYL88" s="88"/>
      <c r="BYM88" s="88"/>
      <c r="BYN88" s="88"/>
      <c r="BYO88" s="88"/>
      <c r="BYP88" s="88"/>
      <c r="BYQ88" s="88"/>
      <c r="BYR88" s="88"/>
      <c r="BYS88" s="88"/>
      <c r="BYT88" s="88"/>
      <c r="BYU88" s="88"/>
      <c r="BYV88" s="88"/>
      <c r="BYW88" s="88"/>
      <c r="BYX88" s="88"/>
      <c r="BYY88" s="88"/>
      <c r="BYZ88" s="88"/>
      <c r="BZA88" s="88"/>
      <c r="BZB88" s="88"/>
      <c r="BZC88" s="88"/>
      <c r="BZD88" s="88"/>
      <c r="BZE88" s="88"/>
      <c r="BZF88" s="88"/>
      <c r="BZG88" s="88"/>
      <c r="BZH88" s="88"/>
      <c r="BZI88" s="88"/>
      <c r="BZJ88" s="88"/>
      <c r="BZK88" s="88"/>
      <c r="BZL88" s="88"/>
      <c r="BZM88" s="88"/>
      <c r="BZN88" s="88"/>
      <c r="BZO88" s="88"/>
      <c r="BZP88" s="88"/>
      <c r="BZQ88" s="88"/>
      <c r="BZR88" s="88"/>
      <c r="BZS88" s="88"/>
      <c r="BZT88" s="88"/>
      <c r="BZU88" s="88"/>
      <c r="BZV88" s="88"/>
      <c r="BZW88" s="88"/>
      <c r="BZX88" s="88"/>
      <c r="BZY88" s="88"/>
      <c r="BZZ88" s="88"/>
      <c r="CAA88" s="88"/>
      <c r="CAB88" s="88"/>
      <c r="CAC88" s="88"/>
      <c r="CAD88" s="88"/>
      <c r="CAE88" s="88"/>
      <c r="CAF88" s="88"/>
      <c r="CAG88" s="88"/>
      <c r="CAH88" s="88"/>
      <c r="CAI88" s="88"/>
      <c r="CAJ88" s="88"/>
      <c r="CAK88" s="88"/>
      <c r="CAL88" s="88"/>
      <c r="CAM88" s="88"/>
      <c r="CAN88" s="88"/>
      <c r="CAO88" s="88"/>
      <c r="CAP88" s="88"/>
      <c r="CAQ88" s="88"/>
      <c r="CAR88" s="88"/>
      <c r="CAS88" s="88"/>
      <c r="CAT88" s="88"/>
      <c r="CAU88" s="88"/>
      <c r="CAV88" s="88"/>
      <c r="CAW88" s="88"/>
      <c r="CAX88" s="88"/>
      <c r="CAY88" s="88"/>
      <c r="CAZ88" s="88"/>
      <c r="CBA88" s="88"/>
      <c r="CBB88" s="88"/>
      <c r="CBC88" s="88"/>
      <c r="CBD88" s="88"/>
      <c r="CBE88" s="88"/>
      <c r="CBF88" s="88"/>
      <c r="CBG88" s="88"/>
      <c r="CBH88" s="88"/>
      <c r="CBI88" s="88"/>
      <c r="CBJ88" s="88"/>
      <c r="CBK88" s="88"/>
      <c r="CBL88" s="88"/>
      <c r="CBM88" s="88"/>
      <c r="CBN88" s="88"/>
      <c r="CBO88" s="88"/>
      <c r="CBP88" s="88"/>
      <c r="CBQ88" s="88"/>
      <c r="CBR88" s="88"/>
      <c r="CBS88" s="88"/>
      <c r="CBT88" s="88"/>
      <c r="CBU88" s="88"/>
      <c r="CBV88" s="88"/>
      <c r="CBW88" s="88"/>
      <c r="CBX88" s="88"/>
      <c r="CBY88" s="88"/>
      <c r="CBZ88" s="88"/>
      <c r="CCA88" s="88"/>
      <c r="CCB88" s="88"/>
      <c r="CCC88" s="88"/>
      <c r="CCD88" s="88"/>
      <c r="CCE88" s="88"/>
      <c r="CCF88" s="88"/>
      <c r="CCG88" s="88"/>
      <c r="CCH88" s="88"/>
      <c r="CCI88" s="88"/>
      <c r="CCJ88" s="88"/>
      <c r="CCK88" s="88"/>
      <c r="CCL88" s="88"/>
      <c r="CCM88" s="88"/>
      <c r="CCN88" s="88"/>
      <c r="CCO88" s="88"/>
      <c r="CCP88" s="88"/>
      <c r="CCQ88" s="88"/>
      <c r="CCR88" s="88"/>
      <c r="CCS88" s="88"/>
      <c r="CCT88" s="88"/>
      <c r="CCU88" s="88"/>
      <c r="CCV88" s="88"/>
      <c r="CCW88" s="88"/>
      <c r="CCX88" s="88"/>
      <c r="CCY88" s="88"/>
      <c r="CCZ88" s="88"/>
      <c r="CDA88" s="88"/>
      <c r="CDB88" s="88"/>
      <c r="CDC88" s="88"/>
      <c r="CDD88" s="88"/>
      <c r="CDE88" s="88"/>
      <c r="CDF88" s="88"/>
      <c r="CDG88" s="88"/>
      <c r="CDH88" s="88"/>
      <c r="CDI88" s="88"/>
      <c r="CDJ88" s="88"/>
      <c r="CDK88" s="88"/>
      <c r="CDL88" s="88"/>
      <c r="CDM88" s="88"/>
      <c r="CDN88" s="88"/>
      <c r="CDO88" s="88"/>
      <c r="CDP88" s="88"/>
      <c r="CDQ88" s="88"/>
      <c r="CDR88" s="88"/>
      <c r="CDS88" s="88"/>
      <c r="CDT88" s="88"/>
      <c r="CDU88" s="88"/>
      <c r="CDV88" s="88"/>
      <c r="CDW88" s="88"/>
      <c r="CDX88" s="88"/>
      <c r="CDY88" s="88"/>
      <c r="CDZ88" s="88"/>
      <c r="CEA88" s="88"/>
      <c r="CEB88" s="88"/>
      <c r="CEC88" s="88"/>
      <c r="CED88" s="88"/>
      <c r="CEE88" s="88"/>
      <c r="CEF88" s="88"/>
      <c r="CEG88" s="88"/>
      <c r="CEH88" s="88"/>
      <c r="CEI88" s="88"/>
      <c r="CEJ88" s="88"/>
      <c r="CEK88" s="88"/>
    </row>
    <row r="89" spans="1:2169" s="51" customFormat="1">
      <c r="A89" s="72" t="s">
        <v>440</v>
      </c>
      <c r="B89" s="72" t="s">
        <v>510</v>
      </c>
      <c r="C89" s="69" t="str">
        <f>IF('page 2'!$O$4="","",IF('page 2'!$O$4=Gestion!A89,1,0))</f>
        <v/>
      </c>
      <c r="D89" s="69" t="str">
        <f>IF('page 2'!$O$5="","",IF('page 2'!$O$5=Gestion!A89,1,0))</f>
        <v/>
      </c>
      <c r="E89" s="69" t="str">
        <f>IF('page 2'!$O$6="","",IF('page 2'!$O$6=Gestion!A89,1,0))</f>
        <v/>
      </c>
      <c r="F89" s="69" t="str">
        <f>IF('page 2'!$O$7="","",IF('page 2'!$O$7=Gestion!A89,1,0))</f>
        <v/>
      </c>
      <c r="G89" s="69" t="str">
        <f>IF('page 2'!$O$8="","",IF('page 2'!$O$8=Gestion!A89,1,0))</f>
        <v/>
      </c>
      <c r="H89" s="69" t="str">
        <f>IF('page 2'!$O$9="","",IF('page 2'!$O$9=Gestion!A89,1,0))</f>
        <v/>
      </c>
      <c r="I89" s="69" t="str">
        <f>IF('page 2'!$O$10="","",IF('page 2'!$O$10=Gestion!A89,1,0))</f>
        <v/>
      </c>
      <c r="J89" s="69" t="str">
        <f>IF('page 2'!$O$11="","",IF('page 2'!$O$11=Gestion!A89,1,0))</f>
        <v/>
      </c>
      <c r="K89" s="69" t="str">
        <f>IF('page 2'!$O$12="","",IF('page 2'!$O$12=Gestion!A89,1,0))</f>
        <v/>
      </c>
      <c r="L89" s="69" t="str">
        <f>IF('page 2'!$O$13="","",IF('page 2'!$O$13=Gestion!A89,1,0))</f>
        <v/>
      </c>
      <c r="M89" s="69" t="str">
        <f>IF('page 2'!$O$14="","",IF('page 2'!$O$14=Gestion!A89,1,0))</f>
        <v/>
      </c>
      <c r="N89" s="69" t="str">
        <f>IF('page 2'!$O$15="","",IF('page 2'!$O$15=Gestion!A89,1,0))</f>
        <v/>
      </c>
      <c r="O89" s="69" t="str">
        <f>IF('page 2'!$O$16="","",IF('page 2'!$O$16=Gestion!A89,1,0))</f>
        <v/>
      </c>
      <c r="P89" s="69" t="str">
        <f>IF('page 2'!$O$17="","",IF('page 2'!$O$17=Gestion!A89,1,0))</f>
        <v/>
      </c>
      <c r="Q89" s="69" t="str">
        <f>IF('page 2'!$O$18="","",IF('page 2'!$O$18=Gestion!A89,1,0))</f>
        <v/>
      </c>
      <c r="R89" s="69" t="str">
        <f>IF('page 2'!$O$19="","",IF('page 2'!$O$19=Gestion!A89,1,0))</f>
        <v/>
      </c>
      <c r="S89" s="69" t="str">
        <f>IF('page 2'!$O$20="","",IF('page 2'!$O$20=Gestion!A89,1,0))</f>
        <v/>
      </c>
      <c r="T89" s="69" t="str">
        <f>IF('page 2'!$O$25="","",IF('page 2'!$O$25=Gestion!A89,1,0))</f>
        <v/>
      </c>
      <c r="U89" s="69" t="str">
        <f>IF('page 2'!$O$26="","",IF('page 2'!$O$26=Gestion!A89,1,0))</f>
        <v/>
      </c>
      <c r="V89" s="69" t="str">
        <f>IF('page 2'!$O$27="","",IF('page 2'!$O$27=Gestion!A89,1,0))</f>
        <v/>
      </c>
      <c r="W89" s="723">
        <f t="shared" si="14"/>
        <v>0</v>
      </c>
      <c r="X89" s="713"/>
      <c r="Y89" s="69"/>
      <c r="Z89" s="69"/>
      <c r="AA89" s="69"/>
      <c r="AB89" s="542"/>
      <c r="AC89" s="542"/>
      <c r="AD89" s="542"/>
      <c r="AE89" s="88"/>
      <c r="AP89" s="130"/>
      <c r="AQ89" s="130"/>
      <c r="AR89" s="130"/>
      <c r="AS89" s="602"/>
      <c r="AT89" s="602"/>
      <c r="AU89" s="602"/>
      <c r="AV89" s="602"/>
      <c r="AW89" s="602"/>
      <c r="AX89" s="602"/>
      <c r="AY89" s="602"/>
      <c r="AZ89" s="602"/>
      <c r="BA89" s="602"/>
      <c r="BB89" s="602"/>
      <c r="BC89" s="602"/>
      <c r="BD89" s="602"/>
      <c r="BE89" s="602"/>
      <c r="BF89" s="602"/>
      <c r="BG89" s="602"/>
      <c r="BH89" s="602"/>
      <c r="BI89" s="602"/>
      <c r="BJ89" s="602"/>
      <c r="BK89" s="602"/>
      <c r="BL89" s="602"/>
      <c r="BM89" s="602"/>
      <c r="BN89" s="602"/>
      <c r="BO89" s="602"/>
      <c r="BP89" s="602"/>
      <c r="BQ89" s="602"/>
      <c r="BR89" s="602"/>
      <c r="BS89" s="602"/>
      <c r="BT89" s="602"/>
      <c r="BU89" s="602"/>
      <c r="BV89" s="602"/>
      <c r="BW89" s="602"/>
      <c r="BX89" s="602"/>
      <c r="BY89" s="602"/>
      <c r="BZ89" s="602"/>
      <c r="CA89" s="602"/>
      <c r="CB89" s="602"/>
      <c r="CC89" s="602"/>
      <c r="CD89" s="602"/>
      <c r="CE89" s="602"/>
      <c r="CF89" s="602"/>
      <c r="CG89" s="602"/>
      <c r="CH89" s="602"/>
      <c r="CI89" s="602"/>
      <c r="CJ89" s="602"/>
      <c r="CK89" s="602"/>
      <c r="CL89" s="602"/>
      <c r="CM89" s="602"/>
      <c r="CN89" s="602"/>
      <c r="CO89" s="602"/>
      <c r="CP89" s="602"/>
      <c r="CQ89" s="602"/>
      <c r="CR89" s="602"/>
      <c r="CS89" s="602"/>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c r="HF89" s="88"/>
      <c r="HG89" s="88"/>
      <c r="HH89" s="88"/>
      <c r="HI89" s="88"/>
      <c r="HJ89" s="88"/>
      <c r="HK89" s="88"/>
      <c r="HL89" s="88"/>
      <c r="HM89" s="88"/>
      <c r="HN89" s="88"/>
      <c r="HO89" s="88"/>
      <c r="HP89" s="88"/>
      <c r="HQ89" s="88"/>
      <c r="HR89" s="88"/>
      <c r="HS89" s="88"/>
      <c r="HT89" s="88"/>
      <c r="HU89" s="88"/>
      <c r="HV89" s="88"/>
      <c r="HW89" s="88"/>
      <c r="HX89" s="88"/>
      <c r="HY89" s="88"/>
      <c r="HZ89" s="88"/>
      <c r="IA89" s="88"/>
      <c r="IB89" s="88"/>
      <c r="IC89" s="88"/>
      <c r="ID89" s="88"/>
      <c r="IE89" s="88"/>
      <c r="IF89" s="88"/>
      <c r="IG89" s="88"/>
      <c r="IH89" s="88"/>
      <c r="II89" s="88"/>
      <c r="IJ89" s="88"/>
      <c r="IK89" s="88"/>
      <c r="IL89" s="88"/>
      <c r="IM89" s="88"/>
      <c r="IN89" s="88"/>
      <c r="IO89" s="88"/>
      <c r="IP89" s="88"/>
      <c r="IQ89" s="88"/>
      <c r="IR89" s="88"/>
      <c r="IS89" s="88"/>
      <c r="IT89" s="88"/>
      <c r="IU89" s="88"/>
      <c r="IV89" s="88"/>
      <c r="IW89" s="88"/>
      <c r="IX89" s="88"/>
      <c r="IY89" s="88"/>
      <c r="IZ89" s="88"/>
      <c r="JA89" s="88"/>
      <c r="JB89" s="88"/>
      <c r="JC89" s="88"/>
      <c r="JD89" s="88"/>
      <c r="JE89" s="88"/>
      <c r="JF89" s="88"/>
      <c r="JG89" s="88"/>
      <c r="JH89" s="88"/>
      <c r="JI89" s="88"/>
      <c r="JJ89" s="88"/>
      <c r="JK89" s="88"/>
      <c r="JL89" s="88"/>
      <c r="JM89" s="88"/>
      <c r="JN89" s="88"/>
      <c r="JO89" s="88"/>
      <c r="JP89" s="88"/>
      <c r="JQ89" s="88"/>
      <c r="JR89" s="88"/>
      <c r="JS89" s="88"/>
      <c r="JT89" s="88"/>
      <c r="JU89" s="88"/>
      <c r="JV89" s="88"/>
      <c r="JW89" s="88"/>
      <c r="JX89" s="88"/>
      <c r="JY89" s="88"/>
      <c r="JZ89" s="88"/>
      <c r="KA89" s="88"/>
      <c r="KB89" s="88"/>
      <c r="KC89" s="88"/>
      <c r="KD89" s="88"/>
      <c r="KE89" s="88"/>
      <c r="KF89" s="88"/>
      <c r="KG89" s="88"/>
      <c r="KH89" s="88"/>
      <c r="KI89" s="88"/>
      <c r="KJ89" s="88"/>
      <c r="KK89" s="88"/>
      <c r="KL89" s="88"/>
      <c r="KM89" s="88"/>
      <c r="KN89" s="88"/>
      <c r="KO89" s="88"/>
      <c r="KP89" s="88"/>
      <c r="KQ89" s="88"/>
      <c r="KR89" s="88"/>
      <c r="KS89" s="88"/>
      <c r="KT89" s="88"/>
      <c r="KU89" s="88"/>
      <c r="KV89" s="88"/>
      <c r="KW89" s="88"/>
      <c r="KX89" s="88"/>
      <c r="KY89" s="88"/>
      <c r="KZ89" s="88"/>
      <c r="LA89" s="88"/>
      <c r="LB89" s="88"/>
      <c r="LC89" s="88"/>
      <c r="LD89" s="88"/>
      <c r="LE89" s="88"/>
      <c r="LF89" s="88"/>
      <c r="LG89" s="88"/>
      <c r="LH89" s="88"/>
      <c r="LI89" s="88"/>
      <c r="LJ89" s="88"/>
      <c r="LK89" s="88"/>
      <c r="LL89" s="88"/>
      <c r="LM89" s="88"/>
      <c r="LN89" s="88"/>
      <c r="LO89" s="88"/>
      <c r="LP89" s="88"/>
      <c r="LQ89" s="88"/>
      <c r="LR89" s="88"/>
      <c r="LS89" s="88"/>
      <c r="LT89" s="88"/>
      <c r="LU89" s="88"/>
      <c r="LV89" s="88"/>
      <c r="LW89" s="88"/>
      <c r="LX89" s="88"/>
      <c r="LY89" s="88"/>
      <c r="LZ89" s="88"/>
      <c r="MA89" s="88"/>
      <c r="MB89" s="88"/>
      <c r="MC89" s="88"/>
      <c r="MD89" s="88"/>
      <c r="ME89" s="88"/>
      <c r="MF89" s="88"/>
      <c r="MG89" s="88"/>
      <c r="MH89" s="88"/>
      <c r="MI89" s="88"/>
      <c r="MJ89" s="88"/>
      <c r="MK89" s="88"/>
      <c r="ML89" s="88"/>
      <c r="MM89" s="88"/>
      <c r="MN89" s="88"/>
      <c r="MO89" s="88"/>
      <c r="MP89" s="88"/>
      <c r="MQ89" s="88"/>
      <c r="MR89" s="88"/>
      <c r="MS89" s="88"/>
      <c r="MT89" s="88"/>
      <c r="MU89" s="88"/>
      <c r="MV89" s="88"/>
      <c r="MW89" s="88"/>
      <c r="MX89" s="88"/>
      <c r="MY89" s="88"/>
      <c r="MZ89" s="88"/>
      <c r="NA89" s="88"/>
      <c r="NB89" s="88"/>
      <c r="NC89" s="88"/>
      <c r="ND89" s="88"/>
      <c r="NE89" s="88"/>
      <c r="NF89" s="88"/>
      <c r="NG89" s="88"/>
      <c r="NH89" s="88"/>
      <c r="NI89" s="88"/>
      <c r="NJ89" s="88"/>
      <c r="NK89" s="88"/>
      <c r="NL89" s="88"/>
      <c r="NM89" s="88"/>
      <c r="NN89" s="88"/>
      <c r="NO89" s="88"/>
      <c r="NP89" s="88"/>
      <c r="NQ89" s="88"/>
      <c r="NR89" s="88"/>
      <c r="NS89" s="88"/>
      <c r="NT89" s="88"/>
      <c r="NU89" s="88"/>
      <c r="NV89" s="88"/>
      <c r="NW89" s="88"/>
      <c r="NX89" s="88"/>
      <c r="NY89" s="88"/>
      <c r="NZ89" s="88"/>
      <c r="OA89" s="88"/>
      <c r="OB89" s="88"/>
      <c r="OC89" s="88"/>
      <c r="OD89" s="88"/>
      <c r="OE89" s="88"/>
      <c r="OF89" s="88"/>
      <c r="OG89" s="88"/>
      <c r="OH89" s="88"/>
      <c r="OI89" s="88"/>
      <c r="OJ89" s="88"/>
      <c r="OK89" s="88"/>
      <c r="OL89" s="88"/>
      <c r="OM89" s="88"/>
      <c r="ON89" s="88"/>
      <c r="OO89" s="88"/>
      <c r="OP89" s="88"/>
      <c r="OQ89" s="88"/>
      <c r="OR89" s="88"/>
      <c r="OS89" s="88"/>
      <c r="OT89" s="88"/>
      <c r="OU89" s="88"/>
      <c r="OV89" s="88"/>
      <c r="OW89" s="88"/>
      <c r="OX89" s="88"/>
      <c r="OY89" s="88"/>
      <c r="OZ89" s="88"/>
      <c r="PA89" s="88"/>
      <c r="PB89" s="88"/>
      <c r="PC89" s="88"/>
      <c r="PD89" s="88"/>
      <c r="PE89" s="88"/>
      <c r="PF89" s="88"/>
      <c r="PG89" s="88"/>
      <c r="PH89" s="88"/>
      <c r="PI89" s="88"/>
      <c r="PJ89" s="88"/>
      <c r="PK89" s="88"/>
      <c r="PL89" s="88"/>
      <c r="PM89" s="88"/>
      <c r="PN89" s="88"/>
      <c r="PO89" s="88"/>
      <c r="PP89" s="88"/>
      <c r="PQ89" s="88"/>
      <c r="PR89" s="88"/>
      <c r="PS89" s="88"/>
      <c r="PT89" s="88"/>
      <c r="PU89" s="88"/>
      <c r="PV89" s="88"/>
      <c r="PW89" s="88"/>
      <c r="PX89" s="88"/>
      <c r="PY89" s="88"/>
      <c r="PZ89" s="88"/>
      <c r="QA89" s="88"/>
      <c r="QB89" s="88"/>
      <c r="QC89" s="88"/>
      <c r="QD89" s="88"/>
      <c r="QE89" s="88"/>
      <c r="QF89" s="88"/>
      <c r="QG89" s="88"/>
      <c r="QH89" s="88"/>
      <c r="QI89" s="88"/>
      <c r="QJ89" s="88"/>
      <c r="QK89" s="88"/>
      <c r="QL89" s="88"/>
      <c r="QM89" s="88"/>
      <c r="QN89" s="88"/>
      <c r="QO89" s="88"/>
      <c r="QP89" s="88"/>
      <c r="QQ89" s="88"/>
      <c r="QR89" s="88"/>
      <c r="QS89" s="88"/>
      <c r="QT89" s="88"/>
      <c r="QU89" s="88"/>
      <c r="QV89" s="88"/>
      <c r="QW89" s="88"/>
      <c r="QX89" s="88"/>
      <c r="QY89" s="88"/>
      <c r="QZ89" s="88"/>
      <c r="RA89" s="88"/>
      <c r="RB89" s="88"/>
      <c r="RC89" s="88"/>
      <c r="RD89" s="88"/>
      <c r="RE89" s="88"/>
      <c r="RF89" s="88"/>
      <c r="RG89" s="88"/>
      <c r="RH89" s="88"/>
      <c r="RI89" s="88"/>
      <c r="RJ89" s="88"/>
      <c r="RK89" s="88"/>
      <c r="RL89" s="88"/>
      <c r="RM89" s="88"/>
      <c r="RN89" s="88"/>
      <c r="RO89" s="88"/>
      <c r="RP89" s="88"/>
      <c r="RQ89" s="88"/>
      <c r="RR89" s="88"/>
      <c r="RS89" s="88"/>
      <c r="RT89" s="88"/>
      <c r="RU89" s="88"/>
      <c r="RV89" s="88"/>
      <c r="RW89" s="88"/>
      <c r="RX89" s="88"/>
      <c r="RY89" s="88"/>
      <c r="RZ89" s="88"/>
      <c r="SA89" s="88"/>
      <c r="SB89" s="88"/>
      <c r="SC89" s="88"/>
      <c r="SD89" s="88"/>
      <c r="SE89" s="88"/>
      <c r="SF89" s="88"/>
      <c r="SG89" s="88"/>
      <c r="SH89" s="88"/>
      <c r="SI89" s="88"/>
      <c r="SJ89" s="88"/>
      <c r="SK89" s="88"/>
      <c r="SL89" s="88"/>
      <c r="SM89" s="88"/>
      <c r="SN89" s="88"/>
      <c r="SO89" s="88"/>
      <c r="SP89" s="88"/>
      <c r="SQ89" s="88"/>
      <c r="SR89" s="88"/>
      <c r="SS89" s="88"/>
      <c r="ST89" s="88"/>
      <c r="SU89" s="88"/>
      <c r="SV89" s="88"/>
      <c r="SW89" s="88"/>
      <c r="SX89" s="88"/>
      <c r="SY89" s="88"/>
      <c r="SZ89" s="88"/>
      <c r="TA89" s="88"/>
      <c r="TB89" s="88"/>
      <c r="TC89" s="88"/>
      <c r="TD89" s="88"/>
      <c r="TE89" s="88"/>
      <c r="TF89" s="88"/>
      <c r="TG89" s="88"/>
      <c r="TH89" s="88"/>
      <c r="TI89" s="88"/>
      <c r="TJ89" s="88"/>
      <c r="TK89" s="88"/>
      <c r="TL89" s="88"/>
      <c r="TM89" s="88"/>
      <c r="TN89" s="88"/>
      <c r="TO89" s="88"/>
      <c r="TP89" s="88"/>
      <c r="TQ89" s="88"/>
      <c r="TR89" s="88"/>
      <c r="TS89" s="88"/>
      <c r="TT89" s="88"/>
      <c r="TU89" s="88"/>
      <c r="TV89" s="88"/>
      <c r="TW89" s="88"/>
      <c r="TX89" s="88"/>
      <c r="TY89" s="88"/>
      <c r="TZ89" s="88"/>
      <c r="UA89" s="88"/>
      <c r="UB89" s="88"/>
      <c r="UC89" s="88"/>
      <c r="UD89" s="88"/>
      <c r="UE89" s="88"/>
      <c r="UF89" s="88"/>
      <c r="UG89" s="88"/>
      <c r="UH89" s="88"/>
      <c r="UI89" s="88"/>
      <c r="UJ89" s="88"/>
      <c r="UK89" s="88"/>
      <c r="UL89" s="88"/>
      <c r="UM89" s="88"/>
      <c r="UN89" s="88"/>
      <c r="UO89" s="88"/>
      <c r="UP89" s="88"/>
      <c r="UQ89" s="88"/>
      <c r="UR89" s="88"/>
      <c r="US89" s="88"/>
      <c r="UT89" s="88"/>
      <c r="UU89" s="88"/>
      <c r="UV89" s="88"/>
      <c r="UW89" s="88"/>
      <c r="UX89" s="88"/>
      <c r="UY89" s="88"/>
      <c r="UZ89" s="88"/>
      <c r="VA89" s="88"/>
      <c r="VB89" s="88"/>
      <c r="VC89" s="88"/>
      <c r="VD89" s="88"/>
      <c r="VE89" s="88"/>
      <c r="VF89" s="88"/>
      <c r="VG89" s="88"/>
      <c r="VH89" s="88"/>
      <c r="VI89" s="88"/>
      <c r="VJ89" s="88"/>
      <c r="VK89" s="88"/>
      <c r="VL89" s="88"/>
      <c r="VM89" s="88"/>
      <c r="VN89" s="88"/>
      <c r="VO89" s="88"/>
      <c r="VP89" s="88"/>
      <c r="VQ89" s="88"/>
      <c r="VR89" s="88"/>
      <c r="VS89" s="88"/>
      <c r="VT89" s="88"/>
      <c r="VU89" s="88"/>
      <c r="VV89" s="88"/>
      <c r="VW89" s="88"/>
      <c r="VX89" s="88"/>
      <c r="VY89" s="88"/>
      <c r="VZ89" s="88"/>
      <c r="WA89" s="88"/>
      <c r="WB89" s="88"/>
      <c r="WC89" s="88"/>
      <c r="WD89" s="88"/>
      <c r="WE89" s="88"/>
      <c r="WF89" s="88"/>
      <c r="WG89" s="88"/>
      <c r="WH89" s="88"/>
      <c r="WI89" s="88"/>
      <c r="WJ89" s="88"/>
      <c r="WK89" s="88"/>
      <c r="WL89" s="88"/>
      <c r="WM89" s="88"/>
      <c r="WN89" s="88"/>
      <c r="WO89" s="88"/>
      <c r="WP89" s="88"/>
      <c r="WQ89" s="88"/>
      <c r="WR89" s="88"/>
      <c r="WS89" s="88"/>
      <c r="WT89" s="88"/>
      <c r="WU89" s="88"/>
      <c r="WV89" s="88"/>
      <c r="WW89" s="88"/>
      <c r="WX89" s="88"/>
      <c r="WY89" s="88"/>
      <c r="WZ89" s="88"/>
      <c r="XA89" s="88"/>
      <c r="XB89" s="88"/>
      <c r="XC89" s="88"/>
      <c r="XD89" s="88"/>
      <c r="XE89" s="88"/>
      <c r="XF89" s="88"/>
      <c r="XG89" s="88"/>
      <c r="XH89" s="88"/>
      <c r="XI89" s="88"/>
      <c r="XJ89" s="88"/>
      <c r="XK89" s="88"/>
      <c r="XL89" s="88"/>
      <c r="XM89" s="88"/>
      <c r="XN89" s="88"/>
      <c r="XO89" s="88"/>
      <c r="XP89" s="88"/>
      <c r="XQ89" s="88"/>
      <c r="XR89" s="88"/>
      <c r="XS89" s="88"/>
      <c r="XT89" s="88"/>
      <c r="XU89" s="88"/>
      <c r="XV89" s="88"/>
      <c r="XW89" s="88"/>
      <c r="XX89" s="88"/>
      <c r="XY89" s="88"/>
      <c r="XZ89" s="88"/>
      <c r="YA89" s="88"/>
      <c r="YB89" s="88"/>
      <c r="YC89" s="88"/>
      <c r="YD89" s="88"/>
      <c r="YE89" s="88"/>
      <c r="YF89" s="88"/>
      <c r="YG89" s="88"/>
      <c r="YH89" s="88"/>
      <c r="YI89" s="88"/>
      <c r="YJ89" s="88"/>
      <c r="YK89" s="88"/>
      <c r="YL89" s="88"/>
      <c r="YM89" s="88"/>
      <c r="YN89" s="88"/>
      <c r="YO89" s="88"/>
      <c r="YP89" s="88"/>
      <c r="YQ89" s="88"/>
      <c r="YR89" s="88"/>
      <c r="YS89" s="88"/>
      <c r="YT89" s="88"/>
      <c r="YU89" s="88"/>
      <c r="YV89" s="88"/>
      <c r="YW89" s="88"/>
      <c r="YX89" s="88"/>
      <c r="YY89" s="88"/>
      <c r="YZ89" s="88"/>
      <c r="ZA89" s="88"/>
      <c r="ZB89" s="88"/>
      <c r="ZC89" s="88"/>
      <c r="ZD89" s="88"/>
      <c r="ZE89" s="88"/>
      <c r="ZF89" s="88"/>
      <c r="ZG89" s="88"/>
      <c r="ZH89" s="88"/>
      <c r="ZI89" s="88"/>
      <c r="ZJ89" s="88"/>
      <c r="ZK89" s="88"/>
      <c r="ZL89" s="88"/>
      <c r="ZM89" s="88"/>
      <c r="ZN89" s="88"/>
      <c r="ZO89" s="88"/>
      <c r="ZP89" s="88"/>
      <c r="ZQ89" s="88"/>
      <c r="ZR89" s="88"/>
      <c r="ZS89" s="88"/>
      <c r="ZT89" s="88"/>
      <c r="ZU89" s="88"/>
      <c r="ZV89" s="88"/>
      <c r="ZW89" s="88"/>
      <c r="ZX89" s="88"/>
      <c r="ZY89" s="88"/>
      <c r="ZZ89" s="88"/>
      <c r="AAA89" s="88"/>
      <c r="AAB89" s="88"/>
      <c r="AAC89" s="88"/>
      <c r="AAD89" s="88"/>
      <c r="AAE89" s="88"/>
      <c r="AAF89" s="88"/>
      <c r="AAG89" s="88"/>
      <c r="AAH89" s="88"/>
      <c r="AAI89" s="88"/>
      <c r="AAJ89" s="88"/>
      <c r="AAK89" s="88"/>
      <c r="AAL89" s="88"/>
      <c r="AAM89" s="88"/>
      <c r="AAN89" s="88"/>
      <c r="AAO89" s="88"/>
      <c r="AAP89" s="88"/>
      <c r="AAQ89" s="88"/>
      <c r="AAR89" s="88"/>
      <c r="AAS89" s="88"/>
      <c r="AAT89" s="88"/>
      <c r="AAU89" s="88"/>
      <c r="AAV89" s="88"/>
      <c r="AAW89" s="88"/>
      <c r="AAX89" s="88"/>
      <c r="AAY89" s="88"/>
      <c r="AAZ89" s="88"/>
      <c r="ABA89" s="88"/>
      <c r="ABB89" s="88"/>
      <c r="ABC89" s="88"/>
      <c r="ABD89" s="88"/>
      <c r="ABE89" s="88"/>
      <c r="ABF89" s="88"/>
      <c r="ABG89" s="88"/>
      <c r="ABH89" s="88"/>
      <c r="ABI89" s="88"/>
      <c r="ABJ89" s="88"/>
      <c r="ABK89" s="88"/>
      <c r="ABL89" s="88"/>
      <c r="ABM89" s="88"/>
      <c r="ABN89" s="88"/>
      <c r="ABO89" s="88"/>
      <c r="ABP89" s="88"/>
      <c r="ABQ89" s="88"/>
      <c r="ABR89" s="88"/>
      <c r="ABS89" s="88"/>
      <c r="ABT89" s="88"/>
      <c r="ABU89" s="88"/>
      <c r="ABV89" s="88"/>
      <c r="ABW89" s="88"/>
      <c r="ABX89" s="88"/>
      <c r="ABY89" s="88"/>
      <c r="ABZ89" s="88"/>
      <c r="ACA89" s="88"/>
      <c r="ACB89" s="88"/>
      <c r="ACC89" s="88"/>
      <c r="ACD89" s="88"/>
      <c r="ACE89" s="88"/>
      <c r="ACF89" s="88"/>
      <c r="ACG89" s="88"/>
      <c r="ACH89" s="88"/>
      <c r="ACI89" s="88"/>
      <c r="ACJ89" s="88"/>
      <c r="ACK89" s="88"/>
      <c r="ACL89" s="88"/>
      <c r="ACM89" s="88"/>
      <c r="ACN89" s="88"/>
      <c r="ACO89" s="88"/>
      <c r="ACP89" s="88"/>
      <c r="ACQ89" s="88"/>
      <c r="ACR89" s="88"/>
      <c r="ACS89" s="88"/>
      <c r="ACT89" s="88"/>
      <c r="ACU89" s="88"/>
      <c r="ACV89" s="88"/>
      <c r="ACW89" s="88"/>
      <c r="ACX89" s="88"/>
      <c r="ACY89" s="88"/>
      <c r="ACZ89" s="88"/>
      <c r="ADA89" s="88"/>
      <c r="ADB89" s="88"/>
      <c r="ADC89" s="88"/>
      <c r="ADD89" s="88"/>
      <c r="ADE89" s="88"/>
      <c r="ADF89" s="88"/>
      <c r="ADG89" s="88"/>
      <c r="ADH89" s="88"/>
      <c r="ADI89" s="88"/>
      <c r="ADJ89" s="88"/>
      <c r="ADK89" s="88"/>
      <c r="ADL89" s="88"/>
      <c r="ADM89" s="88"/>
      <c r="ADN89" s="88"/>
      <c r="ADO89" s="88"/>
      <c r="ADP89" s="88"/>
      <c r="ADQ89" s="88"/>
      <c r="ADR89" s="88"/>
      <c r="ADS89" s="88"/>
      <c r="ADT89" s="88"/>
      <c r="ADU89" s="88"/>
      <c r="ADV89" s="88"/>
      <c r="ADW89" s="88"/>
      <c r="ADX89" s="88"/>
      <c r="ADY89" s="88"/>
      <c r="ADZ89" s="88"/>
      <c r="AEA89" s="88"/>
      <c r="AEB89" s="88"/>
      <c r="AEC89" s="88"/>
      <c r="AED89" s="88"/>
      <c r="AEE89" s="88"/>
      <c r="AEF89" s="88"/>
      <c r="AEG89" s="88"/>
      <c r="AEH89" s="88"/>
      <c r="AEI89" s="88"/>
      <c r="AEJ89" s="88"/>
      <c r="AEK89" s="88"/>
      <c r="AEL89" s="88"/>
      <c r="AEM89" s="88"/>
      <c r="AEN89" s="88"/>
      <c r="AEO89" s="88"/>
      <c r="AEP89" s="88"/>
      <c r="AEQ89" s="88"/>
      <c r="AER89" s="88"/>
      <c r="AES89" s="88"/>
      <c r="AET89" s="88"/>
      <c r="AEU89" s="88"/>
      <c r="AEV89" s="88"/>
      <c r="AEW89" s="88"/>
      <c r="AEX89" s="88"/>
      <c r="AEY89" s="88"/>
      <c r="AEZ89" s="88"/>
      <c r="AFA89" s="88"/>
      <c r="AFB89" s="88"/>
      <c r="AFC89" s="88"/>
      <c r="AFD89" s="88"/>
      <c r="AFE89" s="88"/>
      <c r="AFF89" s="88"/>
      <c r="AFG89" s="88"/>
      <c r="AFH89" s="88"/>
      <c r="AFI89" s="88"/>
      <c r="AFJ89" s="88"/>
      <c r="AFK89" s="88"/>
      <c r="AFL89" s="88"/>
      <c r="AFM89" s="88"/>
      <c r="AFN89" s="88"/>
      <c r="AFO89" s="88"/>
      <c r="AFP89" s="88"/>
      <c r="AFQ89" s="88"/>
      <c r="AFR89" s="88"/>
      <c r="AFS89" s="88"/>
      <c r="AFT89" s="88"/>
      <c r="AFU89" s="88"/>
      <c r="AFV89" s="88"/>
      <c r="AFW89" s="88"/>
      <c r="AFX89" s="88"/>
      <c r="AFY89" s="88"/>
      <c r="AFZ89" s="88"/>
      <c r="AGA89" s="88"/>
      <c r="AGB89" s="88"/>
      <c r="AGC89" s="88"/>
      <c r="AGD89" s="88"/>
      <c r="AGE89" s="88"/>
      <c r="AGF89" s="88"/>
      <c r="AGG89" s="88"/>
      <c r="AGH89" s="88"/>
      <c r="AGI89" s="88"/>
      <c r="AGJ89" s="88"/>
      <c r="AGK89" s="88"/>
      <c r="AGL89" s="88"/>
      <c r="AGM89" s="88"/>
      <c r="AGN89" s="88"/>
      <c r="AGO89" s="88"/>
      <c r="AGP89" s="88"/>
      <c r="AGQ89" s="88"/>
      <c r="AGR89" s="88"/>
      <c r="AGS89" s="88"/>
      <c r="AGT89" s="88"/>
      <c r="AGU89" s="88"/>
      <c r="AGV89" s="88"/>
      <c r="AGW89" s="88"/>
      <c r="AGX89" s="88"/>
      <c r="AGY89" s="88"/>
      <c r="AGZ89" s="88"/>
      <c r="AHA89" s="88"/>
      <c r="AHB89" s="88"/>
      <c r="AHC89" s="88"/>
      <c r="AHD89" s="88"/>
      <c r="AHE89" s="88"/>
      <c r="AHF89" s="88"/>
      <c r="AHG89" s="88"/>
      <c r="AHH89" s="88"/>
      <c r="AHI89" s="88"/>
      <c r="AHJ89" s="88"/>
      <c r="AHK89" s="88"/>
      <c r="AHL89" s="88"/>
      <c r="AHM89" s="88"/>
      <c r="AHN89" s="88"/>
      <c r="AHO89" s="88"/>
      <c r="AHP89" s="88"/>
      <c r="AHQ89" s="88"/>
      <c r="AHR89" s="88"/>
      <c r="AHS89" s="88"/>
      <c r="AHT89" s="88"/>
      <c r="AHU89" s="88"/>
      <c r="AHV89" s="88"/>
      <c r="AHW89" s="88"/>
      <c r="AHX89" s="88"/>
      <c r="AHY89" s="88"/>
      <c r="AHZ89" s="88"/>
      <c r="AIA89" s="88"/>
      <c r="AIB89" s="88"/>
      <c r="AIC89" s="88"/>
      <c r="AID89" s="88"/>
      <c r="AIE89" s="88"/>
      <c r="AIF89" s="88"/>
      <c r="AIG89" s="88"/>
      <c r="AIH89" s="88"/>
      <c r="AII89" s="88"/>
      <c r="AIJ89" s="88"/>
      <c r="AIK89" s="88"/>
      <c r="AIL89" s="88"/>
      <c r="AIM89" s="88"/>
      <c r="AIN89" s="88"/>
      <c r="AIO89" s="88"/>
      <c r="AIP89" s="88"/>
      <c r="AIQ89" s="88"/>
      <c r="AIR89" s="88"/>
      <c r="AIS89" s="88"/>
      <c r="AIT89" s="88"/>
      <c r="AIU89" s="88"/>
      <c r="AIV89" s="88"/>
      <c r="AIW89" s="88"/>
      <c r="AIX89" s="88"/>
      <c r="AIY89" s="88"/>
      <c r="AIZ89" s="88"/>
      <c r="AJA89" s="88"/>
      <c r="AJB89" s="88"/>
      <c r="AJC89" s="88"/>
      <c r="AJD89" s="88"/>
      <c r="AJE89" s="88"/>
      <c r="AJF89" s="88"/>
      <c r="AJG89" s="88"/>
      <c r="AJH89" s="88"/>
      <c r="AJI89" s="88"/>
      <c r="AJJ89" s="88"/>
      <c r="AJK89" s="88"/>
      <c r="AJL89" s="88"/>
      <c r="AJM89" s="88"/>
      <c r="AJN89" s="88"/>
      <c r="AJO89" s="88"/>
      <c r="AJP89" s="88"/>
      <c r="AJQ89" s="88"/>
      <c r="AJR89" s="88"/>
      <c r="AJS89" s="88"/>
      <c r="AJT89" s="88"/>
      <c r="AJU89" s="88"/>
      <c r="AJV89" s="88"/>
      <c r="AJW89" s="88"/>
      <c r="AJX89" s="88"/>
      <c r="AJY89" s="88"/>
      <c r="AJZ89" s="88"/>
      <c r="AKA89" s="88"/>
      <c r="AKB89" s="88"/>
      <c r="AKC89" s="88"/>
      <c r="AKD89" s="88"/>
      <c r="AKE89" s="88"/>
      <c r="AKF89" s="88"/>
      <c r="AKG89" s="88"/>
      <c r="AKH89" s="88"/>
      <c r="AKI89" s="88"/>
      <c r="AKJ89" s="88"/>
      <c r="AKK89" s="88"/>
      <c r="AKL89" s="88"/>
      <c r="AKM89" s="88"/>
      <c r="AKN89" s="88"/>
      <c r="AKO89" s="88"/>
      <c r="AKP89" s="88"/>
      <c r="AKQ89" s="88"/>
      <c r="AKR89" s="88"/>
      <c r="AKS89" s="88"/>
      <c r="AKT89" s="88"/>
      <c r="AKU89" s="88"/>
      <c r="AKV89" s="88"/>
      <c r="AKW89" s="88"/>
      <c r="AKX89" s="88"/>
      <c r="AKY89" s="88"/>
      <c r="AKZ89" s="88"/>
      <c r="ALA89" s="88"/>
      <c r="ALB89" s="88"/>
      <c r="ALC89" s="88"/>
      <c r="ALD89" s="88"/>
      <c r="ALE89" s="88"/>
      <c r="ALF89" s="88"/>
      <c r="ALG89" s="88"/>
      <c r="ALH89" s="88"/>
      <c r="ALI89" s="88"/>
      <c r="ALJ89" s="88"/>
      <c r="ALK89" s="88"/>
      <c r="ALL89" s="88"/>
      <c r="ALM89" s="88"/>
      <c r="ALN89" s="88"/>
      <c r="ALO89" s="88"/>
      <c r="ALP89" s="88"/>
      <c r="ALQ89" s="88"/>
      <c r="ALR89" s="88"/>
      <c r="ALS89" s="88"/>
      <c r="ALT89" s="88"/>
      <c r="ALU89" s="88"/>
      <c r="ALV89" s="88"/>
      <c r="ALW89" s="88"/>
      <c r="ALX89" s="88"/>
      <c r="ALY89" s="88"/>
      <c r="ALZ89" s="88"/>
      <c r="AMA89" s="88"/>
      <c r="AMB89" s="88"/>
      <c r="AMC89" s="88"/>
      <c r="AMD89" s="88"/>
      <c r="AME89" s="88"/>
      <c r="AMF89" s="88"/>
      <c r="AMG89" s="88"/>
      <c r="AMH89" s="88"/>
      <c r="AMI89" s="88"/>
      <c r="AMJ89" s="88"/>
      <c r="AMK89" s="88"/>
      <c r="AML89" s="88"/>
      <c r="AMM89" s="88"/>
      <c r="AMN89" s="88"/>
      <c r="AMO89" s="88"/>
      <c r="AMP89" s="88"/>
      <c r="AMQ89" s="88"/>
      <c r="AMR89" s="88"/>
      <c r="AMS89" s="88"/>
      <c r="AMT89" s="88"/>
      <c r="AMU89" s="88"/>
      <c r="AMV89" s="88"/>
      <c r="AMW89" s="88"/>
      <c r="AMX89" s="88"/>
      <c r="AMY89" s="88"/>
      <c r="AMZ89" s="88"/>
      <c r="ANA89" s="88"/>
      <c r="ANB89" s="88"/>
      <c r="ANC89" s="88"/>
      <c r="AND89" s="88"/>
      <c r="ANE89" s="88"/>
      <c r="ANF89" s="88"/>
      <c r="ANG89" s="88"/>
      <c r="ANH89" s="88"/>
      <c r="ANI89" s="88"/>
      <c r="ANJ89" s="88"/>
      <c r="ANK89" s="88"/>
      <c r="ANL89" s="88"/>
      <c r="ANM89" s="88"/>
      <c r="ANN89" s="88"/>
      <c r="ANO89" s="88"/>
      <c r="ANP89" s="88"/>
      <c r="ANQ89" s="88"/>
      <c r="ANR89" s="88"/>
      <c r="ANS89" s="88"/>
      <c r="ANT89" s="88"/>
      <c r="ANU89" s="88"/>
      <c r="ANV89" s="88"/>
      <c r="ANW89" s="88"/>
      <c r="ANX89" s="88"/>
      <c r="ANY89" s="88"/>
      <c r="ANZ89" s="88"/>
      <c r="AOA89" s="88"/>
      <c r="AOB89" s="88"/>
      <c r="AOC89" s="88"/>
      <c r="AOD89" s="88"/>
      <c r="AOE89" s="88"/>
      <c r="AOF89" s="88"/>
      <c r="AOG89" s="88"/>
      <c r="AOH89" s="88"/>
      <c r="AOI89" s="88"/>
      <c r="AOJ89" s="88"/>
      <c r="AOK89" s="88"/>
      <c r="AOL89" s="88"/>
      <c r="AOM89" s="88"/>
      <c r="AON89" s="88"/>
      <c r="AOO89" s="88"/>
      <c r="AOP89" s="88"/>
      <c r="AOQ89" s="88"/>
      <c r="AOR89" s="88"/>
      <c r="AOS89" s="88"/>
      <c r="AOT89" s="88"/>
      <c r="AOU89" s="88"/>
      <c r="AOV89" s="88"/>
      <c r="AOW89" s="88"/>
      <c r="AOX89" s="88"/>
      <c r="AOY89" s="88"/>
      <c r="AOZ89" s="88"/>
      <c r="APA89" s="88"/>
      <c r="APB89" s="88"/>
      <c r="APC89" s="88"/>
      <c r="APD89" s="88"/>
      <c r="APE89" s="88"/>
      <c r="APF89" s="88"/>
      <c r="APG89" s="88"/>
      <c r="APH89" s="88"/>
      <c r="API89" s="88"/>
      <c r="APJ89" s="88"/>
      <c r="APK89" s="88"/>
      <c r="APL89" s="88"/>
      <c r="APM89" s="88"/>
      <c r="APN89" s="88"/>
      <c r="APO89" s="88"/>
      <c r="APP89" s="88"/>
      <c r="APQ89" s="88"/>
      <c r="APR89" s="88"/>
      <c r="APS89" s="88"/>
      <c r="APT89" s="88"/>
      <c r="APU89" s="88"/>
      <c r="APV89" s="88"/>
      <c r="APW89" s="88"/>
      <c r="APX89" s="88"/>
      <c r="APY89" s="88"/>
      <c r="APZ89" s="88"/>
      <c r="AQA89" s="88"/>
      <c r="AQB89" s="88"/>
      <c r="AQC89" s="88"/>
      <c r="AQD89" s="88"/>
      <c r="AQE89" s="88"/>
      <c r="AQF89" s="88"/>
      <c r="AQG89" s="88"/>
      <c r="AQH89" s="88"/>
      <c r="AQI89" s="88"/>
      <c r="AQJ89" s="88"/>
      <c r="AQK89" s="88"/>
      <c r="AQL89" s="88"/>
      <c r="AQM89" s="88"/>
      <c r="AQN89" s="88"/>
      <c r="AQO89" s="88"/>
      <c r="AQP89" s="88"/>
      <c r="AQQ89" s="88"/>
      <c r="AQR89" s="88"/>
      <c r="AQS89" s="88"/>
      <c r="AQT89" s="88"/>
      <c r="AQU89" s="88"/>
      <c r="AQV89" s="88"/>
      <c r="AQW89" s="88"/>
      <c r="AQX89" s="88"/>
      <c r="AQY89" s="88"/>
      <c r="AQZ89" s="88"/>
      <c r="ARA89" s="88"/>
      <c r="ARB89" s="88"/>
      <c r="ARC89" s="88"/>
      <c r="ARD89" s="88"/>
      <c r="ARE89" s="88"/>
      <c r="ARF89" s="88"/>
      <c r="ARG89" s="88"/>
      <c r="ARH89" s="88"/>
      <c r="ARI89" s="88"/>
      <c r="ARJ89" s="88"/>
      <c r="ARK89" s="88"/>
      <c r="ARL89" s="88"/>
      <c r="ARM89" s="88"/>
      <c r="ARN89" s="88"/>
      <c r="ARO89" s="88"/>
      <c r="ARP89" s="88"/>
      <c r="ARQ89" s="88"/>
      <c r="ARR89" s="88"/>
      <c r="ARS89" s="88"/>
      <c r="ART89" s="88"/>
      <c r="ARU89" s="88"/>
      <c r="ARV89" s="88"/>
      <c r="ARW89" s="88"/>
      <c r="ARX89" s="88"/>
      <c r="ARY89" s="88"/>
      <c r="ARZ89" s="88"/>
      <c r="ASA89" s="88"/>
      <c r="ASB89" s="88"/>
      <c r="ASC89" s="88"/>
      <c r="ASD89" s="88"/>
      <c r="ASE89" s="88"/>
      <c r="ASF89" s="88"/>
      <c r="ASG89" s="88"/>
      <c r="ASH89" s="88"/>
      <c r="ASI89" s="88"/>
      <c r="ASJ89" s="88"/>
      <c r="ASK89" s="88"/>
      <c r="ASL89" s="88"/>
      <c r="ASM89" s="88"/>
      <c r="ASN89" s="88"/>
      <c r="ASO89" s="88"/>
      <c r="ASP89" s="88"/>
      <c r="ASQ89" s="88"/>
      <c r="ASR89" s="88"/>
      <c r="ASS89" s="88"/>
      <c r="AST89" s="88"/>
      <c r="ASU89" s="88"/>
      <c r="ASV89" s="88"/>
      <c r="ASW89" s="88"/>
      <c r="ASX89" s="88"/>
      <c r="ASY89" s="88"/>
      <c r="ASZ89" s="88"/>
      <c r="ATA89" s="88"/>
      <c r="ATB89" s="88"/>
      <c r="ATC89" s="88"/>
      <c r="ATD89" s="88"/>
      <c r="ATE89" s="88"/>
      <c r="ATF89" s="88"/>
      <c r="ATG89" s="88"/>
      <c r="ATH89" s="88"/>
      <c r="ATI89" s="88"/>
      <c r="ATJ89" s="88"/>
      <c r="ATK89" s="88"/>
      <c r="ATL89" s="88"/>
      <c r="ATM89" s="88"/>
      <c r="ATN89" s="88"/>
      <c r="ATO89" s="88"/>
      <c r="ATP89" s="88"/>
      <c r="ATQ89" s="88"/>
      <c r="ATR89" s="88"/>
      <c r="ATS89" s="88"/>
      <c r="ATT89" s="88"/>
      <c r="ATU89" s="88"/>
      <c r="ATV89" s="88"/>
      <c r="ATW89" s="88"/>
      <c r="ATX89" s="88"/>
      <c r="ATY89" s="88"/>
      <c r="ATZ89" s="88"/>
      <c r="AUA89" s="88"/>
      <c r="AUB89" s="88"/>
      <c r="AUC89" s="88"/>
      <c r="AUD89" s="88"/>
      <c r="AUE89" s="88"/>
      <c r="AUF89" s="88"/>
      <c r="AUG89" s="88"/>
      <c r="AUH89" s="88"/>
      <c r="AUI89" s="88"/>
      <c r="AUJ89" s="88"/>
      <c r="AUK89" s="88"/>
      <c r="AUL89" s="88"/>
      <c r="AUM89" s="88"/>
      <c r="AUN89" s="88"/>
      <c r="AUO89" s="88"/>
      <c r="AUP89" s="88"/>
      <c r="AUQ89" s="88"/>
      <c r="AUR89" s="88"/>
      <c r="AUS89" s="88"/>
      <c r="AUT89" s="88"/>
      <c r="AUU89" s="88"/>
      <c r="AUV89" s="88"/>
      <c r="AUW89" s="88"/>
      <c r="AUX89" s="88"/>
      <c r="AUY89" s="88"/>
      <c r="AUZ89" s="88"/>
      <c r="AVA89" s="88"/>
      <c r="AVB89" s="88"/>
      <c r="AVC89" s="88"/>
      <c r="AVD89" s="88"/>
      <c r="AVE89" s="88"/>
      <c r="AVF89" s="88"/>
      <c r="AVG89" s="88"/>
      <c r="AVH89" s="88"/>
      <c r="AVI89" s="88"/>
      <c r="AVJ89" s="88"/>
      <c r="AVK89" s="88"/>
      <c r="AVL89" s="88"/>
      <c r="AVM89" s="88"/>
      <c r="AVN89" s="88"/>
      <c r="AVO89" s="88"/>
      <c r="AVP89" s="88"/>
      <c r="AVQ89" s="88"/>
      <c r="AVR89" s="88"/>
      <c r="AVS89" s="88"/>
      <c r="AVT89" s="88"/>
      <c r="AVU89" s="88"/>
      <c r="AVV89" s="88"/>
      <c r="AVW89" s="88"/>
      <c r="AVX89" s="88"/>
      <c r="AVY89" s="88"/>
      <c r="AVZ89" s="88"/>
      <c r="AWA89" s="88"/>
      <c r="AWB89" s="88"/>
      <c r="AWC89" s="88"/>
      <c r="AWD89" s="88"/>
      <c r="AWE89" s="88"/>
      <c r="AWF89" s="88"/>
      <c r="AWG89" s="88"/>
      <c r="AWH89" s="88"/>
      <c r="AWI89" s="88"/>
      <c r="AWJ89" s="88"/>
      <c r="AWK89" s="88"/>
      <c r="AWL89" s="88"/>
      <c r="AWM89" s="88"/>
      <c r="AWN89" s="88"/>
      <c r="AWO89" s="88"/>
      <c r="AWP89" s="88"/>
      <c r="AWQ89" s="88"/>
      <c r="AWR89" s="88"/>
      <c r="AWS89" s="88"/>
      <c r="AWT89" s="88"/>
      <c r="AWU89" s="88"/>
      <c r="AWV89" s="88"/>
      <c r="AWW89" s="88"/>
      <c r="AWX89" s="88"/>
      <c r="AWY89" s="88"/>
      <c r="AWZ89" s="88"/>
      <c r="AXA89" s="88"/>
      <c r="AXB89" s="88"/>
      <c r="AXC89" s="88"/>
      <c r="AXD89" s="88"/>
      <c r="AXE89" s="88"/>
      <c r="AXF89" s="88"/>
      <c r="AXG89" s="88"/>
      <c r="AXH89" s="88"/>
      <c r="AXI89" s="88"/>
      <c r="AXJ89" s="88"/>
      <c r="AXK89" s="88"/>
      <c r="AXL89" s="88"/>
      <c r="AXM89" s="88"/>
      <c r="AXN89" s="88"/>
      <c r="AXO89" s="88"/>
      <c r="AXP89" s="88"/>
      <c r="AXQ89" s="88"/>
      <c r="AXR89" s="88"/>
      <c r="AXS89" s="88"/>
      <c r="AXT89" s="88"/>
      <c r="AXU89" s="88"/>
      <c r="AXV89" s="88"/>
      <c r="AXW89" s="88"/>
      <c r="AXX89" s="88"/>
      <c r="AXY89" s="88"/>
      <c r="AXZ89" s="88"/>
      <c r="AYA89" s="88"/>
      <c r="AYB89" s="88"/>
      <c r="AYC89" s="88"/>
      <c r="AYD89" s="88"/>
      <c r="AYE89" s="88"/>
      <c r="AYF89" s="88"/>
      <c r="AYG89" s="88"/>
      <c r="AYH89" s="88"/>
      <c r="AYI89" s="88"/>
      <c r="AYJ89" s="88"/>
      <c r="AYK89" s="88"/>
      <c r="AYL89" s="88"/>
      <c r="AYM89" s="88"/>
      <c r="AYN89" s="88"/>
      <c r="AYO89" s="88"/>
      <c r="AYP89" s="88"/>
      <c r="AYQ89" s="88"/>
      <c r="AYR89" s="88"/>
      <c r="AYS89" s="88"/>
      <c r="AYT89" s="88"/>
      <c r="AYU89" s="88"/>
      <c r="AYV89" s="88"/>
      <c r="AYW89" s="88"/>
      <c r="AYX89" s="88"/>
      <c r="AYY89" s="88"/>
      <c r="AYZ89" s="88"/>
      <c r="AZA89" s="88"/>
      <c r="AZB89" s="88"/>
      <c r="AZC89" s="88"/>
      <c r="AZD89" s="88"/>
      <c r="AZE89" s="88"/>
      <c r="AZF89" s="88"/>
      <c r="AZG89" s="88"/>
      <c r="AZH89" s="88"/>
      <c r="AZI89" s="88"/>
      <c r="AZJ89" s="88"/>
      <c r="AZK89" s="88"/>
      <c r="AZL89" s="88"/>
      <c r="AZM89" s="88"/>
      <c r="AZN89" s="88"/>
      <c r="AZO89" s="88"/>
      <c r="AZP89" s="88"/>
      <c r="AZQ89" s="88"/>
      <c r="AZR89" s="88"/>
      <c r="AZS89" s="88"/>
      <c r="AZT89" s="88"/>
      <c r="AZU89" s="88"/>
      <c r="AZV89" s="88"/>
      <c r="AZW89" s="88"/>
      <c r="AZX89" s="88"/>
      <c r="AZY89" s="88"/>
      <c r="AZZ89" s="88"/>
      <c r="BAA89" s="88"/>
      <c r="BAB89" s="88"/>
      <c r="BAC89" s="88"/>
      <c r="BAD89" s="88"/>
      <c r="BAE89" s="88"/>
      <c r="BAF89" s="88"/>
      <c r="BAG89" s="88"/>
      <c r="BAH89" s="88"/>
      <c r="BAI89" s="88"/>
      <c r="BAJ89" s="88"/>
      <c r="BAK89" s="88"/>
      <c r="BAL89" s="88"/>
      <c r="BAM89" s="88"/>
      <c r="BAN89" s="88"/>
      <c r="BAO89" s="88"/>
      <c r="BAP89" s="88"/>
      <c r="BAQ89" s="88"/>
      <c r="BAR89" s="88"/>
      <c r="BAS89" s="88"/>
      <c r="BAT89" s="88"/>
      <c r="BAU89" s="88"/>
      <c r="BAV89" s="88"/>
      <c r="BAW89" s="88"/>
      <c r="BAX89" s="88"/>
      <c r="BAY89" s="88"/>
      <c r="BAZ89" s="88"/>
      <c r="BBA89" s="88"/>
      <c r="BBB89" s="88"/>
      <c r="BBC89" s="88"/>
      <c r="BBD89" s="88"/>
      <c r="BBE89" s="88"/>
      <c r="BBF89" s="88"/>
      <c r="BBG89" s="88"/>
      <c r="BBH89" s="88"/>
      <c r="BBI89" s="88"/>
      <c r="BBJ89" s="88"/>
      <c r="BBK89" s="88"/>
      <c r="BBL89" s="88"/>
      <c r="BBM89" s="88"/>
      <c r="BBN89" s="88"/>
      <c r="BBO89" s="88"/>
      <c r="BBP89" s="88"/>
      <c r="BBQ89" s="88"/>
      <c r="BBR89" s="88"/>
      <c r="BBS89" s="88"/>
      <c r="BBT89" s="88"/>
      <c r="BBU89" s="88"/>
      <c r="BBV89" s="88"/>
      <c r="BBW89" s="88"/>
      <c r="BBX89" s="88"/>
      <c r="BBY89" s="88"/>
      <c r="BBZ89" s="88"/>
      <c r="BCA89" s="88"/>
      <c r="BCB89" s="88"/>
      <c r="BCC89" s="88"/>
      <c r="BCD89" s="88"/>
      <c r="BCE89" s="88"/>
      <c r="BCF89" s="88"/>
      <c r="BCG89" s="88"/>
      <c r="BCH89" s="88"/>
      <c r="BCI89" s="88"/>
      <c r="BCJ89" s="88"/>
      <c r="BCK89" s="88"/>
      <c r="BCL89" s="88"/>
      <c r="BCM89" s="88"/>
      <c r="BCN89" s="88"/>
      <c r="BCO89" s="88"/>
      <c r="BCP89" s="88"/>
      <c r="BCQ89" s="88"/>
      <c r="BCR89" s="88"/>
      <c r="BCS89" s="88"/>
      <c r="BCT89" s="88"/>
      <c r="BCU89" s="88"/>
      <c r="BCV89" s="88"/>
      <c r="BCW89" s="88"/>
      <c r="BCX89" s="88"/>
      <c r="BCY89" s="88"/>
      <c r="BCZ89" s="88"/>
      <c r="BDA89" s="88"/>
      <c r="BDB89" s="88"/>
      <c r="BDC89" s="88"/>
      <c r="BDD89" s="88"/>
      <c r="BDE89" s="88"/>
      <c r="BDF89" s="88"/>
      <c r="BDG89" s="88"/>
      <c r="BDH89" s="88"/>
      <c r="BDI89" s="88"/>
      <c r="BDJ89" s="88"/>
      <c r="BDK89" s="88"/>
      <c r="BDL89" s="88"/>
      <c r="BDM89" s="88"/>
      <c r="BDN89" s="88"/>
      <c r="BDO89" s="88"/>
      <c r="BDP89" s="88"/>
      <c r="BDQ89" s="88"/>
      <c r="BDR89" s="88"/>
      <c r="BDS89" s="88"/>
      <c r="BDT89" s="88"/>
      <c r="BDU89" s="88"/>
      <c r="BDV89" s="88"/>
      <c r="BDW89" s="88"/>
      <c r="BDX89" s="88"/>
      <c r="BDY89" s="88"/>
      <c r="BDZ89" s="88"/>
      <c r="BEA89" s="88"/>
      <c r="BEB89" s="88"/>
      <c r="BEC89" s="88"/>
      <c r="BED89" s="88"/>
      <c r="BEE89" s="88"/>
      <c r="BEF89" s="88"/>
      <c r="BEG89" s="88"/>
      <c r="BEH89" s="88"/>
      <c r="BEI89" s="88"/>
      <c r="BEJ89" s="88"/>
      <c r="BEK89" s="88"/>
      <c r="BEL89" s="88"/>
      <c r="BEM89" s="88"/>
      <c r="BEN89" s="88"/>
      <c r="BEO89" s="88"/>
      <c r="BEP89" s="88"/>
      <c r="BEQ89" s="88"/>
      <c r="BER89" s="88"/>
      <c r="BES89" s="88"/>
      <c r="BET89" s="88"/>
      <c r="BEU89" s="88"/>
      <c r="BEV89" s="88"/>
      <c r="BEW89" s="88"/>
      <c r="BEX89" s="88"/>
      <c r="BEY89" s="88"/>
      <c r="BEZ89" s="88"/>
      <c r="BFA89" s="88"/>
      <c r="BFB89" s="88"/>
      <c r="BFC89" s="88"/>
      <c r="BFD89" s="88"/>
      <c r="BFE89" s="88"/>
      <c r="BFF89" s="88"/>
      <c r="BFG89" s="88"/>
      <c r="BFH89" s="88"/>
      <c r="BFI89" s="88"/>
      <c r="BFJ89" s="88"/>
      <c r="BFK89" s="88"/>
      <c r="BFL89" s="88"/>
      <c r="BFM89" s="88"/>
      <c r="BFN89" s="88"/>
      <c r="BFO89" s="88"/>
      <c r="BFP89" s="88"/>
      <c r="BFQ89" s="88"/>
      <c r="BFR89" s="88"/>
      <c r="BFS89" s="88"/>
      <c r="BFT89" s="88"/>
      <c r="BFU89" s="88"/>
      <c r="BFV89" s="88"/>
      <c r="BFW89" s="88"/>
      <c r="BFX89" s="88"/>
      <c r="BFY89" s="88"/>
      <c r="BFZ89" s="88"/>
      <c r="BGA89" s="88"/>
      <c r="BGB89" s="88"/>
      <c r="BGC89" s="88"/>
      <c r="BGD89" s="88"/>
      <c r="BGE89" s="88"/>
      <c r="BGF89" s="88"/>
      <c r="BGG89" s="88"/>
      <c r="BGH89" s="88"/>
      <c r="BGI89" s="88"/>
      <c r="BGJ89" s="88"/>
      <c r="BGK89" s="88"/>
      <c r="BGL89" s="88"/>
      <c r="BGM89" s="88"/>
      <c r="BGN89" s="88"/>
      <c r="BGO89" s="88"/>
      <c r="BGP89" s="88"/>
      <c r="BGQ89" s="88"/>
      <c r="BGR89" s="88"/>
      <c r="BGS89" s="88"/>
      <c r="BGT89" s="88"/>
      <c r="BGU89" s="88"/>
      <c r="BGV89" s="88"/>
      <c r="BGW89" s="88"/>
      <c r="BGX89" s="88"/>
      <c r="BGY89" s="88"/>
      <c r="BGZ89" s="88"/>
      <c r="BHA89" s="88"/>
      <c r="BHB89" s="88"/>
      <c r="BHC89" s="88"/>
      <c r="BHD89" s="88"/>
      <c r="BHE89" s="88"/>
      <c r="BHF89" s="88"/>
      <c r="BHG89" s="88"/>
      <c r="BHH89" s="88"/>
      <c r="BHI89" s="88"/>
      <c r="BHJ89" s="88"/>
      <c r="BHK89" s="88"/>
      <c r="BHL89" s="88"/>
      <c r="BHM89" s="88"/>
      <c r="BHN89" s="88"/>
      <c r="BHO89" s="88"/>
      <c r="BHP89" s="88"/>
      <c r="BHQ89" s="88"/>
      <c r="BHR89" s="88"/>
      <c r="BHS89" s="88"/>
      <c r="BHT89" s="88"/>
      <c r="BHU89" s="88"/>
      <c r="BHV89" s="88"/>
      <c r="BHW89" s="88"/>
      <c r="BHX89" s="88"/>
      <c r="BHY89" s="88"/>
      <c r="BHZ89" s="88"/>
      <c r="BIA89" s="88"/>
      <c r="BIB89" s="88"/>
      <c r="BIC89" s="88"/>
      <c r="BID89" s="88"/>
      <c r="BIE89" s="88"/>
      <c r="BIF89" s="88"/>
      <c r="BIG89" s="88"/>
      <c r="BIH89" s="88"/>
      <c r="BII89" s="88"/>
      <c r="BIJ89" s="88"/>
      <c r="BIK89" s="88"/>
      <c r="BIL89" s="88"/>
      <c r="BIM89" s="88"/>
      <c r="BIN89" s="88"/>
      <c r="BIO89" s="88"/>
      <c r="BIP89" s="88"/>
      <c r="BIQ89" s="88"/>
      <c r="BIR89" s="88"/>
      <c r="BIS89" s="88"/>
      <c r="BIT89" s="88"/>
      <c r="BIU89" s="88"/>
      <c r="BIV89" s="88"/>
      <c r="BIW89" s="88"/>
      <c r="BIX89" s="88"/>
      <c r="BIY89" s="88"/>
      <c r="BIZ89" s="88"/>
      <c r="BJA89" s="88"/>
      <c r="BJB89" s="88"/>
      <c r="BJC89" s="88"/>
      <c r="BJD89" s="88"/>
      <c r="BJE89" s="88"/>
      <c r="BJF89" s="88"/>
      <c r="BJG89" s="88"/>
      <c r="BJH89" s="88"/>
      <c r="BJI89" s="88"/>
      <c r="BJJ89" s="88"/>
      <c r="BJK89" s="88"/>
      <c r="BJL89" s="88"/>
      <c r="BJM89" s="88"/>
      <c r="BJN89" s="88"/>
      <c r="BJO89" s="88"/>
      <c r="BJP89" s="88"/>
      <c r="BJQ89" s="88"/>
      <c r="BJR89" s="88"/>
      <c r="BJS89" s="88"/>
      <c r="BJT89" s="88"/>
      <c r="BJU89" s="88"/>
      <c r="BJV89" s="88"/>
      <c r="BJW89" s="88"/>
      <c r="BJX89" s="88"/>
      <c r="BJY89" s="88"/>
      <c r="BJZ89" s="88"/>
      <c r="BKA89" s="88"/>
      <c r="BKB89" s="88"/>
      <c r="BKC89" s="88"/>
      <c r="BKD89" s="88"/>
      <c r="BKE89" s="88"/>
      <c r="BKF89" s="88"/>
      <c r="BKG89" s="88"/>
      <c r="BKH89" s="88"/>
      <c r="BKI89" s="88"/>
      <c r="BKJ89" s="88"/>
      <c r="BKK89" s="88"/>
      <c r="BKL89" s="88"/>
      <c r="BKM89" s="88"/>
      <c r="BKN89" s="88"/>
      <c r="BKO89" s="88"/>
      <c r="BKP89" s="88"/>
      <c r="BKQ89" s="88"/>
      <c r="BKR89" s="88"/>
      <c r="BKS89" s="88"/>
      <c r="BKT89" s="88"/>
      <c r="BKU89" s="88"/>
      <c r="BKV89" s="88"/>
      <c r="BKW89" s="88"/>
      <c r="BKX89" s="88"/>
      <c r="BKY89" s="88"/>
      <c r="BKZ89" s="88"/>
      <c r="BLA89" s="88"/>
      <c r="BLB89" s="88"/>
      <c r="BLC89" s="88"/>
      <c r="BLD89" s="88"/>
      <c r="BLE89" s="88"/>
      <c r="BLF89" s="88"/>
      <c r="BLG89" s="88"/>
      <c r="BLH89" s="88"/>
      <c r="BLI89" s="88"/>
      <c r="BLJ89" s="88"/>
      <c r="BLK89" s="88"/>
      <c r="BLL89" s="88"/>
      <c r="BLM89" s="88"/>
      <c r="BLN89" s="88"/>
      <c r="BLO89" s="88"/>
      <c r="BLP89" s="88"/>
      <c r="BLQ89" s="88"/>
      <c r="BLR89" s="88"/>
      <c r="BLS89" s="88"/>
      <c r="BLT89" s="88"/>
      <c r="BLU89" s="88"/>
      <c r="BLV89" s="88"/>
      <c r="BLW89" s="88"/>
      <c r="BLX89" s="88"/>
      <c r="BLY89" s="88"/>
      <c r="BLZ89" s="88"/>
      <c r="BMA89" s="88"/>
      <c r="BMB89" s="88"/>
      <c r="BMC89" s="88"/>
      <c r="BMD89" s="88"/>
      <c r="BME89" s="88"/>
      <c r="BMF89" s="88"/>
      <c r="BMG89" s="88"/>
      <c r="BMH89" s="88"/>
      <c r="BMI89" s="88"/>
      <c r="BMJ89" s="88"/>
      <c r="BMK89" s="88"/>
      <c r="BML89" s="88"/>
      <c r="BMM89" s="88"/>
      <c r="BMN89" s="88"/>
      <c r="BMO89" s="88"/>
      <c r="BMP89" s="88"/>
      <c r="BMQ89" s="88"/>
      <c r="BMR89" s="88"/>
      <c r="BMS89" s="88"/>
      <c r="BMT89" s="88"/>
      <c r="BMU89" s="88"/>
      <c r="BMV89" s="88"/>
      <c r="BMW89" s="88"/>
      <c r="BMX89" s="88"/>
      <c r="BMY89" s="88"/>
      <c r="BMZ89" s="88"/>
      <c r="BNA89" s="88"/>
      <c r="BNB89" s="88"/>
      <c r="BNC89" s="88"/>
      <c r="BND89" s="88"/>
      <c r="BNE89" s="88"/>
      <c r="BNF89" s="88"/>
      <c r="BNG89" s="88"/>
      <c r="BNH89" s="88"/>
      <c r="BNI89" s="88"/>
      <c r="BNJ89" s="88"/>
      <c r="BNK89" s="88"/>
      <c r="BNL89" s="88"/>
      <c r="BNM89" s="88"/>
      <c r="BNN89" s="88"/>
      <c r="BNO89" s="88"/>
      <c r="BNP89" s="88"/>
      <c r="BNQ89" s="88"/>
      <c r="BNR89" s="88"/>
      <c r="BNS89" s="88"/>
      <c r="BNT89" s="88"/>
      <c r="BNU89" s="88"/>
      <c r="BNV89" s="88"/>
      <c r="BNW89" s="88"/>
      <c r="BNX89" s="88"/>
      <c r="BNY89" s="88"/>
      <c r="BNZ89" s="88"/>
      <c r="BOA89" s="88"/>
      <c r="BOB89" s="88"/>
      <c r="BOC89" s="88"/>
      <c r="BOD89" s="88"/>
      <c r="BOE89" s="88"/>
      <c r="BOF89" s="88"/>
      <c r="BOG89" s="88"/>
      <c r="BOH89" s="88"/>
      <c r="BOI89" s="88"/>
      <c r="BOJ89" s="88"/>
      <c r="BOK89" s="88"/>
      <c r="BOL89" s="88"/>
      <c r="BOM89" s="88"/>
      <c r="BON89" s="88"/>
      <c r="BOO89" s="88"/>
      <c r="BOP89" s="88"/>
      <c r="BOQ89" s="88"/>
      <c r="BOR89" s="88"/>
      <c r="BOS89" s="88"/>
      <c r="BOT89" s="88"/>
      <c r="BOU89" s="88"/>
      <c r="BOV89" s="88"/>
      <c r="BOW89" s="88"/>
      <c r="BOX89" s="88"/>
      <c r="BOY89" s="88"/>
      <c r="BOZ89" s="88"/>
      <c r="BPA89" s="88"/>
      <c r="BPB89" s="88"/>
      <c r="BPC89" s="88"/>
      <c r="BPD89" s="88"/>
      <c r="BPE89" s="88"/>
      <c r="BPF89" s="88"/>
      <c r="BPG89" s="88"/>
      <c r="BPH89" s="88"/>
      <c r="BPI89" s="88"/>
      <c r="BPJ89" s="88"/>
      <c r="BPK89" s="88"/>
      <c r="BPL89" s="88"/>
      <c r="BPM89" s="88"/>
      <c r="BPN89" s="88"/>
      <c r="BPO89" s="88"/>
      <c r="BPP89" s="88"/>
      <c r="BPQ89" s="88"/>
      <c r="BPR89" s="88"/>
      <c r="BPS89" s="88"/>
      <c r="BPT89" s="88"/>
      <c r="BPU89" s="88"/>
      <c r="BPV89" s="88"/>
      <c r="BPW89" s="88"/>
      <c r="BPX89" s="88"/>
      <c r="BPY89" s="88"/>
      <c r="BPZ89" s="88"/>
      <c r="BQA89" s="88"/>
      <c r="BQB89" s="88"/>
      <c r="BQC89" s="88"/>
      <c r="BQD89" s="88"/>
      <c r="BQE89" s="88"/>
      <c r="BQF89" s="88"/>
      <c r="BQG89" s="88"/>
      <c r="BQH89" s="88"/>
      <c r="BQI89" s="88"/>
      <c r="BQJ89" s="88"/>
      <c r="BQK89" s="88"/>
      <c r="BQL89" s="88"/>
      <c r="BQM89" s="88"/>
      <c r="BQN89" s="88"/>
      <c r="BQO89" s="88"/>
      <c r="BQP89" s="88"/>
      <c r="BQQ89" s="88"/>
      <c r="BQR89" s="88"/>
      <c r="BQS89" s="88"/>
      <c r="BQT89" s="88"/>
      <c r="BQU89" s="88"/>
      <c r="BQV89" s="88"/>
      <c r="BQW89" s="88"/>
      <c r="BQX89" s="88"/>
      <c r="BQY89" s="88"/>
      <c r="BQZ89" s="88"/>
      <c r="BRA89" s="88"/>
      <c r="BRB89" s="88"/>
      <c r="BRC89" s="88"/>
      <c r="BRD89" s="88"/>
      <c r="BRE89" s="88"/>
      <c r="BRF89" s="88"/>
      <c r="BRG89" s="88"/>
      <c r="BRH89" s="88"/>
      <c r="BRI89" s="88"/>
      <c r="BRJ89" s="88"/>
      <c r="BRK89" s="88"/>
      <c r="BRL89" s="88"/>
      <c r="BRM89" s="88"/>
      <c r="BRN89" s="88"/>
      <c r="BRO89" s="88"/>
      <c r="BRP89" s="88"/>
      <c r="BRQ89" s="88"/>
      <c r="BRR89" s="88"/>
      <c r="BRS89" s="88"/>
      <c r="BRT89" s="88"/>
      <c r="BRU89" s="88"/>
      <c r="BRV89" s="88"/>
      <c r="BRW89" s="88"/>
      <c r="BRX89" s="88"/>
      <c r="BRY89" s="88"/>
      <c r="BRZ89" s="88"/>
      <c r="BSA89" s="88"/>
      <c r="BSB89" s="88"/>
      <c r="BSC89" s="88"/>
      <c r="BSD89" s="88"/>
      <c r="BSE89" s="88"/>
      <c r="BSF89" s="88"/>
      <c r="BSG89" s="88"/>
      <c r="BSH89" s="88"/>
      <c r="BSI89" s="88"/>
      <c r="BSJ89" s="88"/>
      <c r="BSK89" s="88"/>
      <c r="BSL89" s="88"/>
      <c r="BSM89" s="88"/>
      <c r="BSN89" s="88"/>
      <c r="BSO89" s="88"/>
      <c r="BSP89" s="88"/>
      <c r="BSQ89" s="88"/>
      <c r="BSR89" s="88"/>
      <c r="BSS89" s="88"/>
      <c r="BST89" s="88"/>
      <c r="BSU89" s="88"/>
      <c r="BSV89" s="88"/>
      <c r="BSW89" s="88"/>
      <c r="BSX89" s="88"/>
      <c r="BSY89" s="88"/>
      <c r="BSZ89" s="88"/>
      <c r="BTA89" s="88"/>
      <c r="BTB89" s="88"/>
      <c r="BTC89" s="88"/>
      <c r="BTD89" s="88"/>
      <c r="BTE89" s="88"/>
      <c r="BTF89" s="88"/>
      <c r="BTG89" s="88"/>
      <c r="BTH89" s="88"/>
      <c r="BTI89" s="88"/>
      <c r="BTJ89" s="88"/>
      <c r="BTK89" s="88"/>
      <c r="BTL89" s="88"/>
      <c r="BTM89" s="88"/>
      <c r="BTN89" s="88"/>
      <c r="BTO89" s="88"/>
      <c r="BTP89" s="88"/>
      <c r="BTQ89" s="88"/>
      <c r="BTR89" s="88"/>
      <c r="BTS89" s="88"/>
      <c r="BTT89" s="88"/>
      <c r="BTU89" s="88"/>
      <c r="BTV89" s="88"/>
      <c r="BTW89" s="88"/>
      <c r="BTX89" s="88"/>
      <c r="BTY89" s="88"/>
      <c r="BTZ89" s="88"/>
      <c r="BUA89" s="88"/>
      <c r="BUB89" s="88"/>
      <c r="BUC89" s="88"/>
      <c r="BUD89" s="88"/>
      <c r="BUE89" s="88"/>
      <c r="BUF89" s="88"/>
      <c r="BUG89" s="88"/>
      <c r="BUH89" s="88"/>
      <c r="BUI89" s="88"/>
      <c r="BUJ89" s="88"/>
      <c r="BUK89" s="88"/>
      <c r="BUL89" s="88"/>
      <c r="BUM89" s="88"/>
      <c r="BUN89" s="88"/>
      <c r="BUO89" s="88"/>
      <c r="BUP89" s="88"/>
      <c r="BUQ89" s="88"/>
      <c r="BUR89" s="88"/>
      <c r="BUS89" s="88"/>
      <c r="BUT89" s="88"/>
      <c r="BUU89" s="88"/>
      <c r="BUV89" s="88"/>
      <c r="BUW89" s="88"/>
      <c r="BUX89" s="88"/>
      <c r="BUY89" s="88"/>
      <c r="BUZ89" s="88"/>
      <c r="BVA89" s="88"/>
      <c r="BVB89" s="88"/>
      <c r="BVC89" s="88"/>
      <c r="BVD89" s="88"/>
      <c r="BVE89" s="88"/>
      <c r="BVF89" s="88"/>
      <c r="BVG89" s="88"/>
      <c r="BVH89" s="88"/>
      <c r="BVI89" s="88"/>
      <c r="BVJ89" s="88"/>
      <c r="BVK89" s="88"/>
      <c r="BVL89" s="88"/>
      <c r="BVM89" s="88"/>
      <c r="BVN89" s="88"/>
      <c r="BVO89" s="88"/>
      <c r="BVP89" s="88"/>
      <c r="BVQ89" s="88"/>
      <c r="BVR89" s="88"/>
      <c r="BVS89" s="88"/>
      <c r="BVT89" s="88"/>
      <c r="BVU89" s="88"/>
      <c r="BVV89" s="88"/>
      <c r="BVW89" s="88"/>
      <c r="BVX89" s="88"/>
      <c r="BVY89" s="88"/>
      <c r="BVZ89" s="88"/>
      <c r="BWA89" s="88"/>
      <c r="BWB89" s="88"/>
      <c r="BWC89" s="88"/>
      <c r="BWD89" s="88"/>
      <c r="BWE89" s="88"/>
      <c r="BWF89" s="88"/>
      <c r="BWG89" s="88"/>
      <c r="BWH89" s="88"/>
      <c r="BWI89" s="88"/>
      <c r="BWJ89" s="88"/>
      <c r="BWK89" s="88"/>
      <c r="BWL89" s="88"/>
      <c r="BWM89" s="88"/>
      <c r="BWN89" s="88"/>
      <c r="BWO89" s="88"/>
      <c r="BWP89" s="88"/>
      <c r="BWQ89" s="88"/>
      <c r="BWR89" s="88"/>
      <c r="BWS89" s="88"/>
      <c r="BWT89" s="88"/>
      <c r="BWU89" s="88"/>
      <c r="BWV89" s="88"/>
      <c r="BWW89" s="88"/>
      <c r="BWX89" s="88"/>
      <c r="BWY89" s="88"/>
      <c r="BWZ89" s="88"/>
      <c r="BXA89" s="88"/>
      <c r="BXB89" s="88"/>
      <c r="BXC89" s="88"/>
      <c r="BXD89" s="88"/>
      <c r="BXE89" s="88"/>
      <c r="BXF89" s="88"/>
      <c r="BXG89" s="88"/>
      <c r="BXH89" s="88"/>
      <c r="BXI89" s="88"/>
      <c r="BXJ89" s="88"/>
      <c r="BXK89" s="88"/>
      <c r="BXL89" s="88"/>
      <c r="BXM89" s="88"/>
      <c r="BXN89" s="88"/>
      <c r="BXO89" s="88"/>
      <c r="BXP89" s="88"/>
      <c r="BXQ89" s="88"/>
      <c r="BXR89" s="88"/>
      <c r="BXS89" s="88"/>
      <c r="BXT89" s="88"/>
      <c r="BXU89" s="88"/>
      <c r="BXV89" s="88"/>
      <c r="BXW89" s="88"/>
      <c r="BXX89" s="88"/>
      <c r="BXY89" s="88"/>
      <c r="BXZ89" s="88"/>
      <c r="BYA89" s="88"/>
      <c r="BYB89" s="88"/>
      <c r="BYC89" s="88"/>
      <c r="BYD89" s="88"/>
      <c r="BYE89" s="88"/>
      <c r="BYF89" s="88"/>
      <c r="BYG89" s="88"/>
      <c r="BYH89" s="88"/>
      <c r="BYI89" s="88"/>
      <c r="BYJ89" s="88"/>
      <c r="BYK89" s="88"/>
      <c r="BYL89" s="88"/>
      <c r="BYM89" s="88"/>
      <c r="BYN89" s="88"/>
      <c r="BYO89" s="88"/>
      <c r="BYP89" s="88"/>
      <c r="BYQ89" s="88"/>
      <c r="BYR89" s="88"/>
      <c r="BYS89" s="88"/>
      <c r="BYT89" s="88"/>
      <c r="BYU89" s="88"/>
      <c r="BYV89" s="88"/>
      <c r="BYW89" s="88"/>
      <c r="BYX89" s="88"/>
      <c r="BYY89" s="88"/>
      <c r="BYZ89" s="88"/>
      <c r="BZA89" s="88"/>
      <c r="BZB89" s="88"/>
      <c r="BZC89" s="88"/>
      <c r="BZD89" s="88"/>
      <c r="BZE89" s="88"/>
      <c r="BZF89" s="88"/>
      <c r="BZG89" s="88"/>
      <c r="BZH89" s="88"/>
      <c r="BZI89" s="88"/>
      <c r="BZJ89" s="88"/>
      <c r="BZK89" s="88"/>
      <c r="BZL89" s="88"/>
      <c r="BZM89" s="88"/>
      <c r="BZN89" s="88"/>
      <c r="BZO89" s="88"/>
      <c r="BZP89" s="88"/>
      <c r="BZQ89" s="88"/>
      <c r="BZR89" s="88"/>
      <c r="BZS89" s="88"/>
      <c r="BZT89" s="88"/>
      <c r="BZU89" s="88"/>
      <c r="BZV89" s="88"/>
      <c r="BZW89" s="88"/>
      <c r="BZX89" s="88"/>
      <c r="BZY89" s="88"/>
      <c r="BZZ89" s="88"/>
      <c r="CAA89" s="88"/>
      <c r="CAB89" s="88"/>
      <c r="CAC89" s="88"/>
      <c r="CAD89" s="88"/>
      <c r="CAE89" s="88"/>
      <c r="CAF89" s="88"/>
      <c r="CAG89" s="88"/>
      <c r="CAH89" s="88"/>
      <c r="CAI89" s="88"/>
      <c r="CAJ89" s="88"/>
      <c r="CAK89" s="88"/>
      <c r="CAL89" s="88"/>
      <c r="CAM89" s="88"/>
      <c r="CAN89" s="88"/>
      <c r="CAO89" s="88"/>
      <c r="CAP89" s="88"/>
      <c r="CAQ89" s="88"/>
      <c r="CAR89" s="88"/>
      <c r="CAS89" s="88"/>
      <c r="CAT89" s="88"/>
      <c r="CAU89" s="88"/>
      <c r="CAV89" s="88"/>
      <c r="CAW89" s="88"/>
      <c r="CAX89" s="88"/>
      <c r="CAY89" s="88"/>
      <c r="CAZ89" s="88"/>
      <c r="CBA89" s="88"/>
      <c r="CBB89" s="88"/>
      <c r="CBC89" s="88"/>
      <c r="CBD89" s="88"/>
      <c r="CBE89" s="88"/>
      <c r="CBF89" s="88"/>
      <c r="CBG89" s="88"/>
      <c r="CBH89" s="88"/>
      <c r="CBI89" s="88"/>
      <c r="CBJ89" s="88"/>
      <c r="CBK89" s="88"/>
      <c r="CBL89" s="88"/>
      <c r="CBM89" s="88"/>
      <c r="CBN89" s="88"/>
      <c r="CBO89" s="88"/>
      <c r="CBP89" s="88"/>
      <c r="CBQ89" s="88"/>
      <c r="CBR89" s="88"/>
      <c r="CBS89" s="88"/>
      <c r="CBT89" s="88"/>
      <c r="CBU89" s="88"/>
      <c r="CBV89" s="88"/>
      <c r="CBW89" s="88"/>
      <c r="CBX89" s="88"/>
      <c r="CBY89" s="88"/>
      <c r="CBZ89" s="88"/>
      <c r="CCA89" s="88"/>
      <c r="CCB89" s="88"/>
      <c r="CCC89" s="88"/>
      <c r="CCD89" s="88"/>
      <c r="CCE89" s="88"/>
      <c r="CCF89" s="88"/>
      <c r="CCG89" s="88"/>
      <c r="CCH89" s="88"/>
      <c r="CCI89" s="88"/>
      <c r="CCJ89" s="88"/>
      <c r="CCK89" s="88"/>
      <c r="CCL89" s="88"/>
      <c r="CCM89" s="88"/>
      <c r="CCN89" s="88"/>
      <c r="CCO89" s="88"/>
      <c r="CCP89" s="88"/>
      <c r="CCQ89" s="88"/>
      <c r="CCR89" s="88"/>
      <c r="CCS89" s="88"/>
      <c r="CCT89" s="88"/>
      <c r="CCU89" s="88"/>
      <c r="CCV89" s="88"/>
      <c r="CCW89" s="88"/>
      <c r="CCX89" s="88"/>
      <c r="CCY89" s="88"/>
      <c r="CCZ89" s="88"/>
      <c r="CDA89" s="88"/>
      <c r="CDB89" s="88"/>
      <c r="CDC89" s="88"/>
      <c r="CDD89" s="88"/>
      <c r="CDE89" s="88"/>
      <c r="CDF89" s="88"/>
      <c r="CDG89" s="88"/>
      <c r="CDH89" s="88"/>
      <c r="CDI89" s="88"/>
      <c r="CDJ89" s="88"/>
      <c r="CDK89" s="88"/>
      <c r="CDL89" s="88"/>
      <c r="CDM89" s="88"/>
      <c r="CDN89" s="88"/>
      <c r="CDO89" s="88"/>
      <c r="CDP89" s="88"/>
      <c r="CDQ89" s="88"/>
      <c r="CDR89" s="88"/>
      <c r="CDS89" s="88"/>
      <c r="CDT89" s="88"/>
      <c r="CDU89" s="88"/>
      <c r="CDV89" s="88"/>
      <c r="CDW89" s="88"/>
      <c r="CDX89" s="88"/>
      <c r="CDY89" s="88"/>
      <c r="CDZ89" s="88"/>
      <c r="CEA89" s="88"/>
      <c r="CEB89" s="88"/>
      <c r="CEC89" s="88"/>
      <c r="CED89" s="88"/>
      <c r="CEE89" s="88"/>
      <c r="CEF89" s="88"/>
      <c r="CEG89" s="88"/>
      <c r="CEH89" s="88"/>
      <c r="CEI89" s="88"/>
      <c r="CEJ89" s="88"/>
      <c r="CEK89" s="88"/>
    </row>
    <row r="90" spans="1:2169" s="63" customFormat="1">
      <c r="A90" s="73" t="s">
        <v>15661</v>
      </c>
      <c r="B90" s="773" t="s">
        <v>15662</v>
      </c>
      <c r="C90" s="435"/>
      <c r="D90" s="435"/>
      <c r="E90" s="435"/>
      <c r="F90" s="435"/>
      <c r="G90" s="435"/>
      <c r="H90" s="435"/>
      <c r="I90" s="435"/>
      <c r="J90" s="435"/>
      <c r="K90" s="435"/>
      <c r="L90" s="435"/>
      <c r="M90" s="435"/>
      <c r="N90" s="435"/>
      <c r="O90" s="435"/>
      <c r="P90" s="435"/>
      <c r="Q90" s="435"/>
      <c r="R90" s="435"/>
      <c r="S90" s="435"/>
      <c r="T90" s="435"/>
      <c r="U90" s="435"/>
      <c r="V90" s="435"/>
      <c r="W90" s="722"/>
      <c r="X90" s="714"/>
      <c r="Y90" s="435"/>
      <c r="Z90" s="435"/>
      <c r="AA90" s="435"/>
      <c r="AB90" s="435"/>
      <c r="AC90" s="435"/>
      <c r="AD90" s="435"/>
      <c r="AP90" s="469"/>
      <c r="AQ90" s="469"/>
      <c r="AR90" s="469"/>
      <c r="AS90" s="576"/>
      <c r="AT90" s="576"/>
      <c r="AU90" s="576"/>
      <c r="AV90" s="576"/>
      <c r="AW90" s="602"/>
      <c r="AX90" s="602"/>
      <c r="AY90" s="576"/>
      <c r="AZ90" s="576"/>
      <c r="BA90" s="576"/>
      <c r="BB90" s="576"/>
      <c r="BC90" s="576"/>
      <c r="BD90" s="602"/>
      <c r="BE90" s="602"/>
      <c r="BF90" s="602"/>
      <c r="BG90" s="602"/>
      <c r="BH90" s="602"/>
      <c r="BI90" s="602"/>
      <c r="BJ90" s="602"/>
      <c r="BK90" s="602"/>
      <c r="BL90" s="602"/>
      <c r="BM90" s="602"/>
      <c r="BN90" s="602"/>
      <c r="BO90" s="602"/>
      <c r="BP90" s="602"/>
      <c r="BQ90" s="602"/>
      <c r="BR90" s="602"/>
      <c r="BS90" s="576"/>
      <c r="BT90" s="576"/>
      <c r="BU90" s="576"/>
      <c r="BV90" s="576"/>
      <c r="BW90" s="602"/>
      <c r="BX90" s="602"/>
      <c r="BY90" s="602"/>
      <c r="BZ90" s="576"/>
      <c r="CA90" s="602"/>
      <c r="CB90" s="602"/>
      <c r="CC90" s="576"/>
      <c r="CD90" s="576"/>
      <c r="CE90" s="602"/>
      <c r="CF90" s="576"/>
      <c r="CG90" s="576"/>
      <c r="CH90" s="576"/>
      <c r="CI90" s="576"/>
      <c r="CJ90" s="576"/>
      <c r="CK90" s="602"/>
      <c r="CL90" s="602"/>
      <c r="CM90" s="576"/>
      <c r="CN90" s="602"/>
      <c r="CO90" s="602"/>
      <c r="CP90" s="602"/>
      <c r="CQ90" s="576"/>
      <c r="CR90" s="576"/>
      <c r="CS90" s="602"/>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c r="HF90" s="88"/>
      <c r="HG90" s="88"/>
      <c r="HH90" s="88"/>
      <c r="HI90" s="88"/>
      <c r="HJ90" s="88"/>
      <c r="HK90" s="88"/>
      <c r="HL90" s="88"/>
      <c r="HM90" s="88"/>
      <c r="HN90" s="88"/>
      <c r="HO90" s="88"/>
      <c r="HP90" s="88"/>
      <c r="HQ90" s="88"/>
      <c r="HR90" s="88"/>
      <c r="HS90" s="88"/>
      <c r="HT90" s="88"/>
      <c r="HU90" s="88"/>
      <c r="HV90" s="88"/>
      <c r="HW90" s="88"/>
      <c r="HX90" s="88"/>
      <c r="HY90" s="88"/>
      <c r="HZ90" s="88"/>
      <c r="IA90" s="88"/>
      <c r="IB90" s="88"/>
      <c r="IC90" s="88"/>
      <c r="ID90" s="88"/>
      <c r="IE90" s="88"/>
      <c r="IF90" s="88"/>
      <c r="IG90" s="88"/>
      <c r="IH90" s="88"/>
      <c r="II90" s="88"/>
      <c r="IJ90" s="88"/>
      <c r="IK90" s="88"/>
      <c r="IL90" s="88"/>
      <c r="IM90" s="88"/>
      <c r="IN90" s="88"/>
      <c r="IO90" s="88"/>
      <c r="IP90" s="88"/>
      <c r="IQ90" s="88"/>
      <c r="IR90" s="88"/>
      <c r="IS90" s="88"/>
      <c r="IT90" s="88"/>
      <c r="IU90" s="88"/>
      <c r="IV90" s="88"/>
      <c r="IW90" s="88"/>
      <c r="IX90" s="88"/>
      <c r="IY90" s="88"/>
      <c r="IZ90" s="88"/>
      <c r="JA90" s="88"/>
      <c r="JB90" s="88"/>
      <c r="JC90" s="88"/>
      <c r="JD90" s="88"/>
      <c r="JE90" s="88"/>
      <c r="JF90" s="88"/>
      <c r="JG90" s="88"/>
      <c r="JH90" s="88"/>
      <c r="JI90" s="88"/>
      <c r="JJ90" s="88"/>
      <c r="JK90" s="88"/>
      <c r="JL90" s="88"/>
      <c r="JM90" s="88"/>
      <c r="JN90" s="88"/>
      <c r="JO90" s="88"/>
      <c r="JP90" s="88"/>
      <c r="JQ90" s="88"/>
      <c r="JR90" s="88"/>
      <c r="JS90" s="88"/>
      <c r="JT90" s="88"/>
      <c r="JU90" s="88"/>
      <c r="JV90" s="88"/>
      <c r="JW90" s="88"/>
      <c r="JX90" s="88"/>
      <c r="JY90" s="88"/>
      <c r="JZ90" s="88"/>
      <c r="KA90" s="88"/>
      <c r="KB90" s="88"/>
      <c r="KC90" s="88"/>
      <c r="KD90" s="88"/>
      <c r="KE90" s="88"/>
      <c r="KF90" s="88"/>
      <c r="KG90" s="88"/>
      <c r="KH90" s="88"/>
      <c r="KI90" s="88"/>
      <c r="KJ90" s="88"/>
      <c r="KK90" s="88"/>
      <c r="KL90" s="88"/>
      <c r="KM90" s="88"/>
      <c r="KN90" s="88"/>
      <c r="KO90" s="88"/>
      <c r="KP90" s="88"/>
      <c r="KQ90" s="88"/>
      <c r="KR90" s="88"/>
      <c r="KS90" s="88"/>
      <c r="KT90" s="88"/>
      <c r="KU90" s="88"/>
      <c r="KV90" s="88"/>
      <c r="KW90" s="88"/>
      <c r="KX90" s="88"/>
      <c r="KY90" s="88"/>
      <c r="KZ90" s="88"/>
      <c r="LA90" s="88"/>
      <c r="LB90" s="88"/>
      <c r="LC90" s="88"/>
      <c r="LD90" s="88"/>
      <c r="LE90" s="88"/>
      <c r="LF90" s="88"/>
      <c r="LG90" s="88"/>
      <c r="LH90" s="88"/>
      <c r="LI90" s="88"/>
      <c r="LJ90" s="88"/>
      <c r="LK90" s="88"/>
      <c r="LL90" s="88"/>
      <c r="LM90" s="88"/>
      <c r="LN90" s="88"/>
      <c r="LO90" s="88"/>
      <c r="LP90" s="88"/>
      <c r="LQ90" s="88"/>
      <c r="LR90" s="88"/>
      <c r="LS90" s="88"/>
      <c r="LT90" s="88"/>
      <c r="LU90" s="88"/>
      <c r="LV90" s="88"/>
      <c r="LW90" s="88"/>
      <c r="LX90" s="88"/>
      <c r="LY90" s="88"/>
      <c r="LZ90" s="88"/>
      <c r="MA90" s="88"/>
      <c r="MB90" s="88"/>
      <c r="MC90" s="88"/>
      <c r="MD90" s="88"/>
      <c r="ME90" s="88"/>
      <c r="MF90" s="88"/>
      <c r="MG90" s="88"/>
      <c r="MH90" s="88"/>
      <c r="MI90" s="88"/>
      <c r="MJ90" s="88"/>
      <c r="MK90" s="88"/>
      <c r="ML90" s="88"/>
      <c r="MM90" s="88"/>
      <c r="MN90" s="88"/>
      <c r="MO90" s="88"/>
      <c r="MP90" s="88"/>
      <c r="MQ90" s="88"/>
      <c r="MR90" s="88"/>
      <c r="MS90" s="88"/>
      <c r="MT90" s="88"/>
      <c r="MU90" s="88"/>
      <c r="MV90" s="88"/>
      <c r="MW90" s="88"/>
      <c r="MX90" s="88"/>
      <c r="MY90" s="88"/>
      <c r="MZ90" s="88"/>
      <c r="NA90" s="88"/>
      <c r="NB90" s="88"/>
      <c r="NC90" s="88"/>
      <c r="ND90" s="88"/>
      <c r="NE90" s="88"/>
      <c r="NF90" s="88"/>
      <c r="NG90" s="88"/>
      <c r="NH90" s="88"/>
      <c r="NI90" s="88"/>
      <c r="NJ90" s="88"/>
      <c r="NK90" s="88"/>
      <c r="NL90" s="88"/>
      <c r="NM90" s="88"/>
      <c r="NN90" s="88"/>
      <c r="NO90" s="88"/>
      <c r="NP90" s="88"/>
      <c r="NQ90" s="88"/>
      <c r="NR90" s="88"/>
      <c r="NS90" s="88"/>
      <c r="NT90" s="88"/>
      <c r="NU90" s="88"/>
      <c r="NV90" s="88"/>
      <c r="NW90" s="88"/>
      <c r="NX90" s="88"/>
      <c r="NY90" s="88"/>
      <c r="NZ90" s="88"/>
      <c r="OA90" s="88"/>
      <c r="OB90" s="88"/>
      <c r="OC90" s="88"/>
      <c r="OD90" s="88"/>
      <c r="OE90" s="88"/>
      <c r="OF90" s="88"/>
      <c r="OG90" s="88"/>
      <c r="OH90" s="88"/>
      <c r="OI90" s="88"/>
      <c r="OJ90" s="88"/>
      <c r="OK90" s="88"/>
      <c r="OL90" s="88"/>
      <c r="OM90" s="88"/>
      <c r="ON90" s="88"/>
      <c r="OO90" s="88"/>
      <c r="OP90" s="88"/>
      <c r="OQ90" s="88"/>
      <c r="OR90" s="88"/>
      <c r="OS90" s="88"/>
      <c r="OT90" s="88"/>
      <c r="OU90" s="88"/>
      <c r="OV90" s="88"/>
      <c r="OW90" s="88"/>
      <c r="OX90" s="88"/>
      <c r="OY90" s="88"/>
      <c r="OZ90" s="88"/>
      <c r="PA90" s="88"/>
      <c r="PB90" s="88"/>
      <c r="PC90" s="88"/>
      <c r="PD90" s="88"/>
      <c r="PE90" s="88"/>
      <c r="PF90" s="88"/>
      <c r="PG90" s="88"/>
      <c r="PH90" s="88"/>
      <c r="PI90" s="88"/>
      <c r="PJ90" s="88"/>
      <c r="PK90" s="88"/>
      <c r="PL90" s="88"/>
      <c r="PM90" s="88"/>
      <c r="PN90" s="88"/>
      <c r="PO90" s="88"/>
      <c r="PP90" s="88"/>
      <c r="PQ90" s="88"/>
      <c r="PR90" s="88"/>
      <c r="PS90" s="88"/>
      <c r="PT90" s="88"/>
      <c r="PU90" s="88"/>
      <c r="PV90" s="88"/>
      <c r="PW90" s="88"/>
      <c r="PX90" s="88"/>
      <c r="PY90" s="88"/>
      <c r="PZ90" s="88"/>
      <c r="QA90" s="88"/>
      <c r="QB90" s="88"/>
      <c r="QC90" s="88"/>
      <c r="QD90" s="88"/>
      <c r="QE90" s="88"/>
      <c r="QF90" s="88"/>
      <c r="QG90" s="88"/>
      <c r="QH90" s="88"/>
      <c r="QI90" s="88"/>
      <c r="QJ90" s="88"/>
      <c r="QK90" s="88"/>
      <c r="QL90" s="88"/>
      <c r="QM90" s="88"/>
      <c r="QN90" s="88"/>
      <c r="QO90" s="88"/>
      <c r="QP90" s="88"/>
      <c r="QQ90" s="88"/>
      <c r="QR90" s="88"/>
      <c r="QS90" s="88"/>
      <c r="QT90" s="88"/>
      <c r="QU90" s="88"/>
      <c r="QV90" s="88"/>
      <c r="QW90" s="88"/>
      <c r="QX90" s="88"/>
      <c r="QY90" s="88"/>
      <c r="QZ90" s="88"/>
      <c r="RA90" s="88"/>
      <c r="RB90" s="88"/>
      <c r="RC90" s="88"/>
      <c r="RD90" s="88"/>
      <c r="RE90" s="88"/>
      <c r="RF90" s="88"/>
      <c r="RG90" s="88"/>
      <c r="RH90" s="88"/>
      <c r="RI90" s="88"/>
      <c r="RJ90" s="88"/>
      <c r="RK90" s="88"/>
      <c r="RL90" s="88"/>
      <c r="RM90" s="88"/>
      <c r="RN90" s="88"/>
      <c r="RO90" s="88"/>
      <c r="RP90" s="88"/>
      <c r="RQ90" s="88"/>
      <c r="RR90" s="88"/>
      <c r="RS90" s="88"/>
      <c r="RT90" s="88"/>
      <c r="RU90" s="88"/>
      <c r="RV90" s="88"/>
      <c r="RW90" s="88"/>
      <c r="RX90" s="88"/>
      <c r="RY90" s="88"/>
      <c r="RZ90" s="88"/>
      <c r="SA90" s="88"/>
      <c r="SB90" s="88"/>
      <c r="SC90" s="88"/>
      <c r="SD90" s="88"/>
      <c r="SE90" s="88"/>
      <c r="SF90" s="88"/>
      <c r="SG90" s="88"/>
      <c r="SH90" s="88"/>
      <c r="SI90" s="88"/>
      <c r="SJ90" s="88"/>
      <c r="SK90" s="88"/>
      <c r="SL90" s="88"/>
      <c r="SM90" s="88"/>
      <c r="SN90" s="88"/>
      <c r="SO90" s="88"/>
      <c r="SP90" s="88"/>
      <c r="SQ90" s="88"/>
      <c r="SR90" s="88"/>
      <c r="SS90" s="88"/>
      <c r="ST90" s="88"/>
      <c r="SU90" s="88"/>
      <c r="SV90" s="88"/>
      <c r="SW90" s="88"/>
      <c r="SX90" s="88"/>
      <c r="SY90" s="88"/>
      <c r="SZ90" s="88"/>
      <c r="TA90" s="88"/>
      <c r="TB90" s="88"/>
      <c r="TC90" s="88"/>
      <c r="TD90" s="88"/>
      <c r="TE90" s="88"/>
      <c r="TF90" s="88"/>
      <c r="TG90" s="88"/>
      <c r="TH90" s="88"/>
      <c r="TI90" s="88"/>
      <c r="TJ90" s="88"/>
      <c r="TK90" s="88"/>
      <c r="TL90" s="88"/>
      <c r="TM90" s="88"/>
      <c r="TN90" s="88"/>
      <c r="TO90" s="88"/>
      <c r="TP90" s="88"/>
      <c r="TQ90" s="88"/>
      <c r="TR90" s="88"/>
      <c r="TS90" s="88"/>
      <c r="TT90" s="88"/>
      <c r="TU90" s="88"/>
      <c r="TV90" s="88"/>
      <c r="TW90" s="88"/>
      <c r="TX90" s="88"/>
      <c r="TY90" s="88"/>
      <c r="TZ90" s="88"/>
      <c r="UA90" s="88"/>
      <c r="UB90" s="88"/>
      <c r="UC90" s="88"/>
      <c r="UD90" s="88"/>
      <c r="UE90" s="88"/>
      <c r="UF90" s="88"/>
      <c r="UG90" s="88"/>
      <c r="UH90" s="88"/>
      <c r="UI90" s="88"/>
      <c r="UJ90" s="88"/>
      <c r="UK90" s="88"/>
      <c r="UL90" s="88"/>
      <c r="UM90" s="88"/>
      <c r="UN90" s="88"/>
      <c r="UO90" s="88"/>
      <c r="UP90" s="88"/>
      <c r="UQ90" s="88"/>
      <c r="UR90" s="88"/>
      <c r="US90" s="88"/>
      <c r="UT90" s="88"/>
      <c r="UU90" s="88"/>
      <c r="UV90" s="88"/>
      <c r="UW90" s="88"/>
      <c r="UX90" s="88"/>
      <c r="UY90" s="88"/>
      <c r="UZ90" s="88"/>
      <c r="VA90" s="88"/>
      <c r="VB90" s="88"/>
      <c r="VC90" s="88"/>
      <c r="VD90" s="88"/>
      <c r="VE90" s="88"/>
      <c r="VF90" s="88"/>
      <c r="VG90" s="88"/>
      <c r="VH90" s="88"/>
      <c r="VI90" s="88"/>
      <c r="VJ90" s="88"/>
      <c r="VK90" s="88"/>
      <c r="VL90" s="88"/>
      <c r="VM90" s="88"/>
      <c r="VN90" s="88"/>
      <c r="VO90" s="88"/>
      <c r="VP90" s="88"/>
      <c r="VQ90" s="88"/>
      <c r="VR90" s="88"/>
      <c r="VS90" s="88"/>
      <c r="VT90" s="88"/>
      <c r="VU90" s="88"/>
      <c r="VV90" s="88"/>
      <c r="VW90" s="88"/>
      <c r="VX90" s="88"/>
      <c r="VY90" s="88"/>
      <c r="VZ90" s="88"/>
      <c r="WA90" s="88"/>
      <c r="WB90" s="88"/>
      <c r="WC90" s="88"/>
      <c r="WD90" s="88"/>
      <c r="WE90" s="88"/>
      <c r="WF90" s="88"/>
      <c r="WG90" s="88"/>
      <c r="WH90" s="88"/>
      <c r="WI90" s="88"/>
      <c r="WJ90" s="88"/>
      <c r="WK90" s="88"/>
      <c r="WL90" s="88"/>
      <c r="WM90" s="88"/>
      <c r="WN90" s="88"/>
      <c r="WO90" s="88"/>
      <c r="WP90" s="88"/>
      <c r="WQ90" s="88"/>
      <c r="WR90" s="88"/>
      <c r="WS90" s="88"/>
      <c r="WT90" s="88"/>
      <c r="WU90" s="88"/>
      <c r="WV90" s="88"/>
      <c r="WW90" s="88"/>
      <c r="WX90" s="88"/>
      <c r="WY90" s="88"/>
      <c r="WZ90" s="88"/>
      <c r="XA90" s="88"/>
      <c r="XB90" s="88"/>
      <c r="XC90" s="88"/>
      <c r="XD90" s="88"/>
      <c r="XE90" s="88"/>
      <c r="XF90" s="88"/>
      <c r="XG90" s="88"/>
      <c r="XH90" s="88"/>
      <c r="XI90" s="88"/>
      <c r="XJ90" s="88"/>
      <c r="XK90" s="88"/>
      <c r="XL90" s="88"/>
      <c r="XM90" s="88"/>
      <c r="XN90" s="88"/>
      <c r="XO90" s="88"/>
      <c r="XP90" s="88"/>
      <c r="XQ90" s="88"/>
      <c r="XR90" s="88"/>
      <c r="XS90" s="88"/>
      <c r="XT90" s="88"/>
      <c r="XU90" s="88"/>
      <c r="XV90" s="88"/>
      <c r="XW90" s="88"/>
      <c r="XX90" s="88"/>
      <c r="XY90" s="88"/>
      <c r="XZ90" s="88"/>
      <c r="YA90" s="88"/>
      <c r="YB90" s="88"/>
      <c r="YC90" s="88"/>
      <c r="YD90" s="88"/>
      <c r="YE90" s="88"/>
      <c r="YF90" s="88"/>
      <c r="YG90" s="88"/>
      <c r="YH90" s="88"/>
      <c r="YI90" s="88"/>
      <c r="YJ90" s="88"/>
      <c r="YK90" s="88"/>
      <c r="YL90" s="88"/>
      <c r="YM90" s="88"/>
      <c r="YN90" s="88"/>
      <c r="YO90" s="88"/>
      <c r="YP90" s="88"/>
      <c r="YQ90" s="88"/>
      <c r="YR90" s="88"/>
      <c r="YS90" s="88"/>
      <c r="YT90" s="88"/>
      <c r="YU90" s="88"/>
      <c r="YV90" s="88"/>
      <c r="YW90" s="88"/>
      <c r="YX90" s="88"/>
      <c r="YY90" s="88"/>
      <c r="YZ90" s="88"/>
      <c r="ZA90" s="88"/>
      <c r="ZB90" s="88"/>
      <c r="ZC90" s="88"/>
      <c r="ZD90" s="88"/>
      <c r="ZE90" s="88"/>
      <c r="ZF90" s="88"/>
      <c r="ZG90" s="88"/>
      <c r="ZH90" s="88"/>
      <c r="ZI90" s="88"/>
      <c r="ZJ90" s="88"/>
      <c r="ZK90" s="88"/>
      <c r="ZL90" s="88"/>
      <c r="ZM90" s="88"/>
      <c r="ZN90" s="88"/>
      <c r="ZO90" s="88"/>
      <c r="ZP90" s="88"/>
      <c r="ZQ90" s="88"/>
      <c r="ZR90" s="88"/>
      <c r="ZS90" s="88"/>
      <c r="ZT90" s="88"/>
      <c r="ZU90" s="88"/>
      <c r="ZV90" s="88"/>
      <c r="ZW90" s="88"/>
      <c r="ZX90" s="88"/>
      <c r="ZY90" s="88"/>
      <c r="ZZ90" s="88"/>
      <c r="AAA90" s="88"/>
      <c r="AAB90" s="88"/>
      <c r="AAC90" s="88"/>
      <c r="AAD90" s="88"/>
      <c r="AAE90" s="88"/>
      <c r="AAF90" s="88"/>
      <c r="AAG90" s="88"/>
      <c r="AAH90" s="88"/>
      <c r="AAI90" s="88"/>
      <c r="AAJ90" s="88"/>
      <c r="AAK90" s="88"/>
      <c r="AAL90" s="88"/>
      <c r="AAM90" s="88"/>
      <c r="AAN90" s="88"/>
      <c r="AAO90" s="88"/>
      <c r="AAP90" s="88"/>
      <c r="AAQ90" s="88"/>
      <c r="AAR90" s="88"/>
      <c r="AAS90" s="88"/>
      <c r="AAT90" s="88"/>
      <c r="AAU90" s="88"/>
      <c r="AAV90" s="88"/>
      <c r="AAW90" s="88"/>
      <c r="AAX90" s="88"/>
      <c r="AAY90" s="88"/>
      <c r="AAZ90" s="88"/>
      <c r="ABA90" s="88"/>
      <c r="ABB90" s="88"/>
      <c r="ABC90" s="88"/>
      <c r="ABD90" s="88"/>
      <c r="ABE90" s="88"/>
      <c r="ABF90" s="88"/>
      <c r="ABG90" s="88"/>
      <c r="ABH90" s="88"/>
      <c r="ABI90" s="88"/>
      <c r="ABJ90" s="88"/>
      <c r="ABK90" s="88"/>
      <c r="ABL90" s="88"/>
      <c r="ABM90" s="88"/>
      <c r="ABN90" s="88"/>
      <c r="ABO90" s="88"/>
      <c r="ABP90" s="88"/>
      <c r="ABQ90" s="88"/>
      <c r="ABR90" s="88"/>
      <c r="ABS90" s="88"/>
      <c r="ABT90" s="88"/>
      <c r="ABU90" s="88"/>
      <c r="ABV90" s="88"/>
      <c r="ABW90" s="88"/>
      <c r="ABX90" s="88"/>
      <c r="ABY90" s="88"/>
      <c r="ABZ90" s="88"/>
      <c r="ACA90" s="88"/>
      <c r="ACB90" s="88"/>
      <c r="ACC90" s="88"/>
      <c r="ACD90" s="88"/>
      <c r="ACE90" s="88"/>
      <c r="ACF90" s="88"/>
      <c r="ACG90" s="88"/>
      <c r="ACH90" s="88"/>
      <c r="ACI90" s="88"/>
      <c r="ACJ90" s="88"/>
      <c r="ACK90" s="88"/>
      <c r="ACL90" s="88"/>
      <c r="ACM90" s="88"/>
      <c r="ACN90" s="88"/>
      <c r="ACO90" s="88"/>
      <c r="ACP90" s="88"/>
      <c r="ACQ90" s="88"/>
      <c r="ACR90" s="88"/>
      <c r="ACS90" s="88"/>
      <c r="ACT90" s="88"/>
      <c r="ACU90" s="88"/>
      <c r="ACV90" s="88"/>
      <c r="ACW90" s="88"/>
      <c r="ACX90" s="88"/>
      <c r="ACY90" s="88"/>
      <c r="ACZ90" s="88"/>
      <c r="ADA90" s="88"/>
      <c r="ADB90" s="88"/>
      <c r="ADC90" s="88"/>
      <c r="ADD90" s="88"/>
      <c r="ADE90" s="88"/>
      <c r="ADF90" s="88"/>
      <c r="ADG90" s="88"/>
      <c r="ADH90" s="88"/>
      <c r="ADI90" s="88"/>
      <c r="ADJ90" s="88"/>
      <c r="ADK90" s="88"/>
      <c r="ADL90" s="88"/>
      <c r="ADM90" s="88"/>
      <c r="ADN90" s="88"/>
      <c r="ADO90" s="88"/>
      <c r="ADP90" s="88"/>
      <c r="ADQ90" s="88"/>
      <c r="ADR90" s="88"/>
      <c r="ADS90" s="88"/>
      <c r="ADT90" s="88"/>
      <c r="ADU90" s="88"/>
      <c r="ADV90" s="88"/>
      <c r="ADW90" s="88"/>
      <c r="ADX90" s="88"/>
      <c r="ADY90" s="88"/>
      <c r="ADZ90" s="88"/>
      <c r="AEA90" s="88"/>
      <c r="AEB90" s="88"/>
      <c r="AEC90" s="88"/>
      <c r="AED90" s="88"/>
      <c r="AEE90" s="88"/>
      <c r="AEF90" s="88"/>
      <c r="AEG90" s="88"/>
      <c r="AEH90" s="88"/>
      <c r="AEI90" s="88"/>
      <c r="AEJ90" s="88"/>
      <c r="AEK90" s="88"/>
      <c r="AEL90" s="88"/>
      <c r="AEM90" s="88"/>
      <c r="AEN90" s="88"/>
      <c r="AEO90" s="88"/>
      <c r="AEP90" s="88"/>
      <c r="AEQ90" s="88"/>
      <c r="AER90" s="88"/>
      <c r="AES90" s="88"/>
      <c r="AET90" s="88"/>
      <c r="AEU90" s="88"/>
      <c r="AEV90" s="88"/>
      <c r="AEW90" s="88"/>
      <c r="AEX90" s="88"/>
      <c r="AEY90" s="88"/>
      <c r="AEZ90" s="88"/>
      <c r="AFA90" s="88"/>
      <c r="AFB90" s="88"/>
      <c r="AFC90" s="88"/>
      <c r="AFD90" s="88"/>
      <c r="AFE90" s="88"/>
      <c r="AFF90" s="88"/>
      <c r="AFG90" s="88"/>
      <c r="AFH90" s="88"/>
      <c r="AFI90" s="88"/>
      <c r="AFJ90" s="88"/>
      <c r="AFK90" s="88"/>
      <c r="AFL90" s="88"/>
      <c r="AFM90" s="88"/>
      <c r="AFN90" s="88"/>
      <c r="AFO90" s="88"/>
      <c r="AFP90" s="88"/>
      <c r="AFQ90" s="88"/>
      <c r="AFR90" s="88"/>
      <c r="AFS90" s="88"/>
      <c r="AFT90" s="88"/>
      <c r="AFU90" s="88"/>
      <c r="AFV90" s="88"/>
      <c r="AFW90" s="88"/>
      <c r="AFX90" s="88"/>
      <c r="AFY90" s="88"/>
      <c r="AFZ90" s="88"/>
      <c r="AGA90" s="88"/>
      <c r="AGB90" s="88"/>
      <c r="AGC90" s="88"/>
      <c r="AGD90" s="88"/>
      <c r="AGE90" s="88"/>
      <c r="AGF90" s="88"/>
      <c r="AGG90" s="88"/>
      <c r="AGH90" s="88"/>
      <c r="AGI90" s="88"/>
      <c r="AGJ90" s="88"/>
      <c r="AGK90" s="88"/>
      <c r="AGL90" s="88"/>
      <c r="AGM90" s="88"/>
      <c r="AGN90" s="88"/>
      <c r="AGO90" s="88"/>
      <c r="AGP90" s="88"/>
      <c r="AGQ90" s="88"/>
      <c r="AGR90" s="88"/>
      <c r="AGS90" s="88"/>
      <c r="AGT90" s="88"/>
      <c r="AGU90" s="88"/>
      <c r="AGV90" s="88"/>
      <c r="AGW90" s="88"/>
      <c r="AGX90" s="88"/>
      <c r="AGY90" s="88"/>
      <c r="AGZ90" s="88"/>
      <c r="AHA90" s="88"/>
      <c r="AHB90" s="88"/>
      <c r="AHC90" s="88"/>
      <c r="AHD90" s="88"/>
      <c r="AHE90" s="88"/>
      <c r="AHF90" s="88"/>
      <c r="AHG90" s="88"/>
      <c r="AHH90" s="88"/>
      <c r="AHI90" s="88"/>
      <c r="AHJ90" s="88"/>
      <c r="AHK90" s="88"/>
      <c r="AHL90" s="88"/>
      <c r="AHM90" s="88"/>
      <c r="AHN90" s="88"/>
      <c r="AHO90" s="88"/>
      <c r="AHP90" s="88"/>
      <c r="AHQ90" s="88"/>
      <c r="AHR90" s="88"/>
      <c r="AHS90" s="88"/>
      <c r="AHT90" s="88"/>
      <c r="AHU90" s="88"/>
      <c r="AHV90" s="88"/>
      <c r="AHW90" s="88"/>
      <c r="AHX90" s="88"/>
      <c r="AHY90" s="88"/>
      <c r="AHZ90" s="88"/>
      <c r="AIA90" s="88"/>
      <c r="AIB90" s="88"/>
      <c r="AIC90" s="88"/>
      <c r="AID90" s="88"/>
      <c r="AIE90" s="88"/>
      <c r="AIF90" s="88"/>
      <c r="AIG90" s="88"/>
      <c r="AIH90" s="88"/>
      <c r="AII90" s="88"/>
      <c r="AIJ90" s="88"/>
      <c r="AIK90" s="88"/>
      <c r="AIL90" s="88"/>
      <c r="AIM90" s="88"/>
      <c r="AIN90" s="88"/>
      <c r="AIO90" s="88"/>
      <c r="AIP90" s="88"/>
      <c r="AIQ90" s="88"/>
      <c r="AIR90" s="88"/>
      <c r="AIS90" s="88"/>
      <c r="AIT90" s="88"/>
      <c r="AIU90" s="88"/>
      <c r="AIV90" s="88"/>
      <c r="AIW90" s="88"/>
      <c r="AIX90" s="88"/>
      <c r="AIY90" s="88"/>
      <c r="AIZ90" s="88"/>
      <c r="AJA90" s="88"/>
      <c r="AJB90" s="88"/>
      <c r="AJC90" s="88"/>
      <c r="AJD90" s="88"/>
      <c r="AJE90" s="88"/>
      <c r="AJF90" s="88"/>
      <c r="AJG90" s="88"/>
      <c r="AJH90" s="88"/>
      <c r="AJI90" s="88"/>
      <c r="AJJ90" s="88"/>
      <c r="AJK90" s="88"/>
      <c r="AJL90" s="88"/>
      <c r="AJM90" s="88"/>
      <c r="AJN90" s="88"/>
      <c r="AJO90" s="88"/>
      <c r="AJP90" s="88"/>
      <c r="AJQ90" s="88"/>
      <c r="AJR90" s="88"/>
      <c r="AJS90" s="88"/>
      <c r="AJT90" s="88"/>
      <c r="AJU90" s="88"/>
      <c r="AJV90" s="88"/>
      <c r="AJW90" s="88"/>
      <c r="AJX90" s="88"/>
      <c r="AJY90" s="88"/>
      <c r="AJZ90" s="88"/>
      <c r="AKA90" s="88"/>
      <c r="AKB90" s="88"/>
      <c r="AKC90" s="88"/>
      <c r="AKD90" s="88"/>
      <c r="AKE90" s="88"/>
      <c r="AKF90" s="88"/>
      <c r="AKG90" s="88"/>
      <c r="AKH90" s="88"/>
      <c r="AKI90" s="88"/>
      <c r="AKJ90" s="88"/>
      <c r="AKK90" s="88"/>
      <c r="AKL90" s="88"/>
      <c r="AKM90" s="88"/>
      <c r="AKN90" s="88"/>
      <c r="AKO90" s="88"/>
      <c r="AKP90" s="88"/>
      <c r="AKQ90" s="88"/>
      <c r="AKR90" s="88"/>
      <c r="AKS90" s="88"/>
      <c r="AKT90" s="88"/>
      <c r="AKU90" s="88"/>
      <c r="AKV90" s="88"/>
      <c r="AKW90" s="88"/>
      <c r="AKX90" s="88"/>
      <c r="AKY90" s="88"/>
      <c r="AKZ90" s="88"/>
      <c r="ALA90" s="88"/>
      <c r="ALB90" s="88"/>
      <c r="ALC90" s="88"/>
      <c r="ALD90" s="88"/>
      <c r="ALE90" s="88"/>
      <c r="ALF90" s="88"/>
      <c r="ALG90" s="88"/>
      <c r="ALH90" s="88"/>
      <c r="ALI90" s="88"/>
      <c r="ALJ90" s="88"/>
      <c r="ALK90" s="88"/>
      <c r="ALL90" s="88"/>
      <c r="ALM90" s="88"/>
      <c r="ALN90" s="88"/>
      <c r="ALO90" s="88"/>
      <c r="ALP90" s="88"/>
      <c r="ALQ90" s="88"/>
      <c r="ALR90" s="88"/>
      <c r="ALS90" s="88"/>
      <c r="ALT90" s="88"/>
      <c r="ALU90" s="88"/>
      <c r="ALV90" s="88"/>
      <c r="ALW90" s="88"/>
      <c r="ALX90" s="88"/>
      <c r="ALY90" s="88"/>
      <c r="ALZ90" s="88"/>
      <c r="AMA90" s="88"/>
      <c r="AMB90" s="88"/>
      <c r="AMC90" s="88"/>
      <c r="AMD90" s="88"/>
      <c r="AME90" s="88"/>
      <c r="AMF90" s="88"/>
      <c r="AMG90" s="88"/>
      <c r="AMH90" s="88"/>
      <c r="AMI90" s="88"/>
      <c r="AMJ90" s="88"/>
      <c r="AMK90" s="88"/>
      <c r="AML90" s="88"/>
      <c r="AMM90" s="88"/>
      <c r="AMN90" s="88"/>
      <c r="AMO90" s="88"/>
      <c r="AMP90" s="88"/>
      <c r="AMQ90" s="88"/>
      <c r="AMR90" s="88"/>
      <c r="AMS90" s="88"/>
      <c r="AMT90" s="88"/>
      <c r="AMU90" s="88"/>
      <c r="AMV90" s="88"/>
      <c r="AMW90" s="88"/>
      <c r="AMX90" s="88"/>
      <c r="AMY90" s="88"/>
      <c r="AMZ90" s="88"/>
      <c r="ANA90" s="88"/>
      <c r="ANB90" s="88"/>
      <c r="ANC90" s="88"/>
      <c r="AND90" s="88"/>
      <c r="ANE90" s="88"/>
      <c r="ANF90" s="88"/>
      <c r="ANG90" s="88"/>
      <c r="ANH90" s="88"/>
      <c r="ANI90" s="88"/>
      <c r="ANJ90" s="88"/>
      <c r="ANK90" s="88"/>
      <c r="ANL90" s="88"/>
      <c r="ANM90" s="88"/>
      <c r="ANN90" s="88"/>
      <c r="ANO90" s="88"/>
      <c r="ANP90" s="88"/>
      <c r="ANQ90" s="88"/>
      <c r="ANR90" s="88"/>
      <c r="ANS90" s="88"/>
      <c r="ANT90" s="88"/>
      <c r="ANU90" s="88"/>
      <c r="ANV90" s="88"/>
      <c r="ANW90" s="88"/>
      <c r="ANX90" s="88"/>
      <c r="ANY90" s="88"/>
      <c r="ANZ90" s="88"/>
      <c r="AOA90" s="88"/>
      <c r="AOB90" s="88"/>
      <c r="AOC90" s="88"/>
      <c r="AOD90" s="88"/>
      <c r="AOE90" s="88"/>
      <c r="AOF90" s="88"/>
      <c r="AOG90" s="88"/>
      <c r="AOH90" s="88"/>
      <c r="AOI90" s="88"/>
      <c r="AOJ90" s="88"/>
      <c r="AOK90" s="88"/>
      <c r="AOL90" s="88"/>
      <c r="AOM90" s="88"/>
      <c r="AON90" s="88"/>
      <c r="AOO90" s="88"/>
      <c r="AOP90" s="88"/>
      <c r="AOQ90" s="88"/>
      <c r="AOR90" s="88"/>
      <c r="AOS90" s="88"/>
      <c r="AOT90" s="88"/>
      <c r="AOU90" s="88"/>
      <c r="AOV90" s="88"/>
      <c r="AOW90" s="88"/>
      <c r="AOX90" s="88"/>
      <c r="AOY90" s="88"/>
      <c r="AOZ90" s="88"/>
      <c r="APA90" s="88"/>
      <c r="APB90" s="88"/>
      <c r="APC90" s="88"/>
      <c r="APD90" s="88"/>
      <c r="APE90" s="88"/>
      <c r="APF90" s="88"/>
      <c r="APG90" s="88"/>
      <c r="APH90" s="88"/>
      <c r="API90" s="88"/>
      <c r="APJ90" s="88"/>
      <c r="APK90" s="88"/>
      <c r="APL90" s="88"/>
      <c r="APM90" s="88"/>
      <c r="APN90" s="88"/>
      <c r="APO90" s="88"/>
      <c r="APP90" s="88"/>
      <c r="APQ90" s="88"/>
      <c r="APR90" s="88"/>
      <c r="APS90" s="88"/>
      <c r="APT90" s="88"/>
      <c r="APU90" s="88"/>
      <c r="APV90" s="88"/>
      <c r="APW90" s="88"/>
      <c r="APX90" s="88"/>
      <c r="APY90" s="88"/>
      <c r="APZ90" s="88"/>
      <c r="AQA90" s="88"/>
      <c r="AQB90" s="88"/>
      <c r="AQC90" s="88"/>
      <c r="AQD90" s="88"/>
      <c r="AQE90" s="88"/>
      <c r="AQF90" s="88"/>
      <c r="AQG90" s="88"/>
      <c r="AQH90" s="88"/>
      <c r="AQI90" s="88"/>
      <c r="AQJ90" s="88"/>
      <c r="AQK90" s="88"/>
      <c r="AQL90" s="88"/>
      <c r="AQM90" s="88"/>
      <c r="AQN90" s="88"/>
      <c r="AQO90" s="88"/>
      <c r="AQP90" s="88"/>
      <c r="AQQ90" s="88"/>
      <c r="AQR90" s="88"/>
      <c r="AQS90" s="88"/>
      <c r="AQT90" s="88"/>
      <c r="AQU90" s="88"/>
      <c r="AQV90" s="88"/>
      <c r="AQW90" s="88"/>
      <c r="AQX90" s="88"/>
      <c r="AQY90" s="88"/>
      <c r="AQZ90" s="88"/>
      <c r="ARA90" s="88"/>
      <c r="ARB90" s="88"/>
      <c r="ARC90" s="88"/>
      <c r="ARD90" s="88"/>
      <c r="ARE90" s="88"/>
      <c r="ARF90" s="88"/>
      <c r="ARG90" s="88"/>
      <c r="ARH90" s="88"/>
      <c r="ARI90" s="88"/>
      <c r="ARJ90" s="88"/>
      <c r="ARK90" s="88"/>
      <c r="ARL90" s="88"/>
      <c r="ARM90" s="88"/>
      <c r="ARN90" s="88"/>
      <c r="ARO90" s="88"/>
      <c r="ARP90" s="88"/>
      <c r="ARQ90" s="88"/>
      <c r="ARR90" s="88"/>
      <c r="ARS90" s="88"/>
      <c r="ART90" s="88"/>
      <c r="ARU90" s="88"/>
      <c r="ARV90" s="88"/>
      <c r="ARW90" s="88"/>
      <c r="ARX90" s="88"/>
      <c r="ARY90" s="88"/>
      <c r="ARZ90" s="88"/>
      <c r="ASA90" s="88"/>
      <c r="ASB90" s="88"/>
      <c r="ASC90" s="88"/>
      <c r="ASD90" s="88"/>
      <c r="ASE90" s="88"/>
      <c r="ASF90" s="88"/>
      <c r="ASG90" s="88"/>
      <c r="ASH90" s="88"/>
      <c r="ASI90" s="88"/>
      <c r="ASJ90" s="88"/>
      <c r="ASK90" s="88"/>
      <c r="ASL90" s="88"/>
      <c r="ASM90" s="88"/>
      <c r="ASN90" s="88"/>
      <c r="ASO90" s="88"/>
      <c r="ASP90" s="88"/>
      <c r="ASQ90" s="88"/>
      <c r="ASR90" s="88"/>
      <c r="ASS90" s="88"/>
      <c r="AST90" s="88"/>
      <c r="ASU90" s="88"/>
      <c r="ASV90" s="88"/>
      <c r="ASW90" s="88"/>
      <c r="ASX90" s="88"/>
      <c r="ASY90" s="88"/>
      <c r="ASZ90" s="88"/>
      <c r="ATA90" s="88"/>
      <c r="ATB90" s="88"/>
      <c r="ATC90" s="88"/>
      <c r="ATD90" s="88"/>
      <c r="ATE90" s="88"/>
      <c r="ATF90" s="88"/>
      <c r="ATG90" s="88"/>
      <c r="ATH90" s="88"/>
      <c r="ATI90" s="88"/>
      <c r="ATJ90" s="88"/>
      <c r="ATK90" s="88"/>
      <c r="ATL90" s="88"/>
      <c r="ATM90" s="88"/>
      <c r="ATN90" s="88"/>
      <c r="ATO90" s="88"/>
      <c r="ATP90" s="88"/>
      <c r="ATQ90" s="88"/>
      <c r="ATR90" s="88"/>
      <c r="ATS90" s="88"/>
      <c r="ATT90" s="88"/>
      <c r="ATU90" s="88"/>
      <c r="ATV90" s="88"/>
      <c r="ATW90" s="88"/>
      <c r="ATX90" s="88"/>
      <c r="ATY90" s="88"/>
      <c r="ATZ90" s="88"/>
      <c r="AUA90" s="88"/>
      <c r="AUB90" s="88"/>
      <c r="AUC90" s="88"/>
      <c r="AUD90" s="88"/>
      <c r="AUE90" s="88"/>
      <c r="AUF90" s="88"/>
      <c r="AUG90" s="88"/>
      <c r="AUH90" s="88"/>
      <c r="AUI90" s="88"/>
      <c r="AUJ90" s="88"/>
      <c r="AUK90" s="88"/>
      <c r="AUL90" s="88"/>
      <c r="AUM90" s="88"/>
      <c r="AUN90" s="88"/>
      <c r="AUO90" s="88"/>
      <c r="AUP90" s="88"/>
      <c r="AUQ90" s="88"/>
      <c r="AUR90" s="88"/>
      <c r="AUS90" s="88"/>
      <c r="AUT90" s="88"/>
      <c r="AUU90" s="88"/>
      <c r="AUV90" s="88"/>
      <c r="AUW90" s="88"/>
      <c r="AUX90" s="88"/>
      <c r="AUY90" s="88"/>
      <c r="AUZ90" s="88"/>
      <c r="AVA90" s="88"/>
      <c r="AVB90" s="88"/>
      <c r="AVC90" s="88"/>
      <c r="AVD90" s="88"/>
      <c r="AVE90" s="88"/>
      <c r="AVF90" s="88"/>
      <c r="AVG90" s="88"/>
      <c r="AVH90" s="88"/>
      <c r="AVI90" s="88"/>
      <c r="AVJ90" s="88"/>
      <c r="AVK90" s="88"/>
      <c r="AVL90" s="88"/>
      <c r="AVM90" s="88"/>
      <c r="AVN90" s="88"/>
      <c r="AVO90" s="88"/>
      <c r="AVP90" s="88"/>
      <c r="AVQ90" s="88"/>
      <c r="AVR90" s="88"/>
      <c r="AVS90" s="88"/>
      <c r="AVT90" s="88"/>
      <c r="AVU90" s="88"/>
      <c r="AVV90" s="88"/>
      <c r="AVW90" s="88"/>
      <c r="AVX90" s="88"/>
      <c r="AVY90" s="88"/>
      <c r="AVZ90" s="88"/>
      <c r="AWA90" s="88"/>
      <c r="AWB90" s="88"/>
      <c r="AWC90" s="88"/>
      <c r="AWD90" s="88"/>
      <c r="AWE90" s="88"/>
      <c r="AWF90" s="88"/>
      <c r="AWG90" s="88"/>
      <c r="AWH90" s="88"/>
      <c r="AWI90" s="88"/>
      <c r="AWJ90" s="88"/>
      <c r="AWK90" s="88"/>
      <c r="AWL90" s="88"/>
      <c r="AWM90" s="88"/>
      <c r="AWN90" s="88"/>
      <c r="AWO90" s="88"/>
      <c r="AWP90" s="88"/>
      <c r="AWQ90" s="88"/>
      <c r="AWR90" s="88"/>
      <c r="AWS90" s="88"/>
      <c r="AWT90" s="88"/>
      <c r="AWU90" s="88"/>
      <c r="AWV90" s="88"/>
      <c r="AWW90" s="88"/>
      <c r="AWX90" s="88"/>
      <c r="AWY90" s="88"/>
      <c r="AWZ90" s="88"/>
      <c r="AXA90" s="88"/>
      <c r="AXB90" s="88"/>
      <c r="AXC90" s="88"/>
      <c r="AXD90" s="88"/>
      <c r="AXE90" s="88"/>
      <c r="AXF90" s="88"/>
      <c r="AXG90" s="88"/>
      <c r="AXH90" s="88"/>
      <c r="AXI90" s="88"/>
      <c r="AXJ90" s="88"/>
      <c r="AXK90" s="88"/>
      <c r="AXL90" s="88"/>
      <c r="AXM90" s="88"/>
      <c r="AXN90" s="88"/>
      <c r="AXO90" s="88"/>
      <c r="AXP90" s="88"/>
      <c r="AXQ90" s="88"/>
      <c r="AXR90" s="88"/>
      <c r="AXS90" s="88"/>
      <c r="AXT90" s="88"/>
      <c r="AXU90" s="88"/>
      <c r="AXV90" s="88"/>
      <c r="AXW90" s="88"/>
      <c r="AXX90" s="88"/>
      <c r="AXY90" s="88"/>
      <c r="AXZ90" s="88"/>
      <c r="AYA90" s="88"/>
      <c r="AYB90" s="88"/>
      <c r="AYC90" s="88"/>
      <c r="AYD90" s="88"/>
      <c r="AYE90" s="88"/>
      <c r="AYF90" s="88"/>
      <c r="AYG90" s="88"/>
      <c r="AYH90" s="88"/>
      <c r="AYI90" s="88"/>
      <c r="AYJ90" s="88"/>
      <c r="AYK90" s="88"/>
      <c r="AYL90" s="88"/>
      <c r="AYM90" s="88"/>
      <c r="AYN90" s="88"/>
      <c r="AYO90" s="88"/>
      <c r="AYP90" s="88"/>
      <c r="AYQ90" s="88"/>
      <c r="AYR90" s="88"/>
      <c r="AYS90" s="88"/>
      <c r="AYT90" s="88"/>
      <c r="AYU90" s="88"/>
      <c r="AYV90" s="88"/>
      <c r="AYW90" s="88"/>
      <c r="AYX90" s="88"/>
      <c r="AYY90" s="88"/>
      <c r="AYZ90" s="88"/>
      <c r="AZA90" s="88"/>
      <c r="AZB90" s="88"/>
      <c r="AZC90" s="88"/>
      <c r="AZD90" s="88"/>
      <c r="AZE90" s="88"/>
      <c r="AZF90" s="88"/>
      <c r="AZG90" s="88"/>
      <c r="AZH90" s="88"/>
      <c r="AZI90" s="88"/>
      <c r="AZJ90" s="88"/>
      <c r="AZK90" s="88"/>
      <c r="AZL90" s="88"/>
      <c r="AZM90" s="88"/>
      <c r="AZN90" s="88"/>
      <c r="AZO90" s="88"/>
      <c r="AZP90" s="88"/>
      <c r="AZQ90" s="88"/>
      <c r="AZR90" s="88"/>
      <c r="AZS90" s="88"/>
      <c r="AZT90" s="88"/>
      <c r="AZU90" s="88"/>
      <c r="AZV90" s="88"/>
      <c r="AZW90" s="88"/>
      <c r="AZX90" s="88"/>
      <c r="AZY90" s="88"/>
      <c r="AZZ90" s="88"/>
      <c r="BAA90" s="88"/>
      <c r="BAB90" s="88"/>
      <c r="BAC90" s="88"/>
      <c r="BAD90" s="88"/>
      <c r="BAE90" s="88"/>
      <c r="BAF90" s="88"/>
      <c r="BAG90" s="88"/>
      <c r="BAH90" s="88"/>
      <c r="BAI90" s="88"/>
      <c r="BAJ90" s="88"/>
      <c r="BAK90" s="88"/>
      <c r="BAL90" s="88"/>
      <c r="BAM90" s="88"/>
      <c r="BAN90" s="88"/>
      <c r="BAO90" s="88"/>
      <c r="BAP90" s="88"/>
      <c r="BAQ90" s="88"/>
      <c r="BAR90" s="88"/>
      <c r="BAS90" s="88"/>
      <c r="BAT90" s="88"/>
      <c r="BAU90" s="88"/>
      <c r="BAV90" s="88"/>
      <c r="BAW90" s="88"/>
      <c r="BAX90" s="88"/>
      <c r="BAY90" s="88"/>
      <c r="BAZ90" s="88"/>
      <c r="BBA90" s="88"/>
      <c r="BBB90" s="88"/>
      <c r="BBC90" s="88"/>
      <c r="BBD90" s="88"/>
      <c r="BBE90" s="88"/>
      <c r="BBF90" s="88"/>
      <c r="BBG90" s="88"/>
      <c r="BBH90" s="88"/>
      <c r="BBI90" s="88"/>
      <c r="BBJ90" s="88"/>
      <c r="BBK90" s="88"/>
      <c r="BBL90" s="88"/>
      <c r="BBM90" s="88"/>
      <c r="BBN90" s="88"/>
      <c r="BBO90" s="88"/>
      <c r="BBP90" s="88"/>
      <c r="BBQ90" s="88"/>
      <c r="BBR90" s="88"/>
      <c r="BBS90" s="88"/>
      <c r="BBT90" s="88"/>
      <c r="BBU90" s="88"/>
      <c r="BBV90" s="88"/>
      <c r="BBW90" s="88"/>
      <c r="BBX90" s="88"/>
      <c r="BBY90" s="88"/>
      <c r="BBZ90" s="88"/>
      <c r="BCA90" s="88"/>
      <c r="BCB90" s="88"/>
      <c r="BCC90" s="88"/>
      <c r="BCD90" s="88"/>
      <c r="BCE90" s="88"/>
      <c r="BCF90" s="88"/>
      <c r="BCG90" s="88"/>
      <c r="BCH90" s="88"/>
      <c r="BCI90" s="88"/>
      <c r="BCJ90" s="88"/>
      <c r="BCK90" s="88"/>
      <c r="BCL90" s="88"/>
      <c r="BCM90" s="88"/>
      <c r="BCN90" s="88"/>
      <c r="BCO90" s="88"/>
      <c r="BCP90" s="88"/>
      <c r="BCQ90" s="88"/>
      <c r="BCR90" s="88"/>
      <c r="BCS90" s="88"/>
      <c r="BCT90" s="88"/>
      <c r="BCU90" s="88"/>
      <c r="BCV90" s="88"/>
      <c r="BCW90" s="88"/>
      <c r="BCX90" s="88"/>
      <c r="BCY90" s="88"/>
      <c r="BCZ90" s="88"/>
      <c r="BDA90" s="88"/>
      <c r="BDB90" s="88"/>
      <c r="BDC90" s="88"/>
      <c r="BDD90" s="88"/>
      <c r="BDE90" s="88"/>
      <c r="BDF90" s="88"/>
      <c r="BDG90" s="88"/>
      <c r="BDH90" s="88"/>
      <c r="BDI90" s="88"/>
      <c r="BDJ90" s="88"/>
      <c r="BDK90" s="88"/>
      <c r="BDL90" s="88"/>
      <c r="BDM90" s="88"/>
      <c r="BDN90" s="88"/>
      <c r="BDO90" s="88"/>
      <c r="BDP90" s="88"/>
      <c r="BDQ90" s="88"/>
      <c r="BDR90" s="88"/>
      <c r="BDS90" s="88"/>
      <c r="BDT90" s="88"/>
      <c r="BDU90" s="88"/>
      <c r="BDV90" s="88"/>
      <c r="BDW90" s="88"/>
      <c r="BDX90" s="88"/>
      <c r="BDY90" s="88"/>
      <c r="BDZ90" s="88"/>
      <c r="BEA90" s="88"/>
      <c r="BEB90" s="88"/>
      <c r="BEC90" s="88"/>
      <c r="BED90" s="88"/>
      <c r="BEE90" s="88"/>
      <c r="BEF90" s="88"/>
      <c r="BEG90" s="88"/>
      <c r="BEH90" s="88"/>
      <c r="BEI90" s="88"/>
      <c r="BEJ90" s="88"/>
      <c r="BEK90" s="88"/>
      <c r="BEL90" s="88"/>
      <c r="BEM90" s="88"/>
      <c r="BEN90" s="88"/>
      <c r="BEO90" s="88"/>
      <c r="BEP90" s="88"/>
      <c r="BEQ90" s="88"/>
      <c r="BER90" s="88"/>
      <c r="BES90" s="88"/>
      <c r="BET90" s="88"/>
      <c r="BEU90" s="88"/>
      <c r="BEV90" s="88"/>
      <c r="BEW90" s="88"/>
      <c r="BEX90" s="88"/>
      <c r="BEY90" s="88"/>
      <c r="BEZ90" s="88"/>
      <c r="BFA90" s="88"/>
      <c r="BFB90" s="88"/>
      <c r="BFC90" s="88"/>
      <c r="BFD90" s="88"/>
      <c r="BFE90" s="88"/>
      <c r="BFF90" s="88"/>
      <c r="BFG90" s="88"/>
      <c r="BFH90" s="88"/>
      <c r="BFI90" s="88"/>
      <c r="BFJ90" s="88"/>
      <c r="BFK90" s="88"/>
      <c r="BFL90" s="88"/>
      <c r="BFM90" s="88"/>
      <c r="BFN90" s="88"/>
      <c r="BFO90" s="88"/>
      <c r="BFP90" s="88"/>
      <c r="BFQ90" s="88"/>
      <c r="BFR90" s="88"/>
      <c r="BFS90" s="88"/>
      <c r="BFT90" s="88"/>
      <c r="BFU90" s="88"/>
      <c r="BFV90" s="88"/>
      <c r="BFW90" s="88"/>
      <c r="BFX90" s="88"/>
      <c r="BFY90" s="88"/>
      <c r="BFZ90" s="88"/>
      <c r="BGA90" s="88"/>
      <c r="BGB90" s="88"/>
      <c r="BGC90" s="88"/>
      <c r="BGD90" s="88"/>
      <c r="BGE90" s="88"/>
      <c r="BGF90" s="88"/>
      <c r="BGG90" s="88"/>
      <c r="BGH90" s="88"/>
      <c r="BGI90" s="88"/>
      <c r="BGJ90" s="88"/>
      <c r="BGK90" s="88"/>
      <c r="BGL90" s="88"/>
      <c r="BGM90" s="88"/>
      <c r="BGN90" s="88"/>
      <c r="BGO90" s="88"/>
      <c r="BGP90" s="88"/>
      <c r="BGQ90" s="88"/>
      <c r="BGR90" s="88"/>
      <c r="BGS90" s="88"/>
      <c r="BGT90" s="88"/>
      <c r="BGU90" s="88"/>
      <c r="BGV90" s="88"/>
      <c r="BGW90" s="88"/>
      <c r="BGX90" s="88"/>
      <c r="BGY90" s="88"/>
      <c r="BGZ90" s="88"/>
      <c r="BHA90" s="88"/>
      <c r="BHB90" s="88"/>
      <c r="BHC90" s="88"/>
      <c r="BHD90" s="88"/>
      <c r="BHE90" s="88"/>
      <c r="BHF90" s="88"/>
      <c r="BHG90" s="88"/>
      <c r="BHH90" s="88"/>
      <c r="BHI90" s="88"/>
      <c r="BHJ90" s="88"/>
      <c r="BHK90" s="88"/>
      <c r="BHL90" s="88"/>
      <c r="BHM90" s="88"/>
      <c r="BHN90" s="88"/>
      <c r="BHO90" s="88"/>
      <c r="BHP90" s="88"/>
      <c r="BHQ90" s="88"/>
      <c r="BHR90" s="88"/>
      <c r="BHS90" s="88"/>
      <c r="BHT90" s="88"/>
      <c r="BHU90" s="88"/>
      <c r="BHV90" s="88"/>
      <c r="BHW90" s="88"/>
      <c r="BHX90" s="88"/>
      <c r="BHY90" s="88"/>
      <c r="BHZ90" s="88"/>
      <c r="BIA90" s="88"/>
      <c r="BIB90" s="88"/>
      <c r="BIC90" s="88"/>
      <c r="BID90" s="88"/>
      <c r="BIE90" s="88"/>
      <c r="BIF90" s="88"/>
      <c r="BIG90" s="88"/>
      <c r="BIH90" s="88"/>
      <c r="BII90" s="88"/>
      <c r="BIJ90" s="88"/>
      <c r="BIK90" s="88"/>
      <c r="BIL90" s="88"/>
      <c r="BIM90" s="88"/>
      <c r="BIN90" s="88"/>
      <c r="BIO90" s="88"/>
      <c r="BIP90" s="88"/>
      <c r="BIQ90" s="88"/>
      <c r="BIR90" s="88"/>
      <c r="BIS90" s="88"/>
      <c r="BIT90" s="88"/>
      <c r="BIU90" s="88"/>
      <c r="BIV90" s="88"/>
      <c r="BIW90" s="88"/>
      <c r="BIX90" s="88"/>
      <c r="BIY90" s="88"/>
      <c r="BIZ90" s="88"/>
      <c r="BJA90" s="88"/>
      <c r="BJB90" s="88"/>
      <c r="BJC90" s="88"/>
      <c r="BJD90" s="88"/>
      <c r="BJE90" s="88"/>
      <c r="BJF90" s="88"/>
      <c r="BJG90" s="88"/>
      <c r="BJH90" s="88"/>
      <c r="BJI90" s="88"/>
      <c r="BJJ90" s="88"/>
      <c r="BJK90" s="88"/>
      <c r="BJL90" s="88"/>
      <c r="BJM90" s="88"/>
      <c r="BJN90" s="88"/>
      <c r="BJO90" s="88"/>
      <c r="BJP90" s="88"/>
      <c r="BJQ90" s="88"/>
      <c r="BJR90" s="88"/>
      <c r="BJS90" s="88"/>
      <c r="BJT90" s="88"/>
      <c r="BJU90" s="88"/>
      <c r="BJV90" s="88"/>
      <c r="BJW90" s="88"/>
      <c r="BJX90" s="88"/>
      <c r="BJY90" s="88"/>
      <c r="BJZ90" s="88"/>
      <c r="BKA90" s="88"/>
      <c r="BKB90" s="88"/>
      <c r="BKC90" s="88"/>
      <c r="BKD90" s="88"/>
      <c r="BKE90" s="88"/>
      <c r="BKF90" s="88"/>
      <c r="BKG90" s="88"/>
      <c r="BKH90" s="88"/>
      <c r="BKI90" s="88"/>
      <c r="BKJ90" s="88"/>
      <c r="BKK90" s="88"/>
      <c r="BKL90" s="88"/>
      <c r="BKM90" s="88"/>
      <c r="BKN90" s="88"/>
      <c r="BKO90" s="88"/>
      <c r="BKP90" s="88"/>
      <c r="BKQ90" s="88"/>
      <c r="BKR90" s="88"/>
      <c r="BKS90" s="88"/>
      <c r="BKT90" s="88"/>
      <c r="BKU90" s="88"/>
      <c r="BKV90" s="88"/>
      <c r="BKW90" s="88"/>
      <c r="BKX90" s="88"/>
      <c r="BKY90" s="88"/>
      <c r="BKZ90" s="88"/>
      <c r="BLA90" s="88"/>
      <c r="BLB90" s="88"/>
      <c r="BLC90" s="88"/>
      <c r="BLD90" s="88"/>
      <c r="BLE90" s="88"/>
      <c r="BLF90" s="88"/>
      <c r="BLG90" s="88"/>
      <c r="BLH90" s="88"/>
      <c r="BLI90" s="88"/>
      <c r="BLJ90" s="88"/>
      <c r="BLK90" s="88"/>
      <c r="BLL90" s="88"/>
      <c r="BLM90" s="88"/>
      <c r="BLN90" s="88"/>
      <c r="BLO90" s="88"/>
      <c r="BLP90" s="88"/>
      <c r="BLQ90" s="88"/>
      <c r="BLR90" s="88"/>
      <c r="BLS90" s="88"/>
      <c r="BLT90" s="88"/>
      <c r="BLU90" s="88"/>
      <c r="BLV90" s="88"/>
      <c r="BLW90" s="88"/>
      <c r="BLX90" s="88"/>
      <c r="BLY90" s="88"/>
      <c r="BLZ90" s="88"/>
      <c r="BMA90" s="88"/>
      <c r="BMB90" s="88"/>
      <c r="BMC90" s="88"/>
      <c r="BMD90" s="88"/>
      <c r="BME90" s="88"/>
      <c r="BMF90" s="88"/>
      <c r="BMG90" s="88"/>
      <c r="BMH90" s="88"/>
      <c r="BMI90" s="88"/>
      <c r="BMJ90" s="88"/>
      <c r="BMK90" s="88"/>
      <c r="BML90" s="88"/>
      <c r="BMM90" s="88"/>
      <c r="BMN90" s="88"/>
      <c r="BMO90" s="88"/>
      <c r="BMP90" s="88"/>
      <c r="BMQ90" s="88"/>
      <c r="BMR90" s="88"/>
      <c r="BMS90" s="88"/>
      <c r="BMT90" s="88"/>
      <c r="BMU90" s="88"/>
      <c r="BMV90" s="88"/>
      <c r="BMW90" s="88"/>
      <c r="BMX90" s="88"/>
      <c r="BMY90" s="88"/>
      <c r="BMZ90" s="88"/>
      <c r="BNA90" s="88"/>
      <c r="BNB90" s="88"/>
      <c r="BNC90" s="88"/>
      <c r="BND90" s="88"/>
      <c r="BNE90" s="88"/>
      <c r="BNF90" s="88"/>
      <c r="BNG90" s="88"/>
      <c r="BNH90" s="88"/>
      <c r="BNI90" s="88"/>
      <c r="BNJ90" s="88"/>
      <c r="BNK90" s="88"/>
      <c r="BNL90" s="88"/>
      <c r="BNM90" s="88"/>
      <c r="BNN90" s="88"/>
      <c r="BNO90" s="88"/>
      <c r="BNP90" s="88"/>
      <c r="BNQ90" s="88"/>
      <c r="BNR90" s="88"/>
      <c r="BNS90" s="88"/>
      <c r="BNT90" s="88"/>
      <c r="BNU90" s="88"/>
      <c r="BNV90" s="88"/>
      <c r="BNW90" s="88"/>
      <c r="BNX90" s="88"/>
      <c r="BNY90" s="88"/>
      <c r="BNZ90" s="88"/>
      <c r="BOA90" s="88"/>
      <c r="BOB90" s="88"/>
      <c r="BOC90" s="88"/>
      <c r="BOD90" s="88"/>
      <c r="BOE90" s="88"/>
      <c r="BOF90" s="88"/>
      <c r="BOG90" s="88"/>
      <c r="BOH90" s="88"/>
      <c r="BOI90" s="88"/>
      <c r="BOJ90" s="88"/>
      <c r="BOK90" s="88"/>
      <c r="BOL90" s="88"/>
      <c r="BOM90" s="88"/>
      <c r="BON90" s="88"/>
      <c r="BOO90" s="88"/>
      <c r="BOP90" s="88"/>
      <c r="BOQ90" s="88"/>
      <c r="BOR90" s="88"/>
      <c r="BOS90" s="88"/>
      <c r="BOT90" s="88"/>
      <c r="BOU90" s="88"/>
      <c r="BOV90" s="88"/>
      <c r="BOW90" s="88"/>
      <c r="BOX90" s="88"/>
      <c r="BOY90" s="88"/>
      <c r="BOZ90" s="88"/>
      <c r="BPA90" s="88"/>
      <c r="BPB90" s="88"/>
      <c r="BPC90" s="88"/>
      <c r="BPD90" s="88"/>
      <c r="BPE90" s="88"/>
      <c r="BPF90" s="88"/>
      <c r="BPG90" s="88"/>
      <c r="BPH90" s="88"/>
      <c r="BPI90" s="88"/>
      <c r="BPJ90" s="88"/>
      <c r="BPK90" s="88"/>
      <c r="BPL90" s="88"/>
      <c r="BPM90" s="88"/>
      <c r="BPN90" s="88"/>
      <c r="BPO90" s="88"/>
      <c r="BPP90" s="88"/>
      <c r="BPQ90" s="88"/>
      <c r="BPR90" s="88"/>
      <c r="BPS90" s="88"/>
      <c r="BPT90" s="88"/>
      <c r="BPU90" s="88"/>
      <c r="BPV90" s="88"/>
      <c r="BPW90" s="88"/>
      <c r="BPX90" s="88"/>
      <c r="BPY90" s="88"/>
      <c r="BPZ90" s="88"/>
      <c r="BQA90" s="88"/>
      <c r="BQB90" s="88"/>
      <c r="BQC90" s="88"/>
      <c r="BQD90" s="88"/>
      <c r="BQE90" s="88"/>
      <c r="BQF90" s="88"/>
      <c r="BQG90" s="88"/>
      <c r="BQH90" s="88"/>
      <c r="BQI90" s="88"/>
      <c r="BQJ90" s="88"/>
      <c r="BQK90" s="88"/>
      <c r="BQL90" s="88"/>
      <c r="BQM90" s="88"/>
      <c r="BQN90" s="88"/>
      <c r="BQO90" s="88"/>
      <c r="BQP90" s="88"/>
      <c r="BQQ90" s="88"/>
      <c r="BQR90" s="88"/>
      <c r="BQS90" s="88"/>
      <c r="BQT90" s="88"/>
      <c r="BQU90" s="88"/>
      <c r="BQV90" s="88"/>
      <c r="BQW90" s="88"/>
      <c r="BQX90" s="88"/>
      <c r="BQY90" s="88"/>
      <c r="BQZ90" s="88"/>
      <c r="BRA90" s="88"/>
      <c r="BRB90" s="88"/>
      <c r="BRC90" s="88"/>
      <c r="BRD90" s="88"/>
      <c r="BRE90" s="88"/>
      <c r="BRF90" s="88"/>
      <c r="BRG90" s="88"/>
      <c r="BRH90" s="88"/>
      <c r="BRI90" s="88"/>
      <c r="BRJ90" s="88"/>
      <c r="BRK90" s="88"/>
      <c r="BRL90" s="88"/>
      <c r="BRM90" s="88"/>
      <c r="BRN90" s="88"/>
      <c r="BRO90" s="88"/>
      <c r="BRP90" s="88"/>
      <c r="BRQ90" s="88"/>
      <c r="BRR90" s="88"/>
      <c r="BRS90" s="88"/>
      <c r="BRT90" s="88"/>
      <c r="BRU90" s="88"/>
      <c r="BRV90" s="88"/>
      <c r="BRW90" s="88"/>
      <c r="BRX90" s="88"/>
      <c r="BRY90" s="88"/>
      <c r="BRZ90" s="88"/>
      <c r="BSA90" s="88"/>
      <c r="BSB90" s="88"/>
      <c r="BSC90" s="88"/>
      <c r="BSD90" s="88"/>
      <c r="BSE90" s="88"/>
      <c r="BSF90" s="88"/>
      <c r="BSG90" s="88"/>
      <c r="BSH90" s="88"/>
      <c r="BSI90" s="88"/>
      <c r="BSJ90" s="88"/>
      <c r="BSK90" s="88"/>
      <c r="BSL90" s="88"/>
      <c r="BSM90" s="88"/>
      <c r="BSN90" s="88"/>
      <c r="BSO90" s="88"/>
      <c r="BSP90" s="88"/>
      <c r="BSQ90" s="88"/>
      <c r="BSR90" s="88"/>
      <c r="BSS90" s="88"/>
      <c r="BST90" s="88"/>
      <c r="BSU90" s="88"/>
      <c r="BSV90" s="88"/>
      <c r="BSW90" s="88"/>
      <c r="BSX90" s="88"/>
      <c r="BSY90" s="88"/>
      <c r="BSZ90" s="88"/>
      <c r="BTA90" s="88"/>
      <c r="BTB90" s="88"/>
      <c r="BTC90" s="88"/>
      <c r="BTD90" s="88"/>
      <c r="BTE90" s="88"/>
      <c r="BTF90" s="88"/>
      <c r="BTG90" s="88"/>
      <c r="BTH90" s="88"/>
      <c r="BTI90" s="88"/>
      <c r="BTJ90" s="88"/>
      <c r="BTK90" s="88"/>
      <c r="BTL90" s="88"/>
      <c r="BTM90" s="88"/>
      <c r="BTN90" s="88"/>
      <c r="BTO90" s="88"/>
      <c r="BTP90" s="88"/>
      <c r="BTQ90" s="88"/>
      <c r="BTR90" s="88"/>
      <c r="BTS90" s="88"/>
      <c r="BTT90" s="88"/>
      <c r="BTU90" s="88"/>
      <c r="BTV90" s="88"/>
      <c r="BTW90" s="88"/>
      <c r="BTX90" s="88"/>
      <c r="BTY90" s="88"/>
      <c r="BTZ90" s="88"/>
      <c r="BUA90" s="88"/>
      <c r="BUB90" s="88"/>
      <c r="BUC90" s="88"/>
      <c r="BUD90" s="88"/>
      <c r="BUE90" s="88"/>
      <c r="BUF90" s="88"/>
      <c r="BUG90" s="88"/>
      <c r="BUH90" s="88"/>
      <c r="BUI90" s="88"/>
      <c r="BUJ90" s="88"/>
      <c r="BUK90" s="88"/>
      <c r="BUL90" s="88"/>
      <c r="BUM90" s="88"/>
      <c r="BUN90" s="88"/>
      <c r="BUO90" s="88"/>
      <c r="BUP90" s="88"/>
      <c r="BUQ90" s="88"/>
      <c r="BUR90" s="88"/>
      <c r="BUS90" s="88"/>
      <c r="BUT90" s="88"/>
      <c r="BUU90" s="88"/>
      <c r="BUV90" s="88"/>
      <c r="BUW90" s="88"/>
      <c r="BUX90" s="88"/>
      <c r="BUY90" s="88"/>
      <c r="BUZ90" s="88"/>
      <c r="BVA90" s="88"/>
      <c r="BVB90" s="88"/>
      <c r="BVC90" s="88"/>
      <c r="BVD90" s="88"/>
      <c r="BVE90" s="88"/>
      <c r="BVF90" s="88"/>
      <c r="BVG90" s="88"/>
      <c r="BVH90" s="88"/>
      <c r="BVI90" s="88"/>
      <c r="BVJ90" s="88"/>
      <c r="BVK90" s="88"/>
      <c r="BVL90" s="88"/>
      <c r="BVM90" s="88"/>
      <c r="BVN90" s="88"/>
      <c r="BVO90" s="88"/>
      <c r="BVP90" s="88"/>
      <c r="BVQ90" s="88"/>
      <c r="BVR90" s="88"/>
      <c r="BVS90" s="88"/>
      <c r="BVT90" s="88"/>
      <c r="BVU90" s="88"/>
      <c r="BVV90" s="88"/>
      <c r="BVW90" s="88"/>
      <c r="BVX90" s="88"/>
      <c r="BVY90" s="88"/>
      <c r="BVZ90" s="88"/>
      <c r="BWA90" s="88"/>
      <c r="BWB90" s="88"/>
      <c r="BWC90" s="88"/>
      <c r="BWD90" s="88"/>
      <c r="BWE90" s="88"/>
      <c r="BWF90" s="88"/>
      <c r="BWG90" s="88"/>
      <c r="BWH90" s="88"/>
      <c r="BWI90" s="88"/>
      <c r="BWJ90" s="88"/>
      <c r="BWK90" s="88"/>
      <c r="BWL90" s="88"/>
      <c r="BWM90" s="88"/>
      <c r="BWN90" s="88"/>
      <c r="BWO90" s="88"/>
      <c r="BWP90" s="88"/>
      <c r="BWQ90" s="88"/>
      <c r="BWR90" s="88"/>
      <c r="BWS90" s="88"/>
      <c r="BWT90" s="88"/>
      <c r="BWU90" s="88"/>
      <c r="BWV90" s="88"/>
      <c r="BWW90" s="88"/>
      <c r="BWX90" s="88"/>
      <c r="BWY90" s="88"/>
      <c r="BWZ90" s="88"/>
      <c r="BXA90" s="88"/>
      <c r="BXB90" s="88"/>
      <c r="BXC90" s="88"/>
      <c r="BXD90" s="88"/>
      <c r="BXE90" s="88"/>
      <c r="BXF90" s="88"/>
      <c r="BXG90" s="88"/>
      <c r="BXH90" s="88"/>
      <c r="BXI90" s="88"/>
      <c r="BXJ90" s="88"/>
      <c r="BXK90" s="88"/>
      <c r="BXL90" s="88"/>
      <c r="BXM90" s="88"/>
      <c r="BXN90" s="88"/>
      <c r="BXO90" s="88"/>
      <c r="BXP90" s="88"/>
      <c r="BXQ90" s="88"/>
      <c r="BXR90" s="88"/>
      <c r="BXS90" s="88"/>
      <c r="BXT90" s="88"/>
      <c r="BXU90" s="88"/>
      <c r="BXV90" s="88"/>
      <c r="BXW90" s="88"/>
      <c r="BXX90" s="88"/>
      <c r="BXY90" s="88"/>
      <c r="BXZ90" s="88"/>
      <c r="BYA90" s="88"/>
      <c r="BYB90" s="88"/>
      <c r="BYC90" s="88"/>
      <c r="BYD90" s="88"/>
      <c r="BYE90" s="88"/>
      <c r="BYF90" s="88"/>
      <c r="BYG90" s="88"/>
      <c r="BYH90" s="88"/>
      <c r="BYI90" s="88"/>
      <c r="BYJ90" s="88"/>
      <c r="BYK90" s="88"/>
      <c r="BYL90" s="88"/>
      <c r="BYM90" s="88"/>
      <c r="BYN90" s="88"/>
      <c r="BYO90" s="88"/>
      <c r="BYP90" s="88"/>
      <c r="BYQ90" s="88"/>
      <c r="BYR90" s="88"/>
      <c r="BYS90" s="88"/>
      <c r="BYT90" s="88"/>
      <c r="BYU90" s="88"/>
      <c r="BYV90" s="88"/>
      <c r="BYW90" s="88"/>
      <c r="BYX90" s="88"/>
      <c r="BYY90" s="88"/>
      <c r="BYZ90" s="88"/>
      <c r="BZA90" s="88"/>
      <c r="BZB90" s="88"/>
      <c r="BZC90" s="88"/>
      <c r="BZD90" s="88"/>
      <c r="BZE90" s="88"/>
      <c r="BZF90" s="88"/>
      <c r="BZG90" s="88"/>
      <c r="BZH90" s="88"/>
      <c r="BZI90" s="88"/>
      <c r="BZJ90" s="88"/>
      <c r="BZK90" s="88"/>
      <c r="BZL90" s="88"/>
      <c r="BZM90" s="88"/>
      <c r="BZN90" s="88"/>
      <c r="BZO90" s="88"/>
      <c r="BZP90" s="88"/>
      <c r="BZQ90" s="88"/>
      <c r="BZR90" s="88"/>
      <c r="BZS90" s="88"/>
      <c r="BZT90" s="88"/>
      <c r="BZU90" s="88"/>
      <c r="BZV90" s="88"/>
      <c r="BZW90" s="88"/>
      <c r="BZX90" s="88"/>
      <c r="BZY90" s="88"/>
      <c r="BZZ90" s="88"/>
      <c r="CAA90" s="88"/>
      <c r="CAB90" s="88"/>
      <c r="CAC90" s="88"/>
      <c r="CAD90" s="88"/>
      <c r="CAE90" s="88"/>
      <c r="CAF90" s="88"/>
      <c r="CAG90" s="88"/>
      <c r="CAH90" s="88"/>
      <c r="CAI90" s="88"/>
      <c r="CAJ90" s="88"/>
      <c r="CAK90" s="88"/>
      <c r="CAL90" s="88"/>
      <c r="CAM90" s="88"/>
      <c r="CAN90" s="88"/>
      <c r="CAO90" s="88"/>
      <c r="CAP90" s="88"/>
      <c r="CAQ90" s="88"/>
      <c r="CAR90" s="88"/>
      <c r="CAS90" s="88"/>
      <c r="CAT90" s="88"/>
      <c r="CAU90" s="88"/>
      <c r="CAV90" s="88"/>
      <c r="CAW90" s="88"/>
      <c r="CAX90" s="88"/>
      <c r="CAY90" s="88"/>
      <c r="CAZ90" s="88"/>
      <c r="CBA90" s="88"/>
      <c r="CBB90" s="88"/>
      <c r="CBC90" s="88"/>
      <c r="CBD90" s="88"/>
      <c r="CBE90" s="88"/>
      <c r="CBF90" s="88"/>
      <c r="CBG90" s="88"/>
      <c r="CBH90" s="88"/>
      <c r="CBI90" s="88"/>
      <c r="CBJ90" s="88"/>
      <c r="CBK90" s="88"/>
      <c r="CBL90" s="88"/>
      <c r="CBM90" s="88"/>
      <c r="CBN90" s="88"/>
      <c r="CBO90" s="88"/>
      <c r="CBP90" s="88"/>
      <c r="CBQ90" s="88"/>
      <c r="CBR90" s="88"/>
      <c r="CBS90" s="88"/>
      <c r="CBT90" s="88"/>
      <c r="CBU90" s="88"/>
      <c r="CBV90" s="88"/>
      <c r="CBW90" s="88"/>
      <c r="CBX90" s="88"/>
      <c r="CBY90" s="88"/>
      <c r="CBZ90" s="88"/>
      <c r="CCA90" s="88"/>
      <c r="CCB90" s="88"/>
      <c r="CCC90" s="88"/>
      <c r="CCD90" s="88"/>
      <c r="CCE90" s="88"/>
      <c r="CCF90" s="88"/>
      <c r="CCG90" s="88"/>
      <c r="CCH90" s="88"/>
      <c r="CCI90" s="88"/>
      <c r="CCJ90" s="88"/>
      <c r="CCK90" s="88"/>
      <c r="CCL90" s="88"/>
      <c r="CCM90" s="88"/>
      <c r="CCN90" s="88"/>
      <c r="CCO90" s="88"/>
      <c r="CCP90" s="88"/>
      <c r="CCQ90" s="88"/>
      <c r="CCR90" s="88"/>
      <c r="CCS90" s="88"/>
      <c r="CCT90" s="88"/>
      <c r="CCU90" s="88"/>
      <c r="CCV90" s="88"/>
      <c r="CCW90" s="88"/>
      <c r="CCX90" s="88"/>
      <c r="CCY90" s="88"/>
      <c r="CCZ90" s="88"/>
      <c r="CDA90" s="88"/>
      <c r="CDB90" s="88"/>
      <c r="CDC90" s="88"/>
      <c r="CDD90" s="88"/>
      <c r="CDE90" s="88"/>
      <c r="CDF90" s="88"/>
      <c r="CDG90" s="88"/>
      <c r="CDH90" s="88"/>
      <c r="CDI90" s="88"/>
      <c r="CDJ90" s="88"/>
      <c r="CDK90" s="88"/>
      <c r="CDL90" s="88"/>
      <c r="CDM90" s="88"/>
      <c r="CDN90" s="88"/>
      <c r="CDO90" s="88"/>
      <c r="CDP90" s="88"/>
      <c r="CDQ90" s="88"/>
      <c r="CDR90" s="88"/>
      <c r="CDS90" s="88"/>
      <c r="CDT90" s="88"/>
      <c r="CDU90" s="88"/>
      <c r="CDV90" s="88"/>
      <c r="CDW90" s="88"/>
      <c r="CDX90" s="88"/>
      <c r="CDY90" s="88"/>
      <c r="CDZ90" s="88"/>
      <c r="CEA90" s="88"/>
      <c r="CEB90" s="88"/>
      <c r="CEC90" s="88"/>
      <c r="CED90" s="88"/>
      <c r="CEE90" s="88"/>
      <c r="CEF90" s="88"/>
      <c r="CEG90" s="88"/>
      <c r="CEH90" s="88"/>
      <c r="CEI90" s="88"/>
      <c r="CEJ90" s="88"/>
      <c r="CEK90" s="88"/>
    </row>
    <row r="91" spans="1:2169" s="51" customFormat="1">
      <c r="A91" s="72" t="s">
        <v>441</v>
      </c>
      <c r="B91" s="72" t="s">
        <v>512</v>
      </c>
      <c r="C91" s="69" t="str">
        <f>IF('page 2'!$O$4="","",IF('page 2'!$O$4=Gestion!A91,1,0))</f>
        <v/>
      </c>
      <c r="D91" s="69" t="str">
        <f>IF('page 2'!$O$5="","",IF('page 2'!$O$5=Gestion!A91,1,0))</f>
        <v/>
      </c>
      <c r="E91" s="69" t="str">
        <f>IF('page 2'!$O$6="","",IF('page 2'!$O$6=Gestion!A91,1,0))</f>
        <v/>
      </c>
      <c r="F91" s="69" t="str">
        <f>IF('page 2'!$O$7="","",IF('page 2'!$O$7=Gestion!A91,1,0))</f>
        <v/>
      </c>
      <c r="G91" s="69" t="str">
        <f>IF('page 2'!$O$8="","",IF('page 2'!$O$8=Gestion!A91,1,0))</f>
        <v/>
      </c>
      <c r="H91" s="69" t="str">
        <f>IF('page 2'!$O$9="","",IF('page 2'!$O$9=Gestion!A91,1,0))</f>
        <v/>
      </c>
      <c r="I91" s="69" t="str">
        <f>IF('page 2'!$O$10="","",IF('page 2'!$O$10=Gestion!A91,1,0))</f>
        <v/>
      </c>
      <c r="J91" s="69" t="str">
        <f>IF('page 2'!$O$11="","",IF('page 2'!$O$11=Gestion!A91,1,0))</f>
        <v/>
      </c>
      <c r="K91" s="69" t="str">
        <f>IF('page 2'!$O$12="","",IF('page 2'!$O$12=Gestion!A91,1,0))</f>
        <v/>
      </c>
      <c r="L91" s="69" t="str">
        <f>IF('page 2'!$O$13="","",IF('page 2'!$O$13=Gestion!A91,1,0))</f>
        <v/>
      </c>
      <c r="M91" s="69" t="str">
        <f>IF('page 2'!$O$14="","",IF('page 2'!$O$14=Gestion!A91,1,0))</f>
        <v/>
      </c>
      <c r="N91" s="69" t="str">
        <f>IF('page 2'!$O$15="","",IF('page 2'!$O$15=Gestion!A91,1,0))</f>
        <v/>
      </c>
      <c r="O91" s="69" t="str">
        <f>IF('page 2'!$O$16="","",IF('page 2'!$O$16=Gestion!A91,1,0))</f>
        <v/>
      </c>
      <c r="P91" s="69" t="str">
        <f>IF('page 2'!$O$17="","",IF('page 2'!$O$17=Gestion!A91,1,0))</f>
        <v/>
      </c>
      <c r="Q91" s="69" t="str">
        <f>IF('page 2'!$O$18="","",IF('page 2'!$O$18=Gestion!A91,1,0))</f>
        <v/>
      </c>
      <c r="R91" s="69" t="str">
        <f>IF('page 2'!$O$19="","",IF('page 2'!$O$19=Gestion!A91,1,0))</f>
        <v/>
      </c>
      <c r="S91" s="69" t="str">
        <f>IF('page 2'!$O$20="","",IF('page 2'!$O$20=Gestion!A91,1,0))</f>
        <v/>
      </c>
      <c r="T91" s="69" t="str">
        <f>IF('page 2'!$O$25="","",IF('page 2'!$O$25=Gestion!A91,1,0))</f>
        <v/>
      </c>
      <c r="U91" s="69" t="str">
        <f>IF('page 2'!$O$26="","",IF('page 2'!$O$26=Gestion!A91,1,0))</f>
        <v/>
      </c>
      <c r="V91" s="69" t="str">
        <f>IF('page 2'!$O$27="","",IF('page 2'!$O$27=Gestion!A91,1,0))</f>
        <v/>
      </c>
      <c r="W91" s="723">
        <f t="shared" si="14"/>
        <v>0</v>
      </c>
      <c r="X91" s="713"/>
      <c r="Y91" s="69"/>
      <c r="Z91" s="69"/>
      <c r="AA91" s="69"/>
      <c r="AB91" s="542"/>
      <c r="AC91" s="542"/>
      <c r="AD91" s="542"/>
      <c r="AE91" s="88"/>
      <c r="AP91" s="130"/>
      <c r="AQ91" s="130"/>
      <c r="AR91" s="130"/>
      <c r="AS91" s="576"/>
      <c r="AT91" s="576"/>
      <c r="AU91" s="576"/>
      <c r="AV91" s="576"/>
      <c r="AW91" s="602"/>
      <c r="AX91" s="602"/>
      <c r="AY91" s="576"/>
      <c r="AZ91" s="576"/>
      <c r="BA91" s="576"/>
      <c r="BB91" s="576"/>
      <c r="BC91" s="576"/>
      <c r="BD91" s="602"/>
      <c r="BE91" s="602"/>
      <c r="BF91" s="602"/>
      <c r="BG91" s="602"/>
      <c r="BH91" s="602"/>
      <c r="BI91" s="602"/>
      <c r="BJ91" s="602"/>
      <c r="BK91" s="602"/>
      <c r="BL91" s="602"/>
      <c r="BM91" s="602"/>
      <c r="BN91" s="602"/>
      <c r="BO91" s="602"/>
      <c r="BP91" s="602"/>
      <c r="BQ91" s="602"/>
      <c r="BR91" s="602"/>
      <c r="BS91" s="576"/>
      <c r="BT91" s="576"/>
      <c r="BU91" s="576"/>
      <c r="BV91" s="576"/>
      <c r="BW91" s="602"/>
      <c r="BX91" s="602"/>
      <c r="BY91" s="602"/>
      <c r="BZ91" s="576"/>
      <c r="CA91" s="602"/>
      <c r="CB91" s="602"/>
      <c r="CC91" s="576"/>
      <c r="CD91" s="576"/>
      <c r="CE91" s="602"/>
      <c r="CF91" s="576"/>
      <c r="CG91" s="576"/>
      <c r="CH91" s="576"/>
      <c r="CI91" s="576"/>
      <c r="CJ91" s="576"/>
      <c r="CK91" s="602"/>
      <c r="CL91" s="602"/>
      <c r="CM91" s="576"/>
      <c r="CN91" s="602"/>
      <c r="CO91" s="602"/>
      <c r="CP91" s="602"/>
      <c r="CQ91" s="576"/>
      <c r="CR91" s="576"/>
      <c r="CS91" s="602"/>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c r="HF91" s="88"/>
      <c r="HG91" s="88"/>
      <c r="HH91" s="88"/>
      <c r="HI91" s="88"/>
      <c r="HJ91" s="88"/>
      <c r="HK91" s="88"/>
      <c r="HL91" s="88"/>
      <c r="HM91" s="88"/>
      <c r="HN91" s="88"/>
      <c r="HO91" s="88"/>
      <c r="HP91" s="88"/>
      <c r="HQ91" s="88"/>
      <c r="HR91" s="88"/>
      <c r="HS91" s="88"/>
      <c r="HT91" s="88"/>
      <c r="HU91" s="88"/>
      <c r="HV91" s="88"/>
      <c r="HW91" s="88"/>
      <c r="HX91" s="88"/>
      <c r="HY91" s="88"/>
      <c r="HZ91" s="88"/>
      <c r="IA91" s="88"/>
      <c r="IB91" s="88"/>
      <c r="IC91" s="88"/>
      <c r="ID91" s="88"/>
      <c r="IE91" s="88"/>
      <c r="IF91" s="88"/>
      <c r="IG91" s="88"/>
      <c r="IH91" s="88"/>
      <c r="II91" s="88"/>
      <c r="IJ91" s="88"/>
      <c r="IK91" s="88"/>
      <c r="IL91" s="88"/>
      <c r="IM91" s="88"/>
      <c r="IN91" s="88"/>
      <c r="IO91" s="88"/>
      <c r="IP91" s="88"/>
      <c r="IQ91" s="88"/>
      <c r="IR91" s="88"/>
      <c r="IS91" s="88"/>
      <c r="IT91" s="88"/>
      <c r="IU91" s="88"/>
      <c r="IV91" s="88"/>
      <c r="IW91" s="88"/>
      <c r="IX91" s="88"/>
      <c r="IY91" s="88"/>
      <c r="IZ91" s="88"/>
      <c r="JA91" s="88"/>
      <c r="JB91" s="88"/>
      <c r="JC91" s="88"/>
      <c r="JD91" s="88"/>
      <c r="JE91" s="88"/>
      <c r="JF91" s="88"/>
      <c r="JG91" s="88"/>
      <c r="JH91" s="88"/>
      <c r="JI91" s="88"/>
      <c r="JJ91" s="88"/>
      <c r="JK91" s="88"/>
      <c r="JL91" s="88"/>
      <c r="JM91" s="88"/>
      <c r="JN91" s="88"/>
      <c r="JO91" s="88"/>
      <c r="JP91" s="88"/>
      <c r="JQ91" s="88"/>
      <c r="JR91" s="88"/>
      <c r="JS91" s="88"/>
      <c r="JT91" s="88"/>
      <c r="JU91" s="88"/>
      <c r="JV91" s="88"/>
      <c r="JW91" s="88"/>
      <c r="JX91" s="88"/>
      <c r="JY91" s="88"/>
      <c r="JZ91" s="88"/>
      <c r="KA91" s="88"/>
      <c r="KB91" s="88"/>
      <c r="KC91" s="88"/>
      <c r="KD91" s="88"/>
      <c r="KE91" s="88"/>
      <c r="KF91" s="88"/>
      <c r="KG91" s="88"/>
      <c r="KH91" s="88"/>
      <c r="KI91" s="88"/>
      <c r="KJ91" s="88"/>
      <c r="KK91" s="88"/>
      <c r="KL91" s="88"/>
      <c r="KM91" s="88"/>
      <c r="KN91" s="88"/>
      <c r="KO91" s="88"/>
      <c r="KP91" s="88"/>
      <c r="KQ91" s="88"/>
      <c r="KR91" s="88"/>
      <c r="KS91" s="88"/>
      <c r="KT91" s="88"/>
      <c r="KU91" s="88"/>
      <c r="KV91" s="88"/>
      <c r="KW91" s="88"/>
      <c r="KX91" s="88"/>
      <c r="KY91" s="88"/>
      <c r="KZ91" s="88"/>
      <c r="LA91" s="88"/>
      <c r="LB91" s="88"/>
      <c r="LC91" s="88"/>
      <c r="LD91" s="88"/>
      <c r="LE91" s="88"/>
      <c r="LF91" s="88"/>
      <c r="LG91" s="88"/>
      <c r="LH91" s="88"/>
      <c r="LI91" s="88"/>
      <c r="LJ91" s="88"/>
      <c r="LK91" s="88"/>
      <c r="LL91" s="88"/>
      <c r="LM91" s="88"/>
      <c r="LN91" s="88"/>
      <c r="LO91" s="88"/>
      <c r="LP91" s="88"/>
      <c r="LQ91" s="88"/>
      <c r="LR91" s="88"/>
      <c r="LS91" s="88"/>
      <c r="LT91" s="88"/>
      <c r="LU91" s="88"/>
      <c r="LV91" s="88"/>
      <c r="LW91" s="88"/>
      <c r="LX91" s="88"/>
      <c r="LY91" s="88"/>
      <c r="LZ91" s="88"/>
      <c r="MA91" s="88"/>
      <c r="MB91" s="88"/>
      <c r="MC91" s="88"/>
      <c r="MD91" s="88"/>
      <c r="ME91" s="88"/>
      <c r="MF91" s="88"/>
      <c r="MG91" s="88"/>
      <c r="MH91" s="88"/>
      <c r="MI91" s="88"/>
      <c r="MJ91" s="88"/>
      <c r="MK91" s="88"/>
      <c r="ML91" s="88"/>
      <c r="MM91" s="88"/>
      <c r="MN91" s="88"/>
      <c r="MO91" s="88"/>
      <c r="MP91" s="88"/>
      <c r="MQ91" s="88"/>
      <c r="MR91" s="88"/>
      <c r="MS91" s="88"/>
      <c r="MT91" s="88"/>
      <c r="MU91" s="88"/>
      <c r="MV91" s="88"/>
      <c r="MW91" s="88"/>
      <c r="MX91" s="88"/>
      <c r="MY91" s="88"/>
      <c r="MZ91" s="88"/>
      <c r="NA91" s="88"/>
      <c r="NB91" s="88"/>
      <c r="NC91" s="88"/>
      <c r="ND91" s="88"/>
      <c r="NE91" s="88"/>
      <c r="NF91" s="88"/>
      <c r="NG91" s="88"/>
      <c r="NH91" s="88"/>
      <c r="NI91" s="88"/>
      <c r="NJ91" s="88"/>
      <c r="NK91" s="88"/>
      <c r="NL91" s="88"/>
      <c r="NM91" s="88"/>
      <c r="NN91" s="88"/>
      <c r="NO91" s="88"/>
      <c r="NP91" s="88"/>
      <c r="NQ91" s="88"/>
      <c r="NR91" s="88"/>
      <c r="NS91" s="88"/>
      <c r="NT91" s="88"/>
      <c r="NU91" s="88"/>
      <c r="NV91" s="88"/>
      <c r="NW91" s="88"/>
      <c r="NX91" s="88"/>
      <c r="NY91" s="88"/>
      <c r="NZ91" s="88"/>
      <c r="OA91" s="88"/>
      <c r="OB91" s="88"/>
      <c r="OC91" s="88"/>
      <c r="OD91" s="88"/>
      <c r="OE91" s="88"/>
      <c r="OF91" s="88"/>
      <c r="OG91" s="88"/>
      <c r="OH91" s="88"/>
      <c r="OI91" s="88"/>
      <c r="OJ91" s="88"/>
      <c r="OK91" s="88"/>
      <c r="OL91" s="88"/>
      <c r="OM91" s="88"/>
      <c r="ON91" s="88"/>
      <c r="OO91" s="88"/>
      <c r="OP91" s="88"/>
      <c r="OQ91" s="88"/>
      <c r="OR91" s="88"/>
      <c r="OS91" s="88"/>
      <c r="OT91" s="88"/>
      <c r="OU91" s="88"/>
      <c r="OV91" s="88"/>
      <c r="OW91" s="88"/>
      <c r="OX91" s="88"/>
      <c r="OY91" s="88"/>
      <c r="OZ91" s="88"/>
      <c r="PA91" s="88"/>
      <c r="PB91" s="88"/>
      <c r="PC91" s="88"/>
      <c r="PD91" s="88"/>
      <c r="PE91" s="88"/>
      <c r="PF91" s="88"/>
      <c r="PG91" s="88"/>
      <c r="PH91" s="88"/>
      <c r="PI91" s="88"/>
      <c r="PJ91" s="88"/>
      <c r="PK91" s="88"/>
      <c r="PL91" s="88"/>
      <c r="PM91" s="88"/>
      <c r="PN91" s="88"/>
      <c r="PO91" s="88"/>
      <c r="PP91" s="88"/>
      <c r="PQ91" s="88"/>
      <c r="PR91" s="88"/>
      <c r="PS91" s="88"/>
      <c r="PT91" s="88"/>
      <c r="PU91" s="88"/>
      <c r="PV91" s="88"/>
      <c r="PW91" s="88"/>
      <c r="PX91" s="88"/>
      <c r="PY91" s="88"/>
      <c r="PZ91" s="88"/>
      <c r="QA91" s="88"/>
      <c r="QB91" s="88"/>
      <c r="QC91" s="88"/>
      <c r="QD91" s="88"/>
      <c r="QE91" s="88"/>
      <c r="QF91" s="88"/>
      <c r="QG91" s="88"/>
      <c r="QH91" s="88"/>
      <c r="QI91" s="88"/>
      <c r="QJ91" s="88"/>
      <c r="QK91" s="88"/>
      <c r="QL91" s="88"/>
      <c r="QM91" s="88"/>
      <c r="QN91" s="88"/>
      <c r="QO91" s="88"/>
      <c r="QP91" s="88"/>
      <c r="QQ91" s="88"/>
      <c r="QR91" s="88"/>
      <c r="QS91" s="88"/>
      <c r="QT91" s="88"/>
      <c r="QU91" s="88"/>
      <c r="QV91" s="88"/>
      <c r="QW91" s="88"/>
      <c r="QX91" s="88"/>
      <c r="QY91" s="88"/>
      <c r="QZ91" s="88"/>
      <c r="RA91" s="88"/>
      <c r="RB91" s="88"/>
      <c r="RC91" s="88"/>
      <c r="RD91" s="88"/>
      <c r="RE91" s="88"/>
      <c r="RF91" s="88"/>
      <c r="RG91" s="88"/>
      <c r="RH91" s="88"/>
      <c r="RI91" s="88"/>
      <c r="RJ91" s="88"/>
      <c r="RK91" s="88"/>
      <c r="RL91" s="88"/>
      <c r="RM91" s="88"/>
      <c r="RN91" s="88"/>
      <c r="RO91" s="88"/>
      <c r="RP91" s="88"/>
      <c r="RQ91" s="88"/>
      <c r="RR91" s="88"/>
      <c r="RS91" s="88"/>
      <c r="RT91" s="88"/>
      <c r="RU91" s="88"/>
      <c r="RV91" s="88"/>
      <c r="RW91" s="88"/>
      <c r="RX91" s="88"/>
      <c r="RY91" s="88"/>
      <c r="RZ91" s="88"/>
      <c r="SA91" s="88"/>
      <c r="SB91" s="88"/>
      <c r="SC91" s="88"/>
      <c r="SD91" s="88"/>
      <c r="SE91" s="88"/>
      <c r="SF91" s="88"/>
      <c r="SG91" s="88"/>
      <c r="SH91" s="88"/>
      <c r="SI91" s="88"/>
      <c r="SJ91" s="88"/>
      <c r="SK91" s="88"/>
      <c r="SL91" s="88"/>
      <c r="SM91" s="88"/>
      <c r="SN91" s="88"/>
      <c r="SO91" s="88"/>
      <c r="SP91" s="88"/>
      <c r="SQ91" s="88"/>
      <c r="SR91" s="88"/>
      <c r="SS91" s="88"/>
      <c r="ST91" s="88"/>
      <c r="SU91" s="88"/>
      <c r="SV91" s="88"/>
      <c r="SW91" s="88"/>
      <c r="SX91" s="88"/>
      <c r="SY91" s="88"/>
      <c r="SZ91" s="88"/>
      <c r="TA91" s="88"/>
      <c r="TB91" s="88"/>
      <c r="TC91" s="88"/>
      <c r="TD91" s="88"/>
      <c r="TE91" s="88"/>
      <c r="TF91" s="88"/>
      <c r="TG91" s="88"/>
      <c r="TH91" s="88"/>
      <c r="TI91" s="88"/>
      <c r="TJ91" s="88"/>
      <c r="TK91" s="88"/>
      <c r="TL91" s="88"/>
      <c r="TM91" s="88"/>
      <c r="TN91" s="88"/>
      <c r="TO91" s="88"/>
      <c r="TP91" s="88"/>
      <c r="TQ91" s="88"/>
      <c r="TR91" s="88"/>
      <c r="TS91" s="88"/>
      <c r="TT91" s="88"/>
      <c r="TU91" s="88"/>
      <c r="TV91" s="88"/>
      <c r="TW91" s="88"/>
      <c r="TX91" s="88"/>
      <c r="TY91" s="88"/>
      <c r="TZ91" s="88"/>
      <c r="UA91" s="88"/>
      <c r="UB91" s="88"/>
      <c r="UC91" s="88"/>
      <c r="UD91" s="88"/>
      <c r="UE91" s="88"/>
      <c r="UF91" s="88"/>
      <c r="UG91" s="88"/>
      <c r="UH91" s="88"/>
      <c r="UI91" s="88"/>
      <c r="UJ91" s="88"/>
      <c r="UK91" s="88"/>
      <c r="UL91" s="88"/>
      <c r="UM91" s="88"/>
      <c r="UN91" s="88"/>
      <c r="UO91" s="88"/>
      <c r="UP91" s="88"/>
      <c r="UQ91" s="88"/>
      <c r="UR91" s="88"/>
      <c r="US91" s="88"/>
      <c r="UT91" s="88"/>
      <c r="UU91" s="88"/>
      <c r="UV91" s="88"/>
      <c r="UW91" s="88"/>
      <c r="UX91" s="88"/>
      <c r="UY91" s="88"/>
      <c r="UZ91" s="88"/>
      <c r="VA91" s="88"/>
      <c r="VB91" s="88"/>
      <c r="VC91" s="88"/>
      <c r="VD91" s="88"/>
      <c r="VE91" s="88"/>
      <c r="VF91" s="88"/>
      <c r="VG91" s="88"/>
      <c r="VH91" s="88"/>
      <c r="VI91" s="88"/>
      <c r="VJ91" s="88"/>
      <c r="VK91" s="88"/>
      <c r="VL91" s="88"/>
      <c r="VM91" s="88"/>
      <c r="VN91" s="88"/>
      <c r="VO91" s="88"/>
      <c r="VP91" s="88"/>
      <c r="VQ91" s="88"/>
      <c r="VR91" s="88"/>
      <c r="VS91" s="88"/>
      <c r="VT91" s="88"/>
      <c r="VU91" s="88"/>
      <c r="VV91" s="88"/>
      <c r="VW91" s="88"/>
      <c r="VX91" s="88"/>
      <c r="VY91" s="88"/>
      <c r="VZ91" s="88"/>
      <c r="WA91" s="88"/>
      <c r="WB91" s="88"/>
      <c r="WC91" s="88"/>
      <c r="WD91" s="88"/>
      <c r="WE91" s="88"/>
      <c r="WF91" s="88"/>
      <c r="WG91" s="88"/>
      <c r="WH91" s="88"/>
      <c r="WI91" s="88"/>
      <c r="WJ91" s="88"/>
      <c r="WK91" s="88"/>
      <c r="WL91" s="88"/>
      <c r="WM91" s="88"/>
      <c r="WN91" s="88"/>
      <c r="WO91" s="88"/>
      <c r="WP91" s="88"/>
      <c r="WQ91" s="88"/>
      <c r="WR91" s="88"/>
      <c r="WS91" s="88"/>
      <c r="WT91" s="88"/>
      <c r="WU91" s="88"/>
      <c r="WV91" s="88"/>
      <c r="WW91" s="88"/>
      <c r="WX91" s="88"/>
      <c r="WY91" s="88"/>
      <c r="WZ91" s="88"/>
      <c r="XA91" s="88"/>
      <c r="XB91" s="88"/>
      <c r="XC91" s="88"/>
      <c r="XD91" s="88"/>
      <c r="XE91" s="88"/>
      <c r="XF91" s="88"/>
      <c r="XG91" s="88"/>
      <c r="XH91" s="88"/>
      <c r="XI91" s="88"/>
      <c r="XJ91" s="88"/>
      <c r="XK91" s="88"/>
      <c r="XL91" s="88"/>
      <c r="XM91" s="88"/>
      <c r="XN91" s="88"/>
      <c r="XO91" s="88"/>
      <c r="XP91" s="88"/>
      <c r="XQ91" s="88"/>
      <c r="XR91" s="88"/>
      <c r="XS91" s="88"/>
      <c r="XT91" s="88"/>
      <c r="XU91" s="88"/>
      <c r="XV91" s="88"/>
      <c r="XW91" s="88"/>
      <c r="XX91" s="88"/>
      <c r="XY91" s="88"/>
      <c r="XZ91" s="88"/>
      <c r="YA91" s="88"/>
      <c r="YB91" s="88"/>
      <c r="YC91" s="88"/>
      <c r="YD91" s="88"/>
      <c r="YE91" s="88"/>
      <c r="YF91" s="88"/>
      <c r="YG91" s="88"/>
      <c r="YH91" s="88"/>
      <c r="YI91" s="88"/>
      <c r="YJ91" s="88"/>
      <c r="YK91" s="88"/>
      <c r="YL91" s="88"/>
      <c r="YM91" s="88"/>
      <c r="YN91" s="88"/>
      <c r="YO91" s="88"/>
      <c r="YP91" s="88"/>
      <c r="YQ91" s="88"/>
      <c r="YR91" s="88"/>
      <c r="YS91" s="88"/>
      <c r="YT91" s="88"/>
      <c r="YU91" s="88"/>
      <c r="YV91" s="88"/>
      <c r="YW91" s="88"/>
      <c r="YX91" s="88"/>
      <c r="YY91" s="88"/>
      <c r="YZ91" s="88"/>
      <c r="ZA91" s="88"/>
      <c r="ZB91" s="88"/>
      <c r="ZC91" s="88"/>
      <c r="ZD91" s="88"/>
      <c r="ZE91" s="88"/>
      <c r="ZF91" s="88"/>
      <c r="ZG91" s="88"/>
      <c r="ZH91" s="88"/>
      <c r="ZI91" s="88"/>
      <c r="ZJ91" s="88"/>
      <c r="ZK91" s="88"/>
      <c r="ZL91" s="88"/>
      <c r="ZM91" s="88"/>
      <c r="ZN91" s="88"/>
      <c r="ZO91" s="88"/>
      <c r="ZP91" s="88"/>
      <c r="ZQ91" s="88"/>
      <c r="ZR91" s="88"/>
      <c r="ZS91" s="88"/>
      <c r="ZT91" s="88"/>
      <c r="ZU91" s="88"/>
      <c r="ZV91" s="88"/>
      <c r="ZW91" s="88"/>
      <c r="ZX91" s="88"/>
      <c r="ZY91" s="88"/>
      <c r="ZZ91" s="88"/>
      <c r="AAA91" s="88"/>
      <c r="AAB91" s="88"/>
      <c r="AAC91" s="88"/>
      <c r="AAD91" s="88"/>
      <c r="AAE91" s="88"/>
      <c r="AAF91" s="88"/>
      <c r="AAG91" s="88"/>
      <c r="AAH91" s="88"/>
      <c r="AAI91" s="88"/>
      <c r="AAJ91" s="88"/>
      <c r="AAK91" s="88"/>
      <c r="AAL91" s="88"/>
      <c r="AAM91" s="88"/>
      <c r="AAN91" s="88"/>
      <c r="AAO91" s="88"/>
      <c r="AAP91" s="88"/>
      <c r="AAQ91" s="88"/>
      <c r="AAR91" s="88"/>
      <c r="AAS91" s="88"/>
      <c r="AAT91" s="88"/>
      <c r="AAU91" s="88"/>
      <c r="AAV91" s="88"/>
      <c r="AAW91" s="88"/>
      <c r="AAX91" s="88"/>
      <c r="AAY91" s="88"/>
      <c r="AAZ91" s="88"/>
      <c r="ABA91" s="88"/>
      <c r="ABB91" s="88"/>
      <c r="ABC91" s="88"/>
      <c r="ABD91" s="88"/>
      <c r="ABE91" s="88"/>
      <c r="ABF91" s="88"/>
      <c r="ABG91" s="88"/>
      <c r="ABH91" s="88"/>
      <c r="ABI91" s="88"/>
      <c r="ABJ91" s="88"/>
      <c r="ABK91" s="88"/>
      <c r="ABL91" s="88"/>
      <c r="ABM91" s="88"/>
      <c r="ABN91" s="88"/>
      <c r="ABO91" s="88"/>
      <c r="ABP91" s="88"/>
      <c r="ABQ91" s="88"/>
      <c r="ABR91" s="88"/>
      <c r="ABS91" s="88"/>
      <c r="ABT91" s="88"/>
      <c r="ABU91" s="88"/>
      <c r="ABV91" s="88"/>
      <c r="ABW91" s="88"/>
      <c r="ABX91" s="88"/>
      <c r="ABY91" s="88"/>
      <c r="ABZ91" s="88"/>
      <c r="ACA91" s="88"/>
      <c r="ACB91" s="88"/>
      <c r="ACC91" s="88"/>
      <c r="ACD91" s="88"/>
      <c r="ACE91" s="88"/>
      <c r="ACF91" s="88"/>
      <c r="ACG91" s="88"/>
      <c r="ACH91" s="88"/>
      <c r="ACI91" s="88"/>
      <c r="ACJ91" s="88"/>
      <c r="ACK91" s="88"/>
      <c r="ACL91" s="88"/>
      <c r="ACM91" s="88"/>
      <c r="ACN91" s="88"/>
      <c r="ACO91" s="88"/>
      <c r="ACP91" s="88"/>
      <c r="ACQ91" s="88"/>
      <c r="ACR91" s="88"/>
      <c r="ACS91" s="88"/>
      <c r="ACT91" s="88"/>
      <c r="ACU91" s="88"/>
      <c r="ACV91" s="88"/>
      <c r="ACW91" s="88"/>
      <c r="ACX91" s="88"/>
      <c r="ACY91" s="88"/>
      <c r="ACZ91" s="88"/>
      <c r="ADA91" s="88"/>
      <c r="ADB91" s="88"/>
      <c r="ADC91" s="88"/>
      <c r="ADD91" s="88"/>
      <c r="ADE91" s="88"/>
      <c r="ADF91" s="88"/>
      <c r="ADG91" s="88"/>
      <c r="ADH91" s="88"/>
      <c r="ADI91" s="88"/>
      <c r="ADJ91" s="88"/>
      <c r="ADK91" s="88"/>
      <c r="ADL91" s="88"/>
      <c r="ADM91" s="88"/>
      <c r="ADN91" s="88"/>
      <c r="ADO91" s="88"/>
      <c r="ADP91" s="88"/>
      <c r="ADQ91" s="88"/>
      <c r="ADR91" s="88"/>
      <c r="ADS91" s="88"/>
      <c r="ADT91" s="88"/>
      <c r="ADU91" s="88"/>
      <c r="ADV91" s="88"/>
      <c r="ADW91" s="88"/>
      <c r="ADX91" s="88"/>
      <c r="ADY91" s="88"/>
      <c r="ADZ91" s="88"/>
      <c r="AEA91" s="88"/>
      <c r="AEB91" s="88"/>
      <c r="AEC91" s="88"/>
      <c r="AED91" s="88"/>
      <c r="AEE91" s="88"/>
      <c r="AEF91" s="88"/>
      <c r="AEG91" s="88"/>
      <c r="AEH91" s="88"/>
      <c r="AEI91" s="88"/>
      <c r="AEJ91" s="88"/>
      <c r="AEK91" s="88"/>
      <c r="AEL91" s="88"/>
      <c r="AEM91" s="88"/>
      <c r="AEN91" s="88"/>
      <c r="AEO91" s="88"/>
      <c r="AEP91" s="88"/>
      <c r="AEQ91" s="88"/>
      <c r="AER91" s="88"/>
      <c r="AES91" s="88"/>
      <c r="AET91" s="88"/>
      <c r="AEU91" s="88"/>
      <c r="AEV91" s="88"/>
      <c r="AEW91" s="88"/>
      <c r="AEX91" s="88"/>
      <c r="AEY91" s="88"/>
      <c r="AEZ91" s="88"/>
      <c r="AFA91" s="88"/>
      <c r="AFB91" s="88"/>
      <c r="AFC91" s="88"/>
      <c r="AFD91" s="88"/>
      <c r="AFE91" s="88"/>
      <c r="AFF91" s="88"/>
      <c r="AFG91" s="88"/>
      <c r="AFH91" s="88"/>
      <c r="AFI91" s="88"/>
      <c r="AFJ91" s="88"/>
      <c r="AFK91" s="88"/>
      <c r="AFL91" s="88"/>
      <c r="AFM91" s="88"/>
      <c r="AFN91" s="88"/>
      <c r="AFO91" s="88"/>
      <c r="AFP91" s="88"/>
      <c r="AFQ91" s="88"/>
      <c r="AFR91" s="88"/>
      <c r="AFS91" s="88"/>
      <c r="AFT91" s="88"/>
      <c r="AFU91" s="88"/>
      <c r="AFV91" s="88"/>
      <c r="AFW91" s="88"/>
      <c r="AFX91" s="88"/>
      <c r="AFY91" s="88"/>
      <c r="AFZ91" s="88"/>
      <c r="AGA91" s="88"/>
      <c r="AGB91" s="88"/>
      <c r="AGC91" s="88"/>
      <c r="AGD91" s="88"/>
      <c r="AGE91" s="88"/>
      <c r="AGF91" s="88"/>
      <c r="AGG91" s="88"/>
      <c r="AGH91" s="88"/>
      <c r="AGI91" s="88"/>
      <c r="AGJ91" s="88"/>
      <c r="AGK91" s="88"/>
      <c r="AGL91" s="88"/>
      <c r="AGM91" s="88"/>
      <c r="AGN91" s="88"/>
      <c r="AGO91" s="88"/>
      <c r="AGP91" s="88"/>
      <c r="AGQ91" s="88"/>
      <c r="AGR91" s="88"/>
      <c r="AGS91" s="88"/>
      <c r="AGT91" s="88"/>
      <c r="AGU91" s="88"/>
      <c r="AGV91" s="88"/>
      <c r="AGW91" s="88"/>
      <c r="AGX91" s="88"/>
      <c r="AGY91" s="88"/>
      <c r="AGZ91" s="88"/>
      <c r="AHA91" s="88"/>
      <c r="AHB91" s="88"/>
      <c r="AHC91" s="88"/>
      <c r="AHD91" s="88"/>
      <c r="AHE91" s="88"/>
      <c r="AHF91" s="88"/>
      <c r="AHG91" s="88"/>
      <c r="AHH91" s="88"/>
      <c r="AHI91" s="88"/>
      <c r="AHJ91" s="88"/>
      <c r="AHK91" s="88"/>
      <c r="AHL91" s="88"/>
      <c r="AHM91" s="88"/>
      <c r="AHN91" s="88"/>
      <c r="AHO91" s="88"/>
      <c r="AHP91" s="88"/>
      <c r="AHQ91" s="88"/>
      <c r="AHR91" s="88"/>
      <c r="AHS91" s="88"/>
      <c r="AHT91" s="88"/>
      <c r="AHU91" s="88"/>
      <c r="AHV91" s="88"/>
      <c r="AHW91" s="88"/>
      <c r="AHX91" s="88"/>
      <c r="AHY91" s="88"/>
      <c r="AHZ91" s="88"/>
      <c r="AIA91" s="88"/>
      <c r="AIB91" s="88"/>
      <c r="AIC91" s="88"/>
      <c r="AID91" s="88"/>
      <c r="AIE91" s="88"/>
      <c r="AIF91" s="88"/>
      <c r="AIG91" s="88"/>
      <c r="AIH91" s="88"/>
      <c r="AII91" s="88"/>
      <c r="AIJ91" s="88"/>
      <c r="AIK91" s="88"/>
      <c r="AIL91" s="88"/>
      <c r="AIM91" s="88"/>
      <c r="AIN91" s="88"/>
      <c r="AIO91" s="88"/>
      <c r="AIP91" s="88"/>
      <c r="AIQ91" s="88"/>
      <c r="AIR91" s="88"/>
      <c r="AIS91" s="88"/>
      <c r="AIT91" s="88"/>
      <c r="AIU91" s="88"/>
      <c r="AIV91" s="88"/>
      <c r="AIW91" s="88"/>
      <c r="AIX91" s="88"/>
      <c r="AIY91" s="88"/>
      <c r="AIZ91" s="88"/>
      <c r="AJA91" s="88"/>
      <c r="AJB91" s="88"/>
      <c r="AJC91" s="88"/>
      <c r="AJD91" s="88"/>
      <c r="AJE91" s="88"/>
      <c r="AJF91" s="88"/>
      <c r="AJG91" s="88"/>
      <c r="AJH91" s="88"/>
      <c r="AJI91" s="88"/>
      <c r="AJJ91" s="88"/>
      <c r="AJK91" s="88"/>
      <c r="AJL91" s="88"/>
      <c r="AJM91" s="88"/>
      <c r="AJN91" s="88"/>
      <c r="AJO91" s="88"/>
      <c r="AJP91" s="88"/>
      <c r="AJQ91" s="88"/>
      <c r="AJR91" s="88"/>
      <c r="AJS91" s="88"/>
      <c r="AJT91" s="88"/>
      <c r="AJU91" s="88"/>
      <c r="AJV91" s="88"/>
      <c r="AJW91" s="88"/>
      <c r="AJX91" s="88"/>
      <c r="AJY91" s="88"/>
      <c r="AJZ91" s="88"/>
      <c r="AKA91" s="88"/>
      <c r="AKB91" s="88"/>
      <c r="AKC91" s="88"/>
      <c r="AKD91" s="88"/>
      <c r="AKE91" s="88"/>
      <c r="AKF91" s="88"/>
      <c r="AKG91" s="88"/>
      <c r="AKH91" s="88"/>
      <c r="AKI91" s="88"/>
      <c r="AKJ91" s="88"/>
      <c r="AKK91" s="88"/>
      <c r="AKL91" s="88"/>
      <c r="AKM91" s="88"/>
      <c r="AKN91" s="88"/>
      <c r="AKO91" s="88"/>
      <c r="AKP91" s="88"/>
      <c r="AKQ91" s="88"/>
      <c r="AKR91" s="88"/>
      <c r="AKS91" s="88"/>
      <c r="AKT91" s="88"/>
      <c r="AKU91" s="88"/>
      <c r="AKV91" s="88"/>
      <c r="AKW91" s="88"/>
      <c r="AKX91" s="88"/>
      <c r="AKY91" s="88"/>
      <c r="AKZ91" s="88"/>
      <c r="ALA91" s="88"/>
      <c r="ALB91" s="88"/>
      <c r="ALC91" s="88"/>
      <c r="ALD91" s="88"/>
      <c r="ALE91" s="88"/>
      <c r="ALF91" s="88"/>
      <c r="ALG91" s="88"/>
      <c r="ALH91" s="88"/>
      <c r="ALI91" s="88"/>
      <c r="ALJ91" s="88"/>
      <c r="ALK91" s="88"/>
      <c r="ALL91" s="88"/>
      <c r="ALM91" s="88"/>
      <c r="ALN91" s="88"/>
      <c r="ALO91" s="88"/>
      <c r="ALP91" s="88"/>
      <c r="ALQ91" s="88"/>
      <c r="ALR91" s="88"/>
      <c r="ALS91" s="88"/>
      <c r="ALT91" s="88"/>
      <c r="ALU91" s="88"/>
      <c r="ALV91" s="88"/>
      <c r="ALW91" s="88"/>
      <c r="ALX91" s="88"/>
      <c r="ALY91" s="88"/>
      <c r="ALZ91" s="88"/>
      <c r="AMA91" s="88"/>
      <c r="AMB91" s="88"/>
      <c r="AMC91" s="88"/>
      <c r="AMD91" s="88"/>
      <c r="AME91" s="88"/>
      <c r="AMF91" s="88"/>
      <c r="AMG91" s="88"/>
      <c r="AMH91" s="88"/>
      <c r="AMI91" s="88"/>
      <c r="AMJ91" s="88"/>
      <c r="AMK91" s="88"/>
      <c r="AML91" s="88"/>
      <c r="AMM91" s="88"/>
      <c r="AMN91" s="88"/>
      <c r="AMO91" s="88"/>
      <c r="AMP91" s="88"/>
      <c r="AMQ91" s="88"/>
      <c r="AMR91" s="88"/>
      <c r="AMS91" s="88"/>
      <c r="AMT91" s="88"/>
      <c r="AMU91" s="88"/>
      <c r="AMV91" s="88"/>
      <c r="AMW91" s="88"/>
      <c r="AMX91" s="88"/>
      <c r="AMY91" s="88"/>
      <c r="AMZ91" s="88"/>
      <c r="ANA91" s="88"/>
      <c r="ANB91" s="88"/>
      <c r="ANC91" s="88"/>
      <c r="AND91" s="88"/>
      <c r="ANE91" s="88"/>
      <c r="ANF91" s="88"/>
      <c r="ANG91" s="88"/>
      <c r="ANH91" s="88"/>
      <c r="ANI91" s="88"/>
      <c r="ANJ91" s="88"/>
      <c r="ANK91" s="88"/>
      <c r="ANL91" s="88"/>
      <c r="ANM91" s="88"/>
      <c r="ANN91" s="88"/>
      <c r="ANO91" s="88"/>
      <c r="ANP91" s="88"/>
      <c r="ANQ91" s="88"/>
      <c r="ANR91" s="88"/>
      <c r="ANS91" s="88"/>
      <c r="ANT91" s="88"/>
      <c r="ANU91" s="88"/>
      <c r="ANV91" s="88"/>
      <c r="ANW91" s="88"/>
      <c r="ANX91" s="88"/>
      <c r="ANY91" s="88"/>
      <c r="ANZ91" s="88"/>
      <c r="AOA91" s="88"/>
      <c r="AOB91" s="88"/>
      <c r="AOC91" s="88"/>
      <c r="AOD91" s="88"/>
      <c r="AOE91" s="88"/>
      <c r="AOF91" s="88"/>
      <c r="AOG91" s="88"/>
      <c r="AOH91" s="88"/>
      <c r="AOI91" s="88"/>
      <c r="AOJ91" s="88"/>
      <c r="AOK91" s="88"/>
      <c r="AOL91" s="88"/>
      <c r="AOM91" s="88"/>
      <c r="AON91" s="88"/>
      <c r="AOO91" s="88"/>
      <c r="AOP91" s="88"/>
      <c r="AOQ91" s="88"/>
      <c r="AOR91" s="88"/>
      <c r="AOS91" s="88"/>
      <c r="AOT91" s="88"/>
      <c r="AOU91" s="88"/>
      <c r="AOV91" s="88"/>
      <c r="AOW91" s="88"/>
      <c r="AOX91" s="88"/>
      <c r="AOY91" s="88"/>
      <c r="AOZ91" s="88"/>
      <c r="APA91" s="88"/>
      <c r="APB91" s="88"/>
      <c r="APC91" s="88"/>
      <c r="APD91" s="88"/>
      <c r="APE91" s="88"/>
      <c r="APF91" s="88"/>
      <c r="APG91" s="88"/>
      <c r="APH91" s="88"/>
      <c r="API91" s="88"/>
      <c r="APJ91" s="88"/>
      <c r="APK91" s="88"/>
      <c r="APL91" s="88"/>
      <c r="APM91" s="88"/>
      <c r="APN91" s="88"/>
      <c r="APO91" s="88"/>
      <c r="APP91" s="88"/>
      <c r="APQ91" s="88"/>
      <c r="APR91" s="88"/>
      <c r="APS91" s="88"/>
      <c r="APT91" s="88"/>
      <c r="APU91" s="88"/>
      <c r="APV91" s="88"/>
      <c r="APW91" s="88"/>
      <c r="APX91" s="88"/>
      <c r="APY91" s="88"/>
      <c r="APZ91" s="88"/>
      <c r="AQA91" s="88"/>
      <c r="AQB91" s="88"/>
      <c r="AQC91" s="88"/>
      <c r="AQD91" s="88"/>
      <c r="AQE91" s="88"/>
      <c r="AQF91" s="88"/>
      <c r="AQG91" s="88"/>
      <c r="AQH91" s="88"/>
      <c r="AQI91" s="88"/>
      <c r="AQJ91" s="88"/>
      <c r="AQK91" s="88"/>
      <c r="AQL91" s="88"/>
      <c r="AQM91" s="88"/>
      <c r="AQN91" s="88"/>
      <c r="AQO91" s="88"/>
      <c r="AQP91" s="88"/>
      <c r="AQQ91" s="88"/>
      <c r="AQR91" s="88"/>
      <c r="AQS91" s="88"/>
      <c r="AQT91" s="88"/>
      <c r="AQU91" s="88"/>
      <c r="AQV91" s="88"/>
      <c r="AQW91" s="88"/>
      <c r="AQX91" s="88"/>
      <c r="AQY91" s="88"/>
      <c r="AQZ91" s="88"/>
      <c r="ARA91" s="88"/>
      <c r="ARB91" s="88"/>
      <c r="ARC91" s="88"/>
      <c r="ARD91" s="88"/>
      <c r="ARE91" s="88"/>
      <c r="ARF91" s="88"/>
      <c r="ARG91" s="88"/>
      <c r="ARH91" s="88"/>
      <c r="ARI91" s="88"/>
      <c r="ARJ91" s="88"/>
      <c r="ARK91" s="88"/>
      <c r="ARL91" s="88"/>
      <c r="ARM91" s="88"/>
      <c r="ARN91" s="88"/>
      <c r="ARO91" s="88"/>
      <c r="ARP91" s="88"/>
      <c r="ARQ91" s="88"/>
      <c r="ARR91" s="88"/>
      <c r="ARS91" s="88"/>
      <c r="ART91" s="88"/>
      <c r="ARU91" s="88"/>
      <c r="ARV91" s="88"/>
      <c r="ARW91" s="88"/>
      <c r="ARX91" s="88"/>
      <c r="ARY91" s="88"/>
      <c r="ARZ91" s="88"/>
      <c r="ASA91" s="88"/>
      <c r="ASB91" s="88"/>
      <c r="ASC91" s="88"/>
      <c r="ASD91" s="88"/>
      <c r="ASE91" s="88"/>
      <c r="ASF91" s="88"/>
      <c r="ASG91" s="88"/>
      <c r="ASH91" s="88"/>
      <c r="ASI91" s="88"/>
      <c r="ASJ91" s="88"/>
      <c r="ASK91" s="88"/>
      <c r="ASL91" s="88"/>
      <c r="ASM91" s="88"/>
      <c r="ASN91" s="88"/>
      <c r="ASO91" s="88"/>
      <c r="ASP91" s="88"/>
      <c r="ASQ91" s="88"/>
      <c r="ASR91" s="88"/>
      <c r="ASS91" s="88"/>
      <c r="AST91" s="88"/>
      <c r="ASU91" s="88"/>
      <c r="ASV91" s="88"/>
      <c r="ASW91" s="88"/>
      <c r="ASX91" s="88"/>
      <c r="ASY91" s="88"/>
      <c r="ASZ91" s="88"/>
      <c r="ATA91" s="88"/>
      <c r="ATB91" s="88"/>
      <c r="ATC91" s="88"/>
      <c r="ATD91" s="88"/>
      <c r="ATE91" s="88"/>
      <c r="ATF91" s="88"/>
      <c r="ATG91" s="88"/>
      <c r="ATH91" s="88"/>
      <c r="ATI91" s="88"/>
      <c r="ATJ91" s="88"/>
      <c r="ATK91" s="88"/>
      <c r="ATL91" s="88"/>
      <c r="ATM91" s="88"/>
      <c r="ATN91" s="88"/>
      <c r="ATO91" s="88"/>
      <c r="ATP91" s="88"/>
      <c r="ATQ91" s="88"/>
      <c r="ATR91" s="88"/>
      <c r="ATS91" s="88"/>
      <c r="ATT91" s="88"/>
      <c r="ATU91" s="88"/>
      <c r="ATV91" s="88"/>
      <c r="ATW91" s="88"/>
      <c r="ATX91" s="88"/>
      <c r="ATY91" s="88"/>
      <c r="ATZ91" s="88"/>
      <c r="AUA91" s="88"/>
      <c r="AUB91" s="88"/>
      <c r="AUC91" s="88"/>
      <c r="AUD91" s="88"/>
      <c r="AUE91" s="88"/>
      <c r="AUF91" s="88"/>
      <c r="AUG91" s="88"/>
      <c r="AUH91" s="88"/>
      <c r="AUI91" s="88"/>
      <c r="AUJ91" s="88"/>
      <c r="AUK91" s="88"/>
      <c r="AUL91" s="88"/>
      <c r="AUM91" s="88"/>
      <c r="AUN91" s="88"/>
      <c r="AUO91" s="88"/>
      <c r="AUP91" s="88"/>
      <c r="AUQ91" s="88"/>
      <c r="AUR91" s="88"/>
      <c r="AUS91" s="88"/>
      <c r="AUT91" s="88"/>
      <c r="AUU91" s="88"/>
      <c r="AUV91" s="88"/>
      <c r="AUW91" s="88"/>
      <c r="AUX91" s="88"/>
      <c r="AUY91" s="88"/>
      <c r="AUZ91" s="88"/>
      <c r="AVA91" s="88"/>
      <c r="AVB91" s="88"/>
      <c r="AVC91" s="88"/>
      <c r="AVD91" s="88"/>
      <c r="AVE91" s="88"/>
      <c r="AVF91" s="88"/>
      <c r="AVG91" s="88"/>
      <c r="AVH91" s="88"/>
      <c r="AVI91" s="88"/>
      <c r="AVJ91" s="88"/>
      <c r="AVK91" s="88"/>
      <c r="AVL91" s="88"/>
      <c r="AVM91" s="88"/>
      <c r="AVN91" s="88"/>
      <c r="AVO91" s="88"/>
      <c r="AVP91" s="88"/>
      <c r="AVQ91" s="88"/>
      <c r="AVR91" s="88"/>
      <c r="AVS91" s="88"/>
      <c r="AVT91" s="88"/>
      <c r="AVU91" s="88"/>
      <c r="AVV91" s="88"/>
      <c r="AVW91" s="88"/>
      <c r="AVX91" s="88"/>
      <c r="AVY91" s="88"/>
      <c r="AVZ91" s="88"/>
      <c r="AWA91" s="88"/>
      <c r="AWB91" s="88"/>
      <c r="AWC91" s="88"/>
      <c r="AWD91" s="88"/>
      <c r="AWE91" s="88"/>
      <c r="AWF91" s="88"/>
      <c r="AWG91" s="88"/>
      <c r="AWH91" s="88"/>
      <c r="AWI91" s="88"/>
      <c r="AWJ91" s="88"/>
      <c r="AWK91" s="88"/>
      <c r="AWL91" s="88"/>
      <c r="AWM91" s="88"/>
      <c r="AWN91" s="88"/>
      <c r="AWO91" s="88"/>
      <c r="AWP91" s="88"/>
      <c r="AWQ91" s="88"/>
      <c r="AWR91" s="88"/>
      <c r="AWS91" s="88"/>
      <c r="AWT91" s="88"/>
      <c r="AWU91" s="88"/>
      <c r="AWV91" s="88"/>
      <c r="AWW91" s="88"/>
      <c r="AWX91" s="88"/>
      <c r="AWY91" s="88"/>
      <c r="AWZ91" s="88"/>
      <c r="AXA91" s="88"/>
      <c r="AXB91" s="88"/>
      <c r="AXC91" s="88"/>
      <c r="AXD91" s="88"/>
      <c r="AXE91" s="88"/>
      <c r="AXF91" s="88"/>
      <c r="AXG91" s="88"/>
      <c r="AXH91" s="88"/>
      <c r="AXI91" s="88"/>
      <c r="AXJ91" s="88"/>
      <c r="AXK91" s="88"/>
      <c r="AXL91" s="88"/>
      <c r="AXM91" s="88"/>
      <c r="AXN91" s="88"/>
      <c r="AXO91" s="88"/>
      <c r="AXP91" s="88"/>
      <c r="AXQ91" s="88"/>
      <c r="AXR91" s="88"/>
      <c r="AXS91" s="88"/>
      <c r="AXT91" s="88"/>
      <c r="AXU91" s="88"/>
      <c r="AXV91" s="88"/>
      <c r="AXW91" s="88"/>
      <c r="AXX91" s="88"/>
      <c r="AXY91" s="88"/>
      <c r="AXZ91" s="88"/>
      <c r="AYA91" s="88"/>
      <c r="AYB91" s="88"/>
      <c r="AYC91" s="88"/>
      <c r="AYD91" s="88"/>
      <c r="AYE91" s="88"/>
      <c r="AYF91" s="88"/>
      <c r="AYG91" s="88"/>
      <c r="AYH91" s="88"/>
      <c r="AYI91" s="88"/>
      <c r="AYJ91" s="88"/>
      <c r="AYK91" s="88"/>
      <c r="AYL91" s="88"/>
      <c r="AYM91" s="88"/>
      <c r="AYN91" s="88"/>
      <c r="AYO91" s="88"/>
      <c r="AYP91" s="88"/>
      <c r="AYQ91" s="88"/>
      <c r="AYR91" s="88"/>
      <c r="AYS91" s="88"/>
      <c r="AYT91" s="88"/>
      <c r="AYU91" s="88"/>
      <c r="AYV91" s="88"/>
      <c r="AYW91" s="88"/>
      <c r="AYX91" s="88"/>
      <c r="AYY91" s="88"/>
      <c r="AYZ91" s="88"/>
      <c r="AZA91" s="88"/>
      <c r="AZB91" s="88"/>
      <c r="AZC91" s="88"/>
      <c r="AZD91" s="88"/>
      <c r="AZE91" s="88"/>
      <c r="AZF91" s="88"/>
      <c r="AZG91" s="88"/>
      <c r="AZH91" s="88"/>
      <c r="AZI91" s="88"/>
      <c r="AZJ91" s="88"/>
      <c r="AZK91" s="88"/>
      <c r="AZL91" s="88"/>
      <c r="AZM91" s="88"/>
      <c r="AZN91" s="88"/>
      <c r="AZO91" s="88"/>
      <c r="AZP91" s="88"/>
      <c r="AZQ91" s="88"/>
      <c r="AZR91" s="88"/>
      <c r="AZS91" s="88"/>
      <c r="AZT91" s="88"/>
      <c r="AZU91" s="88"/>
      <c r="AZV91" s="88"/>
      <c r="AZW91" s="88"/>
      <c r="AZX91" s="88"/>
      <c r="AZY91" s="88"/>
      <c r="AZZ91" s="88"/>
      <c r="BAA91" s="88"/>
      <c r="BAB91" s="88"/>
      <c r="BAC91" s="88"/>
      <c r="BAD91" s="88"/>
      <c r="BAE91" s="88"/>
      <c r="BAF91" s="88"/>
      <c r="BAG91" s="88"/>
      <c r="BAH91" s="88"/>
      <c r="BAI91" s="88"/>
      <c r="BAJ91" s="88"/>
      <c r="BAK91" s="88"/>
      <c r="BAL91" s="88"/>
      <c r="BAM91" s="88"/>
      <c r="BAN91" s="88"/>
      <c r="BAO91" s="88"/>
      <c r="BAP91" s="88"/>
      <c r="BAQ91" s="88"/>
      <c r="BAR91" s="88"/>
      <c r="BAS91" s="88"/>
      <c r="BAT91" s="88"/>
      <c r="BAU91" s="88"/>
      <c r="BAV91" s="88"/>
      <c r="BAW91" s="88"/>
      <c r="BAX91" s="88"/>
      <c r="BAY91" s="88"/>
      <c r="BAZ91" s="88"/>
      <c r="BBA91" s="88"/>
      <c r="BBB91" s="88"/>
      <c r="BBC91" s="88"/>
      <c r="BBD91" s="88"/>
      <c r="BBE91" s="88"/>
      <c r="BBF91" s="88"/>
      <c r="BBG91" s="88"/>
      <c r="BBH91" s="88"/>
      <c r="BBI91" s="88"/>
      <c r="BBJ91" s="88"/>
      <c r="BBK91" s="88"/>
      <c r="BBL91" s="88"/>
      <c r="BBM91" s="88"/>
      <c r="BBN91" s="88"/>
      <c r="BBO91" s="88"/>
      <c r="BBP91" s="88"/>
      <c r="BBQ91" s="88"/>
      <c r="BBR91" s="88"/>
      <c r="BBS91" s="88"/>
      <c r="BBT91" s="88"/>
      <c r="BBU91" s="88"/>
      <c r="BBV91" s="88"/>
      <c r="BBW91" s="88"/>
      <c r="BBX91" s="88"/>
      <c r="BBY91" s="88"/>
      <c r="BBZ91" s="88"/>
      <c r="BCA91" s="88"/>
      <c r="BCB91" s="88"/>
      <c r="BCC91" s="88"/>
      <c r="BCD91" s="88"/>
      <c r="BCE91" s="88"/>
      <c r="BCF91" s="88"/>
      <c r="BCG91" s="88"/>
      <c r="BCH91" s="88"/>
      <c r="BCI91" s="88"/>
      <c r="BCJ91" s="88"/>
      <c r="BCK91" s="88"/>
      <c r="BCL91" s="88"/>
      <c r="BCM91" s="88"/>
      <c r="BCN91" s="88"/>
      <c r="BCO91" s="88"/>
      <c r="BCP91" s="88"/>
      <c r="BCQ91" s="88"/>
      <c r="BCR91" s="88"/>
      <c r="BCS91" s="88"/>
      <c r="BCT91" s="88"/>
      <c r="BCU91" s="88"/>
      <c r="BCV91" s="88"/>
      <c r="BCW91" s="88"/>
      <c r="BCX91" s="88"/>
      <c r="BCY91" s="88"/>
      <c r="BCZ91" s="88"/>
      <c r="BDA91" s="88"/>
      <c r="BDB91" s="88"/>
      <c r="BDC91" s="88"/>
      <c r="BDD91" s="88"/>
      <c r="BDE91" s="88"/>
      <c r="BDF91" s="88"/>
      <c r="BDG91" s="88"/>
      <c r="BDH91" s="88"/>
      <c r="BDI91" s="88"/>
      <c r="BDJ91" s="88"/>
      <c r="BDK91" s="88"/>
      <c r="BDL91" s="88"/>
      <c r="BDM91" s="88"/>
      <c r="BDN91" s="88"/>
      <c r="BDO91" s="88"/>
      <c r="BDP91" s="88"/>
      <c r="BDQ91" s="88"/>
      <c r="BDR91" s="88"/>
      <c r="BDS91" s="88"/>
      <c r="BDT91" s="88"/>
      <c r="BDU91" s="88"/>
      <c r="BDV91" s="88"/>
      <c r="BDW91" s="88"/>
      <c r="BDX91" s="88"/>
      <c r="BDY91" s="88"/>
      <c r="BDZ91" s="88"/>
      <c r="BEA91" s="88"/>
      <c r="BEB91" s="88"/>
      <c r="BEC91" s="88"/>
      <c r="BED91" s="88"/>
      <c r="BEE91" s="88"/>
      <c r="BEF91" s="88"/>
      <c r="BEG91" s="88"/>
      <c r="BEH91" s="88"/>
      <c r="BEI91" s="88"/>
      <c r="BEJ91" s="88"/>
      <c r="BEK91" s="88"/>
      <c r="BEL91" s="88"/>
      <c r="BEM91" s="88"/>
      <c r="BEN91" s="88"/>
      <c r="BEO91" s="88"/>
      <c r="BEP91" s="88"/>
      <c r="BEQ91" s="88"/>
      <c r="BER91" s="88"/>
      <c r="BES91" s="88"/>
      <c r="BET91" s="88"/>
      <c r="BEU91" s="88"/>
      <c r="BEV91" s="88"/>
      <c r="BEW91" s="88"/>
      <c r="BEX91" s="88"/>
      <c r="BEY91" s="88"/>
      <c r="BEZ91" s="88"/>
      <c r="BFA91" s="88"/>
      <c r="BFB91" s="88"/>
      <c r="BFC91" s="88"/>
      <c r="BFD91" s="88"/>
      <c r="BFE91" s="88"/>
      <c r="BFF91" s="88"/>
      <c r="BFG91" s="88"/>
      <c r="BFH91" s="88"/>
      <c r="BFI91" s="88"/>
      <c r="BFJ91" s="88"/>
      <c r="BFK91" s="88"/>
      <c r="BFL91" s="88"/>
      <c r="BFM91" s="88"/>
      <c r="BFN91" s="88"/>
      <c r="BFO91" s="88"/>
      <c r="BFP91" s="88"/>
      <c r="BFQ91" s="88"/>
      <c r="BFR91" s="88"/>
      <c r="BFS91" s="88"/>
      <c r="BFT91" s="88"/>
      <c r="BFU91" s="88"/>
      <c r="BFV91" s="88"/>
      <c r="BFW91" s="88"/>
      <c r="BFX91" s="88"/>
      <c r="BFY91" s="88"/>
      <c r="BFZ91" s="88"/>
      <c r="BGA91" s="88"/>
      <c r="BGB91" s="88"/>
      <c r="BGC91" s="88"/>
      <c r="BGD91" s="88"/>
      <c r="BGE91" s="88"/>
      <c r="BGF91" s="88"/>
      <c r="BGG91" s="88"/>
      <c r="BGH91" s="88"/>
      <c r="BGI91" s="88"/>
      <c r="BGJ91" s="88"/>
      <c r="BGK91" s="88"/>
      <c r="BGL91" s="88"/>
      <c r="BGM91" s="88"/>
      <c r="BGN91" s="88"/>
      <c r="BGO91" s="88"/>
      <c r="BGP91" s="88"/>
      <c r="BGQ91" s="88"/>
      <c r="BGR91" s="88"/>
      <c r="BGS91" s="88"/>
      <c r="BGT91" s="88"/>
      <c r="BGU91" s="88"/>
      <c r="BGV91" s="88"/>
      <c r="BGW91" s="88"/>
      <c r="BGX91" s="88"/>
      <c r="BGY91" s="88"/>
      <c r="BGZ91" s="88"/>
      <c r="BHA91" s="88"/>
      <c r="BHB91" s="88"/>
      <c r="BHC91" s="88"/>
      <c r="BHD91" s="88"/>
      <c r="BHE91" s="88"/>
      <c r="BHF91" s="88"/>
      <c r="BHG91" s="88"/>
      <c r="BHH91" s="88"/>
      <c r="BHI91" s="88"/>
      <c r="BHJ91" s="88"/>
      <c r="BHK91" s="88"/>
      <c r="BHL91" s="88"/>
      <c r="BHM91" s="88"/>
      <c r="BHN91" s="88"/>
      <c r="BHO91" s="88"/>
      <c r="BHP91" s="88"/>
      <c r="BHQ91" s="88"/>
      <c r="BHR91" s="88"/>
      <c r="BHS91" s="88"/>
      <c r="BHT91" s="88"/>
      <c r="BHU91" s="88"/>
      <c r="BHV91" s="88"/>
      <c r="BHW91" s="88"/>
      <c r="BHX91" s="88"/>
      <c r="BHY91" s="88"/>
      <c r="BHZ91" s="88"/>
      <c r="BIA91" s="88"/>
      <c r="BIB91" s="88"/>
      <c r="BIC91" s="88"/>
      <c r="BID91" s="88"/>
      <c r="BIE91" s="88"/>
      <c r="BIF91" s="88"/>
      <c r="BIG91" s="88"/>
      <c r="BIH91" s="88"/>
      <c r="BII91" s="88"/>
      <c r="BIJ91" s="88"/>
      <c r="BIK91" s="88"/>
      <c r="BIL91" s="88"/>
      <c r="BIM91" s="88"/>
      <c r="BIN91" s="88"/>
      <c r="BIO91" s="88"/>
      <c r="BIP91" s="88"/>
      <c r="BIQ91" s="88"/>
      <c r="BIR91" s="88"/>
      <c r="BIS91" s="88"/>
      <c r="BIT91" s="88"/>
      <c r="BIU91" s="88"/>
      <c r="BIV91" s="88"/>
      <c r="BIW91" s="88"/>
      <c r="BIX91" s="88"/>
      <c r="BIY91" s="88"/>
      <c r="BIZ91" s="88"/>
      <c r="BJA91" s="88"/>
      <c r="BJB91" s="88"/>
      <c r="BJC91" s="88"/>
      <c r="BJD91" s="88"/>
      <c r="BJE91" s="88"/>
      <c r="BJF91" s="88"/>
      <c r="BJG91" s="88"/>
      <c r="BJH91" s="88"/>
      <c r="BJI91" s="88"/>
      <c r="BJJ91" s="88"/>
      <c r="BJK91" s="88"/>
      <c r="BJL91" s="88"/>
      <c r="BJM91" s="88"/>
      <c r="BJN91" s="88"/>
      <c r="BJO91" s="88"/>
      <c r="BJP91" s="88"/>
      <c r="BJQ91" s="88"/>
      <c r="BJR91" s="88"/>
      <c r="BJS91" s="88"/>
      <c r="BJT91" s="88"/>
      <c r="BJU91" s="88"/>
      <c r="BJV91" s="88"/>
      <c r="BJW91" s="88"/>
      <c r="BJX91" s="88"/>
      <c r="BJY91" s="88"/>
      <c r="BJZ91" s="88"/>
      <c r="BKA91" s="88"/>
      <c r="BKB91" s="88"/>
      <c r="BKC91" s="88"/>
      <c r="BKD91" s="88"/>
      <c r="BKE91" s="88"/>
      <c r="BKF91" s="88"/>
      <c r="BKG91" s="88"/>
      <c r="BKH91" s="88"/>
      <c r="BKI91" s="88"/>
      <c r="BKJ91" s="88"/>
      <c r="BKK91" s="88"/>
      <c r="BKL91" s="88"/>
      <c r="BKM91" s="88"/>
      <c r="BKN91" s="88"/>
      <c r="BKO91" s="88"/>
      <c r="BKP91" s="88"/>
      <c r="BKQ91" s="88"/>
      <c r="BKR91" s="88"/>
      <c r="BKS91" s="88"/>
      <c r="BKT91" s="88"/>
      <c r="BKU91" s="88"/>
      <c r="BKV91" s="88"/>
      <c r="BKW91" s="88"/>
      <c r="BKX91" s="88"/>
      <c r="BKY91" s="88"/>
      <c r="BKZ91" s="88"/>
      <c r="BLA91" s="88"/>
      <c r="BLB91" s="88"/>
      <c r="BLC91" s="88"/>
      <c r="BLD91" s="88"/>
      <c r="BLE91" s="88"/>
      <c r="BLF91" s="88"/>
      <c r="BLG91" s="88"/>
      <c r="BLH91" s="88"/>
      <c r="BLI91" s="88"/>
      <c r="BLJ91" s="88"/>
      <c r="BLK91" s="88"/>
      <c r="BLL91" s="88"/>
      <c r="BLM91" s="88"/>
      <c r="BLN91" s="88"/>
      <c r="BLO91" s="88"/>
      <c r="BLP91" s="88"/>
      <c r="BLQ91" s="88"/>
      <c r="BLR91" s="88"/>
      <c r="BLS91" s="88"/>
      <c r="BLT91" s="88"/>
      <c r="BLU91" s="88"/>
      <c r="BLV91" s="88"/>
      <c r="BLW91" s="88"/>
      <c r="BLX91" s="88"/>
      <c r="BLY91" s="88"/>
      <c r="BLZ91" s="88"/>
      <c r="BMA91" s="88"/>
      <c r="BMB91" s="88"/>
      <c r="BMC91" s="88"/>
      <c r="BMD91" s="88"/>
      <c r="BME91" s="88"/>
      <c r="BMF91" s="88"/>
      <c r="BMG91" s="88"/>
      <c r="BMH91" s="88"/>
      <c r="BMI91" s="88"/>
      <c r="BMJ91" s="88"/>
      <c r="BMK91" s="88"/>
      <c r="BML91" s="88"/>
      <c r="BMM91" s="88"/>
      <c r="BMN91" s="88"/>
      <c r="BMO91" s="88"/>
      <c r="BMP91" s="88"/>
      <c r="BMQ91" s="88"/>
      <c r="BMR91" s="88"/>
      <c r="BMS91" s="88"/>
      <c r="BMT91" s="88"/>
      <c r="BMU91" s="88"/>
      <c r="BMV91" s="88"/>
      <c r="BMW91" s="88"/>
      <c r="BMX91" s="88"/>
      <c r="BMY91" s="88"/>
      <c r="BMZ91" s="88"/>
      <c r="BNA91" s="88"/>
      <c r="BNB91" s="88"/>
      <c r="BNC91" s="88"/>
      <c r="BND91" s="88"/>
      <c r="BNE91" s="88"/>
      <c r="BNF91" s="88"/>
      <c r="BNG91" s="88"/>
      <c r="BNH91" s="88"/>
      <c r="BNI91" s="88"/>
      <c r="BNJ91" s="88"/>
      <c r="BNK91" s="88"/>
      <c r="BNL91" s="88"/>
      <c r="BNM91" s="88"/>
      <c r="BNN91" s="88"/>
      <c r="BNO91" s="88"/>
      <c r="BNP91" s="88"/>
      <c r="BNQ91" s="88"/>
      <c r="BNR91" s="88"/>
      <c r="BNS91" s="88"/>
      <c r="BNT91" s="88"/>
      <c r="BNU91" s="88"/>
      <c r="BNV91" s="88"/>
      <c r="BNW91" s="88"/>
      <c r="BNX91" s="88"/>
      <c r="BNY91" s="88"/>
      <c r="BNZ91" s="88"/>
      <c r="BOA91" s="88"/>
      <c r="BOB91" s="88"/>
      <c r="BOC91" s="88"/>
      <c r="BOD91" s="88"/>
      <c r="BOE91" s="88"/>
      <c r="BOF91" s="88"/>
      <c r="BOG91" s="88"/>
      <c r="BOH91" s="88"/>
      <c r="BOI91" s="88"/>
      <c r="BOJ91" s="88"/>
      <c r="BOK91" s="88"/>
      <c r="BOL91" s="88"/>
      <c r="BOM91" s="88"/>
      <c r="BON91" s="88"/>
      <c r="BOO91" s="88"/>
      <c r="BOP91" s="88"/>
      <c r="BOQ91" s="88"/>
      <c r="BOR91" s="88"/>
      <c r="BOS91" s="88"/>
      <c r="BOT91" s="88"/>
      <c r="BOU91" s="88"/>
      <c r="BOV91" s="88"/>
      <c r="BOW91" s="88"/>
      <c r="BOX91" s="88"/>
      <c r="BOY91" s="88"/>
      <c r="BOZ91" s="88"/>
      <c r="BPA91" s="88"/>
      <c r="BPB91" s="88"/>
      <c r="BPC91" s="88"/>
      <c r="BPD91" s="88"/>
      <c r="BPE91" s="88"/>
      <c r="BPF91" s="88"/>
      <c r="BPG91" s="88"/>
      <c r="BPH91" s="88"/>
      <c r="BPI91" s="88"/>
      <c r="BPJ91" s="88"/>
      <c r="BPK91" s="88"/>
      <c r="BPL91" s="88"/>
      <c r="BPM91" s="88"/>
      <c r="BPN91" s="88"/>
      <c r="BPO91" s="88"/>
      <c r="BPP91" s="88"/>
      <c r="BPQ91" s="88"/>
      <c r="BPR91" s="88"/>
      <c r="BPS91" s="88"/>
      <c r="BPT91" s="88"/>
      <c r="BPU91" s="88"/>
      <c r="BPV91" s="88"/>
      <c r="BPW91" s="88"/>
      <c r="BPX91" s="88"/>
      <c r="BPY91" s="88"/>
      <c r="BPZ91" s="88"/>
      <c r="BQA91" s="88"/>
      <c r="BQB91" s="88"/>
      <c r="BQC91" s="88"/>
      <c r="BQD91" s="88"/>
      <c r="BQE91" s="88"/>
      <c r="BQF91" s="88"/>
      <c r="BQG91" s="88"/>
      <c r="BQH91" s="88"/>
      <c r="BQI91" s="88"/>
      <c r="BQJ91" s="88"/>
      <c r="BQK91" s="88"/>
      <c r="BQL91" s="88"/>
      <c r="BQM91" s="88"/>
      <c r="BQN91" s="88"/>
      <c r="BQO91" s="88"/>
      <c r="BQP91" s="88"/>
      <c r="BQQ91" s="88"/>
      <c r="BQR91" s="88"/>
      <c r="BQS91" s="88"/>
      <c r="BQT91" s="88"/>
      <c r="BQU91" s="88"/>
      <c r="BQV91" s="88"/>
      <c r="BQW91" s="88"/>
      <c r="BQX91" s="88"/>
      <c r="BQY91" s="88"/>
      <c r="BQZ91" s="88"/>
      <c r="BRA91" s="88"/>
      <c r="BRB91" s="88"/>
      <c r="BRC91" s="88"/>
      <c r="BRD91" s="88"/>
      <c r="BRE91" s="88"/>
      <c r="BRF91" s="88"/>
      <c r="BRG91" s="88"/>
      <c r="BRH91" s="88"/>
      <c r="BRI91" s="88"/>
      <c r="BRJ91" s="88"/>
      <c r="BRK91" s="88"/>
      <c r="BRL91" s="88"/>
      <c r="BRM91" s="88"/>
      <c r="BRN91" s="88"/>
      <c r="BRO91" s="88"/>
      <c r="BRP91" s="88"/>
      <c r="BRQ91" s="88"/>
      <c r="BRR91" s="88"/>
      <c r="BRS91" s="88"/>
      <c r="BRT91" s="88"/>
      <c r="BRU91" s="88"/>
      <c r="BRV91" s="88"/>
      <c r="BRW91" s="88"/>
      <c r="BRX91" s="88"/>
      <c r="BRY91" s="88"/>
      <c r="BRZ91" s="88"/>
      <c r="BSA91" s="88"/>
      <c r="BSB91" s="88"/>
      <c r="BSC91" s="88"/>
      <c r="BSD91" s="88"/>
      <c r="BSE91" s="88"/>
      <c r="BSF91" s="88"/>
      <c r="BSG91" s="88"/>
      <c r="BSH91" s="88"/>
      <c r="BSI91" s="88"/>
      <c r="BSJ91" s="88"/>
      <c r="BSK91" s="88"/>
      <c r="BSL91" s="88"/>
      <c r="BSM91" s="88"/>
      <c r="BSN91" s="88"/>
      <c r="BSO91" s="88"/>
      <c r="BSP91" s="88"/>
      <c r="BSQ91" s="88"/>
      <c r="BSR91" s="88"/>
      <c r="BSS91" s="88"/>
      <c r="BST91" s="88"/>
      <c r="BSU91" s="88"/>
      <c r="BSV91" s="88"/>
      <c r="BSW91" s="88"/>
      <c r="BSX91" s="88"/>
      <c r="BSY91" s="88"/>
      <c r="BSZ91" s="88"/>
      <c r="BTA91" s="88"/>
      <c r="BTB91" s="88"/>
      <c r="BTC91" s="88"/>
      <c r="BTD91" s="88"/>
      <c r="BTE91" s="88"/>
      <c r="BTF91" s="88"/>
      <c r="BTG91" s="88"/>
      <c r="BTH91" s="88"/>
      <c r="BTI91" s="88"/>
      <c r="BTJ91" s="88"/>
      <c r="BTK91" s="88"/>
      <c r="BTL91" s="88"/>
      <c r="BTM91" s="88"/>
      <c r="BTN91" s="88"/>
      <c r="BTO91" s="88"/>
      <c r="BTP91" s="88"/>
      <c r="BTQ91" s="88"/>
      <c r="BTR91" s="88"/>
      <c r="BTS91" s="88"/>
      <c r="BTT91" s="88"/>
      <c r="BTU91" s="88"/>
      <c r="BTV91" s="88"/>
      <c r="BTW91" s="88"/>
      <c r="BTX91" s="88"/>
      <c r="BTY91" s="88"/>
      <c r="BTZ91" s="88"/>
      <c r="BUA91" s="88"/>
      <c r="BUB91" s="88"/>
      <c r="BUC91" s="88"/>
      <c r="BUD91" s="88"/>
      <c r="BUE91" s="88"/>
      <c r="BUF91" s="88"/>
      <c r="BUG91" s="88"/>
      <c r="BUH91" s="88"/>
      <c r="BUI91" s="88"/>
      <c r="BUJ91" s="88"/>
      <c r="BUK91" s="88"/>
      <c r="BUL91" s="88"/>
      <c r="BUM91" s="88"/>
      <c r="BUN91" s="88"/>
      <c r="BUO91" s="88"/>
      <c r="BUP91" s="88"/>
      <c r="BUQ91" s="88"/>
      <c r="BUR91" s="88"/>
      <c r="BUS91" s="88"/>
      <c r="BUT91" s="88"/>
      <c r="BUU91" s="88"/>
      <c r="BUV91" s="88"/>
      <c r="BUW91" s="88"/>
      <c r="BUX91" s="88"/>
      <c r="BUY91" s="88"/>
      <c r="BUZ91" s="88"/>
      <c r="BVA91" s="88"/>
      <c r="BVB91" s="88"/>
      <c r="BVC91" s="88"/>
      <c r="BVD91" s="88"/>
      <c r="BVE91" s="88"/>
      <c r="BVF91" s="88"/>
      <c r="BVG91" s="88"/>
      <c r="BVH91" s="88"/>
      <c r="BVI91" s="88"/>
      <c r="BVJ91" s="88"/>
      <c r="BVK91" s="88"/>
      <c r="BVL91" s="88"/>
      <c r="BVM91" s="88"/>
      <c r="BVN91" s="88"/>
      <c r="BVO91" s="88"/>
      <c r="BVP91" s="88"/>
      <c r="BVQ91" s="88"/>
      <c r="BVR91" s="88"/>
      <c r="BVS91" s="88"/>
      <c r="BVT91" s="88"/>
      <c r="BVU91" s="88"/>
      <c r="BVV91" s="88"/>
      <c r="BVW91" s="88"/>
      <c r="BVX91" s="88"/>
      <c r="BVY91" s="88"/>
      <c r="BVZ91" s="88"/>
      <c r="BWA91" s="88"/>
      <c r="BWB91" s="88"/>
      <c r="BWC91" s="88"/>
      <c r="BWD91" s="88"/>
      <c r="BWE91" s="88"/>
      <c r="BWF91" s="88"/>
      <c r="BWG91" s="88"/>
      <c r="BWH91" s="88"/>
      <c r="BWI91" s="88"/>
      <c r="BWJ91" s="88"/>
      <c r="BWK91" s="88"/>
      <c r="BWL91" s="88"/>
      <c r="BWM91" s="88"/>
      <c r="BWN91" s="88"/>
      <c r="BWO91" s="88"/>
      <c r="BWP91" s="88"/>
      <c r="BWQ91" s="88"/>
      <c r="BWR91" s="88"/>
      <c r="BWS91" s="88"/>
      <c r="BWT91" s="88"/>
      <c r="BWU91" s="88"/>
      <c r="BWV91" s="88"/>
      <c r="BWW91" s="88"/>
      <c r="BWX91" s="88"/>
      <c r="BWY91" s="88"/>
      <c r="BWZ91" s="88"/>
      <c r="BXA91" s="88"/>
      <c r="BXB91" s="88"/>
      <c r="BXC91" s="88"/>
      <c r="BXD91" s="88"/>
      <c r="BXE91" s="88"/>
      <c r="BXF91" s="88"/>
      <c r="BXG91" s="88"/>
      <c r="BXH91" s="88"/>
      <c r="BXI91" s="88"/>
      <c r="BXJ91" s="88"/>
      <c r="BXK91" s="88"/>
      <c r="BXL91" s="88"/>
      <c r="BXM91" s="88"/>
      <c r="BXN91" s="88"/>
      <c r="BXO91" s="88"/>
      <c r="BXP91" s="88"/>
      <c r="BXQ91" s="88"/>
      <c r="BXR91" s="88"/>
      <c r="BXS91" s="88"/>
      <c r="BXT91" s="88"/>
      <c r="BXU91" s="88"/>
      <c r="BXV91" s="88"/>
      <c r="BXW91" s="88"/>
      <c r="BXX91" s="88"/>
      <c r="BXY91" s="88"/>
      <c r="BXZ91" s="88"/>
      <c r="BYA91" s="88"/>
      <c r="BYB91" s="88"/>
      <c r="BYC91" s="88"/>
      <c r="BYD91" s="88"/>
      <c r="BYE91" s="88"/>
      <c r="BYF91" s="88"/>
      <c r="BYG91" s="88"/>
      <c r="BYH91" s="88"/>
      <c r="BYI91" s="88"/>
      <c r="BYJ91" s="88"/>
      <c r="BYK91" s="88"/>
      <c r="BYL91" s="88"/>
      <c r="BYM91" s="88"/>
      <c r="BYN91" s="88"/>
      <c r="BYO91" s="88"/>
      <c r="BYP91" s="88"/>
      <c r="BYQ91" s="88"/>
      <c r="BYR91" s="88"/>
      <c r="BYS91" s="88"/>
      <c r="BYT91" s="88"/>
      <c r="BYU91" s="88"/>
      <c r="BYV91" s="88"/>
      <c r="BYW91" s="88"/>
      <c r="BYX91" s="88"/>
      <c r="BYY91" s="88"/>
      <c r="BYZ91" s="88"/>
      <c r="BZA91" s="88"/>
      <c r="BZB91" s="88"/>
      <c r="BZC91" s="88"/>
      <c r="BZD91" s="88"/>
      <c r="BZE91" s="88"/>
      <c r="BZF91" s="88"/>
      <c r="BZG91" s="88"/>
      <c r="BZH91" s="88"/>
      <c r="BZI91" s="88"/>
      <c r="BZJ91" s="88"/>
      <c r="BZK91" s="88"/>
      <c r="BZL91" s="88"/>
      <c r="BZM91" s="88"/>
      <c r="BZN91" s="88"/>
      <c r="BZO91" s="88"/>
      <c r="BZP91" s="88"/>
      <c r="BZQ91" s="88"/>
      <c r="BZR91" s="88"/>
      <c r="BZS91" s="88"/>
      <c r="BZT91" s="88"/>
      <c r="BZU91" s="88"/>
      <c r="BZV91" s="88"/>
      <c r="BZW91" s="88"/>
      <c r="BZX91" s="88"/>
      <c r="BZY91" s="88"/>
      <c r="BZZ91" s="88"/>
      <c r="CAA91" s="88"/>
      <c r="CAB91" s="88"/>
      <c r="CAC91" s="88"/>
      <c r="CAD91" s="88"/>
      <c r="CAE91" s="88"/>
      <c r="CAF91" s="88"/>
      <c r="CAG91" s="88"/>
      <c r="CAH91" s="88"/>
      <c r="CAI91" s="88"/>
      <c r="CAJ91" s="88"/>
      <c r="CAK91" s="88"/>
      <c r="CAL91" s="88"/>
      <c r="CAM91" s="88"/>
      <c r="CAN91" s="88"/>
      <c r="CAO91" s="88"/>
      <c r="CAP91" s="88"/>
      <c r="CAQ91" s="88"/>
      <c r="CAR91" s="88"/>
      <c r="CAS91" s="88"/>
      <c r="CAT91" s="88"/>
      <c r="CAU91" s="88"/>
      <c r="CAV91" s="88"/>
      <c r="CAW91" s="88"/>
      <c r="CAX91" s="88"/>
      <c r="CAY91" s="88"/>
      <c r="CAZ91" s="88"/>
      <c r="CBA91" s="88"/>
      <c r="CBB91" s="88"/>
      <c r="CBC91" s="88"/>
      <c r="CBD91" s="88"/>
      <c r="CBE91" s="88"/>
      <c r="CBF91" s="88"/>
      <c r="CBG91" s="88"/>
      <c r="CBH91" s="88"/>
      <c r="CBI91" s="88"/>
      <c r="CBJ91" s="88"/>
      <c r="CBK91" s="88"/>
      <c r="CBL91" s="88"/>
      <c r="CBM91" s="88"/>
      <c r="CBN91" s="88"/>
      <c r="CBO91" s="88"/>
      <c r="CBP91" s="88"/>
      <c r="CBQ91" s="88"/>
      <c r="CBR91" s="88"/>
      <c r="CBS91" s="88"/>
      <c r="CBT91" s="88"/>
      <c r="CBU91" s="88"/>
      <c r="CBV91" s="88"/>
      <c r="CBW91" s="88"/>
      <c r="CBX91" s="88"/>
      <c r="CBY91" s="88"/>
      <c r="CBZ91" s="88"/>
      <c r="CCA91" s="88"/>
      <c r="CCB91" s="88"/>
      <c r="CCC91" s="88"/>
      <c r="CCD91" s="88"/>
      <c r="CCE91" s="88"/>
      <c r="CCF91" s="88"/>
      <c r="CCG91" s="88"/>
      <c r="CCH91" s="88"/>
      <c r="CCI91" s="88"/>
      <c r="CCJ91" s="88"/>
      <c r="CCK91" s="88"/>
      <c r="CCL91" s="88"/>
      <c r="CCM91" s="88"/>
      <c r="CCN91" s="88"/>
      <c r="CCO91" s="88"/>
      <c r="CCP91" s="88"/>
      <c r="CCQ91" s="88"/>
      <c r="CCR91" s="88"/>
      <c r="CCS91" s="88"/>
      <c r="CCT91" s="88"/>
      <c r="CCU91" s="88"/>
      <c r="CCV91" s="88"/>
      <c r="CCW91" s="88"/>
      <c r="CCX91" s="88"/>
      <c r="CCY91" s="88"/>
      <c r="CCZ91" s="88"/>
      <c r="CDA91" s="88"/>
      <c r="CDB91" s="88"/>
      <c r="CDC91" s="88"/>
      <c r="CDD91" s="88"/>
      <c r="CDE91" s="88"/>
      <c r="CDF91" s="88"/>
      <c r="CDG91" s="88"/>
      <c r="CDH91" s="88"/>
      <c r="CDI91" s="88"/>
      <c r="CDJ91" s="88"/>
      <c r="CDK91" s="88"/>
      <c r="CDL91" s="88"/>
      <c r="CDM91" s="88"/>
      <c r="CDN91" s="88"/>
      <c r="CDO91" s="88"/>
      <c r="CDP91" s="88"/>
      <c r="CDQ91" s="88"/>
      <c r="CDR91" s="88"/>
      <c r="CDS91" s="88"/>
      <c r="CDT91" s="88"/>
      <c r="CDU91" s="88"/>
      <c r="CDV91" s="88"/>
      <c r="CDW91" s="88"/>
      <c r="CDX91" s="88"/>
      <c r="CDY91" s="88"/>
      <c r="CDZ91" s="88"/>
      <c r="CEA91" s="88"/>
      <c r="CEB91" s="88"/>
      <c r="CEC91" s="88"/>
      <c r="CED91" s="88"/>
      <c r="CEE91" s="88"/>
      <c r="CEF91" s="88"/>
      <c r="CEG91" s="88"/>
      <c r="CEH91" s="88"/>
      <c r="CEI91" s="88"/>
      <c r="CEJ91" s="88"/>
      <c r="CEK91" s="88"/>
    </row>
    <row r="92" spans="1:2169" s="51" customFormat="1">
      <c r="A92" s="461" t="s">
        <v>9579</v>
      </c>
      <c r="B92" s="461" t="s">
        <v>9684</v>
      </c>
      <c r="C92" s="69" t="str">
        <f>IF('page 2'!$O$4="","",IF('page 2'!$O$4=Gestion!A92,1,0))</f>
        <v/>
      </c>
      <c r="D92" s="69" t="str">
        <f>IF('page 2'!$O$5="","",IF('page 2'!$O$5=Gestion!A92,1,0))</f>
        <v/>
      </c>
      <c r="E92" s="69" t="str">
        <f>IF('page 2'!$O$6="","",IF('page 2'!$O$6=Gestion!A92,1,0))</f>
        <v/>
      </c>
      <c r="F92" s="69" t="str">
        <f>IF('page 2'!$O$7="","",IF('page 2'!$O$7=Gestion!A92,1,0))</f>
        <v/>
      </c>
      <c r="G92" s="69" t="str">
        <f>IF('page 2'!$O$8="","",IF('page 2'!$O$8=Gestion!A92,1,0))</f>
        <v/>
      </c>
      <c r="H92" s="69" t="str">
        <f>IF('page 2'!$O$9="","",IF('page 2'!$O$9=Gestion!A92,1,0))</f>
        <v/>
      </c>
      <c r="I92" s="69" t="str">
        <f>IF('page 2'!$O$10="","",IF('page 2'!$O$10=Gestion!A92,1,0))</f>
        <v/>
      </c>
      <c r="J92" s="69" t="str">
        <f>IF('page 2'!$O$11="","",IF('page 2'!$O$11=Gestion!A92,1,0))</f>
        <v/>
      </c>
      <c r="K92" s="69" t="str">
        <f>IF('page 2'!$O$12="","",IF('page 2'!$O$12=Gestion!A92,1,0))</f>
        <v/>
      </c>
      <c r="L92" s="69" t="str">
        <f>IF('page 2'!$O$13="","",IF('page 2'!$O$13=Gestion!A92,1,0))</f>
        <v/>
      </c>
      <c r="M92" s="69" t="str">
        <f>IF('page 2'!$O$14="","",IF('page 2'!$O$14=Gestion!A92,1,0))</f>
        <v/>
      </c>
      <c r="N92" s="69" t="str">
        <f>IF('page 2'!$O$15="","",IF('page 2'!$O$15=Gestion!A92,1,0))</f>
        <v/>
      </c>
      <c r="O92" s="69" t="str">
        <f>IF('page 2'!$O$16="","",IF('page 2'!$O$16=Gestion!A92,1,0))</f>
        <v/>
      </c>
      <c r="P92" s="69" t="str">
        <f>IF('page 2'!$O$17="","",IF('page 2'!$O$17=Gestion!A92,1,0))</f>
        <v/>
      </c>
      <c r="Q92" s="69" t="str">
        <f>IF('page 2'!$O$18="","",IF('page 2'!$O$18=Gestion!A92,1,0))</f>
        <v/>
      </c>
      <c r="R92" s="69" t="str">
        <f>IF('page 2'!$O$19="","",IF('page 2'!$O$19=Gestion!A92,1,0))</f>
        <v/>
      </c>
      <c r="S92" s="69" t="str">
        <f>IF('page 2'!$O$20="","",IF('page 2'!$O$20=Gestion!A92,1,0))</f>
        <v/>
      </c>
      <c r="T92" s="69" t="str">
        <f>IF('page 2'!$O$25="","",IF('page 2'!$O$25=Gestion!A92,1,0))</f>
        <v/>
      </c>
      <c r="U92" s="69" t="str">
        <f>IF('page 2'!$O$26="","",IF('page 2'!$O$26=Gestion!A92,1,0))</f>
        <v/>
      </c>
      <c r="V92" s="69" t="str">
        <f>IF('page 2'!$O$27="","",IF('page 2'!$O$27=Gestion!A92,1,0))</f>
        <v/>
      </c>
      <c r="W92" s="723">
        <f t="shared" ref="W92" si="15">SUM(C92:V92)</f>
        <v>0</v>
      </c>
      <c r="X92" s="713"/>
      <c r="Y92" s="69"/>
      <c r="Z92" s="69"/>
      <c r="AA92" s="69"/>
      <c r="AB92" s="542"/>
      <c r="AC92" s="542"/>
      <c r="AD92" s="542"/>
      <c r="AE92" s="88"/>
      <c r="AP92" s="469"/>
      <c r="AQ92" s="469"/>
      <c r="AR92" s="469"/>
      <c r="AS92" s="576"/>
      <c r="AT92" s="576"/>
      <c r="AU92" s="576"/>
      <c r="AV92" s="576"/>
      <c r="AW92" s="602"/>
      <c r="AX92" s="602"/>
      <c r="AY92" s="576"/>
      <c r="AZ92" s="576"/>
      <c r="BA92" s="576"/>
      <c r="BB92" s="576"/>
      <c r="BC92" s="576"/>
      <c r="BD92" s="602"/>
      <c r="BE92" s="602"/>
      <c r="BF92" s="602"/>
      <c r="BG92" s="602"/>
      <c r="BH92" s="602"/>
      <c r="BI92" s="602"/>
      <c r="BJ92" s="602"/>
      <c r="BK92" s="602"/>
      <c r="BL92" s="602"/>
      <c r="BM92" s="602"/>
      <c r="BN92" s="602"/>
      <c r="BO92" s="602"/>
      <c r="BP92" s="602"/>
      <c r="BQ92" s="602"/>
      <c r="BR92" s="602"/>
      <c r="BS92" s="576"/>
      <c r="BT92" s="576"/>
      <c r="BU92" s="576"/>
      <c r="BV92" s="576"/>
      <c r="BW92" s="602"/>
      <c r="BX92" s="602"/>
      <c r="BY92" s="602"/>
      <c r="BZ92" s="576"/>
      <c r="CA92" s="602"/>
      <c r="CB92" s="602"/>
      <c r="CC92" s="576"/>
      <c r="CD92" s="576"/>
      <c r="CE92" s="602"/>
      <c r="CF92" s="576"/>
      <c r="CG92" s="576"/>
      <c r="CH92" s="576"/>
      <c r="CI92" s="576"/>
      <c r="CJ92" s="576"/>
      <c r="CK92" s="602"/>
      <c r="CL92" s="602"/>
      <c r="CM92" s="576"/>
      <c r="CN92" s="602"/>
      <c r="CO92" s="602"/>
      <c r="CP92" s="602"/>
      <c r="CQ92" s="576"/>
      <c r="CR92" s="576"/>
      <c r="CS92" s="602"/>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c r="HF92" s="88"/>
      <c r="HG92" s="88"/>
      <c r="HH92" s="88"/>
      <c r="HI92" s="88"/>
      <c r="HJ92" s="88"/>
      <c r="HK92" s="88"/>
      <c r="HL92" s="88"/>
      <c r="HM92" s="88"/>
      <c r="HN92" s="88"/>
      <c r="HO92" s="88"/>
      <c r="HP92" s="88"/>
      <c r="HQ92" s="88"/>
      <c r="HR92" s="88"/>
      <c r="HS92" s="88"/>
      <c r="HT92" s="88"/>
      <c r="HU92" s="88"/>
      <c r="HV92" s="88"/>
      <c r="HW92" s="88"/>
      <c r="HX92" s="88"/>
      <c r="HY92" s="88"/>
      <c r="HZ92" s="88"/>
      <c r="IA92" s="88"/>
      <c r="IB92" s="88"/>
      <c r="IC92" s="88"/>
      <c r="ID92" s="88"/>
      <c r="IE92" s="88"/>
      <c r="IF92" s="88"/>
      <c r="IG92" s="88"/>
      <c r="IH92" s="88"/>
      <c r="II92" s="88"/>
      <c r="IJ92" s="88"/>
      <c r="IK92" s="88"/>
      <c r="IL92" s="88"/>
      <c r="IM92" s="88"/>
      <c r="IN92" s="88"/>
      <c r="IO92" s="88"/>
      <c r="IP92" s="88"/>
      <c r="IQ92" s="88"/>
      <c r="IR92" s="88"/>
      <c r="IS92" s="88"/>
      <c r="IT92" s="88"/>
      <c r="IU92" s="88"/>
      <c r="IV92" s="88"/>
      <c r="IW92" s="88"/>
      <c r="IX92" s="88"/>
      <c r="IY92" s="88"/>
      <c r="IZ92" s="88"/>
      <c r="JA92" s="88"/>
      <c r="JB92" s="88"/>
      <c r="JC92" s="88"/>
      <c r="JD92" s="88"/>
      <c r="JE92" s="88"/>
      <c r="JF92" s="88"/>
      <c r="JG92" s="88"/>
      <c r="JH92" s="88"/>
      <c r="JI92" s="88"/>
      <c r="JJ92" s="88"/>
      <c r="JK92" s="88"/>
      <c r="JL92" s="88"/>
      <c r="JM92" s="88"/>
      <c r="JN92" s="88"/>
      <c r="JO92" s="88"/>
      <c r="JP92" s="88"/>
      <c r="JQ92" s="88"/>
      <c r="JR92" s="88"/>
      <c r="JS92" s="88"/>
      <c r="JT92" s="88"/>
      <c r="JU92" s="88"/>
      <c r="JV92" s="88"/>
      <c r="JW92" s="88"/>
      <c r="JX92" s="88"/>
      <c r="JY92" s="88"/>
      <c r="JZ92" s="88"/>
      <c r="KA92" s="88"/>
      <c r="KB92" s="88"/>
      <c r="KC92" s="88"/>
      <c r="KD92" s="88"/>
      <c r="KE92" s="88"/>
      <c r="KF92" s="88"/>
      <c r="KG92" s="88"/>
      <c r="KH92" s="88"/>
      <c r="KI92" s="88"/>
      <c r="KJ92" s="88"/>
      <c r="KK92" s="88"/>
      <c r="KL92" s="88"/>
      <c r="KM92" s="88"/>
      <c r="KN92" s="88"/>
      <c r="KO92" s="88"/>
      <c r="KP92" s="88"/>
      <c r="KQ92" s="88"/>
      <c r="KR92" s="88"/>
      <c r="KS92" s="88"/>
      <c r="KT92" s="88"/>
      <c r="KU92" s="88"/>
      <c r="KV92" s="88"/>
      <c r="KW92" s="88"/>
      <c r="KX92" s="88"/>
      <c r="KY92" s="88"/>
      <c r="KZ92" s="88"/>
      <c r="LA92" s="88"/>
      <c r="LB92" s="88"/>
      <c r="LC92" s="88"/>
      <c r="LD92" s="88"/>
      <c r="LE92" s="88"/>
      <c r="LF92" s="88"/>
      <c r="LG92" s="88"/>
      <c r="LH92" s="88"/>
      <c r="LI92" s="88"/>
      <c r="LJ92" s="88"/>
      <c r="LK92" s="88"/>
      <c r="LL92" s="88"/>
      <c r="LM92" s="88"/>
      <c r="LN92" s="88"/>
      <c r="LO92" s="88"/>
      <c r="LP92" s="88"/>
      <c r="LQ92" s="88"/>
      <c r="LR92" s="88"/>
      <c r="LS92" s="88"/>
      <c r="LT92" s="88"/>
      <c r="LU92" s="88"/>
      <c r="LV92" s="88"/>
      <c r="LW92" s="88"/>
      <c r="LX92" s="88"/>
      <c r="LY92" s="88"/>
      <c r="LZ92" s="88"/>
      <c r="MA92" s="88"/>
      <c r="MB92" s="88"/>
      <c r="MC92" s="88"/>
      <c r="MD92" s="88"/>
      <c r="ME92" s="88"/>
      <c r="MF92" s="88"/>
      <c r="MG92" s="88"/>
      <c r="MH92" s="88"/>
      <c r="MI92" s="88"/>
      <c r="MJ92" s="88"/>
      <c r="MK92" s="88"/>
      <c r="ML92" s="88"/>
      <c r="MM92" s="88"/>
      <c r="MN92" s="88"/>
      <c r="MO92" s="88"/>
      <c r="MP92" s="88"/>
      <c r="MQ92" s="88"/>
      <c r="MR92" s="88"/>
      <c r="MS92" s="88"/>
      <c r="MT92" s="88"/>
      <c r="MU92" s="88"/>
      <c r="MV92" s="88"/>
      <c r="MW92" s="88"/>
      <c r="MX92" s="88"/>
      <c r="MY92" s="88"/>
      <c r="MZ92" s="88"/>
      <c r="NA92" s="88"/>
      <c r="NB92" s="88"/>
      <c r="NC92" s="88"/>
      <c r="ND92" s="88"/>
      <c r="NE92" s="88"/>
      <c r="NF92" s="88"/>
      <c r="NG92" s="88"/>
      <c r="NH92" s="88"/>
      <c r="NI92" s="88"/>
      <c r="NJ92" s="88"/>
      <c r="NK92" s="88"/>
      <c r="NL92" s="88"/>
      <c r="NM92" s="88"/>
      <c r="NN92" s="88"/>
      <c r="NO92" s="88"/>
      <c r="NP92" s="88"/>
      <c r="NQ92" s="88"/>
      <c r="NR92" s="88"/>
      <c r="NS92" s="88"/>
      <c r="NT92" s="88"/>
      <c r="NU92" s="88"/>
      <c r="NV92" s="88"/>
      <c r="NW92" s="88"/>
      <c r="NX92" s="88"/>
      <c r="NY92" s="88"/>
      <c r="NZ92" s="88"/>
      <c r="OA92" s="88"/>
      <c r="OB92" s="88"/>
      <c r="OC92" s="88"/>
      <c r="OD92" s="88"/>
      <c r="OE92" s="88"/>
      <c r="OF92" s="88"/>
      <c r="OG92" s="88"/>
      <c r="OH92" s="88"/>
      <c r="OI92" s="88"/>
      <c r="OJ92" s="88"/>
      <c r="OK92" s="88"/>
      <c r="OL92" s="88"/>
      <c r="OM92" s="88"/>
      <c r="ON92" s="88"/>
      <c r="OO92" s="88"/>
      <c r="OP92" s="88"/>
      <c r="OQ92" s="88"/>
      <c r="OR92" s="88"/>
      <c r="OS92" s="88"/>
      <c r="OT92" s="88"/>
      <c r="OU92" s="88"/>
      <c r="OV92" s="88"/>
      <c r="OW92" s="88"/>
      <c r="OX92" s="88"/>
      <c r="OY92" s="88"/>
      <c r="OZ92" s="88"/>
      <c r="PA92" s="88"/>
      <c r="PB92" s="88"/>
      <c r="PC92" s="88"/>
      <c r="PD92" s="88"/>
      <c r="PE92" s="88"/>
      <c r="PF92" s="88"/>
      <c r="PG92" s="88"/>
      <c r="PH92" s="88"/>
      <c r="PI92" s="88"/>
      <c r="PJ92" s="88"/>
      <c r="PK92" s="88"/>
      <c r="PL92" s="88"/>
      <c r="PM92" s="88"/>
      <c r="PN92" s="88"/>
      <c r="PO92" s="88"/>
      <c r="PP92" s="88"/>
      <c r="PQ92" s="88"/>
      <c r="PR92" s="88"/>
      <c r="PS92" s="88"/>
      <c r="PT92" s="88"/>
      <c r="PU92" s="88"/>
      <c r="PV92" s="88"/>
      <c r="PW92" s="88"/>
      <c r="PX92" s="88"/>
      <c r="PY92" s="88"/>
      <c r="PZ92" s="88"/>
      <c r="QA92" s="88"/>
      <c r="QB92" s="88"/>
      <c r="QC92" s="88"/>
      <c r="QD92" s="88"/>
      <c r="QE92" s="88"/>
      <c r="QF92" s="88"/>
      <c r="QG92" s="88"/>
      <c r="QH92" s="88"/>
      <c r="QI92" s="88"/>
      <c r="QJ92" s="88"/>
      <c r="QK92" s="88"/>
      <c r="QL92" s="88"/>
      <c r="QM92" s="88"/>
      <c r="QN92" s="88"/>
      <c r="QO92" s="88"/>
      <c r="QP92" s="88"/>
      <c r="QQ92" s="88"/>
      <c r="QR92" s="88"/>
      <c r="QS92" s="88"/>
      <c r="QT92" s="88"/>
      <c r="QU92" s="88"/>
      <c r="QV92" s="88"/>
      <c r="QW92" s="88"/>
      <c r="QX92" s="88"/>
      <c r="QY92" s="88"/>
      <c r="QZ92" s="88"/>
      <c r="RA92" s="88"/>
      <c r="RB92" s="88"/>
      <c r="RC92" s="88"/>
      <c r="RD92" s="88"/>
      <c r="RE92" s="88"/>
      <c r="RF92" s="88"/>
      <c r="RG92" s="88"/>
      <c r="RH92" s="88"/>
      <c r="RI92" s="88"/>
      <c r="RJ92" s="88"/>
      <c r="RK92" s="88"/>
      <c r="RL92" s="88"/>
      <c r="RM92" s="88"/>
      <c r="RN92" s="88"/>
      <c r="RO92" s="88"/>
      <c r="RP92" s="88"/>
      <c r="RQ92" s="88"/>
      <c r="RR92" s="88"/>
      <c r="RS92" s="88"/>
      <c r="RT92" s="88"/>
      <c r="RU92" s="88"/>
      <c r="RV92" s="88"/>
      <c r="RW92" s="88"/>
      <c r="RX92" s="88"/>
      <c r="RY92" s="88"/>
      <c r="RZ92" s="88"/>
      <c r="SA92" s="88"/>
      <c r="SB92" s="88"/>
      <c r="SC92" s="88"/>
      <c r="SD92" s="88"/>
      <c r="SE92" s="88"/>
      <c r="SF92" s="88"/>
      <c r="SG92" s="88"/>
      <c r="SH92" s="88"/>
      <c r="SI92" s="88"/>
      <c r="SJ92" s="88"/>
      <c r="SK92" s="88"/>
      <c r="SL92" s="88"/>
      <c r="SM92" s="88"/>
      <c r="SN92" s="88"/>
      <c r="SO92" s="88"/>
      <c r="SP92" s="88"/>
      <c r="SQ92" s="88"/>
      <c r="SR92" s="88"/>
      <c r="SS92" s="88"/>
      <c r="ST92" s="88"/>
      <c r="SU92" s="88"/>
      <c r="SV92" s="88"/>
      <c r="SW92" s="88"/>
      <c r="SX92" s="88"/>
      <c r="SY92" s="88"/>
      <c r="SZ92" s="88"/>
      <c r="TA92" s="88"/>
      <c r="TB92" s="88"/>
      <c r="TC92" s="88"/>
      <c r="TD92" s="88"/>
      <c r="TE92" s="88"/>
      <c r="TF92" s="88"/>
      <c r="TG92" s="88"/>
      <c r="TH92" s="88"/>
      <c r="TI92" s="88"/>
      <c r="TJ92" s="88"/>
      <c r="TK92" s="88"/>
      <c r="TL92" s="88"/>
      <c r="TM92" s="88"/>
      <c r="TN92" s="88"/>
      <c r="TO92" s="88"/>
      <c r="TP92" s="88"/>
      <c r="TQ92" s="88"/>
      <c r="TR92" s="88"/>
      <c r="TS92" s="88"/>
      <c r="TT92" s="88"/>
      <c r="TU92" s="88"/>
      <c r="TV92" s="88"/>
      <c r="TW92" s="88"/>
      <c r="TX92" s="88"/>
      <c r="TY92" s="88"/>
      <c r="TZ92" s="88"/>
      <c r="UA92" s="88"/>
      <c r="UB92" s="88"/>
      <c r="UC92" s="88"/>
      <c r="UD92" s="88"/>
      <c r="UE92" s="88"/>
      <c r="UF92" s="88"/>
      <c r="UG92" s="88"/>
      <c r="UH92" s="88"/>
      <c r="UI92" s="88"/>
      <c r="UJ92" s="88"/>
      <c r="UK92" s="88"/>
      <c r="UL92" s="88"/>
      <c r="UM92" s="88"/>
      <c r="UN92" s="88"/>
      <c r="UO92" s="88"/>
      <c r="UP92" s="88"/>
      <c r="UQ92" s="88"/>
      <c r="UR92" s="88"/>
      <c r="US92" s="88"/>
      <c r="UT92" s="88"/>
      <c r="UU92" s="88"/>
      <c r="UV92" s="88"/>
      <c r="UW92" s="88"/>
      <c r="UX92" s="88"/>
      <c r="UY92" s="88"/>
      <c r="UZ92" s="88"/>
      <c r="VA92" s="88"/>
      <c r="VB92" s="88"/>
      <c r="VC92" s="88"/>
      <c r="VD92" s="88"/>
      <c r="VE92" s="88"/>
      <c r="VF92" s="88"/>
      <c r="VG92" s="88"/>
      <c r="VH92" s="88"/>
      <c r="VI92" s="88"/>
      <c r="VJ92" s="88"/>
      <c r="VK92" s="88"/>
      <c r="VL92" s="88"/>
      <c r="VM92" s="88"/>
      <c r="VN92" s="88"/>
      <c r="VO92" s="88"/>
      <c r="VP92" s="88"/>
      <c r="VQ92" s="88"/>
      <c r="VR92" s="88"/>
      <c r="VS92" s="88"/>
      <c r="VT92" s="88"/>
      <c r="VU92" s="88"/>
      <c r="VV92" s="88"/>
      <c r="VW92" s="88"/>
      <c r="VX92" s="88"/>
      <c r="VY92" s="88"/>
      <c r="VZ92" s="88"/>
      <c r="WA92" s="88"/>
      <c r="WB92" s="88"/>
      <c r="WC92" s="88"/>
      <c r="WD92" s="88"/>
      <c r="WE92" s="88"/>
      <c r="WF92" s="88"/>
      <c r="WG92" s="88"/>
      <c r="WH92" s="88"/>
      <c r="WI92" s="88"/>
      <c r="WJ92" s="88"/>
      <c r="WK92" s="88"/>
      <c r="WL92" s="88"/>
      <c r="WM92" s="88"/>
      <c r="WN92" s="88"/>
      <c r="WO92" s="88"/>
      <c r="WP92" s="88"/>
      <c r="WQ92" s="88"/>
      <c r="WR92" s="88"/>
      <c r="WS92" s="88"/>
      <c r="WT92" s="88"/>
      <c r="WU92" s="88"/>
      <c r="WV92" s="88"/>
      <c r="WW92" s="88"/>
      <c r="WX92" s="88"/>
      <c r="WY92" s="88"/>
      <c r="WZ92" s="88"/>
      <c r="XA92" s="88"/>
      <c r="XB92" s="88"/>
      <c r="XC92" s="88"/>
      <c r="XD92" s="88"/>
      <c r="XE92" s="88"/>
      <c r="XF92" s="88"/>
      <c r="XG92" s="88"/>
      <c r="XH92" s="88"/>
      <c r="XI92" s="88"/>
      <c r="XJ92" s="88"/>
      <c r="XK92" s="88"/>
      <c r="XL92" s="88"/>
      <c r="XM92" s="88"/>
      <c r="XN92" s="88"/>
      <c r="XO92" s="88"/>
      <c r="XP92" s="88"/>
      <c r="XQ92" s="88"/>
      <c r="XR92" s="88"/>
      <c r="XS92" s="88"/>
      <c r="XT92" s="88"/>
      <c r="XU92" s="88"/>
      <c r="XV92" s="88"/>
      <c r="XW92" s="88"/>
      <c r="XX92" s="88"/>
      <c r="XY92" s="88"/>
      <c r="XZ92" s="88"/>
      <c r="YA92" s="88"/>
      <c r="YB92" s="88"/>
      <c r="YC92" s="88"/>
      <c r="YD92" s="88"/>
      <c r="YE92" s="88"/>
      <c r="YF92" s="88"/>
      <c r="YG92" s="88"/>
      <c r="YH92" s="88"/>
      <c r="YI92" s="88"/>
      <c r="YJ92" s="88"/>
      <c r="YK92" s="88"/>
      <c r="YL92" s="88"/>
      <c r="YM92" s="88"/>
      <c r="YN92" s="88"/>
      <c r="YO92" s="88"/>
      <c r="YP92" s="88"/>
      <c r="YQ92" s="88"/>
      <c r="YR92" s="88"/>
      <c r="YS92" s="88"/>
      <c r="YT92" s="88"/>
      <c r="YU92" s="88"/>
      <c r="YV92" s="88"/>
      <c r="YW92" s="88"/>
      <c r="YX92" s="88"/>
      <c r="YY92" s="88"/>
      <c r="YZ92" s="88"/>
      <c r="ZA92" s="88"/>
      <c r="ZB92" s="88"/>
      <c r="ZC92" s="88"/>
      <c r="ZD92" s="88"/>
      <c r="ZE92" s="88"/>
      <c r="ZF92" s="88"/>
      <c r="ZG92" s="88"/>
      <c r="ZH92" s="88"/>
      <c r="ZI92" s="88"/>
      <c r="ZJ92" s="88"/>
      <c r="ZK92" s="88"/>
      <c r="ZL92" s="88"/>
      <c r="ZM92" s="88"/>
      <c r="ZN92" s="88"/>
      <c r="ZO92" s="88"/>
      <c r="ZP92" s="88"/>
      <c r="ZQ92" s="88"/>
      <c r="ZR92" s="88"/>
      <c r="ZS92" s="88"/>
      <c r="ZT92" s="88"/>
      <c r="ZU92" s="88"/>
      <c r="ZV92" s="88"/>
      <c r="ZW92" s="88"/>
      <c r="ZX92" s="88"/>
      <c r="ZY92" s="88"/>
      <c r="ZZ92" s="88"/>
      <c r="AAA92" s="88"/>
      <c r="AAB92" s="88"/>
      <c r="AAC92" s="88"/>
      <c r="AAD92" s="88"/>
      <c r="AAE92" s="88"/>
      <c r="AAF92" s="88"/>
      <c r="AAG92" s="88"/>
      <c r="AAH92" s="88"/>
      <c r="AAI92" s="88"/>
      <c r="AAJ92" s="88"/>
      <c r="AAK92" s="88"/>
      <c r="AAL92" s="88"/>
      <c r="AAM92" s="88"/>
      <c r="AAN92" s="88"/>
      <c r="AAO92" s="88"/>
      <c r="AAP92" s="88"/>
      <c r="AAQ92" s="88"/>
      <c r="AAR92" s="88"/>
      <c r="AAS92" s="88"/>
      <c r="AAT92" s="88"/>
      <c r="AAU92" s="88"/>
      <c r="AAV92" s="88"/>
      <c r="AAW92" s="88"/>
      <c r="AAX92" s="88"/>
      <c r="AAY92" s="88"/>
      <c r="AAZ92" s="88"/>
      <c r="ABA92" s="88"/>
      <c r="ABB92" s="88"/>
      <c r="ABC92" s="88"/>
      <c r="ABD92" s="88"/>
      <c r="ABE92" s="88"/>
      <c r="ABF92" s="88"/>
      <c r="ABG92" s="88"/>
      <c r="ABH92" s="88"/>
      <c r="ABI92" s="88"/>
      <c r="ABJ92" s="88"/>
      <c r="ABK92" s="88"/>
      <c r="ABL92" s="88"/>
      <c r="ABM92" s="88"/>
      <c r="ABN92" s="88"/>
      <c r="ABO92" s="88"/>
      <c r="ABP92" s="88"/>
      <c r="ABQ92" s="88"/>
      <c r="ABR92" s="88"/>
      <c r="ABS92" s="88"/>
      <c r="ABT92" s="88"/>
      <c r="ABU92" s="88"/>
      <c r="ABV92" s="88"/>
      <c r="ABW92" s="88"/>
      <c r="ABX92" s="88"/>
      <c r="ABY92" s="88"/>
      <c r="ABZ92" s="88"/>
      <c r="ACA92" s="88"/>
      <c r="ACB92" s="88"/>
      <c r="ACC92" s="88"/>
      <c r="ACD92" s="88"/>
      <c r="ACE92" s="88"/>
      <c r="ACF92" s="88"/>
      <c r="ACG92" s="88"/>
      <c r="ACH92" s="88"/>
      <c r="ACI92" s="88"/>
      <c r="ACJ92" s="88"/>
      <c r="ACK92" s="88"/>
      <c r="ACL92" s="88"/>
      <c r="ACM92" s="88"/>
      <c r="ACN92" s="88"/>
      <c r="ACO92" s="88"/>
      <c r="ACP92" s="88"/>
      <c r="ACQ92" s="88"/>
      <c r="ACR92" s="88"/>
      <c r="ACS92" s="88"/>
      <c r="ACT92" s="88"/>
      <c r="ACU92" s="88"/>
      <c r="ACV92" s="88"/>
      <c r="ACW92" s="88"/>
      <c r="ACX92" s="88"/>
      <c r="ACY92" s="88"/>
      <c r="ACZ92" s="88"/>
      <c r="ADA92" s="88"/>
      <c r="ADB92" s="88"/>
      <c r="ADC92" s="88"/>
      <c r="ADD92" s="88"/>
      <c r="ADE92" s="88"/>
      <c r="ADF92" s="88"/>
      <c r="ADG92" s="88"/>
      <c r="ADH92" s="88"/>
      <c r="ADI92" s="88"/>
      <c r="ADJ92" s="88"/>
      <c r="ADK92" s="88"/>
      <c r="ADL92" s="88"/>
      <c r="ADM92" s="88"/>
      <c r="ADN92" s="88"/>
      <c r="ADO92" s="88"/>
      <c r="ADP92" s="88"/>
      <c r="ADQ92" s="88"/>
      <c r="ADR92" s="88"/>
      <c r="ADS92" s="88"/>
      <c r="ADT92" s="88"/>
      <c r="ADU92" s="88"/>
      <c r="ADV92" s="88"/>
      <c r="ADW92" s="88"/>
      <c r="ADX92" s="88"/>
      <c r="ADY92" s="88"/>
      <c r="ADZ92" s="88"/>
      <c r="AEA92" s="88"/>
      <c r="AEB92" s="88"/>
      <c r="AEC92" s="88"/>
      <c r="AED92" s="88"/>
      <c r="AEE92" s="88"/>
      <c r="AEF92" s="88"/>
      <c r="AEG92" s="88"/>
      <c r="AEH92" s="88"/>
      <c r="AEI92" s="88"/>
      <c r="AEJ92" s="88"/>
      <c r="AEK92" s="88"/>
      <c r="AEL92" s="88"/>
      <c r="AEM92" s="88"/>
      <c r="AEN92" s="88"/>
      <c r="AEO92" s="88"/>
      <c r="AEP92" s="88"/>
      <c r="AEQ92" s="88"/>
      <c r="AER92" s="88"/>
      <c r="AES92" s="88"/>
      <c r="AET92" s="88"/>
      <c r="AEU92" s="88"/>
      <c r="AEV92" s="88"/>
      <c r="AEW92" s="88"/>
      <c r="AEX92" s="88"/>
      <c r="AEY92" s="88"/>
      <c r="AEZ92" s="88"/>
      <c r="AFA92" s="88"/>
      <c r="AFB92" s="88"/>
      <c r="AFC92" s="88"/>
      <c r="AFD92" s="88"/>
      <c r="AFE92" s="88"/>
      <c r="AFF92" s="88"/>
      <c r="AFG92" s="88"/>
      <c r="AFH92" s="88"/>
      <c r="AFI92" s="88"/>
      <c r="AFJ92" s="88"/>
      <c r="AFK92" s="88"/>
      <c r="AFL92" s="88"/>
      <c r="AFM92" s="88"/>
      <c r="AFN92" s="88"/>
      <c r="AFO92" s="88"/>
      <c r="AFP92" s="88"/>
      <c r="AFQ92" s="88"/>
      <c r="AFR92" s="88"/>
      <c r="AFS92" s="88"/>
      <c r="AFT92" s="88"/>
      <c r="AFU92" s="88"/>
      <c r="AFV92" s="88"/>
      <c r="AFW92" s="88"/>
      <c r="AFX92" s="88"/>
      <c r="AFY92" s="88"/>
      <c r="AFZ92" s="88"/>
      <c r="AGA92" s="88"/>
      <c r="AGB92" s="88"/>
      <c r="AGC92" s="88"/>
      <c r="AGD92" s="88"/>
      <c r="AGE92" s="88"/>
      <c r="AGF92" s="88"/>
      <c r="AGG92" s="88"/>
      <c r="AGH92" s="88"/>
      <c r="AGI92" s="88"/>
      <c r="AGJ92" s="88"/>
      <c r="AGK92" s="88"/>
      <c r="AGL92" s="88"/>
      <c r="AGM92" s="88"/>
      <c r="AGN92" s="88"/>
      <c r="AGO92" s="88"/>
      <c r="AGP92" s="88"/>
      <c r="AGQ92" s="88"/>
      <c r="AGR92" s="88"/>
      <c r="AGS92" s="88"/>
      <c r="AGT92" s="88"/>
      <c r="AGU92" s="88"/>
      <c r="AGV92" s="88"/>
      <c r="AGW92" s="88"/>
      <c r="AGX92" s="88"/>
      <c r="AGY92" s="88"/>
      <c r="AGZ92" s="88"/>
      <c r="AHA92" s="88"/>
      <c r="AHB92" s="88"/>
      <c r="AHC92" s="88"/>
      <c r="AHD92" s="88"/>
      <c r="AHE92" s="88"/>
      <c r="AHF92" s="88"/>
      <c r="AHG92" s="88"/>
      <c r="AHH92" s="88"/>
      <c r="AHI92" s="88"/>
      <c r="AHJ92" s="88"/>
      <c r="AHK92" s="88"/>
      <c r="AHL92" s="88"/>
      <c r="AHM92" s="88"/>
      <c r="AHN92" s="88"/>
      <c r="AHO92" s="88"/>
      <c r="AHP92" s="88"/>
      <c r="AHQ92" s="88"/>
      <c r="AHR92" s="88"/>
      <c r="AHS92" s="88"/>
      <c r="AHT92" s="88"/>
      <c r="AHU92" s="88"/>
      <c r="AHV92" s="88"/>
      <c r="AHW92" s="88"/>
      <c r="AHX92" s="88"/>
      <c r="AHY92" s="88"/>
      <c r="AHZ92" s="88"/>
      <c r="AIA92" s="88"/>
      <c r="AIB92" s="88"/>
      <c r="AIC92" s="88"/>
      <c r="AID92" s="88"/>
      <c r="AIE92" s="88"/>
      <c r="AIF92" s="88"/>
      <c r="AIG92" s="88"/>
      <c r="AIH92" s="88"/>
      <c r="AII92" s="88"/>
      <c r="AIJ92" s="88"/>
      <c r="AIK92" s="88"/>
      <c r="AIL92" s="88"/>
      <c r="AIM92" s="88"/>
      <c r="AIN92" s="88"/>
      <c r="AIO92" s="88"/>
      <c r="AIP92" s="88"/>
      <c r="AIQ92" s="88"/>
      <c r="AIR92" s="88"/>
      <c r="AIS92" s="88"/>
      <c r="AIT92" s="88"/>
      <c r="AIU92" s="88"/>
      <c r="AIV92" s="88"/>
      <c r="AIW92" s="88"/>
      <c r="AIX92" s="88"/>
      <c r="AIY92" s="88"/>
      <c r="AIZ92" s="88"/>
      <c r="AJA92" s="88"/>
      <c r="AJB92" s="88"/>
      <c r="AJC92" s="88"/>
      <c r="AJD92" s="88"/>
      <c r="AJE92" s="88"/>
      <c r="AJF92" s="88"/>
      <c r="AJG92" s="88"/>
      <c r="AJH92" s="88"/>
      <c r="AJI92" s="88"/>
      <c r="AJJ92" s="88"/>
      <c r="AJK92" s="88"/>
      <c r="AJL92" s="88"/>
      <c r="AJM92" s="88"/>
      <c r="AJN92" s="88"/>
      <c r="AJO92" s="88"/>
      <c r="AJP92" s="88"/>
      <c r="AJQ92" s="88"/>
      <c r="AJR92" s="88"/>
      <c r="AJS92" s="88"/>
      <c r="AJT92" s="88"/>
      <c r="AJU92" s="88"/>
      <c r="AJV92" s="88"/>
      <c r="AJW92" s="88"/>
      <c r="AJX92" s="88"/>
      <c r="AJY92" s="88"/>
      <c r="AJZ92" s="88"/>
      <c r="AKA92" s="88"/>
      <c r="AKB92" s="88"/>
      <c r="AKC92" s="88"/>
      <c r="AKD92" s="88"/>
      <c r="AKE92" s="88"/>
      <c r="AKF92" s="88"/>
      <c r="AKG92" s="88"/>
      <c r="AKH92" s="88"/>
      <c r="AKI92" s="88"/>
      <c r="AKJ92" s="88"/>
      <c r="AKK92" s="88"/>
      <c r="AKL92" s="88"/>
      <c r="AKM92" s="88"/>
      <c r="AKN92" s="88"/>
      <c r="AKO92" s="88"/>
      <c r="AKP92" s="88"/>
      <c r="AKQ92" s="88"/>
      <c r="AKR92" s="88"/>
      <c r="AKS92" s="88"/>
      <c r="AKT92" s="88"/>
      <c r="AKU92" s="88"/>
      <c r="AKV92" s="88"/>
      <c r="AKW92" s="88"/>
      <c r="AKX92" s="88"/>
      <c r="AKY92" s="88"/>
      <c r="AKZ92" s="88"/>
      <c r="ALA92" s="88"/>
      <c r="ALB92" s="88"/>
      <c r="ALC92" s="88"/>
      <c r="ALD92" s="88"/>
      <c r="ALE92" s="88"/>
      <c r="ALF92" s="88"/>
      <c r="ALG92" s="88"/>
      <c r="ALH92" s="88"/>
      <c r="ALI92" s="88"/>
      <c r="ALJ92" s="88"/>
      <c r="ALK92" s="88"/>
      <c r="ALL92" s="88"/>
      <c r="ALM92" s="88"/>
      <c r="ALN92" s="88"/>
      <c r="ALO92" s="88"/>
      <c r="ALP92" s="88"/>
      <c r="ALQ92" s="88"/>
      <c r="ALR92" s="88"/>
      <c r="ALS92" s="88"/>
      <c r="ALT92" s="88"/>
      <c r="ALU92" s="88"/>
      <c r="ALV92" s="88"/>
      <c r="ALW92" s="88"/>
      <c r="ALX92" s="88"/>
      <c r="ALY92" s="88"/>
      <c r="ALZ92" s="88"/>
      <c r="AMA92" s="88"/>
      <c r="AMB92" s="88"/>
      <c r="AMC92" s="88"/>
      <c r="AMD92" s="88"/>
      <c r="AME92" s="88"/>
      <c r="AMF92" s="88"/>
      <c r="AMG92" s="88"/>
      <c r="AMH92" s="88"/>
      <c r="AMI92" s="88"/>
      <c r="AMJ92" s="88"/>
      <c r="AMK92" s="88"/>
      <c r="AML92" s="88"/>
      <c r="AMM92" s="88"/>
      <c r="AMN92" s="88"/>
      <c r="AMO92" s="88"/>
      <c r="AMP92" s="88"/>
      <c r="AMQ92" s="88"/>
      <c r="AMR92" s="88"/>
      <c r="AMS92" s="88"/>
      <c r="AMT92" s="88"/>
      <c r="AMU92" s="88"/>
      <c r="AMV92" s="88"/>
      <c r="AMW92" s="88"/>
      <c r="AMX92" s="88"/>
      <c r="AMY92" s="88"/>
      <c r="AMZ92" s="88"/>
      <c r="ANA92" s="88"/>
      <c r="ANB92" s="88"/>
      <c r="ANC92" s="88"/>
      <c r="AND92" s="88"/>
      <c r="ANE92" s="88"/>
      <c r="ANF92" s="88"/>
      <c r="ANG92" s="88"/>
      <c r="ANH92" s="88"/>
      <c r="ANI92" s="88"/>
      <c r="ANJ92" s="88"/>
      <c r="ANK92" s="88"/>
      <c r="ANL92" s="88"/>
      <c r="ANM92" s="88"/>
      <c r="ANN92" s="88"/>
      <c r="ANO92" s="88"/>
      <c r="ANP92" s="88"/>
      <c r="ANQ92" s="88"/>
      <c r="ANR92" s="88"/>
      <c r="ANS92" s="88"/>
      <c r="ANT92" s="88"/>
      <c r="ANU92" s="88"/>
      <c r="ANV92" s="88"/>
      <c r="ANW92" s="88"/>
      <c r="ANX92" s="88"/>
      <c r="ANY92" s="88"/>
      <c r="ANZ92" s="88"/>
      <c r="AOA92" s="88"/>
      <c r="AOB92" s="88"/>
      <c r="AOC92" s="88"/>
      <c r="AOD92" s="88"/>
      <c r="AOE92" s="88"/>
      <c r="AOF92" s="88"/>
      <c r="AOG92" s="88"/>
      <c r="AOH92" s="88"/>
      <c r="AOI92" s="88"/>
      <c r="AOJ92" s="88"/>
      <c r="AOK92" s="88"/>
      <c r="AOL92" s="88"/>
      <c r="AOM92" s="88"/>
      <c r="AON92" s="88"/>
      <c r="AOO92" s="88"/>
      <c r="AOP92" s="88"/>
      <c r="AOQ92" s="88"/>
      <c r="AOR92" s="88"/>
      <c r="AOS92" s="88"/>
      <c r="AOT92" s="88"/>
      <c r="AOU92" s="88"/>
      <c r="AOV92" s="88"/>
      <c r="AOW92" s="88"/>
      <c r="AOX92" s="88"/>
      <c r="AOY92" s="88"/>
      <c r="AOZ92" s="88"/>
      <c r="APA92" s="88"/>
      <c r="APB92" s="88"/>
      <c r="APC92" s="88"/>
      <c r="APD92" s="88"/>
      <c r="APE92" s="88"/>
      <c r="APF92" s="88"/>
      <c r="APG92" s="88"/>
      <c r="APH92" s="88"/>
      <c r="API92" s="88"/>
      <c r="APJ92" s="88"/>
      <c r="APK92" s="88"/>
      <c r="APL92" s="88"/>
      <c r="APM92" s="88"/>
      <c r="APN92" s="88"/>
      <c r="APO92" s="88"/>
      <c r="APP92" s="88"/>
      <c r="APQ92" s="88"/>
      <c r="APR92" s="88"/>
      <c r="APS92" s="88"/>
      <c r="APT92" s="88"/>
      <c r="APU92" s="88"/>
      <c r="APV92" s="88"/>
      <c r="APW92" s="88"/>
      <c r="APX92" s="88"/>
      <c r="APY92" s="88"/>
      <c r="APZ92" s="88"/>
      <c r="AQA92" s="88"/>
      <c r="AQB92" s="88"/>
      <c r="AQC92" s="88"/>
      <c r="AQD92" s="88"/>
      <c r="AQE92" s="88"/>
      <c r="AQF92" s="88"/>
      <c r="AQG92" s="88"/>
      <c r="AQH92" s="88"/>
      <c r="AQI92" s="88"/>
      <c r="AQJ92" s="88"/>
      <c r="AQK92" s="88"/>
      <c r="AQL92" s="88"/>
      <c r="AQM92" s="88"/>
      <c r="AQN92" s="88"/>
      <c r="AQO92" s="88"/>
      <c r="AQP92" s="88"/>
      <c r="AQQ92" s="88"/>
      <c r="AQR92" s="88"/>
      <c r="AQS92" s="88"/>
      <c r="AQT92" s="88"/>
      <c r="AQU92" s="88"/>
      <c r="AQV92" s="88"/>
      <c r="AQW92" s="88"/>
      <c r="AQX92" s="88"/>
      <c r="AQY92" s="88"/>
      <c r="AQZ92" s="88"/>
      <c r="ARA92" s="88"/>
      <c r="ARB92" s="88"/>
      <c r="ARC92" s="88"/>
      <c r="ARD92" s="88"/>
      <c r="ARE92" s="88"/>
      <c r="ARF92" s="88"/>
      <c r="ARG92" s="88"/>
      <c r="ARH92" s="88"/>
      <c r="ARI92" s="88"/>
      <c r="ARJ92" s="88"/>
      <c r="ARK92" s="88"/>
      <c r="ARL92" s="88"/>
      <c r="ARM92" s="88"/>
      <c r="ARN92" s="88"/>
      <c r="ARO92" s="88"/>
      <c r="ARP92" s="88"/>
      <c r="ARQ92" s="88"/>
      <c r="ARR92" s="88"/>
      <c r="ARS92" s="88"/>
      <c r="ART92" s="88"/>
      <c r="ARU92" s="88"/>
      <c r="ARV92" s="88"/>
      <c r="ARW92" s="88"/>
      <c r="ARX92" s="88"/>
      <c r="ARY92" s="88"/>
      <c r="ARZ92" s="88"/>
      <c r="ASA92" s="88"/>
      <c r="ASB92" s="88"/>
      <c r="ASC92" s="88"/>
      <c r="ASD92" s="88"/>
      <c r="ASE92" s="88"/>
      <c r="ASF92" s="88"/>
      <c r="ASG92" s="88"/>
      <c r="ASH92" s="88"/>
      <c r="ASI92" s="88"/>
      <c r="ASJ92" s="88"/>
      <c r="ASK92" s="88"/>
      <c r="ASL92" s="88"/>
      <c r="ASM92" s="88"/>
      <c r="ASN92" s="88"/>
      <c r="ASO92" s="88"/>
      <c r="ASP92" s="88"/>
      <c r="ASQ92" s="88"/>
      <c r="ASR92" s="88"/>
      <c r="ASS92" s="88"/>
      <c r="AST92" s="88"/>
      <c r="ASU92" s="88"/>
      <c r="ASV92" s="88"/>
      <c r="ASW92" s="88"/>
      <c r="ASX92" s="88"/>
      <c r="ASY92" s="88"/>
      <c r="ASZ92" s="88"/>
      <c r="ATA92" s="88"/>
      <c r="ATB92" s="88"/>
      <c r="ATC92" s="88"/>
      <c r="ATD92" s="88"/>
      <c r="ATE92" s="88"/>
      <c r="ATF92" s="88"/>
      <c r="ATG92" s="88"/>
      <c r="ATH92" s="88"/>
      <c r="ATI92" s="88"/>
      <c r="ATJ92" s="88"/>
      <c r="ATK92" s="88"/>
      <c r="ATL92" s="88"/>
      <c r="ATM92" s="88"/>
      <c r="ATN92" s="88"/>
      <c r="ATO92" s="88"/>
      <c r="ATP92" s="88"/>
      <c r="ATQ92" s="88"/>
      <c r="ATR92" s="88"/>
      <c r="ATS92" s="88"/>
      <c r="ATT92" s="88"/>
      <c r="ATU92" s="88"/>
      <c r="ATV92" s="88"/>
      <c r="ATW92" s="88"/>
      <c r="ATX92" s="88"/>
      <c r="ATY92" s="88"/>
      <c r="ATZ92" s="88"/>
      <c r="AUA92" s="88"/>
      <c r="AUB92" s="88"/>
      <c r="AUC92" s="88"/>
      <c r="AUD92" s="88"/>
      <c r="AUE92" s="88"/>
      <c r="AUF92" s="88"/>
      <c r="AUG92" s="88"/>
      <c r="AUH92" s="88"/>
      <c r="AUI92" s="88"/>
      <c r="AUJ92" s="88"/>
      <c r="AUK92" s="88"/>
      <c r="AUL92" s="88"/>
      <c r="AUM92" s="88"/>
      <c r="AUN92" s="88"/>
      <c r="AUO92" s="88"/>
      <c r="AUP92" s="88"/>
      <c r="AUQ92" s="88"/>
      <c r="AUR92" s="88"/>
      <c r="AUS92" s="88"/>
      <c r="AUT92" s="88"/>
      <c r="AUU92" s="88"/>
      <c r="AUV92" s="88"/>
      <c r="AUW92" s="88"/>
      <c r="AUX92" s="88"/>
      <c r="AUY92" s="88"/>
      <c r="AUZ92" s="88"/>
      <c r="AVA92" s="88"/>
      <c r="AVB92" s="88"/>
      <c r="AVC92" s="88"/>
      <c r="AVD92" s="88"/>
      <c r="AVE92" s="88"/>
      <c r="AVF92" s="88"/>
      <c r="AVG92" s="88"/>
      <c r="AVH92" s="88"/>
      <c r="AVI92" s="88"/>
      <c r="AVJ92" s="88"/>
      <c r="AVK92" s="88"/>
      <c r="AVL92" s="88"/>
      <c r="AVM92" s="88"/>
      <c r="AVN92" s="88"/>
      <c r="AVO92" s="88"/>
      <c r="AVP92" s="88"/>
      <c r="AVQ92" s="88"/>
      <c r="AVR92" s="88"/>
      <c r="AVS92" s="88"/>
      <c r="AVT92" s="88"/>
      <c r="AVU92" s="88"/>
      <c r="AVV92" s="88"/>
      <c r="AVW92" s="88"/>
      <c r="AVX92" s="88"/>
      <c r="AVY92" s="88"/>
      <c r="AVZ92" s="88"/>
      <c r="AWA92" s="88"/>
      <c r="AWB92" s="88"/>
      <c r="AWC92" s="88"/>
      <c r="AWD92" s="88"/>
      <c r="AWE92" s="88"/>
      <c r="AWF92" s="88"/>
      <c r="AWG92" s="88"/>
      <c r="AWH92" s="88"/>
      <c r="AWI92" s="88"/>
      <c r="AWJ92" s="88"/>
      <c r="AWK92" s="88"/>
      <c r="AWL92" s="88"/>
      <c r="AWM92" s="88"/>
      <c r="AWN92" s="88"/>
      <c r="AWO92" s="88"/>
      <c r="AWP92" s="88"/>
      <c r="AWQ92" s="88"/>
      <c r="AWR92" s="88"/>
      <c r="AWS92" s="88"/>
      <c r="AWT92" s="88"/>
      <c r="AWU92" s="88"/>
      <c r="AWV92" s="88"/>
      <c r="AWW92" s="88"/>
      <c r="AWX92" s="88"/>
      <c r="AWY92" s="88"/>
      <c r="AWZ92" s="88"/>
      <c r="AXA92" s="88"/>
      <c r="AXB92" s="88"/>
      <c r="AXC92" s="88"/>
      <c r="AXD92" s="88"/>
      <c r="AXE92" s="88"/>
      <c r="AXF92" s="88"/>
      <c r="AXG92" s="88"/>
      <c r="AXH92" s="88"/>
      <c r="AXI92" s="88"/>
      <c r="AXJ92" s="88"/>
      <c r="AXK92" s="88"/>
      <c r="AXL92" s="88"/>
      <c r="AXM92" s="88"/>
      <c r="AXN92" s="88"/>
      <c r="AXO92" s="88"/>
      <c r="AXP92" s="88"/>
      <c r="AXQ92" s="88"/>
      <c r="AXR92" s="88"/>
      <c r="AXS92" s="88"/>
      <c r="AXT92" s="88"/>
      <c r="AXU92" s="88"/>
      <c r="AXV92" s="88"/>
      <c r="AXW92" s="88"/>
      <c r="AXX92" s="88"/>
      <c r="AXY92" s="88"/>
      <c r="AXZ92" s="88"/>
      <c r="AYA92" s="88"/>
      <c r="AYB92" s="88"/>
      <c r="AYC92" s="88"/>
      <c r="AYD92" s="88"/>
      <c r="AYE92" s="88"/>
      <c r="AYF92" s="88"/>
      <c r="AYG92" s="88"/>
      <c r="AYH92" s="88"/>
      <c r="AYI92" s="88"/>
      <c r="AYJ92" s="88"/>
      <c r="AYK92" s="88"/>
      <c r="AYL92" s="88"/>
      <c r="AYM92" s="88"/>
      <c r="AYN92" s="88"/>
      <c r="AYO92" s="88"/>
      <c r="AYP92" s="88"/>
      <c r="AYQ92" s="88"/>
      <c r="AYR92" s="88"/>
      <c r="AYS92" s="88"/>
      <c r="AYT92" s="88"/>
      <c r="AYU92" s="88"/>
      <c r="AYV92" s="88"/>
      <c r="AYW92" s="88"/>
      <c r="AYX92" s="88"/>
      <c r="AYY92" s="88"/>
      <c r="AYZ92" s="88"/>
      <c r="AZA92" s="88"/>
      <c r="AZB92" s="88"/>
      <c r="AZC92" s="88"/>
      <c r="AZD92" s="88"/>
      <c r="AZE92" s="88"/>
      <c r="AZF92" s="88"/>
      <c r="AZG92" s="88"/>
      <c r="AZH92" s="88"/>
      <c r="AZI92" s="88"/>
      <c r="AZJ92" s="88"/>
      <c r="AZK92" s="88"/>
      <c r="AZL92" s="88"/>
      <c r="AZM92" s="88"/>
      <c r="AZN92" s="88"/>
      <c r="AZO92" s="88"/>
      <c r="AZP92" s="88"/>
      <c r="AZQ92" s="88"/>
      <c r="AZR92" s="88"/>
      <c r="AZS92" s="88"/>
      <c r="AZT92" s="88"/>
      <c r="AZU92" s="88"/>
      <c r="AZV92" s="88"/>
      <c r="AZW92" s="88"/>
      <c r="AZX92" s="88"/>
      <c r="AZY92" s="88"/>
      <c r="AZZ92" s="88"/>
      <c r="BAA92" s="88"/>
      <c r="BAB92" s="88"/>
      <c r="BAC92" s="88"/>
      <c r="BAD92" s="88"/>
      <c r="BAE92" s="88"/>
      <c r="BAF92" s="88"/>
      <c r="BAG92" s="88"/>
      <c r="BAH92" s="88"/>
      <c r="BAI92" s="88"/>
      <c r="BAJ92" s="88"/>
      <c r="BAK92" s="88"/>
      <c r="BAL92" s="88"/>
      <c r="BAM92" s="88"/>
      <c r="BAN92" s="88"/>
      <c r="BAO92" s="88"/>
      <c r="BAP92" s="88"/>
      <c r="BAQ92" s="88"/>
      <c r="BAR92" s="88"/>
      <c r="BAS92" s="88"/>
      <c r="BAT92" s="88"/>
      <c r="BAU92" s="88"/>
      <c r="BAV92" s="88"/>
      <c r="BAW92" s="88"/>
      <c r="BAX92" s="88"/>
      <c r="BAY92" s="88"/>
      <c r="BAZ92" s="88"/>
      <c r="BBA92" s="88"/>
      <c r="BBB92" s="88"/>
      <c r="BBC92" s="88"/>
      <c r="BBD92" s="88"/>
      <c r="BBE92" s="88"/>
      <c r="BBF92" s="88"/>
      <c r="BBG92" s="88"/>
      <c r="BBH92" s="88"/>
      <c r="BBI92" s="88"/>
      <c r="BBJ92" s="88"/>
      <c r="BBK92" s="88"/>
      <c r="BBL92" s="88"/>
      <c r="BBM92" s="88"/>
      <c r="BBN92" s="88"/>
      <c r="BBO92" s="88"/>
      <c r="BBP92" s="88"/>
      <c r="BBQ92" s="88"/>
      <c r="BBR92" s="88"/>
      <c r="BBS92" s="88"/>
      <c r="BBT92" s="88"/>
      <c r="BBU92" s="88"/>
      <c r="BBV92" s="88"/>
      <c r="BBW92" s="88"/>
      <c r="BBX92" s="88"/>
      <c r="BBY92" s="88"/>
      <c r="BBZ92" s="88"/>
      <c r="BCA92" s="88"/>
      <c r="BCB92" s="88"/>
      <c r="BCC92" s="88"/>
      <c r="BCD92" s="88"/>
      <c r="BCE92" s="88"/>
      <c r="BCF92" s="88"/>
      <c r="BCG92" s="88"/>
      <c r="BCH92" s="88"/>
      <c r="BCI92" s="88"/>
      <c r="BCJ92" s="88"/>
      <c r="BCK92" s="88"/>
      <c r="BCL92" s="88"/>
      <c r="BCM92" s="88"/>
      <c r="BCN92" s="88"/>
      <c r="BCO92" s="88"/>
      <c r="BCP92" s="88"/>
      <c r="BCQ92" s="88"/>
      <c r="BCR92" s="88"/>
      <c r="BCS92" s="88"/>
      <c r="BCT92" s="88"/>
      <c r="BCU92" s="88"/>
      <c r="BCV92" s="88"/>
      <c r="BCW92" s="88"/>
      <c r="BCX92" s="88"/>
      <c r="BCY92" s="88"/>
      <c r="BCZ92" s="88"/>
      <c r="BDA92" s="88"/>
      <c r="BDB92" s="88"/>
      <c r="BDC92" s="88"/>
      <c r="BDD92" s="88"/>
      <c r="BDE92" s="88"/>
      <c r="BDF92" s="88"/>
      <c r="BDG92" s="88"/>
      <c r="BDH92" s="88"/>
      <c r="BDI92" s="88"/>
      <c r="BDJ92" s="88"/>
      <c r="BDK92" s="88"/>
      <c r="BDL92" s="88"/>
      <c r="BDM92" s="88"/>
      <c r="BDN92" s="88"/>
      <c r="BDO92" s="88"/>
      <c r="BDP92" s="88"/>
      <c r="BDQ92" s="88"/>
      <c r="BDR92" s="88"/>
      <c r="BDS92" s="88"/>
      <c r="BDT92" s="88"/>
      <c r="BDU92" s="88"/>
      <c r="BDV92" s="88"/>
      <c r="BDW92" s="88"/>
      <c r="BDX92" s="88"/>
      <c r="BDY92" s="88"/>
      <c r="BDZ92" s="88"/>
      <c r="BEA92" s="88"/>
      <c r="BEB92" s="88"/>
      <c r="BEC92" s="88"/>
      <c r="BED92" s="88"/>
      <c r="BEE92" s="88"/>
      <c r="BEF92" s="88"/>
      <c r="BEG92" s="88"/>
      <c r="BEH92" s="88"/>
      <c r="BEI92" s="88"/>
      <c r="BEJ92" s="88"/>
      <c r="BEK92" s="88"/>
      <c r="BEL92" s="88"/>
      <c r="BEM92" s="88"/>
      <c r="BEN92" s="88"/>
      <c r="BEO92" s="88"/>
      <c r="BEP92" s="88"/>
      <c r="BEQ92" s="88"/>
      <c r="BER92" s="88"/>
      <c r="BES92" s="88"/>
      <c r="BET92" s="88"/>
      <c r="BEU92" s="88"/>
      <c r="BEV92" s="88"/>
      <c r="BEW92" s="88"/>
      <c r="BEX92" s="88"/>
      <c r="BEY92" s="88"/>
      <c r="BEZ92" s="88"/>
      <c r="BFA92" s="88"/>
      <c r="BFB92" s="88"/>
      <c r="BFC92" s="88"/>
      <c r="BFD92" s="88"/>
      <c r="BFE92" s="88"/>
      <c r="BFF92" s="88"/>
      <c r="BFG92" s="88"/>
      <c r="BFH92" s="88"/>
      <c r="BFI92" s="88"/>
      <c r="BFJ92" s="88"/>
      <c r="BFK92" s="88"/>
      <c r="BFL92" s="88"/>
      <c r="BFM92" s="88"/>
      <c r="BFN92" s="88"/>
      <c r="BFO92" s="88"/>
      <c r="BFP92" s="88"/>
      <c r="BFQ92" s="88"/>
      <c r="BFR92" s="88"/>
      <c r="BFS92" s="88"/>
      <c r="BFT92" s="88"/>
      <c r="BFU92" s="88"/>
      <c r="BFV92" s="88"/>
      <c r="BFW92" s="88"/>
      <c r="BFX92" s="88"/>
      <c r="BFY92" s="88"/>
      <c r="BFZ92" s="88"/>
      <c r="BGA92" s="88"/>
      <c r="BGB92" s="88"/>
      <c r="BGC92" s="88"/>
      <c r="BGD92" s="88"/>
      <c r="BGE92" s="88"/>
      <c r="BGF92" s="88"/>
      <c r="BGG92" s="88"/>
      <c r="BGH92" s="88"/>
      <c r="BGI92" s="88"/>
      <c r="BGJ92" s="88"/>
      <c r="BGK92" s="88"/>
      <c r="BGL92" s="88"/>
      <c r="BGM92" s="88"/>
      <c r="BGN92" s="88"/>
      <c r="BGO92" s="88"/>
      <c r="BGP92" s="88"/>
      <c r="BGQ92" s="88"/>
      <c r="BGR92" s="88"/>
      <c r="BGS92" s="88"/>
      <c r="BGT92" s="88"/>
      <c r="BGU92" s="88"/>
      <c r="BGV92" s="88"/>
      <c r="BGW92" s="88"/>
      <c r="BGX92" s="88"/>
      <c r="BGY92" s="88"/>
      <c r="BGZ92" s="88"/>
      <c r="BHA92" s="88"/>
      <c r="BHB92" s="88"/>
      <c r="BHC92" s="88"/>
      <c r="BHD92" s="88"/>
      <c r="BHE92" s="88"/>
      <c r="BHF92" s="88"/>
      <c r="BHG92" s="88"/>
      <c r="BHH92" s="88"/>
      <c r="BHI92" s="88"/>
      <c r="BHJ92" s="88"/>
      <c r="BHK92" s="88"/>
      <c r="BHL92" s="88"/>
      <c r="BHM92" s="88"/>
      <c r="BHN92" s="88"/>
      <c r="BHO92" s="88"/>
      <c r="BHP92" s="88"/>
      <c r="BHQ92" s="88"/>
      <c r="BHR92" s="88"/>
      <c r="BHS92" s="88"/>
      <c r="BHT92" s="88"/>
      <c r="BHU92" s="88"/>
      <c r="BHV92" s="88"/>
      <c r="BHW92" s="88"/>
      <c r="BHX92" s="88"/>
      <c r="BHY92" s="88"/>
      <c r="BHZ92" s="88"/>
      <c r="BIA92" s="88"/>
      <c r="BIB92" s="88"/>
      <c r="BIC92" s="88"/>
      <c r="BID92" s="88"/>
      <c r="BIE92" s="88"/>
      <c r="BIF92" s="88"/>
      <c r="BIG92" s="88"/>
      <c r="BIH92" s="88"/>
      <c r="BII92" s="88"/>
      <c r="BIJ92" s="88"/>
      <c r="BIK92" s="88"/>
      <c r="BIL92" s="88"/>
      <c r="BIM92" s="88"/>
      <c r="BIN92" s="88"/>
      <c r="BIO92" s="88"/>
      <c r="BIP92" s="88"/>
      <c r="BIQ92" s="88"/>
      <c r="BIR92" s="88"/>
      <c r="BIS92" s="88"/>
      <c r="BIT92" s="88"/>
      <c r="BIU92" s="88"/>
      <c r="BIV92" s="88"/>
      <c r="BIW92" s="88"/>
      <c r="BIX92" s="88"/>
      <c r="BIY92" s="88"/>
      <c r="BIZ92" s="88"/>
      <c r="BJA92" s="88"/>
      <c r="BJB92" s="88"/>
      <c r="BJC92" s="88"/>
      <c r="BJD92" s="88"/>
      <c r="BJE92" s="88"/>
      <c r="BJF92" s="88"/>
      <c r="BJG92" s="88"/>
      <c r="BJH92" s="88"/>
      <c r="BJI92" s="88"/>
      <c r="BJJ92" s="88"/>
      <c r="BJK92" s="88"/>
      <c r="BJL92" s="88"/>
      <c r="BJM92" s="88"/>
      <c r="BJN92" s="88"/>
      <c r="BJO92" s="88"/>
      <c r="BJP92" s="88"/>
      <c r="BJQ92" s="88"/>
      <c r="BJR92" s="88"/>
      <c r="BJS92" s="88"/>
      <c r="BJT92" s="88"/>
      <c r="BJU92" s="88"/>
      <c r="BJV92" s="88"/>
      <c r="BJW92" s="88"/>
      <c r="BJX92" s="88"/>
      <c r="BJY92" s="88"/>
      <c r="BJZ92" s="88"/>
      <c r="BKA92" s="88"/>
      <c r="BKB92" s="88"/>
      <c r="BKC92" s="88"/>
      <c r="BKD92" s="88"/>
      <c r="BKE92" s="88"/>
      <c r="BKF92" s="88"/>
      <c r="BKG92" s="88"/>
      <c r="BKH92" s="88"/>
      <c r="BKI92" s="88"/>
      <c r="BKJ92" s="88"/>
      <c r="BKK92" s="88"/>
      <c r="BKL92" s="88"/>
      <c r="BKM92" s="88"/>
      <c r="BKN92" s="88"/>
      <c r="BKO92" s="88"/>
      <c r="BKP92" s="88"/>
      <c r="BKQ92" s="88"/>
      <c r="BKR92" s="88"/>
      <c r="BKS92" s="88"/>
      <c r="BKT92" s="88"/>
      <c r="BKU92" s="88"/>
      <c r="BKV92" s="88"/>
      <c r="BKW92" s="88"/>
      <c r="BKX92" s="88"/>
      <c r="BKY92" s="88"/>
      <c r="BKZ92" s="88"/>
      <c r="BLA92" s="88"/>
      <c r="BLB92" s="88"/>
      <c r="BLC92" s="88"/>
      <c r="BLD92" s="88"/>
      <c r="BLE92" s="88"/>
      <c r="BLF92" s="88"/>
      <c r="BLG92" s="88"/>
      <c r="BLH92" s="88"/>
      <c r="BLI92" s="88"/>
      <c r="BLJ92" s="88"/>
      <c r="BLK92" s="88"/>
      <c r="BLL92" s="88"/>
      <c r="BLM92" s="88"/>
      <c r="BLN92" s="88"/>
      <c r="BLO92" s="88"/>
      <c r="BLP92" s="88"/>
      <c r="BLQ92" s="88"/>
      <c r="BLR92" s="88"/>
      <c r="BLS92" s="88"/>
      <c r="BLT92" s="88"/>
      <c r="BLU92" s="88"/>
      <c r="BLV92" s="88"/>
      <c r="BLW92" s="88"/>
      <c r="BLX92" s="88"/>
      <c r="BLY92" s="88"/>
      <c r="BLZ92" s="88"/>
      <c r="BMA92" s="88"/>
      <c r="BMB92" s="88"/>
      <c r="BMC92" s="88"/>
      <c r="BMD92" s="88"/>
      <c r="BME92" s="88"/>
      <c r="BMF92" s="88"/>
      <c r="BMG92" s="88"/>
      <c r="BMH92" s="88"/>
      <c r="BMI92" s="88"/>
      <c r="BMJ92" s="88"/>
      <c r="BMK92" s="88"/>
      <c r="BML92" s="88"/>
      <c r="BMM92" s="88"/>
      <c r="BMN92" s="88"/>
      <c r="BMO92" s="88"/>
      <c r="BMP92" s="88"/>
      <c r="BMQ92" s="88"/>
      <c r="BMR92" s="88"/>
      <c r="BMS92" s="88"/>
      <c r="BMT92" s="88"/>
      <c r="BMU92" s="88"/>
      <c r="BMV92" s="88"/>
      <c r="BMW92" s="88"/>
      <c r="BMX92" s="88"/>
      <c r="BMY92" s="88"/>
      <c r="BMZ92" s="88"/>
      <c r="BNA92" s="88"/>
      <c r="BNB92" s="88"/>
      <c r="BNC92" s="88"/>
      <c r="BND92" s="88"/>
      <c r="BNE92" s="88"/>
      <c r="BNF92" s="88"/>
      <c r="BNG92" s="88"/>
      <c r="BNH92" s="88"/>
      <c r="BNI92" s="88"/>
      <c r="BNJ92" s="88"/>
      <c r="BNK92" s="88"/>
      <c r="BNL92" s="88"/>
      <c r="BNM92" s="88"/>
      <c r="BNN92" s="88"/>
      <c r="BNO92" s="88"/>
      <c r="BNP92" s="88"/>
      <c r="BNQ92" s="88"/>
      <c r="BNR92" s="88"/>
      <c r="BNS92" s="88"/>
      <c r="BNT92" s="88"/>
      <c r="BNU92" s="88"/>
      <c r="BNV92" s="88"/>
      <c r="BNW92" s="88"/>
      <c r="BNX92" s="88"/>
      <c r="BNY92" s="88"/>
      <c r="BNZ92" s="88"/>
      <c r="BOA92" s="88"/>
      <c r="BOB92" s="88"/>
      <c r="BOC92" s="88"/>
      <c r="BOD92" s="88"/>
      <c r="BOE92" s="88"/>
      <c r="BOF92" s="88"/>
      <c r="BOG92" s="88"/>
      <c r="BOH92" s="88"/>
      <c r="BOI92" s="88"/>
      <c r="BOJ92" s="88"/>
      <c r="BOK92" s="88"/>
      <c r="BOL92" s="88"/>
      <c r="BOM92" s="88"/>
      <c r="BON92" s="88"/>
      <c r="BOO92" s="88"/>
      <c r="BOP92" s="88"/>
      <c r="BOQ92" s="88"/>
      <c r="BOR92" s="88"/>
      <c r="BOS92" s="88"/>
      <c r="BOT92" s="88"/>
      <c r="BOU92" s="88"/>
      <c r="BOV92" s="88"/>
      <c r="BOW92" s="88"/>
      <c r="BOX92" s="88"/>
      <c r="BOY92" s="88"/>
      <c r="BOZ92" s="88"/>
      <c r="BPA92" s="88"/>
      <c r="BPB92" s="88"/>
      <c r="BPC92" s="88"/>
      <c r="BPD92" s="88"/>
      <c r="BPE92" s="88"/>
      <c r="BPF92" s="88"/>
      <c r="BPG92" s="88"/>
      <c r="BPH92" s="88"/>
      <c r="BPI92" s="88"/>
      <c r="BPJ92" s="88"/>
      <c r="BPK92" s="88"/>
      <c r="BPL92" s="88"/>
      <c r="BPM92" s="88"/>
      <c r="BPN92" s="88"/>
      <c r="BPO92" s="88"/>
      <c r="BPP92" s="88"/>
      <c r="BPQ92" s="88"/>
      <c r="BPR92" s="88"/>
      <c r="BPS92" s="88"/>
      <c r="BPT92" s="88"/>
      <c r="BPU92" s="88"/>
      <c r="BPV92" s="88"/>
      <c r="BPW92" s="88"/>
      <c r="BPX92" s="88"/>
      <c r="BPY92" s="88"/>
      <c r="BPZ92" s="88"/>
      <c r="BQA92" s="88"/>
      <c r="BQB92" s="88"/>
      <c r="BQC92" s="88"/>
      <c r="BQD92" s="88"/>
      <c r="BQE92" s="88"/>
      <c r="BQF92" s="88"/>
      <c r="BQG92" s="88"/>
      <c r="BQH92" s="88"/>
      <c r="BQI92" s="88"/>
      <c r="BQJ92" s="88"/>
      <c r="BQK92" s="88"/>
      <c r="BQL92" s="88"/>
      <c r="BQM92" s="88"/>
      <c r="BQN92" s="88"/>
      <c r="BQO92" s="88"/>
      <c r="BQP92" s="88"/>
      <c r="BQQ92" s="88"/>
      <c r="BQR92" s="88"/>
      <c r="BQS92" s="88"/>
      <c r="BQT92" s="88"/>
      <c r="BQU92" s="88"/>
      <c r="BQV92" s="88"/>
      <c r="BQW92" s="88"/>
      <c r="BQX92" s="88"/>
      <c r="BQY92" s="88"/>
      <c r="BQZ92" s="88"/>
      <c r="BRA92" s="88"/>
      <c r="BRB92" s="88"/>
      <c r="BRC92" s="88"/>
      <c r="BRD92" s="88"/>
      <c r="BRE92" s="88"/>
      <c r="BRF92" s="88"/>
      <c r="BRG92" s="88"/>
      <c r="BRH92" s="88"/>
      <c r="BRI92" s="88"/>
      <c r="BRJ92" s="88"/>
      <c r="BRK92" s="88"/>
      <c r="BRL92" s="88"/>
      <c r="BRM92" s="88"/>
      <c r="BRN92" s="88"/>
      <c r="BRO92" s="88"/>
      <c r="BRP92" s="88"/>
      <c r="BRQ92" s="88"/>
      <c r="BRR92" s="88"/>
      <c r="BRS92" s="88"/>
      <c r="BRT92" s="88"/>
      <c r="BRU92" s="88"/>
      <c r="BRV92" s="88"/>
      <c r="BRW92" s="88"/>
      <c r="BRX92" s="88"/>
      <c r="BRY92" s="88"/>
      <c r="BRZ92" s="88"/>
      <c r="BSA92" s="88"/>
      <c r="BSB92" s="88"/>
      <c r="BSC92" s="88"/>
      <c r="BSD92" s="88"/>
      <c r="BSE92" s="88"/>
      <c r="BSF92" s="88"/>
      <c r="BSG92" s="88"/>
      <c r="BSH92" s="88"/>
      <c r="BSI92" s="88"/>
      <c r="BSJ92" s="88"/>
      <c r="BSK92" s="88"/>
      <c r="BSL92" s="88"/>
      <c r="BSM92" s="88"/>
      <c r="BSN92" s="88"/>
      <c r="BSO92" s="88"/>
      <c r="BSP92" s="88"/>
      <c r="BSQ92" s="88"/>
      <c r="BSR92" s="88"/>
      <c r="BSS92" s="88"/>
      <c r="BST92" s="88"/>
      <c r="BSU92" s="88"/>
      <c r="BSV92" s="88"/>
      <c r="BSW92" s="88"/>
      <c r="BSX92" s="88"/>
      <c r="BSY92" s="88"/>
      <c r="BSZ92" s="88"/>
      <c r="BTA92" s="88"/>
      <c r="BTB92" s="88"/>
      <c r="BTC92" s="88"/>
      <c r="BTD92" s="88"/>
      <c r="BTE92" s="88"/>
      <c r="BTF92" s="88"/>
      <c r="BTG92" s="88"/>
      <c r="BTH92" s="88"/>
      <c r="BTI92" s="88"/>
      <c r="BTJ92" s="88"/>
      <c r="BTK92" s="88"/>
      <c r="BTL92" s="88"/>
      <c r="BTM92" s="88"/>
      <c r="BTN92" s="88"/>
      <c r="BTO92" s="88"/>
      <c r="BTP92" s="88"/>
      <c r="BTQ92" s="88"/>
      <c r="BTR92" s="88"/>
      <c r="BTS92" s="88"/>
      <c r="BTT92" s="88"/>
      <c r="BTU92" s="88"/>
      <c r="BTV92" s="88"/>
      <c r="BTW92" s="88"/>
      <c r="BTX92" s="88"/>
      <c r="BTY92" s="88"/>
      <c r="BTZ92" s="88"/>
      <c r="BUA92" s="88"/>
      <c r="BUB92" s="88"/>
      <c r="BUC92" s="88"/>
      <c r="BUD92" s="88"/>
      <c r="BUE92" s="88"/>
      <c r="BUF92" s="88"/>
      <c r="BUG92" s="88"/>
      <c r="BUH92" s="88"/>
      <c r="BUI92" s="88"/>
      <c r="BUJ92" s="88"/>
      <c r="BUK92" s="88"/>
      <c r="BUL92" s="88"/>
      <c r="BUM92" s="88"/>
      <c r="BUN92" s="88"/>
      <c r="BUO92" s="88"/>
      <c r="BUP92" s="88"/>
      <c r="BUQ92" s="88"/>
      <c r="BUR92" s="88"/>
      <c r="BUS92" s="88"/>
      <c r="BUT92" s="88"/>
      <c r="BUU92" s="88"/>
      <c r="BUV92" s="88"/>
      <c r="BUW92" s="88"/>
      <c r="BUX92" s="88"/>
      <c r="BUY92" s="88"/>
      <c r="BUZ92" s="88"/>
      <c r="BVA92" s="88"/>
      <c r="BVB92" s="88"/>
      <c r="BVC92" s="88"/>
      <c r="BVD92" s="88"/>
      <c r="BVE92" s="88"/>
      <c r="BVF92" s="88"/>
      <c r="BVG92" s="88"/>
      <c r="BVH92" s="88"/>
      <c r="BVI92" s="88"/>
      <c r="BVJ92" s="88"/>
      <c r="BVK92" s="88"/>
      <c r="BVL92" s="88"/>
      <c r="BVM92" s="88"/>
      <c r="BVN92" s="88"/>
      <c r="BVO92" s="88"/>
      <c r="BVP92" s="88"/>
      <c r="BVQ92" s="88"/>
      <c r="BVR92" s="88"/>
      <c r="BVS92" s="88"/>
      <c r="BVT92" s="88"/>
      <c r="BVU92" s="88"/>
      <c r="BVV92" s="88"/>
      <c r="BVW92" s="88"/>
      <c r="BVX92" s="88"/>
      <c r="BVY92" s="88"/>
      <c r="BVZ92" s="88"/>
      <c r="BWA92" s="88"/>
      <c r="BWB92" s="88"/>
      <c r="BWC92" s="88"/>
      <c r="BWD92" s="88"/>
      <c r="BWE92" s="88"/>
      <c r="BWF92" s="88"/>
      <c r="BWG92" s="88"/>
      <c r="BWH92" s="88"/>
      <c r="BWI92" s="88"/>
      <c r="BWJ92" s="88"/>
      <c r="BWK92" s="88"/>
      <c r="BWL92" s="88"/>
      <c r="BWM92" s="88"/>
      <c r="BWN92" s="88"/>
      <c r="BWO92" s="88"/>
      <c r="BWP92" s="88"/>
      <c r="BWQ92" s="88"/>
      <c r="BWR92" s="88"/>
      <c r="BWS92" s="88"/>
      <c r="BWT92" s="88"/>
      <c r="BWU92" s="88"/>
      <c r="BWV92" s="88"/>
      <c r="BWW92" s="88"/>
      <c r="BWX92" s="88"/>
      <c r="BWY92" s="88"/>
      <c r="BWZ92" s="88"/>
      <c r="BXA92" s="88"/>
      <c r="BXB92" s="88"/>
      <c r="BXC92" s="88"/>
      <c r="BXD92" s="88"/>
      <c r="BXE92" s="88"/>
      <c r="BXF92" s="88"/>
      <c r="BXG92" s="88"/>
      <c r="BXH92" s="88"/>
      <c r="BXI92" s="88"/>
      <c r="BXJ92" s="88"/>
      <c r="BXK92" s="88"/>
      <c r="BXL92" s="88"/>
      <c r="BXM92" s="88"/>
      <c r="BXN92" s="88"/>
      <c r="BXO92" s="88"/>
      <c r="BXP92" s="88"/>
      <c r="BXQ92" s="88"/>
      <c r="BXR92" s="88"/>
      <c r="BXS92" s="88"/>
      <c r="BXT92" s="88"/>
      <c r="BXU92" s="88"/>
      <c r="BXV92" s="88"/>
      <c r="BXW92" s="88"/>
      <c r="BXX92" s="88"/>
      <c r="BXY92" s="88"/>
      <c r="BXZ92" s="88"/>
      <c r="BYA92" s="88"/>
      <c r="BYB92" s="88"/>
      <c r="BYC92" s="88"/>
      <c r="BYD92" s="88"/>
      <c r="BYE92" s="88"/>
      <c r="BYF92" s="88"/>
      <c r="BYG92" s="88"/>
      <c r="BYH92" s="88"/>
      <c r="BYI92" s="88"/>
      <c r="BYJ92" s="88"/>
      <c r="BYK92" s="88"/>
      <c r="BYL92" s="88"/>
      <c r="BYM92" s="88"/>
      <c r="BYN92" s="88"/>
      <c r="BYO92" s="88"/>
      <c r="BYP92" s="88"/>
      <c r="BYQ92" s="88"/>
      <c r="BYR92" s="88"/>
      <c r="BYS92" s="88"/>
      <c r="BYT92" s="88"/>
      <c r="BYU92" s="88"/>
      <c r="BYV92" s="88"/>
      <c r="BYW92" s="88"/>
      <c r="BYX92" s="88"/>
      <c r="BYY92" s="88"/>
      <c r="BYZ92" s="88"/>
      <c r="BZA92" s="88"/>
      <c r="BZB92" s="88"/>
      <c r="BZC92" s="88"/>
      <c r="BZD92" s="88"/>
      <c r="BZE92" s="88"/>
      <c r="BZF92" s="88"/>
      <c r="BZG92" s="88"/>
      <c r="BZH92" s="88"/>
      <c r="BZI92" s="88"/>
      <c r="BZJ92" s="88"/>
      <c r="BZK92" s="88"/>
      <c r="BZL92" s="88"/>
      <c r="BZM92" s="88"/>
      <c r="BZN92" s="88"/>
      <c r="BZO92" s="88"/>
      <c r="BZP92" s="88"/>
      <c r="BZQ92" s="88"/>
      <c r="BZR92" s="88"/>
      <c r="BZS92" s="88"/>
      <c r="BZT92" s="88"/>
      <c r="BZU92" s="88"/>
      <c r="BZV92" s="88"/>
      <c r="BZW92" s="88"/>
      <c r="BZX92" s="88"/>
      <c r="BZY92" s="88"/>
      <c r="BZZ92" s="88"/>
      <c r="CAA92" s="88"/>
      <c r="CAB92" s="88"/>
      <c r="CAC92" s="88"/>
      <c r="CAD92" s="88"/>
      <c r="CAE92" s="88"/>
      <c r="CAF92" s="88"/>
      <c r="CAG92" s="88"/>
      <c r="CAH92" s="88"/>
      <c r="CAI92" s="88"/>
      <c r="CAJ92" s="88"/>
      <c r="CAK92" s="88"/>
      <c r="CAL92" s="88"/>
      <c r="CAM92" s="88"/>
      <c r="CAN92" s="88"/>
      <c r="CAO92" s="88"/>
      <c r="CAP92" s="88"/>
      <c r="CAQ92" s="88"/>
      <c r="CAR92" s="88"/>
      <c r="CAS92" s="88"/>
      <c r="CAT92" s="88"/>
      <c r="CAU92" s="88"/>
      <c r="CAV92" s="88"/>
      <c r="CAW92" s="88"/>
      <c r="CAX92" s="88"/>
      <c r="CAY92" s="88"/>
      <c r="CAZ92" s="88"/>
      <c r="CBA92" s="88"/>
      <c r="CBB92" s="88"/>
      <c r="CBC92" s="88"/>
      <c r="CBD92" s="88"/>
      <c r="CBE92" s="88"/>
      <c r="CBF92" s="88"/>
      <c r="CBG92" s="88"/>
      <c r="CBH92" s="88"/>
      <c r="CBI92" s="88"/>
      <c r="CBJ92" s="88"/>
      <c r="CBK92" s="88"/>
      <c r="CBL92" s="88"/>
      <c r="CBM92" s="88"/>
      <c r="CBN92" s="88"/>
      <c r="CBO92" s="88"/>
      <c r="CBP92" s="88"/>
      <c r="CBQ92" s="88"/>
      <c r="CBR92" s="88"/>
      <c r="CBS92" s="88"/>
      <c r="CBT92" s="88"/>
      <c r="CBU92" s="88"/>
      <c r="CBV92" s="88"/>
      <c r="CBW92" s="88"/>
      <c r="CBX92" s="88"/>
      <c r="CBY92" s="88"/>
      <c r="CBZ92" s="88"/>
      <c r="CCA92" s="88"/>
      <c r="CCB92" s="88"/>
      <c r="CCC92" s="88"/>
      <c r="CCD92" s="88"/>
      <c r="CCE92" s="88"/>
      <c r="CCF92" s="88"/>
      <c r="CCG92" s="88"/>
      <c r="CCH92" s="88"/>
      <c r="CCI92" s="88"/>
      <c r="CCJ92" s="88"/>
      <c r="CCK92" s="88"/>
      <c r="CCL92" s="88"/>
      <c r="CCM92" s="88"/>
      <c r="CCN92" s="88"/>
      <c r="CCO92" s="88"/>
      <c r="CCP92" s="88"/>
      <c r="CCQ92" s="88"/>
      <c r="CCR92" s="88"/>
      <c r="CCS92" s="88"/>
      <c r="CCT92" s="88"/>
      <c r="CCU92" s="88"/>
      <c r="CCV92" s="88"/>
      <c r="CCW92" s="88"/>
      <c r="CCX92" s="88"/>
      <c r="CCY92" s="88"/>
      <c r="CCZ92" s="88"/>
      <c r="CDA92" s="88"/>
      <c r="CDB92" s="88"/>
      <c r="CDC92" s="88"/>
      <c r="CDD92" s="88"/>
      <c r="CDE92" s="88"/>
      <c r="CDF92" s="88"/>
      <c r="CDG92" s="88"/>
      <c r="CDH92" s="88"/>
      <c r="CDI92" s="88"/>
      <c r="CDJ92" s="88"/>
      <c r="CDK92" s="88"/>
      <c r="CDL92" s="88"/>
      <c r="CDM92" s="88"/>
      <c r="CDN92" s="88"/>
      <c r="CDO92" s="88"/>
      <c r="CDP92" s="88"/>
      <c r="CDQ92" s="88"/>
      <c r="CDR92" s="88"/>
      <c r="CDS92" s="88"/>
      <c r="CDT92" s="88"/>
      <c r="CDU92" s="88"/>
      <c r="CDV92" s="88"/>
      <c r="CDW92" s="88"/>
      <c r="CDX92" s="88"/>
      <c r="CDY92" s="88"/>
      <c r="CDZ92" s="88"/>
      <c r="CEA92" s="88"/>
      <c r="CEB92" s="88"/>
      <c r="CEC92" s="88"/>
      <c r="CED92" s="88"/>
      <c r="CEE92" s="88"/>
      <c r="CEF92" s="88"/>
      <c r="CEG92" s="88"/>
      <c r="CEH92" s="88"/>
      <c r="CEI92" s="88"/>
      <c r="CEJ92" s="88"/>
      <c r="CEK92" s="88"/>
    </row>
    <row r="93" spans="1:2169" s="63" customFormat="1">
      <c r="A93" s="73" t="s">
        <v>2906</v>
      </c>
      <c r="B93" s="71" t="s">
        <v>2907</v>
      </c>
      <c r="C93" s="68" t="str">
        <f>IF('page 2'!$O$4="","",IF('page 2'!$O$4=Gestion!A93,1,0))</f>
        <v/>
      </c>
      <c r="D93" s="68" t="str">
        <f>IF('page 2'!$O$5="","",IF('page 2'!$O$5=Gestion!A93,1,0))</f>
        <v/>
      </c>
      <c r="E93" s="68" t="str">
        <f>IF('page 2'!$O$6="","",IF('page 2'!$O$6=Gestion!A93,1,0))</f>
        <v/>
      </c>
      <c r="F93" s="68" t="str">
        <f>IF('page 2'!$O$7="","",IF('page 2'!$O$7=Gestion!A93,1,0))</f>
        <v/>
      </c>
      <c r="G93" s="68" t="str">
        <f>IF('page 2'!$O$8="","",IF('page 2'!$O$8=Gestion!A93,1,0))</f>
        <v/>
      </c>
      <c r="H93" s="68" t="str">
        <f>IF('page 2'!$O$9="","",IF('page 2'!$O$9=Gestion!A93,1,0))</f>
        <v/>
      </c>
      <c r="I93" s="68" t="str">
        <f>IF('page 2'!$O$10="","",IF('page 2'!$O$10=Gestion!A93,1,0))</f>
        <v/>
      </c>
      <c r="J93" s="68" t="str">
        <f>IF('page 2'!$O$11="","",IF('page 2'!$O$11=Gestion!A93,1,0))</f>
        <v/>
      </c>
      <c r="K93" s="68" t="str">
        <f>IF('page 2'!$O$12="","",IF('page 2'!$O$12=Gestion!A93,1,0))</f>
        <v/>
      </c>
      <c r="L93" s="68" t="str">
        <f>IF('page 2'!$O$13="","",IF('page 2'!$O$13=Gestion!A93,1,0))</f>
        <v/>
      </c>
      <c r="M93" s="68" t="str">
        <f>IF('page 2'!$O$14="","",IF('page 2'!$O$14=Gestion!A93,1,0))</f>
        <v/>
      </c>
      <c r="N93" s="68" t="str">
        <f>IF('page 2'!$O$15="","",IF('page 2'!$O$15=Gestion!A93,1,0))</f>
        <v/>
      </c>
      <c r="O93" s="68" t="str">
        <f>IF('page 2'!$O$16="","",IF('page 2'!$O$16=Gestion!A93,1,0))</f>
        <v/>
      </c>
      <c r="P93" s="68" t="str">
        <f>IF('page 2'!$O$17="","",IF('page 2'!$O$17=Gestion!A93,1,0))</f>
        <v/>
      </c>
      <c r="Q93" s="68" t="str">
        <f>IF('page 2'!$O$18="","",IF('page 2'!$O$18=Gestion!A93,1,0))</f>
        <v/>
      </c>
      <c r="R93" s="68" t="str">
        <f>IF('page 2'!$O$19="","",IF('page 2'!$O$19=Gestion!A93,1,0))</f>
        <v/>
      </c>
      <c r="S93" s="68" t="str">
        <f>IF('page 2'!$O$20="","",IF('page 2'!$O$20=Gestion!A93,1,0))</f>
        <v/>
      </c>
      <c r="T93" s="68" t="str">
        <f>IF('page 2'!$O$25="","",IF('page 2'!$O$25=Gestion!A93,1,0))</f>
        <v/>
      </c>
      <c r="U93" s="68" t="str">
        <f>IF('page 2'!$O$26="","",IF('page 2'!$O$26=Gestion!A93,1,0))</f>
        <v/>
      </c>
      <c r="V93" s="68" t="str">
        <f>IF('page 2'!$O$27="","",IF('page 2'!$O$27=Gestion!A93,1,0))</f>
        <v/>
      </c>
      <c r="W93" s="722">
        <f t="shared" si="14"/>
        <v>0</v>
      </c>
      <c r="X93" s="714"/>
      <c r="Y93" s="68"/>
      <c r="Z93" s="68"/>
      <c r="AA93" s="68"/>
      <c r="AB93" s="68"/>
      <c r="AC93" s="68"/>
      <c r="AD93" s="68"/>
      <c r="AP93" s="130"/>
      <c r="AQ93" s="130"/>
      <c r="AR93" s="130"/>
      <c r="AS93" s="602"/>
      <c r="AT93" s="602"/>
      <c r="AU93" s="602"/>
      <c r="AV93" s="602"/>
      <c r="AW93" s="602"/>
      <c r="AX93" s="602"/>
      <c r="AY93" s="602"/>
      <c r="AZ93" s="602"/>
      <c r="BA93" s="602"/>
      <c r="BB93" s="602"/>
      <c r="BC93" s="602"/>
      <c r="BD93" s="602"/>
      <c r="BE93" s="602"/>
      <c r="BF93" s="602"/>
      <c r="BG93" s="602"/>
      <c r="BH93" s="602"/>
      <c r="BI93" s="602"/>
      <c r="BJ93" s="602"/>
      <c r="BK93" s="602"/>
      <c r="BL93" s="602"/>
      <c r="BM93" s="602"/>
      <c r="BN93" s="602"/>
      <c r="BO93" s="602"/>
      <c r="BP93" s="602"/>
      <c r="BQ93" s="602"/>
      <c r="BR93" s="602"/>
      <c r="BS93" s="602"/>
      <c r="BT93" s="602"/>
      <c r="BU93" s="602"/>
      <c r="BV93" s="602"/>
      <c r="BW93" s="602"/>
      <c r="BX93" s="602"/>
      <c r="BY93" s="602"/>
      <c r="BZ93" s="602"/>
      <c r="CA93" s="602"/>
      <c r="CB93" s="602"/>
      <c r="CC93" s="602"/>
      <c r="CD93" s="602"/>
      <c r="CE93" s="602"/>
      <c r="CF93" s="602"/>
      <c r="CG93" s="602"/>
      <c r="CH93" s="602"/>
      <c r="CI93" s="602"/>
      <c r="CJ93" s="602"/>
      <c r="CK93" s="602"/>
      <c r="CL93" s="602"/>
      <c r="CM93" s="602"/>
      <c r="CN93" s="602"/>
      <c r="CO93" s="602"/>
      <c r="CP93" s="602"/>
      <c r="CQ93" s="602"/>
      <c r="CR93" s="602"/>
      <c r="CS93" s="602"/>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c r="HP93" s="88"/>
      <c r="HQ93" s="88"/>
      <c r="HR93" s="88"/>
      <c r="HS93" s="88"/>
      <c r="HT93" s="88"/>
      <c r="HU93" s="88"/>
      <c r="HV93" s="88"/>
      <c r="HW93" s="88"/>
      <c r="HX93" s="88"/>
      <c r="HY93" s="88"/>
      <c r="HZ93" s="88"/>
      <c r="IA93" s="88"/>
      <c r="IB93" s="88"/>
      <c r="IC93" s="88"/>
      <c r="ID93" s="88"/>
      <c r="IE93" s="88"/>
      <c r="IF93" s="88"/>
      <c r="IG93" s="88"/>
      <c r="IH93" s="88"/>
      <c r="II93" s="88"/>
      <c r="IJ93" s="88"/>
      <c r="IK93" s="88"/>
      <c r="IL93" s="88"/>
      <c r="IM93" s="88"/>
      <c r="IN93" s="88"/>
      <c r="IO93" s="88"/>
      <c r="IP93" s="88"/>
      <c r="IQ93" s="88"/>
      <c r="IR93" s="88"/>
      <c r="IS93" s="88"/>
      <c r="IT93" s="88"/>
      <c r="IU93" s="88"/>
      <c r="IV93" s="88"/>
      <c r="IW93" s="88"/>
      <c r="IX93" s="88"/>
      <c r="IY93" s="88"/>
      <c r="IZ93" s="88"/>
      <c r="JA93" s="88"/>
      <c r="JB93" s="88"/>
      <c r="JC93" s="88"/>
      <c r="JD93" s="88"/>
      <c r="JE93" s="88"/>
      <c r="JF93" s="88"/>
      <c r="JG93" s="88"/>
      <c r="JH93" s="88"/>
      <c r="JI93" s="88"/>
      <c r="JJ93" s="88"/>
      <c r="JK93" s="88"/>
      <c r="JL93" s="88"/>
      <c r="JM93" s="88"/>
      <c r="JN93" s="88"/>
      <c r="JO93" s="88"/>
      <c r="JP93" s="88"/>
      <c r="JQ93" s="88"/>
      <c r="JR93" s="88"/>
      <c r="JS93" s="88"/>
      <c r="JT93" s="88"/>
      <c r="JU93" s="88"/>
      <c r="JV93" s="88"/>
      <c r="JW93" s="88"/>
      <c r="JX93" s="88"/>
      <c r="JY93" s="88"/>
      <c r="JZ93" s="88"/>
      <c r="KA93" s="88"/>
      <c r="KB93" s="88"/>
      <c r="KC93" s="88"/>
      <c r="KD93" s="88"/>
      <c r="KE93" s="88"/>
      <c r="KF93" s="88"/>
      <c r="KG93" s="88"/>
      <c r="KH93" s="88"/>
      <c r="KI93" s="88"/>
      <c r="KJ93" s="88"/>
      <c r="KK93" s="88"/>
      <c r="KL93" s="88"/>
      <c r="KM93" s="88"/>
      <c r="KN93" s="88"/>
      <c r="KO93" s="88"/>
      <c r="KP93" s="88"/>
      <c r="KQ93" s="88"/>
      <c r="KR93" s="88"/>
      <c r="KS93" s="88"/>
      <c r="KT93" s="88"/>
      <c r="KU93" s="88"/>
      <c r="KV93" s="88"/>
      <c r="KW93" s="88"/>
      <c r="KX93" s="88"/>
      <c r="KY93" s="88"/>
      <c r="KZ93" s="88"/>
      <c r="LA93" s="88"/>
      <c r="LB93" s="88"/>
      <c r="LC93" s="88"/>
      <c r="LD93" s="88"/>
      <c r="LE93" s="88"/>
      <c r="LF93" s="88"/>
      <c r="LG93" s="88"/>
      <c r="LH93" s="88"/>
      <c r="LI93" s="88"/>
      <c r="LJ93" s="88"/>
      <c r="LK93" s="88"/>
      <c r="LL93" s="88"/>
      <c r="LM93" s="88"/>
      <c r="LN93" s="88"/>
      <c r="LO93" s="88"/>
      <c r="LP93" s="88"/>
      <c r="LQ93" s="88"/>
      <c r="LR93" s="88"/>
      <c r="LS93" s="88"/>
      <c r="LT93" s="88"/>
      <c r="LU93" s="88"/>
      <c r="LV93" s="88"/>
      <c r="LW93" s="88"/>
      <c r="LX93" s="88"/>
      <c r="LY93" s="88"/>
      <c r="LZ93" s="88"/>
      <c r="MA93" s="88"/>
      <c r="MB93" s="88"/>
      <c r="MC93" s="88"/>
      <c r="MD93" s="88"/>
      <c r="ME93" s="88"/>
      <c r="MF93" s="88"/>
      <c r="MG93" s="88"/>
      <c r="MH93" s="88"/>
      <c r="MI93" s="88"/>
      <c r="MJ93" s="88"/>
      <c r="MK93" s="88"/>
      <c r="ML93" s="88"/>
      <c r="MM93" s="88"/>
      <c r="MN93" s="88"/>
      <c r="MO93" s="88"/>
      <c r="MP93" s="88"/>
      <c r="MQ93" s="88"/>
      <c r="MR93" s="88"/>
      <c r="MS93" s="88"/>
      <c r="MT93" s="88"/>
      <c r="MU93" s="88"/>
      <c r="MV93" s="88"/>
      <c r="MW93" s="88"/>
      <c r="MX93" s="88"/>
      <c r="MY93" s="88"/>
      <c r="MZ93" s="88"/>
      <c r="NA93" s="88"/>
      <c r="NB93" s="88"/>
      <c r="NC93" s="88"/>
      <c r="ND93" s="88"/>
      <c r="NE93" s="88"/>
      <c r="NF93" s="88"/>
      <c r="NG93" s="88"/>
      <c r="NH93" s="88"/>
      <c r="NI93" s="88"/>
      <c r="NJ93" s="88"/>
      <c r="NK93" s="88"/>
      <c r="NL93" s="88"/>
      <c r="NM93" s="88"/>
      <c r="NN93" s="88"/>
      <c r="NO93" s="88"/>
      <c r="NP93" s="88"/>
      <c r="NQ93" s="88"/>
      <c r="NR93" s="88"/>
      <c r="NS93" s="88"/>
      <c r="NT93" s="88"/>
      <c r="NU93" s="88"/>
      <c r="NV93" s="88"/>
      <c r="NW93" s="88"/>
      <c r="NX93" s="88"/>
      <c r="NY93" s="88"/>
      <c r="NZ93" s="88"/>
      <c r="OA93" s="88"/>
      <c r="OB93" s="88"/>
      <c r="OC93" s="88"/>
      <c r="OD93" s="88"/>
      <c r="OE93" s="88"/>
      <c r="OF93" s="88"/>
      <c r="OG93" s="88"/>
      <c r="OH93" s="88"/>
      <c r="OI93" s="88"/>
      <c r="OJ93" s="88"/>
      <c r="OK93" s="88"/>
      <c r="OL93" s="88"/>
      <c r="OM93" s="88"/>
      <c r="ON93" s="88"/>
      <c r="OO93" s="88"/>
      <c r="OP93" s="88"/>
      <c r="OQ93" s="88"/>
      <c r="OR93" s="88"/>
      <c r="OS93" s="88"/>
      <c r="OT93" s="88"/>
      <c r="OU93" s="88"/>
      <c r="OV93" s="88"/>
      <c r="OW93" s="88"/>
      <c r="OX93" s="88"/>
      <c r="OY93" s="88"/>
      <c r="OZ93" s="88"/>
      <c r="PA93" s="88"/>
      <c r="PB93" s="88"/>
      <c r="PC93" s="88"/>
      <c r="PD93" s="88"/>
      <c r="PE93" s="88"/>
      <c r="PF93" s="88"/>
      <c r="PG93" s="88"/>
      <c r="PH93" s="88"/>
      <c r="PI93" s="88"/>
      <c r="PJ93" s="88"/>
      <c r="PK93" s="88"/>
      <c r="PL93" s="88"/>
      <c r="PM93" s="88"/>
      <c r="PN93" s="88"/>
      <c r="PO93" s="88"/>
      <c r="PP93" s="88"/>
      <c r="PQ93" s="88"/>
      <c r="PR93" s="88"/>
      <c r="PS93" s="88"/>
      <c r="PT93" s="88"/>
      <c r="PU93" s="88"/>
      <c r="PV93" s="88"/>
      <c r="PW93" s="88"/>
      <c r="PX93" s="88"/>
      <c r="PY93" s="88"/>
      <c r="PZ93" s="88"/>
      <c r="QA93" s="88"/>
      <c r="QB93" s="88"/>
      <c r="QC93" s="88"/>
      <c r="QD93" s="88"/>
      <c r="QE93" s="88"/>
      <c r="QF93" s="88"/>
      <c r="QG93" s="88"/>
      <c r="QH93" s="88"/>
      <c r="QI93" s="88"/>
      <c r="QJ93" s="88"/>
      <c r="QK93" s="88"/>
      <c r="QL93" s="88"/>
      <c r="QM93" s="88"/>
      <c r="QN93" s="88"/>
      <c r="QO93" s="88"/>
      <c r="QP93" s="88"/>
      <c r="QQ93" s="88"/>
      <c r="QR93" s="88"/>
      <c r="QS93" s="88"/>
      <c r="QT93" s="88"/>
      <c r="QU93" s="88"/>
      <c r="QV93" s="88"/>
      <c r="QW93" s="88"/>
      <c r="QX93" s="88"/>
      <c r="QY93" s="88"/>
      <c r="QZ93" s="88"/>
      <c r="RA93" s="88"/>
      <c r="RB93" s="88"/>
      <c r="RC93" s="88"/>
      <c r="RD93" s="88"/>
      <c r="RE93" s="88"/>
      <c r="RF93" s="88"/>
      <c r="RG93" s="88"/>
      <c r="RH93" s="88"/>
      <c r="RI93" s="88"/>
      <c r="RJ93" s="88"/>
      <c r="RK93" s="88"/>
      <c r="RL93" s="88"/>
      <c r="RM93" s="88"/>
      <c r="RN93" s="88"/>
      <c r="RO93" s="88"/>
      <c r="RP93" s="88"/>
      <c r="RQ93" s="88"/>
      <c r="RR93" s="88"/>
      <c r="RS93" s="88"/>
      <c r="RT93" s="88"/>
      <c r="RU93" s="88"/>
      <c r="RV93" s="88"/>
      <c r="RW93" s="88"/>
      <c r="RX93" s="88"/>
      <c r="RY93" s="88"/>
      <c r="RZ93" s="88"/>
      <c r="SA93" s="88"/>
      <c r="SB93" s="88"/>
      <c r="SC93" s="88"/>
      <c r="SD93" s="88"/>
      <c r="SE93" s="88"/>
      <c r="SF93" s="88"/>
      <c r="SG93" s="88"/>
      <c r="SH93" s="88"/>
      <c r="SI93" s="88"/>
      <c r="SJ93" s="88"/>
      <c r="SK93" s="88"/>
      <c r="SL93" s="88"/>
      <c r="SM93" s="88"/>
      <c r="SN93" s="88"/>
      <c r="SO93" s="88"/>
      <c r="SP93" s="88"/>
      <c r="SQ93" s="88"/>
      <c r="SR93" s="88"/>
      <c r="SS93" s="88"/>
      <c r="ST93" s="88"/>
      <c r="SU93" s="88"/>
      <c r="SV93" s="88"/>
      <c r="SW93" s="88"/>
      <c r="SX93" s="88"/>
      <c r="SY93" s="88"/>
      <c r="SZ93" s="88"/>
      <c r="TA93" s="88"/>
      <c r="TB93" s="88"/>
      <c r="TC93" s="88"/>
      <c r="TD93" s="88"/>
      <c r="TE93" s="88"/>
      <c r="TF93" s="88"/>
      <c r="TG93" s="88"/>
      <c r="TH93" s="88"/>
      <c r="TI93" s="88"/>
      <c r="TJ93" s="88"/>
      <c r="TK93" s="88"/>
      <c r="TL93" s="88"/>
      <c r="TM93" s="88"/>
      <c r="TN93" s="88"/>
      <c r="TO93" s="88"/>
      <c r="TP93" s="88"/>
      <c r="TQ93" s="88"/>
      <c r="TR93" s="88"/>
      <c r="TS93" s="88"/>
      <c r="TT93" s="88"/>
      <c r="TU93" s="88"/>
      <c r="TV93" s="88"/>
      <c r="TW93" s="88"/>
      <c r="TX93" s="88"/>
      <c r="TY93" s="88"/>
      <c r="TZ93" s="88"/>
      <c r="UA93" s="88"/>
      <c r="UB93" s="88"/>
      <c r="UC93" s="88"/>
      <c r="UD93" s="88"/>
      <c r="UE93" s="88"/>
      <c r="UF93" s="88"/>
      <c r="UG93" s="88"/>
      <c r="UH93" s="88"/>
      <c r="UI93" s="88"/>
      <c r="UJ93" s="88"/>
      <c r="UK93" s="88"/>
      <c r="UL93" s="88"/>
      <c r="UM93" s="88"/>
      <c r="UN93" s="88"/>
      <c r="UO93" s="88"/>
      <c r="UP93" s="88"/>
      <c r="UQ93" s="88"/>
      <c r="UR93" s="88"/>
      <c r="US93" s="88"/>
      <c r="UT93" s="88"/>
      <c r="UU93" s="88"/>
      <c r="UV93" s="88"/>
      <c r="UW93" s="88"/>
      <c r="UX93" s="88"/>
      <c r="UY93" s="88"/>
      <c r="UZ93" s="88"/>
      <c r="VA93" s="88"/>
      <c r="VB93" s="88"/>
      <c r="VC93" s="88"/>
      <c r="VD93" s="88"/>
      <c r="VE93" s="88"/>
      <c r="VF93" s="88"/>
      <c r="VG93" s="88"/>
      <c r="VH93" s="88"/>
      <c r="VI93" s="88"/>
      <c r="VJ93" s="88"/>
      <c r="VK93" s="88"/>
      <c r="VL93" s="88"/>
      <c r="VM93" s="88"/>
      <c r="VN93" s="88"/>
      <c r="VO93" s="88"/>
      <c r="VP93" s="88"/>
      <c r="VQ93" s="88"/>
      <c r="VR93" s="88"/>
      <c r="VS93" s="88"/>
      <c r="VT93" s="88"/>
      <c r="VU93" s="88"/>
      <c r="VV93" s="88"/>
      <c r="VW93" s="88"/>
      <c r="VX93" s="88"/>
      <c r="VY93" s="88"/>
      <c r="VZ93" s="88"/>
      <c r="WA93" s="88"/>
      <c r="WB93" s="88"/>
      <c r="WC93" s="88"/>
      <c r="WD93" s="88"/>
      <c r="WE93" s="88"/>
      <c r="WF93" s="88"/>
      <c r="WG93" s="88"/>
      <c r="WH93" s="88"/>
      <c r="WI93" s="88"/>
      <c r="WJ93" s="88"/>
      <c r="WK93" s="88"/>
      <c r="WL93" s="88"/>
      <c r="WM93" s="88"/>
      <c r="WN93" s="88"/>
      <c r="WO93" s="88"/>
      <c r="WP93" s="88"/>
      <c r="WQ93" s="88"/>
      <c r="WR93" s="88"/>
      <c r="WS93" s="88"/>
      <c r="WT93" s="88"/>
      <c r="WU93" s="88"/>
      <c r="WV93" s="88"/>
      <c r="WW93" s="88"/>
      <c r="WX93" s="88"/>
      <c r="WY93" s="88"/>
      <c r="WZ93" s="88"/>
      <c r="XA93" s="88"/>
      <c r="XB93" s="88"/>
      <c r="XC93" s="88"/>
      <c r="XD93" s="88"/>
      <c r="XE93" s="88"/>
      <c r="XF93" s="88"/>
      <c r="XG93" s="88"/>
      <c r="XH93" s="88"/>
      <c r="XI93" s="88"/>
      <c r="XJ93" s="88"/>
      <c r="XK93" s="88"/>
      <c r="XL93" s="88"/>
      <c r="XM93" s="88"/>
      <c r="XN93" s="88"/>
      <c r="XO93" s="88"/>
      <c r="XP93" s="88"/>
      <c r="XQ93" s="88"/>
      <c r="XR93" s="88"/>
      <c r="XS93" s="88"/>
      <c r="XT93" s="88"/>
      <c r="XU93" s="88"/>
      <c r="XV93" s="88"/>
      <c r="XW93" s="88"/>
      <c r="XX93" s="88"/>
      <c r="XY93" s="88"/>
      <c r="XZ93" s="88"/>
      <c r="YA93" s="88"/>
      <c r="YB93" s="88"/>
      <c r="YC93" s="88"/>
      <c r="YD93" s="88"/>
      <c r="YE93" s="88"/>
      <c r="YF93" s="88"/>
      <c r="YG93" s="88"/>
      <c r="YH93" s="88"/>
      <c r="YI93" s="88"/>
      <c r="YJ93" s="88"/>
      <c r="YK93" s="88"/>
      <c r="YL93" s="88"/>
      <c r="YM93" s="88"/>
      <c r="YN93" s="88"/>
      <c r="YO93" s="88"/>
      <c r="YP93" s="88"/>
      <c r="YQ93" s="88"/>
      <c r="YR93" s="88"/>
      <c r="YS93" s="88"/>
      <c r="YT93" s="88"/>
      <c r="YU93" s="88"/>
      <c r="YV93" s="88"/>
      <c r="YW93" s="88"/>
      <c r="YX93" s="88"/>
      <c r="YY93" s="88"/>
      <c r="YZ93" s="88"/>
      <c r="ZA93" s="88"/>
      <c r="ZB93" s="88"/>
      <c r="ZC93" s="88"/>
      <c r="ZD93" s="88"/>
      <c r="ZE93" s="88"/>
      <c r="ZF93" s="88"/>
      <c r="ZG93" s="88"/>
      <c r="ZH93" s="88"/>
      <c r="ZI93" s="88"/>
      <c r="ZJ93" s="88"/>
      <c r="ZK93" s="88"/>
      <c r="ZL93" s="88"/>
      <c r="ZM93" s="88"/>
      <c r="ZN93" s="88"/>
      <c r="ZO93" s="88"/>
      <c r="ZP93" s="88"/>
      <c r="ZQ93" s="88"/>
      <c r="ZR93" s="88"/>
      <c r="ZS93" s="88"/>
      <c r="ZT93" s="88"/>
      <c r="ZU93" s="88"/>
      <c r="ZV93" s="88"/>
      <c r="ZW93" s="88"/>
      <c r="ZX93" s="88"/>
      <c r="ZY93" s="88"/>
      <c r="ZZ93" s="88"/>
      <c r="AAA93" s="88"/>
      <c r="AAB93" s="88"/>
      <c r="AAC93" s="88"/>
      <c r="AAD93" s="88"/>
      <c r="AAE93" s="88"/>
      <c r="AAF93" s="88"/>
      <c r="AAG93" s="88"/>
      <c r="AAH93" s="88"/>
      <c r="AAI93" s="88"/>
      <c r="AAJ93" s="88"/>
      <c r="AAK93" s="88"/>
      <c r="AAL93" s="88"/>
      <c r="AAM93" s="88"/>
      <c r="AAN93" s="88"/>
      <c r="AAO93" s="88"/>
      <c r="AAP93" s="88"/>
      <c r="AAQ93" s="88"/>
      <c r="AAR93" s="88"/>
      <c r="AAS93" s="88"/>
      <c r="AAT93" s="88"/>
      <c r="AAU93" s="88"/>
      <c r="AAV93" s="88"/>
      <c r="AAW93" s="88"/>
      <c r="AAX93" s="88"/>
      <c r="AAY93" s="88"/>
      <c r="AAZ93" s="88"/>
      <c r="ABA93" s="88"/>
      <c r="ABB93" s="88"/>
      <c r="ABC93" s="88"/>
      <c r="ABD93" s="88"/>
      <c r="ABE93" s="88"/>
      <c r="ABF93" s="88"/>
      <c r="ABG93" s="88"/>
      <c r="ABH93" s="88"/>
      <c r="ABI93" s="88"/>
      <c r="ABJ93" s="88"/>
      <c r="ABK93" s="88"/>
      <c r="ABL93" s="88"/>
      <c r="ABM93" s="88"/>
      <c r="ABN93" s="88"/>
      <c r="ABO93" s="88"/>
      <c r="ABP93" s="88"/>
      <c r="ABQ93" s="88"/>
      <c r="ABR93" s="88"/>
      <c r="ABS93" s="88"/>
      <c r="ABT93" s="88"/>
      <c r="ABU93" s="88"/>
      <c r="ABV93" s="88"/>
      <c r="ABW93" s="88"/>
      <c r="ABX93" s="88"/>
      <c r="ABY93" s="88"/>
      <c r="ABZ93" s="88"/>
      <c r="ACA93" s="88"/>
      <c r="ACB93" s="88"/>
      <c r="ACC93" s="88"/>
      <c r="ACD93" s="88"/>
      <c r="ACE93" s="88"/>
      <c r="ACF93" s="88"/>
      <c r="ACG93" s="88"/>
      <c r="ACH93" s="88"/>
      <c r="ACI93" s="88"/>
      <c r="ACJ93" s="88"/>
      <c r="ACK93" s="88"/>
      <c r="ACL93" s="88"/>
      <c r="ACM93" s="88"/>
      <c r="ACN93" s="88"/>
      <c r="ACO93" s="88"/>
      <c r="ACP93" s="88"/>
      <c r="ACQ93" s="88"/>
      <c r="ACR93" s="88"/>
      <c r="ACS93" s="88"/>
      <c r="ACT93" s="88"/>
      <c r="ACU93" s="88"/>
      <c r="ACV93" s="88"/>
      <c r="ACW93" s="88"/>
      <c r="ACX93" s="88"/>
      <c r="ACY93" s="88"/>
      <c r="ACZ93" s="88"/>
      <c r="ADA93" s="88"/>
      <c r="ADB93" s="88"/>
      <c r="ADC93" s="88"/>
      <c r="ADD93" s="88"/>
      <c r="ADE93" s="88"/>
      <c r="ADF93" s="88"/>
      <c r="ADG93" s="88"/>
      <c r="ADH93" s="88"/>
      <c r="ADI93" s="88"/>
      <c r="ADJ93" s="88"/>
      <c r="ADK93" s="88"/>
      <c r="ADL93" s="88"/>
      <c r="ADM93" s="88"/>
      <c r="ADN93" s="88"/>
      <c r="ADO93" s="88"/>
      <c r="ADP93" s="88"/>
      <c r="ADQ93" s="88"/>
      <c r="ADR93" s="88"/>
      <c r="ADS93" s="88"/>
      <c r="ADT93" s="88"/>
      <c r="ADU93" s="88"/>
      <c r="ADV93" s="88"/>
      <c r="ADW93" s="88"/>
      <c r="ADX93" s="88"/>
      <c r="ADY93" s="88"/>
      <c r="ADZ93" s="88"/>
      <c r="AEA93" s="88"/>
      <c r="AEB93" s="88"/>
      <c r="AEC93" s="88"/>
      <c r="AED93" s="88"/>
      <c r="AEE93" s="88"/>
      <c r="AEF93" s="88"/>
      <c r="AEG93" s="88"/>
      <c r="AEH93" s="88"/>
      <c r="AEI93" s="88"/>
      <c r="AEJ93" s="88"/>
      <c r="AEK93" s="88"/>
      <c r="AEL93" s="88"/>
      <c r="AEM93" s="88"/>
      <c r="AEN93" s="88"/>
      <c r="AEO93" s="88"/>
      <c r="AEP93" s="88"/>
      <c r="AEQ93" s="88"/>
      <c r="AER93" s="88"/>
      <c r="AES93" s="88"/>
      <c r="AET93" s="88"/>
      <c r="AEU93" s="88"/>
      <c r="AEV93" s="88"/>
      <c r="AEW93" s="88"/>
      <c r="AEX93" s="88"/>
      <c r="AEY93" s="88"/>
      <c r="AEZ93" s="88"/>
      <c r="AFA93" s="88"/>
      <c r="AFB93" s="88"/>
      <c r="AFC93" s="88"/>
      <c r="AFD93" s="88"/>
      <c r="AFE93" s="88"/>
      <c r="AFF93" s="88"/>
      <c r="AFG93" s="88"/>
      <c r="AFH93" s="88"/>
      <c r="AFI93" s="88"/>
      <c r="AFJ93" s="88"/>
      <c r="AFK93" s="88"/>
      <c r="AFL93" s="88"/>
      <c r="AFM93" s="88"/>
      <c r="AFN93" s="88"/>
      <c r="AFO93" s="88"/>
      <c r="AFP93" s="88"/>
      <c r="AFQ93" s="88"/>
      <c r="AFR93" s="88"/>
      <c r="AFS93" s="88"/>
      <c r="AFT93" s="88"/>
      <c r="AFU93" s="88"/>
      <c r="AFV93" s="88"/>
      <c r="AFW93" s="88"/>
      <c r="AFX93" s="88"/>
      <c r="AFY93" s="88"/>
      <c r="AFZ93" s="88"/>
      <c r="AGA93" s="88"/>
      <c r="AGB93" s="88"/>
      <c r="AGC93" s="88"/>
      <c r="AGD93" s="88"/>
      <c r="AGE93" s="88"/>
      <c r="AGF93" s="88"/>
      <c r="AGG93" s="88"/>
      <c r="AGH93" s="88"/>
      <c r="AGI93" s="88"/>
      <c r="AGJ93" s="88"/>
      <c r="AGK93" s="88"/>
      <c r="AGL93" s="88"/>
      <c r="AGM93" s="88"/>
      <c r="AGN93" s="88"/>
      <c r="AGO93" s="88"/>
      <c r="AGP93" s="88"/>
      <c r="AGQ93" s="88"/>
      <c r="AGR93" s="88"/>
      <c r="AGS93" s="88"/>
      <c r="AGT93" s="88"/>
      <c r="AGU93" s="88"/>
      <c r="AGV93" s="88"/>
      <c r="AGW93" s="88"/>
      <c r="AGX93" s="88"/>
      <c r="AGY93" s="88"/>
      <c r="AGZ93" s="88"/>
      <c r="AHA93" s="88"/>
      <c r="AHB93" s="88"/>
      <c r="AHC93" s="88"/>
      <c r="AHD93" s="88"/>
      <c r="AHE93" s="88"/>
      <c r="AHF93" s="88"/>
      <c r="AHG93" s="88"/>
      <c r="AHH93" s="88"/>
      <c r="AHI93" s="88"/>
      <c r="AHJ93" s="88"/>
      <c r="AHK93" s="88"/>
      <c r="AHL93" s="88"/>
      <c r="AHM93" s="88"/>
      <c r="AHN93" s="88"/>
      <c r="AHO93" s="88"/>
      <c r="AHP93" s="88"/>
      <c r="AHQ93" s="88"/>
      <c r="AHR93" s="88"/>
      <c r="AHS93" s="88"/>
      <c r="AHT93" s="88"/>
      <c r="AHU93" s="88"/>
      <c r="AHV93" s="88"/>
      <c r="AHW93" s="88"/>
      <c r="AHX93" s="88"/>
      <c r="AHY93" s="88"/>
      <c r="AHZ93" s="88"/>
      <c r="AIA93" s="88"/>
      <c r="AIB93" s="88"/>
      <c r="AIC93" s="88"/>
      <c r="AID93" s="88"/>
      <c r="AIE93" s="88"/>
      <c r="AIF93" s="88"/>
      <c r="AIG93" s="88"/>
      <c r="AIH93" s="88"/>
      <c r="AII93" s="88"/>
      <c r="AIJ93" s="88"/>
      <c r="AIK93" s="88"/>
      <c r="AIL93" s="88"/>
      <c r="AIM93" s="88"/>
      <c r="AIN93" s="88"/>
      <c r="AIO93" s="88"/>
      <c r="AIP93" s="88"/>
      <c r="AIQ93" s="88"/>
      <c r="AIR93" s="88"/>
      <c r="AIS93" s="88"/>
      <c r="AIT93" s="88"/>
      <c r="AIU93" s="88"/>
      <c r="AIV93" s="88"/>
      <c r="AIW93" s="88"/>
      <c r="AIX93" s="88"/>
      <c r="AIY93" s="88"/>
      <c r="AIZ93" s="88"/>
      <c r="AJA93" s="88"/>
      <c r="AJB93" s="88"/>
      <c r="AJC93" s="88"/>
      <c r="AJD93" s="88"/>
      <c r="AJE93" s="88"/>
      <c r="AJF93" s="88"/>
      <c r="AJG93" s="88"/>
      <c r="AJH93" s="88"/>
      <c r="AJI93" s="88"/>
      <c r="AJJ93" s="88"/>
      <c r="AJK93" s="88"/>
      <c r="AJL93" s="88"/>
      <c r="AJM93" s="88"/>
      <c r="AJN93" s="88"/>
      <c r="AJO93" s="88"/>
      <c r="AJP93" s="88"/>
      <c r="AJQ93" s="88"/>
      <c r="AJR93" s="88"/>
      <c r="AJS93" s="88"/>
      <c r="AJT93" s="88"/>
      <c r="AJU93" s="88"/>
      <c r="AJV93" s="88"/>
      <c r="AJW93" s="88"/>
      <c r="AJX93" s="88"/>
      <c r="AJY93" s="88"/>
      <c r="AJZ93" s="88"/>
      <c r="AKA93" s="88"/>
      <c r="AKB93" s="88"/>
      <c r="AKC93" s="88"/>
      <c r="AKD93" s="88"/>
      <c r="AKE93" s="88"/>
      <c r="AKF93" s="88"/>
      <c r="AKG93" s="88"/>
      <c r="AKH93" s="88"/>
      <c r="AKI93" s="88"/>
      <c r="AKJ93" s="88"/>
      <c r="AKK93" s="88"/>
      <c r="AKL93" s="88"/>
      <c r="AKM93" s="88"/>
      <c r="AKN93" s="88"/>
      <c r="AKO93" s="88"/>
      <c r="AKP93" s="88"/>
      <c r="AKQ93" s="88"/>
      <c r="AKR93" s="88"/>
      <c r="AKS93" s="88"/>
      <c r="AKT93" s="88"/>
      <c r="AKU93" s="88"/>
      <c r="AKV93" s="88"/>
      <c r="AKW93" s="88"/>
      <c r="AKX93" s="88"/>
      <c r="AKY93" s="88"/>
      <c r="AKZ93" s="88"/>
      <c r="ALA93" s="88"/>
      <c r="ALB93" s="88"/>
      <c r="ALC93" s="88"/>
      <c r="ALD93" s="88"/>
      <c r="ALE93" s="88"/>
      <c r="ALF93" s="88"/>
      <c r="ALG93" s="88"/>
      <c r="ALH93" s="88"/>
      <c r="ALI93" s="88"/>
      <c r="ALJ93" s="88"/>
      <c r="ALK93" s="88"/>
      <c r="ALL93" s="88"/>
      <c r="ALM93" s="88"/>
      <c r="ALN93" s="88"/>
      <c r="ALO93" s="88"/>
      <c r="ALP93" s="88"/>
      <c r="ALQ93" s="88"/>
      <c r="ALR93" s="88"/>
      <c r="ALS93" s="88"/>
      <c r="ALT93" s="88"/>
      <c r="ALU93" s="88"/>
      <c r="ALV93" s="88"/>
      <c r="ALW93" s="88"/>
      <c r="ALX93" s="88"/>
      <c r="ALY93" s="88"/>
      <c r="ALZ93" s="88"/>
      <c r="AMA93" s="88"/>
      <c r="AMB93" s="88"/>
      <c r="AMC93" s="88"/>
      <c r="AMD93" s="88"/>
      <c r="AME93" s="88"/>
      <c r="AMF93" s="88"/>
      <c r="AMG93" s="88"/>
      <c r="AMH93" s="88"/>
      <c r="AMI93" s="88"/>
      <c r="AMJ93" s="88"/>
      <c r="AMK93" s="88"/>
      <c r="AML93" s="88"/>
      <c r="AMM93" s="88"/>
      <c r="AMN93" s="88"/>
      <c r="AMO93" s="88"/>
      <c r="AMP93" s="88"/>
      <c r="AMQ93" s="88"/>
      <c r="AMR93" s="88"/>
      <c r="AMS93" s="88"/>
      <c r="AMT93" s="88"/>
      <c r="AMU93" s="88"/>
      <c r="AMV93" s="88"/>
      <c r="AMW93" s="88"/>
      <c r="AMX93" s="88"/>
      <c r="AMY93" s="88"/>
      <c r="AMZ93" s="88"/>
      <c r="ANA93" s="88"/>
      <c r="ANB93" s="88"/>
      <c r="ANC93" s="88"/>
      <c r="AND93" s="88"/>
      <c r="ANE93" s="88"/>
      <c r="ANF93" s="88"/>
      <c r="ANG93" s="88"/>
      <c r="ANH93" s="88"/>
      <c r="ANI93" s="88"/>
      <c r="ANJ93" s="88"/>
      <c r="ANK93" s="88"/>
      <c r="ANL93" s="88"/>
      <c r="ANM93" s="88"/>
      <c r="ANN93" s="88"/>
      <c r="ANO93" s="88"/>
      <c r="ANP93" s="88"/>
      <c r="ANQ93" s="88"/>
      <c r="ANR93" s="88"/>
      <c r="ANS93" s="88"/>
      <c r="ANT93" s="88"/>
      <c r="ANU93" s="88"/>
      <c r="ANV93" s="88"/>
      <c r="ANW93" s="88"/>
      <c r="ANX93" s="88"/>
      <c r="ANY93" s="88"/>
      <c r="ANZ93" s="88"/>
      <c r="AOA93" s="88"/>
      <c r="AOB93" s="88"/>
      <c r="AOC93" s="88"/>
      <c r="AOD93" s="88"/>
      <c r="AOE93" s="88"/>
      <c r="AOF93" s="88"/>
      <c r="AOG93" s="88"/>
      <c r="AOH93" s="88"/>
      <c r="AOI93" s="88"/>
      <c r="AOJ93" s="88"/>
      <c r="AOK93" s="88"/>
      <c r="AOL93" s="88"/>
      <c r="AOM93" s="88"/>
      <c r="AON93" s="88"/>
      <c r="AOO93" s="88"/>
      <c r="AOP93" s="88"/>
      <c r="AOQ93" s="88"/>
      <c r="AOR93" s="88"/>
      <c r="AOS93" s="88"/>
      <c r="AOT93" s="88"/>
      <c r="AOU93" s="88"/>
      <c r="AOV93" s="88"/>
      <c r="AOW93" s="88"/>
      <c r="AOX93" s="88"/>
      <c r="AOY93" s="88"/>
      <c r="AOZ93" s="88"/>
      <c r="APA93" s="88"/>
      <c r="APB93" s="88"/>
      <c r="APC93" s="88"/>
      <c r="APD93" s="88"/>
      <c r="APE93" s="88"/>
      <c r="APF93" s="88"/>
      <c r="APG93" s="88"/>
      <c r="APH93" s="88"/>
      <c r="API93" s="88"/>
      <c r="APJ93" s="88"/>
      <c r="APK93" s="88"/>
      <c r="APL93" s="88"/>
      <c r="APM93" s="88"/>
      <c r="APN93" s="88"/>
      <c r="APO93" s="88"/>
      <c r="APP93" s="88"/>
      <c r="APQ93" s="88"/>
      <c r="APR93" s="88"/>
      <c r="APS93" s="88"/>
      <c r="APT93" s="88"/>
      <c r="APU93" s="88"/>
      <c r="APV93" s="88"/>
      <c r="APW93" s="88"/>
      <c r="APX93" s="88"/>
      <c r="APY93" s="88"/>
      <c r="APZ93" s="88"/>
      <c r="AQA93" s="88"/>
      <c r="AQB93" s="88"/>
      <c r="AQC93" s="88"/>
      <c r="AQD93" s="88"/>
      <c r="AQE93" s="88"/>
      <c r="AQF93" s="88"/>
      <c r="AQG93" s="88"/>
      <c r="AQH93" s="88"/>
      <c r="AQI93" s="88"/>
      <c r="AQJ93" s="88"/>
      <c r="AQK93" s="88"/>
      <c r="AQL93" s="88"/>
      <c r="AQM93" s="88"/>
      <c r="AQN93" s="88"/>
      <c r="AQO93" s="88"/>
      <c r="AQP93" s="88"/>
      <c r="AQQ93" s="88"/>
      <c r="AQR93" s="88"/>
      <c r="AQS93" s="88"/>
      <c r="AQT93" s="88"/>
      <c r="AQU93" s="88"/>
      <c r="AQV93" s="88"/>
      <c r="AQW93" s="88"/>
      <c r="AQX93" s="88"/>
      <c r="AQY93" s="88"/>
      <c r="AQZ93" s="88"/>
      <c r="ARA93" s="88"/>
      <c r="ARB93" s="88"/>
      <c r="ARC93" s="88"/>
      <c r="ARD93" s="88"/>
      <c r="ARE93" s="88"/>
      <c r="ARF93" s="88"/>
      <c r="ARG93" s="88"/>
      <c r="ARH93" s="88"/>
      <c r="ARI93" s="88"/>
      <c r="ARJ93" s="88"/>
      <c r="ARK93" s="88"/>
      <c r="ARL93" s="88"/>
      <c r="ARM93" s="88"/>
      <c r="ARN93" s="88"/>
      <c r="ARO93" s="88"/>
      <c r="ARP93" s="88"/>
      <c r="ARQ93" s="88"/>
      <c r="ARR93" s="88"/>
      <c r="ARS93" s="88"/>
      <c r="ART93" s="88"/>
      <c r="ARU93" s="88"/>
      <c r="ARV93" s="88"/>
      <c r="ARW93" s="88"/>
      <c r="ARX93" s="88"/>
      <c r="ARY93" s="88"/>
      <c r="ARZ93" s="88"/>
      <c r="ASA93" s="88"/>
      <c r="ASB93" s="88"/>
      <c r="ASC93" s="88"/>
      <c r="ASD93" s="88"/>
      <c r="ASE93" s="88"/>
      <c r="ASF93" s="88"/>
      <c r="ASG93" s="88"/>
      <c r="ASH93" s="88"/>
      <c r="ASI93" s="88"/>
      <c r="ASJ93" s="88"/>
      <c r="ASK93" s="88"/>
      <c r="ASL93" s="88"/>
      <c r="ASM93" s="88"/>
      <c r="ASN93" s="88"/>
      <c r="ASO93" s="88"/>
      <c r="ASP93" s="88"/>
      <c r="ASQ93" s="88"/>
      <c r="ASR93" s="88"/>
      <c r="ASS93" s="88"/>
      <c r="AST93" s="88"/>
      <c r="ASU93" s="88"/>
      <c r="ASV93" s="88"/>
      <c r="ASW93" s="88"/>
      <c r="ASX93" s="88"/>
      <c r="ASY93" s="88"/>
      <c r="ASZ93" s="88"/>
      <c r="ATA93" s="88"/>
      <c r="ATB93" s="88"/>
      <c r="ATC93" s="88"/>
      <c r="ATD93" s="88"/>
      <c r="ATE93" s="88"/>
      <c r="ATF93" s="88"/>
      <c r="ATG93" s="88"/>
      <c r="ATH93" s="88"/>
      <c r="ATI93" s="88"/>
      <c r="ATJ93" s="88"/>
      <c r="ATK93" s="88"/>
      <c r="ATL93" s="88"/>
      <c r="ATM93" s="88"/>
      <c r="ATN93" s="88"/>
      <c r="ATO93" s="88"/>
      <c r="ATP93" s="88"/>
      <c r="ATQ93" s="88"/>
      <c r="ATR93" s="88"/>
      <c r="ATS93" s="88"/>
      <c r="ATT93" s="88"/>
      <c r="ATU93" s="88"/>
      <c r="ATV93" s="88"/>
      <c r="ATW93" s="88"/>
      <c r="ATX93" s="88"/>
      <c r="ATY93" s="88"/>
      <c r="ATZ93" s="88"/>
      <c r="AUA93" s="88"/>
      <c r="AUB93" s="88"/>
      <c r="AUC93" s="88"/>
      <c r="AUD93" s="88"/>
      <c r="AUE93" s="88"/>
      <c r="AUF93" s="88"/>
      <c r="AUG93" s="88"/>
      <c r="AUH93" s="88"/>
      <c r="AUI93" s="88"/>
      <c r="AUJ93" s="88"/>
      <c r="AUK93" s="88"/>
      <c r="AUL93" s="88"/>
      <c r="AUM93" s="88"/>
      <c r="AUN93" s="88"/>
      <c r="AUO93" s="88"/>
      <c r="AUP93" s="88"/>
      <c r="AUQ93" s="88"/>
      <c r="AUR93" s="88"/>
      <c r="AUS93" s="88"/>
      <c r="AUT93" s="88"/>
      <c r="AUU93" s="88"/>
      <c r="AUV93" s="88"/>
      <c r="AUW93" s="88"/>
      <c r="AUX93" s="88"/>
      <c r="AUY93" s="88"/>
      <c r="AUZ93" s="88"/>
      <c r="AVA93" s="88"/>
      <c r="AVB93" s="88"/>
      <c r="AVC93" s="88"/>
      <c r="AVD93" s="88"/>
      <c r="AVE93" s="88"/>
      <c r="AVF93" s="88"/>
      <c r="AVG93" s="88"/>
      <c r="AVH93" s="88"/>
      <c r="AVI93" s="88"/>
      <c r="AVJ93" s="88"/>
      <c r="AVK93" s="88"/>
      <c r="AVL93" s="88"/>
      <c r="AVM93" s="88"/>
      <c r="AVN93" s="88"/>
      <c r="AVO93" s="88"/>
      <c r="AVP93" s="88"/>
      <c r="AVQ93" s="88"/>
      <c r="AVR93" s="88"/>
      <c r="AVS93" s="88"/>
      <c r="AVT93" s="88"/>
      <c r="AVU93" s="88"/>
      <c r="AVV93" s="88"/>
      <c r="AVW93" s="88"/>
      <c r="AVX93" s="88"/>
      <c r="AVY93" s="88"/>
      <c r="AVZ93" s="88"/>
      <c r="AWA93" s="88"/>
      <c r="AWB93" s="88"/>
      <c r="AWC93" s="88"/>
      <c r="AWD93" s="88"/>
      <c r="AWE93" s="88"/>
      <c r="AWF93" s="88"/>
      <c r="AWG93" s="88"/>
      <c r="AWH93" s="88"/>
      <c r="AWI93" s="88"/>
      <c r="AWJ93" s="88"/>
      <c r="AWK93" s="88"/>
      <c r="AWL93" s="88"/>
      <c r="AWM93" s="88"/>
      <c r="AWN93" s="88"/>
      <c r="AWO93" s="88"/>
      <c r="AWP93" s="88"/>
      <c r="AWQ93" s="88"/>
      <c r="AWR93" s="88"/>
      <c r="AWS93" s="88"/>
      <c r="AWT93" s="88"/>
      <c r="AWU93" s="88"/>
      <c r="AWV93" s="88"/>
      <c r="AWW93" s="88"/>
      <c r="AWX93" s="88"/>
      <c r="AWY93" s="88"/>
      <c r="AWZ93" s="88"/>
      <c r="AXA93" s="88"/>
      <c r="AXB93" s="88"/>
      <c r="AXC93" s="88"/>
      <c r="AXD93" s="88"/>
      <c r="AXE93" s="88"/>
      <c r="AXF93" s="88"/>
      <c r="AXG93" s="88"/>
      <c r="AXH93" s="88"/>
      <c r="AXI93" s="88"/>
      <c r="AXJ93" s="88"/>
      <c r="AXK93" s="88"/>
      <c r="AXL93" s="88"/>
      <c r="AXM93" s="88"/>
      <c r="AXN93" s="88"/>
      <c r="AXO93" s="88"/>
      <c r="AXP93" s="88"/>
      <c r="AXQ93" s="88"/>
      <c r="AXR93" s="88"/>
      <c r="AXS93" s="88"/>
      <c r="AXT93" s="88"/>
      <c r="AXU93" s="88"/>
      <c r="AXV93" s="88"/>
      <c r="AXW93" s="88"/>
      <c r="AXX93" s="88"/>
      <c r="AXY93" s="88"/>
      <c r="AXZ93" s="88"/>
      <c r="AYA93" s="88"/>
      <c r="AYB93" s="88"/>
      <c r="AYC93" s="88"/>
      <c r="AYD93" s="88"/>
      <c r="AYE93" s="88"/>
      <c r="AYF93" s="88"/>
      <c r="AYG93" s="88"/>
      <c r="AYH93" s="88"/>
      <c r="AYI93" s="88"/>
      <c r="AYJ93" s="88"/>
      <c r="AYK93" s="88"/>
      <c r="AYL93" s="88"/>
      <c r="AYM93" s="88"/>
      <c r="AYN93" s="88"/>
      <c r="AYO93" s="88"/>
      <c r="AYP93" s="88"/>
      <c r="AYQ93" s="88"/>
      <c r="AYR93" s="88"/>
      <c r="AYS93" s="88"/>
      <c r="AYT93" s="88"/>
      <c r="AYU93" s="88"/>
      <c r="AYV93" s="88"/>
      <c r="AYW93" s="88"/>
      <c r="AYX93" s="88"/>
      <c r="AYY93" s="88"/>
      <c r="AYZ93" s="88"/>
      <c r="AZA93" s="88"/>
      <c r="AZB93" s="88"/>
      <c r="AZC93" s="88"/>
      <c r="AZD93" s="88"/>
      <c r="AZE93" s="88"/>
      <c r="AZF93" s="88"/>
      <c r="AZG93" s="88"/>
      <c r="AZH93" s="88"/>
      <c r="AZI93" s="88"/>
      <c r="AZJ93" s="88"/>
      <c r="AZK93" s="88"/>
      <c r="AZL93" s="88"/>
      <c r="AZM93" s="88"/>
      <c r="AZN93" s="88"/>
      <c r="AZO93" s="88"/>
      <c r="AZP93" s="88"/>
      <c r="AZQ93" s="88"/>
      <c r="AZR93" s="88"/>
      <c r="AZS93" s="88"/>
      <c r="AZT93" s="88"/>
      <c r="AZU93" s="88"/>
      <c r="AZV93" s="88"/>
      <c r="AZW93" s="88"/>
      <c r="AZX93" s="88"/>
      <c r="AZY93" s="88"/>
      <c r="AZZ93" s="88"/>
      <c r="BAA93" s="88"/>
      <c r="BAB93" s="88"/>
      <c r="BAC93" s="88"/>
      <c r="BAD93" s="88"/>
      <c r="BAE93" s="88"/>
      <c r="BAF93" s="88"/>
      <c r="BAG93" s="88"/>
      <c r="BAH93" s="88"/>
      <c r="BAI93" s="88"/>
      <c r="BAJ93" s="88"/>
      <c r="BAK93" s="88"/>
      <c r="BAL93" s="88"/>
      <c r="BAM93" s="88"/>
      <c r="BAN93" s="88"/>
      <c r="BAO93" s="88"/>
      <c r="BAP93" s="88"/>
      <c r="BAQ93" s="88"/>
      <c r="BAR93" s="88"/>
      <c r="BAS93" s="88"/>
      <c r="BAT93" s="88"/>
      <c r="BAU93" s="88"/>
      <c r="BAV93" s="88"/>
      <c r="BAW93" s="88"/>
      <c r="BAX93" s="88"/>
      <c r="BAY93" s="88"/>
      <c r="BAZ93" s="88"/>
      <c r="BBA93" s="88"/>
      <c r="BBB93" s="88"/>
      <c r="BBC93" s="88"/>
      <c r="BBD93" s="88"/>
      <c r="BBE93" s="88"/>
      <c r="BBF93" s="88"/>
      <c r="BBG93" s="88"/>
      <c r="BBH93" s="88"/>
      <c r="BBI93" s="88"/>
      <c r="BBJ93" s="88"/>
      <c r="BBK93" s="88"/>
      <c r="BBL93" s="88"/>
      <c r="BBM93" s="88"/>
      <c r="BBN93" s="88"/>
      <c r="BBO93" s="88"/>
      <c r="BBP93" s="88"/>
      <c r="BBQ93" s="88"/>
      <c r="BBR93" s="88"/>
      <c r="BBS93" s="88"/>
      <c r="BBT93" s="88"/>
      <c r="BBU93" s="88"/>
      <c r="BBV93" s="88"/>
      <c r="BBW93" s="88"/>
      <c r="BBX93" s="88"/>
      <c r="BBY93" s="88"/>
      <c r="BBZ93" s="88"/>
      <c r="BCA93" s="88"/>
      <c r="BCB93" s="88"/>
      <c r="BCC93" s="88"/>
      <c r="BCD93" s="88"/>
      <c r="BCE93" s="88"/>
      <c r="BCF93" s="88"/>
      <c r="BCG93" s="88"/>
      <c r="BCH93" s="88"/>
      <c r="BCI93" s="88"/>
      <c r="BCJ93" s="88"/>
      <c r="BCK93" s="88"/>
      <c r="BCL93" s="88"/>
      <c r="BCM93" s="88"/>
      <c r="BCN93" s="88"/>
      <c r="BCO93" s="88"/>
      <c r="BCP93" s="88"/>
      <c r="BCQ93" s="88"/>
      <c r="BCR93" s="88"/>
      <c r="BCS93" s="88"/>
      <c r="BCT93" s="88"/>
      <c r="BCU93" s="88"/>
      <c r="BCV93" s="88"/>
      <c r="BCW93" s="88"/>
      <c r="BCX93" s="88"/>
      <c r="BCY93" s="88"/>
      <c r="BCZ93" s="88"/>
      <c r="BDA93" s="88"/>
      <c r="BDB93" s="88"/>
      <c r="BDC93" s="88"/>
      <c r="BDD93" s="88"/>
      <c r="BDE93" s="88"/>
      <c r="BDF93" s="88"/>
      <c r="BDG93" s="88"/>
      <c r="BDH93" s="88"/>
      <c r="BDI93" s="88"/>
      <c r="BDJ93" s="88"/>
      <c r="BDK93" s="88"/>
      <c r="BDL93" s="88"/>
      <c r="BDM93" s="88"/>
      <c r="BDN93" s="88"/>
      <c r="BDO93" s="88"/>
      <c r="BDP93" s="88"/>
      <c r="BDQ93" s="88"/>
      <c r="BDR93" s="88"/>
      <c r="BDS93" s="88"/>
      <c r="BDT93" s="88"/>
      <c r="BDU93" s="88"/>
      <c r="BDV93" s="88"/>
      <c r="BDW93" s="88"/>
      <c r="BDX93" s="88"/>
      <c r="BDY93" s="88"/>
      <c r="BDZ93" s="88"/>
      <c r="BEA93" s="88"/>
      <c r="BEB93" s="88"/>
      <c r="BEC93" s="88"/>
      <c r="BED93" s="88"/>
      <c r="BEE93" s="88"/>
      <c r="BEF93" s="88"/>
      <c r="BEG93" s="88"/>
      <c r="BEH93" s="88"/>
      <c r="BEI93" s="88"/>
      <c r="BEJ93" s="88"/>
      <c r="BEK93" s="88"/>
      <c r="BEL93" s="88"/>
      <c r="BEM93" s="88"/>
      <c r="BEN93" s="88"/>
      <c r="BEO93" s="88"/>
      <c r="BEP93" s="88"/>
      <c r="BEQ93" s="88"/>
      <c r="BER93" s="88"/>
      <c r="BES93" s="88"/>
      <c r="BET93" s="88"/>
      <c r="BEU93" s="88"/>
      <c r="BEV93" s="88"/>
      <c r="BEW93" s="88"/>
      <c r="BEX93" s="88"/>
      <c r="BEY93" s="88"/>
      <c r="BEZ93" s="88"/>
      <c r="BFA93" s="88"/>
      <c r="BFB93" s="88"/>
      <c r="BFC93" s="88"/>
      <c r="BFD93" s="88"/>
      <c r="BFE93" s="88"/>
      <c r="BFF93" s="88"/>
      <c r="BFG93" s="88"/>
      <c r="BFH93" s="88"/>
      <c r="BFI93" s="88"/>
      <c r="BFJ93" s="88"/>
      <c r="BFK93" s="88"/>
      <c r="BFL93" s="88"/>
      <c r="BFM93" s="88"/>
      <c r="BFN93" s="88"/>
      <c r="BFO93" s="88"/>
      <c r="BFP93" s="88"/>
      <c r="BFQ93" s="88"/>
      <c r="BFR93" s="88"/>
      <c r="BFS93" s="88"/>
      <c r="BFT93" s="88"/>
      <c r="BFU93" s="88"/>
      <c r="BFV93" s="88"/>
      <c r="BFW93" s="88"/>
      <c r="BFX93" s="88"/>
      <c r="BFY93" s="88"/>
      <c r="BFZ93" s="88"/>
      <c r="BGA93" s="88"/>
      <c r="BGB93" s="88"/>
      <c r="BGC93" s="88"/>
      <c r="BGD93" s="88"/>
      <c r="BGE93" s="88"/>
      <c r="BGF93" s="88"/>
      <c r="BGG93" s="88"/>
      <c r="BGH93" s="88"/>
      <c r="BGI93" s="88"/>
      <c r="BGJ93" s="88"/>
      <c r="BGK93" s="88"/>
      <c r="BGL93" s="88"/>
      <c r="BGM93" s="88"/>
      <c r="BGN93" s="88"/>
      <c r="BGO93" s="88"/>
      <c r="BGP93" s="88"/>
      <c r="BGQ93" s="88"/>
      <c r="BGR93" s="88"/>
      <c r="BGS93" s="88"/>
      <c r="BGT93" s="88"/>
      <c r="BGU93" s="88"/>
      <c r="BGV93" s="88"/>
      <c r="BGW93" s="88"/>
      <c r="BGX93" s="88"/>
      <c r="BGY93" s="88"/>
      <c r="BGZ93" s="88"/>
      <c r="BHA93" s="88"/>
      <c r="BHB93" s="88"/>
      <c r="BHC93" s="88"/>
      <c r="BHD93" s="88"/>
      <c r="BHE93" s="88"/>
      <c r="BHF93" s="88"/>
      <c r="BHG93" s="88"/>
      <c r="BHH93" s="88"/>
      <c r="BHI93" s="88"/>
      <c r="BHJ93" s="88"/>
      <c r="BHK93" s="88"/>
      <c r="BHL93" s="88"/>
      <c r="BHM93" s="88"/>
      <c r="BHN93" s="88"/>
      <c r="BHO93" s="88"/>
      <c r="BHP93" s="88"/>
      <c r="BHQ93" s="88"/>
      <c r="BHR93" s="88"/>
      <c r="BHS93" s="88"/>
      <c r="BHT93" s="88"/>
      <c r="BHU93" s="88"/>
      <c r="BHV93" s="88"/>
      <c r="BHW93" s="88"/>
      <c r="BHX93" s="88"/>
      <c r="BHY93" s="88"/>
      <c r="BHZ93" s="88"/>
      <c r="BIA93" s="88"/>
      <c r="BIB93" s="88"/>
      <c r="BIC93" s="88"/>
      <c r="BID93" s="88"/>
      <c r="BIE93" s="88"/>
      <c r="BIF93" s="88"/>
      <c r="BIG93" s="88"/>
      <c r="BIH93" s="88"/>
      <c r="BII93" s="88"/>
      <c r="BIJ93" s="88"/>
      <c r="BIK93" s="88"/>
      <c r="BIL93" s="88"/>
      <c r="BIM93" s="88"/>
      <c r="BIN93" s="88"/>
      <c r="BIO93" s="88"/>
      <c r="BIP93" s="88"/>
      <c r="BIQ93" s="88"/>
      <c r="BIR93" s="88"/>
      <c r="BIS93" s="88"/>
      <c r="BIT93" s="88"/>
      <c r="BIU93" s="88"/>
      <c r="BIV93" s="88"/>
      <c r="BIW93" s="88"/>
      <c r="BIX93" s="88"/>
      <c r="BIY93" s="88"/>
      <c r="BIZ93" s="88"/>
      <c r="BJA93" s="88"/>
      <c r="BJB93" s="88"/>
      <c r="BJC93" s="88"/>
      <c r="BJD93" s="88"/>
      <c r="BJE93" s="88"/>
      <c r="BJF93" s="88"/>
      <c r="BJG93" s="88"/>
      <c r="BJH93" s="88"/>
      <c r="BJI93" s="88"/>
      <c r="BJJ93" s="88"/>
      <c r="BJK93" s="88"/>
      <c r="BJL93" s="88"/>
      <c r="BJM93" s="88"/>
      <c r="BJN93" s="88"/>
      <c r="BJO93" s="88"/>
      <c r="BJP93" s="88"/>
      <c r="BJQ93" s="88"/>
      <c r="BJR93" s="88"/>
      <c r="BJS93" s="88"/>
      <c r="BJT93" s="88"/>
      <c r="BJU93" s="88"/>
      <c r="BJV93" s="88"/>
      <c r="BJW93" s="88"/>
      <c r="BJX93" s="88"/>
      <c r="BJY93" s="88"/>
      <c r="BJZ93" s="88"/>
      <c r="BKA93" s="88"/>
      <c r="BKB93" s="88"/>
      <c r="BKC93" s="88"/>
      <c r="BKD93" s="88"/>
      <c r="BKE93" s="88"/>
      <c r="BKF93" s="88"/>
      <c r="BKG93" s="88"/>
      <c r="BKH93" s="88"/>
      <c r="BKI93" s="88"/>
      <c r="BKJ93" s="88"/>
      <c r="BKK93" s="88"/>
      <c r="BKL93" s="88"/>
      <c r="BKM93" s="88"/>
      <c r="BKN93" s="88"/>
      <c r="BKO93" s="88"/>
      <c r="BKP93" s="88"/>
      <c r="BKQ93" s="88"/>
      <c r="BKR93" s="88"/>
      <c r="BKS93" s="88"/>
      <c r="BKT93" s="88"/>
      <c r="BKU93" s="88"/>
      <c r="BKV93" s="88"/>
      <c r="BKW93" s="88"/>
      <c r="BKX93" s="88"/>
      <c r="BKY93" s="88"/>
      <c r="BKZ93" s="88"/>
      <c r="BLA93" s="88"/>
      <c r="BLB93" s="88"/>
      <c r="BLC93" s="88"/>
      <c r="BLD93" s="88"/>
      <c r="BLE93" s="88"/>
      <c r="BLF93" s="88"/>
      <c r="BLG93" s="88"/>
      <c r="BLH93" s="88"/>
      <c r="BLI93" s="88"/>
      <c r="BLJ93" s="88"/>
      <c r="BLK93" s="88"/>
      <c r="BLL93" s="88"/>
      <c r="BLM93" s="88"/>
      <c r="BLN93" s="88"/>
      <c r="BLO93" s="88"/>
      <c r="BLP93" s="88"/>
      <c r="BLQ93" s="88"/>
      <c r="BLR93" s="88"/>
      <c r="BLS93" s="88"/>
      <c r="BLT93" s="88"/>
      <c r="BLU93" s="88"/>
      <c r="BLV93" s="88"/>
      <c r="BLW93" s="88"/>
      <c r="BLX93" s="88"/>
      <c r="BLY93" s="88"/>
      <c r="BLZ93" s="88"/>
      <c r="BMA93" s="88"/>
      <c r="BMB93" s="88"/>
      <c r="BMC93" s="88"/>
      <c r="BMD93" s="88"/>
      <c r="BME93" s="88"/>
      <c r="BMF93" s="88"/>
      <c r="BMG93" s="88"/>
      <c r="BMH93" s="88"/>
      <c r="BMI93" s="88"/>
      <c r="BMJ93" s="88"/>
      <c r="BMK93" s="88"/>
      <c r="BML93" s="88"/>
      <c r="BMM93" s="88"/>
      <c r="BMN93" s="88"/>
      <c r="BMO93" s="88"/>
      <c r="BMP93" s="88"/>
      <c r="BMQ93" s="88"/>
      <c r="BMR93" s="88"/>
      <c r="BMS93" s="88"/>
      <c r="BMT93" s="88"/>
      <c r="BMU93" s="88"/>
      <c r="BMV93" s="88"/>
      <c r="BMW93" s="88"/>
      <c r="BMX93" s="88"/>
      <c r="BMY93" s="88"/>
      <c r="BMZ93" s="88"/>
      <c r="BNA93" s="88"/>
      <c r="BNB93" s="88"/>
      <c r="BNC93" s="88"/>
      <c r="BND93" s="88"/>
      <c r="BNE93" s="88"/>
      <c r="BNF93" s="88"/>
      <c r="BNG93" s="88"/>
      <c r="BNH93" s="88"/>
      <c r="BNI93" s="88"/>
      <c r="BNJ93" s="88"/>
      <c r="BNK93" s="88"/>
      <c r="BNL93" s="88"/>
      <c r="BNM93" s="88"/>
      <c r="BNN93" s="88"/>
      <c r="BNO93" s="88"/>
      <c r="BNP93" s="88"/>
      <c r="BNQ93" s="88"/>
      <c r="BNR93" s="88"/>
      <c r="BNS93" s="88"/>
      <c r="BNT93" s="88"/>
      <c r="BNU93" s="88"/>
      <c r="BNV93" s="88"/>
      <c r="BNW93" s="88"/>
      <c r="BNX93" s="88"/>
      <c r="BNY93" s="88"/>
      <c r="BNZ93" s="88"/>
      <c r="BOA93" s="88"/>
      <c r="BOB93" s="88"/>
      <c r="BOC93" s="88"/>
      <c r="BOD93" s="88"/>
      <c r="BOE93" s="88"/>
      <c r="BOF93" s="88"/>
      <c r="BOG93" s="88"/>
      <c r="BOH93" s="88"/>
      <c r="BOI93" s="88"/>
      <c r="BOJ93" s="88"/>
      <c r="BOK93" s="88"/>
      <c r="BOL93" s="88"/>
      <c r="BOM93" s="88"/>
      <c r="BON93" s="88"/>
      <c r="BOO93" s="88"/>
      <c r="BOP93" s="88"/>
      <c r="BOQ93" s="88"/>
      <c r="BOR93" s="88"/>
      <c r="BOS93" s="88"/>
      <c r="BOT93" s="88"/>
      <c r="BOU93" s="88"/>
      <c r="BOV93" s="88"/>
      <c r="BOW93" s="88"/>
      <c r="BOX93" s="88"/>
      <c r="BOY93" s="88"/>
      <c r="BOZ93" s="88"/>
      <c r="BPA93" s="88"/>
      <c r="BPB93" s="88"/>
      <c r="BPC93" s="88"/>
      <c r="BPD93" s="88"/>
      <c r="BPE93" s="88"/>
      <c r="BPF93" s="88"/>
      <c r="BPG93" s="88"/>
      <c r="BPH93" s="88"/>
      <c r="BPI93" s="88"/>
      <c r="BPJ93" s="88"/>
      <c r="BPK93" s="88"/>
      <c r="BPL93" s="88"/>
      <c r="BPM93" s="88"/>
      <c r="BPN93" s="88"/>
      <c r="BPO93" s="88"/>
      <c r="BPP93" s="88"/>
      <c r="BPQ93" s="88"/>
      <c r="BPR93" s="88"/>
      <c r="BPS93" s="88"/>
      <c r="BPT93" s="88"/>
      <c r="BPU93" s="88"/>
      <c r="BPV93" s="88"/>
      <c r="BPW93" s="88"/>
      <c r="BPX93" s="88"/>
      <c r="BPY93" s="88"/>
      <c r="BPZ93" s="88"/>
      <c r="BQA93" s="88"/>
      <c r="BQB93" s="88"/>
      <c r="BQC93" s="88"/>
      <c r="BQD93" s="88"/>
      <c r="BQE93" s="88"/>
      <c r="BQF93" s="88"/>
      <c r="BQG93" s="88"/>
      <c r="BQH93" s="88"/>
      <c r="BQI93" s="88"/>
      <c r="BQJ93" s="88"/>
      <c r="BQK93" s="88"/>
      <c r="BQL93" s="88"/>
      <c r="BQM93" s="88"/>
      <c r="BQN93" s="88"/>
      <c r="BQO93" s="88"/>
      <c r="BQP93" s="88"/>
      <c r="BQQ93" s="88"/>
      <c r="BQR93" s="88"/>
      <c r="BQS93" s="88"/>
      <c r="BQT93" s="88"/>
      <c r="BQU93" s="88"/>
      <c r="BQV93" s="88"/>
      <c r="BQW93" s="88"/>
      <c r="BQX93" s="88"/>
      <c r="BQY93" s="88"/>
      <c r="BQZ93" s="88"/>
      <c r="BRA93" s="88"/>
      <c r="BRB93" s="88"/>
      <c r="BRC93" s="88"/>
      <c r="BRD93" s="88"/>
      <c r="BRE93" s="88"/>
      <c r="BRF93" s="88"/>
      <c r="BRG93" s="88"/>
      <c r="BRH93" s="88"/>
      <c r="BRI93" s="88"/>
      <c r="BRJ93" s="88"/>
      <c r="BRK93" s="88"/>
      <c r="BRL93" s="88"/>
      <c r="BRM93" s="88"/>
      <c r="BRN93" s="88"/>
      <c r="BRO93" s="88"/>
      <c r="BRP93" s="88"/>
      <c r="BRQ93" s="88"/>
      <c r="BRR93" s="88"/>
      <c r="BRS93" s="88"/>
      <c r="BRT93" s="88"/>
      <c r="BRU93" s="88"/>
      <c r="BRV93" s="88"/>
      <c r="BRW93" s="88"/>
      <c r="BRX93" s="88"/>
      <c r="BRY93" s="88"/>
      <c r="BRZ93" s="88"/>
      <c r="BSA93" s="88"/>
      <c r="BSB93" s="88"/>
      <c r="BSC93" s="88"/>
      <c r="BSD93" s="88"/>
      <c r="BSE93" s="88"/>
      <c r="BSF93" s="88"/>
      <c r="BSG93" s="88"/>
      <c r="BSH93" s="88"/>
      <c r="BSI93" s="88"/>
      <c r="BSJ93" s="88"/>
      <c r="BSK93" s="88"/>
      <c r="BSL93" s="88"/>
      <c r="BSM93" s="88"/>
      <c r="BSN93" s="88"/>
      <c r="BSO93" s="88"/>
      <c r="BSP93" s="88"/>
      <c r="BSQ93" s="88"/>
      <c r="BSR93" s="88"/>
      <c r="BSS93" s="88"/>
      <c r="BST93" s="88"/>
      <c r="BSU93" s="88"/>
      <c r="BSV93" s="88"/>
      <c r="BSW93" s="88"/>
      <c r="BSX93" s="88"/>
      <c r="BSY93" s="88"/>
      <c r="BSZ93" s="88"/>
      <c r="BTA93" s="88"/>
      <c r="BTB93" s="88"/>
      <c r="BTC93" s="88"/>
      <c r="BTD93" s="88"/>
      <c r="BTE93" s="88"/>
      <c r="BTF93" s="88"/>
      <c r="BTG93" s="88"/>
      <c r="BTH93" s="88"/>
      <c r="BTI93" s="88"/>
      <c r="BTJ93" s="88"/>
      <c r="BTK93" s="88"/>
      <c r="BTL93" s="88"/>
      <c r="BTM93" s="88"/>
      <c r="BTN93" s="88"/>
      <c r="BTO93" s="88"/>
      <c r="BTP93" s="88"/>
      <c r="BTQ93" s="88"/>
      <c r="BTR93" s="88"/>
      <c r="BTS93" s="88"/>
      <c r="BTT93" s="88"/>
      <c r="BTU93" s="88"/>
      <c r="BTV93" s="88"/>
      <c r="BTW93" s="88"/>
      <c r="BTX93" s="88"/>
      <c r="BTY93" s="88"/>
      <c r="BTZ93" s="88"/>
      <c r="BUA93" s="88"/>
      <c r="BUB93" s="88"/>
      <c r="BUC93" s="88"/>
      <c r="BUD93" s="88"/>
      <c r="BUE93" s="88"/>
      <c r="BUF93" s="88"/>
      <c r="BUG93" s="88"/>
      <c r="BUH93" s="88"/>
      <c r="BUI93" s="88"/>
      <c r="BUJ93" s="88"/>
      <c r="BUK93" s="88"/>
      <c r="BUL93" s="88"/>
      <c r="BUM93" s="88"/>
      <c r="BUN93" s="88"/>
      <c r="BUO93" s="88"/>
      <c r="BUP93" s="88"/>
      <c r="BUQ93" s="88"/>
      <c r="BUR93" s="88"/>
      <c r="BUS93" s="88"/>
      <c r="BUT93" s="88"/>
      <c r="BUU93" s="88"/>
      <c r="BUV93" s="88"/>
      <c r="BUW93" s="88"/>
      <c r="BUX93" s="88"/>
      <c r="BUY93" s="88"/>
      <c r="BUZ93" s="88"/>
      <c r="BVA93" s="88"/>
      <c r="BVB93" s="88"/>
      <c r="BVC93" s="88"/>
      <c r="BVD93" s="88"/>
      <c r="BVE93" s="88"/>
      <c r="BVF93" s="88"/>
      <c r="BVG93" s="88"/>
      <c r="BVH93" s="88"/>
      <c r="BVI93" s="88"/>
      <c r="BVJ93" s="88"/>
      <c r="BVK93" s="88"/>
      <c r="BVL93" s="88"/>
      <c r="BVM93" s="88"/>
      <c r="BVN93" s="88"/>
      <c r="BVO93" s="88"/>
      <c r="BVP93" s="88"/>
      <c r="BVQ93" s="88"/>
      <c r="BVR93" s="88"/>
      <c r="BVS93" s="88"/>
      <c r="BVT93" s="88"/>
      <c r="BVU93" s="88"/>
      <c r="BVV93" s="88"/>
      <c r="BVW93" s="88"/>
      <c r="BVX93" s="88"/>
      <c r="BVY93" s="88"/>
      <c r="BVZ93" s="88"/>
      <c r="BWA93" s="88"/>
      <c r="BWB93" s="88"/>
      <c r="BWC93" s="88"/>
      <c r="BWD93" s="88"/>
      <c r="BWE93" s="88"/>
      <c r="BWF93" s="88"/>
      <c r="BWG93" s="88"/>
      <c r="BWH93" s="88"/>
      <c r="BWI93" s="88"/>
      <c r="BWJ93" s="88"/>
      <c r="BWK93" s="88"/>
      <c r="BWL93" s="88"/>
      <c r="BWM93" s="88"/>
      <c r="BWN93" s="88"/>
      <c r="BWO93" s="88"/>
      <c r="BWP93" s="88"/>
      <c r="BWQ93" s="88"/>
      <c r="BWR93" s="88"/>
      <c r="BWS93" s="88"/>
      <c r="BWT93" s="88"/>
      <c r="BWU93" s="88"/>
      <c r="BWV93" s="88"/>
      <c r="BWW93" s="88"/>
      <c r="BWX93" s="88"/>
      <c r="BWY93" s="88"/>
      <c r="BWZ93" s="88"/>
      <c r="BXA93" s="88"/>
      <c r="BXB93" s="88"/>
      <c r="BXC93" s="88"/>
      <c r="BXD93" s="88"/>
      <c r="BXE93" s="88"/>
      <c r="BXF93" s="88"/>
      <c r="BXG93" s="88"/>
      <c r="BXH93" s="88"/>
      <c r="BXI93" s="88"/>
      <c r="BXJ93" s="88"/>
      <c r="BXK93" s="88"/>
      <c r="BXL93" s="88"/>
      <c r="BXM93" s="88"/>
      <c r="BXN93" s="88"/>
      <c r="BXO93" s="88"/>
      <c r="BXP93" s="88"/>
      <c r="BXQ93" s="88"/>
      <c r="BXR93" s="88"/>
      <c r="BXS93" s="88"/>
      <c r="BXT93" s="88"/>
      <c r="BXU93" s="88"/>
      <c r="BXV93" s="88"/>
      <c r="BXW93" s="88"/>
      <c r="BXX93" s="88"/>
      <c r="BXY93" s="88"/>
      <c r="BXZ93" s="88"/>
      <c r="BYA93" s="88"/>
      <c r="BYB93" s="88"/>
      <c r="BYC93" s="88"/>
      <c r="BYD93" s="88"/>
      <c r="BYE93" s="88"/>
      <c r="BYF93" s="88"/>
      <c r="BYG93" s="88"/>
      <c r="BYH93" s="88"/>
      <c r="BYI93" s="88"/>
      <c r="BYJ93" s="88"/>
      <c r="BYK93" s="88"/>
      <c r="BYL93" s="88"/>
      <c r="BYM93" s="88"/>
      <c r="BYN93" s="88"/>
      <c r="BYO93" s="88"/>
      <c r="BYP93" s="88"/>
      <c r="BYQ93" s="88"/>
      <c r="BYR93" s="88"/>
      <c r="BYS93" s="88"/>
      <c r="BYT93" s="88"/>
      <c r="BYU93" s="88"/>
      <c r="BYV93" s="88"/>
      <c r="BYW93" s="88"/>
      <c r="BYX93" s="88"/>
      <c r="BYY93" s="88"/>
      <c r="BYZ93" s="88"/>
      <c r="BZA93" s="88"/>
      <c r="BZB93" s="88"/>
      <c r="BZC93" s="88"/>
      <c r="BZD93" s="88"/>
      <c r="BZE93" s="88"/>
      <c r="BZF93" s="88"/>
      <c r="BZG93" s="88"/>
      <c r="BZH93" s="88"/>
      <c r="BZI93" s="88"/>
      <c r="BZJ93" s="88"/>
      <c r="BZK93" s="88"/>
      <c r="BZL93" s="88"/>
      <c r="BZM93" s="88"/>
      <c r="BZN93" s="88"/>
      <c r="BZO93" s="88"/>
      <c r="BZP93" s="88"/>
      <c r="BZQ93" s="88"/>
      <c r="BZR93" s="88"/>
      <c r="BZS93" s="88"/>
      <c r="BZT93" s="88"/>
      <c r="BZU93" s="88"/>
      <c r="BZV93" s="88"/>
      <c r="BZW93" s="88"/>
      <c r="BZX93" s="88"/>
      <c r="BZY93" s="88"/>
      <c r="BZZ93" s="88"/>
      <c r="CAA93" s="88"/>
      <c r="CAB93" s="88"/>
      <c r="CAC93" s="88"/>
      <c r="CAD93" s="88"/>
      <c r="CAE93" s="88"/>
      <c r="CAF93" s="88"/>
      <c r="CAG93" s="88"/>
      <c r="CAH93" s="88"/>
      <c r="CAI93" s="88"/>
      <c r="CAJ93" s="88"/>
      <c r="CAK93" s="88"/>
      <c r="CAL93" s="88"/>
      <c r="CAM93" s="88"/>
      <c r="CAN93" s="88"/>
      <c r="CAO93" s="88"/>
      <c r="CAP93" s="88"/>
      <c r="CAQ93" s="88"/>
      <c r="CAR93" s="88"/>
      <c r="CAS93" s="88"/>
      <c r="CAT93" s="88"/>
      <c r="CAU93" s="88"/>
      <c r="CAV93" s="88"/>
      <c r="CAW93" s="88"/>
      <c r="CAX93" s="88"/>
      <c r="CAY93" s="88"/>
      <c r="CAZ93" s="88"/>
      <c r="CBA93" s="88"/>
      <c r="CBB93" s="88"/>
      <c r="CBC93" s="88"/>
      <c r="CBD93" s="88"/>
      <c r="CBE93" s="88"/>
      <c r="CBF93" s="88"/>
      <c r="CBG93" s="88"/>
      <c r="CBH93" s="88"/>
      <c r="CBI93" s="88"/>
      <c r="CBJ93" s="88"/>
      <c r="CBK93" s="88"/>
      <c r="CBL93" s="88"/>
      <c r="CBM93" s="88"/>
      <c r="CBN93" s="88"/>
      <c r="CBO93" s="88"/>
      <c r="CBP93" s="88"/>
      <c r="CBQ93" s="88"/>
      <c r="CBR93" s="88"/>
      <c r="CBS93" s="88"/>
      <c r="CBT93" s="88"/>
      <c r="CBU93" s="88"/>
      <c r="CBV93" s="88"/>
      <c r="CBW93" s="88"/>
      <c r="CBX93" s="88"/>
      <c r="CBY93" s="88"/>
      <c r="CBZ93" s="88"/>
      <c r="CCA93" s="88"/>
      <c r="CCB93" s="88"/>
      <c r="CCC93" s="88"/>
      <c r="CCD93" s="88"/>
      <c r="CCE93" s="88"/>
      <c r="CCF93" s="88"/>
      <c r="CCG93" s="88"/>
      <c r="CCH93" s="88"/>
      <c r="CCI93" s="88"/>
      <c r="CCJ93" s="88"/>
      <c r="CCK93" s="88"/>
      <c r="CCL93" s="88"/>
      <c r="CCM93" s="88"/>
      <c r="CCN93" s="88"/>
      <c r="CCO93" s="88"/>
      <c r="CCP93" s="88"/>
      <c r="CCQ93" s="88"/>
      <c r="CCR93" s="88"/>
      <c r="CCS93" s="88"/>
      <c r="CCT93" s="88"/>
      <c r="CCU93" s="88"/>
      <c r="CCV93" s="88"/>
      <c r="CCW93" s="88"/>
      <c r="CCX93" s="88"/>
      <c r="CCY93" s="88"/>
      <c r="CCZ93" s="88"/>
      <c r="CDA93" s="88"/>
      <c r="CDB93" s="88"/>
      <c r="CDC93" s="88"/>
      <c r="CDD93" s="88"/>
      <c r="CDE93" s="88"/>
      <c r="CDF93" s="88"/>
      <c r="CDG93" s="88"/>
      <c r="CDH93" s="88"/>
      <c r="CDI93" s="88"/>
      <c r="CDJ93" s="88"/>
      <c r="CDK93" s="88"/>
      <c r="CDL93" s="88"/>
      <c r="CDM93" s="88"/>
      <c r="CDN93" s="88"/>
      <c r="CDO93" s="88"/>
      <c r="CDP93" s="88"/>
      <c r="CDQ93" s="88"/>
      <c r="CDR93" s="88"/>
      <c r="CDS93" s="88"/>
      <c r="CDT93" s="88"/>
      <c r="CDU93" s="88"/>
      <c r="CDV93" s="88"/>
      <c r="CDW93" s="88"/>
      <c r="CDX93" s="88"/>
      <c r="CDY93" s="88"/>
      <c r="CDZ93" s="88"/>
      <c r="CEA93" s="88"/>
      <c r="CEB93" s="88"/>
      <c r="CEC93" s="88"/>
      <c r="CED93" s="88"/>
      <c r="CEE93" s="88"/>
      <c r="CEF93" s="88"/>
      <c r="CEG93" s="88"/>
      <c r="CEH93" s="88"/>
      <c r="CEI93" s="88"/>
      <c r="CEJ93" s="88"/>
      <c r="CEK93" s="88"/>
    </row>
    <row r="94" spans="1:2169" s="63" customFormat="1">
      <c r="A94" s="73" t="s">
        <v>2903</v>
      </c>
      <c r="B94" s="73" t="s">
        <v>2904</v>
      </c>
      <c r="C94" s="73" t="str">
        <f>IF('page 2'!$O$4="","",IF('page 2'!$O$4=Gestion!A94,1,0))</f>
        <v/>
      </c>
      <c r="D94" s="73" t="str">
        <f>IF('page 2'!$O$5="","",IF('page 2'!$O$5=Gestion!A94,1,0))</f>
        <v/>
      </c>
      <c r="E94" s="73" t="str">
        <f>IF('page 2'!$O$6="","",IF('page 2'!$O$6=Gestion!A94,1,0))</f>
        <v/>
      </c>
      <c r="F94" s="73" t="str">
        <f>IF('page 2'!$O$7="","",IF('page 2'!$O$7=Gestion!A94,1,0))</f>
        <v/>
      </c>
      <c r="G94" s="73" t="str">
        <f>IF('page 2'!$O$8="","",IF('page 2'!$O$8=Gestion!A94,1,0))</f>
        <v/>
      </c>
      <c r="H94" s="73" t="str">
        <f>IF('page 2'!$O$9="","",IF('page 2'!$O$9=Gestion!A94,1,0))</f>
        <v/>
      </c>
      <c r="I94" s="73" t="str">
        <f>IF('page 2'!$O$10="","",IF('page 2'!$O$10=Gestion!A94,1,0))</f>
        <v/>
      </c>
      <c r="J94" s="73" t="str">
        <f>IF('page 2'!$O$11="","",IF('page 2'!$O$11=Gestion!A94,1,0))</f>
        <v/>
      </c>
      <c r="K94" s="73" t="str">
        <f>IF('page 2'!$O$12="","",IF('page 2'!$O$12=Gestion!A94,1,0))</f>
        <v/>
      </c>
      <c r="L94" s="73" t="str">
        <f>IF('page 2'!$O$13="","",IF('page 2'!$O$13=Gestion!A94,1,0))</f>
        <v/>
      </c>
      <c r="M94" s="73" t="str">
        <f>IF('page 2'!$O$14="","",IF('page 2'!$O$14=Gestion!A94,1,0))</f>
        <v/>
      </c>
      <c r="N94" s="73" t="str">
        <f>IF('page 2'!$O$15="","",IF('page 2'!$O$15=Gestion!A94,1,0))</f>
        <v/>
      </c>
      <c r="O94" s="73" t="str">
        <f>IF('page 2'!$O$16="","",IF('page 2'!$O$16=Gestion!A94,1,0))</f>
        <v/>
      </c>
      <c r="P94" s="73" t="str">
        <f>IF('page 2'!$O$17="","",IF('page 2'!$O$17=Gestion!A94,1,0))</f>
        <v/>
      </c>
      <c r="Q94" s="73" t="str">
        <f>IF('page 2'!$O$18="","",IF('page 2'!$O$18=Gestion!A94,1,0))</f>
        <v/>
      </c>
      <c r="R94" s="73" t="str">
        <f>IF('page 2'!$O$19="","",IF('page 2'!$O$19=Gestion!A94,1,0))</f>
        <v/>
      </c>
      <c r="S94" s="73" t="str">
        <f>IF('page 2'!$O$20="","",IF('page 2'!$O$20=Gestion!A94,1,0))</f>
        <v/>
      </c>
      <c r="T94" s="68" t="str">
        <f>IF('page 2'!$O$25="","",IF('page 2'!$O$25=Gestion!A94,1,0))</f>
        <v/>
      </c>
      <c r="U94" s="68" t="str">
        <f>IF('page 2'!$O$26="","",IF('page 2'!$O$26=Gestion!A94,1,0))</f>
        <v/>
      </c>
      <c r="V94" s="68" t="str">
        <f>IF('page 2'!$O$27="","",IF('page 2'!$O$27=Gestion!A94,1,0))</f>
        <v/>
      </c>
      <c r="W94" s="722">
        <f t="shared" si="14"/>
        <v>0</v>
      </c>
      <c r="X94" s="714"/>
      <c r="Y94" s="68"/>
      <c r="Z94" s="68"/>
      <c r="AA94" s="68"/>
      <c r="AB94" s="68"/>
      <c r="AC94" s="68"/>
      <c r="AD94" s="68"/>
      <c r="AP94" s="130"/>
      <c r="AQ94" s="130"/>
      <c r="AR94" s="130"/>
      <c r="AS94" s="576"/>
      <c r="AT94" s="576"/>
      <c r="AU94" s="576"/>
      <c r="AV94" s="576"/>
      <c r="AW94" s="602"/>
      <c r="AX94" s="602"/>
      <c r="AY94" s="576"/>
      <c r="AZ94" s="576"/>
      <c r="BA94" s="576"/>
      <c r="BB94" s="576"/>
      <c r="BC94" s="576"/>
      <c r="BD94" s="602"/>
      <c r="BE94" s="602"/>
      <c r="BF94" s="602"/>
      <c r="BG94" s="602"/>
      <c r="BH94" s="602"/>
      <c r="BI94" s="602"/>
      <c r="BJ94" s="602"/>
      <c r="BK94" s="602"/>
      <c r="BL94" s="602"/>
      <c r="BM94" s="602"/>
      <c r="BN94" s="602"/>
      <c r="BO94" s="602"/>
      <c r="BP94" s="602"/>
      <c r="BQ94" s="602"/>
      <c r="BR94" s="602"/>
      <c r="BS94" s="576"/>
      <c r="BT94" s="576"/>
      <c r="BU94" s="576"/>
      <c r="BV94" s="576"/>
      <c r="BW94" s="602"/>
      <c r="BX94" s="602"/>
      <c r="BY94" s="602"/>
      <c r="BZ94" s="576"/>
      <c r="CA94" s="602"/>
      <c r="CB94" s="602"/>
      <c r="CC94" s="576"/>
      <c r="CD94" s="576"/>
      <c r="CE94" s="602"/>
      <c r="CF94" s="576"/>
      <c r="CG94" s="576"/>
      <c r="CH94" s="576"/>
      <c r="CI94" s="576"/>
      <c r="CJ94" s="576"/>
      <c r="CK94" s="602"/>
      <c r="CL94" s="602"/>
      <c r="CM94" s="576"/>
      <c r="CN94" s="602"/>
      <c r="CO94" s="602"/>
      <c r="CP94" s="602"/>
      <c r="CQ94" s="576"/>
      <c r="CR94" s="576"/>
      <c r="CS94" s="602"/>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c r="IW94" s="88"/>
      <c r="IX94" s="88"/>
      <c r="IY94" s="88"/>
      <c r="IZ94" s="88"/>
      <c r="JA94" s="88"/>
      <c r="JB94" s="88"/>
      <c r="JC94" s="88"/>
      <c r="JD94" s="88"/>
      <c r="JE94" s="88"/>
      <c r="JF94" s="88"/>
      <c r="JG94" s="88"/>
      <c r="JH94" s="88"/>
      <c r="JI94" s="88"/>
      <c r="JJ94" s="88"/>
      <c r="JK94" s="88"/>
      <c r="JL94" s="88"/>
      <c r="JM94" s="88"/>
      <c r="JN94" s="88"/>
      <c r="JO94" s="88"/>
      <c r="JP94" s="88"/>
      <c r="JQ94" s="88"/>
      <c r="JR94" s="88"/>
      <c r="JS94" s="88"/>
      <c r="JT94" s="88"/>
      <c r="JU94" s="88"/>
      <c r="JV94" s="88"/>
      <c r="JW94" s="88"/>
      <c r="JX94" s="88"/>
      <c r="JY94" s="88"/>
      <c r="JZ94" s="88"/>
      <c r="KA94" s="88"/>
      <c r="KB94" s="88"/>
      <c r="KC94" s="88"/>
      <c r="KD94" s="88"/>
      <c r="KE94" s="88"/>
      <c r="KF94" s="88"/>
      <c r="KG94" s="88"/>
      <c r="KH94" s="88"/>
      <c r="KI94" s="88"/>
      <c r="KJ94" s="88"/>
      <c r="KK94" s="88"/>
      <c r="KL94" s="88"/>
      <c r="KM94" s="88"/>
      <c r="KN94" s="88"/>
      <c r="KO94" s="88"/>
      <c r="KP94" s="88"/>
      <c r="KQ94" s="88"/>
      <c r="KR94" s="88"/>
      <c r="KS94" s="88"/>
      <c r="KT94" s="88"/>
      <c r="KU94" s="88"/>
      <c r="KV94" s="88"/>
      <c r="KW94" s="88"/>
      <c r="KX94" s="88"/>
      <c r="KY94" s="88"/>
      <c r="KZ94" s="88"/>
      <c r="LA94" s="88"/>
      <c r="LB94" s="88"/>
      <c r="LC94" s="88"/>
      <c r="LD94" s="88"/>
      <c r="LE94" s="88"/>
      <c r="LF94" s="88"/>
      <c r="LG94" s="88"/>
      <c r="LH94" s="88"/>
      <c r="LI94" s="88"/>
      <c r="LJ94" s="88"/>
      <c r="LK94" s="88"/>
      <c r="LL94" s="88"/>
      <c r="LM94" s="88"/>
      <c r="LN94" s="88"/>
      <c r="LO94" s="88"/>
      <c r="LP94" s="88"/>
      <c r="LQ94" s="88"/>
      <c r="LR94" s="88"/>
      <c r="LS94" s="88"/>
      <c r="LT94" s="88"/>
      <c r="LU94" s="88"/>
      <c r="LV94" s="88"/>
      <c r="LW94" s="88"/>
      <c r="LX94" s="88"/>
      <c r="LY94" s="88"/>
      <c r="LZ94" s="88"/>
      <c r="MA94" s="88"/>
      <c r="MB94" s="88"/>
      <c r="MC94" s="88"/>
      <c r="MD94" s="88"/>
      <c r="ME94" s="88"/>
      <c r="MF94" s="88"/>
      <c r="MG94" s="88"/>
      <c r="MH94" s="88"/>
      <c r="MI94" s="88"/>
      <c r="MJ94" s="88"/>
      <c r="MK94" s="88"/>
      <c r="ML94" s="88"/>
      <c r="MM94" s="88"/>
      <c r="MN94" s="88"/>
      <c r="MO94" s="88"/>
      <c r="MP94" s="88"/>
      <c r="MQ94" s="88"/>
      <c r="MR94" s="88"/>
      <c r="MS94" s="88"/>
      <c r="MT94" s="88"/>
      <c r="MU94" s="88"/>
      <c r="MV94" s="88"/>
      <c r="MW94" s="88"/>
      <c r="MX94" s="88"/>
      <c r="MY94" s="88"/>
      <c r="MZ94" s="88"/>
      <c r="NA94" s="88"/>
      <c r="NB94" s="88"/>
      <c r="NC94" s="88"/>
      <c r="ND94" s="88"/>
      <c r="NE94" s="88"/>
      <c r="NF94" s="88"/>
      <c r="NG94" s="88"/>
      <c r="NH94" s="88"/>
      <c r="NI94" s="88"/>
      <c r="NJ94" s="88"/>
      <c r="NK94" s="88"/>
      <c r="NL94" s="88"/>
      <c r="NM94" s="88"/>
      <c r="NN94" s="88"/>
      <c r="NO94" s="88"/>
      <c r="NP94" s="88"/>
      <c r="NQ94" s="88"/>
      <c r="NR94" s="88"/>
      <c r="NS94" s="88"/>
      <c r="NT94" s="88"/>
      <c r="NU94" s="88"/>
      <c r="NV94" s="88"/>
      <c r="NW94" s="88"/>
      <c r="NX94" s="88"/>
      <c r="NY94" s="88"/>
      <c r="NZ94" s="88"/>
      <c r="OA94" s="88"/>
      <c r="OB94" s="88"/>
      <c r="OC94" s="88"/>
      <c r="OD94" s="88"/>
      <c r="OE94" s="88"/>
      <c r="OF94" s="88"/>
      <c r="OG94" s="88"/>
      <c r="OH94" s="88"/>
      <c r="OI94" s="88"/>
      <c r="OJ94" s="88"/>
      <c r="OK94" s="88"/>
      <c r="OL94" s="88"/>
      <c r="OM94" s="88"/>
      <c r="ON94" s="88"/>
      <c r="OO94" s="88"/>
      <c r="OP94" s="88"/>
      <c r="OQ94" s="88"/>
      <c r="OR94" s="88"/>
      <c r="OS94" s="88"/>
      <c r="OT94" s="88"/>
      <c r="OU94" s="88"/>
      <c r="OV94" s="88"/>
      <c r="OW94" s="88"/>
      <c r="OX94" s="88"/>
      <c r="OY94" s="88"/>
      <c r="OZ94" s="88"/>
      <c r="PA94" s="88"/>
      <c r="PB94" s="88"/>
      <c r="PC94" s="88"/>
      <c r="PD94" s="88"/>
      <c r="PE94" s="88"/>
      <c r="PF94" s="88"/>
      <c r="PG94" s="88"/>
      <c r="PH94" s="88"/>
      <c r="PI94" s="88"/>
      <c r="PJ94" s="88"/>
      <c r="PK94" s="88"/>
      <c r="PL94" s="88"/>
      <c r="PM94" s="88"/>
      <c r="PN94" s="88"/>
      <c r="PO94" s="88"/>
      <c r="PP94" s="88"/>
      <c r="PQ94" s="88"/>
      <c r="PR94" s="88"/>
      <c r="PS94" s="88"/>
      <c r="PT94" s="88"/>
      <c r="PU94" s="88"/>
      <c r="PV94" s="88"/>
      <c r="PW94" s="88"/>
      <c r="PX94" s="88"/>
      <c r="PY94" s="88"/>
      <c r="PZ94" s="88"/>
      <c r="QA94" s="88"/>
      <c r="QB94" s="88"/>
      <c r="QC94" s="88"/>
      <c r="QD94" s="88"/>
      <c r="QE94" s="88"/>
      <c r="QF94" s="88"/>
      <c r="QG94" s="88"/>
      <c r="QH94" s="88"/>
      <c r="QI94" s="88"/>
      <c r="QJ94" s="88"/>
      <c r="QK94" s="88"/>
      <c r="QL94" s="88"/>
      <c r="QM94" s="88"/>
      <c r="QN94" s="88"/>
      <c r="QO94" s="88"/>
      <c r="QP94" s="88"/>
      <c r="QQ94" s="88"/>
      <c r="QR94" s="88"/>
      <c r="QS94" s="88"/>
      <c r="QT94" s="88"/>
      <c r="QU94" s="88"/>
      <c r="QV94" s="88"/>
      <c r="QW94" s="88"/>
      <c r="QX94" s="88"/>
      <c r="QY94" s="88"/>
      <c r="QZ94" s="88"/>
      <c r="RA94" s="88"/>
      <c r="RB94" s="88"/>
      <c r="RC94" s="88"/>
      <c r="RD94" s="88"/>
      <c r="RE94" s="88"/>
      <c r="RF94" s="88"/>
      <c r="RG94" s="88"/>
      <c r="RH94" s="88"/>
      <c r="RI94" s="88"/>
      <c r="RJ94" s="88"/>
      <c r="RK94" s="88"/>
      <c r="RL94" s="88"/>
      <c r="RM94" s="88"/>
      <c r="RN94" s="88"/>
      <c r="RO94" s="88"/>
      <c r="RP94" s="88"/>
      <c r="RQ94" s="88"/>
      <c r="RR94" s="88"/>
      <c r="RS94" s="88"/>
      <c r="RT94" s="88"/>
      <c r="RU94" s="88"/>
      <c r="RV94" s="88"/>
      <c r="RW94" s="88"/>
      <c r="RX94" s="88"/>
      <c r="RY94" s="88"/>
      <c r="RZ94" s="88"/>
      <c r="SA94" s="88"/>
      <c r="SB94" s="88"/>
      <c r="SC94" s="88"/>
      <c r="SD94" s="88"/>
      <c r="SE94" s="88"/>
      <c r="SF94" s="88"/>
      <c r="SG94" s="88"/>
      <c r="SH94" s="88"/>
      <c r="SI94" s="88"/>
      <c r="SJ94" s="88"/>
      <c r="SK94" s="88"/>
      <c r="SL94" s="88"/>
      <c r="SM94" s="88"/>
      <c r="SN94" s="88"/>
      <c r="SO94" s="88"/>
      <c r="SP94" s="88"/>
      <c r="SQ94" s="88"/>
      <c r="SR94" s="88"/>
      <c r="SS94" s="88"/>
      <c r="ST94" s="88"/>
      <c r="SU94" s="88"/>
      <c r="SV94" s="88"/>
      <c r="SW94" s="88"/>
      <c r="SX94" s="88"/>
      <c r="SY94" s="88"/>
      <c r="SZ94" s="88"/>
      <c r="TA94" s="88"/>
      <c r="TB94" s="88"/>
      <c r="TC94" s="88"/>
      <c r="TD94" s="88"/>
      <c r="TE94" s="88"/>
      <c r="TF94" s="88"/>
      <c r="TG94" s="88"/>
      <c r="TH94" s="88"/>
      <c r="TI94" s="88"/>
      <c r="TJ94" s="88"/>
      <c r="TK94" s="88"/>
      <c r="TL94" s="88"/>
      <c r="TM94" s="88"/>
      <c r="TN94" s="88"/>
      <c r="TO94" s="88"/>
      <c r="TP94" s="88"/>
      <c r="TQ94" s="88"/>
      <c r="TR94" s="88"/>
      <c r="TS94" s="88"/>
      <c r="TT94" s="88"/>
      <c r="TU94" s="88"/>
      <c r="TV94" s="88"/>
      <c r="TW94" s="88"/>
      <c r="TX94" s="88"/>
      <c r="TY94" s="88"/>
      <c r="TZ94" s="88"/>
      <c r="UA94" s="88"/>
      <c r="UB94" s="88"/>
      <c r="UC94" s="88"/>
      <c r="UD94" s="88"/>
      <c r="UE94" s="88"/>
      <c r="UF94" s="88"/>
      <c r="UG94" s="88"/>
      <c r="UH94" s="88"/>
      <c r="UI94" s="88"/>
      <c r="UJ94" s="88"/>
      <c r="UK94" s="88"/>
      <c r="UL94" s="88"/>
      <c r="UM94" s="88"/>
      <c r="UN94" s="88"/>
      <c r="UO94" s="88"/>
      <c r="UP94" s="88"/>
      <c r="UQ94" s="88"/>
      <c r="UR94" s="88"/>
      <c r="US94" s="88"/>
      <c r="UT94" s="88"/>
      <c r="UU94" s="88"/>
      <c r="UV94" s="88"/>
      <c r="UW94" s="88"/>
      <c r="UX94" s="88"/>
      <c r="UY94" s="88"/>
      <c r="UZ94" s="88"/>
      <c r="VA94" s="88"/>
      <c r="VB94" s="88"/>
      <c r="VC94" s="88"/>
      <c r="VD94" s="88"/>
      <c r="VE94" s="88"/>
      <c r="VF94" s="88"/>
      <c r="VG94" s="88"/>
      <c r="VH94" s="88"/>
      <c r="VI94" s="88"/>
      <c r="VJ94" s="88"/>
      <c r="VK94" s="88"/>
      <c r="VL94" s="88"/>
      <c r="VM94" s="88"/>
      <c r="VN94" s="88"/>
      <c r="VO94" s="88"/>
      <c r="VP94" s="88"/>
      <c r="VQ94" s="88"/>
      <c r="VR94" s="88"/>
      <c r="VS94" s="88"/>
      <c r="VT94" s="88"/>
      <c r="VU94" s="88"/>
      <c r="VV94" s="88"/>
      <c r="VW94" s="88"/>
      <c r="VX94" s="88"/>
      <c r="VY94" s="88"/>
      <c r="VZ94" s="88"/>
      <c r="WA94" s="88"/>
      <c r="WB94" s="88"/>
      <c r="WC94" s="88"/>
      <c r="WD94" s="88"/>
      <c r="WE94" s="88"/>
      <c r="WF94" s="88"/>
      <c r="WG94" s="88"/>
      <c r="WH94" s="88"/>
      <c r="WI94" s="88"/>
      <c r="WJ94" s="88"/>
      <c r="WK94" s="88"/>
      <c r="WL94" s="88"/>
      <c r="WM94" s="88"/>
      <c r="WN94" s="88"/>
      <c r="WO94" s="88"/>
      <c r="WP94" s="88"/>
      <c r="WQ94" s="88"/>
      <c r="WR94" s="88"/>
      <c r="WS94" s="88"/>
      <c r="WT94" s="88"/>
      <c r="WU94" s="88"/>
      <c r="WV94" s="88"/>
      <c r="WW94" s="88"/>
      <c r="WX94" s="88"/>
      <c r="WY94" s="88"/>
      <c r="WZ94" s="88"/>
      <c r="XA94" s="88"/>
      <c r="XB94" s="88"/>
      <c r="XC94" s="88"/>
      <c r="XD94" s="88"/>
      <c r="XE94" s="88"/>
      <c r="XF94" s="88"/>
      <c r="XG94" s="88"/>
      <c r="XH94" s="88"/>
      <c r="XI94" s="88"/>
      <c r="XJ94" s="88"/>
      <c r="XK94" s="88"/>
      <c r="XL94" s="88"/>
      <c r="XM94" s="88"/>
      <c r="XN94" s="88"/>
      <c r="XO94" s="88"/>
      <c r="XP94" s="88"/>
      <c r="XQ94" s="88"/>
      <c r="XR94" s="88"/>
      <c r="XS94" s="88"/>
      <c r="XT94" s="88"/>
      <c r="XU94" s="88"/>
      <c r="XV94" s="88"/>
      <c r="XW94" s="88"/>
      <c r="XX94" s="88"/>
      <c r="XY94" s="88"/>
      <c r="XZ94" s="88"/>
      <c r="YA94" s="88"/>
      <c r="YB94" s="88"/>
      <c r="YC94" s="88"/>
      <c r="YD94" s="88"/>
      <c r="YE94" s="88"/>
      <c r="YF94" s="88"/>
      <c r="YG94" s="88"/>
      <c r="YH94" s="88"/>
      <c r="YI94" s="88"/>
      <c r="YJ94" s="88"/>
      <c r="YK94" s="88"/>
      <c r="YL94" s="88"/>
      <c r="YM94" s="88"/>
      <c r="YN94" s="88"/>
      <c r="YO94" s="88"/>
      <c r="YP94" s="88"/>
      <c r="YQ94" s="88"/>
      <c r="YR94" s="88"/>
      <c r="YS94" s="88"/>
      <c r="YT94" s="88"/>
      <c r="YU94" s="88"/>
      <c r="YV94" s="88"/>
      <c r="YW94" s="88"/>
      <c r="YX94" s="88"/>
      <c r="YY94" s="88"/>
      <c r="YZ94" s="88"/>
      <c r="ZA94" s="88"/>
      <c r="ZB94" s="88"/>
      <c r="ZC94" s="88"/>
      <c r="ZD94" s="88"/>
      <c r="ZE94" s="88"/>
      <c r="ZF94" s="88"/>
      <c r="ZG94" s="88"/>
      <c r="ZH94" s="88"/>
      <c r="ZI94" s="88"/>
      <c r="ZJ94" s="88"/>
      <c r="ZK94" s="88"/>
      <c r="ZL94" s="88"/>
      <c r="ZM94" s="88"/>
      <c r="ZN94" s="88"/>
      <c r="ZO94" s="88"/>
      <c r="ZP94" s="88"/>
      <c r="ZQ94" s="88"/>
      <c r="ZR94" s="88"/>
      <c r="ZS94" s="88"/>
      <c r="ZT94" s="88"/>
      <c r="ZU94" s="88"/>
      <c r="ZV94" s="88"/>
      <c r="ZW94" s="88"/>
      <c r="ZX94" s="88"/>
      <c r="ZY94" s="88"/>
      <c r="ZZ94" s="88"/>
      <c r="AAA94" s="88"/>
      <c r="AAB94" s="88"/>
      <c r="AAC94" s="88"/>
      <c r="AAD94" s="88"/>
      <c r="AAE94" s="88"/>
      <c r="AAF94" s="88"/>
      <c r="AAG94" s="88"/>
      <c r="AAH94" s="88"/>
      <c r="AAI94" s="88"/>
      <c r="AAJ94" s="88"/>
      <c r="AAK94" s="88"/>
      <c r="AAL94" s="88"/>
      <c r="AAM94" s="88"/>
      <c r="AAN94" s="88"/>
      <c r="AAO94" s="88"/>
      <c r="AAP94" s="88"/>
      <c r="AAQ94" s="88"/>
      <c r="AAR94" s="88"/>
      <c r="AAS94" s="88"/>
      <c r="AAT94" s="88"/>
      <c r="AAU94" s="88"/>
      <c r="AAV94" s="88"/>
      <c r="AAW94" s="88"/>
      <c r="AAX94" s="88"/>
      <c r="AAY94" s="88"/>
      <c r="AAZ94" s="88"/>
      <c r="ABA94" s="88"/>
      <c r="ABB94" s="88"/>
      <c r="ABC94" s="88"/>
      <c r="ABD94" s="88"/>
      <c r="ABE94" s="88"/>
      <c r="ABF94" s="88"/>
      <c r="ABG94" s="88"/>
      <c r="ABH94" s="88"/>
      <c r="ABI94" s="88"/>
      <c r="ABJ94" s="88"/>
      <c r="ABK94" s="88"/>
      <c r="ABL94" s="88"/>
      <c r="ABM94" s="88"/>
      <c r="ABN94" s="88"/>
      <c r="ABO94" s="88"/>
      <c r="ABP94" s="88"/>
      <c r="ABQ94" s="88"/>
      <c r="ABR94" s="88"/>
      <c r="ABS94" s="88"/>
      <c r="ABT94" s="88"/>
      <c r="ABU94" s="88"/>
      <c r="ABV94" s="88"/>
      <c r="ABW94" s="88"/>
      <c r="ABX94" s="88"/>
      <c r="ABY94" s="88"/>
      <c r="ABZ94" s="88"/>
      <c r="ACA94" s="88"/>
      <c r="ACB94" s="88"/>
      <c r="ACC94" s="88"/>
      <c r="ACD94" s="88"/>
      <c r="ACE94" s="88"/>
      <c r="ACF94" s="88"/>
      <c r="ACG94" s="88"/>
      <c r="ACH94" s="88"/>
      <c r="ACI94" s="88"/>
      <c r="ACJ94" s="88"/>
      <c r="ACK94" s="88"/>
      <c r="ACL94" s="88"/>
      <c r="ACM94" s="88"/>
      <c r="ACN94" s="88"/>
      <c r="ACO94" s="88"/>
      <c r="ACP94" s="88"/>
      <c r="ACQ94" s="88"/>
      <c r="ACR94" s="88"/>
      <c r="ACS94" s="88"/>
      <c r="ACT94" s="88"/>
      <c r="ACU94" s="88"/>
      <c r="ACV94" s="88"/>
      <c r="ACW94" s="88"/>
      <c r="ACX94" s="88"/>
      <c r="ACY94" s="88"/>
      <c r="ACZ94" s="88"/>
      <c r="ADA94" s="88"/>
      <c r="ADB94" s="88"/>
      <c r="ADC94" s="88"/>
      <c r="ADD94" s="88"/>
      <c r="ADE94" s="88"/>
      <c r="ADF94" s="88"/>
      <c r="ADG94" s="88"/>
      <c r="ADH94" s="88"/>
      <c r="ADI94" s="88"/>
      <c r="ADJ94" s="88"/>
      <c r="ADK94" s="88"/>
      <c r="ADL94" s="88"/>
      <c r="ADM94" s="88"/>
      <c r="ADN94" s="88"/>
      <c r="ADO94" s="88"/>
      <c r="ADP94" s="88"/>
      <c r="ADQ94" s="88"/>
      <c r="ADR94" s="88"/>
      <c r="ADS94" s="88"/>
      <c r="ADT94" s="88"/>
      <c r="ADU94" s="88"/>
      <c r="ADV94" s="88"/>
      <c r="ADW94" s="88"/>
      <c r="ADX94" s="88"/>
      <c r="ADY94" s="88"/>
      <c r="ADZ94" s="88"/>
      <c r="AEA94" s="88"/>
      <c r="AEB94" s="88"/>
      <c r="AEC94" s="88"/>
      <c r="AED94" s="88"/>
      <c r="AEE94" s="88"/>
      <c r="AEF94" s="88"/>
      <c r="AEG94" s="88"/>
      <c r="AEH94" s="88"/>
      <c r="AEI94" s="88"/>
      <c r="AEJ94" s="88"/>
      <c r="AEK94" s="88"/>
      <c r="AEL94" s="88"/>
      <c r="AEM94" s="88"/>
      <c r="AEN94" s="88"/>
      <c r="AEO94" s="88"/>
      <c r="AEP94" s="88"/>
      <c r="AEQ94" s="88"/>
      <c r="AER94" s="88"/>
      <c r="AES94" s="88"/>
      <c r="AET94" s="88"/>
      <c r="AEU94" s="88"/>
      <c r="AEV94" s="88"/>
      <c r="AEW94" s="88"/>
      <c r="AEX94" s="88"/>
      <c r="AEY94" s="88"/>
      <c r="AEZ94" s="88"/>
      <c r="AFA94" s="88"/>
      <c r="AFB94" s="88"/>
      <c r="AFC94" s="88"/>
      <c r="AFD94" s="88"/>
      <c r="AFE94" s="88"/>
      <c r="AFF94" s="88"/>
      <c r="AFG94" s="88"/>
      <c r="AFH94" s="88"/>
      <c r="AFI94" s="88"/>
      <c r="AFJ94" s="88"/>
      <c r="AFK94" s="88"/>
      <c r="AFL94" s="88"/>
      <c r="AFM94" s="88"/>
      <c r="AFN94" s="88"/>
      <c r="AFO94" s="88"/>
      <c r="AFP94" s="88"/>
      <c r="AFQ94" s="88"/>
      <c r="AFR94" s="88"/>
      <c r="AFS94" s="88"/>
      <c r="AFT94" s="88"/>
      <c r="AFU94" s="88"/>
      <c r="AFV94" s="88"/>
      <c r="AFW94" s="88"/>
      <c r="AFX94" s="88"/>
      <c r="AFY94" s="88"/>
      <c r="AFZ94" s="88"/>
      <c r="AGA94" s="88"/>
      <c r="AGB94" s="88"/>
      <c r="AGC94" s="88"/>
      <c r="AGD94" s="88"/>
      <c r="AGE94" s="88"/>
      <c r="AGF94" s="88"/>
      <c r="AGG94" s="88"/>
      <c r="AGH94" s="88"/>
      <c r="AGI94" s="88"/>
      <c r="AGJ94" s="88"/>
      <c r="AGK94" s="88"/>
      <c r="AGL94" s="88"/>
      <c r="AGM94" s="88"/>
      <c r="AGN94" s="88"/>
      <c r="AGO94" s="88"/>
      <c r="AGP94" s="88"/>
      <c r="AGQ94" s="88"/>
      <c r="AGR94" s="88"/>
      <c r="AGS94" s="88"/>
      <c r="AGT94" s="88"/>
      <c r="AGU94" s="88"/>
      <c r="AGV94" s="88"/>
      <c r="AGW94" s="88"/>
      <c r="AGX94" s="88"/>
      <c r="AGY94" s="88"/>
      <c r="AGZ94" s="88"/>
      <c r="AHA94" s="88"/>
      <c r="AHB94" s="88"/>
      <c r="AHC94" s="88"/>
      <c r="AHD94" s="88"/>
      <c r="AHE94" s="88"/>
      <c r="AHF94" s="88"/>
      <c r="AHG94" s="88"/>
      <c r="AHH94" s="88"/>
      <c r="AHI94" s="88"/>
      <c r="AHJ94" s="88"/>
      <c r="AHK94" s="88"/>
      <c r="AHL94" s="88"/>
      <c r="AHM94" s="88"/>
      <c r="AHN94" s="88"/>
      <c r="AHO94" s="88"/>
      <c r="AHP94" s="88"/>
      <c r="AHQ94" s="88"/>
      <c r="AHR94" s="88"/>
      <c r="AHS94" s="88"/>
      <c r="AHT94" s="88"/>
      <c r="AHU94" s="88"/>
      <c r="AHV94" s="88"/>
      <c r="AHW94" s="88"/>
      <c r="AHX94" s="88"/>
      <c r="AHY94" s="88"/>
      <c r="AHZ94" s="88"/>
      <c r="AIA94" s="88"/>
      <c r="AIB94" s="88"/>
      <c r="AIC94" s="88"/>
      <c r="AID94" s="88"/>
      <c r="AIE94" s="88"/>
      <c r="AIF94" s="88"/>
      <c r="AIG94" s="88"/>
      <c r="AIH94" s="88"/>
      <c r="AII94" s="88"/>
      <c r="AIJ94" s="88"/>
      <c r="AIK94" s="88"/>
      <c r="AIL94" s="88"/>
      <c r="AIM94" s="88"/>
      <c r="AIN94" s="88"/>
      <c r="AIO94" s="88"/>
      <c r="AIP94" s="88"/>
      <c r="AIQ94" s="88"/>
      <c r="AIR94" s="88"/>
      <c r="AIS94" s="88"/>
      <c r="AIT94" s="88"/>
      <c r="AIU94" s="88"/>
      <c r="AIV94" s="88"/>
      <c r="AIW94" s="88"/>
      <c r="AIX94" s="88"/>
      <c r="AIY94" s="88"/>
      <c r="AIZ94" s="88"/>
      <c r="AJA94" s="88"/>
      <c r="AJB94" s="88"/>
      <c r="AJC94" s="88"/>
      <c r="AJD94" s="88"/>
      <c r="AJE94" s="88"/>
      <c r="AJF94" s="88"/>
      <c r="AJG94" s="88"/>
      <c r="AJH94" s="88"/>
      <c r="AJI94" s="88"/>
      <c r="AJJ94" s="88"/>
      <c r="AJK94" s="88"/>
      <c r="AJL94" s="88"/>
      <c r="AJM94" s="88"/>
      <c r="AJN94" s="88"/>
      <c r="AJO94" s="88"/>
      <c r="AJP94" s="88"/>
      <c r="AJQ94" s="88"/>
      <c r="AJR94" s="88"/>
      <c r="AJS94" s="88"/>
      <c r="AJT94" s="88"/>
      <c r="AJU94" s="88"/>
      <c r="AJV94" s="88"/>
      <c r="AJW94" s="88"/>
      <c r="AJX94" s="88"/>
      <c r="AJY94" s="88"/>
      <c r="AJZ94" s="88"/>
      <c r="AKA94" s="88"/>
      <c r="AKB94" s="88"/>
      <c r="AKC94" s="88"/>
      <c r="AKD94" s="88"/>
      <c r="AKE94" s="88"/>
      <c r="AKF94" s="88"/>
      <c r="AKG94" s="88"/>
      <c r="AKH94" s="88"/>
      <c r="AKI94" s="88"/>
      <c r="AKJ94" s="88"/>
      <c r="AKK94" s="88"/>
      <c r="AKL94" s="88"/>
      <c r="AKM94" s="88"/>
      <c r="AKN94" s="88"/>
      <c r="AKO94" s="88"/>
      <c r="AKP94" s="88"/>
      <c r="AKQ94" s="88"/>
      <c r="AKR94" s="88"/>
      <c r="AKS94" s="88"/>
      <c r="AKT94" s="88"/>
      <c r="AKU94" s="88"/>
      <c r="AKV94" s="88"/>
      <c r="AKW94" s="88"/>
      <c r="AKX94" s="88"/>
      <c r="AKY94" s="88"/>
      <c r="AKZ94" s="88"/>
      <c r="ALA94" s="88"/>
      <c r="ALB94" s="88"/>
      <c r="ALC94" s="88"/>
      <c r="ALD94" s="88"/>
      <c r="ALE94" s="88"/>
      <c r="ALF94" s="88"/>
      <c r="ALG94" s="88"/>
      <c r="ALH94" s="88"/>
      <c r="ALI94" s="88"/>
      <c r="ALJ94" s="88"/>
      <c r="ALK94" s="88"/>
      <c r="ALL94" s="88"/>
      <c r="ALM94" s="88"/>
      <c r="ALN94" s="88"/>
      <c r="ALO94" s="88"/>
      <c r="ALP94" s="88"/>
      <c r="ALQ94" s="88"/>
      <c r="ALR94" s="88"/>
      <c r="ALS94" s="88"/>
      <c r="ALT94" s="88"/>
      <c r="ALU94" s="88"/>
      <c r="ALV94" s="88"/>
      <c r="ALW94" s="88"/>
      <c r="ALX94" s="88"/>
      <c r="ALY94" s="88"/>
      <c r="ALZ94" s="88"/>
      <c r="AMA94" s="88"/>
      <c r="AMB94" s="88"/>
      <c r="AMC94" s="88"/>
      <c r="AMD94" s="88"/>
      <c r="AME94" s="88"/>
      <c r="AMF94" s="88"/>
      <c r="AMG94" s="88"/>
      <c r="AMH94" s="88"/>
      <c r="AMI94" s="88"/>
      <c r="AMJ94" s="88"/>
      <c r="AMK94" s="88"/>
      <c r="AML94" s="88"/>
      <c r="AMM94" s="88"/>
      <c r="AMN94" s="88"/>
      <c r="AMO94" s="88"/>
      <c r="AMP94" s="88"/>
      <c r="AMQ94" s="88"/>
      <c r="AMR94" s="88"/>
      <c r="AMS94" s="88"/>
      <c r="AMT94" s="88"/>
      <c r="AMU94" s="88"/>
      <c r="AMV94" s="88"/>
      <c r="AMW94" s="88"/>
      <c r="AMX94" s="88"/>
      <c r="AMY94" s="88"/>
      <c r="AMZ94" s="88"/>
      <c r="ANA94" s="88"/>
      <c r="ANB94" s="88"/>
      <c r="ANC94" s="88"/>
      <c r="AND94" s="88"/>
      <c r="ANE94" s="88"/>
      <c r="ANF94" s="88"/>
      <c r="ANG94" s="88"/>
      <c r="ANH94" s="88"/>
      <c r="ANI94" s="88"/>
      <c r="ANJ94" s="88"/>
      <c r="ANK94" s="88"/>
      <c r="ANL94" s="88"/>
      <c r="ANM94" s="88"/>
      <c r="ANN94" s="88"/>
      <c r="ANO94" s="88"/>
      <c r="ANP94" s="88"/>
      <c r="ANQ94" s="88"/>
      <c r="ANR94" s="88"/>
      <c r="ANS94" s="88"/>
      <c r="ANT94" s="88"/>
      <c r="ANU94" s="88"/>
      <c r="ANV94" s="88"/>
      <c r="ANW94" s="88"/>
      <c r="ANX94" s="88"/>
      <c r="ANY94" s="88"/>
      <c r="ANZ94" s="88"/>
      <c r="AOA94" s="88"/>
      <c r="AOB94" s="88"/>
      <c r="AOC94" s="88"/>
      <c r="AOD94" s="88"/>
      <c r="AOE94" s="88"/>
      <c r="AOF94" s="88"/>
      <c r="AOG94" s="88"/>
      <c r="AOH94" s="88"/>
      <c r="AOI94" s="88"/>
      <c r="AOJ94" s="88"/>
      <c r="AOK94" s="88"/>
      <c r="AOL94" s="88"/>
      <c r="AOM94" s="88"/>
      <c r="AON94" s="88"/>
      <c r="AOO94" s="88"/>
      <c r="AOP94" s="88"/>
      <c r="AOQ94" s="88"/>
      <c r="AOR94" s="88"/>
      <c r="AOS94" s="88"/>
      <c r="AOT94" s="88"/>
      <c r="AOU94" s="88"/>
      <c r="AOV94" s="88"/>
      <c r="AOW94" s="88"/>
      <c r="AOX94" s="88"/>
      <c r="AOY94" s="88"/>
      <c r="AOZ94" s="88"/>
      <c r="APA94" s="88"/>
      <c r="APB94" s="88"/>
      <c r="APC94" s="88"/>
      <c r="APD94" s="88"/>
      <c r="APE94" s="88"/>
      <c r="APF94" s="88"/>
      <c r="APG94" s="88"/>
      <c r="APH94" s="88"/>
      <c r="API94" s="88"/>
      <c r="APJ94" s="88"/>
      <c r="APK94" s="88"/>
      <c r="APL94" s="88"/>
      <c r="APM94" s="88"/>
      <c r="APN94" s="88"/>
      <c r="APO94" s="88"/>
      <c r="APP94" s="88"/>
      <c r="APQ94" s="88"/>
      <c r="APR94" s="88"/>
      <c r="APS94" s="88"/>
      <c r="APT94" s="88"/>
      <c r="APU94" s="88"/>
      <c r="APV94" s="88"/>
      <c r="APW94" s="88"/>
      <c r="APX94" s="88"/>
      <c r="APY94" s="88"/>
      <c r="APZ94" s="88"/>
      <c r="AQA94" s="88"/>
      <c r="AQB94" s="88"/>
      <c r="AQC94" s="88"/>
      <c r="AQD94" s="88"/>
      <c r="AQE94" s="88"/>
      <c r="AQF94" s="88"/>
      <c r="AQG94" s="88"/>
      <c r="AQH94" s="88"/>
      <c r="AQI94" s="88"/>
      <c r="AQJ94" s="88"/>
      <c r="AQK94" s="88"/>
      <c r="AQL94" s="88"/>
      <c r="AQM94" s="88"/>
      <c r="AQN94" s="88"/>
      <c r="AQO94" s="88"/>
      <c r="AQP94" s="88"/>
      <c r="AQQ94" s="88"/>
      <c r="AQR94" s="88"/>
      <c r="AQS94" s="88"/>
      <c r="AQT94" s="88"/>
      <c r="AQU94" s="88"/>
      <c r="AQV94" s="88"/>
      <c r="AQW94" s="88"/>
      <c r="AQX94" s="88"/>
      <c r="AQY94" s="88"/>
      <c r="AQZ94" s="88"/>
      <c r="ARA94" s="88"/>
      <c r="ARB94" s="88"/>
      <c r="ARC94" s="88"/>
      <c r="ARD94" s="88"/>
      <c r="ARE94" s="88"/>
      <c r="ARF94" s="88"/>
      <c r="ARG94" s="88"/>
      <c r="ARH94" s="88"/>
      <c r="ARI94" s="88"/>
      <c r="ARJ94" s="88"/>
      <c r="ARK94" s="88"/>
      <c r="ARL94" s="88"/>
      <c r="ARM94" s="88"/>
      <c r="ARN94" s="88"/>
      <c r="ARO94" s="88"/>
      <c r="ARP94" s="88"/>
      <c r="ARQ94" s="88"/>
      <c r="ARR94" s="88"/>
      <c r="ARS94" s="88"/>
      <c r="ART94" s="88"/>
      <c r="ARU94" s="88"/>
      <c r="ARV94" s="88"/>
      <c r="ARW94" s="88"/>
      <c r="ARX94" s="88"/>
      <c r="ARY94" s="88"/>
      <c r="ARZ94" s="88"/>
      <c r="ASA94" s="88"/>
      <c r="ASB94" s="88"/>
      <c r="ASC94" s="88"/>
      <c r="ASD94" s="88"/>
      <c r="ASE94" s="88"/>
      <c r="ASF94" s="88"/>
      <c r="ASG94" s="88"/>
      <c r="ASH94" s="88"/>
      <c r="ASI94" s="88"/>
      <c r="ASJ94" s="88"/>
      <c r="ASK94" s="88"/>
      <c r="ASL94" s="88"/>
      <c r="ASM94" s="88"/>
      <c r="ASN94" s="88"/>
      <c r="ASO94" s="88"/>
      <c r="ASP94" s="88"/>
      <c r="ASQ94" s="88"/>
      <c r="ASR94" s="88"/>
      <c r="ASS94" s="88"/>
      <c r="AST94" s="88"/>
      <c r="ASU94" s="88"/>
      <c r="ASV94" s="88"/>
      <c r="ASW94" s="88"/>
      <c r="ASX94" s="88"/>
      <c r="ASY94" s="88"/>
      <c r="ASZ94" s="88"/>
      <c r="ATA94" s="88"/>
      <c r="ATB94" s="88"/>
      <c r="ATC94" s="88"/>
      <c r="ATD94" s="88"/>
      <c r="ATE94" s="88"/>
      <c r="ATF94" s="88"/>
      <c r="ATG94" s="88"/>
      <c r="ATH94" s="88"/>
      <c r="ATI94" s="88"/>
      <c r="ATJ94" s="88"/>
      <c r="ATK94" s="88"/>
      <c r="ATL94" s="88"/>
      <c r="ATM94" s="88"/>
      <c r="ATN94" s="88"/>
      <c r="ATO94" s="88"/>
      <c r="ATP94" s="88"/>
      <c r="ATQ94" s="88"/>
      <c r="ATR94" s="88"/>
      <c r="ATS94" s="88"/>
      <c r="ATT94" s="88"/>
      <c r="ATU94" s="88"/>
      <c r="ATV94" s="88"/>
      <c r="ATW94" s="88"/>
      <c r="ATX94" s="88"/>
      <c r="ATY94" s="88"/>
      <c r="ATZ94" s="88"/>
      <c r="AUA94" s="88"/>
      <c r="AUB94" s="88"/>
      <c r="AUC94" s="88"/>
      <c r="AUD94" s="88"/>
      <c r="AUE94" s="88"/>
      <c r="AUF94" s="88"/>
      <c r="AUG94" s="88"/>
      <c r="AUH94" s="88"/>
      <c r="AUI94" s="88"/>
      <c r="AUJ94" s="88"/>
      <c r="AUK94" s="88"/>
      <c r="AUL94" s="88"/>
      <c r="AUM94" s="88"/>
      <c r="AUN94" s="88"/>
      <c r="AUO94" s="88"/>
      <c r="AUP94" s="88"/>
      <c r="AUQ94" s="88"/>
      <c r="AUR94" s="88"/>
      <c r="AUS94" s="88"/>
      <c r="AUT94" s="88"/>
      <c r="AUU94" s="88"/>
      <c r="AUV94" s="88"/>
      <c r="AUW94" s="88"/>
      <c r="AUX94" s="88"/>
      <c r="AUY94" s="88"/>
      <c r="AUZ94" s="88"/>
      <c r="AVA94" s="88"/>
      <c r="AVB94" s="88"/>
      <c r="AVC94" s="88"/>
      <c r="AVD94" s="88"/>
      <c r="AVE94" s="88"/>
      <c r="AVF94" s="88"/>
      <c r="AVG94" s="88"/>
      <c r="AVH94" s="88"/>
      <c r="AVI94" s="88"/>
      <c r="AVJ94" s="88"/>
      <c r="AVK94" s="88"/>
      <c r="AVL94" s="88"/>
      <c r="AVM94" s="88"/>
      <c r="AVN94" s="88"/>
      <c r="AVO94" s="88"/>
      <c r="AVP94" s="88"/>
      <c r="AVQ94" s="88"/>
      <c r="AVR94" s="88"/>
      <c r="AVS94" s="88"/>
      <c r="AVT94" s="88"/>
      <c r="AVU94" s="88"/>
      <c r="AVV94" s="88"/>
      <c r="AVW94" s="88"/>
      <c r="AVX94" s="88"/>
      <c r="AVY94" s="88"/>
      <c r="AVZ94" s="88"/>
      <c r="AWA94" s="88"/>
      <c r="AWB94" s="88"/>
      <c r="AWC94" s="88"/>
      <c r="AWD94" s="88"/>
      <c r="AWE94" s="88"/>
      <c r="AWF94" s="88"/>
      <c r="AWG94" s="88"/>
      <c r="AWH94" s="88"/>
      <c r="AWI94" s="88"/>
      <c r="AWJ94" s="88"/>
      <c r="AWK94" s="88"/>
      <c r="AWL94" s="88"/>
      <c r="AWM94" s="88"/>
      <c r="AWN94" s="88"/>
      <c r="AWO94" s="88"/>
      <c r="AWP94" s="88"/>
      <c r="AWQ94" s="88"/>
      <c r="AWR94" s="88"/>
      <c r="AWS94" s="88"/>
      <c r="AWT94" s="88"/>
      <c r="AWU94" s="88"/>
      <c r="AWV94" s="88"/>
      <c r="AWW94" s="88"/>
      <c r="AWX94" s="88"/>
      <c r="AWY94" s="88"/>
      <c r="AWZ94" s="88"/>
      <c r="AXA94" s="88"/>
      <c r="AXB94" s="88"/>
      <c r="AXC94" s="88"/>
      <c r="AXD94" s="88"/>
      <c r="AXE94" s="88"/>
      <c r="AXF94" s="88"/>
      <c r="AXG94" s="88"/>
      <c r="AXH94" s="88"/>
      <c r="AXI94" s="88"/>
      <c r="AXJ94" s="88"/>
      <c r="AXK94" s="88"/>
      <c r="AXL94" s="88"/>
      <c r="AXM94" s="88"/>
      <c r="AXN94" s="88"/>
      <c r="AXO94" s="88"/>
      <c r="AXP94" s="88"/>
      <c r="AXQ94" s="88"/>
      <c r="AXR94" s="88"/>
      <c r="AXS94" s="88"/>
      <c r="AXT94" s="88"/>
      <c r="AXU94" s="88"/>
      <c r="AXV94" s="88"/>
      <c r="AXW94" s="88"/>
      <c r="AXX94" s="88"/>
      <c r="AXY94" s="88"/>
      <c r="AXZ94" s="88"/>
      <c r="AYA94" s="88"/>
      <c r="AYB94" s="88"/>
      <c r="AYC94" s="88"/>
      <c r="AYD94" s="88"/>
      <c r="AYE94" s="88"/>
      <c r="AYF94" s="88"/>
      <c r="AYG94" s="88"/>
      <c r="AYH94" s="88"/>
      <c r="AYI94" s="88"/>
      <c r="AYJ94" s="88"/>
      <c r="AYK94" s="88"/>
      <c r="AYL94" s="88"/>
      <c r="AYM94" s="88"/>
      <c r="AYN94" s="88"/>
      <c r="AYO94" s="88"/>
      <c r="AYP94" s="88"/>
      <c r="AYQ94" s="88"/>
      <c r="AYR94" s="88"/>
      <c r="AYS94" s="88"/>
      <c r="AYT94" s="88"/>
      <c r="AYU94" s="88"/>
      <c r="AYV94" s="88"/>
      <c r="AYW94" s="88"/>
      <c r="AYX94" s="88"/>
      <c r="AYY94" s="88"/>
      <c r="AYZ94" s="88"/>
      <c r="AZA94" s="88"/>
      <c r="AZB94" s="88"/>
      <c r="AZC94" s="88"/>
      <c r="AZD94" s="88"/>
      <c r="AZE94" s="88"/>
      <c r="AZF94" s="88"/>
      <c r="AZG94" s="88"/>
      <c r="AZH94" s="88"/>
      <c r="AZI94" s="88"/>
      <c r="AZJ94" s="88"/>
      <c r="AZK94" s="88"/>
      <c r="AZL94" s="88"/>
      <c r="AZM94" s="88"/>
      <c r="AZN94" s="88"/>
      <c r="AZO94" s="88"/>
      <c r="AZP94" s="88"/>
      <c r="AZQ94" s="88"/>
      <c r="AZR94" s="88"/>
      <c r="AZS94" s="88"/>
      <c r="AZT94" s="88"/>
      <c r="AZU94" s="88"/>
      <c r="AZV94" s="88"/>
      <c r="AZW94" s="88"/>
      <c r="AZX94" s="88"/>
      <c r="AZY94" s="88"/>
      <c r="AZZ94" s="88"/>
      <c r="BAA94" s="88"/>
      <c r="BAB94" s="88"/>
      <c r="BAC94" s="88"/>
      <c r="BAD94" s="88"/>
      <c r="BAE94" s="88"/>
      <c r="BAF94" s="88"/>
      <c r="BAG94" s="88"/>
      <c r="BAH94" s="88"/>
      <c r="BAI94" s="88"/>
      <c r="BAJ94" s="88"/>
      <c r="BAK94" s="88"/>
      <c r="BAL94" s="88"/>
      <c r="BAM94" s="88"/>
      <c r="BAN94" s="88"/>
      <c r="BAO94" s="88"/>
      <c r="BAP94" s="88"/>
      <c r="BAQ94" s="88"/>
      <c r="BAR94" s="88"/>
      <c r="BAS94" s="88"/>
      <c r="BAT94" s="88"/>
      <c r="BAU94" s="88"/>
      <c r="BAV94" s="88"/>
      <c r="BAW94" s="88"/>
      <c r="BAX94" s="88"/>
      <c r="BAY94" s="88"/>
      <c r="BAZ94" s="88"/>
      <c r="BBA94" s="88"/>
      <c r="BBB94" s="88"/>
      <c r="BBC94" s="88"/>
      <c r="BBD94" s="88"/>
      <c r="BBE94" s="88"/>
      <c r="BBF94" s="88"/>
      <c r="BBG94" s="88"/>
      <c r="BBH94" s="88"/>
      <c r="BBI94" s="88"/>
      <c r="BBJ94" s="88"/>
      <c r="BBK94" s="88"/>
      <c r="BBL94" s="88"/>
      <c r="BBM94" s="88"/>
      <c r="BBN94" s="88"/>
      <c r="BBO94" s="88"/>
      <c r="BBP94" s="88"/>
      <c r="BBQ94" s="88"/>
      <c r="BBR94" s="88"/>
      <c r="BBS94" s="88"/>
      <c r="BBT94" s="88"/>
      <c r="BBU94" s="88"/>
      <c r="BBV94" s="88"/>
      <c r="BBW94" s="88"/>
      <c r="BBX94" s="88"/>
      <c r="BBY94" s="88"/>
      <c r="BBZ94" s="88"/>
      <c r="BCA94" s="88"/>
      <c r="BCB94" s="88"/>
      <c r="BCC94" s="88"/>
      <c r="BCD94" s="88"/>
      <c r="BCE94" s="88"/>
      <c r="BCF94" s="88"/>
      <c r="BCG94" s="88"/>
      <c r="BCH94" s="88"/>
      <c r="BCI94" s="88"/>
      <c r="BCJ94" s="88"/>
      <c r="BCK94" s="88"/>
      <c r="BCL94" s="88"/>
      <c r="BCM94" s="88"/>
      <c r="BCN94" s="88"/>
      <c r="BCO94" s="88"/>
      <c r="BCP94" s="88"/>
      <c r="BCQ94" s="88"/>
      <c r="BCR94" s="88"/>
      <c r="BCS94" s="88"/>
      <c r="BCT94" s="88"/>
      <c r="BCU94" s="88"/>
      <c r="BCV94" s="88"/>
      <c r="BCW94" s="88"/>
      <c r="BCX94" s="88"/>
      <c r="BCY94" s="88"/>
      <c r="BCZ94" s="88"/>
      <c r="BDA94" s="88"/>
      <c r="BDB94" s="88"/>
      <c r="BDC94" s="88"/>
      <c r="BDD94" s="88"/>
      <c r="BDE94" s="88"/>
      <c r="BDF94" s="88"/>
      <c r="BDG94" s="88"/>
      <c r="BDH94" s="88"/>
      <c r="BDI94" s="88"/>
      <c r="BDJ94" s="88"/>
      <c r="BDK94" s="88"/>
      <c r="BDL94" s="88"/>
      <c r="BDM94" s="88"/>
      <c r="BDN94" s="88"/>
      <c r="BDO94" s="88"/>
      <c r="BDP94" s="88"/>
      <c r="BDQ94" s="88"/>
      <c r="BDR94" s="88"/>
      <c r="BDS94" s="88"/>
      <c r="BDT94" s="88"/>
      <c r="BDU94" s="88"/>
      <c r="BDV94" s="88"/>
      <c r="BDW94" s="88"/>
      <c r="BDX94" s="88"/>
      <c r="BDY94" s="88"/>
      <c r="BDZ94" s="88"/>
      <c r="BEA94" s="88"/>
      <c r="BEB94" s="88"/>
      <c r="BEC94" s="88"/>
      <c r="BED94" s="88"/>
      <c r="BEE94" s="88"/>
      <c r="BEF94" s="88"/>
      <c r="BEG94" s="88"/>
      <c r="BEH94" s="88"/>
      <c r="BEI94" s="88"/>
      <c r="BEJ94" s="88"/>
      <c r="BEK94" s="88"/>
      <c r="BEL94" s="88"/>
      <c r="BEM94" s="88"/>
      <c r="BEN94" s="88"/>
      <c r="BEO94" s="88"/>
      <c r="BEP94" s="88"/>
      <c r="BEQ94" s="88"/>
      <c r="BER94" s="88"/>
      <c r="BES94" s="88"/>
      <c r="BET94" s="88"/>
      <c r="BEU94" s="88"/>
      <c r="BEV94" s="88"/>
      <c r="BEW94" s="88"/>
      <c r="BEX94" s="88"/>
      <c r="BEY94" s="88"/>
      <c r="BEZ94" s="88"/>
      <c r="BFA94" s="88"/>
      <c r="BFB94" s="88"/>
      <c r="BFC94" s="88"/>
      <c r="BFD94" s="88"/>
      <c r="BFE94" s="88"/>
      <c r="BFF94" s="88"/>
      <c r="BFG94" s="88"/>
      <c r="BFH94" s="88"/>
      <c r="BFI94" s="88"/>
      <c r="BFJ94" s="88"/>
      <c r="BFK94" s="88"/>
      <c r="BFL94" s="88"/>
      <c r="BFM94" s="88"/>
      <c r="BFN94" s="88"/>
      <c r="BFO94" s="88"/>
      <c r="BFP94" s="88"/>
      <c r="BFQ94" s="88"/>
      <c r="BFR94" s="88"/>
      <c r="BFS94" s="88"/>
      <c r="BFT94" s="88"/>
      <c r="BFU94" s="88"/>
      <c r="BFV94" s="88"/>
      <c r="BFW94" s="88"/>
      <c r="BFX94" s="88"/>
      <c r="BFY94" s="88"/>
      <c r="BFZ94" s="88"/>
      <c r="BGA94" s="88"/>
      <c r="BGB94" s="88"/>
      <c r="BGC94" s="88"/>
      <c r="BGD94" s="88"/>
      <c r="BGE94" s="88"/>
      <c r="BGF94" s="88"/>
      <c r="BGG94" s="88"/>
      <c r="BGH94" s="88"/>
      <c r="BGI94" s="88"/>
      <c r="BGJ94" s="88"/>
      <c r="BGK94" s="88"/>
      <c r="BGL94" s="88"/>
      <c r="BGM94" s="88"/>
      <c r="BGN94" s="88"/>
      <c r="BGO94" s="88"/>
      <c r="BGP94" s="88"/>
      <c r="BGQ94" s="88"/>
      <c r="BGR94" s="88"/>
      <c r="BGS94" s="88"/>
      <c r="BGT94" s="88"/>
      <c r="BGU94" s="88"/>
      <c r="BGV94" s="88"/>
      <c r="BGW94" s="88"/>
      <c r="BGX94" s="88"/>
      <c r="BGY94" s="88"/>
      <c r="BGZ94" s="88"/>
      <c r="BHA94" s="88"/>
      <c r="BHB94" s="88"/>
      <c r="BHC94" s="88"/>
      <c r="BHD94" s="88"/>
      <c r="BHE94" s="88"/>
      <c r="BHF94" s="88"/>
      <c r="BHG94" s="88"/>
      <c r="BHH94" s="88"/>
      <c r="BHI94" s="88"/>
      <c r="BHJ94" s="88"/>
      <c r="BHK94" s="88"/>
      <c r="BHL94" s="88"/>
      <c r="BHM94" s="88"/>
      <c r="BHN94" s="88"/>
      <c r="BHO94" s="88"/>
      <c r="BHP94" s="88"/>
      <c r="BHQ94" s="88"/>
      <c r="BHR94" s="88"/>
      <c r="BHS94" s="88"/>
      <c r="BHT94" s="88"/>
      <c r="BHU94" s="88"/>
      <c r="BHV94" s="88"/>
      <c r="BHW94" s="88"/>
      <c r="BHX94" s="88"/>
      <c r="BHY94" s="88"/>
      <c r="BHZ94" s="88"/>
      <c r="BIA94" s="88"/>
      <c r="BIB94" s="88"/>
      <c r="BIC94" s="88"/>
      <c r="BID94" s="88"/>
      <c r="BIE94" s="88"/>
      <c r="BIF94" s="88"/>
      <c r="BIG94" s="88"/>
      <c r="BIH94" s="88"/>
      <c r="BII94" s="88"/>
      <c r="BIJ94" s="88"/>
      <c r="BIK94" s="88"/>
      <c r="BIL94" s="88"/>
      <c r="BIM94" s="88"/>
      <c r="BIN94" s="88"/>
      <c r="BIO94" s="88"/>
      <c r="BIP94" s="88"/>
      <c r="BIQ94" s="88"/>
      <c r="BIR94" s="88"/>
      <c r="BIS94" s="88"/>
      <c r="BIT94" s="88"/>
      <c r="BIU94" s="88"/>
      <c r="BIV94" s="88"/>
      <c r="BIW94" s="88"/>
      <c r="BIX94" s="88"/>
      <c r="BIY94" s="88"/>
      <c r="BIZ94" s="88"/>
      <c r="BJA94" s="88"/>
      <c r="BJB94" s="88"/>
      <c r="BJC94" s="88"/>
      <c r="BJD94" s="88"/>
      <c r="BJE94" s="88"/>
      <c r="BJF94" s="88"/>
      <c r="BJG94" s="88"/>
      <c r="BJH94" s="88"/>
      <c r="BJI94" s="88"/>
      <c r="BJJ94" s="88"/>
      <c r="BJK94" s="88"/>
      <c r="BJL94" s="88"/>
      <c r="BJM94" s="88"/>
      <c r="BJN94" s="88"/>
      <c r="BJO94" s="88"/>
      <c r="BJP94" s="88"/>
      <c r="BJQ94" s="88"/>
      <c r="BJR94" s="88"/>
      <c r="BJS94" s="88"/>
      <c r="BJT94" s="88"/>
      <c r="BJU94" s="88"/>
      <c r="BJV94" s="88"/>
      <c r="BJW94" s="88"/>
      <c r="BJX94" s="88"/>
      <c r="BJY94" s="88"/>
      <c r="BJZ94" s="88"/>
      <c r="BKA94" s="88"/>
      <c r="BKB94" s="88"/>
      <c r="BKC94" s="88"/>
      <c r="BKD94" s="88"/>
      <c r="BKE94" s="88"/>
      <c r="BKF94" s="88"/>
      <c r="BKG94" s="88"/>
      <c r="BKH94" s="88"/>
      <c r="BKI94" s="88"/>
      <c r="BKJ94" s="88"/>
      <c r="BKK94" s="88"/>
      <c r="BKL94" s="88"/>
      <c r="BKM94" s="88"/>
      <c r="BKN94" s="88"/>
      <c r="BKO94" s="88"/>
      <c r="BKP94" s="88"/>
      <c r="BKQ94" s="88"/>
      <c r="BKR94" s="88"/>
      <c r="BKS94" s="88"/>
      <c r="BKT94" s="88"/>
      <c r="BKU94" s="88"/>
      <c r="BKV94" s="88"/>
      <c r="BKW94" s="88"/>
      <c r="BKX94" s="88"/>
      <c r="BKY94" s="88"/>
      <c r="BKZ94" s="88"/>
      <c r="BLA94" s="88"/>
      <c r="BLB94" s="88"/>
      <c r="BLC94" s="88"/>
      <c r="BLD94" s="88"/>
      <c r="BLE94" s="88"/>
      <c r="BLF94" s="88"/>
      <c r="BLG94" s="88"/>
      <c r="BLH94" s="88"/>
      <c r="BLI94" s="88"/>
      <c r="BLJ94" s="88"/>
      <c r="BLK94" s="88"/>
      <c r="BLL94" s="88"/>
      <c r="BLM94" s="88"/>
      <c r="BLN94" s="88"/>
      <c r="BLO94" s="88"/>
      <c r="BLP94" s="88"/>
      <c r="BLQ94" s="88"/>
      <c r="BLR94" s="88"/>
      <c r="BLS94" s="88"/>
      <c r="BLT94" s="88"/>
      <c r="BLU94" s="88"/>
      <c r="BLV94" s="88"/>
      <c r="BLW94" s="88"/>
      <c r="BLX94" s="88"/>
      <c r="BLY94" s="88"/>
      <c r="BLZ94" s="88"/>
      <c r="BMA94" s="88"/>
      <c r="BMB94" s="88"/>
      <c r="BMC94" s="88"/>
      <c r="BMD94" s="88"/>
      <c r="BME94" s="88"/>
      <c r="BMF94" s="88"/>
      <c r="BMG94" s="88"/>
      <c r="BMH94" s="88"/>
      <c r="BMI94" s="88"/>
      <c r="BMJ94" s="88"/>
      <c r="BMK94" s="88"/>
      <c r="BML94" s="88"/>
      <c r="BMM94" s="88"/>
      <c r="BMN94" s="88"/>
      <c r="BMO94" s="88"/>
      <c r="BMP94" s="88"/>
      <c r="BMQ94" s="88"/>
      <c r="BMR94" s="88"/>
      <c r="BMS94" s="88"/>
      <c r="BMT94" s="88"/>
      <c r="BMU94" s="88"/>
      <c r="BMV94" s="88"/>
      <c r="BMW94" s="88"/>
      <c r="BMX94" s="88"/>
      <c r="BMY94" s="88"/>
      <c r="BMZ94" s="88"/>
      <c r="BNA94" s="88"/>
      <c r="BNB94" s="88"/>
      <c r="BNC94" s="88"/>
      <c r="BND94" s="88"/>
      <c r="BNE94" s="88"/>
      <c r="BNF94" s="88"/>
      <c r="BNG94" s="88"/>
      <c r="BNH94" s="88"/>
      <c r="BNI94" s="88"/>
      <c r="BNJ94" s="88"/>
      <c r="BNK94" s="88"/>
      <c r="BNL94" s="88"/>
      <c r="BNM94" s="88"/>
      <c r="BNN94" s="88"/>
      <c r="BNO94" s="88"/>
      <c r="BNP94" s="88"/>
      <c r="BNQ94" s="88"/>
      <c r="BNR94" s="88"/>
      <c r="BNS94" s="88"/>
      <c r="BNT94" s="88"/>
      <c r="BNU94" s="88"/>
      <c r="BNV94" s="88"/>
      <c r="BNW94" s="88"/>
      <c r="BNX94" s="88"/>
      <c r="BNY94" s="88"/>
      <c r="BNZ94" s="88"/>
      <c r="BOA94" s="88"/>
      <c r="BOB94" s="88"/>
      <c r="BOC94" s="88"/>
      <c r="BOD94" s="88"/>
      <c r="BOE94" s="88"/>
      <c r="BOF94" s="88"/>
      <c r="BOG94" s="88"/>
      <c r="BOH94" s="88"/>
      <c r="BOI94" s="88"/>
      <c r="BOJ94" s="88"/>
      <c r="BOK94" s="88"/>
      <c r="BOL94" s="88"/>
      <c r="BOM94" s="88"/>
      <c r="BON94" s="88"/>
      <c r="BOO94" s="88"/>
      <c r="BOP94" s="88"/>
      <c r="BOQ94" s="88"/>
      <c r="BOR94" s="88"/>
      <c r="BOS94" s="88"/>
      <c r="BOT94" s="88"/>
      <c r="BOU94" s="88"/>
      <c r="BOV94" s="88"/>
      <c r="BOW94" s="88"/>
      <c r="BOX94" s="88"/>
      <c r="BOY94" s="88"/>
      <c r="BOZ94" s="88"/>
      <c r="BPA94" s="88"/>
      <c r="BPB94" s="88"/>
      <c r="BPC94" s="88"/>
      <c r="BPD94" s="88"/>
      <c r="BPE94" s="88"/>
      <c r="BPF94" s="88"/>
      <c r="BPG94" s="88"/>
      <c r="BPH94" s="88"/>
      <c r="BPI94" s="88"/>
      <c r="BPJ94" s="88"/>
      <c r="BPK94" s="88"/>
      <c r="BPL94" s="88"/>
      <c r="BPM94" s="88"/>
      <c r="BPN94" s="88"/>
      <c r="BPO94" s="88"/>
      <c r="BPP94" s="88"/>
      <c r="BPQ94" s="88"/>
      <c r="BPR94" s="88"/>
      <c r="BPS94" s="88"/>
      <c r="BPT94" s="88"/>
      <c r="BPU94" s="88"/>
      <c r="BPV94" s="88"/>
      <c r="BPW94" s="88"/>
      <c r="BPX94" s="88"/>
      <c r="BPY94" s="88"/>
      <c r="BPZ94" s="88"/>
      <c r="BQA94" s="88"/>
      <c r="BQB94" s="88"/>
      <c r="BQC94" s="88"/>
      <c r="BQD94" s="88"/>
      <c r="BQE94" s="88"/>
      <c r="BQF94" s="88"/>
      <c r="BQG94" s="88"/>
      <c r="BQH94" s="88"/>
      <c r="BQI94" s="88"/>
      <c r="BQJ94" s="88"/>
      <c r="BQK94" s="88"/>
      <c r="BQL94" s="88"/>
      <c r="BQM94" s="88"/>
      <c r="BQN94" s="88"/>
      <c r="BQO94" s="88"/>
      <c r="BQP94" s="88"/>
      <c r="BQQ94" s="88"/>
      <c r="BQR94" s="88"/>
      <c r="BQS94" s="88"/>
      <c r="BQT94" s="88"/>
      <c r="BQU94" s="88"/>
      <c r="BQV94" s="88"/>
      <c r="BQW94" s="88"/>
      <c r="BQX94" s="88"/>
      <c r="BQY94" s="88"/>
      <c r="BQZ94" s="88"/>
      <c r="BRA94" s="88"/>
      <c r="BRB94" s="88"/>
      <c r="BRC94" s="88"/>
      <c r="BRD94" s="88"/>
      <c r="BRE94" s="88"/>
      <c r="BRF94" s="88"/>
      <c r="BRG94" s="88"/>
      <c r="BRH94" s="88"/>
      <c r="BRI94" s="88"/>
      <c r="BRJ94" s="88"/>
      <c r="BRK94" s="88"/>
      <c r="BRL94" s="88"/>
      <c r="BRM94" s="88"/>
      <c r="BRN94" s="88"/>
      <c r="BRO94" s="88"/>
      <c r="BRP94" s="88"/>
      <c r="BRQ94" s="88"/>
      <c r="BRR94" s="88"/>
      <c r="BRS94" s="88"/>
      <c r="BRT94" s="88"/>
      <c r="BRU94" s="88"/>
      <c r="BRV94" s="88"/>
      <c r="BRW94" s="88"/>
      <c r="BRX94" s="88"/>
      <c r="BRY94" s="88"/>
      <c r="BRZ94" s="88"/>
      <c r="BSA94" s="88"/>
      <c r="BSB94" s="88"/>
      <c r="BSC94" s="88"/>
      <c r="BSD94" s="88"/>
      <c r="BSE94" s="88"/>
      <c r="BSF94" s="88"/>
      <c r="BSG94" s="88"/>
      <c r="BSH94" s="88"/>
      <c r="BSI94" s="88"/>
      <c r="BSJ94" s="88"/>
      <c r="BSK94" s="88"/>
      <c r="BSL94" s="88"/>
      <c r="BSM94" s="88"/>
      <c r="BSN94" s="88"/>
      <c r="BSO94" s="88"/>
      <c r="BSP94" s="88"/>
      <c r="BSQ94" s="88"/>
      <c r="BSR94" s="88"/>
      <c r="BSS94" s="88"/>
      <c r="BST94" s="88"/>
      <c r="BSU94" s="88"/>
      <c r="BSV94" s="88"/>
      <c r="BSW94" s="88"/>
      <c r="BSX94" s="88"/>
      <c r="BSY94" s="88"/>
      <c r="BSZ94" s="88"/>
      <c r="BTA94" s="88"/>
      <c r="BTB94" s="88"/>
      <c r="BTC94" s="88"/>
      <c r="BTD94" s="88"/>
      <c r="BTE94" s="88"/>
      <c r="BTF94" s="88"/>
      <c r="BTG94" s="88"/>
      <c r="BTH94" s="88"/>
      <c r="BTI94" s="88"/>
      <c r="BTJ94" s="88"/>
      <c r="BTK94" s="88"/>
      <c r="BTL94" s="88"/>
      <c r="BTM94" s="88"/>
      <c r="BTN94" s="88"/>
      <c r="BTO94" s="88"/>
      <c r="BTP94" s="88"/>
      <c r="BTQ94" s="88"/>
      <c r="BTR94" s="88"/>
      <c r="BTS94" s="88"/>
      <c r="BTT94" s="88"/>
      <c r="BTU94" s="88"/>
      <c r="BTV94" s="88"/>
      <c r="BTW94" s="88"/>
      <c r="BTX94" s="88"/>
      <c r="BTY94" s="88"/>
      <c r="BTZ94" s="88"/>
      <c r="BUA94" s="88"/>
      <c r="BUB94" s="88"/>
      <c r="BUC94" s="88"/>
      <c r="BUD94" s="88"/>
      <c r="BUE94" s="88"/>
      <c r="BUF94" s="88"/>
      <c r="BUG94" s="88"/>
      <c r="BUH94" s="88"/>
      <c r="BUI94" s="88"/>
      <c r="BUJ94" s="88"/>
      <c r="BUK94" s="88"/>
      <c r="BUL94" s="88"/>
      <c r="BUM94" s="88"/>
      <c r="BUN94" s="88"/>
      <c r="BUO94" s="88"/>
      <c r="BUP94" s="88"/>
      <c r="BUQ94" s="88"/>
      <c r="BUR94" s="88"/>
      <c r="BUS94" s="88"/>
      <c r="BUT94" s="88"/>
      <c r="BUU94" s="88"/>
      <c r="BUV94" s="88"/>
      <c r="BUW94" s="88"/>
      <c r="BUX94" s="88"/>
      <c r="BUY94" s="88"/>
      <c r="BUZ94" s="88"/>
      <c r="BVA94" s="88"/>
      <c r="BVB94" s="88"/>
      <c r="BVC94" s="88"/>
      <c r="BVD94" s="88"/>
      <c r="BVE94" s="88"/>
      <c r="BVF94" s="88"/>
      <c r="BVG94" s="88"/>
      <c r="BVH94" s="88"/>
      <c r="BVI94" s="88"/>
      <c r="BVJ94" s="88"/>
      <c r="BVK94" s="88"/>
      <c r="BVL94" s="88"/>
      <c r="BVM94" s="88"/>
      <c r="BVN94" s="88"/>
      <c r="BVO94" s="88"/>
      <c r="BVP94" s="88"/>
      <c r="BVQ94" s="88"/>
      <c r="BVR94" s="88"/>
      <c r="BVS94" s="88"/>
      <c r="BVT94" s="88"/>
      <c r="BVU94" s="88"/>
      <c r="BVV94" s="88"/>
      <c r="BVW94" s="88"/>
      <c r="BVX94" s="88"/>
      <c r="BVY94" s="88"/>
      <c r="BVZ94" s="88"/>
      <c r="BWA94" s="88"/>
      <c r="BWB94" s="88"/>
      <c r="BWC94" s="88"/>
      <c r="BWD94" s="88"/>
      <c r="BWE94" s="88"/>
      <c r="BWF94" s="88"/>
      <c r="BWG94" s="88"/>
      <c r="BWH94" s="88"/>
      <c r="BWI94" s="88"/>
      <c r="BWJ94" s="88"/>
      <c r="BWK94" s="88"/>
      <c r="BWL94" s="88"/>
      <c r="BWM94" s="88"/>
      <c r="BWN94" s="88"/>
      <c r="BWO94" s="88"/>
      <c r="BWP94" s="88"/>
      <c r="BWQ94" s="88"/>
      <c r="BWR94" s="88"/>
      <c r="BWS94" s="88"/>
      <c r="BWT94" s="88"/>
      <c r="BWU94" s="88"/>
      <c r="BWV94" s="88"/>
      <c r="BWW94" s="88"/>
      <c r="BWX94" s="88"/>
      <c r="BWY94" s="88"/>
      <c r="BWZ94" s="88"/>
      <c r="BXA94" s="88"/>
      <c r="BXB94" s="88"/>
      <c r="BXC94" s="88"/>
      <c r="BXD94" s="88"/>
      <c r="BXE94" s="88"/>
      <c r="BXF94" s="88"/>
      <c r="BXG94" s="88"/>
      <c r="BXH94" s="88"/>
      <c r="BXI94" s="88"/>
      <c r="BXJ94" s="88"/>
      <c r="BXK94" s="88"/>
      <c r="BXL94" s="88"/>
      <c r="BXM94" s="88"/>
      <c r="BXN94" s="88"/>
      <c r="BXO94" s="88"/>
      <c r="BXP94" s="88"/>
      <c r="BXQ94" s="88"/>
      <c r="BXR94" s="88"/>
      <c r="BXS94" s="88"/>
      <c r="BXT94" s="88"/>
      <c r="BXU94" s="88"/>
      <c r="BXV94" s="88"/>
      <c r="BXW94" s="88"/>
      <c r="BXX94" s="88"/>
      <c r="BXY94" s="88"/>
      <c r="BXZ94" s="88"/>
      <c r="BYA94" s="88"/>
      <c r="BYB94" s="88"/>
      <c r="BYC94" s="88"/>
      <c r="BYD94" s="88"/>
      <c r="BYE94" s="88"/>
      <c r="BYF94" s="88"/>
      <c r="BYG94" s="88"/>
      <c r="BYH94" s="88"/>
      <c r="BYI94" s="88"/>
      <c r="BYJ94" s="88"/>
      <c r="BYK94" s="88"/>
      <c r="BYL94" s="88"/>
      <c r="BYM94" s="88"/>
      <c r="BYN94" s="88"/>
      <c r="BYO94" s="88"/>
      <c r="BYP94" s="88"/>
      <c r="BYQ94" s="88"/>
      <c r="BYR94" s="88"/>
      <c r="BYS94" s="88"/>
      <c r="BYT94" s="88"/>
      <c r="BYU94" s="88"/>
      <c r="BYV94" s="88"/>
      <c r="BYW94" s="88"/>
      <c r="BYX94" s="88"/>
      <c r="BYY94" s="88"/>
      <c r="BYZ94" s="88"/>
      <c r="BZA94" s="88"/>
      <c r="BZB94" s="88"/>
      <c r="BZC94" s="88"/>
      <c r="BZD94" s="88"/>
      <c r="BZE94" s="88"/>
      <c r="BZF94" s="88"/>
      <c r="BZG94" s="88"/>
      <c r="BZH94" s="88"/>
      <c r="BZI94" s="88"/>
      <c r="BZJ94" s="88"/>
      <c r="BZK94" s="88"/>
      <c r="BZL94" s="88"/>
      <c r="BZM94" s="88"/>
      <c r="BZN94" s="88"/>
      <c r="BZO94" s="88"/>
      <c r="BZP94" s="88"/>
      <c r="BZQ94" s="88"/>
      <c r="BZR94" s="88"/>
      <c r="BZS94" s="88"/>
      <c r="BZT94" s="88"/>
      <c r="BZU94" s="88"/>
      <c r="BZV94" s="88"/>
      <c r="BZW94" s="88"/>
      <c r="BZX94" s="88"/>
      <c r="BZY94" s="88"/>
      <c r="BZZ94" s="88"/>
      <c r="CAA94" s="88"/>
      <c r="CAB94" s="88"/>
      <c r="CAC94" s="88"/>
      <c r="CAD94" s="88"/>
      <c r="CAE94" s="88"/>
      <c r="CAF94" s="88"/>
      <c r="CAG94" s="88"/>
      <c r="CAH94" s="88"/>
      <c r="CAI94" s="88"/>
      <c r="CAJ94" s="88"/>
      <c r="CAK94" s="88"/>
      <c r="CAL94" s="88"/>
      <c r="CAM94" s="88"/>
      <c r="CAN94" s="88"/>
      <c r="CAO94" s="88"/>
      <c r="CAP94" s="88"/>
      <c r="CAQ94" s="88"/>
      <c r="CAR94" s="88"/>
      <c r="CAS94" s="88"/>
      <c r="CAT94" s="88"/>
      <c r="CAU94" s="88"/>
      <c r="CAV94" s="88"/>
      <c r="CAW94" s="88"/>
      <c r="CAX94" s="88"/>
      <c r="CAY94" s="88"/>
      <c r="CAZ94" s="88"/>
      <c r="CBA94" s="88"/>
      <c r="CBB94" s="88"/>
      <c r="CBC94" s="88"/>
      <c r="CBD94" s="88"/>
      <c r="CBE94" s="88"/>
      <c r="CBF94" s="88"/>
      <c r="CBG94" s="88"/>
      <c r="CBH94" s="88"/>
      <c r="CBI94" s="88"/>
      <c r="CBJ94" s="88"/>
      <c r="CBK94" s="88"/>
      <c r="CBL94" s="88"/>
      <c r="CBM94" s="88"/>
      <c r="CBN94" s="88"/>
      <c r="CBO94" s="88"/>
      <c r="CBP94" s="88"/>
      <c r="CBQ94" s="88"/>
      <c r="CBR94" s="88"/>
      <c r="CBS94" s="88"/>
      <c r="CBT94" s="88"/>
      <c r="CBU94" s="88"/>
      <c r="CBV94" s="88"/>
      <c r="CBW94" s="88"/>
      <c r="CBX94" s="88"/>
      <c r="CBY94" s="88"/>
      <c r="CBZ94" s="88"/>
      <c r="CCA94" s="88"/>
      <c r="CCB94" s="88"/>
      <c r="CCC94" s="88"/>
      <c r="CCD94" s="88"/>
      <c r="CCE94" s="88"/>
      <c r="CCF94" s="88"/>
      <c r="CCG94" s="88"/>
      <c r="CCH94" s="88"/>
      <c r="CCI94" s="88"/>
      <c r="CCJ94" s="88"/>
      <c r="CCK94" s="88"/>
      <c r="CCL94" s="88"/>
      <c r="CCM94" s="88"/>
      <c r="CCN94" s="88"/>
      <c r="CCO94" s="88"/>
      <c r="CCP94" s="88"/>
      <c r="CCQ94" s="88"/>
      <c r="CCR94" s="88"/>
      <c r="CCS94" s="88"/>
      <c r="CCT94" s="88"/>
      <c r="CCU94" s="88"/>
      <c r="CCV94" s="88"/>
      <c r="CCW94" s="88"/>
      <c r="CCX94" s="88"/>
      <c r="CCY94" s="88"/>
      <c r="CCZ94" s="88"/>
      <c r="CDA94" s="88"/>
      <c r="CDB94" s="88"/>
      <c r="CDC94" s="88"/>
      <c r="CDD94" s="88"/>
      <c r="CDE94" s="88"/>
      <c r="CDF94" s="88"/>
      <c r="CDG94" s="88"/>
      <c r="CDH94" s="88"/>
      <c r="CDI94" s="88"/>
      <c r="CDJ94" s="88"/>
      <c r="CDK94" s="88"/>
      <c r="CDL94" s="88"/>
      <c r="CDM94" s="88"/>
      <c r="CDN94" s="88"/>
      <c r="CDO94" s="88"/>
      <c r="CDP94" s="88"/>
      <c r="CDQ94" s="88"/>
      <c r="CDR94" s="88"/>
      <c r="CDS94" s="88"/>
      <c r="CDT94" s="88"/>
      <c r="CDU94" s="88"/>
      <c r="CDV94" s="88"/>
      <c r="CDW94" s="88"/>
      <c r="CDX94" s="88"/>
      <c r="CDY94" s="88"/>
      <c r="CDZ94" s="88"/>
      <c r="CEA94" s="88"/>
      <c r="CEB94" s="88"/>
      <c r="CEC94" s="88"/>
      <c r="CED94" s="88"/>
      <c r="CEE94" s="88"/>
      <c r="CEF94" s="88"/>
      <c r="CEG94" s="88"/>
      <c r="CEH94" s="88"/>
      <c r="CEI94" s="88"/>
      <c r="CEJ94" s="88"/>
      <c r="CEK94" s="88"/>
    </row>
    <row r="95" spans="1:2169" s="51" customFormat="1">
      <c r="A95" s="72" t="s">
        <v>791</v>
      </c>
      <c r="B95" s="70" t="s">
        <v>513</v>
      </c>
      <c r="C95" s="69" t="str">
        <f>IF('page 2'!$O$4="","",IF('page 2'!$O$4=Gestion!A95,1,0))</f>
        <v/>
      </c>
      <c r="D95" s="69" t="str">
        <f>IF('page 2'!$O$5="","",IF('page 2'!$O$5=Gestion!A95,1,0))</f>
        <v/>
      </c>
      <c r="E95" s="69" t="str">
        <f>IF('page 2'!$O$6="","",IF('page 2'!$O$6=Gestion!A95,1,0))</f>
        <v/>
      </c>
      <c r="F95" s="69" t="str">
        <f>IF('page 2'!$O$7="","",IF('page 2'!$O$7=Gestion!A95,1,0))</f>
        <v/>
      </c>
      <c r="G95" s="69" t="str">
        <f>IF('page 2'!$O$8="","",IF('page 2'!$O$8=Gestion!A95,1,0))</f>
        <v/>
      </c>
      <c r="H95" s="69" t="str">
        <f>IF('page 2'!$O$9="","",IF('page 2'!$O$9=Gestion!A95,1,0))</f>
        <v/>
      </c>
      <c r="I95" s="69" t="str">
        <f>IF('page 2'!$O$10="","",IF('page 2'!$O$10=Gestion!A95,1,0))</f>
        <v/>
      </c>
      <c r="J95" s="69" t="str">
        <f>IF('page 2'!$O$11="","",IF('page 2'!$O$11=Gestion!A95,1,0))</f>
        <v/>
      </c>
      <c r="K95" s="69" t="str">
        <f>IF('page 2'!$O$12="","",IF('page 2'!$O$12=Gestion!A95,1,0))</f>
        <v/>
      </c>
      <c r="L95" s="69" t="str">
        <f>IF('page 2'!$O$13="","",IF('page 2'!$O$13=Gestion!A95,1,0))</f>
        <v/>
      </c>
      <c r="M95" s="69" t="str">
        <f>IF('page 2'!$O$14="","",IF('page 2'!$O$14=Gestion!A95,1,0))</f>
        <v/>
      </c>
      <c r="N95" s="69" t="str">
        <f>IF('page 2'!$O$15="","",IF('page 2'!$O$15=Gestion!A95,1,0))</f>
        <v/>
      </c>
      <c r="O95" s="69" t="str">
        <f>IF('page 2'!$O$16="","",IF('page 2'!$O$16=Gestion!A95,1,0))</f>
        <v/>
      </c>
      <c r="P95" s="69" t="str">
        <f>IF('page 2'!$O$17="","",IF('page 2'!$O$17=Gestion!A95,1,0))</f>
        <v/>
      </c>
      <c r="Q95" s="69" t="str">
        <f>IF('page 2'!$O$18="","",IF('page 2'!$O$18=Gestion!A95,1,0))</f>
        <v/>
      </c>
      <c r="R95" s="69" t="str">
        <f>IF('page 2'!$O$19="","",IF('page 2'!$O$19=Gestion!A95,1,0))</f>
        <v/>
      </c>
      <c r="S95" s="69" t="str">
        <f>IF('page 2'!$O$20="","",IF('page 2'!$O$20=Gestion!A95,1,0))</f>
        <v/>
      </c>
      <c r="T95" s="69" t="str">
        <f>IF('page 2'!$O$25="","",IF('page 2'!$O$25=Gestion!A95,1,0))</f>
        <v/>
      </c>
      <c r="U95" s="69" t="str">
        <f>IF('page 2'!$O$26="","",IF('page 2'!$O$26=Gestion!A95,1,0))</f>
        <v/>
      </c>
      <c r="V95" s="69" t="str">
        <f>IF('page 2'!$O$27="","",IF('page 2'!$O$27=Gestion!A95,1,0))</f>
        <v/>
      </c>
      <c r="W95" s="723">
        <f t="shared" si="14"/>
        <v>0</v>
      </c>
      <c r="X95" s="713"/>
      <c r="Y95" s="69"/>
      <c r="Z95" s="69"/>
      <c r="AA95" s="69"/>
      <c r="AB95" s="542"/>
      <c r="AC95" s="542"/>
      <c r="AD95" s="542"/>
      <c r="AE95" s="88"/>
      <c r="AP95" s="130"/>
      <c r="AQ95" s="130"/>
      <c r="AR95" s="130"/>
      <c r="AS95" s="576"/>
      <c r="AT95" s="576"/>
      <c r="AU95" s="576"/>
      <c r="AV95" s="576"/>
      <c r="AW95" s="602"/>
      <c r="AX95" s="602"/>
      <c r="AY95" s="576"/>
      <c r="AZ95" s="576"/>
      <c r="BA95" s="576"/>
      <c r="BB95" s="576"/>
      <c r="BC95" s="576"/>
      <c r="BD95" s="602"/>
      <c r="BE95" s="602"/>
      <c r="BF95" s="602"/>
      <c r="BG95" s="602"/>
      <c r="BH95" s="602"/>
      <c r="BI95" s="602"/>
      <c r="BJ95" s="602"/>
      <c r="BK95" s="602"/>
      <c r="BL95" s="602"/>
      <c r="BM95" s="602"/>
      <c r="BN95" s="602"/>
      <c r="BO95" s="602"/>
      <c r="BP95" s="602"/>
      <c r="BQ95" s="602"/>
      <c r="BR95" s="602"/>
      <c r="BS95" s="576"/>
      <c r="BT95" s="576"/>
      <c r="BU95" s="576"/>
      <c r="BV95" s="576"/>
      <c r="BW95" s="602"/>
      <c r="BX95" s="602"/>
      <c r="BY95" s="602"/>
      <c r="BZ95" s="576"/>
      <c r="CA95" s="602"/>
      <c r="CB95" s="602"/>
      <c r="CC95" s="576"/>
      <c r="CD95" s="576"/>
      <c r="CE95" s="602"/>
      <c r="CF95" s="576"/>
      <c r="CG95" s="576"/>
      <c r="CH95" s="576"/>
      <c r="CI95" s="576"/>
      <c r="CJ95" s="576"/>
      <c r="CK95" s="602"/>
      <c r="CL95" s="602"/>
      <c r="CM95" s="576"/>
      <c r="CN95" s="602"/>
      <c r="CO95" s="602"/>
      <c r="CP95" s="602"/>
      <c r="CQ95" s="576"/>
      <c r="CR95" s="576"/>
      <c r="CS95" s="602"/>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c r="HF95" s="88"/>
      <c r="HG95" s="88"/>
      <c r="HH95" s="88"/>
      <c r="HI95" s="88"/>
      <c r="HJ95" s="88"/>
      <c r="HK95" s="88"/>
      <c r="HL95" s="88"/>
      <c r="HM95" s="88"/>
      <c r="HN95" s="88"/>
      <c r="HO95" s="88"/>
      <c r="HP95" s="88"/>
      <c r="HQ95" s="88"/>
      <c r="HR95" s="88"/>
      <c r="HS95" s="88"/>
      <c r="HT95" s="88"/>
      <c r="HU95" s="88"/>
      <c r="HV95" s="88"/>
      <c r="HW95" s="88"/>
      <c r="HX95" s="88"/>
      <c r="HY95" s="88"/>
      <c r="HZ95" s="88"/>
      <c r="IA95" s="88"/>
      <c r="IB95" s="88"/>
      <c r="IC95" s="88"/>
      <c r="ID95" s="88"/>
      <c r="IE95" s="88"/>
      <c r="IF95" s="88"/>
      <c r="IG95" s="88"/>
      <c r="IH95" s="88"/>
      <c r="II95" s="88"/>
      <c r="IJ95" s="88"/>
      <c r="IK95" s="88"/>
      <c r="IL95" s="88"/>
      <c r="IM95" s="88"/>
      <c r="IN95" s="88"/>
      <c r="IO95" s="88"/>
      <c r="IP95" s="88"/>
      <c r="IQ95" s="88"/>
      <c r="IR95" s="88"/>
      <c r="IS95" s="88"/>
      <c r="IT95" s="88"/>
      <c r="IU95" s="88"/>
      <c r="IV95" s="88"/>
      <c r="IW95" s="88"/>
      <c r="IX95" s="88"/>
      <c r="IY95" s="88"/>
      <c r="IZ95" s="88"/>
      <c r="JA95" s="88"/>
      <c r="JB95" s="88"/>
      <c r="JC95" s="88"/>
      <c r="JD95" s="88"/>
      <c r="JE95" s="88"/>
      <c r="JF95" s="88"/>
      <c r="JG95" s="88"/>
      <c r="JH95" s="88"/>
      <c r="JI95" s="88"/>
      <c r="JJ95" s="88"/>
      <c r="JK95" s="88"/>
      <c r="JL95" s="88"/>
      <c r="JM95" s="88"/>
      <c r="JN95" s="88"/>
      <c r="JO95" s="88"/>
      <c r="JP95" s="88"/>
      <c r="JQ95" s="88"/>
      <c r="JR95" s="88"/>
      <c r="JS95" s="88"/>
      <c r="JT95" s="88"/>
      <c r="JU95" s="88"/>
      <c r="JV95" s="88"/>
      <c r="JW95" s="88"/>
      <c r="JX95" s="88"/>
      <c r="JY95" s="88"/>
      <c r="JZ95" s="88"/>
      <c r="KA95" s="88"/>
      <c r="KB95" s="88"/>
      <c r="KC95" s="88"/>
      <c r="KD95" s="88"/>
      <c r="KE95" s="88"/>
      <c r="KF95" s="88"/>
      <c r="KG95" s="88"/>
      <c r="KH95" s="88"/>
      <c r="KI95" s="88"/>
      <c r="KJ95" s="88"/>
      <c r="KK95" s="88"/>
      <c r="KL95" s="88"/>
      <c r="KM95" s="88"/>
      <c r="KN95" s="88"/>
      <c r="KO95" s="88"/>
      <c r="KP95" s="88"/>
      <c r="KQ95" s="88"/>
      <c r="KR95" s="88"/>
      <c r="KS95" s="88"/>
      <c r="KT95" s="88"/>
      <c r="KU95" s="88"/>
      <c r="KV95" s="88"/>
      <c r="KW95" s="88"/>
      <c r="KX95" s="88"/>
      <c r="KY95" s="88"/>
      <c r="KZ95" s="88"/>
      <c r="LA95" s="88"/>
      <c r="LB95" s="88"/>
      <c r="LC95" s="88"/>
      <c r="LD95" s="88"/>
      <c r="LE95" s="88"/>
      <c r="LF95" s="88"/>
      <c r="LG95" s="88"/>
      <c r="LH95" s="88"/>
      <c r="LI95" s="88"/>
      <c r="LJ95" s="88"/>
      <c r="LK95" s="88"/>
      <c r="LL95" s="88"/>
      <c r="LM95" s="88"/>
      <c r="LN95" s="88"/>
      <c r="LO95" s="88"/>
      <c r="LP95" s="88"/>
      <c r="LQ95" s="88"/>
      <c r="LR95" s="88"/>
      <c r="LS95" s="88"/>
      <c r="LT95" s="88"/>
      <c r="LU95" s="88"/>
      <c r="LV95" s="88"/>
      <c r="LW95" s="88"/>
      <c r="LX95" s="88"/>
      <c r="LY95" s="88"/>
      <c r="LZ95" s="88"/>
      <c r="MA95" s="88"/>
      <c r="MB95" s="88"/>
      <c r="MC95" s="88"/>
      <c r="MD95" s="88"/>
      <c r="ME95" s="88"/>
      <c r="MF95" s="88"/>
      <c r="MG95" s="88"/>
      <c r="MH95" s="88"/>
      <c r="MI95" s="88"/>
      <c r="MJ95" s="88"/>
      <c r="MK95" s="88"/>
      <c r="ML95" s="88"/>
      <c r="MM95" s="88"/>
      <c r="MN95" s="88"/>
      <c r="MO95" s="88"/>
      <c r="MP95" s="88"/>
      <c r="MQ95" s="88"/>
      <c r="MR95" s="88"/>
      <c r="MS95" s="88"/>
      <c r="MT95" s="88"/>
      <c r="MU95" s="88"/>
      <c r="MV95" s="88"/>
      <c r="MW95" s="88"/>
      <c r="MX95" s="88"/>
      <c r="MY95" s="88"/>
      <c r="MZ95" s="88"/>
      <c r="NA95" s="88"/>
      <c r="NB95" s="88"/>
      <c r="NC95" s="88"/>
      <c r="ND95" s="88"/>
      <c r="NE95" s="88"/>
      <c r="NF95" s="88"/>
      <c r="NG95" s="88"/>
      <c r="NH95" s="88"/>
      <c r="NI95" s="88"/>
      <c r="NJ95" s="88"/>
      <c r="NK95" s="88"/>
      <c r="NL95" s="88"/>
      <c r="NM95" s="88"/>
      <c r="NN95" s="88"/>
      <c r="NO95" s="88"/>
      <c r="NP95" s="88"/>
      <c r="NQ95" s="88"/>
      <c r="NR95" s="88"/>
      <c r="NS95" s="88"/>
      <c r="NT95" s="88"/>
      <c r="NU95" s="88"/>
      <c r="NV95" s="88"/>
      <c r="NW95" s="88"/>
      <c r="NX95" s="88"/>
      <c r="NY95" s="88"/>
      <c r="NZ95" s="88"/>
      <c r="OA95" s="88"/>
      <c r="OB95" s="88"/>
      <c r="OC95" s="88"/>
      <c r="OD95" s="88"/>
      <c r="OE95" s="88"/>
      <c r="OF95" s="88"/>
      <c r="OG95" s="88"/>
      <c r="OH95" s="88"/>
      <c r="OI95" s="88"/>
      <c r="OJ95" s="88"/>
      <c r="OK95" s="88"/>
      <c r="OL95" s="88"/>
      <c r="OM95" s="88"/>
      <c r="ON95" s="88"/>
      <c r="OO95" s="88"/>
      <c r="OP95" s="88"/>
      <c r="OQ95" s="88"/>
      <c r="OR95" s="88"/>
      <c r="OS95" s="88"/>
      <c r="OT95" s="88"/>
      <c r="OU95" s="88"/>
      <c r="OV95" s="88"/>
      <c r="OW95" s="88"/>
      <c r="OX95" s="88"/>
      <c r="OY95" s="88"/>
      <c r="OZ95" s="88"/>
      <c r="PA95" s="88"/>
      <c r="PB95" s="88"/>
      <c r="PC95" s="88"/>
      <c r="PD95" s="88"/>
      <c r="PE95" s="88"/>
      <c r="PF95" s="88"/>
      <c r="PG95" s="88"/>
      <c r="PH95" s="88"/>
      <c r="PI95" s="88"/>
      <c r="PJ95" s="88"/>
      <c r="PK95" s="88"/>
      <c r="PL95" s="88"/>
      <c r="PM95" s="88"/>
      <c r="PN95" s="88"/>
      <c r="PO95" s="88"/>
      <c r="PP95" s="88"/>
      <c r="PQ95" s="88"/>
      <c r="PR95" s="88"/>
      <c r="PS95" s="88"/>
      <c r="PT95" s="88"/>
      <c r="PU95" s="88"/>
      <c r="PV95" s="88"/>
      <c r="PW95" s="88"/>
      <c r="PX95" s="88"/>
      <c r="PY95" s="88"/>
      <c r="PZ95" s="88"/>
      <c r="QA95" s="88"/>
      <c r="QB95" s="88"/>
      <c r="QC95" s="88"/>
      <c r="QD95" s="88"/>
      <c r="QE95" s="88"/>
      <c r="QF95" s="88"/>
      <c r="QG95" s="88"/>
      <c r="QH95" s="88"/>
      <c r="QI95" s="88"/>
      <c r="QJ95" s="88"/>
      <c r="QK95" s="88"/>
      <c r="QL95" s="88"/>
      <c r="QM95" s="88"/>
      <c r="QN95" s="88"/>
      <c r="QO95" s="88"/>
      <c r="QP95" s="88"/>
      <c r="QQ95" s="88"/>
      <c r="QR95" s="88"/>
      <c r="QS95" s="88"/>
      <c r="QT95" s="88"/>
      <c r="QU95" s="88"/>
      <c r="QV95" s="88"/>
      <c r="QW95" s="88"/>
      <c r="QX95" s="88"/>
      <c r="QY95" s="88"/>
      <c r="QZ95" s="88"/>
      <c r="RA95" s="88"/>
      <c r="RB95" s="88"/>
      <c r="RC95" s="88"/>
      <c r="RD95" s="88"/>
      <c r="RE95" s="88"/>
      <c r="RF95" s="88"/>
      <c r="RG95" s="88"/>
      <c r="RH95" s="88"/>
      <c r="RI95" s="88"/>
      <c r="RJ95" s="88"/>
      <c r="RK95" s="88"/>
      <c r="RL95" s="88"/>
      <c r="RM95" s="88"/>
      <c r="RN95" s="88"/>
      <c r="RO95" s="88"/>
      <c r="RP95" s="88"/>
      <c r="RQ95" s="88"/>
      <c r="RR95" s="88"/>
      <c r="RS95" s="88"/>
      <c r="RT95" s="88"/>
      <c r="RU95" s="88"/>
      <c r="RV95" s="88"/>
      <c r="RW95" s="88"/>
      <c r="RX95" s="88"/>
      <c r="RY95" s="88"/>
      <c r="RZ95" s="88"/>
      <c r="SA95" s="88"/>
      <c r="SB95" s="88"/>
      <c r="SC95" s="88"/>
      <c r="SD95" s="88"/>
      <c r="SE95" s="88"/>
      <c r="SF95" s="88"/>
      <c r="SG95" s="88"/>
      <c r="SH95" s="88"/>
      <c r="SI95" s="88"/>
      <c r="SJ95" s="88"/>
      <c r="SK95" s="88"/>
      <c r="SL95" s="88"/>
      <c r="SM95" s="88"/>
      <c r="SN95" s="88"/>
      <c r="SO95" s="88"/>
      <c r="SP95" s="88"/>
      <c r="SQ95" s="88"/>
      <c r="SR95" s="88"/>
      <c r="SS95" s="88"/>
      <c r="ST95" s="88"/>
      <c r="SU95" s="88"/>
      <c r="SV95" s="88"/>
      <c r="SW95" s="88"/>
      <c r="SX95" s="88"/>
      <c r="SY95" s="88"/>
      <c r="SZ95" s="88"/>
      <c r="TA95" s="88"/>
      <c r="TB95" s="88"/>
      <c r="TC95" s="88"/>
      <c r="TD95" s="88"/>
      <c r="TE95" s="88"/>
      <c r="TF95" s="88"/>
      <c r="TG95" s="88"/>
      <c r="TH95" s="88"/>
      <c r="TI95" s="88"/>
      <c r="TJ95" s="88"/>
      <c r="TK95" s="88"/>
      <c r="TL95" s="88"/>
      <c r="TM95" s="88"/>
      <c r="TN95" s="88"/>
      <c r="TO95" s="88"/>
      <c r="TP95" s="88"/>
      <c r="TQ95" s="88"/>
      <c r="TR95" s="88"/>
      <c r="TS95" s="88"/>
      <c r="TT95" s="88"/>
      <c r="TU95" s="88"/>
      <c r="TV95" s="88"/>
      <c r="TW95" s="88"/>
      <c r="TX95" s="88"/>
      <c r="TY95" s="88"/>
      <c r="TZ95" s="88"/>
      <c r="UA95" s="88"/>
      <c r="UB95" s="88"/>
      <c r="UC95" s="88"/>
      <c r="UD95" s="88"/>
      <c r="UE95" s="88"/>
      <c r="UF95" s="88"/>
      <c r="UG95" s="88"/>
      <c r="UH95" s="88"/>
      <c r="UI95" s="88"/>
      <c r="UJ95" s="88"/>
      <c r="UK95" s="88"/>
      <c r="UL95" s="88"/>
      <c r="UM95" s="88"/>
      <c r="UN95" s="88"/>
      <c r="UO95" s="88"/>
      <c r="UP95" s="88"/>
      <c r="UQ95" s="88"/>
      <c r="UR95" s="88"/>
      <c r="US95" s="88"/>
      <c r="UT95" s="88"/>
      <c r="UU95" s="88"/>
      <c r="UV95" s="88"/>
      <c r="UW95" s="88"/>
      <c r="UX95" s="88"/>
      <c r="UY95" s="88"/>
      <c r="UZ95" s="88"/>
      <c r="VA95" s="88"/>
      <c r="VB95" s="88"/>
      <c r="VC95" s="88"/>
      <c r="VD95" s="88"/>
      <c r="VE95" s="88"/>
      <c r="VF95" s="88"/>
      <c r="VG95" s="88"/>
      <c r="VH95" s="88"/>
      <c r="VI95" s="88"/>
      <c r="VJ95" s="88"/>
      <c r="VK95" s="88"/>
      <c r="VL95" s="88"/>
      <c r="VM95" s="88"/>
      <c r="VN95" s="88"/>
      <c r="VO95" s="88"/>
      <c r="VP95" s="88"/>
      <c r="VQ95" s="88"/>
      <c r="VR95" s="88"/>
      <c r="VS95" s="88"/>
      <c r="VT95" s="88"/>
      <c r="VU95" s="88"/>
      <c r="VV95" s="88"/>
      <c r="VW95" s="88"/>
      <c r="VX95" s="88"/>
      <c r="VY95" s="88"/>
      <c r="VZ95" s="88"/>
      <c r="WA95" s="88"/>
      <c r="WB95" s="88"/>
      <c r="WC95" s="88"/>
      <c r="WD95" s="88"/>
      <c r="WE95" s="88"/>
      <c r="WF95" s="88"/>
      <c r="WG95" s="88"/>
      <c r="WH95" s="88"/>
      <c r="WI95" s="88"/>
      <c r="WJ95" s="88"/>
      <c r="WK95" s="88"/>
      <c r="WL95" s="88"/>
      <c r="WM95" s="88"/>
      <c r="WN95" s="88"/>
      <c r="WO95" s="88"/>
      <c r="WP95" s="88"/>
      <c r="WQ95" s="88"/>
      <c r="WR95" s="88"/>
      <c r="WS95" s="88"/>
      <c r="WT95" s="88"/>
      <c r="WU95" s="88"/>
      <c r="WV95" s="88"/>
      <c r="WW95" s="88"/>
      <c r="WX95" s="88"/>
      <c r="WY95" s="88"/>
      <c r="WZ95" s="88"/>
      <c r="XA95" s="88"/>
      <c r="XB95" s="88"/>
      <c r="XC95" s="88"/>
      <c r="XD95" s="88"/>
      <c r="XE95" s="88"/>
      <c r="XF95" s="88"/>
      <c r="XG95" s="88"/>
      <c r="XH95" s="88"/>
      <c r="XI95" s="88"/>
      <c r="XJ95" s="88"/>
      <c r="XK95" s="88"/>
      <c r="XL95" s="88"/>
      <c r="XM95" s="88"/>
      <c r="XN95" s="88"/>
      <c r="XO95" s="88"/>
      <c r="XP95" s="88"/>
      <c r="XQ95" s="88"/>
      <c r="XR95" s="88"/>
      <c r="XS95" s="88"/>
      <c r="XT95" s="88"/>
      <c r="XU95" s="88"/>
      <c r="XV95" s="88"/>
      <c r="XW95" s="88"/>
      <c r="XX95" s="88"/>
      <c r="XY95" s="88"/>
      <c r="XZ95" s="88"/>
      <c r="YA95" s="88"/>
      <c r="YB95" s="88"/>
      <c r="YC95" s="88"/>
      <c r="YD95" s="88"/>
      <c r="YE95" s="88"/>
      <c r="YF95" s="88"/>
      <c r="YG95" s="88"/>
      <c r="YH95" s="88"/>
      <c r="YI95" s="88"/>
      <c r="YJ95" s="88"/>
      <c r="YK95" s="88"/>
      <c r="YL95" s="88"/>
      <c r="YM95" s="88"/>
      <c r="YN95" s="88"/>
      <c r="YO95" s="88"/>
      <c r="YP95" s="88"/>
      <c r="YQ95" s="88"/>
      <c r="YR95" s="88"/>
      <c r="YS95" s="88"/>
      <c r="YT95" s="88"/>
      <c r="YU95" s="88"/>
      <c r="YV95" s="88"/>
      <c r="YW95" s="88"/>
      <c r="YX95" s="88"/>
      <c r="YY95" s="88"/>
      <c r="YZ95" s="88"/>
      <c r="ZA95" s="88"/>
      <c r="ZB95" s="88"/>
      <c r="ZC95" s="88"/>
      <c r="ZD95" s="88"/>
      <c r="ZE95" s="88"/>
      <c r="ZF95" s="88"/>
      <c r="ZG95" s="88"/>
      <c r="ZH95" s="88"/>
      <c r="ZI95" s="88"/>
      <c r="ZJ95" s="88"/>
      <c r="ZK95" s="88"/>
      <c r="ZL95" s="88"/>
      <c r="ZM95" s="88"/>
      <c r="ZN95" s="88"/>
      <c r="ZO95" s="88"/>
      <c r="ZP95" s="88"/>
      <c r="ZQ95" s="88"/>
      <c r="ZR95" s="88"/>
      <c r="ZS95" s="88"/>
      <c r="ZT95" s="88"/>
      <c r="ZU95" s="88"/>
      <c r="ZV95" s="88"/>
      <c r="ZW95" s="88"/>
      <c r="ZX95" s="88"/>
      <c r="ZY95" s="88"/>
      <c r="ZZ95" s="88"/>
      <c r="AAA95" s="88"/>
      <c r="AAB95" s="88"/>
      <c r="AAC95" s="88"/>
      <c r="AAD95" s="88"/>
      <c r="AAE95" s="88"/>
      <c r="AAF95" s="88"/>
      <c r="AAG95" s="88"/>
      <c r="AAH95" s="88"/>
      <c r="AAI95" s="88"/>
      <c r="AAJ95" s="88"/>
      <c r="AAK95" s="88"/>
      <c r="AAL95" s="88"/>
      <c r="AAM95" s="88"/>
      <c r="AAN95" s="88"/>
      <c r="AAO95" s="88"/>
      <c r="AAP95" s="88"/>
      <c r="AAQ95" s="88"/>
      <c r="AAR95" s="88"/>
      <c r="AAS95" s="88"/>
      <c r="AAT95" s="88"/>
      <c r="AAU95" s="88"/>
      <c r="AAV95" s="88"/>
      <c r="AAW95" s="88"/>
      <c r="AAX95" s="88"/>
      <c r="AAY95" s="88"/>
      <c r="AAZ95" s="88"/>
      <c r="ABA95" s="88"/>
      <c r="ABB95" s="88"/>
      <c r="ABC95" s="88"/>
      <c r="ABD95" s="88"/>
      <c r="ABE95" s="88"/>
      <c r="ABF95" s="88"/>
      <c r="ABG95" s="88"/>
      <c r="ABH95" s="88"/>
      <c r="ABI95" s="88"/>
      <c r="ABJ95" s="88"/>
      <c r="ABK95" s="88"/>
      <c r="ABL95" s="88"/>
      <c r="ABM95" s="88"/>
      <c r="ABN95" s="88"/>
      <c r="ABO95" s="88"/>
      <c r="ABP95" s="88"/>
      <c r="ABQ95" s="88"/>
      <c r="ABR95" s="88"/>
      <c r="ABS95" s="88"/>
      <c r="ABT95" s="88"/>
      <c r="ABU95" s="88"/>
      <c r="ABV95" s="88"/>
      <c r="ABW95" s="88"/>
      <c r="ABX95" s="88"/>
      <c r="ABY95" s="88"/>
      <c r="ABZ95" s="88"/>
      <c r="ACA95" s="88"/>
      <c r="ACB95" s="88"/>
      <c r="ACC95" s="88"/>
      <c r="ACD95" s="88"/>
      <c r="ACE95" s="88"/>
      <c r="ACF95" s="88"/>
      <c r="ACG95" s="88"/>
      <c r="ACH95" s="88"/>
      <c r="ACI95" s="88"/>
      <c r="ACJ95" s="88"/>
      <c r="ACK95" s="88"/>
      <c r="ACL95" s="88"/>
      <c r="ACM95" s="88"/>
      <c r="ACN95" s="88"/>
      <c r="ACO95" s="88"/>
      <c r="ACP95" s="88"/>
      <c r="ACQ95" s="88"/>
      <c r="ACR95" s="88"/>
      <c r="ACS95" s="88"/>
      <c r="ACT95" s="88"/>
      <c r="ACU95" s="88"/>
      <c r="ACV95" s="88"/>
      <c r="ACW95" s="88"/>
      <c r="ACX95" s="88"/>
      <c r="ACY95" s="88"/>
      <c r="ACZ95" s="88"/>
      <c r="ADA95" s="88"/>
      <c r="ADB95" s="88"/>
      <c r="ADC95" s="88"/>
      <c r="ADD95" s="88"/>
      <c r="ADE95" s="88"/>
      <c r="ADF95" s="88"/>
      <c r="ADG95" s="88"/>
      <c r="ADH95" s="88"/>
      <c r="ADI95" s="88"/>
      <c r="ADJ95" s="88"/>
      <c r="ADK95" s="88"/>
      <c r="ADL95" s="88"/>
      <c r="ADM95" s="88"/>
      <c r="ADN95" s="88"/>
      <c r="ADO95" s="88"/>
      <c r="ADP95" s="88"/>
      <c r="ADQ95" s="88"/>
      <c r="ADR95" s="88"/>
      <c r="ADS95" s="88"/>
      <c r="ADT95" s="88"/>
      <c r="ADU95" s="88"/>
      <c r="ADV95" s="88"/>
      <c r="ADW95" s="88"/>
      <c r="ADX95" s="88"/>
      <c r="ADY95" s="88"/>
      <c r="ADZ95" s="88"/>
      <c r="AEA95" s="88"/>
      <c r="AEB95" s="88"/>
      <c r="AEC95" s="88"/>
      <c r="AED95" s="88"/>
      <c r="AEE95" s="88"/>
      <c r="AEF95" s="88"/>
      <c r="AEG95" s="88"/>
      <c r="AEH95" s="88"/>
      <c r="AEI95" s="88"/>
      <c r="AEJ95" s="88"/>
      <c r="AEK95" s="88"/>
      <c r="AEL95" s="88"/>
      <c r="AEM95" s="88"/>
      <c r="AEN95" s="88"/>
      <c r="AEO95" s="88"/>
      <c r="AEP95" s="88"/>
      <c r="AEQ95" s="88"/>
      <c r="AER95" s="88"/>
      <c r="AES95" s="88"/>
      <c r="AET95" s="88"/>
      <c r="AEU95" s="88"/>
      <c r="AEV95" s="88"/>
      <c r="AEW95" s="88"/>
      <c r="AEX95" s="88"/>
      <c r="AEY95" s="88"/>
      <c r="AEZ95" s="88"/>
      <c r="AFA95" s="88"/>
      <c r="AFB95" s="88"/>
      <c r="AFC95" s="88"/>
      <c r="AFD95" s="88"/>
      <c r="AFE95" s="88"/>
      <c r="AFF95" s="88"/>
      <c r="AFG95" s="88"/>
      <c r="AFH95" s="88"/>
      <c r="AFI95" s="88"/>
      <c r="AFJ95" s="88"/>
      <c r="AFK95" s="88"/>
      <c r="AFL95" s="88"/>
      <c r="AFM95" s="88"/>
      <c r="AFN95" s="88"/>
      <c r="AFO95" s="88"/>
      <c r="AFP95" s="88"/>
      <c r="AFQ95" s="88"/>
      <c r="AFR95" s="88"/>
      <c r="AFS95" s="88"/>
      <c r="AFT95" s="88"/>
      <c r="AFU95" s="88"/>
      <c r="AFV95" s="88"/>
      <c r="AFW95" s="88"/>
      <c r="AFX95" s="88"/>
      <c r="AFY95" s="88"/>
      <c r="AFZ95" s="88"/>
      <c r="AGA95" s="88"/>
      <c r="AGB95" s="88"/>
      <c r="AGC95" s="88"/>
      <c r="AGD95" s="88"/>
      <c r="AGE95" s="88"/>
      <c r="AGF95" s="88"/>
      <c r="AGG95" s="88"/>
      <c r="AGH95" s="88"/>
      <c r="AGI95" s="88"/>
      <c r="AGJ95" s="88"/>
      <c r="AGK95" s="88"/>
      <c r="AGL95" s="88"/>
      <c r="AGM95" s="88"/>
      <c r="AGN95" s="88"/>
      <c r="AGO95" s="88"/>
      <c r="AGP95" s="88"/>
      <c r="AGQ95" s="88"/>
      <c r="AGR95" s="88"/>
      <c r="AGS95" s="88"/>
      <c r="AGT95" s="88"/>
      <c r="AGU95" s="88"/>
      <c r="AGV95" s="88"/>
      <c r="AGW95" s="88"/>
      <c r="AGX95" s="88"/>
      <c r="AGY95" s="88"/>
      <c r="AGZ95" s="88"/>
      <c r="AHA95" s="88"/>
      <c r="AHB95" s="88"/>
      <c r="AHC95" s="88"/>
      <c r="AHD95" s="88"/>
      <c r="AHE95" s="88"/>
      <c r="AHF95" s="88"/>
      <c r="AHG95" s="88"/>
      <c r="AHH95" s="88"/>
      <c r="AHI95" s="88"/>
      <c r="AHJ95" s="88"/>
      <c r="AHK95" s="88"/>
      <c r="AHL95" s="88"/>
      <c r="AHM95" s="88"/>
      <c r="AHN95" s="88"/>
      <c r="AHO95" s="88"/>
      <c r="AHP95" s="88"/>
      <c r="AHQ95" s="88"/>
      <c r="AHR95" s="88"/>
      <c r="AHS95" s="88"/>
      <c r="AHT95" s="88"/>
      <c r="AHU95" s="88"/>
      <c r="AHV95" s="88"/>
      <c r="AHW95" s="88"/>
      <c r="AHX95" s="88"/>
      <c r="AHY95" s="88"/>
      <c r="AHZ95" s="88"/>
      <c r="AIA95" s="88"/>
      <c r="AIB95" s="88"/>
      <c r="AIC95" s="88"/>
      <c r="AID95" s="88"/>
      <c r="AIE95" s="88"/>
      <c r="AIF95" s="88"/>
      <c r="AIG95" s="88"/>
      <c r="AIH95" s="88"/>
      <c r="AII95" s="88"/>
      <c r="AIJ95" s="88"/>
      <c r="AIK95" s="88"/>
      <c r="AIL95" s="88"/>
      <c r="AIM95" s="88"/>
      <c r="AIN95" s="88"/>
      <c r="AIO95" s="88"/>
      <c r="AIP95" s="88"/>
      <c r="AIQ95" s="88"/>
      <c r="AIR95" s="88"/>
      <c r="AIS95" s="88"/>
      <c r="AIT95" s="88"/>
      <c r="AIU95" s="88"/>
      <c r="AIV95" s="88"/>
      <c r="AIW95" s="88"/>
      <c r="AIX95" s="88"/>
      <c r="AIY95" s="88"/>
      <c r="AIZ95" s="88"/>
      <c r="AJA95" s="88"/>
      <c r="AJB95" s="88"/>
      <c r="AJC95" s="88"/>
      <c r="AJD95" s="88"/>
      <c r="AJE95" s="88"/>
      <c r="AJF95" s="88"/>
      <c r="AJG95" s="88"/>
      <c r="AJH95" s="88"/>
      <c r="AJI95" s="88"/>
      <c r="AJJ95" s="88"/>
      <c r="AJK95" s="88"/>
      <c r="AJL95" s="88"/>
      <c r="AJM95" s="88"/>
      <c r="AJN95" s="88"/>
      <c r="AJO95" s="88"/>
      <c r="AJP95" s="88"/>
      <c r="AJQ95" s="88"/>
      <c r="AJR95" s="88"/>
      <c r="AJS95" s="88"/>
      <c r="AJT95" s="88"/>
      <c r="AJU95" s="88"/>
      <c r="AJV95" s="88"/>
      <c r="AJW95" s="88"/>
      <c r="AJX95" s="88"/>
      <c r="AJY95" s="88"/>
      <c r="AJZ95" s="88"/>
      <c r="AKA95" s="88"/>
      <c r="AKB95" s="88"/>
      <c r="AKC95" s="88"/>
      <c r="AKD95" s="88"/>
      <c r="AKE95" s="88"/>
      <c r="AKF95" s="88"/>
      <c r="AKG95" s="88"/>
      <c r="AKH95" s="88"/>
      <c r="AKI95" s="88"/>
      <c r="AKJ95" s="88"/>
      <c r="AKK95" s="88"/>
      <c r="AKL95" s="88"/>
      <c r="AKM95" s="88"/>
      <c r="AKN95" s="88"/>
      <c r="AKO95" s="88"/>
      <c r="AKP95" s="88"/>
      <c r="AKQ95" s="88"/>
      <c r="AKR95" s="88"/>
      <c r="AKS95" s="88"/>
      <c r="AKT95" s="88"/>
      <c r="AKU95" s="88"/>
      <c r="AKV95" s="88"/>
      <c r="AKW95" s="88"/>
      <c r="AKX95" s="88"/>
      <c r="AKY95" s="88"/>
      <c r="AKZ95" s="88"/>
      <c r="ALA95" s="88"/>
      <c r="ALB95" s="88"/>
      <c r="ALC95" s="88"/>
      <c r="ALD95" s="88"/>
      <c r="ALE95" s="88"/>
      <c r="ALF95" s="88"/>
      <c r="ALG95" s="88"/>
      <c r="ALH95" s="88"/>
      <c r="ALI95" s="88"/>
      <c r="ALJ95" s="88"/>
      <c r="ALK95" s="88"/>
      <c r="ALL95" s="88"/>
      <c r="ALM95" s="88"/>
      <c r="ALN95" s="88"/>
      <c r="ALO95" s="88"/>
      <c r="ALP95" s="88"/>
      <c r="ALQ95" s="88"/>
      <c r="ALR95" s="88"/>
      <c r="ALS95" s="88"/>
      <c r="ALT95" s="88"/>
      <c r="ALU95" s="88"/>
      <c r="ALV95" s="88"/>
      <c r="ALW95" s="88"/>
      <c r="ALX95" s="88"/>
      <c r="ALY95" s="88"/>
      <c r="ALZ95" s="88"/>
      <c r="AMA95" s="88"/>
      <c r="AMB95" s="88"/>
      <c r="AMC95" s="88"/>
      <c r="AMD95" s="88"/>
      <c r="AME95" s="88"/>
      <c r="AMF95" s="88"/>
      <c r="AMG95" s="88"/>
      <c r="AMH95" s="88"/>
      <c r="AMI95" s="88"/>
      <c r="AMJ95" s="88"/>
      <c r="AMK95" s="88"/>
      <c r="AML95" s="88"/>
      <c r="AMM95" s="88"/>
      <c r="AMN95" s="88"/>
      <c r="AMO95" s="88"/>
      <c r="AMP95" s="88"/>
      <c r="AMQ95" s="88"/>
      <c r="AMR95" s="88"/>
      <c r="AMS95" s="88"/>
      <c r="AMT95" s="88"/>
      <c r="AMU95" s="88"/>
      <c r="AMV95" s="88"/>
      <c r="AMW95" s="88"/>
      <c r="AMX95" s="88"/>
      <c r="AMY95" s="88"/>
      <c r="AMZ95" s="88"/>
      <c r="ANA95" s="88"/>
      <c r="ANB95" s="88"/>
      <c r="ANC95" s="88"/>
      <c r="AND95" s="88"/>
      <c r="ANE95" s="88"/>
      <c r="ANF95" s="88"/>
      <c r="ANG95" s="88"/>
      <c r="ANH95" s="88"/>
      <c r="ANI95" s="88"/>
      <c r="ANJ95" s="88"/>
      <c r="ANK95" s="88"/>
      <c r="ANL95" s="88"/>
      <c r="ANM95" s="88"/>
      <c r="ANN95" s="88"/>
      <c r="ANO95" s="88"/>
      <c r="ANP95" s="88"/>
      <c r="ANQ95" s="88"/>
      <c r="ANR95" s="88"/>
      <c r="ANS95" s="88"/>
      <c r="ANT95" s="88"/>
      <c r="ANU95" s="88"/>
      <c r="ANV95" s="88"/>
      <c r="ANW95" s="88"/>
      <c r="ANX95" s="88"/>
      <c r="ANY95" s="88"/>
      <c r="ANZ95" s="88"/>
      <c r="AOA95" s="88"/>
      <c r="AOB95" s="88"/>
      <c r="AOC95" s="88"/>
      <c r="AOD95" s="88"/>
      <c r="AOE95" s="88"/>
      <c r="AOF95" s="88"/>
      <c r="AOG95" s="88"/>
      <c r="AOH95" s="88"/>
      <c r="AOI95" s="88"/>
      <c r="AOJ95" s="88"/>
      <c r="AOK95" s="88"/>
      <c r="AOL95" s="88"/>
      <c r="AOM95" s="88"/>
      <c r="AON95" s="88"/>
      <c r="AOO95" s="88"/>
      <c r="AOP95" s="88"/>
      <c r="AOQ95" s="88"/>
      <c r="AOR95" s="88"/>
      <c r="AOS95" s="88"/>
      <c r="AOT95" s="88"/>
      <c r="AOU95" s="88"/>
      <c r="AOV95" s="88"/>
      <c r="AOW95" s="88"/>
      <c r="AOX95" s="88"/>
      <c r="AOY95" s="88"/>
      <c r="AOZ95" s="88"/>
      <c r="APA95" s="88"/>
      <c r="APB95" s="88"/>
      <c r="APC95" s="88"/>
      <c r="APD95" s="88"/>
      <c r="APE95" s="88"/>
      <c r="APF95" s="88"/>
      <c r="APG95" s="88"/>
      <c r="APH95" s="88"/>
      <c r="API95" s="88"/>
      <c r="APJ95" s="88"/>
      <c r="APK95" s="88"/>
      <c r="APL95" s="88"/>
      <c r="APM95" s="88"/>
      <c r="APN95" s="88"/>
      <c r="APO95" s="88"/>
      <c r="APP95" s="88"/>
      <c r="APQ95" s="88"/>
      <c r="APR95" s="88"/>
      <c r="APS95" s="88"/>
      <c r="APT95" s="88"/>
      <c r="APU95" s="88"/>
      <c r="APV95" s="88"/>
      <c r="APW95" s="88"/>
      <c r="APX95" s="88"/>
      <c r="APY95" s="88"/>
      <c r="APZ95" s="88"/>
      <c r="AQA95" s="88"/>
      <c r="AQB95" s="88"/>
      <c r="AQC95" s="88"/>
      <c r="AQD95" s="88"/>
      <c r="AQE95" s="88"/>
      <c r="AQF95" s="88"/>
      <c r="AQG95" s="88"/>
      <c r="AQH95" s="88"/>
      <c r="AQI95" s="88"/>
      <c r="AQJ95" s="88"/>
      <c r="AQK95" s="88"/>
      <c r="AQL95" s="88"/>
      <c r="AQM95" s="88"/>
      <c r="AQN95" s="88"/>
      <c r="AQO95" s="88"/>
      <c r="AQP95" s="88"/>
      <c r="AQQ95" s="88"/>
      <c r="AQR95" s="88"/>
      <c r="AQS95" s="88"/>
      <c r="AQT95" s="88"/>
      <c r="AQU95" s="88"/>
      <c r="AQV95" s="88"/>
      <c r="AQW95" s="88"/>
      <c r="AQX95" s="88"/>
      <c r="AQY95" s="88"/>
      <c r="AQZ95" s="88"/>
      <c r="ARA95" s="88"/>
      <c r="ARB95" s="88"/>
      <c r="ARC95" s="88"/>
      <c r="ARD95" s="88"/>
      <c r="ARE95" s="88"/>
      <c r="ARF95" s="88"/>
      <c r="ARG95" s="88"/>
      <c r="ARH95" s="88"/>
      <c r="ARI95" s="88"/>
      <c r="ARJ95" s="88"/>
      <c r="ARK95" s="88"/>
      <c r="ARL95" s="88"/>
      <c r="ARM95" s="88"/>
      <c r="ARN95" s="88"/>
      <c r="ARO95" s="88"/>
      <c r="ARP95" s="88"/>
      <c r="ARQ95" s="88"/>
      <c r="ARR95" s="88"/>
      <c r="ARS95" s="88"/>
      <c r="ART95" s="88"/>
      <c r="ARU95" s="88"/>
      <c r="ARV95" s="88"/>
      <c r="ARW95" s="88"/>
      <c r="ARX95" s="88"/>
      <c r="ARY95" s="88"/>
      <c r="ARZ95" s="88"/>
      <c r="ASA95" s="88"/>
      <c r="ASB95" s="88"/>
      <c r="ASC95" s="88"/>
      <c r="ASD95" s="88"/>
      <c r="ASE95" s="88"/>
      <c r="ASF95" s="88"/>
      <c r="ASG95" s="88"/>
      <c r="ASH95" s="88"/>
      <c r="ASI95" s="88"/>
      <c r="ASJ95" s="88"/>
      <c r="ASK95" s="88"/>
      <c r="ASL95" s="88"/>
      <c r="ASM95" s="88"/>
      <c r="ASN95" s="88"/>
      <c r="ASO95" s="88"/>
      <c r="ASP95" s="88"/>
      <c r="ASQ95" s="88"/>
      <c r="ASR95" s="88"/>
      <c r="ASS95" s="88"/>
      <c r="AST95" s="88"/>
      <c r="ASU95" s="88"/>
      <c r="ASV95" s="88"/>
      <c r="ASW95" s="88"/>
      <c r="ASX95" s="88"/>
      <c r="ASY95" s="88"/>
      <c r="ASZ95" s="88"/>
      <c r="ATA95" s="88"/>
      <c r="ATB95" s="88"/>
      <c r="ATC95" s="88"/>
      <c r="ATD95" s="88"/>
      <c r="ATE95" s="88"/>
      <c r="ATF95" s="88"/>
      <c r="ATG95" s="88"/>
      <c r="ATH95" s="88"/>
      <c r="ATI95" s="88"/>
      <c r="ATJ95" s="88"/>
      <c r="ATK95" s="88"/>
      <c r="ATL95" s="88"/>
      <c r="ATM95" s="88"/>
      <c r="ATN95" s="88"/>
      <c r="ATO95" s="88"/>
      <c r="ATP95" s="88"/>
      <c r="ATQ95" s="88"/>
      <c r="ATR95" s="88"/>
      <c r="ATS95" s="88"/>
      <c r="ATT95" s="88"/>
      <c r="ATU95" s="88"/>
      <c r="ATV95" s="88"/>
      <c r="ATW95" s="88"/>
      <c r="ATX95" s="88"/>
      <c r="ATY95" s="88"/>
      <c r="ATZ95" s="88"/>
      <c r="AUA95" s="88"/>
      <c r="AUB95" s="88"/>
      <c r="AUC95" s="88"/>
      <c r="AUD95" s="88"/>
      <c r="AUE95" s="88"/>
      <c r="AUF95" s="88"/>
      <c r="AUG95" s="88"/>
      <c r="AUH95" s="88"/>
      <c r="AUI95" s="88"/>
      <c r="AUJ95" s="88"/>
      <c r="AUK95" s="88"/>
      <c r="AUL95" s="88"/>
      <c r="AUM95" s="88"/>
      <c r="AUN95" s="88"/>
      <c r="AUO95" s="88"/>
      <c r="AUP95" s="88"/>
      <c r="AUQ95" s="88"/>
      <c r="AUR95" s="88"/>
      <c r="AUS95" s="88"/>
      <c r="AUT95" s="88"/>
      <c r="AUU95" s="88"/>
      <c r="AUV95" s="88"/>
      <c r="AUW95" s="88"/>
      <c r="AUX95" s="88"/>
      <c r="AUY95" s="88"/>
      <c r="AUZ95" s="88"/>
      <c r="AVA95" s="88"/>
      <c r="AVB95" s="88"/>
      <c r="AVC95" s="88"/>
      <c r="AVD95" s="88"/>
      <c r="AVE95" s="88"/>
      <c r="AVF95" s="88"/>
      <c r="AVG95" s="88"/>
      <c r="AVH95" s="88"/>
      <c r="AVI95" s="88"/>
      <c r="AVJ95" s="88"/>
      <c r="AVK95" s="88"/>
      <c r="AVL95" s="88"/>
      <c r="AVM95" s="88"/>
      <c r="AVN95" s="88"/>
      <c r="AVO95" s="88"/>
      <c r="AVP95" s="88"/>
      <c r="AVQ95" s="88"/>
      <c r="AVR95" s="88"/>
      <c r="AVS95" s="88"/>
      <c r="AVT95" s="88"/>
      <c r="AVU95" s="88"/>
      <c r="AVV95" s="88"/>
      <c r="AVW95" s="88"/>
      <c r="AVX95" s="88"/>
      <c r="AVY95" s="88"/>
      <c r="AVZ95" s="88"/>
      <c r="AWA95" s="88"/>
      <c r="AWB95" s="88"/>
      <c r="AWC95" s="88"/>
      <c r="AWD95" s="88"/>
      <c r="AWE95" s="88"/>
      <c r="AWF95" s="88"/>
      <c r="AWG95" s="88"/>
      <c r="AWH95" s="88"/>
      <c r="AWI95" s="88"/>
      <c r="AWJ95" s="88"/>
      <c r="AWK95" s="88"/>
      <c r="AWL95" s="88"/>
      <c r="AWM95" s="88"/>
      <c r="AWN95" s="88"/>
      <c r="AWO95" s="88"/>
      <c r="AWP95" s="88"/>
      <c r="AWQ95" s="88"/>
      <c r="AWR95" s="88"/>
      <c r="AWS95" s="88"/>
      <c r="AWT95" s="88"/>
      <c r="AWU95" s="88"/>
      <c r="AWV95" s="88"/>
      <c r="AWW95" s="88"/>
      <c r="AWX95" s="88"/>
      <c r="AWY95" s="88"/>
      <c r="AWZ95" s="88"/>
      <c r="AXA95" s="88"/>
      <c r="AXB95" s="88"/>
      <c r="AXC95" s="88"/>
      <c r="AXD95" s="88"/>
      <c r="AXE95" s="88"/>
      <c r="AXF95" s="88"/>
      <c r="AXG95" s="88"/>
      <c r="AXH95" s="88"/>
      <c r="AXI95" s="88"/>
      <c r="AXJ95" s="88"/>
      <c r="AXK95" s="88"/>
      <c r="AXL95" s="88"/>
      <c r="AXM95" s="88"/>
      <c r="AXN95" s="88"/>
      <c r="AXO95" s="88"/>
      <c r="AXP95" s="88"/>
      <c r="AXQ95" s="88"/>
      <c r="AXR95" s="88"/>
      <c r="AXS95" s="88"/>
      <c r="AXT95" s="88"/>
      <c r="AXU95" s="88"/>
      <c r="AXV95" s="88"/>
      <c r="AXW95" s="88"/>
      <c r="AXX95" s="88"/>
      <c r="AXY95" s="88"/>
      <c r="AXZ95" s="88"/>
      <c r="AYA95" s="88"/>
      <c r="AYB95" s="88"/>
      <c r="AYC95" s="88"/>
      <c r="AYD95" s="88"/>
      <c r="AYE95" s="88"/>
      <c r="AYF95" s="88"/>
      <c r="AYG95" s="88"/>
      <c r="AYH95" s="88"/>
      <c r="AYI95" s="88"/>
      <c r="AYJ95" s="88"/>
      <c r="AYK95" s="88"/>
      <c r="AYL95" s="88"/>
      <c r="AYM95" s="88"/>
      <c r="AYN95" s="88"/>
      <c r="AYO95" s="88"/>
      <c r="AYP95" s="88"/>
      <c r="AYQ95" s="88"/>
      <c r="AYR95" s="88"/>
      <c r="AYS95" s="88"/>
      <c r="AYT95" s="88"/>
      <c r="AYU95" s="88"/>
      <c r="AYV95" s="88"/>
      <c r="AYW95" s="88"/>
      <c r="AYX95" s="88"/>
      <c r="AYY95" s="88"/>
      <c r="AYZ95" s="88"/>
      <c r="AZA95" s="88"/>
      <c r="AZB95" s="88"/>
      <c r="AZC95" s="88"/>
      <c r="AZD95" s="88"/>
      <c r="AZE95" s="88"/>
      <c r="AZF95" s="88"/>
      <c r="AZG95" s="88"/>
      <c r="AZH95" s="88"/>
      <c r="AZI95" s="88"/>
      <c r="AZJ95" s="88"/>
      <c r="AZK95" s="88"/>
      <c r="AZL95" s="88"/>
      <c r="AZM95" s="88"/>
      <c r="AZN95" s="88"/>
      <c r="AZO95" s="88"/>
      <c r="AZP95" s="88"/>
      <c r="AZQ95" s="88"/>
      <c r="AZR95" s="88"/>
      <c r="AZS95" s="88"/>
      <c r="AZT95" s="88"/>
      <c r="AZU95" s="88"/>
      <c r="AZV95" s="88"/>
      <c r="AZW95" s="88"/>
      <c r="AZX95" s="88"/>
      <c r="AZY95" s="88"/>
      <c r="AZZ95" s="88"/>
      <c r="BAA95" s="88"/>
      <c r="BAB95" s="88"/>
      <c r="BAC95" s="88"/>
      <c r="BAD95" s="88"/>
      <c r="BAE95" s="88"/>
      <c r="BAF95" s="88"/>
      <c r="BAG95" s="88"/>
      <c r="BAH95" s="88"/>
      <c r="BAI95" s="88"/>
      <c r="BAJ95" s="88"/>
      <c r="BAK95" s="88"/>
      <c r="BAL95" s="88"/>
      <c r="BAM95" s="88"/>
      <c r="BAN95" s="88"/>
      <c r="BAO95" s="88"/>
      <c r="BAP95" s="88"/>
      <c r="BAQ95" s="88"/>
      <c r="BAR95" s="88"/>
      <c r="BAS95" s="88"/>
      <c r="BAT95" s="88"/>
      <c r="BAU95" s="88"/>
      <c r="BAV95" s="88"/>
      <c r="BAW95" s="88"/>
      <c r="BAX95" s="88"/>
      <c r="BAY95" s="88"/>
      <c r="BAZ95" s="88"/>
      <c r="BBA95" s="88"/>
      <c r="BBB95" s="88"/>
      <c r="BBC95" s="88"/>
      <c r="BBD95" s="88"/>
      <c r="BBE95" s="88"/>
      <c r="BBF95" s="88"/>
      <c r="BBG95" s="88"/>
      <c r="BBH95" s="88"/>
      <c r="BBI95" s="88"/>
      <c r="BBJ95" s="88"/>
      <c r="BBK95" s="88"/>
      <c r="BBL95" s="88"/>
      <c r="BBM95" s="88"/>
      <c r="BBN95" s="88"/>
      <c r="BBO95" s="88"/>
      <c r="BBP95" s="88"/>
      <c r="BBQ95" s="88"/>
      <c r="BBR95" s="88"/>
      <c r="BBS95" s="88"/>
      <c r="BBT95" s="88"/>
      <c r="BBU95" s="88"/>
      <c r="BBV95" s="88"/>
      <c r="BBW95" s="88"/>
      <c r="BBX95" s="88"/>
      <c r="BBY95" s="88"/>
      <c r="BBZ95" s="88"/>
      <c r="BCA95" s="88"/>
      <c r="BCB95" s="88"/>
      <c r="BCC95" s="88"/>
      <c r="BCD95" s="88"/>
      <c r="BCE95" s="88"/>
      <c r="BCF95" s="88"/>
      <c r="BCG95" s="88"/>
      <c r="BCH95" s="88"/>
      <c r="BCI95" s="88"/>
      <c r="BCJ95" s="88"/>
      <c r="BCK95" s="88"/>
      <c r="BCL95" s="88"/>
      <c r="BCM95" s="88"/>
      <c r="BCN95" s="88"/>
      <c r="BCO95" s="88"/>
      <c r="BCP95" s="88"/>
      <c r="BCQ95" s="88"/>
      <c r="BCR95" s="88"/>
      <c r="BCS95" s="88"/>
      <c r="BCT95" s="88"/>
      <c r="BCU95" s="88"/>
      <c r="BCV95" s="88"/>
      <c r="BCW95" s="88"/>
      <c r="BCX95" s="88"/>
      <c r="BCY95" s="88"/>
      <c r="BCZ95" s="88"/>
      <c r="BDA95" s="88"/>
      <c r="BDB95" s="88"/>
      <c r="BDC95" s="88"/>
      <c r="BDD95" s="88"/>
      <c r="BDE95" s="88"/>
      <c r="BDF95" s="88"/>
      <c r="BDG95" s="88"/>
      <c r="BDH95" s="88"/>
      <c r="BDI95" s="88"/>
      <c r="BDJ95" s="88"/>
      <c r="BDK95" s="88"/>
      <c r="BDL95" s="88"/>
      <c r="BDM95" s="88"/>
      <c r="BDN95" s="88"/>
      <c r="BDO95" s="88"/>
      <c r="BDP95" s="88"/>
      <c r="BDQ95" s="88"/>
      <c r="BDR95" s="88"/>
      <c r="BDS95" s="88"/>
      <c r="BDT95" s="88"/>
      <c r="BDU95" s="88"/>
      <c r="BDV95" s="88"/>
      <c r="BDW95" s="88"/>
      <c r="BDX95" s="88"/>
      <c r="BDY95" s="88"/>
      <c r="BDZ95" s="88"/>
      <c r="BEA95" s="88"/>
      <c r="BEB95" s="88"/>
      <c r="BEC95" s="88"/>
      <c r="BED95" s="88"/>
      <c r="BEE95" s="88"/>
      <c r="BEF95" s="88"/>
      <c r="BEG95" s="88"/>
      <c r="BEH95" s="88"/>
      <c r="BEI95" s="88"/>
      <c r="BEJ95" s="88"/>
      <c r="BEK95" s="88"/>
      <c r="BEL95" s="88"/>
      <c r="BEM95" s="88"/>
      <c r="BEN95" s="88"/>
      <c r="BEO95" s="88"/>
      <c r="BEP95" s="88"/>
      <c r="BEQ95" s="88"/>
      <c r="BER95" s="88"/>
      <c r="BES95" s="88"/>
      <c r="BET95" s="88"/>
      <c r="BEU95" s="88"/>
      <c r="BEV95" s="88"/>
      <c r="BEW95" s="88"/>
      <c r="BEX95" s="88"/>
      <c r="BEY95" s="88"/>
      <c r="BEZ95" s="88"/>
      <c r="BFA95" s="88"/>
      <c r="BFB95" s="88"/>
      <c r="BFC95" s="88"/>
      <c r="BFD95" s="88"/>
      <c r="BFE95" s="88"/>
      <c r="BFF95" s="88"/>
      <c r="BFG95" s="88"/>
      <c r="BFH95" s="88"/>
      <c r="BFI95" s="88"/>
      <c r="BFJ95" s="88"/>
      <c r="BFK95" s="88"/>
      <c r="BFL95" s="88"/>
      <c r="BFM95" s="88"/>
      <c r="BFN95" s="88"/>
      <c r="BFO95" s="88"/>
      <c r="BFP95" s="88"/>
      <c r="BFQ95" s="88"/>
      <c r="BFR95" s="88"/>
      <c r="BFS95" s="88"/>
      <c r="BFT95" s="88"/>
      <c r="BFU95" s="88"/>
      <c r="BFV95" s="88"/>
      <c r="BFW95" s="88"/>
      <c r="BFX95" s="88"/>
      <c r="BFY95" s="88"/>
      <c r="BFZ95" s="88"/>
      <c r="BGA95" s="88"/>
      <c r="BGB95" s="88"/>
      <c r="BGC95" s="88"/>
      <c r="BGD95" s="88"/>
      <c r="BGE95" s="88"/>
      <c r="BGF95" s="88"/>
      <c r="BGG95" s="88"/>
      <c r="BGH95" s="88"/>
      <c r="BGI95" s="88"/>
      <c r="BGJ95" s="88"/>
      <c r="BGK95" s="88"/>
      <c r="BGL95" s="88"/>
      <c r="BGM95" s="88"/>
      <c r="BGN95" s="88"/>
      <c r="BGO95" s="88"/>
      <c r="BGP95" s="88"/>
      <c r="BGQ95" s="88"/>
      <c r="BGR95" s="88"/>
      <c r="BGS95" s="88"/>
      <c r="BGT95" s="88"/>
      <c r="BGU95" s="88"/>
      <c r="BGV95" s="88"/>
      <c r="BGW95" s="88"/>
      <c r="BGX95" s="88"/>
      <c r="BGY95" s="88"/>
      <c r="BGZ95" s="88"/>
      <c r="BHA95" s="88"/>
      <c r="BHB95" s="88"/>
      <c r="BHC95" s="88"/>
      <c r="BHD95" s="88"/>
      <c r="BHE95" s="88"/>
      <c r="BHF95" s="88"/>
      <c r="BHG95" s="88"/>
      <c r="BHH95" s="88"/>
      <c r="BHI95" s="88"/>
      <c r="BHJ95" s="88"/>
      <c r="BHK95" s="88"/>
      <c r="BHL95" s="88"/>
      <c r="BHM95" s="88"/>
      <c r="BHN95" s="88"/>
      <c r="BHO95" s="88"/>
      <c r="BHP95" s="88"/>
      <c r="BHQ95" s="88"/>
      <c r="BHR95" s="88"/>
      <c r="BHS95" s="88"/>
      <c r="BHT95" s="88"/>
      <c r="BHU95" s="88"/>
      <c r="BHV95" s="88"/>
      <c r="BHW95" s="88"/>
      <c r="BHX95" s="88"/>
      <c r="BHY95" s="88"/>
      <c r="BHZ95" s="88"/>
      <c r="BIA95" s="88"/>
      <c r="BIB95" s="88"/>
      <c r="BIC95" s="88"/>
      <c r="BID95" s="88"/>
      <c r="BIE95" s="88"/>
      <c r="BIF95" s="88"/>
      <c r="BIG95" s="88"/>
      <c r="BIH95" s="88"/>
      <c r="BII95" s="88"/>
      <c r="BIJ95" s="88"/>
      <c r="BIK95" s="88"/>
      <c r="BIL95" s="88"/>
      <c r="BIM95" s="88"/>
      <c r="BIN95" s="88"/>
      <c r="BIO95" s="88"/>
      <c r="BIP95" s="88"/>
      <c r="BIQ95" s="88"/>
      <c r="BIR95" s="88"/>
      <c r="BIS95" s="88"/>
      <c r="BIT95" s="88"/>
      <c r="BIU95" s="88"/>
      <c r="BIV95" s="88"/>
      <c r="BIW95" s="88"/>
      <c r="BIX95" s="88"/>
      <c r="BIY95" s="88"/>
      <c r="BIZ95" s="88"/>
      <c r="BJA95" s="88"/>
      <c r="BJB95" s="88"/>
      <c r="BJC95" s="88"/>
      <c r="BJD95" s="88"/>
      <c r="BJE95" s="88"/>
      <c r="BJF95" s="88"/>
      <c r="BJG95" s="88"/>
      <c r="BJH95" s="88"/>
      <c r="BJI95" s="88"/>
      <c r="BJJ95" s="88"/>
      <c r="BJK95" s="88"/>
      <c r="BJL95" s="88"/>
      <c r="BJM95" s="88"/>
      <c r="BJN95" s="88"/>
      <c r="BJO95" s="88"/>
      <c r="BJP95" s="88"/>
      <c r="BJQ95" s="88"/>
      <c r="BJR95" s="88"/>
      <c r="BJS95" s="88"/>
      <c r="BJT95" s="88"/>
      <c r="BJU95" s="88"/>
      <c r="BJV95" s="88"/>
      <c r="BJW95" s="88"/>
      <c r="BJX95" s="88"/>
      <c r="BJY95" s="88"/>
      <c r="BJZ95" s="88"/>
      <c r="BKA95" s="88"/>
      <c r="BKB95" s="88"/>
      <c r="BKC95" s="88"/>
      <c r="BKD95" s="88"/>
      <c r="BKE95" s="88"/>
      <c r="BKF95" s="88"/>
      <c r="BKG95" s="88"/>
      <c r="BKH95" s="88"/>
      <c r="BKI95" s="88"/>
      <c r="BKJ95" s="88"/>
      <c r="BKK95" s="88"/>
      <c r="BKL95" s="88"/>
      <c r="BKM95" s="88"/>
      <c r="BKN95" s="88"/>
      <c r="BKO95" s="88"/>
      <c r="BKP95" s="88"/>
      <c r="BKQ95" s="88"/>
      <c r="BKR95" s="88"/>
      <c r="BKS95" s="88"/>
      <c r="BKT95" s="88"/>
      <c r="BKU95" s="88"/>
      <c r="BKV95" s="88"/>
      <c r="BKW95" s="88"/>
      <c r="BKX95" s="88"/>
      <c r="BKY95" s="88"/>
      <c r="BKZ95" s="88"/>
      <c r="BLA95" s="88"/>
      <c r="BLB95" s="88"/>
      <c r="BLC95" s="88"/>
      <c r="BLD95" s="88"/>
      <c r="BLE95" s="88"/>
      <c r="BLF95" s="88"/>
      <c r="BLG95" s="88"/>
      <c r="BLH95" s="88"/>
      <c r="BLI95" s="88"/>
      <c r="BLJ95" s="88"/>
      <c r="BLK95" s="88"/>
      <c r="BLL95" s="88"/>
      <c r="BLM95" s="88"/>
      <c r="BLN95" s="88"/>
      <c r="BLO95" s="88"/>
      <c r="BLP95" s="88"/>
      <c r="BLQ95" s="88"/>
      <c r="BLR95" s="88"/>
      <c r="BLS95" s="88"/>
      <c r="BLT95" s="88"/>
      <c r="BLU95" s="88"/>
      <c r="BLV95" s="88"/>
      <c r="BLW95" s="88"/>
      <c r="BLX95" s="88"/>
      <c r="BLY95" s="88"/>
      <c r="BLZ95" s="88"/>
      <c r="BMA95" s="88"/>
      <c r="BMB95" s="88"/>
      <c r="BMC95" s="88"/>
      <c r="BMD95" s="88"/>
      <c r="BME95" s="88"/>
      <c r="BMF95" s="88"/>
      <c r="BMG95" s="88"/>
      <c r="BMH95" s="88"/>
      <c r="BMI95" s="88"/>
      <c r="BMJ95" s="88"/>
      <c r="BMK95" s="88"/>
      <c r="BML95" s="88"/>
      <c r="BMM95" s="88"/>
      <c r="BMN95" s="88"/>
      <c r="BMO95" s="88"/>
      <c r="BMP95" s="88"/>
      <c r="BMQ95" s="88"/>
      <c r="BMR95" s="88"/>
      <c r="BMS95" s="88"/>
      <c r="BMT95" s="88"/>
      <c r="BMU95" s="88"/>
      <c r="BMV95" s="88"/>
      <c r="BMW95" s="88"/>
      <c r="BMX95" s="88"/>
      <c r="BMY95" s="88"/>
      <c r="BMZ95" s="88"/>
      <c r="BNA95" s="88"/>
      <c r="BNB95" s="88"/>
      <c r="BNC95" s="88"/>
      <c r="BND95" s="88"/>
      <c r="BNE95" s="88"/>
      <c r="BNF95" s="88"/>
      <c r="BNG95" s="88"/>
      <c r="BNH95" s="88"/>
      <c r="BNI95" s="88"/>
      <c r="BNJ95" s="88"/>
      <c r="BNK95" s="88"/>
      <c r="BNL95" s="88"/>
      <c r="BNM95" s="88"/>
      <c r="BNN95" s="88"/>
      <c r="BNO95" s="88"/>
      <c r="BNP95" s="88"/>
      <c r="BNQ95" s="88"/>
      <c r="BNR95" s="88"/>
      <c r="BNS95" s="88"/>
      <c r="BNT95" s="88"/>
      <c r="BNU95" s="88"/>
      <c r="BNV95" s="88"/>
      <c r="BNW95" s="88"/>
      <c r="BNX95" s="88"/>
      <c r="BNY95" s="88"/>
      <c r="BNZ95" s="88"/>
      <c r="BOA95" s="88"/>
      <c r="BOB95" s="88"/>
      <c r="BOC95" s="88"/>
      <c r="BOD95" s="88"/>
      <c r="BOE95" s="88"/>
      <c r="BOF95" s="88"/>
      <c r="BOG95" s="88"/>
      <c r="BOH95" s="88"/>
      <c r="BOI95" s="88"/>
      <c r="BOJ95" s="88"/>
      <c r="BOK95" s="88"/>
      <c r="BOL95" s="88"/>
      <c r="BOM95" s="88"/>
      <c r="BON95" s="88"/>
      <c r="BOO95" s="88"/>
      <c r="BOP95" s="88"/>
      <c r="BOQ95" s="88"/>
      <c r="BOR95" s="88"/>
      <c r="BOS95" s="88"/>
      <c r="BOT95" s="88"/>
      <c r="BOU95" s="88"/>
      <c r="BOV95" s="88"/>
      <c r="BOW95" s="88"/>
      <c r="BOX95" s="88"/>
      <c r="BOY95" s="88"/>
      <c r="BOZ95" s="88"/>
      <c r="BPA95" s="88"/>
      <c r="BPB95" s="88"/>
      <c r="BPC95" s="88"/>
      <c r="BPD95" s="88"/>
      <c r="BPE95" s="88"/>
      <c r="BPF95" s="88"/>
      <c r="BPG95" s="88"/>
      <c r="BPH95" s="88"/>
      <c r="BPI95" s="88"/>
      <c r="BPJ95" s="88"/>
      <c r="BPK95" s="88"/>
      <c r="BPL95" s="88"/>
      <c r="BPM95" s="88"/>
      <c r="BPN95" s="88"/>
      <c r="BPO95" s="88"/>
      <c r="BPP95" s="88"/>
      <c r="BPQ95" s="88"/>
      <c r="BPR95" s="88"/>
      <c r="BPS95" s="88"/>
      <c r="BPT95" s="88"/>
      <c r="BPU95" s="88"/>
      <c r="BPV95" s="88"/>
      <c r="BPW95" s="88"/>
      <c r="BPX95" s="88"/>
      <c r="BPY95" s="88"/>
      <c r="BPZ95" s="88"/>
      <c r="BQA95" s="88"/>
      <c r="BQB95" s="88"/>
      <c r="BQC95" s="88"/>
      <c r="BQD95" s="88"/>
      <c r="BQE95" s="88"/>
      <c r="BQF95" s="88"/>
      <c r="BQG95" s="88"/>
      <c r="BQH95" s="88"/>
      <c r="BQI95" s="88"/>
      <c r="BQJ95" s="88"/>
      <c r="BQK95" s="88"/>
      <c r="BQL95" s="88"/>
      <c r="BQM95" s="88"/>
      <c r="BQN95" s="88"/>
      <c r="BQO95" s="88"/>
      <c r="BQP95" s="88"/>
      <c r="BQQ95" s="88"/>
      <c r="BQR95" s="88"/>
      <c r="BQS95" s="88"/>
      <c r="BQT95" s="88"/>
      <c r="BQU95" s="88"/>
      <c r="BQV95" s="88"/>
      <c r="BQW95" s="88"/>
      <c r="BQX95" s="88"/>
      <c r="BQY95" s="88"/>
      <c r="BQZ95" s="88"/>
      <c r="BRA95" s="88"/>
      <c r="BRB95" s="88"/>
      <c r="BRC95" s="88"/>
      <c r="BRD95" s="88"/>
      <c r="BRE95" s="88"/>
      <c r="BRF95" s="88"/>
      <c r="BRG95" s="88"/>
      <c r="BRH95" s="88"/>
      <c r="BRI95" s="88"/>
      <c r="BRJ95" s="88"/>
      <c r="BRK95" s="88"/>
      <c r="BRL95" s="88"/>
      <c r="BRM95" s="88"/>
      <c r="BRN95" s="88"/>
      <c r="BRO95" s="88"/>
      <c r="BRP95" s="88"/>
      <c r="BRQ95" s="88"/>
      <c r="BRR95" s="88"/>
      <c r="BRS95" s="88"/>
      <c r="BRT95" s="88"/>
      <c r="BRU95" s="88"/>
      <c r="BRV95" s="88"/>
      <c r="BRW95" s="88"/>
      <c r="BRX95" s="88"/>
      <c r="BRY95" s="88"/>
      <c r="BRZ95" s="88"/>
      <c r="BSA95" s="88"/>
      <c r="BSB95" s="88"/>
      <c r="BSC95" s="88"/>
      <c r="BSD95" s="88"/>
      <c r="BSE95" s="88"/>
      <c r="BSF95" s="88"/>
      <c r="BSG95" s="88"/>
      <c r="BSH95" s="88"/>
      <c r="BSI95" s="88"/>
      <c r="BSJ95" s="88"/>
      <c r="BSK95" s="88"/>
      <c r="BSL95" s="88"/>
      <c r="BSM95" s="88"/>
      <c r="BSN95" s="88"/>
      <c r="BSO95" s="88"/>
      <c r="BSP95" s="88"/>
      <c r="BSQ95" s="88"/>
      <c r="BSR95" s="88"/>
      <c r="BSS95" s="88"/>
      <c r="BST95" s="88"/>
      <c r="BSU95" s="88"/>
      <c r="BSV95" s="88"/>
      <c r="BSW95" s="88"/>
      <c r="BSX95" s="88"/>
      <c r="BSY95" s="88"/>
      <c r="BSZ95" s="88"/>
      <c r="BTA95" s="88"/>
      <c r="BTB95" s="88"/>
      <c r="BTC95" s="88"/>
      <c r="BTD95" s="88"/>
      <c r="BTE95" s="88"/>
      <c r="BTF95" s="88"/>
      <c r="BTG95" s="88"/>
      <c r="BTH95" s="88"/>
      <c r="BTI95" s="88"/>
      <c r="BTJ95" s="88"/>
      <c r="BTK95" s="88"/>
      <c r="BTL95" s="88"/>
      <c r="BTM95" s="88"/>
      <c r="BTN95" s="88"/>
      <c r="BTO95" s="88"/>
      <c r="BTP95" s="88"/>
      <c r="BTQ95" s="88"/>
      <c r="BTR95" s="88"/>
      <c r="BTS95" s="88"/>
      <c r="BTT95" s="88"/>
      <c r="BTU95" s="88"/>
      <c r="BTV95" s="88"/>
      <c r="BTW95" s="88"/>
      <c r="BTX95" s="88"/>
      <c r="BTY95" s="88"/>
      <c r="BTZ95" s="88"/>
      <c r="BUA95" s="88"/>
      <c r="BUB95" s="88"/>
      <c r="BUC95" s="88"/>
      <c r="BUD95" s="88"/>
      <c r="BUE95" s="88"/>
      <c r="BUF95" s="88"/>
      <c r="BUG95" s="88"/>
      <c r="BUH95" s="88"/>
      <c r="BUI95" s="88"/>
      <c r="BUJ95" s="88"/>
      <c r="BUK95" s="88"/>
      <c r="BUL95" s="88"/>
      <c r="BUM95" s="88"/>
      <c r="BUN95" s="88"/>
      <c r="BUO95" s="88"/>
      <c r="BUP95" s="88"/>
      <c r="BUQ95" s="88"/>
      <c r="BUR95" s="88"/>
      <c r="BUS95" s="88"/>
      <c r="BUT95" s="88"/>
      <c r="BUU95" s="88"/>
      <c r="BUV95" s="88"/>
      <c r="BUW95" s="88"/>
      <c r="BUX95" s="88"/>
      <c r="BUY95" s="88"/>
      <c r="BUZ95" s="88"/>
      <c r="BVA95" s="88"/>
      <c r="BVB95" s="88"/>
      <c r="BVC95" s="88"/>
      <c r="BVD95" s="88"/>
      <c r="BVE95" s="88"/>
      <c r="BVF95" s="88"/>
      <c r="BVG95" s="88"/>
      <c r="BVH95" s="88"/>
      <c r="BVI95" s="88"/>
      <c r="BVJ95" s="88"/>
      <c r="BVK95" s="88"/>
      <c r="BVL95" s="88"/>
      <c r="BVM95" s="88"/>
      <c r="BVN95" s="88"/>
      <c r="BVO95" s="88"/>
      <c r="BVP95" s="88"/>
      <c r="BVQ95" s="88"/>
      <c r="BVR95" s="88"/>
      <c r="BVS95" s="88"/>
      <c r="BVT95" s="88"/>
      <c r="BVU95" s="88"/>
      <c r="BVV95" s="88"/>
      <c r="BVW95" s="88"/>
      <c r="BVX95" s="88"/>
      <c r="BVY95" s="88"/>
      <c r="BVZ95" s="88"/>
      <c r="BWA95" s="88"/>
      <c r="BWB95" s="88"/>
      <c r="BWC95" s="88"/>
      <c r="BWD95" s="88"/>
      <c r="BWE95" s="88"/>
      <c r="BWF95" s="88"/>
      <c r="BWG95" s="88"/>
      <c r="BWH95" s="88"/>
      <c r="BWI95" s="88"/>
      <c r="BWJ95" s="88"/>
      <c r="BWK95" s="88"/>
      <c r="BWL95" s="88"/>
      <c r="BWM95" s="88"/>
      <c r="BWN95" s="88"/>
      <c r="BWO95" s="88"/>
      <c r="BWP95" s="88"/>
      <c r="BWQ95" s="88"/>
      <c r="BWR95" s="88"/>
      <c r="BWS95" s="88"/>
      <c r="BWT95" s="88"/>
      <c r="BWU95" s="88"/>
      <c r="BWV95" s="88"/>
      <c r="BWW95" s="88"/>
      <c r="BWX95" s="88"/>
      <c r="BWY95" s="88"/>
      <c r="BWZ95" s="88"/>
      <c r="BXA95" s="88"/>
      <c r="BXB95" s="88"/>
      <c r="BXC95" s="88"/>
      <c r="BXD95" s="88"/>
      <c r="BXE95" s="88"/>
      <c r="BXF95" s="88"/>
      <c r="BXG95" s="88"/>
      <c r="BXH95" s="88"/>
      <c r="BXI95" s="88"/>
      <c r="BXJ95" s="88"/>
      <c r="BXK95" s="88"/>
      <c r="BXL95" s="88"/>
      <c r="BXM95" s="88"/>
      <c r="BXN95" s="88"/>
      <c r="BXO95" s="88"/>
      <c r="BXP95" s="88"/>
      <c r="BXQ95" s="88"/>
      <c r="BXR95" s="88"/>
      <c r="BXS95" s="88"/>
      <c r="BXT95" s="88"/>
      <c r="BXU95" s="88"/>
      <c r="BXV95" s="88"/>
      <c r="BXW95" s="88"/>
      <c r="BXX95" s="88"/>
      <c r="BXY95" s="88"/>
      <c r="BXZ95" s="88"/>
      <c r="BYA95" s="88"/>
      <c r="BYB95" s="88"/>
      <c r="BYC95" s="88"/>
      <c r="BYD95" s="88"/>
      <c r="BYE95" s="88"/>
      <c r="BYF95" s="88"/>
      <c r="BYG95" s="88"/>
      <c r="BYH95" s="88"/>
      <c r="BYI95" s="88"/>
      <c r="BYJ95" s="88"/>
      <c r="BYK95" s="88"/>
      <c r="BYL95" s="88"/>
      <c r="BYM95" s="88"/>
      <c r="BYN95" s="88"/>
      <c r="BYO95" s="88"/>
      <c r="BYP95" s="88"/>
      <c r="BYQ95" s="88"/>
      <c r="BYR95" s="88"/>
      <c r="BYS95" s="88"/>
      <c r="BYT95" s="88"/>
      <c r="BYU95" s="88"/>
      <c r="BYV95" s="88"/>
      <c r="BYW95" s="88"/>
      <c r="BYX95" s="88"/>
      <c r="BYY95" s="88"/>
      <c r="BYZ95" s="88"/>
      <c r="BZA95" s="88"/>
      <c r="BZB95" s="88"/>
      <c r="BZC95" s="88"/>
      <c r="BZD95" s="88"/>
      <c r="BZE95" s="88"/>
      <c r="BZF95" s="88"/>
      <c r="BZG95" s="88"/>
      <c r="BZH95" s="88"/>
      <c r="BZI95" s="88"/>
      <c r="BZJ95" s="88"/>
      <c r="BZK95" s="88"/>
      <c r="BZL95" s="88"/>
      <c r="BZM95" s="88"/>
      <c r="BZN95" s="88"/>
      <c r="BZO95" s="88"/>
      <c r="BZP95" s="88"/>
      <c r="BZQ95" s="88"/>
      <c r="BZR95" s="88"/>
      <c r="BZS95" s="88"/>
      <c r="BZT95" s="88"/>
      <c r="BZU95" s="88"/>
      <c r="BZV95" s="88"/>
      <c r="BZW95" s="88"/>
      <c r="BZX95" s="88"/>
      <c r="BZY95" s="88"/>
      <c r="BZZ95" s="88"/>
      <c r="CAA95" s="88"/>
      <c r="CAB95" s="88"/>
      <c r="CAC95" s="88"/>
      <c r="CAD95" s="88"/>
      <c r="CAE95" s="88"/>
      <c r="CAF95" s="88"/>
      <c r="CAG95" s="88"/>
      <c r="CAH95" s="88"/>
      <c r="CAI95" s="88"/>
      <c r="CAJ95" s="88"/>
      <c r="CAK95" s="88"/>
      <c r="CAL95" s="88"/>
      <c r="CAM95" s="88"/>
      <c r="CAN95" s="88"/>
      <c r="CAO95" s="88"/>
      <c r="CAP95" s="88"/>
      <c r="CAQ95" s="88"/>
      <c r="CAR95" s="88"/>
      <c r="CAS95" s="88"/>
      <c r="CAT95" s="88"/>
      <c r="CAU95" s="88"/>
      <c r="CAV95" s="88"/>
      <c r="CAW95" s="88"/>
      <c r="CAX95" s="88"/>
      <c r="CAY95" s="88"/>
      <c r="CAZ95" s="88"/>
      <c r="CBA95" s="88"/>
      <c r="CBB95" s="88"/>
      <c r="CBC95" s="88"/>
      <c r="CBD95" s="88"/>
      <c r="CBE95" s="88"/>
      <c r="CBF95" s="88"/>
      <c r="CBG95" s="88"/>
      <c r="CBH95" s="88"/>
      <c r="CBI95" s="88"/>
      <c r="CBJ95" s="88"/>
      <c r="CBK95" s="88"/>
      <c r="CBL95" s="88"/>
      <c r="CBM95" s="88"/>
      <c r="CBN95" s="88"/>
      <c r="CBO95" s="88"/>
      <c r="CBP95" s="88"/>
      <c r="CBQ95" s="88"/>
      <c r="CBR95" s="88"/>
      <c r="CBS95" s="88"/>
      <c r="CBT95" s="88"/>
      <c r="CBU95" s="88"/>
      <c r="CBV95" s="88"/>
      <c r="CBW95" s="88"/>
      <c r="CBX95" s="88"/>
      <c r="CBY95" s="88"/>
      <c r="CBZ95" s="88"/>
      <c r="CCA95" s="88"/>
      <c r="CCB95" s="88"/>
      <c r="CCC95" s="88"/>
      <c r="CCD95" s="88"/>
      <c r="CCE95" s="88"/>
      <c r="CCF95" s="88"/>
      <c r="CCG95" s="88"/>
      <c r="CCH95" s="88"/>
      <c r="CCI95" s="88"/>
      <c r="CCJ95" s="88"/>
      <c r="CCK95" s="88"/>
      <c r="CCL95" s="88"/>
      <c r="CCM95" s="88"/>
      <c r="CCN95" s="88"/>
      <c r="CCO95" s="88"/>
      <c r="CCP95" s="88"/>
      <c r="CCQ95" s="88"/>
      <c r="CCR95" s="88"/>
      <c r="CCS95" s="88"/>
      <c r="CCT95" s="88"/>
      <c r="CCU95" s="88"/>
      <c r="CCV95" s="88"/>
      <c r="CCW95" s="88"/>
      <c r="CCX95" s="88"/>
      <c r="CCY95" s="88"/>
      <c r="CCZ95" s="88"/>
      <c r="CDA95" s="88"/>
      <c r="CDB95" s="88"/>
      <c r="CDC95" s="88"/>
      <c r="CDD95" s="88"/>
      <c r="CDE95" s="88"/>
      <c r="CDF95" s="88"/>
      <c r="CDG95" s="88"/>
      <c r="CDH95" s="88"/>
      <c r="CDI95" s="88"/>
      <c r="CDJ95" s="88"/>
      <c r="CDK95" s="88"/>
      <c r="CDL95" s="88"/>
      <c r="CDM95" s="88"/>
      <c r="CDN95" s="88"/>
      <c r="CDO95" s="88"/>
      <c r="CDP95" s="88"/>
      <c r="CDQ95" s="88"/>
      <c r="CDR95" s="88"/>
      <c r="CDS95" s="88"/>
      <c r="CDT95" s="88"/>
      <c r="CDU95" s="88"/>
      <c r="CDV95" s="88"/>
      <c r="CDW95" s="88"/>
      <c r="CDX95" s="88"/>
      <c r="CDY95" s="88"/>
      <c r="CDZ95" s="88"/>
      <c r="CEA95" s="88"/>
      <c r="CEB95" s="88"/>
      <c r="CEC95" s="88"/>
      <c r="CED95" s="88"/>
      <c r="CEE95" s="88"/>
      <c r="CEF95" s="88"/>
      <c r="CEG95" s="88"/>
      <c r="CEH95" s="88"/>
      <c r="CEI95" s="88"/>
      <c r="CEJ95" s="88"/>
      <c r="CEK95" s="88"/>
    </row>
    <row r="96" spans="1:2169" s="51" customFormat="1">
      <c r="A96" s="792" t="s">
        <v>15786</v>
      </c>
      <c r="B96" s="793" t="s">
        <v>15787</v>
      </c>
      <c r="C96" s="69" t="str">
        <f>IF('page 2'!$O$4="","",IF('page 2'!$O$4=Gestion!A96,1,0))</f>
        <v/>
      </c>
      <c r="D96" s="69" t="str">
        <f>IF('page 2'!$O$5="","",IF('page 2'!$O$5=Gestion!A96,1,0))</f>
        <v/>
      </c>
      <c r="E96" s="69" t="str">
        <f>IF('page 2'!$O$6="","",IF('page 2'!$O$6=Gestion!A96,1,0))</f>
        <v/>
      </c>
      <c r="F96" s="69" t="str">
        <f>IF('page 2'!$O$7="","",IF('page 2'!$O$7=Gestion!A96,1,0))</f>
        <v/>
      </c>
      <c r="G96" s="69" t="str">
        <f>IF('page 2'!$O$8="","",IF('page 2'!$O$8=Gestion!A96,1,0))</f>
        <v/>
      </c>
      <c r="H96" s="69" t="str">
        <f>IF('page 2'!$O$9="","",IF('page 2'!$O$9=Gestion!A96,1,0))</f>
        <v/>
      </c>
      <c r="I96" s="69" t="str">
        <f>IF('page 2'!$O$10="","",IF('page 2'!$O$10=Gestion!A96,1,0))</f>
        <v/>
      </c>
      <c r="J96" s="69" t="str">
        <f>IF('page 2'!$O$11="","",IF('page 2'!$O$11=Gestion!A96,1,0))</f>
        <v/>
      </c>
      <c r="K96" s="69" t="str">
        <f>IF('page 2'!$O$12="","",IF('page 2'!$O$12=Gestion!A96,1,0))</f>
        <v/>
      </c>
      <c r="L96" s="69" t="str">
        <f>IF('page 2'!$O$13="","",IF('page 2'!$O$13=Gestion!A96,1,0))</f>
        <v/>
      </c>
      <c r="M96" s="69" t="str">
        <f>IF('page 2'!$O$14="","",IF('page 2'!$O$14=Gestion!A96,1,0))</f>
        <v/>
      </c>
      <c r="N96" s="69" t="str">
        <f>IF('page 2'!$O$15="","",IF('page 2'!$O$15=Gestion!A96,1,0))</f>
        <v/>
      </c>
      <c r="O96" s="69" t="str">
        <f>IF('page 2'!$O$16="","",IF('page 2'!$O$16=Gestion!A96,1,0))</f>
        <v/>
      </c>
      <c r="P96" s="69" t="str">
        <f>IF('page 2'!$O$17="","",IF('page 2'!$O$17=Gestion!A96,1,0))</f>
        <v/>
      </c>
      <c r="Q96" s="69" t="str">
        <f>IF('page 2'!$O$18="","",IF('page 2'!$O$18=Gestion!A96,1,0))</f>
        <v/>
      </c>
      <c r="R96" s="69" t="str">
        <f>IF('page 2'!$O$19="","",IF('page 2'!$O$19=Gestion!A96,1,0))</f>
        <v/>
      </c>
      <c r="S96" s="69" t="str">
        <f>IF('page 2'!$O$20="","",IF('page 2'!$O$20=Gestion!A96,1,0))</f>
        <v/>
      </c>
      <c r="T96" s="69" t="str">
        <f>IF('page 2'!$O$25="","",IF('page 2'!$O$25=Gestion!A96,1,0))</f>
        <v/>
      </c>
      <c r="U96" s="69" t="str">
        <f>IF('page 2'!$O$26="","",IF('page 2'!$O$26=Gestion!A96,1,0))</f>
        <v/>
      </c>
      <c r="V96" s="69" t="str">
        <f>IF('page 2'!$O$27="","",IF('page 2'!$O$27=Gestion!A96,1,0))</f>
        <v/>
      </c>
      <c r="W96" s="723">
        <f t="shared" ref="W96" si="16">SUM(C96:V96)</f>
        <v>0</v>
      </c>
      <c r="X96" s="713"/>
      <c r="Y96" s="69"/>
      <c r="Z96" s="69"/>
      <c r="AA96" s="69"/>
      <c r="AB96" s="542"/>
      <c r="AC96" s="542"/>
      <c r="AD96" s="542"/>
      <c r="AE96" s="88"/>
      <c r="AP96" s="469"/>
      <c r="AQ96" s="469"/>
      <c r="AR96" s="469"/>
      <c r="AS96" s="576"/>
      <c r="AT96" s="576"/>
      <c r="AU96" s="576"/>
      <c r="AV96" s="576"/>
      <c r="AW96" s="602"/>
      <c r="AX96" s="602"/>
      <c r="AY96" s="576"/>
      <c r="AZ96" s="576"/>
      <c r="BA96" s="576"/>
      <c r="BB96" s="576"/>
      <c r="BC96" s="576"/>
      <c r="BD96" s="602"/>
      <c r="BE96" s="602"/>
      <c r="BF96" s="602"/>
      <c r="BG96" s="602"/>
      <c r="BH96" s="602"/>
      <c r="BI96" s="602"/>
      <c r="BJ96" s="602"/>
      <c r="BK96" s="602"/>
      <c r="BL96" s="602"/>
      <c r="BM96" s="602"/>
      <c r="BN96" s="602"/>
      <c r="BO96" s="602"/>
      <c r="BP96" s="602"/>
      <c r="BQ96" s="602"/>
      <c r="BR96" s="602"/>
      <c r="BS96" s="576"/>
      <c r="BT96" s="576"/>
      <c r="BU96" s="576"/>
      <c r="BV96" s="576"/>
      <c r="BW96" s="602"/>
      <c r="BX96" s="602"/>
      <c r="BY96" s="602"/>
      <c r="BZ96" s="576"/>
      <c r="CA96" s="602"/>
      <c r="CB96" s="602"/>
      <c r="CC96" s="576"/>
      <c r="CD96" s="576"/>
      <c r="CE96" s="602"/>
      <c r="CF96" s="576"/>
      <c r="CG96" s="576"/>
      <c r="CH96" s="576"/>
      <c r="CI96" s="576"/>
      <c r="CJ96" s="576"/>
      <c r="CK96" s="602"/>
      <c r="CL96" s="602"/>
      <c r="CM96" s="576"/>
      <c r="CN96" s="602"/>
      <c r="CO96" s="602"/>
      <c r="CP96" s="602"/>
      <c r="CQ96" s="576"/>
      <c r="CR96" s="576"/>
      <c r="CS96" s="602"/>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c r="HF96" s="88"/>
      <c r="HG96" s="88"/>
      <c r="HH96" s="88"/>
      <c r="HI96" s="88"/>
      <c r="HJ96" s="88"/>
      <c r="HK96" s="88"/>
      <c r="HL96" s="88"/>
      <c r="HM96" s="88"/>
      <c r="HN96" s="88"/>
      <c r="HO96" s="88"/>
      <c r="HP96" s="88"/>
      <c r="HQ96" s="88"/>
      <c r="HR96" s="88"/>
      <c r="HS96" s="88"/>
      <c r="HT96" s="88"/>
      <c r="HU96" s="88"/>
      <c r="HV96" s="88"/>
      <c r="HW96" s="88"/>
      <c r="HX96" s="88"/>
      <c r="HY96" s="88"/>
      <c r="HZ96" s="88"/>
      <c r="IA96" s="88"/>
      <c r="IB96" s="88"/>
      <c r="IC96" s="88"/>
      <c r="ID96" s="88"/>
      <c r="IE96" s="88"/>
      <c r="IF96" s="88"/>
      <c r="IG96" s="88"/>
      <c r="IH96" s="88"/>
      <c r="II96" s="88"/>
      <c r="IJ96" s="88"/>
      <c r="IK96" s="88"/>
      <c r="IL96" s="88"/>
      <c r="IM96" s="88"/>
      <c r="IN96" s="88"/>
      <c r="IO96" s="88"/>
      <c r="IP96" s="88"/>
      <c r="IQ96" s="88"/>
      <c r="IR96" s="88"/>
      <c r="IS96" s="88"/>
      <c r="IT96" s="88"/>
      <c r="IU96" s="88"/>
      <c r="IV96" s="88"/>
      <c r="IW96" s="88"/>
      <c r="IX96" s="88"/>
      <c r="IY96" s="88"/>
      <c r="IZ96" s="88"/>
      <c r="JA96" s="88"/>
      <c r="JB96" s="88"/>
      <c r="JC96" s="88"/>
      <c r="JD96" s="88"/>
      <c r="JE96" s="88"/>
      <c r="JF96" s="88"/>
      <c r="JG96" s="88"/>
      <c r="JH96" s="88"/>
      <c r="JI96" s="88"/>
      <c r="JJ96" s="88"/>
      <c r="JK96" s="88"/>
      <c r="JL96" s="88"/>
      <c r="JM96" s="88"/>
      <c r="JN96" s="88"/>
      <c r="JO96" s="88"/>
      <c r="JP96" s="88"/>
      <c r="JQ96" s="88"/>
      <c r="JR96" s="88"/>
      <c r="JS96" s="88"/>
      <c r="JT96" s="88"/>
      <c r="JU96" s="88"/>
      <c r="JV96" s="88"/>
      <c r="JW96" s="88"/>
      <c r="JX96" s="88"/>
      <c r="JY96" s="88"/>
      <c r="JZ96" s="88"/>
      <c r="KA96" s="88"/>
      <c r="KB96" s="88"/>
      <c r="KC96" s="88"/>
      <c r="KD96" s="88"/>
      <c r="KE96" s="88"/>
      <c r="KF96" s="88"/>
      <c r="KG96" s="88"/>
      <c r="KH96" s="88"/>
      <c r="KI96" s="88"/>
      <c r="KJ96" s="88"/>
      <c r="KK96" s="88"/>
      <c r="KL96" s="88"/>
      <c r="KM96" s="88"/>
      <c r="KN96" s="88"/>
      <c r="KO96" s="88"/>
      <c r="KP96" s="88"/>
      <c r="KQ96" s="88"/>
      <c r="KR96" s="88"/>
      <c r="KS96" s="88"/>
      <c r="KT96" s="88"/>
      <c r="KU96" s="88"/>
      <c r="KV96" s="88"/>
      <c r="KW96" s="88"/>
      <c r="KX96" s="88"/>
      <c r="KY96" s="88"/>
      <c r="KZ96" s="88"/>
      <c r="LA96" s="88"/>
      <c r="LB96" s="88"/>
      <c r="LC96" s="88"/>
      <c r="LD96" s="88"/>
      <c r="LE96" s="88"/>
      <c r="LF96" s="88"/>
      <c r="LG96" s="88"/>
      <c r="LH96" s="88"/>
      <c r="LI96" s="88"/>
      <c r="LJ96" s="88"/>
      <c r="LK96" s="88"/>
      <c r="LL96" s="88"/>
      <c r="LM96" s="88"/>
      <c r="LN96" s="88"/>
      <c r="LO96" s="88"/>
      <c r="LP96" s="88"/>
      <c r="LQ96" s="88"/>
      <c r="LR96" s="88"/>
      <c r="LS96" s="88"/>
      <c r="LT96" s="88"/>
      <c r="LU96" s="88"/>
      <c r="LV96" s="88"/>
      <c r="LW96" s="88"/>
      <c r="LX96" s="88"/>
      <c r="LY96" s="88"/>
      <c r="LZ96" s="88"/>
      <c r="MA96" s="88"/>
      <c r="MB96" s="88"/>
      <c r="MC96" s="88"/>
      <c r="MD96" s="88"/>
      <c r="ME96" s="88"/>
      <c r="MF96" s="88"/>
      <c r="MG96" s="88"/>
      <c r="MH96" s="88"/>
      <c r="MI96" s="88"/>
      <c r="MJ96" s="88"/>
      <c r="MK96" s="88"/>
      <c r="ML96" s="88"/>
      <c r="MM96" s="88"/>
      <c r="MN96" s="88"/>
      <c r="MO96" s="88"/>
      <c r="MP96" s="88"/>
      <c r="MQ96" s="88"/>
      <c r="MR96" s="88"/>
      <c r="MS96" s="88"/>
      <c r="MT96" s="88"/>
      <c r="MU96" s="88"/>
      <c r="MV96" s="88"/>
      <c r="MW96" s="88"/>
      <c r="MX96" s="88"/>
      <c r="MY96" s="88"/>
      <c r="MZ96" s="88"/>
      <c r="NA96" s="88"/>
      <c r="NB96" s="88"/>
      <c r="NC96" s="88"/>
      <c r="ND96" s="88"/>
      <c r="NE96" s="88"/>
      <c r="NF96" s="88"/>
      <c r="NG96" s="88"/>
      <c r="NH96" s="88"/>
      <c r="NI96" s="88"/>
      <c r="NJ96" s="88"/>
      <c r="NK96" s="88"/>
      <c r="NL96" s="88"/>
      <c r="NM96" s="88"/>
      <c r="NN96" s="88"/>
      <c r="NO96" s="88"/>
      <c r="NP96" s="88"/>
      <c r="NQ96" s="88"/>
      <c r="NR96" s="88"/>
      <c r="NS96" s="88"/>
      <c r="NT96" s="88"/>
      <c r="NU96" s="88"/>
      <c r="NV96" s="88"/>
      <c r="NW96" s="88"/>
      <c r="NX96" s="88"/>
      <c r="NY96" s="88"/>
      <c r="NZ96" s="88"/>
      <c r="OA96" s="88"/>
      <c r="OB96" s="88"/>
      <c r="OC96" s="88"/>
      <c r="OD96" s="88"/>
      <c r="OE96" s="88"/>
      <c r="OF96" s="88"/>
      <c r="OG96" s="88"/>
      <c r="OH96" s="88"/>
      <c r="OI96" s="88"/>
      <c r="OJ96" s="88"/>
      <c r="OK96" s="88"/>
      <c r="OL96" s="88"/>
      <c r="OM96" s="88"/>
      <c r="ON96" s="88"/>
      <c r="OO96" s="88"/>
      <c r="OP96" s="88"/>
      <c r="OQ96" s="88"/>
      <c r="OR96" s="88"/>
      <c r="OS96" s="88"/>
      <c r="OT96" s="88"/>
      <c r="OU96" s="88"/>
      <c r="OV96" s="88"/>
      <c r="OW96" s="88"/>
      <c r="OX96" s="88"/>
      <c r="OY96" s="88"/>
      <c r="OZ96" s="88"/>
      <c r="PA96" s="88"/>
      <c r="PB96" s="88"/>
      <c r="PC96" s="88"/>
      <c r="PD96" s="88"/>
      <c r="PE96" s="88"/>
      <c r="PF96" s="88"/>
      <c r="PG96" s="88"/>
      <c r="PH96" s="88"/>
      <c r="PI96" s="88"/>
      <c r="PJ96" s="88"/>
      <c r="PK96" s="88"/>
      <c r="PL96" s="88"/>
      <c r="PM96" s="88"/>
      <c r="PN96" s="88"/>
      <c r="PO96" s="88"/>
      <c r="PP96" s="88"/>
      <c r="PQ96" s="88"/>
      <c r="PR96" s="88"/>
      <c r="PS96" s="88"/>
      <c r="PT96" s="88"/>
      <c r="PU96" s="88"/>
      <c r="PV96" s="88"/>
      <c r="PW96" s="88"/>
      <c r="PX96" s="88"/>
      <c r="PY96" s="88"/>
      <c r="PZ96" s="88"/>
      <c r="QA96" s="88"/>
      <c r="QB96" s="88"/>
      <c r="QC96" s="88"/>
      <c r="QD96" s="88"/>
      <c r="QE96" s="88"/>
      <c r="QF96" s="88"/>
      <c r="QG96" s="88"/>
      <c r="QH96" s="88"/>
      <c r="QI96" s="88"/>
      <c r="QJ96" s="88"/>
      <c r="QK96" s="88"/>
      <c r="QL96" s="88"/>
      <c r="QM96" s="88"/>
      <c r="QN96" s="88"/>
      <c r="QO96" s="88"/>
      <c r="QP96" s="88"/>
      <c r="QQ96" s="88"/>
      <c r="QR96" s="88"/>
      <c r="QS96" s="88"/>
      <c r="QT96" s="88"/>
      <c r="QU96" s="88"/>
      <c r="QV96" s="88"/>
      <c r="QW96" s="88"/>
      <c r="QX96" s="88"/>
      <c r="QY96" s="88"/>
      <c r="QZ96" s="88"/>
      <c r="RA96" s="88"/>
      <c r="RB96" s="88"/>
      <c r="RC96" s="88"/>
      <c r="RD96" s="88"/>
      <c r="RE96" s="88"/>
      <c r="RF96" s="88"/>
      <c r="RG96" s="88"/>
      <c r="RH96" s="88"/>
      <c r="RI96" s="88"/>
      <c r="RJ96" s="88"/>
      <c r="RK96" s="88"/>
      <c r="RL96" s="88"/>
      <c r="RM96" s="88"/>
      <c r="RN96" s="88"/>
      <c r="RO96" s="88"/>
      <c r="RP96" s="88"/>
      <c r="RQ96" s="88"/>
      <c r="RR96" s="88"/>
      <c r="RS96" s="88"/>
      <c r="RT96" s="88"/>
      <c r="RU96" s="88"/>
      <c r="RV96" s="88"/>
      <c r="RW96" s="88"/>
      <c r="RX96" s="88"/>
      <c r="RY96" s="88"/>
      <c r="RZ96" s="88"/>
      <c r="SA96" s="88"/>
      <c r="SB96" s="88"/>
      <c r="SC96" s="88"/>
      <c r="SD96" s="88"/>
      <c r="SE96" s="88"/>
      <c r="SF96" s="88"/>
      <c r="SG96" s="88"/>
      <c r="SH96" s="88"/>
      <c r="SI96" s="88"/>
      <c r="SJ96" s="88"/>
      <c r="SK96" s="88"/>
      <c r="SL96" s="88"/>
      <c r="SM96" s="88"/>
      <c r="SN96" s="88"/>
      <c r="SO96" s="88"/>
      <c r="SP96" s="88"/>
      <c r="SQ96" s="88"/>
      <c r="SR96" s="88"/>
      <c r="SS96" s="88"/>
      <c r="ST96" s="88"/>
      <c r="SU96" s="88"/>
      <c r="SV96" s="88"/>
      <c r="SW96" s="88"/>
      <c r="SX96" s="88"/>
      <c r="SY96" s="88"/>
      <c r="SZ96" s="88"/>
      <c r="TA96" s="88"/>
      <c r="TB96" s="88"/>
      <c r="TC96" s="88"/>
      <c r="TD96" s="88"/>
      <c r="TE96" s="88"/>
      <c r="TF96" s="88"/>
      <c r="TG96" s="88"/>
      <c r="TH96" s="88"/>
      <c r="TI96" s="88"/>
      <c r="TJ96" s="88"/>
      <c r="TK96" s="88"/>
      <c r="TL96" s="88"/>
      <c r="TM96" s="88"/>
      <c r="TN96" s="88"/>
      <c r="TO96" s="88"/>
      <c r="TP96" s="88"/>
      <c r="TQ96" s="88"/>
      <c r="TR96" s="88"/>
      <c r="TS96" s="88"/>
      <c r="TT96" s="88"/>
      <c r="TU96" s="88"/>
      <c r="TV96" s="88"/>
      <c r="TW96" s="88"/>
      <c r="TX96" s="88"/>
      <c r="TY96" s="88"/>
      <c r="TZ96" s="88"/>
      <c r="UA96" s="88"/>
      <c r="UB96" s="88"/>
      <c r="UC96" s="88"/>
      <c r="UD96" s="88"/>
      <c r="UE96" s="88"/>
      <c r="UF96" s="88"/>
      <c r="UG96" s="88"/>
      <c r="UH96" s="88"/>
      <c r="UI96" s="88"/>
      <c r="UJ96" s="88"/>
      <c r="UK96" s="88"/>
      <c r="UL96" s="88"/>
      <c r="UM96" s="88"/>
      <c r="UN96" s="88"/>
      <c r="UO96" s="88"/>
      <c r="UP96" s="88"/>
      <c r="UQ96" s="88"/>
      <c r="UR96" s="88"/>
      <c r="US96" s="88"/>
      <c r="UT96" s="88"/>
      <c r="UU96" s="88"/>
      <c r="UV96" s="88"/>
      <c r="UW96" s="88"/>
      <c r="UX96" s="88"/>
      <c r="UY96" s="88"/>
      <c r="UZ96" s="88"/>
      <c r="VA96" s="88"/>
      <c r="VB96" s="88"/>
      <c r="VC96" s="88"/>
      <c r="VD96" s="88"/>
      <c r="VE96" s="88"/>
      <c r="VF96" s="88"/>
      <c r="VG96" s="88"/>
      <c r="VH96" s="88"/>
      <c r="VI96" s="88"/>
      <c r="VJ96" s="88"/>
      <c r="VK96" s="88"/>
      <c r="VL96" s="88"/>
      <c r="VM96" s="88"/>
      <c r="VN96" s="88"/>
      <c r="VO96" s="88"/>
      <c r="VP96" s="88"/>
      <c r="VQ96" s="88"/>
      <c r="VR96" s="88"/>
      <c r="VS96" s="88"/>
      <c r="VT96" s="88"/>
      <c r="VU96" s="88"/>
      <c r="VV96" s="88"/>
      <c r="VW96" s="88"/>
      <c r="VX96" s="88"/>
      <c r="VY96" s="88"/>
      <c r="VZ96" s="88"/>
      <c r="WA96" s="88"/>
      <c r="WB96" s="88"/>
      <c r="WC96" s="88"/>
      <c r="WD96" s="88"/>
      <c r="WE96" s="88"/>
      <c r="WF96" s="88"/>
      <c r="WG96" s="88"/>
      <c r="WH96" s="88"/>
      <c r="WI96" s="88"/>
      <c r="WJ96" s="88"/>
      <c r="WK96" s="88"/>
      <c r="WL96" s="88"/>
      <c r="WM96" s="88"/>
      <c r="WN96" s="88"/>
      <c r="WO96" s="88"/>
      <c r="WP96" s="88"/>
      <c r="WQ96" s="88"/>
      <c r="WR96" s="88"/>
      <c r="WS96" s="88"/>
      <c r="WT96" s="88"/>
      <c r="WU96" s="88"/>
      <c r="WV96" s="88"/>
      <c r="WW96" s="88"/>
      <c r="WX96" s="88"/>
      <c r="WY96" s="88"/>
      <c r="WZ96" s="88"/>
      <c r="XA96" s="88"/>
      <c r="XB96" s="88"/>
      <c r="XC96" s="88"/>
      <c r="XD96" s="88"/>
      <c r="XE96" s="88"/>
      <c r="XF96" s="88"/>
      <c r="XG96" s="88"/>
      <c r="XH96" s="88"/>
      <c r="XI96" s="88"/>
      <c r="XJ96" s="88"/>
      <c r="XK96" s="88"/>
      <c r="XL96" s="88"/>
      <c r="XM96" s="88"/>
      <c r="XN96" s="88"/>
      <c r="XO96" s="88"/>
      <c r="XP96" s="88"/>
      <c r="XQ96" s="88"/>
      <c r="XR96" s="88"/>
      <c r="XS96" s="88"/>
      <c r="XT96" s="88"/>
      <c r="XU96" s="88"/>
      <c r="XV96" s="88"/>
      <c r="XW96" s="88"/>
      <c r="XX96" s="88"/>
      <c r="XY96" s="88"/>
      <c r="XZ96" s="88"/>
      <c r="YA96" s="88"/>
      <c r="YB96" s="88"/>
      <c r="YC96" s="88"/>
      <c r="YD96" s="88"/>
      <c r="YE96" s="88"/>
      <c r="YF96" s="88"/>
      <c r="YG96" s="88"/>
      <c r="YH96" s="88"/>
      <c r="YI96" s="88"/>
      <c r="YJ96" s="88"/>
      <c r="YK96" s="88"/>
      <c r="YL96" s="88"/>
      <c r="YM96" s="88"/>
      <c r="YN96" s="88"/>
      <c r="YO96" s="88"/>
      <c r="YP96" s="88"/>
      <c r="YQ96" s="88"/>
      <c r="YR96" s="88"/>
      <c r="YS96" s="88"/>
      <c r="YT96" s="88"/>
      <c r="YU96" s="88"/>
      <c r="YV96" s="88"/>
      <c r="YW96" s="88"/>
      <c r="YX96" s="88"/>
      <c r="YY96" s="88"/>
      <c r="YZ96" s="88"/>
      <c r="ZA96" s="88"/>
      <c r="ZB96" s="88"/>
      <c r="ZC96" s="88"/>
      <c r="ZD96" s="88"/>
      <c r="ZE96" s="88"/>
      <c r="ZF96" s="88"/>
      <c r="ZG96" s="88"/>
      <c r="ZH96" s="88"/>
      <c r="ZI96" s="88"/>
      <c r="ZJ96" s="88"/>
      <c r="ZK96" s="88"/>
      <c r="ZL96" s="88"/>
      <c r="ZM96" s="88"/>
      <c r="ZN96" s="88"/>
      <c r="ZO96" s="88"/>
      <c r="ZP96" s="88"/>
      <c r="ZQ96" s="88"/>
      <c r="ZR96" s="88"/>
      <c r="ZS96" s="88"/>
      <c r="ZT96" s="88"/>
      <c r="ZU96" s="88"/>
      <c r="ZV96" s="88"/>
      <c r="ZW96" s="88"/>
      <c r="ZX96" s="88"/>
      <c r="ZY96" s="88"/>
      <c r="ZZ96" s="88"/>
      <c r="AAA96" s="88"/>
      <c r="AAB96" s="88"/>
      <c r="AAC96" s="88"/>
      <c r="AAD96" s="88"/>
      <c r="AAE96" s="88"/>
      <c r="AAF96" s="88"/>
      <c r="AAG96" s="88"/>
      <c r="AAH96" s="88"/>
      <c r="AAI96" s="88"/>
      <c r="AAJ96" s="88"/>
      <c r="AAK96" s="88"/>
      <c r="AAL96" s="88"/>
      <c r="AAM96" s="88"/>
      <c r="AAN96" s="88"/>
      <c r="AAO96" s="88"/>
      <c r="AAP96" s="88"/>
      <c r="AAQ96" s="88"/>
      <c r="AAR96" s="88"/>
      <c r="AAS96" s="88"/>
      <c r="AAT96" s="88"/>
      <c r="AAU96" s="88"/>
      <c r="AAV96" s="88"/>
      <c r="AAW96" s="88"/>
      <c r="AAX96" s="88"/>
      <c r="AAY96" s="88"/>
      <c r="AAZ96" s="88"/>
      <c r="ABA96" s="88"/>
      <c r="ABB96" s="88"/>
      <c r="ABC96" s="88"/>
      <c r="ABD96" s="88"/>
      <c r="ABE96" s="88"/>
      <c r="ABF96" s="88"/>
      <c r="ABG96" s="88"/>
      <c r="ABH96" s="88"/>
      <c r="ABI96" s="88"/>
      <c r="ABJ96" s="88"/>
      <c r="ABK96" s="88"/>
      <c r="ABL96" s="88"/>
      <c r="ABM96" s="88"/>
      <c r="ABN96" s="88"/>
      <c r="ABO96" s="88"/>
      <c r="ABP96" s="88"/>
      <c r="ABQ96" s="88"/>
      <c r="ABR96" s="88"/>
      <c r="ABS96" s="88"/>
      <c r="ABT96" s="88"/>
      <c r="ABU96" s="88"/>
      <c r="ABV96" s="88"/>
      <c r="ABW96" s="88"/>
      <c r="ABX96" s="88"/>
      <c r="ABY96" s="88"/>
      <c r="ABZ96" s="88"/>
      <c r="ACA96" s="88"/>
      <c r="ACB96" s="88"/>
      <c r="ACC96" s="88"/>
      <c r="ACD96" s="88"/>
      <c r="ACE96" s="88"/>
      <c r="ACF96" s="88"/>
      <c r="ACG96" s="88"/>
      <c r="ACH96" s="88"/>
      <c r="ACI96" s="88"/>
      <c r="ACJ96" s="88"/>
      <c r="ACK96" s="88"/>
      <c r="ACL96" s="88"/>
      <c r="ACM96" s="88"/>
      <c r="ACN96" s="88"/>
      <c r="ACO96" s="88"/>
      <c r="ACP96" s="88"/>
      <c r="ACQ96" s="88"/>
      <c r="ACR96" s="88"/>
      <c r="ACS96" s="88"/>
      <c r="ACT96" s="88"/>
      <c r="ACU96" s="88"/>
      <c r="ACV96" s="88"/>
      <c r="ACW96" s="88"/>
      <c r="ACX96" s="88"/>
      <c r="ACY96" s="88"/>
      <c r="ACZ96" s="88"/>
      <c r="ADA96" s="88"/>
      <c r="ADB96" s="88"/>
      <c r="ADC96" s="88"/>
      <c r="ADD96" s="88"/>
      <c r="ADE96" s="88"/>
      <c r="ADF96" s="88"/>
      <c r="ADG96" s="88"/>
      <c r="ADH96" s="88"/>
      <c r="ADI96" s="88"/>
      <c r="ADJ96" s="88"/>
      <c r="ADK96" s="88"/>
      <c r="ADL96" s="88"/>
      <c r="ADM96" s="88"/>
      <c r="ADN96" s="88"/>
      <c r="ADO96" s="88"/>
      <c r="ADP96" s="88"/>
      <c r="ADQ96" s="88"/>
      <c r="ADR96" s="88"/>
      <c r="ADS96" s="88"/>
      <c r="ADT96" s="88"/>
      <c r="ADU96" s="88"/>
      <c r="ADV96" s="88"/>
      <c r="ADW96" s="88"/>
      <c r="ADX96" s="88"/>
      <c r="ADY96" s="88"/>
      <c r="ADZ96" s="88"/>
      <c r="AEA96" s="88"/>
      <c r="AEB96" s="88"/>
      <c r="AEC96" s="88"/>
      <c r="AED96" s="88"/>
      <c r="AEE96" s="88"/>
      <c r="AEF96" s="88"/>
      <c r="AEG96" s="88"/>
      <c r="AEH96" s="88"/>
      <c r="AEI96" s="88"/>
      <c r="AEJ96" s="88"/>
      <c r="AEK96" s="88"/>
      <c r="AEL96" s="88"/>
      <c r="AEM96" s="88"/>
      <c r="AEN96" s="88"/>
      <c r="AEO96" s="88"/>
      <c r="AEP96" s="88"/>
      <c r="AEQ96" s="88"/>
      <c r="AER96" s="88"/>
      <c r="AES96" s="88"/>
      <c r="AET96" s="88"/>
      <c r="AEU96" s="88"/>
      <c r="AEV96" s="88"/>
      <c r="AEW96" s="88"/>
      <c r="AEX96" s="88"/>
      <c r="AEY96" s="88"/>
      <c r="AEZ96" s="88"/>
      <c r="AFA96" s="88"/>
      <c r="AFB96" s="88"/>
      <c r="AFC96" s="88"/>
      <c r="AFD96" s="88"/>
      <c r="AFE96" s="88"/>
      <c r="AFF96" s="88"/>
      <c r="AFG96" s="88"/>
      <c r="AFH96" s="88"/>
      <c r="AFI96" s="88"/>
      <c r="AFJ96" s="88"/>
      <c r="AFK96" s="88"/>
      <c r="AFL96" s="88"/>
      <c r="AFM96" s="88"/>
      <c r="AFN96" s="88"/>
      <c r="AFO96" s="88"/>
      <c r="AFP96" s="88"/>
      <c r="AFQ96" s="88"/>
      <c r="AFR96" s="88"/>
      <c r="AFS96" s="88"/>
      <c r="AFT96" s="88"/>
      <c r="AFU96" s="88"/>
      <c r="AFV96" s="88"/>
      <c r="AFW96" s="88"/>
      <c r="AFX96" s="88"/>
      <c r="AFY96" s="88"/>
      <c r="AFZ96" s="88"/>
      <c r="AGA96" s="88"/>
      <c r="AGB96" s="88"/>
      <c r="AGC96" s="88"/>
      <c r="AGD96" s="88"/>
      <c r="AGE96" s="88"/>
      <c r="AGF96" s="88"/>
      <c r="AGG96" s="88"/>
      <c r="AGH96" s="88"/>
      <c r="AGI96" s="88"/>
      <c r="AGJ96" s="88"/>
      <c r="AGK96" s="88"/>
      <c r="AGL96" s="88"/>
      <c r="AGM96" s="88"/>
      <c r="AGN96" s="88"/>
      <c r="AGO96" s="88"/>
      <c r="AGP96" s="88"/>
      <c r="AGQ96" s="88"/>
      <c r="AGR96" s="88"/>
      <c r="AGS96" s="88"/>
      <c r="AGT96" s="88"/>
      <c r="AGU96" s="88"/>
      <c r="AGV96" s="88"/>
      <c r="AGW96" s="88"/>
      <c r="AGX96" s="88"/>
      <c r="AGY96" s="88"/>
      <c r="AGZ96" s="88"/>
      <c r="AHA96" s="88"/>
      <c r="AHB96" s="88"/>
      <c r="AHC96" s="88"/>
      <c r="AHD96" s="88"/>
      <c r="AHE96" s="88"/>
      <c r="AHF96" s="88"/>
      <c r="AHG96" s="88"/>
      <c r="AHH96" s="88"/>
      <c r="AHI96" s="88"/>
      <c r="AHJ96" s="88"/>
      <c r="AHK96" s="88"/>
      <c r="AHL96" s="88"/>
      <c r="AHM96" s="88"/>
      <c r="AHN96" s="88"/>
      <c r="AHO96" s="88"/>
      <c r="AHP96" s="88"/>
      <c r="AHQ96" s="88"/>
      <c r="AHR96" s="88"/>
      <c r="AHS96" s="88"/>
      <c r="AHT96" s="88"/>
      <c r="AHU96" s="88"/>
      <c r="AHV96" s="88"/>
      <c r="AHW96" s="88"/>
      <c r="AHX96" s="88"/>
      <c r="AHY96" s="88"/>
      <c r="AHZ96" s="88"/>
      <c r="AIA96" s="88"/>
      <c r="AIB96" s="88"/>
      <c r="AIC96" s="88"/>
      <c r="AID96" s="88"/>
      <c r="AIE96" s="88"/>
      <c r="AIF96" s="88"/>
      <c r="AIG96" s="88"/>
      <c r="AIH96" s="88"/>
      <c r="AII96" s="88"/>
      <c r="AIJ96" s="88"/>
      <c r="AIK96" s="88"/>
      <c r="AIL96" s="88"/>
      <c r="AIM96" s="88"/>
      <c r="AIN96" s="88"/>
      <c r="AIO96" s="88"/>
      <c r="AIP96" s="88"/>
      <c r="AIQ96" s="88"/>
      <c r="AIR96" s="88"/>
      <c r="AIS96" s="88"/>
      <c r="AIT96" s="88"/>
      <c r="AIU96" s="88"/>
      <c r="AIV96" s="88"/>
      <c r="AIW96" s="88"/>
      <c r="AIX96" s="88"/>
      <c r="AIY96" s="88"/>
      <c r="AIZ96" s="88"/>
      <c r="AJA96" s="88"/>
      <c r="AJB96" s="88"/>
      <c r="AJC96" s="88"/>
      <c r="AJD96" s="88"/>
      <c r="AJE96" s="88"/>
      <c r="AJF96" s="88"/>
      <c r="AJG96" s="88"/>
      <c r="AJH96" s="88"/>
      <c r="AJI96" s="88"/>
      <c r="AJJ96" s="88"/>
      <c r="AJK96" s="88"/>
      <c r="AJL96" s="88"/>
      <c r="AJM96" s="88"/>
      <c r="AJN96" s="88"/>
      <c r="AJO96" s="88"/>
      <c r="AJP96" s="88"/>
      <c r="AJQ96" s="88"/>
      <c r="AJR96" s="88"/>
      <c r="AJS96" s="88"/>
      <c r="AJT96" s="88"/>
      <c r="AJU96" s="88"/>
      <c r="AJV96" s="88"/>
      <c r="AJW96" s="88"/>
      <c r="AJX96" s="88"/>
      <c r="AJY96" s="88"/>
      <c r="AJZ96" s="88"/>
      <c r="AKA96" s="88"/>
      <c r="AKB96" s="88"/>
      <c r="AKC96" s="88"/>
      <c r="AKD96" s="88"/>
      <c r="AKE96" s="88"/>
      <c r="AKF96" s="88"/>
      <c r="AKG96" s="88"/>
      <c r="AKH96" s="88"/>
      <c r="AKI96" s="88"/>
      <c r="AKJ96" s="88"/>
      <c r="AKK96" s="88"/>
      <c r="AKL96" s="88"/>
      <c r="AKM96" s="88"/>
      <c r="AKN96" s="88"/>
      <c r="AKO96" s="88"/>
      <c r="AKP96" s="88"/>
      <c r="AKQ96" s="88"/>
      <c r="AKR96" s="88"/>
      <c r="AKS96" s="88"/>
      <c r="AKT96" s="88"/>
      <c r="AKU96" s="88"/>
      <c r="AKV96" s="88"/>
      <c r="AKW96" s="88"/>
      <c r="AKX96" s="88"/>
      <c r="AKY96" s="88"/>
      <c r="AKZ96" s="88"/>
      <c r="ALA96" s="88"/>
      <c r="ALB96" s="88"/>
      <c r="ALC96" s="88"/>
      <c r="ALD96" s="88"/>
      <c r="ALE96" s="88"/>
      <c r="ALF96" s="88"/>
      <c r="ALG96" s="88"/>
      <c r="ALH96" s="88"/>
      <c r="ALI96" s="88"/>
      <c r="ALJ96" s="88"/>
      <c r="ALK96" s="88"/>
      <c r="ALL96" s="88"/>
      <c r="ALM96" s="88"/>
      <c r="ALN96" s="88"/>
      <c r="ALO96" s="88"/>
      <c r="ALP96" s="88"/>
      <c r="ALQ96" s="88"/>
      <c r="ALR96" s="88"/>
      <c r="ALS96" s="88"/>
      <c r="ALT96" s="88"/>
      <c r="ALU96" s="88"/>
      <c r="ALV96" s="88"/>
      <c r="ALW96" s="88"/>
      <c r="ALX96" s="88"/>
      <c r="ALY96" s="88"/>
      <c r="ALZ96" s="88"/>
      <c r="AMA96" s="88"/>
      <c r="AMB96" s="88"/>
      <c r="AMC96" s="88"/>
      <c r="AMD96" s="88"/>
      <c r="AME96" s="88"/>
      <c r="AMF96" s="88"/>
      <c r="AMG96" s="88"/>
      <c r="AMH96" s="88"/>
      <c r="AMI96" s="88"/>
      <c r="AMJ96" s="88"/>
      <c r="AMK96" s="88"/>
      <c r="AML96" s="88"/>
      <c r="AMM96" s="88"/>
      <c r="AMN96" s="88"/>
      <c r="AMO96" s="88"/>
      <c r="AMP96" s="88"/>
      <c r="AMQ96" s="88"/>
      <c r="AMR96" s="88"/>
      <c r="AMS96" s="88"/>
      <c r="AMT96" s="88"/>
      <c r="AMU96" s="88"/>
      <c r="AMV96" s="88"/>
      <c r="AMW96" s="88"/>
      <c r="AMX96" s="88"/>
      <c r="AMY96" s="88"/>
      <c r="AMZ96" s="88"/>
      <c r="ANA96" s="88"/>
      <c r="ANB96" s="88"/>
      <c r="ANC96" s="88"/>
      <c r="AND96" s="88"/>
      <c r="ANE96" s="88"/>
      <c r="ANF96" s="88"/>
      <c r="ANG96" s="88"/>
      <c r="ANH96" s="88"/>
      <c r="ANI96" s="88"/>
      <c r="ANJ96" s="88"/>
      <c r="ANK96" s="88"/>
      <c r="ANL96" s="88"/>
      <c r="ANM96" s="88"/>
      <c r="ANN96" s="88"/>
      <c r="ANO96" s="88"/>
      <c r="ANP96" s="88"/>
      <c r="ANQ96" s="88"/>
      <c r="ANR96" s="88"/>
      <c r="ANS96" s="88"/>
      <c r="ANT96" s="88"/>
      <c r="ANU96" s="88"/>
      <c r="ANV96" s="88"/>
      <c r="ANW96" s="88"/>
      <c r="ANX96" s="88"/>
      <c r="ANY96" s="88"/>
      <c r="ANZ96" s="88"/>
      <c r="AOA96" s="88"/>
      <c r="AOB96" s="88"/>
      <c r="AOC96" s="88"/>
      <c r="AOD96" s="88"/>
      <c r="AOE96" s="88"/>
      <c r="AOF96" s="88"/>
      <c r="AOG96" s="88"/>
      <c r="AOH96" s="88"/>
      <c r="AOI96" s="88"/>
      <c r="AOJ96" s="88"/>
      <c r="AOK96" s="88"/>
      <c r="AOL96" s="88"/>
      <c r="AOM96" s="88"/>
      <c r="AON96" s="88"/>
      <c r="AOO96" s="88"/>
      <c r="AOP96" s="88"/>
      <c r="AOQ96" s="88"/>
      <c r="AOR96" s="88"/>
      <c r="AOS96" s="88"/>
      <c r="AOT96" s="88"/>
      <c r="AOU96" s="88"/>
      <c r="AOV96" s="88"/>
      <c r="AOW96" s="88"/>
      <c r="AOX96" s="88"/>
      <c r="AOY96" s="88"/>
      <c r="AOZ96" s="88"/>
      <c r="APA96" s="88"/>
      <c r="APB96" s="88"/>
      <c r="APC96" s="88"/>
      <c r="APD96" s="88"/>
      <c r="APE96" s="88"/>
      <c r="APF96" s="88"/>
      <c r="APG96" s="88"/>
      <c r="APH96" s="88"/>
      <c r="API96" s="88"/>
      <c r="APJ96" s="88"/>
      <c r="APK96" s="88"/>
      <c r="APL96" s="88"/>
      <c r="APM96" s="88"/>
      <c r="APN96" s="88"/>
      <c r="APO96" s="88"/>
      <c r="APP96" s="88"/>
      <c r="APQ96" s="88"/>
      <c r="APR96" s="88"/>
      <c r="APS96" s="88"/>
      <c r="APT96" s="88"/>
      <c r="APU96" s="88"/>
      <c r="APV96" s="88"/>
      <c r="APW96" s="88"/>
      <c r="APX96" s="88"/>
      <c r="APY96" s="88"/>
      <c r="APZ96" s="88"/>
      <c r="AQA96" s="88"/>
      <c r="AQB96" s="88"/>
      <c r="AQC96" s="88"/>
      <c r="AQD96" s="88"/>
      <c r="AQE96" s="88"/>
      <c r="AQF96" s="88"/>
      <c r="AQG96" s="88"/>
      <c r="AQH96" s="88"/>
      <c r="AQI96" s="88"/>
      <c r="AQJ96" s="88"/>
      <c r="AQK96" s="88"/>
      <c r="AQL96" s="88"/>
      <c r="AQM96" s="88"/>
      <c r="AQN96" s="88"/>
      <c r="AQO96" s="88"/>
      <c r="AQP96" s="88"/>
      <c r="AQQ96" s="88"/>
      <c r="AQR96" s="88"/>
      <c r="AQS96" s="88"/>
      <c r="AQT96" s="88"/>
      <c r="AQU96" s="88"/>
      <c r="AQV96" s="88"/>
      <c r="AQW96" s="88"/>
      <c r="AQX96" s="88"/>
      <c r="AQY96" s="88"/>
      <c r="AQZ96" s="88"/>
      <c r="ARA96" s="88"/>
      <c r="ARB96" s="88"/>
      <c r="ARC96" s="88"/>
      <c r="ARD96" s="88"/>
      <c r="ARE96" s="88"/>
      <c r="ARF96" s="88"/>
      <c r="ARG96" s="88"/>
      <c r="ARH96" s="88"/>
      <c r="ARI96" s="88"/>
      <c r="ARJ96" s="88"/>
      <c r="ARK96" s="88"/>
      <c r="ARL96" s="88"/>
      <c r="ARM96" s="88"/>
      <c r="ARN96" s="88"/>
      <c r="ARO96" s="88"/>
      <c r="ARP96" s="88"/>
      <c r="ARQ96" s="88"/>
      <c r="ARR96" s="88"/>
      <c r="ARS96" s="88"/>
      <c r="ART96" s="88"/>
      <c r="ARU96" s="88"/>
      <c r="ARV96" s="88"/>
      <c r="ARW96" s="88"/>
      <c r="ARX96" s="88"/>
      <c r="ARY96" s="88"/>
      <c r="ARZ96" s="88"/>
      <c r="ASA96" s="88"/>
      <c r="ASB96" s="88"/>
      <c r="ASC96" s="88"/>
      <c r="ASD96" s="88"/>
      <c r="ASE96" s="88"/>
      <c r="ASF96" s="88"/>
      <c r="ASG96" s="88"/>
      <c r="ASH96" s="88"/>
      <c r="ASI96" s="88"/>
      <c r="ASJ96" s="88"/>
      <c r="ASK96" s="88"/>
      <c r="ASL96" s="88"/>
      <c r="ASM96" s="88"/>
      <c r="ASN96" s="88"/>
      <c r="ASO96" s="88"/>
      <c r="ASP96" s="88"/>
      <c r="ASQ96" s="88"/>
      <c r="ASR96" s="88"/>
      <c r="ASS96" s="88"/>
      <c r="AST96" s="88"/>
      <c r="ASU96" s="88"/>
      <c r="ASV96" s="88"/>
      <c r="ASW96" s="88"/>
      <c r="ASX96" s="88"/>
      <c r="ASY96" s="88"/>
      <c r="ASZ96" s="88"/>
      <c r="ATA96" s="88"/>
      <c r="ATB96" s="88"/>
      <c r="ATC96" s="88"/>
      <c r="ATD96" s="88"/>
      <c r="ATE96" s="88"/>
      <c r="ATF96" s="88"/>
      <c r="ATG96" s="88"/>
      <c r="ATH96" s="88"/>
      <c r="ATI96" s="88"/>
      <c r="ATJ96" s="88"/>
      <c r="ATK96" s="88"/>
      <c r="ATL96" s="88"/>
      <c r="ATM96" s="88"/>
      <c r="ATN96" s="88"/>
      <c r="ATO96" s="88"/>
      <c r="ATP96" s="88"/>
      <c r="ATQ96" s="88"/>
      <c r="ATR96" s="88"/>
      <c r="ATS96" s="88"/>
      <c r="ATT96" s="88"/>
      <c r="ATU96" s="88"/>
      <c r="ATV96" s="88"/>
      <c r="ATW96" s="88"/>
      <c r="ATX96" s="88"/>
      <c r="ATY96" s="88"/>
      <c r="ATZ96" s="88"/>
      <c r="AUA96" s="88"/>
      <c r="AUB96" s="88"/>
      <c r="AUC96" s="88"/>
      <c r="AUD96" s="88"/>
      <c r="AUE96" s="88"/>
      <c r="AUF96" s="88"/>
      <c r="AUG96" s="88"/>
      <c r="AUH96" s="88"/>
      <c r="AUI96" s="88"/>
      <c r="AUJ96" s="88"/>
      <c r="AUK96" s="88"/>
      <c r="AUL96" s="88"/>
      <c r="AUM96" s="88"/>
      <c r="AUN96" s="88"/>
      <c r="AUO96" s="88"/>
      <c r="AUP96" s="88"/>
      <c r="AUQ96" s="88"/>
      <c r="AUR96" s="88"/>
      <c r="AUS96" s="88"/>
      <c r="AUT96" s="88"/>
      <c r="AUU96" s="88"/>
      <c r="AUV96" s="88"/>
      <c r="AUW96" s="88"/>
      <c r="AUX96" s="88"/>
      <c r="AUY96" s="88"/>
      <c r="AUZ96" s="88"/>
      <c r="AVA96" s="88"/>
      <c r="AVB96" s="88"/>
      <c r="AVC96" s="88"/>
      <c r="AVD96" s="88"/>
      <c r="AVE96" s="88"/>
      <c r="AVF96" s="88"/>
      <c r="AVG96" s="88"/>
      <c r="AVH96" s="88"/>
      <c r="AVI96" s="88"/>
      <c r="AVJ96" s="88"/>
      <c r="AVK96" s="88"/>
      <c r="AVL96" s="88"/>
      <c r="AVM96" s="88"/>
      <c r="AVN96" s="88"/>
      <c r="AVO96" s="88"/>
      <c r="AVP96" s="88"/>
      <c r="AVQ96" s="88"/>
      <c r="AVR96" s="88"/>
      <c r="AVS96" s="88"/>
      <c r="AVT96" s="88"/>
      <c r="AVU96" s="88"/>
      <c r="AVV96" s="88"/>
      <c r="AVW96" s="88"/>
      <c r="AVX96" s="88"/>
      <c r="AVY96" s="88"/>
      <c r="AVZ96" s="88"/>
      <c r="AWA96" s="88"/>
      <c r="AWB96" s="88"/>
      <c r="AWC96" s="88"/>
      <c r="AWD96" s="88"/>
      <c r="AWE96" s="88"/>
      <c r="AWF96" s="88"/>
      <c r="AWG96" s="88"/>
      <c r="AWH96" s="88"/>
      <c r="AWI96" s="88"/>
      <c r="AWJ96" s="88"/>
      <c r="AWK96" s="88"/>
      <c r="AWL96" s="88"/>
      <c r="AWM96" s="88"/>
      <c r="AWN96" s="88"/>
      <c r="AWO96" s="88"/>
      <c r="AWP96" s="88"/>
      <c r="AWQ96" s="88"/>
      <c r="AWR96" s="88"/>
      <c r="AWS96" s="88"/>
      <c r="AWT96" s="88"/>
      <c r="AWU96" s="88"/>
      <c r="AWV96" s="88"/>
      <c r="AWW96" s="88"/>
      <c r="AWX96" s="88"/>
      <c r="AWY96" s="88"/>
      <c r="AWZ96" s="88"/>
      <c r="AXA96" s="88"/>
      <c r="AXB96" s="88"/>
      <c r="AXC96" s="88"/>
      <c r="AXD96" s="88"/>
      <c r="AXE96" s="88"/>
      <c r="AXF96" s="88"/>
      <c r="AXG96" s="88"/>
      <c r="AXH96" s="88"/>
      <c r="AXI96" s="88"/>
      <c r="AXJ96" s="88"/>
      <c r="AXK96" s="88"/>
      <c r="AXL96" s="88"/>
      <c r="AXM96" s="88"/>
      <c r="AXN96" s="88"/>
      <c r="AXO96" s="88"/>
      <c r="AXP96" s="88"/>
      <c r="AXQ96" s="88"/>
      <c r="AXR96" s="88"/>
      <c r="AXS96" s="88"/>
      <c r="AXT96" s="88"/>
      <c r="AXU96" s="88"/>
      <c r="AXV96" s="88"/>
      <c r="AXW96" s="88"/>
      <c r="AXX96" s="88"/>
      <c r="AXY96" s="88"/>
      <c r="AXZ96" s="88"/>
      <c r="AYA96" s="88"/>
      <c r="AYB96" s="88"/>
      <c r="AYC96" s="88"/>
      <c r="AYD96" s="88"/>
      <c r="AYE96" s="88"/>
      <c r="AYF96" s="88"/>
      <c r="AYG96" s="88"/>
      <c r="AYH96" s="88"/>
      <c r="AYI96" s="88"/>
      <c r="AYJ96" s="88"/>
      <c r="AYK96" s="88"/>
      <c r="AYL96" s="88"/>
      <c r="AYM96" s="88"/>
      <c r="AYN96" s="88"/>
      <c r="AYO96" s="88"/>
      <c r="AYP96" s="88"/>
      <c r="AYQ96" s="88"/>
      <c r="AYR96" s="88"/>
      <c r="AYS96" s="88"/>
      <c r="AYT96" s="88"/>
      <c r="AYU96" s="88"/>
      <c r="AYV96" s="88"/>
      <c r="AYW96" s="88"/>
      <c r="AYX96" s="88"/>
      <c r="AYY96" s="88"/>
      <c r="AYZ96" s="88"/>
      <c r="AZA96" s="88"/>
      <c r="AZB96" s="88"/>
      <c r="AZC96" s="88"/>
      <c r="AZD96" s="88"/>
      <c r="AZE96" s="88"/>
      <c r="AZF96" s="88"/>
      <c r="AZG96" s="88"/>
      <c r="AZH96" s="88"/>
      <c r="AZI96" s="88"/>
      <c r="AZJ96" s="88"/>
      <c r="AZK96" s="88"/>
      <c r="AZL96" s="88"/>
      <c r="AZM96" s="88"/>
      <c r="AZN96" s="88"/>
      <c r="AZO96" s="88"/>
      <c r="AZP96" s="88"/>
      <c r="AZQ96" s="88"/>
      <c r="AZR96" s="88"/>
      <c r="AZS96" s="88"/>
      <c r="AZT96" s="88"/>
      <c r="AZU96" s="88"/>
      <c r="AZV96" s="88"/>
      <c r="AZW96" s="88"/>
      <c r="AZX96" s="88"/>
      <c r="AZY96" s="88"/>
      <c r="AZZ96" s="88"/>
      <c r="BAA96" s="88"/>
      <c r="BAB96" s="88"/>
      <c r="BAC96" s="88"/>
      <c r="BAD96" s="88"/>
      <c r="BAE96" s="88"/>
      <c r="BAF96" s="88"/>
      <c r="BAG96" s="88"/>
      <c r="BAH96" s="88"/>
      <c r="BAI96" s="88"/>
      <c r="BAJ96" s="88"/>
      <c r="BAK96" s="88"/>
      <c r="BAL96" s="88"/>
      <c r="BAM96" s="88"/>
      <c r="BAN96" s="88"/>
      <c r="BAO96" s="88"/>
      <c r="BAP96" s="88"/>
      <c r="BAQ96" s="88"/>
      <c r="BAR96" s="88"/>
      <c r="BAS96" s="88"/>
      <c r="BAT96" s="88"/>
      <c r="BAU96" s="88"/>
      <c r="BAV96" s="88"/>
      <c r="BAW96" s="88"/>
      <c r="BAX96" s="88"/>
      <c r="BAY96" s="88"/>
      <c r="BAZ96" s="88"/>
      <c r="BBA96" s="88"/>
      <c r="BBB96" s="88"/>
      <c r="BBC96" s="88"/>
      <c r="BBD96" s="88"/>
      <c r="BBE96" s="88"/>
      <c r="BBF96" s="88"/>
      <c r="BBG96" s="88"/>
      <c r="BBH96" s="88"/>
      <c r="BBI96" s="88"/>
      <c r="BBJ96" s="88"/>
      <c r="BBK96" s="88"/>
      <c r="BBL96" s="88"/>
      <c r="BBM96" s="88"/>
      <c r="BBN96" s="88"/>
      <c r="BBO96" s="88"/>
      <c r="BBP96" s="88"/>
      <c r="BBQ96" s="88"/>
      <c r="BBR96" s="88"/>
      <c r="BBS96" s="88"/>
      <c r="BBT96" s="88"/>
      <c r="BBU96" s="88"/>
      <c r="BBV96" s="88"/>
      <c r="BBW96" s="88"/>
      <c r="BBX96" s="88"/>
      <c r="BBY96" s="88"/>
      <c r="BBZ96" s="88"/>
      <c r="BCA96" s="88"/>
      <c r="BCB96" s="88"/>
      <c r="BCC96" s="88"/>
      <c r="BCD96" s="88"/>
      <c r="BCE96" s="88"/>
      <c r="BCF96" s="88"/>
      <c r="BCG96" s="88"/>
      <c r="BCH96" s="88"/>
      <c r="BCI96" s="88"/>
      <c r="BCJ96" s="88"/>
      <c r="BCK96" s="88"/>
      <c r="BCL96" s="88"/>
      <c r="BCM96" s="88"/>
      <c r="BCN96" s="88"/>
      <c r="BCO96" s="88"/>
      <c r="BCP96" s="88"/>
      <c r="BCQ96" s="88"/>
      <c r="BCR96" s="88"/>
      <c r="BCS96" s="88"/>
      <c r="BCT96" s="88"/>
      <c r="BCU96" s="88"/>
      <c r="BCV96" s="88"/>
      <c r="BCW96" s="88"/>
      <c r="BCX96" s="88"/>
      <c r="BCY96" s="88"/>
      <c r="BCZ96" s="88"/>
      <c r="BDA96" s="88"/>
      <c r="BDB96" s="88"/>
      <c r="BDC96" s="88"/>
      <c r="BDD96" s="88"/>
      <c r="BDE96" s="88"/>
      <c r="BDF96" s="88"/>
      <c r="BDG96" s="88"/>
      <c r="BDH96" s="88"/>
      <c r="BDI96" s="88"/>
      <c r="BDJ96" s="88"/>
      <c r="BDK96" s="88"/>
      <c r="BDL96" s="88"/>
      <c r="BDM96" s="88"/>
      <c r="BDN96" s="88"/>
      <c r="BDO96" s="88"/>
      <c r="BDP96" s="88"/>
      <c r="BDQ96" s="88"/>
      <c r="BDR96" s="88"/>
      <c r="BDS96" s="88"/>
      <c r="BDT96" s="88"/>
      <c r="BDU96" s="88"/>
      <c r="BDV96" s="88"/>
      <c r="BDW96" s="88"/>
      <c r="BDX96" s="88"/>
      <c r="BDY96" s="88"/>
      <c r="BDZ96" s="88"/>
      <c r="BEA96" s="88"/>
      <c r="BEB96" s="88"/>
      <c r="BEC96" s="88"/>
      <c r="BED96" s="88"/>
      <c r="BEE96" s="88"/>
      <c r="BEF96" s="88"/>
      <c r="BEG96" s="88"/>
      <c r="BEH96" s="88"/>
      <c r="BEI96" s="88"/>
      <c r="BEJ96" s="88"/>
      <c r="BEK96" s="88"/>
      <c r="BEL96" s="88"/>
      <c r="BEM96" s="88"/>
      <c r="BEN96" s="88"/>
      <c r="BEO96" s="88"/>
      <c r="BEP96" s="88"/>
      <c r="BEQ96" s="88"/>
      <c r="BER96" s="88"/>
      <c r="BES96" s="88"/>
      <c r="BET96" s="88"/>
      <c r="BEU96" s="88"/>
      <c r="BEV96" s="88"/>
      <c r="BEW96" s="88"/>
      <c r="BEX96" s="88"/>
      <c r="BEY96" s="88"/>
      <c r="BEZ96" s="88"/>
      <c r="BFA96" s="88"/>
      <c r="BFB96" s="88"/>
      <c r="BFC96" s="88"/>
      <c r="BFD96" s="88"/>
      <c r="BFE96" s="88"/>
      <c r="BFF96" s="88"/>
      <c r="BFG96" s="88"/>
      <c r="BFH96" s="88"/>
      <c r="BFI96" s="88"/>
      <c r="BFJ96" s="88"/>
      <c r="BFK96" s="88"/>
      <c r="BFL96" s="88"/>
      <c r="BFM96" s="88"/>
      <c r="BFN96" s="88"/>
      <c r="BFO96" s="88"/>
      <c r="BFP96" s="88"/>
      <c r="BFQ96" s="88"/>
      <c r="BFR96" s="88"/>
      <c r="BFS96" s="88"/>
      <c r="BFT96" s="88"/>
      <c r="BFU96" s="88"/>
      <c r="BFV96" s="88"/>
      <c r="BFW96" s="88"/>
      <c r="BFX96" s="88"/>
      <c r="BFY96" s="88"/>
      <c r="BFZ96" s="88"/>
      <c r="BGA96" s="88"/>
      <c r="BGB96" s="88"/>
      <c r="BGC96" s="88"/>
      <c r="BGD96" s="88"/>
      <c r="BGE96" s="88"/>
      <c r="BGF96" s="88"/>
      <c r="BGG96" s="88"/>
      <c r="BGH96" s="88"/>
      <c r="BGI96" s="88"/>
      <c r="BGJ96" s="88"/>
      <c r="BGK96" s="88"/>
      <c r="BGL96" s="88"/>
      <c r="BGM96" s="88"/>
      <c r="BGN96" s="88"/>
      <c r="BGO96" s="88"/>
      <c r="BGP96" s="88"/>
      <c r="BGQ96" s="88"/>
      <c r="BGR96" s="88"/>
      <c r="BGS96" s="88"/>
      <c r="BGT96" s="88"/>
      <c r="BGU96" s="88"/>
      <c r="BGV96" s="88"/>
      <c r="BGW96" s="88"/>
      <c r="BGX96" s="88"/>
      <c r="BGY96" s="88"/>
      <c r="BGZ96" s="88"/>
      <c r="BHA96" s="88"/>
      <c r="BHB96" s="88"/>
      <c r="BHC96" s="88"/>
      <c r="BHD96" s="88"/>
      <c r="BHE96" s="88"/>
      <c r="BHF96" s="88"/>
      <c r="BHG96" s="88"/>
      <c r="BHH96" s="88"/>
      <c r="BHI96" s="88"/>
      <c r="BHJ96" s="88"/>
      <c r="BHK96" s="88"/>
      <c r="BHL96" s="88"/>
      <c r="BHM96" s="88"/>
      <c r="BHN96" s="88"/>
      <c r="BHO96" s="88"/>
      <c r="BHP96" s="88"/>
      <c r="BHQ96" s="88"/>
      <c r="BHR96" s="88"/>
      <c r="BHS96" s="88"/>
      <c r="BHT96" s="88"/>
      <c r="BHU96" s="88"/>
      <c r="BHV96" s="88"/>
      <c r="BHW96" s="88"/>
      <c r="BHX96" s="88"/>
      <c r="BHY96" s="88"/>
      <c r="BHZ96" s="88"/>
      <c r="BIA96" s="88"/>
      <c r="BIB96" s="88"/>
      <c r="BIC96" s="88"/>
      <c r="BID96" s="88"/>
      <c r="BIE96" s="88"/>
      <c r="BIF96" s="88"/>
      <c r="BIG96" s="88"/>
      <c r="BIH96" s="88"/>
      <c r="BII96" s="88"/>
      <c r="BIJ96" s="88"/>
      <c r="BIK96" s="88"/>
      <c r="BIL96" s="88"/>
      <c r="BIM96" s="88"/>
      <c r="BIN96" s="88"/>
      <c r="BIO96" s="88"/>
      <c r="BIP96" s="88"/>
      <c r="BIQ96" s="88"/>
      <c r="BIR96" s="88"/>
      <c r="BIS96" s="88"/>
      <c r="BIT96" s="88"/>
      <c r="BIU96" s="88"/>
      <c r="BIV96" s="88"/>
      <c r="BIW96" s="88"/>
      <c r="BIX96" s="88"/>
      <c r="BIY96" s="88"/>
      <c r="BIZ96" s="88"/>
      <c r="BJA96" s="88"/>
      <c r="BJB96" s="88"/>
      <c r="BJC96" s="88"/>
      <c r="BJD96" s="88"/>
      <c r="BJE96" s="88"/>
      <c r="BJF96" s="88"/>
      <c r="BJG96" s="88"/>
      <c r="BJH96" s="88"/>
      <c r="BJI96" s="88"/>
      <c r="BJJ96" s="88"/>
      <c r="BJK96" s="88"/>
      <c r="BJL96" s="88"/>
      <c r="BJM96" s="88"/>
      <c r="BJN96" s="88"/>
      <c r="BJO96" s="88"/>
      <c r="BJP96" s="88"/>
      <c r="BJQ96" s="88"/>
      <c r="BJR96" s="88"/>
      <c r="BJS96" s="88"/>
      <c r="BJT96" s="88"/>
      <c r="BJU96" s="88"/>
      <c r="BJV96" s="88"/>
      <c r="BJW96" s="88"/>
      <c r="BJX96" s="88"/>
      <c r="BJY96" s="88"/>
      <c r="BJZ96" s="88"/>
      <c r="BKA96" s="88"/>
      <c r="BKB96" s="88"/>
      <c r="BKC96" s="88"/>
      <c r="BKD96" s="88"/>
      <c r="BKE96" s="88"/>
      <c r="BKF96" s="88"/>
      <c r="BKG96" s="88"/>
      <c r="BKH96" s="88"/>
      <c r="BKI96" s="88"/>
      <c r="BKJ96" s="88"/>
      <c r="BKK96" s="88"/>
      <c r="BKL96" s="88"/>
      <c r="BKM96" s="88"/>
      <c r="BKN96" s="88"/>
      <c r="BKO96" s="88"/>
      <c r="BKP96" s="88"/>
      <c r="BKQ96" s="88"/>
      <c r="BKR96" s="88"/>
      <c r="BKS96" s="88"/>
      <c r="BKT96" s="88"/>
      <c r="BKU96" s="88"/>
      <c r="BKV96" s="88"/>
      <c r="BKW96" s="88"/>
      <c r="BKX96" s="88"/>
      <c r="BKY96" s="88"/>
      <c r="BKZ96" s="88"/>
      <c r="BLA96" s="88"/>
      <c r="BLB96" s="88"/>
      <c r="BLC96" s="88"/>
      <c r="BLD96" s="88"/>
      <c r="BLE96" s="88"/>
      <c r="BLF96" s="88"/>
      <c r="BLG96" s="88"/>
      <c r="BLH96" s="88"/>
      <c r="BLI96" s="88"/>
      <c r="BLJ96" s="88"/>
      <c r="BLK96" s="88"/>
      <c r="BLL96" s="88"/>
      <c r="BLM96" s="88"/>
      <c r="BLN96" s="88"/>
      <c r="BLO96" s="88"/>
      <c r="BLP96" s="88"/>
      <c r="BLQ96" s="88"/>
      <c r="BLR96" s="88"/>
      <c r="BLS96" s="88"/>
      <c r="BLT96" s="88"/>
      <c r="BLU96" s="88"/>
      <c r="BLV96" s="88"/>
      <c r="BLW96" s="88"/>
      <c r="BLX96" s="88"/>
      <c r="BLY96" s="88"/>
      <c r="BLZ96" s="88"/>
      <c r="BMA96" s="88"/>
      <c r="BMB96" s="88"/>
      <c r="BMC96" s="88"/>
      <c r="BMD96" s="88"/>
      <c r="BME96" s="88"/>
      <c r="BMF96" s="88"/>
      <c r="BMG96" s="88"/>
      <c r="BMH96" s="88"/>
      <c r="BMI96" s="88"/>
      <c r="BMJ96" s="88"/>
      <c r="BMK96" s="88"/>
      <c r="BML96" s="88"/>
      <c r="BMM96" s="88"/>
      <c r="BMN96" s="88"/>
      <c r="BMO96" s="88"/>
      <c r="BMP96" s="88"/>
      <c r="BMQ96" s="88"/>
      <c r="BMR96" s="88"/>
      <c r="BMS96" s="88"/>
      <c r="BMT96" s="88"/>
      <c r="BMU96" s="88"/>
      <c r="BMV96" s="88"/>
      <c r="BMW96" s="88"/>
      <c r="BMX96" s="88"/>
      <c r="BMY96" s="88"/>
      <c r="BMZ96" s="88"/>
      <c r="BNA96" s="88"/>
      <c r="BNB96" s="88"/>
      <c r="BNC96" s="88"/>
      <c r="BND96" s="88"/>
      <c r="BNE96" s="88"/>
      <c r="BNF96" s="88"/>
      <c r="BNG96" s="88"/>
      <c r="BNH96" s="88"/>
      <c r="BNI96" s="88"/>
      <c r="BNJ96" s="88"/>
      <c r="BNK96" s="88"/>
      <c r="BNL96" s="88"/>
      <c r="BNM96" s="88"/>
      <c r="BNN96" s="88"/>
      <c r="BNO96" s="88"/>
      <c r="BNP96" s="88"/>
      <c r="BNQ96" s="88"/>
      <c r="BNR96" s="88"/>
      <c r="BNS96" s="88"/>
      <c r="BNT96" s="88"/>
      <c r="BNU96" s="88"/>
      <c r="BNV96" s="88"/>
      <c r="BNW96" s="88"/>
      <c r="BNX96" s="88"/>
      <c r="BNY96" s="88"/>
      <c r="BNZ96" s="88"/>
      <c r="BOA96" s="88"/>
      <c r="BOB96" s="88"/>
      <c r="BOC96" s="88"/>
      <c r="BOD96" s="88"/>
      <c r="BOE96" s="88"/>
      <c r="BOF96" s="88"/>
      <c r="BOG96" s="88"/>
      <c r="BOH96" s="88"/>
      <c r="BOI96" s="88"/>
      <c r="BOJ96" s="88"/>
      <c r="BOK96" s="88"/>
      <c r="BOL96" s="88"/>
      <c r="BOM96" s="88"/>
      <c r="BON96" s="88"/>
      <c r="BOO96" s="88"/>
      <c r="BOP96" s="88"/>
      <c r="BOQ96" s="88"/>
      <c r="BOR96" s="88"/>
      <c r="BOS96" s="88"/>
      <c r="BOT96" s="88"/>
      <c r="BOU96" s="88"/>
      <c r="BOV96" s="88"/>
      <c r="BOW96" s="88"/>
      <c r="BOX96" s="88"/>
      <c r="BOY96" s="88"/>
      <c r="BOZ96" s="88"/>
      <c r="BPA96" s="88"/>
      <c r="BPB96" s="88"/>
      <c r="BPC96" s="88"/>
      <c r="BPD96" s="88"/>
      <c r="BPE96" s="88"/>
      <c r="BPF96" s="88"/>
      <c r="BPG96" s="88"/>
      <c r="BPH96" s="88"/>
      <c r="BPI96" s="88"/>
      <c r="BPJ96" s="88"/>
      <c r="BPK96" s="88"/>
      <c r="BPL96" s="88"/>
      <c r="BPM96" s="88"/>
      <c r="BPN96" s="88"/>
      <c r="BPO96" s="88"/>
      <c r="BPP96" s="88"/>
      <c r="BPQ96" s="88"/>
      <c r="BPR96" s="88"/>
      <c r="BPS96" s="88"/>
      <c r="BPT96" s="88"/>
      <c r="BPU96" s="88"/>
      <c r="BPV96" s="88"/>
      <c r="BPW96" s="88"/>
      <c r="BPX96" s="88"/>
      <c r="BPY96" s="88"/>
      <c r="BPZ96" s="88"/>
      <c r="BQA96" s="88"/>
      <c r="BQB96" s="88"/>
      <c r="BQC96" s="88"/>
      <c r="BQD96" s="88"/>
      <c r="BQE96" s="88"/>
      <c r="BQF96" s="88"/>
      <c r="BQG96" s="88"/>
      <c r="BQH96" s="88"/>
      <c r="BQI96" s="88"/>
      <c r="BQJ96" s="88"/>
      <c r="BQK96" s="88"/>
      <c r="BQL96" s="88"/>
      <c r="BQM96" s="88"/>
      <c r="BQN96" s="88"/>
      <c r="BQO96" s="88"/>
      <c r="BQP96" s="88"/>
      <c r="BQQ96" s="88"/>
      <c r="BQR96" s="88"/>
      <c r="BQS96" s="88"/>
      <c r="BQT96" s="88"/>
      <c r="BQU96" s="88"/>
      <c r="BQV96" s="88"/>
      <c r="BQW96" s="88"/>
      <c r="BQX96" s="88"/>
      <c r="BQY96" s="88"/>
      <c r="BQZ96" s="88"/>
      <c r="BRA96" s="88"/>
      <c r="BRB96" s="88"/>
      <c r="BRC96" s="88"/>
      <c r="BRD96" s="88"/>
      <c r="BRE96" s="88"/>
      <c r="BRF96" s="88"/>
      <c r="BRG96" s="88"/>
      <c r="BRH96" s="88"/>
      <c r="BRI96" s="88"/>
      <c r="BRJ96" s="88"/>
      <c r="BRK96" s="88"/>
      <c r="BRL96" s="88"/>
      <c r="BRM96" s="88"/>
      <c r="BRN96" s="88"/>
      <c r="BRO96" s="88"/>
      <c r="BRP96" s="88"/>
      <c r="BRQ96" s="88"/>
      <c r="BRR96" s="88"/>
      <c r="BRS96" s="88"/>
      <c r="BRT96" s="88"/>
      <c r="BRU96" s="88"/>
      <c r="BRV96" s="88"/>
      <c r="BRW96" s="88"/>
      <c r="BRX96" s="88"/>
      <c r="BRY96" s="88"/>
      <c r="BRZ96" s="88"/>
      <c r="BSA96" s="88"/>
      <c r="BSB96" s="88"/>
      <c r="BSC96" s="88"/>
      <c r="BSD96" s="88"/>
      <c r="BSE96" s="88"/>
      <c r="BSF96" s="88"/>
      <c r="BSG96" s="88"/>
      <c r="BSH96" s="88"/>
      <c r="BSI96" s="88"/>
      <c r="BSJ96" s="88"/>
      <c r="BSK96" s="88"/>
      <c r="BSL96" s="88"/>
      <c r="BSM96" s="88"/>
      <c r="BSN96" s="88"/>
      <c r="BSO96" s="88"/>
      <c r="BSP96" s="88"/>
      <c r="BSQ96" s="88"/>
      <c r="BSR96" s="88"/>
      <c r="BSS96" s="88"/>
      <c r="BST96" s="88"/>
      <c r="BSU96" s="88"/>
      <c r="BSV96" s="88"/>
      <c r="BSW96" s="88"/>
      <c r="BSX96" s="88"/>
      <c r="BSY96" s="88"/>
      <c r="BSZ96" s="88"/>
      <c r="BTA96" s="88"/>
      <c r="BTB96" s="88"/>
      <c r="BTC96" s="88"/>
      <c r="BTD96" s="88"/>
      <c r="BTE96" s="88"/>
      <c r="BTF96" s="88"/>
      <c r="BTG96" s="88"/>
      <c r="BTH96" s="88"/>
      <c r="BTI96" s="88"/>
      <c r="BTJ96" s="88"/>
      <c r="BTK96" s="88"/>
      <c r="BTL96" s="88"/>
      <c r="BTM96" s="88"/>
      <c r="BTN96" s="88"/>
      <c r="BTO96" s="88"/>
      <c r="BTP96" s="88"/>
      <c r="BTQ96" s="88"/>
      <c r="BTR96" s="88"/>
      <c r="BTS96" s="88"/>
      <c r="BTT96" s="88"/>
      <c r="BTU96" s="88"/>
      <c r="BTV96" s="88"/>
      <c r="BTW96" s="88"/>
      <c r="BTX96" s="88"/>
      <c r="BTY96" s="88"/>
      <c r="BTZ96" s="88"/>
      <c r="BUA96" s="88"/>
      <c r="BUB96" s="88"/>
      <c r="BUC96" s="88"/>
      <c r="BUD96" s="88"/>
      <c r="BUE96" s="88"/>
      <c r="BUF96" s="88"/>
      <c r="BUG96" s="88"/>
      <c r="BUH96" s="88"/>
      <c r="BUI96" s="88"/>
      <c r="BUJ96" s="88"/>
      <c r="BUK96" s="88"/>
      <c r="BUL96" s="88"/>
      <c r="BUM96" s="88"/>
      <c r="BUN96" s="88"/>
      <c r="BUO96" s="88"/>
      <c r="BUP96" s="88"/>
      <c r="BUQ96" s="88"/>
      <c r="BUR96" s="88"/>
      <c r="BUS96" s="88"/>
      <c r="BUT96" s="88"/>
      <c r="BUU96" s="88"/>
      <c r="BUV96" s="88"/>
      <c r="BUW96" s="88"/>
      <c r="BUX96" s="88"/>
      <c r="BUY96" s="88"/>
      <c r="BUZ96" s="88"/>
      <c r="BVA96" s="88"/>
      <c r="BVB96" s="88"/>
      <c r="BVC96" s="88"/>
      <c r="BVD96" s="88"/>
      <c r="BVE96" s="88"/>
      <c r="BVF96" s="88"/>
      <c r="BVG96" s="88"/>
      <c r="BVH96" s="88"/>
      <c r="BVI96" s="88"/>
      <c r="BVJ96" s="88"/>
      <c r="BVK96" s="88"/>
      <c r="BVL96" s="88"/>
      <c r="BVM96" s="88"/>
      <c r="BVN96" s="88"/>
      <c r="BVO96" s="88"/>
      <c r="BVP96" s="88"/>
      <c r="BVQ96" s="88"/>
      <c r="BVR96" s="88"/>
      <c r="BVS96" s="88"/>
      <c r="BVT96" s="88"/>
      <c r="BVU96" s="88"/>
      <c r="BVV96" s="88"/>
      <c r="BVW96" s="88"/>
      <c r="BVX96" s="88"/>
      <c r="BVY96" s="88"/>
      <c r="BVZ96" s="88"/>
      <c r="BWA96" s="88"/>
      <c r="BWB96" s="88"/>
      <c r="BWC96" s="88"/>
      <c r="BWD96" s="88"/>
      <c r="BWE96" s="88"/>
      <c r="BWF96" s="88"/>
      <c r="BWG96" s="88"/>
      <c r="BWH96" s="88"/>
      <c r="BWI96" s="88"/>
      <c r="BWJ96" s="88"/>
      <c r="BWK96" s="88"/>
      <c r="BWL96" s="88"/>
      <c r="BWM96" s="88"/>
      <c r="BWN96" s="88"/>
      <c r="BWO96" s="88"/>
      <c r="BWP96" s="88"/>
      <c r="BWQ96" s="88"/>
      <c r="BWR96" s="88"/>
      <c r="BWS96" s="88"/>
      <c r="BWT96" s="88"/>
      <c r="BWU96" s="88"/>
      <c r="BWV96" s="88"/>
      <c r="BWW96" s="88"/>
      <c r="BWX96" s="88"/>
      <c r="BWY96" s="88"/>
      <c r="BWZ96" s="88"/>
      <c r="BXA96" s="88"/>
      <c r="BXB96" s="88"/>
      <c r="BXC96" s="88"/>
      <c r="BXD96" s="88"/>
      <c r="BXE96" s="88"/>
      <c r="BXF96" s="88"/>
      <c r="BXG96" s="88"/>
      <c r="BXH96" s="88"/>
      <c r="BXI96" s="88"/>
      <c r="BXJ96" s="88"/>
      <c r="BXK96" s="88"/>
      <c r="BXL96" s="88"/>
      <c r="BXM96" s="88"/>
      <c r="BXN96" s="88"/>
      <c r="BXO96" s="88"/>
      <c r="BXP96" s="88"/>
      <c r="BXQ96" s="88"/>
      <c r="BXR96" s="88"/>
      <c r="BXS96" s="88"/>
      <c r="BXT96" s="88"/>
      <c r="BXU96" s="88"/>
      <c r="BXV96" s="88"/>
      <c r="BXW96" s="88"/>
      <c r="BXX96" s="88"/>
      <c r="BXY96" s="88"/>
      <c r="BXZ96" s="88"/>
      <c r="BYA96" s="88"/>
      <c r="BYB96" s="88"/>
      <c r="BYC96" s="88"/>
      <c r="BYD96" s="88"/>
      <c r="BYE96" s="88"/>
      <c r="BYF96" s="88"/>
      <c r="BYG96" s="88"/>
      <c r="BYH96" s="88"/>
      <c r="BYI96" s="88"/>
      <c r="BYJ96" s="88"/>
      <c r="BYK96" s="88"/>
      <c r="BYL96" s="88"/>
      <c r="BYM96" s="88"/>
      <c r="BYN96" s="88"/>
      <c r="BYO96" s="88"/>
      <c r="BYP96" s="88"/>
      <c r="BYQ96" s="88"/>
      <c r="BYR96" s="88"/>
      <c r="BYS96" s="88"/>
      <c r="BYT96" s="88"/>
      <c r="BYU96" s="88"/>
      <c r="BYV96" s="88"/>
      <c r="BYW96" s="88"/>
      <c r="BYX96" s="88"/>
      <c r="BYY96" s="88"/>
      <c r="BYZ96" s="88"/>
      <c r="BZA96" s="88"/>
      <c r="BZB96" s="88"/>
      <c r="BZC96" s="88"/>
      <c r="BZD96" s="88"/>
      <c r="BZE96" s="88"/>
      <c r="BZF96" s="88"/>
      <c r="BZG96" s="88"/>
      <c r="BZH96" s="88"/>
      <c r="BZI96" s="88"/>
      <c r="BZJ96" s="88"/>
      <c r="BZK96" s="88"/>
      <c r="BZL96" s="88"/>
      <c r="BZM96" s="88"/>
      <c r="BZN96" s="88"/>
      <c r="BZO96" s="88"/>
      <c r="BZP96" s="88"/>
      <c r="BZQ96" s="88"/>
      <c r="BZR96" s="88"/>
      <c r="BZS96" s="88"/>
      <c r="BZT96" s="88"/>
      <c r="BZU96" s="88"/>
      <c r="BZV96" s="88"/>
      <c r="BZW96" s="88"/>
      <c r="BZX96" s="88"/>
      <c r="BZY96" s="88"/>
      <c r="BZZ96" s="88"/>
      <c r="CAA96" s="88"/>
      <c r="CAB96" s="88"/>
      <c r="CAC96" s="88"/>
      <c r="CAD96" s="88"/>
      <c r="CAE96" s="88"/>
      <c r="CAF96" s="88"/>
      <c r="CAG96" s="88"/>
      <c r="CAH96" s="88"/>
      <c r="CAI96" s="88"/>
      <c r="CAJ96" s="88"/>
      <c r="CAK96" s="88"/>
      <c r="CAL96" s="88"/>
      <c r="CAM96" s="88"/>
      <c r="CAN96" s="88"/>
      <c r="CAO96" s="88"/>
      <c r="CAP96" s="88"/>
      <c r="CAQ96" s="88"/>
      <c r="CAR96" s="88"/>
      <c r="CAS96" s="88"/>
      <c r="CAT96" s="88"/>
      <c r="CAU96" s="88"/>
      <c r="CAV96" s="88"/>
      <c r="CAW96" s="88"/>
      <c r="CAX96" s="88"/>
      <c r="CAY96" s="88"/>
      <c r="CAZ96" s="88"/>
      <c r="CBA96" s="88"/>
      <c r="CBB96" s="88"/>
      <c r="CBC96" s="88"/>
      <c r="CBD96" s="88"/>
      <c r="CBE96" s="88"/>
      <c r="CBF96" s="88"/>
      <c r="CBG96" s="88"/>
      <c r="CBH96" s="88"/>
      <c r="CBI96" s="88"/>
      <c r="CBJ96" s="88"/>
      <c r="CBK96" s="88"/>
      <c r="CBL96" s="88"/>
      <c r="CBM96" s="88"/>
      <c r="CBN96" s="88"/>
      <c r="CBO96" s="88"/>
      <c r="CBP96" s="88"/>
      <c r="CBQ96" s="88"/>
      <c r="CBR96" s="88"/>
      <c r="CBS96" s="88"/>
      <c r="CBT96" s="88"/>
      <c r="CBU96" s="88"/>
      <c r="CBV96" s="88"/>
      <c r="CBW96" s="88"/>
      <c r="CBX96" s="88"/>
      <c r="CBY96" s="88"/>
      <c r="CBZ96" s="88"/>
      <c r="CCA96" s="88"/>
      <c r="CCB96" s="88"/>
      <c r="CCC96" s="88"/>
      <c r="CCD96" s="88"/>
      <c r="CCE96" s="88"/>
      <c r="CCF96" s="88"/>
      <c r="CCG96" s="88"/>
      <c r="CCH96" s="88"/>
      <c r="CCI96" s="88"/>
      <c r="CCJ96" s="88"/>
      <c r="CCK96" s="88"/>
      <c r="CCL96" s="88"/>
      <c r="CCM96" s="88"/>
      <c r="CCN96" s="88"/>
      <c r="CCO96" s="88"/>
      <c r="CCP96" s="88"/>
      <c r="CCQ96" s="88"/>
      <c r="CCR96" s="88"/>
      <c r="CCS96" s="88"/>
      <c r="CCT96" s="88"/>
      <c r="CCU96" s="88"/>
      <c r="CCV96" s="88"/>
      <c r="CCW96" s="88"/>
      <c r="CCX96" s="88"/>
      <c r="CCY96" s="88"/>
      <c r="CCZ96" s="88"/>
      <c r="CDA96" s="88"/>
      <c r="CDB96" s="88"/>
      <c r="CDC96" s="88"/>
      <c r="CDD96" s="88"/>
      <c r="CDE96" s="88"/>
      <c r="CDF96" s="88"/>
      <c r="CDG96" s="88"/>
      <c r="CDH96" s="88"/>
      <c r="CDI96" s="88"/>
      <c r="CDJ96" s="88"/>
      <c r="CDK96" s="88"/>
      <c r="CDL96" s="88"/>
      <c r="CDM96" s="88"/>
      <c r="CDN96" s="88"/>
      <c r="CDO96" s="88"/>
      <c r="CDP96" s="88"/>
      <c r="CDQ96" s="88"/>
      <c r="CDR96" s="88"/>
      <c r="CDS96" s="88"/>
      <c r="CDT96" s="88"/>
      <c r="CDU96" s="88"/>
      <c r="CDV96" s="88"/>
      <c r="CDW96" s="88"/>
      <c r="CDX96" s="88"/>
      <c r="CDY96" s="88"/>
      <c r="CDZ96" s="88"/>
      <c r="CEA96" s="88"/>
      <c r="CEB96" s="88"/>
      <c r="CEC96" s="88"/>
      <c r="CED96" s="88"/>
      <c r="CEE96" s="88"/>
      <c r="CEF96" s="88"/>
      <c r="CEG96" s="88"/>
      <c r="CEH96" s="88"/>
      <c r="CEI96" s="88"/>
      <c r="CEJ96" s="88"/>
      <c r="CEK96" s="88"/>
    </row>
    <row r="97" spans="1:2169" s="63" customFormat="1">
      <c r="A97" s="73" t="s">
        <v>2877</v>
      </c>
      <c r="B97" s="71" t="s">
        <v>2878</v>
      </c>
      <c r="C97" s="68" t="str">
        <f>IF('page 2'!$O$4="","",IF('page 2'!$O$4=Gestion!A97,1,0))</f>
        <v/>
      </c>
      <c r="D97" s="68" t="str">
        <f>IF('page 2'!$O$5="","",IF('page 2'!$O$5=Gestion!A97,1,0))</f>
        <v/>
      </c>
      <c r="E97" s="68" t="str">
        <f>IF('page 2'!$O$6="","",IF('page 2'!$O$6=Gestion!A97,1,0))</f>
        <v/>
      </c>
      <c r="F97" s="68" t="str">
        <f>IF('page 2'!$O$7="","",IF('page 2'!$O$7=Gestion!A97,1,0))</f>
        <v/>
      </c>
      <c r="G97" s="68" t="str">
        <f>IF('page 2'!$O$8="","",IF('page 2'!$O$8=Gestion!A97,1,0))</f>
        <v/>
      </c>
      <c r="H97" s="68" t="str">
        <f>IF('page 2'!$O$9="","",IF('page 2'!$O$9=Gestion!A97,1,0))</f>
        <v/>
      </c>
      <c r="I97" s="68" t="str">
        <f>IF('page 2'!$O$10="","",IF('page 2'!$O$10=Gestion!A97,1,0))</f>
        <v/>
      </c>
      <c r="J97" s="68" t="str">
        <f>IF('page 2'!$O$11="","",IF('page 2'!$O$11=Gestion!A97,1,0))</f>
        <v/>
      </c>
      <c r="K97" s="68" t="str">
        <f>IF('page 2'!$O$12="","",IF('page 2'!$O$12=Gestion!A97,1,0))</f>
        <v/>
      </c>
      <c r="L97" s="68" t="str">
        <f>IF('page 2'!$O$13="","",IF('page 2'!$O$13=Gestion!A97,1,0))</f>
        <v/>
      </c>
      <c r="M97" s="68" t="str">
        <f>IF('page 2'!$O$14="","",IF('page 2'!$O$14=Gestion!A97,1,0))</f>
        <v/>
      </c>
      <c r="N97" s="68" t="str">
        <f>IF('page 2'!$O$15="","",IF('page 2'!$O$15=Gestion!A97,1,0))</f>
        <v/>
      </c>
      <c r="O97" s="68" t="str">
        <f>IF('page 2'!$O$16="","",IF('page 2'!$O$16=Gestion!A97,1,0))</f>
        <v/>
      </c>
      <c r="P97" s="68" t="str">
        <f>IF('page 2'!$O$17="","",IF('page 2'!$O$17=Gestion!A97,1,0))</f>
        <v/>
      </c>
      <c r="Q97" s="68" t="str">
        <f>IF('page 2'!$O$18="","",IF('page 2'!$O$18=Gestion!A97,1,0))</f>
        <v/>
      </c>
      <c r="R97" s="68" t="str">
        <f>IF('page 2'!$O$19="","",IF('page 2'!$O$19=Gestion!A97,1,0))</f>
        <v/>
      </c>
      <c r="S97" s="68" t="str">
        <f>IF('page 2'!$O$20="","",IF('page 2'!$O$20=Gestion!A97,1,0))</f>
        <v/>
      </c>
      <c r="T97" s="68" t="str">
        <f>IF('page 2'!$O$25="","",IF('page 2'!$O$25=Gestion!A97,1,0))</f>
        <v/>
      </c>
      <c r="U97" s="68" t="str">
        <f>IF('page 2'!$O$26="","",IF('page 2'!$O$26=Gestion!A97,1,0))</f>
        <v/>
      </c>
      <c r="V97" s="68" t="str">
        <f>IF('page 2'!$O$27="","",IF('page 2'!$O$27=Gestion!A97,1,0))</f>
        <v/>
      </c>
      <c r="W97" s="722">
        <f t="shared" si="14"/>
        <v>0</v>
      </c>
      <c r="X97" s="714"/>
      <c r="Y97" s="68"/>
      <c r="Z97" s="68"/>
      <c r="AA97" s="68"/>
      <c r="AB97" s="68"/>
      <c r="AC97" s="68"/>
      <c r="AD97" s="68"/>
      <c r="AP97" s="130"/>
      <c r="AQ97" s="130"/>
      <c r="AR97" s="130"/>
      <c r="AS97" s="576"/>
      <c r="AT97" s="576"/>
      <c r="AU97" s="576"/>
      <c r="AV97" s="576"/>
      <c r="AW97" s="602"/>
      <c r="AX97" s="602"/>
      <c r="AY97" s="576"/>
      <c r="AZ97" s="576"/>
      <c r="BA97" s="576"/>
      <c r="BB97" s="576"/>
      <c r="BC97" s="576"/>
      <c r="BD97" s="602"/>
      <c r="BE97" s="602"/>
      <c r="BF97" s="602"/>
      <c r="BG97" s="602"/>
      <c r="BH97" s="602"/>
      <c r="BI97" s="602"/>
      <c r="BJ97" s="602"/>
      <c r="BK97" s="602"/>
      <c r="BL97" s="602"/>
      <c r="BM97" s="602"/>
      <c r="BN97" s="602"/>
      <c r="BO97" s="602"/>
      <c r="BP97" s="602"/>
      <c r="BQ97" s="602"/>
      <c r="BR97" s="602"/>
      <c r="BS97" s="576"/>
      <c r="BT97" s="576"/>
      <c r="BU97" s="576"/>
      <c r="BV97" s="576"/>
      <c r="BW97" s="602"/>
      <c r="BX97" s="602"/>
      <c r="BY97" s="602"/>
      <c r="BZ97" s="576"/>
      <c r="CA97" s="602"/>
      <c r="CB97" s="602"/>
      <c r="CC97" s="576"/>
      <c r="CD97" s="576"/>
      <c r="CE97" s="602"/>
      <c r="CF97" s="576"/>
      <c r="CG97" s="576"/>
      <c r="CH97" s="576"/>
      <c r="CI97" s="576"/>
      <c r="CJ97" s="576"/>
      <c r="CK97" s="602"/>
      <c r="CL97" s="602"/>
      <c r="CM97" s="576"/>
      <c r="CN97" s="602"/>
      <c r="CO97" s="602"/>
      <c r="CP97" s="602"/>
      <c r="CQ97" s="576"/>
      <c r="CR97" s="576"/>
      <c r="CS97" s="602"/>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c r="HF97" s="88"/>
      <c r="HG97" s="88"/>
      <c r="HH97" s="88"/>
      <c r="HI97" s="88"/>
      <c r="HJ97" s="88"/>
      <c r="HK97" s="88"/>
      <c r="HL97" s="88"/>
      <c r="HM97" s="88"/>
      <c r="HN97" s="88"/>
      <c r="HO97" s="88"/>
      <c r="HP97" s="88"/>
      <c r="HQ97" s="88"/>
      <c r="HR97" s="88"/>
      <c r="HS97" s="88"/>
      <c r="HT97" s="88"/>
      <c r="HU97" s="88"/>
      <c r="HV97" s="88"/>
      <c r="HW97" s="88"/>
      <c r="HX97" s="88"/>
      <c r="HY97" s="88"/>
      <c r="HZ97" s="88"/>
      <c r="IA97" s="88"/>
      <c r="IB97" s="88"/>
      <c r="IC97" s="88"/>
      <c r="ID97" s="88"/>
      <c r="IE97" s="88"/>
      <c r="IF97" s="88"/>
      <c r="IG97" s="88"/>
      <c r="IH97" s="88"/>
      <c r="II97" s="88"/>
      <c r="IJ97" s="88"/>
      <c r="IK97" s="88"/>
      <c r="IL97" s="88"/>
      <c r="IM97" s="88"/>
      <c r="IN97" s="88"/>
      <c r="IO97" s="88"/>
      <c r="IP97" s="88"/>
      <c r="IQ97" s="88"/>
      <c r="IR97" s="88"/>
      <c r="IS97" s="88"/>
      <c r="IT97" s="88"/>
      <c r="IU97" s="88"/>
      <c r="IV97" s="88"/>
      <c r="IW97" s="88"/>
      <c r="IX97" s="88"/>
      <c r="IY97" s="88"/>
      <c r="IZ97" s="88"/>
      <c r="JA97" s="88"/>
      <c r="JB97" s="88"/>
      <c r="JC97" s="88"/>
      <c r="JD97" s="88"/>
      <c r="JE97" s="88"/>
      <c r="JF97" s="88"/>
      <c r="JG97" s="88"/>
      <c r="JH97" s="88"/>
      <c r="JI97" s="88"/>
      <c r="JJ97" s="88"/>
      <c r="JK97" s="88"/>
      <c r="JL97" s="88"/>
      <c r="JM97" s="88"/>
      <c r="JN97" s="88"/>
      <c r="JO97" s="88"/>
      <c r="JP97" s="88"/>
      <c r="JQ97" s="88"/>
      <c r="JR97" s="88"/>
      <c r="JS97" s="88"/>
      <c r="JT97" s="88"/>
      <c r="JU97" s="88"/>
      <c r="JV97" s="88"/>
      <c r="JW97" s="88"/>
      <c r="JX97" s="88"/>
      <c r="JY97" s="88"/>
      <c r="JZ97" s="88"/>
      <c r="KA97" s="88"/>
      <c r="KB97" s="88"/>
      <c r="KC97" s="88"/>
      <c r="KD97" s="88"/>
      <c r="KE97" s="88"/>
      <c r="KF97" s="88"/>
      <c r="KG97" s="88"/>
      <c r="KH97" s="88"/>
      <c r="KI97" s="88"/>
      <c r="KJ97" s="88"/>
      <c r="KK97" s="88"/>
      <c r="KL97" s="88"/>
      <c r="KM97" s="88"/>
      <c r="KN97" s="88"/>
      <c r="KO97" s="88"/>
      <c r="KP97" s="88"/>
      <c r="KQ97" s="88"/>
      <c r="KR97" s="88"/>
      <c r="KS97" s="88"/>
      <c r="KT97" s="88"/>
      <c r="KU97" s="88"/>
      <c r="KV97" s="88"/>
      <c r="KW97" s="88"/>
      <c r="KX97" s="88"/>
      <c r="KY97" s="88"/>
      <c r="KZ97" s="88"/>
      <c r="LA97" s="88"/>
      <c r="LB97" s="88"/>
      <c r="LC97" s="88"/>
      <c r="LD97" s="88"/>
      <c r="LE97" s="88"/>
      <c r="LF97" s="88"/>
      <c r="LG97" s="88"/>
      <c r="LH97" s="88"/>
      <c r="LI97" s="88"/>
      <c r="LJ97" s="88"/>
      <c r="LK97" s="88"/>
      <c r="LL97" s="88"/>
      <c r="LM97" s="88"/>
      <c r="LN97" s="88"/>
      <c r="LO97" s="88"/>
      <c r="LP97" s="88"/>
      <c r="LQ97" s="88"/>
      <c r="LR97" s="88"/>
      <c r="LS97" s="88"/>
      <c r="LT97" s="88"/>
      <c r="LU97" s="88"/>
      <c r="LV97" s="88"/>
      <c r="LW97" s="88"/>
      <c r="LX97" s="88"/>
      <c r="LY97" s="88"/>
      <c r="LZ97" s="88"/>
      <c r="MA97" s="88"/>
      <c r="MB97" s="88"/>
      <c r="MC97" s="88"/>
      <c r="MD97" s="88"/>
      <c r="ME97" s="88"/>
      <c r="MF97" s="88"/>
      <c r="MG97" s="88"/>
      <c r="MH97" s="88"/>
      <c r="MI97" s="88"/>
      <c r="MJ97" s="88"/>
      <c r="MK97" s="88"/>
      <c r="ML97" s="88"/>
      <c r="MM97" s="88"/>
      <c r="MN97" s="88"/>
      <c r="MO97" s="88"/>
      <c r="MP97" s="88"/>
      <c r="MQ97" s="88"/>
      <c r="MR97" s="88"/>
      <c r="MS97" s="88"/>
      <c r="MT97" s="88"/>
      <c r="MU97" s="88"/>
      <c r="MV97" s="88"/>
      <c r="MW97" s="88"/>
      <c r="MX97" s="88"/>
      <c r="MY97" s="88"/>
      <c r="MZ97" s="88"/>
      <c r="NA97" s="88"/>
      <c r="NB97" s="88"/>
      <c r="NC97" s="88"/>
      <c r="ND97" s="88"/>
      <c r="NE97" s="88"/>
      <c r="NF97" s="88"/>
      <c r="NG97" s="88"/>
      <c r="NH97" s="88"/>
      <c r="NI97" s="88"/>
      <c r="NJ97" s="88"/>
      <c r="NK97" s="88"/>
      <c r="NL97" s="88"/>
      <c r="NM97" s="88"/>
      <c r="NN97" s="88"/>
      <c r="NO97" s="88"/>
      <c r="NP97" s="88"/>
      <c r="NQ97" s="88"/>
      <c r="NR97" s="88"/>
      <c r="NS97" s="88"/>
      <c r="NT97" s="88"/>
      <c r="NU97" s="88"/>
      <c r="NV97" s="88"/>
      <c r="NW97" s="88"/>
      <c r="NX97" s="88"/>
      <c r="NY97" s="88"/>
      <c r="NZ97" s="88"/>
      <c r="OA97" s="88"/>
      <c r="OB97" s="88"/>
      <c r="OC97" s="88"/>
      <c r="OD97" s="88"/>
      <c r="OE97" s="88"/>
      <c r="OF97" s="88"/>
      <c r="OG97" s="88"/>
      <c r="OH97" s="88"/>
      <c r="OI97" s="88"/>
      <c r="OJ97" s="88"/>
      <c r="OK97" s="88"/>
      <c r="OL97" s="88"/>
      <c r="OM97" s="88"/>
      <c r="ON97" s="88"/>
      <c r="OO97" s="88"/>
      <c r="OP97" s="88"/>
      <c r="OQ97" s="88"/>
      <c r="OR97" s="88"/>
      <c r="OS97" s="88"/>
      <c r="OT97" s="88"/>
      <c r="OU97" s="88"/>
      <c r="OV97" s="88"/>
      <c r="OW97" s="88"/>
      <c r="OX97" s="88"/>
      <c r="OY97" s="88"/>
      <c r="OZ97" s="88"/>
      <c r="PA97" s="88"/>
      <c r="PB97" s="88"/>
      <c r="PC97" s="88"/>
      <c r="PD97" s="88"/>
      <c r="PE97" s="88"/>
      <c r="PF97" s="88"/>
      <c r="PG97" s="88"/>
      <c r="PH97" s="88"/>
      <c r="PI97" s="88"/>
      <c r="PJ97" s="88"/>
      <c r="PK97" s="88"/>
      <c r="PL97" s="88"/>
      <c r="PM97" s="88"/>
      <c r="PN97" s="88"/>
      <c r="PO97" s="88"/>
      <c r="PP97" s="88"/>
      <c r="PQ97" s="88"/>
      <c r="PR97" s="88"/>
      <c r="PS97" s="88"/>
      <c r="PT97" s="88"/>
      <c r="PU97" s="88"/>
      <c r="PV97" s="88"/>
      <c r="PW97" s="88"/>
      <c r="PX97" s="88"/>
      <c r="PY97" s="88"/>
      <c r="PZ97" s="88"/>
      <c r="QA97" s="88"/>
      <c r="QB97" s="88"/>
      <c r="QC97" s="88"/>
      <c r="QD97" s="88"/>
      <c r="QE97" s="88"/>
      <c r="QF97" s="88"/>
      <c r="QG97" s="88"/>
      <c r="QH97" s="88"/>
      <c r="QI97" s="88"/>
      <c r="QJ97" s="88"/>
      <c r="QK97" s="88"/>
      <c r="QL97" s="88"/>
      <c r="QM97" s="88"/>
      <c r="QN97" s="88"/>
      <c r="QO97" s="88"/>
      <c r="QP97" s="88"/>
      <c r="QQ97" s="88"/>
      <c r="QR97" s="88"/>
      <c r="QS97" s="88"/>
      <c r="QT97" s="88"/>
      <c r="QU97" s="88"/>
      <c r="QV97" s="88"/>
      <c r="QW97" s="88"/>
      <c r="QX97" s="88"/>
      <c r="QY97" s="88"/>
      <c r="QZ97" s="88"/>
      <c r="RA97" s="88"/>
      <c r="RB97" s="88"/>
      <c r="RC97" s="88"/>
      <c r="RD97" s="88"/>
      <c r="RE97" s="88"/>
      <c r="RF97" s="88"/>
      <c r="RG97" s="88"/>
      <c r="RH97" s="88"/>
      <c r="RI97" s="88"/>
      <c r="RJ97" s="88"/>
      <c r="RK97" s="88"/>
      <c r="RL97" s="88"/>
      <c r="RM97" s="88"/>
      <c r="RN97" s="88"/>
      <c r="RO97" s="88"/>
      <c r="RP97" s="88"/>
      <c r="RQ97" s="88"/>
      <c r="RR97" s="88"/>
      <c r="RS97" s="88"/>
      <c r="RT97" s="88"/>
      <c r="RU97" s="88"/>
      <c r="RV97" s="88"/>
      <c r="RW97" s="88"/>
      <c r="RX97" s="88"/>
      <c r="RY97" s="88"/>
      <c r="RZ97" s="88"/>
      <c r="SA97" s="88"/>
      <c r="SB97" s="88"/>
      <c r="SC97" s="88"/>
      <c r="SD97" s="88"/>
      <c r="SE97" s="88"/>
      <c r="SF97" s="88"/>
      <c r="SG97" s="88"/>
      <c r="SH97" s="88"/>
      <c r="SI97" s="88"/>
      <c r="SJ97" s="88"/>
      <c r="SK97" s="88"/>
      <c r="SL97" s="88"/>
      <c r="SM97" s="88"/>
      <c r="SN97" s="88"/>
      <c r="SO97" s="88"/>
      <c r="SP97" s="88"/>
      <c r="SQ97" s="88"/>
      <c r="SR97" s="88"/>
      <c r="SS97" s="88"/>
      <c r="ST97" s="88"/>
      <c r="SU97" s="88"/>
      <c r="SV97" s="88"/>
      <c r="SW97" s="88"/>
      <c r="SX97" s="88"/>
      <c r="SY97" s="88"/>
      <c r="SZ97" s="88"/>
      <c r="TA97" s="88"/>
      <c r="TB97" s="88"/>
      <c r="TC97" s="88"/>
      <c r="TD97" s="88"/>
      <c r="TE97" s="88"/>
      <c r="TF97" s="88"/>
      <c r="TG97" s="88"/>
      <c r="TH97" s="88"/>
      <c r="TI97" s="88"/>
      <c r="TJ97" s="88"/>
      <c r="TK97" s="88"/>
      <c r="TL97" s="88"/>
      <c r="TM97" s="88"/>
      <c r="TN97" s="88"/>
      <c r="TO97" s="88"/>
      <c r="TP97" s="88"/>
      <c r="TQ97" s="88"/>
      <c r="TR97" s="88"/>
      <c r="TS97" s="88"/>
      <c r="TT97" s="88"/>
      <c r="TU97" s="88"/>
      <c r="TV97" s="88"/>
      <c r="TW97" s="88"/>
      <c r="TX97" s="88"/>
      <c r="TY97" s="88"/>
      <c r="TZ97" s="88"/>
      <c r="UA97" s="88"/>
      <c r="UB97" s="88"/>
      <c r="UC97" s="88"/>
      <c r="UD97" s="88"/>
      <c r="UE97" s="88"/>
      <c r="UF97" s="88"/>
      <c r="UG97" s="88"/>
      <c r="UH97" s="88"/>
      <c r="UI97" s="88"/>
      <c r="UJ97" s="88"/>
      <c r="UK97" s="88"/>
      <c r="UL97" s="88"/>
      <c r="UM97" s="88"/>
      <c r="UN97" s="88"/>
      <c r="UO97" s="88"/>
      <c r="UP97" s="88"/>
      <c r="UQ97" s="88"/>
      <c r="UR97" s="88"/>
      <c r="US97" s="88"/>
      <c r="UT97" s="88"/>
      <c r="UU97" s="88"/>
      <c r="UV97" s="88"/>
      <c r="UW97" s="88"/>
      <c r="UX97" s="88"/>
      <c r="UY97" s="88"/>
      <c r="UZ97" s="88"/>
      <c r="VA97" s="88"/>
      <c r="VB97" s="88"/>
      <c r="VC97" s="88"/>
      <c r="VD97" s="88"/>
      <c r="VE97" s="88"/>
      <c r="VF97" s="88"/>
      <c r="VG97" s="88"/>
      <c r="VH97" s="88"/>
      <c r="VI97" s="88"/>
      <c r="VJ97" s="88"/>
      <c r="VK97" s="88"/>
      <c r="VL97" s="88"/>
      <c r="VM97" s="88"/>
      <c r="VN97" s="88"/>
      <c r="VO97" s="88"/>
      <c r="VP97" s="88"/>
      <c r="VQ97" s="88"/>
      <c r="VR97" s="88"/>
      <c r="VS97" s="88"/>
      <c r="VT97" s="88"/>
      <c r="VU97" s="88"/>
      <c r="VV97" s="88"/>
      <c r="VW97" s="88"/>
      <c r="VX97" s="88"/>
      <c r="VY97" s="88"/>
      <c r="VZ97" s="88"/>
      <c r="WA97" s="88"/>
      <c r="WB97" s="88"/>
      <c r="WC97" s="88"/>
      <c r="WD97" s="88"/>
      <c r="WE97" s="88"/>
      <c r="WF97" s="88"/>
      <c r="WG97" s="88"/>
      <c r="WH97" s="88"/>
      <c r="WI97" s="88"/>
      <c r="WJ97" s="88"/>
      <c r="WK97" s="88"/>
      <c r="WL97" s="88"/>
      <c r="WM97" s="88"/>
      <c r="WN97" s="88"/>
      <c r="WO97" s="88"/>
      <c r="WP97" s="88"/>
      <c r="WQ97" s="88"/>
      <c r="WR97" s="88"/>
      <c r="WS97" s="88"/>
      <c r="WT97" s="88"/>
      <c r="WU97" s="88"/>
      <c r="WV97" s="88"/>
      <c r="WW97" s="88"/>
      <c r="WX97" s="88"/>
      <c r="WY97" s="88"/>
      <c r="WZ97" s="88"/>
      <c r="XA97" s="88"/>
      <c r="XB97" s="88"/>
      <c r="XC97" s="88"/>
      <c r="XD97" s="88"/>
      <c r="XE97" s="88"/>
      <c r="XF97" s="88"/>
      <c r="XG97" s="88"/>
      <c r="XH97" s="88"/>
      <c r="XI97" s="88"/>
      <c r="XJ97" s="88"/>
      <c r="XK97" s="88"/>
      <c r="XL97" s="88"/>
      <c r="XM97" s="88"/>
      <c r="XN97" s="88"/>
      <c r="XO97" s="88"/>
      <c r="XP97" s="88"/>
      <c r="XQ97" s="88"/>
      <c r="XR97" s="88"/>
      <c r="XS97" s="88"/>
      <c r="XT97" s="88"/>
      <c r="XU97" s="88"/>
      <c r="XV97" s="88"/>
      <c r="XW97" s="88"/>
      <c r="XX97" s="88"/>
      <c r="XY97" s="88"/>
      <c r="XZ97" s="88"/>
      <c r="YA97" s="88"/>
      <c r="YB97" s="88"/>
      <c r="YC97" s="88"/>
      <c r="YD97" s="88"/>
      <c r="YE97" s="88"/>
      <c r="YF97" s="88"/>
      <c r="YG97" s="88"/>
      <c r="YH97" s="88"/>
      <c r="YI97" s="88"/>
      <c r="YJ97" s="88"/>
      <c r="YK97" s="88"/>
      <c r="YL97" s="88"/>
      <c r="YM97" s="88"/>
      <c r="YN97" s="88"/>
      <c r="YO97" s="88"/>
      <c r="YP97" s="88"/>
      <c r="YQ97" s="88"/>
      <c r="YR97" s="88"/>
      <c r="YS97" s="88"/>
      <c r="YT97" s="88"/>
      <c r="YU97" s="88"/>
      <c r="YV97" s="88"/>
      <c r="YW97" s="88"/>
      <c r="YX97" s="88"/>
      <c r="YY97" s="88"/>
      <c r="YZ97" s="88"/>
      <c r="ZA97" s="88"/>
      <c r="ZB97" s="88"/>
      <c r="ZC97" s="88"/>
      <c r="ZD97" s="88"/>
      <c r="ZE97" s="88"/>
      <c r="ZF97" s="88"/>
      <c r="ZG97" s="88"/>
      <c r="ZH97" s="88"/>
      <c r="ZI97" s="88"/>
      <c r="ZJ97" s="88"/>
      <c r="ZK97" s="88"/>
      <c r="ZL97" s="88"/>
      <c r="ZM97" s="88"/>
      <c r="ZN97" s="88"/>
      <c r="ZO97" s="88"/>
      <c r="ZP97" s="88"/>
      <c r="ZQ97" s="88"/>
      <c r="ZR97" s="88"/>
      <c r="ZS97" s="88"/>
      <c r="ZT97" s="88"/>
      <c r="ZU97" s="88"/>
      <c r="ZV97" s="88"/>
      <c r="ZW97" s="88"/>
      <c r="ZX97" s="88"/>
      <c r="ZY97" s="88"/>
      <c r="ZZ97" s="88"/>
      <c r="AAA97" s="88"/>
      <c r="AAB97" s="88"/>
      <c r="AAC97" s="88"/>
      <c r="AAD97" s="88"/>
      <c r="AAE97" s="88"/>
      <c r="AAF97" s="88"/>
      <c r="AAG97" s="88"/>
      <c r="AAH97" s="88"/>
      <c r="AAI97" s="88"/>
      <c r="AAJ97" s="88"/>
      <c r="AAK97" s="88"/>
      <c r="AAL97" s="88"/>
      <c r="AAM97" s="88"/>
      <c r="AAN97" s="88"/>
      <c r="AAO97" s="88"/>
      <c r="AAP97" s="88"/>
      <c r="AAQ97" s="88"/>
      <c r="AAR97" s="88"/>
      <c r="AAS97" s="88"/>
      <c r="AAT97" s="88"/>
      <c r="AAU97" s="88"/>
      <c r="AAV97" s="88"/>
      <c r="AAW97" s="88"/>
      <c r="AAX97" s="88"/>
      <c r="AAY97" s="88"/>
      <c r="AAZ97" s="88"/>
      <c r="ABA97" s="88"/>
      <c r="ABB97" s="88"/>
      <c r="ABC97" s="88"/>
      <c r="ABD97" s="88"/>
      <c r="ABE97" s="88"/>
      <c r="ABF97" s="88"/>
      <c r="ABG97" s="88"/>
      <c r="ABH97" s="88"/>
      <c r="ABI97" s="88"/>
      <c r="ABJ97" s="88"/>
      <c r="ABK97" s="88"/>
      <c r="ABL97" s="88"/>
      <c r="ABM97" s="88"/>
      <c r="ABN97" s="88"/>
      <c r="ABO97" s="88"/>
      <c r="ABP97" s="88"/>
      <c r="ABQ97" s="88"/>
      <c r="ABR97" s="88"/>
      <c r="ABS97" s="88"/>
      <c r="ABT97" s="88"/>
      <c r="ABU97" s="88"/>
      <c r="ABV97" s="88"/>
      <c r="ABW97" s="88"/>
      <c r="ABX97" s="88"/>
      <c r="ABY97" s="88"/>
      <c r="ABZ97" s="88"/>
      <c r="ACA97" s="88"/>
      <c r="ACB97" s="88"/>
      <c r="ACC97" s="88"/>
      <c r="ACD97" s="88"/>
      <c r="ACE97" s="88"/>
      <c r="ACF97" s="88"/>
      <c r="ACG97" s="88"/>
      <c r="ACH97" s="88"/>
      <c r="ACI97" s="88"/>
      <c r="ACJ97" s="88"/>
      <c r="ACK97" s="88"/>
      <c r="ACL97" s="88"/>
      <c r="ACM97" s="88"/>
      <c r="ACN97" s="88"/>
      <c r="ACO97" s="88"/>
      <c r="ACP97" s="88"/>
      <c r="ACQ97" s="88"/>
      <c r="ACR97" s="88"/>
      <c r="ACS97" s="88"/>
      <c r="ACT97" s="88"/>
      <c r="ACU97" s="88"/>
      <c r="ACV97" s="88"/>
      <c r="ACW97" s="88"/>
      <c r="ACX97" s="88"/>
      <c r="ACY97" s="88"/>
      <c r="ACZ97" s="88"/>
      <c r="ADA97" s="88"/>
      <c r="ADB97" s="88"/>
      <c r="ADC97" s="88"/>
      <c r="ADD97" s="88"/>
      <c r="ADE97" s="88"/>
      <c r="ADF97" s="88"/>
      <c r="ADG97" s="88"/>
      <c r="ADH97" s="88"/>
      <c r="ADI97" s="88"/>
      <c r="ADJ97" s="88"/>
      <c r="ADK97" s="88"/>
      <c r="ADL97" s="88"/>
      <c r="ADM97" s="88"/>
      <c r="ADN97" s="88"/>
      <c r="ADO97" s="88"/>
      <c r="ADP97" s="88"/>
      <c r="ADQ97" s="88"/>
      <c r="ADR97" s="88"/>
      <c r="ADS97" s="88"/>
      <c r="ADT97" s="88"/>
      <c r="ADU97" s="88"/>
      <c r="ADV97" s="88"/>
      <c r="ADW97" s="88"/>
      <c r="ADX97" s="88"/>
      <c r="ADY97" s="88"/>
      <c r="ADZ97" s="88"/>
      <c r="AEA97" s="88"/>
      <c r="AEB97" s="88"/>
      <c r="AEC97" s="88"/>
      <c r="AED97" s="88"/>
      <c r="AEE97" s="88"/>
      <c r="AEF97" s="88"/>
      <c r="AEG97" s="88"/>
      <c r="AEH97" s="88"/>
      <c r="AEI97" s="88"/>
      <c r="AEJ97" s="88"/>
      <c r="AEK97" s="88"/>
      <c r="AEL97" s="88"/>
      <c r="AEM97" s="88"/>
      <c r="AEN97" s="88"/>
      <c r="AEO97" s="88"/>
      <c r="AEP97" s="88"/>
      <c r="AEQ97" s="88"/>
      <c r="AER97" s="88"/>
      <c r="AES97" s="88"/>
      <c r="AET97" s="88"/>
      <c r="AEU97" s="88"/>
      <c r="AEV97" s="88"/>
      <c r="AEW97" s="88"/>
      <c r="AEX97" s="88"/>
      <c r="AEY97" s="88"/>
      <c r="AEZ97" s="88"/>
      <c r="AFA97" s="88"/>
      <c r="AFB97" s="88"/>
      <c r="AFC97" s="88"/>
      <c r="AFD97" s="88"/>
      <c r="AFE97" s="88"/>
      <c r="AFF97" s="88"/>
      <c r="AFG97" s="88"/>
      <c r="AFH97" s="88"/>
      <c r="AFI97" s="88"/>
      <c r="AFJ97" s="88"/>
      <c r="AFK97" s="88"/>
      <c r="AFL97" s="88"/>
      <c r="AFM97" s="88"/>
      <c r="AFN97" s="88"/>
      <c r="AFO97" s="88"/>
      <c r="AFP97" s="88"/>
      <c r="AFQ97" s="88"/>
      <c r="AFR97" s="88"/>
      <c r="AFS97" s="88"/>
      <c r="AFT97" s="88"/>
      <c r="AFU97" s="88"/>
      <c r="AFV97" s="88"/>
      <c r="AFW97" s="88"/>
      <c r="AFX97" s="88"/>
      <c r="AFY97" s="88"/>
      <c r="AFZ97" s="88"/>
      <c r="AGA97" s="88"/>
      <c r="AGB97" s="88"/>
      <c r="AGC97" s="88"/>
      <c r="AGD97" s="88"/>
      <c r="AGE97" s="88"/>
      <c r="AGF97" s="88"/>
      <c r="AGG97" s="88"/>
      <c r="AGH97" s="88"/>
      <c r="AGI97" s="88"/>
      <c r="AGJ97" s="88"/>
      <c r="AGK97" s="88"/>
      <c r="AGL97" s="88"/>
      <c r="AGM97" s="88"/>
      <c r="AGN97" s="88"/>
      <c r="AGO97" s="88"/>
      <c r="AGP97" s="88"/>
      <c r="AGQ97" s="88"/>
      <c r="AGR97" s="88"/>
      <c r="AGS97" s="88"/>
      <c r="AGT97" s="88"/>
      <c r="AGU97" s="88"/>
      <c r="AGV97" s="88"/>
      <c r="AGW97" s="88"/>
      <c r="AGX97" s="88"/>
      <c r="AGY97" s="88"/>
      <c r="AGZ97" s="88"/>
      <c r="AHA97" s="88"/>
      <c r="AHB97" s="88"/>
      <c r="AHC97" s="88"/>
      <c r="AHD97" s="88"/>
      <c r="AHE97" s="88"/>
      <c r="AHF97" s="88"/>
      <c r="AHG97" s="88"/>
      <c r="AHH97" s="88"/>
      <c r="AHI97" s="88"/>
      <c r="AHJ97" s="88"/>
      <c r="AHK97" s="88"/>
      <c r="AHL97" s="88"/>
      <c r="AHM97" s="88"/>
      <c r="AHN97" s="88"/>
      <c r="AHO97" s="88"/>
      <c r="AHP97" s="88"/>
      <c r="AHQ97" s="88"/>
      <c r="AHR97" s="88"/>
      <c r="AHS97" s="88"/>
      <c r="AHT97" s="88"/>
      <c r="AHU97" s="88"/>
      <c r="AHV97" s="88"/>
      <c r="AHW97" s="88"/>
      <c r="AHX97" s="88"/>
      <c r="AHY97" s="88"/>
      <c r="AHZ97" s="88"/>
      <c r="AIA97" s="88"/>
      <c r="AIB97" s="88"/>
      <c r="AIC97" s="88"/>
      <c r="AID97" s="88"/>
      <c r="AIE97" s="88"/>
      <c r="AIF97" s="88"/>
      <c r="AIG97" s="88"/>
      <c r="AIH97" s="88"/>
      <c r="AII97" s="88"/>
      <c r="AIJ97" s="88"/>
      <c r="AIK97" s="88"/>
      <c r="AIL97" s="88"/>
      <c r="AIM97" s="88"/>
      <c r="AIN97" s="88"/>
      <c r="AIO97" s="88"/>
      <c r="AIP97" s="88"/>
      <c r="AIQ97" s="88"/>
      <c r="AIR97" s="88"/>
      <c r="AIS97" s="88"/>
      <c r="AIT97" s="88"/>
      <c r="AIU97" s="88"/>
      <c r="AIV97" s="88"/>
      <c r="AIW97" s="88"/>
      <c r="AIX97" s="88"/>
      <c r="AIY97" s="88"/>
      <c r="AIZ97" s="88"/>
      <c r="AJA97" s="88"/>
      <c r="AJB97" s="88"/>
      <c r="AJC97" s="88"/>
      <c r="AJD97" s="88"/>
      <c r="AJE97" s="88"/>
      <c r="AJF97" s="88"/>
      <c r="AJG97" s="88"/>
      <c r="AJH97" s="88"/>
      <c r="AJI97" s="88"/>
      <c r="AJJ97" s="88"/>
      <c r="AJK97" s="88"/>
      <c r="AJL97" s="88"/>
      <c r="AJM97" s="88"/>
      <c r="AJN97" s="88"/>
      <c r="AJO97" s="88"/>
      <c r="AJP97" s="88"/>
      <c r="AJQ97" s="88"/>
      <c r="AJR97" s="88"/>
      <c r="AJS97" s="88"/>
      <c r="AJT97" s="88"/>
      <c r="AJU97" s="88"/>
      <c r="AJV97" s="88"/>
      <c r="AJW97" s="88"/>
      <c r="AJX97" s="88"/>
      <c r="AJY97" s="88"/>
      <c r="AJZ97" s="88"/>
      <c r="AKA97" s="88"/>
      <c r="AKB97" s="88"/>
      <c r="AKC97" s="88"/>
      <c r="AKD97" s="88"/>
      <c r="AKE97" s="88"/>
      <c r="AKF97" s="88"/>
      <c r="AKG97" s="88"/>
      <c r="AKH97" s="88"/>
      <c r="AKI97" s="88"/>
      <c r="AKJ97" s="88"/>
      <c r="AKK97" s="88"/>
      <c r="AKL97" s="88"/>
      <c r="AKM97" s="88"/>
      <c r="AKN97" s="88"/>
      <c r="AKO97" s="88"/>
      <c r="AKP97" s="88"/>
      <c r="AKQ97" s="88"/>
      <c r="AKR97" s="88"/>
      <c r="AKS97" s="88"/>
      <c r="AKT97" s="88"/>
      <c r="AKU97" s="88"/>
      <c r="AKV97" s="88"/>
      <c r="AKW97" s="88"/>
      <c r="AKX97" s="88"/>
      <c r="AKY97" s="88"/>
      <c r="AKZ97" s="88"/>
      <c r="ALA97" s="88"/>
      <c r="ALB97" s="88"/>
      <c r="ALC97" s="88"/>
      <c r="ALD97" s="88"/>
      <c r="ALE97" s="88"/>
      <c r="ALF97" s="88"/>
      <c r="ALG97" s="88"/>
      <c r="ALH97" s="88"/>
      <c r="ALI97" s="88"/>
      <c r="ALJ97" s="88"/>
      <c r="ALK97" s="88"/>
      <c r="ALL97" s="88"/>
      <c r="ALM97" s="88"/>
      <c r="ALN97" s="88"/>
      <c r="ALO97" s="88"/>
      <c r="ALP97" s="88"/>
      <c r="ALQ97" s="88"/>
      <c r="ALR97" s="88"/>
      <c r="ALS97" s="88"/>
      <c r="ALT97" s="88"/>
      <c r="ALU97" s="88"/>
      <c r="ALV97" s="88"/>
      <c r="ALW97" s="88"/>
      <c r="ALX97" s="88"/>
      <c r="ALY97" s="88"/>
      <c r="ALZ97" s="88"/>
      <c r="AMA97" s="88"/>
      <c r="AMB97" s="88"/>
      <c r="AMC97" s="88"/>
      <c r="AMD97" s="88"/>
      <c r="AME97" s="88"/>
      <c r="AMF97" s="88"/>
      <c r="AMG97" s="88"/>
      <c r="AMH97" s="88"/>
      <c r="AMI97" s="88"/>
      <c r="AMJ97" s="88"/>
      <c r="AMK97" s="88"/>
      <c r="AML97" s="88"/>
      <c r="AMM97" s="88"/>
      <c r="AMN97" s="88"/>
      <c r="AMO97" s="88"/>
      <c r="AMP97" s="88"/>
      <c r="AMQ97" s="88"/>
      <c r="AMR97" s="88"/>
      <c r="AMS97" s="88"/>
      <c r="AMT97" s="88"/>
      <c r="AMU97" s="88"/>
      <c r="AMV97" s="88"/>
      <c r="AMW97" s="88"/>
      <c r="AMX97" s="88"/>
      <c r="AMY97" s="88"/>
      <c r="AMZ97" s="88"/>
      <c r="ANA97" s="88"/>
      <c r="ANB97" s="88"/>
      <c r="ANC97" s="88"/>
      <c r="AND97" s="88"/>
      <c r="ANE97" s="88"/>
      <c r="ANF97" s="88"/>
      <c r="ANG97" s="88"/>
      <c r="ANH97" s="88"/>
      <c r="ANI97" s="88"/>
      <c r="ANJ97" s="88"/>
      <c r="ANK97" s="88"/>
      <c r="ANL97" s="88"/>
      <c r="ANM97" s="88"/>
      <c r="ANN97" s="88"/>
      <c r="ANO97" s="88"/>
      <c r="ANP97" s="88"/>
      <c r="ANQ97" s="88"/>
      <c r="ANR97" s="88"/>
      <c r="ANS97" s="88"/>
      <c r="ANT97" s="88"/>
      <c r="ANU97" s="88"/>
      <c r="ANV97" s="88"/>
      <c r="ANW97" s="88"/>
      <c r="ANX97" s="88"/>
      <c r="ANY97" s="88"/>
      <c r="ANZ97" s="88"/>
      <c r="AOA97" s="88"/>
      <c r="AOB97" s="88"/>
      <c r="AOC97" s="88"/>
      <c r="AOD97" s="88"/>
      <c r="AOE97" s="88"/>
      <c r="AOF97" s="88"/>
      <c r="AOG97" s="88"/>
      <c r="AOH97" s="88"/>
      <c r="AOI97" s="88"/>
      <c r="AOJ97" s="88"/>
      <c r="AOK97" s="88"/>
      <c r="AOL97" s="88"/>
      <c r="AOM97" s="88"/>
      <c r="AON97" s="88"/>
      <c r="AOO97" s="88"/>
      <c r="AOP97" s="88"/>
      <c r="AOQ97" s="88"/>
      <c r="AOR97" s="88"/>
      <c r="AOS97" s="88"/>
      <c r="AOT97" s="88"/>
      <c r="AOU97" s="88"/>
      <c r="AOV97" s="88"/>
      <c r="AOW97" s="88"/>
      <c r="AOX97" s="88"/>
      <c r="AOY97" s="88"/>
      <c r="AOZ97" s="88"/>
      <c r="APA97" s="88"/>
      <c r="APB97" s="88"/>
      <c r="APC97" s="88"/>
      <c r="APD97" s="88"/>
      <c r="APE97" s="88"/>
      <c r="APF97" s="88"/>
      <c r="APG97" s="88"/>
      <c r="APH97" s="88"/>
      <c r="API97" s="88"/>
      <c r="APJ97" s="88"/>
      <c r="APK97" s="88"/>
      <c r="APL97" s="88"/>
      <c r="APM97" s="88"/>
      <c r="APN97" s="88"/>
      <c r="APO97" s="88"/>
      <c r="APP97" s="88"/>
      <c r="APQ97" s="88"/>
      <c r="APR97" s="88"/>
      <c r="APS97" s="88"/>
      <c r="APT97" s="88"/>
      <c r="APU97" s="88"/>
      <c r="APV97" s="88"/>
      <c r="APW97" s="88"/>
      <c r="APX97" s="88"/>
      <c r="APY97" s="88"/>
      <c r="APZ97" s="88"/>
      <c r="AQA97" s="88"/>
      <c r="AQB97" s="88"/>
      <c r="AQC97" s="88"/>
      <c r="AQD97" s="88"/>
      <c r="AQE97" s="88"/>
      <c r="AQF97" s="88"/>
      <c r="AQG97" s="88"/>
      <c r="AQH97" s="88"/>
      <c r="AQI97" s="88"/>
      <c r="AQJ97" s="88"/>
      <c r="AQK97" s="88"/>
      <c r="AQL97" s="88"/>
      <c r="AQM97" s="88"/>
      <c r="AQN97" s="88"/>
      <c r="AQO97" s="88"/>
      <c r="AQP97" s="88"/>
      <c r="AQQ97" s="88"/>
      <c r="AQR97" s="88"/>
      <c r="AQS97" s="88"/>
      <c r="AQT97" s="88"/>
      <c r="AQU97" s="88"/>
      <c r="AQV97" s="88"/>
      <c r="AQW97" s="88"/>
      <c r="AQX97" s="88"/>
      <c r="AQY97" s="88"/>
      <c r="AQZ97" s="88"/>
      <c r="ARA97" s="88"/>
      <c r="ARB97" s="88"/>
      <c r="ARC97" s="88"/>
      <c r="ARD97" s="88"/>
      <c r="ARE97" s="88"/>
      <c r="ARF97" s="88"/>
      <c r="ARG97" s="88"/>
      <c r="ARH97" s="88"/>
      <c r="ARI97" s="88"/>
      <c r="ARJ97" s="88"/>
      <c r="ARK97" s="88"/>
      <c r="ARL97" s="88"/>
      <c r="ARM97" s="88"/>
      <c r="ARN97" s="88"/>
      <c r="ARO97" s="88"/>
      <c r="ARP97" s="88"/>
      <c r="ARQ97" s="88"/>
      <c r="ARR97" s="88"/>
      <c r="ARS97" s="88"/>
      <c r="ART97" s="88"/>
      <c r="ARU97" s="88"/>
      <c r="ARV97" s="88"/>
      <c r="ARW97" s="88"/>
      <c r="ARX97" s="88"/>
      <c r="ARY97" s="88"/>
      <c r="ARZ97" s="88"/>
      <c r="ASA97" s="88"/>
      <c r="ASB97" s="88"/>
      <c r="ASC97" s="88"/>
      <c r="ASD97" s="88"/>
      <c r="ASE97" s="88"/>
      <c r="ASF97" s="88"/>
      <c r="ASG97" s="88"/>
      <c r="ASH97" s="88"/>
      <c r="ASI97" s="88"/>
      <c r="ASJ97" s="88"/>
      <c r="ASK97" s="88"/>
      <c r="ASL97" s="88"/>
      <c r="ASM97" s="88"/>
      <c r="ASN97" s="88"/>
      <c r="ASO97" s="88"/>
      <c r="ASP97" s="88"/>
      <c r="ASQ97" s="88"/>
      <c r="ASR97" s="88"/>
      <c r="ASS97" s="88"/>
      <c r="AST97" s="88"/>
      <c r="ASU97" s="88"/>
      <c r="ASV97" s="88"/>
      <c r="ASW97" s="88"/>
      <c r="ASX97" s="88"/>
      <c r="ASY97" s="88"/>
      <c r="ASZ97" s="88"/>
      <c r="ATA97" s="88"/>
      <c r="ATB97" s="88"/>
      <c r="ATC97" s="88"/>
      <c r="ATD97" s="88"/>
      <c r="ATE97" s="88"/>
      <c r="ATF97" s="88"/>
      <c r="ATG97" s="88"/>
      <c r="ATH97" s="88"/>
      <c r="ATI97" s="88"/>
      <c r="ATJ97" s="88"/>
      <c r="ATK97" s="88"/>
      <c r="ATL97" s="88"/>
      <c r="ATM97" s="88"/>
      <c r="ATN97" s="88"/>
      <c r="ATO97" s="88"/>
      <c r="ATP97" s="88"/>
      <c r="ATQ97" s="88"/>
      <c r="ATR97" s="88"/>
      <c r="ATS97" s="88"/>
      <c r="ATT97" s="88"/>
      <c r="ATU97" s="88"/>
      <c r="ATV97" s="88"/>
      <c r="ATW97" s="88"/>
      <c r="ATX97" s="88"/>
      <c r="ATY97" s="88"/>
      <c r="ATZ97" s="88"/>
      <c r="AUA97" s="88"/>
      <c r="AUB97" s="88"/>
      <c r="AUC97" s="88"/>
      <c r="AUD97" s="88"/>
      <c r="AUE97" s="88"/>
      <c r="AUF97" s="88"/>
      <c r="AUG97" s="88"/>
      <c r="AUH97" s="88"/>
      <c r="AUI97" s="88"/>
      <c r="AUJ97" s="88"/>
      <c r="AUK97" s="88"/>
      <c r="AUL97" s="88"/>
      <c r="AUM97" s="88"/>
      <c r="AUN97" s="88"/>
      <c r="AUO97" s="88"/>
      <c r="AUP97" s="88"/>
      <c r="AUQ97" s="88"/>
      <c r="AUR97" s="88"/>
      <c r="AUS97" s="88"/>
      <c r="AUT97" s="88"/>
      <c r="AUU97" s="88"/>
      <c r="AUV97" s="88"/>
      <c r="AUW97" s="88"/>
      <c r="AUX97" s="88"/>
      <c r="AUY97" s="88"/>
      <c r="AUZ97" s="88"/>
      <c r="AVA97" s="88"/>
      <c r="AVB97" s="88"/>
      <c r="AVC97" s="88"/>
      <c r="AVD97" s="88"/>
      <c r="AVE97" s="88"/>
      <c r="AVF97" s="88"/>
      <c r="AVG97" s="88"/>
      <c r="AVH97" s="88"/>
      <c r="AVI97" s="88"/>
      <c r="AVJ97" s="88"/>
      <c r="AVK97" s="88"/>
      <c r="AVL97" s="88"/>
      <c r="AVM97" s="88"/>
      <c r="AVN97" s="88"/>
      <c r="AVO97" s="88"/>
      <c r="AVP97" s="88"/>
      <c r="AVQ97" s="88"/>
      <c r="AVR97" s="88"/>
      <c r="AVS97" s="88"/>
      <c r="AVT97" s="88"/>
      <c r="AVU97" s="88"/>
      <c r="AVV97" s="88"/>
      <c r="AVW97" s="88"/>
      <c r="AVX97" s="88"/>
      <c r="AVY97" s="88"/>
      <c r="AVZ97" s="88"/>
      <c r="AWA97" s="88"/>
      <c r="AWB97" s="88"/>
      <c r="AWC97" s="88"/>
      <c r="AWD97" s="88"/>
      <c r="AWE97" s="88"/>
      <c r="AWF97" s="88"/>
      <c r="AWG97" s="88"/>
      <c r="AWH97" s="88"/>
      <c r="AWI97" s="88"/>
      <c r="AWJ97" s="88"/>
      <c r="AWK97" s="88"/>
      <c r="AWL97" s="88"/>
      <c r="AWM97" s="88"/>
      <c r="AWN97" s="88"/>
      <c r="AWO97" s="88"/>
      <c r="AWP97" s="88"/>
      <c r="AWQ97" s="88"/>
      <c r="AWR97" s="88"/>
      <c r="AWS97" s="88"/>
      <c r="AWT97" s="88"/>
      <c r="AWU97" s="88"/>
      <c r="AWV97" s="88"/>
      <c r="AWW97" s="88"/>
      <c r="AWX97" s="88"/>
      <c r="AWY97" s="88"/>
      <c r="AWZ97" s="88"/>
      <c r="AXA97" s="88"/>
      <c r="AXB97" s="88"/>
      <c r="AXC97" s="88"/>
      <c r="AXD97" s="88"/>
      <c r="AXE97" s="88"/>
      <c r="AXF97" s="88"/>
      <c r="AXG97" s="88"/>
      <c r="AXH97" s="88"/>
      <c r="AXI97" s="88"/>
      <c r="AXJ97" s="88"/>
      <c r="AXK97" s="88"/>
      <c r="AXL97" s="88"/>
      <c r="AXM97" s="88"/>
      <c r="AXN97" s="88"/>
      <c r="AXO97" s="88"/>
      <c r="AXP97" s="88"/>
      <c r="AXQ97" s="88"/>
      <c r="AXR97" s="88"/>
      <c r="AXS97" s="88"/>
      <c r="AXT97" s="88"/>
      <c r="AXU97" s="88"/>
      <c r="AXV97" s="88"/>
      <c r="AXW97" s="88"/>
      <c r="AXX97" s="88"/>
      <c r="AXY97" s="88"/>
      <c r="AXZ97" s="88"/>
      <c r="AYA97" s="88"/>
      <c r="AYB97" s="88"/>
      <c r="AYC97" s="88"/>
      <c r="AYD97" s="88"/>
      <c r="AYE97" s="88"/>
      <c r="AYF97" s="88"/>
      <c r="AYG97" s="88"/>
      <c r="AYH97" s="88"/>
      <c r="AYI97" s="88"/>
      <c r="AYJ97" s="88"/>
      <c r="AYK97" s="88"/>
      <c r="AYL97" s="88"/>
      <c r="AYM97" s="88"/>
      <c r="AYN97" s="88"/>
      <c r="AYO97" s="88"/>
      <c r="AYP97" s="88"/>
      <c r="AYQ97" s="88"/>
      <c r="AYR97" s="88"/>
      <c r="AYS97" s="88"/>
      <c r="AYT97" s="88"/>
      <c r="AYU97" s="88"/>
      <c r="AYV97" s="88"/>
      <c r="AYW97" s="88"/>
      <c r="AYX97" s="88"/>
      <c r="AYY97" s="88"/>
      <c r="AYZ97" s="88"/>
      <c r="AZA97" s="88"/>
      <c r="AZB97" s="88"/>
      <c r="AZC97" s="88"/>
      <c r="AZD97" s="88"/>
      <c r="AZE97" s="88"/>
      <c r="AZF97" s="88"/>
      <c r="AZG97" s="88"/>
      <c r="AZH97" s="88"/>
      <c r="AZI97" s="88"/>
      <c r="AZJ97" s="88"/>
      <c r="AZK97" s="88"/>
      <c r="AZL97" s="88"/>
      <c r="AZM97" s="88"/>
      <c r="AZN97" s="88"/>
      <c r="AZO97" s="88"/>
      <c r="AZP97" s="88"/>
      <c r="AZQ97" s="88"/>
      <c r="AZR97" s="88"/>
      <c r="AZS97" s="88"/>
      <c r="AZT97" s="88"/>
      <c r="AZU97" s="88"/>
      <c r="AZV97" s="88"/>
      <c r="AZW97" s="88"/>
      <c r="AZX97" s="88"/>
      <c r="AZY97" s="88"/>
      <c r="AZZ97" s="88"/>
      <c r="BAA97" s="88"/>
      <c r="BAB97" s="88"/>
      <c r="BAC97" s="88"/>
      <c r="BAD97" s="88"/>
      <c r="BAE97" s="88"/>
      <c r="BAF97" s="88"/>
      <c r="BAG97" s="88"/>
      <c r="BAH97" s="88"/>
      <c r="BAI97" s="88"/>
      <c r="BAJ97" s="88"/>
      <c r="BAK97" s="88"/>
      <c r="BAL97" s="88"/>
      <c r="BAM97" s="88"/>
      <c r="BAN97" s="88"/>
      <c r="BAO97" s="88"/>
      <c r="BAP97" s="88"/>
      <c r="BAQ97" s="88"/>
      <c r="BAR97" s="88"/>
      <c r="BAS97" s="88"/>
      <c r="BAT97" s="88"/>
      <c r="BAU97" s="88"/>
      <c r="BAV97" s="88"/>
      <c r="BAW97" s="88"/>
      <c r="BAX97" s="88"/>
      <c r="BAY97" s="88"/>
      <c r="BAZ97" s="88"/>
      <c r="BBA97" s="88"/>
      <c r="BBB97" s="88"/>
      <c r="BBC97" s="88"/>
      <c r="BBD97" s="88"/>
      <c r="BBE97" s="88"/>
      <c r="BBF97" s="88"/>
      <c r="BBG97" s="88"/>
      <c r="BBH97" s="88"/>
      <c r="BBI97" s="88"/>
      <c r="BBJ97" s="88"/>
      <c r="BBK97" s="88"/>
      <c r="BBL97" s="88"/>
      <c r="BBM97" s="88"/>
      <c r="BBN97" s="88"/>
      <c r="BBO97" s="88"/>
      <c r="BBP97" s="88"/>
      <c r="BBQ97" s="88"/>
      <c r="BBR97" s="88"/>
      <c r="BBS97" s="88"/>
      <c r="BBT97" s="88"/>
      <c r="BBU97" s="88"/>
      <c r="BBV97" s="88"/>
      <c r="BBW97" s="88"/>
      <c r="BBX97" s="88"/>
      <c r="BBY97" s="88"/>
      <c r="BBZ97" s="88"/>
      <c r="BCA97" s="88"/>
      <c r="BCB97" s="88"/>
      <c r="BCC97" s="88"/>
      <c r="BCD97" s="88"/>
      <c r="BCE97" s="88"/>
      <c r="BCF97" s="88"/>
      <c r="BCG97" s="88"/>
      <c r="BCH97" s="88"/>
      <c r="BCI97" s="88"/>
      <c r="BCJ97" s="88"/>
      <c r="BCK97" s="88"/>
      <c r="BCL97" s="88"/>
      <c r="BCM97" s="88"/>
      <c r="BCN97" s="88"/>
      <c r="BCO97" s="88"/>
      <c r="BCP97" s="88"/>
      <c r="BCQ97" s="88"/>
      <c r="BCR97" s="88"/>
      <c r="BCS97" s="88"/>
      <c r="BCT97" s="88"/>
      <c r="BCU97" s="88"/>
      <c r="BCV97" s="88"/>
      <c r="BCW97" s="88"/>
      <c r="BCX97" s="88"/>
      <c r="BCY97" s="88"/>
      <c r="BCZ97" s="88"/>
      <c r="BDA97" s="88"/>
      <c r="BDB97" s="88"/>
      <c r="BDC97" s="88"/>
      <c r="BDD97" s="88"/>
      <c r="BDE97" s="88"/>
      <c r="BDF97" s="88"/>
      <c r="BDG97" s="88"/>
      <c r="BDH97" s="88"/>
      <c r="BDI97" s="88"/>
      <c r="BDJ97" s="88"/>
      <c r="BDK97" s="88"/>
      <c r="BDL97" s="88"/>
      <c r="BDM97" s="88"/>
      <c r="BDN97" s="88"/>
      <c r="BDO97" s="88"/>
      <c r="BDP97" s="88"/>
      <c r="BDQ97" s="88"/>
      <c r="BDR97" s="88"/>
      <c r="BDS97" s="88"/>
      <c r="BDT97" s="88"/>
      <c r="BDU97" s="88"/>
      <c r="BDV97" s="88"/>
      <c r="BDW97" s="88"/>
      <c r="BDX97" s="88"/>
      <c r="BDY97" s="88"/>
      <c r="BDZ97" s="88"/>
      <c r="BEA97" s="88"/>
      <c r="BEB97" s="88"/>
      <c r="BEC97" s="88"/>
      <c r="BED97" s="88"/>
      <c r="BEE97" s="88"/>
      <c r="BEF97" s="88"/>
      <c r="BEG97" s="88"/>
      <c r="BEH97" s="88"/>
      <c r="BEI97" s="88"/>
      <c r="BEJ97" s="88"/>
      <c r="BEK97" s="88"/>
      <c r="BEL97" s="88"/>
      <c r="BEM97" s="88"/>
      <c r="BEN97" s="88"/>
      <c r="BEO97" s="88"/>
      <c r="BEP97" s="88"/>
      <c r="BEQ97" s="88"/>
      <c r="BER97" s="88"/>
      <c r="BES97" s="88"/>
      <c r="BET97" s="88"/>
      <c r="BEU97" s="88"/>
      <c r="BEV97" s="88"/>
      <c r="BEW97" s="88"/>
      <c r="BEX97" s="88"/>
      <c r="BEY97" s="88"/>
      <c r="BEZ97" s="88"/>
      <c r="BFA97" s="88"/>
      <c r="BFB97" s="88"/>
      <c r="BFC97" s="88"/>
      <c r="BFD97" s="88"/>
      <c r="BFE97" s="88"/>
      <c r="BFF97" s="88"/>
      <c r="BFG97" s="88"/>
      <c r="BFH97" s="88"/>
      <c r="BFI97" s="88"/>
      <c r="BFJ97" s="88"/>
      <c r="BFK97" s="88"/>
      <c r="BFL97" s="88"/>
      <c r="BFM97" s="88"/>
      <c r="BFN97" s="88"/>
      <c r="BFO97" s="88"/>
      <c r="BFP97" s="88"/>
      <c r="BFQ97" s="88"/>
      <c r="BFR97" s="88"/>
      <c r="BFS97" s="88"/>
      <c r="BFT97" s="88"/>
      <c r="BFU97" s="88"/>
      <c r="BFV97" s="88"/>
      <c r="BFW97" s="88"/>
      <c r="BFX97" s="88"/>
      <c r="BFY97" s="88"/>
      <c r="BFZ97" s="88"/>
      <c r="BGA97" s="88"/>
      <c r="BGB97" s="88"/>
      <c r="BGC97" s="88"/>
      <c r="BGD97" s="88"/>
      <c r="BGE97" s="88"/>
      <c r="BGF97" s="88"/>
      <c r="BGG97" s="88"/>
      <c r="BGH97" s="88"/>
      <c r="BGI97" s="88"/>
      <c r="BGJ97" s="88"/>
      <c r="BGK97" s="88"/>
      <c r="BGL97" s="88"/>
      <c r="BGM97" s="88"/>
      <c r="BGN97" s="88"/>
      <c r="BGO97" s="88"/>
      <c r="BGP97" s="88"/>
      <c r="BGQ97" s="88"/>
      <c r="BGR97" s="88"/>
      <c r="BGS97" s="88"/>
      <c r="BGT97" s="88"/>
      <c r="BGU97" s="88"/>
      <c r="BGV97" s="88"/>
      <c r="BGW97" s="88"/>
      <c r="BGX97" s="88"/>
      <c r="BGY97" s="88"/>
      <c r="BGZ97" s="88"/>
      <c r="BHA97" s="88"/>
      <c r="BHB97" s="88"/>
      <c r="BHC97" s="88"/>
      <c r="BHD97" s="88"/>
      <c r="BHE97" s="88"/>
      <c r="BHF97" s="88"/>
      <c r="BHG97" s="88"/>
      <c r="BHH97" s="88"/>
      <c r="BHI97" s="88"/>
      <c r="BHJ97" s="88"/>
      <c r="BHK97" s="88"/>
      <c r="BHL97" s="88"/>
      <c r="BHM97" s="88"/>
      <c r="BHN97" s="88"/>
      <c r="BHO97" s="88"/>
      <c r="BHP97" s="88"/>
      <c r="BHQ97" s="88"/>
      <c r="BHR97" s="88"/>
      <c r="BHS97" s="88"/>
      <c r="BHT97" s="88"/>
      <c r="BHU97" s="88"/>
      <c r="BHV97" s="88"/>
      <c r="BHW97" s="88"/>
      <c r="BHX97" s="88"/>
      <c r="BHY97" s="88"/>
      <c r="BHZ97" s="88"/>
      <c r="BIA97" s="88"/>
      <c r="BIB97" s="88"/>
      <c r="BIC97" s="88"/>
      <c r="BID97" s="88"/>
      <c r="BIE97" s="88"/>
      <c r="BIF97" s="88"/>
      <c r="BIG97" s="88"/>
      <c r="BIH97" s="88"/>
      <c r="BII97" s="88"/>
      <c r="BIJ97" s="88"/>
      <c r="BIK97" s="88"/>
      <c r="BIL97" s="88"/>
      <c r="BIM97" s="88"/>
      <c r="BIN97" s="88"/>
      <c r="BIO97" s="88"/>
      <c r="BIP97" s="88"/>
      <c r="BIQ97" s="88"/>
      <c r="BIR97" s="88"/>
      <c r="BIS97" s="88"/>
      <c r="BIT97" s="88"/>
      <c r="BIU97" s="88"/>
      <c r="BIV97" s="88"/>
      <c r="BIW97" s="88"/>
      <c r="BIX97" s="88"/>
      <c r="BIY97" s="88"/>
      <c r="BIZ97" s="88"/>
      <c r="BJA97" s="88"/>
      <c r="BJB97" s="88"/>
      <c r="BJC97" s="88"/>
      <c r="BJD97" s="88"/>
      <c r="BJE97" s="88"/>
      <c r="BJF97" s="88"/>
      <c r="BJG97" s="88"/>
      <c r="BJH97" s="88"/>
      <c r="BJI97" s="88"/>
      <c r="BJJ97" s="88"/>
      <c r="BJK97" s="88"/>
      <c r="BJL97" s="88"/>
      <c r="BJM97" s="88"/>
      <c r="BJN97" s="88"/>
      <c r="BJO97" s="88"/>
      <c r="BJP97" s="88"/>
      <c r="BJQ97" s="88"/>
      <c r="BJR97" s="88"/>
      <c r="BJS97" s="88"/>
      <c r="BJT97" s="88"/>
      <c r="BJU97" s="88"/>
      <c r="BJV97" s="88"/>
      <c r="BJW97" s="88"/>
      <c r="BJX97" s="88"/>
      <c r="BJY97" s="88"/>
      <c r="BJZ97" s="88"/>
      <c r="BKA97" s="88"/>
      <c r="BKB97" s="88"/>
      <c r="BKC97" s="88"/>
      <c r="BKD97" s="88"/>
      <c r="BKE97" s="88"/>
      <c r="BKF97" s="88"/>
      <c r="BKG97" s="88"/>
      <c r="BKH97" s="88"/>
      <c r="BKI97" s="88"/>
      <c r="BKJ97" s="88"/>
      <c r="BKK97" s="88"/>
      <c r="BKL97" s="88"/>
      <c r="BKM97" s="88"/>
      <c r="BKN97" s="88"/>
      <c r="BKO97" s="88"/>
      <c r="BKP97" s="88"/>
      <c r="BKQ97" s="88"/>
      <c r="BKR97" s="88"/>
      <c r="BKS97" s="88"/>
      <c r="BKT97" s="88"/>
      <c r="BKU97" s="88"/>
      <c r="BKV97" s="88"/>
      <c r="BKW97" s="88"/>
      <c r="BKX97" s="88"/>
      <c r="BKY97" s="88"/>
      <c r="BKZ97" s="88"/>
      <c r="BLA97" s="88"/>
      <c r="BLB97" s="88"/>
      <c r="BLC97" s="88"/>
      <c r="BLD97" s="88"/>
      <c r="BLE97" s="88"/>
      <c r="BLF97" s="88"/>
      <c r="BLG97" s="88"/>
      <c r="BLH97" s="88"/>
      <c r="BLI97" s="88"/>
      <c r="BLJ97" s="88"/>
      <c r="BLK97" s="88"/>
      <c r="BLL97" s="88"/>
      <c r="BLM97" s="88"/>
      <c r="BLN97" s="88"/>
      <c r="BLO97" s="88"/>
      <c r="BLP97" s="88"/>
      <c r="BLQ97" s="88"/>
      <c r="BLR97" s="88"/>
      <c r="BLS97" s="88"/>
      <c r="BLT97" s="88"/>
      <c r="BLU97" s="88"/>
      <c r="BLV97" s="88"/>
      <c r="BLW97" s="88"/>
      <c r="BLX97" s="88"/>
      <c r="BLY97" s="88"/>
      <c r="BLZ97" s="88"/>
      <c r="BMA97" s="88"/>
      <c r="BMB97" s="88"/>
      <c r="BMC97" s="88"/>
      <c r="BMD97" s="88"/>
      <c r="BME97" s="88"/>
      <c r="BMF97" s="88"/>
      <c r="BMG97" s="88"/>
      <c r="BMH97" s="88"/>
      <c r="BMI97" s="88"/>
      <c r="BMJ97" s="88"/>
      <c r="BMK97" s="88"/>
      <c r="BML97" s="88"/>
      <c r="BMM97" s="88"/>
      <c r="BMN97" s="88"/>
      <c r="BMO97" s="88"/>
      <c r="BMP97" s="88"/>
      <c r="BMQ97" s="88"/>
      <c r="BMR97" s="88"/>
      <c r="BMS97" s="88"/>
      <c r="BMT97" s="88"/>
      <c r="BMU97" s="88"/>
      <c r="BMV97" s="88"/>
      <c r="BMW97" s="88"/>
      <c r="BMX97" s="88"/>
      <c r="BMY97" s="88"/>
      <c r="BMZ97" s="88"/>
      <c r="BNA97" s="88"/>
      <c r="BNB97" s="88"/>
      <c r="BNC97" s="88"/>
      <c r="BND97" s="88"/>
      <c r="BNE97" s="88"/>
      <c r="BNF97" s="88"/>
      <c r="BNG97" s="88"/>
      <c r="BNH97" s="88"/>
      <c r="BNI97" s="88"/>
      <c r="BNJ97" s="88"/>
      <c r="BNK97" s="88"/>
      <c r="BNL97" s="88"/>
      <c r="BNM97" s="88"/>
      <c r="BNN97" s="88"/>
      <c r="BNO97" s="88"/>
      <c r="BNP97" s="88"/>
      <c r="BNQ97" s="88"/>
      <c r="BNR97" s="88"/>
      <c r="BNS97" s="88"/>
      <c r="BNT97" s="88"/>
      <c r="BNU97" s="88"/>
      <c r="BNV97" s="88"/>
      <c r="BNW97" s="88"/>
      <c r="BNX97" s="88"/>
      <c r="BNY97" s="88"/>
      <c r="BNZ97" s="88"/>
      <c r="BOA97" s="88"/>
      <c r="BOB97" s="88"/>
      <c r="BOC97" s="88"/>
      <c r="BOD97" s="88"/>
      <c r="BOE97" s="88"/>
      <c r="BOF97" s="88"/>
      <c r="BOG97" s="88"/>
      <c r="BOH97" s="88"/>
      <c r="BOI97" s="88"/>
      <c r="BOJ97" s="88"/>
      <c r="BOK97" s="88"/>
      <c r="BOL97" s="88"/>
      <c r="BOM97" s="88"/>
      <c r="BON97" s="88"/>
      <c r="BOO97" s="88"/>
      <c r="BOP97" s="88"/>
      <c r="BOQ97" s="88"/>
      <c r="BOR97" s="88"/>
      <c r="BOS97" s="88"/>
      <c r="BOT97" s="88"/>
      <c r="BOU97" s="88"/>
      <c r="BOV97" s="88"/>
      <c r="BOW97" s="88"/>
      <c r="BOX97" s="88"/>
      <c r="BOY97" s="88"/>
      <c r="BOZ97" s="88"/>
      <c r="BPA97" s="88"/>
      <c r="BPB97" s="88"/>
      <c r="BPC97" s="88"/>
      <c r="BPD97" s="88"/>
      <c r="BPE97" s="88"/>
      <c r="BPF97" s="88"/>
      <c r="BPG97" s="88"/>
      <c r="BPH97" s="88"/>
      <c r="BPI97" s="88"/>
      <c r="BPJ97" s="88"/>
      <c r="BPK97" s="88"/>
      <c r="BPL97" s="88"/>
      <c r="BPM97" s="88"/>
      <c r="BPN97" s="88"/>
      <c r="BPO97" s="88"/>
      <c r="BPP97" s="88"/>
      <c r="BPQ97" s="88"/>
      <c r="BPR97" s="88"/>
      <c r="BPS97" s="88"/>
      <c r="BPT97" s="88"/>
      <c r="BPU97" s="88"/>
      <c r="BPV97" s="88"/>
      <c r="BPW97" s="88"/>
      <c r="BPX97" s="88"/>
      <c r="BPY97" s="88"/>
      <c r="BPZ97" s="88"/>
      <c r="BQA97" s="88"/>
      <c r="BQB97" s="88"/>
      <c r="BQC97" s="88"/>
      <c r="BQD97" s="88"/>
      <c r="BQE97" s="88"/>
      <c r="BQF97" s="88"/>
      <c r="BQG97" s="88"/>
      <c r="BQH97" s="88"/>
      <c r="BQI97" s="88"/>
      <c r="BQJ97" s="88"/>
      <c r="BQK97" s="88"/>
      <c r="BQL97" s="88"/>
      <c r="BQM97" s="88"/>
      <c r="BQN97" s="88"/>
      <c r="BQO97" s="88"/>
      <c r="BQP97" s="88"/>
      <c r="BQQ97" s="88"/>
      <c r="BQR97" s="88"/>
      <c r="BQS97" s="88"/>
      <c r="BQT97" s="88"/>
      <c r="BQU97" s="88"/>
      <c r="BQV97" s="88"/>
      <c r="BQW97" s="88"/>
      <c r="BQX97" s="88"/>
      <c r="BQY97" s="88"/>
      <c r="BQZ97" s="88"/>
      <c r="BRA97" s="88"/>
      <c r="BRB97" s="88"/>
      <c r="BRC97" s="88"/>
      <c r="BRD97" s="88"/>
      <c r="BRE97" s="88"/>
      <c r="BRF97" s="88"/>
      <c r="BRG97" s="88"/>
      <c r="BRH97" s="88"/>
      <c r="BRI97" s="88"/>
      <c r="BRJ97" s="88"/>
      <c r="BRK97" s="88"/>
      <c r="BRL97" s="88"/>
      <c r="BRM97" s="88"/>
      <c r="BRN97" s="88"/>
      <c r="BRO97" s="88"/>
      <c r="BRP97" s="88"/>
      <c r="BRQ97" s="88"/>
      <c r="BRR97" s="88"/>
      <c r="BRS97" s="88"/>
      <c r="BRT97" s="88"/>
      <c r="BRU97" s="88"/>
      <c r="BRV97" s="88"/>
      <c r="BRW97" s="88"/>
      <c r="BRX97" s="88"/>
      <c r="BRY97" s="88"/>
      <c r="BRZ97" s="88"/>
      <c r="BSA97" s="88"/>
      <c r="BSB97" s="88"/>
      <c r="BSC97" s="88"/>
      <c r="BSD97" s="88"/>
      <c r="BSE97" s="88"/>
      <c r="BSF97" s="88"/>
      <c r="BSG97" s="88"/>
      <c r="BSH97" s="88"/>
      <c r="BSI97" s="88"/>
      <c r="BSJ97" s="88"/>
      <c r="BSK97" s="88"/>
      <c r="BSL97" s="88"/>
      <c r="BSM97" s="88"/>
      <c r="BSN97" s="88"/>
      <c r="BSO97" s="88"/>
      <c r="BSP97" s="88"/>
      <c r="BSQ97" s="88"/>
      <c r="BSR97" s="88"/>
      <c r="BSS97" s="88"/>
      <c r="BST97" s="88"/>
      <c r="BSU97" s="88"/>
      <c r="BSV97" s="88"/>
      <c r="BSW97" s="88"/>
      <c r="BSX97" s="88"/>
      <c r="BSY97" s="88"/>
      <c r="BSZ97" s="88"/>
      <c r="BTA97" s="88"/>
      <c r="BTB97" s="88"/>
      <c r="BTC97" s="88"/>
      <c r="BTD97" s="88"/>
      <c r="BTE97" s="88"/>
      <c r="BTF97" s="88"/>
      <c r="BTG97" s="88"/>
      <c r="BTH97" s="88"/>
      <c r="BTI97" s="88"/>
      <c r="BTJ97" s="88"/>
      <c r="BTK97" s="88"/>
      <c r="BTL97" s="88"/>
      <c r="BTM97" s="88"/>
      <c r="BTN97" s="88"/>
      <c r="BTO97" s="88"/>
      <c r="BTP97" s="88"/>
      <c r="BTQ97" s="88"/>
      <c r="BTR97" s="88"/>
      <c r="BTS97" s="88"/>
      <c r="BTT97" s="88"/>
      <c r="BTU97" s="88"/>
      <c r="BTV97" s="88"/>
      <c r="BTW97" s="88"/>
      <c r="BTX97" s="88"/>
      <c r="BTY97" s="88"/>
      <c r="BTZ97" s="88"/>
      <c r="BUA97" s="88"/>
      <c r="BUB97" s="88"/>
      <c r="BUC97" s="88"/>
      <c r="BUD97" s="88"/>
      <c r="BUE97" s="88"/>
      <c r="BUF97" s="88"/>
      <c r="BUG97" s="88"/>
      <c r="BUH97" s="88"/>
      <c r="BUI97" s="88"/>
      <c r="BUJ97" s="88"/>
      <c r="BUK97" s="88"/>
      <c r="BUL97" s="88"/>
      <c r="BUM97" s="88"/>
      <c r="BUN97" s="88"/>
      <c r="BUO97" s="88"/>
      <c r="BUP97" s="88"/>
      <c r="BUQ97" s="88"/>
      <c r="BUR97" s="88"/>
      <c r="BUS97" s="88"/>
      <c r="BUT97" s="88"/>
      <c r="BUU97" s="88"/>
      <c r="BUV97" s="88"/>
      <c r="BUW97" s="88"/>
      <c r="BUX97" s="88"/>
      <c r="BUY97" s="88"/>
      <c r="BUZ97" s="88"/>
      <c r="BVA97" s="88"/>
      <c r="BVB97" s="88"/>
      <c r="BVC97" s="88"/>
      <c r="BVD97" s="88"/>
      <c r="BVE97" s="88"/>
      <c r="BVF97" s="88"/>
      <c r="BVG97" s="88"/>
      <c r="BVH97" s="88"/>
      <c r="BVI97" s="88"/>
      <c r="BVJ97" s="88"/>
      <c r="BVK97" s="88"/>
      <c r="BVL97" s="88"/>
      <c r="BVM97" s="88"/>
      <c r="BVN97" s="88"/>
      <c r="BVO97" s="88"/>
      <c r="BVP97" s="88"/>
      <c r="BVQ97" s="88"/>
      <c r="BVR97" s="88"/>
      <c r="BVS97" s="88"/>
      <c r="BVT97" s="88"/>
      <c r="BVU97" s="88"/>
      <c r="BVV97" s="88"/>
      <c r="BVW97" s="88"/>
      <c r="BVX97" s="88"/>
      <c r="BVY97" s="88"/>
      <c r="BVZ97" s="88"/>
      <c r="BWA97" s="88"/>
      <c r="BWB97" s="88"/>
      <c r="BWC97" s="88"/>
      <c r="BWD97" s="88"/>
      <c r="BWE97" s="88"/>
      <c r="BWF97" s="88"/>
      <c r="BWG97" s="88"/>
      <c r="BWH97" s="88"/>
      <c r="BWI97" s="88"/>
      <c r="BWJ97" s="88"/>
      <c r="BWK97" s="88"/>
      <c r="BWL97" s="88"/>
      <c r="BWM97" s="88"/>
      <c r="BWN97" s="88"/>
      <c r="BWO97" s="88"/>
      <c r="BWP97" s="88"/>
      <c r="BWQ97" s="88"/>
      <c r="BWR97" s="88"/>
      <c r="BWS97" s="88"/>
      <c r="BWT97" s="88"/>
      <c r="BWU97" s="88"/>
      <c r="BWV97" s="88"/>
      <c r="BWW97" s="88"/>
      <c r="BWX97" s="88"/>
      <c r="BWY97" s="88"/>
      <c r="BWZ97" s="88"/>
      <c r="BXA97" s="88"/>
      <c r="BXB97" s="88"/>
      <c r="BXC97" s="88"/>
      <c r="BXD97" s="88"/>
      <c r="BXE97" s="88"/>
      <c r="BXF97" s="88"/>
      <c r="BXG97" s="88"/>
      <c r="BXH97" s="88"/>
      <c r="BXI97" s="88"/>
      <c r="BXJ97" s="88"/>
      <c r="BXK97" s="88"/>
      <c r="BXL97" s="88"/>
      <c r="BXM97" s="88"/>
      <c r="BXN97" s="88"/>
      <c r="BXO97" s="88"/>
      <c r="BXP97" s="88"/>
      <c r="BXQ97" s="88"/>
      <c r="BXR97" s="88"/>
      <c r="BXS97" s="88"/>
      <c r="BXT97" s="88"/>
      <c r="BXU97" s="88"/>
      <c r="BXV97" s="88"/>
      <c r="BXW97" s="88"/>
      <c r="BXX97" s="88"/>
      <c r="BXY97" s="88"/>
      <c r="BXZ97" s="88"/>
      <c r="BYA97" s="88"/>
      <c r="BYB97" s="88"/>
      <c r="BYC97" s="88"/>
      <c r="BYD97" s="88"/>
      <c r="BYE97" s="88"/>
      <c r="BYF97" s="88"/>
      <c r="BYG97" s="88"/>
      <c r="BYH97" s="88"/>
      <c r="BYI97" s="88"/>
      <c r="BYJ97" s="88"/>
      <c r="BYK97" s="88"/>
      <c r="BYL97" s="88"/>
      <c r="BYM97" s="88"/>
      <c r="BYN97" s="88"/>
      <c r="BYO97" s="88"/>
      <c r="BYP97" s="88"/>
      <c r="BYQ97" s="88"/>
      <c r="BYR97" s="88"/>
      <c r="BYS97" s="88"/>
      <c r="BYT97" s="88"/>
      <c r="BYU97" s="88"/>
      <c r="BYV97" s="88"/>
      <c r="BYW97" s="88"/>
      <c r="BYX97" s="88"/>
      <c r="BYY97" s="88"/>
      <c r="BYZ97" s="88"/>
      <c r="BZA97" s="88"/>
      <c r="BZB97" s="88"/>
      <c r="BZC97" s="88"/>
      <c r="BZD97" s="88"/>
      <c r="BZE97" s="88"/>
      <c r="BZF97" s="88"/>
      <c r="BZG97" s="88"/>
      <c r="BZH97" s="88"/>
      <c r="BZI97" s="88"/>
      <c r="BZJ97" s="88"/>
      <c r="BZK97" s="88"/>
      <c r="BZL97" s="88"/>
      <c r="BZM97" s="88"/>
      <c r="BZN97" s="88"/>
      <c r="BZO97" s="88"/>
      <c r="BZP97" s="88"/>
      <c r="BZQ97" s="88"/>
      <c r="BZR97" s="88"/>
      <c r="BZS97" s="88"/>
      <c r="BZT97" s="88"/>
      <c r="BZU97" s="88"/>
      <c r="BZV97" s="88"/>
      <c r="BZW97" s="88"/>
      <c r="BZX97" s="88"/>
      <c r="BZY97" s="88"/>
      <c r="BZZ97" s="88"/>
      <c r="CAA97" s="88"/>
      <c r="CAB97" s="88"/>
      <c r="CAC97" s="88"/>
      <c r="CAD97" s="88"/>
      <c r="CAE97" s="88"/>
      <c r="CAF97" s="88"/>
      <c r="CAG97" s="88"/>
      <c r="CAH97" s="88"/>
      <c r="CAI97" s="88"/>
      <c r="CAJ97" s="88"/>
      <c r="CAK97" s="88"/>
      <c r="CAL97" s="88"/>
      <c r="CAM97" s="88"/>
      <c r="CAN97" s="88"/>
      <c r="CAO97" s="88"/>
      <c r="CAP97" s="88"/>
      <c r="CAQ97" s="88"/>
      <c r="CAR97" s="88"/>
      <c r="CAS97" s="88"/>
      <c r="CAT97" s="88"/>
      <c r="CAU97" s="88"/>
      <c r="CAV97" s="88"/>
      <c r="CAW97" s="88"/>
      <c r="CAX97" s="88"/>
      <c r="CAY97" s="88"/>
      <c r="CAZ97" s="88"/>
      <c r="CBA97" s="88"/>
      <c r="CBB97" s="88"/>
      <c r="CBC97" s="88"/>
      <c r="CBD97" s="88"/>
      <c r="CBE97" s="88"/>
      <c r="CBF97" s="88"/>
      <c r="CBG97" s="88"/>
      <c r="CBH97" s="88"/>
      <c r="CBI97" s="88"/>
      <c r="CBJ97" s="88"/>
      <c r="CBK97" s="88"/>
      <c r="CBL97" s="88"/>
      <c r="CBM97" s="88"/>
      <c r="CBN97" s="88"/>
      <c r="CBO97" s="88"/>
      <c r="CBP97" s="88"/>
      <c r="CBQ97" s="88"/>
      <c r="CBR97" s="88"/>
      <c r="CBS97" s="88"/>
      <c r="CBT97" s="88"/>
      <c r="CBU97" s="88"/>
      <c r="CBV97" s="88"/>
      <c r="CBW97" s="88"/>
      <c r="CBX97" s="88"/>
      <c r="CBY97" s="88"/>
      <c r="CBZ97" s="88"/>
      <c r="CCA97" s="88"/>
      <c r="CCB97" s="88"/>
      <c r="CCC97" s="88"/>
      <c r="CCD97" s="88"/>
      <c r="CCE97" s="88"/>
      <c r="CCF97" s="88"/>
      <c r="CCG97" s="88"/>
      <c r="CCH97" s="88"/>
      <c r="CCI97" s="88"/>
      <c r="CCJ97" s="88"/>
      <c r="CCK97" s="88"/>
      <c r="CCL97" s="88"/>
      <c r="CCM97" s="88"/>
      <c r="CCN97" s="88"/>
      <c r="CCO97" s="88"/>
      <c r="CCP97" s="88"/>
      <c r="CCQ97" s="88"/>
      <c r="CCR97" s="88"/>
      <c r="CCS97" s="88"/>
      <c r="CCT97" s="88"/>
      <c r="CCU97" s="88"/>
      <c r="CCV97" s="88"/>
      <c r="CCW97" s="88"/>
      <c r="CCX97" s="88"/>
      <c r="CCY97" s="88"/>
      <c r="CCZ97" s="88"/>
      <c r="CDA97" s="88"/>
      <c r="CDB97" s="88"/>
      <c r="CDC97" s="88"/>
      <c r="CDD97" s="88"/>
      <c r="CDE97" s="88"/>
      <c r="CDF97" s="88"/>
      <c r="CDG97" s="88"/>
      <c r="CDH97" s="88"/>
      <c r="CDI97" s="88"/>
      <c r="CDJ97" s="88"/>
      <c r="CDK97" s="88"/>
      <c r="CDL97" s="88"/>
      <c r="CDM97" s="88"/>
      <c r="CDN97" s="88"/>
      <c r="CDO97" s="88"/>
      <c r="CDP97" s="88"/>
      <c r="CDQ97" s="88"/>
      <c r="CDR97" s="88"/>
      <c r="CDS97" s="88"/>
      <c r="CDT97" s="88"/>
      <c r="CDU97" s="88"/>
      <c r="CDV97" s="88"/>
      <c r="CDW97" s="88"/>
      <c r="CDX97" s="88"/>
      <c r="CDY97" s="88"/>
      <c r="CDZ97" s="88"/>
      <c r="CEA97" s="88"/>
      <c r="CEB97" s="88"/>
      <c r="CEC97" s="88"/>
      <c r="CED97" s="88"/>
      <c r="CEE97" s="88"/>
      <c r="CEF97" s="88"/>
      <c r="CEG97" s="88"/>
      <c r="CEH97" s="88"/>
      <c r="CEI97" s="88"/>
      <c r="CEJ97" s="88"/>
      <c r="CEK97" s="88"/>
    </row>
    <row r="98" spans="1:2169" s="51" customFormat="1">
      <c r="A98" s="72" t="s">
        <v>2865</v>
      </c>
      <c r="B98" s="72" t="s">
        <v>2866</v>
      </c>
      <c r="C98" s="69" t="str">
        <f>IF('page 2'!$O$4="","",IF('page 2'!$O$4=Gestion!A98,1,0))</f>
        <v/>
      </c>
      <c r="D98" s="69" t="str">
        <f>IF('page 2'!$O$5="","",IF('page 2'!$O$5=Gestion!A98,1,0))</f>
        <v/>
      </c>
      <c r="E98" s="69" t="str">
        <f>IF('page 2'!$O$6="","",IF('page 2'!$O$6=Gestion!A98,1,0))</f>
        <v/>
      </c>
      <c r="F98" s="69" t="str">
        <f>IF('page 2'!$O$7="","",IF('page 2'!$O$7=Gestion!A98,1,0))</f>
        <v/>
      </c>
      <c r="G98" s="69" t="str">
        <f>IF('page 2'!$O$8="","",IF('page 2'!$O$8=Gestion!A98,1,0))</f>
        <v/>
      </c>
      <c r="H98" s="69" t="str">
        <f>IF('page 2'!$O$9="","",IF('page 2'!$O$9=Gestion!A98,1,0))</f>
        <v/>
      </c>
      <c r="I98" s="69" t="str">
        <f>IF('page 2'!$O$10="","",IF('page 2'!$O$10=Gestion!A98,1,0))</f>
        <v/>
      </c>
      <c r="J98" s="69" t="str">
        <f>IF('page 2'!$O$11="","",IF('page 2'!$O$11=Gestion!A98,1,0))</f>
        <v/>
      </c>
      <c r="K98" s="69" t="str">
        <f>IF('page 2'!$O$12="","",IF('page 2'!$O$12=Gestion!A98,1,0))</f>
        <v/>
      </c>
      <c r="L98" s="69" t="str">
        <f>IF('page 2'!$O$13="","",IF('page 2'!$O$13=Gestion!A98,1,0))</f>
        <v/>
      </c>
      <c r="M98" s="69" t="str">
        <f>IF('page 2'!$O$14="","",IF('page 2'!$O$14=Gestion!A98,1,0))</f>
        <v/>
      </c>
      <c r="N98" s="69" t="str">
        <f>IF('page 2'!$O$15="","",IF('page 2'!$O$15=Gestion!A98,1,0))</f>
        <v/>
      </c>
      <c r="O98" s="69" t="str">
        <f>IF('page 2'!$O$16="","",IF('page 2'!$O$16=Gestion!A98,1,0))</f>
        <v/>
      </c>
      <c r="P98" s="69" t="str">
        <f>IF('page 2'!$O$17="","",IF('page 2'!$O$17=Gestion!A98,1,0))</f>
        <v/>
      </c>
      <c r="Q98" s="69" t="str">
        <f>IF('page 2'!$O$18="","",IF('page 2'!$O$18=Gestion!A98,1,0))</f>
        <v/>
      </c>
      <c r="R98" s="69" t="str">
        <f>IF('page 2'!$O$19="","",IF('page 2'!$O$19=Gestion!A98,1,0))</f>
        <v/>
      </c>
      <c r="S98" s="69" t="str">
        <f>IF('page 2'!$O$20="","",IF('page 2'!$O$20=Gestion!A98,1,0))</f>
        <v/>
      </c>
      <c r="T98" s="69" t="str">
        <f>IF('page 2'!$O$25="","",IF('page 2'!$O$25=Gestion!A98,1,0))</f>
        <v/>
      </c>
      <c r="U98" s="69" t="str">
        <f>IF('page 2'!$O$26="","",IF('page 2'!$O$26=Gestion!A98,1,0))</f>
        <v/>
      </c>
      <c r="V98" s="69" t="str">
        <f>IF('page 2'!$O$27="","",IF('page 2'!$O$27=Gestion!A98,1,0))</f>
        <v/>
      </c>
      <c r="W98" s="723">
        <f t="shared" si="14"/>
        <v>0</v>
      </c>
      <c r="X98" s="713"/>
      <c r="Y98" s="69"/>
      <c r="Z98" s="69"/>
      <c r="AA98" s="69"/>
      <c r="AB98" s="542"/>
      <c r="AC98" s="542"/>
      <c r="AD98" s="542"/>
      <c r="AE98" s="88"/>
      <c r="AP98" s="130"/>
      <c r="AQ98" s="130"/>
      <c r="AR98" s="130"/>
      <c r="AS98" s="576"/>
      <c r="AT98" s="576"/>
      <c r="AU98" s="576"/>
      <c r="AV98" s="576"/>
      <c r="AW98" s="602"/>
      <c r="AX98" s="602"/>
      <c r="AY98" s="576"/>
      <c r="AZ98" s="576"/>
      <c r="BA98" s="576"/>
      <c r="BB98" s="576"/>
      <c r="BC98" s="576"/>
      <c r="BD98" s="602"/>
      <c r="BE98" s="602"/>
      <c r="BF98" s="602"/>
      <c r="BG98" s="602"/>
      <c r="BH98" s="602"/>
      <c r="BI98" s="602"/>
      <c r="BJ98" s="602"/>
      <c r="BK98" s="602"/>
      <c r="BL98" s="602"/>
      <c r="BM98" s="602"/>
      <c r="BN98" s="602"/>
      <c r="BO98" s="602"/>
      <c r="BP98" s="602"/>
      <c r="BQ98" s="602"/>
      <c r="BR98" s="602"/>
      <c r="BS98" s="576"/>
      <c r="BT98" s="576"/>
      <c r="BU98" s="576"/>
      <c r="BV98" s="576"/>
      <c r="BW98" s="602"/>
      <c r="BX98" s="602"/>
      <c r="BY98" s="602"/>
      <c r="BZ98" s="576"/>
      <c r="CA98" s="602"/>
      <c r="CB98" s="602"/>
      <c r="CC98" s="576"/>
      <c r="CD98" s="576"/>
      <c r="CE98" s="602"/>
      <c r="CF98" s="576"/>
      <c r="CG98" s="576"/>
      <c r="CH98" s="576"/>
      <c r="CI98" s="576"/>
      <c r="CJ98" s="576"/>
      <c r="CK98" s="602"/>
      <c r="CL98" s="602"/>
      <c r="CM98" s="576"/>
      <c r="CN98" s="602"/>
      <c r="CO98" s="602"/>
      <c r="CP98" s="602"/>
      <c r="CQ98" s="576"/>
      <c r="CR98" s="576"/>
      <c r="CS98" s="602"/>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c r="HF98" s="88"/>
      <c r="HG98" s="88"/>
      <c r="HH98" s="88"/>
      <c r="HI98" s="88"/>
      <c r="HJ98" s="88"/>
      <c r="HK98" s="88"/>
      <c r="HL98" s="88"/>
      <c r="HM98" s="88"/>
      <c r="HN98" s="88"/>
      <c r="HO98" s="88"/>
      <c r="HP98" s="88"/>
      <c r="HQ98" s="88"/>
      <c r="HR98" s="88"/>
      <c r="HS98" s="88"/>
      <c r="HT98" s="88"/>
      <c r="HU98" s="88"/>
      <c r="HV98" s="88"/>
      <c r="HW98" s="88"/>
      <c r="HX98" s="88"/>
      <c r="HY98" s="88"/>
      <c r="HZ98" s="88"/>
      <c r="IA98" s="88"/>
      <c r="IB98" s="88"/>
      <c r="IC98" s="88"/>
      <c r="ID98" s="88"/>
      <c r="IE98" s="88"/>
      <c r="IF98" s="88"/>
      <c r="IG98" s="88"/>
      <c r="IH98" s="88"/>
      <c r="II98" s="88"/>
      <c r="IJ98" s="88"/>
      <c r="IK98" s="88"/>
      <c r="IL98" s="88"/>
      <c r="IM98" s="88"/>
      <c r="IN98" s="88"/>
      <c r="IO98" s="88"/>
      <c r="IP98" s="88"/>
      <c r="IQ98" s="88"/>
      <c r="IR98" s="88"/>
      <c r="IS98" s="88"/>
      <c r="IT98" s="88"/>
      <c r="IU98" s="88"/>
      <c r="IV98" s="88"/>
      <c r="IW98" s="88"/>
      <c r="IX98" s="88"/>
      <c r="IY98" s="88"/>
      <c r="IZ98" s="88"/>
      <c r="JA98" s="88"/>
      <c r="JB98" s="88"/>
      <c r="JC98" s="88"/>
      <c r="JD98" s="88"/>
      <c r="JE98" s="88"/>
      <c r="JF98" s="88"/>
      <c r="JG98" s="88"/>
      <c r="JH98" s="88"/>
      <c r="JI98" s="88"/>
      <c r="JJ98" s="88"/>
      <c r="JK98" s="88"/>
      <c r="JL98" s="88"/>
      <c r="JM98" s="88"/>
      <c r="JN98" s="88"/>
      <c r="JO98" s="88"/>
      <c r="JP98" s="88"/>
      <c r="JQ98" s="88"/>
      <c r="JR98" s="88"/>
      <c r="JS98" s="88"/>
      <c r="JT98" s="88"/>
      <c r="JU98" s="88"/>
      <c r="JV98" s="88"/>
      <c r="JW98" s="88"/>
      <c r="JX98" s="88"/>
      <c r="JY98" s="88"/>
      <c r="JZ98" s="88"/>
      <c r="KA98" s="88"/>
      <c r="KB98" s="88"/>
      <c r="KC98" s="88"/>
      <c r="KD98" s="88"/>
      <c r="KE98" s="88"/>
      <c r="KF98" s="88"/>
      <c r="KG98" s="88"/>
      <c r="KH98" s="88"/>
      <c r="KI98" s="88"/>
      <c r="KJ98" s="88"/>
      <c r="KK98" s="88"/>
      <c r="KL98" s="88"/>
      <c r="KM98" s="88"/>
      <c r="KN98" s="88"/>
      <c r="KO98" s="88"/>
      <c r="KP98" s="88"/>
      <c r="KQ98" s="88"/>
      <c r="KR98" s="88"/>
      <c r="KS98" s="88"/>
      <c r="KT98" s="88"/>
      <c r="KU98" s="88"/>
      <c r="KV98" s="88"/>
      <c r="KW98" s="88"/>
      <c r="KX98" s="88"/>
      <c r="KY98" s="88"/>
      <c r="KZ98" s="88"/>
      <c r="LA98" s="88"/>
      <c r="LB98" s="88"/>
      <c r="LC98" s="88"/>
      <c r="LD98" s="88"/>
      <c r="LE98" s="88"/>
      <c r="LF98" s="88"/>
      <c r="LG98" s="88"/>
      <c r="LH98" s="88"/>
      <c r="LI98" s="88"/>
      <c r="LJ98" s="88"/>
      <c r="LK98" s="88"/>
      <c r="LL98" s="88"/>
      <c r="LM98" s="88"/>
      <c r="LN98" s="88"/>
      <c r="LO98" s="88"/>
      <c r="LP98" s="88"/>
      <c r="LQ98" s="88"/>
      <c r="LR98" s="88"/>
      <c r="LS98" s="88"/>
      <c r="LT98" s="88"/>
      <c r="LU98" s="88"/>
      <c r="LV98" s="88"/>
      <c r="LW98" s="88"/>
      <c r="LX98" s="88"/>
      <c r="LY98" s="88"/>
      <c r="LZ98" s="88"/>
      <c r="MA98" s="88"/>
      <c r="MB98" s="88"/>
      <c r="MC98" s="88"/>
      <c r="MD98" s="88"/>
      <c r="ME98" s="88"/>
      <c r="MF98" s="88"/>
      <c r="MG98" s="88"/>
      <c r="MH98" s="88"/>
      <c r="MI98" s="88"/>
      <c r="MJ98" s="88"/>
      <c r="MK98" s="88"/>
      <c r="ML98" s="88"/>
      <c r="MM98" s="88"/>
      <c r="MN98" s="88"/>
      <c r="MO98" s="88"/>
      <c r="MP98" s="88"/>
      <c r="MQ98" s="88"/>
      <c r="MR98" s="88"/>
      <c r="MS98" s="88"/>
      <c r="MT98" s="88"/>
      <c r="MU98" s="88"/>
      <c r="MV98" s="88"/>
      <c r="MW98" s="88"/>
      <c r="MX98" s="88"/>
      <c r="MY98" s="88"/>
      <c r="MZ98" s="88"/>
      <c r="NA98" s="88"/>
      <c r="NB98" s="88"/>
      <c r="NC98" s="88"/>
      <c r="ND98" s="88"/>
      <c r="NE98" s="88"/>
      <c r="NF98" s="88"/>
      <c r="NG98" s="88"/>
      <c r="NH98" s="88"/>
      <c r="NI98" s="88"/>
      <c r="NJ98" s="88"/>
      <c r="NK98" s="88"/>
      <c r="NL98" s="88"/>
      <c r="NM98" s="88"/>
      <c r="NN98" s="88"/>
      <c r="NO98" s="88"/>
      <c r="NP98" s="88"/>
      <c r="NQ98" s="88"/>
      <c r="NR98" s="88"/>
      <c r="NS98" s="88"/>
      <c r="NT98" s="88"/>
      <c r="NU98" s="88"/>
      <c r="NV98" s="88"/>
      <c r="NW98" s="88"/>
      <c r="NX98" s="88"/>
      <c r="NY98" s="88"/>
      <c r="NZ98" s="88"/>
      <c r="OA98" s="88"/>
      <c r="OB98" s="88"/>
      <c r="OC98" s="88"/>
      <c r="OD98" s="88"/>
      <c r="OE98" s="88"/>
      <c r="OF98" s="88"/>
      <c r="OG98" s="88"/>
      <c r="OH98" s="88"/>
      <c r="OI98" s="88"/>
      <c r="OJ98" s="88"/>
      <c r="OK98" s="88"/>
      <c r="OL98" s="88"/>
      <c r="OM98" s="88"/>
      <c r="ON98" s="88"/>
      <c r="OO98" s="88"/>
      <c r="OP98" s="88"/>
      <c r="OQ98" s="88"/>
      <c r="OR98" s="88"/>
      <c r="OS98" s="88"/>
      <c r="OT98" s="88"/>
      <c r="OU98" s="88"/>
      <c r="OV98" s="88"/>
      <c r="OW98" s="88"/>
      <c r="OX98" s="88"/>
      <c r="OY98" s="88"/>
      <c r="OZ98" s="88"/>
      <c r="PA98" s="88"/>
      <c r="PB98" s="88"/>
      <c r="PC98" s="88"/>
      <c r="PD98" s="88"/>
      <c r="PE98" s="88"/>
      <c r="PF98" s="88"/>
      <c r="PG98" s="88"/>
      <c r="PH98" s="88"/>
      <c r="PI98" s="88"/>
      <c r="PJ98" s="88"/>
      <c r="PK98" s="88"/>
      <c r="PL98" s="88"/>
      <c r="PM98" s="88"/>
      <c r="PN98" s="88"/>
      <c r="PO98" s="88"/>
      <c r="PP98" s="88"/>
      <c r="PQ98" s="88"/>
      <c r="PR98" s="88"/>
      <c r="PS98" s="88"/>
      <c r="PT98" s="88"/>
      <c r="PU98" s="88"/>
      <c r="PV98" s="88"/>
      <c r="PW98" s="88"/>
      <c r="PX98" s="88"/>
      <c r="PY98" s="88"/>
      <c r="PZ98" s="88"/>
      <c r="QA98" s="88"/>
      <c r="QB98" s="88"/>
      <c r="QC98" s="88"/>
      <c r="QD98" s="88"/>
      <c r="QE98" s="88"/>
      <c r="QF98" s="88"/>
      <c r="QG98" s="88"/>
      <c r="QH98" s="88"/>
      <c r="QI98" s="88"/>
      <c r="QJ98" s="88"/>
      <c r="QK98" s="88"/>
      <c r="QL98" s="88"/>
      <c r="QM98" s="88"/>
      <c r="QN98" s="88"/>
      <c r="QO98" s="88"/>
      <c r="QP98" s="88"/>
      <c r="QQ98" s="88"/>
      <c r="QR98" s="88"/>
      <c r="QS98" s="88"/>
      <c r="QT98" s="88"/>
      <c r="QU98" s="88"/>
      <c r="QV98" s="88"/>
      <c r="QW98" s="88"/>
      <c r="QX98" s="88"/>
      <c r="QY98" s="88"/>
      <c r="QZ98" s="88"/>
      <c r="RA98" s="88"/>
      <c r="RB98" s="88"/>
      <c r="RC98" s="88"/>
      <c r="RD98" s="88"/>
      <c r="RE98" s="88"/>
      <c r="RF98" s="88"/>
      <c r="RG98" s="88"/>
      <c r="RH98" s="88"/>
      <c r="RI98" s="88"/>
      <c r="RJ98" s="88"/>
      <c r="RK98" s="88"/>
      <c r="RL98" s="88"/>
      <c r="RM98" s="88"/>
      <c r="RN98" s="88"/>
      <c r="RO98" s="88"/>
      <c r="RP98" s="88"/>
      <c r="RQ98" s="88"/>
      <c r="RR98" s="88"/>
      <c r="RS98" s="88"/>
      <c r="RT98" s="88"/>
      <c r="RU98" s="88"/>
      <c r="RV98" s="88"/>
      <c r="RW98" s="88"/>
      <c r="RX98" s="88"/>
      <c r="RY98" s="88"/>
      <c r="RZ98" s="88"/>
      <c r="SA98" s="88"/>
      <c r="SB98" s="88"/>
      <c r="SC98" s="88"/>
      <c r="SD98" s="88"/>
      <c r="SE98" s="88"/>
      <c r="SF98" s="88"/>
      <c r="SG98" s="88"/>
      <c r="SH98" s="88"/>
      <c r="SI98" s="88"/>
      <c r="SJ98" s="88"/>
      <c r="SK98" s="88"/>
      <c r="SL98" s="88"/>
      <c r="SM98" s="88"/>
      <c r="SN98" s="88"/>
      <c r="SO98" s="88"/>
      <c r="SP98" s="88"/>
      <c r="SQ98" s="88"/>
      <c r="SR98" s="88"/>
      <c r="SS98" s="88"/>
      <c r="ST98" s="88"/>
      <c r="SU98" s="88"/>
      <c r="SV98" s="88"/>
      <c r="SW98" s="88"/>
      <c r="SX98" s="88"/>
      <c r="SY98" s="88"/>
      <c r="SZ98" s="88"/>
      <c r="TA98" s="88"/>
      <c r="TB98" s="88"/>
      <c r="TC98" s="88"/>
      <c r="TD98" s="88"/>
      <c r="TE98" s="88"/>
      <c r="TF98" s="88"/>
      <c r="TG98" s="88"/>
      <c r="TH98" s="88"/>
      <c r="TI98" s="88"/>
      <c r="TJ98" s="88"/>
      <c r="TK98" s="88"/>
      <c r="TL98" s="88"/>
      <c r="TM98" s="88"/>
      <c r="TN98" s="88"/>
      <c r="TO98" s="88"/>
      <c r="TP98" s="88"/>
      <c r="TQ98" s="88"/>
      <c r="TR98" s="88"/>
      <c r="TS98" s="88"/>
      <c r="TT98" s="88"/>
      <c r="TU98" s="88"/>
      <c r="TV98" s="88"/>
      <c r="TW98" s="88"/>
      <c r="TX98" s="88"/>
      <c r="TY98" s="88"/>
      <c r="TZ98" s="88"/>
      <c r="UA98" s="88"/>
      <c r="UB98" s="88"/>
      <c r="UC98" s="88"/>
      <c r="UD98" s="88"/>
      <c r="UE98" s="88"/>
      <c r="UF98" s="88"/>
      <c r="UG98" s="88"/>
      <c r="UH98" s="88"/>
      <c r="UI98" s="88"/>
      <c r="UJ98" s="88"/>
      <c r="UK98" s="88"/>
      <c r="UL98" s="88"/>
      <c r="UM98" s="88"/>
      <c r="UN98" s="88"/>
      <c r="UO98" s="88"/>
      <c r="UP98" s="88"/>
      <c r="UQ98" s="88"/>
      <c r="UR98" s="88"/>
      <c r="US98" s="88"/>
      <c r="UT98" s="88"/>
      <c r="UU98" s="88"/>
      <c r="UV98" s="88"/>
      <c r="UW98" s="88"/>
      <c r="UX98" s="88"/>
      <c r="UY98" s="88"/>
      <c r="UZ98" s="88"/>
      <c r="VA98" s="88"/>
      <c r="VB98" s="88"/>
      <c r="VC98" s="88"/>
      <c r="VD98" s="88"/>
      <c r="VE98" s="88"/>
      <c r="VF98" s="88"/>
      <c r="VG98" s="88"/>
      <c r="VH98" s="88"/>
      <c r="VI98" s="88"/>
      <c r="VJ98" s="88"/>
      <c r="VK98" s="88"/>
      <c r="VL98" s="88"/>
      <c r="VM98" s="88"/>
      <c r="VN98" s="88"/>
      <c r="VO98" s="88"/>
      <c r="VP98" s="88"/>
      <c r="VQ98" s="88"/>
      <c r="VR98" s="88"/>
      <c r="VS98" s="88"/>
      <c r="VT98" s="88"/>
      <c r="VU98" s="88"/>
      <c r="VV98" s="88"/>
      <c r="VW98" s="88"/>
      <c r="VX98" s="88"/>
      <c r="VY98" s="88"/>
      <c r="VZ98" s="88"/>
      <c r="WA98" s="88"/>
      <c r="WB98" s="88"/>
      <c r="WC98" s="88"/>
      <c r="WD98" s="88"/>
      <c r="WE98" s="88"/>
      <c r="WF98" s="88"/>
      <c r="WG98" s="88"/>
      <c r="WH98" s="88"/>
      <c r="WI98" s="88"/>
      <c r="WJ98" s="88"/>
      <c r="WK98" s="88"/>
      <c r="WL98" s="88"/>
      <c r="WM98" s="88"/>
      <c r="WN98" s="88"/>
      <c r="WO98" s="88"/>
      <c r="WP98" s="88"/>
      <c r="WQ98" s="88"/>
      <c r="WR98" s="88"/>
      <c r="WS98" s="88"/>
      <c r="WT98" s="88"/>
      <c r="WU98" s="88"/>
      <c r="WV98" s="88"/>
      <c r="WW98" s="88"/>
      <c r="WX98" s="88"/>
      <c r="WY98" s="88"/>
      <c r="WZ98" s="88"/>
      <c r="XA98" s="88"/>
      <c r="XB98" s="88"/>
      <c r="XC98" s="88"/>
      <c r="XD98" s="88"/>
      <c r="XE98" s="88"/>
      <c r="XF98" s="88"/>
      <c r="XG98" s="88"/>
      <c r="XH98" s="88"/>
      <c r="XI98" s="88"/>
      <c r="XJ98" s="88"/>
      <c r="XK98" s="88"/>
      <c r="XL98" s="88"/>
      <c r="XM98" s="88"/>
      <c r="XN98" s="88"/>
      <c r="XO98" s="88"/>
      <c r="XP98" s="88"/>
      <c r="XQ98" s="88"/>
      <c r="XR98" s="88"/>
      <c r="XS98" s="88"/>
      <c r="XT98" s="88"/>
      <c r="XU98" s="88"/>
      <c r="XV98" s="88"/>
      <c r="XW98" s="88"/>
      <c r="XX98" s="88"/>
      <c r="XY98" s="88"/>
      <c r="XZ98" s="88"/>
      <c r="YA98" s="88"/>
      <c r="YB98" s="88"/>
      <c r="YC98" s="88"/>
      <c r="YD98" s="88"/>
      <c r="YE98" s="88"/>
      <c r="YF98" s="88"/>
      <c r="YG98" s="88"/>
      <c r="YH98" s="88"/>
      <c r="YI98" s="88"/>
      <c r="YJ98" s="88"/>
      <c r="YK98" s="88"/>
      <c r="YL98" s="88"/>
      <c r="YM98" s="88"/>
      <c r="YN98" s="88"/>
      <c r="YO98" s="88"/>
      <c r="YP98" s="88"/>
      <c r="YQ98" s="88"/>
      <c r="YR98" s="88"/>
      <c r="YS98" s="88"/>
      <c r="YT98" s="88"/>
      <c r="YU98" s="88"/>
      <c r="YV98" s="88"/>
      <c r="YW98" s="88"/>
      <c r="YX98" s="88"/>
      <c r="YY98" s="88"/>
      <c r="YZ98" s="88"/>
      <c r="ZA98" s="88"/>
      <c r="ZB98" s="88"/>
      <c r="ZC98" s="88"/>
      <c r="ZD98" s="88"/>
      <c r="ZE98" s="88"/>
      <c r="ZF98" s="88"/>
      <c r="ZG98" s="88"/>
      <c r="ZH98" s="88"/>
      <c r="ZI98" s="88"/>
      <c r="ZJ98" s="88"/>
      <c r="ZK98" s="88"/>
      <c r="ZL98" s="88"/>
      <c r="ZM98" s="88"/>
      <c r="ZN98" s="88"/>
      <c r="ZO98" s="88"/>
      <c r="ZP98" s="88"/>
      <c r="ZQ98" s="88"/>
      <c r="ZR98" s="88"/>
      <c r="ZS98" s="88"/>
      <c r="ZT98" s="88"/>
      <c r="ZU98" s="88"/>
      <c r="ZV98" s="88"/>
      <c r="ZW98" s="88"/>
      <c r="ZX98" s="88"/>
      <c r="ZY98" s="88"/>
      <c r="ZZ98" s="88"/>
      <c r="AAA98" s="88"/>
      <c r="AAB98" s="88"/>
      <c r="AAC98" s="88"/>
      <c r="AAD98" s="88"/>
      <c r="AAE98" s="88"/>
      <c r="AAF98" s="88"/>
      <c r="AAG98" s="88"/>
      <c r="AAH98" s="88"/>
      <c r="AAI98" s="88"/>
      <c r="AAJ98" s="88"/>
      <c r="AAK98" s="88"/>
      <c r="AAL98" s="88"/>
      <c r="AAM98" s="88"/>
      <c r="AAN98" s="88"/>
      <c r="AAO98" s="88"/>
      <c r="AAP98" s="88"/>
      <c r="AAQ98" s="88"/>
      <c r="AAR98" s="88"/>
      <c r="AAS98" s="88"/>
      <c r="AAT98" s="88"/>
      <c r="AAU98" s="88"/>
      <c r="AAV98" s="88"/>
      <c r="AAW98" s="88"/>
      <c r="AAX98" s="88"/>
      <c r="AAY98" s="88"/>
      <c r="AAZ98" s="88"/>
      <c r="ABA98" s="88"/>
      <c r="ABB98" s="88"/>
      <c r="ABC98" s="88"/>
      <c r="ABD98" s="88"/>
      <c r="ABE98" s="88"/>
      <c r="ABF98" s="88"/>
      <c r="ABG98" s="88"/>
      <c r="ABH98" s="88"/>
      <c r="ABI98" s="88"/>
      <c r="ABJ98" s="88"/>
      <c r="ABK98" s="88"/>
      <c r="ABL98" s="88"/>
      <c r="ABM98" s="88"/>
      <c r="ABN98" s="88"/>
      <c r="ABO98" s="88"/>
      <c r="ABP98" s="88"/>
      <c r="ABQ98" s="88"/>
      <c r="ABR98" s="88"/>
      <c r="ABS98" s="88"/>
      <c r="ABT98" s="88"/>
      <c r="ABU98" s="88"/>
      <c r="ABV98" s="88"/>
      <c r="ABW98" s="88"/>
      <c r="ABX98" s="88"/>
      <c r="ABY98" s="88"/>
      <c r="ABZ98" s="88"/>
      <c r="ACA98" s="88"/>
      <c r="ACB98" s="88"/>
      <c r="ACC98" s="88"/>
      <c r="ACD98" s="88"/>
      <c r="ACE98" s="88"/>
      <c r="ACF98" s="88"/>
      <c r="ACG98" s="88"/>
      <c r="ACH98" s="88"/>
      <c r="ACI98" s="88"/>
      <c r="ACJ98" s="88"/>
      <c r="ACK98" s="88"/>
      <c r="ACL98" s="88"/>
      <c r="ACM98" s="88"/>
      <c r="ACN98" s="88"/>
      <c r="ACO98" s="88"/>
      <c r="ACP98" s="88"/>
      <c r="ACQ98" s="88"/>
      <c r="ACR98" s="88"/>
      <c r="ACS98" s="88"/>
      <c r="ACT98" s="88"/>
      <c r="ACU98" s="88"/>
      <c r="ACV98" s="88"/>
      <c r="ACW98" s="88"/>
      <c r="ACX98" s="88"/>
      <c r="ACY98" s="88"/>
      <c r="ACZ98" s="88"/>
      <c r="ADA98" s="88"/>
      <c r="ADB98" s="88"/>
      <c r="ADC98" s="88"/>
      <c r="ADD98" s="88"/>
      <c r="ADE98" s="88"/>
      <c r="ADF98" s="88"/>
      <c r="ADG98" s="88"/>
      <c r="ADH98" s="88"/>
      <c r="ADI98" s="88"/>
      <c r="ADJ98" s="88"/>
      <c r="ADK98" s="88"/>
      <c r="ADL98" s="88"/>
      <c r="ADM98" s="88"/>
      <c r="ADN98" s="88"/>
      <c r="ADO98" s="88"/>
      <c r="ADP98" s="88"/>
      <c r="ADQ98" s="88"/>
      <c r="ADR98" s="88"/>
      <c r="ADS98" s="88"/>
      <c r="ADT98" s="88"/>
      <c r="ADU98" s="88"/>
      <c r="ADV98" s="88"/>
      <c r="ADW98" s="88"/>
      <c r="ADX98" s="88"/>
      <c r="ADY98" s="88"/>
      <c r="ADZ98" s="88"/>
      <c r="AEA98" s="88"/>
      <c r="AEB98" s="88"/>
      <c r="AEC98" s="88"/>
      <c r="AED98" s="88"/>
      <c r="AEE98" s="88"/>
      <c r="AEF98" s="88"/>
      <c r="AEG98" s="88"/>
      <c r="AEH98" s="88"/>
      <c r="AEI98" s="88"/>
      <c r="AEJ98" s="88"/>
      <c r="AEK98" s="88"/>
      <c r="AEL98" s="88"/>
      <c r="AEM98" s="88"/>
      <c r="AEN98" s="88"/>
      <c r="AEO98" s="88"/>
      <c r="AEP98" s="88"/>
      <c r="AEQ98" s="88"/>
      <c r="AER98" s="88"/>
      <c r="AES98" s="88"/>
      <c r="AET98" s="88"/>
      <c r="AEU98" s="88"/>
      <c r="AEV98" s="88"/>
      <c r="AEW98" s="88"/>
      <c r="AEX98" s="88"/>
      <c r="AEY98" s="88"/>
      <c r="AEZ98" s="88"/>
      <c r="AFA98" s="88"/>
      <c r="AFB98" s="88"/>
      <c r="AFC98" s="88"/>
      <c r="AFD98" s="88"/>
      <c r="AFE98" s="88"/>
      <c r="AFF98" s="88"/>
      <c r="AFG98" s="88"/>
      <c r="AFH98" s="88"/>
      <c r="AFI98" s="88"/>
      <c r="AFJ98" s="88"/>
      <c r="AFK98" s="88"/>
      <c r="AFL98" s="88"/>
      <c r="AFM98" s="88"/>
      <c r="AFN98" s="88"/>
      <c r="AFO98" s="88"/>
      <c r="AFP98" s="88"/>
      <c r="AFQ98" s="88"/>
      <c r="AFR98" s="88"/>
      <c r="AFS98" s="88"/>
      <c r="AFT98" s="88"/>
      <c r="AFU98" s="88"/>
      <c r="AFV98" s="88"/>
      <c r="AFW98" s="88"/>
      <c r="AFX98" s="88"/>
      <c r="AFY98" s="88"/>
      <c r="AFZ98" s="88"/>
      <c r="AGA98" s="88"/>
      <c r="AGB98" s="88"/>
      <c r="AGC98" s="88"/>
      <c r="AGD98" s="88"/>
      <c r="AGE98" s="88"/>
      <c r="AGF98" s="88"/>
      <c r="AGG98" s="88"/>
      <c r="AGH98" s="88"/>
      <c r="AGI98" s="88"/>
      <c r="AGJ98" s="88"/>
      <c r="AGK98" s="88"/>
      <c r="AGL98" s="88"/>
      <c r="AGM98" s="88"/>
      <c r="AGN98" s="88"/>
      <c r="AGO98" s="88"/>
      <c r="AGP98" s="88"/>
      <c r="AGQ98" s="88"/>
      <c r="AGR98" s="88"/>
      <c r="AGS98" s="88"/>
      <c r="AGT98" s="88"/>
      <c r="AGU98" s="88"/>
      <c r="AGV98" s="88"/>
      <c r="AGW98" s="88"/>
      <c r="AGX98" s="88"/>
      <c r="AGY98" s="88"/>
      <c r="AGZ98" s="88"/>
      <c r="AHA98" s="88"/>
      <c r="AHB98" s="88"/>
      <c r="AHC98" s="88"/>
      <c r="AHD98" s="88"/>
      <c r="AHE98" s="88"/>
      <c r="AHF98" s="88"/>
      <c r="AHG98" s="88"/>
      <c r="AHH98" s="88"/>
      <c r="AHI98" s="88"/>
      <c r="AHJ98" s="88"/>
      <c r="AHK98" s="88"/>
      <c r="AHL98" s="88"/>
      <c r="AHM98" s="88"/>
      <c r="AHN98" s="88"/>
      <c r="AHO98" s="88"/>
      <c r="AHP98" s="88"/>
      <c r="AHQ98" s="88"/>
      <c r="AHR98" s="88"/>
      <c r="AHS98" s="88"/>
      <c r="AHT98" s="88"/>
      <c r="AHU98" s="88"/>
      <c r="AHV98" s="88"/>
      <c r="AHW98" s="88"/>
      <c r="AHX98" s="88"/>
      <c r="AHY98" s="88"/>
      <c r="AHZ98" s="88"/>
      <c r="AIA98" s="88"/>
      <c r="AIB98" s="88"/>
      <c r="AIC98" s="88"/>
      <c r="AID98" s="88"/>
      <c r="AIE98" s="88"/>
      <c r="AIF98" s="88"/>
      <c r="AIG98" s="88"/>
      <c r="AIH98" s="88"/>
      <c r="AII98" s="88"/>
      <c r="AIJ98" s="88"/>
      <c r="AIK98" s="88"/>
      <c r="AIL98" s="88"/>
      <c r="AIM98" s="88"/>
      <c r="AIN98" s="88"/>
      <c r="AIO98" s="88"/>
      <c r="AIP98" s="88"/>
      <c r="AIQ98" s="88"/>
      <c r="AIR98" s="88"/>
      <c r="AIS98" s="88"/>
      <c r="AIT98" s="88"/>
      <c r="AIU98" s="88"/>
      <c r="AIV98" s="88"/>
      <c r="AIW98" s="88"/>
      <c r="AIX98" s="88"/>
      <c r="AIY98" s="88"/>
      <c r="AIZ98" s="88"/>
      <c r="AJA98" s="88"/>
      <c r="AJB98" s="88"/>
      <c r="AJC98" s="88"/>
      <c r="AJD98" s="88"/>
      <c r="AJE98" s="88"/>
      <c r="AJF98" s="88"/>
      <c r="AJG98" s="88"/>
      <c r="AJH98" s="88"/>
      <c r="AJI98" s="88"/>
      <c r="AJJ98" s="88"/>
      <c r="AJK98" s="88"/>
      <c r="AJL98" s="88"/>
      <c r="AJM98" s="88"/>
      <c r="AJN98" s="88"/>
      <c r="AJO98" s="88"/>
      <c r="AJP98" s="88"/>
      <c r="AJQ98" s="88"/>
      <c r="AJR98" s="88"/>
      <c r="AJS98" s="88"/>
      <c r="AJT98" s="88"/>
      <c r="AJU98" s="88"/>
      <c r="AJV98" s="88"/>
      <c r="AJW98" s="88"/>
      <c r="AJX98" s="88"/>
      <c r="AJY98" s="88"/>
      <c r="AJZ98" s="88"/>
      <c r="AKA98" s="88"/>
      <c r="AKB98" s="88"/>
      <c r="AKC98" s="88"/>
      <c r="AKD98" s="88"/>
      <c r="AKE98" s="88"/>
      <c r="AKF98" s="88"/>
      <c r="AKG98" s="88"/>
      <c r="AKH98" s="88"/>
      <c r="AKI98" s="88"/>
      <c r="AKJ98" s="88"/>
      <c r="AKK98" s="88"/>
      <c r="AKL98" s="88"/>
      <c r="AKM98" s="88"/>
      <c r="AKN98" s="88"/>
      <c r="AKO98" s="88"/>
      <c r="AKP98" s="88"/>
      <c r="AKQ98" s="88"/>
      <c r="AKR98" s="88"/>
      <c r="AKS98" s="88"/>
      <c r="AKT98" s="88"/>
      <c r="AKU98" s="88"/>
      <c r="AKV98" s="88"/>
      <c r="AKW98" s="88"/>
      <c r="AKX98" s="88"/>
      <c r="AKY98" s="88"/>
      <c r="AKZ98" s="88"/>
      <c r="ALA98" s="88"/>
      <c r="ALB98" s="88"/>
      <c r="ALC98" s="88"/>
      <c r="ALD98" s="88"/>
      <c r="ALE98" s="88"/>
      <c r="ALF98" s="88"/>
      <c r="ALG98" s="88"/>
      <c r="ALH98" s="88"/>
      <c r="ALI98" s="88"/>
      <c r="ALJ98" s="88"/>
      <c r="ALK98" s="88"/>
      <c r="ALL98" s="88"/>
      <c r="ALM98" s="88"/>
      <c r="ALN98" s="88"/>
      <c r="ALO98" s="88"/>
      <c r="ALP98" s="88"/>
      <c r="ALQ98" s="88"/>
      <c r="ALR98" s="88"/>
      <c r="ALS98" s="88"/>
      <c r="ALT98" s="88"/>
      <c r="ALU98" s="88"/>
      <c r="ALV98" s="88"/>
      <c r="ALW98" s="88"/>
      <c r="ALX98" s="88"/>
      <c r="ALY98" s="88"/>
      <c r="ALZ98" s="88"/>
      <c r="AMA98" s="88"/>
      <c r="AMB98" s="88"/>
      <c r="AMC98" s="88"/>
      <c r="AMD98" s="88"/>
      <c r="AME98" s="88"/>
      <c r="AMF98" s="88"/>
      <c r="AMG98" s="88"/>
      <c r="AMH98" s="88"/>
      <c r="AMI98" s="88"/>
      <c r="AMJ98" s="88"/>
      <c r="AMK98" s="88"/>
      <c r="AML98" s="88"/>
      <c r="AMM98" s="88"/>
      <c r="AMN98" s="88"/>
      <c r="AMO98" s="88"/>
      <c r="AMP98" s="88"/>
      <c r="AMQ98" s="88"/>
      <c r="AMR98" s="88"/>
      <c r="AMS98" s="88"/>
      <c r="AMT98" s="88"/>
      <c r="AMU98" s="88"/>
      <c r="AMV98" s="88"/>
      <c r="AMW98" s="88"/>
      <c r="AMX98" s="88"/>
      <c r="AMY98" s="88"/>
      <c r="AMZ98" s="88"/>
      <c r="ANA98" s="88"/>
      <c r="ANB98" s="88"/>
      <c r="ANC98" s="88"/>
      <c r="AND98" s="88"/>
      <c r="ANE98" s="88"/>
      <c r="ANF98" s="88"/>
      <c r="ANG98" s="88"/>
      <c r="ANH98" s="88"/>
      <c r="ANI98" s="88"/>
      <c r="ANJ98" s="88"/>
      <c r="ANK98" s="88"/>
      <c r="ANL98" s="88"/>
      <c r="ANM98" s="88"/>
      <c r="ANN98" s="88"/>
      <c r="ANO98" s="88"/>
      <c r="ANP98" s="88"/>
      <c r="ANQ98" s="88"/>
      <c r="ANR98" s="88"/>
      <c r="ANS98" s="88"/>
      <c r="ANT98" s="88"/>
      <c r="ANU98" s="88"/>
      <c r="ANV98" s="88"/>
      <c r="ANW98" s="88"/>
      <c r="ANX98" s="88"/>
      <c r="ANY98" s="88"/>
      <c r="ANZ98" s="88"/>
      <c r="AOA98" s="88"/>
      <c r="AOB98" s="88"/>
      <c r="AOC98" s="88"/>
      <c r="AOD98" s="88"/>
      <c r="AOE98" s="88"/>
      <c r="AOF98" s="88"/>
      <c r="AOG98" s="88"/>
      <c r="AOH98" s="88"/>
      <c r="AOI98" s="88"/>
      <c r="AOJ98" s="88"/>
      <c r="AOK98" s="88"/>
      <c r="AOL98" s="88"/>
      <c r="AOM98" s="88"/>
      <c r="AON98" s="88"/>
      <c r="AOO98" s="88"/>
      <c r="AOP98" s="88"/>
      <c r="AOQ98" s="88"/>
      <c r="AOR98" s="88"/>
      <c r="AOS98" s="88"/>
      <c r="AOT98" s="88"/>
      <c r="AOU98" s="88"/>
      <c r="AOV98" s="88"/>
      <c r="AOW98" s="88"/>
      <c r="AOX98" s="88"/>
      <c r="AOY98" s="88"/>
      <c r="AOZ98" s="88"/>
      <c r="APA98" s="88"/>
      <c r="APB98" s="88"/>
      <c r="APC98" s="88"/>
      <c r="APD98" s="88"/>
      <c r="APE98" s="88"/>
      <c r="APF98" s="88"/>
      <c r="APG98" s="88"/>
      <c r="APH98" s="88"/>
      <c r="API98" s="88"/>
      <c r="APJ98" s="88"/>
      <c r="APK98" s="88"/>
      <c r="APL98" s="88"/>
      <c r="APM98" s="88"/>
      <c r="APN98" s="88"/>
      <c r="APO98" s="88"/>
      <c r="APP98" s="88"/>
      <c r="APQ98" s="88"/>
      <c r="APR98" s="88"/>
      <c r="APS98" s="88"/>
      <c r="APT98" s="88"/>
      <c r="APU98" s="88"/>
      <c r="APV98" s="88"/>
      <c r="APW98" s="88"/>
      <c r="APX98" s="88"/>
      <c r="APY98" s="88"/>
      <c r="APZ98" s="88"/>
      <c r="AQA98" s="88"/>
      <c r="AQB98" s="88"/>
      <c r="AQC98" s="88"/>
      <c r="AQD98" s="88"/>
      <c r="AQE98" s="88"/>
      <c r="AQF98" s="88"/>
      <c r="AQG98" s="88"/>
      <c r="AQH98" s="88"/>
      <c r="AQI98" s="88"/>
      <c r="AQJ98" s="88"/>
      <c r="AQK98" s="88"/>
      <c r="AQL98" s="88"/>
      <c r="AQM98" s="88"/>
      <c r="AQN98" s="88"/>
      <c r="AQO98" s="88"/>
      <c r="AQP98" s="88"/>
      <c r="AQQ98" s="88"/>
      <c r="AQR98" s="88"/>
      <c r="AQS98" s="88"/>
      <c r="AQT98" s="88"/>
      <c r="AQU98" s="88"/>
      <c r="AQV98" s="88"/>
      <c r="AQW98" s="88"/>
      <c r="AQX98" s="88"/>
      <c r="AQY98" s="88"/>
      <c r="AQZ98" s="88"/>
      <c r="ARA98" s="88"/>
      <c r="ARB98" s="88"/>
      <c r="ARC98" s="88"/>
      <c r="ARD98" s="88"/>
      <c r="ARE98" s="88"/>
      <c r="ARF98" s="88"/>
      <c r="ARG98" s="88"/>
      <c r="ARH98" s="88"/>
      <c r="ARI98" s="88"/>
      <c r="ARJ98" s="88"/>
      <c r="ARK98" s="88"/>
      <c r="ARL98" s="88"/>
      <c r="ARM98" s="88"/>
      <c r="ARN98" s="88"/>
      <c r="ARO98" s="88"/>
      <c r="ARP98" s="88"/>
      <c r="ARQ98" s="88"/>
      <c r="ARR98" s="88"/>
      <c r="ARS98" s="88"/>
      <c r="ART98" s="88"/>
      <c r="ARU98" s="88"/>
      <c r="ARV98" s="88"/>
      <c r="ARW98" s="88"/>
      <c r="ARX98" s="88"/>
      <c r="ARY98" s="88"/>
      <c r="ARZ98" s="88"/>
      <c r="ASA98" s="88"/>
      <c r="ASB98" s="88"/>
      <c r="ASC98" s="88"/>
      <c r="ASD98" s="88"/>
      <c r="ASE98" s="88"/>
      <c r="ASF98" s="88"/>
      <c r="ASG98" s="88"/>
      <c r="ASH98" s="88"/>
      <c r="ASI98" s="88"/>
      <c r="ASJ98" s="88"/>
      <c r="ASK98" s="88"/>
      <c r="ASL98" s="88"/>
      <c r="ASM98" s="88"/>
      <c r="ASN98" s="88"/>
      <c r="ASO98" s="88"/>
      <c r="ASP98" s="88"/>
      <c r="ASQ98" s="88"/>
      <c r="ASR98" s="88"/>
      <c r="ASS98" s="88"/>
      <c r="AST98" s="88"/>
      <c r="ASU98" s="88"/>
      <c r="ASV98" s="88"/>
      <c r="ASW98" s="88"/>
      <c r="ASX98" s="88"/>
      <c r="ASY98" s="88"/>
      <c r="ASZ98" s="88"/>
      <c r="ATA98" s="88"/>
      <c r="ATB98" s="88"/>
      <c r="ATC98" s="88"/>
      <c r="ATD98" s="88"/>
      <c r="ATE98" s="88"/>
      <c r="ATF98" s="88"/>
      <c r="ATG98" s="88"/>
      <c r="ATH98" s="88"/>
      <c r="ATI98" s="88"/>
      <c r="ATJ98" s="88"/>
      <c r="ATK98" s="88"/>
      <c r="ATL98" s="88"/>
      <c r="ATM98" s="88"/>
      <c r="ATN98" s="88"/>
      <c r="ATO98" s="88"/>
      <c r="ATP98" s="88"/>
      <c r="ATQ98" s="88"/>
      <c r="ATR98" s="88"/>
      <c r="ATS98" s="88"/>
      <c r="ATT98" s="88"/>
      <c r="ATU98" s="88"/>
      <c r="ATV98" s="88"/>
      <c r="ATW98" s="88"/>
      <c r="ATX98" s="88"/>
      <c r="ATY98" s="88"/>
      <c r="ATZ98" s="88"/>
      <c r="AUA98" s="88"/>
      <c r="AUB98" s="88"/>
      <c r="AUC98" s="88"/>
      <c r="AUD98" s="88"/>
      <c r="AUE98" s="88"/>
      <c r="AUF98" s="88"/>
      <c r="AUG98" s="88"/>
      <c r="AUH98" s="88"/>
      <c r="AUI98" s="88"/>
      <c r="AUJ98" s="88"/>
      <c r="AUK98" s="88"/>
      <c r="AUL98" s="88"/>
      <c r="AUM98" s="88"/>
      <c r="AUN98" s="88"/>
      <c r="AUO98" s="88"/>
      <c r="AUP98" s="88"/>
      <c r="AUQ98" s="88"/>
      <c r="AUR98" s="88"/>
      <c r="AUS98" s="88"/>
      <c r="AUT98" s="88"/>
      <c r="AUU98" s="88"/>
      <c r="AUV98" s="88"/>
      <c r="AUW98" s="88"/>
      <c r="AUX98" s="88"/>
      <c r="AUY98" s="88"/>
      <c r="AUZ98" s="88"/>
      <c r="AVA98" s="88"/>
      <c r="AVB98" s="88"/>
      <c r="AVC98" s="88"/>
      <c r="AVD98" s="88"/>
      <c r="AVE98" s="88"/>
      <c r="AVF98" s="88"/>
      <c r="AVG98" s="88"/>
      <c r="AVH98" s="88"/>
      <c r="AVI98" s="88"/>
      <c r="AVJ98" s="88"/>
      <c r="AVK98" s="88"/>
      <c r="AVL98" s="88"/>
      <c r="AVM98" s="88"/>
      <c r="AVN98" s="88"/>
      <c r="AVO98" s="88"/>
      <c r="AVP98" s="88"/>
      <c r="AVQ98" s="88"/>
      <c r="AVR98" s="88"/>
      <c r="AVS98" s="88"/>
      <c r="AVT98" s="88"/>
      <c r="AVU98" s="88"/>
      <c r="AVV98" s="88"/>
      <c r="AVW98" s="88"/>
      <c r="AVX98" s="88"/>
      <c r="AVY98" s="88"/>
      <c r="AVZ98" s="88"/>
      <c r="AWA98" s="88"/>
      <c r="AWB98" s="88"/>
      <c r="AWC98" s="88"/>
      <c r="AWD98" s="88"/>
      <c r="AWE98" s="88"/>
      <c r="AWF98" s="88"/>
      <c r="AWG98" s="88"/>
      <c r="AWH98" s="88"/>
      <c r="AWI98" s="88"/>
      <c r="AWJ98" s="88"/>
      <c r="AWK98" s="88"/>
      <c r="AWL98" s="88"/>
      <c r="AWM98" s="88"/>
      <c r="AWN98" s="88"/>
      <c r="AWO98" s="88"/>
      <c r="AWP98" s="88"/>
      <c r="AWQ98" s="88"/>
      <c r="AWR98" s="88"/>
      <c r="AWS98" s="88"/>
      <c r="AWT98" s="88"/>
      <c r="AWU98" s="88"/>
      <c r="AWV98" s="88"/>
      <c r="AWW98" s="88"/>
      <c r="AWX98" s="88"/>
      <c r="AWY98" s="88"/>
      <c r="AWZ98" s="88"/>
      <c r="AXA98" s="88"/>
      <c r="AXB98" s="88"/>
      <c r="AXC98" s="88"/>
      <c r="AXD98" s="88"/>
      <c r="AXE98" s="88"/>
      <c r="AXF98" s="88"/>
      <c r="AXG98" s="88"/>
      <c r="AXH98" s="88"/>
      <c r="AXI98" s="88"/>
      <c r="AXJ98" s="88"/>
      <c r="AXK98" s="88"/>
      <c r="AXL98" s="88"/>
      <c r="AXM98" s="88"/>
      <c r="AXN98" s="88"/>
      <c r="AXO98" s="88"/>
      <c r="AXP98" s="88"/>
      <c r="AXQ98" s="88"/>
      <c r="AXR98" s="88"/>
      <c r="AXS98" s="88"/>
      <c r="AXT98" s="88"/>
      <c r="AXU98" s="88"/>
      <c r="AXV98" s="88"/>
      <c r="AXW98" s="88"/>
      <c r="AXX98" s="88"/>
      <c r="AXY98" s="88"/>
      <c r="AXZ98" s="88"/>
      <c r="AYA98" s="88"/>
      <c r="AYB98" s="88"/>
      <c r="AYC98" s="88"/>
      <c r="AYD98" s="88"/>
      <c r="AYE98" s="88"/>
      <c r="AYF98" s="88"/>
      <c r="AYG98" s="88"/>
      <c r="AYH98" s="88"/>
      <c r="AYI98" s="88"/>
      <c r="AYJ98" s="88"/>
      <c r="AYK98" s="88"/>
      <c r="AYL98" s="88"/>
      <c r="AYM98" s="88"/>
      <c r="AYN98" s="88"/>
      <c r="AYO98" s="88"/>
      <c r="AYP98" s="88"/>
      <c r="AYQ98" s="88"/>
      <c r="AYR98" s="88"/>
      <c r="AYS98" s="88"/>
      <c r="AYT98" s="88"/>
      <c r="AYU98" s="88"/>
      <c r="AYV98" s="88"/>
      <c r="AYW98" s="88"/>
      <c r="AYX98" s="88"/>
      <c r="AYY98" s="88"/>
      <c r="AYZ98" s="88"/>
      <c r="AZA98" s="88"/>
      <c r="AZB98" s="88"/>
      <c r="AZC98" s="88"/>
      <c r="AZD98" s="88"/>
      <c r="AZE98" s="88"/>
      <c r="AZF98" s="88"/>
      <c r="AZG98" s="88"/>
      <c r="AZH98" s="88"/>
      <c r="AZI98" s="88"/>
      <c r="AZJ98" s="88"/>
      <c r="AZK98" s="88"/>
      <c r="AZL98" s="88"/>
      <c r="AZM98" s="88"/>
      <c r="AZN98" s="88"/>
      <c r="AZO98" s="88"/>
      <c r="AZP98" s="88"/>
      <c r="AZQ98" s="88"/>
      <c r="AZR98" s="88"/>
      <c r="AZS98" s="88"/>
      <c r="AZT98" s="88"/>
      <c r="AZU98" s="88"/>
      <c r="AZV98" s="88"/>
      <c r="AZW98" s="88"/>
      <c r="AZX98" s="88"/>
      <c r="AZY98" s="88"/>
      <c r="AZZ98" s="88"/>
      <c r="BAA98" s="88"/>
      <c r="BAB98" s="88"/>
      <c r="BAC98" s="88"/>
      <c r="BAD98" s="88"/>
      <c r="BAE98" s="88"/>
      <c r="BAF98" s="88"/>
      <c r="BAG98" s="88"/>
      <c r="BAH98" s="88"/>
      <c r="BAI98" s="88"/>
      <c r="BAJ98" s="88"/>
      <c r="BAK98" s="88"/>
      <c r="BAL98" s="88"/>
      <c r="BAM98" s="88"/>
      <c r="BAN98" s="88"/>
      <c r="BAO98" s="88"/>
      <c r="BAP98" s="88"/>
      <c r="BAQ98" s="88"/>
      <c r="BAR98" s="88"/>
      <c r="BAS98" s="88"/>
      <c r="BAT98" s="88"/>
      <c r="BAU98" s="88"/>
      <c r="BAV98" s="88"/>
      <c r="BAW98" s="88"/>
      <c r="BAX98" s="88"/>
      <c r="BAY98" s="88"/>
      <c r="BAZ98" s="88"/>
      <c r="BBA98" s="88"/>
      <c r="BBB98" s="88"/>
      <c r="BBC98" s="88"/>
      <c r="BBD98" s="88"/>
      <c r="BBE98" s="88"/>
      <c r="BBF98" s="88"/>
      <c r="BBG98" s="88"/>
      <c r="BBH98" s="88"/>
      <c r="BBI98" s="88"/>
      <c r="BBJ98" s="88"/>
      <c r="BBK98" s="88"/>
      <c r="BBL98" s="88"/>
      <c r="BBM98" s="88"/>
      <c r="BBN98" s="88"/>
      <c r="BBO98" s="88"/>
      <c r="BBP98" s="88"/>
      <c r="BBQ98" s="88"/>
      <c r="BBR98" s="88"/>
      <c r="BBS98" s="88"/>
      <c r="BBT98" s="88"/>
      <c r="BBU98" s="88"/>
      <c r="BBV98" s="88"/>
      <c r="BBW98" s="88"/>
      <c r="BBX98" s="88"/>
      <c r="BBY98" s="88"/>
      <c r="BBZ98" s="88"/>
      <c r="BCA98" s="88"/>
      <c r="BCB98" s="88"/>
      <c r="BCC98" s="88"/>
      <c r="BCD98" s="88"/>
      <c r="BCE98" s="88"/>
      <c r="BCF98" s="88"/>
      <c r="BCG98" s="88"/>
      <c r="BCH98" s="88"/>
      <c r="BCI98" s="88"/>
      <c r="BCJ98" s="88"/>
      <c r="BCK98" s="88"/>
      <c r="BCL98" s="88"/>
      <c r="BCM98" s="88"/>
      <c r="BCN98" s="88"/>
      <c r="BCO98" s="88"/>
      <c r="BCP98" s="88"/>
      <c r="BCQ98" s="88"/>
      <c r="BCR98" s="88"/>
      <c r="BCS98" s="88"/>
      <c r="BCT98" s="88"/>
      <c r="BCU98" s="88"/>
      <c r="BCV98" s="88"/>
      <c r="BCW98" s="88"/>
      <c r="BCX98" s="88"/>
      <c r="BCY98" s="88"/>
      <c r="BCZ98" s="88"/>
      <c r="BDA98" s="88"/>
      <c r="BDB98" s="88"/>
      <c r="BDC98" s="88"/>
      <c r="BDD98" s="88"/>
      <c r="BDE98" s="88"/>
      <c r="BDF98" s="88"/>
      <c r="BDG98" s="88"/>
      <c r="BDH98" s="88"/>
      <c r="BDI98" s="88"/>
      <c r="BDJ98" s="88"/>
      <c r="BDK98" s="88"/>
      <c r="BDL98" s="88"/>
      <c r="BDM98" s="88"/>
      <c r="BDN98" s="88"/>
      <c r="BDO98" s="88"/>
      <c r="BDP98" s="88"/>
      <c r="BDQ98" s="88"/>
      <c r="BDR98" s="88"/>
      <c r="BDS98" s="88"/>
      <c r="BDT98" s="88"/>
      <c r="BDU98" s="88"/>
      <c r="BDV98" s="88"/>
      <c r="BDW98" s="88"/>
      <c r="BDX98" s="88"/>
      <c r="BDY98" s="88"/>
      <c r="BDZ98" s="88"/>
      <c r="BEA98" s="88"/>
      <c r="BEB98" s="88"/>
      <c r="BEC98" s="88"/>
      <c r="BED98" s="88"/>
      <c r="BEE98" s="88"/>
      <c r="BEF98" s="88"/>
      <c r="BEG98" s="88"/>
      <c r="BEH98" s="88"/>
      <c r="BEI98" s="88"/>
      <c r="BEJ98" s="88"/>
      <c r="BEK98" s="88"/>
      <c r="BEL98" s="88"/>
      <c r="BEM98" s="88"/>
      <c r="BEN98" s="88"/>
      <c r="BEO98" s="88"/>
      <c r="BEP98" s="88"/>
      <c r="BEQ98" s="88"/>
      <c r="BER98" s="88"/>
      <c r="BES98" s="88"/>
      <c r="BET98" s="88"/>
      <c r="BEU98" s="88"/>
      <c r="BEV98" s="88"/>
      <c r="BEW98" s="88"/>
      <c r="BEX98" s="88"/>
      <c r="BEY98" s="88"/>
      <c r="BEZ98" s="88"/>
      <c r="BFA98" s="88"/>
      <c r="BFB98" s="88"/>
      <c r="BFC98" s="88"/>
      <c r="BFD98" s="88"/>
      <c r="BFE98" s="88"/>
      <c r="BFF98" s="88"/>
      <c r="BFG98" s="88"/>
      <c r="BFH98" s="88"/>
      <c r="BFI98" s="88"/>
      <c r="BFJ98" s="88"/>
      <c r="BFK98" s="88"/>
      <c r="BFL98" s="88"/>
      <c r="BFM98" s="88"/>
      <c r="BFN98" s="88"/>
      <c r="BFO98" s="88"/>
      <c r="BFP98" s="88"/>
      <c r="BFQ98" s="88"/>
      <c r="BFR98" s="88"/>
      <c r="BFS98" s="88"/>
      <c r="BFT98" s="88"/>
      <c r="BFU98" s="88"/>
      <c r="BFV98" s="88"/>
      <c r="BFW98" s="88"/>
      <c r="BFX98" s="88"/>
      <c r="BFY98" s="88"/>
      <c r="BFZ98" s="88"/>
      <c r="BGA98" s="88"/>
      <c r="BGB98" s="88"/>
      <c r="BGC98" s="88"/>
      <c r="BGD98" s="88"/>
      <c r="BGE98" s="88"/>
      <c r="BGF98" s="88"/>
      <c r="BGG98" s="88"/>
      <c r="BGH98" s="88"/>
      <c r="BGI98" s="88"/>
      <c r="BGJ98" s="88"/>
      <c r="BGK98" s="88"/>
      <c r="BGL98" s="88"/>
      <c r="BGM98" s="88"/>
      <c r="BGN98" s="88"/>
      <c r="BGO98" s="88"/>
      <c r="BGP98" s="88"/>
      <c r="BGQ98" s="88"/>
      <c r="BGR98" s="88"/>
      <c r="BGS98" s="88"/>
      <c r="BGT98" s="88"/>
      <c r="BGU98" s="88"/>
      <c r="BGV98" s="88"/>
      <c r="BGW98" s="88"/>
      <c r="BGX98" s="88"/>
      <c r="BGY98" s="88"/>
      <c r="BGZ98" s="88"/>
      <c r="BHA98" s="88"/>
      <c r="BHB98" s="88"/>
      <c r="BHC98" s="88"/>
      <c r="BHD98" s="88"/>
      <c r="BHE98" s="88"/>
      <c r="BHF98" s="88"/>
      <c r="BHG98" s="88"/>
      <c r="BHH98" s="88"/>
      <c r="BHI98" s="88"/>
      <c r="BHJ98" s="88"/>
      <c r="BHK98" s="88"/>
      <c r="BHL98" s="88"/>
      <c r="BHM98" s="88"/>
      <c r="BHN98" s="88"/>
      <c r="BHO98" s="88"/>
      <c r="BHP98" s="88"/>
      <c r="BHQ98" s="88"/>
      <c r="BHR98" s="88"/>
      <c r="BHS98" s="88"/>
      <c r="BHT98" s="88"/>
      <c r="BHU98" s="88"/>
      <c r="BHV98" s="88"/>
      <c r="BHW98" s="88"/>
      <c r="BHX98" s="88"/>
      <c r="BHY98" s="88"/>
      <c r="BHZ98" s="88"/>
      <c r="BIA98" s="88"/>
      <c r="BIB98" s="88"/>
      <c r="BIC98" s="88"/>
      <c r="BID98" s="88"/>
      <c r="BIE98" s="88"/>
      <c r="BIF98" s="88"/>
      <c r="BIG98" s="88"/>
      <c r="BIH98" s="88"/>
      <c r="BII98" s="88"/>
      <c r="BIJ98" s="88"/>
      <c r="BIK98" s="88"/>
      <c r="BIL98" s="88"/>
      <c r="BIM98" s="88"/>
      <c r="BIN98" s="88"/>
      <c r="BIO98" s="88"/>
      <c r="BIP98" s="88"/>
      <c r="BIQ98" s="88"/>
      <c r="BIR98" s="88"/>
      <c r="BIS98" s="88"/>
      <c r="BIT98" s="88"/>
      <c r="BIU98" s="88"/>
      <c r="BIV98" s="88"/>
      <c r="BIW98" s="88"/>
      <c r="BIX98" s="88"/>
      <c r="BIY98" s="88"/>
      <c r="BIZ98" s="88"/>
      <c r="BJA98" s="88"/>
      <c r="BJB98" s="88"/>
      <c r="BJC98" s="88"/>
      <c r="BJD98" s="88"/>
      <c r="BJE98" s="88"/>
      <c r="BJF98" s="88"/>
      <c r="BJG98" s="88"/>
      <c r="BJH98" s="88"/>
      <c r="BJI98" s="88"/>
      <c r="BJJ98" s="88"/>
      <c r="BJK98" s="88"/>
      <c r="BJL98" s="88"/>
      <c r="BJM98" s="88"/>
      <c r="BJN98" s="88"/>
      <c r="BJO98" s="88"/>
      <c r="BJP98" s="88"/>
      <c r="BJQ98" s="88"/>
      <c r="BJR98" s="88"/>
      <c r="BJS98" s="88"/>
      <c r="BJT98" s="88"/>
      <c r="BJU98" s="88"/>
      <c r="BJV98" s="88"/>
      <c r="BJW98" s="88"/>
      <c r="BJX98" s="88"/>
      <c r="BJY98" s="88"/>
      <c r="BJZ98" s="88"/>
      <c r="BKA98" s="88"/>
      <c r="BKB98" s="88"/>
      <c r="BKC98" s="88"/>
      <c r="BKD98" s="88"/>
      <c r="BKE98" s="88"/>
      <c r="BKF98" s="88"/>
      <c r="BKG98" s="88"/>
      <c r="BKH98" s="88"/>
      <c r="BKI98" s="88"/>
      <c r="BKJ98" s="88"/>
      <c r="BKK98" s="88"/>
      <c r="BKL98" s="88"/>
      <c r="BKM98" s="88"/>
      <c r="BKN98" s="88"/>
      <c r="BKO98" s="88"/>
      <c r="BKP98" s="88"/>
      <c r="BKQ98" s="88"/>
      <c r="BKR98" s="88"/>
      <c r="BKS98" s="88"/>
      <c r="BKT98" s="88"/>
      <c r="BKU98" s="88"/>
      <c r="BKV98" s="88"/>
      <c r="BKW98" s="88"/>
      <c r="BKX98" s="88"/>
      <c r="BKY98" s="88"/>
      <c r="BKZ98" s="88"/>
      <c r="BLA98" s="88"/>
      <c r="BLB98" s="88"/>
      <c r="BLC98" s="88"/>
      <c r="BLD98" s="88"/>
      <c r="BLE98" s="88"/>
      <c r="BLF98" s="88"/>
      <c r="BLG98" s="88"/>
      <c r="BLH98" s="88"/>
      <c r="BLI98" s="88"/>
      <c r="BLJ98" s="88"/>
      <c r="BLK98" s="88"/>
      <c r="BLL98" s="88"/>
      <c r="BLM98" s="88"/>
      <c r="BLN98" s="88"/>
      <c r="BLO98" s="88"/>
      <c r="BLP98" s="88"/>
      <c r="BLQ98" s="88"/>
      <c r="BLR98" s="88"/>
      <c r="BLS98" s="88"/>
      <c r="BLT98" s="88"/>
      <c r="BLU98" s="88"/>
      <c r="BLV98" s="88"/>
      <c r="BLW98" s="88"/>
      <c r="BLX98" s="88"/>
      <c r="BLY98" s="88"/>
      <c r="BLZ98" s="88"/>
      <c r="BMA98" s="88"/>
      <c r="BMB98" s="88"/>
      <c r="BMC98" s="88"/>
      <c r="BMD98" s="88"/>
      <c r="BME98" s="88"/>
      <c r="BMF98" s="88"/>
      <c r="BMG98" s="88"/>
      <c r="BMH98" s="88"/>
      <c r="BMI98" s="88"/>
      <c r="BMJ98" s="88"/>
      <c r="BMK98" s="88"/>
      <c r="BML98" s="88"/>
      <c r="BMM98" s="88"/>
      <c r="BMN98" s="88"/>
      <c r="BMO98" s="88"/>
      <c r="BMP98" s="88"/>
      <c r="BMQ98" s="88"/>
      <c r="BMR98" s="88"/>
      <c r="BMS98" s="88"/>
      <c r="BMT98" s="88"/>
      <c r="BMU98" s="88"/>
      <c r="BMV98" s="88"/>
      <c r="BMW98" s="88"/>
      <c r="BMX98" s="88"/>
      <c r="BMY98" s="88"/>
      <c r="BMZ98" s="88"/>
      <c r="BNA98" s="88"/>
      <c r="BNB98" s="88"/>
      <c r="BNC98" s="88"/>
      <c r="BND98" s="88"/>
      <c r="BNE98" s="88"/>
      <c r="BNF98" s="88"/>
      <c r="BNG98" s="88"/>
      <c r="BNH98" s="88"/>
      <c r="BNI98" s="88"/>
      <c r="BNJ98" s="88"/>
      <c r="BNK98" s="88"/>
      <c r="BNL98" s="88"/>
      <c r="BNM98" s="88"/>
      <c r="BNN98" s="88"/>
      <c r="BNO98" s="88"/>
      <c r="BNP98" s="88"/>
      <c r="BNQ98" s="88"/>
      <c r="BNR98" s="88"/>
      <c r="BNS98" s="88"/>
      <c r="BNT98" s="88"/>
      <c r="BNU98" s="88"/>
      <c r="BNV98" s="88"/>
      <c r="BNW98" s="88"/>
      <c r="BNX98" s="88"/>
      <c r="BNY98" s="88"/>
      <c r="BNZ98" s="88"/>
      <c r="BOA98" s="88"/>
      <c r="BOB98" s="88"/>
      <c r="BOC98" s="88"/>
      <c r="BOD98" s="88"/>
      <c r="BOE98" s="88"/>
      <c r="BOF98" s="88"/>
      <c r="BOG98" s="88"/>
      <c r="BOH98" s="88"/>
      <c r="BOI98" s="88"/>
      <c r="BOJ98" s="88"/>
      <c r="BOK98" s="88"/>
      <c r="BOL98" s="88"/>
      <c r="BOM98" s="88"/>
      <c r="BON98" s="88"/>
      <c r="BOO98" s="88"/>
      <c r="BOP98" s="88"/>
      <c r="BOQ98" s="88"/>
      <c r="BOR98" s="88"/>
      <c r="BOS98" s="88"/>
      <c r="BOT98" s="88"/>
      <c r="BOU98" s="88"/>
      <c r="BOV98" s="88"/>
      <c r="BOW98" s="88"/>
      <c r="BOX98" s="88"/>
      <c r="BOY98" s="88"/>
      <c r="BOZ98" s="88"/>
      <c r="BPA98" s="88"/>
      <c r="BPB98" s="88"/>
      <c r="BPC98" s="88"/>
      <c r="BPD98" s="88"/>
      <c r="BPE98" s="88"/>
      <c r="BPF98" s="88"/>
      <c r="BPG98" s="88"/>
      <c r="BPH98" s="88"/>
      <c r="BPI98" s="88"/>
      <c r="BPJ98" s="88"/>
      <c r="BPK98" s="88"/>
      <c r="BPL98" s="88"/>
      <c r="BPM98" s="88"/>
      <c r="BPN98" s="88"/>
      <c r="BPO98" s="88"/>
      <c r="BPP98" s="88"/>
      <c r="BPQ98" s="88"/>
      <c r="BPR98" s="88"/>
      <c r="BPS98" s="88"/>
      <c r="BPT98" s="88"/>
      <c r="BPU98" s="88"/>
      <c r="BPV98" s="88"/>
      <c r="BPW98" s="88"/>
      <c r="BPX98" s="88"/>
      <c r="BPY98" s="88"/>
      <c r="BPZ98" s="88"/>
      <c r="BQA98" s="88"/>
      <c r="BQB98" s="88"/>
      <c r="BQC98" s="88"/>
      <c r="BQD98" s="88"/>
      <c r="BQE98" s="88"/>
      <c r="BQF98" s="88"/>
      <c r="BQG98" s="88"/>
      <c r="BQH98" s="88"/>
      <c r="BQI98" s="88"/>
      <c r="BQJ98" s="88"/>
      <c r="BQK98" s="88"/>
      <c r="BQL98" s="88"/>
      <c r="BQM98" s="88"/>
      <c r="BQN98" s="88"/>
      <c r="BQO98" s="88"/>
      <c r="BQP98" s="88"/>
      <c r="BQQ98" s="88"/>
      <c r="BQR98" s="88"/>
      <c r="BQS98" s="88"/>
      <c r="BQT98" s="88"/>
      <c r="BQU98" s="88"/>
      <c r="BQV98" s="88"/>
      <c r="BQW98" s="88"/>
      <c r="BQX98" s="88"/>
      <c r="BQY98" s="88"/>
      <c r="BQZ98" s="88"/>
      <c r="BRA98" s="88"/>
      <c r="BRB98" s="88"/>
      <c r="BRC98" s="88"/>
      <c r="BRD98" s="88"/>
      <c r="BRE98" s="88"/>
      <c r="BRF98" s="88"/>
      <c r="BRG98" s="88"/>
      <c r="BRH98" s="88"/>
      <c r="BRI98" s="88"/>
      <c r="BRJ98" s="88"/>
      <c r="BRK98" s="88"/>
      <c r="BRL98" s="88"/>
      <c r="BRM98" s="88"/>
      <c r="BRN98" s="88"/>
      <c r="BRO98" s="88"/>
      <c r="BRP98" s="88"/>
      <c r="BRQ98" s="88"/>
      <c r="BRR98" s="88"/>
      <c r="BRS98" s="88"/>
      <c r="BRT98" s="88"/>
      <c r="BRU98" s="88"/>
      <c r="BRV98" s="88"/>
      <c r="BRW98" s="88"/>
      <c r="BRX98" s="88"/>
      <c r="BRY98" s="88"/>
      <c r="BRZ98" s="88"/>
      <c r="BSA98" s="88"/>
      <c r="BSB98" s="88"/>
      <c r="BSC98" s="88"/>
      <c r="BSD98" s="88"/>
      <c r="BSE98" s="88"/>
      <c r="BSF98" s="88"/>
      <c r="BSG98" s="88"/>
      <c r="BSH98" s="88"/>
      <c r="BSI98" s="88"/>
      <c r="BSJ98" s="88"/>
      <c r="BSK98" s="88"/>
      <c r="BSL98" s="88"/>
      <c r="BSM98" s="88"/>
      <c r="BSN98" s="88"/>
      <c r="BSO98" s="88"/>
      <c r="BSP98" s="88"/>
      <c r="BSQ98" s="88"/>
      <c r="BSR98" s="88"/>
      <c r="BSS98" s="88"/>
      <c r="BST98" s="88"/>
      <c r="BSU98" s="88"/>
      <c r="BSV98" s="88"/>
      <c r="BSW98" s="88"/>
      <c r="BSX98" s="88"/>
      <c r="BSY98" s="88"/>
      <c r="BSZ98" s="88"/>
      <c r="BTA98" s="88"/>
      <c r="BTB98" s="88"/>
      <c r="BTC98" s="88"/>
      <c r="BTD98" s="88"/>
      <c r="BTE98" s="88"/>
      <c r="BTF98" s="88"/>
      <c r="BTG98" s="88"/>
      <c r="BTH98" s="88"/>
      <c r="BTI98" s="88"/>
      <c r="BTJ98" s="88"/>
      <c r="BTK98" s="88"/>
      <c r="BTL98" s="88"/>
      <c r="BTM98" s="88"/>
      <c r="BTN98" s="88"/>
      <c r="BTO98" s="88"/>
      <c r="BTP98" s="88"/>
      <c r="BTQ98" s="88"/>
      <c r="BTR98" s="88"/>
      <c r="BTS98" s="88"/>
      <c r="BTT98" s="88"/>
      <c r="BTU98" s="88"/>
      <c r="BTV98" s="88"/>
      <c r="BTW98" s="88"/>
      <c r="BTX98" s="88"/>
      <c r="BTY98" s="88"/>
      <c r="BTZ98" s="88"/>
      <c r="BUA98" s="88"/>
      <c r="BUB98" s="88"/>
      <c r="BUC98" s="88"/>
      <c r="BUD98" s="88"/>
      <c r="BUE98" s="88"/>
      <c r="BUF98" s="88"/>
      <c r="BUG98" s="88"/>
      <c r="BUH98" s="88"/>
      <c r="BUI98" s="88"/>
      <c r="BUJ98" s="88"/>
      <c r="BUK98" s="88"/>
      <c r="BUL98" s="88"/>
      <c r="BUM98" s="88"/>
      <c r="BUN98" s="88"/>
      <c r="BUO98" s="88"/>
      <c r="BUP98" s="88"/>
      <c r="BUQ98" s="88"/>
      <c r="BUR98" s="88"/>
      <c r="BUS98" s="88"/>
      <c r="BUT98" s="88"/>
      <c r="BUU98" s="88"/>
      <c r="BUV98" s="88"/>
      <c r="BUW98" s="88"/>
      <c r="BUX98" s="88"/>
      <c r="BUY98" s="88"/>
      <c r="BUZ98" s="88"/>
      <c r="BVA98" s="88"/>
      <c r="BVB98" s="88"/>
      <c r="BVC98" s="88"/>
      <c r="BVD98" s="88"/>
      <c r="BVE98" s="88"/>
      <c r="BVF98" s="88"/>
      <c r="BVG98" s="88"/>
      <c r="BVH98" s="88"/>
      <c r="BVI98" s="88"/>
      <c r="BVJ98" s="88"/>
      <c r="BVK98" s="88"/>
      <c r="BVL98" s="88"/>
      <c r="BVM98" s="88"/>
      <c r="BVN98" s="88"/>
      <c r="BVO98" s="88"/>
      <c r="BVP98" s="88"/>
      <c r="BVQ98" s="88"/>
      <c r="BVR98" s="88"/>
      <c r="BVS98" s="88"/>
      <c r="BVT98" s="88"/>
      <c r="BVU98" s="88"/>
      <c r="BVV98" s="88"/>
      <c r="BVW98" s="88"/>
      <c r="BVX98" s="88"/>
      <c r="BVY98" s="88"/>
      <c r="BVZ98" s="88"/>
      <c r="BWA98" s="88"/>
      <c r="BWB98" s="88"/>
      <c r="BWC98" s="88"/>
      <c r="BWD98" s="88"/>
      <c r="BWE98" s="88"/>
      <c r="BWF98" s="88"/>
      <c r="BWG98" s="88"/>
      <c r="BWH98" s="88"/>
      <c r="BWI98" s="88"/>
      <c r="BWJ98" s="88"/>
      <c r="BWK98" s="88"/>
      <c r="BWL98" s="88"/>
      <c r="BWM98" s="88"/>
      <c r="BWN98" s="88"/>
      <c r="BWO98" s="88"/>
      <c r="BWP98" s="88"/>
      <c r="BWQ98" s="88"/>
      <c r="BWR98" s="88"/>
      <c r="BWS98" s="88"/>
      <c r="BWT98" s="88"/>
      <c r="BWU98" s="88"/>
      <c r="BWV98" s="88"/>
      <c r="BWW98" s="88"/>
      <c r="BWX98" s="88"/>
      <c r="BWY98" s="88"/>
      <c r="BWZ98" s="88"/>
      <c r="BXA98" s="88"/>
      <c r="BXB98" s="88"/>
      <c r="BXC98" s="88"/>
      <c r="BXD98" s="88"/>
      <c r="BXE98" s="88"/>
      <c r="BXF98" s="88"/>
      <c r="BXG98" s="88"/>
      <c r="BXH98" s="88"/>
      <c r="BXI98" s="88"/>
      <c r="BXJ98" s="88"/>
      <c r="BXK98" s="88"/>
      <c r="BXL98" s="88"/>
      <c r="BXM98" s="88"/>
      <c r="BXN98" s="88"/>
      <c r="BXO98" s="88"/>
      <c r="BXP98" s="88"/>
      <c r="BXQ98" s="88"/>
      <c r="BXR98" s="88"/>
      <c r="BXS98" s="88"/>
      <c r="BXT98" s="88"/>
      <c r="BXU98" s="88"/>
      <c r="BXV98" s="88"/>
      <c r="BXW98" s="88"/>
      <c r="BXX98" s="88"/>
      <c r="BXY98" s="88"/>
      <c r="BXZ98" s="88"/>
      <c r="BYA98" s="88"/>
      <c r="BYB98" s="88"/>
      <c r="BYC98" s="88"/>
      <c r="BYD98" s="88"/>
      <c r="BYE98" s="88"/>
      <c r="BYF98" s="88"/>
      <c r="BYG98" s="88"/>
      <c r="BYH98" s="88"/>
      <c r="BYI98" s="88"/>
      <c r="BYJ98" s="88"/>
      <c r="BYK98" s="88"/>
      <c r="BYL98" s="88"/>
      <c r="BYM98" s="88"/>
      <c r="BYN98" s="88"/>
      <c r="BYO98" s="88"/>
      <c r="BYP98" s="88"/>
      <c r="BYQ98" s="88"/>
      <c r="BYR98" s="88"/>
      <c r="BYS98" s="88"/>
      <c r="BYT98" s="88"/>
      <c r="BYU98" s="88"/>
      <c r="BYV98" s="88"/>
      <c r="BYW98" s="88"/>
      <c r="BYX98" s="88"/>
      <c r="BYY98" s="88"/>
      <c r="BYZ98" s="88"/>
      <c r="BZA98" s="88"/>
      <c r="BZB98" s="88"/>
      <c r="BZC98" s="88"/>
      <c r="BZD98" s="88"/>
      <c r="BZE98" s="88"/>
      <c r="BZF98" s="88"/>
      <c r="BZG98" s="88"/>
      <c r="BZH98" s="88"/>
      <c r="BZI98" s="88"/>
      <c r="BZJ98" s="88"/>
      <c r="BZK98" s="88"/>
      <c r="BZL98" s="88"/>
      <c r="BZM98" s="88"/>
      <c r="BZN98" s="88"/>
      <c r="BZO98" s="88"/>
      <c r="BZP98" s="88"/>
      <c r="BZQ98" s="88"/>
      <c r="BZR98" s="88"/>
      <c r="BZS98" s="88"/>
      <c r="BZT98" s="88"/>
      <c r="BZU98" s="88"/>
      <c r="BZV98" s="88"/>
      <c r="BZW98" s="88"/>
      <c r="BZX98" s="88"/>
      <c r="BZY98" s="88"/>
      <c r="BZZ98" s="88"/>
      <c r="CAA98" s="88"/>
      <c r="CAB98" s="88"/>
      <c r="CAC98" s="88"/>
      <c r="CAD98" s="88"/>
      <c r="CAE98" s="88"/>
      <c r="CAF98" s="88"/>
      <c r="CAG98" s="88"/>
      <c r="CAH98" s="88"/>
      <c r="CAI98" s="88"/>
      <c r="CAJ98" s="88"/>
      <c r="CAK98" s="88"/>
      <c r="CAL98" s="88"/>
      <c r="CAM98" s="88"/>
      <c r="CAN98" s="88"/>
      <c r="CAO98" s="88"/>
      <c r="CAP98" s="88"/>
      <c r="CAQ98" s="88"/>
      <c r="CAR98" s="88"/>
      <c r="CAS98" s="88"/>
      <c r="CAT98" s="88"/>
      <c r="CAU98" s="88"/>
      <c r="CAV98" s="88"/>
      <c r="CAW98" s="88"/>
      <c r="CAX98" s="88"/>
      <c r="CAY98" s="88"/>
      <c r="CAZ98" s="88"/>
      <c r="CBA98" s="88"/>
      <c r="CBB98" s="88"/>
      <c r="CBC98" s="88"/>
      <c r="CBD98" s="88"/>
      <c r="CBE98" s="88"/>
      <c r="CBF98" s="88"/>
      <c r="CBG98" s="88"/>
      <c r="CBH98" s="88"/>
      <c r="CBI98" s="88"/>
      <c r="CBJ98" s="88"/>
      <c r="CBK98" s="88"/>
      <c r="CBL98" s="88"/>
      <c r="CBM98" s="88"/>
      <c r="CBN98" s="88"/>
      <c r="CBO98" s="88"/>
      <c r="CBP98" s="88"/>
      <c r="CBQ98" s="88"/>
      <c r="CBR98" s="88"/>
      <c r="CBS98" s="88"/>
      <c r="CBT98" s="88"/>
      <c r="CBU98" s="88"/>
      <c r="CBV98" s="88"/>
      <c r="CBW98" s="88"/>
      <c r="CBX98" s="88"/>
      <c r="CBY98" s="88"/>
      <c r="CBZ98" s="88"/>
      <c r="CCA98" s="88"/>
      <c r="CCB98" s="88"/>
      <c r="CCC98" s="88"/>
      <c r="CCD98" s="88"/>
      <c r="CCE98" s="88"/>
      <c r="CCF98" s="88"/>
      <c r="CCG98" s="88"/>
      <c r="CCH98" s="88"/>
      <c r="CCI98" s="88"/>
      <c r="CCJ98" s="88"/>
      <c r="CCK98" s="88"/>
      <c r="CCL98" s="88"/>
      <c r="CCM98" s="88"/>
      <c r="CCN98" s="88"/>
      <c r="CCO98" s="88"/>
      <c r="CCP98" s="88"/>
      <c r="CCQ98" s="88"/>
      <c r="CCR98" s="88"/>
      <c r="CCS98" s="88"/>
      <c r="CCT98" s="88"/>
      <c r="CCU98" s="88"/>
      <c r="CCV98" s="88"/>
      <c r="CCW98" s="88"/>
      <c r="CCX98" s="88"/>
      <c r="CCY98" s="88"/>
      <c r="CCZ98" s="88"/>
      <c r="CDA98" s="88"/>
      <c r="CDB98" s="88"/>
      <c r="CDC98" s="88"/>
      <c r="CDD98" s="88"/>
      <c r="CDE98" s="88"/>
      <c r="CDF98" s="88"/>
      <c r="CDG98" s="88"/>
      <c r="CDH98" s="88"/>
      <c r="CDI98" s="88"/>
      <c r="CDJ98" s="88"/>
      <c r="CDK98" s="88"/>
      <c r="CDL98" s="88"/>
      <c r="CDM98" s="88"/>
      <c r="CDN98" s="88"/>
      <c r="CDO98" s="88"/>
      <c r="CDP98" s="88"/>
      <c r="CDQ98" s="88"/>
      <c r="CDR98" s="88"/>
      <c r="CDS98" s="88"/>
      <c r="CDT98" s="88"/>
      <c r="CDU98" s="88"/>
      <c r="CDV98" s="88"/>
      <c r="CDW98" s="88"/>
      <c r="CDX98" s="88"/>
      <c r="CDY98" s="88"/>
      <c r="CDZ98" s="88"/>
      <c r="CEA98" s="88"/>
      <c r="CEB98" s="88"/>
      <c r="CEC98" s="88"/>
      <c r="CED98" s="88"/>
      <c r="CEE98" s="88"/>
      <c r="CEF98" s="88"/>
      <c r="CEG98" s="88"/>
      <c r="CEH98" s="88"/>
      <c r="CEI98" s="88"/>
      <c r="CEJ98" s="88"/>
      <c r="CEK98" s="88"/>
    </row>
    <row r="99" spans="1:2169" s="63" customFormat="1">
      <c r="A99" s="73" t="s">
        <v>792</v>
      </c>
      <c r="B99" s="71" t="s">
        <v>514</v>
      </c>
      <c r="C99" s="68" t="str">
        <f>IF('page 2'!$O$4="","",IF('page 2'!$O$4=Gestion!A99,1,0))</f>
        <v/>
      </c>
      <c r="D99" s="68" t="str">
        <f>IF('page 2'!$O$5="","",IF('page 2'!$O$5=Gestion!A99,1,0))</f>
        <v/>
      </c>
      <c r="E99" s="68" t="str">
        <f>IF('page 2'!$O$6="","",IF('page 2'!$O$6=Gestion!A99,1,0))</f>
        <v/>
      </c>
      <c r="F99" s="68" t="str">
        <f>IF('page 2'!$O$7="","",IF('page 2'!$O$7=Gestion!A99,1,0))</f>
        <v/>
      </c>
      <c r="G99" s="68" t="str">
        <f>IF('page 2'!$O$8="","",IF('page 2'!$O$8=Gestion!A99,1,0))</f>
        <v/>
      </c>
      <c r="H99" s="68" t="str">
        <f>IF('page 2'!$O$9="","",IF('page 2'!$O$9=Gestion!A99,1,0))</f>
        <v/>
      </c>
      <c r="I99" s="68" t="str">
        <f>IF('page 2'!$O$10="","",IF('page 2'!$O$10=Gestion!A99,1,0))</f>
        <v/>
      </c>
      <c r="J99" s="68" t="str">
        <f>IF('page 2'!$O$11="","",IF('page 2'!$O$11=Gestion!A99,1,0))</f>
        <v/>
      </c>
      <c r="K99" s="68" t="str">
        <f>IF('page 2'!$O$12="","",IF('page 2'!$O$12=Gestion!A99,1,0))</f>
        <v/>
      </c>
      <c r="L99" s="68" t="str">
        <f>IF('page 2'!$O$13="","",IF('page 2'!$O$13=Gestion!A99,1,0))</f>
        <v/>
      </c>
      <c r="M99" s="68" t="str">
        <f>IF('page 2'!$O$14="","",IF('page 2'!$O$14=Gestion!A99,1,0))</f>
        <v/>
      </c>
      <c r="N99" s="68" t="str">
        <f>IF('page 2'!$O$15="","",IF('page 2'!$O$15=Gestion!A99,1,0))</f>
        <v/>
      </c>
      <c r="O99" s="68" t="str">
        <f>IF('page 2'!$O$16="","",IF('page 2'!$O$16=Gestion!A99,1,0))</f>
        <v/>
      </c>
      <c r="P99" s="68" t="str">
        <f>IF('page 2'!$O$17="","",IF('page 2'!$O$17=Gestion!A99,1,0))</f>
        <v/>
      </c>
      <c r="Q99" s="68" t="str">
        <f>IF('page 2'!$O$18="","",IF('page 2'!$O$18=Gestion!A99,1,0))</f>
        <v/>
      </c>
      <c r="R99" s="68" t="str">
        <f>IF('page 2'!$O$19="","",IF('page 2'!$O$19=Gestion!A99,1,0))</f>
        <v/>
      </c>
      <c r="S99" s="68" t="str">
        <f>IF('page 2'!$O$20="","",IF('page 2'!$O$20=Gestion!A99,1,0))</f>
        <v/>
      </c>
      <c r="T99" s="68" t="str">
        <f>IF('page 2'!$O$25="","",IF('page 2'!$O$25=Gestion!A99,1,0))</f>
        <v/>
      </c>
      <c r="U99" s="68" t="str">
        <f>IF('page 2'!$O$26="","",IF('page 2'!$O$26=Gestion!A99,1,0))</f>
        <v/>
      </c>
      <c r="V99" s="68" t="str">
        <f>IF('page 2'!$O$27="","",IF('page 2'!$O$27=Gestion!A99,1,0))</f>
        <v/>
      </c>
      <c r="W99" s="722">
        <f t="shared" si="14"/>
        <v>0</v>
      </c>
      <c r="X99" s="714"/>
      <c r="Y99" s="68"/>
      <c r="Z99" s="68"/>
      <c r="AA99" s="68"/>
      <c r="AB99" s="68"/>
      <c r="AC99" s="68"/>
      <c r="AD99" s="68"/>
      <c r="AP99" s="130"/>
      <c r="AQ99" s="130"/>
      <c r="AR99" s="130"/>
      <c r="AS99" s="576"/>
      <c r="AT99" s="576"/>
      <c r="AU99" s="576"/>
      <c r="AV99" s="576"/>
      <c r="AW99" s="602"/>
      <c r="AX99" s="602"/>
      <c r="AY99" s="576"/>
      <c r="AZ99" s="576"/>
      <c r="BA99" s="576"/>
      <c r="BB99" s="576"/>
      <c r="BC99" s="576"/>
      <c r="BD99" s="602"/>
      <c r="BE99" s="602"/>
      <c r="BF99" s="602"/>
      <c r="BG99" s="602"/>
      <c r="BH99" s="602"/>
      <c r="BI99" s="602"/>
      <c r="BJ99" s="602"/>
      <c r="BK99" s="602"/>
      <c r="BL99" s="602"/>
      <c r="BM99" s="602"/>
      <c r="BN99" s="602"/>
      <c r="BO99" s="602"/>
      <c r="BP99" s="602"/>
      <c r="BQ99" s="602"/>
      <c r="BR99" s="602"/>
      <c r="BS99" s="576"/>
      <c r="BT99" s="576"/>
      <c r="BU99" s="576"/>
      <c r="BV99" s="576"/>
      <c r="BW99" s="602"/>
      <c r="BX99" s="602"/>
      <c r="BY99" s="602"/>
      <c r="BZ99" s="576"/>
      <c r="CA99" s="602"/>
      <c r="CB99" s="602"/>
      <c r="CC99" s="576"/>
      <c r="CD99" s="576"/>
      <c r="CE99" s="602"/>
      <c r="CF99" s="576"/>
      <c r="CG99" s="576"/>
      <c r="CH99" s="576"/>
      <c r="CI99" s="576"/>
      <c r="CJ99" s="576"/>
      <c r="CK99" s="602"/>
      <c r="CL99" s="602"/>
      <c r="CM99" s="576"/>
      <c r="CN99" s="602"/>
      <c r="CO99" s="602"/>
      <c r="CP99" s="602"/>
      <c r="CQ99" s="576"/>
      <c r="CR99" s="576"/>
      <c r="CS99" s="602"/>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c r="HF99" s="88"/>
      <c r="HG99" s="88"/>
      <c r="HH99" s="88"/>
      <c r="HI99" s="88"/>
      <c r="HJ99" s="88"/>
      <c r="HK99" s="88"/>
      <c r="HL99" s="88"/>
      <c r="HM99" s="88"/>
      <c r="HN99" s="88"/>
      <c r="HO99" s="88"/>
      <c r="HP99" s="88"/>
      <c r="HQ99" s="88"/>
      <c r="HR99" s="88"/>
      <c r="HS99" s="88"/>
      <c r="HT99" s="88"/>
      <c r="HU99" s="88"/>
      <c r="HV99" s="88"/>
      <c r="HW99" s="88"/>
      <c r="HX99" s="88"/>
      <c r="HY99" s="88"/>
      <c r="HZ99" s="88"/>
      <c r="IA99" s="88"/>
      <c r="IB99" s="88"/>
      <c r="IC99" s="88"/>
      <c r="ID99" s="88"/>
      <c r="IE99" s="88"/>
      <c r="IF99" s="88"/>
      <c r="IG99" s="88"/>
      <c r="IH99" s="88"/>
      <c r="II99" s="88"/>
      <c r="IJ99" s="88"/>
      <c r="IK99" s="88"/>
      <c r="IL99" s="88"/>
      <c r="IM99" s="88"/>
      <c r="IN99" s="88"/>
      <c r="IO99" s="88"/>
      <c r="IP99" s="88"/>
      <c r="IQ99" s="88"/>
      <c r="IR99" s="88"/>
      <c r="IS99" s="88"/>
      <c r="IT99" s="88"/>
      <c r="IU99" s="88"/>
      <c r="IV99" s="88"/>
      <c r="IW99" s="88"/>
      <c r="IX99" s="88"/>
      <c r="IY99" s="88"/>
      <c r="IZ99" s="88"/>
      <c r="JA99" s="88"/>
      <c r="JB99" s="88"/>
      <c r="JC99" s="88"/>
      <c r="JD99" s="88"/>
      <c r="JE99" s="88"/>
      <c r="JF99" s="88"/>
      <c r="JG99" s="88"/>
      <c r="JH99" s="88"/>
      <c r="JI99" s="88"/>
      <c r="JJ99" s="88"/>
      <c r="JK99" s="88"/>
      <c r="JL99" s="88"/>
      <c r="JM99" s="88"/>
      <c r="JN99" s="88"/>
      <c r="JO99" s="88"/>
      <c r="JP99" s="88"/>
      <c r="JQ99" s="88"/>
      <c r="JR99" s="88"/>
      <c r="JS99" s="88"/>
      <c r="JT99" s="88"/>
      <c r="JU99" s="88"/>
      <c r="JV99" s="88"/>
      <c r="JW99" s="88"/>
      <c r="JX99" s="88"/>
      <c r="JY99" s="88"/>
      <c r="JZ99" s="88"/>
      <c r="KA99" s="88"/>
      <c r="KB99" s="88"/>
      <c r="KC99" s="88"/>
      <c r="KD99" s="88"/>
      <c r="KE99" s="88"/>
      <c r="KF99" s="88"/>
      <c r="KG99" s="88"/>
      <c r="KH99" s="88"/>
      <c r="KI99" s="88"/>
      <c r="KJ99" s="88"/>
      <c r="KK99" s="88"/>
      <c r="KL99" s="88"/>
      <c r="KM99" s="88"/>
      <c r="KN99" s="88"/>
      <c r="KO99" s="88"/>
      <c r="KP99" s="88"/>
      <c r="KQ99" s="88"/>
      <c r="KR99" s="88"/>
      <c r="KS99" s="88"/>
      <c r="KT99" s="88"/>
      <c r="KU99" s="88"/>
      <c r="KV99" s="88"/>
      <c r="KW99" s="88"/>
      <c r="KX99" s="88"/>
      <c r="KY99" s="88"/>
      <c r="KZ99" s="88"/>
      <c r="LA99" s="88"/>
      <c r="LB99" s="88"/>
      <c r="LC99" s="88"/>
      <c r="LD99" s="88"/>
      <c r="LE99" s="88"/>
      <c r="LF99" s="88"/>
      <c r="LG99" s="88"/>
      <c r="LH99" s="88"/>
      <c r="LI99" s="88"/>
      <c r="LJ99" s="88"/>
      <c r="LK99" s="88"/>
      <c r="LL99" s="88"/>
      <c r="LM99" s="88"/>
      <c r="LN99" s="88"/>
      <c r="LO99" s="88"/>
      <c r="LP99" s="88"/>
      <c r="LQ99" s="88"/>
      <c r="LR99" s="88"/>
      <c r="LS99" s="88"/>
      <c r="LT99" s="88"/>
      <c r="LU99" s="88"/>
      <c r="LV99" s="88"/>
      <c r="LW99" s="88"/>
      <c r="LX99" s="88"/>
      <c r="LY99" s="88"/>
      <c r="LZ99" s="88"/>
      <c r="MA99" s="88"/>
      <c r="MB99" s="88"/>
      <c r="MC99" s="88"/>
      <c r="MD99" s="88"/>
      <c r="ME99" s="88"/>
      <c r="MF99" s="88"/>
      <c r="MG99" s="88"/>
      <c r="MH99" s="88"/>
      <c r="MI99" s="88"/>
      <c r="MJ99" s="88"/>
      <c r="MK99" s="88"/>
      <c r="ML99" s="88"/>
      <c r="MM99" s="88"/>
      <c r="MN99" s="88"/>
      <c r="MO99" s="88"/>
      <c r="MP99" s="88"/>
      <c r="MQ99" s="88"/>
      <c r="MR99" s="88"/>
      <c r="MS99" s="88"/>
      <c r="MT99" s="88"/>
      <c r="MU99" s="88"/>
      <c r="MV99" s="88"/>
      <c r="MW99" s="88"/>
      <c r="MX99" s="88"/>
      <c r="MY99" s="88"/>
      <c r="MZ99" s="88"/>
      <c r="NA99" s="88"/>
      <c r="NB99" s="88"/>
      <c r="NC99" s="88"/>
      <c r="ND99" s="88"/>
      <c r="NE99" s="88"/>
      <c r="NF99" s="88"/>
      <c r="NG99" s="88"/>
      <c r="NH99" s="88"/>
      <c r="NI99" s="88"/>
      <c r="NJ99" s="88"/>
      <c r="NK99" s="88"/>
      <c r="NL99" s="88"/>
      <c r="NM99" s="88"/>
      <c r="NN99" s="88"/>
      <c r="NO99" s="88"/>
      <c r="NP99" s="88"/>
      <c r="NQ99" s="88"/>
      <c r="NR99" s="88"/>
      <c r="NS99" s="88"/>
      <c r="NT99" s="88"/>
      <c r="NU99" s="88"/>
      <c r="NV99" s="88"/>
      <c r="NW99" s="88"/>
      <c r="NX99" s="88"/>
      <c r="NY99" s="88"/>
      <c r="NZ99" s="88"/>
      <c r="OA99" s="88"/>
      <c r="OB99" s="88"/>
      <c r="OC99" s="88"/>
      <c r="OD99" s="88"/>
      <c r="OE99" s="88"/>
      <c r="OF99" s="88"/>
      <c r="OG99" s="88"/>
      <c r="OH99" s="88"/>
      <c r="OI99" s="88"/>
      <c r="OJ99" s="88"/>
      <c r="OK99" s="88"/>
      <c r="OL99" s="88"/>
      <c r="OM99" s="88"/>
      <c r="ON99" s="88"/>
      <c r="OO99" s="88"/>
      <c r="OP99" s="88"/>
      <c r="OQ99" s="88"/>
      <c r="OR99" s="88"/>
      <c r="OS99" s="88"/>
      <c r="OT99" s="88"/>
      <c r="OU99" s="88"/>
      <c r="OV99" s="88"/>
      <c r="OW99" s="88"/>
      <c r="OX99" s="88"/>
      <c r="OY99" s="88"/>
      <c r="OZ99" s="88"/>
      <c r="PA99" s="88"/>
      <c r="PB99" s="88"/>
      <c r="PC99" s="88"/>
      <c r="PD99" s="88"/>
      <c r="PE99" s="88"/>
      <c r="PF99" s="88"/>
      <c r="PG99" s="88"/>
      <c r="PH99" s="88"/>
      <c r="PI99" s="88"/>
      <c r="PJ99" s="88"/>
      <c r="PK99" s="88"/>
      <c r="PL99" s="88"/>
      <c r="PM99" s="88"/>
      <c r="PN99" s="88"/>
      <c r="PO99" s="88"/>
      <c r="PP99" s="88"/>
      <c r="PQ99" s="88"/>
      <c r="PR99" s="88"/>
      <c r="PS99" s="88"/>
      <c r="PT99" s="88"/>
      <c r="PU99" s="88"/>
      <c r="PV99" s="88"/>
      <c r="PW99" s="88"/>
      <c r="PX99" s="88"/>
      <c r="PY99" s="88"/>
      <c r="PZ99" s="88"/>
      <c r="QA99" s="88"/>
      <c r="QB99" s="88"/>
      <c r="QC99" s="88"/>
      <c r="QD99" s="88"/>
      <c r="QE99" s="88"/>
      <c r="QF99" s="88"/>
      <c r="QG99" s="88"/>
      <c r="QH99" s="88"/>
      <c r="QI99" s="88"/>
      <c r="QJ99" s="88"/>
      <c r="QK99" s="88"/>
      <c r="QL99" s="88"/>
      <c r="QM99" s="88"/>
      <c r="QN99" s="88"/>
      <c r="QO99" s="88"/>
      <c r="QP99" s="88"/>
      <c r="QQ99" s="88"/>
      <c r="QR99" s="88"/>
      <c r="QS99" s="88"/>
      <c r="QT99" s="88"/>
      <c r="QU99" s="88"/>
      <c r="QV99" s="88"/>
      <c r="QW99" s="88"/>
      <c r="QX99" s="88"/>
      <c r="QY99" s="88"/>
      <c r="QZ99" s="88"/>
      <c r="RA99" s="88"/>
      <c r="RB99" s="88"/>
      <c r="RC99" s="88"/>
      <c r="RD99" s="88"/>
      <c r="RE99" s="88"/>
      <c r="RF99" s="88"/>
      <c r="RG99" s="88"/>
      <c r="RH99" s="88"/>
      <c r="RI99" s="88"/>
      <c r="RJ99" s="88"/>
      <c r="RK99" s="88"/>
      <c r="RL99" s="88"/>
      <c r="RM99" s="88"/>
      <c r="RN99" s="88"/>
      <c r="RO99" s="88"/>
      <c r="RP99" s="88"/>
      <c r="RQ99" s="88"/>
      <c r="RR99" s="88"/>
      <c r="RS99" s="88"/>
      <c r="RT99" s="88"/>
      <c r="RU99" s="88"/>
      <c r="RV99" s="88"/>
      <c r="RW99" s="88"/>
      <c r="RX99" s="88"/>
      <c r="RY99" s="88"/>
      <c r="RZ99" s="88"/>
      <c r="SA99" s="88"/>
      <c r="SB99" s="88"/>
      <c r="SC99" s="88"/>
      <c r="SD99" s="88"/>
      <c r="SE99" s="88"/>
      <c r="SF99" s="88"/>
      <c r="SG99" s="88"/>
      <c r="SH99" s="88"/>
      <c r="SI99" s="88"/>
      <c r="SJ99" s="88"/>
      <c r="SK99" s="88"/>
      <c r="SL99" s="88"/>
      <c r="SM99" s="88"/>
      <c r="SN99" s="88"/>
      <c r="SO99" s="88"/>
      <c r="SP99" s="88"/>
      <c r="SQ99" s="88"/>
      <c r="SR99" s="88"/>
      <c r="SS99" s="88"/>
      <c r="ST99" s="88"/>
      <c r="SU99" s="88"/>
      <c r="SV99" s="88"/>
      <c r="SW99" s="88"/>
      <c r="SX99" s="88"/>
      <c r="SY99" s="88"/>
      <c r="SZ99" s="88"/>
      <c r="TA99" s="88"/>
      <c r="TB99" s="88"/>
      <c r="TC99" s="88"/>
      <c r="TD99" s="88"/>
      <c r="TE99" s="88"/>
      <c r="TF99" s="88"/>
      <c r="TG99" s="88"/>
      <c r="TH99" s="88"/>
      <c r="TI99" s="88"/>
      <c r="TJ99" s="88"/>
      <c r="TK99" s="88"/>
      <c r="TL99" s="88"/>
      <c r="TM99" s="88"/>
      <c r="TN99" s="88"/>
      <c r="TO99" s="88"/>
      <c r="TP99" s="88"/>
      <c r="TQ99" s="88"/>
      <c r="TR99" s="88"/>
      <c r="TS99" s="88"/>
      <c r="TT99" s="88"/>
      <c r="TU99" s="88"/>
      <c r="TV99" s="88"/>
      <c r="TW99" s="88"/>
      <c r="TX99" s="88"/>
      <c r="TY99" s="88"/>
      <c r="TZ99" s="88"/>
      <c r="UA99" s="88"/>
      <c r="UB99" s="88"/>
      <c r="UC99" s="88"/>
      <c r="UD99" s="88"/>
      <c r="UE99" s="88"/>
      <c r="UF99" s="88"/>
      <c r="UG99" s="88"/>
      <c r="UH99" s="88"/>
      <c r="UI99" s="88"/>
      <c r="UJ99" s="88"/>
      <c r="UK99" s="88"/>
      <c r="UL99" s="88"/>
      <c r="UM99" s="88"/>
      <c r="UN99" s="88"/>
      <c r="UO99" s="88"/>
      <c r="UP99" s="88"/>
      <c r="UQ99" s="88"/>
      <c r="UR99" s="88"/>
      <c r="US99" s="88"/>
      <c r="UT99" s="88"/>
      <c r="UU99" s="88"/>
      <c r="UV99" s="88"/>
      <c r="UW99" s="88"/>
      <c r="UX99" s="88"/>
      <c r="UY99" s="88"/>
      <c r="UZ99" s="88"/>
      <c r="VA99" s="88"/>
      <c r="VB99" s="88"/>
      <c r="VC99" s="88"/>
      <c r="VD99" s="88"/>
      <c r="VE99" s="88"/>
      <c r="VF99" s="88"/>
      <c r="VG99" s="88"/>
      <c r="VH99" s="88"/>
      <c r="VI99" s="88"/>
      <c r="VJ99" s="88"/>
      <c r="VK99" s="88"/>
      <c r="VL99" s="88"/>
      <c r="VM99" s="88"/>
      <c r="VN99" s="88"/>
      <c r="VO99" s="88"/>
      <c r="VP99" s="88"/>
      <c r="VQ99" s="88"/>
      <c r="VR99" s="88"/>
      <c r="VS99" s="88"/>
      <c r="VT99" s="88"/>
      <c r="VU99" s="88"/>
      <c r="VV99" s="88"/>
      <c r="VW99" s="88"/>
      <c r="VX99" s="88"/>
      <c r="VY99" s="88"/>
      <c r="VZ99" s="88"/>
      <c r="WA99" s="88"/>
      <c r="WB99" s="88"/>
      <c r="WC99" s="88"/>
      <c r="WD99" s="88"/>
      <c r="WE99" s="88"/>
      <c r="WF99" s="88"/>
      <c r="WG99" s="88"/>
      <c r="WH99" s="88"/>
      <c r="WI99" s="88"/>
      <c r="WJ99" s="88"/>
      <c r="WK99" s="88"/>
      <c r="WL99" s="88"/>
      <c r="WM99" s="88"/>
      <c r="WN99" s="88"/>
      <c r="WO99" s="88"/>
      <c r="WP99" s="88"/>
      <c r="WQ99" s="88"/>
      <c r="WR99" s="88"/>
      <c r="WS99" s="88"/>
      <c r="WT99" s="88"/>
      <c r="WU99" s="88"/>
      <c r="WV99" s="88"/>
      <c r="WW99" s="88"/>
      <c r="WX99" s="88"/>
      <c r="WY99" s="88"/>
      <c r="WZ99" s="88"/>
      <c r="XA99" s="88"/>
      <c r="XB99" s="88"/>
      <c r="XC99" s="88"/>
      <c r="XD99" s="88"/>
      <c r="XE99" s="88"/>
      <c r="XF99" s="88"/>
      <c r="XG99" s="88"/>
      <c r="XH99" s="88"/>
      <c r="XI99" s="88"/>
      <c r="XJ99" s="88"/>
      <c r="XK99" s="88"/>
      <c r="XL99" s="88"/>
      <c r="XM99" s="88"/>
      <c r="XN99" s="88"/>
      <c r="XO99" s="88"/>
      <c r="XP99" s="88"/>
      <c r="XQ99" s="88"/>
      <c r="XR99" s="88"/>
      <c r="XS99" s="88"/>
      <c r="XT99" s="88"/>
      <c r="XU99" s="88"/>
      <c r="XV99" s="88"/>
      <c r="XW99" s="88"/>
      <c r="XX99" s="88"/>
      <c r="XY99" s="88"/>
      <c r="XZ99" s="88"/>
      <c r="YA99" s="88"/>
      <c r="YB99" s="88"/>
      <c r="YC99" s="88"/>
      <c r="YD99" s="88"/>
      <c r="YE99" s="88"/>
      <c r="YF99" s="88"/>
      <c r="YG99" s="88"/>
      <c r="YH99" s="88"/>
      <c r="YI99" s="88"/>
      <c r="YJ99" s="88"/>
      <c r="YK99" s="88"/>
      <c r="YL99" s="88"/>
      <c r="YM99" s="88"/>
      <c r="YN99" s="88"/>
      <c r="YO99" s="88"/>
      <c r="YP99" s="88"/>
      <c r="YQ99" s="88"/>
      <c r="YR99" s="88"/>
      <c r="YS99" s="88"/>
      <c r="YT99" s="88"/>
      <c r="YU99" s="88"/>
      <c r="YV99" s="88"/>
      <c r="YW99" s="88"/>
      <c r="YX99" s="88"/>
      <c r="YY99" s="88"/>
      <c r="YZ99" s="88"/>
      <c r="ZA99" s="88"/>
      <c r="ZB99" s="88"/>
      <c r="ZC99" s="88"/>
      <c r="ZD99" s="88"/>
      <c r="ZE99" s="88"/>
      <c r="ZF99" s="88"/>
      <c r="ZG99" s="88"/>
      <c r="ZH99" s="88"/>
      <c r="ZI99" s="88"/>
      <c r="ZJ99" s="88"/>
      <c r="ZK99" s="88"/>
      <c r="ZL99" s="88"/>
      <c r="ZM99" s="88"/>
      <c r="ZN99" s="88"/>
      <c r="ZO99" s="88"/>
      <c r="ZP99" s="88"/>
      <c r="ZQ99" s="88"/>
      <c r="ZR99" s="88"/>
      <c r="ZS99" s="88"/>
      <c r="ZT99" s="88"/>
      <c r="ZU99" s="88"/>
      <c r="ZV99" s="88"/>
      <c r="ZW99" s="88"/>
      <c r="ZX99" s="88"/>
      <c r="ZY99" s="88"/>
      <c r="ZZ99" s="88"/>
      <c r="AAA99" s="88"/>
      <c r="AAB99" s="88"/>
      <c r="AAC99" s="88"/>
      <c r="AAD99" s="88"/>
      <c r="AAE99" s="88"/>
      <c r="AAF99" s="88"/>
      <c r="AAG99" s="88"/>
      <c r="AAH99" s="88"/>
      <c r="AAI99" s="88"/>
      <c r="AAJ99" s="88"/>
      <c r="AAK99" s="88"/>
      <c r="AAL99" s="88"/>
      <c r="AAM99" s="88"/>
      <c r="AAN99" s="88"/>
      <c r="AAO99" s="88"/>
      <c r="AAP99" s="88"/>
      <c r="AAQ99" s="88"/>
      <c r="AAR99" s="88"/>
      <c r="AAS99" s="88"/>
      <c r="AAT99" s="88"/>
      <c r="AAU99" s="88"/>
      <c r="AAV99" s="88"/>
      <c r="AAW99" s="88"/>
      <c r="AAX99" s="88"/>
      <c r="AAY99" s="88"/>
      <c r="AAZ99" s="88"/>
      <c r="ABA99" s="88"/>
      <c r="ABB99" s="88"/>
      <c r="ABC99" s="88"/>
      <c r="ABD99" s="88"/>
      <c r="ABE99" s="88"/>
      <c r="ABF99" s="88"/>
      <c r="ABG99" s="88"/>
      <c r="ABH99" s="88"/>
      <c r="ABI99" s="88"/>
      <c r="ABJ99" s="88"/>
      <c r="ABK99" s="88"/>
      <c r="ABL99" s="88"/>
      <c r="ABM99" s="88"/>
      <c r="ABN99" s="88"/>
      <c r="ABO99" s="88"/>
      <c r="ABP99" s="88"/>
      <c r="ABQ99" s="88"/>
      <c r="ABR99" s="88"/>
      <c r="ABS99" s="88"/>
      <c r="ABT99" s="88"/>
      <c r="ABU99" s="88"/>
      <c r="ABV99" s="88"/>
      <c r="ABW99" s="88"/>
      <c r="ABX99" s="88"/>
      <c r="ABY99" s="88"/>
      <c r="ABZ99" s="88"/>
      <c r="ACA99" s="88"/>
      <c r="ACB99" s="88"/>
      <c r="ACC99" s="88"/>
      <c r="ACD99" s="88"/>
      <c r="ACE99" s="88"/>
      <c r="ACF99" s="88"/>
      <c r="ACG99" s="88"/>
      <c r="ACH99" s="88"/>
      <c r="ACI99" s="88"/>
      <c r="ACJ99" s="88"/>
      <c r="ACK99" s="88"/>
      <c r="ACL99" s="88"/>
      <c r="ACM99" s="88"/>
      <c r="ACN99" s="88"/>
      <c r="ACO99" s="88"/>
      <c r="ACP99" s="88"/>
      <c r="ACQ99" s="88"/>
      <c r="ACR99" s="88"/>
      <c r="ACS99" s="88"/>
      <c r="ACT99" s="88"/>
      <c r="ACU99" s="88"/>
      <c r="ACV99" s="88"/>
      <c r="ACW99" s="88"/>
      <c r="ACX99" s="88"/>
      <c r="ACY99" s="88"/>
      <c r="ACZ99" s="88"/>
      <c r="ADA99" s="88"/>
      <c r="ADB99" s="88"/>
      <c r="ADC99" s="88"/>
      <c r="ADD99" s="88"/>
      <c r="ADE99" s="88"/>
      <c r="ADF99" s="88"/>
      <c r="ADG99" s="88"/>
      <c r="ADH99" s="88"/>
      <c r="ADI99" s="88"/>
      <c r="ADJ99" s="88"/>
      <c r="ADK99" s="88"/>
      <c r="ADL99" s="88"/>
      <c r="ADM99" s="88"/>
      <c r="ADN99" s="88"/>
      <c r="ADO99" s="88"/>
      <c r="ADP99" s="88"/>
      <c r="ADQ99" s="88"/>
      <c r="ADR99" s="88"/>
      <c r="ADS99" s="88"/>
      <c r="ADT99" s="88"/>
      <c r="ADU99" s="88"/>
      <c r="ADV99" s="88"/>
      <c r="ADW99" s="88"/>
      <c r="ADX99" s="88"/>
      <c r="ADY99" s="88"/>
      <c r="ADZ99" s="88"/>
      <c r="AEA99" s="88"/>
      <c r="AEB99" s="88"/>
      <c r="AEC99" s="88"/>
      <c r="AED99" s="88"/>
      <c r="AEE99" s="88"/>
      <c r="AEF99" s="88"/>
      <c r="AEG99" s="88"/>
      <c r="AEH99" s="88"/>
      <c r="AEI99" s="88"/>
      <c r="AEJ99" s="88"/>
      <c r="AEK99" s="88"/>
      <c r="AEL99" s="88"/>
      <c r="AEM99" s="88"/>
      <c r="AEN99" s="88"/>
      <c r="AEO99" s="88"/>
      <c r="AEP99" s="88"/>
      <c r="AEQ99" s="88"/>
      <c r="AER99" s="88"/>
      <c r="AES99" s="88"/>
      <c r="AET99" s="88"/>
      <c r="AEU99" s="88"/>
      <c r="AEV99" s="88"/>
      <c r="AEW99" s="88"/>
      <c r="AEX99" s="88"/>
      <c r="AEY99" s="88"/>
      <c r="AEZ99" s="88"/>
      <c r="AFA99" s="88"/>
      <c r="AFB99" s="88"/>
      <c r="AFC99" s="88"/>
      <c r="AFD99" s="88"/>
      <c r="AFE99" s="88"/>
      <c r="AFF99" s="88"/>
      <c r="AFG99" s="88"/>
      <c r="AFH99" s="88"/>
      <c r="AFI99" s="88"/>
      <c r="AFJ99" s="88"/>
      <c r="AFK99" s="88"/>
      <c r="AFL99" s="88"/>
      <c r="AFM99" s="88"/>
      <c r="AFN99" s="88"/>
      <c r="AFO99" s="88"/>
      <c r="AFP99" s="88"/>
      <c r="AFQ99" s="88"/>
      <c r="AFR99" s="88"/>
      <c r="AFS99" s="88"/>
      <c r="AFT99" s="88"/>
      <c r="AFU99" s="88"/>
      <c r="AFV99" s="88"/>
      <c r="AFW99" s="88"/>
      <c r="AFX99" s="88"/>
      <c r="AFY99" s="88"/>
      <c r="AFZ99" s="88"/>
      <c r="AGA99" s="88"/>
      <c r="AGB99" s="88"/>
      <c r="AGC99" s="88"/>
      <c r="AGD99" s="88"/>
      <c r="AGE99" s="88"/>
      <c r="AGF99" s="88"/>
      <c r="AGG99" s="88"/>
      <c r="AGH99" s="88"/>
      <c r="AGI99" s="88"/>
      <c r="AGJ99" s="88"/>
      <c r="AGK99" s="88"/>
      <c r="AGL99" s="88"/>
      <c r="AGM99" s="88"/>
      <c r="AGN99" s="88"/>
      <c r="AGO99" s="88"/>
      <c r="AGP99" s="88"/>
      <c r="AGQ99" s="88"/>
      <c r="AGR99" s="88"/>
      <c r="AGS99" s="88"/>
      <c r="AGT99" s="88"/>
      <c r="AGU99" s="88"/>
      <c r="AGV99" s="88"/>
      <c r="AGW99" s="88"/>
      <c r="AGX99" s="88"/>
      <c r="AGY99" s="88"/>
      <c r="AGZ99" s="88"/>
      <c r="AHA99" s="88"/>
      <c r="AHB99" s="88"/>
      <c r="AHC99" s="88"/>
      <c r="AHD99" s="88"/>
      <c r="AHE99" s="88"/>
      <c r="AHF99" s="88"/>
      <c r="AHG99" s="88"/>
      <c r="AHH99" s="88"/>
      <c r="AHI99" s="88"/>
      <c r="AHJ99" s="88"/>
      <c r="AHK99" s="88"/>
      <c r="AHL99" s="88"/>
      <c r="AHM99" s="88"/>
      <c r="AHN99" s="88"/>
      <c r="AHO99" s="88"/>
      <c r="AHP99" s="88"/>
      <c r="AHQ99" s="88"/>
      <c r="AHR99" s="88"/>
      <c r="AHS99" s="88"/>
      <c r="AHT99" s="88"/>
      <c r="AHU99" s="88"/>
      <c r="AHV99" s="88"/>
      <c r="AHW99" s="88"/>
      <c r="AHX99" s="88"/>
      <c r="AHY99" s="88"/>
      <c r="AHZ99" s="88"/>
      <c r="AIA99" s="88"/>
      <c r="AIB99" s="88"/>
      <c r="AIC99" s="88"/>
      <c r="AID99" s="88"/>
      <c r="AIE99" s="88"/>
      <c r="AIF99" s="88"/>
      <c r="AIG99" s="88"/>
      <c r="AIH99" s="88"/>
      <c r="AII99" s="88"/>
      <c r="AIJ99" s="88"/>
      <c r="AIK99" s="88"/>
      <c r="AIL99" s="88"/>
      <c r="AIM99" s="88"/>
      <c r="AIN99" s="88"/>
      <c r="AIO99" s="88"/>
      <c r="AIP99" s="88"/>
      <c r="AIQ99" s="88"/>
      <c r="AIR99" s="88"/>
      <c r="AIS99" s="88"/>
      <c r="AIT99" s="88"/>
      <c r="AIU99" s="88"/>
      <c r="AIV99" s="88"/>
      <c r="AIW99" s="88"/>
      <c r="AIX99" s="88"/>
      <c r="AIY99" s="88"/>
      <c r="AIZ99" s="88"/>
      <c r="AJA99" s="88"/>
      <c r="AJB99" s="88"/>
      <c r="AJC99" s="88"/>
      <c r="AJD99" s="88"/>
      <c r="AJE99" s="88"/>
      <c r="AJF99" s="88"/>
      <c r="AJG99" s="88"/>
      <c r="AJH99" s="88"/>
      <c r="AJI99" s="88"/>
      <c r="AJJ99" s="88"/>
      <c r="AJK99" s="88"/>
      <c r="AJL99" s="88"/>
      <c r="AJM99" s="88"/>
      <c r="AJN99" s="88"/>
      <c r="AJO99" s="88"/>
      <c r="AJP99" s="88"/>
      <c r="AJQ99" s="88"/>
      <c r="AJR99" s="88"/>
      <c r="AJS99" s="88"/>
      <c r="AJT99" s="88"/>
      <c r="AJU99" s="88"/>
      <c r="AJV99" s="88"/>
      <c r="AJW99" s="88"/>
      <c r="AJX99" s="88"/>
      <c r="AJY99" s="88"/>
      <c r="AJZ99" s="88"/>
      <c r="AKA99" s="88"/>
      <c r="AKB99" s="88"/>
      <c r="AKC99" s="88"/>
      <c r="AKD99" s="88"/>
      <c r="AKE99" s="88"/>
      <c r="AKF99" s="88"/>
      <c r="AKG99" s="88"/>
      <c r="AKH99" s="88"/>
      <c r="AKI99" s="88"/>
      <c r="AKJ99" s="88"/>
      <c r="AKK99" s="88"/>
      <c r="AKL99" s="88"/>
      <c r="AKM99" s="88"/>
      <c r="AKN99" s="88"/>
      <c r="AKO99" s="88"/>
      <c r="AKP99" s="88"/>
      <c r="AKQ99" s="88"/>
      <c r="AKR99" s="88"/>
      <c r="AKS99" s="88"/>
      <c r="AKT99" s="88"/>
      <c r="AKU99" s="88"/>
      <c r="AKV99" s="88"/>
      <c r="AKW99" s="88"/>
      <c r="AKX99" s="88"/>
      <c r="AKY99" s="88"/>
      <c r="AKZ99" s="88"/>
      <c r="ALA99" s="88"/>
      <c r="ALB99" s="88"/>
      <c r="ALC99" s="88"/>
      <c r="ALD99" s="88"/>
      <c r="ALE99" s="88"/>
      <c r="ALF99" s="88"/>
      <c r="ALG99" s="88"/>
      <c r="ALH99" s="88"/>
      <c r="ALI99" s="88"/>
      <c r="ALJ99" s="88"/>
      <c r="ALK99" s="88"/>
      <c r="ALL99" s="88"/>
      <c r="ALM99" s="88"/>
      <c r="ALN99" s="88"/>
      <c r="ALO99" s="88"/>
      <c r="ALP99" s="88"/>
      <c r="ALQ99" s="88"/>
      <c r="ALR99" s="88"/>
      <c r="ALS99" s="88"/>
      <c r="ALT99" s="88"/>
      <c r="ALU99" s="88"/>
      <c r="ALV99" s="88"/>
      <c r="ALW99" s="88"/>
      <c r="ALX99" s="88"/>
      <c r="ALY99" s="88"/>
      <c r="ALZ99" s="88"/>
      <c r="AMA99" s="88"/>
      <c r="AMB99" s="88"/>
      <c r="AMC99" s="88"/>
      <c r="AMD99" s="88"/>
      <c r="AME99" s="88"/>
      <c r="AMF99" s="88"/>
      <c r="AMG99" s="88"/>
      <c r="AMH99" s="88"/>
      <c r="AMI99" s="88"/>
      <c r="AMJ99" s="88"/>
      <c r="AMK99" s="88"/>
      <c r="AML99" s="88"/>
      <c r="AMM99" s="88"/>
      <c r="AMN99" s="88"/>
      <c r="AMO99" s="88"/>
      <c r="AMP99" s="88"/>
      <c r="AMQ99" s="88"/>
      <c r="AMR99" s="88"/>
      <c r="AMS99" s="88"/>
      <c r="AMT99" s="88"/>
      <c r="AMU99" s="88"/>
      <c r="AMV99" s="88"/>
      <c r="AMW99" s="88"/>
      <c r="AMX99" s="88"/>
      <c r="AMY99" s="88"/>
      <c r="AMZ99" s="88"/>
      <c r="ANA99" s="88"/>
      <c r="ANB99" s="88"/>
      <c r="ANC99" s="88"/>
      <c r="AND99" s="88"/>
      <c r="ANE99" s="88"/>
      <c r="ANF99" s="88"/>
      <c r="ANG99" s="88"/>
      <c r="ANH99" s="88"/>
      <c r="ANI99" s="88"/>
      <c r="ANJ99" s="88"/>
      <c r="ANK99" s="88"/>
      <c r="ANL99" s="88"/>
      <c r="ANM99" s="88"/>
      <c r="ANN99" s="88"/>
      <c r="ANO99" s="88"/>
      <c r="ANP99" s="88"/>
      <c r="ANQ99" s="88"/>
      <c r="ANR99" s="88"/>
      <c r="ANS99" s="88"/>
      <c r="ANT99" s="88"/>
      <c r="ANU99" s="88"/>
      <c r="ANV99" s="88"/>
      <c r="ANW99" s="88"/>
      <c r="ANX99" s="88"/>
      <c r="ANY99" s="88"/>
      <c r="ANZ99" s="88"/>
      <c r="AOA99" s="88"/>
      <c r="AOB99" s="88"/>
      <c r="AOC99" s="88"/>
      <c r="AOD99" s="88"/>
      <c r="AOE99" s="88"/>
      <c r="AOF99" s="88"/>
      <c r="AOG99" s="88"/>
      <c r="AOH99" s="88"/>
      <c r="AOI99" s="88"/>
      <c r="AOJ99" s="88"/>
      <c r="AOK99" s="88"/>
      <c r="AOL99" s="88"/>
      <c r="AOM99" s="88"/>
      <c r="AON99" s="88"/>
      <c r="AOO99" s="88"/>
      <c r="AOP99" s="88"/>
      <c r="AOQ99" s="88"/>
      <c r="AOR99" s="88"/>
      <c r="AOS99" s="88"/>
      <c r="AOT99" s="88"/>
      <c r="AOU99" s="88"/>
      <c r="AOV99" s="88"/>
      <c r="AOW99" s="88"/>
      <c r="AOX99" s="88"/>
      <c r="AOY99" s="88"/>
      <c r="AOZ99" s="88"/>
      <c r="APA99" s="88"/>
      <c r="APB99" s="88"/>
      <c r="APC99" s="88"/>
      <c r="APD99" s="88"/>
      <c r="APE99" s="88"/>
      <c r="APF99" s="88"/>
      <c r="APG99" s="88"/>
      <c r="APH99" s="88"/>
      <c r="API99" s="88"/>
      <c r="APJ99" s="88"/>
      <c r="APK99" s="88"/>
      <c r="APL99" s="88"/>
      <c r="APM99" s="88"/>
      <c r="APN99" s="88"/>
      <c r="APO99" s="88"/>
      <c r="APP99" s="88"/>
      <c r="APQ99" s="88"/>
      <c r="APR99" s="88"/>
      <c r="APS99" s="88"/>
      <c r="APT99" s="88"/>
      <c r="APU99" s="88"/>
      <c r="APV99" s="88"/>
      <c r="APW99" s="88"/>
      <c r="APX99" s="88"/>
      <c r="APY99" s="88"/>
      <c r="APZ99" s="88"/>
      <c r="AQA99" s="88"/>
      <c r="AQB99" s="88"/>
      <c r="AQC99" s="88"/>
      <c r="AQD99" s="88"/>
      <c r="AQE99" s="88"/>
      <c r="AQF99" s="88"/>
      <c r="AQG99" s="88"/>
      <c r="AQH99" s="88"/>
      <c r="AQI99" s="88"/>
      <c r="AQJ99" s="88"/>
      <c r="AQK99" s="88"/>
      <c r="AQL99" s="88"/>
      <c r="AQM99" s="88"/>
      <c r="AQN99" s="88"/>
      <c r="AQO99" s="88"/>
      <c r="AQP99" s="88"/>
      <c r="AQQ99" s="88"/>
      <c r="AQR99" s="88"/>
      <c r="AQS99" s="88"/>
      <c r="AQT99" s="88"/>
      <c r="AQU99" s="88"/>
      <c r="AQV99" s="88"/>
      <c r="AQW99" s="88"/>
      <c r="AQX99" s="88"/>
      <c r="AQY99" s="88"/>
      <c r="AQZ99" s="88"/>
      <c r="ARA99" s="88"/>
      <c r="ARB99" s="88"/>
      <c r="ARC99" s="88"/>
      <c r="ARD99" s="88"/>
      <c r="ARE99" s="88"/>
      <c r="ARF99" s="88"/>
      <c r="ARG99" s="88"/>
      <c r="ARH99" s="88"/>
      <c r="ARI99" s="88"/>
      <c r="ARJ99" s="88"/>
      <c r="ARK99" s="88"/>
      <c r="ARL99" s="88"/>
      <c r="ARM99" s="88"/>
      <c r="ARN99" s="88"/>
      <c r="ARO99" s="88"/>
      <c r="ARP99" s="88"/>
      <c r="ARQ99" s="88"/>
      <c r="ARR99" s="88"/>
      <c r="ARS99" s="88"/>
      <c r="ART99" s="88"/>
      <c r="ARU99" s="88"/>
      <c r="ARV99" s="88"/>
      <c r="ARW99" s="88"/>
      <c r="ARX99" s="88"/>
      <c r="ARY99" s="88"/>
      <c r="ARZ99" s="88"/>
      <c r="ASA99" s="88"/>
      <c r="ASB99" s="88"/>
      <c r="ASC99" s="88"/>
      <c r="ASD99" s="88"/>
      <c r="ASE99" s="88"/>
      <c r="ASF99" s="88"/>
      <c r="ASG99" s="88"/>
      <c r="ASH99" s="88"/>
      <c r="ASI99" s="88"/>
      <c r="ASJ99" s="88"/>
      <c r="ASK99" s="88"/>
      <c r="ASL99" s="88"/>
      <c r="ASM99" s="88"/>
      <c r="ASN99" s="88"/>
      <c r="ASO99" s="88"/>
      <c r="ASP99" s="88"/>
      <c r="ASQ99" s="88"/>
      <c r="ASR99" s="88"/>
      <c r="ASS99" s="88"/>
      <c r="AST99" s="88"/>
      <c r="ASU99" s="88"/>
      <c r="ASV99" s="88"/>
      <c r="ASW99" s="88"/>
      <c r="ASX99" s="88"/>
      <c r="ASY99" s="88"/>
      <c r="ASZ99" s="88"/>
      <c r="ATA99" s="88"/>
      <c r="ATB99" s="88"/>
      <c r="ATC99" s="88"/>
      <c r="ATD99" s="88"/>
      <c r="ATE99" s="88"/>
      <c r="ATF99" s="88"/>
      <c r="ATG99" s="88"/>
      <c r="ATH99" s="88"/>
      <c r="ATI99" s="88"/>
      <c r="ATJ99" s="88"/>
      <c r="ATK99" s="88"/>
      <c r="ATL99" s="88"/>
      <c r="ATM99" s="88"/>
      <c r="ATN99" s="88"/>
      <c r="ATO99" s="88"/>
      <c r="ATP99" s="88"/>
      <c r="ATQ99" s="88"/>
      <c r="ATR99" s="88"/>
      <c r="ATS99" s="88"/>
      <c r="ATT99" s="88"/>
      <c r="ATU99" s="88"/>
      <c r="ATV99" s="88"/>
      <c r="ATW99" s="88"/>
      <c r="ATX99" s="88"/>
      <c r="ATY99" s="88"/>
      <c r="ATZ99" s="88"/>
      <c r="AUA99" s="88"/>
      <c r="AUB99" s="88"/>
      <c r="AUC99" s="88"/>
      <c r="AUD99" s="88"/>
      <c r="AUE99" s="88"/>
      <c r="AUF99" s="88"/>
      <c r="AUG99" s="88"/>
      <c r="AUH99" s="88"/>
      <c r="AUI99" s="88"/>
      <c r="AUJ99" s="88"/>
      <c r="AUK99" s="88"/>
      <c r="AUL99" s="88"/>
      <c r="AUM99" s="88"/>
      <c r="AUN99" s="88"/>
      <c r="AUO99" s="88"/>
      <c r="AUP99" s="88"/>
      <c r="AUQ99" s="88"/>
      <c r="AUR99" s="88"/>
      <c r="AUS99" s="88"/>
      <c r="AUT99" s="88"/>
      <c r="AUU99" s="88"/>
      <c r="AUV99" s="88"/>
      <c r="AUW99" s="88"/>
      <c r="AUX99" s="88"/>
      <c r="AUY99" s="88"/>
      <c r="AUZ99" s="88"/>
      <c r="AVA99" s="88"/>
      <c r="AVB99" s="88"/>
      <c r="AVC99" s="88"/>
      <c r="AVD99" s="88"/>
      <c r="AVE99" s="88"/>
      <c r="AVF99" s="88"/>
      <c r="AVG99" s="88"/>
      <c r="AVH99" s="88"/>
      <c r="AVI99" s="88"/>
      <c r="AVJ99" s="88"/>
      <c r="AVK99" s="88"/>
      <c r="AVL99" s="88"/>
      <c r="AVM99" s="88"/>
      <c r="AVN99" s="88"/>
      <c r="AVO99" s="88"/>
      <c r="AVP99" s="88"/>
      <c r="AVQ99" s="88"/>
      <c r="AVR99" s="88"/>
      <c r="AVS99" s="88"/>
      <c r="AVT99" s="88"/>
      <c r="AVU99" s="88"/>
      <c r="AVV99" s="88"/>
      <c r="AVW99" s="88"/>
      <c r="AVX99" s="88"/>
      <c r="AVY99" s="88"/>
      <c r="AVZ99" s="88"/>
      <c r="AWA99" s="88"/>
      <c r="AWB99" s="88"/>
      <c r="AWC99" s="88"/>
      <c r="AWD99" s="88"/>
      <c r="AWE99" s="88"/>
      <c r="AWF99" s="88"/>
      <c r="AWG99" s="88"/>
      <c r="AWH99" s="88"/>
      <c r="AWI99" s="88"/>
      <c r="AWJ99" s="88"/>
      <c r="AWK99" s="88"/>
      <c r="AWL99" s="88"/>
      <c r="AWM99" s="88"/>
      <c r="AWN99" s="88"/>
      <c r="AWO99" s="88"/>
      <c r="AWP99" s="88"/>
      <c r="AWQ99" s="88"/>
      <c r="AWR99" s="88"/>
      <c r="AWS99" s="88"/>
      <c r="AWT99" s="88"/>
      <c r="AWU99" s="88"/>
      <c r="AWV99" s="88"/>
      <c r="AWW99" s="88"/>
      <c r="AWX99" s="88"/>
      <c r="AWY99" s="88"/>
      <c r="AWZ99" s="88"/>
      <c r="AXA99" s="88"/>
      <c r="AXB99" s="88"/>
      <c r="AXC99" s="88"/>
      <c r="AXD99" s="88"/>
      <c r="AXE99" s="88"/>
      <c r="AXF99" s="88"/>
      <c r="AXG99" s="88"/>
      <c r="AXH99" s="88"/>
      <c r="AXI99" s="88"/>
      <c r="AXJ99" s="88"/>
      <c r="AXK99" s="88"/>
      <c r="AXL99" s="88"/>
      <c r="AXM99" s="88"/>
      <c r="AXN99" s="88"/>
      <c r="AXO99" s="88"/>
      <c r="AXP99" s="88"/>
      <c r="AXQ99" s="88"/>
      <c r="AXR99" s="88"/>
      <c r="AXS99" s="88"/>
      <c r="AXT99" s="88"/>
      <c r="AXU99" s="88"/>
      <c r="AXV99" s="88"/>
      <c r="AXW99" s="88"/>
      <c r="AXX99" s="88"/>
      <c r="AXY99" s="88"/>
      <c r="AXZ99" s="88"/>
      <c r="AYA99" s="88"/>
      <c r="AYB99" s="88"/>
      <c r="AYC99" s="88"/>
      <c r="AYD99" s="88"/>
      <c r="AYE99" s="88"/>
      <c r="AYF99" s="88"/>
      <c r="AYG99" s="88"/>
      <c r="AYH99" s="88"/>
      <c r="AYI99" s="88"/>
      <c r="AYJ99" s="88"/>
      <c r="AYK99" s="88"/>
      <c r="AYL99" s="88"/>
      <c r="AYM99" s="88"/>
      <c r="AYN99" s="88"/>
      <c r="AYO99" s="88"/>
      <c r="AYP99" s="88"/>
      <c r="AYQ99" s="88"/>
      <c r="AYR99" s="88"/>
      <c r="AYS99" s="88"/>
      <c r="AYT99" s="88"/>
      <c r="AYU99" s="88"/>
      <c r="AYV99" s="88"/>
      <c r="AYW99" s="88"/>
      <c r="AYX99" s="88"/>
      <c r="AYY99" s="88"/>
      <c r="AYZ99" s="88"/>
      <c r="AZA99" s="88"/>
      <c r="AZB99" s="88"/>
      <c r="AZC99" s="88"/>
      <c r="AZD99" s="88"/>
      <c r="AZE99" s="88"/>
      <c r="AZF99" s="88"/>
      <c r="AZG99" s="88"/>
      <c r="AZH99" s="88"/>
      <c r="AZI99" s="88"/>
      <c r="AZJ99" s="88"/>
      <c r="AZK99" s="88"/>
      <c r="AZL99" s="88"/>
      <c r="AZM99" s="88"/>
      <c r="AZN99" s="88"/>
      <c r="AZO99" s="88"/>
      <c r="AZP99" s="88"/>
      <c r="AZQ99" s="88"/>
      <c r="AZR99" s="88"/>
      <c r="AZS99" s="88"/>
      <c r="AZT99" s="88"/>
      <c r="AZU99" s="88"/>
      <c r="AZV99" s="88"/>
      <c r="AZW99" s="88"/>
      <c r="AZX99" s="88"/>
      <c r="AZY99" s="88"/>
      <c r="AZZ99" s="88"/>
      <c r="BAA99" s="88"/>
      <c r="BAB99" s="88"/>
      <c r="BAC99" s="88"/>
      <c r="BAD99" s="88"/>
      <c r="BAE99" s="88"/>
      <c r="BAF99" s="88"/>
      <c r="BAG99" s="88"/>
      <c r="BAH99" s="88"/>
      <c r="BAI99" s="88"/>
      <c r="BAJ99" s="88"/>
      <c r="BAK99" s="88"/>
      <c r="BAL99" s="88"/>
      <c r="BAM99" s="88"/>
      <c r="BAN99" s="88"/>
      <c r="BAO99" s="88"/>
      <c r="BAP99" s="88"/>
      <c r="BAQ99" s="88"/>
      <c r="BAR99" s="88"/>
      <c r="BAS99" s="88"/>
      <c r="BAT99" s="88"/>
      <c r="BAU99" s="88"/>
      <c r="BAV99" s="88"/>
      <c r="BAW99" s="88"/>
      <c r="BAX99" s="88"/>
      <c r="BAY99" s="88"/>
      <c r="BAZ99" s="88"/>
      <c r="BBA99" s="88"/>
      <c r="BBB99" s="88"/>
      <c r="BBC99" s="88"/>
      <c r="BBD99" s="88"/>
      <c r="BBE99" s="88"/>
      <c r="BBF99" s="88"/>
      <c r="BBG99" s="88"/>
      <c r="BBH99" s="88"/>
      <c r="BBI99" s="88"/>
      <c r="BBJ99" s="88"/>
      <c r="BBK99" s="88"/>
      <c r="BBL99" s="88"/>
      <c r="BBM99" s="88"/>
      <c r="BBN99" s="88"/>
      <c r="BBO99" s="88"/>
      <c r="BBP99" s="88"/>
      <c r="BBQ99" s="88"/>
      <c r="BBR99" s="88"/>
      <c r="BBS99" s="88"/>
      <c r="BBT99" s="88"/>
      <c r="BBU99" s="88"/>
      <c r="BBV99" s="88"/>
      <c r="BBW99" s="88"/>
      <c r="BBX99" s="88"/>
      <c r="BBY99" s="88"/>
      <c r="BBZ99" s="88"/>
      <c r="BCA99" s="88"/>
      <c r="BCB99" s="88"/>
      <c r="BCC99" s="88"/>
      <c r="BCD99" s="88"/>
      <c r="BCE99" s="88"/>
      <c r="BCF99" s="88"/>
      <c r="BCG99" s="88"/>
      <c r="BCH99" s="88"/>
      <c r="BCI99" s="88"/>
      <c r="BCJ99" s="88"/>
      <c r="BCK99" s="88"/>
      <c r="BCL99" s="88"/>
      <c r="BCM99" s="88"/>
      <c r="BCN99" s="88"/>
      <c r="BCO99" s="88"/>
      <c r="BCP99" s="88"/>
      <c r="BCQ99" s="88"/>
      <c r="BCR99" s="88"/>
      <c r="BCS99" s="88"/>
      <c r="BCT99" s="88"/>
      <c r="BCU99" s="88"/>
      <c r="BCV99" s="88"/>
      <c r="BCW99" s="88"/>
      <c r="BCX99" s="88"/>
      <c r="BCY99" s="88"/>
      <c r="BCZ99" s="88"/>
      <c r="BDA99" s="88"/>
      <c r="BDB99" s="88"/>
      <c r="BDC99" s="88"/>
      <c r="BDD99" s="88"/>
      <c r="BDE99" s="88"/>
      <c r="BDF99" s="88"/>
      <c r="BDG99" s="88"/>
      <c r="BDH99" s="88"/>
      <c r="BDI99" s="88"/>
      <c r="BDJ99" s="88"/>
      <c r="BDK99" s="88"/>
      <c r="BDL99" s="88"/>
      <c r="BDM99" s="88"/>
      <c r="BDN99" s="88"/>
      <c r="BDO99" s="88"/>
      <c r="BDP99" s="88"/>
      <c r="BDQ99" s="88"/>
      <c r="BDR99" s="88"/>
      <c r="BDS99" s="88"/>
      <c r="BDT99" s="88"/>
      <c r="BDU99" s="88"/>
      <c r="BDV99" s="88"/>
      <c r="BDW99" s="88"/>
      <c r="BDX99" s="88"/>
      <c r="BDY99" s="88"/>
      <c r="BDZ99" s="88"/>
      <c r="BEA99" s="88"/>
      <c r="BEB99" s="88"/>
      <c r="BEC99" s="88"/>
      <c r="BED99" s="88"/>
      <c r="BEE99" s="88"/>
      <c r="BEF99" s="88"/>
      <c r="BEG99" s="88"/>
      <c r="BEH99" s="88"/>
      <c r="BEI99" s="88"/>
      <c r="BEJ99" s="88"/>
      <c r="BEK99" s="88"/>
      <c r="BEL99" s="88"/>
      <c r="BEM99" s="88"/>
      <c r="BEN99" s="88"/>
      <c r="BEO99" s="88"/>
      <c r="BEP99" s="88"/>
      <c r="BEQ99" s="88"/>
      <c r="BER99" s="88"/>
      <c r="BES99" s="88"/>
      <c r="BET99" s="88"/>
      <c r="BEU99" s="88"/>
      <c r="BEV99" s="88"/>
      <c r="BEW99" s="88"/>
      <c r="BEX99" s="88"/>
      <c r="BEY99" s="88"/>
      <c r="BEZ99" s="88"/>
      <c r="BFA99" s="88"/>
      <c r="BFB99" s="88"/>
      <c r="BFC99" s="88"/>
      <c r="BFD99" s="88"/>
      <c r="BFE99" s="88"/>
      <c r="BFF99" s="88"/>
      <c r="BFG99" s="88"/>
      <c r="BFH99" s="88"/>
      <c r="BFI99" s="88"/>
      <c r="BFJ99" s="88"/>
      <c r="BFK99" s="88"/>
      <c r="BFL99" s="88"/>
      <c r="BFM99" s="88"/>
      <c r="BFN99" s="88"/>
      <c r="BFO99" s="88"/>
      <c r="BFP99" s="88"/>
      <c r="BFQ99" s="88"/>
      <c r="BFR99" s="88"/>
      <c r="BFS99" s="88"/>
      <c r="BFT99" s="88"/>
      <c r="BFU99" s="88"/>
      <c r="BFV99" s="88"/>
      <c r="BFW99" s="88"/>
      <c r="BFX99" s="88"/>
      <c r="BFY99" s="88"/>
      <c r="BFZ99" s="88"/>
      <c r="BGA99" s="88"/>
      <c r="BGB99" s="88"/>
      <c r="BGC99" s="88"/>
      <c r="BGD99" s="88"/>
      <c r="BGE99" s="88"/>
      <c r="BGF99" s="88"/>
      <c r="BGG99" s="88"/>
      <c r="BGH99" s="88"/>
      <c r="BGI99" s="88"/>
      <c r="BGJ99" s="88"/>
      <c r="BGK99" s="88"/>
      <c r="BGL99" s="88"/>
      <c r="BGM99" s="88"/>
      <c r="BGN99" s="88"/>
      <c r="BGO99" s="88"/>
      <c r="BGP99" s="88"/>
      <c r="BGQ99" s="88"/>
      <c r="BGR99" s="88"/>
      <c r="BGS99" s="88"/>
      <c r="BGT99" s="88"/>
      <c r="BGU99" s="88"/>
      <c r="BGV99" s="88"/>
      <c r="BGW99" s="88"/>
      <c r="BGX99" s="88"/>
      <c r="BGY99" s="88"/>
      <c r="BGZ99" s="88"/>
      <c r="BHA99" s="88"/>
      <c r="BHB99" s="88"/>
      <c r="BHC99" s="88"/>
      <c r="BHD99" s="88"/>
      <c r="BHE99" s="88"/>
      <c r="BHF99" s="88"/>
      <c r="BHG99" s="88"/>
      <c r="BHH99" s="88"/>
      <c r="BHI99" s="88"/>
      <c r="BHJ99" s="88"/>
      <c r="BHK99" s="88"/>
      <c r="BHL99" s="88"/>
      <c r="BHM99" s="88"/>
      <c r="BHN99" s="88"/>
      <c r="BHO99" s="88"/>
      <c r="BHP99" s="88"/>
      <c r="BHQ99" s="88"/>
      <c r="BHR99" s="88"/>
      <c r="BHS99" s="88"/>
      <c r="BHT99" s="88"/>
      <c r="BHU99" s="88"/>
      <c r="BHV99" s="88"/>
      <c r="BHW99" s="88"/>
      <c r="BHX99" s="88"/>
      <c r="BHY99" s="88"/>
      <c r="BHZ99" s="88"/>
      <c r="BIA99" s="88"/>
      <c r="BIB99" s="88"/>
      <c r="BIC99" s="88"/>
      <c r="BID99" s="88"/>
      <c r="BIE99" s="88"/>
      <c r="BIF99" s="88"/>
      <c r="BIG99" s="88"/>
      <c r="BIH99" s="88"/>
      <c r="BII99" s="88"/>
      <c r="BIJ99" s="88"/>
      <c r="BIK99" s="88"/>
      <c r="BIL99" s="88"/>
      <c r="BIM99" s="88"/>
      <c r="BIN99" s="88"/>
      <c r="BIO99" s="88"/>
      <c r="BIP99" s="88"/>
      <c r="BIQ99" s="88"/>
      <c r="BIR99" s="88"/>
      <c r="BIS99" s="88"/>
      <c r="BIT99" s="88"/>
      <c r="BIU99" s="88"/>
      <c r="BIV99" s="88"/>
      <c r="BIW99" s="88"/>
      <c r="BIX99" s="88"/>
      <c r="BIY99" s="88"/>
      <c r="BIZ99" s="88"/>
      <c r="BJA99" s="88"/>
      <c r="BJB99" s="88"/>
      <c r="BJC99" s="88"/>
      <c r="BJD99" s="88"/>
      <c r="BJE99" s="88"/>
      <c r="BJF99" s="88"/>
      <c r="BJG99" s="88"/>
      <c r="BJH99" s="88"/>
      <c r="BJI99" s="88"/>
      <c r="BJJ99" s="88"/>
      <c r="BJK99" s="88"/>
      <c r="BJL99" s="88"/>
      <c r="BJM99" s="88"/>
      <c r="BJN99" s="88"/>
      <c r="BJO99" s="88"/>
      <c r="BJP99" s="88"/>
      <c r="BJQ99" s="88"/>
      <c r="BJR99" s="88"/>
      <c r="BJS99" s="88"/>
      <c r="BJT99" s="88"/>
      <c r="BJU99" s="88"/>
      <c r="BJV99" s="88"/>
      <c r="BJW99" s="88"/>
      <c r="BJX99" s="88"/>
      <c r="BJY99" s="88"/>
      <c r="BJZ99" s="88"/>
      <c r="BKA99" s="88"/>
      <c r="BKB99" s="88"/>
      <c r="BKC99" s="88"/>
      <c r="BKD99" s="88"/>
      <c r="BKE99" s="88"/>
      <c r="BKF99" s="88"/>
      <c r="BKG99" s="88"/>
      <c r="BKH99" s="88"/>
      <c r="BKI99" s="88"/>
      <c r="BKJ99" s="88"/>
      <c r="BKK99" s="88"/>
      <c r="BKL99" s="88"/>
      <c r="BKM99" s="88"/>
      <c r="BKN99" s="88"/>
      <c r="BKO99" s="88"/>
      <c r="BKP99" s="88"/>
      <c r="BKQ99" s="88"/>
      <c r="BKR99" s="88"/>
      <c r="BKS99" s="88"/>
      <c r="BKT99" s="88"/>
      <c r="BKU99" s="88"/>
      <c r="BKV99" s="88"/>
      <c r="BKW99" s="88"/>
      <c r="BKX99" s="88"/>
      <c r="BKY99" s="88"/>
      <c r="BKZ99" s="88"/>
      <c r="BLA99" s="88"/>
      <c r="BLB99" s="88"/>
      <c r="BLC99" s="88"/>
      <c r="BLD99" s="88"/>
      <c r="BLE99" s="88"/>
      <c r="BLF99" s="88"/>
      <c r="BLG99" s="88"/>
      <c r="BLH99" s="88"/>
      <c r="BLI99" s="88"/>
      <c r="BLJ99" s="88"/>
      <c r="BLK99" s="88"/>
      <c r="BLL99" s="88"/>
      <c r="BLM99" s="88"/>
      <c r="BLN99" s="88"/>
      <c r="BLO99" s="88"/>
      <c r="BLP99" s="88"/>
      <c r="BLQ99" s="88"/>
      <c r="BLR99" s="88"/>
      <c r="BLS99" s="88"/>
      <c r="BLT99" s="88"/>
      <c r="BLU99" s="88"/>
      <c r="BLV99" s="88"/>
      <c r="BLW99" s="88"/>
      <c r="BLX99" s="88"/>
      <c r="BLY99" s="88"/>
      <c r="BLZ99" s="88"/>
      <c r="BMA99" s="88"/>
      <c r="BMB99" s="88"/>
      <c r="BMC99" s="88"/>
      <c r="BMD99" s="88"/>
      <c r="BME99" s="88"/>
      <c r="BMF99" s="88"/>
      <c r="BMG99" s="88"/>
      <c r="BMH99" s="88"/>
      <c r="BMI99" s="88"/>
      <c r="BMJ99" s="88"/>
      <c r="BMK99" s="88"/>
      <c r="BML99" s="88"/>
      <c r="BMM99" s="88"/>
      <c r="BMN99" s="88"/>
      <c r="BMO99" s="88"/>
      <c r="BMP99" s="88"/>
      <c r="BMQ99" s="88"/>
      <c r="BMR99" s="88"/>
      <c r="BMS99" s="88"/>
      <c r="BMT99" s="88"/>
      <c r="BMU99" s="88"/>
      <c r="BMV99" s="88"/>
      <c r="BMW99" s="88"/>
      <c r="BMX99" s="88"/>
      <c r="BMY99" s="88"/>
      <c r="BMZ99" s="88"/>
      <c r="BNA99" s="88"/>
      <c r="BNB99" s="88"/>
      <c r="BNC99" s="88"/>
      <c r="BND99" s="88"/>
      <c r="BNE99" s="88"/>
      <c r="BNF99" s="88"/>
      <c r="BNG99" s="88"/>
      <c r="BNH99" s="88"/>
      <c r="BNI99" s="88"/>
      <c r="BNJ99" s="88"/>
      <c r="BNK99" s="88"/>
      <c r="BNL99" s="88"/>
      <c r="BNM99" s="88"/>
      <c r="BNN99" s="88"/>
      <c r="BNO99" s="88"/>
      <c r="BNP99" s="88"/>
      <c r="BNQ99" s="88"/>
      <c r="BNR99" s="88"/>
      <c r="BNS99" s="88"/>
      <c r="BNT99" s="88"/>
      <c r="BNU99" s="88"/>
      <c r="BNV99" s="88"/>
      <c r="BNW99" s="88"/>
      <c r="BNX99" s="88"/>
      <c r="BNY99" s="88"/>
      <c r="BNZ99" s="88"/>
      <c r="BOA99" s="88"/>
      <c r="BOB99" s="88"/>
      <c r="BOC99" s="88"/>
      <c r="BOD99" s="88"/>
      <c r="BOE99" s="88"/>
      <c r="BOF99" s="88"/>
      <c r="BOG99" s="88"/>
      <c r="BOH99" s="88"/>
      <c r="BOI99" s="88"/>
      <c r="BOJ99" s="88"/>
      <c r="BOK99" s="88"/>
      <c r="BOL99" s="88"/>
      <c r="BOM99" s="88"/>
      <c r="BON99" s="88"/>
      <c r="BOO99" s="88"/>
      <c r="BOP99" s="88"/>
      <c r="BOQ99" s="88"/>
      <c r="BOR99" s="88"/>
      <c r="BOS99" s="88"/>
      <c r="BOT99" s="88"/>
      <c r="BOU99" s="88"/>
      <c r="BOV99" s="88"/>
      <c r="BOW99" s="88"/>
      <c r="BOX99" s="88"/>
      <c r="BOY99" s="88"/>
      <c r="BOZ99" s="88"/>
      <c r="BPA99" s="88"/>
      <c r="BPB99" s="88"/>
      <c r="BPC99" s="88"/>
      <c r="BPD99" s="88"/>
      <c r="BPE99" s="88"/>
      <c r="BPF99" s="88"/>
      <c r="BPG99" s="88"/>
      <c r="BPH99" s="88"/>
      <c r="BPI99" s="88"/>
      <c r="BPJ99" s="88"/>
      <c r="BPK99" s="88"/>
      <c r="BPL99" s="88"/>
      <c r="BPM99" s="88"/>
      <c r="BPN99" s="88"/>
      <c r="BPO99" s="88"/>
      <c r="BPP99" s="88"/>
      <c r="BPQ99" s="88"/>
      <c r="BPR99" s="88"/>
      <c r="BPS99" s="88"/>
      <c r="BPT99" s="88"/>
      <c r="BPU99" s="88"/>
      <c r="BPV99" s="88"/>
      <c r="BPW99" s="88"/>
      <c r="BPX99" s="88"/>
      <c r="BPY99" s="88"/>
      <c r="BPZ99" s="88"/>
      <c r="BQA99" s="88"/>
      <c r="BQB99" s="88"/>
      <c r="BQC99" s="88"/>
      <c r="BQD99" s="88"/>
      <c r="BQE99" s="88"/>
      <c r="BQF99" s="88"/>
      <c r="BQG99" s="88"/>
      <c r="BQH99" s="88"/>
      <c r="BQI99" s="88"/>
      <c r="BQJ99" s="88"/>
      <c r="BQK99" s="88"/>
      <c r="BQL99" s="88"/>
      <c r="BQM99" s="88"/>
      <c r="BQN99" s="88"/>
      <c r="BQO99" s="88"/>
      <c r="BQP99" s="88"/>
      <c r="BQQ99" s="88"/>
      <c r="BQR99" s="88"/>
      <c r="BQS99" s="88"/>
      <c r="BQT99" s="88"/>
      <c r="BQU99" s="88"/>
      <c r="BQV99" s="88"/>
      <c r="BQW99" s="88"/>
      <c r="BQX99" s="88"/>
      <c r="BQY99" s="88"/>
      <c r="BQZ99" s="88"/>
      <c r="BRA99" s="88"/>
      <c r="BRB99" s="88"/>
      <c r="BRC99" s="88"/>
      <c r="BRD99" s="88"/>
      <c r="BRE99" s="88"/>
      <c r="BRF99" s="88"/>
      <c r="BRG99" s="88"/>
      <c r="BRH99" s="88"/>
      <c r="BRI99" s="88"/>
      <c r="BRJ99" s="88"/>
      <c r="BRK99" s="88"/>
      <c r="BRL99" s="88"/>
      <c r="BRM99" s="88"/>
      <c r="BRN99" s="88"/>
      <c r="BRO99" s="88"/>
      <c r="BRP99" s="88"/>
      <c r="BRQ99" s="88"/>
      <c r="BRR99" s="88"/>
      <c r="BRS99" s="88"/>
      <c r="BRT99" s="88"/>
      <c r="BRU99" s="88"/>
      <c r="BRV99" s="88"/>
      <c r="BRW99" s="88"/>
      <c r="BRX99" s="88"/>
      <c r="BRY99" s="88"/>
      <c r="BRZ99" s="88"/>
      <c r="BSA99" s="88"/>
      <c r="BSB99" s="88"/>
      <c r="BSC99" s="88"/>
      <c r="BSD99" s="88"/>
      <c r="BSE99" s="88"/>
      <c r="BSF99" s="88"/>
      <c r="BSG99" s="88"/>
      <c r="BSH99" s="88"/>
      <c r="BSI99" s="88"/>
      <c r="BSJ99" s="88"/>
      <c r="BSK99" s="88"/>
      <c r="BSL99" s="88"/>
      <c r="BSM99" s="88"/>
      <c r="BSN99" s="88"/>
      <c r="BSO99" s="88"/>
      <c r="BSP99" s="88"/>
      <c r="BSQ99" s="88"/>
      <c r="BSR99" s="88"/>
      <c r="BSS99" s="88"/>
      <c r="BST99" s="88"/>
      <c r="BSU99" s="88"/>
      <c r="BSV99" s="88"/>
      <c r="BSW99" s="88"/>
      <c r="BSX99" s="88"/>
      <c r="BSY99" s="88"/>
      <c r="BSZ99" s="88"/>
      <c r="BTA99" s="88"/>
      <c r="BTB99" s="88"/>
      <c r="BTC99" s="88"/>
      <c r="BTD99" s="88"/>
      <c r="BTE99" s="88"/>
      <c r="BTF99" s="88"/>
      <c r="BTG99" s="88"/>
      <c r="BTH99" s="88"/>
      <c r="BTI99" s="88"/>
      <c r="BTJ99" s="88"/>
      <c r="BTK99" s="88"/>
      <c r="BTL99" s="88"/>
      <c r="BTM99" s="88"/>
      <c r="BTN99" s="88"/>
      <c r="BTO99" s="88"/>
      <c r="BTP99" s="88"/>
      <c r="BTQ99" s="88"/>
      <c r="BTR99" s="88"/>
      <c r="BTS99" s="88"/>
      <c r="BTT99" s="88"/>
      <c r="BTU99" s="88"/>
      <c r="BTV99" s="88"/>
      <c r="BTW99" s="88"/>
      <c r="BTX99" s="88"/>
      <c r="BTY99" s="88"/>
      <c r="BTZ99" s="88"/>
      <c r="BUA99" s="88"/>
      <c r="BUB99" s="88"/>
      <c r="BUC99" s="88"/>
      <c r="BUD99" s="88"/>
      <c r="BUE99" s="88"/>
      <c r="BUF99" s="88"/>
      <c r="BUG99" s="88"/>
      <c r="BUH99" s="88"/>
      <c r="BUI99" s="88"/>
      <c r="BUJ99" s="88"/>
      <c r="BUK99" s="88"/>
      <c r="BUL99" s="88"/>
      <c r="BUM99" s="88"/>
      <c r="BUN99" s="88"/>
      <c r="BUO99" s="88"/>
      <c r="BUP99" s="88"/>
      <c r="BUQ99" s="88"/>
      <c r="BUR99" s="88"/>
      <c r="BUS99" s="88"/>
      <c r="BUT99" s="88"/>
      <c r="BUU99" s="88"/>
      <c r="BUV99" s="88"/>
      <c r="BUW99" s="88"/>
      <c r="BUX99" s="88"/>
      <c r="BUY99" s="88"/>
      <c r="BUZ99" s="88"/>
      <c r="BVA99" s="88"/>
      <c r="BVB99" s="88"/>
      <c r="BVC99" s="88"/>
      <c r="BVD99" s="88"/>
      <c r="BVE99" s="88"/>
      <c r="BVF99" s="88"/>
      <c r="BVG99" s="88"/>
      <c r="BVH99" s="88"/>
      <c r="BVI99" s="88"/>
      <c r="BVJ99" s="88"/>
      <c r="BVK99" s="88"/>
      <c r="BVL99" s="88"/>
      <c r="BVM99" s="88"/>
      <c r="BVN99" s="88"/>
      <c r="BVO99" s="88"/>
      <c r="BVP99" s="88"/>
      <c r="BVQ99" s="88"/>
      <c r="BVR99" s="88"/>
      <c r="BVS99" s="88"/>
      <c r="BVT99" s="88"/>
      <c r="BVU99" s="88"/>
      <c r="BVV99" s="88"/>
      <c r="BVW99" s="88"/>
      <c r="BVX99" s="88"/>
      <c r="BVY99" s="88"/>
      <c r="BVZ99" s="88"/>
      <c r="BWA99" s="88"/>
      <c r="BWB99" s="88"/>
      <c r="BWC99" s="88"/>
      <c r="BWD99" s="88"/>
      <c r="BWE99" s="88"/>
      <c r="BWF99" s="88"/>
      <c r="BWG99" s="88"/>
      <c r="BWH99" s="88"/>
      <c r="BWI99" s="88"/>
      <c r="BWJ99" s="88"/>
      <c r="BWK99" s="88"/>
      <c r="BWL99" s="88"/>
      <c r="BWM99" s="88"/>
      <c r="BWN99" s="88"/>
      <c r="BWO99" s="88"/>
      <c r="BWP99" s="88"/>
      <c r="BWQ99" s="88"/>
      <c r="BWR99" s="88"/>
      <c r="BWS99" s="88"/>
      <c r="BWT99" s="88"/>
      <c r="BWU99" s="88"/>
      <c r="BWV99" s="88"/>
      <c r="BWW99" s="88"/>
      <c r="BWX99" s="88"/>
      <c r="BWY99" s="88"/>
      <c r="BWZ99" s="88"/>
      <c r="BXA99" s="88"/>
      <c r="BXB99" s="88"/>
      <c r="BXC99" s="88"/>
      <c r="BXD99" s="88"/>
      <c r="BXE99" s="88"/>
      <c r="BXF99" s="88"/>
      <c r="BXG99" s="88"/>
      <c r="BXH99" s="88"/>
      <c r="BXI99" s="88"/>
      <c r="BXJ99" s="88"/>
      <c r="BXK99" s="88"/>
      <c r="BXL99" s="88"/>
      <c r="BXM99" s="88"/>
      <c r="BXN99" s="88"/>
      <c r="BXO99" s="88"/>
      <c r="BXP99" s="88"/>
      <c r="BXQ99" s="88"/>
      <c r="BXR99" s="88"/>
      <c r="BXS99" s="88"/>
      <c r="BXT99" s="88"/>
      <c r="BXU99" s="88"/>
      <c r="BXV99" s="88"/>
      <c r="BXW99" s="88"/>
      <c r="BXX99" s="88"/>
      <c r="BXY99" s="88"/>
      <c r="BXZ99" s="88"/>
      <c r="BYA99" s="88"/>
      <c r="BYB99" s="88"/>
      <c r="BYC99" s="88"/>
      <c r="BYD99" s="88"/>
      <c r="BYE99" s="88"/>
      <c r="BYF99" s="88"/>
      <c r="BYG99" s="88"/>
      <c r="BYH99" s="88"/>
      <c r="BYI99" s="88"/>
      <c r="BYJ99" s="88"/>
      <c r="BYK99" s="88"/>
      <c r="BYL99" s="88"/>
      <c r="BYM99" s="88"/>
      <c r="BYN99" s="88"/>
      <c r="BYO99" s="88"/>
      <c r="BYP99" s="88"/>
      <c r="BYQ99" s="88"/>
      <c r="BYR99" s="88"/>
      <c r="BYS99" s="88"/>
      <c r="BYT99" s="88"/>
      <c r="BYU99" s="88"/>
      <c r="BYV99" s="88"/>
      <c r="BYW99" s="88"/>
      <c r="BYX99" s="88"/>
      <c r="BYY99" s="88"/>
      <c r="BYZ99" s="88"/>
      <c r="BZA99" s="88"/>
      <c r="BZB99" s="88"/>
      <c r="BZC99" s="88"/>
      <c r="BZD99" s="88"/>
      <c r="BZE99" s="88"/>
      <c r="BZF99" s="88"/>
      <c r="BZG99" s="88"/>
      <c r="BZH99" s="88"/>
      <c r="BZI99" s="88"/>
      <c r="BZJ99" s="88"/>
      <c r="BZK99" s="88"/>
      <c r="BZL99" s="88"/>
      <c r="BZM99" s="88"/>
      <c r="BZN99" s="88"/>
      <c r="BZO99" s="88"/>
      <c r="BZP99" s="88"/>
      <c r="BZQ99" s="88"/>
      <c r="BZR99" s="88"/>
      <c r="BZS99" s="88"/>
      <c r="BZT99" s="88"/>
      <c r="BZU99" s="88"/>
      <c r="BZV99" s="88"/>
      <c r="BZW99" s="88"/>
      <c r="BZX99" s="88"/>
      <c r="BZY99" s="88"/>
      <c r="BZZ99" s="88"/>
      <c r="CAA99" s="88"/>
      <c r="CAB99" s="88"/>
      <c r="CAC99" s="88"/>
      <c r="CAD99" s="88"/>
      <c r="CAE99" s="88"/>
      <c r="CAF99" s="88"/>
      <c r="CAG99" s="88"/>
      <c r="CAH99" s="88"/>
      <c r="CAI99" s="88"/>
      <c r="CAJ99" s="88"/>
      <c r="CAK99" s="88"/>
      <c r="CAL99" s="88"/>
      <c r="CAM99" s="88"/>
      <c r="CAN99" s="88"/>
      <c r="CAO99" s="88"/>
      <c r="CAP99" s="88"/>
      <c r="CAQ99" s="88"/>
      <c r="CAR99" s="88"/>
      <c r="CAS99" s="88"/>
      <c r="CAT99" s="88"/>
      <c r="CAU99" s="88"/>
      <c r="CAV99" s="88"/>
      <c r="CAW99" s="88"/>
      <c r="CAX99" s="88"/>
      <c r="CAY99" s="88"/>
      <c r="CAZ99" s="88"/>
      <c r="CBA99" s="88"/>
      <c r="CBB99" s="88"/>
      <c r="CBC99" s="88"/>
      <c r="CBD99" s="88"/>
      <c r="CBE99" s="88"/>
      <c r="CBF99" s="88"/>
      <c r="CBG99" s="88"/>
      <c r="CBH99" s="88"/>
      <c r="CBI99" s="88"/>
      <c r="CBJ99" s="88"/>
      <c r="CBK99" s="88"/>
      <c r="CBL99" s="88"/>
      <c r="CBM99" s="88"/>
      <c r="CBN99" s="88"/>
      <c r="CBO99" s="88"/>
      <c r="CBP99" s="88"/>
      <c r="CBQ99" s="88"/>
      <c r="CBR99" s="88"/>
      <c r="CBS99" s="88"/>
      <c r="CBT99" s="88"/>
      <c r="CBU99" s="88"/>
      <c r="CBV99" s="88"/>
      <c r="CBW99" s="88"/>
      <c r="CBX99" s="88"/>
      <c r="CBY99" s="88"/>
      <c r="CBZ99" s="88"/>
      <c r="CCA99" s="88"/>
      <c r="CCB99" s="88"/>
      <c r="CCC99" s="88"/>
      <c r="CCD99" s="88"/>
      <c r="CCE99" s="88"/>
      <c r="CCF99" s="88"/>
      <c r="CCG99" s="88"/>
      <c r="CCH99" s="88"/>
      <c r="CCI99" s="88"/>
      <c r="CCJ99" s="88"/>
      <c r="CCK99" s="88"/>
      <c r="CCL99" s="88"/>
      <c r="CCM99" s="88"/>
      <c r="CCN99" s="88"/>
      <c r="CCO99" s="88"/>
      <c r="CCP99" s="88"/>
      <c r="CCQ99" s="88"/>
      <c r="CCR99" s="88"/>
      <c r="CCS99" s="88"/>
      <c r="CCT99" s="88"/>
      <c r="CCU99" s="88"/>
      <c r="CCV99" s="88"/>
      <c r="CCW99" s="88"/>
      <c r="CCX99" s="88"/>
      <c r="CCY99" s="88"/>
      <c r="CCZ99" s="88"/>
      <c r="CDA99" s="88"/>
      <c r="CDB99" s="88"/>
      <c r="CDC99" s="88"/>
      <c r="CDD99" s="88"/>
      <c r="CDE99" s="88"/>
      <c r="CDF99" s="88"/>
      <c r="CDG99" s="88"/>
      <c r="CDH99" s="88"/>
      <c r="CDI99" s="88"/>
      <c r="CDJ99" s="88"/>
      <c r="CDK99" s="88"/>
      <c r="CDL99" s="88"/>
      <c r="CDM99" s="88"/>
      <c r="CDN99" s="88"/>
      <c r="CDO99" s="88"/>
      <c r="CDP99" s="88"/>
      <c r="CDQ99" s="88"/>
      <c r="CDR99" s="88"/>
      <c r="CDS99" s="88"/>
      <c r="CDT99" s="88"/>
      <c r="CDU99" s="88"/>
      <c r="CDV99" s="88"/>
      <c r="CDW99" s="88"/>
      <c r="CDX99" s="88"/>
      <c r="CDY99" s="88"/>
      <c r="CDZ99" s="88"/>
      <c r="CEA99" s="88"/>
      <c r="CEB99" s="88"/>
      <c r="CEC99" s="88"/>
      <c r="CED99" s="88"/>
      <c r="CEE99" s="88"/>
      <c r="CEF99" s="88"/>
      <c r="CEG99" s="88"/>
      <c r="CEH99" s="88"/>
      <c r="CEI99" s="88"/>
      <c r="CEJ99" s="88"/>
      <c r="CEK99" s="88"/>
    </row>
    <row r="100" spans="1:2169" s="63" customFormat="1">
      <c r="A100" s="73" t="s">
        <v>793</v>
      </c>
      <c r="B100" s="71" t="s">
        <v>515</v>
      </c>
      <c r="C100" s="68" t="str">
        <f>IF('page 2'!$O$4="","",IF('page 2'!$O$4=Gestion!A100,1,0))</f>
        <v/>
      </c>
      <c r="D100" s="68" t="str">
        <f>IF('page 2'!$O$5="","",IF('page 2'!$O$5=Gestion!A100,1,0))</f>
        <v/>
      </c>
      <c r="E100" s="68" t="str">
        <f>IF('page 2'!$O$6="","",IF('page 2'!$O$6=Gestion!A100,1,0))</f>
        <v/>
      </c>
      <c r="F100" s="68" t="str">
        <f>IF('page 2'!$O$7="","",IF('page 2'!$O$7=Gestion!A100,1,0))</f>
        <v/>
      </c>
      <c r="G100" s="68" t="str">
        <f>IF('page 2'!$O$8="","",IF('page 2'!$O$8=Gestion!A100,1,0))</f>
        <v/>
      </c>
      <c r="H100" s="68" t="str">
        <f>IF('page 2'!$O$9="","",IF('page 2'!$O$9=Gestion!A100,1,0))</f>
        <v/>
      </c>
      <c r="I100" s="68" t="str">
        <f>IF('page 2'!$O$10="","",IF('page 2'!$O$10=Gestion!A100,1,0))</f>
        <v/>
      </c>
      <c r="J100" s="68" t="str">
        <f>IF('page 2'!$O$11="","",IF('page 2'!$O$11=Gestion!A100,1,0))</f>
        <v/>
      </c>
      <c r="K100" s="68" t="str">
        <f>IF('page 2'!$O$12="","",IF('page 2'!$O$12=Gestion!A100,1,0))</f>
        <v/>
      </c>
      <c r="L100" s="68" t="str">
        <f>IF('page 2'!$O$13="","",IF('page 2'!$O$13=Gestion!A100,1,0))</f>
        <v/>
      </c>
      <c r="M100" s="68" t="str">
        <f>IF('page 2'!$O$14="","",IF('page 2'!$O$14=Gestion!A100,1,0))</f>
        <v/>
      </c>
      <c r="N100" s="68" t="str">
        <f>IF('page 2'!$O$15="","",IF('page 2'!$O$15=Gestion!A100,1,0))</f>
        <v/>
      </c>
      <c r="O100" s="68" t="str">
        <f>IF('page 2'!$O$16="","",IF('page 2'!$O$16=Gestion!A100,1,0))</f>
        <v/>
      </c>
      <c r="P100" s="68" t="str">
        <f>IF('page 2'!$O$17="","",IF('page 2'!$O$17=Gestion!A100,1,0))</f>
        <v/>
      </c>
      <c r="Q100" s="68" t="str">
        <f>IF('page 2'!$O$18="","",IF('page 2'!$O$18=Gestion!A100,1,0))</f>
        <v/>
      </c>
      <c r="R100" s="68" t="str">
        <f>IF('page 2'!$O$19="","",IF('page 2'!$O$19=Gestion!A100,1,0))</f>
        <v/>
      </c>
      <c r="S100" s="68" t="str">
        <f>IF('page 2'!$O$20="","",IF('page 2'!$O$20=Gestion!A100,1,0))</f>
        <v/>
      </c>
      <c r="T100" s="68" t="str">
        <f>IF('page 2'!$O$25="","",IF('page 2'!$O$25=Gestion!A100,1,0))</f>
        <v/>
      </c>
      <c r="U100" s="68" t="str">
        <f>IF('page 2'!$O$26="","",IF('page 2'!$O$26=Gestion!A100,1,0))</f>
        <v/>
      </c>
      <c r="V100" s="68" t="str">
        <f>IF('page 2'!$O$27="","",IF('page 2'!$O$27=Gestion!A100,1,0))</f>
        <v/>
      </c>
      <c r="W100" s="722">
        <f t="shared" si="14"/>
        <v>0</v>
      </c>
      <c r="X100" s="714"/>
      <c r="Y100" s="68"/>
      <c r="Z100" s="68"/>
      <c r="AA100" s="68"/>
      <c r="AB100" s="68"/>
      <c r="AC100" s="68"/>
      <c r="AD100" s="68"/>
      <c r="AP100" s="130"/>
      <c r="AQ100" s="130"/>
      <c r="AR100" s="130"/>
      <c r="AS100" s="576"/>
      <c r="AT100" s="576"/>
      <c r="AU100" s="576"/>
      <c r="AV100" s="576"/>
      <c r="AW100" s="602"/>
      <c r="AX100" s="602"/>
      <c r="AY100" s="576"/>
      <c r="AZ100" s="576"/>
      <c r="BA100" s="576"/>
      <c r="BB100" s="576"/>
      <c r="BC100" s="576"/>
      <c r="BD100" s="602"/>
      <c r="BE100" s="602"/>
      <c r="BF100" s="602"/>
      <c r="BG100" s="602"/>
      <c r="BH100" s="602"/>
      <c r="BI100" s="602"/>
      <c r="BJ100" s="602"/>
      <c r="BK100" s="602"/>
      <c r="BL100" s="602"/>
      <c r="BM100" s="602"/>
      <c r="BN100" s="602"/>
      <c r="BO100" s="602"/>
      <c r="BP100" s="602"/>
      <c r="BQ100" s="602"/>
      <c r="BR100" s="602"/>
      <c r="BS100" s="576"/>
      <c r="BT100" s="576"/>
      <c r="BU100" s="576"/>
      <c r="BV100" s="576"/>
      <c r="BW100" s="602"/>
      <c r="BX100" s="602"/>
      <c r="BY100" s="602"/>
      <c r="BZ100" s="576"/>
      <c r="CA100" s="602"/>
      <c r="CB100" s="602"/>
      <c r="CC100" s="576"/>
      <c r="CD100" s="576"/>
      <c r="CE100" s="602"/>
      <c r="CF100" s="576"/>
      <c r="CG100" s="576"/>
      <c r="CH100" s="576"/>
      <c r="CI100" s="576"/>
      <c r="CJ100" s="576"/>
      <c r="CK100" s="602"/>
      <c r="CL100" s="602"/>
      <c r="CM100" s="576"/>
      <c r="CN100" s="602"/>
      <c r="CO100" s="602"/>
      <c r="CP100" s="602"/>
      <c r="CQ100" s="576"/>
      <c r="CR100" s="576"/>
      <c r="CS100" s="602"/>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c r="IW100" s="88"/>
      <c r="IX100" s="88"/>
      <c r="IY100" s="88"/>
      <c r="IZ100" s="88"/>
      <c r="JA100" s="88"/>
      <c r="JB100" s="88"/>
      <c r="JC100" s="88"/>
      <c r="JD100" s="88"/>
      <c r="JE100" s="88"/>
      <c r="JF100" s="88"/>
      <c r="JG100" s="88"/>
      <c r="JH100" s="88"/>
      <c r="JI100" s="88"/>
      <c r="JJ100" s="88"/>
      <c r="JK100" s="88"/>
      <c r="JL100" s="88"/>
      <c r="JM100" s="88"/>
      <c r="JN100" s="88"/>
      <c r="JO100" s="88"/>
      <c r="JP100" s="88"/>
      <c r="JQ100" s="88"/>
      <c r="JR100" s="88"/>
      <c r="JS100" s="88"/>
      <c r="JT100" s="88"/>
      <c r="JU100" s="88"/>
      <c r="JV100" s="88"/>
      <c r="JW100" s="88"/>
      <c r="JX100" s="88"/>
      <c r="JY100" s="88"/>
      <c r="JZ100" s="88"/>
      <c r="KA100" s="88"/>
      <c r="KB100" s="88"/>
      <c r="KC100" s="88"/>
      <c r="KD100" s="88"/>
      <c r="KE100" s="88"/>
      <c r="KF100" s="88"/>
      <c r="KG100" s="88"/>
      <c r="KH100" s="88"/>
      <c r="KI100" s="88"/>
      <c r="KJ100" s="88"/>
      <c r="KK100" s="88"/>
      <c r="KL100" s="88"/>
      <c r="KM100" s="88"/>
      <c r="KN100" s="88"/>
      <c r="KO100" s="88"/>
      <c r="KP100" s="88"/>
      <c r="KQ100" s="88"/>
      <c r="KR100" s="88"/>
      <c r="KS100" s="88"/>
      <c r="KT100" s="88"/>
      <c r="KU100" s="88"/>
      <c r="KV100" s="88"/>
      <c r="KW100" s="88"/>
      <c r="KX100" s="88"/>
      <c r="KY100" s="88"/>
      <c r="KZ100" s="88"/>
      <c r="LA100" s="88"/>
      <c r="LB100" s="88"/>
      <c r="LC100" s="88"/>
      <c r="LD100" s="88"/>
      <c r="LE100" s="88"/>
      <c r="LF100" s="88"/>
      <c r="LG100" s="88"/>
      <c r="LH100" s="88"/>
      <c r="LI100" s="88"/>
      <c r="LJ100" s="88"/>
      <c r="LK100" s="88"/>
      <c r="LL100" s="88"/>
      <c r="LM100" s="88"/>
      <c r="LN100" s="88"/>
      <c r="LO100" s="88"/>
      <c r="LP100" s="88"/>
      <c r="LQ100" s="88"/>
      <c r="LR100" s="88"/>
      <c r="LS100" s="88"/>
      <c r="LT100" s="88"/>
      <c r="LU100" s="88"/>
      <c r="LV100" s="88"/>
      <c r="LW100" s="88"/>
      <c r="LX100" s="88"/>
      <c r="LY100" s="88"/>
      <c r="LZ100" s="88"/>
      <c r="MA100" s="88"/>
      <c r="MB100" s="88"/>
      <c r="MC100" s="88"/>
      <c r="MD100" s="88"/>
      <c r="ME100" s="88"/>
      <c r="MF100" s="88"/>
      <c r="MG100" s="88"/>
      <c r="MH100" s="88"/>
      <c r="MI100" s="88"/>
      <c r="MJ100" s="88"/>
      <c r="MK100" s="88"/>
      <c r="ML100" s="88"/>
      <c r="MM100" s="88"/>
      <c r="MN100" s="88"/>
      <c r="MO100" s="88"/>
      <c r="MP100" s="88"/>
      <c r="MQ100" s="88"/>
      <c r="MR100" s="88"/>
      <c r="MS100" s="88"/>
      <c r="MT100" s="88"/>
      <c r="MU100" s="88"/>
      <c r="MV100" s="88"/>
      <c r="MW100" s="88"/>
      <c r="MX100" s="88"/>
      <c r="MY100" s="88"/>
      <c r="MZ100" s="88"/>
      <c r="NA100" s="88"/>
      <c r="NB100" s="88"/>
      <c r="NC100" s="88"/>
      <c r="ND100" s="88"/>
      <c r="NE100" s="88"/>
      <c r="NF100" s="88"/>
      <c r="NG100" s="88"/>
      <c r="NH100" s="88"/>
      <c r="NI100" s="88"/>
      <c r="NJ100" s="88"/>
      <c r="NK100" s="88"/>
      <c r="NL100" s="88"/>
      <c r="NM100" s="88"/>
      <c r="NN100" s="88"/>
      <c r="NO100" s="88"/>
      <c r="NP100" s="88"/>
      <c r="NQ100" s="88"/>
      <c r="NR100" s="88"/>
      <c r="NS100" s="88"/>
      <c r="NT100" s="88"/>
      <c r="NU100" s="88"/>
      <c r="NV100" s="88"/>
      <c r="NW100" s="88"/>
      <c r="NX100" s="88"/>
      <c r="NY100" s="88"/>
      <c r="NZ100" s="88"/>
      <c r="OA100" s="88"/>
      <c r="OB100" s="88"/>
      <c r="OC100" s="88"/>
      <c r="OD100" s="88"/>
      <c r="OE100" s="88"/>
      <c r="OF100" s="88"/>
      <c r="OG100" s="88"/>
      <c r="OH100" s="88"/>
      <c r="OI100" s="88"/>
      <c r="OJ100" s="88"/>
      <c r="OK100" s="88"/>
      <c r="OL100" s="88"/>
      <c r="OM100" s="88"/>
      <c r="ON100" s="88"/>
      <c r="OO100" s="88"/>
      <c r="OP100" s="88"/>
      <c r="OQ100" s="88"/>
      <c r="OR100" s="88"/>
      <c r="OS100" s="88"/>
      <c r="OT100" s="88"/>
      <c r="OU100" s="88"/>
      <c r="OV100" s="88"/>
      <c r="OW100" s="88"/>
      <c r="OX100" s="88"/>
      <c r="OY100" s="88"/>
      <c r="OZ100" s="88"/>
      <c r="PA100" s="88"/>
      <c r="PB100" s="88"/>
      <c r="PC100" s="88"/>
      <c r="PD100" s="88"/>
      <c r="PE100" s="88"/>
      <c r="PF100" s="88"/>
      <c r="PG100" s="88"/>
      <c r="PH100" s="88"/>
      <c r="PI100" s="88"/>
      <c r="PJ100" s="88"/>
      <c r="PK100" s="88"/>
      <c r="PL100" s="88"/>
      <c r="PM100" s="88"/>
      <c r="PN100" s="88"/>
      <c r="PO100" s="88"/>
      <c r="PP100" s="88"/>
      <c r="PQ100" s="88"/>
      <c r="PR100" s="88"/>
      <c r="PS100" s="88"/>
      <c r="PT100" s="88"/>
      <c r="PU100" s="88"/>
      <c r="PV100" s="88"/>
      <c r="PW100" s="88"/>
      <c r="PX100" s="88"/>
      <c r="PY100" s="88"/>
      <c r="PZ100" s="88"/>
      <c r="QA100" s="88"/>
      <c r="QB100" s="88"/>
      <c r="QC100" s="88"/>
      <c r="QD100" s="88"/>
      <c r="QE100" s="88"/>
      <c r="QF100" s="88"/>
      <c r="QG100" s="88"/>
      <c r="QH100" s="88"/>
      <c r="QI100" s="88"/>
      <c r="QJ100" s="88"/>
      <c r="QK100" s="88"/>
      <c r="QL100" s="88"/>
      <c r="QM100" s="88"/>
      <c r="QN100" s="88"/>
      <c r="QO100" s="88"/>
      <c r="QP100" s="88"/>
      <c r="QQ100" s="88"/>
      <c r="QR100" s="88"/>
      <c r="QS100" s="88"/>
      <c r="QT100" s="88"/>
      <c r="QU100" s="88"/>
      <c r="QV100" s="88"/>
      <c r="QW100" s="88"/>
      <c r="QX100" s="88"/>
      <c r="QY100" s="88"/>
      <c r="QZ100" s="88"/>
      <c r="RA100" s="88"/>
      <c r="RB100" s="88"/>
      <c r="RC100" s="88"/>
      <c r="RD100" s="88"/>
      <c r="RE100" s="88"/>
      <c r="RF100" s="88"/>
      <c r="RG100" s="88"/>
      <c r="RH100" s="88"/>
      <c r="RI100" s="88"/>
      <c r="RJ100" s="88"/>
      <c r="RK100" s="88"/>
      <c r="RL100" s="88"/>
      <c r="RM100" s="88"/>
      <c r="RN100" s="88"/>
      <c r="RO100" s="88"/>
      <c r="RP100" s="88"/>
      <c r="RQ100" s="88"/>
      <c r="RR100" s="88"/>
      <c r="RS100" s="88"/>
      <c r="RT100" s="88"/>
      <c r="RU100" s="88"/>
      <c r="RV100" s="88"/>
      <c r="RW100" s="88"/>
      <c r="RX100" s="88"/>
      <c r="RY100" s="88"/>
      <c r="RZ100" s="88"/>
      <c r="SA100" s="88"/>
      <c r="SB100" s="88"/>
      <c r="SC100" s="88"/>
      <c r="SD100" s="88"/>
      <c r="SE100" s="88"/>
      <c r="SF100" s="88"/>
      <c r="SG100" s="88"/>
      <c r="SH100" s="88"/>
      <c r="SI100" s="88"/>
      <c r="SJ100" s="88"/>
      <c r="SK100" s="88"/>
      <c r="SL100" s="88"/>
      <c r="SM100" s="88"/>
      <c r="SN100" s="88"/>
      <c r="SO100" s="88"/>
      <c r="SP100" s="88"/>
      <c r="SQ100" s="88"/>
      <c r="SR100" s="88"/>
      <c r="SS100" s="88"/>
      <c r="ST100" s="88"/>
      <c r="SU100" s="88"/>
      <c r="SV100" s="88"/>
      <c r="SW100" s="88"/>
      <c r="SX100" s="88"/>
      <c r="SY100" s="88"/>
      <c r="SZ100" s="88"/>
      <c r="TA100" s="88"/>
      <c r="TB100" s="88"/>
      <c r="TC100" s="88"/>
      <c r="TD100" s="88"/>
      <c r="TE100" s="88"/>
      <c r="TF100" s="88"/>
      <c r="TG100" s="88"/>
      <c r="TH100" s="88"/>
      <c r="TI100" s="88"/>
      <c r="TJ100" s="88"/>
      <c r="TK100" s="88"/>
      <c r="TL100" s="88"/>
      <c r="TM100" s="88"/>
      <c r="TN100" s="88"/>
      <c r="TO100" s="88"/>
      <c r="TP100" s="88"/>
      <c r="TQ100" s="88"/>
      <c r="TR100" s="88"/>
      <c r="TS100" s="88"/>
      <c r="TT100" s="88"/>
      <c r="TU100" s="88"/>
      <c r="TV100" s="88"/>
      <c r="TW100" s="88"/>
      <c r="TX100" s="88"/>
      <c r="TY100" s="88"/>
      <c r="TZ100" s="88"/>
      <c r="UA100" s="88"/>
      <c r="UB100" s="88"/>
      <c r="UC100" s="88"/>
      <c r="UD100" s="88"/>
      <c r="UE100" s="88"/>
      <c r="UF100" s="88"/>
      <c r="UG100" s="88"/>
      <c r="UH100" s="88"/>
      <c r="UI100" s="88"/>
      <c r="UJ100" s="88"/>
      <c r="UK100" s="88"/>
      <c r="UL100" s="88"/>
      <c r="UM100" s="88"/>
      <c r="UN100" s="88"/>
      <c r="UO100" s="88"/>
      <c r="UP100" s="88"/>
      <c r="UQ100" s="88"/>
      <c r="UR100" s="88"/>
      <c r="US100" s="88"/>
      <c r="UT100" s="88"/>
      <c r="UU100" s="88"/>
      <c r="UV100" s="88"/>
      <c r="UW100" s="88"/>
      <c r="UX100" s="88"/>
      <c r="UY100" s="88"/>
      <c r="UZ100" s="88"/>
      <c r="VA100" s="88"/>
      <c r="VB100" s="88"/>
      <c r="VC100" s="88"/>
      <c r="VD100" s="88"/>
      <c r="VE100" s="88"/>
      <c r="VF100" s="88"/>
      <c r="VG100" s="88"/>
      <c r="VH100" s="88"/>
      <c r="VI100" s="88"/>
      <c r="VJ100" s="88"/>
      <c r="VK100" s="88"/>
      <c r="VL100" s="88"/>
      <c r="VM100" s="88"/>
      <c r="VN100" s="88"/>
      <c r="VO100" s="88"/>
      <c r="VP100" s="88"/>
      <c r="VQ100" s="88"/>
      <c r="VR100" s="88"/>
      <c r="VS100" s="88"/>
      <c r="VT100" s="88"/>
      <c r="VU100" s="88"/>
      <c r="VV100" s="88"/>
      <c r="VW100" s="88"/>
      <c r="VX100" s="88"/>
      <c r="VY100" s="88"/>
      <c r="VZ100" s="88"/>
      <c r="WA100" s="88"/>
      <c r="WB100" s="88"/>
      <c r="WC100" s="88"/>
      <c r="WD100" s="88"/>
      <c r="WE100" s="88"/>
      <c r="WF100" s="88"/>
      <c r="WG100" s="88"/>
      <c r="WH100" s="88"/>
      <c r="WI100" s="88"/>
      <c r="WJ100" s="88"/>
      <c r="WK100" s="88"/>
      <c r="WL100" s="88"/>
      <c r="WM100" s="88"/>
      <c r="WN100" s="88"/>
      <c r="WO100" s="88"/>
      <c r="WP100" s="88"/>
      <c r="WQ100" s="88"/>
      <c r="WR100" s="88"/>
      <c r="WS100" s="88"/>
      <c r="WT100" s="88"/>
      <c r="WU100" s="88"/>
      <c r="WV100" s="88"/>
      <c r="WW100" s="88"/>
      <c r="WX100" s="88"/>
      <c r="WY100" s="88"/>
      <c r="WZ100" s="88"/>
      <c r="XA100" s="88"/>
      <c r="XB100" s="88"/>
      <c r="XC100" s="88"/>
      <c r="XD100" s="88"/>
      <c r="XE100" s="88"/>
      <c r="XF100" s="88"/>
      <c r="XG100" s="88"/>
      <c r="XH100" s="88"/>
      <c r="XI100" s="88"/>
      <c r="XJ100" s="88"/>
      <c r="XK100" s="88"/>
      <c r="XL100" s="88"/>
      <c r="XM100" s="88"/>
      <c r="XN100" s="88"/>
      <c r="XO100" s="88"/>
      <c r="XP100" s="88"/>
      <c r="XQ100" s="88"/>
      <c r="XR100" s="88"/>
      <c r="XS100" s="88"/>
      <c r="XT100" s="88"/>
      <c r="XU100" s="88"/>
      <c r="XV100" s="88"/>
      <c r="XW100" s="88"/>
      <c r="XX100" s="88"/>
      <c r="XY100" s="88"/>
      <c r="XZ100" s="88"/>
      <c r="YA100" s="88"/>
      <c r="YB100" s="88"/>
      <c r="YC100" s="88"/>
      <c r="YD100" s="88"/>
      <c r="YE100" s="88"/>
      <c r="YF100" s="88"/>
      <c r="YG100" s="88"/>
      <c r="YH100" s="88"/>
      <c r="YI100" s="88"/>
      <c r="YJ100" s="88"/>
      <c r="YK100" s="88"/>
      <c r="YL100" s="88"/>
      <c r="YM100" s="88"/>
      <c r="YN100" s="88"/>
      <c r="YO100" s="88"/>
      <c r="YP100" s="88"/>
      <c r="YQ100" s="88"/>
      <c r="YR100" s="88"/>
      <c r="YS100" s="88"/>
      <c r="YT100" s="88"/>
      <c r="YU100" s="88"/>
      <c r="YV100" s="88"/>
      <c r="YW100" s="88"/>
      <c r="YX100" s="88"/>
      <c r="YY100" s="88"/>
      <c r="YZ100" s="88"/>
      <c r="ZA100" s="88"/>
      <c r="ZB100" s="88"/>
      <c r="ZC100" s="88"/>
      <c r="ZD100" s="88"/>
      <c r="ZE100" s="88"/>
      <c r="ZF100" s="88"/>
      <c r="ZG100" s="88"/>
      <c r="ZH100" s="88"/>
      <c r="ZI100" s="88"/>
      <c r="ZJ100" s="88"/>
      <c r="ZK100" s="88"/>
      <c r="ZL100" s="88"/>
      <c r="ZM100" s="88"/>
      <c r="ZN100" s="88"/>
      <c r="ZO100" s="88"/>
      <c r="ZP100" s="88"/>
      <c r="ZQ100" s="88"/>
      <c r="ZR100" s="88"/>
      <c r="ZS100" s="88"/>
      <c r="ZT100" s="88"/>
      <c r="ZU100" s="88"/>
      <c r="ZV100" s="88"/>
      <c r="ZW100" s="88"/>
      <c r="ZX100" s="88"/>
      <c r="ZY100" s="88"/>
      <c r="ZZ100" s="88"/>
      <c r="AAA100" s="88"/>
      <c r="AAB100" s="88"/>
      <c r="AAC100" s="88"/>
      <c r="AAD100" s="88"/>
      <c r="AAE100" s="88"/>
      <c r="AAF100" s="88"/>
      <c r="AAG100" s="88"/>
      <c r="AAH100" s="88"/>
      <c r="AAI100" s="88"/>
      <c r="AAJ100" s="88"/>
      <c r="AAK100" s="88"/>
      <c r="AAL100" s="88"/>
      <c r="AAM100" s="88"/>
      <c r="AAN100" s="88"/>
      <c r="AAO100" s="88"/>
      <c r="AAP100" s="88"/>
      <c r="AAQ100" s="88"/>
      <c r="AAR100" s="88"/>
      <c r="AAS100" s="88"/>
      <c r="AAT100" s="88"/>
      <c r="AAU100" s="88"/>
      <c r="AAV100" s="88"/>
      <c r="AAW100" s="88"/>
      <c r="AAX100" s="88"/>
      <c r="AAY100" s="88"/>
      <c r="AAZ100" s="88"/>
      <c r="ABA100" s="88"/>
      <c r="ABB100" s="88"/>
      <c r="ABC100" s="88"/>
      <c r="ABD100" s="88"/>
      <c r="ABE100" s="88"/>
      <c r="ABF100" s="88"/>
      <c r="ABG100" s="88"/>
      <c r="ABH100" s="88"/>
      <c r="ABI100" s="88"/>
      <c r="ABJ100" s="88"/>
      <c r="ABK100" s="88"/>
      <c r="ABL100" s="88"/>
      <c r="ABM100" s="88"/>
      <c r="ABN100" s="88"/>
      <c r="ABO100" s="88"/>
      <c r="ABP100" s="88"/>
      <c r="ABQ100" s="88"/>
      <c r="ABR100" s="88"/>
      <c r="ABS100" s="88"/>
      <c r="ABT100" s="88"/>
      <c r="ABU100" s="88"/>
      <c r="ABV100" s="88"/>
      <c r="ABW100" s="88"/>
      <c r="ABX100" s="88"/>
      <c r="ABY100" s="88"/>
      <c r="ABZ100" s="88"/>
      <c r="ACA100" s="88"/>
      <c r="ACB100" s="88"/>
      <c r="ACC100" s="88"/>
      <c r="ACD100" s="88"/>
      <c r="ACE100" s="88"/>
      <c r="ACF100" s="88"/>
      <c r="ACG100" s="88"/>
      <c r="ACH100" s="88"/>
      <c r="ACI100" s="88"/>
      <c r="ACJ100" s="88"/>
      <c r="ACK100" s="88"/>
      <c r="ACL100" s="88"/>
      <c r="ACM100" s="88"/>
      <c r="ACN100" s="88"/>
      <c r="ACO100" s="88"/>
      <c r="ACP100" s="88"/>
      <c r="ACQ100" s="88"/>
      <c r="ACR100" s="88"/>
      <c r="ACS100" s="88"/>
      <c r="ACT100" s="88"/>
      <c r="ACU100" s="88"/>
      <c r="ACV100" s="88"/>
      <c r="ACW100" s="88"/>
      <c r="ACX100" s="88"/>
      <c r="ACY100" s="88"/>
      <c r="ACZ100" s="88"/>
      <c r="ADA100" s="88"/>
      <c r="ADB100" s="88"/>
      <c r="ADC100" s="88"/>
      <c r="ADD100" s="88"/>
      <c r="ADE100" s="88"/>
      <c r="ADF100" s="88"/>
      <c r="ADG100" s="88"/>
      <c r="ADH100" s="88"/>
      <c r="ADI100" s="88"/>
      <c r="ADJ100" s="88"/>
      <c r="ADK100" s="88"/>
      <c r="ADL100" s="88"/>
      <c r="ADM100" s="88"/>
      <c r="ADN100" s="88"/>
      <c r="ADO100" s="88"/>
      <c r="ADP100" s="88"/>
      <c r="ADQ100" s="88"/>
      <c r="ADR100" s="88"/>
      <c r="ADS100" s="88"/>
      <c r="ADT100" s="88"/>
      <c r="ADU100" s="88"/>
      <c r="ADV100" s="88"/>
      <c r="ADW100" s="88"/>
      <c r="ADX100" s="88"/>
      <c r="ADY100" s="88"/>
      <c r="ADZ100" s="88"/>
      <c r="AEA100" s="88"/>
      <c r="AEB100" s="88"/>
      <c r="AEC100" s="88"/>
      <c r="AED100" s="88"/>
      <c r="AEE100" s="88"/>
      <c r="AEF100" s="88"/>
      <c r="AEG100" s="88"/>
      <c r="AEH100" s="88"/>
      <c r="AEI100" s="88"/>
      <c r="AEJ100" s="88"/>
      <c r="AEK100" s="88"/>
      <c r="AEL100" s="88"/>
      <c r="AEM100" s="88"/>
      <c r="AEN100" s="88"/>
      <c r="AEO100" s="88"/>
      <c r="AEP100" s="88"/>
      <c r="AEQ100" s="88"/>
      <c r="AER100" s="88"/>
      <c r="AES100" s="88"/>
      <c r="AET100" s="88"/>
      <c r="AEU100" s="88"/>
      <c r="AEV100" s="88"/>
      <c r="AEW100" s="88"/>
      <c r="AEX100" s="88"/>
      <c r="AEY100" s="88"/>
      <c r="AEZ100" s="88"/>
      <c r="AFA100" s="88"/>
      <c r="AFB100" s="88"/>
      <c r="AFC100" s="88"/>
      <c r="AFD100" s="88"/>
      <c r="AFE100" s="88"/>
      <c r="AFF100" s="88"/>
      <c r="AFG100" s="88"/>
      <c r="AFH100" s="88"/>
      <c r="AFI100" s="88"/>
      <c r="AFJ100" s="88"/>
      <c r="AFK100" s="88"/>
      <c r="AFL100" s="88"/>
      <c r="AFM100" s="88"/>
      <c r="AFN100" s="88"/>
      <c r="AFO100" s="88"/>
      <c r="AFP100" s="88"/>
      <c r="AFQ100" s="88"/>
      <c r="AFR100" s="88"/>
      <c r="AFS100" s="88"/>
      <c r="AFT100" s="88"/>
      <c r="AFU100" s="88"/>
      <c r="AFV100" s="88"/>
      <c r="AFW100" s="88"/>
      <c r="AFX100" s="88"/>
      <c r="AFY100" s="88"/>
      <c r="AFZ100" s="88"/>
      <c r="AGA100" s="88"/>
      <c r="AGB100" s="88"/>
      <c r="AGC100" s="88"/>
      <c r="AGD100" s="88"/>
      <c r="AGE100" s="88"/>
      <c r="AGF100" s="88"/>
      <c r="AGG100" s="88"/>
      <c r="AGH100" s="88"/>
      <c r="AGI100" s="88"/>
      <c r="AGJ100" s="88"/>
      <c r="AGK100" s="88"/>
      <c r="AGL100" s="88"/>
      <c r="AGM100" s="88"/>
      <c r="AGN100" s="88"/>
      <c r="AGO100" s="88"/>
      <c r="AGP100" s="88"/>
      <c r="AGQ100" s="88"/>
      <c r="AGR100" s="88"/>
      <c r="AGS100" s="88"/>
      <c r="AGT100" s="88"/>
      <c r="AGU100" s="88"/>
      <c r="AGV100" s="88"/>
      <c r="AGW100" s="88"/>
      <c r="AGX100" s="88"/>
      <c r="AGY100" s="88"/>
      <c r="AGZ100" s="88"/>
      <c r="AHA100" s="88"/>
      <c r="AHB100" s="88"/>
      <c r="AHC100" s="88"/>
      <c r="AHD100" s="88"/>
      <c r="AHE100" s="88"/>
      <c r="AHF100" s="88"/>
      <c r="AHG100" s="88"/>
      <c r="AHH100" s="88"/>
      <c r="AHI100" s="88"/>
      <c r="AHJ100" s="88"/>
      <c r="AHK100" s="88"/>
      <c r="AHL100" s="88"/>
      <c r="AHM100" s="88"/>
      <c r="AHN100" s="88"/>
      <c r="AHO100" s="88"/>
      <c r="AHP100" s="88"/>
      <c r="AHQ100" s="88"/>
      <c r="AHR100" s="88"/>
      <c r="AHS100" s="88"/>
      <c r="AHT100" s="88"/>
      <c r="AHU100" s="88"/>
      <c r="AHV100" s="88"/>
      <c r="AHW100" s="88"/>
      <c r="AHX100" s="88"/>
      <c r="AHY100" s="88"/>
      <c r="AHZ100" s="88"/>
      <c r="AIA100" s="88"/>
      <c r="AIB100" s="88"/>
      <c r="AIC100" s="88"/>
      <c r="AID100" s="88"/>
      <c r="AIE100" s="88"/>
      <c r="AIF100" s="88"/>
      <c r="AIG100" s="88"/>
      <c r="AIH100" s="88"/>
      <c r="AII100" s="88"/>
      <c r="AIJ100" s="88"/>
      <c r="AIK100" s="88"/>
      <c r="AIL100" s="88"/>
      <c r="AIM100" s="88"/>
      <c r="AIN100" s="88"/>
      <c r="AIO100" s="88"/>
      <c r="AIP100" s="88"/>
      <c r="AIQ100" s="88"/>
      <c r="AIR100" s="88"/>
      <c r="AIS100" s="88"/>
      <c r="AIT100" s="88"/>
      <c r="AIU100" s="88"/>
      <c r="AIV100" s="88"/>
      <c r="AIW100" s="88"/>
      <c r="AIX100" s="88"/>
      <c r="AIY100" s="88"/>
      <c r="AIZ100" s="88"/>
      <c r="AJA100" s="88"/>
      <c r="AJB100" s="88"/>
      <c r="AJC100" s="88"/>
      <c r="AJD100" s="88"/>
      <c r="AJE100" s="88"/>
      <c r="AJF100" s="88"/>
      <c r="AJG100" s="88"/>
      <c r="AJH100" s="88"/>
      <c r="AJI100" s="88"/>
      <c r="AJJ100" s="88"/>
      <c r="AJK100" s="88"/>
      <c r="AJL100" s="88"/>
      <c r="AJM100" s="88"/>
      <c r="AJN100" s="88"/>
      <c r="AJO100" s="88"/>
      <c r="AJP100" s="88"/>
      <c r="AJQ100" s="88"/>
      <c r="AJR100" s="88"/>
      <c r="AJS100" s="88"/>
      <c r="AJT100" s="88"/>
      <c r="AJU100" s="88"/>
      <c r="AJV100" s="88"/>
      <c r="AJW100" s="88"/>
      <c r="AJX100" s="88"/>
      <c r="AJY100" s="88"/>
      <c r="AJZ100" s="88"/>
      <c r="AKA100" s="88"/>
      <c r="AKB100" s="88"/>
      <c r="AKC100" s="88"/>
      <c r="AKD100" s="88"/>
      <c r="AKE100" s="88"/>
      <c r="AKF100" s="88"/>
      <c r="AKG100" s="88"/>
      <c r="AKH100" s="88"/>
      <c r="AKI100" s="88"/>
      <c r="AKJ100" s="88"/>
      <c r="AKK100" s="88"/>
      <c r="AKL100" s="88"/>
      <c r="AKM100" s="88"/>
      <c r="AKN100" s="88"/>
      <c r="AKO100" s="88"/>
      <c r="AKP100" s="88"/>
      <c r="AKQ100" s="88"/>
      <c r="AKR100" s="88"/>
      <c r="AKS100" s="88"/>
      <c r="AKT100" s="88"/>
      <c r="AKU100" s="88"/>
      <c r="AKV100" s="88"/>
      <c r="AKW100" s="88"/>
      <c r="AKX100" s="88"/>
      <c r="AKY100" s="88"/>
      <c r="AKZ100" s="88"/>
      <c r="ALA100" s="88"/>
      <c r="ALB100" s="88"/>
      <c r="ALC100" s="88"/>
      <c r="ALD100" s="88"/>
      <c r="ALE100" s="88"/>
      <c r="ALF100" s="88"/>
      <c r="ALG100" s="88"/>
      <c r="ALH100" s="88"/>
      <c r="ALI100" s="88"/>
      <c r="ALJ100" s="88"/>
      <c r="ALK100" s="88"/>
      <c r="ALL100" s="88"/>
      <c r="ALM100" s="88"/>
      <c r="ALN100" s="88"/>
      <c r="ALO100" s="88"/>
      <c r="ALP100" s="88"/>
      <c r="ALQ100" s="88"/>
      <c r="ALR100" s="88"/>
      <c r="ALS100" s="88"/>
      <c r="ALT100" s="88"/>
      <c r="ALU100" s="88"/>
      <c r="ALV100" s="88"/>
      <c r="ALW100" s="88"/>
      <c r="ALX100" s="88"/>
      <c r="ALY100" s="88"/>
      <c r="ALZ100" s="88"/>
      <c r="AMA100" s="88"/>
      <c r="AMB100" s="88"/>
      <c r="AMC100" s="88"/>
      <c r="AMD100" s="88"/>
      <c r="AME100" s="88"/>
      <c r="AMF100" s="88"/>
      <c r="AMG100" s="88"/>
      <c r="AMH100" s="88"/>
      <c r="AMI100" s="88"/>
      <c r="AMJ100" s="88"/>
      <c r="AMK100" s="88"/>
      <c r="AML100" s="88"/>
      <c r="AMM100" s="88"/>
      <c r="AMN100" s="88"/>
      <c r="AMO100" s="88"/>
      <c r="AMP100" s="88"/>
      <c r="AMQ100" s="88"/>
      <c r="AMR100" s="88"/>
      <c r="AMS100" s="88"/>
      <c r="AMT100" s="88"/>
      <c r="AMU100" s="88"/>
      <c r="AMV100" s="88"/>
      <c r="AMW100" s="88"/>
      <c r="AMX100" s="88"/>
      <c r="AMY100" s="88"/>
      <c r="AMZ100" s="88"/>
      <c r="ANA100" s="88"/>
      <c r="ANB100" s="88"/>
      <c r="ANC100" s="88"/>
      <c r="AND100" s="88"/>
      <c r="ANE100" s="88"/>
      <c r="ANF100" s="88"/>
      <c r="ANG100" s="88"/>
      <c r="ANH100" s="88"/>
      <c r="ANI100" s="88"/>
      <c r="ANJ100" s="88"/>
      <c r="ANK100" s="88"/>
      <c r="ANL100" s="88"/>
      <c r="ANM100" s="88"/>
      <c r="ANN100" s="88"/>
      <c r="ANO100" s="88"/>
      <c r="ANP100" s="88"/>
      <c r="ANQ100" s="88"/>
      <c r="ANR100" s="88"/>
      <c r="ANS100" s="88"/>
      <c r="ANT100" s="88"/>
      <c r="ANU100" s="88"/>
      <c r="ANV100" s="88"/>
      <c r="ANW100" s="88"/>
      <c r="ANX100" s="88"/>
      <c r="ANY100" s="88"/>
      <c r="ANZ100" s="88"/>
      <c r="AOA100" s="88"/>
      <c r="AOB100" s="88"/>
      <c r="AOC100" s="88"/>
      <c r="AOD100" s="88"/>
      <c r="AOE100" s="88"/>
      <c r="AOF100" s="88"/>
      <c r="AOG100" s="88"/>
      <c r="AOH100" s="88"/>
      <c r="AOI100" s="88"/>
      <c r="AOJ100" s="88"/>
      <c r="AOK100" s="88"/>
      <c r="AOL100" s="88"/>
      <c r="AOM100" s="88"/>
      <c r="AON100" s="88"/>
      <c r="AOO100" s="88"/>
      <c r="AOP100" s="88"/>
      <c r="AOQ100" s="88"/>
      <c r="AOR100" s="88"/>
      <c r="AOS100" s="88"/>
      <c r="AOT100" s="88"/>
      <c r="AOU100" s="88"/>
      <c r="AOV100" s="88"/>
      <c r="AOW100" s="88"/>
      <c r="AOX100" s="88"/>
      <c r="AOY100" s="88"/>
      <c r="AOZ100" s="88"/>
      <c r="APA100" s="88"/>
      <c r="APB100" s="88"/>
      <c r="APC100" s="88"/>
      <c r="APD100" s="88"/>
      <c r="APE100" s="88"/>
      <c r="APF100" s="88"/>
      <c r="APG100" s="88"/>
      <c r="APH100" s="88"/>
      <c r="API100" s="88"/>
      <c r="APJ100" s="88"/>
      <c r="APK100" s="88"/>
      <c r="APL100" s="88"/>
      <c r="APM100" s="88"/>
      <c r="APN100" s="88"/>
      <c r="APO100" s="88"/>
      <c r="APP100" s="88"/>
      <c r="APQ100" s="88"/>
      <c r="APR100" s="88"/>
      <c r="APS100" s="88"/>
      <c r="APT100" s="88"/>
      <c r="APU100" s="88"/>
      <c r="APV100" s="88"/>
      <c r="APW100" s="88"/>
      <c r="APX100" s="88"/>
      <c r="APY100" s="88"/>
      <c r="APZ100" s="88"/>
      <c r="AQA100" s="88"/>
      <c r="AQB100" s="88"/>
      <c r="AQC100" s="88"/>
      <c r="AQD100" s="88"/>
      <c r="AQE100" s="88"/>
      <c r="AQF100" s="88"/>
      <c r="AQG100" s="88"/>
      <c r="AQH100" s="88"/>
      <c r="AQI100" s="88"/>
      <c r="AQJ100" s="88"/>
      <c r="AQK100" s="88"/>
      <c r="AQL100" s="88"/>
      <c r="AQM100" s="88"/>
      <c r="AQN100" s="88"/>
      <c r="AQO100" s="88"/>
      <c r="AQP100" s="88"/>
      <c r="AQQ100" s="88"/>
      <c r="AQR100" s="88"/>
      <c r="AQS100" s="88"/>
      <c r="AQT100" s="88"/>
      <c r="AQU100" s="88"/>
      <c r="AQV100" s="88"/>
      <c r="AQW100" s="88"/>
      <c r="AQX100" s="88"/>
      <c r="AQY100" s="88"/>
      <c r="AQZ100" s="88"/>
      <c r="ARA100" s="88"/>
      <c r="ARB100" s="88"/>
      <c r="ARC100" s="88"/>
      <c r="ARD100" s="88"/>
      <c r="ARE100" s="88"/>
      <c r="ARF100" s="88"/>
      <c r="ARG100" s="88"/>
      <c r="ARH100" s="88"/>
      <c r="ARI100" s="88"/>
      <c r="ARJ100" s="88"/>
      <c r="ARK100" s="88"/>
      <c r="ARL100" s="88"/>
      <c r="ARM100" s="88"/>
      <c r="ARN100" s="88"/>
      <c r="ARO100" s="88"/>
      <c r="ARP100" s="88"/>
      <c r="ARQ100" s="88"/>
      <c r="ARR100" s="88"/>
      <c r="ARS100" s="88"/>
      <c r="ART100" s="88"/>
      <c r="ARU100" s="88"/>
      <c r="ARV100" s="88"/>
      <c r="ARW100" s="88"/>
      <c r="ARX100" s="88"/>
      <c r="ARY100" s="88"/>
      <c r="ARZ100" s="88"/>
      <c r="ASA100" s="88"/>
      <c r="ASB100" s="88"/>
      <c r="ASC100" s="88"/>
      <c r="ASD100" s="88"/>
      <c r="ASE100" s="88"/>
      <c r="ASF100" s="88"/>
      <c r="ASG100" s="88"/>
      <c r="ASH100" s="88"/>
      <c r="ASI100" s="88"/>
      <c r="ASJ100" s="88"/>
      <c r="ASK100" s="88"/>
      <c r="ASL100" s="88"/>
      <c r="ASM100" s="88"/>
      <c r="ASN100" s="88"/>
      <c r="ASO100" s="88"/>
      <c r="ASP100" s="88"/>
      <c r="ASQ100" s="88"/>
      <c r="ASR100" s="88"/>
      <c r="ASS100" s="88"/>
      <c r="AST100" s="88"/>
      <c r="ASU100" s="88"/>
      <c r="ASV100" s="88"/>
      <c r="ASW100" s="88"/>
      <c r="ASX100" s="88"/>
      <c r="ASY100" s="88"/>
      <c r="ASZ100" s="88"/>
      <c r="ATA100" s="88"/>
      <c r="ATB100" s="88"/>
      <c r="ATC100" s="88"/>
      <c r="ATD100" s="88"/>
      <c r="ATE100" s="88"/>
      <c r="ATF100" s="88"/>
      <c r="ATG100" s="88"/>
      <c r="ATH100" s="88"/>
      <c r="ATI100" s="88"/>
      <c r="ATJ100" s="88"/>
      <c r="ATK100" s="88"/>
      <c r="ATL100" s="88"/>
      <c r="ATM100" s="88"/>
      <c r="ATN100" s="88"/>
      <c r="ATO100" s="88"/>
      <c r="ATP100" s="88"/>
      <c r="ATQ100" s="88"/>
      <c r="ATR100" s="88"/>
      <c r="ATS100" s="88"/>
      <c r="ATT100" s="88"/>
      <c r="ATU100" s="88"/>
      <c r="ATV100" s="88"/>
      <c r="ATW100" s="88"/>
      <c r="ATX100" s="88"/>
      <c r="ATY100" s="88"/>
      <c r="ATZ100" s="88"/>
      <c r="AUA100" s="88"/>
      <c r="AUB100" s="88"/>
      <c r="AUC100" s="88"/>
      <c r="AUD100" s="88"/>
      <c r="AUE100" s="88"/>
      <c r="AUF100" s="88"/>
      <c r="AUG100" s="88"/>
      <c r="AUH100" s="88"/>
      <c r="AUI100" s="88"/>
      <c r="AUJ100" s="88"/>
      <c r="AUK100" s="88"/>
      <c r="AUL100" s="88"/>
      <c r="AUM100" s="88"/>
      <c r="AUN100" s="88"/>
      <c r="AUO100" s="88"/>
      <c r="AUP100" s="88"/>
      <c r="AUQ100" s="88"/>
      <c r="AUR100" s="88"/>
      <c r="AUS100" s="88"/>
      <c r="AUT100" s="88"/>
      <c r="AUU100" s="88"/>
      <c r="AUV100" s="88"/>
      <c r="AUW100" s="88"/>
      <c r="AUX100" s="88"/>
      <c r="AUY100" s="88"/>
      <c r="AUZ100" s="88"/>
      <c r="AVA100" s="88"/>
      <c r="AVB100" s="88"/>
      <c r="AVC100" s="88"/>
      <c r="AVD100" s="88"/>
      <c r="AVE100" s="88"/>
      <c r="AVF100" s="88"/>
      <c r="AVG100" s="88"/>
      <c r="AVH100" s="88"/>
      <c r="AVI100" s="88"/>
      <c r="AVJ100" s="88"/>
      <c r="AVK100" s="88"/>
      <c r="AVL100" s="88"/>
      <c r="AVM100" s="88"/>
      <c r="AVN100" s="88"/>
      <c r="AVO100" s="88"/>
      <c r="AVP100" s="88"/>
      <c r="AVQ100" s="88"/>
      <c r="AVR100" s="88"/>
      <c r="AVS100" s="88"/>
      <c r="AVT100" s="88"/>
      <c r="AVU100" s="88"/>
      <c r="AVV100" s="88"/>
      <c r="AVW100" s="88"/>
      <c r="AVX100" s="88"/>
      <c r="AVY100" s="88"/>
      <c r="AVZ100" s="88"/>
      <c r="AWA100" s="88"/>
      <c r="AWB100" s="88"/>
      <c r="AWC100" s="88"/>
      <c r="AWD100" s="88"/>
      <c r="AWE100" s="88"/>
      <c r="AWF100" s="88"/>
      <c r="AWG100" s="88"/>
      <c r="AWH100" s="88"/>
      <c r="AWI100" s="88"/>
      <c r="AWJ100" s="88"/>
      <c r="AWK100" s="88"/>
      <c r="AWL100" s="88"/>
      <c r="AWM100" s="88"/>
      <c r="AWN100" s="88"/>
      <c r="AWO100" s="88"/>
      <c r="AWP100" s="88"/>
      <c r="AWQ100" s="88"/>
      <c r="AWR100" s="88"/>
      <c r="AWS100" s="88"/>
      <c r="AWT100" s="88"/>
      <c r="AWU100" s="88"/>
      <c r="AWV100" s="88"/>
      <c r="AWW100" s="88"/>
      <c r="AWX100" s="88"/>
      <c r="AWY100" s="88"/>
      <c r="AWZ100" s="88"/>
      <c r="AXA100" s="88"/>
      <c r="AXB100" s="88"/>
      <c r="AXC100" s="88"/>
      <c r="AXD100" s="88"/>
      <c r="AXE100" s="88"/>
      <c r="AXF100" s="88"/>
      <c r="AXG100" s="88"/>
      <c r="AXH100" s="88"/>
      <c r="AXI100" s="88"/>
      <c r="AXJ100" s="88"/>
      <c r="AXK100" s="88"/>
      <c r="AXL100" s="88"/>
      <c r="AXM100" s="88"/>
      <c r="AXN100" s="88"/>
      <c r="AXO100" s="88"/>
      <c r="AXP100" s="88"/>
      <c r="AXQ100" s="88"/>
      <c r="AXR100" s="88"/>
      <c r="AXS100" s="88"/>
      <c r="AXT100" s="88"/>
      <c r="AXU100" s="88"/>
      <c r="AXV100" s="88"/>
      <c r="AXW100" s="88"/>
      <c r="AXX100" s="88"/>
      <c r="AXY100" s="88"/>
      <c r="AXZ100" s="88"/>
      <c r="AYA100" s="88"/>
      <c r="AYB100" s="88"/>
      <c r="AYC100" s="88"/>
      <c r="AYD100" s="88"/>
      <c r="AYE100" s="88"/>
      <c r="AYF100" s="88"/>
      <c r="AYG100" s="88"/>
      <c r="AYH100" s="88"/>
      <c r="AYI100" s="88"/>
      <c r="AYJ100" s="88"/>
      <c r="AYK100" s="88"/>
      <c r="AYL100" s="88"/>
      <c r="AYM100" s="88"/>
      <c r="AYN100" s="88"/>
      <c r="AYO100" s="88"/>
      <c r="AYP100" s="88"/>
      <c r="AYQ100" s="88"/>
      <c r="AYR100" s="88"/>
      <c r="AYS100" s="88"/>
      <c r="AYT100" s="88"/>
      <c r="AYU100" s="88"/>
      <c r="AYV100" s="88"/>
      <c r="AYW100" s="88"/>
      <c r="AYX100" s="88"/>
      <c r="AYY100" s="88"/>
      <c r="AYZ100" s="88"/>
      <c r="AZA100" s="88"/>
      <c r="AZB100" s="88"/>
      <c r="AZC100" s="88"/>
      <c r="AZD100" s="88"/>
      <c r="AZE100" s="88"/>
      <c r="AZF100" s="88"/>
      <c r="AZG100" s="88"/>
      <c r="AZH100" s="88"/>
      <c r="AZI100" s="88"/>
      <c r="AZJ100" s="88"/>
      <c r="AZK100" s="88"/>
      <c r="AZL100" s="88"/>
      <c r="AZM100" s="88"/>
      <c r="AZN100" s="88"/>
      <c r="AZO100" s="88"/>
      <c r="AZP100" s="88"/>
      <c r="AZQ100" s="88"/>
      <c r="AZR100" s="88"/>
      <c r="AZS100" s="88"/>
      <c r="AZT100" s="88"/>
      <c r="AZU100" s="88"/>
      <c r="AZV100" s="88"/>
      <c r="AZW100" s="88"/>
      <c r="AZX100" s="88"/>
      <c r="AZY100" s="88"/>
      <c r="AZZ100" s="88"/>
      <c r="BAA100" s="88"/>
      <c r="BAB100" s="88"/>
      <c r="BAC100" s="88"/>
      <c r="BAD100" s="88"/>
      <c r="BAE100" s="88"/>
      <c r="BAF100" s="88"/>
      <c r="BAG100" s="88"/>
      <c r="BAH100" s="88"/>
      <c r="BAI100" s="88"/>
      <c r="BAJ100" s="88"/>
      <c r="BAK100" s="88"/>
      <c r="BAL100" s="88"/>
      <c r="BAM100" s="88"/>
      <c r="BAN100" s="88"/>
      <c r="BAO100" s="88"/>
      <c r="BAP100" s="88"/>
      <c r="BAQ100" s="88"/>
      <c r="BAR100" s="88"/>
      <c r="BAS100" s="88"/>
      <c r="BAT100" s="88"/>
      <c r="BAU100" s="88"/>
      <c r="BAV100" s="88"/>
      <c r="BAW100" s="88"/>
      <c r="BAX100" s="88"/>
      <c r="BAY100" s="88"/>
      <c r="BAZ100" s="88"/>
      <c r="BBA100" s="88"/>
      <c r="BBB100" s="88"/>
      <c r="BBC100" s="88"/>
      <c r="BBD100" s="88"/>
      <c r="BBE100" s="88"/>
      <c r="BBF100" s="88"/>
      <c r="BBG100" s="88"/>
      <c r="BBH100" s="88"/>
      <c r="BBI100" s="88"/>
      <c r="BBJ100" s="88"/>
      <c r="BBK100" s="88"/>
      <c r="BBL100" s="88"/>
      <c r="BBM100" s="88"/>
      <c r="BBN100" s="88"/>
      <c r="BBO100" s="88"/>
      <c r="BBP100" s="88"/>
      <c r="BBQ100" s="88"/>
      <c r="BBR100" s="88"/>
      <c r="BBS100" s="88"/>
      <c r="BBT100" s="88"/>
      <c r="BBU100" s="88"/>
      <c r="BBV100" s="88"/>
      <c r="BBW100" s="88"/>
      <c r="BBX100" s="88"/>
      <c r="BBY100" s="88"/>
      <c r="BBZ100" s="88"/>
      <c r="BCA100" s="88"/>
      <c r="BCB100" s="88"/>
      <c r="BCC100" s="88"/>
      <c r="BCD100" s="88"/>
      <c r="BCE100" s="88"/>
      <c r="BCF100" s="88"/>
      <c r="BCG100" s="88"/>
      <c r="BCH100" s="88"/>
      <c r="BCI100" s="88"/>
      <c r="BCJ100" s="88"/>
      <c r="BCK100" s="88"/>
      <c r="BCL100" s="88"/>
      <c r="BCM100" s="88"/>
      <c r="BCN100" s="88"/>
      <c r="BCO100" s="88"/>
      <c r="BCP100" s="88"/>
      <c r="BCQ100" s="88"/>
      <c r="BCR100" s="88"/>
      <c r="BCS100" s="88"/>
      <c r="BCT100" s="88"/>
      <c r="BCU100" s="88"/>
      <c r="BCV100" s="88"/>
      <c r="BCW100" s="88"/>
      <c r="BCX100" s="88"/>
      <c r="BCY100" s="88"/>
      <c r="BCZ100" s="88"/>
      <c r="BDA100" s="88"/>
      <c r="BDB100" s="88"/>
      <c r="BDC100" s="88"/>
      <c r="BDD100" s="88"/>
      <c r="BDE100" s="88"/>
      <c r="BDF100" s="88"/>
      <c r="BDG100" s="88"/>
      <c r="BDH100" s="88"/>
      <c r="BDI100" s="88"/>
      <c r="BDJ100" s="88"/>
      <c r="BDK100" s="88"/>
      <c r="BDL100" s="88"/>
      <c r="BDM100" s="88"/>
      <c r="BDN100" s="88"/>
      <c r="BDO100" s="88"/>
      <c r="BDP100" s="88"/>
      <c r="BDQ100" s="88"/>
      <c r="BDR100" s="88"/>
      <c r="BDS100" s="88"/>
      <c r="BDT100" s="88"/>
      <c r="BDU100" s="88"/>
      <c r="BDV100" s="88"/>
      <c r="BDW100" s="88"/>
      <c r="BDX100" s="88"/>
      <c r="BDY100" s="88"/>
      <c r="BDZ100" s="88"/>
      <c r="BEA100" s="88"/>
      <c r="BEB100" s="88"/>
      <c r="BEC100" s="88"/>
      <c r="BED100" s="88"/>
      <c r="BEE100" s="88"/>
      <c r="BEF100" s="88"/>
      <c r="BEG100" s="88"/>
      <c r="BEH100" s="88"/>
      <c r="BEI100" s="88"/>
      <c r="BEJ100" s="88"/>
      <c r="BEK100" s="88"/>
      <c r="BEL100" s="88"/>
      <c r="BEM100" s="88"/>
      <c r="BEN100" s="88"/>
      <c r="BEO100" s="88"/>
      <c r="BEP100" s="88"/>
      <c r="BEQ100" s="88"/>
      <c r="BER100" s="88"/>
      <c r="BES100" s="88"/>
      <c r="BET100" s="88"/>
      <c r="BEU100" s="88"/>
      <c r="BEV100" s="88"/>
      <c r="BEW100" s="88"/>
      <c r="BEX100" s="88"/>
      <c r="BEY100" s="88"/>
      <c r="BEZ100" s="88"/>
      <c r="BFA100" s="88"/>
      <c r="BFB100" s="88"/>
      <c r="BFC100" s="88"/>
      <c r="BFD100" s="88"/>
      <c r="BFE100" s="88"/>
      <c r="BFF100" s="88"/>
      <c r="BFG100" s="88"/>
      <c r="BFH100" s="88"/>
      <c r="BFI100" s="88"/>
      <c r="BFJ100" s="88"/>
      <c r="BFK100" s="88"/>
      <c r="BFL100" s="88"/>
      <c r="BFM100" s="88"/>
      <c r="BFN100" s="88"/>
      <c r="BFO100" s="88"/>
      <c r="BFP100" s="88"/>
      <c r="BFQ100" s="88"/>
      <c r="BFR100" s="88"/>
      <c r="BFS100" s="88"/>
      <c r="BFT100" s="88"/>
      <c r="BFU100" s="88"/>
      <c r="BFV100" s="88"/>
      <c r="BFW100" s="88"/>
      <c r="BFX100" s="88"/>
      <c r="BFY100" s="88"/>
      <c r="BFZ100" s="88"/>
      <c r="BGA100" s="88"/>
      <c r="BGB100" s="88"/>
      <c r="BGC100" s="88"/>
      <c r="BGD100" s="88"/>
      <c r="BGE100" s="88"/>
      <c r="BGF100" s="88"/>
      <c r="BGG100" s="88"/>
      <c r="BGH100" s="88"/>
      <c r="BGI100" s="88"/>
      <c r="BGJ100" s="88"/>
      <c r="BGK100" s="88"/>
      <c r="BGL100" s="88"/>
      <c r="BGM100" s="88"/>
      <c r="BGN100" s="88"/>
      <c r="BGO100" s="88"/>
      <c r="BGP100" s="88"/>
      <c r="BGQ100" s="88"/>
      <c r="BGR100" s="88"/>
      <c r="BGS100" s="88"/>
      <c r="BGT100" s="88"/>
      <c r="BGU100" s="88"/>
      <c r="BGV100" s="88"/>
      <c r="BGW100" s="88"/>
      <c r="BGX100" s="88"/>
      <c r="BGY100" s="88"/>
      <c r="BGZ100" s="88"/>
      <c r="BHA100" s="88"/>
      <c r="BHB100" s="88"/>
      <c r="BHC100" s="88"/>
      <c r="BHD100" s="88"/>
      <c r="BHE100" s="88"/>
      <c r="BHF100" s="88"/>
      <c r="BHG100" s="88"/>
      <c r="BHH100" s="88"/>
      <c r="BHI100" s="88"/>
      <c r="BHJ100" s="88"/>
      <c r="BHK100" s="88"/>
      <c r="BHL100" s="88"/>
      <c r="BHM100" s="88"/>
      <c r="BHN100" s="88"/>
      <c r="BHO100" s="88"/>
      <c r="BHP100" s="88"/>
      <c r="BHQ100" s="88"/>
      <c r="BHR100" s="88"/>
      <c r="BHS100" s="88"/>
      <c r="BHT100" s="88"/>
      <c r="BHU100" s="88"/>
      <c r="BHV100" s="88"/>
      <c r="BHW100" s="88"/>
      <c r="BHX100" s="88"/>
      <c r="BHY100" s="88"/>
      <c r="BHZ100" s="88"/>
      <c r="BIA100" s="88"/>
      <c r="BIB100" s="88"/>
      <c r="BIC100" s="88"/>
      <c r="BID100" s="88"/>
      <c r="BIE100" s="88"/>
      <c r="BIF100" s="88"/>
      <c r="BIG100" s="88"/>
      <c r="BIH100" s="88"/>
      <c r="BII100" s="88"/>
      <c r="BIJ100" s="88"/>
      <c r="BIK100" s="88"/>
      <c r="BIL100" s="88"/>
      <c r="BIM100" s="88"/>
      <c r="BIN100" s="88"/>
      <c r="BIO100" s="88"/>
      <c r="BIP100" s="88"/>
      <c r="BIQ100" s="88"/>
      <c r="BIR100" s="88"/>
      <c r="BIS100" s="88"/>
      <c r="BIT100" s="88"/>
      <c r="BIU100" s="88"/>
      <c r="BIV100" s="88"/>
      <c r="BIW100" s="88"/>
      <c r="BIX100" s="88"/>
      <c r="BIY100" s="88"/>
      <c r="BIZ100" s="88"/>
      <c r="BJA100" s="88"/>
      <c r="BJB100" s="88"/>
      <c r="BJC100" s="88"/>
      <c r="BJD100" s="88"/>
      <c r="BJE100" s="88"/>
      <c r="BJF100" s="88"/>
      <c r="BJG100" s="88"/>
      <c r="BJH100" s="88"/>
      <c r="BJI100" s="88"/>
      <c r="BJJ100" s="88"/>
      <c r="BJK100" s="88"/>
      <c r="BJL100" s="88"/>
      <c r="BJM100" s="88"/>
      <c r="BJN100" s="88"/>
      <c r="BJO100" s="88"/>
      <c r="BJP100" s="88"/>
      <c r="BJQ100" s="88"/>
      <c r="BJR100" s="88"/>
      <c r="BJS100" s="88"/>
      <c r="BJT100" s="88"/>
      <c r="BJU100" s="88"/>
      <c r="BJV100" s="88"/>
      <c r="BJW100" s="88"/>
      <c r="BJX100" s="88"/>
      <c r="BJY100" s="88"/>
      <c r="BJZ100" s="88"/>
      <c r="BKA100" s="88"/>
      <c r="BKB100" s="88"/>
      <c r="BKC100" s="88"/>
      <c r="BKD100" s="88"/>
      <c r="BKE100" s="88"/>
      <c r="BKF100" s="88"/>
      <c r="BKG100" s="88"/>
      <c r="BKH100" s="88"/>
      <c r="BKI100" s="88"/>
      <c r="BKJ100" s="88"/>
      <c r="BKK100" s="88"/>
      <c r="BKL100" s="88"/>
      <c r="BKM100" s="88"/>
      <c r="BKN100" s="88"/>
      <c r="BKO100" s="88"/>
      <c r="BKP100" s="88"/>
      <c r="BKQ100" s="88"/>
      <c r="BKR100" s="88"/>
      <c r="BKS100" s="88"/>
      <c r="BKT100" s="88"/>
      <c r="BKU100" s="88"/>
      <c r="BKV100" s="88"/>
      <c r="BKW100" s="88"/>
      <c r="BKX100" s="88"/>
      <c r="BKY100" s="88"/>
      <c r="BKZ100" s="88"/>
      <c r="BLA100" s="88"/>
      <c r="BLB100" s="88"/>
      <c r="BLC100" s="88"/>
      <c r="BLD100" s="88"/>
      <c r="BLE100" s="88"/>
      <c r="BLF100" s="88"/>
      <c r="BLG100" s="88"/>
      <c r="BLH100" s="88"/>
      <c r="BLI100" s="88"/>
      <c r="BLJ100" s="88"/>
      <c r="BLK100" s="88"/>
      <c r="BLL100" s="88"/>
      <c r="BLM100" s="88"/>
      <c r="BLN100" s="88"/>
      <c r="BLO100" s="88"/>
      <c r="BLP100" s="88"/>
      <c r="BLQ100" s="88"/>
      <c r="BLR100" s="88"/>
      <c r="BLS100" s="88"/>
      <c r="BLT100" s="88"/>
      <c r="BLU100" s="88"/>
      <c r="BLV100" s="88"/>
      <c r="BLW100" s="88"/>
      <c r="BLX100" s="88"/>
      <c r="BLY100" s="88"/>
      <c r="BLZ100" s="88"/>
      <c r="BMA100" s="88"/>
      <c r="BMB100" s="88"/>
      <c r="BMC100" s="88"/>
      <c r="BMD100" s="88"/>
      <c r="BME100" s="88"/>
      <c r="BMF100" s="88"/>
      <c r="BMG100" s="88"/>
      <c r="BMH100" s="88"/>
      <c r="BMI100" s="88"/>
      <c r="BMJ100" s="88"/>
      <c r="BMK100" s="88"/>
      <c r="BML100" s="88"/>
      <c r="BMM100" s="88"/>
      <c r="BMN100" s="88"/>
      <c r="BMO100" s="88"/>
      <c r="BMP100" s="88"/>
      <c r="BMQ100" s="88"/>
      <c r="BMR100" s="88"/>
      <c r="BMS100" s="88"/>
      <c r="BMT100" s="88"/>
      <c r="BMU100" s="88"/>
      <c r="BMV100" s="88"/>
      <c r="BMW100" s="88"/>
      <c r="BMX100" s="88"/>
      <c r="BMY100" s="88"/>
      <c r="BMZ100" s="88"/>
      <c r="BNA100" s="88"/>
      <c r="BNB100" s="88"/>
      <c r="BNC100" s="88"/>
      <c r="BND100" s="88"/>
      <c r="BNE100" s="88"/>
      <c r="BNF100" s="88"/>
      <c r="BNG100" s="88"/>
      <c r="BNH100" s="88"/>
      <c r="BNI100" s="88"/>
      <c r="BNJ100" s="88"/>
      <c r="BNK100" s="88"/>
      <c r="BNL100" s="88"/>
      <c r="BNM100" s="88"/>
      <c r="BNN100" s="88"/>
      <c r="BNO100" s="88"/>
      <c r="BNP100" s="88"/>
      <c r="BNQ100" s="88"/>
      <c r="BNR100" s="88"/>
      <c r="BNS100" s="88"/>
      <c r="BNT100" s="88"/>
      <c r="BNU100" s="88"/>
      <c r="BNV100" s="88"/>
      <c r="BNW100" s="88"/>
      <c r="BNX100" s="88"/>
      <c r="BNY100" s="88"/>
      <c r="BNZ100" s="88"/>
      <c r="BOA100" s="88"/>
      <c r="BOB100" s="88"/>
      <c r="BOC100" s="88"/>
      <c r="BOD100" s="88"/>
      <c r="BOE100" s="88"/>
      <c r="BOF100" s="88"/>
      <c r="BOG100" s="88"/>
      <c r="BOH100" s="88"/>
      <c r="BOI100" s="88"/>
      <c r="BOJ100" s="88"/>
      <c r="BOK100" s="88"/>
      <c r="BOL100" s="88"/>
      <c r="BOM100" s="88"/>
      <c r="BON100" s="88"/>
      <c r="BOO100" s="88"/>
      <c r="BOP100" s="88"/>
      <c r="BOQ100" s="88"/>
      <c r="BOR100" s="88"/>
      <c r="BOS100" s="88"/>
      <c r="BOT100" s="88"/>
      <c r="BOU100" s="88"/>
      <c r="BOV100" s="88"/>
      <c r="BOW100" s="88"/>
      <c r="BOX100" s="88"/>
      <c r="BOY100" s="88"/>
      <c r="BOZ100" s="88"/>
      <c r="BPA100" s="88"/>
      <c r="BPB100" s="88"/>
      <c r="BPC100" s="88"/>
      <c r="BPD100" s="88"/>
      <c r="BPE100" s="88"/>
      <c r="BPF100" s="88"/>
      <c r="BPG100" s="88"/>
      <c r="BPH100" s="88"/>
      <c r="BPI100" s="88"/>
      <c r="BPJ100" s="88"/>
      <c r="BPK100" s="88"/>
      <c r="BPL100" s="88"/>
      <c r="BPM100" s="88"/>
      <c r="BPN100" s="88"/>
      <c r="BPO100" s="88"/>
      <c r="BPP100" s="88"/>
      <c r="BPQ100" s="88"/>
      <c r="BPR100" s="88"/>
      <c r="BPS100" s="88"/>
      <c r="BPT100" s="88"/>
      <c r="BPU100" s="88"/>
      <c r="BPV100" s="88"/>
      <c r="BPW100" s="88"/>
      <c r="BPX100" s="88"/>
      <c r="BPY100" s="88"/>
      <c r="BPZ100" s="88"/>
      <c r="BQA100" s="88"/>
      <c r="BQB100" s="88"/>
      <c r="BQC100" s="88"/>
      <c r="BQD100" s="88"/>
      <c r="BQE100" s="88"/>
      <c r="BQF100" s="88"/>
      <c r="BQG100" s="88"/>
      <c r="BQH100" s="88"/>
      <c r="BQI100" s="88"/>
      <c r="BQJ100" s="88"/>
      <c r="BQK100" s="88"/>
      <c r="BQL100" s="88"/>
      <c r="BQM100" s="88"/>
      <c r="BQN100" s="88"/>
      <c r="BQO100" s="88"/>
      <c r="BQP100" s="88"/>
      <c r="BQQ100" s="88"/>
      <c r="BQR100" s="88"/>
      <c r="BQS100" s="88"/>
      <c r="BQT100" s="88"/>
      <c r="BQU100" s="88"/>
      <c r="BQV100" s="88"/>
      <c r="BQW100" s="88"/>
      <c r="BQX100" s="88"/>
      <c r="BQY100" s="88"/>
      <c r="BQZ100" s="88"/>
      <c r="BRA100" s="88"/>
      <c r="BRB100" s="88"/>
      <c r="BRC100" s="88"/>
      <c r="BRD100" s="88"/>
      <c r="BRE100" s="88"/>
      <c r="BRF100" s="88"/>
      <c r="BRG100" s="88"/>
      <c r="BRH100" s="88"/>
      <c r="BRI100" s="88"/>
      <c r="BRJ100" s="88"/>
      <c r="BRK100" s="88"/>
      <c r="BRL100" s="88"/>
      <c r="BRM100" s="88"/>
      <c r="BRN100" s="88"/>
      <c r="BRO100" s="88"/>
      <c r="BRP100" s="88"/>
      <c r="BRQ100" s="88"/>
      <c r="BRR100" s="88"/>
      <c r="BRS100" s="88"/>
      <c r="BRT100" s="88"/>
      <c r="BRU100" s="88"/>
      <c r="BRV100" s="88"/>
      <c r="BRW100" s="88"/>
      <c r="BRX100" s="88"/>
      <c r="BRY100" s="88"/>
      <c r="BRZ100" s="88"/>
      <c r="BSA100" s="88"/>
      <c r="BSB100" s="88"/>
      <c r="BSC100" s="88"/>
      <c r="BSD100" s="88"/>
      <c r="BSE100" s="88"/>
      <c r="BSF100" s="88"/>
      <c r="BSG100" s="88"/>
      <c r="BSH100" s="88"/>
      <c r="BSI100" s="88"/>
      <c r="BSJ100" s="88"/>
      <c r="BSK100" s="88"/>
      <c r="BSL100" s="88"/>
      <c r="BSM100" s="88"/>
      <c r="BSN100" s="88"/>
      <c r="BSO100" s="88"/>
      <c r="BSP100" s="88"/>
      <c r="BSQ100" s="88"/>
      <c r="BSR100" s="88"/>
      <c r="BSS100" s="88"/>
      <c r="BST100" s="88"/>
      <c r="BSU100" s="88"/>
      <c r="BSV100" s="88"/>
      <c r="BSW100" s="88"/>
      <c r="BSX100" s="88"/>
      <c r="BSY100" s="88"/>
      <c r="BSZ100" s="88"/>
      <c r="BTA100" s="88"/>
      <c r="BTB100" s="88"/>
      <c r="BTC100" s="88"/>
      <c r="BTD100" s="88"/>
      <c r="BTE100" s="88"/>
      <c r="BTF100" s="88"/>
      <c r="BTG100" s="88"/>
      <c r="BTH100" s="88"/>
      <c r="BTI100" s="88"/>
      <c r="BTJ100" s="88"/>
      <c r="BTK100" s="88"/>
      <c r="BTL100" s="88"/>
      <c r="BTM100" s="88"/>
      <c r="BTN100" s="88"/>
      <c r="BTO100" s="88"/>
      <c r="BTP100" s="88"/>
      <c r="BTQ100" s="88"/>
      <c r="BTR100" s="88"/>
      <c r="BTS100" s="88"/>
      <c r="BTT100" s="88"/>
      <c r="BTU100" s="88"/>
      <c r="BTV100" s="88"/>
      <c r="BTW100" s="88"/>
      <c r="BTX100" s="88"/>
      <c r="BTY100" s="88"/>
      <c r="BTZ100" s="88"/>
      <c r="BUA100" s="88"/>
      <c r="BUB100" s="88"/>
      <c r="BUC100" s="88"/>
      <c r="BUD100" s="88"/>
      <c r="BUE100" s="88"/>
      <c r="BUF100" s="88"/>
      <c r="BUG100" s="88"/>
      <c r="BUH100" s="88"/>
      <c r="BUI100" s="88"/>
      <c r="BUJ100" s="88"/>
      <c r="BUK100" s="88"/>
      <c r="BUL100" s="88"/>
      <c r="BUM100" s="88"/>
      <c r="BUN100" s="88"/>
      <c r="BUO100" s="88"/>
      <c r="BUP100" s="88"/>
      <c r="BUQ100" s="88"/>
      <c r="BUR100" s="88"/>
      <c r="BUS100" s="88"/>
      <c r="BUT100" s="88"/>
      <c r="BUU100" s="88"/>
      <c r="BUV100" s="88"/>
      <c r="BUW100" s="88"/>
      <c r="BUX100" s="88"/>
      <c r="BUY100" s="88"/>
      <c r="BUZ100" s="88"/>
      <c r="BVA100" s="88"/>
      <c r="BVB100" s="88"/>
      <c r="BVC100" s="88"/>
      <c r="BVD100" s="88"/>
      <c r="BVE100" s="88"/>
      <c r="BVF100" s="88"/>
      <c r="BVG100" s="88"/>
      <c r="BVH100" s="88"/>
      <c r="BVI100" s="88"/>
      <c r="BVJ100" s="88"/>
      <c r="BVK100" s="88"/>
      <c r="BVL100" s="88"/>
      <c r="BVM100" s="88"/>
      <c r="BVN100" s="88"/>
      <c r="BVO100" s="88"/>
      <c r="BVP100" s="88"/>
      <c r="BVQ100" s="88"/>
      <c r="BVR100" s="88"/>
      <c r="BVS100" s="88"/>
      <c r="BVT100" s="88"/>
      <c r="BVU100" s="88"/>
      <c r="BVV100" s="88"/>
      <c r="BVW100" s="88"/>
      <c r="BVX100" s="88"/>
      <c r="BVY100" s="88"/>
      <c r="BVZ100" s="88"/>
      <c r="BWA100" s="88"/>
      <c r="BWB100" s="88"/>
      <c r="BWC100" s="88"/>
      <c r="BWD100" s="88"/>
      <c r="BWE100" s="88"/>
      <c r="BWF100" s="88"/>
      <c r="BWG100" s="88"/>
      <c r="BWH100" s="88"/>
      <c r="BWI100" s="88"/>
      <c r="BWJ100" s="88"/>
      <c r="BWK100" s="88"/>
      <c r="BWL100" s="88"/>
      <c r="BWM100" s="88"/>
      <c r="BWN100" s="88"/>
      <c r="BWO100" s="88"/>
      <c r="BWP100" s="88"/>
      <c r="BWQ100" s="88"/>
      <c r="BWR100" s="88"/>
      <c r="BWS100" s="88"/>
      <c r="BWT100" s="88"/>
      <c r="BWU100" s="88"/>
      <c r="BWV100" s="88"/>
      <c r="BWW100" s="88"/>
      <c r="BWX100" s="88"/>
      <c r="BWY100" s="88"/>
      <c r="BWZ100" s="88"/>
      <c r="BXA100" s="88"/>
      <c r="BXB100" s="88"/>
      <c r="BXC100" s="88"/>
      <c r="BXD100" s="88"/>
      <c r="BXE100" s="88"/>
      <c r="BXF100" s="88"/>
      <c r="BXG100" s="88"/>
      <c r="BXH100" s="88"/>
      <c r="BXI100" s="88"/>
      <c r="BXJ100" s="88"/>
      <c r="BXK100" s="88"/>
      <c r="BXL100" s="88"/>
      <c r="BXM100" s="88"/>
      <c r="BXN100" s="88"/>
      <c r="BXO100" s="88"/>
      <c r="BXP100" s="88"/>
      <c r="BXQ100" s="88"/>
      <c r="BXR100" s="88"/>
      <c r="BXS100" s="88"/>
      <c r="BXT100" s="88"/>
      <c r="BXU100" s="88"/>
      <c r="BXV100" s="88"/>
      <c r="BXW100" s="88"/>
      <c r="BXX100" s="88"/>
      <c r="BXY100" s="88"/>
      <c r="BXZ100" s="88"/>
      <c r="BYA100" s="88"/>
      <c r="BYB100" s="88"/>
      <c r="BYC100" s="88"/>
      <c r="BYD100" s="88"/>
      <c r="BYE100" s="88"/>
      <c r="BYF100" s="88"/>
      <c r="BYG100" s="88"/>
      <c r="BYH100" s="88"/>
      <c r="BYI100" s="88"/>
      <c r="BYJ100" s="88"/>
      <c r="BYK100" s="88"/>
      <c r="BYL100" s="88"/>
      <c r="BYM100" s="88"/>
      <c r="BYN100" s="88"/>
      <c r="BYO100" s="88"/>
      <c r="BYP100" s="88"/>
      <c r="BYQ100" s="88"/>
      <c r="BYR100" s="88"/>
      <c r="BYS100" s="88"/>
      <c r="BYT100" s="88"/>
      <c r="BYU100" s="88"/>
      <c r="BYV100" s="88"/>
      <c r="BYW100" s="88"/>
      <c r="BYX100" s="88"/>
      <c r="BYY100" s="88"/>
      <c r="BYZ100" s="88"/>
      <c r="BZA100" s="88"/>
      <c r="BZB100" s="88"/>
      <c r="BZC100" s="88"/>
      <c r="BZD100" s="88"/>
      <c r="BZE100" s="88"/>
      <c r="BZF100" s="88"/>
      <c r="BZG100" s="88"/>
      <c r="BZH100" s="88"/>
      <c r="BZI100" s="88"/>
      <c r="BZJ100" s="88"/>
      <c r="BZK100" s="88"/>
      <c r="BZL100" s="88"/>
      <c r="BZM100" s="88"/>
      <c r="BZN100" s="88"/>
      <c r="BZO100" s="88"/>
      <c r="BZP100" s="88"/>
      <c r="BZQ100" s="88"/>
      <c r="BZR100" s="88"/>
      <c r="BZS100" s="88"/>
      <c r="BZT100" s="88"/>
      <c r="BZU100" s="88"/>
      <c r="BZV100" s="88"/>
      <c r="BZW100" s="88"/>
      <c r="BZX100" s="88"/>
      <c r="BZY100" s="88"/>
      <c r="BZZ100" s="88"/>
      <c r="CAA100" s="88"/>
      <c r="CAB100" s="88"/>
      <c r="CAC100" s="88"/>
      <c r="CAD100" s="88"/>
      <c r="CAE100" s="88"/>
      <c r="CAF100" s="88"/>
      <c r="CAG100" s="88"/>
      <c r="CAH100" s="88"/>
      <c r="CAI100" s="88"/>
      <c r="CAJ100" s="88"/>
      <c r="CAK100" s="88"/>
      <c r="CAL100" s="88"/>
      <c r="CAM100" s="88"/>
      <c r="CAN100" s="88"/>
      <c r="CAO100" s="88"/>
      <c r="CAP100" s="88"/>
      <c r="CAQ100" s="88"/>
      <c r="CAR100" s="88"/>
      <c r="CAS100" s="88"/>
      <c r="CAT100" s="88"/>
      <c r="CAU100" s="88"/>
      <c r="CAV100" s="88"/>
      <c r="CAW100" s="88"/>
      <c r="CAX100" s="88"/>
      <c r="CAY100" s="88"/>
      <c r="CAZ100" s="88"/>
      <c r="CBA100" s="88"/>
      <c r="CBB100" s="88"/>
      <c r="CBC100" s="88"/>
      <c r="CBD100" s="88"/>
      <c r="CBE100" s="88"/>
      <c r="CBF100" s="88"/>
      <c r="CBG100" s="88"/>
      <c r="CBH100" s="88"/>
      <c r="CBI100" s="88"/>
      <c r="CBJ100" s="88"/>
      <c r="CBK100" s="88"/>
      <c r="CBL100" s="88"/>
      <c r="CBM100" s="88"/>
      <c r="CBN100" s="88"/>
      <c r="CBO100" s="88"/>
      <c r="CBP100" s="88"/>
      <c r="CBQ100" s="88"/>
      <c r="CBR100" s="88"/>
      <c r="CBS100" s="88"/>
      <c r="CBT100" s="88"/>
      <c r="CBU100" s="88"/>
      <c r="CBV100" s="88"/>
      <c r="CBW100" s="88"/>
      <c r="CBX100" s="88"/>
      <c r="CBY100" s="88"/>
      <c r="CBZ100" s="88"/>
      <c r="CCA100" s="88"/>
      <c r="CCB100" s="88"/>
      <c r="CCC100" s="88"/>
      <c r="CCD100" s="88"/>
      <c r="CCE100" s="88"/>
      <c r="CCF100" s="88"/>
      <c r="CCG100" s="88"/>
      <c r="CCH100" s="88"/>
      <c r="CCI100" s="88"/>
      <c r="CCJ100" s="88"/>
      <c r="CCK100" s="88"/>
      <c r="CCL100" s="88"/>
      <c r="CCM100" s="88"/>
      <c r="CCN100" s="88"/>
      <c r="CCO100" s="88"/>
      <c r="CCP100" s="88"/>
      <c r="CCQ100" s="88"/>
      <c r="CCR100" s="88"/>
      <c r="CCS100" s="88"/>
      <c r="CCT100" s="88"/>
      <c r="CCU100" s="88"/>
      <c r="CCV100" s="88"/>
      <c r="CCW100" s="88"/>
      <c r="CCX100" s="88"/>
      <c r="CCY100" s="88"/>
      <c r="CCZ100" s="88"/>
      <c r="CDA100" s="88"/>
      <c r="CDB100" s="88"/>
      <c r="CDC100" s="88"/>
      <c r="CDD100" s="88"/>
      <c r="CDE100" s="88"/>
      <c r="CDF100" s="88"/>
      <c r="CDG100" s="88"/>
      <c r="CDH100" s="88"/>
      <c r="CDI100" s="88"/>
      <c r="CDJ100" s="88"/>
      <c r="CDK100" s="88"/>
      <c r="CDL100" s="88"/>
      <c r="CDM100" s="88"/>
      <c r="CDN100" s="88"/>
      <c r="CDO100" s="88"/>
      <c r="CDP100" s="88"/>
      <c r="CDQ100" s="88"/>
      <c r="CDR100" s="88"/>
      <c r="CDS100" s="88"/>
      <c r="CDT100" s="88"/>
      <c r="CDU100" s="88"/>
      <c r="CDV100" s="88"/>
      <c r="CDW100" s="88"/>
      <c r="CDX100" s="88"/>
      <c r="CDY100" s="88"/>
      <c r="CDZ100" s="88"/>
      <c r="CEA100" s="88"/>
      <c r="CEB100" s="88"/>
      <c r="CEC100" s="88"/>
      <c r="CED100" s="88"/>
      <c r="CEE100" s="88"/>
      <c r="CEF100" s="88"/>
      <c r="CEG100" s="88"/>
      <c r="CEH100" s="88"/>
      <c r="CEI100" s="88"/>
      <c r="CEJ100" s="88"/>
      <c r="CEK100" s="88"/>
    </row>
    <row r="101" spans="1:2169" s="63" customFormat="1">
      <c r="A101" s="73" t="s">
        <v>794</v>
      </c>
      <c r="B101" s="71" t="s">
        <v>516</v>
      </c>
      <c r="C101" s="68" t="str">
        <f>IF('page 2'!$O$4="","",IF('page 2'!$O$4=Gestion!A101,1,0))</f>
        <v/>
      </c>
      <c r="D101" s="68" t="str">
        <f>IF('page 2'!$O$5="","",IF('page 2'!$O$5=Gestion!A101,1,0))</f>
        <v/>
      </c>
      <c r="E101" s="68" t="str">
        <f>IF('page 2'!$O$6="","",IF('page 2'!$O$6=Gestion!A101,1,0))</f>
        <v/>
      </c>
      <c r="F101" s="68" t="str">
        <f>IF('page 2'!$O$7="","",IF('page 2'!$O$7=Gestion!A101,1,0))</f>
        <v/>
      </c>
      <c r="G101" s="68" t="str">
        <f>IF('page 2'!$O$8="","",IF('page 2'!$O$8=Gestion!A101,1,0))</f>
        <v/>
      </c>
      <c r="H101" s="68" t="str">
        <f>IF('page 2'!$O$9="","",IF('page 2'!$O$9=Gestion!A101,1,0))</f>
        <v/>
      </c>
      <c r="I101" s="68" t="str">
        <f>IF('page 2'!$O$10="","",IF('page 2'!$O$10=Gestion!A101,1,0))</f>
        <v/>
      </c>
      <c r="J101" s="68" t="str">
        <f>IF('page 2'!$O$11="","",IF('page 2'!$O$11=Gestion!A101,1,0))</f>
        <v/>
      </c>
      <c r="K101" s="68" t="str">
        <f>IF('page 2'!$O$12="","",IF('page 2'!$O$12=Gestion!A101,1,0))</f>
        <v/>
      </c>
      <c r="L101" s="68" t="str">
        <f>IF('page 2'!$O$13="","",IF('page 2'!$O$13=Gestion!A101,1,0))</f>
        <v/>
      </c>
      <c r="M101" s="68" t="str">
        <f>IF('page 2'!$O$14="","",IF('page 2'!$O$14=Gestion!A101,1,0))</f>
        <v/>
      </c>
      <c r="N101" s="68" t="str">
        <f>IF('page 2'!$O$15="","",IF('page 2'!$O$15=Gestion!A101,1,0))</f>
        <v/>
      </c>
      <c r="O101" s="68" t="str">
        <f>IF('page 2'!$O$16="","",IF('page 2'!$O$16=Gestion!A101,1,0))</f>
        <v/>
      </c>
      <c r="P101" s="68" t="str">
        <f>IF('page 2'!$O$17="","",IF('page 2'!$O$17=Gestion!A101,1,0))</f>
        <v/>
      </c>
      <c r="Q101" s="68" t="str">
        <f>IF('page 2'!$O$18="","",IF('page 2'!$O$18=Gestion!A101,1,0))</f>
        <v/>
      </c>
      <c r="R101" s="68" t="str">
        <f>IF('page 2'!$O$19="","",IF('page 2'!$O$19=Gestion!A101,1,0))</f>
        <v/>
      </c>
      <c r="S101" s="68" t="str">
        <f>IF('page 2'!$O$20="","",IF('page 2'!$O$20=Gestion!A101,1,0))</f>
        <v/>
      </c>
      <c r="T101" s="68" t="str">
        <f>IF('page 2'!$O$25="","",IF('page 2'!$O$25=Gestion!A101,1,0))</f>
        <v/>
      </c>
      <c r="U101" s="68" t="str">
        <f>IF('page 2'!$O$26="","",IF('page 2'!$O$26=Gestion!A101,1,0))</f>
        <v/>
      </c>
      <c r="V101" s="68" t="str">
        <f>IF('page 2'!$O$27="","",IF('page 2'!$O$27=Gestion!A101,1,0))</f>
        <v/>
      </c>
      <c r="W101" s="722">
        <f t="shared" si="14"/>
        <v>0</v>
      </c>
      <c r="X101" s="714"/>
      <c r="Y101" s="68"/>
      <c r="Z101" s="68"/>
      <c r="AA101" s="68"/>
      <c r="AB101" s="68"/>
      <c r="AC101" s="68"/>
      <c r="AD101" s="68"/>
      <c r="AP101" s="130"/>
      <c r="AQ101" s="130"/>
      <c r="AR101" s="130"/>
      <c r="AS101" s="576"/>
      <c r="AT101" s="576"/>
      <c r="AU101" s="576"/>
      <c r="AV101" s="576"/>
      <c r="AW101" s="602"/>
      <c r="AX101" s="602"/>
      <c r="AY101" s="576"/>
      <c r="AZ101" s="576"/>
      <c r="BA101" s="576"/>
      <c r="BB101" s="576"/>
      <c r="BC101" s="576"/>
      <c r="BD101" s="602"/>
      <c r="BE101" s="602"/>
      <c r="BF101" s="602"/>
      <c r="BG101" s="602"/>
      <c r="BH101" s="602"/>
      <c r="BI101" s="602"/>
      <c r="BJ101" s="602"/>
      <c r="BK101" s="602"/>
      <c r="BL101" s="602"/>
      <c r="BM101" s="602"/>
      <c r="BN101" s="602"/>
      <c r="BO101" s="602"/>
      <c r="BP101" s="602"/>
      <c r="BQ101" s="602"/>
      <c r="BR101" s="602"/>
      <c r="BS101" s="576"/>
      <c r="BT101" s="576"/>
      <c r="BU101" s="576"/>
      <c r="BV101" s="576"/>
      <c r="BW101" s="602"/>
      <c r="BX101" s="602"/>
      <c r="BY101" s="602"/>
      <c r="BZ101" s="576"/>
      <c r="CA101" s="602"/>
      <c r="CB101" s="602"/>
      <c r="CC101" s="576"/>
      <c r="CD101" s="576"/>
      <c r="CE101" s="602"/>
      <c r="CF101" s="576"/>
      <c r="CG101" s="576"/>
      <c r="CH101" s="576"/>
      <c r="CI101" s="576"/>
      <c r="CJ101" s="576"/>
      <c r="CK101" s="602"/>
      <c r="CL101" s="602"/>
      <c r="CM101" s="576"/>
      <c r="CN101" s="602"/>
      <c r="CO101" s="602"/>
      <c r="CP101" s="602"/>
      <c r="CQ101" s="576"/>
      <c r="CR101" s="576"/>
      <c r="CS101" s="602"/>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c r="IW101" s="88"/>
      <c r="IX101" s="88"/>
      <c r="IY101" s="88"/>
      <c r="IZ101" s="88"/>
      <c r="JA101" s="88"/>
      <c r="JB101" s="88"/>
      <c r="JC101" s="88"/>
      <c r="JD101" s="88"/>
      <c r="JE101" s="88"/>
      <c r="JF101" s="88"/>
      <c r="JG101" s="88"/>
      <c r="JH101" s="88"/>
      <c r="JI101" s="88"/>
      <c r="JJ101" s="88"/>
      <c r="JK101" s="88"/>
      <c r="JL101" s="88"/>
      <c r="JM101" s="88"/>
      <c r="JN101" s="88"/>
      <c r="JO101" s="88"/>
      <c r="JP101" s="88"/>
      <c r="JQ101" s="88"/>
      <c r="JR101" s="88"/>
      <c r="JS101" s="88"/>
      <c r="JT101" s="88"/>
      <c r="JU101" s="88"/>
      <c r="JV101" s="88"/>
      <c r="JW101" s="88"/>
      <c r="JX101" s="88"/>
      <c r="JY101" s="88"/>
      <c r="JZ101" s="88"/>
      <c r="KA101" s="88"/>
      <c r="KB101" s="88"/>
      <c r="KC101" s="88"/>
      <c r="KD101" s="88"/>
      <c r="KE101" s="88"/>
      <c r="KF101" s="88"/>
      <c r="KG101" s="88"/>
      <c r="KH101" s="88"/>
      <c r="KI101" s="88"/>
      <c r="KJ101" s="88"/>
      <c r="KK101" s="88"/>
      <c r="KL101" s="88"/>
      <c r="KM101" s="88"/>
      <c r="KN101" s="88"/>
      <c r="KO101" s="88"/>
      <c r="KP101" s="88"/>
      <c r="KQ101" s="88"/>
      <c r="KR101" s="88"/>
      <c r="KS101" s="88"/>
      <c r="KT101" s="88"/>
      <c r="KU101" s="88"/>
      <c r="KV101" s="88"/>
      <c r="KW101" s="88"/>
      <c r="KX101" s="88"/>
      <c r="KY101" s="88"/>
      <c r="KZ101" s="88"/>
      <c r="LA101" s="88"/>
      <c r="LB101" s="88"/>
      <c r="LC101" s="88"/>
      <c r="LD101" s="88"/>
      <c r="LE101" s="88"/>
      <c r="LF101" s="88"/>
      <c r="LG101" s="88"/>
      <c r="LH101" s="88"/>
      <c r="LI101" s="88"/>
      <c r="LJ101" s="88"/>
      <c r="LK101" s="88"/>
      <c r="LL101" s="88"/>
      <c r="LM101" s="88"/>
      <c r="LN101" s="88"/>
      <c r="LO101" s="88"/>
      <c r="LP101" s="88"/>
      <c r="LQ101" s="88"/>
      <c r="LR101" s="88"/>
      <c r="LS101" s="88"/>
      <c r="LT101" s="88"/>
      <c r="LU101" s="88"/>
      <c r="LV101" s="88"/>
      <c r="LW101" s="88"/>
      <c r="LX101" s="88"/>
      <c r="LY101" s="88"/>
      <c r="LZ101" s="88"/>
      <c r="MA101" s="88"/>
      <c r="MB101" s="88"/>
      <c r="MC101" s="88"/>
      <c r="MD101" s="88"/>
      <c r="ME101" s="88"/>
      <c r="MF101" s="88"/>
      <c r="MG101" s="88"/>
      <c r="MH101" s="88"/>
      <c r="MI101" s="88"/>
      <c r="MJ101" s="88"/>
      <c r="MK101" s="88"/>
      <c r="ML101" s="88"/>
      <c r="MM101" s="88"/>
      <c r="MN101" s="88"/>
      <c r="MO101" s="88"/>
      <c r="MP101" s="88"/>
      <c r="MQ101" s="88"/>
      <c r="MR101" s="88"/>
      <c r="MS101" s="88"/>
      <c r="MT101" s="88"/>
      <c r="MU101" s="88"/>
      <c r="MV101" s="88"/>
      <c r="MW101" s="88"/>
      <c r="MX101" s="88"/>
      <c r="MY101" s="88"/>
      <c r="MZ101" s="88"/>
      <c r="NA101" s="88"/>
      <c r="NB101" s="88"/>
      <c r="NC101" s="88"/>
      <c r="ND101" s="88"/>
      <c r="NE101" s="88"/>
      <c r="NF101" s="88"/>
      <c r="NG101" s="88"/>
      <c r="NH101" s="88"/>
      <c r="NI101" s="88"/>
      <c r="NJ101" s="88"/>
      <c r="NK101" s="88"/>
      <c r="NL101" s="88"/>
      <c r="NM101" s="88"/>
      <c r="NN101" s="88"/>
      <c r="NO101" s="88"/>
      <c r="NP101" s="88"/>
      <c r="NQ101" s="88"/>
      <c r="NR101" s="88"/>
      <c r="NS101" s="88"/>
      <c r="NT101" s="88"/>
      <c r="NU101" s="88"/>
      <c r="NV101" s="88"/>
      <c r="NW101" s="88"/>
      <c r="NX101" s="88"/>
      <c r="NY101" s="88"/>
      <c r="NZ101" s="88"/>
      <c r="OA101" s="88"/>
      <c r="OB101" s="88"/>
      <c r="OC101" s="88"/>
      <c r="OD101" s="88"/>
      <c r="OE101" s="88"/>
      <c r="OF101" s="88"/>
      <c r="OG101" s="88"/>
      <c r="OH101" s="88"/>
      <c r="OI101" s="88"/>
      <c r="OJ101" s="88"/>
      <c r="OK101" s="88"/>
      <c r="OL101" s="88"/>
      <c r="OM101" s="88"/>
      <c r="ON101" s="88"/>
      <c r="OO101" s="88"/>
      <c r="OP101" s="88"/>
      <c r="OQ101" s="88"/>
      <c r="OR101" s="88"/>
      <c r="OS101" s="88"/>
      <c r="OT101" s="88"/>
      <c r="OU101" s="88"/>
      <c r="OV101" s="88"/>
      <c r="OW101" s="88"/>
      <c r="OX101" s="88"/>
      <c r="OY101" s="88"/>
      <c r="OZ101" s="88"/>
      <c r="PA101" s="88"/>
      <c r="PB101" s="88"/>
      <c r="PC101" s="88"/>
      <c r="PD101" s="88"/>
      <c r="PE101" s="88"/>
      <c r="PF101" s="88"/>
      <c r="PG101" s="88"/>
      <c r="PH101" s="88"/>
      <c r="PI101" s="88"/>
      <c r="PJ101" s="88"/>
      <c r="PK101" s="88"/>
      <c r="PL101" s="88"/>
      <c r="PM101" s="88"/>
      <c r="PN101" s="88"/>
      <c r="PO101" s="88"/>
      <c r="PP101" s="88"/>
      <c r="PQ101" s="88"/>
      <c r="PR101" s="88"/>
      <c r="PS101" s="88"/>
      <c r="PT101" s="88"/>
      <c r="PU101" s="88"/>
      <c r="PV101" s="88"/>
      <c r="PW101" s="88"/>
      <c r="PX101" s="88"/>
      <c r="PY101" s="88"/>
      <c r="PZ101" s="88"/>
      <c r="QA101" s="88"/>
      <c r="QB101" s="88"/>
      <c r="QC101" s="88"/>
      <c r="QD101" s="88"/>
      <c r="QE101" s="88"/>
      <c r="QF101" s="88"/>
      <c r="QG101" s="88"/>
      <c r="QH101" s="88"/>
      <c r="QI101" s="88"/>
      <c r="QJ101" s="88"/>
      <c r="QK101" s="88"/>
      <c r="QL101" s="88"/>
      <c r="QM101" s="88"/>
      <c r="QN101" s="88"/>
      <c r="QO101" s="88"/>
      <c r="QP101" s="88"/>
      <c r="QQ101" s="88"/>
      <c r="QR101" s="88"/>
      <c r="QS101" s="88"/>
      <c r="QT101" s="88"/>
      <c r="QU101" s="88"/>
      <c r="QV101" s="88"/>
      <c r="QW101" s="88"/>
      <c r="QX101" s="88"/>
      <c r="QY101" s="88"/>
      <c r="QZ101" s="88"/>
      <c r="RA101" s="88"/>
      <c r="RB101" s="88"/>
      <c r="RC101" s="88"/>
      <c r="RD101" s="88"/>
      <c r="RE101" s="88"/>
      <c r="RF101" s="88"/>
      <c r="RG101" s="88"/>
      <c r="RH101" s="88"/>
      <c r="RI101" s="88"/>
      <c r="RJ101" s="88"/>
      <c r="RK101" s="88"/>
      <c r="RL101" s="88"/>
      <c r="RM101" s="88"/>
      <c r="RN101" s="88"/>
      <c r="RO101" s="88"/>
      <c r="RP101" s="88"/>
      <c r="RQ101" s="88"/>
      <c r="RR101" s="88"/>
      <c r="RS101" s="88"/>
      <c r="RT101" s="88"/>
      <c r="RU101" s="88"/>
      <c r="RV101" s="88"/>
      <c r="RW101" s="88"/>
      <c r="RX101" s="88"/>
      <c r="RY101" s="88"/>
      <c r="RZ101" s="88"/>
      <c r="SA101" s="88"/>
      <c r="SB101" s="88"/>
      <c r="SC101" s="88"/>
      <c r="SD101" s="88"/>
      <c r="SE101" s="88"/>
      <c r="SF101" s="88"/>
      <c r="SG101" s="88"/>
      <c r="SH101" s="88"/>
      <c r="SI101" s="88"/>
      <c r="SJ101" s="88"/>
      <c r="SK101" s="88"/>
      <c r="SL101" s="88"/>
      <c r="SM101" s="88"/>
      <c r="SN101" s="88"/>
      <c r="SO101" s="88"/>
      <c r="SP101" s="88"/>
      <c r="SQ101" s="88"/>
      <c r="SR101" s="88"/>
      <c r="SS101" s="88"/>
      <c r="ST101" s="88"/>
      <c r="SU101" s="88"/>
      <c r="SV101" s="88"/>
      <c r="SW101" s="88"/>
      <c r="SX101" s="88"/>
      <c r="SY101" s="88"/>
      <c r="SZ101" s="88"/>
      <c r="TA101" s="88"/>
      <c r="TB101" s="88"/>
      <c r="TC101" s="88"/>
      <c r="TD101" s="88"/>
      <c r="TE101" s="88"/>
      <c r="TF101" s="88"/>
      <c r="TG101" s="88"/>
      <c r="TH101" s="88"/>
      <c r="TI101" s="88"/>
      <c r="TJ101" s="88"/>
      <c r="TK101" s="88"/>
      <c r="TL101" s="88"/>
      <c r="TM101" s="88"/>
      <c r="TN101" s="88"/>
      <c r="TO101" s="88"/>
      <c r="TP101" s="88"/>
      <c r="TQ101" s="88"/>
      <c r="TR101" s="88"/>
      <c r="TS101" s="88"/>
      <c r="TT101" s="88"/>
      <c r="TU101" s="88"/>
      <c r="TV101" s="88"/>
      <c r="TW101" s="88"/>
      <c r="TX101" s="88"/>
      <c r="TY101" s="88"/>
      <c r="TZ101" s="88"/>
      <c r="UA101" s="88"/>
      <c r="UB101" s="88"/>
      <c r="UC101" s="88"/>
      <c r="UD101" s="88"/>
      <c r="UE101" s="88"/>
      <c r="UF101" s="88"/>
      <c r="UG101" s="88"/>
      <c r="UH101" s="88"/>
      <c r="UI101" s="88"/>
      <c r="UJ101" s="88"/>
      <c r="UK101" s="88"/>
      <c r="UL101" s="88"/>
      <c r="UM101" s="88"/>
      <c r="UN101" s="88"/>
      <c r="UO101" s="88"/>
      <c r="UP101" s="88"/>
      <c r="UQ101" s="88"/>
      <c r="UR101" s="88"/>
      <c r="US101" s="88"/>
      <c r="UT101" s="88"/>
      <c r="UU101" s="88"/>
      <c r="UV101" s="88"/>
      <c r="UW101" s="88"/>
      <c r="UX101" s="88"/>
      <c r="UY101" s="88"/>
      <c r="UZ101" s="88"/>
      <c r="VA101" s="88"/>
      <c r="VB101" s="88"/>
      <c r="VC101" s="88"/>
      <c r="VD101" s="88"/>
      <c r="VE101" s="88"/>
      <c r="VF101" s="88"/>
      <c r="VG101" s="88"/>
      <c r="VH101" s="88"/>
      <c r="VI101" s="88"/>
      <c r="VJ101" s="88"/>
      <c r="VK101" s="88"/>
      <c r="VL101" s="88"/>
      <c r="VM101" s="88"/>
      <c r="VN101" s="88"/>
      <c r="VO101" s="88"/>
      <c r="VP101" s="88"/>
      <c r="VQ101" s="88"/>
      <c r="VR101" s="88"/>
      <c r="VS101" s="88"/>
      <c r="VT101" s="88"/>
      <c r="VU101" s="88"/>
      <c r="VV101" s="88"/>
      <c r="VW101" s="88"/>
      <c r="VX101" s="88"/>
      <c r="VY101" s="88"/>
      <c r="VZ101" s="88"/>
      <c r="WA101" s="88"/>
      <c r="WB101" s="88"/>
      <c r="WC101" s="88"/>
      <c r="WD101" s="88"/>
      <c r="WE101" s="88"/>
      <c r="WF101" s="88"/>
      <c r="WG101" s="88"/>
      <c r="WH101" s="88"/>
      <c r="WI101" s="88"/>
      <c r="WJ101" s="88"/>
      <c r="WK101" s="88"/>
      <c r="WL101" s="88"/>
      <c r="WM101" s="88"/>
      <c r="WN101" s="88"/>
      <c r="WO101" s="88"/>
      <c r="WP101" s="88"/>
      <c r="WQ101" s="88"/>
      <c r="WR101" s="88"/>
      <c r="WS101" s="88"/>
      <c r="WT101" s="88"/>
      <c r="WU101" s="88"/>
      <c r="WV101" s="88"/>
      <c r="WW101" s="88"/>
      <c r="WX101" s="88"/>
      <c r="WY101" s="88"/>
      <c r="WZ101" s="88"/>
      <c r="XA101" s="88"/>
      <c r="XB101" s="88"/>
      <c r="XC101" s="88"/>
      <c r="XD101" s="88"/>
      <c r="XE101" s="88"/>
      <c r="XF101" s="88"/>
      <c r="XG101" s="88"/>
      <c r="XH101" s="88"/>
      <c r="XI101" s="88"/>
      <c r="XJ101" s="88"/>
      <c r="XK101" s="88"/>
      <c r="XL101" s="88"/>
      <c r="XM101" s="88"/>
      <c r="XN101" s="88"/>
      <c r="XO101" s="88"/>
      <c r="XP101" s="88"/>
      <c r="XQ101" s="88"/>
      <c r="XR101" s="88"/>
      <c r="XS101" s="88"/>
      <c r="XT101" s="88"/>
      <c r="XU101" s="88"/>
      <c r="XV101" s="88"/>
      <c r="XW101" s="88"/>
      <c r="XX101" s="88"/>
      <c r="XY101" s="88"/>
      <c r="XZ101" s="88"/>
      <c r="YA101" s="88"/>
      <c r="YB101" s="88"/>
      <c r="YC101" s="88"/>
      <c r="YD101" s="88"/>
      <c r="YE101" s="88"/>
      <c r="YF101" s="88"/>
      <c r="YG101" s="88"/>
      <c r="YH101" s="88"/>
      <c r="YI101" s="88"/>
      <c r="YJ101" s="88"/>
      <c r="YK101" s="88"/>
      <c r="YL101" s="88"/>
      <c r="YM101" s="88"/>
      <c r="YN101" s="88"/>
      <c r="YO101" s="88"/>
      <c r="YP101" s="88"/>
      <c r="YQ101" s="88"/>
      <c r="YR101" s="88"/>
      <c r="YS101" s="88"/>
      <c r="YT101" s="88"/>
      <c r="YU101" s="88"/>
      <c r="YV101" s="88"/>
      <c r="YW101" s="88"/>
      <c r="YX101" s="88"/>
      <c r="YY101" s="88"/>
      <c r="YZ101" s="88"/>
      <c r="ZA101" s="88"/>
      <c r="ZB101" s="88"/>
      <c r="ZC101" s="88"/>
      <c r="ZD101" s="88"/>
      <c r="ZE101" s="88"/>
      <c r="ZF101" s="88"/>
      <c r="ZG101" s="88"/>
      <c r="ZH101" s="88"/>
      <c r="ZI101" s="88"/>
      <c r="ZJ101" s="88"/>
      <c r="ZK101" s="88"/>
      <c r="ZL101" s="88"/>
      <c r="ZM101" s="88"/>
      <c r="ZN101" s="88"/>
      <c r="ZO101" s="88"/>
      <c r="ZP101" s="88"/>
      <c r="ZQ101" s="88"/>
      <c r="ZR101" s="88"/>
      <c r="ZS101" s="88"/>
      <c r="ZT101" s="88"/>
      <c r="ZU101" s="88"/>
      <c r="ZV101" s="88"/>
      <c r="ZW101" s="88"/>
      <c r="ZX101" s="88"/>
      <c r="ZY101" s="88"/>
      <c r="ZZ101" s="88"/>
      <c r="AAA101" s="88"/>
      <c r="AAB101" s="88"/>
      <c r="AAC101" s="88"/>
      <c r="AAD101" s="88"/>
      <c r="AAE101" s="88"/>
      <c r="AAF101" s="88"/>
      <c r="AAG101" s="88"/>
      <c r="AAH101" s="88"/>
      <c r="AAI101" s="88"/>
      <c r="AAJ101" s="88"/>
      <c r="AAK101" s="88"/>
      <c r="AAL101" s="88"/>
      <c r="AAM101" s="88"/>
      <c r="AAN101" s="88"/>
      <c r="AAO101" s="88"/>
      <c r="AAP101" s="88"/>
      <c r="AAQ101" s="88"/>
      <c r="AAR101" s="88"/>
      <c r="AAS101" s="88"/>
      <c r="AAT101" s="88"/>
      <c r="AAU101" s="88"/>
      <c r="AAV101" s="88"/>
      <c r="AAW101" s="88"/>
      <c r="AAX101" s="88"/>
      <c r="AAY101" s="88"/>
      <c r="AAZ101" s="88"/>
      <c r="ABA101" s="88"/>
      <c r="ABB101" s="88"/>
      <c r="ABC101" s="88"/>
      <c r="ABD101" s="88"/>
      <c r="ABE101" s="88"/>
      <c r="ABF101" s="88"/>
      <c r="ABG101" s="88"/>
      <c r="ABH101" s="88"/>
      <c r="ABI101" s="88"/>
      <c r="ABJ101" s="88"/>
      <c r="ABK101" s="88"/>
      <c r="ABL101" s="88"/>
      <c r="ABM101" s="88"/>
      <c r="ABN101" s="88"/>
      <c r="ABO101" s="88"/>
      <c r="ABP101" s="88"/>
      <c r="ABQ101" s="88"/>
      <c r="ABR101" s="88"/>
      <c r="ABS101" s="88"/>
      <c r="ABT101" s="88"/>
      <c r="ABU101" s="88"/>
      <c r="ABV101" s="88"/>
      <c r="ABW101" s="88"/>
      <c r="ABX101" s="88"/>
      <c r="ABY101" s="88"/>
      <c r="ABZ101" s="88"/>
      <c r="ACA101" s="88"/>
      <c r="ACB101" s="88"/>
      <c r="ACC101" s="88"/>
      <c r="ACD101" s="88"/>
      <c r="ACE101" s="88"/>
      <c r="ACF101" s="88"/>
      <c r="ACG101" s="88"/>
      <c r="ACH101" s="88"/>
      <c r="ACI101" s="88"/>
      <c r="ACJ101" s="88"/>
      <c r="ACK101" s="88"/>
      <c r="ACL101" s="88"/>
      <c r="ACM101" s="88"/>
      <c r="ACN101" s="88"/>
      <c r="ACO101" s="88"/>
      <c r="ACP101" s="88"/>
      <c r="ACQ101" s="88"/>
      <c r="ACR101" s="88"/>
      <c r="ACS101" s="88"/>
      <c r="ACT101" s="88"/>
      <c r="ACU101" s="88"/>
      <c r="ACV101" s="88"/>
      <c r="ACW101" s="88"/>
      <c r="ACX101" s="88"/>
      <c r="ACY101" s="88"/>
      <c r="ACZ101" s="88"/>
      <c r="ADA101" s="88"/>
      <c r="ADB101" s="88"/>
      <c r="ADC101" s="88"/>
      <c r="ADD101" s="88"/>
      <c r="ADE101" s="88"/>
      <c r="ADF101" s="88"/>
      <c r="ADG101" s="88"/>
      <c r="ADH101" s="88"/>
      <c r="ADI101" s="88"/>
      <c r="ADJ101" s="88"/>
      <c r="ADK101" s="88"/>
      <c r="ADL101" s="88"/>
      <c r="ADM101" s="88"/>
      <c r="ADN101" s="88"/>
      <c r="ADO101" s="88"/>
      <c r="ADP101" s="88"/>
      <c r="ADQ101" s="88"/>
      <c r="ADR101" s="88"/>
      <c r="ADS101" s="88"/>
      <c r="ADT101" s="88"/>
      <c r="ADU101" s="88"/>
      <c r="ADV101" s="88"/>
      <c r="ADW101" s="88"/>
      <c r="ADX101" s="88"/>
      <c r="ADY101" s="88"/>
      <c r="ADZ101" s="88"/>
      <c r="AEA101" s="88"/>
      <c r="AEB101" s="88"/>
      <c r="AEC101" s="88"/>
      <c r="AED101" s="88"/>
      <c r="AEE101" s="88"/>
      <c r="AEF101" s="88"/>
      <c r="AEG101" s="88"/>
      <c r="AEH101" s="88"/>
      <c r="AEI101" s="88"/>
      <c r="AEJ101" s="88"/>
      <c r="AEK101" s="88"/>
      <c r="AEL101" s="88"/>
      <c r="AEM101" s="88"/>
      <c r="AEN101" s="88"/>
      <c r="AEO101" s="88"/>
      <c r="AEP101" s="88"/>
      <c r="AEQ101" s="88"/>
      <c r="AER101" s="88"/>
      <c r="AES101" s="88"/>
      <c r="AET101" s="88"/>
      <c r="AEU101" s="88"/>
      <c r="AEV101" s="88"/>
      <c r="AEW101" s="88"/>
      <c r="AEX101" s="88"/>
      <c r="AEY101" s="88"/>
      <c r="AEZ101" s="88"/>
      <c r="AFA101" s="88"/>
      <c r="AFB101" s="88"/>
      <c r="AFC101" s="88"/>
      <c r="AFD101" s="88"/>
      <c r="AFE101" s="88"/>
      <c r="AFF101" s="88"/>
      <c r="AFG101" s="88"/>
      <c r="AFH101" s="88"/>
      <c r="AFI101" s="88"/>
      <c r="AFJ101" s="88"/>
      <c r="AFK101" s="88"/>
      <c r="AFL101" s="88"/>
      <c r="AFM101" s="88"/>
      <c r="AFN101" s="88"/>
      <c r="AFO101" s="88"/>
      <c r="AFP101" s="88"/>
      <c r="AFQ101" s="88"/>
      <c r="AFR101" s="88"/>
      <c r="AFS101" s="88"/>
      <c r="AFT101" s="88"/>
      <c r="AFU101" s="88"/>
      <c r="AFV101" s="88"/>
      <c r="AFW101" s="88"/>
      <c r="AFX101" s="88"/>
      <c r="AFY101" s="88"/>
      <c r="AFZ101" s="88"/>
      <c r="AGA101" s="88"/>
      <c r="AGB101" s="88"/>
      <c r="AGC101" s="88"/>
      <c r="AGD101" s="88"/>
      <c r="AGE101" s="88"/>
      <c r="AGF101" s="88"/>
      <c r="AGG101" s="88"/>
      <c r="AGH101" s="88"/>
      <c r="AGI101" s="88"/>
      <c r="AGJ101" s="88"/>
      <c r="AGK101" s="88"/>
      <c r="AGL101" s="88"/>
      <c r="AGM101" s="88"/>
      <c r="AGN101" s="88"/>
      <c r="AGO101" s="88"/>
      <c r="AGP101" s="88"/>
      <c r="AGQ101" s="88"/>
      <c r="AGR101" s="88"/>
      <c r="AGS101" s="88"/>
      <c r="AGT101" s="88"/>
      <c r="AGU101" s="88"/>
      <c r="AGV101" s="88"/>
      <c r="AGW101" s="88"/>
      <c r="AGX101" s="88"/>
      <c r="AGY101" s="88"/>
      <c r="AGZ101" s="88"/>
      <c r="AHA101" s="88"/>
      <c r="AHB101" s="88"/>
      <c r="AHC101" s="88"/>
      <c r="AHD101" s="88"/>
      <c r="AHE101" s="88"/>
      <c r="AHF101" s="88"/>
      <c r="AHG101" s="88"/>
      <c r="AHH101" s="88"/>
      <c r="AHI101" s="88"/>
      <c r="AHJ101" s="88"/>
      <c r="AHK101" s="88"/>
      <c r="AHL101" s="88"/>
      <c r="AHM101" s="88"/>
      <c r="AHN101" s="88"/>
      <c r="AHO101" s="88"/>
      <c r="AHP101" s="88"/>
      <c r="AHQ101" s="88"/>
      <c r="AHR101" s="88"/>
      <c r="AHS101" s="88"/>
      <c r="AHT101" s="88"/>
      <c r="AHU101" s="88"/>
      <c r="AHV101" s="88"/>
      <c r="AHW101" s="88"/>
      <c r="AHX101" s="88"/>
      <c r="AHY101" s="88"/>
      <c r="AHZ101" s="88"/>
      <c r="AIA101" s="88"/>
      <c r="AIB101" s="88"/>
      <c r="AIC101" s="88"/>
      <c r="AID101" s="88"/>
      <c r="AIE101" s="88"/>
      <c r="AIF101" s="88"/>
      <c r="AIG101" s="88"/>
      <c r="AIH101" s="88"/>
      <c r="AII101" s="88"/>
      <c r="AIJ101" s="88"/>
      <c r="AIK101" s="88"/>
      <c r="AIL101" s="88"/>
      <c r="AIM101" s="88"/>
      <c r="AIN101" s="88"/>
      <c r="AIO101" s="88"/>
      <c r="AIP101" s="88"/>
      <c r="AIQ101" s="88"/>
      <c r="AIR101" s="88"/>
      <c r="AIS101" s="88"/>
      <c r="AIT101" s="88"/>
      <c r="AIU101" s="88"/>
      <c r="AIV101" s="88"/>
      <c r="AIW101" s="88"/>
      <c r="AIX101" s="88"/>
      <c r="AIY101" s="88"/>
      <c r="AIZ101" s="88"/>
      <c r="AJA101" s="88"/>
      <c r="AJB101" s="88"/>
      <c r="AJC101" s="88"/>
      <c r="AJD101" s="88"/>
      <c r="AJE101" s="88"/>
      <c r="AJF101" s="88"/>
      <c r="AJG101" s="88"/>
      <c r="AJH101" s="88"/>
      <c r="AJI101" s="88"/>
      <c r="AJJ101" s="88"/>
      <c r="AJK101" s="88"/>
      <c r="AJL101" s="88"/>
      <c r="AJM101" s="88"/>
      <c r="AJN101" s="88"/>
      <c r="AJO101" s="88"/>
      <c r="AJP101" s="88"/>
      <c r="AJQ101" s="88"/>
      <c r="AJR101" s="88"/>
      <c r="AJS101" s="88"/>
      <c r="AJT101" s="88"/>
      <c r="AJU101" s="88"/>
      <c r="AJV101" s="88"/>
      <c r="AJW101" s="88"/>
      <c r="AJX101" s="88"/>
      <c r="AJY101" s="88"/>
      <c r="AJZ101" s="88"/>
      <c r="AKA101" s="88"/>
      <c r="AKB101" s="88"/>
      <c r="AKC101" s="88"/>
      <c r="AKD101" s="88"/>
      <c r="AKE101" s="88"/>
      <c r="AKF101" s="88"/>
      <c r="AKG101" s="88"/>
      <c r="AKH101" s="88"/>
      <c r="AKI101" s="88"/>
      <c r="AKJ101" s="88"/>
      <c r="AKK101" s="88"/>
      <c r="AKL101" s="88"/>
      <c r="AKM101" s="88"/>
      <c r="AKN101" s="88"/>
      <c r="AKO101" s="88"/>
      <c r="AKP101" s="88"/>
      <c r="AKQ101" s="88"/>
      <c r="AKR101" s="88"/>
      <c r="AKS101" s="88"/>
      <c r="AKT101" s="88"/>
      <c r="AKU101" s="88"/>
      <c r="AKV101" s="88"/>
      <c r="AKW101" s="88"/>
      <c r="AKX101" s="88"/>
      <c r="AKY101" s="88"/>
      <c r="AKZ101" s="88"/>
      <c r="ALA101" s="88"/>
      <c r="ALB101" s="88"/>
      <c r="ALC101" s="88"/>
      <c r="ALD101" s="88"/>
      <c r="ALE101" s="88"/>
      <c r="ALF101" s="88"/>
      <c r="ALG101" s="88"/>
      <c r="ALH101" s="88"/>
      <c r="ALI101" s="88"/>
      <c r="ALJ101" s="88"/>
      <c r="ALK101" s="88"/>
      <c r="ALL101" s="88"/>
      <c r="ALM101" s="88"/>
      <c r="ALN101" s="88"/>
      <c r="ALO101" s="88"/>
      <c r="ALP101" s="88"/>
      <c r="ALQ101" s="88"/>
      <c r="ALR101" s="88"/>
      <c r="ALS101" s="88"/>
      <c r="ALT101" s="88"/>
      <c r="ALU101" s="88"/>
      <c r="ALV101" s="88"/>
      <c r="ALW101" s="88"/>
      <c r="ALX101" s="88"/>
      <c r="ALY101" s="88"/>
      <c r="ALZ101" s="88"/>
      <c r="AMA101" s="88"/>
      <c r="AMB101" s="88"/>
      <c r="AMC101" s="88"/>
      <c r="AMD101" s="88"/>
      <c r="AME101" s="88"/>
      <c r="AMF101" s="88"/>
      <c r="AMG101" s="88"/>
      <c r="AMH101" s="88"/>
      <c r="AMI101" s="88"/>
      <c r="AMJ101" s="88"/>
      <c r="AMK101" s="88"/>
      <c r="AML101" s="88"/>
      <c r="AMM101" s="88"/>
      <c r="AMN101" s="88"/>
      <c r="AMO101" s="88"/>
      <c r="AMP101" s="88"/>
      <c r="AMQ101" s="88"/>
      <c r="AMR101" s="88"/>
      <c r="AMS101" s="88"/>
      <c r="AMT101" s="88"/>
      <c r="AMU101" s="88"/>
      <c r="AMV101" s="88"/>
      <c r="AMW101" s="88"/>
      <c r="AMX101" s="88"/>
      <c r="AMY101" s="88"/>
      <c r="AMZ101" s="88"/>
      <c r="ANA101" s="88"/>
      <c r="ANB101" s="88"/>
      <c r="ANC101" s="88"/>
      <c r="AND101" s="88"/>
      <c r="ANE101" s="88"/>
      <c r="ANF101" s="88"/>
      <c r="ANG101" s="88"/>
      <c r="ANH101" s="88"/>
      <c r="ANI101" s="88"/>
      <c r="ANJ101" s="88"/>
      <c r="ANK101" s="88"/>
      <c r="ANL101" s="88"/>
      <c r="ANM101" s="88"/>
      <c r="ANN101" s="88"/>
      <c r="ANO101" s="88"/>
      <c r="ANP101" s="88"/>
      <c r="ANQ101" s="88"/>
      <c r="ANR101" s="88"/>
      <c r="ANS101" s="88"/>
      <c r="ANT101" s="88"/>
      <c r="ANU101" s="88"/>
      <c r="ANV101" s="88"/>
      <c r="ANW101" s="88"/>
      <c r="ANX101" s="88"/>
      <c r="ANY101" s="88"/>
      <c r="ANZ101" s="88"/>
      <c r="AOA101" s="88"/>
      <c r="AOB101" s="88"/>
      <c r="AOC101" s="88"/>
      <c r="AOD101" s="88"/>
      <c r="AOE101" s="88"/>
      <c r="AOF101" s="88"/>
      <c r="AOG101" s="88"/>
      <c r="AOH101" s="88"/>
      <c r="AOI101" s="88"/>
      <c r="AOJ101" s="88"/>
      <c r="AOK101" s="88"/>
      <c r="AOL101" s="88"/>
      <c r="AOM101" s="88"/>
      <c r="AON101" s="88"/>
      <c r="AOO101" s="88"/>
      <c r="AOP101" s="88"/>
      <c r="AOQ101" s="88"/>
      <c r="AOR101" s="88"/>
      <c r="AOS101" s="88"/>
      <c r="AOT101" s="88"/>
      <c r="AOU101" s="88"/>
      <c r="AOV101" s="88"/>
      <c r="AOW101" s="88"/>
      <c r="AOX101" s="88"/>
      <c r="AOY101" s="88"/>
      <c r="AOZ101" s="88"/>
      <c r="APA101" s="88"/>
      <c r="APB101" s="88"/>
      <c r="APC101" s="88"/>
      <c r="APD101" s="88"/>
      <c r="APE101" s="88"/>
      <c r="APF101" s="88"/>
      <c r="APG101" s="88"/>
      <c r="APH101" s="88"/>
      <c r="API101" s="88"/>
      <c r="APJ101" s="88"/>
      <c r="APK101" s="88"/>
      <c r="APL101" s="88"/>
      <c r="APM101" s="88"/>
      <c r="APN101" s="88"/>
      <c r="APO101" s="88"/>
      <c r="APP101" s="88"/>
      <c r="APQ101" s="88"/>
      <c r="APR101" s="88"/>
      <c r="APS101" s="88"/>
      <c r="APT101" s="88"/>
      <c r="APU101" s="88"/>
      <c r="APV101" s="88"/>
      <c r="APW101" s="88"/>
      <c r="APX101" s="88"/>
      <c r="APY101" s="88"/>
      <c r="APZ101" s="88"/>
      <c r="AQA101" s="88"/>
      <c r="AQB101" s="88"/>
      <c r="AQC101" s="88"/>
      <c r="AQD101" s="88"/>
      <c r="AQE101" s="88"/>
      <c r="AQF101" s="88"/>
      <c r="AQG101" s="88"/>
      <c r="AQH101" s="88"/>
      <c r="AQI101" s="88"/>
      <c r="AQJ101" s="88"/>
      <c r="AQK101" s="88"/>
      <c r="AQL101" s="88"/>
      <c r="AQM101" s="88"/>
      <c r="AQN101" s="88"/>
      <c r="AQO101" s="88"/>
      <c r="AQP101" s="88"/>
      <c r="AQQ101" s="88"/>
      <c r="AQR101" s="88"/>
      <c r="AQS101" s="88"/>
      <c r="AQT101" s="88"/>
      <c r="AQU101" s="88"/>
      <c r="AQV101" s="88"/>
      <c r="AQW101" s="88"/>
      <c r="AQX101" s="88"/>
      <c r="AQY101" s="88"/>
      <c r="AQZ101" s="88"/>
      <c r="ARA101" s="88"/>
      <c r="ARB101" s="88"/>
      <c r="ARC101" s="88"/>
      <c r="ARD101" s="88"/>
      <c r="ARE101" s="88"/>
      <c r="ARF101" s="88"/>
      <c r="ARG101" s="88"/>
      <c r="ARH101" s="88"/>
      <c r="ARI101" s="88"/>
      <c r="ARJ101" s="88"/>
      <c r="ARK101" s="88"/>
      <c r="ARL101" s="88"/>
      <c r="ARM101" s="88"/>
      <c r="ARN101" s="88"/>
      <c r="ARO101" s="88"/>
      <c r="ARP101" s="88"/>
      <c r="ARQ101" s="88"/>
      <c r="ARR101" s="88"/>
      <c r="ARS101" s="88"/>
      <c r="ART101" s="88"/>
      <c r="ARU101" s="88"/>
      <c r="ARV101" s="88"/>
      <c r="ARW101" s="88"/>
      <c r="ARX101" s="88"/>
      <c r="ARY101" s="88"/>
      <c r="ARZ101" s="88"/>
      <c r="ASA101" s="88"/>
      <c r="ASB101" s="88"/>
      <c r="ASC101" s="88"/>
      <c r="ASD101" s="88"/>
      <c r="ASE101" s="88"/>
      <c r="ASF101" s="88"/>
      <c r="ASG101" s="88"/>
      <c r="ASH101" s="88"/>
      <c r="ASI101" s="88"/>
      <c r="ASJ101" s="88"/>
      <c r="ASK101" s="88"/>
      <c r="ASL101" s="88"/>
      <c r="ASM101" s="88"/>
      <c r="ASN101" s="88"/>
      <c r="ASO101" s="88"/>
      <c r="ASP101" s="88"/>
      <c r="ASQ101" s="88"/>
      <c r="ASR101" s="88"/>
      <c r="ASS101" s="88"/>
      <c r="AST101" s="88"/>
      <c r="ASU101" s="88"/>
      <c r="ASV101" s="88"/>
      <c r="ASW101" s="88"/>
      <c r="ASX101" s="88"/>
      <c r="ASY101" s="88"/>
      <c r="ASZ101" s="88"/>
      <c r="ATA101" s="88"/>
      <c r="ATB101" s="88"/>
      <c r="ATC101" s="88"/>
      <c r="ATD101" s="88"/>
      <c r="ATE101" s="88"/>
      <c r="ATF101" s="88"/>
      <c r="ATG101" s="88"/>
      <c r="ATH101" s="88"/>
      <c r="ATI101" s="88"/>
      <c r="ATJ101" s="88"/>
      <c r="ATK101" s="88"/>
      <c r="ATL101" s="88"/>
      <c r="ATM101" s="88"/>
      <c r="ATN101" s="88"/>
      <c r="ATO101" s="88"/>
      <c r="ATP101" s="88"/>
      <c r="ATQ101" s="88"/>
      <c r="ATR101" s="88"/>
      <c r="ATS101" s="88"/>
      <c r="ATT101" s="88"/>
      <c r="ATU101" s="88"/>
      <c r="ATV101" s="88"/>
      <c r="ATW101" s="88"/>
      <c r="ATX101" s="88"/>
      <c r="ATY101" s="88"/>
      <c r="ATZ101" s="88"/>
      <c r="AUA101" s="88"/>
      <c r="AUB101" s="88"/>
      <c r="AUC101" s="88"/>
      <c r="AUD101" s="88"/>
      <c r="AUE101" s="88"/>
      <c r="AUF101" s="88"/>
      <c r="AUG101" s="88"/>
      <c r="AUH101" s="88"/>
      <c r="AUI101" s="88"/>
      <c r="AUJ101" s="88"/>
      <c r="AUK101" s="88"/>
      <c r="AUL101" s="88"/>
      <c r="AUM101" s="88"/>
      <c r="AUN101" s="88"/>
      <c r="AUO101" s="88"/>
      <c r="AUP101" s="88"/>
      <c r="AUQ101" s="88"/>
      <c r="AUR101" s="88"/>
      <c r="AUS101" s="88"/>
      <c r="AUT101" s="88"/>
      <c r="AUU101" s="88"/>
      <c r="AUV101" s="88"/>
      <c r="AUW101" s="88"/>
      <c r="AUX101" s="88"/>
      <c r="AUY101" s="88"/>
      <c r="AUZ101" s="88"/>
      <c r="AVA101" s="88"/>
      <c r="AVB101" s="88"/>
      <c r="AVC101" s="88"/>
      <c r="AVD101" s="88"/>
      <c r="AVE101" s="88"/>
      <c r="AVF101" s="88"/>
      <c r="AVG101" s="88"/>
      <c r="AVH101" s="88"/>
      <c r="AVI101" s="88"/>
      <c r="AVJ101" s="88"/>
      <c r="AVK101" s="88"/>
      <c r="AVL101" s="88"/>
      <c r="AVM101" s="88"/>
      <c r="AVN101" s="88"/>
      <c r="AVO101" s="88"/>
      <c r="AVP101" s="88"/>
      <c r="AVQ101" s="88"/>
      <c r="AVR101" s="88"/>
      <c r="AVS101" s="88"/>
      <c r="AVT101" s="88"/>
      <c r="AVU101" s="88"/>
      <c r="AVV101" s="88"/>
      <c r="AVW101" s="88"/>
      <c r="AVX101" s="88"/>
      <c r="AVY101" s="88"/>
      <c r="AVZ101" s="88"/>
      <c r="AWA101" s="88"/>
      <c r="AWB101" s="88"/>
      <c r="AWC101" s="88"/>
      <c r="AWD101" s="88"/>
      <c r="AWE101" s="88"/>
      <c r="AWF101" s="88"/>
      <c r="AWG101" s="88"/>
      <c r="AWH101" s="88"/>
      <c r="AWI101" s="88"/>
      <c r="AWJ101" s="88"/>
      <c r="AWK101" s="88"/>
      <c r="AWL101" s="88"/>
      <c r="AWM101" s="88"/>
      <c r="AWN101" s="88"/>
      <c r="AWO101" s="88"/>
      <c r="AWP101" s="88"/>
      <c r="AWQ101" s="88"/>
      <c r="AWR101" s="88"/>
      <c r="AWS101" s="88"/>
      <c r="AWT101" s="88"/>
      <c r="AWU101" s="88"/>
      <c r="AWV101" s="88"/>
      <c r="AWW101" s="88"/>
      <c r="AWX101" s="88"/>
      <c r="AWY101" s="88"/>
      <c r="AWZ101" s="88"/>
      <c r="AXA101" s="88"/>
      <c r="AXB101" s="88"/>
      <c r="AXC101" s="88"/>
      <c r="AXD101" s="88"/>
      <c r="AXE101" s="88"/>
      <c r="AXF101" s="88"/>
      <c r="AXG101" s="88"/>
      <c r="AXH101" s="88"/>
      <c r="AXI101" s="88"/>
      <c r="AXJ101" s="88"/>
      <c r="AXK101" s="88"/>
      <c r="AXL101" s="88"/>
      <c r="AXM101" s="88"/>
      <c r="AXN101" s="88"/>
      <c r="AXO101" s="88"/>
      <c r="AXP101" s="88"/>
      <c r="AXQ101" s="88"/>
      <c r="AXR101" s="88"/>
      <c r="AXS101" s="88"/>
      <c r="AXT101" s="88"/>
      <c r="AXU101" s="88"/>
      <c r="AXV101" s="88"/>
      <c r="AXW101" s="88"/>
      <c r="AXX101" s="88"/>
      <c r="AXY101" s="88"/>
      <c r="AXZ101" s="88"/>
      <c r="AYA101" s="88"/>
      <c r="AYB101" s="88"/>
      <c r="AYC101" s="88"/>
      <c r="AYD101" s="88"/>
      <c r="AYE101" s="88"/>
      <c r="AYF101" s="88"/>
      <c r="AYG101" s="88"/>
      <c r="AYH101" s="88"/>
      <c r="AYI101" s="88"/>
      <c r="AYJ101" s="88"/>
      <c r="AYK101" s="88"/>
      <c r="AYL101" s="88"/>
      <c r="AYM101" s="88"/>
      <c r="AYN101" s="88"/>
      <c r="AYO101" s="88"/>
      <c r="AYP101" s="88"/>
      <c r="AYQ101" s="88"/>
      <c r="AYR101" s="88"/>
      <c r="AYS101" s="88"/>
      <c r="AYT101" s="88"/>
      <c r="AYU101" s="88"/>
      <c r="AYV101" s="88"/>
      <c r="AYW101" s="88"/>
      <c r="AYX101" s="88"/>
      <c r="AYY101" s="88"/>
      <c r="AYZ101" s="88"/>
      <c r="AZA101" s="88"/>
      <c r="AZB101" s="88"/>
      <c r="AZC101" s="88"/>
      <c r="AZD101" s="88"/>
      <c r="AZE101" s="88"/>
      <c r="AZF101" s="88"/>
      <c r="AZG101" s="88"/>
      <c r="AZH101" s="88"/>
      <c r="AZI101" s="88"/>
      <c r="AZJ101" s="88"/>
      <c r="AZK101" s="88"/>
      <c r="AZL101" s="88"/>
      <c r="AZM101" s="88"/>
      <c r="AZN101" s="88"/>
      <c r="AZO101" s="88"/>
      <c r="AZP101" s="88"/>
      <c r="AZQ101" s="88"/>
      <c r="AZR101" s="88"/>
      <c r="AZS101" s="88"/>
      <c r="AZT101" s="88"/>
      <c r="AZU101" s="88"/>
      <c r="AZV101" s="88"/>
      <c r="AZW101" s="88"/>
      <c r="AZX101" s="88"/>
      <c r="AZY101" s="88"/>
      <c r="AZZ101" s="88"/>
      <c r="BAA101" s="88"/>
      <c r="BAB101" s="88"/>
      <c r="BAC101" s="88"/>
      <c r="BAD101" s="88"/>
      <c r="BAE101" s="88"/>
      <c r="BAF101" s="88"/>
      <c r="BAG101" s="88"/>
      <c r="BAH101" s="88"/>
      <c r="BAI101" s="88"/>
      <c r="BAJ101" s="88"/>
      <c r="BAK101" s="88"/>
      <c r="BAL101" s="88"/>
      <c r="BAM101" s="88"/>
      <c r="BAN101" s="88"/>
      <c r="BAO101" s="88"/>
      <c r="BAP101" s="88"/>
      <c r="BAQ101" s="88"/>
      <c r="BAR101" s="88"/>
      <c r="BAS101" s="88"/>
      <c r="BAT101" s="88"/>
      <c r="BAU101" s="88"/>
      <c r="BAV101" s="88"/>
      <c r="BAW101" s="88"/>
      <c r="BAX101" s="88"/>
      <c r="BAY101" s="88"/>
      <c r="BAZ101" s="88"/>
      <c r="BBA101" s="88"/>
      <c r="BBB101" s="88"/>
      <c r="BBC101" s="88"/>
      <c r="BBD101" s="88"/>
      <c r="BBE101" s="88"/>
      <c r="BBF101" s="88"/>
      <c r="BBG101" s="88"/>
      <c r="BBH101" s="88"/>
      <c r="BBI101" s="88"/>
      <c r="BBJ101" s="88"/>
      <c r="BBK101" s="88"/>
      <c r="BBL101" s="88"/>
      <c r="BBM101" s="88"/>
      <c r="BBN101" s="88"/>
      <c r="BBO101" s="88"/>
      <c r="BBP101" s="88"/>
      <c r="BBQ101" s="88"/>
      <c r="BBR101" s="88"/>
      <c r="BBS101" s="88"/>
      <c r="BBT101" s="88"/>
      <c r="BBU101" s="88"/>
      <c r="BBV101" s="88"/>
      <c r="BBW101" s="88"/>
      <c r="BBX101" s="88"/>
      <c r="BBY101" s="88"/>
      <c r="BBZ101" s="88"/>
      <c r="BCA101" s="88"/>
      <c r="BCB101" s="88"/>
      <c r="BCC101" s="88"/>
      <c r="BCD101" s="88"/>
      <c r="BCE101" s="88"/>
      <c r="BCF101" s="88"/>
      <c r="BCG101" s="88"/>
      <c r="BCH101" s="88"/>
      <c r="BCI101" s="88"/>
      <c r="BCJ101" s="88"/>
      <c r="BCK101" s="88"/>
      <c r="BCL101" s="88"/>
      <c r="BCM101" s="88"/>
      <c r="BCN101" s="88"/>
      <c r="BCO101" s="88"/>
      <c r="BCP101" s="88"/>
      <c r="BCQ101" s="88"/>
      <c r="BCR101" s="88"/>
      <c r="BCS101" s="88"/>
      <c r="BCT101" s="88"/>
      <c r="BCU101" s="88"/>
      <c r="BCV101" s="88"/>
      <c r="BCW101" s="88"/>
      <c r="BCX101" s="88"/>
      <c r="BCY101" s="88"/>
      <c r="BCZ101" s="88"/>
      <c r="BDA101" s="88"/>
      <c r="BDB101" s="88"/>
      <c r="BDC101" s="88"/>
      <c r="BDD101" s="88"/>
      <c r="BDE101" s="88"/>
      <c r="BDF101" s="88"/>
      <c r="BDG101" s="88"/>
      <c r="BDH101" s="88"/>
      <c r="BDI101" s="88"/>
      <c r="BDJ101" s="88"/>
      <c r="BDK101" s="88"/>
      <c r="BDL101" s="88"/>
      <c r="BDM101" s="88"/>
      <c r="BDN101" s="88"/>
      <c r="BDO101" s="88"/>
      <c r="BDP101" s="88"/>
      <c r="BDQ101" s="88"/>
      <c r="BDR101" s="88"/>
      <c r="BDS101" s="88"/>
      <c r="BDT101" s="88"/>
      <c r="BDU101" s="88"/>
      <c r="BDV101" s="88"/>
      <c r="BDW101" s="88"/>
      <c r="BDX101" s="88"/>
      <c r="BDY101" s="88"/>
      <c r="BDZ101" s="88"/>
      <c r="BEA101" s="88"/>
      <c r="BEB101" s="88"/>
      <c r="BEC101" s="88"/>
      <c r="BED101" s="88"/>
      <c r="BEE101" s="88"/>
      <c r="BEF101" s="88"/>
      <c r="BEG101" s="88"/>
      <c r="BEH101" s="88"/>
      <c r="BEI101" s="88"/>
      <c r="BEJ101" s="88"/>
      <c r="BEK101" s="88"/>
      <c r="BEL101" s="88"/>
      <c r="BEM101" s="88"/>
      <c r="BEN101" s="88"/>
      <c r="BEO101" s="88"/>
      <c r="BEP101" s="88"/>
      <c r="BEQ101" s="88"/>
      <c r="BER101" s="88"/>
      <c r="BES101" s="88"/>
      <c r="BET101" s="88"/>
      <c r="BEU101" s="88"/>
      <c r="BEV101" s="88"/>
      <c r="BEW101" s="88"/>
      <c r="BEX101" s="88"/>
      <c r="BEY101" s="88"/>
      <c r="BEZ101" s="88"/>
      <c r="BFA101" s="88"/>
      <c r="BFB101" s="88"/>
      <c r="BFC101" s="88"/>
      <c r="BFD101" s="88"/>
      <c r="BFE101" s="88"/>
      <c r="BFF101" s="88"/>
      <c r="BFG101" s="88"/>
      <c r="BFH101" s="88"/>
      <c r="BFI101" s="88"/>
      <c r="BFJ101" s="88"/>
      <c r="BFK101" s="88"/>
      <c r="BFL101" s="88"/>
      <c r="BFM101" s="88"/>
      <c r="BFN101" s="88"/>
      <c r="BFO101" s="88"/>
      <c r="BFP101" s="88"/>
      <c r="BFQ101" s="88"/>
      <c r="BFR101" s="88"/>
      <c r="BFS101" s="88"/>
      <c r="BFT101" s="88"/>
      <c r="BFU101" s="88"/>
      <c r="BFV101" s="88"/>
      <c r="BFW101" s="88"/>
      <c r="BFX101" s="88"/>
      <c r="BFY101" s="88"/>
      <c r="BFZ101" s="88"/>
      <c r="BGA101" s="88"/>
      <c r="BGB101" s="88"/>
      <c r="BGC101" s="88"/>
      <c r="BGD101" s="88"/>
      <c r="BGE101" s="88"/>
      <c r="BGF101" s="88"/>
      <c r="BGG101" s="88"/>
      <c r="BGH101" s="88"/>
      <c r="BGI101" s="88"/>
      <c r="BGJ101" s="88"/>
      <c r="BGK101" s="88"/>
      <c r="BGL101" s="88"/>
      <c r="BGM101" s="88"/>
      <c r="BGN101" s="88"/>
      <c r="BGO101" s="88"/>
      <c r="BGP101" s="88"/>
      <c r="BGQ101" s="88"/>
      <c r="BGR101" s="88"/>
      <c r="BGS101" s="88"/>
      <c r="BGT101" s="88"/>
      <c r="BGU101" s="88"/>
      <c r="BGV101" s="88"/>
      <c r="BGW101" s="88"/>
      <c r="BGX101" s="88"/>
      <c r="BGY101" s="88"/>
      <c r="BGZ101" s="88"/>
      <c r="BHA101" s="88"/>
      <c r="BHB101" s="88"/>
      <c r="BHC101" s="88"/>
      <c r="BHD101" s="88"/>
      <c r="BHE101" s="88"/>
      <c r="BHF101" s="88"/>
      <c r="BHG101" s="88"/>
      <c r="BHH101" s="88"/>
      <c r="BHI101" s="88"/>
      <c r="BHJ101" s="88"/>
      <c r="BHK101" s="88"/>
      <c r="BHL101" s="88"/>
      <c r="BHM101" s="88"/>
      <c r="BHN101" s="88"/>
      <c r="BHO101" s="88"/>
      <c r="BHP101" s="88"/>
      <c r="BHQ101" s="88"/>
      <c r="BHR101" s="88"/>
      <c r="BHS101" s="88"/>
      <c r="BHT101" s="88"/>
      <c r="BHU101" s="88"/>
      <c r="BHV101" s="88"/>
      <c r="BHW101" s="88"/>
      <c r="BHX101" s="88"/>
      <c r="BHY101" s="88"/>
      <c r="BHZ101" s="88"/>
      <c r="BIA101" s="88"/>
      <c r="BIB101" s="88"/>
      <c r="BIC101" s="88"/>
      <c r="BID101" s="88"/>
      <c r="BIE101" s="88"/>
      <c r="BIF101" s="88"/>
      <c r="BIG101" s="88"/>
      <c r="BIH101" s="88"/>
      <c r="BII101" s="88"/>
      <c r="BIJ101" s="88"/>
      <c r="BIK101" s="88"/>
      <c r="BIL101" s="88"/>
      <c r="BIM101" s="88"/>
      <c r="BIN101" s="88"/>
      <c r="BIO101" s="88"/>
      <c r="BIP101" s="88"/>
      <c r="BIQ101" s="88"/>
      <c r="BIR101" s="88"/>
      <c r="BIS101" s="88"/>
      <c r="BIT101" s="88"/>
      <c r="BIU101" s="88"/>
      <c r="BIV101" s="88"/>
      <c r="BIW101" s="88"/>
      <c r="BIX101" s="88"/>
      <c r="BIY101" s="88"/>
      <c r="BIZ101" s="88"/>
      <c r="BJA101" s="88"/>
      <c r="BJB101" s="88"/>
      <c r="BJC101" s="88"/>
      <c r="BJD101" s="88"/>
      <c r="BJE101" s="88"/>
      <c r="BJF101" s="88"/>
      <c r="BJG101" s="88"/>
      <c r="BJH101" s="88"/>
      <c r="BJI101" s="88"/>
      <c r="BJJ101" s="88"/>
      <c r="BJK101" s="88"/>
      <c r="BJL101" s="88"/>
      <c r="BJM101" s="88"/>
      <c r="BJN101" s="88"/>
      <c r="BJO101" s="88"/>
      <c r="BJP101" s="88"/>
      <c r="BJQ101" s="88"/>
      <c r="BJR101" s="88"/>
      <c r="BJS101" s="88"/>
      <c r="BJT101" s="88"/>
      <c r="BJU101" s="88"/>
      <c r="BJV101" s="88"/>
      <c r="BJW101" s="88"/>
      <c r="BJX101" s="88"/>
      <c r="BJY101" s="88"/>
      <c r="BJZ101" s="88"/>
      <c r="BKA101" s="88"/>
      <c r="BKB101" s="88"/>
      <c r="BKC101" s="88"/>
      <c r="BKD101" s="88"/>
      <c r="BKE101" s="88"/>
      <c r="BKF101" s="88"/>
      <c r="BKG101" s="88"/>
      <c r="BKH101" s="88"/>
      <c r="BKI101" s="88"/>
      <c r="BKJ101" s="88"/>
      <c r="BKK101" s="88"/>
      <c r="BKL101" s="88"/>
      <c r="BKM101" s="88"/>
      <c r="BKN101" s="88"/>
      <c r="BKO101" s="88"/>
      <c r="BKP101" s="88"/>
      <c r="BKQ101" s="88"/>
      <c r="BKR101" s="88"/>
      <c r="BKS101" s="88"/>
      <c r="BKT101" s="88"/>
      <c r="BKU101" s="88"/>
      <c r="BKV101" s="88"/>
      <c r="BKW101" s="88"/>
      <c r="BKX101" s="88"/>
      <c r="BKY101" s="88"/>
      <c r="BKZ101" s="88"/>
      <c r="BLA101" s="88"/>
      <c r="BLB101" s="88"/>
      <c r="BLC101" s="88"/>
      <c r="BLD101" s="88"/>
      <c r="BLE101" s="88"/>
      <c r="BLF101" s="88"/>
      <c r="BLG101" s="88"/>
      <c r="BLH101" s="88"/>
      <c r="BLI101" s="88"/>
      <c r="BLJ101" s="88"/>
      <c r="BLK101" s="88"/>
      <c r="BLL101" s="88"/>
      <c r="BLM101" s="88"/>
      <c r="BLN101" s="88"/>
      <c r="BLO101" s="88"/>
      <c r="BLP101" s="88"/>
      <c r="BLQ101" s="88"/>
      <c r="BLR101" s="88"/>
      <c r="BLS101" s="88"/>
      <c r="BLT101" s="88"/>
      <c r="BLU101" s="88"/>
      <c r="BLV101" s="88"/>
      <c r="BLW101" s="88"/>
      <c r="BLX101" s="88"/>
      <c r="BLY101" s="88"/>
      <c r="BLZ101" s="88"/>
      <c r="BMA101" s="88"/>
      <c r="BMB101" s="88"/>
      <c r="BMC101" s="88"/>
      <c r="BMD101" s="88"/>
      <c r="BME101" s="88"/>
      <c r="BMF101" s="88"/>
      <c r="BMG101" s="88"/>
      <c r="BMH101" s="88"/>
      <c r="BMI101" s="88"/>
      <c r="BMJ101" s="88"/>
      <c r="BMK101" s="88"/>
      <c r="BML101" s="88"/>
      <c r="BMM101" s="88"/>
      <c r="BMN101" s="88"/>
      <c r="BMO101" s="88"/>
      <c r="BMP101" s="88"/>
      <c r="BMQ101" s="88"/>
      <c r="BMR101" s="88"/>
      <c r="BMS101" s="88"/>
      <c r="BMT101" s="88"/>
      <c r="BMU101" s="88"/>
      <c r="BMV101" s="88"/>
      <c r="BMW101" s="88"/>
      <c r="BMX101" s="88"/>
      <c r="BMY101" s="88"/>
      <c r="BMZ101" s="88"/>
      <c r="BNA101" s="88"/>
      <c r="BNB101" s="88"/>
      <c r="BNC101" s="88"/>
      <c r="BND101" s="88"/>
      <c r="BNE101" s="88"/>
      <c r="BNF101" s="88"/>
      <c r="BNG101" s="88"/>
      <c r="BNH101" s="88"/>
      <c r="BNI101" s="88"/>
      <c r="BNJ101" s="88"/>
      <c r="BNK101" s="88"/>
      <c r="BNL101" s="88"/>
      <c r="BNM101" s="88"/>
      <c r="BNN101" s="88"/>
      <c r="BNO101" s="88"/>
      <c r="BNP101" s="88"/>
      <c r="BNQ101" s="88"/>
      <c r="BNR101" s="88"/>
      <c r="BNS101" s="88"/>
      <c r="BNT101" s="88"/>
      <c r="BNU101" s="88"/>
      <c r="BNV101" s="88"/>
      <c r="BNW101" s="88"/>
      <c r="BNX101" s="88"/>
      <c r="BNY101" s="88"/>
      <c r="BNZ101" s="88"/>
      <c r="BOA101" s="88"/>
      <c r="BOB101" s="88"/>
      <c r="BOC101" s="88"/>
      <c r="BOD101" s="88"/>
      <c r="BOE101" s="88"/>
      <c r="BOF101" s="88"/>
      <c r="BOG101" s="88"/>
      <c r="BOH101" s="88"/>
      <c r="BOI101" s="88"/>
      <c r="BOJ101" s="88"/>
      <c r="BOK101" s="88"/>
      <c r="BOL101" s="88"/>
      <c r="BOM101" s="88"/>
      <c r="BON101" s="88"/>
      <c r="BOO101" s="88"/>
      <c r="BOP101" s="88"/>
      <c r="BOQ101" s="88"/>
      <c r="BOR101" s="88"/>
      <c r="BOS101" s="88"/>
      <c r="BOT101" s="88"/>
      <c r="BOU101" s="88"/>
      <c r="BOV101" s="88"/>
      <c r="BOW101" s="88"/>
      <c r="BOX101" s="88"/>
      <c r="BOY101" s="88"/>
      <c r="BOZ101" s="88"/>
      <c r="BPA101" s="88"/>
      <c r="BPB101" s="88"/>
      <c r="BPC101" s="88"/>
      <c r="BPD101" s="88"/>
      <c r="BPE101" s="88"/>
      <c r="BPF101" s="88"/>
      <c r="BPG101" s="88"/>
      <c r="BPH101" s="88"/>
      <c r="BPI101" s="88"/>
      <c r="BPJ101" s="88"/>
      <c r="BPK101" s="88"/>
      <c r="BPL101" s="88"/>
      <c r="BPM101" s="88"/>
      <c r="BPN101" s="88"/>
      <c r="BPO101" s="88"/>
      <c r="BPP101" s="88"/>
      <c r="BPQ101" s="88"/>
      <c r="BPR101" s="88"/>
      <c r="BPS101" s="88"/>
      <c r="BPT101" s="88"/>
      <c r="BPU101" s="88"/>
      <c r="BPV101" s="88"/>
      <c r="BPW101" s="88"/>
      <c r="BPX101" s="88"/>
      <c r="BPY101" s="88"/>
      <c r="BPZ101" s="88"/>
      <c r="BQA101" s="88"/>
      <c r="BQB101" s="88"/>
      <c r="BQC101" s="88"/>
      <c r="BQD101" s="88"/>
      <c r="BQE101" s="88"/>
      <c r="BQF101" s="88"/>
      <c r="BQG101" s="88"/>
      <c r="BQH101" s="88"/>
      <c r="BQI101" s="88"/>
      <c r="BQJ101" s="88"/>
      <c r="BQK101" s="88"/>
      <c r="BQL101" s="88"/>
      <c r="BQM101" s="88"/>
      <c r="BQN101" s="88"/>
      <c r="BQO101" s="88"/>
      <c r="BQP101" s="88"/>
      <c r="BQQ101" s="88"/>
      <c r="BQR101" s="88"/>
      <c r="BQS101" s="88"/>
      <c r="BQT101" s="88"/>
      <c r="BQU101" s="88"/>
      <c r="BQV101" s="88"/>
      <c r="BQW101" s="88"/>
      <c r="BQX101" s="88"/>
      <c r="BQY101" s="88"/>
      <c r="BQZ101" s="88"/>
      <c r="BRA101" s="88"/>
      <c r="BRB101" s="88"/>
      <c r="BRC101" s="88"/>
      <c r="BRD101" s="88"/>
      <c r="BRE101" s="88"/>
      <c r="BRF101" s="88"/>
      <c r="BRG101" s="88"/>
      <c r="BRH101" s="88"/>
      <c r="BRI101" s="88"/>
      <c r="BRJ101" s="88"/>
      <c r="BRK101" s="88"/>
      <c r="BRL101" s="88"/>
      <c r="BRM101" s="88"/>
      <c r="BRN101" s="88"/>
      <c r="BRO101" s="88"/>
      <c r="BRP101" s="88"/>
      <c r="BRQ101" s="88"/>
      <c r="BRR101" s="88"/>
      <c r="BRS101" s="88"/>
      <c r="BRT101" s="88"/>
      <c r="BRU101" s="88"/>
      <c r="BRV101" s="88"/>
      <c r="BRW101" s="88"/>
      <c r="BRX101" s="88"/>
      <c r="BRY101" s="88"/>
      <c r="BRZ101" s="88"/>
      <c r="BSA101" s="88"/>
      <c r="BSB101" s="88"/>
      <c r="BSC101" s="88"/>
      <c r="BSD101" s="88"/>
      <c r="BSE101" s="88"/>
      <c r="BSF101" s="88"/>
      <c r="BSG101" s="88"/>
      <c r="BSH101" s="88"/>
      <c r="BSI101" s="88"/>
      <c r="BSJ101" s="88"/>
      <c r="BSK101" s="88"/>
      <c r="BSL101" s="88"/>
      <c r="BSM101" s="88"/>
      <c r="BSN101" s="88"/>
      <c r="BSO101" s="88"/>
      <c r="BSP101" s="88"/>
      <c r="BSQ101" s="88"/>
      <c r="BSR101" s="88"/>
      <c r="BSS101" s="88"/>
      <c r="BST101" s="88"/>
      <c r="BSU101" s="88"/>
      <c r="BSV101" s="88"/>
      <c r="BSW101" s="88"/>
      <c r="BSX101" s="88"/>
      <c r="BSY101" s="88"/>
      <c r="BSZ101" s="88"/>
      <c r="BTA101" s="88"/>
      <c r="BTB101" s="88"/>
      <c r="BTC101" s="88"/>
      <c r="BTD101" s="88"/>
      <c r="BTE101" s="88"/>
      <c r="BTF101" s="88"/>
      <c r="BTG101" s="88"/>
      <c r="BTH101" s="88"/>
      <c r="BTI101" s="88"/>
      <c r="BTJ101" s="88"/>
      <c r="BTK101" s="88"/>
      <c r="BTL101" s="88"/>
      <c r="BTM101" s="88"/>
      <c r="BTN101" s="88"/>
      <c r="BTO101" s="88"/>
      <c r="BTP101" s="88"/>
      <c r="BTQ101" s="88"/>
      <c r="BTR101" s="88"/>
      <c r="BTS101" s="88"/>
      <c r="BTT101" s="88"/>
      <c r="BTU101" s="88"/>
      <c r="BTV101" s="88"/>
      <c r="BTW101" s="88"/>
      <c r="BTX101" s="88"/>
      <c r="BTY101" s="88"/>
      <c r="BTZ101" s="88"/>
      <c r="BUA101" s="88"/>
      <c r="BUB101" s="88"/>
      <c r="BUC101" s="88"/>
      <c r="BUD101" s="88"/>
      <c r="BUE101" s="88"/>
      <c r="BUF101" s="88"/>
      <c r="BUG101" s="88"/>
      <c r="BUH101" s="88"/>
      <c r="BUI101" s="88"/>
      <c r="BUJ101" s="88"/>
      <c r="BUK101" s="88"/>
      <c r="BUL101" s="88"/>
      <c r="BUM101" s="88"/>
      <c r="BUN101" s="88"/>
      <c r="BUO101" s="88"/>
      <c r="BUP101" s="88"/>
      <c r="BUQ101" s="88"/>
      <c r="BUR101" s="88"/>
      <c r="BUS101" s="88"/>
      <c r="BUT101" s="88"/>
      <c r="BUU101" s="88"/>
      <c r="BUV101" s="88"/>
      <c r="BUW101" s="88"/>
      <c r="BUX101" s="88"/>
      <c r="BUY101" s="88"/>
      <c r="BUZ101" s="88"/>
      <c r="BVA101" s="88"/>
      <c r="BVB101" s="88"/>
      <c r="BVC101" s="88"/>
      <c r="BVD101" s="88"/>
      <c r="BVE101" s="88"/>
      <c r="BVF101" s="88"/>
      <c r="BVG101" s="88"/>
      <c r="BVH101" s="88"/>
      <c r="BVI101" s="88"/>
      <c r="BVJ101" s="88"/>
      <c r="BVK101" s="88"/>
      <c r="BVL101" s="88"/>
      <c r="BVM101" s="88"/>
      <c r="BVN101" s="88"/>
      <c r="BVO101" s="88"/>
      <c r="BVP101" s="88"/>
      <c r="BVQ101" s="88"/>
      <c r="BVR101" s="88"/>
      <c r="BVS101" s="88"/>
      <c r="BVT101" s="88"/>
      <c r="BVU101" s="88"/>
      <c r="BVV101" s="88"/>
      <c r="BVW101" s="88"/>
      <c r="BVX101" s="88"/>
      <c r="BVY101" s="88"/>
      <c r="BVZ101" s="88"/>
      <c r="BWA101" s="88"/>
      <c r="BWB101" s="88"/>
      <c r="BWC101" s="88"/>
      <c r="BWD101" s="88"/>
      <c r="BWE101" s="88"/>
      <c r="BWF101" s="88"/>
      <c r="BWG101" s="88"/>
      <c r="BWH101" s="88"/>
      <c r="BWI101" s="88"/>
      <c r="BWJ101" s="88"/>
      <c r="BWK101" s="88"/>
      <c r="BWL101" s="88"/>
      <c r="BWM101" s="88"/>
      <c r="BWN101" s="88"/>
      <c r="BWO101" s="88"/>
      <c r="BWP101" s="88"/>
      <c r="BWQ101" s="88"/>
      <c r="BWR101" s="88"/>
      <c r="BWS101" s="88"/>
      <c r="BWT101" s="88"/>
      <c r="BWU101" s="88"/>
      <c r="BWV101" s="88"/>
      <c r="BWW101" s="88"/>
      <c r="BWX101" s="88"/>
      <c r="BWY101" s="88"/>
      <c r="BWZ101" s="88"/>
      <c r="BXA101" s="88"/>
      <c r="BXB101" s="88"/>
      <c r="BXC101" s="88"/>
      <c r="BXD101" s="88"/>
      <c r="BXE101" s="88"/>
      <c r="BXF101" s="88"/>
      <c r="BXG101" s="88"/>
      <c r="BXH101" s="88"/>
      <c r="BXI101" s="88"/>
      <c r="BXJ101" s="88"/>
      <c r="BXK101" s="88"/>
      <c r="BXL101" s="88"/>
      <c r="BXM101" s="88"/>
      <c r="BXN101" s="88"/>
      <c r="BXO101" s="88"/>
      <c r="BXP101" s="88"/>
      <c r="BXQ101" s="88"/>
      <c r="BXR101" s="88"/>
      <c r="BXS101" s="88"/>
      <c r="BXT101" s="88"/>
      <c r="BXU101" s="88"/>
      <c r="BXV101" s="88"/>
      <c r="BXW101" s="88"/>
      <c r="BXX101" s="88"/>
      <c r="BXY101" s="88"/>
      <c r="BXZ101" s="88"/>
      <c r="BYA101" s="88"/>
      <c r="BYB101" s="88"/>
      <c r="BYC101" s="88"/>
      <c r="BYD101" s="88"/>
      <c r="BYE101" s="88"/>
      <c r="BYF101" s="88"/>
      <c r="BYG101" s="88"/>
      <c r="BYH101" s="88"/>
      <c r="BYI101" s="88"/>
      <c r="BYJ101" s="88"/>
      <c r="BYK101" s="88"/>
      <c r="BYL101" s="88"/>
      <c r="BYM101" s="88"/>
      <c r="BYN101" s="88"/>
      <c r="BYO101" s="88"/>
      <c r="BYP101" s="88"/>
      <c r="BYQ101" s="88"/>
      <c r="BYR101" s="88"/>
      <c r="BYS101" s="88"/>
      <c r="BYT101" s="88"/>
      <c r="BYU101" s="88"/>
      <c r="BYV101" s="88"/>
      <c r="BYW101" s="88"/>
      <c r="BYX101" s="88"/>
      <c r="BYY101" s="88"/>
      <c r="BYZ101" s="88"/>
      <c r="BZA101" s="88"/>
      <c r="BZB101" s="88"/>
      <c r="BZC101" s="88"/>
      <c r="BZD101" s="88"/>
      <c r="BZE101" s="88"/>
      <c r="BZF101" s="88"/>
      <c r="BZG101" s="88"/>
      <c r="BZH101" s="88"/>
      <c r="BZI101" s="88"/>
      <c r="BZJ101" s="88"/>
      <c r="BZK101" s="88"/>
      <c r="BZL101" s="88"/>
      <c r="BZM101" s="88"/>
      <c r="BZN101" s="88"/>
      <c r="BZO101" s="88"/>
      <c r="BZP101" s="88"/>
      <c r="BZQ101" s="88"/>
      <c r="BZR101" s="88"/>
      <c r="BZS101" s="88"/>
      <c r="BZT101" s="88"/>
      <c r="BZU101" s="88"/>
      <c r="BZV101" s="88"/>
      <c r="BZW101" s="88"/>
      <c r="BZX101" s="88"/>
      <c r="BZY101" s="88"/>
      <c r="BZZ101" s="88"/>
      <c r="CAA101" s="88"/>
      <c r="CAB101" s="88"/>
      <c r="CAC101" s="88"/>
      <c r="CAD101" s="88"/>
      <c r="CAE101" s="88"/>
      <c r="CAF101" s="88"/>
      <c r="CAG101" s="88"/>
      <c r="CAH101" s="88"/>
      <c r="CAI101" s="88"/>
      <c r="CAJ101" s="88"/>
      <c r="CAK101" s="88"/>
      <c r="CAL101" s="88"/>
      <c r="CAM101" s="88"/>
      <c r="CAN101" s="88"/>
      <c r="CAO101" s="88"/>
      <c r="CAP101" s="88"/>
      <c r="CAQ101" s="88"/>
      <c r="CAR101" s="88"/>
      <c r="CAS101" s="88"/>
      <c r="CAT101" s="88"/>
      <c r="CAU101" s="88"/>
      <c r="CAV101" s="88"/>
      <c r="CAW101" s="88"/>
      <c r="CAX101" s="88"/>
      <c r="CAY101" s="88"/>
      <c r="CAZ101" s="88"/>
      <c r="CBA101" s="88"/>
      <c r="CBB101" s="88"/>
      <c r="CBC101" s="88"/>
      <c r="CBD101" s="88"/>
      <c r="CBE101" s="88"/>
      <c r="CBF101" s="88"/>
      <c r="CBG101" s="88"/>
      <c r="CBH101" s="88"/>
      <c r="CBI101" s="88"/>
      <c r="CBJ101" s="88"/>
      <c r="CBK101" s="88"/>
      <c r="CBL101" s="88"/>
      <c r="CBM101" s="88"/>
      <c r="CBN101" s="88"/>
      <c r="CBO101" s="88"/>
      <c r="CBP101" s="88"/>
      <c r="CBQ101" s="88"/>
      <c r="CBR101" s="88"/>
      <c r="CBS101" s="88"/>
      <c r="CBT101" s="88"/>
      <c r="CBU101" s="88"/>
      <c r="CBV101" s="88"/>
      <c r="CBW101" s="88"/>
      <c r="CBX101" s="88"/>
      <c r="CBY101" s="88"/>
      <c r="CBZ101" s="88"/>
      <c r="CCA101" s="88"/>
      <c r="CCB101" s="88"/>
      <c r="CCC101" s="88"/>
      <c r="CCD101" s="88"/>
      <c r="CCE101" s="88"/>
      <c r="CCF101" s="88"/>
      <c r="CCG101" s="88"/>
      <c r="CCH101" s="88"/>
      <c r="CCI101" s="88"/>
      <c r="CCJ101" s="88"/>
      <c r="CCK101" s="88"/>
      <c r="CCL101" s="88"/>
      <c r="CCM101" s="88"/>
      <c r="CCN101" s="88"/>
      <c r="CCO101" s="88"/>
      <c r="CCP101" s="88"/>
      <c r="CCQ101" s="88"/>
      <c r="CCR101" s="88"/>
      <c r="CCS101" s="88"/>
      <c r="CCT101" s="88"/>
      <c r="CCU101" s="88"/>
      <c r="CCV101" s="88"/>
      <c r="CCW101" s="88"/>
      <c r="CCX101" s="88"/>
      <c r="CCY101" s="88"/>
      <c r="CCZ101" s="88"/>
      <c r="CDA101" s="88"/>
      <c r="CDB101" s="88"/>
      <c r="CDC101" s="88"/>
      <c r="CDD101" s="88"/>
      <c r="CDE101" s="88"/>
      <c r="CDF101" s="88"/>
      <c r="CDG101" s="88"/>
      <c r="CDH101" s="88"/>
      <c r="CDI101" s="88"/>
      <c r="CDJ101" s="88"/>
      <c r="CDK101" s="88"/>
      <c r="CDL101" s="88"/>
      <c r="CDM101" s="88"/>
      <c r="CDN101" s="88"/>
      <c r="CDO101" s="88"/>
      <c r="CDP101" s="88"/>
      <c r="CDQ101" s="88"/>
      <c r="CDR101" s="88"/>
      <c r="CDS101" s="88"/>
      <c r="CDT101" s="88"/>
      <c r="CDU101" s="88"/>
      <c r="CDV101" s="88"/>
      <c r="CDW101" s="88"/>
      <c r="CDX101" s="88"/>
      <c r="CDY101" s="88"/>
      <c r="CDZ101" s="88"/>
      <c r="CEA101" s="88"/>
      <c r="CEB101" s="88"/>
      <c r="CEC101" s="88"/>
      <c r="CED101" s="88"/>
      <c r="CEE101" s="88"/>
      <c r="CEF101" s="88"/>
      <c r="CEG101" s="88"/>
      <c r="CEH101" s="88"/>
      <c r="CEI101" s="88"/>
      <c r="CEJ101" s="88"/>
      <c r="CEK101" s="88"/>
    </row>
    <row r="102" spans="1:2169" s="63" customFormat="1">
      <c r="A102" s="73" t="s">
        <v>795</v>
      </c>
      <c r="B102" s="71" t="s">
        <v>517</v>
      </c>
      <c r="C102" s="68" t="str">
        <f>IF('page 2'!$O$4="","",IF('page 2'!$O$4=Gestion!A102,1,0))</f>
        <v/>
      </c>
      <c r="D102" s="68" t="str">
        <f>IF('page 2'!$O$5="","",IF('page 2'!$O$5=Gestion!A102,1,0))</f>
        <v/>
      </c>
      <c r="E102" s="68" t="str">
        <f>IF('page 2'!$O$6="","",IF('page 2'!$O$6=Gestion!A102,1,0))</f>
        <v/>
      </c>
      <c r="F102" s="68" t="str">
        <f>IF('page 2'!$O$7="","",IF('page 2'!$O$7=Gestion!A102,1,0))</f>
        <v/>
      </c>
      <c r="G102" s="68" t="str">
        <f>IF('page 2'!$O$8="","",IF('page 2'!$O$8=Gestion!A102,1,0))</f>
        <v/>
      </c>
      <c r="H102" s="68" t="str">
        <f>IF('page 2'!$O$9="","",IF('page 2'!$O$9=Gestion!A102,1,0))</f>
        <v/>
      </c>
      <c r="I102" s="68" t="str">
        <f>IF('page 2'!$O$10="","",IF('page 2'!$O$10=Gestion!A102,1,0))</f>
        <v/>
      </c>
      <c r="J102" s="68" t="str">
        <f>IF('page 2'!$O$11="","",IF('page 2'!$O$11=Gestion!A102,1,0))</f>
        <v/>
      </c>
      <c r="K102" s="68" t="str">
        <f>IF('page 2'!$O$12="","",IF('page 2'!$O$12=Gestion!A102,1,0))</f>
        <v/>
      </c>
      <c r="L102" s="68" t="str">
        <f>IF('page 2'!$O$13="","",IF('page 2'!$O$13=Gestion!A102,1,0))</f>
        <v/>
      </c>
      <c r="M102" s="68" t="str">
        <f>IF('page 2'!$O$14="","",IF('page 2'!$O$14=Gestion!A102,1,0))</f>
        <v/>
      </c>
      <c r="N102" s="68" t="str">
        <f>IF('page 2'!$O$15="","",IF('page 2'!$O$15=Gestion!A102,1,0))</f>
        <v/>
      </c>
      <c r="O102" s="68" t="str">
        <f>IF('page 2'!$O$16="","",IF('page 2'!$O$16=Gestion!A102,1,0))</f>
        <v/>
      </c>
      <c r="P102" s="68" t="str">
        <f>IF('page 2'!$O$17="","",IF('page 2'!$O$17=Gestion!A102,1,0))</f>
        <v/>
      </c>
      <c r="Q102" s="68" t="str">
        <f>IF('page 2'!$O$18="","",IF('page 2'!$O$18=Gestion!A102,1,0))</f>
        <v/>
      </c>
      <c r="R102" s="68" t="str">
        <f>IF('page 2'!$O$19="","",IF('page 2'!$O$19=Gestion!A102,1,0))</f>
        <v/>
      </c>
      <c r="S102" s="68" t="str">
        <f>IF('page 2'!$O$20="","",IF('page 2'!$O$20=Gestion!A102,1,0))</f>
        <v/>
      </c>
      <c r="T102" s="68" t="str">
        <f>IF('page 2'!$O$25="","",IF('page 2'!$O$25=Gestion!A102,1,0))</f>
        <v/>
      </c>
      <c r="U102" s="68" t="str">
        <f>IF('page 2'!$O$26="","",IF('page 2'!$O$26=Gestion!A102,1,0))</f>
        <v/>
      </c>
      <c r="V102" s="68" t="str">
        <f>IF('page 2'!$O$27="","",IF('page 2'!$O$27=Gestion!A102,1,0))</f>
        <v/>
      </c>
      <c r="W102" s="722">
        <f t="shared" si="14"/>
        <v>0</v>
      </c>
      <c r="X102" s="714"/>
      <c r="Y102" s="68"/>
      <c r="Z102" s="68"/>
      <c r="AA102" s="68"/>
      <c r="AB102" s="68"/>
      <c r="AC102" s="68"/>
      <c r="AD102" s="68"/>
      <c r="AP102" s="130"/>
      <c r="AQ102" s="130"/>
      <c r="AR102" s="130"/>
      <c r="AS102" s="576"/>
      <c r="AT102" s="576"/>
      <c r="AU102" s="576"/>
      <c r="AV102" s="576"/>
      <c r="AW102" s="602"/>
      <c r="AX102" s="602"/>
      <c r="AY102" s="576"/>
      <c r="AZ102" s="576"/>
      <c r="BA102" s="576"/>
      <c r="BB102" s="576"/>
      <c r="BC102" s="576"/>
      <c r="BD102" s="602"/>
      <c r="BE102" s="602"/>
      <c r="BF102" s="602"/>
      <c r="BG102" s="602"/>
      <c r="BH102" s="602"/>
      <c r="BI102" s="602"/>
      <c r="BJ102" s="602"/>
      <c r="BK102" s="602"/>
      <c r="BL102" s="602"/>
      <c r="BM102" s="602"/>
      <c r="BN102" s="602"/>
      <c r="BO102" s="602"/>
      <c r="BP102" s="602"/>
      <c r="BQ102" s="602"/>
      <c r="BR102" s="602"/>
      <c r="BS102" s="576"/>
      <c r="BT102" s="576"/>
      <c r="BU102" s="576"/>
      <c r="BV102" s="576"/>
      <c r="BW102" s="602"/>
      <c r="BX102" s="602"/>
      <c r="BY102" s="602"/>
      <c r="BZ102" s="576"/>
      <c r="CA102" s="602"/>
      <c r="CB102" s="602"/>
      <c r="CC102" s="576"/>
      <c r="CD102" s="576"/>
      <c r="CE102" s="602"/>
      <c r="CF102" s="576"/>
      <c r="CG102" s="576"/>
      <c r="CH102" s="576"/>
      <c r="CI102" s="576"/>
      <c r="CJ102" s="576"/>
      <c r="CK102" s="602"/>
      <c r="CL102" s="602"/>
      <c r="CM102" s="576"/>
      <c r="CN102" s="602"/>
      <c r="CO102" s="602"/>
      <c r="CP102" s="602"/>
      <c r="CQ102" s="576"/>
      <c r="CR102" s="576"/>
      <c r="CS102" s="602"/>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c r="IW102" s="88"/>
      <c r="IX102" s="88"/>
      <c r="IY102" s="88"/>
      <c r="IZ102" s="88"/>
      <c r="JA102" s="88"/>
      <c r="JB102" s="88"/>
      <c r="JC102" s="88"/>
      <c r="JD102" s="88"/>
      <c r="JE102" s="88"/>
      <c r="JF102" s="88"/>
      <c r="JG102" s="88"/>
      <c r="JH102" s="88"/>
      <c r="JI102" s="88"/>
      <c r="JJ102" s="88"/>
      <c r="JK102" s="88"/>
      <c r="JL102" s="88"/>
      <c r="JM102" s="88"/>
      <c r="JN102" s="88"/>
      <c r="JO102" s="88"/>
      <c r="JP102" s="88"/>
      <c r="JQ102" s="88"/>
      <c r="JR102" s="88"/>
      <c r="JS102" s="88"/>
      <c r="JT102" s="88"/>
      <c r="JU102" s="88"/>
      <c r="JV102" s="88"/>
      <c r="JW102" s="88"/>
      <c r="JX102" s="88"/>
      <c r="JY102" s="88"/>
      <c r="JZ102" s="88"/>
      <c r="KA102" s="88"/>
      <c r="KB102" s="88"/>
      <c r="KC102" s="88"/>
      <c r="KD102" s="88"/>
      <c r="KE102" s="88"/>
      <c r="KF102" s="88"/>
      <c r="KG102" s="88"/>
      <c r="KH102" s="88"/>
      <c r="KI102" s="88"/>
      <c r="KJ102" s="88"/>
      <c r="KK102" s="88"/>
      <c r="KL102" s="88"/>
      <c r="KM102" s="88"/>
      <c r="KN102" s="88"/>
      <c r="KO102" s="88"/>
      <c r="KP102" s="88"/>
      <c r="KQ102" s="88"/>
      <c r="KR102" s="88"/>
      <c r="KS102" s="88"/>
      <c r="KT102" s="88"/>
      <c r="KU102" s="88"/>
      <c r="KV102" s="88"/>
      <c r="KW102" s="88"/>
      <c r="KX102" s="88"/>
      <c r="KY102" s="88"/>
      <c r="KZ102" s="88"/>
      <c r="LA102" s="88"/>
      <c r="LB102" s="88"/>
      <c r="LC102" s="88"/>
      <c r="LD102" s="88"/>
      <c r="LE102" s="88"/>
      <c r="LF102" s="88"/>
      <c r="LG102" s="88"/>
      <c r="LH102" s="88"/>
      <c r="LI102" s="88"/>
      <c r="LJ102" s="88"/>
      <c r="LK102" s="88"/>
      <c r="LL102" s="88"/>
      <c r="LM102" s="88"/>
      <c r="LN102" s="88"/>
      <c r="LO102" s="88"/>
      <c r="LP102" s="88"/>
      <c r="LQ102" s="88"/>
      <c r="LR102" s="88"/>
      <c r="LS102" s="88"/>
      <c r="LT102" s="88"/>
      <c r="LU102" s="88"/>
      <c r="LV102" s="88"/>
      <c r="LW102" s="88"/>
      <c r="LX102" s="88"/>
      <c r="LY102" s="88"/>
      <c r="LZ102" s="88"/>
      <c r="MA102" s="88"/>
      <c r="MB102" s="88"/>
      <c r="MC102" s="88"/>
      <c r="MD102" s="88"/>
      <c r="ME102" s="88"/>
      <c r="MF102" s="88"/>
      <c r="MG102" s="88"/>
      <c r="MH102" s="88"/>
      <c r="MI102" s="88"/>
      <c r="MJ102" s="88"/>
      <c r="MK102" s="88"/>
      <c r="ML102" s="88"/>
      <c r="MM102" s="88"/>
      <c r="MN102" s="88"/>
      <c r="MO102" s="88"/>
      <c r="MP102" s="88"/>
      <c r="MQ102" s="88"/>
      <c r="MR102" s="88"/>
      <c r="MS102" s="88"/>
      <c r="MT102" s="88"/>
      <c r="MU102" s="88"/>
      <c r="MV102" s="88"/>
      <c r="MW102" s="88"/>
      <c r="MX102" s="88"/>
      <c r="MY102" s="88"/>
      <c r="MZ102" s="88"/>
      <c r="NA102" s="88"/>
      <c r="NB102" s="88"/>
      <c r="NC102" s="88"/>
      <c r="ND102" s="88"/>
      <c r="NE102" s="88"/>
      <c r="NF102" s="88"/>
      <c r="NG102" s="88"/>
      <c r="NH102" s="88"/>
      <c r="NI102" s="88"/>
      <c r="NJ102" s="88"/>
      <c r="NK102" s="88"/>
      <c r="NL102" s="88"/>
      <c r="NM102" s="88"/>
      <c r="NN102" s="88"/>
      <c r="NO102" s="88"/>
      <c r="NP102" s="88"/>
      <c r="NQ102" s="88"/>
      <c r="NR102" s="88"/>
      <c r="NS102" s="88"/>
      <c r="NT102" s="88"/>
      <c r="NU102" s="88"/>
      <c r="NV102" s="88"/>
      <c r="NW102" s="88"/>
      <c r="NX102" s="88"/>
      <c r="NY102" s="88"/>
      <c r="NZ102" s="88"/>
      <c r="OA102" s="88"/>
      <c r="OB102" s="88"/>
      <c r="OC102" s="88"/>
      <c r="OD102" s="88"/>
      <c r="OE102" s="88"/>
      <c r="OF102" s="88"/>
      <c r="OG102" s="88"/>
      <c r="OH102" s="88"/>
      <c r="OI102" s="88"/>
      <c r="OJ102" s="88"/>
      <c r="OK102" s="88"/>
      <c r="OL102" s="88"/>
      <c r="OM102" s="88"/>
      <c r="ON102" s="88"/>
      <c r="OO102" s="88"/>
      <c r="OP102" s="88"/>
      <c r="OQ102" s="88"/>
      <c r="OR102" s="88"/>
      <c r="OS102" s="88"/>
      <c r="OT102" s="88"/>
      <c r="OU102" s="88"/>
      <c r="OV102" s="88"/>
      <c r="OW102" s="88"/>
      <c r="OX102" s="88"/>
      <c r="OY102" s="88"/>
      <c r="OZ102" s="88"/>
      <c r="PA102" s="88"/>
      <c r="PB102" s="88"/>
      <c r="PC102" s="88"/>
      <c r="PD102" s="88"/>
      <c r="PE102" s="88"/>
      <c r="PF102" s="88"/>
      <c r="PG102" s="88"/>
      <c r="PH102" s="88"/>
      <c r="PI102" s="88"/>
      <c r="PJ102" s="88"/>
      <c r="PK102" s="88"/>
      <c r="PL102" s="88"/>
      <c r="PM102" s="88"/>
      <c r="PN102" s="88"/>
      <c r="PO102" s="88"/>
      <c r="PP102" s="88"/>
      <c r="PQ102" s="88"/>
      <c r="PR102" s="88"/>
      <c r="PS102" s="88"/>
      <c r="PT102" s="88"/>
      <c r="PU102" s="88"/>
      <c r="PV102" s="88"/>
      <c r="PW102" s="88"/>
      <c r="PX102" s="88"/>
      <c r="PY102" s="88"/>
      <c r="PZ102" s="88"/>
      <c r="QA102" s="88"/>
      <c r="QB102" s="88"/>
      <c r="QC102" s="88"/>
      <c r="QD102" s="88"/>
      <c r="QE102" s="88"/>
      <c r="QF102" s="88"/>
      <c r="QG102" s="88"/>
      <c r="QH102" s="88"/>
      <c r="QI102" s="88"/>
      <c r="QJ102" s="88"/>
      <c r="QK102" s="88"/>
      <c r="QL102" s="88"/>
      <c r="QM102" s="88"/>
      <c r="QN102" s="88"/>
      <c r="QO102" s="88"/>
      <c r="QP102" s="88"/>
      <c r="QQ102" s="88"/>
      <c r="QR102" s="88"/>
      <c r="QS102" s="88"/>
      <c r="QT102" s="88"/>
      <c r="QU102" s="88"/>
      <c r="QV102" s="88"/>
      <c r="QW102" s="88"/>
      <c r="QX102" s="88"/>
      <c r="QY102" s="88"/>
      <c r="QZ102" s="88"/>
      <c r="RA102" s="88"/>
      <c r="RB102" s="88"/>
      <c r="RC102" s="88"/>
      <c r="RD102" s="88"/>
      <c r="RE102" s="88"/>
      <c r="RF102" s="88"/>
      <c r="RG102" s="88"/>
      <c r="RH102" s="88"/>
      <c r="RI102" s="88"/>
      <c r="RJ102" s="88"/>
      <c r="RK102" s="88"/>
      <c r="RL102" s="88"/>
      <c r="RM102" s="88"/>
      <c r="RN102" s="88"/>
      <c r="RO102" s="88"/>
      <c r="RP102" s="88"/>
      <c r="RQ102" s="88"/>
      <c r="RR102" s="88"/>
      <c r="RS102" s="88"/>
      <c r="RT102" s="88"/>
      <c r="RU102" s="88"/>
      <c r="RV102" s="88"/>
      <c r="RW102" s="88"/>
      <c r="RX102" s="88"/>
      <c r="RY102" s="88"/>
      <c r="RZ102" s="88"/>
      <c r="SA102" s="88"/>
      <c r="SB102" s="88"/>
      <c r="SC102" s="88"/>
      <c r="SD102" s="88"/>
      <c r="SE102" s="88"/>
      <c r="SF102" s="88"/>
      <c r="SG102" s="88"/>
      <c r="SH102" s="88"/>
      <c r="SI102" s="88"/>
      <c r="SJ102" s="88"/>
      <c r="SK102" s="88"/>
      <c r="SL102" s="88"/>
      <c r="SM102" s="88"/>
      <c r="SN102" s="88"/>
      <c r="SO102" s="88"/>
      <c r="SP102" s="88"/>
      <c r="SQ102" s="88"/>
      <c r="SR102" s="88"/>
      <c r="SS102" s="88"/>
      <c r="ST102" s="88"/>
      <c r="SU102" s="88"/>
      <c r="SV102" s="88"/>
      <c r="SW102" s="88"/>
      <c r="SX102" s="88"/>
      <c r="SY102" s="88"/>
      <c r="SZ102" s="88"/>
      <c r="TA102" s="88"/>
      <c r="TB102" s="88"/>
      <c r="TC102" s="88"/>
      <c r="TD102" s="88"/>
      <c r="TE102" s="88"/>
      <c r="TF102" s="88"/>
      <c r="TG102" s="88"/>
      <c r="TH102" s="88"/>
      <c r="TI102" s="88"/>
      <c r="TJ102" s="88"/>
      <c r="TK102" s="88"/>
      <c r="TL102" s="88"/>
      <c r="TM102" s="88"/>
      <c r="TN102" s="88"/>
      <c r="TO102" s="88"/>
      <c r="TP102" s="88"/>
      <c r="TQ102" s="88"/>
      <c r="TR102" s="88"/>
      <c r="TS102" s="88"/>
      <c r="TT102" s="88"/>
      <c r="TU102" s="88"/>
      <c r="TV102" s="88"/>
      <c r="TW102" s="88"/>
      <c r="TX102" s="88"/>
      <c r="TY102" s="88"/>
      <c r="TZ102" s="88"/>
      <c r="UA102" s="88"/>
      <c r="UB102" s="88"/>
      <c r="UC102" s="88"/>
      <c r="UD102" s="88"/>
      <c r="UE102" s="88"/>
      <c r="UF102" s="88"/>
      <c r="UG102" s="88"/>
      <c r="UH102" s="88"/>
      <c r="UI102" s="88"/>
      <c r="UJ102" s="88"/>
      <c r="UK102" s="88"/>
      <c r="UL102" s="88"/>
      <c r="UM102" s="88"/>
      <c r="UN102" s="88"/>
      <c r="UO102" s="88"/>
      <c r="UP102" s="88"/>
      <c r="UQ102" s="88"/>
      <c r="UR102" s="88"/>
      <c r="US102" s="88"/>
      <c r="UT102" s="88"/>
      <c r="UU102" s="88"/>
      <c r="UV102" s="88"/>
      <c r="UW102" s="88"/>
      <c r="UX102" s="88"/>
      <c r="UY102" s="88"/>
      <c r="UZ102" s="88"/>
      <c r="VA102" s="88"/>
      <c r="VB102" s="88"/>
      <c r="VC102" s="88"/>
      <c r="VD102" s="88"/>
      <c r="VE102" s="88"/>
      <c r="VF102" s="88"/>
      <c r="VG102" s="88"/>
      <c r="VH102" s="88"/>
      <c r="VI102" s="88"/>
      <c r="VJ102" s="88"/>
      <c r="VK102" s="88"/>
      <c r="VL102" s="88"/>
      <c r="VM102" s="88"/>
      <c r="VN102" s="88"/>
      <c r="VO102" s="88"/>
      <c r="VP102" s="88"/>
      <c r="VQ102" s="88"/>
      <c r="VR102" s="88"/>
      <c r="VS102" s="88"/>
      <c r="VT102" s="88"/>
      <c r="VU102" s="88"/>
      <c r="VV102" s="88"/>
      <c r="VW102" s="88"/>
      <c r="VX102" s="88"/>
      <c r="VY102" s="88"/>
      <c r="VZ102" s="88"/>
      <c r="WA102" s="88"/>
      <c r="WB102" s="88"/>
      <c r="WC102" s="88"/>
      <c r="WD102" s="88"/>
      <c r="WE102" s="88"/>
      <c r="WF102" s="88"/>
      <c r="WG102" s="88"/>
      <c r="WH102" s="88"/>
      <c r="WI102" s="88"/>
      <c r="WJ102" s="88"/>
      <c r="WK102" s="88"/>
      <c r="WL102" s="88"/>
      <c r="WM102" s="88"/>
      <c r="WN102" s="88"/>
      <c r="WO102" s="88"/>
      <c r="WP102" s="88"/>
      <c r="WQ102" s="88"/>
      <c r="WR102" s="88"/>
      <c r="WS102" s="88"/>
      <c r="WT102" s="88"/>
      <c r="WU102" s="88"/>
      <c r="WV102" s="88"/>
      <c r="WW102" s="88"/>
      <c r="WX102" s="88"/>
      <c r="WY102" s="88"/>
      <c r="WZ102" s="88"/>
      <c r="XA102" s="88"/>
      <c r="XB102" s="88"/>
      <c r="XC102" s="88"/>
      <c r="XD102" s="88"/>
      <c r="XE102" s="88"/>
      <c r="XF102" s="88"/>
      <c r="XG102" s="88"/>
      <c r="XH102" s="88"/>
      <c r="XI102" s="88"/>
      <c r="XJ102" s="88"/>
      <c r="XK102" s="88"/>
      <c r="XL102" s="88"/>
      <c r="XM102" s="88"/>
      <c r="XN102" s="88"/>
      <c r="XO102" s="88"/>
      <c r="XP102" s="88"/>
      <c r="XQ102" s="88"/>
      <c r="XR102" s="88"/>
      <c r="XS102" s="88"/>
      <c r="XT102" s="88"/>
      <c r="XU102" s="88"/>
      <c r="XV102" s="88"/>
      <c r="XW102" s="88"/>
      <c r="XX102" s="88"/>
      <c r="XY102" s="88"/>
      <c r="XZ102" s="88"/>
      <c r="YA102" s="88"/>
      <c r="YB102" s="88"/>
      <c r="YC102" s="88"/>
      <c r="YD102" s="88"/>
      <c r="YE102" s="88"/>
      <c r="YF102" s="88"/>
      <c r="YG102" s="88"/>
      <c r="YH102" s="88"/>
      <c r="YI102" s="88"/>
      <c r="YJ102" s="88"/>
      <c r="YK102" s="88"/>
      <c r="YL102" s="88"/>
      <c r="YM102" s="88"/>
      <c r="YN102" s="88"/>
      <c r="YO102" s="88"/>
      <c r="YP102" s="88"/>
      <c r="YQ102" s="88"/>
      <c r="YR102" s="88"/>
      <c r="YS102" s="88"/>
      <c r="YT102" s="88"/>
      <c r="YU102" s="88"/>
      <c r="YV102" s="88"/>
      <c r="YW102" s="88"/>
      <c r="YX102" s="88"/>
      <c r="YY102" s="88"/>
      <c r="YZ102" s="88"/>
      <c r="ZA102" s="88"/>
      <c r="ZB102" s="88"/>
      <c r="ZC102" s="88"/>
      <c r="ZD102" s="88"/>
      <c r="ZE102" s="88"/>
      <c r="ZF102" s="88"/>
      <c r="ZG102" s="88"/>
      <c r="ZH102" s="88"/>
      <c r="ZI102" s="88"/>
      <c r="ZJ102" s="88"/>
      <c r="ZK102" s="88"/>
      <c r="ZL102" s="88"/>
      <c r="ZM102" s="88"/>
      <c r="ZN102" s="88"/>
      <c r="ZO102" s="88"/>
      <c r="ZP102" s="88"/>
      <c r="ZQ102" s="88"/>
      <c r="ZR102" s="88"/>
      <c r="ZS102" s="88"/>
      <c r="ZT102" s="88"/>
      <c r="ZU102" s="88"/>
      <c r="ZV102" s="88"/>
      <c r="ZW102" s="88"/>
      <c r="ZX102" s="88"/>
      <c r="ZY102" s="88"/>
      <c r="ZZ102" s="88"/>
      <c r="AAA102" s="88"/>
      <c r="AAB102" s="88"/>
      <c r="AAC102" s="88"/>
      <c r="AAD102" s="88"/>
      <c r="AAE102" s="88"/>
      <c r="AAF102" s="88"/>
      <c r="AAG102" s="88"/>
      <c r="AAH102" s="88"/>
      <c r="AAI102" s="88"/>
      <c r="AAJ102" s="88"/>
      <c r="AAK102" s="88"/>
      <c r="AAL102" s="88"/>
      <c r="AAM102" s="88"/>
      <c r="AAN102" s="88"/>
      <c r="AAO102" s="88"/>
      <c r="AAP102" s="88"/>
      <c r="AAQ102" s="88"/>
      <c r="AAR102" s="88"/>
      <c r="AAS102" s="88"/>
      <c r="AAT102" s="88"/>
      <c r="AAU102" s="88"/>
      <c r="AAV102" s="88"/>
      <c r="AAW102" s="88"/>
      <c r="AAX102" s="88"/>
      <c r="AAY102" s="88"/>
      <c r="AAZ102" s="88"/>
      <c r="ABA102" s="88"/>
      <c r="ABB102" s="88"/>
      <c r="ABC102" s="88"/>
      <c r="ABD102" s="88"/>
      <c r="ABE102" s="88"/>
      <c r="ABF102" s="88"/>
      <c r="ABG102" s="88"/>
      <c r="ABH102" s="88"/>
      <c r="ABI102" s="88"/>
      <c r="ABJ102" s="88"/>
      <c r="ABK102" s="88"/>
      <c r="ABL102" s="88"/>
      <c r="ABM102" s="88"/>
      <c r="ABN102" s="88"/>
      <c r="ABO102" s="88"/>
      <c r="ABP102" s="88"/>
      <c r="ABQ102" s="88"/>
      <c r="ABR102" s="88"/>
      <c r="ABS102" s="88"/>
      <c r="ABT102" s="88"/>
      <c r="ABU102" s="88"/>
      <c r="ABV102" s="88"/>
      <c r="ABW102" s="88"/>
      <c r="ABX102" s="88"/>
      <c r="ABY102" s="88"/>
      <c r="ABZ102" s="88"/>
      <c r="ACA102" s="88"/>
      <c r="ACB102" s="88"/>
      <c r="ACC102" s="88"/>
      <c r="ACD102" s="88"/>
      <c r="ACE102" s="88"/>
      <c r="ACF102" s="88"/>
      <c r="ACG102" s="88"/>
      <c r="ACH102" s="88"/>
      <c r="ACI102" s="88"/>
      <c r="ACJ102" s="88"/>
      <c r="ACK102" s="88"/>
      <c r="ACL102" s="88"/>
      <c r="ACM102" s="88"/>
      <c r="ACN102" s="88"/>
      <c r="ACO102" s="88"/>
      <c r="ACP102" s="88"/>
      <c r="ACQ102" s="88"/>
      <c r="ACR102" s="88"/>
      <c r="ACS102" s="88"/>
      <c r="ACT102" s="88"/>
      <c r="ACU102" s="88"/>
      <c r="ACV102" s="88"/>
      <c r="ACW102" s="88"/>
      <c r="ACX102" s="88"/>
      <c r="ACY102" s="88"/>
      <c r="ACZ102" s="88"/>
      <c r="ADA102" s="88"/>
      <c r="ADB102" s="88"/>
      <c r="ADC102" s="88"/>
      <c r="ADD102" s="88"/>
      <c r="ADE102" s="88"/>
      <c r="ADF102" s="88"/>
      <c r="ADG102" s="88"/>
      <c r="ADH102" s="88"/>
      <c r="ADI102" s="88"/>
      <c r="ADJ102" s="88"/>
      <c r="ADK102" s="88"/>
      <c r="ADL102" s="88"/>
      <c r="ADM102" s="88"/>
      <c r="ADN102" s="88"/>
      <c r="ADO102" s="88"/>
      <c r="ADP102" s="88"/>
      <c r="ADQ102" s="88"/>
      <c r="ADR102" s="88"/>
      <c r="ADS102" s="88"/>
      <c r="ADT102" s="88"/>
      <c r="ADU102" s="88"/>
      <c r="ADV102" s="88"/>
      <c r="ADW102" s="88"/>
      <c r="ADX102" s="88"/>
      <c r="ADY102" s="88"/>
      <c r="ADZ102" s="88"/>
      <c r="AEA102" s="88"/>
      <c r="AEB102" s="88"/>
      <c r="AEC102" s="88"/>
      <c r="AED102" s="88"/>
      <c r="AEE102" s="88"/>
      <c r="AEF102" s="88"/>
      <c r="AEG102" s="88"/>
      <c r="AEH102" s="88"/>
      <c r="AEI102" s="88"/>
      <c r="AEJ102" s="88"/>
      <c r="AEK102" s="88"/>
      <c r="AEL102" s="88"/>
      <c r="AEM102" s="88"/>
      <c r="AEN102" s="88"/>
      <c r="AEO102" s="88"/>
      <c r="AEP102" s="88"/>
      <c r="AEQ102" s="88"/>
      <c r="AER102" s="88"/>
      <c r="AES102" s="88"/>
      <c r="AET102" s="88"/>
      <c r="AEU102" s="88"/>
      <c r="AEV102" s="88"/>
      <c r="AEW102" s="88"/>
      <c r="AEX102" s="88"/>
      <c r="AEY102" s="88"/>
      <c r="AEZ102" s="88"/>
      <c r="AFA102" s="88"/>
      <c r="AFB102" s="88"/>
      <c r="AFC102" s="88"/>
      <c r="AFD102" s="88"/>
      <c r="AFE102" s="88"/>
      <c r="AFF102" s="88"/>
      <c r="AFG102" s="88"/>
      <c r="AFH102" s="88"/>
      <c r="AFI102" s="88"/>
      <c r="AFJ102" s="88"/>
      <c r="AFK102" s="88"/>
      <c r="AFL102" s="88"/>
      <c r="AFM102" s="88"/>
      <c r="AFN102" s="88"/>
      <c r="AFO102" s="88"/>
      <c r="AFP102" s="88"/>
      <c r="AFQ102" s="88"/>
      <c r="AFR102" s="88"/>
      <c r="AFS102" s="88"/>
      <c r="AFT102" s="88"/>
      <c r="AFU102" s="88"/>
      <c r="AFV102" s="88"/>
      <c r="AFW102" s="88"/>
      <c r="AFX102" s="88"/>
      <c r="AFY102" s="88"/>
      <c r="AFZ102" s="88"/>
      <c r="AGA102" s="88"/>
      <c r="AGB102" s="88"/>
      <c r="AGC102" s="88"/>
      <c r="AGD102" s="88"/>
      <c r="AGE102" s="88"/>
      <c r="AGF102" s="88"/>
      <c r="AGG102" s="88"/>
      <c r="AGH102" s="88"/>
      <c r="AGI102" s="88"/>
      <c r="AGJ102" s="88"/>
      <c r="AGK102" s="88"/>
      <c r="AGL102" s="88"/>
      <c r="AGM102" s="88"/>
      <c r="AGN102" s="88"/>
      <c r="AGO102" s="88"/>
      <c r="AGP102" s="88"/>
      <c r="AGQ102" s="88"/>
      <c r="AGR102" s="88"/>
      <c r="AGS102" s="88"/>
      <c r="AGT102" s="88"/>
      <c r="AGU102" s="88"/>
      <c r="AGV102" s="88"/>
      <c r="AGW102" s="88"/>
      <c r="AGX102" s="88"/>
      <c r="AGY102" s="88"/>
      <c r="AGZ102" s="88"/>
      <c r="AHA102" s="88"/>
      <c r="AHB102" s="88"/>
      <c r="AHC102" s="88"/>
      <c r="AHD102" s="88"/>
      <c r="AHE102" s="88"/>
      <c r="AHF102" s="88"/>
      <c r="AHG102" s="88"/>
      <c r="AHH102" s="88"/>
      <c r="AHI102" s="88"/>
      <c r="AHJ102" s="88"/>
      <c r="AHK102" s="88"/>
      <c r="AHL102" s="88"/>
      <c r="AHM102" s="88"/>
      <c r="AHN102" s="88"/>
      <c r="AHO102" s="88"/>
      <c r="AHP102" s="88"/>
      <c r="AHQ102" s="88"/>
      <c r="AHR102" s="88"/>
      <c r="AHS102" s="88"/>
      <c r="AHT102" s="88"/>
      <c r="AHU102" s="88"/>
      <c r="AHV102" s="88"/>
      <c r="AHW102" s="88"/>
      <c r="AHX102" s="88"/>
      <c r="AHY102" s="88"/>
      <c r="AHZ102" s="88"/>
      <c r="AIA102" s="88"/>
      <c r="AIB102" s="88"/>
      <c r="AIC102" s="88"/>
      <c r="AID102" s="88"/>
      <c r="AIE102" s="88"/>
      <c r="AIF102" s="88"/>
      <c r="AIG102" s="88"/>
      <c r="AIH102" s="88"/>
      <c r="AII102" s="88"/>
      <c r="AIJ102" s="88"/>
      <c r="AIK102" s="88"/>
      <c r="AIL102" s="88"/>
      <c r="AIM102" s="88"/>
      <c r="AIN102" s="88"/>
      <c r="AIO102" s="88"/>
      <c r="AIP102" s="88"/>
      <c r="AIQ102" s="88"/>
      <c r="AIR102" s="88"/>
      <c r="AIS102" s="88"/>
      <c r="AIT102" s="88"/>
      <c r="AIU102" s="88"/>
      <c r="AIV102" s="88"/>
      <c r="AIW102" s="88"/>
      <c r="AIX102" s="88"/>
      <c r="AIY102" s="88"/>
      <c r="AIZ102" s="88"/>
      <c r="AJA102" s="88"/>
      <c r="AJB102" s="88"/>
      <c r="AJC102" s="88"/>
      <c r="AJD102" s="88"/>
      <c r="AJE102" s="88"/>
      <c r="AJF102" s="88"/>
      <c r="AJG102" s="88"/>
      <c r="AJH102" s="88"/>
      <c r="AJI102" s="88"/>
      <c r="AJJ102" s="88"/>
      <c r="AJK102" s="88"/>
      <c r="AJL102" s="88"/>
      <c r="AJM102" s="88"/>
      <c r="AJN102" s="88"/>
      <c r="AJO102" s="88"/>
      <c r="AJP102" s="88"/>
      <c r="AJQ102" s="88"/>
      <c r="AJR102" s="88"/>
      <c r="AJS102" s="88"/>
      <c r="AJT102" s="88"/>
      <c r="AJU102" s="88"/>
      <c r="AJV102" s="88"/>
      <c r="AJW102" s="88"/>
      <c r="AJX102" s="88"/>
      <c r="AJY102" s="88"/>
      <c r="AJZ102" s="88"/>
      <c r="AKA102" s="88"/>
      <c r="AKB102" s="88"/>
      <c r="AKC102" s="88"/>
      <c r="AKD102" s="88"/>
      <c r="AKE102" s="88"/>
      <c r="AKF102" s="88"/>
      <c r="AKG102" s="88"/>
      <c r="AKH102" s="88"/>
      <c r="AKI102" s="88"/>
      <c r="AKJ102" s="88"/>
      <c r="AKK102" s="88"/>
      <c r="AKL102" s="88"/>
      <c r="AKM102" s="88"/>
      <c r="AKN102" s="88"/>
      <c r="AKO102" s="88"/>
      <c r="AKP102" s="88"/>
      <c r="AKQ102" s="88"/>
      <c r="AKR102" s="88"/>
      <c r="AKS102" s="88"/>
      <c r="AKT102" s="88"/>
      <c r="AKU102" s="88"/>
      <c r="AKV102" s="88"/>
      <c r="AKW102" s="88"/>
      <c r="AKX102" s="88"/>
      <c r="AKY102" s="88"/>
      <c r="AKZ102" s="88"/>
      <c r="ALA102" s="88"/>
      <c r="ALB102" s="88"/>
      <c r="ALC102" s="88"/>
      <c r="ALD102" s="88"/>
      <c r="ALE102" s="88"/>
      <c r="ALF102" s="88"/>
      <c r="ALG102" s="88"/>
      <c r="ALH102" s="88"/>
      <c r="ALI102" s="88"/>
      <c r="ALJ102" s="88"/>
      <c r="ALK102" s="88"/>
      <c r="ALL102" s="88"/>
      <c r="ALM102" s="88"/>
      <c r="ALN102" s="88"/>
      <c r="ALO102" s="88"/>
      <c r="ALP102" s="88"/>
      <c r="ALQ102" s="88"/>
      <c r="ALR102" s="88"/>
      <c r="ALS102" s="88"/>
      <c r="ALT102" s="88"/>
      <c r="ALU102" s="88"/>
      <c r="ALV102" s="88"/>
      <c r="ALW102" s="88"/>
      <c r="ALX102" s="88"/>
      <c r="ALY102" s="88"/>
      <c r="ALZ102" s="88"/>
      <c r="AMA102" s="88"/>
      <c r="AMB102" s="88"/>
      <c r="AMC102" s="88"/>
      <c r="AMD102" s="88"/>
      <c r="AME102" s="88"/>
      <c r="AMF102" s="88"/>
      <c r="AMG102" s="88"/>
      <c r="AMH102" s="88"/>
      <c r="AMI102" s="88"/>
      <c r="AMJ102" s="88"/>
      <c r="AMK102" s="88"/>
      <c r="AML102" s="88"/>
      <c r="AMM102" s="88"/>
      <c r="AMN102" s="88"/>
      <c r="AMO102" s="88"/>
      <c r="AMP102" s="88"/>
      <c r="AMQ102" s="88"/>
      <c r="AMR102" s="88"/>
      <c r="AMS102" s="88"/>
      <c r="AMT102" s="88"/>
      <c r="AMU102" s="88"/>
      <c r="AMV102" s="88"/>
      <c r="AMW102" s="88"/>
      <c r="AMX102" s="88"/>
      <c r="AMY102" s="88"/>
      <c r="AMZ102" s="88"/>
      <c r="ANA102" s="88"/>
      <c r="ANB102" s="88"/>
      <c r="ANC102" s="88"/>
      <c r="AND102" s="88"/>
      <c r="ANE102" s="88"/>
      <c r="ANF102" s="88"/>
      <c r="ANG102" s="88"/>
      <c r="ANH102" s="88"/>
      <c r="ANI102" s="88"/>
      <c r="ANJ102" s="88"/>
      <c r="ANK102" s="88"/>
      <c r="ANL102" s="88"/>
      <c r="ANM102" s="88"/>
      <c r="ANN102" s="88"/>
      <c r="ANO102" s="88"/>
      <c r="ANP102" s="88"/>
      <c r="ANQ102" s="88"/>
      <c r="ANR102" s="88"/>
      <c r="ANS102" s="88"/>
      <c r="ANT102" s="88"/>
      <c r="ANU102" s="88"/>
      <c r="ANV102" s="88"/>
      <c r="ANW102" s="88"/>
      <c r="ANX102" s="88"/>
      <c r="ANY102" s="88"/>
      <c r="ANZ102" s="88"/>
      <c r="AOA102" s="88"/>
      <c r="AOB102" s="88"/>
      <c r="AOC102" s="88"/>
      <c r="AOD102" s="88"/>
      <c r="AOE102" s="88"/>
      <c r="AOF102" s="88"/>
      <c r="AOG102" s="88"/>
      <c r="AOH102" s="88"/>
      <c r="AOI102" s="88"/>
      <c r="AOJ102" s="88"/>
      <c r="AOK102" s="88"/>
      <c r="AOL102" s="88"/>
      <c r="AOM102" s="88"/>
      <c r="AON102" s="88"/>
      <c r="AOO102" s="88"/>
      <c r="AOP102" s="88"/>
      <c r="AOQ102" s="88"/>
      <c r="AOR102" s="88"/>
      <c r="AOS102" s="88"/>
      <c r="AOT102" s="88"/>
      <c r="AOU102" s="88"/>
      <c r="AOV102" s="88"/>
      <c r="AOW102" s="88"/>
      <c r="AOX102" s="88"/>
      <c r="AOY102" s="88"/>
      <c r="AOZ102" s="88"/>
      <c r="APA102" s="88"/>
      <c r="APB102" s="88"/>
      <c r="APC102" s="88"/>
      <c r="APD102" s="88"/>
      <c r="APE102" s="88"/>
      <c r="APF102" s="88"/>
      <c r="APG102" s="88"/>
      <c r="APH102" s="88"/>
      <c r="API102" s="88"/>
      <c r="APJ102" s="88"/>
      <c r="APK102" s="88"/>
      <c r="APL102" s="88"/>
      <c r="APM102" s="88"/>
      <c r="APN102" s="88"/>
      <c r="APO102" s="88"/>
      <c r="APP102" s="88"/>
      <c r="APQ102" s="88"/>
      <c r="APR102" s="88"/>
      <c r="APS102" s="88"/>
      <c r="APT102" s="88"/>
      <c r="APU102" s="88"/>
      <c r="APV102" s="88"/>
      <c r="APW102" s="88"/>
      <c r="APX102" s="88"/>
      <c r="APY102" s="88"/>
      <c r="APZ102" s="88"/>
      <c r="AQA102" s="88"/>
      <c r="AQB102" s="88"/>
      <c r="AQC102" s="88"/>
      <c r="AQD102" s="88"/>
      <c r="AQE102" s="88"/>
      <c r="AQF102" s="88"/>
      <c r="AQG102" s="88"/>
      <c r="AQH102" s="88"/>
      <c r="AQI102" s="88"/>
      <c r="AQJ102" s="88"/>
      <c r="AQK102" s="88"/>
      <c r="AQL102" s="88"/>
      <c r="AQM102" s="88"/>
      <c r="AQN102" s="88"/>
      <c r="AQO102" s="88"/>
      <c r="AQP102" s="88"/>
      <c r="AQQ102" s="88"/>
      <c r="AQR102" s="88"/>
      <c r="AQS102" s="88"/>
      <c r="AQT102" s="88"/>
      <c r="AQU102" s="88"/>
      <c r="AQV102" s="88"/>
      <c r="AQW102" s="88"/>
      <c r="AQX102" s="88"/>
      <c r="AQY102" s="88"/>
      <c r="AQZ102" s="88"/>
      <c r="ARA102" s="88"/>
      <c r="ARB102" s="88"/>
      <c r="ARC102" s="88"/>
      <c r="ARD102" s="88"/>
      <c r="ARE102" s="88"/>
      <c r="ARF102" s="88"/>
      <c r="ARG102" s="88"/>
      <c r="ARH102" s="88"/>
      <c r="ARI102" s="88"/>
      <c r="ARJ102" s="88"/>
      <c r="ARK102" s="88"/>
      <c r="ARL102" s="88"/>
      <c r="ARM102" s="88"/>
      <c r="ARN102" s="88"/>
      <c r="ARO102" s="88"/>
      <c r="ARP102" s="88"/>
      <c r="ARQ102" s="88"/>
      <c r="ARR102" s="88"/>
      <c r="ARS102" s="88"/>
      <c r="ART102" s="88"/>
      <c r="ARU102" s="88"/>
      <c r="ARV102" s="88"/>
      <c r="ARW102" s="88"/>
      <c r="ARX102" s="88"/>
      <c r="ARY102" s="88"/>
      <c r="ARZ102" s="88"/>
      <c r="ASA102" s="88"/>
      <c r="ASB102" s="88"/>
      <c r="ASC102" s="88"/>
      <c r="ASD102" s="88"/>
      <c r="ASE102" s="88"/>
      <c r="ASF102" s="88"/>
      <c r="ASG102" s="88"/>
      <c r="ASH102" s="88"/>
      <c r="ASI102" s="88"/>
      <c r="ASJ102" s="88"/>
      <c r="ASK102" s="88"/>
      <c r="ASL102" s="88"/>
      <c r="ASM102" s="88"/>
      <c r="ASN102" s="88"/>
      <c r="ASO102" s="88"/>
      <c r="ASP102" s="88"/>
      <c r="ASQ102" s="88"/>
      <c r="ASR102" s="88"/>
      <c r="ASS102" s="88"/>
      <c r="AST102" s="88"/>
      <c r="ASU102" s="88"/>
      <c r="ASV102" s="88"/>
      <c r="ASW102" s="88"/>
      <c r="ASX102" s="88"/>
      <c r="ASY102" s="88"/>
      <c r="ASZ102" s="88"/>
      <c r="ATA102" s="88"/>
      <c r="ATB102" s="88"/>
      <c r="ATC102" s="88"/>
      <c r="ATD102" s="88"/>
      <c r="ATE102" s="88"/>
      <c r="ATF102" s="88"/>
      <c r="ATG102" s="88"/>
      <c r="ATH102" s="88"/>
      <c r="ATI102" s="88"/>
      <c r="ATJ102" s="88"/>
      <c r="ATK102" s="88"/>
      <c r="ATL102" s="88"/>
      <c r="ATM102" s="88"/>
      <c r="ATN102" s="88"/>
      <c r="ATO102" s="88"/>
      <c r="ATP102" s="88"/>
      <c r="ATQ102" s="88"/>
      <c r="ATR102" s="88"/>
      <c r="ATS102" s="88"/>
      <c r="ATT102" s="88"/>
      <c r="ATU102" s="88"/>
      <c r="ATV102" s="88"/>
      <c r="ATW102" s="88"/>
      <c r="ATX102" s="88"/>
      <c r="ATY102" s="88"/>
      <c r="ATZ102" s="88"/>
      <c r="AUA102" s="88"/>
      <c r="AUB102" s="88"/>
      <c r="AUC102" s="88"/>
      <c r="AUD102" s="88"/>
      <c r="AUE102" s="88"/>
      <c r="AUF102" s="88"/>
      <c r="AUG102" s="88"/>
      <c r="AUH102" s="88"/>
      <c r="AUI102" s="88"/>
      <c r="AUJ102" s="88"/>
      <c r="AUK102" s="88"/>
      <c r="AUL102" s="88"/>
      <c r="AUM102" s="88"/>
      <c r="AUN102" s="88"/>
      <c r="AUO102" s="88"/>
      <c r="AUP102" s="88"/>
      <c r="AUQ102" s="88"/>
      <c r="AUR102" s="88"/>
      <c r="AUS102" s="88"/>
      <c r="AUT102" s="88"/>
      <c r="AUU102" s="88"/>
      <c r="AUV102" s="88"/>
      <c r="AUW102" s="88"/>
      <c r="AUX102" s="88"/>
      <c r="AUY102" s="88"/>
      <c r="AUZ102" s="88"/>
      <c r="AVA102" s="88"/>
      <c r="AVB102" s="88"/>
      <c r="AVC102" s="88"/>
      <c r="AVD102" s="88"/>
      <c r="AVE102" s="88"/>
      <c r="AVF102" s="88"/>
      <c r="AVG102" s="88"/>
      <c r="AVH102" s="88"/>
      <c r="AVI102" s="88"/>
      <c r="AVJ102" s="88"/>
      <c r="AVK102" s="88"/>
      <c r="AVL102" s="88"/>
      <c r="AVM102" s="88"/>
      <c r="AVN102" s="88"/>
      <c r="AVO102" s="88"/>
      <c r="AVP102" s="88"/>
      <c r="AVQ102" s="88"/>
      <c r="AVR102" s="88"/>
      <c r="AVS102" s="88"/>
      <c r="AVT102" s="88"/>
      <c r="AVU102" s="88"/>
      <c r="AVV102" s="88"/>
      <c r="AVW102" s="88"/>
      <c r="AVX102" s="88"/>
      <c r="AVY102" s="88"/>
      <c r="AVZ102" s="88"/>
      <c r="AWA102" s="88"/>
      <c r="AWB102" s="88"/>
      <c r="AWC102" s="88"/>
      <c r="AWD102" s="88"/>
      <c r="AWE102" s="88"/>
      <c r="AWF102" s="88"/>
      <c r="AWG102" s="88"/>
      <c r="AWH102" s="88"/>
      <c r="AWI102" s="88"/>
      <c r="AWJ102" s="88"/>
      <c r="AWK102" s="88"/>
      <c r="AWL102" s="88"/>
      <c r="AWM102" s="88"/>
      <c r="AWN102" s="88"/>
      <c r="AWO102" s="88"/>
      <c r="AWP102" s="88"/>
      <c r="AWQ102" s="88"/>
      <c r="AWR102" s="88"/>
      <c r="AWS102" s="88"/>
      <c r="AWT102" s="88"/>
      <c r="AWU102" s="88"/>
      <c r="AWV102" s="88"/>
      <c r="AWW102" s="88"/>
      <c r="AWX102" s="88"/>
      <c r="AWY102" s="88"/>
      <c r="AWZ102" s="88"/>
      <c r="AXA102" s="88"/>
      <c r="AXB102" s="88"/>
      <c r="AXC102" s="88"/>
      <c r="AXD102" s="88"/>
      <c r="AXE102" s="88"/>
      <c r="AXF102" s="88"/>
      <c r="AXG102" s="88"/>
      <c r="AXH102" s="88"/>
      <c r="AXI102" s="88"/>
      <c r="AXJ102" s="88"/>
      <c r="AXK102" s="88"/>
      <c r="AXL102" s="88"/>
      <c r="AXM102" s="88"/>
      <c r="AXN102" s="88"/>
      <c r="AXO102" s="88"/>
      <c r="AXP102" s="88"/>
      <c r="AXQ102" s="88"/>
      <c r="AXR102" s="88"/>
      <c r="AXS102" s="88"/>
      <c r="AXT102" s="88"/>
      <c r="AXU102" s="88"/>
      <c r="AXV102" s="88"/>
      <c r="AXW102" s="88"/>
      <c r="AXX102" s="88"/>
      <c r="AXY102" s="88"/>
      <c r="AXZ102" s="88"/>
      <c r="AYA102" s="88"/>
      <c r="AYB102" s="88"/>
      <c r="AYC102" s="88"/>
      <c r="AYD102" s="88"/>
      <c r="AYE102" s="88"/>
      <c r="AYF102" s="88"/>
      <c r="AYG102" s="88"/>
      <c r="AYH102" s="88"/>
      <c r="AYI102" s="88"/>
      <c r="AYJ102" s="88"/>
      <c r="AYK102" s="88"/>
      <c r="AYL102" s="88"/>
      <c r="AYM102" s="88"/>
      <c r="AYN102" s="88"/>
      <c r="AYO102" s="88"/>
      <c r="AYP102" s="88"/>
      <c r="AYQ102" s="88"/>
      <c r="AYR102" s="88"/>
      <c r="AYS102" s="88"/>
      <c r="AYT102" s="88"/>
      <c r="AYU102" s="88"/>
      <c r="AYV102" s="88"/>
      <c r="AYW102" s="88"/>
      <c r="AYX102" s="88"/>
      <c r="AYY102" s="88"/>
      <c r="AYZ102" s="88"/>
      <c r="AZA102" s="88"/>
      <c r="AZB102" s="88"/>
      <c r="AZC102" s="88"/>
      <c r="AZD102" s="88"/>
      <c r="AZE102" s="88"/>
      <c r="AZF102" s="88"/>
      <c r="AZG102" s="88"/>
      <c r="AZH102" s="88"/>
      <c r="AZI102" s="88"/>
      <c r="AZJ102" s="88"/>
      <c r="AZK102" s="88"/>
      <c r="AZL102" s="88"/>
      <c r="AZM102" s="88"/>
      <c r="AZN102" s="88"/>
      <c r="AZO102" s="88"/>
      <c r="AZP102" s="88"/>
      <c r="AZQ102" s="88"/>
      <c r="AZR102" s="88"/>
      <c r="AZS102" s="88"/>
      <c r="AZT102" s="88"/>
      <c r="AZU102" s="88"/>
      <c r="AZV102" s="88"/>
      <c r="AZW102" s="88"/>
      <c r="AZX102" s="88"/>
      <c r="AZY102" s="88"/>
      <c r="AZZ102" s="88"/>
      <c r="BAA102" s="88"/>
      <c r="BAB102" s="88"/>
      <c r="BAC102" s="88"/>
      <c r="BAD102" s="88"/>
      <c r="BAE102" s="88"/>
      <c r="BAF102" s="88"/>
      <c r="BAG102" s="88"/>
      <c r="BAH102" s="88"/>
      <c r="BAI102" s="88"/>
      <c r="BAJ102" s="88"/>
      <c r="BAK102" s="88"/>
      <c r="BAL102" s="88"/>
      <c r="BAM102" s="88"/>
      <c r="BAN102" s="88"/>
      <c r="BAO102" s="88"/>
      <c r="BAP102" s="88"/>
      <c r="BAQ102" s="88"/>
      <c r="BAR102" s="88"/>
      <c r="BAS102" s="88"/>
      <c r="BAT102" s="88"/>
      <c r="BAU102" s="88"/>
      <c r="BAV102" s="88"/>
      <c r="BAW102" s="88"/>
      <c r="BAX102" s="88"/>
      <c r="BAY102" s="88"/>
      <c r="BAZ102" s="88"/>
      <c r="BBA102" s="88"/>
      <c r="BBB102" s="88"/>
      <c r="BBC102" s="88"/>
      <c r="BBD102" s="88"/>
      <c r="BBE102" s="88"/>
      <c r="BBF102" s="88"/>
      <c r="BBG102" s="88"/>
      <c r="BBH102" s="88"/>
      <c r="BBI102" s="88"/>
      <c r="BBJ102" s="88"/>
      <c r="BBK102" s="88"/>
      <c r="BBL102" s="88"/>
      <c r="BBM102" s="88"/>
      <c r="BBN102" s="88"/>
      <c r="BBO102" s="88"/>
      <c r="BBP102" s="88"/>
      <c r="BBQ102" s="88"/>
      <c r="BBR102" s="88"/>
      <c r="BBS102" s="88"/>
      <c r="BBT102" s="88"/>
      <c r="BBU102" s="88"/>
      <c r="BBV102" s="88"/>
      <c r="BBW102" s="88"/>
      <c r="BBX102" s="88"/>
      <c r="BBY102" s="88"/>
      <c r="BBZ102" s="88"/>
      <c r="BCA102" s="88"/>
      <c r="BCB102" s="88"/>
      <c r="BCC102" s="88"/>
      <c r="BCD102" s="88"/>
      <c r="BCE102" s="88"/>
      <c r="BCF102" s="88"/>
      <c r="BCG102" s="88"/>
      <c r="BCH102" s="88"/>
      <c r="BCI102" s="88"/>
      <c r="BCJ102" s="88"/>
      <c r="BCK102" s="88"/>
      <c r="BCL102" s="88"/>
      <c r="BCM102" s="88"/>
      <c r="BCN102" s="88"/>
      <c r="BCO102" s="88"/>
      <c r="BCP102" s="88"/>
      <c r="BCQ102" s="88"/>
      <c r="BCR102" s="88"/>
      <c r="BCS102" s="88"/>
      <c r="BCT102" s="88"/>
      <c r="BCU102" s="88"/>
      <c r="BCV102" s="88"/>
      <c r="BCW102" s="88"/>
      <c r="BCX102" s="88"/>
      <c r="BCY102" s="88"/>
      <c r="BCZ102" s="88"/>
      <c r="BDA102" s="88"/>
      <c r="BDB102" s="88"/>
      <c r="BDC102" s="88"/>
      <c r="BDD102" s="88"/>
      <c r="BDE102" s="88"/>
      <c r="BDF102" s="88"/>
      <c r="BDG102" s="88"/>
      <c r="BDH102" s="88"/>
      <c r="BDI102" s="88"/>
      <c r="BDJ102" s="88"/>
      <c r="BDK102" s="88"/>
      <c r="BDL102" s="88"/>
      <c r="BDM102" s="88"/>
      <c r="BDN102" s="88"/>
      <c r="BDO102" s="88"/>
      <c r="BDP102" s="88"/>
      <c r="BDQ102" s="88"/>
      <c r="BDR102" s="88"/>
      <c r="BDS102" s="88"/>
      <c r="BDT102" s="88"/>
      <c r="BDU102" s="88"/>
      <c r="BDV102" s="88"/>
      <c r="BDW102" s="88"/>
      <c r="BDX102" s="88"/>
      <c r="BDY102" s="88"/>
      <c r="BDZ102" s="88"/>
      <c r="BEA102" s="88"/>
      <c r="BEB102" s="88"/>
      <c r="BEC102" s="88"/>
      <c r="BED102" s="88"/>
      <c r="BEE102" s="88"/>
      <c r="BEF102" s="88"/>
      <c r="BEG102" s="88"/>
      <c r="BEH102" s="88"/>
      <c r="BEI102" s="88"/>
      <c r="BEJ102" s="88"/>
      <c r="BEK102" s="88"/>
      <c r="BEL102" s="88"/>
      <c r="BEM102" s="88"/>
      <c r="BEN102" s="88"/>
      <c r="BEO102" s="88"/>
      <c r="BEP102" s="88"/>
      <c r="BEQ102" s="88"/>
      <c r="BER102" s="88"/>
      <c r="BES102" s="88"/>
      <c r="BET102" s="88"/>
      <c r="BEU102" s="88"/>
      <c r="BEV102" s="88"/>
      <c r="BEW102" s="88"/>
      <c r="BEX102" s="88"/>
      <c r="BEY102" s="88"/>
      <c r="BEZ102" s="88"/>
      <c r="BFA102" s="88"/>
      <c r="BFB102" s="88"/>
      <c r="BFC102" s="88"/>
      <c r="BFD102" s="88"/>
      <c r="BFE102" s="88"/>
      <c r="BFF102" s="88"/>
      <c r="BFG102" s="88"/>
      <c r="BFH102" s="88"/>
      <c r="BFI102" s="88"/>
      <c r="BFJ102" s="88"/>
      <c r="BFK102" s="88"/>
      <c r="BFL102" s="88"/>
      <c r="BFM102" s="88"/>
      <c r="BFN102" s="88"/>
      <c r="BFO102" s="88"/>
      <c r="BFP102" s="88"/>
      <c r="BFQ102" s="88"/>
      <c r="BFR102" s="88"/>
      <c r="BFS102" s="88"/>
      <c r="BFT102" s="88"/>
      <c r="BFU102" s="88"/>
      <c r="BFV102" s="88"/>
      <c r="BFW102" s="88"/>
      <c r="BFX102" s="88"/>
      <c r="BFY102" s="88"/>
      <c r="BFZ102" s="88"/>
      <c r="BGA102" s="88"/>
      <c r="BGB102" s="88"/>
      <c r="BGC102" s="88"/>
      <c r="BGD102" s="88"/>
      <c r="BGE102" s="88"/>
      <c r="BGF102" s="88"/>
      <c r="BGG102" s="88"/>
      <c r="BGH102" s="88"/>
      <c r="BGI102" s="88"/>
      <c r="BGJ102" s="88"/>
      <c r="BGK102" s="88"/>
      <c r="BGL102" s="88"/>
      <c r="BGM102" s="88"/>
      <c r="BGN102" s="88"/>
      <c r="BGO102" s="88"/>
      <c r="BGP102" s="88"/>
      <c r="BGQ102" s="88"/>
      <c r="BGR102" s="88"/>
      <c r="BGS102" s="88"/>
      <c r="BGT102" s="88"/>
      <c r="BGU102" s="88"/>
      <c r="BGV102" s="88"/>
      <c r="BGW102" s="88"/>
      <c r="BGX102" s="88"/>
      <c r="BGY102" s="88"/>
      <c r="BGZ102" s="88"/>
      <c r="BHA102" s="88"/>
      <c r="BHB102" s="88"/>
      <c r="BHC102" s="88"/>
      <c r="BHD102" s="88"/>
      <c r="BHE102" s="88"/>
      <c r="BHF102" s="88"/>
      <c r="BHG102" s="88"/>
      <c r="BHH102" s="88"/>
      <c r="BHI102" s="88"/>
      <c r="BHJ102" s="88"/>
      <c r="BHK102" s="88"/>
      <c r="BHL102" s="88"/>
      <c r="BHM102" s="88"/>
      <c r="BHN102" s="88"/>
      <c r="BHO102" s="88"/>
      <c r="BHP102" s="88"/>
      <c r="BHQ102" s="88"/>
      <c r="BHR102" s="88"/>
      <c r="BHS102" s="88"/>
      <c r="BHT102" s="88"/>
      <c r="BHU102" s="88"/>
      <c r="BHV102" s="88"/>
      <c r="BHW102" s="88"/>
      <c r="BHX102" s="88"/>
      <c r="BHY102" s="88"/>
      <c r="BHZ102" s="88"/>
      <c r="BIA102" s="88"/>
      <c r="BIB102" s="88"/>
      <c r="BIC102" s="88"/>
      <c r="BID102" s="88"/>
      <c r="BIE102" s="88"/>
      <c r="BIF102" s="88"/>
      <c r="BIG102" s="88"/>
      <c r="BIH102" s="88"/>
      <c r="BII102" s="88"/>
      <c r="BIJ102" s="88"/>
      <c r="BIK102" s="88"/>
      <c r="BIL102" s="88"/>
      <c r="BIM102" s="88"/>
      <c r="BIN102" s="88"/>
      <c r="BIO102" s="88"/>
      <c r="BIP102" s="88"/>
      <c r="BIQ102" s="88"/>
      <c r="BIR102" s="88"/>
      <c r="BIS102" s="88"/>
      <c r="BIT102" s="88"/>
      <c r="BIU102" s="88"/>
      <c r="BIV102" s="88"/>
      <c r="BIW102" s="88"/>
      <c r="BIX102" s="88"/>
      <c r="BIY102" s="88"/>
      <c r="BIZ102" s="88"/>
      <c r="BJA102" s="88"/>
      <c r="BJB102" s="88"/>
      <c r="BJC102" s="88"/>
      <c r="BJD102" s="88"/>
      <c r="BJE102" s="88"/>
      <c r="BJF102" s="88"/>
      <c r="BJG102" s="88"/>
      <c r="BJH102" s="88"/>
      <c r="BJI102" s="88"/>
      <c r="BJJ102" s="88"/>
      <c r="BJK102" s="88"/>
      <c r="BJL102" s="88"/>
      <c r="BJM102" s="88"/>
      <c r="BJN102" s="88"/>
      <c r="BJO102" s="88"/>
      <c r="BJP102" s="88"/>
      <c r="BJQ102" s="88"/>
      <c r="BJR102" s="88"/>
      <c r="BJS102" s="88"/>
      <c r="BJT102" s="88"/>
      <c r="BJU102" s="88"/>
      <c r="BJV102" s="88"/>
      <c r="BJW102" s="88"/>
      <c r="BJX102" s="88"/>
      <c r="BJY102" s="88"/>
      <c r="BJZ102" s="88"/>
      <c r="BKA102" s="88"/>
      <c r="BKB102" s="88"/>
      <c r="BKC102" s="88"/>
      <c r="BKD102" s="88"/>
      <c r="BKE102" s="88"/>
      <c r="BKF102" s="88"/>
      <c r="BKG102" s="88"/>
      <c r="BKH102" s="88"/>
      <c r="BKI102" s="88"/>
      <c r="BKJ102" s="88"/>
      <c r="BKK102" s="88"/>
      <c r="BKL102" s="88"/>
      <c r="BKM102" s="88"/>
      <c r="BKN102" s="88"/>
      <c r="BKO102" s="88"/>
      <c r="BKP102" s="88"/>
      <c r="BKQ102" s="88"/>
      <c r="BKR102" s="88"/>
      <c r="BKS102" s="88"/>
      <c r="BKT102" s="88"/>
      <c r="BKU102" s="88"/>
      <c r="BKV102" s="88"/>
      <c r="BKW102" s="88"/>
      <c r="BKX102" s="88"/>
      <c r="BKY102" s="88"/>
      <c r="BKZ102" s="88"/>
      <c r="BLA102" s="88"/>
      <c r="BLB102" s="88"/>
      <c r="BLC102" s="88"/>
      <c r="BLD102" s="88"/>
      <c r="BLE102" s="88"/>
      <c r="BLF102" s="88"/>
      <c r="BLG102" s="88"/>
      <c r="BLH102" s="88"/>
      <c r="BLI102" s="88"/>
      <c r="BLJ102" s="88"/>
      <c r="BLK102" s="88"/>
      <c r="BLL102" s="88"/>
      <c r="BLM102" s="88"/>
      <c r="BLN102" s="88"/>
      <c r="BLO102" s="88"/>
      <c r="BLP102" s="88"/>
      <c r="BLQ102" s="88"/>
      <c r="BLR102" s="88"/>
      <c r="BLS102" s="88"/>
      <c r="BLT102" s="88"/>
      <c r="BLU102" s="88"/>
      <c r="BLV102" s="88"/>
      <c r="BLW102" s="88"/>
      <c r="BLX102" s="88"/>
      <c r="BLY102" s="88"/>
      <c r="BLZ102" s="88"/>
      <c r="BMA102" s="88"/>
      <c r="BMB102" s="88"/>
      <c r="BMC102" s="88"/>
      <c r="BMD102" s="88"/>
      <c r="BME102" s="88"/>
      <c r="BMF102" s="88"/>
      <c r="BMG102" s="88"/>
      <c r="BMH102" s="88"/>
      <c r="BMI102" s="88"/>
      <c r="BMJ102" s="88"/>
      <c r="BMK102" s="88"/>
      <c r="BML102" s="88"/>
      <c r="BMM102" s="88"/>
      <c r="BMN102" s="88"/>
      <c r="BMO102" s="88"/>
      <c r="BMP102" s="88"/>
      <c r="BMQ102" s="88"/>
      <c r="BMR102" s="88"/>
      <c r="BMS102" s="88"/>
      <c r="BMT102" s="88"/>
      <c r="BMU102" s="88"/>
      <c r="BMV102" s="88"/>
      <c r="BMW102" s="88"/>
      <c r="BMX102" s="88"/>
      <c r="BMY102" s="88"/>
      <c r="BMZ102" s="88"/>
      <c r="BNA102" s="88"/>
      <c r="BNB102" s="88"/>
      <c r="BNC102" s="88"/>
      <c r="BND102" s="88"/>
      <c r="BNE102" s="88"/>
      <c r="BNF102" s="88"/>
      <c r="BNG102" s="88"/>
      <c r="BNH102" s="88"/>
      <c r="BNI102" s="88"/>
      <c r="BNJ102" s="88"/>
      <c r="BNK102" s="88"/>
      <c r="BNL102" s="88"/>
      <c r="BNM102" s="88"/>
      <c r="BNN102" s="88"/>
      <c r="BNO102" s="88"/>
      <c r="BNP102" s="88"/>
      <c r="BNQ102" s="88"/>
      <c r="BNR102" s="88"/>
      <c r="BNS102" s="88"/>
      <c r="BNT102" s="88"/>
      <c r="BNU102" s="88"/>
      <c r="BNV102" s="88"/>
      <c r="BNW102" s="88"/>
      <c r="BNX102" s="88"/>
      <c r="BNY102" s="88"/>
      <c r="BNZ102" s="88"/>
      <c r="BOA102" s="88"/>
      <c r="BOB102" s="88"/>
      <c r="BOC102" s="88"/>
      <c r="BOD102" s="88"/>
      <c r="BOE102" s="88"/>
      <c r="BOF102" s="88"/>
      <c r="BOG102" s="88"/>
      <c r="BOH102" s="88"/>
      <c r="BOI102" s="88"/>
      <c r="BOJ102" s="88"/>
      <c r="BOK102" s="88"/>
      <c r="BOL102" s="88"/>
      <c r="BOM102" s="88"/>
      <c r="BON102" s="88"/>
      <c r="BOO102" s="88"/>
      <c r="BOP102" s="88"/>
      <c r="BOQ102" s="88"/>
      <c r="BOR102" s="88"/>
      <c r="BOS102" s="88"/>
      <c r="BOT102" s="88"/>
      <c r="BOU102" s="88"/>
      <c r="BOV102" s="88"/>
      <c r="BOW102" s="88"/>
      <c r="BOX102" s="88"/>
      <c r="BOY102" s="88"/>
      <c r="BOZ102" s="88"/>
      <c r="BPA102" s="88"/>
      <c r="BPB102" s="88"/>
      <c r="BPC102" s="88"/>
      <c r="BPD102" s="88"/>
      <c r="BPE102" s="88"/>
      <c r="BPF102" s="88"/>
      <c r="BPG102" s="88"/>
      <c r="BPH102" s="88"/>
      <c r="BPI102" s="88"/>
      <c r="BPJ102" s="88"/>
      <c r="BPK102" s="88"/>
      <c r="BPL102" s="88"/>
      <c r="BPM102" s="88"/>
      <c r="BPN102" s="88"/>
      <c r="BPO102" s="88"/>
      <c r="BPP102" s="88"/>
      <c r="BPQ102" s="88"/>
      <c r="BPR102" s="88"/>
      <c r="BPS102" s="88"/>
      <c r="BPT102" s="88"/>
      <c r="BPU102" s="88"/>
      <c r="BPV102" s="88"/>
      <c r="BPW102" s="88"/>
      <c r="BPX102" s="88"/>
      <c r="BPY102" s="88"/>
      <c r="BPZ102" s="88"/>
      <c r="BQA102" s="88"/>
      <c r="BQB102" s="88"/>
      <c r="BQC102" s="88"/>
      <c r="BQD102" s="88"/>
      <c r="BQE102" s="88"/>
      <c r="BQF102" s="88"/>
      <c r="BQG102" s="88"/>
      <c r="BQH102" s="88"/>
      <c r="BQI102" s="88"/>
      <c r="BQJ102" s="88"/>
      <c r="BQK102" s="88"/>
      <c r="BQL102" s="88"/>
      <c r="BQM102" s="88"/>
      <c r="BQN102" s="88"/>
      <c r="BQO102" s="88"/>
      <c r="BQP102" s="88"/>
      <c r="BQQ102" s="88"/>
      <c r="BQR102" s="88"/>
      <c r="BQS102" s="88"/>
      <c r="BQT102" s="88"/>
      <c r="BQU102" s="88"/>
      <c r="BQV102" s="88"/>
      <c r="BQW102" s="88"/>
      <c r="BQX102" s="88"/>
      <c r="BQY102" s="88"/>
      <c r="BQZ102" s="88"/>
      <c r="BRA102" s="88"/>
      <c r="BRB102" s="88"/>
      <c r="BRC102" s="88"/>
      <c r="BRD102" s="88"/>
      <c r="BRE102" s="88"/>
      <c r="BRF102" s="88"/>
      <c r="BRG102" s="88"/>
      <c r="BRH102" s="88"/>
      <c r="BRI102" s="88"/>
      <c r="BRJ102" s="88"/>
      <c r="BRK102" s="88"/>
      <c r="BRL102" s="88"/>
      <c r="BRM102" s="88"/>
      <c r="BRN102" s="88"/>
      <c r="BRO102" s="88"/>
      <c r="BRP102" s="88"/>
      <c r="BRQ102" s="88"/>
      <c r="BRR102" s="88"/>
      <c r="BRS102" s="88"/>
      <c r="BRT102" s="88"/>
      <c r="BRU102" s="88"/>
      <c r="BRV102" s="88"/>
      <c r="BRW102" s="88"/>
      <c r="BRX102" s="88"/>
      <c r="BRY102" s="88"/>
      <c r="BRZ102" s="88"/>
      <c r="BSA102" s="88"/>
      <c r="BSB102" s="88"/>
      <c r="BSC102" s="88"/>
      <c r="BSD102" s="88"/>
      <c r="BSE102" s="88"/>
      <c r="BSF102" s="88"/>
      <c r="BSG102" s="88"/>
      <c r="BSH102" s="88"/>
      <c r="BSI102" s="88"/>
      <c r="BSJ102" s="88"/>
      <c r="BSK102" s="88"/>
      <c r="BSL102" s="88"/>
      <c r="BSM102" s="88"/>
      <c r="BSN102" s="88"/>
      <c r="BSO102" s="88"/>
      <c r="BSP102" s="88"/>
      <c r="BSQ102" s="88"/>
      <c r="BSR102" s="88"/>
      <c r="BSS102" s="88"/>
      <c r="BST102" s="88"/>
      <c r="BSU102" s="88"/>
      <c r="BSV102" s="88"/>
      <c r="BSW102" s="88"/>
      <c r="BSX102" s="88"/>
      <c r="BSY102" s="88"/>
      <c r="BSZ102" s="88"/>
      <c r="BTA102" s="88"/>
      <c r="BTB102" s="88"/>
      <c r="BTC102" s="88"/>
      <c r="BTD102" s="88"/>
      <c r="BTE102" s="88"/>
      <c r="BTF102" s="88"/>
      <c r="BTG102" s="88"/>
      <c r="BTH102" s="88"/>
      <c r="BTI102" s="88"/>
      <c r="BTJ102" s="88"/>
      <c r="BTK102" s="88"/>
      <c r="BTL102" s="88"/>
      <c r="BTM102" s="88"/>
      <c r="BTN102" s="88"/>
      <c r="BTO102" s="88"/>
      <c r="BTP102" s="88"/>
      <c r="BTQ102" s="88"/>
      <c r="BTR102" s="88"/>
      <c r="BTS102" s="88"/>
      <c r="BTT102" s="88"/>
      <c r="BTU102" s="88"/>
      <c r="BTV102" s="88"/>
      <c r="BTW102" s="88"/>
      <c r="BTX102" s="88"/>
      <c r="BTY102" s="88"/>
      <c r="BTZ102" s="88"/>
      <c r="BUA102" s="88"/>
      <c r="BUB102" s="88"/>
      <c r="BUC102" s="88"/>
      <c r="BUD102" s="88"/>
      <c r="BUE102" s="88"/>
      <c r="BUF102" s="88"/>
      <c r="BUG102" s="88"/>
      <c r="BUH102" s="88"/>
      <c r="BUI102" s="88"/>
      <c r="BUJ102" s="88"/>
      <c r="BUK102" s="88"/>
      <c r="BUL102" s="88"/>
      <c r="BUM102" s="88"/>
      <c r="BUN102" s="88"/>
      <c r="BUO102" s="88"/>
      <c r="BUP102" s="88"/>
      <c r="BUQ102" s="88"/>
      <c r="BUR102" s="88"/>
      <c r="BUS102" s="88"/>
      <c r="BUT102" s="88"/>
      <c r="BUU102" s="88"/>
      <c r="BUV102" s="88"/>
      <c r="BUW102" s="88"/>
      <c r="BUX102" s="88"/>
      <c r="BUY102" s="88"/>
      <c r="BUZ102" s="88"/>
      <c r="BVA102" s="88"/>
      <c r="BVB102" s="88"/>
      <c r="BVC102" s="88"/>
      <c r="BVD102" s="88"/>
      <c r="BVE102" s="88"/>
      <c r="BVF102" s="88"/>
      <c r="BVG102" s="88"/>
      <c r="BVH102" s="88"/>
      <c r="BVI102" s="88"/>
      <c r="BVJ102" s="88"/>
      <c r="BVK102" s="88"/>
      <c r="BVL102" s="88"/>
      <c r="BVM102" s="88"/>
      <c r="BVN102" s="88"/>
      <c r="BVO102" s="88"/>
      <c r="BVP102" s="88"/>
      <c r="BVQ102" s="88"/>
      <c r="BVR102" s="88"/>
      <c r="BVS102" s="88"/>
      <c r="BVT102" s="88"/>
      <c r="BVU102" s="88"/>
      <c r="BVV102" s="88"/>
      <c r="BVW102" s="88"/>
      <c r="BVX102" s="88"/>
      <c r="BVY102" s="88"/>
      <c r="BVZ102" s="88"/>
      <c r="BWA102" s="88"/>
      <c r="BWB102" s="88"/>
      <c r="BWC102" s="88"/>
      <c r="BWD102" s="88"/>
      <c r="BWE102" s="88"/>
      <c r="BWF102" s="88"/>
      <c r="BWG102" s="88"/>
      <c r="BWH102" s="88"/>
      <c r="BWI102" s="88"/>
      <c r="BWJ102" s="88"/>
      <c r="BWK102" s="88"/>
      <c r="BWL102" s="88"/>
      <c r="BWM102" s="88"/>
      <c r="BWN102" s="88"/>
      <c r="BWO102" s="88"/>
      <c r="BWP102" s="88"/>
      <c r="BWQ102" s="88"/>
      <c r="BWR102" s="88"/>
      <c r="BWS102" s="88"/>
      <c r="BWT102" s="88"/>
      <c r="BWU102" s="88"/>
      <c r="BWV102" s="88"/>
      <c r="BWW102" s="88"/>
      <c r="BWX102" s="88"/>
      <c r="BWY102" s="88"/>
      <c r="BWZ102" s="88"/>
      <c r="BXA102" s="88"/>
      <c r="BXB102" s="88"/>
      <c r="BXC102" s="88"/>
      <c r="BXD102" s="88"/>
      <c r="BXE102" s="88"/>
      <c r="BXF102" s="88"/>
      <c r="BXG102" s="88"/>
      <c r="BXH102" s="88"/>
      <c r="BXI102" s="88"/>
      <c r="BXJ102" s="88"/>
      <c r="BXK102" s="88"/>
      <c r="BXL102" s="88"/>
      <c r="BXM102" s="88"/>
      <c r="BXN102" s="88"/>
      <c r="BXO102" s="88"/>
      <c r="BXP102" s="88"/>
      <c r="BXQ102" s="88"/>
      <c r="BXR102" s="88"/>
      <c r="BXS102" s="88"/>
      <c r="BXT102" s="88"/>
      <c r="BXU102" s="88"/>
      <c r="BXV102" s="88"/>
      <c r="BXW102" s="88"/>
      <c r="BXX102" s="88"/>
      <c r="BXY102" s="88"/>
      <c r="BXZ102" s="88"/>
      <c r="BYA102" s="88"/>
      <c r="BYB102" s="88"/>
      <c r="BYC102" s="88"/>
      <c r="BYD102" s="88"/>
      <c r="BYE102" s="88"/>
      <c r="BYF102" s="88"/>
      <c r="BYG102" s="88"/>
      <c r="BYH102" s="88"/>
      <c r="BYI102" s="88"/>
      <c r="BYJ102" s="88"/>
      <c r="BYK102" s="88"/>
      <c r="BYL102" s="88"/>
      <c r="BYM102" s="88"/>
      <c r="BYN102" s="88"/>
      <c r="BYO102" s="88"/>
      <c r="BYP102" s="88"/>
      <c r="BYQ102" s="88"/>
      <c r="BYR102" s="88"/>
      <c r="BYS102" s="88"/>
      <c r="BYT102" s="88"/>
      <c r="BYU102" s="88"/>
      <c r="BYV102" s="88"/>
      <c r="BYW102" s="88"/>
      <c r="BYX102" s="88"/>
      <c r="BYY102" s="88"/>
      <c r="BYZ102" s="88"/>
      <c r="BZA102" s="88"/>
      <c r="BZB102" s="88"/>
      <c r="BZC102" s="88"/>
      <c r="BZD102" s="88"/>
      <c r="BZE102" s="88"/>
      <c r="BZF102" s="88"/>
      <c r="BZG102" s="88"/>
      <c r="BZH102" s="88"/>
      <c r="BZI102" s="88"/>
      <c r="BZJ102" s="88"/>
      <c r="BZK102" s="88"/>
      <c r="BZL102" s="88"/>
      <c r="BZM102" s="88"/>
      <c r="BZN102" s="88"/>
      <c r="BZO102" s="88"/>
      <c r="BZP102" s="88"/>
      <c r="BZQ102" s="88"/>
      <c r="BZR102" s="88"/>
      <c r="BZS102" s="88"/>
      <c r="BZT102" s="88"/>
      <c r="BZU102" s="88"/>
      <c r="BZV102" s="88"/>
      <c r="BZW102" s="88"/>
      <c r="BZX102" s="88"/>
      <c r="BZY102" s="88"/>
      <c r="BZZ102" s="88"/>
      <c r="CAA102" s="88"/>
      <c r="CAB102" s="88"/>
      <c r="CAC102" s="88"/>
      <c r="CAD102" s="88"/>
      <c r="CAE102" s="88"/>
      <c r="CAF102" s="88"/>
      <c r="CAG102" s="88"/>
      <c r="CAH102" s="88"/>
      <c r="CAI102" s="88"/>
      <c r="CAJ102" s="88"/>
      <c r="CAK102" s="88"/>
      <c r="CAL102" s="88"/>
      <c r="CAM102" s="88"/>
      <c r="CAN102" s="88"/>
      <c r="CAO102" s="88"/>
      <c r="CAP102" s="88"/>
      <c r="CAQ102" s="88"/>
      <c r="CAR102" s="88"/>
      <c r="CAS102" s="88"/>
      <c r="CAT102" s="88"/>
      <c r="CAU102" s="88"/>
      <c r="CAV102" s="88"/>
      <c r="CAW102" s="88"/>
      <c r="CAX102" s="88"/>
      <c r="CAY102" s="88"/>
      <c r="CAZ102" s="88"/>
      <c r="CBA102" s="88"/>
      <c r="CBB102" s="88"/>
      <c r="CBC102" s="88"/>
      <c r="CBD102" s="88"/>
      <c r="CBE102" s="88"/>
      <c r="CBF102" s="88"/>
      <c r="CBG102" s="88"/>
      <c r="CBH102" s="88"/>
      <c r="CBI102" s="88"/>
      <c r="CBJ102" s="88"/>
      <c r="CBK102" s="88"/>
      <c r="CBL102" s="88"/>
      <c r="CBM102" s="88"/>
      <c r="CBN102" s="88"/>
      <c r="CBO102" s="88"/>
      <c r="CBP102" s="88"/>
      <c r="CBQ102" s="88"/>
      <c r="CBR102" s="88"/>
      <c r="CBS102" s="88"/>
      <c r="CBT102" s="88"/>
      <c r="CBU102" s="88"/>
      <c r="CBV102" s="88"/>
      <c r="CBW102" s="88"/>
      <c r="CBX102" s="88"/>
      <c r="CBY102" s="88"/>
      <c r="CBZ102" s="88"/>
      <c r="CCA102" s="88"/>
      <c r="CCB102" s="88"/>
      <c r="CCC102" s="88"/>
      <c r="CCD102" s="88"/>
      <c r="CCE102" s="88"/>
      <c r="CCF102" s="88"/>
      <c r="CCG102" s="88"/>
      <c r="CCH102" s="88"/>
      <c r="CCI102" s="88"/>
      <c r="CCJ102" s="88"/>
      <c r="CCK102" s="88"/>
      <c r="CCL102" s="88"/>
      <c r="CCM102" s="88"/>
      <c r="CCN102" s="88"/>
      <c r="CCO102" s="88"/>
      <c r="CCP102" s="88"/>
      <c r="CCQ102" s="88"/>
      <c r="CCR102" s="88"/>
      <c r="CCS102" s="88"/>
      <c r="CCT102" s="88"/>
      <c r="CCU102" s="88"/>
      <c r="CCV102" s="88"/>
      <c r="CCW102" s="88"/>
      <c r="CCX102" s="88"/>
      <c r="CCY102" s="88"/>
      <c r="CCZ102" s="88"/>
      <c r="CDA102" s="88"/>
      <c r="CDB102" s="88"/>
      <c r="CDC102" s="88"/>
      <c r="CDD102" s="88"/>
      <c r="CDE102" s="88"/>
      <c r="CDF102" s="88"/>
      <c r="CDG102" s="88"/>
      <c r="CDH102" s="88"/>
      <c r="CDI102" s="88"/>
      <c r="CDJ102" s="88"/>
      <c r="CDK102" s="88"/>
      <c r="CDL102" s="88"/>
      <c r="CDM102" s="88"/>
      <c r="CDN102" s="88"/>
      <c r="CDO102" s="88"/>
      <c r="CDP102" s="88"/>
      <c r="CDQ102" s="88"/>
      <c r="CDR102" s="88"/>
      <c r="CDS102" s="88"/>
      <c r="CDT102" s="88"/>
      <c r="CDU102" s="88"/>
      <c r="CDV102" s="88"/>
      <c r="CDW102" s="88"/>
      <c r="CDX102" s="88"/>
      <c r="CDY102" s="88"/>
      <c r="CDZ102" s="88"/>
      <c r="CEA102" s="88"/>
      <c r="CEB102" s="88"/>
      <c r="CEC102" s="88"/>
      <c r="CED102" s="88"/>
      <c r="CEE102" s="88"/>
      <c r="CEF102" s="88"/>
      <c r="CEG102" s="88"/>
      <c r="CEH102" s="88"/>
      <c r="CEI102" s="88"/>
      <c r="CEJ102" s="88"/>
      <c r="CEK102" s="88"/>
    </row>
    <row r="103" spans="1:2169" s="63" customFormat="1">
      <c r="A103" s="73" t="s">
        <v>796</v>
      </c>
      <c r="B103" s="71" t="s">
        <v>518</v>
      </c>
      <c r="C103" s="68" t="str">
        <f>IF('page 2'!$O$4="","",IF('page 2'!$O$4=Gestion!A103,1,0))</f>
        <v/>
      </c>
      <c r="D103" s="68" t="str">
        <f>IF('page 2'!$O$5="","",IF('page 2'!$O$5=Gestion!A103,1,0))</f>
        <v/>
      </c>
      <c r="E103" s="68" t="str">
        <f>IF('page 2'!$O$6="","",IF('page 2'!$O$6=Gestion!A103,1,0))</f>
        <v/>
      </c>
      <c r="F103" s="68" t="str">
        <f>IF('page 2'!$O$7="","",IF('page 2'!$O$7=Gestion!A103,1,0))</f>
        <v/>
      </c>
      <c r="G103" s="68" t="str">
        <f>IF('page 2'!$O$8="","",IF('page 2'!$O$8=Gestion!A103,1,0))</f>
        <v/>
      </c>
      <c r="H103" s="68" t="str">
        <f>IF('page 2'!$O$9="","",IF('page 2'!$O$9=Gestion!A103,1,0))</f>
        <v/>
      </c>
      <c r="I103" s="68" t="str">
        <f>IF('page 2'!$O$10="","",IF('page 2'!$O$10=Gestion!A103,1,0))</f>
        <v/>
      </c>
      <c r="J103" s="68" t="str">
        <f>IF('page 2'!$O$11="","",IF('page 2'!$O$11=Gestion!A103,1,0))</f>
        <v/>
      </c>
      <c r="K103" s="68" t="str">
        <f>IF('page 2'!$O$12="","",IF('page 2'!$O$12=Gestion!A103,1,0))</f>
        <v/>
      </c>
      <c r="L103" s="68" t="str">
        <f>IF('page 2'!$O$13="","",IF('page 2'!$O$13=Gestion!A103,1,0))</f>
        <v/>
      </c>
      <c r="M103" s="68" t="str">
        <f>IF('page 2'!$O$14="","",IF('page 2'!$O$14=Gestion!A103,1,0))</f>
        <v/>
      </c>
      <c r="N103" s="68" t="str">
        <f>IF('page 2'!$O$15="","",IF('page 2'!$O$15=Gestion!A103,1,0))</f>
        <v/>
      </c>
      <c r="O103" s="68" t="str">
        <f>IF('page 2'!$O$16="","",IF('page 2'!$O$16=Gestion!A103,1,0))</f>
        <v/>
      </c>
      <c r="P103" s="68" t="str">
        <f>IF('page 2'!$O$17="","",IF('page 2'!$O$17=Gestion!A103,1,0))</f>
        <v/>
      </c>
      <c r="Q103" s="68" t="str">
        <f>IF('page 2'!$O$18="","",IF('page 2'!$O$18=Gestion!A103,1,0))</f>
        <v/>
      </c>
      <c r="R103" s="68" t="str">
        <f>IF('page 2'!$O$19="","",IF('page 2'!$O$19=Gestion!A103,1,0))</f>
        <v/>
      </c>
      <c r="S103" s="68" t="str">
        <f>IF('page 2'!$O$20="","",IF('page 2'!$O$20=Gestion!A103,1,0))</f>
        <v/>
      </c>
      <c r="T103" s="68" t="str">
        <f>IF('page 2'!$O$25="","",IF('page 2'!$O$25=Gestion!A103,1,0))</f>
        <v/>
      </c>
      <c r="U103" s="68" t="str">
        <f>IF('page 2'!$O$26="","",IF('page 2'!$O$26=Gestion!A103,1,0))</f>
        <v/>
      </c>
      <c r="V103" s="68" t="str">
        <f>IF('page 2'!$O$27="","",IF('page 2'!$O$27=Gestion!A103,1,0))</f>
        <v/>
      </c>
      <c r="W103" s="722">
        <f t="shared" si="14"/>
        <v>0</v>
      </c>
      <c r="X103" s="714"/>
      <c r="Y103" s="68"/>
      <c r="Z103" s="68"/>
      <c r="AA103" s="68"/>
      <c r="AB103" s="68"/>
      <c r="AC103" s="68"/>
      <c r="AD103" s="68"/>
      <c r="AP103" s="130"/>
      <c r="AQ103" s="130"/>
      <c r="AR103" s="130"/>
      <c r="AS103" s="576"/>
      <c r="AT103" s="576"/>
      <c r="AU103" s="576"/>
      <c r="AV103" s="576"/>
      <c r="AW103" s="602"/>
      <c r="AX103" s="602"/>
      <c r="AY103" s="576"/>
      <c r="AZ103" s="576"/>
      <c r="BA103" s="576"/>
      <c r="BB103" s="576"/>
      <c r="BC103" s="576"/>
      <c r="BD103" s="602"/>
      <c r="BE103" s="602"/>
      <c r="BF103" s="602"/>
      <c r="BG103" s="602"/>
      <c r="BH103" s="602"/>
      <c r="BI103" s="602"/>
      <c r="BJ103" s="602"/>
      <c r="BK103" s="602"/>
      <c r="BL103" s="602"/>
      <c r="BM103" s="602"/>
      <c r="BN103" s="602"/>
      <c r="BO103" s="602"/>
      <c r="BP103" s="602"/>
      <c r="BQ103" s="602"/>
      <c r="BR103" s="602"/>
      <c r="BS103" s="576"/>
      <c r="BT103" s="576"/>
      <c r="BU103" s="576"/>
      <c r="BV103" s="576"/>
      <c r="BW103" s="602"/>
      <c r="BX103" s="602"/>
      <c r="BY103" s="602"/>
      <c r="BZ103" s="576"/>
      <c r="CA103" s="602"/>
      <c r="CB103" s="602"/>
      <c r="CC103" s="576"/>
      <c r="CD103" s="576"/>
      <c r="CE103" s="602"/>
      <c r="CF103" s="576"/>
      <c r="CG103" s="576"/>
      <c r="CH103" s="576"/>
      <c r="CI103" s="576"/>
      <c r="CJ103" s="576"/>
      <c r="CK103" s="602"/>
      <c r="CL103" s="602"/>
      <c r="CM103" s="576"/>
      <c r="CN103" s="602"/>
      <c r="CO103" s="602"/>
      <c r="CP103" s="602"/>
      <c r="CQ103" s="576"/>
      <c r="CR103" s="576"/>
      <c r="CS103" s="602"/>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c r="HF103" s="88"/>
      <c r="HG103" s="88"/>
      <c r="HH103" s="88"/>
      <c r="HI103" s="88"/>
      <c r="HJ103" s="88"/>
      <c r="HK103" s="88"/>
      <c r="HL103" s="88"/>
      <c r="HM103" s="88"/>
      <c r="HN103" s="88"/>
      <c r="HO103" s="88"/>
      <c r="HP103" s="88"/>
      <c r="HQ103" s="88"/>
      <c r="HR103" s="88"/>
      <c r="HS103" s="88"/>
      <c r="HT103" s="88"/>
      <c r="HU103" s="88"/>
      <c r="HV103" s="88"/>
      <c r="HW103" s="88"/>
      <c r="HX103" s="88"/>
      <c r="HY103" s="88"/>
      <c r="HZ103" s="88"/>
      <c r="IA103" s="88"/>
      <c r="IB103" s="88"/>
      <c r="IC103" s="88"/>
      <c r="ID103" s="88"/>
      <c r="IE103" s="88"/>
      <c r="IF103" s="88"/>
      <c r="IG103" s="88"/>
      <c r="IH103" s="88"/>
      <c r="II103" s="88"/>
      <c r="IJ103" s="88"/>
      <c r="IK103" s="88"/>
      <c r="IL103" s="88"/>
      <c r="IM103" s="88"/>
      <c r="IN103" s="88"/>
      <c r="IO103" s="88"/>
      <c r="IP103" s="88"/>
      <c r="IQ103" s="88"/>
      <c r="IR103" s="88"/>
      <c r="IS103" s="88"/>
      <c r="IT103" s="88"/>
      <c r="IU103" s="88"/>
      <c r="IV103" s="88"/>
      <c r="IW103" s="88"/>
      <c r="IX103" s="88"/>
      <c r="IY103" s="88"/>
      <c r="IZ103" s="88"/>
      <c r="JA103" s="88"/>
      <c r="JB103" s="88"/>
      <c r="JC103" s="88"/>
      <c r="JD103" s="88"/>
      <c r="JE103" s="88"/>
      <c r="JF103" s="88"/>
      <c r="JG103" s="88"/>
      <c r="JH103" s="88"/>
      <c r="JI103" s="88"/>
      <c r="JJ103" s="88"/>
      <c r="JK103" s="88"/>
      <c r="JL103" s="88"/>
      <c r="JM103" s="88"/>
      <c r="JN103" s="88"/>
      <c r="JO103" s="88"/>
      <c r="JP103" s="88"/>
      <c r="JQ103" s="88"/>
      <c r="JR103" s="88"/>
      <c r="JS103" s="88"/>
      <c r="JT103" s="88"/>
      <c r="JU103" s="88"/>
      <c r="JV103" s="88"/>
      <c r="JW103" s="88"/>
      <c r="JX103" s="88"/>
      <c r="JY103" s="88"/>
      <c r="JZ103" s="88"/>
      <c r="KA103" s="88"/>
      <c r="KB103" s="88"/>
      <c r="KC103" s="88"/>
      <c r="KD103" s="88"/>
      <c r="KE103" s="88"/>
      <c r="KF103" s="88"/>
      <c r="KG103" s="88"/>
      <c r="KH103" s="88"/>
      <c r="KI103" s="88"/>
      <c r="KJ103" s="88"/>
      <c r="KK103" s="88"/>
      <c r="KL103" s="88"/>
      <c r="KM103" s="88"/>
      <c r="KN103" s="88"/>
      <c r="KO103" s="88"/>
      <c r="KP103" s="88"/>
      <c r="KQ103" s="88"/>
      <c r="KR103" s="88"/>
      <c r="KS103" s="88"/>
      <c r="KT103" s="88"/>
      <c r="KU103" s="88"/>
      <c r="KV103" s="88"/>
      <c r="KW103" s="88"/>
      <c r="KX103" s="88"/>
      <c r="KY103" s="88"/>
      <c r="KZ103" s="88"/>
      <c r="LA103" s="88"/>
      <c r="LB103" s="88"/>
      <c r="LC103" s="88"/>
      <c r="LD103" s="88"/>
      <c r="LE103" s="88"/>
      <c r="LF103" s="88"/>
      <c r="LG103" s="88"/>
      <c r="LH103" s="88"/>
      <c r="LI103" s="88"/>
      <c r="LJ103" s="88"/>
      <c r="LK103" s="88"/>
      <c r="LL103" s="88"/>
      <c r="LM103" s="88"/>
      <c r="LN103" s="88"/>
      <c r="LO103" s="88"/>
      <c r="LP103" s="88"/>
      <c r="LQ103" s="88"/>
      <c r="LR103" s="88"/>
      <c r="LS103" s="88"/>
      <c r="LT103" s="88"/>
      <c r="LU103" s="88"/>
      <c r="LV103" s="88"/>
      <c r="LW103" s="88"/>
      <c r="LX103" s="88"/>
      <c r="LY103" s="88"/>
      <c r="LZ103" s="88"/>
      <c r="MA103" s="88"/>
      <c r="MB103" s="88"/>
      <c r="MC103" s="88"/>
      <c r="MD103" s="88"/>
      <c r="ME103" s="88"/>
      <c r="MF103" s="88"/>
      <c r="MG103" s="88"/>
      <c r="MH103" s="88"/>
      <c r="MI103" s="88"/>
      <c r="MJ103" s="88"/>
      <c r="MK103" s="88"/>
      <c r="ML103" s="88"/>
      <c r="MM103" s="88"/>
      <c r="MN103" s="88"/>
      <c r="MO103" s="88"/>
      <c r="MP103" s="88"/>
      <c r="MQ103" s="88"/>
      <c r="MR103" s="88"/>
      <c r="MS103" s="88"/>
      <c r="MT103" s="88"/>
      <c r="MU103" s="88"/>
      <c r="MV103" s="88"/>
      <c r="MW103" s="88"/>
      <c r="MX103" s="88"/>
      <c r="MY103" s="88"/>
      <c r="MZ103" s="88"/>
      <c r="NA103" s="88"/>
      <c r="NB103" s="88"/>
      <c r="NC103" s="88"/>
      <c r="ND103" s="88"/>
      <c r="NE103" s="88"/>
      <c r="NF103" s="88"/>
      <c r="NG103" s="88"/>
      <c r="NH103" s="88"/>
      <c r="NI103" s="88"/>
      <c r="NJ103" s="88"/>
      <c r="NK103" s="88"/>
      <c r="NL103" s="88"/>
      <c r="NM103" s="88"/>
      <c r="NN103" s="88"/>
      <c r="NO103" s="88"/>
      <c r="NP103" s="88"/>
      <c r="NQ103" s="88"/>
      <c r="NR103" s="88"/>
      <c r="NS103" s="88"/>
      <c r="NT103" s="88"/>
      <c r="NU103" s="88"/>
      <c r="NV103" s="88"/>
      <c r="NW103" s="88"/>
      <c r="NX103" s="88"/>
      <c r="NY103" s="88"/>
      <c r="NZ103" s="88"/>
      <c r="OA103" s="88"/>
      <c r="OB103" s="88"/>
      <c r="OC103" s="88"/>
      <c r="OD103" s="88"/>
      <c r="OE103" s="88"/>
      <c r="OF103" s="88"/>
      <c r="OG103" s="88"/>
      <c r="OH103" s="88"/>
      <c r="OI103" s="88"/>
      <c r="OJ103" s="88"/>
      <c r="OK103" s="88"/>
      <c r="OL103" s="88"/>
      <c r="OM103" s="88"/>
      <c r="ON103" s="88"/>
      <c r="OO103" s="88"/>
      <c r="OP103" s="88"/>
      <c r="OQ103" s="88"/>
      <c r="OR103" s="88"/>
      <c r="OS103" s="88"/>
      <c r="OT103" s="88"/>
      <c r="OU103" s="88"/>
      <c r="OV103" s="88"/>
      <c r="OW103" s="88"/>
      <c r="OX103" s="88"/>
      <c r="OY103" s="88"/>
      <c r="OZ103" s="88"/>
      <c r="PA103" s="88"/>
      <c r="PB103" s="88"/>
      <c r="PC103" s="88"/>
      <c r="PD103" s="88"/>
      <c r="PE103" s="88"/>
      <c r="PF103" s="88"/>
      <c r="PG103" s="88"/>
      <c r="PH103" s="88"/>
      <c r="PI103" s="88"/>
      <c r="PJ103" s="88"/>
      <c r="PK103" s="88"/>
      <c r="PL103" s="88"/>
      <c r="PM103" s="88"/>
      <c r="PN103" s="88"/>
      <c r="PO103" s="88"/>
      <c r="PP103" s="88"/>
      <c r="PQ103" s="88"/>
      <c r="PR103" s="88"/>
      <c r="PS103" s="88"/>
      <c r="PT103" s="88"/>
      <c r="PU103" s="88"/>
      <c r="PV103" s="88"/>
      <c r="PW103" s="88"/>
      <c r="PX103" s="88"/>
      <c r="PY103" s="88"/>
      <c r="PZ103" s="88"/>
      <c r="QA103" s="88"/>
      <c r="QB103" s="88"/>
      <c r="QC103" s="88"/>
      <c r="QD103" s="88"/>
      <c r="QE103" s="88"/>
      <c r="QF103" s="88"/>
      <c r="QG103" s="88"/>
      <c r="QH103" s="88"/>
      <c r="QI103" s="88"/>
      <c r="QJ103" s="88"/>
      <c r="QK103" s="88"/>
      <c r="QL103" s="88"/>
      <c r="QM103" s="88"/>
      <c r="QN103" s="88"/>
      <c r="QO103" s="88"/>
      <c r="QP103" s="88"/>
      <c r="QQ103" s="88"/>
      <c r="QR103" s="88"/>
      <c r="QS103" s="88"/>
      <c r="QT103" s="88"/>
      <c r="QU103" s="88"/>
      <c r="QV103" s="88"/>
      <c r="QW103" s="88"/>
      <c r="QX103" s="88"/>
      <c r="QY103" s="88"/>
      <c r="QZ103" s="88"/>
      <c r="RA103" s="88"/>
      <c r="RB103" s="88"/>
      <c r="RC103" s="88"/>
      <c r="RD103" s="88"/>
      <c r="RE103" s="88"/>
      <c r="RF103" s="88"/>
      <c r="RG103" s="88"/>
      <c r="RH103" s="88"/>
      <c r="RI103" s="88"/>
      <c r="RJ103" s="88"/>
      <c r="RK103" s="88"/>
      <c r="RL103" s="88"/>
      <c r="RM103" s="88"/>
      <c r="RN103" s="88"/>
      <c r="RO103" s="88"/>
      <c r="RP103" s="88"/>
      <c r="RQ103" s="88"/>
      <c r="RR103" s="88"/>
      <c r="RS103" s="88"/>
      <c r="RT103" s="88"/>
      <c r="RU103" s="88"/>
      <c r="RV103" s="88"/>
      <c r="RW103" s="88"/>
      <c r="RX103" s="88"/>
      <c r="RY103" s="88"/>
      <c r="RZ103" s="88"/>
      <c r="SA103" s="88"/>
      <c r="SB103" s="88"/>
      <c r="SC103" s="88"/>
      <c r="SD103" s="88"/>
      <c r="SE103" s="88"/>
      <c r="SF103" s="88"/>
      <c r="SG103" s="88"/>
      <c r="SH103" s="88"/>
      <c r="SI103" s="88"/>
      <c r="SJ103" s="88"/>
      <c r="SK103" s="88"/>
      <c r="SL103" s="88"/>
      <c r="SM103" s="88"/>
      <c r="SN103" s="88"/>
      <c r="SO103" s="88"/>
      <c r="SP103" s="88"/>
      <c r="SQ103" s="88"/>
      <c r="SR103" s="88"/>
      <c r="SS103" s="88"/>
      <c r="ST103" s="88"/>
      <c r="SU103" s="88"/>
      <c r="SV103" s="88"/>
      <c r="SW103" s="88"/>
      <c r="SX103" s="88"/>
      <c r="SY103" s="88"/>
      <c r="SZ103" s="88"/>
      <c r="TA103" s="88"/>
      <c r="TB103" s="88"/>
      <c r="TC103" s="88"/>
      <c r="TD103" s="88"/>
      <c r="TE103" s="88"/>
      <c r="TF103" s="88"/>
      <c r="TG103" s="88"/>
      <c r="TH103" s="88"/>
      <c r="TI103" s="88"/>
      <c r="TJ103" s="88"/>
      <c r="TK103" s="88"/>
      <c r="TL103" s="88"/>
      <c r="TM103" s="88"/>
      <c r="TN103" s="88"/>
      <c r="TO103" s="88"/>
      <c r="TP103" s="88"/>
      <c r="TQ103" s="88"/>
      <c r="TR103" s="88"/>
      <c r="TS103" s="88"/>
      <c r="TT103" s="88"/>
      <c r="TU103" s="88"/>
      <c r="TV103" s="88"/>
      <c r="TW103" s="88"/>
      <c r="TX103" s="88"/>
      <c r="TY103" s="88"/>
      <c r="TZ103" s="88"/>
      <c r="UA103" s="88"/>
      <c r="UB103" s="88"/>
      <c r="UC103" s="88"/>
      <c r="UD103" s="88"/>
      <c r="UE103" s="88"/>
      <c r="UF103" s="88"/>
      <c r="UG103" s="88"/>
      <c r="UH103" s="88"/>
      <c r="UI103" s="88"/>
      <c r="UJ103" s="88"/>
      <c r="UK103" s="88"/>
      <c r="UL103" s="88"/>
      <c r="UM103" s="88"/>
      <c r="UN103" s="88"/>
      <c r="UO103" s="88"/>
      <c r="UP103" s="88"/>
      <c r="UQ103" s="88"/>
      <c r="UR103" s="88"/>
      <c r="US103" s="88"/>
      <c r="UT103" s="88"/>
      <c r="UU103" s="88"/>
      <c r="UV103" s="88"/>
      <c r="UW103" s="88"/>
      <c r="UX103" s="88"/>
      <c r="UY103" s="88"/>
      <c r="UZ103" s="88"/>
      <c r="VA103" s="88"/>
      <c r="VB103" s="88"/>
      <c r="VC103" s="88"/>
      <c r="VD103" s="88"/>
      <c r="VE103" s="88"/>
      <c r="VF103" s="88"/>
      <c r="VG103" s="88"/>
      <c r="VH103" s="88"/>
      <c r="VI103" s="88"/>
      <c r="VJ103" s="88"/>
      <c r="VK103" s="88"/>
      <c r="VL103" s="88"/>
      <c r="VM103" s="88"/>
      <c r="VN103" s="88"/>
      <c r="VO103" s="88"/>
      <c r="VP103" s="88"/>
      <c r="VQ103" s="88"/>
      <c r="VR103" s="88"/>
      <c r="VS103" s="88"/>
      <c r="VT103" s="88"/>
      <c r="VU103" s="88"/>
      <c r="VV103" s="88"/>
      <c r="VW103" s="88"/>
      <c r="VX103" s="88"/>
      <c r="VY103" s="88"/>
      <c r="VZ103" s="88"/>
      <c r="WA103" s="88"/>
      <c r="WB103" s="88"/>
      <c r="WC103" s="88"/>
      <c r="WD103" s="88"/>
      <c r="WE103" s="88"/>
      <c r="WF103" s="88"/>
      <c r="WG103" s="88"/>
      <c r="WH103" s="88"/>
      <c r="WI103" s="88"/>
      <c r="WJ103" s="88"/>
      <c r="WK103" s="88"/>
      <c r="WL103" s="88"/>
      <c r="WM103" s="88"/>
      <c r="WN103" s="88"/>
      <c r="WO103" s="88"/>
      <c r="WP103" s="88"/>
      <c r="WQ103" s="88"/>
      <c r="WR103" s="88"/>
      <c r="WS103" s="88"/>
      <c r="WT103" s="88"/>
      <c r="WU103" s="88"/>
      <c r="WV103" s="88"/>
      <c r="WW103" s="88"/>
      <c r="WX103" s="88"/>
      <c r="WY103" s="88"/>
      <c r="WZ103" s="88"/>
      <c r="XA103" s="88"/>
      <c r="XB103" s="88"/>
      <c r="XC103" s="88"/>
      <c r="XD103" s="88"/>
      <c r="XE103" s="88"/>
      <c r="XF103" s="88"/>
      <c r="XG103" s="88"/>
      <c r="XH103" s="88"/>
      <c r="XI103" s="88"/>
      <c r="XJ103" s="88"/>
      <c r="XK103" s="88"/>
      <c r="XL103" s="88"/>
      <c r="XM103" s="88"/>
      <c r="XN103" s="88"/>
      <c r="XO103" s="88"/>
      <c r="XP103" s="88"/>
      <c r="XQ103" s="88"/>
      <c r="XR103" s="88"/>
      <c r="XS103" s="88"/>
      <c r="XT103" s="88"/>
      <c r="XU103" s="88"/>
      <c r="XV103" s="88"/>
      <c r="XW103" s="88"/>
      <c r="XX103" s="88"/>
      <c r="XY103" s="88"/>
      <c r="XZ103" s="88"/>
      <c r="YA103" s="88"/>
      <c r="YB103" s="88"/>
      <c r="YC103" s="88"/>
      <c r="YD103" s="88"/>
      <c r="YE103" s="88"/>
      <c r="YF103" s="88"/>
      <c r="YG103" s="88"/>
      <c r="YH103" s="88"/>
      <c r="YI103" s="88"/>
      <c r="YJ103" s="88"/>
      <c r="YK103" s="88"/>
      <c r="YL103" s="88"/>
      <c r="YM103" s="88"/>
      <c r="YN103" s="88"/>
      <c r="YO103" s="88"/>
      <c r="YP103" s="88"/>
      <c r="YQ103" s="88"/>
      <c r="YR103" s="88"/>
      <c r="YS103" s="88"/>
      <c r="YT103" s="88"/>
      <c r="YU103" s="88"/>
      <c r="YV103" s="88"/>
      <c r="YW103" s="88"/>
      <c r="YX103" s="88"/>
      <c r="YY103" s="88"/>
      <c r="YZ103" s="88"/>
      <c r="ZA103" s="88"/>
      <c r="ZB103" s="88"/>
      <c r="ZC103" s="88"/>
      <c r="ZD103" s="88"/>
      <c r="ZE103" s="88"/>
      <c r="ZF103" s="88"/>
      <c r="ZG103" s="88"/>
      <c r="ZH103" s="88"/>
      <c r="ZI103" s="88"/>
      <c r="ZJ103" s="88"/>
      <c r="ZK103" s="88"/>
      <c r="ZL103" s="88"/>
      <c r="ZM103" s="88"/>
      <c r="ZN103" s="88"/>
      <c r="ZO103" s="88"/>
      <c r="ZP103" s="88"/>
      <c r="ZQ103" s="88"/>
      <c r="ZR103" s="88"/>
      <c r="ZS103" s="88"/>
      <c r="ZT103" s="88"/>
      <c r="ZU103" s="88"/>
      <c r="ZV103" s="88"/>
      <c r="ZW103" s="88"/>
      <c r="ZX103" s="88"/>
      <c r="ZY103" s="88"/>
      <c r="ZZ103" s="88"/>
      <c r="AAA103" s="88"/>
      <c r="AAB103" s="88"/>
      <c r="AAC103" s="88"/>
      <c r="AAD103" s="88"/>
      <c r="AAE103" s="88"/>
      <c r="AAF103" s="88"/>
      <c r="AAG103" s="88"/>
      <c r="AAH103" s="88"/>
      <c r="AAI103" s="88"/>
      <c r="AAJ103" s="88"/>
      <c r="AAK103" s="88"/>
      <c r="AAL103" s="88"/>
      <c r="AAM103" s="88"/>
      <c r="AAN103" s="88"/>
      <c r="AAO103" s="88"/>
      <c r="AAP103" s="88"/>
      <c r="AAQ103" s="88"/>
      <c r="AAR103" s="88"/>
      <c r="AAS103" s="88"/>
      <c r="AAT103" s="88"/>
      <c r="AAU103" s="88"/>
      <c r="AAV103" s="88"/>
      <c r="AAW103" s="88"/>
      <c r="AAX103" s="88"/>
      <c r="AAY103" s="88"/>
      <c r="AAZ103" s="88"/>
      <c r="ABA103" s="88"/>
      <c r="ABB103" s="88"/>
      <c r="ABC103" s="88"/>
      <c r="ABD103" s="88"/>
      <c r="ABE103" s="88"/>
      <c r="ABF103" s="88"/>
      <c r="ABG103" s="88"/>
      <c r="ABH103" s="88"/>
      <c r="ABI103" s="88"/>
      <c r="ABJ103" s="88"/>
      <c r="ABK103" s="88"/>
      <c r="ABL103" s="88"/>
      <c r="ABM103" s="88"/>
      <c r="ABN103" s="88"/>
      <c r="ABO103" s="88"/>
      <c r="ABP103" s="88"/>
      <c r="ABQ103" s="88"/>
      <c r="ABR103" s="88"/>
      <c r="ABS103" s="88"/>
      <c r="ABT103" s="88"/>
      <c r="ABU103" s="88"/>
      <c r="ABV103" s="88"/>
      <c r="ABW103" s="88"/>
      <c r="ABX103" s="88"/>
      <c r="ABY103" s="88"/>
      <c r="ABZ103" s="88"/>
      <c r="ACA103" s="88"/>
      <c r="ACB103" s="88"/>
      <c r="ACC103" s="88"/>
      <c r="ACD103" s="88"/>
      <c r="ACE103" s="88"/>
      <c r="ACF103" s="88"/>
      <c r="ACG103" s="88"/>
      <c r="ACH103" s="88"/>
      <c r="ACI103" s="88"/>
      <c r="ACJ103" s="88"/>
      <c r="ACK103" s="88"/>
      <c r="ACL103" s="88"/>
      <c r="ACM103" s="88"/>
      <c r="ACN103" s="88"/>
      <c r="ACO103" s="88"/>
      <c r="ACP103" s="88"/>
      <c r="ACQ103" s="88"/>
      <c r="ACR103" s="88"/>
      <c r="ACS103" s="88"/>
      <c r="ACT103" s="88"/>
      <c r="ACU103" s="88"/>
      <c r="ACV103" s="88"/>
      <c r="ACW103" s="88"/>
      <c r="ACX103" s="88"/>
      <c r="ACY103" s="88"/>
      <c r="ACZ103" s="88"/>
      <c r="ADA103" s="88"/>
      <c r="ADB103" s="88"/>
      <c r="ADC103" s="88"/>
      <c r="ADD103" s="88"/>
      <c r="ADE103" s="88"/>
      <c r="ADF103" s="88"/>
      <c r="ADG103" s="88"/>
      <c r="ADH103" s="88"/>
      <c r="ADI103" s="88"/>
      <c r="ADJ103" s="88"/>
      <c r="ADK103" s="88"/>
      <c r="ADL103" s="88"/>
      <c r="ADM103" s="88"/>
      <c r="ADN103" s="88"/>
      <c r="ADO103" s="88"/>
      <c r="ADP103" s="88"/>
      <c r="ADQ103" s="88"/>
      <c r="ADR103" s="88"/>
      <c r="ADS103" s="88"/>
      <c r="ADT103" s="88"/>
      <c r="ADU103" s="88"/>
      <c r="ADV103" s="88"/>
      <c r="ADW103" s="88"/>
      <c r="ADX103" s="88"/>
      <c r="ADY103" s="88"/>
      <c r="ADZ103" s="88"/>
      <c r="AEA103" s="88"/>
      <c r="AEB103" s="88"/>
      <c r="AEC103" s="88"/>
      <c r="AED103" s="88"/>
      <c r="AEE103" s="88"/>
      <c r="AEF103" s="88"/>
      <c r="AEG103" s="88"/>
      <c r="AEH103" s="88"/>
      <c r="AEI103" s="88"/>
      <c r="AEJ103" s="88"/>
      <c r="AEK103" s="88"/>
      <c r="AEL103" s="88"/>
      <c r="AEM103" s="88"/>
      <c r="AEN103" s="88"/>
      <c r="AEO103" s="88"/>
      <c r="AEP103" s="88"/>
      <c r="AEQ103" s="88"/>
      <c r="AER103" s="88"/>
      <c r="AES103" s="88"/>
      <c r="AET103" s="88"/>
      <c r="AEU103" s="88"/>
      <c r="AEV103" s="88"/>
      <c r="AEW103" s="88"/>
      <c r="AEX103" s="88"/>
      <c r="AEY103" s="88"/>
      <c r="AEZ103" s="88"/>
      <c r="AFA103" s="88"/>
      <c r="AFB103" s="88"/>
      <c r="AFC103" s="88"/>
      <c r="AFD103" s="88"/>
      <c r="AFE103" s="88"/>
      <c r="AFF103" s="88"/>
      <c r="AFG103" s="88"/>
      <c r="AFH103" s="88"/>
      <c r="AFI103" s="88"/>
      <c r="AFJ103" s="88"/>
      <c r="AFK103" s="88"/>
      <c r="AFL103" s="88"/>
      <c r="AFM103" s="88"/>
      <c r="AFN103" s="88"/>
      <c r="AFO103" s="88"/>
      <c r="AFP103" s="88"/>
      <c r="AFQ103" s="88"/>
      <c r="AFR103" s="88"/>
      <c r="AFS103" s="88"/>
      <c r="AFT103" s="88"/>
      <c r="AFU103" s="88"/>
      <c r="AFV103" s="88"/>
      <c r="AFW103" s="88"/>
      <c r="AFX103" s="88"/>
      <c r="AFY103" s="88"/>
      <c r="AFZ103" s="88"/>
      <c r="AGA103" s="88"/>
      <c r="AGB103" s="88"/>
      <c r="AGC103" s="88"/>
      <c r="AGD103" s="88"/>
      <c r="AGE103" s="88"/>
      <c r="AGF103" s="88"/>
      <c r="AGG103" s="88"/>
      <c r="AGH103" s="88"/>
      <c r="AGI103" s="88"/>
      <c r="AGJ103" s="88"/>
      <c r="AGK103" s="88"/>
      <c r="AGL103" s="88"/>
      <c r="AGM103" s="88"/>
      <c r="AGN103" s="88"/>
      <c r="AGO103" s="88"/>
      <c r="AGP103" s="88"/>
      <c r="AGQ103" s="88"/>
      <c r="AGR103" s="88"/>
      <c r="AGS103" s="88"/>
      <c r="AGT103" s="88"/>
      <c r="AGU103" s="88"/>
      <c r="AGV103" s="88"/>
      <c r="AGW103" s="88"/>
      <c r="AGX103" s="88"/>
      <c r="AGY103" s="88"/>
      <c r="AGZ103" s="88"/>
      <c r="AHA103" s="88"/>
      <c r="AHB103" s="88"/>
      <c r="AHC103" s="88"/>
      <c r="AHD103" s="88"/>
      <c r="AHE103" s="88"/>
      <c r="AHF103" s="88"/>
      <c r="AHG103" s="88"/>
      <c r="AHH103" s="88"/>
      <c r="AHI103" s="88"/>
      <c r="AHJ103" s="88"/>
      <c r="AHK103" s="88"/>
      <c r="AHL103" s="88"/>
      <c r="AHM103" s="88"/>
      <c r="AHN103" s="88"/>
      <c r="AHO103" s="88"/>
      <c r="AHP103" s="88"/>
      <c r="AHQ103" s="88"/>
      <c r="AHR103" s="88"/>
      <c r="AHS103" s="88"/>
      <c r="AHT103" s="88"/>
      <c r="AHU103" s="88"/>
      <c r="AHV103" s="88"/>
      <c r="AHW103" s="88"/>
      <c r="AHX103" s="88"/>
      <c r="AHY103" s="88"/>
      <c r="AHZ103" s="88"/>
      <c r="AIA103" s="88"/>
      <c r="AIB103" s="88"/>
      <c r="AIC103" s="88"/>
      <c r="AID103" s="88"/>
      <c r="AIE103" s="88"/>
      <c r="AIF103" s="88"/>
      <c r="AIG103" s="88"/>
      <c r="AIH103" s="88"/>
      <c r="AII103" s="88"/>
      <c r="AIJ103" s="88"/>
      <c r="AIK103" s="88"/>
      <c r="AIL103" s="88"/>
      <c r="AIM103" s="88"/>
      <c r="AIN103" s="88"/>
      <c r="AIO103" s="88"/>
      <c r="AIP103" s="88"/>
      <c r="AIQ103" s="88"/>
      <c r="AIR103" s="88"/>
      <c r="AIS103" s="88"/>
      <c r="AIT103" s="88"/>
      <c r="AIU103" s="88"/>
      <c r="AIV103" s="88"/>
      <c r="AIW103" s="88"/>
      <c r="AIX103" s="88"/>
      <c r="AIY103" s="88"/>
      <c r="AIZ103" s="88"/>
      <c r="AJA103" s="88"/>
      <c r="AJB103" s="88"/>
      <c r="AJC103" s="88"/>
      <c r="AJD103" s="88"/>
      <c r="AJE103" s="88"/>
      <c r="AJF103" s="88"/>
      <c r="AJG103" s="88"/>
      <c r="AJH103" s="88"/>
      <c r="AJI103" s="88"/>
      <c r="AJJ103" s="88"/>
      <c r="AJK103" s="88"/>
      <c r="AJL103" s="88"/>
      <c r="AJM103" s="88"/>
      <c r="AJN103" s="88"/>
      <c r="AJO103" s="88"/>
      <c r="AJP103" s="88"/>
      <c r="AJQ103" s="88"/>
      <c r="AJR103" s="88"/>
      <c r="AJS103" s="88"/>
      <c r="AJT103" s="88"/>
      <c r="AJU103" s="88"/>
      <c r="AJV103" s="88"/>
      <c r="AJW103" s="88"/>
      <c r="AJX103" s="88"/>
      <c r="AJY103" s="88"/>
      <c r="AJZ103" s="88"/>
      <c r="AKA103" s="88"/>
      <c r="AKB103" s="88"/>
      <c r="AKC103" s="88"/>
      <c r="AKD103" s="88"/>
      <c r="AKE103" s="88"/>
      <c r="AKF103" s="88"/>
      <c r="AKG103" s="88"/>
      <c r="AKH103" s="88"/>
      <c r="AKI103" s="88"/>
      <c r="AKJ103" s="88"/>
      <c r="AKK103" s="88"/>
      <c r="AKL103" s="88"/>
      <c r="AKM103" s="88"/>
      <c r="AKN103" s="88"/>
      <c r="AKO103" s="88"/>
      <c r="AKP103" s="88"/>
      <c r="AKQ103" s="88"/>
      <c r="AKR103" s="88"/>
      <c r="AKS103" s="88"/>
      <c r="AKT103" s="88"/>
      <c r="AKU103" s="88"/>
      <c r="AKV103" s="88"/>
      <c r="AKW103" s="88"/>
      <c r="AKX103" s="88"/>
      <c r="AKY103" s="88"/>
      <c r="AKZ103" s="88"/>
      <c r="ALA103" s="88"/>
      <c r="ALB103" s="88"/>
      <c r="ALC103" s="88"/>
      <c r="ALD103" s="88"/>
      <c r="ALE103" s="88"/>
      <c r="ALF103" s="88"/>
      <c r="ALG103" s="88"/>
      <c r="ALH103" s="88"/>
      <c r="ALI103" s="88"/>
      <c r="ALJ103" s="88"/>
      <c r="ALK103" s="88"/>
      <c r="ALL103" s="88"/>
      <c r="ALM103" s="88"/>
      <c r="ALN103" s="88"/>
      <c r="ALO103" s="88"/>
      <c r="ALP103" s="88"/>
      <c r="ALQ103" s="88"/>
      <c r="ALR103" s="88"/>
      <c r="ALS103" s="88"/>
      <c r="ALT103" s="88"/>
      <c r="ALU103" s="88"/>
      <c r="ALV103" s="88"/>
      <c r="ALW103" s="88"/>
      <c r="ALX103" s="88"/>
      <c r="ALY103" s="88"/>
      <c r="ALZ103" s="88"/>
      <c r="AMA103" s="88"/>
      <c r="AMB103" s="88"/>
      <c r="AMC103" s="88"/>
      <c r="AMD103" s="88"/>
      <c r="AME103" s="88"/>
      <c r="AMF103" s="88"/>
      <c r="AMG103" s="88"/>
      <c r="AMH103" s="88"/>
      <c r="AMI103" s="88"/>
      <c r="AMJ103" s="88"/>
      <c r="AMK103" s="88"/>
      <c r="AML103" s="88"/>
      <c r="AMM103" s="88"/>
      <c r="AMN103" s="88"/>
      <c r="AMO103" s="88"/>
      <c r="AMP103" s="88"/>
      <c r="AMQ103" s="88"/>
      <c r="AMR103" s="88"/>
      <c r="AMS103" s="88"/>
      <c r="AMT103" s="88"/>
      <c r="AMU103" s="88"/>
      <c r="AMV103" s="88"/>
      <c r="AMW103" s="88"/>
      <c r="AMX103" s="88"/>
      <c r="AMY103" s="88"/>
      <c r="AMZ103" s="88"/>
      <c r="ANA103" s="88"/>
      <c r="ANB103" s="88"/>
      <c r="ANC103" s="88"/>
      <c r="AND103" s="88"/>
      <c r="ANE103" s="88"/>
      <c r="ANF103" s="88"/>
      <c r="ANG103" s="88"/>
      <c r="ANH103" s="88"/>
      <c r="ANI103" s="88"/>
      <c r="ANJ103" s="88"/>
      <c r="ANK103" s="88"/>
      <c r="ANL103" s="88"/>
      <c r="ANM103" s="88"/>
      <c r="ANN103" s="88"/>
      <c r="ANO103" s="88"/>
      <c r="ANP103" s="88"/>
      <c r="ANQ103" s="88"/>
      <c r="ANR103" s="88"/>
      <c r="ANS103" s="88"/>
      <c r="ANT103" s="88"/>
      <c r="ANU103" s="88"/>
      <c r="ANV103" s="88"/>
      <c r="ANW103" s="88"/>
      <c r="ANX103" s="88"/>
      <c r="ANY103" s="88"/>
      <c r="ANZ103" s="88"/>
      <c r="AOA103" s="88"/>
      <c r="AOB103" s="88"/>
      <c r="AOC103" s="88"/>
      <c r="AOD103" s="88"/>
      <c r="AOE103" s="88"/>
      <c r="AOF103" s="88"/>
      <c r="AOG103" s="88"/>
      <c r="AOH103" s="88"/>
      <c r="AOI103" s="88"/>
      <c r="AOJ103" s="88"/>
      <c r="AOK103" s="88"/>
      <c r="AOL103" s="88"/>
      <c r="AOM103" s="88"/>
      <c r="AON103" s="88"/>
      <c r="AOO103" s="88"/>
      <c r="AOP103" s="88"/>
      <c r="AOQ103" s="88"/>
      <c r="AOR103" s="88"/>
      <c r="AOS103" s="88"/>
      <c r="AOT103" s="88"/>
      <c r="AOU103" s="88"/>
      <c r="AOV103" s="88"/>
      <c r="AOW103" s="88"/>
      <c r="AOX103" s="88"/>
      <c r="AOY103" s="88"/>
      <c r="AOZ103" s="88"/>
      <c r="APA103" s="88"/>
      <c r="APB103" s="88"/>
      <c r="APC103" s="88"/>
      <c r="APD103" s="88"/>
      <c r="APE103" s="88"/>
      <c r="APF103" s="88"/>
      <c r="APG103" s="88"/>
      <c r="APH103" s="88"/>
      <c r="API103" s="88"/>
      <c r="APJ103" s="88"/>
      <c r="APK103" s="88"/>
      <c r="APL103" s="88"/>
      <c r="APM103" s="88"/>
      <c r="APN103" s="88"/>
      <c r="APO103" s="88"/>
      <c r="APP103" s="88"/>
      <c r="APQ103" s="88"/>
      <c r="APR103" s="88"/>
      <c r="APS103" s="88"/>
      <c r="APT103" s="88"/>
      <c r="APU103" s="88"/>
      <c r="APV103" s="88"/>
      <c r="APW103" s="88"/>
      <c r="APX103" s="88"/>
      <c r="APY103" s="88"/>
      <c r="APZ103" s="88"/>
      <c r="AQA103" s="88"/>
      <c r="AQB103" s="88"/>
      <c r="AQC103" s="88"/>
      <c r="AQD103" s="88"/>
      <c r="AQE103" s="88"/>
      <c r="AQF103" s="88"/>
      <c r="AQG103" s="88"/>
      <c r="AQH103" s="88"/>
      <c r="AQI103" s="88"/>
      <c r="AQJ103" s="88"/>
      <c r="AQK103" s="88"/>
      <c r="AQL103" s="88"/>
      <c r="AQM103" s="88"/>
      <c r="AQN103" s="88"/>
      <c r="AQO103" s="88"/>
      <c r="AQP103" s="88"/>
      <c r="AQQ103" s="88"/>
      <c r="AQR103" s="88"/>
      <c r="AQS103" s="88"/>
      <c r="AQT103" s="88"/>
      <c r="AQU103" s="88"/>
      <c r="AQV103" s="88"/>
      <c r="AQW103" s="88"/>
      <c r="AQX103" s="88"/>
      <c r="AQY103" s="88"/>
      <c r="AQZ103" s="88"/>
      <c r="ARA103" s="88"/>
      <c r="ARB103" s="88"/>
      <c r="ARC103" s="88"/>
      <c r="ARD103" s="88"/>
      <c r="ARE103" s="88"/>
      <c r="ARF103" s="88"/>
      <c r="ARG103" s="88"/>
      <c r="ARH103" s="88"/>
      <c r="ARI103" s="88"/>
      <c r="ARJ103" s="88"/>
      <c r="ARK103" s="88"/>
      <c r="ARL103" s="88"/>
      <c r="ARM103" s="88"/>
      <c r="ARN103" s="88"/>
      <c r="ARO103" s="88"/>
      <c r="ARP103" s="88"/>
      <c r="ARQ103" s="88"/>
      <c r="ARR103" s="88"/>
      <c r="ARS103" s="88"/>
      <c r="ART103" s="88"/>
      <c r="ARU103" s="88"/>
      <c r="ARV103" s="88"/>
      <c r="ARW103" s="88"/>
      <c r="ARX103" s="88"/>
      <c r="ARY103" s="88"/>
      <c r="ARZ103" s="88"/>
      <c r="ASA103" s="88"/>
      <c r="ASB103" s="88"/>
      <c r="ASC103" s="88"/>
      <c r="ASD103" s="88"/>
      <c r="ASE103" s="88"/>
      <c r="ASF103" s="88"/>
      <c r="ASG103" s="88"/>
      <c r="ASH103" s="88"/>
      <c r="ASI103" s="88"/>
      <c r="ASJ103" s="88"/>
      <c r="ASK103" s="88"/>
      <c r="ASL103" s="88"/>
      <c r="ASM103" s="88"/>
      <c r="ASN103" s="88"/>
      <c r="ASO103" s="88"/>
      <c r="ASP103" s="88"/>
      <c r="ASQ103" s="88"/>
      <c r="ASR103" s="88"/>
      <c r="ASS103" s="88"/>
      <c r="AST103" s="88"/>
      <c r="ASU103" s="88"/>
      <c r="ASV103" s="88"/>
      <c r="ASW103" s="88"/>
      <c r="ASX103" s="88"/>
      <c r="ASY103" s="88"/>
      <c r="ASZ103" s="88"/>
      <c r="ATA103" s="88"/>
      <c r="ATB103" s="88"/>
      <c r="ATC103" s="88"/>
      <c r="ATD103" s="88"/>
      <c r="ATE103" s="88"/>
      <c r="ATF103" s="88"/>
      <c r="ATG103" s="88"/>
      <c r="ATH103" s="88"/>
      <c r="ATI103" s="88"/>
      <c r="ATJ103" s="88"/>
      <c r="ATK103" s="88"/>
      <c r="ATL103" s="88"/>
      <c r="ATM103" s="88"/>
      <c r="ATN103" s="88"/>
      <c r="ATO103" s="88"/>
      <c r="ATP103" s="88"/>
      <c r="ATQ103" s="88"/>
      <c r="ATR103" s="88"/>
      <c r="ATS103" s="88"/>
      <c r="ATT103" s="88"/>
      <c r="ATU103" s="88"/>
      <c r="ATV103" s="88"/>
      <c r="ATW103" s="88"/>
      <c r="ATX103" s="88"/>
      <c r="ATY103" s="88"/>
      <c r="ATZ103" s="88"/>
      <c r="AUA103" s="88"/>
      <c r="AUB103" s="88"/>
      <c r="AUC103" s="88"/>
      <c r="AUD103" s="88"/>
      <c r="AUE103" s="88"/>
      <c r="AUF103" s="88"/>
      <c r="AUG103" s="88"/>
      <c r="AUH103" s="88"/>
      <c r="AUI103" s="88"/>
      <c r="AUJ103" s="88"/>
      <c r="AUK103" s="88"/>
      <c r="AUL103" s="88"/>
      <c r="AUM103" s="88"/>
      <c r="AUN103" s="88"/>
      <c r="AUO103" s="88"/>
      <c r="AUP103" s="88"/>
      <c r="AUQ103" s="88"/>
      <c r="AUR103" s="88"/>
      <c r="AUS103" s="88"/>
      <c r="AUT103" s="88"/>
      <c r="AUU103" s="88"/>
      <c r="AUV103" s="88"/>
      <c r="AUW103" s="88"/>
      <c r="AUX103" s="88"/>
      <c r="AUY103" s="88"/>
      <c r="AUZ103" s="88"/>
      <c r="AVA103" s="88"/>
      <c r="AVB103" s="88"/>
      <c r="AVC103" s="88"/>
      <c r="AVD103" s="88"/>
      <c r="AVE103" s="88"/>
      <c r="AVF103" s="88"/>
      <c r="AVG103" s="88"/>
      <c r="AVH103" s="88"/>
      <c r="AVI103" s="88"/>
      <c r="AVJ103" s="88"/>
      <c r="AVK103" s="88"/>
      <c r="AVL103" s="88"/>
      <c r="AVM103" s="88"/>
      <c r="AVN103" s="88"/>
      <c r="AVO103" s="88"/>
      <c r="AVP103" s="88"/>
      <c r="AVQ103" s="88"/>
      <c r="AVR103" s="88"/>
      <c r="AVS103" s="88"/>
      <c r="AVT103" s="88"/>
      <c r="AVU103" s="88"/>
      <c r="AVV103" s="88"/>
      <c r="AVW103" s="88"/>
      <c r="AVX103" s="88"/>
      <c r="AVY103" s="88"/>
      <c r="AVZ103" s="88"/>
      <c r="AWA103" s="88"/>
      <c r="AWB103" s="88"/>
      <c r="AWC103" s="88"/>
      <c r="AWD103" s="88"/>
      <c r="AWE103" s="88"/>
      <c r="AWF103" s="88"/>
      <c r="AWG103" s="88"/>
      <c r="AWH103" s="88"/>
      <c r="AWI103" s="88"/>
      <c r="AWJ103" s="88"/>
      <c r="AWK103" s="88"/>
      <c r="AWL103" s="88"/>
      <c r="AWM103" s="88"/>
      <c r="AWN103" s="88"/>
      <c r="AWO103" s="88"/>
      <c r="AWP103" s="88"/>
      <c r="AWQ103" s="88"/>
      <c r="AWR103" s="88"/>
      <c r="AWS103" s="88"/>
      <c r="AWT103" s="88"/>
      <c r="AWU103" s="88"/>
      <c r="AWV103" s="88"/>
      <c r="AWW103" s="88"/>
      <c r="AWX103" s="88"/>
      <c r="AWY103" s="88"/>
      <c r="AWZ103" s="88"/>
      <c r="AXA103" s="88"/>
      <c r="AXB103" s="88"/>
      <c r="AXC103" s="88"/>
      <c r="AXD103" s="88"/>
      <c r="AXE103" s="88"/>
      <c r="AXF103" s="88"/>
      <c r="AXG103" s="88"/>
      <c r="AXH103" s="88"/>
      <c r="AXI103" s="88"/>
      <c r="AXJ103" s="88"/>
      <c r="AXK103" s="88"/>
      <c r="AXL103" s="88"/>
      <c r="AXM103" s="88"/>
      <c r="AXN103" s="88"/>
      <c r="AXO103" s="88"/>
      <c r="AXP103" s="88"/>
      <c r="AXQ103" s="88"/>
      <c r="AXR103" s="88"/>
      <c r="AXS103" s="88"/>
      <c r="AXT103" s="88"/>
      <c r="AXU103" s="88"/>
      <c r="AXV103" s="88"/>
      <c r="AXW103" s="88"/>
      <c r="AXX103" s="88"/>
      <c r="AXY103" s="88"/>
      <c r="AXZ103" s="88"/>
      <c r="AYA103" s="88"/>
      <c r="AYB103" s="88"/>
      <c r="AYC103" s="88"/>
      <c r="AYD103" s="88"/>
      <c r="AYE103" s="88"/>
      <c r="AYF103" s="88"/>
      <c r="AYG103" s="88"/>
      <c r="AYH103" s="88"/>
      <c r="AYI103" s="88"/>
      <c r="AYJ103" s="88"/>
      <c r="AYK103" s="88"/>
      <c r="AYL103" s="88"/>
      <c r="AYM103" s="88"/>
      <c r="AYN103" s="88"/>
      <c r="AYO103" s="88"/>
      <c r="AYP103" s="88"/>
      <c r="AYQ103" s="88"/>
      <c r="AYR103" s="88"/>
      <c r="AYS103" s="88"/>
      <c r="AYT103" s="88"/>
      <c r="AYU103" s="88"/>
      <c r="AYV103" s="88"/>
      <c r="AYW103" s="88"/>
      <c r="AYX103" s="88"/>
      <c r="AYY103" s="88"/>
      <c r="AYZ103" s="88"/>
      <c r="AZA103" s="88"/>
      <c r="AZB103" s="88"/>
      <c r="AZC103" s="88"/>
      <c r="AZD103" s="88"/>
      <c r="AZE103" s="88"/>
      <c r="AZF103" s="88"/>
      <c r="AZG103" s="88"/>
      <c r="AZH103" s="88"/>
      <c r="AZI103" s="88"/>
      <c r="AZJ103" s="88"/>
      <c r="AZK103" s="88"/>
      <c r="AZL103" s="88"/>
      <c r="AZM103" s="88"/>
      <c r="AZN103" s="88"/>
      <c r="AZO103" s="88"/>
      <c r="AZP103" s="88"/>
      <c r="AZQ103" s="88"/>
      <c r="AZR103" s="88"/>
      <c r="AZS103" s="88"/>
      <c r="AZT103" s="88"/>
      <c r="AZU103" s="88"/>
      <c r="AZV103" s="88"/>
      <c r="AZW103" s="88"/>
      <c r="AZX103" s="88"/>
      <c r="AZY103" s="88"/>
      <c r="AZZ103" s="88"/>
      <c r="BAA103" s="88"/>
      <c r="BAB103" s="88"/>
      <c r="BAC103" s="88"/>
      <c r="BAD103" s="88"/>
      <c r="BAE103" s="88"/>
      <c r="BAF103" s="88"/>
      <c r="BAG103" s="88"/>
      <c r="BAH103" s="88"/>
      <c r="BAI103" s="88"/>
      <c r="BAJ103" s="88"/>
      <c r="BAK103" s="88"/>
      <c r="BAL103" s="88"/>
      <c r="BAM103" s="88"/>
      <c r="BAN103" s="88"/>
      <c r="BAO103" s="88"/>
      <c r="BAP103" s="88"/>
      <c r="BAQ103" s="88"/>
      <c r="BAR103" s="88"/>
      <c r="BAS103" s="88"/>
      <c r="BAT103" s="88"/>
      <c r="BAU103" s="88"/>
      <c r="BAV103" s="88"/>
      <c r="BAW103" s="88"/>
      <c r="BAX103" s="88"/>
      <c r="BAY103" s="88"/>
      <c r="BAZ103" s="88"/>
      <c r="BBA103" s="88"/>
      <c r="BBB103" s="88"/>
      <c r="BBC103" s="88"/>
      <c r="BBD103" s="88"/>
      <c r="BBE103" s="88"/>
      <c r="BBF103" s="88"/>
      <c r="BBG103" s="88"/>
      <c r="BBH103" s="88"/>
      <c r="BBI103" s="88"/>
      <c r="BBJ103" s="88"/>
      <c r="BBK103" s="88"/>
      <c r="BBL103" s="88"/>
      <c r="BBM103" s="88"/>
      <c r="BBN103" s="88"/>
      <c r="BBO103" s="88"/>
      <c r="BBP103" s="88"/>
      <c r="BBQ103" s="88"/>
      <c r="BBR103" s="88"/>
      <c r="BBS103" s="88"/>
      <c r="BBT103" s="88"/>
      <c r="BBU103" s="88"/>
      <c r="BBV103" s="88"/>
      <c r="BBW103" s="88"/>
      <c r="BBX103" s="88"/>
      <c r="BBY103" s="88"/>
      <c r="BBZ103" s="88"/>
      <c r="BCA103" s="88"/>
      <c r="BCB103" s="88"/>
      <c r="BCC103" s="88"/>
      <c r="BCD103" s="88"/>
      <c r="BCE103" s="88"/>
      <c r="BCF103" s="88"/>
      <c r="BCG103" s="88"/>
      <c r="BCH103" s="88"/>
      <c r="BCI103" s="88"/>
      <c r="BCJ103" s="88"/>
      <c r="BCK103" s="88"/>
      <c r="BCL103" s="88"/>
      <c r="BCM103" s="88"/>
      <c r="BCN103" s="88"/>
      <c r="BCO103" s="88"/>
      <c r="BCP103" s="88"/>
      <c r="BCQ103" s="88"/>
      <c r="BCR103" s="88"/>
      <c r="BCS103" s="88"/>
      <c r="BCT103" s="88"/>
      <c r="BCU103" s="88"/>
      <c r="BCV103" s="88"/>
      <c r="BCW103" s="88"/>
      <c r="BCX103" s="88"/>
      <c r="BCY103" s="88"/>
      <c r="BCZ103" s="88"/>
      <c r="BDA103" s="88"/>
      <c r="BDB103" s="88"/>
      <c r="BDC103" s="88"/>
      <c r="BDD103" s="88"/>
      <c r="BDE103" s="88"/>
      <c r="BDF103" s="88"/>
      <c r="BDG103" s="88"/>
      <c r="BDH103" s="88"/>
      <c r="BDI103" s="88"/>
      <c r="BDJ103" s="88"/>
      <c r="BDK103" s="88"/>
      <c r="BDL103" s="88"/>
      <c r="BDM103" s="88"/>
      <c r="BDN103" s="88"/>
      <c r="BDO103" s="88"/>
      <c r="BDP103" s="88"/>
      <c r="BDQ103" s="88"/>
      <c r="BDR103" s="88"/>
      <c r="BDS103" s="88"/>
      <c r="BDT103" s="88"/>
      <c r="BDU103" s="88"/>
      <c r="BDV103" s="88"/>
      <c r="BDW103" s="88"/>
      <c r="BDX103" s="88"/>
      <c r="BDY103" s="88"/>
      <c r="BDZ103" s="88"/>
      <c r="BEA103" s="88"/>
      <c r="BEB103" s="88"/>
      <c r="BEC103" s="88"/>
      <c r="BED103" s="88"/>
      <c r="BEE103" s="88"/>
      <c r="BEF103" s="88"/>
      <c r="BEG103" s="88"/>
      <c r="BEH103" s="88"/>
      <c r="BEI103" s="88"/>
      <c r="BEJ103" s="88"/>
      <c r="BEK103" s="88"/>
      <c r="BEL103" s="88"/>
      <c r="BEM103" s="88"/>
      <c r="BEN103" s="88"/>
      <c r="BEO103" s="88"/>
      <c r="BEP103" s="88"/>
      <c r="BEQ103" s="88"/>
      <c r="BER103" s="88"/>
      <c r="BES103" s="88"/>
      <c r="BET103" s="88"/>
      <c r="BEU103" s="88"/>
      <c r="BEV103" s="88"/>
      <c r="BEW103" s="88"/>
      <c r="BEX103" s="88"/>
      <c r="BEY103" s="88"/>
      <c r="BEZ103" s="88"/>
      <c r="BFA103" s="88"/>
      <c r="BFB103" s="88"/>
      <c r="BFC103" s="88"/>
      <c r="BFD103" s="88"/>
      <c r="BFE103" s="88"/>
      <c r="BFF103" s="88"/>
      <c r="BFG103" s="88"/>
      <c r="BFH103" s="88"/>
      <c r="BFI103" s="88"/>
      <c r="BFJ103" s="88"/>
      <c r="BFK103" s="88"/>
      <c r="BFL103" s="88"/>
      <c r="BFM103" s="88"/>
      <c r="BFN103" s="88"/>
      <c r="BFO103" s="88"/>
      <c r="BFP103" s="88"/>
      <c r="BFQ103" s="88"/>
      <c r="BFR103" s="88"/>
      <c r="BFS103" s="88"/>
      <c r="BFT103" s="88"/>
      <c r="BFU103" s="88"/>
      <c r="BFV103" s="88"/>
      <c r="BFW103" s="88"/>
      <c r="BFX103" s="88"/>
      <c r="BFY103" s="88"/>
      <c r="BFZ103" s="88"/>
      <c r="BGA103" s="88"/>
      <c r="BGB103" s="88"/>
      <c r="BGC103" s="88"/>
      <c r="BGD103" s="88"/>
      <c r="BGE103" s="88"/>
      <c r="BGF103" s="88"/>
      <c r="BGG103" s="88"/>
      <c r="BGH103" s="88"/>
      <c r="BGI103" s="88"/>
      <c r="BGJ103" s="88"/>
      <c r="BGK103" s="88"/>
      <c r="BGL103" s="88"/>
      <c r="BGM103" s="88"/>
      <c r="BGN103" s="88"/>
      <c r="BGO103" s="88"/>
      <c r="BGP103" s="88"/>
      <c r="BGQ103" s="88"/>
      <c r="BGR103" s="88"/>
      <c r="BGS103" s="88"/>
      <c r="BGT103" s="88"/>
      <c r="BGU103" s="88"/>
      <c r="BGV103" s="88"/>
      <c r="BGW103" s="88"/>
      <c r="BGX103" s="88"/>
      <c r="BGY103" s="88"/>
      <c r="BGZ103" s="88"/>
      <c r="BHA103" s="88"/>
      <c r="BHB103" s="88"/>
      <c r="BHC103" s="88"/>
      <c r="BHD103" s="88"/>
      <c r="BHE103" s="88"/>
      <c r="BHF103" s="88"/>
      <c r="BHG103" s="88"/>
      <c r="BHH103" s="88"/>
      <c r="BHI103" s="88"/>
      <c r="BHJ103" s="88"/>
      <c r="BHK103" s="88"/>
      <c r="BHL103" s="88"/>
      <c r="BHM103" s="88"/>
      <c r="BHN103" s="88"/>
      <c r="BHO103" s="88"/>
      <c r="BHP103" s="88"/>
      <c r="BHQ103" s="88"/>
      <c r="BHR103" s="88"/>
      <c r="BHS103" s="88"/>
      <c r="BHT103" s="88"/>
      <c r="BHU103" s="88"/>
      <c r="BHV103" s="88"/>
      <c r="BHW103" s="88"/>
      <c r="BHX103" s="88"/>
      <c r="BHY103" s="88"/>
      <c r="BHZ103" s="88"/>
      <c r="BIA103" s="88"/>
      <c r="BIB103" s="88"/>
      <c r="BIC103" s="88"/>
      <c r="BID103" s="88"/>
      <c r="BIE103" s="88"/>
      <c r="BIF103" s="88"/>
      <c r="BIG103" s="88"/>
      <c r="BIH103" s="88"/>
      <c r="BII103" s="88"/>
      <c r="BIJ103" s="88"/>
      <c r="BIK103" s="88"/>
      <c r="BIL103" s="88"/>
      <c r="BIM103" s="88"/>
      <c r="BIN103" s="88"/>
      <c r="BIO103" s="88"/>
      <c r="BIP103" s="88"/>
      <c r="BIQ103" s="88"/>
      <c r="BIR103" s="88"/>
      <c r="BIS103" s="88"/>
      <c r="BIT103" s="88"/>
      <c r="BIU103" s="88"/>
      <c r="BIV103" s="88"/>
      <c r="BIW103" s="88"/>
      <c r="BIX103" s="88"/>
      <c r="BIY103" s="88"/>
      <c r="BIZ103" s="88"/>
      <c r="BJA103" s="88"/>
      <c r="BJB103" s="88"/>
      <c r="BJC103" s="88"/>
      <c r="BJD103" s="88"/>
      <c r="BJE103" s="88"/>
      <c r="BJF103" s="88"/>
      <c r="BJG103" s="88"/>
      <c r="BJH103" s="88"/>
      <c r="BJI103" s="88"/>
      <c r="BJJ103" s="88"/>
      <c r="BJK103" s="88"/>
      <c r="BJL103" s="88"/>
      <c r="BJM103" s="88"/>
      <c r="BJN103" s="88"/>
      <c r="BJO103" s="88"/>
      <c r="BJP103" s="88"/>
      <c r="BJQ103" s="88"/>
      <c r="BJR103" s="88"/>
      <c r="BJS103" s="88"/>
      <c r="BJT103" s="88"/>
      <c r="BJU103" s="88"/>
      <c r="BJV103" s="88"/>
      <c r="BJW103" s="88"/>
      <c r="BJX103" s="88"/>
      <c r="BJY103" s="88"/>
      <c r="BJZ103" s="88"/>
      <c r="BKA103" s="88"/>
      <c r="BKB103" s="88"/>
      <c r="BKC103" s="88"/>
      <c r="BKD103" s="88"/>
      <c r="BKE103" s="88"/>
      <c r="BKF103" s="88"/>
      <c r="BKG103" s="88"/>
      <c r="BKH103" s="88"/>
      <c r="BKI103" s="88"/>
      <c r="BKJ103" s="88"/>
      <c r="BKK103" s="88"/>
      <c r="BKL103" s="88"/>
      <c r="BKM103" s="88"/>
      <c r="BKN103" s="88"/>
      <c r="BKO103" s="88"/>
      <c r="BKP103" s="88"/>
      <c r="BKQ103" s="88"/>
      <c r="BKR103" s="88"/>
      <c r="BKS103" s="88"/>
      <c r="BKT103" s="88"/>
      <c r="BKU103" s="88"/>
      <c r="BKV103" s="88"/>
      <c r="BKW103" s="88"/>
      <c r="BKX103" s="88"/>
      <c r="BKY103" s="88"/>
      <c r="BKZ103" s="88"/>
      <c r="BLA103" s="88"/>
      <c r="BLB103" s="88"/>
      <c r="BLC103" s="88"/>
      <c r="BLD103" s="88"/>
      <c r="BLE103" s="88"/>
      <c r="BLF103" s="88"/>
      <c r="BLG103" s="88"/>
      <c r="BLH103" s="88"/>
      <c r="BLI103" s="88"/>
      <c r="BLJ103" s="88"/>
      <c r="BLK103" s="88"/>
      <c r="BLL103" s="88"/>
      <c r="BLM103" s="88"/>
      <c r="BLN103" s="88"/>
      <c r="BLO103" s="88"/>
      <c r="BLP103" s="88"/>
      <c r="BLQ103" s="88"/>
      <c r="BLR103" s="88"/>
      <c r="BLS103" s="88"/>
      <c r="BLT103" s="88"/>
      <c r="BLU103" s="88"/>
      <c r="BLV103" s="88"/>
      <c r="BLW103" s="88"/>
      <c r="BLX103" s="88"/>
      <c r="BLY103" s="88"/>
      <c r="BLZ103" s="88"/>
      <c r="BMA103" s="88"/>
      <c r="BMB103" s="88"/>
      <c r="BMC103" s="88"/>
      <c r="BMD103" s="88"/>
      <c r="BME103" s="88"/>
      <c r="BMF103" s="88"/>
      <c r="BMG103" s="88"/>
      <c r="BMH103" s="88"/>
      <c r="BMI103" s="88"/>
      <c r="BMJ103" s="88"/>
      <c r="BMK103" s="88"/>
      <c r="BML103" s="88"/>
      <c r="BMM103" s="88"/>
      <c r="BMN103" s="88"/>
      <c r="BMO103" s="88"/>
      <c r="BMP103" s="88"/>
      <c r="BMQ103" s="88"/>
      <c r="BMR103" s="88"/>
      <c r="BMS103" s="88"/>
      <c r="BMT103" s="88"/>
      <c r="BMU103" s="88"/>
      <c r="BMV103" s="88"/>
      <c r="BMW103" s="88"/>
      <c r="BMX103" s="88"/>
      <c r="BMY103" s="88"/>
      <c r="BMZ103" s="88"/>
      <c r="BNA103" s="88"/>
      <c r="BNB103" s="88"/>
      <c r="BNC103" s="88"/>
      <c r="BND103" s="88"/>
      <c r="BNE103" s="88"/>
      <c r="BNF103" s="88"/>
      <c r="BNG103" s="88"/>
      <c r="BNH103" s="88"/>
      <c r="BNI103" s="88"/>
      <c r="BNJ103" s="88"/>
      <c r="BNK103" s="88"/>
      <c r="BNL103" s="88"/>
      <c r="BNM103" s="88"/>
      <c r="BNN103" s="88"/>
      <c r="BNO103" s="88"/>
      <c r="BNP103" s="88"/>
      <c r="BNQ103" s="88"/>
      <c r="BNR103" s="88"/>
      <c r="BNS103" s="88"/>
      <c r="BNT103" s="88"/>
      <c r="BNU103" s="88"/>
      <c r="BNV103" s="88"/>
      <c r="BNW103" s="88"/>
      <c r="BNX103" s="88"/>
      <c r="BNY103" s="88"/>
      <c r="BNZ103" s="88"/>
      <c r="BOA103" s="88"/>
      <c r="BOB103" s="88"/>
      <c r="BOC103" s="88"/>
      <c r="BOD103" s="88"/>
      <c r="BOE103" s="88"/>
      <c r="BOF103" s="88"/>
      <c r="BOG103" s="88"/>
      <c r="BOH103" s="88"/>
      <c r="BOI103" s="88"/>
      <c r="BOJ103" s="88"/>
      <c r="BOK103" s="88"/>
      <c r="BOL103" s="88"/>
      <c r="BOM103" s="88"/>
      <c r="BON103" s="88"/>
      <c r="BOO103" s="88"/>
      <c r="BOP103" s="88"/>
      <c r="BOQ103" s="88"/>
      <c r="BOR103" s="88"/>
      <c r="BOS103" s="88"/>
      <c r="BOT103" s="88"/>
      <c r="BOU103" s="88"/>
      <c r="BOV103" s="88"/>
      <c r="BOW103" s="88"/>
      <c r="BOX103" s="88"/>
      <c r="BOY103" s="88"/>
      <c r="BOZ103" s="88"/>
      <c r="BPA103" s="88"/>
      <c r="BPB103" s="88"/>
      <c r="BPC103" s="88"/>
      <c r="BPD103" s="88"/>
      <c r="BPE103" s="88"/>
      <c r="BPF103" s="88"/>
      <c r="BPG103" s="88"/>
      <c r="BPH103" s="88"/>
      <c r="BPI103" s="88"/>
      <c r="BPJ103" s="88"/>
      <c r="BPK103" s="88"/>
      <c r="BPL103" s="88"/>
      <c r="BPM103" s="88"/>
      <c r="BPN103" s="88"/>
      <c r="BPO103" s="88"/>
      <c r="BPP103" s="88"/>
      <c r="BPQ103" s="88"/>
      <c r="BPR103" s="88"/>
      <c r="BPS103" s="88"/>
      <c r="BPT103" s="88"/>
      <c r="BPU103" s="88"/>
      <c r="BPV103" s="88"/>
      <c r="BPW103" s="88"/>
      <c r="BPX103" s="88"/>
      <c r="BPY103" s="88"/>
      <c r="BPZ103" s="88"/>
      <c r="BQA103" s="88"/>
      <c r="BQB103" s="88"/>
      <c r="BQC103" s="88"/>
      <c r="BQD103" s="88"/>
      <c r="BQE103" s="88"/>
      <c r="BQF103" s="88"/>
      <c r="BQG103" s="88"/>
      <c r="BQH103" s="88"/>
      <c r="BQI103" s="88"/>
      <c r="BQJ103" s="88"/>
      <c r="BQK103" s="88"/>
      <c r="BQL103" s="88"/>
      <c r="BQM103" s="88"/>
      <c r="BQN103" s="88"/>
      <c r="BQO103" s="88"/>
      <c r="BQP103" s="88"/>
      <c r="BQQ103" s="88"/>
      <c r="BQR103" s="88"/>
      <c r="BQS103" s="88"/>
      <c r="BQT103" s="88"/>
      <c r="BQU103" s="88"/>
      <c r="BQV103" s="88"/>
      <c r="BQW103" s="88"/>
      <c r="BQX103" s="88"/>
      <c r="BQY103" s="88"/>
      <c r="BQZ103" s="88"/>
      <c r="BRA103" s="88"/>
      <c r="BRB103" s="88"/>
      <c r="BRC103" s="88"/>
      <c r="BRD103" s="88"/>
      <c r="BRE103" s="88"/>
      <c r="BRF103" s="88"/>
      <c r="BRG103" s="88"/>
      <c r="BRH103" s="88"/>
      <c r="BRI103" s="88"/>
      <c r="BRJ103" s="88"/>
      <c r="BRK103" s="88"/>
      <c r="BRL103" s="88"/>
      <c r="BRM103" s="88"/>
      <c r="BRN103" s="88"/>
      <c r="BRO103" s="88"/>
      <c r="BRP103" s="88"/>
      <c r="BRQ103" s="88"/>
      <c r="BRR103" s="88"/>
      <c r="BRS103" s="88"/>
      <c r="BRT103" s="88"/>
      <c r="BRU103" s="88"/>
      <c r="BRV103" s="88"/>
      <c r="BRW103" s="88"/>
      <c r="BRX103" s="88"/>
      <c r="BRY103" s="88"/>
      <c r="BRZ103" s="88"/>
      <c r="BSA103" s="88"/>
      <c r="BSB103" s="88"/>
      <c r="BSC103" s="88"/>
      <c r="BSD103" s="88"/>
      <c r="BSE103" s="88"/>
      <c r="BSF103" s="88"/>
      <c r="BSG103" s="88"/>
      <c r="BSH103" s="88"/>
      <c r="BSI103" s="88"/>
      <c r="BSJ103" s="88"/>
      <c r="BSK103" s="88"/>
      <c r="BSL103" s="88"/>
      <c r="BSM103" s="88"/>
      <c r="BSN103" s="88"/>
      <c r="BSO103" s="88"/>
      <c r="BSP103" s="88"/>
      <c r="BSQ103" s="88"/>
      <c r="BSR103" s="88"/>
      <c r="BSS103" s="88"/>
      <c r="BST103" s="88"/>
      <c r="BSU103" s="88"/>
      <c r="BSV103" s="88"/>
      <c r="BSW103" s="88"/>
      <c r="BSX103" s="88"/>
      <c r="BSY103" s="88"/>
      <c r="BSZ103" s="88"/>
      <c r="BTA103" s="88"/>
      <c r="BTB103" s="88"/>
      <c r="BTC103" s="88"/>
      <c r="BTD103" s="88"/>
      <c r="BTE103" s="88"/>
      <c r="BTF103" s="88"/>
      <c r="BTG103" s="88"/>
      <c r="BTH103" s="88"/>
      <c r="BTI103" s="88"/>
      <c r="BTJ103" s="88"/>
      <c r="BTK103" s="88"/>
      <c r="BTL103" s="88"/>
      <c r="BTM103" s="88"/>
      <c r="BTN103" s="88"/>
      <c r="BTO103" s="88"/>
      <c r="BTP103" s="88"/>
      <c r="BTQ103" s="88"/>
      <c r="BTR103" s="88"/>
      <c r="BTS103" s="88"/>
      <c r="BTT103" s="88"/>
      <c r="BTU103" s="88"/>
      <c r="BTV103" s="88"/>
      <c r="BTW103" s="88"/>
      <c r="BTX103" s="88"/>
      <c r="BTY103" s="88"/>
      <c r="BTZ103" s="88"/>
      <c r="BUA103" s="88"/>
      <c r="BUB103" s="88"/>
      <c r="BUC103" s="88"/>
      <c r="BUD103" s="88"/>
      <c r="BUE103" s="88"/>
      <c r="BUF103" s="88"/>
      <c r="BUG103" s="88"/>
      <c r="BUH103" s="88"/>
      <c r="BUI103" s="88"/>
      <c r="BUJ103" s="88"/>
      <c r="BUK103" s="88"/>
      <c r="BUL103" s="88"/>
      <c r="BUM103" s="88"/>
      <c r="BUN103" s="88"/>
      <c r="BUO103" s="88"/>
      <c r="BUP103" s="88"/>
      <c r="BUQ103" s="88"/>
      <c r="BUR103" s="88"/>
      <c r="BUS103" s="88"/>
      <c r="BUT103" s="88"/>
      <c r="BUU103" s="88"/>
      <c r="BUV103" s="88"/>
      <c r="BUW103" s="88"/>
      <c r="BUX103" s="88"/>
      <c r="BUY103" s="88"/>
      <c r="BUZ103" s="88"/>
      <c r="BVA103" s="88"/>
      <c r="BVB103" s="88"/>
      <c r="BVC103" s="88"/>
      <c r="BVD103" s="88"/>
      <c r="BVE103" s="88"/>
      <c r="BVF103" s="88"/>
      <c r="BVG103" s="88"/>
      <c r="BVH103" s="88"/>
      <c r="BVI103" s="88"/>
      <c r="BVJ103" s="88"/>
      <c r="BVK103" s="88"/>
      <c r="BVL103" s="88"/>
      <c r="BVM103" s="88"/>
      <c r="BVN103" s="88"/>
      <c r="BVO103" s="88"/>
      <c r="BVP103" s="88"/>
      <c r="BVQ103" s="88"/>
      <c r="BVR103" s="88"/>
      <c r="BVS103" s="88"/>
      <c r="BVT103" s="88"/>
      <c r="BVU103" s="88"/>
      <c r="BVV103" s="88"/>
      <c r="BVW103" s="88"/>
      <c r="BVX103" s="88"/>
      <c r="BVY103" s="88"/>
      <c r="BVZ103" s="88"/>
      <c r="BWA103" s="88"/>
      <c r="BWB103" s="88"/>
      <c r="BWC103" s="88"/>
      <c r="BWD103" s="88"/>
      <c r="BWE103" s="88"/>
      <c r="BWF103" s="88"/>
      <c r="BWG103" s="88"/>
      <c r="BWH103" s="88"/>
      <c r="BWI103" s="88"/>
      <c r="BWJ103" s="88"/>
      <c r="BWK103" s="88"/>
      <c r="BWL103" s="88"/>
      <c r="BWM103" s="88"/>
      <c r="BWN103" s="88"/>
      <c r="BWO103" s="88"/>
      <c r="BWP103" s="88"/>
      <c r="BWQ103" s="88"/>
      <c r="BWR103" s="88"/>
      <c r="BWS103" s="88"/>
      <c r="BWT103" s="88"/>
      <c r="BWU103" s="88"/>
      <c r="BWV103" s="88"/>
      <c r="BWW103" s="88"/>
      <c r="BWX103" s="88"/>
      <c r="BWY103" s="88"/>
      <c r="BWZ103" s="88"/>
      <c r="BXA103" s="88"/>
      <c r="BXB103" s="88"/>
      <c r="BXC103" s="88"/>
      <c r="BXD103" s="88"/>
      <c r="BXE103" s="88"/>
      <c r="BXF103" s="88"/>
      <c r="BXG103" s="88"/>
      <c r="BXH103" s="88"/>
      <c r="BXI103" s="88"/>
      <c r="BXJ103" s="88"/>
      <c r="BXK103" s="88"/>
      <c r="BXL103" s="88"/>
      <c r="BXM103" s="88"/>
      <c r="BXN103" s="88"/>
      <c r="BXO103" s="88"/>
      <c r="BXP103" s="88"/>
      <c r="BXQ103" s="88"/>
      <c r="BXR103" s="88"/>
      <c r="BXS103" s="88"/>
      <c r="BXT103" s="88"/>
      <c r="BXU103" s="88"/>
      <c r="BXV103" s="88"/>
      <c r="BXW103" s="88"/>
      <c r="BXX103" s="88"/>
      <c r="BXY103" s="88"/>
      <c r="BXZ103" s="88"/>
      <c r="BYA103" s="88"/>
      <c r="BYB103" s="88"/>
      <c r="BYC103" s="88"/>
      <c r="BYD103" s="88"/>
      <c r="BYE103" s="88"/>
      <c r="BYF103" s="88"/>
      <c r="BYG103" s="88"/>
      <c r="BYH103" s="88"/>
      <c r="BYI103" s="88"/>
      <c r="BYJ103" s="88"/>
      <c r="BYK103" s="88"/>
      <c r="BYL103" s="88"/>
      <c r="BYM103" s="88"/>
      <c r="BYN103" s="88"/>
      <c r="BYO103" s="88"/>
      <c r="BYP103" s="88"/>
      <c r="BYQ103" s="88"/>
      <c r="BYR103" s="88"/>
      <c r="BYS103" s="88"/>
      <c r="BYT103" s="88"/>
      <c r="BYU103" s="88"/>
      <c r="BYV103" s="88"/>
      <c r="BYW103" s="88"/>
      <c r="BYX103" s="88"/>
      <c r="BYY103" s="88"/>
      <c r="BYZ103" s="88"/>
      <c r="BZA103" s="88"/>
      <c r="BZB103" s="88"/>
      <c r="BZC103" s="88"/>
      <c r="BZD103" s="88"/>
      <c r="BZE103" s="88"/>
      <c r="BZF103" s="88"/>
      <c r="BZG103" s="88"/>
      <c r="BZH103" s="88"/>
      <c r="BZI103" s="88"/>
      <c r="BZJ103" s="88"/>
      <c r="BZK103" s="88"/>
      <c r="BZL103" s="88"/>
      <c r="BZM103" s="88"/>
      <c r="BZN103" s="88"/>
      <c r="BZO103" s="88"/>
      <c r="BZP103" s="88"/>
      <c r="BZQ103" s="88"/>
      <c r="BZR103" s="88"/>
      <c r="BZS103" s="88"/>
      <c r="BZT103" s="88"/>
      <c r="BZU103" s="88"/>
      <c r="BZV103" s="88"/>
      <c r="BZW103" s="88"/>
      <c r="BZX103" s="88"/>
      <c r="BZY103" s="88"/>
      <c r="BZZ103" s="88"/>
      <c r="CAA103" s="88"/>
      <c r="CAB103" s="88"/>
      <c r="CAC103" s="88"/>
      <c r="CAD103" s="88"/>
      <c r="CAE103" s="88"/>
      <c r="CAF103" s="88"/>
      <c r="CAG103" s="88"/>
      <c r="CAH103" s="88"/>
      <c r="CAI103" s="88"/>
      <c r="CAJ103" s="88"/>
      <c r="CAK103" s="88"/>
      <c r="CAL103" s="88"/>
      <c r="CAM103" s="88"/>
      <c r="CAN103" s="88"/>
      <c r="CAO103" s="88"/>
      <c r="CAP103" s="88"/>
      <c r="CAQ103" s="88"/>
      <c r="CAR103" s="88"/>
      <c r="CAS103" s="88"/>
      <c r="CAT103" s="88"/>
      <c r="CAU103" s="88"/>
      <c r="CAV103" s="88"/>
      <c r="CAW103" s="88"/>
      <c r="CAX103" s="88"/>
      <c r="CAY103" s="88"/>
      <c r="CAZ103" s="88"/>
      <c r="CBA103" s="88"/>
      <c r="CBB103" s="88"/>
      <c r="CBC103" s="88"/>
      <c r="CBD103" s="88"/>
      <c r="CBE103" s="88"/>
      <c r="CBF103" s="88"/>
      <c r="CBG103" s="88"/>
      <c r="CBH103" s="88"/>
      <c r="CBI103" s="88"/>
      <c r="CBJ103" s="88"/>
      <c r="CBK103" s="88"/>
      <c r="CBL103" s="88"/>
      <c r="CBM103" s="88"/>
      <c r="CBN103" s="88"/>
      <c r="CBO103" s="88"/>
      <c r="CBP103" s="88"/>
      <c r="CBQ103" s="88"/>
      <c r="CBR103" s="88"/>
      <c r="CBS103" s="88"/>
      <c r="CBT103" s="88"/>
      <c r="CBU103" s="88"/>
      <c r="CBV103" s="88"/>
      <c r="CBW103" s="88"/>
      <c r="CBX103" s="88"/>
      <c r="CBY103" s="88"/>
      <c r="CBZ103" s="88"/>
      <c r="CCA103" s="88"/>
      <c r="CCB103" s="88"/>
      <c r="CCC103" s="88"/>
      <c r="CCD103" s="88"/>
      <c r="CCE103" s="88"/>
      <c r="CCF103" s="88"/>
      <c r="CCG103" s="88"/>
      <c r="CCH103" s="88"/>
      <c r="CCI103" s="88"/>
      <c r="CCJ103" s="88"/>
      <c r="CCK103" s="88"/>
      <c r="CCL103" s="88"/>
      <c r="CCM103" s="88"/>
      <c r="CCN103" s="88"/>
      <c r="CCO103" s="88"/>
      <c r="CCP103" s="88"/>
      <c r="CCQ103" s="88"/>
      <c r="CCR103" s="88"/>
      <c r="CCS103" s="88"/>
      <c r="CCT103" s="88"/>
      <c r="CCU103" s="88"/>
      <c r="CCV103" s="88"/>
      <c r="CCW103" s="88"/>
      <c r="CCX103" s="88"/>
      <c r="CCY103" s="88"/>
      <c r="CCZ103" s="88"/>
      <c r="CDA103" s="88"/>
      <c r="CDB103" s="88"/>
      <c r="CDC103" s="88"/>
      <c r="CDD103" s="88"/>
      <c r="CDE103" s="88"/>
      <c r="CDF103" s="88"/>
      <c r="CDG103" s="88"/>
      <c r="CDH103" s="88"/>
      <c r="CDI103" s="88"/>
      <c r="CDJ103" s="88"/>
      <c r="CDK103" s="88"/>
      <c r="CDL103" s="88"/>
      <c r="CDM103" s="88"/>
      <c r="CDN103" s="88"/>
      <c r="CDO103" s="88"/>
      <c r="CDP103" s="88"/>
      <c r="CDQ103" s="88"/>
      <c r="CDR103" s="88"/>
      <c r="CDS103" s="88"/>
      <c r="CDT103" s="88"/>
      <c r="CDU103" s="88"/>
      <c r="CDV103" s="88"/>
      <c r="CDW103" s="88"/>
      <c r="CDX103" s="88"/>
      <c r="CDY103" s="88"/>
      <c r="CDZ103" s="88"/>
      <c r="CEA103" s="88"/>
      <c r="CEB103" s="88"/>
      <c r="CEC103" s="88"/>
      <c r="CED103" s="88"/>
      <c r="CEE103" s="88"/>
      <c r="CEF103" s="88"/>
      <c r="CEG103" s="88"/>
      <c r="CEH103" s="88"/>
      <c r="CEI103" s="88"/>
      <c r="CEJ103" s="88"/>
      <c r="CEK103" s="88"/>
    </row>
    <row r="104" spans="1:2169" s="63" customFormat="1">
      <c r="A104" s="73" t="s">
        <v>797</v>
      </c>
      <c r="B104" s="71" t="s">
        <v>2655</v>
      </c>
      <c r="C104" s="68" t="str">
        <f>IF('page 2'!$O$4="","",IF('page 2'!$O$4=Gestion!A104,1,0))</f>
        <v/>
      </c>
      <c r="D104" s="68" t="str">
        <f>IF('page 2'!$O$5="","",IF('page 2'!$O$5=Gestion!A104,1,0))</f>
        <v/>
      </c>
      <c r="E104" s="68" t="str">
        <f>IF('page 2'!$O$6="","",IF('page 2'!$O$6=Gestion!A104,1,0))</f>
        <v/>
      </c>
      <c r="F104" s="68" t="str">
        <f>IF('page 2'!$O$7="","",IF('page 2'!$O$7=Gestion!A104,1,0))</f>
        <v/>
      </c>
      <c r="G104" s="68" t="str">
        <f>IF('page 2'!$O$8="","",IF('page 2'!$O$8=Gestion!A104,1,0))</f>
        <v/>
      </c>
      <c r="H104" s="68" t="str">
        <f>IF('page 2'!$O$9="","",IF('page 2'!$O$9=Gestion!A104,1,0))</f>
        <v/>
      </c>
      <c r="I104" s="68" t="str">
        <f>IF('page 2'!$O$10="","",IF('page 2'!$O$10=Gestion!A104,1,0))</f>
        <v/>
      </c>
      <c r="J104" s="68" t="str">
        <f>IF('page 2'!$O$11="","",IF('page 2'!$O$11=Gestion!A104,1,0))</f>
        <v/>
      </c>
      <c r="K104" s="68" t="str">
        <f>IF('page 2'!$O$12="","",IF('page 2'!$O$12=Gestion!A104,1,0))</f>
        <v/>
      </c>
      <c r="L104" s="68" t="str">
        <f>IF('page 2'!$O$13="","",IF('page 2'!$O$13=Gestion!A104,1,0))</f>
        <v/>
      </c>
      <c r="M104" s="68" t="str">
        <f>IF('page 2'!$O$14="","",IF('page 2'!$O$14=Gestion!A104,1,0))</f>
        <v/>
      </c>
      <c r="N104" s="68" t="str">
        <f>IF('page 2'!$O$15="","",IF('page 2'!$O$15=Gestion!A104,1,0))</f>
        <v/>
      </c>
      <c r="O104" s="68" t="str">
        <f>IF('page 2'!$O$16="","",IF('page 2'!$O$16=Gestion!A104,1,0))</f>
        <v/>
      </c>
      <c r="P104" s="68" t="str">
        <f>IF('page 2'!$O$17="","",IF('page 2'!$O$17=Gestion!A104,1,0))</f>
        <v/>
      </c>
      <c r="Q104" s="68" t="str">
        <f>IF('page 2'!$O$18="","",IF('page 2'!$O$18=Gestion!A104,1,0))</f>
        <v/>
      </c>
      <c r="R104" s="68" t="str">
        <f>IF('page 2'!$O$19="","",IF('page 2'!$O$19=Gestion!A104,1,0))</f>
        <v/>
      </c>
      <c r="S104" s="68" t="str">
        <f>IF('page 2'!$O$20="","",IF('page 2'!$O$20=Gestion!A104,1,0))</f>
        <v/>
      </c>
      <c r="T104" s="68" t="str">
        <f>IF('page 2'!$O$25="","",IF('page 2'!$O$25=Gestion!A104,1,0))</f>
        <v/>
      </c>
      <c r="U104" s="68" t="str">
        <f>IF('page 2'!$O$26="","",IF('page 2'!$O$26=Gestion!A104,1,0))</f>
        <v/>
      </c>
      <c r="V104" s="68" t="str">
        <f>IF('page 2'!$O$27="","",IF('page 2'!$O$27=Gestion!A104,1,0))</f>
        <v/>
      </c>
      <c r="W104" s="722">
        <f t="shared" si="14"/>
        <v>0</v>
      </c>
      <c r="X104" s="714"/>
      <c r="Y104" s="68"/>
      <c r="Z104" s="68"/>
      <c r="AA104" s="68"/>
      <c r="AB104" s="68"/>
      <c r="AC104" s="68"/>
      <c r="AD104" s="68"/>
      <c r="AP104" s="130"/>
      <c r="AQ104" s="130"/>
      <c r="AR104" s="130"/>
      <c r="AS104" s="576"/>
      <c r="AT104" s="576"/>
      <c r="AU104" s="576"/>
      <c r="AV104" s="576"/>
      <c r="AW104" s="602"/>
      <c r="AX104" s="602"/>
      <c r="AY104" s="576"/>
      <c r="AZ104" s="576"/>
      <c r="BA104" s="576"/>
      <c r="BB104" s="576"/>
      <c r="BC104" s="576"/>
      <c r="BD104" s="602"/>
      <c r="BE104" s="602"/>
      <c r="BF104" s="602"/>
      <c r="BG104" s="602"/>
      <c r="BH104" s="602"/>
      <c r="BI104" s="602"/>
      <c r="BJ104" s="602"/>
      <c r="BK104" s="602"/>
      <c r="BL104" s="602"/>
      <c r="BM104" s="602"/>
      <c r="BN104" s="602"/>
      <c r="BO104" s="602"/>
      <c r="BP104" s="602"/>
      <c r="BQ104" s="602"/>
      <c r="BR104" s="602"/>
      <c r="BS104" s="576"/>
      <c r="BT104" s="576"/>
      <c r="BU104" s="576"/>
      <c r="BV104" s="576"/>
      <c r="BW104" s="602"/>
      <c r="BX104" s="602"/>
      <c r="BY104" s="602"/>
      <c r="BZ104" s="576"/>
      <c r="CA104" s="602"/>
      <c r="CB104" s="602"/>
      <c r="CC104" s="576"/>
      <c r="CD104" s="576"/>
      <c r="CE104" s="602"/>
      <c r="CF104" s="576"/>
      <c r="CG104" s="576"/>
      <c r="CH104" s="576"/>
      <c r="CI104" s="576"/>
      <c r="CJ104" s="576"/>
      <c r="CK104" s="602"/>
      <c r="CL104" s="602"/>
      <c r="CM104" s="576"/>
      <c r="CN104" s="602"/>
      <c r="CO104" s="602"/>
      <c r="CP104" s="602"/>
      <c r="CQ104" s="576"/>
      <c r="CR104" s="576"/>
      <c r="CS104" s="602"/>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c r="HF104" s="88"/>
      <c r="HG104" s="88"/>
      <c r="HH104" s="88"/>
      <c r="HI104" s="88"/>
      <c r="HJ104" s="88"/>
      <c r="HK104" s="88"/>
      <c r="HL104" s="88"/>
      <c r="HM104" s="88"/>
      <c r="HN104" s="88"/>
      <c r="HO104" s="88"/>
      <c r="HP104" s="88"/>
      <c r="HQ104" s="88"/>
      <c r="HR104" s="88"/>
      <c r="HS104" s="88"/>
      <c r="HT104" s="88"/>
      <c r="HU104" s="88"/>
      <c r="HV104" s="88"/>
      <c r="HW104" s="88"/>
      <c r="HX104" s="88"/>
      <c r="HY104" s="88"/>
      <c r="HZ104" s="88"/>
      <c r="IA104" s="88"/>
      <c r="IB104" s="88"/>
      <c r="IC104" s="88"/>
      <c r="ID104" s="88"/>
      <c r="IE104" s="88"/>
      <c r="IF104" s="88"/>
      <c r="IG104" s="88"/>
      <c r="IH104" s="88"/>
      <c r="II104" s="88"/>
      <c r="IJ104" s="88"/>
      <c r="IK104" s="88"/>
      <c r="IL104" s="88"/>
      <c r="IM104" s="88"/>
      <c r="IN104" s="88"/>
      <c r="IO104" s="88"/>
      <c r="IP104" s="88"/>
      <c r="IQ104" s="88"/>
      <c r="IR104" s="88"/>
      <c r="IS104" s="88"/>
      <c r="IT104" s="88"/>
      <c r="IU104" s="88"/>
      <c r="IV104" s="88"/>
      <c r="IW104" s="88"/>
      <c r="IX104" s="88"/>
      <c r="IY104" s="88"/>
      <c r="IZ104" s="88"/>
      <c r="JA104" s="88"/>
      <c r="JB104" s="88"/>
      <c r="JC104" s="88"/>
      <c r="JD104" s="88"/>
      <c r="JE104" s="88"/>
      <c r="JF104" s="88"/>
      <c r="JG104" s="88"/>
      <c r="JH104" s="88"/>
      <c r="JI104" s="88"/>
      <c r="JJ104" s="88"/>
      <c r="JK104" s="88"/>
      <c r="JL104" s="88"/>
      <c r="JM104" s="88"/>
      <c r="JN104" s="88"/>
      <c r="JO104" s="88"/>
      <c r="JP104" s="88"/>
      <c r="JQ104" s="88"/>
      <c r="JR104" s="88"/>
      <c r="JS104" s="88"/>
      <c r="JT104" s="88"/>
      <c r="JU104" s="88"/>
      <c r="JV104" s="88"/>
      <c r="JW104" s="88"/>
      <c r="JX104" s="88"/>
      <c r="JY104" s="88"/>
      <c r="JZ104" s="88"/>
      <c r="KA104" s="88"/>
      <c r="KB104" s="88"/>
      <c r="KC104" s="88"/>
      <c r="KD104" s="88"/>
      <c r="KE104" s="88"/>
      <c r="KF104" s="88"/>
      <c r="KG104" s="88"/>
      <c r="KH104" s="88"/>
      <c r="KI104" s="88"/>
      <c r="KJ104" s="88"/>
      <c r="KK104" s="88"/>
      <c r="KL104" s="88"/>
      <c r="KM104" s="88"/>
      <c r="KN104" s="88"/>
      <c r="KO104" s="88"/>
      <c r="KP104" s="88"/>
      <c r="KQ104" s="88"/>
      <c r="KR104" s="88"/>
      <c r="KS104" s="88"/>
      <c r="KT104" s="88"/>
      <c r="KU104" s="88"/>
      <c r="KV104" s="88"/>
      <c r="KW104" s="88"/>
      <c r="KX104" s="88"/>
      <c r="KY104" s="88"/>
      <c r="KZ104" s="88"/>
      <c r="LA104" s="88"/>
      <c r="LB104" s="88"/>
      <c r="LC104" s="88"/>
      <c r="LD104" s="88"/>
      <c r="LE104" s="88"/>
      <c r="LF104" s="88"/>
      <c r="LG104" s="88"/>
      <c r="LH104" s="88"/>
      <c r="LI104" s="88"/>
      <c r="LJ104" s="88"/>
      <c r="LK104" s="88"/>
      <c r="LL104" s="88"/>
      <c r="LM104" s="88"/>
      <c r="LN104" s="88"/>
      <c r="LO104" s="88"/>
      <c r="LP104" s="88"/>
      <c r="LQ104" s="88"/>
      <c r="LR104" s="88"/>
      <c r="LS104" s="88"/>
      <c r="LT104" s="88"/>
      <c r="LU104" s="88"/>
      <c r="LV104" s="88"/>
      <c r="LW104" s="88"/>
      <c r="LX104" s="88"/>
      <c r="LY104" s="88"/>
      <c r="LZ104" s="88"/>
      <c r="MA104" s="88"/>
      <c r="MB104" s="88"/>
      <c r="MC104" s="88"/>
      <c r="MD104" s="88"/>
      <c r="ME104" s="88"/>
      <c r="MF104" s="88"/>
      <c r="MG104" s="88"/>
      <c r="MH104" s="88"/>
      <c r="MI104" s="88"/>
      <c r="MJ104" s="88"/>
      <c r="MK104" s="88"/>
      <c r="ML104" s="88"/>
      <c r="MM104" s="88"/>
      <c r="MN104" s="88"/>
      <c r="MO104" s="88"/>
      <c r="MP104" s="88"/>
      <c r="MQ104" s="88"/>
      <c r="MR104" s="88"/>
      <c r="MS104" s="88"/>
      <c r="MT104" s="88"/>
      <c r="MU104" s="88"/>
      <c r="MV104" s="88"/>
      <c r="MW104" s="88"/>
      <c r="MX104" s="88"/>
      <c r="MY104" s="88"/>
      <c r="MZ104" s="88"/>
      <c r="NA104" s="88"/>
      <c r="NB104" s="88"/>
      <c r="NC104" s="88"/>
      <c r="ND104" s="88"/>
      <c r="NE104" s="88"/>
      <c r="NF104" s="88"/>
      <c r="NG104" s="88"/>
      <c r="NH104" s="88"/>
      <c r="NI104" s="88"/>
      <c r="NJ104" s="88"/>
      <c r="NK104" s="88"/>
      <c r="NL104" s="88"/>
      <c r="NM104" s="88"/>
      <c r="NN104" s="88"/>
      <c r="NO104" s="88"/>
      <c r="NP104" s="88"/>
      <c r="NQ104" s="88"/>
      <c r="NR104" s="88"/>
      <c r="NS104" s="88"/>
      <c r="NT104" s="88"/>
      <c r="NU104" s="88"/>
      <c r="NV104" s="88"/>
      <c r="NW104" s="88"/>
      <c r="NX104" s="88"/>
      <c r="NY104" s="88"/>
      <c r="NZ104" s="88"/>
      <c r="OA104" s="88"/>
      <c r="OB104" s="88"/>
      <c r="OC104" s="88"/>
      <c r="OD104" s="88"/>
      <c r="OE104" s="88"/>
      <c r="OF104" s="88"/>
      <c r="OG104" s="88"/>
      <c r="OH104" s="88"/>
      <c r="OI104" s="88"/>
      <c r="OJ104" s="88"/>
      <c r="OK104" s="88"/>
      <c r="OL104" s="88"/>
      <c r="OM104" s="88"/>
      <c r="ON104" s="88"/>
      <c r="OO104" s="88"/>
      <c r="OP104" s="88"/>
      <c r="OQ104" s="88"/>
      <c r="OR104" s="88"/>
      <c r="OS104" s="88"/>
      <c r="OT104" s="88"/>
      <c r="OU104" s="88"/>
      <c r="OV104" s="88"/>
      <c r="OW104" s="88"/>
      <c r="OX104" s="88"/>
      <c r="OY104" s="88"/>
      <c r="OZ104" s="88"/>
      <c r="PA104" s="88"/>
      <c r="PB104" s="88"/>
      <c r="PC104" s="88"/>
      <c r="PD104" s="88"/>
      <c r="PE104" s="88"/>
      <c r="PF104" s="88"/>
      <c r="PG104" s="88"/>
      <c r="PH104" s="88"/>
      <c r="PI104" s="88"/>
      <c r="PJ104" s="88"/>
      <c r="PK104" s="88"/>
      <c r="PL104" s="88"/>
      <c r="PM104" s="88"/>
      <c r="PN104" s="88"/>
      <c r="PO104" s="88"/>
      <c r="PP104" s="88"/>
      <c r="PQ104" s="88"/>
      <c r="PR104" s="88"/>
      <c r="PS104" s="88"/>
      <c r="PT104" s="88"/>
      <c r="PU104" s="88"/>
      <c r="PV104" s="88"/>
      <c r="PW104" s="88"/>
      <c r="PX104" s="88"/>
      <c r="PY104" s="88"/>
      <c r="PZ104" s="88"/>
      <c r="QA104" s="88"/>
      <c r="QB104" s="88"/>
      <c r="QC104" s="88"/>
      <c r="QD104" s="88"/>
      <c r="QE104" s="88"/>
      <c r="QF104" s="88"/>
      <c r="QG104" s="88"/>
      <c r="QH104" s="88"/>
      <c r="QI104" s="88"/>
      <c r="QJ104" s="88"/>
      <c r="QK104" s="88"/>
      <c r="QL104" s="88"/>
      <c r="QM104" s="88"/>
      <c r="QN104" s="88"/>
      <c r="QO104" s="88"/>
      <c r="QP104" s="88"/>
      <c r="QQ104" s="88"/>
      <c r="QR104" s="88"/>
      <c r="QS104" s="88"/>
      <c r="QT104" s="88"/>
      <c r="QU104" s="88"/>
      <c r="QV104" s="88"/>
      <c r="QW104" s="88"/>
      <c r="QX104" s="88"/>
      <c r="QY104" s="88"/>
      <c r="QZ104" s="88"/>
      <c r="RA104" s="88"/>
      <c r="RB104" s="88"/>
      <c r="RC104" s="88"/>
      <c r="RD104" s="88"/>
      <c r="RE104" s="88"/>
      <c r="RF104" s="88"/>
      <c r="RG104" s="88"/>
      <c r="RH104" s="88"/>
      <c r="RI104" s="88"/>
      <c r="RJ104" s="88"/>
      <c r="RK104" s="88"/>
      <c r="RL104" s="88"/>
      <c r="RM104" s="88"/>
      <c r="RN104" s="88"/>
      <c r="RO104" s="88"/>
      <c r="RP104" s="88"/>
      <c r="RQ104" s="88"/>
      <c r="RR104" s="88"/>
      <c r="RS104" s="88"/>
      <c r="RT104" s="88"/>
      <c r="RU104" s="88"/>
      <c r="RV104" s="88"/>
      <c r="RW104" s="88"/>
      <c r="RX104" s="88"/>
      <c r="RY104" s="88"/>
      <c r="RZ104" s="88"/>
      <c r="SA104" s="88"/>
      <c r="SB104" s="88"/>
      <c r="SC104" s="88"/>
      <c r="SD104" s="88"/>
      <c r="SE104" s="88"/>
      <c r="SF104" s="88"/>
      <c r="SG104" s="88"/>
      <c r="SH104" s="88"/>
      <c r="SI104" s="88"/>
      <c r="SJ104" s="88"/>
      <c r="SK104" s="88"/>
      <c r="SL104" s="88"/>
      <c r="SM104" s="88"/>
      <c r="SN104" s="88"/>
      <c r="SO104" s="88"/>
      <c r="SP104" s="88"/>
      <c r="SQ104" s="88"/>
      <c r="SR104" s="88"/>
      <c r="SS104" s="88"/>
      <c r="ST104" s="88"/>
      <c r="SU104" s="88"/>
      <c r="SV104" s="88"/>
      <c r="SW104" s="88"/>
      <c r="SX104" s="88"/>
      <c r="SY104" s="88"/>
      <c r="SZ104" s="88"/>
      <c r="TA104" s="88"/>
      <c r="TB104" s="88"/>
      <c r="TC104" s="88"/>
      <c r="TD104" s="88"/>
      <c r="TE104" s="88"/>
      <c r="TF104" s="88"/>
      <c r="TG104" s="88"/>
      <c r="TH104" s="88"/>
      <c r="TI104" s="88"/>
      <c r="TJ104" s="88"/>
      <c r="TK104" s="88"/>
      <c r="TL104" s="88"/>
      <c r="TM104" s="88"/>
      <c r="TN104" s="88"/>
      <c r="TO104" s="88"/>
      <c r="TP104" s="88"/>
      <c r="TQ104" s="88"/>
      <c r="TR104" s="88"/>
      <c r="TS104" s="88"/>
      <c r="TT104" s="88"/>
      <c r="TU104" s="88"/>
      <c r="TV104" s="88"/>
      <c r="TW104" s="88"/>
      <c r="TX104" s="88"/>
      <c r="TY104" s="88"/>
      <c r="TZ104" s="88"/>
      <c r="UA104" s="88"/>
      <c r="UB104" s="88"/>
      <c r="UC104" s="88"/>
      <c r="UD104" s="88"/>
      <c r="UE104" s="88"/>
      <c r="UF104" s="88"/>
      <c r="UG104" s="88"/>
      <c r="UH104" s="88"/>
      <c r="UI104" s="88"/>
      <c r="UJ104" s="88"/>
      <c r="UK104" s="88"/>
      <c r="UL104" s="88"/>
      <c r="UM104" s="88"/>
      <c r="UN104" s="88"/>
      <c r="UO104" s="88"/>
      <c r="UP104" s="88"/>
      <c r="UQ104" s="88"/>
      <c r="UR104" s="88"/>
      <c r="US104" s="88"/>
      <c r="UT104" s="88"/>
      <c r="UU104" s="88"/>
      <c r="UV104" s="88"/>
      <c r="UW104" s="88"/>
      <c r="UX104" s="88"/>
      <c r="UY104" s="88"/>
      <c r="UZ104" s="88"/>
      <c r="VA104" s="88"/>
      <c r="VB104" s="88"/>
      <c r="VC104" s="88"/>
      <c r="VD104" s="88"/>
      <c r="VE104" s="88"/>
      <c r="VF104" s="88"/>
      <c r="VG104" s="88"/>
      <c r="VH104" s="88"/>
      <c r="VI104" s="88"/>
      <c r="VJ104" s="88"/>
      <c r="VK104" s="88"/>
      <c r="VL104" s="88"/>
      <c r="VM104" s="88"/>
      <c r="VN104" s="88"/>
      <c r="VO104" s="88"/>
      <c r="VP104" s="88"/>
      <c r="VQ104" s="88"/>
      <c r="VR104" s="88"/>
      <c r="VS104" s="88"/>
      <c r="VT104" s="88"/>
      <c r="VU104" s="88"/>
      <c r="VV104" s="88"/>
      <c r="VW104" s="88"/>
      <c r="VX104" s="88"/>
      <c r="VY104" s="88"/>
      <c r="VZ104" s="88"/>
      <c r="WA104" s="88"/>
      <c r="WB104" s="88"/>
      <c r="WC104" s="88"/>
      <c r="WD104" s="88"/>
      <c r="WE104" s="88"/>
      <c r="WF104" s="88"/>
      <c r="WG104" s="88"/>
      <c r="WH104" s="88"/>
      <c r="WI104" s="88"/>
      <c r="WJ104" s="88"/>
      <c r="WK104" s="88"/>
      <c r="WL104" s="88"/>
      <c r="WM104" s="88"/>
      <c r="WN104" s="88"/>
      <c r="WO104" s="88"/>
      <c r="WP104" s="88"/>
      <c r="WQ104" s="88"/>
      <c r="WR104" s="88"/>
      <c r="WS104" s="88"/>
      <c r="WT104" s="88"/>
      <c r="WU104" s="88"/>
      <c r="WV104" s="88"/>
      <c r="WW104" s="88"/>
      <c r="WX104" s="88"/>
      <c r="WY104" s="88"/>
      <c r="WZ104" s="88"/>
      <c r="XA104" s="88"/>
      <c r="XB104" s="88"/>
      <c r="XC104" s="88"/>
      <c r="XD104" s="88"/>
      <c r="XE104" s="88"/>
      <c r="XF104" s="88"/>
      <c r="XG104" s="88"/>
      <c r="XH104" s="88"/>
      <c r="XI104" s="88"/>
      <c r="XJ104" s="88"/>
      <c r="XK104" s="88"/>
      <c r="XL104" s="88"/>
      <c r="XM104" s="88"/>
      <c r="XN104" s="88"/>
      <c r="XO104" s="88"/>
      <c r="XP104" s="88"/>
      <c r="XQ104" s="88"/>
      <c r="XR104" s="88"/>
      <c r="XS104" s="88"/>
      <c r="XT104" s="88"/>
      <c r="XU104" s="88"/>
      <c r="XV104" s="88"/>
      <c r="XW104" s="88"/>
      <c r="XX104" s="88"/>
      <c r="XY104" s="88"/>
      <c r="XZ104" s="88"/>
      <c r="YA104" s="88"/>
      <c r="YB104" s="88"/>
      <c r="YC104" s="88"/>
      <c r="YD104" s="88"/>
      <c r="YE104" s="88"/>
      <c r="YF104" s="88"/>
      <c r="YG104" s="88"/>
      <c r="YH104" s="88"/>
      <c r="YI104" s="88"/>
      <c r="YJ104" s="88"/>
      <c r="YK104" s="88"/>
      <c r="YL104" s="88"/>
      <c r="YM104" s="88"/>
      <c r="YN104" s="88"/>
      <c r="YO104" s="88"/>
      <c r="YP104" s="88"/>
      <c r="YQ104" s="88"/>
      <c r="YR104" s="88"/>
      <c r="YS104" s="88"/>
      <c r="YT104" s="88"/>
      <c r="YU104" s="88"/>
      <c r="YV104" s="88"/>
      <c r="YW104" s="88"/>
      <c r="YX104" s="88"/>
      <c r="YY104" s="88"/>
      <c r="YZ104" s="88"/>
      <c r="ZA104" s="88"/>
      <c r="ZB104" s="88"/>
      <c r="ZC104" s="88"/>
      <c r="ZD104" s="88"/>
      <c r="ZE104" s="88"/>
      <c r="ZF104" s="88"/>
      <c r="ZG104" s="88"/>
      <c r="ZH104" s="88"/>
      <c r="ZI104" s="88"/>
      <c r="ZJ104" s="88"/>
      <c r="ZK104" s="88"/>
      <c r="ZL104" s="88"/>
      <c r="ZM104" s="88"/>
      <c r="ZN104" s="88"/>
      <c r="ZO104" s="88"/>
      <c r="ZP104" s="88"/>
      <c r="ZQ104" s="88"/>
      <c r="ZR104" s="88"/>
      <c r="ZS104" s="88"/>
      <c r="ZT104" s="88"/>
      <c r="ZU104" s="88"/>
      <c r="ZV104" s="88"/>
      <c r="ZW104" s="88"/>
      <c r="ZX104" s="88"/>
      <c r="ZY104" s="88"/>
      <c r="ZZ104" s="88"/>
      <c r="AAA104" s="88"/>
      <c r="AAB104" s="88"/>
      <c r="AAC104" s="88"/>
      <c r="AAD104" s="88"/>
      <c r="AAE104" s="88"/>
      <c r="AAF104" s="88"/>
      <c r="AAG104" s="88"/>
      <c r="AAH104" s="88"/>
      <c r="AAI104" s="88"/>
      <c r="AAJ104" s="88"/>
      <c r="AAK104" s="88"/>
      <c r="AAL104" s="88"/>
      <c r="AAM104" s="88"/>
      <c r="AAN104" s="88"/>
      <c r="AAO104" s="88"/>
      <c r="AAP104" s="88"/>
      <c r="AAQ104" s="88"/>
      <c r="AAR104" s="88"/>
      <c r="AAS104" s="88"/>
      <c r="AAT104" s="88"/>
      <c r="AAU104" s="88"/>
      <c r="AAV104" s="88"/>
      <c r="AAW104" s="88"/>
      <c r="AAX104" s="88"/>
      <c r="AAY104" s="88"/>
      <c r="AAZ104" s="88"/>
      <c r="ABA104" s="88"/>
      <c r="ABB104" s="88"/>
      <c r="ABC104" s="88"/>
      <c r="ABD104" s="88"/>
      <c r="ABE104" s="88"/>
      <c r="ABF104" s="88"/>
      <c r="ABG104" s="88"/>
      <c r="ABH104" s="88"/>
      <c r="ABI104" s="88"/>
      <c r="ABJ104" s="88"/>
      <c r="ABK104" s="88"/>
      <c r="ABL104" s="88"/>
      <c r="ABM104" s="88"/>
      <c r="ABN104" s="88"/>
      <c r="ABO104" s="88"/>
      <c r="ABP104" s="88"/>
      <c r="ABQ104" s="88"/>
      <c r="ABR104" s="88"/>
      <c r="ABS104" s="88"/>
      <c r="ABT104" s="88"/>
      <c r="ABU104" s="88"/>
      <c r="ABV104" s="88"/>
      <c r="ABW104" s="88"/>
      <c r="ABX104" s="88"/>
      <c r="ABY104" s="88"/>
      <c r="ABZ104" s="88"/>
      <c r="ACA104" s="88"/>
      <c r="ACB104" s="88"/>
      <c r="ACC104" s="88"/>
      <c r="ACD104" s="88"/>
      <c r="ACE104" s="88"/>
      <c r="ACF104" s="88"/>
      <c r="ACG104" s="88"/>
      <c r="ACH104" s="88"/>
      <c r="ACI104" s="88"/>
      <c r="ACJ104" s="88"/>
      <c r="ACK104" s="88"/>
      <c r="ACL104" s="88"/>
      <c r="ACM104" s="88"/>
      <c r="ACN104" s="88"/>
      <c r="ACO104" s="88"/>
      <c r="ACP104" s="88"/>
      <c r="ACQ104" s="88"/>
      <c r="ACR104" s="88"/>
      <c r="ACS104" s="88"/>
      <c r="ACT104" s="88"/>
      <c r="ACU104" s="88"/>
      <c r="ACV104" s="88"/>
      <c r="ACW104" s="88"/>
      <c r="ACX104" s="88"/>
      <c r="ACY104" s="88"/>
      <c r="ACZ104" s="88"/>
      <c r="ADA104" s="88"/>
      <c r="ADB104" s="88"/>
      <c r="ADC104" s="88"/>
      <c r="ADD104" s="88"/>
      <c r="ADE104" s="88"/>
      <c r="ADF104" s="88"/>
      <c r="ADG104" s="88"/>
      <c r="ADH104" s="88"/>
      <c r="ADI104" s="88"/>
      <c r="ADJ104" s="88"/>
      <c r="ADK104" s="88"/>
      <c r="ADL104" s="88"/>
      <c r="ADM104" s="88"/>
      <c r="ADN104" s="88"/>
      <c r="ADO104" s="88"/>
      <c r="ADP104" s="88"/>
      <c r="ADQ104" s="88"/>
      <c r="ADR104" s="88"/>
      <c r="ADS104" s="88"/>
      <c r="ADT104" s="88"/>
      <c r="ADU104" s="88"/>
      <c r="ADV104" s="88"/>
      <c r="ADW104" s="88"/>
      <c r="ADX104" s="88"/>
      <c r="ADY104" s="88"/>
      <c r="ADZ104" s="88"/>
      <c r="AEA104" s="88"/>
      <c r="AEB104" s="88"/>
      <c r="AEC104" s="88"/>
      <c r="AED104" s="88"/>
      <c r="AEE104" s="88"/>
      <c r="AEF104" s="88"/>
      <c r="AEG104" s="88"/>
      <c r="AEH104" s="88"/>
      <c r="AEI104" s="88"/>
      <c r="AEJ104" s="88"/>
      <c r="AEK104" s="88"/>
      <c r="AEL104" s="88"/>
      <c r="AEM104" s="88"/>
      <c r="AEN104" s="88"/>
      <c r="AEO104" s="88"/>
      <c r="AEP104" s="88"/>
      <c r="AEQ104" s="88"/>
      <c r="AER104" s="88"/>
      <c r="AES104" s="88"/>
      <c r="AET104" s="88"/>
      <c r="AEU104" s="88"/>
      <c r="AEV104" s="88"/>
      <c r="AEW104" s="88"/>
      <c r="AEX104" s="88"/>
      <c r="AEY104" s="88"/>
      <c r="AEZ104" s="88"/>
      <c r="AFA104" s="88"/>
      <c r="AFB104" s="88"/>
      <c r="AFC104" s="88"/>
      <c r="AFD104" s="88"/>
      <c r="AFE104" s="88"/>
      <c r="AFF104" s="88"/>
      <c r="AFG104" s="88"/>
      <c r="AFH104" s="88"/>
      <c r="AFI104" s="88"/>
      <c r="AFJ104" s="88"/>
      <c r="AFK104" s="88"/>
      <c r="AFL104" s="88"/>
      <c r="AFM104" s="88"/>
      <c r="AFN104" s="88"/>
      <c r="AFO104" s="88"/>
      <c r="AFP104" s="88"/>
      <c r="AFQ104" s="88"/>
      <c r="AFR104" s="88"/>
      <c r="AFS104" s="88"/>
      <c r="AFT104" s="88"/>
      <c r="AFU104" s="88"/>
      <c r="AFV104" s="88"/>
      <c r="AFW104" s="88"/>
      <c r="AFX104" s="88"/>
      <c r="AFY104" s="88"/>
      <c r="AFZ104" s="88"/>
      <c r="AGA104" s="88"/>
      <c r="AGB104" s="88"/>
      <c r="AGC104" s="88"/>
      <c r="AGD104" s="88"/>
      <c r="AGE104" s="88"/>
      <c r="AGF104" s="88"/>
      <c r="AGG104" s="88"/>
      <c r="AGH104" s="88"/>
      <c r="AGI104" s="88"/>
      <c r="AGJ104" s="88"/>
      <c r="AGK104" s="88"/>
      <c r="AGL104" s="88"/>
      <c r="AGM104" s="88"/>
      <c r="AGN104" s="88"/>
      <c r="AGO104" s="88"/>
      <c r="AGP104" s="88"/>
      <c r="AGQ104" s="88"/>
      <c r="AGR104" s="88"/>
      <c r="AGS104" s="88"/>
      <c r="AGT104" s="88"/>
      <c r="AGU104" s="88"/>
      <c r="AGV104" s="88"/>
      <c r="AGW104" s="88"/>
      <c r="AGX104" s="88"/>
      <c r="AGY104" s="88"/>
      <c r="AGZ104" s="88"/>
      <c r="AHA104" s="88"/>
      <c r="AHB104" s="88"/>
      <c r="AHC104" s="88"/>
      <c r="AHD104" s="88"/>
      <c r="AHE104" s="88"/>
      <c r="AHF104" s="88"/>
      <c r="AHG104" s="88"/>
      <c r="AHH104" s="88"/>
      <c r="AHI104" s="88"/>
      <c r="AHJ104" s="88"/>
      <c r="AHK104" s="88"/>
      <c r="AHL104" s="88"/>
      <c r="AHM104" s="88"/>
      <c r="AHN104" s="88"/>
      <c r="AHO104" s="88"/>
      <c r="AHP104" s="88"/>
      <c r="AHQ104" s="88"/>
      <c r="AHR104" s="88"/>
      <c r="AHS104" s="88"/>
      <c r="AHT104" s="88"/>
      <c r="AHU104" s="88"/>
      <c r="AHV104" s="88"/>
      <c r="AHW104" s="88"/>
      <c r="AHX104" s="88"/>
      <c r="AHY104" s="88"/>
      <c r="AHZ104" s="88"/>
      <c r="AIA104" s="88"/>
      <c r="AIB104" s="88"/>
      <c r="AIC104" s="88"/>
      <c r="AID104" s="88"/>
      <c r="AIE104" s="88"/>
      <c r="AIF104" s="88"/>
      <c r="AIG104" s="88"/>
      <c r="AIH104" s="88"/>
      <c r="AII104" s="88"/>
      <c r="AIJ104" s="88"/>
      <c r="AIK104" s="88"/>
      <c r="AIL104" s="88"/>
      <c r="AIM104" s="88"/>
      <c r="AIN104" s="88"/>
      <c r="AIO104" s="88"/>
      <c r="AIP104" s="88"/>
      <c r="AIQ104" s="88"/>
      <c r="AIR104" s="88"/>
      <c r="AIS104" s="88"/>
      <c r="AIT104" s="88"/>
      <c r="AIU104" s="88"/>
      <c r="AIV104" s="88"/>
      <c r="AIW104" s="88"/>
      <c r="AIX104" s="88"/>
      <c r="AIY104" s="88"/>
      <c r="AIZ104" s="88"/>
      <c r="AJA104" s="88"/>
      <c r="AJB104" s="88"/>
      <c r="AJC104" s="88"/>
      <c r="AJD104" s="88"/>
      <c r="AJE104" s="88"/>
      <c r="AJF104" s="88"/>
      <c r="AJG104" s="88"/>
      <c r="AJH104" s="88"/>
      <c r="AJI104" s="88"/>
      <c r="AJJ104" s="88"/>
      <c r="AJK104" s="88"/>
      <c r="AJL104" s="88"/>
      <c r="AJM104" s="88"/>
      <c r="AJN104" s="88"/>
      <c r="AJO104" s="88"/>
      <c r="AJP104" s="88"/>
      <c r="AJQ104" s="88"/>
      <c r="AJR104" s="88"/>
      <c r="AJS104" s="88"/>
      <c r="AJT104" s="88"/>
      <c r="AJU104" s="88"/>
      <c r="AJV104" s="88"/>
      <c r="AJW104" s="88"/>
      <c r="AJX104" s="88"/>
      <c r="AJY104" s="88"/>
      <c r="AJZ104" s="88"/>
      <c r="AKA104" s="88"/>
      <c r="AKB104" s="88"/>
      <c r="AKC104" s="88"/>
      <c r="AKD104" s="88"/>
      <c r="AKE104" s="88"/>
      <c r="AKF104" s="88"/>
      <c r="AKG104" s="88"/>
      <c r="AKH104" s="88"/>
      <c r="AKI104" s="88"/>
      <c r="AKJ104" s="88"/>
      <c r="AKK104" s="88"/>
      <c r="AKL104" s="88"/>
      <c r="AKM104" s="88"/>
      <c r="AKN104" s="88"/>
      <c r="AKO104" s="88"/>
      <c r="AKP104" s="88"/>
      <c r="AKQ104" s="88"/>
      <c r="AKR104" s="88"/>
      <c r="AKS104" s="88"/>
      <c r="AKT104" s="88"/>
      <c r="AKU104" s="88"/>
      <c r="AKV104" s="88"/>
      <c r="AKW104" s="88"/>
      <c r="AKX104" s="88"/>
      <c r="AKY104" s="88"/>
      <c r="AKZ104" s="88"/>
      <c r="ALA104" s="88"/>
      <c r="ALB104" s="88"/>
      <c r="ALC104" s="88"/>
      <c r="ALD104" s="88"/>
      <c r="ALE104" s="88"/>
      <c r="ALF104" s="88"/>
      <c r="ALG104" s="88"/>
      <c r="ALH104" s="88"/>
      <c r="ALI104" s="88"/>
      <c r="ALJ104" s="88"/>
      <c r="ALK104" s="88"/>
      <c r="ALL104" s="88"/>
      <c r="ALM104" s="88"/>
      <c r="ALN104" s="88"/>
      <c r="ALO104" s="88"/>
      <c r="ALP104" s="88"/>
      <c r="ALQ104" s="88"/>
      <c r="ALR104" s="88"/>
      <c r="ALS104" s="88"/>
      <c r="ALT104" s="88"/>
      <c r="ALU104" s="88"/>
      <c r="ALV104" s="88"/>
      <c r="ALW104" s="88"/>
      <c r="ALX104" s="88"/>
      <c r="ALY104" s="88"/>
      <c r="ALZ104" s="88"/>
      <c r="AMA104" s="88"/>
      <c r="AMB104" s="88"/>
      <c r="AMC104" s="88"/>
      <c r="AMD104" s="88"/>
      <c r="AME104" s="88"/>
      <c r="AMF104" s="88"/>
      <c r="AMG104" s="88"/>
      <c r="AMH104" s="88"/>
      <c r="AMI104" s="88"/>
      <c r="AMJ104" s="88"/>
      <c r="AMK104" s="88"/>
      <c r="AML104" s="88"/>
      <c r="AMM104" s="88"/>
      <c r="AMN104" s="88"/>
      <c r="AMO104" s="88"/>
      <c r="AMP104" s="88"/>
      <c r="AMQ104" s="88"/>
      <c r="AMR104" s="88"/>
      <c r="AMS104" s="88"/>
      <c r="AMT104" s="88"/>
      <c r="AMU104" s="88"/>
      <c r="AMV104" s="88"/>
      <c r="AMW104" s="88"/>
      <c r="AMX104" s="88"/>
      <c r="AMY104" s="88"/>
      <c r="AMZ104" s="88"/>
      <c r="ANA104" s="88"/>
      <c r="ANB104" s="88"/>
      <c r="ANC104" s="88"/>
      <c r="AND104" s="88"/>
      <c r="ANE104" s="88"/>
      <c r="ANF104" s="88"/>
      <c r="ANG104" s="88"/>
      <c r="ANH104" s="88"/>
      <c r="ANI104" s="88"/>
      <c r="ANJ104" s="88"/>
      <c r="ANK104" s="88"/>
      <c r="ANL104" s="88"/>
      <c r="ANM104" s="88"/>
      <c r="ANN104" s="88"/>
      <c r="ANO104" s="88"/>
      <c r="ANP104" s="88"/>
      <c r="ANQ104" s="88"/>
      <c r="ANR104" s="88"/>
      <c r="ANS104" s="88"/>
      <c r="ANT104" s="88"/>
      <c r="ANU104" s="88"/>
      <c r="ANV104" s="88"/>
      <c r="ANW104" s="88"/>
      <c r="ANX104" s="88"/>
      <c r="ANY104" s="88"/>
      <c r="ANZ104" s="88"/>
      <c r="AOA104" s="88"/>
      <c r="AOB104" s="88"/>
      <c r="AOC104" s="88"/>
      <c r="AOD104" s="88"/>
      <c r="AOE104" s="88"/>
      <c r="AOF104" s="88"/>
      <c r="AOG104" s="88"/>
      <c r="AOH104" s="88"/>
      <c r="AOI104" s="88"/>
      <c r="AOJ104" s="88"/>
      <c r="AOK104" s="88"/>
      <c r="AOL104" s="88"/>
      <c r="AOM104" s="88"/>
      <c r="AON104" s="88"/>
      <c r="AOO104" s="88"/>
      <c r="AOP104" s="88"/>
      <c r="AOQ104" s="88"/>
      <c r="AOR104" s="88"/>
      <c r="AOS104" s="88"/>
      <c r="AOT104" s="88"/>
      <c r="AOU104" s="88"/>
      <c r="AOV104" s="88"/>
      <c r="AOW104" s="88"/>
      <c r="AOX104" s="88"/>
      <c r="AOY104" s="88"/>
      <c r="AOZ104" s="88"/>
      <c r="APA104" s="88"/>
      <c r="APB104" s="88"/>
      <c r="APC104" s="88"/>
      <c r="APD104" s="88"/>
      <c r="APE104" s="88"/>
      <c r="APF104" s="88"/>
      <c r="APG104" s="88"/>
      <c r="APH104" s="88"/>
      <c r="API104" s="88"/>
      <c r="APJ104" s="88"/>
      <c r="APK104" s="88"/>
      <c r="APL104" s="88"/>
      <c r="APM104" s="88"/>
      <c r="APN104" s="88"/>
      <c r="APO104" s="88"/>
      <c r="APP104" s="88"/>
      <c r="APQ104" s="88"/>
      <c r="APR104" s="88"/>
      <c r="APS104" s="88"/>
      <c r="APT104" s="88"/>
      <c r="APU104" s="88"/>
      <c r="APV104" s="88"/>
      <c r="APW104" s="88"/>
      <c r="APX104" s="88"/>
      <c r="APY104" s="88"/>
      <c r="APZ104" s="88"/>
      <c r="AQA104" s="88"/>
      <c r="AQB104" s="88"/>
      <c r="AQC104" s="88"/>
      <c r="AQD104" s="88"/>
      <c r="AQE104" s="88"/>
      <c r="AQF104" s="88"/>
      <c r="AQG104" s="88"/>
      <c r="AQH104" s="88"/>
      <c r="AQI104" s="88"/>
      <c r="AQJ104" s="88"/>
      <c r="AQK104" s="88"/>
      <c r="AQL104" s="88"/>
      <c r="AQM104" s="88"/>
      <c r="AQN104" s="88"/>
      <c r="AQO104" s="88"/>
      <c r="AQP104" s="88"/>
      <c r="AQQ104" s="88"/>
      <c r="AQR104" s="88"/>
      <c r="AQS104" s="88"/>
      <c r="AQT104" s="88"/>
      <c r="AQU104" s="88"/>
      <c r="AQV104" s="88"/>
      <c r="AQW104" s="88"/>
      <c r="AQX104" s="88"/>
      <c r="AQY104" s="88"/>
      <c r="AQZ104" s="88"/>
      <c r="ARA104" s="88"/>
      <c r="ARB104" s="88"/>
      <c r="ARC104" s="88"/>
      <c r="ARD104" s="88"/>
      <c r="ARE104" s="88"/>
      <c r="ARF104" s="88"/>
      <c r="ARG104" s="88"/>
      <c r="ARH104" s="88"/>
      <c r="ARI104" s="88"/>
      <c r="ARJ104" s="88"/>
      <c r="ARK104" s="88"/>
      <c r="ARL104" s="88"/>
      <c r="ARM104" s="88"/>
      <c r="ARN104" s="88"/>
      <c r="ARO104" s="88"/>
      <c r="ARP104" s="88"/>
      <c r="ARQ104" s="88"/>
      <c r="ARR104" s="88"/>
      <c r="ARS104" s="88"/>
      <c r="ART104" s="88"/>
      <c r="ARU104" s="88"/>
      <c r="ARV104" s="88"/>
      <c r="ARW104" s="88"/>
      <c r="ARX104" s="88"/>
      <c r="ARY104" s="88"/>
      <c r="ARZ104" s="88"/>
      <c r="ASA104" s="88"/>
      <c r="ASB104" s="88"/>
      <c r="ASC104" s="88"/>
      <c r="ASD104" s="88"/>
      <c r="ASE104" s="88"/>
      <c r="ASF104" s="88"/>
      <c r="ASG104" s="88"/>
      <c r="ASH104" s="88"/>
      <c r="ASI104" s="88"/>
      <c r="ASJ104" s="88"/>
      <c r="ASK104" s="88"/>
      <c r="ASL104" s="88"/>
      <c r="ASM104" s="88"/>
      <c r="ASN104" s="88"/>
      <c r="ASO104" s="88"/>
      <c r="ASP104" s="88"/>
      <c r="ASQ104" s="88"/>
      <c r="ASR104" s="88"/>
      <c r="ASS104" s="88"/>
      <c r="AST104" s="88"/>
      <c r="ASU104" s="88"/>
      <c r="ASV104" s="88"/>
      <c r="ASW104" s="88"/>
      <c r="ASX104" s="88"/>
      <c r="ASY104" s="88"/>
      <c r="ASZ104" s="88"/>
      <c r="ATA104" s="88"/>
      <c r="ATB104" s="88"/>
      <c r="ATC104" s="88"/>
      <c r="ATD104" s="88"/>
      <c r="ATE104" s="88"/>
      <c r="ATF104" s="88"/>
      <c r="ATG104" s="88"/>
      <c r="ATH104" s="88"/>
      <c r="ATI104" s="88"/>
      <c r="ATJ104" s="88"/>
      <c r="ATK104" s="88"/>
      <c r="ATL104" s="88"/>
      <c r="ATM104" s="88"/>
      <c r="ATN104" s="88"/>
      <c r="ATO104" s="88"/>
      <c r="ATP104" s="88"/>
      <c r="ATQ104" s="88"/>
      <c r="ATR104" s="88"/>
      <c r="ATS104" s="88"/>
      <c r="ATT104" s="88"/>
      <c r="ATU104" s="88"/>
      <c r="ATV104" s="88"/>
      <c r="ATW104" s="88"/>
      <c r="ATX104" s="88"/>
      <c r="ATY104" s="88"/>
      <c r="ATZ104" s="88"/>
      <c r="AUA104" s="88"/>
      <c r="AUB104" s="88"/>
      <c r="AUC104" s="88"/>
      <c r="AUD104" s="88"/>
      <c r="AUE104" s="88"/>
      <c r="AUF104" s="88"/>
      <c r="AUG104" s="88"/>
      <c r="AUH104" s="88"/>
      <c r="AUI104" s="88"/>
      <c r="AUJ104" s="88"/>
      <c r="AUK104" s="88"/>
      <c r="AUL104" s="88"/>
      <c r="AUM104" s="88"/>
      <c r="AUN104" s="88"/>
      <c r="AUO104" s="88"/>
      <c r="AUP104" s="88"/>
      <c r="AUQ104" s="88"/>
      <c r="AUR104" s="88"/>
      <c r="AUS104" s="88"/>
      <c r="AUT104" s="88"/>
      <c r="AUU104" s="88"/>
      <c r="AUV104" s="88"/>
      <c r="AUW104" s="88"/>
      <c r="AUX104" s="88"/>
      <c r="AUY104" s="88"/>
      <c r="AUZ104" s="88"/>
      <c r="AVA104" s="88"/>
      <c r="AVB104" s="88"/>
      <c r="AVC104" s="88"/>
      <c r="AVD104" s="88"/>
      <c r="AVE104" s="88"/>
      <c r="AVF104" s="88"/>
      <c r="AVG104" s="88"/>
      <c r="AVH104" s="88"/>
      <c r="AVI104" s="88"/>
      <c r="AVJ104" s="88"/>
      <c r="AVK104" s="88"/>
      <c r="AVL104" s="88"/>
      <c r="AVM104" s="88"/>
      <c r="AVN104" s="88"/>
      <c r="AVO104" s="88"/>
      <c r="AVP104" s="88"/>
      <c r="AVQ104" s="88"/>
      <c r="AVR104" s="88"/>
      <c r="AVS104" s="88"/>
      <c r="AVT104" s="88"/>
      <c r="AVU104" s="88"/>
      <c r="AVV104" s="88"/>
      <c r="AVW104" s="88"/>
      <c r="AVX104" s="88"/>
      <c r="AVY104" s="88"/>
      <c r="AVZ104" s="88"/>
      <c r="AWA104" s="88"/>
      <c r="AWB104" s="88"/>
      <c r="AWC104" s="88"/>
      <c r="AWD104" s="88"/>
      <c r="AWE104" s="88"/>
      <c r="AWF104" s="88"/>
      <c r="AWG104" s="88"/>
      <c r="AWH104" s="88"/>
      <c r="AWI104" s="88"/>
      <c r="AWJ104" s="88"/>
      <c r="AWK104" s="88"/>
      <c r="AWL104" s="88"/>
      <c r="AWM104" s="88"/>
      <c r="AWN104" s="88"/>
      <c r="AWO104" s="88"/>
      <c r="AWP104" s="88"/>
      <c r="AWQ104" s="88"/>
      <c r="AWR104" s="88"/>
      <c r="AWS104" s="88"/>
      <c r="AWT104" s="88"/>
      <c r="AWU104" s="88"/>
      <c r="AWV104" s="88"/>
      <c r="AWW104" s="88"/>
      <c r="AWX104" s="88"/>
      <c r="AWY104" s="88"/>
      <c r="AWZ104" s="88"/>
      <c r="AXA104" s="88"/>
      <c r="AXB104" s="88"/>
      <c r="AXC104" s="88"/>
      <c r="AXD104" s="88"/>
      <c r="AXE104" s="88"/>
      <c r="AXF104" s="88"/>
      <c r="AXG104" s="88"/>
      <c r="AXH104" s="88"/>
      <c r="AXI104" s="88"/>
      <c r="AXJ104" s="88"/>
      <c r="AXK104" s="88"/>
      <c r="AXL104" s="88"/>
      <c r="AXM104" s="88"/>
      <c r="AXN104" s="88"/>
      <c r="AXO104" s="88"/>
      <c r="AXP104" s="88"/>
      <c r="AXQ104" s="88"/>
      <c r="AXR104" s="88"/>
      <c r="AXS104" s="88"/>
      <c r="AXT104" s="88"/>
      <c r="AXU104" s="88"/>
      <c r="AXV104" s="88"/>
      <c r="AXW104" s="88"/>
      <c r="AXX104" s="88"/>
      <c r="AXY104" s="88"/>
      <c r="AXZ104" s="88"/>
      <c r="AYA104" s="88"/>
      <c r="AYB104" s="88"/>
      <c r="AYC104" s="88"/>
      <c r="AYD104" s="88"/>
      <c r="AYE104" s="88"/>
      <c r="AYF104" s="88"/>
      <c r="AYG104" s="88"/>
      <c r="AYH104" s="88"/>
      <c r="AYI104" s="88"/>
      <c r="AYJ104" s="88"/>
      <c r="AYK104" s="88"/>
      <c r="AYL104" s="88"/>
      <c r="AYM104" s="88"/>
      <c r="AYN104" s="88"/>
      <c r="AYO104" s="88"/>
      <c r="AYP104" s="88"/>
      <c r="AYQ104" s="88"/>
      <c r="AYR104" s="88"/>
      <c r="AYS104" s="88"/>
      <c r="AYT104" s="88"/>
      <c r="AYU104" s="88"/>
      <c r="AYV104" s="88"/>
      <c r="AYW104" s="88"/>
      <c r="AYX104" s="88"/>
      <c r="AYY104" s="88"/>
      <c r="AYZ104" s="88"/>
      <c r="AZA104" s="88"/>
      <c r="AZB104" s="88"/>
      <c r="AZC104" s="88"/>
      <c r="AZD104" s="88"/>
      <c r="AZE104" s="88"/>
      <c r="AZF104" s="88"/>
      <c r="AZG104" s="88"/>
      <c r="AZH104" s="88"/>
      <c r="AZI104" s="88"/>
      <c r="AZJ104" s="88"/>
      <c r="AZK104" s="88"/>
      <c r="AZL104" s="88"/>
      <c r="AZM104" s="88"/>
      <c r="AZN104" s="88"/>
      <c r="AZO104" s="88"/>
      <c r="AZP104" s="88"/>
      <c r="AZQ104" s="88"/>
      <c r="AZR104" s="88"/>
      <c r="AZS104" s="88"/>
      <c r="AZT104" s="88"/>
      <c r="AZU104" s="88"/>
      <c r="AZV104" s="88"/>
      <c r="AZW104" s="88"/>
      <c r="AZX104" s="88"/>
      <c r="AZY104" s="88"/>
      <c r="AZZ104" s="88"/>
      <c r="BAA104" s="88"/>
      <c r="BAB104" s="88"/>
      <c r="BAC104" s="88"/>
      <c r="BAD104" s="88"/>
      <c r="BAE104" s="88"/>
      <c r="BAF104" s="88"/>
      <c r="BAG104" s="88"/>
      <c r="BAH104" s="88"/>
      <c r="BAI104" s="88"/>
      <c r="BAJ104" s="88"/>
      <c r="BAK104" s="88"/>
      <c r="BAL104" s="88"/>
      <c r="BAM104" s="88"/>
      <c r="BAN104" s="88"/>
      <c r="BAO104" s="88"/>
      <c r="BAP104" s="88"/>
      <c r="BAQ104" s="88"/>
      <c r="BAR104" s="88"/>
      <c r="BAS104" s="88"/>
      <c r="BAT104" s="88"/>
      <c r="BAU104" s="88"/>
      <c r="BAV104" s="88"/>
      <c r="BAW104" s="88"/>
      <c r="BAX104" s="88"/>
      <c r="BAY104" s="88"/>
      <c r="BAZ104" s="88"/>
      <c r="BBA104" s="88"/>
      <c r="BBB104" s="88"/>
      <c r="BBC104" s="88"/>
      <c r="BBD104" s="88"/>
      <c r="BBE104" s="88"/>
      <c r="BBF104" s="88"/>
      <c r="BBG104" s="88"/>
      <c r="BBH104" s="88"/>
      <c r="BBI104" s="88"/>
      <c r="BBJ104" s="88"/>
      <c r="BBK104" s="88"/>
      <c r="BBL104" s="88"/>
      <c r="BBM104" s="88"/>
      <c r="BBN104" s="88"/>
      <c r="BBO104" s="88"/>
      <c r="BBP104" s="88"/>
      <c r="BBQ104" s="88"/>
      <c r="BBR104" s="88"/>
      <c r="BBS104" s="88"/>
      <c r="BBT104" s="88"/>
      <c r="BBU104" s="88"/>
      <c r="BBV104" s="88"/>
      <c r="BBW104" s="88"/>
      <c r="BBX104" s="88"/>
      <c r="BBY104" s="88"/>
      <c r="BBZ104" s="88"/>
      <c r="BCA104" s="88"/>
      <c r="BCB104" s="88"/>
      <c r="BCC104" s="88"/>
      <c r="BCD104" s="88"/>
      <c r="BCE104" s="88"/>
      <c r="BCF104" s="88"/>
      <c r="BCG104" s="88"/>
      <c r="BCH104" s="88"/>
      <c r="BCI104" s="88"/>
      <c r="BCJ104" s="88"/>
      <c r="BCK104" s="88"/>
      <c r="BCL104" s="88"/>
      <c r="BCM104" s="88"/>
      <c r="BCN104" s="88"/>
      <c r="BCO104" s="88"/>
      <c r="BCP104" s="88"/>
      <c r="BCQ104" s="88"/>
      <c r="BCR104" s="88"/>
      <c r="BCS104" s="88"/>
      <c r="BCT104" s="88"/>
      <c r="BCU104" s="88"/>
      <c r="BCV104" s="88"/>
      <c r="BCW104" s="88"/>
      <c r="BCX104" s="88"/>
      <c r="BCY104" s="88"/>
      <c r="BCZ104" s="88"/>
      <c r="BDA104" s="88"/>
      <c r="BDB104" s="88"/>
      <c r="BDC104" s="88"/>
      <c r="BDD104" s="88"/>
      <c r="BDE104" s="88"/>
      <c r="BDF104" s="88"/>
      <c r="BDG104" s="88"/>
      <c r="BDH104" s="88"/>
      <c r="BDI104" s="88"/>
      <c r="BDJ104" s="88"/>
      <c r="BDK104" s="88"/>
      <c r="BDL104" s="88"/>
      <c r="BDM104" s="88"/>
      <c r="BDN104" s="88"/>
      <c r="BDO104" s="88"/>
      <c r="BDP104" s="88"/>
      <c r="BDQ104" s="88"/>
      <c r="BDR104" s="88"/>
      <c r="BDS104" s="88"/>
      <c r="BDT104" s="88"/>
      <c r="BDU104" s="88"/>
      <c r="BDV104" s="88"/>
      <c r="BDW104" s="88"/>
      <c r="BDX104" s="88"/>
      <c r="BDY104" s="88"/>
      <c r="BDZ104" s="88"/>
      <c r="BEA104" s="88"/>
      <c r="BEB104" s="88"/>
      <c r="BEC104" s="88"/>
      <c r="BED104" s="88"/>
      <c r="BEE104" s="88"/>
      <c r="BEF104" s="88"/>
      <c r="BEG104" s="88"/>
      <c r="BEH104" s="88"/>
      <c r="BEI104" s="88"/>
      <c r="BEJ104" s="88"/>
      <c r="BEK104" s="88"/>
      <c r="BEL104" s="88"/>
      <c r="BEM104" s="88"/>
      <c r="BEN104" s="88"/>
      <c r="BEO104" s="88"/>
      <c r="BEP104" s="88"/>
      <c r="BEQ104" s="88"/>
      <c r="BER104" s="88"/>
      <c r="BES104" s="88"/>
      <c r="BET104" s="88"/>
      <c r="BEU104" s="88"/>
      <c r="BEV104" s="88"/>
      <c r="BEW104" s="88"/>
      <c r="BEX104" s="88"/>
      <c r="BEY104" s="88"/>
      <c r="BEZ104" s="88"/>
      <c r="BFA104" s="88"/>
      <c r="BFB104" s="88"/>
      <c r="BFC104" s="88"/>
      <c r="BFD104" s="88"/>
      <c r="BFE104" s="88"/>
      <c r="BFF104" s="88"/>
      <c r="BFG104" s="88"/>
      <c r="BFH104" s="88"/>
      <c r="BFI104" s="88"/>
      <c r="BFJ104" s="88"/>
      <c r="BFK104" s="88"/>
      <c r="BFL104" s="88"/>
      <c r="BFM104" s="88"/>
      <c r="BFN104" s="88"/>
      <c r="BFO104" s="88"/>
      <c r="BFP104" s="88"/>
      <c r="BFQ104" s="88"/>
      <c r="BFR104" s="88"/>
      <c r="BFS104" s="88"/>
      <c r="BFT104" s="88"/>
      <c r="BFU104" s="88"/>
      <c r="BFV104" s="88"/>
      <c r="BFW104" s="88"/>
      <c r="BFX104" s="88"/>
      <c r="BFY104" s="88"/>
      <c r="BFZ104" s="88"/>
      <c r="BGA104" s="88"/>
      <c r="BGB104" s="88"/>
      <c r="BGC104" s="88"/>
      <c r="BGD104" s="88"/>
      <c r="BGE104" s="88"/>
      <c r="BGF104" s="88"/>
      <c r="BGG104" s="88"/>
      <c r="BGH104" s="88"/>
      <c r="BGI104" s="88"/>
      <c r="BGJ104" s="88"/>
      <c r="BGK104" s="88"/>
      <c r="BGL104" s="88"/>
      <c r="BGM104" s="88"/>
      <c r="BGN104" s="88"/>
      <c r="BGO104" s="88"/>
      <c r="BGP104" s="88"/>
      <c r="BGQ104" s="88"/>
      <c r="BGR104" s="88"/>
      <c r="BGS104" s="88"/>
      <c r="BGT104" s="88"/>
      <c r="BGU104" s="88"/>
      <c r="BGV104" s="88"/>
      <c r="BGW104" s="88"/>
      <c r="BGX104" s="88"/>
      <c r="BGY104" s="88"/>
      <c r="BGZ104" s="88"/>
      <c r="BHA104" s="88"/>
      <c r="BHB104" s="88"/>
      <c r="BHC104" s="88"/>
      <c r="BHD104" s="88"/>
      <c r="BHE104" s="88"/>
      <c r="BHF104" s="88"/>
      <c r="BHG104" s="88"/>
      <c r="BHH104" s="88"/>
      <c r="BHI104" s="88"/>
      <c r="BHJ104" s="88"/>
      <c r="BHK104" s="88"/>
      <c r="BHL104" s="88"/>
      <c r="BHM104" s="88"/>
      <c r="BHN104" s="88"/>
      <c r="BHO104" s="88"/>
      <c r="BHP104" s="88"/>
      <c r="BHQ104" s="88"/>
      <c r="BHR104" s="88"/>
      <c r="BHS104" s="88"/>
      <c r="BHT104" s="88"/>
      <c r="BHU104" s="88"/>
      <c r="BHV104" s="88"/>
      <c r="BHW104" s="88"/>
      <c r="BHX104" s="88"/>
      <c r="BHY104" s="88"/>
      <c r="BHZ104" s="88"/>
      <c r="BIA104" s="88"/>
      <c r="BIB104" s="88"/>
      <c r="BIC104" s="88"/>
      <c r="BID104" s="88"/>
      <c r="BIE104" s="88"/>
      <c r="BIF104" s="88"/>
      <c r="BIG104" s="88"/>
      <c r="BIH104" s="88"/>
      <c r="BII104" s="88"/>
      <c r="BIJ104" s="88"/>
      <c r="BIK104" s="88"/>
      <c r="BIL104" s="88"/>
      <c r="BIM104" s="88"/>
      <c r="BIN104" s="88"/>
      <c r="BIO104" s="88"/>
      <c r="BIP104" s="88"/>
      <c r="BIQ104" s="88"/>
      <c r="BIR104" s="88"/>
      <c r="BIS104" s="88"/>
      <c r="BIT104" s="88"/>
      <c r="BIU104" s="88"/>
      <c r="BIV104" s="88"/>
      <c r="BIW104" s="88"/>
      <c r="BIX104" s="88"/>
      <c r="BIY104" s="88"/>
      <c r="BIZ104" s="88"/>
      <c r="BJA104" s="88"/>
      <c r="BJB104" s="88"/>
      <c r="BJC104" s="88"/>
      <c r="BJD104" s="88"/>
      <c r="BJE104" s="88"/>
      <c r="BJF104" s="88"/>
      <c r="BJG104" s="88"/>
      <c r="BJH104" s="88"/>
      <c r="BJI104" s="88"/>
      <c r="BJJ104" s="88"/>
      <c r="BJK104" s="88"/>
      <c r="BJL104" s="88"/>
      <c r="BJM104" s="88"/>
      <c r="BJN104" s="88"/>
      <c r="BJO104" s="88"/>
      <c r="BJP104" s="88"/>
      <c r="BJQ104" s="88"/>
      <c r="BJR104" s="88"/>
      <c r="BJS104" s="88"/>
      <c r="BJT104" s="88"/>
      <c r="BJU104" s="88"/>
      <c r="BJV104" s="88"/>
      <c r="BJW104" s="88"/>
      <c r="BJX104" s="88"/>
      <c r="BJY104" s="88"/>
      <c r="BJZ104" s="88"/>
      <c r="BKA104" s="88"/>
      <c r="BKB104" s="88"/>
      <c r="BKC104" s="88"/>
      <c r="BKD104" s="88"/>
      <c r="BKE104" s="88"/>
      <c r="BKF104" s="88"/>
      <c r="BKG104" s="88"/>
      <c r="BKH104" s="88"/>
      <c r="BKI104" s="88"/>
      <c r="BKJ104" s="88"/>
      <c r="BKK104" s="88"/>
      <c r="BKL104" s="88"/>
      <c r="BKM104" s="88"/>
      <c r="BKN104" s="88"/>
      <c r="BKO104" s="88"/>
      <c r="BKP104" s="88"/>
      <c r="BKQ104" s="88"/>
      <c r="BKR104" s="88"/>
      <c r="BKS104" s="88"/>
      <c r="BKT104" s="88"/>
      <c r="BKU104" s="88"/>
      <c r="BKV104" s="88"/>
      <c r="BKW104" s="88"/>
      <c r="BKX104" s="88"/>
      <c r="BKY104" s="88"/>
      <c r="BKZ104" s="88"/>
      <c r="BLA104" s="88"/>
      <c r="BLB104" s="88"/>
      <c r="BLC104" s="88"/>
      <c r="BLD104" s="88"/>
      <c r="BLE104" s="88"/>
      <c r="BLF104" s="88"/>
      <c r="BLG104" s="88"/>
      <c r="BLH104" s="88"/>
      <c r="BLI104" s="88"/>
      <c r="BLJ104" s="88"/>
      <c r="BLK104" s="88"/>
      <c r="BLL104" s="88"/>
      <c r="BLM104" s="88"/>
      <c r="BLN104" s="88"/>
      <c r="BLO104" s="88"/>
      <c r="BLP104" s="88"/>
      <c r="BLQ104" s="88"/>
      <c r="BLR104" s="88"/>
      <c r="BLS104" s="88"/>
      <c r="BLT104" s="88"/>
      <c r="BLU104" s="88"/>
      <c r="BLV104" s="88"/>
      <c r="BLW104" s="88"/>
      <c r="BLX104" s="88"/>
      <c r="BLY104" s="88"/>
      <c r="BLZ104" s="88"/>
      <c r="BMA104" s="88"/>
      <c r="BMB104" s="88"/>
      <c r="BMC104" s="88"/>
      <c r="BMD104" s="88"/>
      <c r="BME104" s="88"/>
      <c r="BMF104" s="88"/>
      <c r="BMG104" s="88"/>
      <c r="BMH104" s="88"/>
      <c r="BMI104" s="88"/>
      <c r="BMJ104" s="88"/>
      <c r="BMK104" s="88"/>
      <c r="BML104" s="88"/>
      <c r="BMM104" s="88"/>
      <c r="BMN104" s="88"/>
      <c r="BMO104" s="88"/>
      <c r="BMP104" s="88"/>
      <c r="BMQ104" s="88"/>
      <c r="BMR104" s="88"/>
      <c r="BMS104" s="88"/>
      <c r="BMT104" s="88"/>
      <c r="BMU104" s="88"/>
      <c r="BMV104" s="88"/>
      <c r="BMW104" s="88"/>
      <c r="BMX104" s="88"/>
      <c r="BMY104" s="88"/>
      <c r="BMZ104" s="88"/>
      <c r="BNA104" s="88"/>
      <c r="BNB104" s="88"/>
      <c r="BNC104" s="88"/>
      <c r="BND104" s="88"/>
      <c r="BNE104" s="88"/>
      <c r="BNF104" s="88"/>
      <c r="BNG104" s="88"/>
      <c r="BNH104" s="88"/>
      <c r="BNI104" s="88"/>
      <c r="BNJ104" s="88"/>
      <c r="BNK104" s="88"/>
      <c r="BNL104" s="88"/>
      <c r="BNM104" s="88"/>
      <c r="BNN104" s="88"/>
      <c r="BNO104" s="88"/>
      <c r="BNP104" s="88"/>
      <c r="BNQ104" s="88"/>
      <c r="BNR104" s="88"/>
      <c r="BNS104" s="88"/>
      <c r="BNT104" s="88"/>
      <c r="BNU104" s="88"/>
      <c r="BNV104" s="88"/>
      <c r="BNW104" s="88"/>
      <c r="BNX104" s="88"/>
      <c r="BNY104" s="88"/>
      <c r="BNZ104" s="88"/>
      <c r="BOA104" s="88"/>
      <c r="BOB104" s="88"/>
      <c r="BOC104" s="88"/>
      <c r="BOD104" s="88"/>
      <c r="BOE104" s="88"/>
      <c r="BOF104" s="88"/>
      <c r="BOG104" s="88"/>
      <c r="BOH104" s="88"/>
      <c r="BOI104" s="88"/>
      <c r="BOJ104" s="88"/>
      <c r="BOK104" s="88"/>
      <c r="BOL104" s="88"/>
      <c r="BOM104" s="88"/>
      <c r="BON104" s="88"/>
      <c r="BOO104" s="88"/>
      <c r="BOP104" s="88"/>
      <c r="BOQ104" s="88"/>
      <c r="BOR104" s="88"/>
      <c r="BOS104" s="88"/>
      <c r="BOT104" s="88"/>
      <c r="BOU104" s="88"/>
      <c r="BOV104" s="88"/>
      <c r="BOW104" s="88"/>
      <c r="BOX104" s="88"/>
      <c r="BOY104" s="88"/>
      <c r="BOZ104" s="88"/>
      <c r="BPA104" s="88"/>
      <c r="BPB104" s="88"/>
      <c r="BPC104" s="88"/>
      <c r="BPD104" s="88"/>
      <c r="BPE104" s="88"/>
      <c r="BPF104" s="88"/>
      <c r="BPG104" s="88"/>
      <c r="BPH104" s="88"/>
      <c r="BPI104" s="88"/>
      <c r="BPJ104" s="88"/>
      <c r="BPK104" s="88"/>
      <c r="BPL104" s="88"/>
      <c r="BPM104" s="88"/>
      <c r="BPN104" s="88"/>
      <c r="BPO104" s="88"/>
      <c r="BPP104" s="88"/>
      <c r="BPQ104" s="88"/>
      <c r="BPR104" s="88"/>
      <c r="BPS104" s="88"/>
      <c r="BPT104" s="88"/>
      <c r="BPU104" s="88"/>
      <c r="BPV104" s="88"/>
      <c r="BPW104" s="88"/>
      <c r="BPX104" s="88"/>
      <c r="BPY104" s="88"/>
      <c r="BPZ104" s="88"/>
      <c r="BQA104" s="88"/>
      <c r="BQB104" s="88"/>
      <c r="BQC104" s="88"/>
      <c r="BQD104" s="88"/>
      <c r="BQE104" s="88"/>
      <c r="BQF104" s="88"/>
      <c r="BQG104" s="88"/>
      <c r="BQH104" s="88"/>
      <c r="BQI104" s="88"/>
      <c r="BQJ104" s="88"/>
      <c r="BQK104" s="88"/>
      <c r="BQL104" s="88"/>
      <c r="BQM104" s="88"/>
      <c r="BQN104" s="88"/>
      <c r="BQO104" s="88"/>
      <c r="BQP104" s="88"/>
      <c r="BQQ104" s="88"/>
      <c r="BQR104" s="88"/>
      <c r="BQS104" s="88"/>
      <c r="BQT104" s="88"/>
      <c r="BQU104" s="88"/>
      <c r="BQV104" s="88"/>
      <c r="BQW104" s="88"/>
      <c r="BQX104" s="88"/>
      <c r="BQY104" s="88"/>
      <c r="BQZ104" s="88"/>
      <c r="BRA104" s="88"/>
      <c r="BRB104" s="88"/>
      <c r="BRC104" s="88"/>
      <c r="BRD104" s="88"/>
      <c r="BRE104" s="88"/>
      <c r="BRF104" s="88"/>
      <c r="BRG104" s="88"/>
      <c r="BRH104" s="88"/>
      <c r="BRI104" s="88"/>
      <c r="BRJ104" s="88"/>
      <c r="BRK104" s="88"/>
      <c r="BRL104" s="88"/>
      <c r="BRM104" s="88"/>
      <c r="BRN104" s="88"/>
      <c r="BRO104" s="88"/>
      <c r="BRP104" s="88"/>
      <c r="BRQ104" s="88"/>
      <c r="BRR104" s="88"/>
      <c r="BRS104" s="88"/>
      <c r="BRT104" s="88"/>
      <c r="BRU104" s="88"/>
      <c r="BRV104" s="88"/>
      <c r="BRW104" s="88"/>
      <c r="BRX104" s="88"/>
      <c r="BRY104" s="88"/>
      <c r="BRZ104" s="88"/>
      <c r="BSA104" s="88"/>
      <c r="BSB104" s="88"/>
      <c r="BSC104" s="88"/>
      <c r="BSD104" s="88"/>
      <c r="BSE104" s="88"/>
      <c r="BSF104" s="88"/>
      <c r="BSG104" s="88"/>
      <c r="BSH104" s="88"/>
      <c r="BSI104" s="88"/>
      <c r="BSJ104" s="88"/>
      <c r="BSK104" s="88"/>
      <c r="BSL104" s="88"/>
      <c r="BSM104" s="88"/>
      <c r="BSN104" s="88"/>
      <c r="BSO104" s="88"/>
      <c r="BSP104" s="88"/>
      <c r="BSQ104" s="88"/>
      <c r="BSR104" s="88"/>
      <c r="BSS104" s="88"/>
      <c r="BST104" s="88"/>
      <c r="BSU104" s="88"/>
      <c r="BSV104" s="88"/>
      <c r="BSW104" s="88"/>
      <c r="BSX104" s="88"/>
      <c r="BSY104" s="88"/>
      <c r="BSZ104" s="88"/>
      <c r="BTA104" s="88"/>
      <c r="BTB104" s="88"/>
      <c r="BTC104" s="88"/>
      <c r="BTD104" s="88"/>
      <c r="BTE104" s="88"/>
      <c r="BTF104" s="88"/>
      <c r="BTG104" s="88"/>
      <c r="BTH104" s="88"/>
      <c r="BTI104" s="88"/>
      <c r="BTJ104" s="88"/>
      <c r="BTK104" s="88"/>
      <c r="BTL104" s="88"/>
      <c r="BTM104" s="88"/>
      <c r="BTN104" s="88"/>
      <c r="BTO104" s="88"/>
      <c r="BTP104" s="88"/>
      <c r="BTQ104" s="88"/>
      <c r="BTR104" s="88"/>
      <c r="BTS104" s="88"/>
      <c r="BTT104" s="88"/>
      <c r="BTU104" s="88"/>
      <c r="BTV104" s="88"/>
      <c r="BTW104" s="88"/>
      <c r="BTX104" s="88"/>
      <c r="BTY104" s="88"/>
      <c r="BTZ104" s="88"/>
      <c r="BUA104" s="88"/>
      <c r="BUB104" s="88"/>
      <c r="BUC104" s="88"/>
      <c r="BUD104" s="88"/>
      <c r="BUE104" s="88"/>
      <c r="BUF104" s="88"/>
      <c r="BUG104" s="88"/>
      <c r="BUH104" s="88"/>
      <c r="BUI104" s="88"/>
      <c r="BUJ104" s="88"/>
      <c r="BUK104" s="88"/>
      <c r="BUL104" s="88"/>
      <c r="BUM104" s="88"/>
      <c r="BUN104" s="88"/>
      <c r="BUO104" s="88"/>
      <c r="BUP104" s="88"/>
      <c r="BUQ104" s="88"/>
      <c r="BUR104" s="88"/>
      <c r="BUS104" s="88"/>
      <c r="BUT104" s="88"/>
      <c r="BUU104" s="88"/>
      <c r="BUV104" s="88"/>
      <c r="BUW104" s="88"/>
      <c r="BUX104" s="88"/>
      <c r="BUY104" s="88"/>
      <c r="BUZ104" s="88"/>
      <c r="BVA104" s="88"/>
      <c r="BVB104" s="88"/>
      <c r="BVC104" s="88"/>
      <c r="BVD104" s="88"/>
      <c r="BVE104" s="88"/>
      <c r="BVF104" s="88"/>
      <c r="BVG104" s="88"/>
      <c r="BVH104" s="88"/>
      <c r="BVI104" s="88"/>
      <c r="BVJ104" s="88"/>
      <c r="BVK104" s="88"/>
      <c r="BVL104" s="88"/>
      <c r="BVM104" s="88"/>
      <c r="BVN104" s="88"/>
      <c r="BVO104" s="88"/>
      <c r="BVP104" s="88"/>
      <c r="BVQ104" s="88"/>
      <c r="BVR104" s="88"/>
      <c r="BVS104" s="88"/>
      <c r="BVT104" s="88"/>
      <c r="BVU104" s="88"/>
      <c r="BVV104" s="88"/>
      <c r="BVW104" s="88"/>
      <c r="BVX104" s="88"/>
      <c r="BVY104" s="88"/>
      <c r="BVZ104" s="88"/>
      <c r="BWA104" s="88"/>
      <c r="BWB104" s="88"/>
      <c r="BWC104" s="88"/>
      <c r="BWD104" s="88"/>
      <c r="BWE104" s="88"/>
      <c r="BWF104" s="88"/>
      <c r="BWG104" s="88"/>
      <c r="BWH104" s="88"/>
      <c r="BWI104" s="88"/>
      <c r="BWJ104" s="88"/>
      <c r="BWK104" s="88"/>
      <c r="BWL104" s="88"/>
      <c r="BWM104" s="88"/>
      <c r="BWN104" s="88"/>
      <c r="BWO104" s="88"/>
      <c r="BWP104" s="88"/>
      <c r="BWQ104" s="88"/>
      <c r="BWR104" s="88"/>
      <c r="BWS104" s="88"/>
      <c r="BWT104" s="88"/>
      <c r="BWU104" s="88"/>
      <c r="BWV104" s="88"/>
      <c r="BWW104" s="88"/>
      <c r="BWX104" s="88"/>
      <c r="BWY104" s="88"/>
      <c r="BWZ104" s="88"/>
      <c r="BXA104" s="88"/>
      <c r="BXB104" s="88"/>
      <c r="BXC104" s="88"/>
      <c r="BXD104" s="88"/>
      <c r="BXE104" s="88"/>
      <c r="BXF104" s="88"/>
      <c r="BXG104" s="88"/>
      <c r="BXH104" s="88"/>
      <c r="BXI104" s="88"/>
      <c r="BXJ104" s="88"/>
      <c r="BXK104" s="88"/>
      <c r="BXL104" s="88"/>
      <c r="BXM104" s="88"/>
      <c r="BXN104" s="88"/>
      <c r="BXO104" s="88"/>
      <c r="BXP104" s="88"/>
      <c r="BXQ104" s="88"/>
      <c r="BXR104" s="88"/>
      <c r="BXS104" s="88"/>
      <c r="BXT104" s="88"/>
      <c r="BXU104" s="88"/>
      <c r="BXV104" s="88"/>
      <c r="BXW104" s="88"/>
      <c r="BXX104" s="88"/>
      <c r="BXY104" s="88"/>
      <c r="BXZ104" s="88"/>
      <c r="BYA104" s="88"/>
      <c r="BYB104" s="88"/>
      <c r="BYC104" s="88"/>
      <c r="BYD104" s="88"/>
      <c r="BYE104" s="88"/>
      <c r="BYF104" s="88"/>
      <c r="BYG104" s="88"/>
      <c r="BYH104" s="88"/>
      <c r="BYI104" s="88"/>
      <c r="BYJ104" s="88"/>
      <c r="BYK104" s="88"/>
      <c r="BYL104" s="88"/>
      <c r="BYM104" s="88"/>
      <c r="BYN104" s="88"/>
      <c r="BYO104" s="88"/>
      <c r="BYP104" s="88"/>
      <c r="BYQ104" s="88"/>
      <c r="BYR104" s="88"/>
      <c r="BYS104" s="88"/>
      <c r="BYT104" s="88"/>
      <c r="BYU104" s="88"/>
      <c r="BYV104" s="88"/>
      <c r="BYW104" s="88"/>
      <c r="BYX104" s="88"/>
      <c r="BYY104" s="88"/>
      <c r="BYZ104" s="88"/>
      <c r="BZA104" s="88"/>
      <c r="BZB104" s="88"/>
      <c r="BZC104" s="88"/>
      <c r="BZD104" s="88"/>
      <c r="BZE104" s="88"/>
      <c r="BZF104" s="88"/>
      <c r="BZG104" s="88"/>
      <c r="BZH104" s="88"/>
      <c r="BZI104" s="88"/>
      <c r="BZJ104" s="88"/>
      <c r="BZK104" s="88"/>
      <c r="BZL104" s="88"/>
      <c r="BZM104" s="88"/>
      <c r="BZN104" s="88"/>
      <c r="BZO104" s="88"/>
      <c r="BZP104" s="88"/>
      <c r="BZQ104" s="88"/>
      <c r="BZR104" s="88"/>
      <c r="BZS104" s="88"/>
      <c r="BZT104" s="88"/>
      <c r="BZU104" s="88"/>
      <c r="BZV104" s="88"/>
      <c r="BZW104" s="88"/>
      <c r="BZX104" s="88"/>
      <c r="BZY104" s="88"/>
      <c r="BZZ104" s="88"/>
      <c r="CAA104" s="88"/>
      <c r="CAB104" s="88"/>
      <c r="CAC104" s="88"/>
      <c r="CAD104" s="88"/>
      <c r="CAE104" s="88"/>
      <c r="CAF104" s="88"/>
      <c r="CAG104" s="88"/>
      <c r="CAH104" s="88"/>
      <c r="CAI104" s="88"/>
      <c r="CAJ104" s="88"/>
      <c r="CAK104" s="88"/>
      <c r="CAL104" s="88"/>
      <c r="CAM104" s="88"/>
      <c r="CAN104" s="88"/>
      <c r="CAO104" s="88"/>
      <c r="CAP104" s="88"/>
      <c r="CAQ104" s="88"/>
      <c r="CAR104" s="88"/>
      <c r="CAS104" s="88"/>
      <c r="CAT104" s="88"/>
      <c r="CAU104" s="88"/>
      <c r="CAV104" s="88"/>
      <c r="CAW104" s="88"/>
      <c r="CAX104" s="88"/>
      <c r="CAY104" s="88"/>
      <c r="CAZ104" s="88"/>
      <c r="CBA104" s="88"/>
      <c r="CBB104" s="88"/>
      <c r="CBC104" s="88"/>
      <c r="CBD104" s="88"/>
      <c r="CBE104" s="88"/>
      <c r="CBF104" s="88"/>
      <c r="CBG104" s="88"/>
      <c r="CBH104" s="88"/>
      <c r="CBI104" s="88"/>
      <c r="CBJ104" s="88"/>
      <c r="CBK104" s="88"/>
      <c r="CBL104" s="88"/>
      <c r="CBM104" s="88"/>
      <c r="CBN104" s="88"/>
      <c r="CBO104" s="88"/>
      <c r="CBP104" s="88"/>
      <c r="CBQ104" s="88"/>
      <c r="CBR104" s="88"/>
      <c r="CBS104" s="88"/>
      <c r="CBT104" s="88"/>
      <c r="CBU104" s="88"/>
      <c r="CBV104" s="88"/>
      <c r="CBW104" s="88"/>
      <c r="CBX104" s="88"/>
      <c r="CBY104" s="88"/>
      <c r="CBZ104" s="88"/>
      <c r="CCA104" s="88"/>
      <c r="CCB104" s="88"/>
      <c r="CCC104" s="88"/>
      <c r="CCD104" s="88"/>
      <c r="CCE104" s="88"/>
      <c r="CCF104" s="88"/>
      <c r="CCG104" s="88"/>
      <c r="CCH104" s="88"/>
      <c r="CCI104" s="88"/>
      <c r="CCJ104" s="88"/>
      <c r="CCK104" s="88"/>
      <c r="CCL104" s="88"/>
      <c r="CCM104" s="88"/>
      <c r="CCN104" s="88"/>
      <c r="CCO104" s="88"/>
      <c r="CCP104" s="88"/>
      <c r="CCQ104" s="88"/>
      <c r="CCR104" s="88"/>
      <c r="CCS104" s="88"/>
      <c r="CCT104" s="88"/>
      <c r="CCU104" s="88"/>
      <c r="CCV104" s="88"/>
      <c r="CCW104" s="88"/>
      <c r="CCX104" s="88"/>
      <c r="CCY104" s="88"/>
      <c r="CCZ104" s="88"/>
      <c r="CDA104" s="88"/>
      <c r="CDB104" s="88"/>
      <c r="CDC104" s="88"/>
      <c r="CDD104" s="88"/>
      <c r="CDE104" s="88"/>
      <c r="CDF104" s="88"/>
      <c r="CDG104" s="88"/>
      <c r="CDH104" s="88"/>
      <c r="CDI104" s="88"/>
      <c r="CDJ104" s="88"/>
      <c r="CDK104" s="88"/>
      <c r="CDL104" s="88"/>
      <c r="CDM104" s="88"/>
      <c r="CDN104" s="88"/>
      <c r="CDO104" s="88"/>
      <c r="CDP104" s="88"/>
      <c r="CDQ104" s="88"/>
      <c r="CDR104" s="88"/>
      <c r="CDS104" s="88"/>
      <c r="CDT104" s="88"/>
      <c r="CDU104" s="88"/>
      <c r="CDV104" s="88"/>
      <c r="CDW104" s="88"/>
      <c r="CDX104" s="88"/>
      <c r="CDY104" s="88"/>
      <c r="CDZ104" s="88"/>
      <c r="CEA104" s="88"/>
      <c r="CEB104" s="88"/>
      <c r="CEC104" s="88"/>
      <c r="CED104" s="88"/>
      <c r="CEE104" s="88"/>
      <c r="CEF104" s="88"/>
      <c r="CEG104" s="88"/>
      <c r="CEH104" s="88"/>
      <c r="CEI104" s="88"/>
      <c r="CEJ104" s="88"/>
      <c r="CEK104" s="88"/>
    </row>
    <row r="105" spans="1:2169" s="63" customFormat="1">
      <c r="A105" s="73" t="s">
        <v>798</v>
      </c>
      <c r="B105" s="71" t="s">
        <v>2656</v>
      </c>
      <c r="C105" s="68" t="str">
        <f>IF('page 2'!$O$4="","",IF('page 2'!$O$4=Gestion!A105,1,0))</f>
        <v/>
      </c>
      <c r="D105" s="68" t="str">
        <f>IF('page 2'!$O$5="","",IF('page 2'!$O$5=Gestion!A105,1,0))</f>
        <v/>
      </c>
      <c r="E105" s="68" t="str">
        <f>IF('page 2'!$O$6="","",IF('page 2'!$O$6=Gestion!A105,1,0))</f>
        <v/>
      </c>
      <c r="F105" s="68" t="str">
        <f>IF('page 2'!$O$7="","",IF('page 2'!$O$7=Gestion!A105,1,0))</f>
        <v/>
      </c>
      <c r="G105" s="68" t="str">
        <f>IF('page 2'!$O$8="","",IF('page 2'!$O$8=Gestion!A105,1,0))</f>
        <v/>
      </c>
      <c r="H105" s="68" t="str">
        <f>IF('page 2'!$O$9="","",IF('page 2'!$O$9=Gestion!A105,1,0))</f>
        <v/>
      </c>
      <c r="I105" s="68" t="str">
        <f>IF('page 2'!$O$10="","",IF('page 2'!$O$10=Gestion!A105,1,0))</f>
        <v/>
      </c>
      <c r="J105" s="68" t="str">
        <f>IF('page 2'!$O$11="","",IF('page 2'!$O$11=Gestion!A105,1,0))</f>
        <v/>
      </c>
      <c r="K105" s="68" t="str">
        <f>IF('page 2'!$O$12="","",IF('page 2'!$O$12=Gestion!A105,1,0))</f>
        <v/>
      </c>
      <c r="L105" s="68" t="str">
        <f>IF('page 2'!$O$13="","",IF('page 2'!$O$13=Gestion!A105,1,0))</f>
        <v/>
      </c>
      <c r="M105" s="68" t="str">
        <f>IF('page 2'!$O$14="","",IF('page 2'!$O$14=Gestion!A105,1,0))</f>
        <v/>
      </c>
      <c r="N105" s="68" t="str">
        <f>IF('page 2'!$O$15="","",IF('page 2'!$O$15=Gestion!A105,1,0))</f>
        <v/>
      </c>
      <c r="O105" s="68" t="str">
        <f>IF('page 2'!$O$16="","",IF('page 2'!$O$16=Gestion!A105,1,0))</f>
        <v/>
      </c>
      <c r="P105" s="68" t="str">
        <f>IF('page 2'!$O$17="","",IF('page 2'!$O$17=Gestion!A105,1,0))</f>
        <v/>
      </c>
      <c r="Q105" s="68" t="str">
        <f>IF('page 2'!$O$18="","",IF('page 2'!$O$18=Gestion!A105,1,0))</f>
        <v/>
      </c>
      <c r="R105" s="68" t="str">
        <f>IF('page 2'!$O$19="","",IF('page 2'!$O$19=Gestion!A105,1,0))</f>
        <v/>
      </c>
      <c r="S105" s="68" t="str">
        <f>IF('page 2'!$O$20="","",IF('page 2'!$O$20=Gestion!A105,1,0))</f>
        <v/>
      </c>
      <c r="T105" s="68" t="str">
        <f>IF('page 2'!$O$25="","",IF('page 2'!$O$25=Gestion!A105,1,0))</f>
        <v/>
      </c>
      <c r="U105" s="68" t="str">
        <f>IF('page 2'!$O$26="","",IF('page 2'!$O$26=Gestion!A105,1,0))</f>
        <v/>
      </c>
      <c r="V105" s="68" t="str">
        <f>IF('page 2'!$O$27="","",IF('page 2'!$O$27=Gestion!A105,1,0))</f>
        <v/>
      </c>
      <c r="W105" s="722">
        <f t="shared" si="14"/>
        <v>0</v>
      </c>
      <c r="X105" s="714"/>
      <c r="Y105" s="68"/>
      <c r="Z105" s="68"/>
      <c r="AA105" s="68"/>
      <c r="AB105" s="68"/>
      <c r="AC105" s="68"/>
      <c r="AD105" s="68"/>
      <c r="AP105" s="130"/>
      <c r="AQ105" s="130"/>
      <c r="AR105" s="130"/>
      <c r="AS105" s="576"/>
      <c r="AT105" s="576"/>
      <c r="AU105" s="576"/>
      <c r="AV105" s="576"/>
      <c r="AW105" s="602"/>
      <c r="AX105" s="602"/>
      <c r="AY105" s="576"/>
      <c r="AZ105" s="576"/>
      <c r="BA105" s="576"/>
      <c r="BB105" s="576"/>
      <c r="BC105" s="576"/>
      <c r="BD105" s="602"/>
      <c r="BE105" s="602"/>
      <c r="BF105" s="602"/>
      <c r="BG105" s="602"/>
      <c r="BH105" s="602"/>
      <c r="BI105" s="602"/>
      <c r="BJ105" s="602"/>
      <c r="BK105" s="602"/>
      <c r="BL105" s="602"/>
      <c r="BM105" s="602"/>
      <c r="BN105" s="602"/>
      <c r="BO105" s="602"/>
      <c r="BP105" s="602"/>
      <c r="BQ105" s="602"/>
      <c r="BR105" s="602"/>
      <c r="BS105" s="576"/>
      <c r="BT105" s="576"/>
      <c r="BU105" s="576"/>
      <c r="BV105" s="576"/>
      <c r="BW105" s="602"/>
      <c r="BX105" s="602"/>
      <c r="BY105" s="602"/>
      <c r="BZ105" s="576"/>
      <c r="CA105" s="602"/>
      <c r="CB105" s="602"/>
      <c r="CC105" s="576"/>
      <c r="CD105" s="576"/>
      <c r="CE105" s="602"/>
      <c r="CF105" s="576"/>
      <c r="CG105" s="576"/>
      <c r="CH105" s="576"/>
      <c r="CI105" s="576"/>
      <c r="CJ105" s="576"/>
      <c r="CK105" s="602"/>
      <c r="CL105" s="602"/>
      <c r="CM105" s="576"/>
      <c r="CN105" s="602"/>
      <c r="CO105" s="602"/>
      <c r="CP105" s="602"/>
      <c r="CQ105" s="576"/>
      <c r="CR105" s="576"/>
      <c r="CS105" s="602"/>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8"/>
      <c r="HN105" s="88"/>
      <c r="HO105" s="88"/>
      <c r="HP105" s="88"/>
      <c r="HQ105" s="88"/>
      <c r="HR105" s="88"/>
      <c r="HS105" s="88"/>
      <c r="HT105" s="88"/>
      <c r="HU105" s="88"/>
      <c r="HV105" s="88"/>
      <c r="HW105" s="88"/>
      <c r="HX105" s="88"/>
      <c r="HY105" s="88"/>
      <c r="HZ105" s="88"/>
      <c r="IA105" s="88"/>
      <c r="IB105" s="88"/>
      <c r="IC105" s="88"/>
      <c r="ID105" s="88"/>
      <c r="IE105" s="88"/>
      <c r="IF105" s="88"/>
      <c r="IG105" s="88"/>
      <c r="IH105" s="88"/>
      <c r="II105" s="88"/>
      <c r="IJ105" s="88"/>
      <c r="IK105" s="88"/>
      <c r="IL105" s="88"/>
      <c r="IM105" s="88"/>
      <c r="IN105" s="88"/>
      <c r="IO105" s="88"/>
      <c r="IP105" s="88"/>
      <c r="IQ105" s="88"/>
      <c r="IR105" s="88"/>
      <c r="IS105" s="88"/>
      <c r="IT105" s="88"/>
      <c r="IU105" s="88"/>
      <c r="IV105" s="88"/>
      <c r="IW105" s="88"/>
      <c r="IX105" s="88"/>
      <c r="IY105" s="88"/>
      <c r="IZ105" s="88"/>
      <c r="JA105" s="88"/>
      <c r="JB105" s="88"/>
      <c r="JC105" s="88"/>
      <c r="JD105" s="88"/>
      <c r="JE105" s="88"/>
      <c r="JF105" s="88"/>
      <c r="JG105" s="88"/>
      <c r="JH105" s="88"/>
      <c r="JI105" s="88"/>
      <c r="JJ105" s="88"/>
      <c r="JK105" s="88"/>
      <c r="JL105" s="88"/>
      <c r="JM105" s="88"/>
      <c r="JN105" s="88"/>
      <c r="JO105" s="88"/>
      <c r="JP105" s="88"/>
      <c r="JQ105" s="88"/>
      <c r="JR105" s="88"/>
      <c r="JS105" s="88"/>
      <c r="JT105" s="88"/>
      <c r="JU105" s="88"/>
      <c r="JV105" s="88"/>
      <c r="JW105" s="88"/>
      <c r="JX105" s="88"/>
      <c r="JY105" s="88"/>
      <c r="JZ105" s="88"/>
      <c r="KA105" s="88"/>
      <c r="KB105" s="88"/>
      <c r="KC105" s="88"/>
      <c r="KD105" s="88"/>
      <c r="KE105" s="88"/>
      <c r="KF105" s="88"/>
      <c r="KG105" s="88"/>
      <c r="KH105" s="88"/>
      <c r="KI105" s="88"/>
      <c r="KJ105" s="88"/>
      <c r="KK105" s="88"/>
      <c r="KL105" s="88"/>
      <c r="KM105" s="88"/>
      <c r="KN105" s="88"/>
      <c r="KO105" s="88"/>
      <c r="KP105" s="88"/>
      <c r="KQ105" s="88"/>
      <c r="KR105" s="88"/>
      <c r="KS105" s="88"/>
      <c r="KT105" s="88"/>
      <c r="KU105" s="88"/>
      <c r="KV105" s="88"/>
      <c r="KW105" s="88"/>
      <c r="KX105" s="88"/>
      <c r="KY105" s="88"/>
      <c r="KZ105" s="88"/>
      <c r="LA105" s="88"/>
      <c r="LB105" s="88"/>
      <c r="LC105" s="88"/>
      <c r="LD105" s="88"/>
      <c r="LE105" s="88"/>
      <c r="LF105" s="88"/>
      <c r="LG105" s="88"/>
      <c r="LH105" s="88"/>
      <c r="LI105" s="88"/>
      <c r="LJ105" s="88"/>
      <c r="LK105" s="88"/>
      <c r="LL105" s="88"/>
      <c r="LM105" s="88"/>
      <c r="LN105" s="88"/>
      <c r="LO105" s="88"/>
      <c r="LP105" s="88"/>
      <c r="LQ105" s="88"/>
      <c r="LR105" s="88"/>
      <c r="LS105" s="88"/>
      <c r="LT105" s="88"/>
      <c r="LU105" s="88"/>
      <c r="LV105" s="88"/>
      <c r="LW105" s="88"/>
      <c r="LX105" s="88"/>
      <c r="LY105" s="88"/>
      <c r="LZ105" s="88"/>
      <c r="MA105" s="88"/>
      <c r="MB105" s="88"/>
      <c r="MC105" s="88"/>
      <c r="MD105" s="88"/>
      <c r="ME105" s="88"/>
      <c r="MF105" s="88"/>
      <c r="MG105" s="88"/>
      <c r="MH105" s="88"/>
      <c r="MI105" s="88"/>
      <c r="MJ105" s="88"/>
      <c r="MK105" s="88"/>
      <c r="ML105" s="88"/>
      <c r="MM105" s="88"/>
      <c r="MN105" s="88"/>
      <c r="MO105" s="88"/>
      <c r="MP105" s="88"/>
      <c r="MQ105" s="88"/>
      <c r="MR105" s="88"/>
      <c r="MS105" s="88"/>
      <c r="MT105" s="88"/>
      <c r="MU105" s="88"/>
      <c r="MV105" s="88"/>
      <c r="MW105" s="88"/>
      <c r="MX105" s="88"/>
      <c r="MY105" s="88"/>
      <c r="MZ105" s="88"/>
      <c r="NA105" s="88"/>
      <c r="NB105" s="88"/>
      <c r="NC105" s="88"/>
      <c r="ND105" s="88"/>
      <c r="NE105" s="88"/>
      <c r="NF105" s="88"/>
      <c r="NG105" s="88"/>
      <c r="NH105" s="88"/>
      <c r="NI105" s="88"/>
      <c r="NJ105" s="88"/>
      <c r="NK105" s="88"/>
      <c r="NL105" s="88"/>
      <c r="NM105" s="88"/>
      <c r="NN105" s="88"/>
      <c r="NO105" s="88"/>
      <c r="NP105" s="88"/>
      <c r="NQ105" s="88"/>
      <c r="NR105" s="88"/>
      <c r="NS105" s="88"/>
      <c r="NT105" s="88"/>
      <c r="NU105" s="88"/>
      <c r="NV105" s="88"/>
      <c r="NW105" s="88"/>
      <c r="NX105" s="88"/>
      <c r="NY105" s="88"/>
      <c r="NZ105" s="88"/>
      <c r="OA105" s="88"/>
      <c r="OB105" s="88"/>
      <c r="OC105" s="88"/>
      <c r="OD105" s="88"/>
      <c r="OE105" s="88"/>
      <c r="OF105" s="88"/>
      <c r="OG105" s="88"/>
      <c r="OH105" s="88"/>
      <c r="OI105" s="88"/>
      <c r="OJ105" s="88"/>
      <c r="OK105" s="88"/>
      <c r="OL105" s="88"/>
      <c r="OM105" s="88"/>
      <c r="ON105" s="88"/>
      <c r="OO105" s="88"/>
      <c r="OP105" s="88"/>
      <c r="OQ105" s="88"/>
      <c r="OR105" s="88"/>
      <c r="OS105" s="88"/>
      <c r="OT105" s="88"/>
      <c r="OU105" s="88"/>
      <c r="OV105" s="88"/>
      <c r="OW105" s="88"/>
      <c r="OX105" s="88"/>
      <c r="OY105" s="88"/>
      <c r="OZ105" s="88"/>
      <c r="PA105" s="88"/>
      <c r="PB105" s="88"/>
      <c r="PC105" s="88"/>
      <c r="PD105" s="88"/>
      <c r="PE105" s="88"/>
      <c r="PF105" s="88"/>
      <c r="PG105" s="88"/>
      <c r="PH105" s="88"/>
      <c r="PI105" s="88"/>
      <c r="PJ105" s="88"/>
      <c r="PK105" s="88"/>
      <c r="PL105" s="88"/>
      <c r="PM105" s="88"/>
      <c r="PN105" s="88"/>
      <c r="PO105" s="88"/>
      <c r="PP105" s="88"/>
      <c r="PQ105" s="88"/>
      <c r="PR105" s="88"/>
      <c r="PS105" s="88"/>
      <c r="PT105" s="88"/>
      <c r="PU105" s="88"/>
      <c r="PV105" s="88"/>
      <c r="PW105" s="88"/>
      <c r="PX105" s="88"/>
      <c r="PY105" s="88"/>
      <c r="PZ105" s="88"/>
      <c r="QA105" s="88"/>
      <c r="QB105" s="88"/>
      <c r="QC105" s="88"/>
      <c r="QD105" s="88"/>
      <c r="QE105" s="88"/>
      <c r="QF105" s="88"/>
      <c r="QG105" s="88"/>
      <c r="QH105" s="88"/>
      <c r="QI105" s="88"/>
      <c r="QJ105" s="88"/>
      <c r="QK105" s="88"/>
      <c r="QL105" s="88"/>
      <c r="QM105" s="88"/>
      <c r="QN105" s="88"/>
      <c r="QO105" s="88"/>
      <c r="QP105" s="88"/>
      <c r="QQ105" s="88"/>
      <c r="QR105" s="88"/>
      <c r="QS105" s="88"/>
      <c r="QT105" s="88"/>
      <c r="QU105" s="88"/>
      <c r="QV105" s="88"/>
      <c r="QW105" s="88"/>
      <c r="QX105" s="88"/>
      <c r="QY105" s="88"/>
      <c r="QZ105" s="88"/>
      <c r="RA105" s="88"/>
      <c r="RB105" s="88"/>
      <c r="RC105" s="88"/>
      <c r="RD105" s="88"/>
      <c r="RE105" s="88"/>
      <c r="RF105" s="88"/>
      <c r="RG105" s="88"/>
      <c r="RH105" s="88"/>
      <c r="RI105" s="88"/>
      <c r="RJ105" s="88"/>
      <c r="RK105" s="88"/>
      <c r="RL105" s="88"/>
      <c r="RM105" s="88"/>
      <c r="RN105" s="88"/>
      <c r="RO105" s="88"/>
      <c r="RP105" s="88"/>
      <c r="RQ105" s="88"/>
      <c r="RR105" s="88"/>
      <c r="RS105" s="88"/>
      <c r="RT105" s="88"/>
      <c r="RU105" s="88"/>
      <c r="RV105" s="88"/>
      <c r="RW105" s="88"/>
      <c r="RX105" s="88"/>
      <c r="RY105" s="88"/>
      <c r="RZ105" s="88"/>
      <c r="SA105" s="88"/>
      <c r="SB105" s="88"/>
      <c r="SC105" s="88"/>
      <c r="SD105" s="88"/>
      <c r="SE105" s="88"/>
      <c r="SF105" s="88"/>
      <c r="SG105" s="88"/>
      <c r="SH105" s="88"/>
      <c r="SI105" s="88"/>
      <c r="SJ105" s="88"/>
      <c r="SK105" s="88"/>
      <c r="SL105" s="88"/>
      <c r="SM105" s="88"/>
      <c r="SN105" s="88"/>
      <c r="SO105" s="88"/>
      <c r="SP105" s="88"/>
      <c r="SQ105" s="88"/>
      <c r="SR105" s="88"/>
      <c r="SS105" s="88"/>
      <c r="ST105" s="88"/>
      <c r="SU105" s="88"/>
      <c r="SV105" s="88"/>
      <c r="SW105" s="88"/>
      <c r="SX105" s="88"/>
      <c r="SY105" s="88"/>
      <c r="SZ105" s="88"/>
      <c r="TA105" s="88"/>
      <c r="TB105" s="88"/>
      <c r="TC105" s="88"/>
      <c r="TD105" s="88"/>
      <c r="TE105" s="88"/>
      <c r="TF105" s="88"/>
      <c r="TG105" s="88"/>
      <c r="TH105" s="88"/>
      <c r="TI105" s="88"/>
      <c r="TJ105" s="88"/>
      <c r="TK105" s="88"/>
      <c r="TL105" s="88"/>
      <c r="TM105" s="88"/>
      <c r="TN105" s="88"/>
      <c r="TO105" s="88"/>
      <c r="TP105" s="88"/>
      <c r="TQ105" s="88"/>
      <c r="TR105" s="88"/>
      <c r="TS105" s="88"/>
      <c r="TT105" s="88"/>
      <c r="TU105" s="88"/>
      <c r="TV105" s="88"/>
      <c r="TW105" s="88"/>
      <c r="TX105" s="88"/>
      <c r="TY105" s="88"/>
      <c r="TZ105" s="88"/>
      <c r="UA105" s="88"/>
      <c r="UB105" s="88"/>
      <c r="UC105" s="88"/>
      <c r="UD105" s="88"/>
      <c r="UE105" s="88"/>
      <c r="UF105" s="88"/>
      <c r="UG105" s="88"/>
      <c r="UH105" s="88"/>
      <c r="UI105" s="88"/>
      <c r="UJ105" s="88"/>
      <c r="UK105" s="88"/>
      <c r="UL105" s="88"/>
      <c r="UM105" s="88"/>
      <c r="UN105" s="88"/>
      <c r="UO105" s="88"/>
      <c r="UP105" s="88"/>
      <c r="UQ105" s="88"/>
      <c r="UR105" s="88"/>
      <c r="US105" s="88"/>
      <c r="UT105" s="88"/>
      <c r="UU105" s="88"/>
      <c r="UV105" s="88"/>
      <c r="UW105" s="88"/>
      <c r="UX105" s="88"/>
      <c r="UY105" s="88"/>
      <c r="UZ105" s="88"/>
      <c r="VA105" s="88"/>
      <c r="VB105" s="88"/>
      <c r="VC105" s="88"/>
      <c r="VD105" s="88"/>
      <c r="VE105" s="88"/>
      <c r="VF105" s="88"/>
      <c r="VG105" s="88"/>
      <c r="VH105" s="88"/>
      <c r="VI105" s="88"/>
      <c r="VJ105" s="88"/>
      <c r="VK105" s="88"/>
      <c r="VL105" s="88"/>
      <c r="VM105" s="88"/>
      <c r="VN105" s="88"/>
      <c r="VO105" s="88"/>
      <c r="VP105" s="88"/>
      <c r="VQ105" s="88"/>
      <c r="VR105" s="88"/>
      <c r="VS105" s="88"/>
      <c r="VT105" s="88"/>
      <c r="VU105" s="88"/>
      <c r="VV105" s="88"/>
      <c r="VW105" s="88"/>
      <c r="VX105" s="88"/>
      <c r="VY105" s="88"/>
      <c r="VZ105" s="88"/>
      <c r="WA105" s="88"/>
      <c r="WB105" s="88"/>
      <c r="WC105" s="88"/>
      <c r="WD105" s="88"/>
      <c r="WE105" s="88"/>
      <c r="WF105" s="88"/>
      <c r="WG105" s="88"/>
      <c r="WH105" s="88"/>
      <c r="WI105" s="88"/>
      <c r="WJ105" s="88"/>
      <c r="WK105" s="88"/>
      <c r="WL105" s="88"/>
      <c r="WM105" s="88"/>
      <c r="WN105" s="88"/>
      <c r="WO105" s="88"/>
      <c r="WP105" s="88"/>
      <c r="WQ105" s="88"/>
      <c r="WR105" s="88"/>
      <c r="WS105" s="88"/>
      <c r="WT105" s="88"/>
      <c r="WU105" s="88"/>
      <c r="WV105" s="88"/>
      <c r="WW105" s="88"/>
      <c r="WX105" s="88"/>
      <c r="WY105" s="88"/>
      <c r="WZ105" s="88"/>
      <c r="XA105" s="88"/>
      <c r="XB105" s="88"/>
      <c r="XC105" s="88"/>
      <c r="XD105" s="88"/>
      <c r="XE105" s="88"/>
      <c r="XF105" s="88"/>
      <c r="XG105" s="88"/>
      <c r="XH105" s="88"/>
      <c r="XI105" s="88"/>
      <c r="XJ105" s="88"/>
      <c r="XK105" s="88"/>
      <c r="XL105" s="88"/>
      <c r="XM105" s="88"/>
      <c r="XN105" s="88"/>
      <c r="XO105" s="88"/>
      <c r="XP105" s="88"/>
      <c r="XQ105" s="88"/>
      <c r="XR105" s="88"/>
      <c r="XS105" s="88"/>
      <c r="XT105" s="88"/>
      <c r="XU105" s="88"/>
      <c r="XV105" s="88"/>
      <c r="XW105" s="88"/>
      <c r="XX105" s="88"/>
      <c r="XY105" s="88"/>
      <c r="XZ105" s="88"/>
      <c r="YA105" s="88"/>
      <c r="YB105" s="88"/>
      <c r="YC105" s="88"/>
      <c r="YD105" s="88"/>
      <c r="YE105" s="88"/>
      <c r="YF105" s="88"/>
      <c r="YG105" s="88"/>
      <c r="YH105" s="88"/>
      <c r="YI105" s="88"/>
      <c r="YJ105" s="88"/>
      <c r="YK105" s="88"/>
      <c r="YL105" s="88"/>
      <c r="YM105" s="88"/>
      <c r="YN105" s="88"/>
      <c r="YO105" s="88"/>
      <c r="YP105" s="88"/>
      <c r="YQ105" s="88"/>
      <c r="YR105" s="88"/>
      <c r="YS105" s="88"/>
      <c r="YT105" s="88"/>
      <c r="YU105" s="88"/>
      <c r="YV105" s="88"/>
      <c r="YW105" s="88"/>
      <c r="YX105" s="88"/>
      <c r="YY105" s="88"/>
      <c r="YZ105" s="88"/>
      <c r="ZA105" s="88"/>
      <c r="ZB105" s="88"/>
      <c r="ZC105" s="88"/>
      <c r="ZD105" s="88"/>
      <c r="ZE105" s="88"/>
      <c r="ZF105" s="88"/>
      <c r="ZG105" s="88"/>
      <c r="ZH105" s="88"/>
      <c r="ZI105" s="88"/>
      <c r="ZJ105" s="88"/>
      <c r="ZK105" s="88"/>
      <c r="ZL105" s="88"/>
      <c r="ZM105" s="88"/>
      <c r="ZN105" s="88"/>
      <c r="ZO105" s="88"/>
      <c r="ZP105" s="88"/>
      <c r="ZQ105" s="88"/>
      <c r="ZR105" s="88"/>
      <c r="ZS105" s="88"/>
      <c r="ZT105" s="88"/>
      <c r="ZU105" s="88"/>
      <c r="ZV105" s="88"/>
      <c r="ZW105" s="88"/>
      <c r="ZX105" s="88"/>
      <c r="ZY105" s="88"/>
      <c r="ZZ105" s="88"/>
      <c r="AAA105" s="88"/>
      <c r="AAB105" s="88"/>
      <c r="AAC105" s="88"/>
      <c r="AAD105" s="88"/>
      <c r="AAE105" s="88"/>
      <c r="AAF105" s="88"/>
      <c r="AAG105" s="88"/>
      <c r="AAH105" s="88"/>
      <c r="AAI105" s="88"/>
      <c r="AAJ105" s="88"/>
      <c r="AAK105" s="88"/>
      <c r="AAL105" s="88"/>
      <c r="AAM105" s="88"/>
      <c r="AAN105" s="88"/>
      <c r="AAO105" s="88"/>
      <c r="AAP105" s="88"/>
      <c r="AAQ105" s="88"/>
      <c r="AAR105" s="88"/>
      <c r="AAS105" s="88"/>
      <c r="AAT105" s="88"/>
      <c r="AAU105" s="88"/>
      <c r="AAV105" s="88"/>
      <c r="AAW105" s="88"/>
      <c r="AAX105" s="88"/>
      <c r="AAY105" s="88"/>
      <c r="AAZ105" s="88"/>
      <c r="ABA105" s="88"/>
      <c r="ABB105" s="88"/>
      <c r="ABC105" s="88"/>
      <c r="ABD105" s="88"/>
      <c r="ABE105" s="88"/>
      <c r="ABF105" s="88"/>
      <c r="ABG105" s="88"/>
      <c r="ABH105" s="88"/>
      <c r="ABI105" s="88"/>
      <c r="ABJ105" s="88"/>
      <c r="ABK105" s="88"/>
      <c r="ABL105" s="88"/>
      <c r="ABM105" s="88"/>
      <c r="ABN105" s="88"/>
      <c r="ABO105" s="88"/>
      <c r="ABP105" s="88"/>
      <c r="ABQ105" s="88"/>
      <c r="ABR105" s="88"/>
      <c r="ABS105" s="88"/>
      <c r="ABT105" s="88"/>
      <c r="ABU105" s="88"/>
      <c r="ABV105" s="88"/>
      <c r="ABW105" s="88"/>
      <c r="ABX105" s="88"/>
      <c r="ABY105" s="88"/>
      <c r="ABZ105" s="88"/>
      <c r="ACA105" s="88"/>
      <c r="ACB105" s="88"/>
      <c r="ACC105" s="88"/>
      <c r="ACD105" s="88"/>
      <c r="ACE105" s="88"/>
      <c r="ACF105" s="88"/>
      <c r="ACG105" s="88"/>
      <c r="ACH105" s="88"/>
      <c r="ACI105" s="88"/>
      <c r="ACJ105" s="88"/>
      <c r="ACK105" s="88"/>
      <c r="ACL105" s="88"/>
      <c r="ACM105" s="88"/>
      <c r="ACN105" s="88"/>
      <c r="ACO105" s="88"/>
      <c r="ACP105" s="88"/>
      <c r="ACQ105" s="88"/>
      <c r="ACR105" s="88"/>
      <c r="ACS105" s="88"/>
      <c r="ACT105" s="88"/>
      <c r="ACU105" s="88"/>
      <c r="ACV105" s="88"/>
      <c r="ACW105" s="88"/>
      <c r="ACX105" s="88"/>
      <c r="ACY105" s="88"/>
      <c r="ACZ105" s="88"/>
      <c r="ADA105" s="88"/>
      <c r="ADB105" s="88"/>
      <c r="ADC105" s="88"/>
      <c r="ADD105" s="88"/>
      <c r="ADE105" s="88"/>
      <c r="ADF105" s="88"/>
      <c r="ADG105" s="88"/>
      <c r="ADH105" s="88"/>
      <c r="ADI105" s="88"/>
      <c r="ADJ105" s="88"/>
      <c r="ADK105" s="88"/>
      <c r="ADL105" s="88"/>
      <c r="ADM105" s="88"/>
      <c r="ADN105" s="88"/>
      <c r="ADO105" s="88"/>
      <c r="ADP105" s="88"/>
      <c r="ADQ105" s="88"/>
      <c r="ADR105" s="88"/>
      <c r="ADS105" s="88"/>
      <c r="ADT105" s="88"/>
      <c r="ADU105" s="88"/>
      <c r="ADV105" s="88"/>
      <c r="ADW105" s="88"/>
      <c r="ADX105" s="88"/>
      <c r="ADY105" s="88"/>
      <c r="ADZ105" s="88"/>
      <c r="AEA105" s="88"/>
      <c r="AEB105" s="88"/>
      <c r="AEC105" s="88"/>
      <c r="AED105" s="88"/>
      <c r="AEE105" s="88"/>
      <c r="AEF105" s="88"/>
      <c r="AEG105" s="88"/>
      <c r="AEH105" s="88"/>
      <c r="AEI105" s="88"/>
      <c r="AEJ105" s="88"/>
      <c r="AEK105" s="88"/>
      <c r="AEL105" s="88"/>
      <c r="AEM105" s="88"/>
      <c r="AEN105" s="88"/>
      <c r="AEO105" s="88"/>
      <c r="AEP105" s="88"/>
      <c r="AEQ105" s="88"/>
      <c r="AER105" s="88"/>
      <c r="AES105" s="88"/>
      <c r="AET105" s="88"/>
      <c r="AEU105" s="88"/>
      <c r="AEV105" s="88"/>
      <c r="AEW105" s="88"/>
      <c r="AEX105" s="88"/>
      <c r="AEY105" s="88"/>
      <c r="AEZ105" s="88"/>
      <c r="AFA105" s="88"/>
      <c r="AFB105" s="88"/>
      <c r="AFC105" s="88"/>
      <c r="AFD105" s="88"/>
      <c r="AFE105" s="88"/>
      <c r="AFF105" s="88"/>
      <c r="AFG105" s="88"/>
      <c r="AFH105" s="88"/>
      <c r="AFI105" s="88"/>
      <c r="AFJ105" s="88"/>
      <c r="AFK105" s="88"/>
      <c r="AFL105" s="88"/>
      <c r="AFM105" s="88"/>
      <c r="AFN105" s="88"/>
      <c r="AFO105" s="88"/>
      <c r="AFP105" s="88"/>
      <c r="AFQ105" s="88"/>
      <c r="AFR105" s="88"/>
      <c r="AFS105" s="88"/>
      <c r="AFT105" s="88"/>
      <c r="AFU105" s="88"/>
      <c r="AFV105" s="88"/>
      <c r="AFW105" s="88"/>
      <c r="AFX105" s="88"/>
      <c r="AFY105" s="88"/>
      <c r="AFZ105" s="88"/>
      <c r="AGA105" s="88"/>
      <c r="AGB105" s="88"/>
      <c r="AGC105" s="88"/>
      <c r="AGD105" s="88"/>
      <c r="AGE105" s="88"/>
      <c r="AGF105" s="88"/>
      <c r="AGG105" s="88"/>
      <c r="AGH105" s="88"/>
      <c r="AGI105" s="88"/>
      <c r="AGJ105" s="88"/>
      <c r="AGK105" s="88"/>
      <c r="AGL105" s="88"/>
      <c r="AGM105" s="88"/>
      <c r="AGN105" s="88"/>
      <c r="AGO105" s="88"/>
      <c r="AGP105" s="88"/>
      <c r="AGQ105" s="88"/>
      <c r="AGR105" s="88"/>
      <c r="AGS105" s="88"/>
      <c r="AGT105" s="88"/>
      <c r="AGU105" s="88"/>
      <c r="AGV105" s="88"/>
      <c r="AGW105" s="88"/>
      <c r="AGX105" s="88"/>
      <c r="AGY105" s="88"/>
      <c r="AGZ105" s="88"/>
      <c r="AHA105" s="88"/>
      <c r="AHB105" s="88"/>
      <c r="AHC105" s="88"/>
      <c r="AHD105" s="88"/>
      <c r="AHE105" s="88"/>
      <c r="AHF105" s="88"/>
      <c r="AHG105" s="88"/>
      <c r="AHH105" s="88"/>
      <c r="AHI105" s="88"/>
      <c r="AHJ105" s="88"/>
      <c r="AHK105" s="88"/>
      <c r="AHL105" s="88"/>
      <c r="AHM105" s="88"/>
      <c r="AHN105" s="88"/>
      <c r="AHO105" s="88"/>
      <c r="AHP105" s="88"/>
      <c r="AHQ105" s="88"/>
      <c r="AHR105" s="88"/>
      <c r="AHS105" s="88"/>
      <c r="AHT105" s="88"/>
      <c r="AHU105" s="88"/>
      <c r="AHV105" s="88"/>
      <c r="AHW105" s="88"/>
      <c r="AHX105" s="88"/>
      <c r="AHY105" s="88"/>
      <c r="AHZ105" s="88"/>
      <c r="AIA105" s="88"/>
      <c r="AIB105" s="88"/>
      <c r="AIC105" s="88"/>
      <c r="AID105" s="88"/>
      <c r="AIE105" s="88"/>
      <c r="AIF105" s="88"/>
      <c r="AIG105" s="88"/>
      <c r="AIH105" s="88"/>
      <c r="AII105" s="88"/>
      <c r="AIJ105" s="88"/>
      <c r="AIK105" s="88"/>
      <c r="AIL105" s="88"/>
      <c r="AIM105" s="88"/>
      <c r="AIN105" s="88"/>
      <c r="AIO105" s="88"/>
      <c r="AIP105" s="88"/>
      <c r="AIQ105" s="88"/>
      <c r="AIR105" s="88"/>
      <c r="AIS105" s="88"/>
      <c r="AIT105" s="88"/>
      <c r="AIU105" s="88"/>
      <c r="AIV105" s="88"/>
      <c r="AIW105" s="88"/>
      <c r="AIX105" s="88"/>
      <c r="AIY105" s="88"/>
      <c r="AIZ105" s="88"/>
      <c r="AJA105" s="88"/>
      <c r="AJB105" s="88"/>
      <c r="AJC105" s="88"/>
      <c r="AJD105" s="88"/>
      <c r="AJE105" s="88"/>
      <c r="AJF105" s="88"/>
      <c r="AJG105" s="88"/>
      <c r="AJH105" s="88"/>
      <c r="AJI105" s="88"/>
      <c r="AJJ105" s="88"/>
      <c r="AJK105" s="88"/>
      <c r="AJL105" s="88"/>
      <c r="AJM105" s="88"/>
      <c r="AJN105" s="88"/>
      <c r="AJO105" s="88"/>
      <c r="AJP105" s="88"/>
      <c r="AJQ105" s="88"/>
      <c r="AJR105" s="88"/>
      <c r="AJS105" s="88"/>
      <c r="AJT105" s="88"/>
      <c r="AJU105" s="88"/>
      <c r="AJV105" s="88"/>
      <c r="AJW105" s="88"/>
      <c r="AJX105" s="88"/>
      <c r="AJY105" s="88"/>
      <c r="AJZ105" s="88"/>
      <c r="AKA105" s="88"/>
      <c r="AKB105" s="88"/>
      <c r="AKC105" s="88"/>
      <c r="AKD105" s="88"/>
      <c r="AKE105" s="88"/>
      <c r="AKF105" s="88"/>
      <c r="AKG105" s="88"/>
      <c r="AKH105" s="88"/>
      <c r="AKI105" s="88"/>
      <c r="AKJ105" s="88"/>
      <c r="AKK105" s="88"/>
      <c r="AKL105" s="88"/>
      <c r="AKM105" s="88"/>
      <c r="AKN105" s="88"/>
      <c r="AKO105" s="88"/>
      <c r="AKP105" s="88"/>
      <c r="AKQ105" s="88"/>
      <c r="AKR105" s="88"/>
      <c r="AKS105" s="88"/>
      <c r="AKT105" s="88"/>
      <c r="AKU105" s="88"/>
      <c r="AKV105" s="88"/>
      <c r="AKW105" s="88"/>
      <c r="AKX105" s="88"/>
      <c r="AKY105" s="88"/>
      <c r="AKZ105" s="88"/>
      <c r="ALA105" s="88"/>
      <c r="ALB105" s="88"/>
      <c r="ALC105" s="88"/>
      <c r="ALD105" s="88"/>
      <c r="ALE105" s="88"/>
      <c r="ALF105" s="88"/>
      <c r="ALG105" s="88"/>
      <c r="ALH105" s="88"/>
      <c r="ALI105" s="88"/>
      <c r="ALJ105" s="88"/>
      <c r="ALK105" s="88"/>
      <c r="ALL105" s="88"/>
      <c r="ALM105" s="88"/>
      <c r="ALN105" s="88"/>
      <c r="ALO105" s="88"/>
      <c r="ALP105" s="88"/>
      <c r="ALQ105" s="88"/>
      <c r="ALR105" s="88"/>
      <c r="ALS105" s="88"/>
      <c r="ALT105" s="88"/>
      <c r="ALU105" s="88"/>
      <c r="ALV105" s="88"/>
      <c r="ALW105" s="88"/>
      <c r="ALX105" s="88"/>
      <c r="ALY105" s="88"/>
      <c r="ALZ105" s="88"/>
      <c r="AMA105" s="88"/>
      <c r="AMB105" s="88"/>
      <c r="AMC105" s="88"/>
      <c r="AMD105" s="88"/>
      <c r="AME105" s="88"/>
      <c r="AMF105" s="88"/>
      <c r="AMG105" s="88"/>
      <c r="AMH105" s="88"/>
      <c r="AMI105" s="88"/>
      <c r="AMJ105" s="88"/>
      <c r="AMK105" s="88"/>
      <c r="AML105" s="88"/>
      <c r="AMM105" s="88"/>
      <c r="AMN105" s="88"/>
      <c r="AMO105" s="88"/>
      <c r="AMP105" s="88"/>
      <c r="AMQ105" s="88"/>
      <c r="AMR105" s="88"/>
      <c r="AMS105" s="88"/>
      <c r="AMT105" s="88"/>
      <c r="AMU105" s="88"/>
      <c r="AMV105" s="88"/>
      <c r="AMW105" s="88"/>
      <c r="AMX105" s="88"/>
      <c r="AMY105" s="88"/>
      <c r="AMZ105" s="88"/>
      <c r="ANA105" s="88"/>
      <c r="ANB105" s="88"/>
      <c r="ANC105" s="88"/>
      <c r="AND105" s="88"/>
      <c r="ANE105" s="88"/>
      <c r="ANF105" s="88"/>
      <c r="ANG105" s="88"/>
      <c r="ANH105" s="88"/>
      <c r="ANI105" s="88"/>
      <c r="ANJ105" s="88"/>
      <c r="ANK105" s="88"/>
      <c r="ANL105" s="88"/>
      <c r="ANM105" s="88"/>
      <c r="ANN105" s="88"/>
      <c r="ANO105" s="88"/>
      <c r="ANP105" s="88"/>
      <c r="ANQ105" s="88"/>
      <c r="ANR105" s="88"/>
      <c r="ANS105" s="88"/>
      <c r="ANT105" s="88"/>
      <c r="ANU105" s="88"/>
      <c r="ANV105" s="88"/>
      <c r="ANW105" s="88"/>
      <c r="ANX105" s="88"/>
      <c r="ANY105" s="88"/>
      <c r="ANZ105" s="88"/>
      <c r="AOA105" s="88"/>
      <c r="AOB105" s="88"/>
      <c r="AOC105" s="88"/>
      <c r="AOD105" s="88"/>
      <c r="AOE105" s="88"/>
      <c r="AOF105" s="88"/>
      <c r="AOG105" s="88"/>
      <c r="AOH105" s="88"/>
      <c r="AOI105" s="88"/>
      <c r="AOJ105" s="88"/>
      <c r="AOK105" s="88"/>
      <c r="AOL105" s="88"/>
      <c r="AOM105" s="88"/>
      <c r="AON105" s="88"/>
      <c r="AOO105" s="88"/>
      <c r="AOP105" s="88"/>
      <c r="AOQ105" s="88"/>
      <c r="AOR105" s="88"/>
      <c r="AOS105" s="88"/>
      <c r="AOT105" s="88"/>
      <c r="AOU105" s="88"/>
      <c r="AOV105" s="88"/>
      <c r="AOW105" s="88"/>
      <c r="AOX105" s="88"/>
      <c r="AOY105" s="88"/>
      <c r="AOZ105" s="88"/>
      <c r="APA105" s="88"/>
      <c r="APB105" s="88"/>
      <c r="APC105" s="88"/>
      <c r="APD105" s="88"/>
      <c r="APE105" s="88"/>
      <c r="APF105" s="88"/>
      <c r="APG105" s="88"/>
      <c r="APH105" s="88"/>
      <c r="API105" s="88"/>
      <c r="APJ105" s="88"/>
      <c r="APK105" s="88"/>
      <c r="APL105" s="88"/>
      <c r="APM105" s="88"/>
      <c r="APN105" s="88"/>
      <c r="APO105" s="88"/>
      <c r="APP105" s="88"/>
      <c r="APQ105" s="88"/>
      <c r="APR105" s="88"/>
      <c r="APS105" s="88"/>
      <c r="APT105" s="88"/>
      <c r="APU105" s="88"/>
      <c r="APV105" s="88"/>
      <c r="APW105" s="88"/>
      <c r="APX105" s="88"/>
      <c r="APY105" s="88"/>
      <c r="APZ105" s="88"/>
      <c r="AQA105" s="88"/>
      <c r="AQB105" s="88"/>
      <c r="AQC105" s="88"/>
      <c r="AQD105" s="88"/>
      <c r="AQE105" s="88"/>
      <c r="AQF105" s="88"/>
      <c r="AQG105" s="88"/>
      <c r="AQH105" s="88"/>
      <c r="AQI105" s="88"/>
      <c r="AQJ105" s="88"/>
      <c r="AQK105" s="88"/>
      <c r="AQL105" s="88"/>
      <c r="AQM105" s="88"/>
      <c r="AQN105" s="88"/>
      <c r="AQO105" s="88"/>
      <c r="AQP105" s="88"/>
      <c r="AQQ105" s="88"/>
      <c r="AQR105" s="88"/>
      <c r="AQS105" s="88"/>
      <c r="AQT105" s="88"/>
      <c r="AQU105" s="88"/>
      <c r="AQV105" s="88"/>
      <c r="AQW105" s="88"/>
      <c r="AQX105" s="88"/>
      <c r="AQY105" s="88"/>
      <c r="AQZ105" s="88"/>
      <c r="ARA105" s="88"/>
      <c r="ARB105" s="88"/>
      <c r="ARC105" s="88"/>
      <c r="ARD105" s="88"/>
      <c r="ARE105" s="88"/>
      <c r="ARF105" s="88"/>
      <c r="ARG105" s="88"/>
      <c r="ARH105" s="88"/>
      <c r="ARI105" s="88"/>
      <c r="ARJ105" s="88"/>
      <c r="ARK105" s="88"/>
      <c r="ARL105" s="88"/>
      <c r="ARM105" s="88"/>
      <c r="ARN105" s="88"/>
      <c r="ARO105" s="88"/>
      <c r="ARP105" s="88"/>
      <c r="ARQ105" s="88"/>
      <c r="ARR105" s="88"/>
      <c r="ARS105" s="88"/>
      <c r="ART105" s="88"/>
      <c r="ARU105" s="88"/>
      <c r="ARV105" s="88"/>
      <c r="ARW105" s="88"/>
      <c r="ARX105" s="88"/>
      <c r="ARY105" s="88"/>
      <c r="ARZ105" s="88"/>
      <c r="ASA105" s="88"/>
      <c r="ASB105" s="88"/>
      <c r="ASC105" s="88"/>
      <c r="ASD105" s="88"/>
      <c r="ASE105" s="88"/>
      <c r="ASF105" s="88"/>
      <c r="ASG105" s="88"/>
      <c r="ASH105" s="88"/>
      <c r="ASI105" s="88"/>
      <c r="ASJ105" s="88"/>
      <c r="ASK105" s="88"/>
      <c r="ASL105" s="88"/>
      <c r="ASM105" s="88"/>
      <c r="ASN105" s="88"/>
      <c r="ASO105" s="88"/>
      <c r="ASP105" s="88"/>
      <c r="ASQ105" s="88"/>
      <c r="ASR105" s="88"/>
      <c r="ASS105" s="88"/>
      <c r="AST105" s="88"/>
      <c r="ASU105" s="88"/>
      <c r="ASV105" s="88"/>
      <c r="ASW105" s="88"/>
      <c r="ASX105" s="88"/>
      <c r="ASY105" s="88"/>
      <c r="ASZ105" s="88"/>
      <c r="ATA105" s="88"/>
      <c r="ATB105" s="88"/>
      <c r="ATC105" s="88"/>
      <c r="ATD105" s="88"/>
      <c r="ATE105" s="88"/>
      <c r="ATF105" s="88"/>
      <c r="ATG105" s="88"/>
      <c r="ATH105" s="88"/>
      <c r="ATI105" s="88"/>
      <c r="ATJ105" s="88"/>
      <c r="ATK105" s="88"/>
      <c r="ATL105" s="88"/>
      <c r="ATM105" s="88"/>
      <c r="ATN105" s="88"/>
      <c r="ATO105" s="88"/>
      <c r="ATP105" s="88"/>
      <c r="ATQ105" s="88"/>
      <c r="ATR105" s="88"/>
      <c r="ATS105" s="88"/>
      <c r="ATT105" s="88"/>
      <c r="ATU105" s="88"/>
      <c r="ATV105" s="88"/>
      <c r="ATW105" s="88"/>
      <c r="ATX105" s="88"/>
      <c r="ATY105" s="88"/>
      <c r="ATZ105" s="88"/>
      <c r="AUA105" s="88"/>
      <c r="AUB105" s="88"/>
      <c r="AUC105" s="88"/>
      <c r="AUD105" s="88"/>
      <c r="AUE105" s="88"/>
      <c r="AUF105" s="88"/>
      <c r="AUG105" s="88"/>
      <c r="AUH105" s="88"/>
      <c r="AUI105" s="88"/>
      <c r="AUJ105" s="88"/>
      <c r="AUK105" s="88"/>
      <c r="AUL105" s="88"/>
      <c r="AUM105" s="88"/>
      <c r="AUN105" s="88"/>
      <c r="AUO105" s="88"/>
      <c r="AUP105" s="88"/>
      <c r="AUQ105" s="88"/>
      <c r="AUR105" s="88"/>
      <c r="AUS105" s="88"/>
      <c r="AUT105" s="88"/>
      <c r="AUU105" s="88"/>
      <c r="AUV105" s="88"/>
      <c r="AUW105" s="88"/>
      <c r="AUX105" s="88"/>
      <c r="AUY105" s="88"/>
      <c r="AUZ105" s="88"/>
      <c r="AVA105" s="88"/>
      <c r="AVB105" s="88"/>
      <c r="AVC105" s="88"/>
      <c r="AVD105" s="88"/>
      <c r="AVE105" s="88"/>
      <c r="AVF105" s="88"/>
      <c r="AVG105" s="88"/>
      <c r="AVH105" s="88"/>
      <c r="AVI105" s="88"/>
      <c r="AVJ105" s="88"/>
      <c r="AVK105" s="88"/>
      <c r="AVL105" s="88"/>
      <c r="AVM105" s="88"/>
      <c r="AVN105" s="88"/>
      <c r="AVO105" s="88"/>
      <c r="AVP105" s="88"/>
      <c r="AVQ105" s="88"/>
      <c r="AVR105" s="88"/>
      <c r="AVS105" s="88"/>
      <c r="AVT105" s="88"/>
      <c r="AVU105" s="88"/>
      <c r="AVV105" s="88"/>
      <c r="AVW105" s="88"/>
      <c r="AVX105" s="88"/>
      <c r="AVY105" s="88"/>
      <c r="AVZ105" s="88"/>
      <c r="AWA105" s="88"/>
      <c r="AWB105" s="88"/>
      <c r="AWC105" s="88"/>
      <c r="AWD105" s="88"/>
      <c r="AWE105" s="88"/>
      <c r="AWF105" s="88"/>
      <c r="AWG105" s="88"/>
      <c r="AWH105" s="88"/>
      <c r="AWI105" s="88"/>
      <c r="AWJ105" s="88"/>
      <c r="AWK105" s="88"/>
      <c r="AWL105" s="88"/>
      <c r="AWM105" s="88"/>
      <c r="AWN105" s="88"/>
      <c r="AWO105" s="88"/>
      <c r="AWP105" s="88"/>
      <c r="AWQ105" s="88"/>
      <c r="AWR105" s="88"/>
      <c r="AWS105" s="88"/>
      <c r="AWT105" s="88"/>
      <c r="AWU105" s="88"/>
      <c r="AWV105" s="88"/>
      <c r="AWW105" s="88"/>
      <c r="AWX105" s="88"/>
      <c r="AWY105" s="88"/>
      <c r="AWZ105" s="88"/>
      <c r="AXA105" s="88"/>
      <c r="AXB105" s="88"/>
      <c r="AXC105" s="88"/>
      <c r="AXD105" s="88"/>
      <c r="AXE105" s="88"/>
      <c r="AXF105" s="88"/>
      <c r="AXG105" s="88"/>
      <c r="AXH105" s="88"/>
      <c r="AXI105" s="88"/>
      <c r="AXJ105" s="88"/>
      <c r="AXK105" s="88"/>
      <c r="AXL105" s="88"/>
      <c r="AXM105" s="88"/>
      <c r="AXN105" s="88"/>
      <c r="AXO105" s="88"/>
      <c r="AXP105" s="88"/>
      <c r="AXQ105" s="88"/>
      <c r="AXR105" s="88"/>
      <c r="AXS105" s="88"/>
      <c r="AXT105" s="88"/>
      <c r="AXU105" s="88"/>
      <c r="AXV105" s="88"/>
      <c r="AXW105" s="88"/>
      <c r="AXX105" s="88"/>
      <c r="AXY105" s="88"/>
      <c r="AXZ105" s="88"/>
      <c r="AYA105" s="88"/>
      <c r="AYB105" s="88"/>
      <c r="AYC105" s="88"/>
      <c r="AYD105" s="88"/>
      <c r="AYE105" s="88"/>
      <c r="AYF105" s="88"/>
      <c r="AYG105" s="88"/>
      <c r="AYH105" s="88"/>
      <c r="AYI105" s="88"/>
      <c r="AYJ105" s="88"/>
      <c r="AYK105" s="88"/>
      <c r="AYL105" s="88"/>
      <c r="AYM105" s="88"/>
      <c r="AYN105" s="88"/>
      <c r="AYO105" s="88"/>
      <c r="AYP105" s="88"/>
      <c r="AYQ105" s="88"/>
      <c r="AYR105" s="88"/>
      <c r="AYS105" s="88"/>
      <c r="AYT105" s="88"/>
      <c r="AYU105" s="88"/>
      <c r="AYV105" s="88"/>
      <c r="AYW105" s="88"/>
      <c r="AYX105" s="88"/>
      <c r="AYY105" s="88"/>
      <c r="AYZ105" s="88"/>
      <c r="AZA105" s="88"/>
      <c r="AZB105" s="88"/>
      <c r="AZC105" s="88"/>
      <c r="AZD105" s="88"/>
      <c r="AZE105" s="88"/>
      <c r="AZF105" s="88"/>
      <c r="AZG105" s="88"/>
      <c r="AZH105" s="88"/>
      <c r="AZI105" s="88"/>
      <c r="AZJ105" s="88"/>
      <c r="AZK105" s="88"/>
      <c r="AZL105" s="88"/>
      <c r="AZM105" s="88"/>
      <c r="AZN105" s="88"/>
      <c r="AZO105" s="88"/>
      <c r="AZP105" s="88"/>
      <c r="AZQ105" s="88"/>
      <c r="AZR105" s="88"/>
      <c r="AZS105" s="88"/>
      <c r="AZT105" s="88"/>
      <c r="AZU105" s="88"/>
      <c r="AZV105" s="88"/>
      <c r="AZW105" s="88"/>
      <c r="AZX105" s="88"/>
      <c r="AZY105" s="88"/>
      <c r="AZZ105" s="88"/>
      <c r="BAA105" s="88"/>
      <c r="BAB105" s="88"/>
      <c r="BAC105" s="88"/>
      <c r="BAD105" s="88"/>
      <c r="BAE105" s="88"/>
      <c r="BAF105" s="88"/>
      <c r="BAG105" s="88"/>
      <c r="BAH105" s="88"/>
      <c r="BAI105" s="88"/>
      <c r="BAJ105" s="88"/>
      <c r="BAK105" s="88"/>
      <c r="BAL105" s="88"/>
      <c r="BAM105" s="88"/>
      <c r="BAN105" s="88"/>
      <c r="BAO105" s="88"/>
      <c r="BAP105" s="88"/>
      <c r="BAQ105" s="88"/>
      <c r="BAR105" s="88"/>
      <c r="BAS105" s="88"/>
      <c r="BAT105" s="88"/>
      <c r="BAU105" s="88"/>
      <c r="BAV105" s="88"/>
      <c r="BAW105" s="88"/>
      <c r="BAX105" s="88"/>
      <c r="BAY105" s="88"/>
      <c r="BAZ105" s="88"/>
      <c r="BBA105" s="88"/>
      <c r="BBB105" s="88"/>
      <c r="BBC105" s="88"/>
      <c r="BBD105" s="88"/>
      <c r="BBE105" s="88"/>
      <c r="BBF105" s="88"/>
      <c r="BBG105" s="88"/>
      <c r="BBH105" s="88"/>
      <c r="BBI105" s="88"/>
      <c r="BBJ105" s="88"/>
      <c r="BBK105" s="88"/>
      <c r="BBL105" s="88"/>
      <c r="BBM105" s="88"/>
      <c r="BBN105" s="88"/>
      <c r="BBO105" s="88"/>
      <c r="BBP105" s="88"/>
      <c r="BBQ105" s="88"/>
      <c r="BBR105" s="88"/>
      <c r="BBS105" s="88"/>
      <c r="BBT105" s="88"/>
      <c r="BBU105" s="88"/>
      <c r="BBV105" s="88"/>
      <c r="BBW105" s="88"/>
      <c r="BBX105" s="88"/>
      <c r="BBY105" s="88"/>
      <c r="BBZ105" s="88"/>
      <c r="BCA105" s="88"/>
      <c r="BCB105" s="88"/>
      <c r="BCC105" s="88"/>
      <c r="BCD105" s="88"/>
      <c r="BCE105" s="88"/>
      <c r="BCF105" s="88"/>
      <c r="BCG105" s="88"/>
      <c r="BCH105" s="88"/>
      <c r="BCI105" s="88"/>
      <c r="BCJ105" s="88"/>
      <c r="BCK105" s="88"/>
      <c r="BCL105" s="88"/>
      <c r="BCM105" s="88"/>
      <c r="BCN105" s="88"/>
      <c r="BCO105" s="88"/>
      <c r="BCP105" s="88"/>
      <c r="BCQ105" s="88"/>
      <c r="BCR105" s="88"/>
      <c r="BCS105" s="88"/>
      <c r="BCT105" s="88"/>
      <c r="BCU105" s="88"/>
      <c r="BCV105" s="88"/>
      <c r="BCW105" s="88"/>
      <c r="BCX105" s="88"/>
      <c r="BCY105" s="88"/>
      <c r="BCZ105" s="88"/>
      <c r="BDA105" s="88"/>
      <c r="BDB105" s="88"/>
      <c r="BDC105" s="88"/>
      <c r="BDD105" s="88"/>
      <c r="BDE105" s="88"/>
      <c r="BDF105" s="88"/>
      <c r="BDG105" s="88"/>
      <c r="BDH105" s="88"/>
      <c r="BDI105" s="88"/>
      <c r="BDJ105" s="88"/>
      <c r="BDK105" s="88"/>
      <c r="BDL105" s="88"/>
      <c r="BDM105" s="88"/>
      <c r="BDN105" s="88"/>
      <c r="BDO105" s="88"/>
      <c r="BDP105" s="88"/>
      <c r="BDQ105" s="88"/>
      <c r="BDR105" s="88"/>
      <c r="BDS105" s="88"/>
      <c r="BDT105" s="88"/>
      <c r="BDU105" s="88"/>
      <c r="BDV105" s="88"/>
      <c r="BDW105" s="88"/>
      <c r="BDX105" s="88"/>
      <c r="BDY105" s="88"/>
      <c r="BDZ105" s="88"/>
      <c r="BEA105" s="88"/>
      <c r="BEB105" s="88"/>
      <c r="BEC105" s="88"/>
      <c r="BED105" s="88"/>
      <c r="BEE105" s="88"/>
      <c r="BEF105" s="88"/>
      <c r="BEG105" s="88"/>
      <c r="BEH105" s="88"/>
      <c r="BEI105" s="88"/>
      <c r="BEJ105" s="88"/>
      <c r="BEK105" s="88"/>
      <c r="BEL105" s="88"/>
      <c r="BEM105" s="88"/>
      <c r="BEN105" s="88"/>
      <c r="BEO105" s="88"/>
      <c r="BEP105" s="88"/>
      <c r="BEQ105" s="88"/>
      <c r="BER105" s="88"/>
      <c r="BES105" s="88"/>
      <c r="BET105" s="88"/>
      <c r="BEU105" s="88"/>
      <c r="BEV105" s="88"/>
      <c r="BEW105" s="88"/>
      <c r="BEX105" s="88"/>
      <c r="BEY105" s="88"/>
      <c r="BEZ105" s="88"/>
      <c r="BFA105" s="88"/>
      <c r="BFB105" s="88"/>
      <c r="BFC105" s="88"/>
      <c r="BFD105" s="88"/>
      <c r="BFE105" s="88"/>
      <c r="BFF105" s="88"/>
      <c r="BFG105" s="88"/>
      <c r="BFH105" s="88"/>
      <c r="BFI105" s="88"/>
      <c r="BFJ105" s="88"/>
      <c r="BFK105" s="88"/>
      <c r="BFL105" s="88"/>
      <c r="BFM105" s="88"/>
      <c r="BFN105" s="88"/>
      <c r="BFO105" s="88"/>
      <c r="BFP105" s="88"/>
      <c r="BFQ105" s="88"/>
      <c r="BFR105" s="88"/>
      <c r="BFS105" s="88"/>
      <c r="BFT105" s="88"/>
      <c r="BFU105" s="88"/>
      <c r="BFV105" s="88"/>
      <c r="BFW105" s="88"/>
      <c r="BFX105" s="88"/>
      <c r="BFY105" s="88"/>
      <c r="BFZ105" s="88"/>
      <c r="BGA105" s="88"/>
      <c r="BGB105" s="88"/>
      <c r="BGC105" s="88"/>
      <c r="BGD105" s="88"/>
      <c r="BGE105" s="88"/>
      <c r="BGF105" s="88"/>
      <c r="BGG105" s="88"/>
      <c r="BGH105" s="88"/>
      <c r="BGI105" s="88"/>
      <c r="BGJ105" s="88"/>
      <c r="BGK105" s="88"/>
      <c r="BGL105" s="88"/>
      <c r="BGM105" s="88"/>
      <c r="BGN105" s="88"/>
      <c r="BGO105" s="88"/>
      <c r="BGP105" s="88"/>
      <c r="BGQ105" s="88"/>
      <c r="BGR105" s="88"/>
      <c r="BGS105" s="88"/>
      <c r="BGT105" s="88"/>
      <c r="BGU105" s="88"/>
      <c r="BGV105" s="88"/>
      <c r="BGW105" s="88"/>
      <c r="BGX105" s="88"/>
      <c r="BGY105" s="88"/>
      <c r="BGZ105" s="88"/>
      <c r="BHA105" s="88"/>
      <c r="BHB105" s="88"/>
      <c r="BHC105" s="88"/>
      <c r="BHD105" s="88"/>
      <c r="BHE105" s="88"/>
      <c r="BHF105" s="88"/>
      <c r="BHG105" s="88"/>
      <c r="BHH105" s="88"/>
      <c r="BHI105" s="88"/>
      <c r="BHJ105" s="88"/>
      <c r="BHK105" s="88"/>
      <c r="BHL105" s="88"/>
      <c r="BHM105" s="88"/>
      <c r="BHN105" s="88"/>
      <c r="BHO105" s="88"/>
      <c r="BHP105" s="88"/>
      <c r="BHQ105" s="88"/>
      <c r="BHR105" s="88"/>
      <c r="BHS105" s="88"/>
      <c r="BHT105" s="88"/>
      <c r="BHU105" s="88"/>
      <c r="BHV105" s="88"/>
      <c r="BHW105" s="88"/>
      <c r="BHX105" s="88"/>
      <c r="BHY105" s="88"/>
      <c r="BHZ105" s="88"/>
      <c r="BIA105" s="88"/>
      <c r="BIB105" s="88"/>
      <c r="BIC105" s="88"/>
      <c r="BID105" s="88"/>
      <c r="BIE105" s="88"/>
      <c r="BIF105" s="88"/>
      <c r="BIG105" s="88"/>
      <c r="BIH105" s="88"/>
      <c r="BII105" s="88"/>
      <c r="BIJ105" s="88"/>
      <c r="BIK105" s="88"/>
      <c r="BIL105" s="88"/>
      <c r="BIM105" s="88"/>
      <c r="BIN105" s="88"/>
      <c r="BIO105" s="88"/>
      <c r="BIP105" s="88"/>
      <c r="BIQ105" s="88"/>
      <c r="BIR105" s="88"/>
      <c r="BIS105" s="88"/>
      <c r="BIT105" s="88"/>
      <c r="BIU105" s="88"/>
      <c r="BIV105" s="88"/>
      <c r="BIW105" s="88"/>
      <c r="BIX105" s="88"/>
      <c r="BIY105" s="88"/>
      <c r="BIZ105" s="88"/>
      <c r="BJA105" s="88"/>
      <c r="BJB105" s="88"/>
      <c r="BJC105" s="88"/>
      <c r="BJD105" s="88"/>
      <c r="BJE105" s="88"/>
      <c r="BJF105" s="88"/>
      <c r="BJG105" s="88"/>
      <c r="BJH105" s="88"/>
      <c r="BJI105" s="88"/>
      <c r="BJJ105" s="88"/>
      <c r="BJK105" s="88"/>
      <c r="BJL105" s="88"/>
      <c r="BJM105" s="88"/>
      <c r="BJN105" s="88"/>
      <c r="BJO105" s="88"/>
      <c r="BJP105" s="88"/>
      <c r="BJQ105" s="88"/>
      <c r="BJR105" s="88"/>
      <c r="BJS105" s="88"/>
      <c r="BJT105" s="88"/>
      <c r="BJU105" s="88"/>
      <c r="BJV105" s="88"/>
      <c r="BJW105" s="88"/>
      <c r="BJX105" s="88"/>
      <c r="BJY105" s="88"/>
      <c r="BJZ105" s="88"/>
      <c r="BKA105" s="88"/>
      <c r="BKB105" s="88"/>
      <c r="BKC105" s="88"/>
      <c r="BKD105" s="88"/>
      <c r="BKE105" s="88"/>
      <c r="BKF105" s="88"/>
      <c r="BKG105" s="88"/>
      <c r="BKH105" s="88"/>
      <c r="BKI105" s="88"/>
      <c r="BKJ105" s="88"/>
      <c r="BKK105" s="88"/>
      <c r="BKL105" s="88"/>
      <c r="BKM105" s="88"/>
      <c r="BKN105" s="88"/>
      <c r="BKO105" s="88"/>
      <c r="BKP105" s="88"/>
      <c r="BKQ105" s="88"/>
      <c r="BKR105" s="88"/>
      <c r="BKS105" s="88"/>
      <c r="BKT105" s="88"/>
      <c r="BKU105" s="88"/>
      <c r="BKV105" s="88"/>
      <c r="BKW105" s="88"/>
      <c r="BKX105" s="88"/>
      <c r="BKY105" s="88"/>
      <c r="BKZ105" s="88"/>
      <c r="BLA105" s="88"/>
      <c r="BLB105" s="88"/>
      <c r="BLC105" s="88"/>
      <c r="BLD105" s="88"/>
      <c r="BLE105" s="88"/>
      <c r="BLF105" s="88"/>
      <c r="BLG105" s="88"/>
      <c r="BLH105" s="88"/>
      <c r="BLI105" s="88"/>
      <c r="BLJ105" s="88"/>
      <c r="BLK105" s="88"/>
      <c r="BLL105" s="88"/>
      <c r="BLM105" s="88"/>
      <c r="BLN105" s="88"/>
      <c r="BLO105" s="88"/>
      <c r="BLP105" s="88"/>
      <c r="BLQ105" s="88"/>
      <c r="BLR105" s="88"/>
      <c r="BLS105" s="88"/>
      <c r="BLT105" s="88"/>
      <c r="BLU105" s="88"/>
      <c r="BLV105" s="88"/>
      <c r="BLW105" s="88"/>
      <c r="BLX105" s="88"/>
      <c r="BLY105" s="88"/>
      <c r="BLZ105" s="88"/>
      <c r="BMA105" s="88"/>
      <c r="BMB105" s="88"/>
      <c r="BMC105" s="88"/>
      <c r="BMD105" s="88"/>
      <c r="BME105" s="88"/>
      <c r="BMF105" s="88"/>
      <c r="BMG105" s="88"/>
      <c r="BMH105" s="88"/>
      <c r="BMI105" s="88"/>
      <c r="BMJ105" s="88"/>
      <c r="BMK105" s="88"/>
      <c r="BML105" s="88"/>
      <c r="BMM105" s="88"/>
      <c r="BMN105" s="88"/>
      <c r="BMO105" s="88"/>
      <c r="BMP105" s="88"/>
      <c r="BMQ105" s="88"/>
      <c r="BMR105" s="88"/>
      <c r="BMS105" s="88"/>
      <c r="BMT105" s="88"/>
      <c r="BMU105" s="88"/>
      <c r="BMV105" s="88"/>
      <c r="BMW105" s="88"/>
      <c r="BMX105" s="88"/>
      <c r="BMY105" s="88"/>
      <c r="BMZ105" s="88"/>
      <c r="BNA105" s="88"/>
      <c r="BNB105" s="88"/>
      <c r="BNC105" s="88"/>
      <c r="BND105" s="88"/>
      <c r="BNE105" s="88"/>
      <c r="BNF105" s="88"/>
      <c r="BNG105" s="88"/>
      <c r="BNH105" s="88"/>
      <c r="BNI105" s="88"/>
      <c r="BNJ105" s="88"/>
      <c r="BNK105" s="88"/>
      <c r="BNL105" s="88"/>
      <c r="BNM105" s="88"/>
      <c r="BNN105" s="88"/>
      <c r="BNO105" s="88"/>
      <c r="BNP105" s="88"/>
      <c r="BNQ105" s="88"/>
      <c r="BNR105" s="88"/>
      <c r="BNS105" s="88"/>
      <c r="BNT105" s="88"/>
      <c r="BNU105" s="88"/>
      <c r="BNV105" s="88"/>
      <c r="BNW105" s="88"/>
      <c r="BNX105" s="88"/>
      <c r="BNY105" s="88"/>
      <c r="BNZ105" s="88"/>
      <c r="BOA105" s="88"/>
      <c r="BOB105" s="88"/>
      <c r="BOC105" s="88"/>
      <c r="BOD105" s="88"/>
      <c r="BOE105" s="88"/>
      <c r="BOF105" s="88"/>
      <c r="BOG105" s="88"/>
      <c r="BOH105" s="88"/>
      <c r="BOI105" s="88"/>
      <c r="BOJ105" s="88"/>
      <c r="BOK105" s="88"/>
      <c r="BOL105" s="88"/>
      <c r="BOM105" s="88"/>
      <c r="BON105" s="88"/>
      <c r="BOO105" s="88"/>
      <c r="BOP105" s="88"/>
      <c r="BOQ105" s="88"/>
      <c r="BOR105" s="88"/>
      <c r="BOS105" s="88"/>
      <c r="BOT105" s="88"/>
      <c r="BOU105" s="88"/>
      <c r="BOV105" s="88"/>
      <c r="BOW105" s="88"/>
      <c r="BOX105" s="88"/>
      <c r="BOY105" s="88"/>
      <c r="BOZ105" s="88"/>
      <c r="BPA105" s="88"/>
      <c r="BPB105" s="88"/>
      <c r="BPC105" s="88"/>
      <c r="BPD105" s="88"/>
      <c r="BPE105" s="88"/>
      <c r="BPF105" s="88"/>
      <c r="BPG105" s="88"/>
      <c r="BPH105" s="88"/>
      <c r="BPI105" s="88"/>
      <c r="BPJ105" s="88"/>
      <c r="BPK105" s="88"/>
      <c r="BPL105" s="88"/>
      <c r="BPM105" s="88"/>
      <c r="BPN105" s="88"/>
      <c r="BPO105" s="88"/>
      <c r="BPP105" s="88"/>
      <c r="BPQ105" s="88"/>
      <c r="BPR105" s="88"/>
      <c r="BPS105" s="88"/>
      <c r="BPT105" s="88"/>
      <c r="BPU105" s="88"/>
      <c r="BPV105" s="88"/>
      <c r="BPW105" s="88"/>
      <c r="BPX105" s="88"/>
      <c r="BPY105" s="88"/>
      <c r="BPZ105" s="88"/>
      <c r="BQA105" s="88"/>
      <c r="BQB105" s="88"/>
      <c r="BQC105" s="88"/>
      <c r="BQD105" s="88"/>
      <c r="BQE105" s="88"/>
      <c r="BQF105" s="88"/>
      <c r="BQG105" s="88"/>
      <c r="BQH105" s="88"/>
      <c r="BQI105" s="88"/>
      <c r="BQJ105" s="88"/>
      <c r="BQK105" s="88"/>
      <c r="BQL105" s="88"/>
      <c r="BQM105" s="88"/>
      <c r="BQN105" s="88"/>
      <c r="BQO105" s="88"/>
      <c r="BQP105" s="88"/>
      <c r="BQQ105" s="88"/>
      <c r="BQR105" s="88"/>
      <c r="BQS105" s="88"/>
      <c r="BQT105" s="88"/>
      <c r="BQU105" s="88"/>
      <c r="BQV105" s="88"/>
      <c r="BQW105" s="88"/>
      <c r="BQX105" s="88"/>
      <c r="BQY105" s="88"/>
      <c r="BQZ105" s="88"/>
      <c r="BRA105" s="88"/>
      <c r="BRB105" s="88"/>
      <c r="BRC105" s="88"/>
      <c r="BRD105" s="88"/>
      <c r="BRE105" s="88"/>
      <c r="BRF105" s="88"/>
      <c r="BRG105" s="88"/>
      <c r="BRH105" s="88"/>
      <c r="BRI105" s="88"/>
      <c r="BRJ105" s="88"/>
      <c r="BRK105" s="88"/>
      <c r="BRL105" s="88"/>
      <c r="BRM105" s="88"/>
      <c r="BRN105" s="88"/>
      <c r="BRO105" s="88"/>
      <c r="BRP105" s="88"/>
      <c r="BRQ105" s="88"/>
      <c r="BRR105" s="88"/>
      <c r="BRS105" s="88"/>
      <c r="BRT105" s="88"/>
      <c r="BRU105" s="88"/>
      <c r="BRV105" s="88"/>
      <c r="BRW105" s="88"/>
      <c r="BRX105" s="88"/>
      <c r="BRY105" s="88"/>
      <c r="BRZ105" s="88"/>
      <c r="BSA105" s="88"/>
      <c r="BSB105" s="88"/>
      <c r="BSC105" s="88"/>
      <c r="BSD105" s="88"/>
      <c r="BSE105" s="88"/>
      <c r="BSF105" s="88"/>
      <c r="BSG105" s="88"/>
      <c r="BSH105" s="88"/>
      <c r="BSI105" s="88"/>
      <c r="BSJ105" s="88"/>
      <c r="BSK105" s="88"/>
      <c r="BSL105" s="88"/>
      <c r="BSM105" s="88"/>
      <c r="BSN105" s="88"/>
      <c r="BSO105" s="88"/>
      <c r="BSP105" s="88"/>
      <c r="BSQ105" s="88"/>
      <c r="BSR105" s="88"/>
      <c r="BSS105" s="88"/>
      <c r="BST105" s="88"/>
      <c r="BSU105" s="88"/>
      <c r="BSV105" s="88"/>
      <c r="BSW105" s="88"/>
      <c r="BSX105" s="88"/>
      <c r="BSY105" s="88"/>
      <c r="BSZ105" s="88"/>
      <c r="BTA105" s="88"/>
      <c r="BTB105" s="88"/>
      <c r="BTC105" s="88"/>
      <c r="BTD105" s="88"/>
      <c r="BTE105" s="88"/>
      <c r="BTF105" s="88"/>
      <c r="BTG105" s="88"/>
      <c r="BTH105" s="88"/>
      <c r="BTI105" s="88"/>
      <c r="BTJ105" s="88"/>
      <c r="BTK105" s="88"/>
      <c r="BTL105" s="88"/>
      <c r="BTM105" s="88"/>
      <c r="BTN105" s="88"/>
      <c r="BTO105" s="88"/>
      <c r="BTP105" s="88"/>
      <c r="BTQ105" s="88"/>
      <c r="BTR105" s="88"/>
      <c r="BTS105" s="88"/>
      <c r="BTT105" s="88"/>
      <c r="BTU105" s="88"/>
      <c r="BTV105" s="88"/>
      <c r="BTW105" s="88"/>
      <c r="BTX105" s="88"/>
      <c r="BTY105" s="88"/>
      <c r="BTZ105" s="88"/>
      <c r="BUA105" s="88"/>
      <c r="BUB105" s="88"/>
      <c r="BUC105" s="88"/>
      <c r="BUD105" s="88"/>
      <c r="BUE105" s="88"/>
      <c r="BUF105" s="88"/>
      <c r="BUG105" s="88"/>
      <c r="BUH105" s="88"/>
      <c r="BUI105" s="88"/>
      <c r="BUJ105" s="88"/>
      <c r="BUK105" s="88"/>
      <c r="BUL105" s="88"/>
      <c r="BUM105" s="88"/>
      <c r="BUN105" s="88"/>
      <c r="BUO105" s="88"/>
      <c r="BUP105" s="88"/>
      <c r="BUQ105" s="88"/>
      <c r="BUR105" s="88"/>
      <c r="BUS105" s="88"/>
      <c r="BUT105" s="88"/>
      <c r="BUU105" s="88"/>
      <c r="BUV105" s="88"/>
      <c r="BUW105" s="88"/>
      <c r="BUX105" s="88"/>
      <c r="BUY105" s="88"/>
      <c r="BUZ105" s="88"/>
      <c r="BVA105" s="88"/>
      <c r="BVB105" s="88"/>
      <c r="BVC105" s="88"/>
      <c r="BVD105" s="88"/>
      <c r="BVE105" s="88"/>
      <c r="BVF105" s="88"/>
      <c r="BVG105" s="88"/>
      <c r="BVH105" s="88"/>
      <c r="BVI105" s="88"/>
      <c r="BVJ105" s="88"/>
      <c r="BVK105" s="88"/>
      <c r="BVL105" s="88"/>
      <c r="BVM105" s="88"/>
      <c r="BVN105" s="88"/>
      <c r="BVO105" s="88"/>
      <c r="BVP105" s="88"/>
      <c r="BVQ105" s="88"/>
      <c r="BVR105" s="88"/>
      <c r="BVS105" s="88"/>
      <c r="BVT105" s="88"/>
      <c r="BVU105" s="88"/>
      <c r="BVV105" s="88"/>
      <c r="BVW105" s="88"/>
      <c r="BVX105" s="88"/>
      <c r="BVY105" s="88"/>
      <c r="BVZ105" s="88"/>
      <c r="BWA105" s="88"/>
      <c r="BWB105" s="88"/>
      <c r="BWC105" s="88"/>
      <c r="BWD105" s="88"/>
      <c r="BWE105" s="88"/>
      <c r="BWF105" s="88"/>
      <c r="BWG105" s="88"/>
      <c r="BWH105" s="88"/>
      <c r="BWI105" s="88"/>
      <c r="BWJ105" s="88"/>
      <c r="BWK105" s="88"/>
      <c r="BWL105" s="88"/>
      <c r="BWM105" s="88"/>
      <c r="BWN105" s="88"/>
      <c r="BWO105" s="88"/>
      <c r="BWP105" s="88"/>
      <c r="BWQ105" s="88"/>
      <c r="BWR105" s="88"/>
      <c r="BWS105" s="88"/>
      <c r="BWT105" s="88"/>
      <c r="BWU105" s="88"/>
      <c r="BWV105" s="88"/>
      <c r="BWW105" s="88"/>
      <c r="BWX105" s="88"/>
      <c r="BWY105" s="88"/>
      <c r="BWZ105" s="88"/>
      <c r="BXA105" s="88"/>
      <c r="BXB105" s="88"/>
      <c r="BXC105" s="88"/>
      <c r="BXD105" s="88"/>
      <c r="BXE105" s="88"/>
      <c r="BXF105" s="88"/>
      <c r="BXG105" s="88"/>
      <c r="BXH105" s="88"/>
      <c r="BXI105" s="88"/>
      <c r="BXJ105" s="88"/>
      <c r="BXK105" s="88"/>
      <c r="BXL105" s="88"/>
      <c r="BXM105" s="88"/>
      <c r="BXN105" s="88"/>
      <c r="BXO105" s="88"/>
      <c r="BXP105" s="88"/>
      <c r="BXQ105" s="88"/>
      <c r="BXR105" s="88"/>
      <c r="BXS105" s="88"/>
      <c r="BXT105" s="88"/>
      <c r="BXU105" s="88"/>
      <c r="BXV105" s="88"/>
      <c r="BXW105" s="88"/>
      <c r="BXX105" s="88"/>
      <c r="BXY105" s="88"/>
      <c r="BXZ105" s="88"/>
      <c r="BYA105" s="88"/>
      <c r="BYB105" s="88"/>
      <c r="BYC105" s="88"/>
      <c r="BYD105" s="88"/>
      <c r="BYE105" s="88"/>
      <c r="BYF105" s="88"/>
      <c r="BYG105" s="88"/>
      <c r="BYH105" s="88"/>
      <c r="BYI105" s="88"/>
      <c r="BYJ105" s="88"/>
      <c r="BYK105" s="88"/>
      <c r="BYL105" s="88"/>
      <c r="BYM105" s="88"/>
      <c r="BYN105" s="88"/>
      <c r="BYO105" s="88"/>
      <c r="BYP105" s="88"/>
      <c r="BYQ105" s="88"/>
      <c r="BYR105" s="88"/>
      <c r="BYS105" s="88"/>
      <c r="BYT105" s="88"/>
      <c r="BYU105" s="88"/>
      <c r="BYV105" s="88"/>
      <c r="BYW105" s="88"/>
      <c r="BYX105" s="88"/>
      <c r="BYY105" s="88"/>
      <c r="BYZ105" s="88"/>
      <c r="BZA105" s="88"/>
      <c r="BZB105" s="88"/>
      <c r="BZC105" s="88"/>
      <c r="BZD105" s="88"/>
      <c r="BZE105" s="88"/>
      <c r="BZF105" s="88"/>
      <c r="BZG105" s="88"/>
      <c r="BZH105" s="88"/>
      <c r="BZI105" s="88"/>
      <c r="BZJ105" s="88"/>
      <c r="BZK105" s="88"/>
      <c r="BZL105" s="88"/>
      <c r="BZM105" s="88"/>
      <c r="BZN105" s="88"/>
      <c r="BZO105" s="88"/>
      <c r="BZP105" s="88"/>
      <c r="BZQ105" s="88"/>
      <c r="BZR105" s="88"/>
      <c r="BZS105" s="88"/>
      <c r="BZT105" s="88"/>
      <c r="BZU105" s="88"/>
      <c r="BZV105" s="88"/>
      <c r="BZW105" s="88"/>
      <c r="BZX105" s="88"/>
      <c r="BZY105" s="88"/>
      <c r="BZZ105" s="88"/>
      <c r="CAA105" s="88"/>
      <c r="CAB105" s="88"/>
      <c r="CAC105" s="88"/>
      <c r="CAD105" s="88"/>
      <c r="CAE105" s="88"/>
      <c r="CAF105" s="88"/>
      <c r="CAG105" s="88"/>
      <c r="CAH105" s="88"/>
      <c r="CAI105" s="88"/>
      <c r="CAJ105" s="88"/>
      <c r="CAK105" s="88"/>
      <c r="CAL105" s="88"/>
      <c r="CAM105" s="88"/>
      <c r="CAN105" s="88"/>
      <c r="CAO105" s="88"/>
      <c r="CAP105" s="88"/>
      <c r="CAQ105" s="88"/>
      <c r="CAR105" s="88"/>
      <c r="CAS105" s="88"/>
      <c r="CAT105" s="88"/>
      <c r="CAU105" s="88"/>
      <c r="CAV105" s="88"/>
      <c r="CAW105" s="88"/>
      <c r="CAX105" s="88"/>
      <c r="CAY105" s="88"/>
      <c r="CAZ105" s="88"/>
      <c r="CBA105" s="88"/>
      <c r="CBB105" s="88"/>
      <c r="CBC105" s="88"/>
      <c r="CBD105" s="88"/>
      <c r="CBE105" s="88"/>
      <c r="CBF105" s="88"/>
      <c r="CBG105" s="88"/>
      <c r="CBH105" s="88"/>
      <c r="CBI105" s="88"/>
      <c r="CBJ105" s="88"/>
      <c r="CBK105" s="88"/>
      <c r="CBL105" s="88"/>
      <c r="CBM105" s="88"/>
      <c r="CBN105" s="88"/>
      <c r="CBO105" s="88"/>
      <c r="CBP105" s="88"/>
      <c r="CBQ105" s="88"/>
      <c r="CBR105" s="88"/>
      <c r="CBS105" s="88"/>
      <c r="CBT105" s="88"/>
      <c r="CBU105" s="88"/>
      <c r="CBV105" s="88"/>
      <c r="CBW105" s="88"/>
      <c r="CBX105" s="88"/>
      <c r="CBY105" s="88"/>
      <c r="CBZ105" s="88"/>
      <c r="CCA105" s="88"/>
      <c r="CCB105" s="88"/>
      <c r="CCC105" s="88"/>
      <c r="CCD105" s="88"/>
      <c r="CCE105" s="88"/>
      <c r="CCF105" s="88"/>
      <c r="CCG105" s="88"/>
      <c r="CCH105" s="88"/>
      <c r="CCI105" s="88"/>
      <c r="CCJ105" s="88"/>
      <c r="CCK105" s="88"/>
      <c r="CCL105" s="88"/>
      <c r="CCM105" s="88"/>
      <c r="CCN105" s="88"/>
      <c r="CCO105" s="88"/>
      <c r="CCP105" s="88"/>
      <c r="CCQ105" s="88"/>
      <c r="CCR105" s="88"/>
      <c r="CCS105" s="88"/>
      <c r="CCT105" s="88"/>
      <c r="CCU105" s="88"/>
      <c r="CCV105" s="88"/>
      <c r="CCW105" s="88"/>
      <c r="CCX105" s="88"/>
      <c r="CCY105" s="88"/>
      <c r="CCZ105" s="88"/>
      <c r="CDA105" s="88"/>
      <c r="CDB105" s="88"/>
      <c r="CDC105" s="88"/>
      <c r="CDD105" s="88"/>
      <c r="CDE105" s="88"/>
      <c r="CDF105" s="88"/>
      <c r="CDG105" s="88"/>
      <c r="CDH105" s="88"/>
      <c r="CDI105" s="88"/>
      <c r="CDJ105" s="88"/>
      <c r="CDK105" s="88"/>
      <c r="CDL105" s="88"/>
      <c r="CDM105" s="88"/>
      <c r="CDN105" s="88"/>
      <c r="CDO105" s="88"/>
      <c r="CDP105" s="88"/>
      <c r="CDQ105" s="88"/>
      <c r="CDR105" s="88"/>
      <c r="CDS105" s="88"/>
      <c r="CDT105" s="88"/>
      <c r="CDU105" s="88"/>
      <c r="CDV105" s="88"/>
      <c r="CDW105" s="88"/>
      <c r="CDX105" s="88"/>
      <c r="CDY105" s="88"/>
      <c r="CDZ105" s="88"/>
      <c r="CEA105" s="88"/>
      <c r="CEB105" s="88"/>
      <c r="CEC105" s="88"/>
      <c r="CED105" s="88"/>
      <c r="CEE105" s="88"/>
      <c r="CEF105" s="88"/>
      <c r="CEG105" s="88"/>
      <c r="CEH105" s="88"/>
      <c r="CEI105" s="88"/>
      <c r="CEJ105" s="88"/>
      <c r="CEK105" s="88"/>
    </row>
    <row r="106" spans="1:2169" s="51" customFormat="1">
      <c r="A106" s="72" t="s">
        <v>4873</v>
      </c>
      <c r="B106" s="94" t="s">
        <v>4874</v>
      </c>
      <c r="C106" s="69" t="str">
        <f>IF('page 2'!$O$4="","",IF('page 2'!$O$4=Gestion!A106,1,0))</f>
        <v/>
      </c>
      <c r="D106" s="69" t="str">
        <f>IF('page 2'!$O$5="","",IF('page 2'!$O$5=Gestion!A106,1,0))</f>
        <v/>
      </c>
      <c r="E106" s="69" t="str">
        <f>IF('page 2'!$O$6="","",IF('page 2'!$O$6=Gestion!A106,1,0))</f>
        <v/>
      </c>
      <c r="F106" s="69" t="str">
        <f>IF('page 2'!$O$7="","",IF('page 2'!$O$7=Gestion!A106,1,0))</f>
        <v/>
      </c>
      <c r="G106" s="69" t="str">
        <f>IF('page 2'!$O$8="","",IF('page 2'!$O$8=Gestion!A106,1,0))</f>
        <v/>
      </c>
      <c r="H106" s="69" t="str">
        <f>IF('page 2'!$O$9="","",IF('page 2'!$O$9=Gestion!A106,1,0))</f>
        <v/>
      </c>
      <c r="I106" s="69" t="str">
        <f>IF('page 2'!$O$10="","",IF('page 2'!$O$10=Gestion!A106,1,0))</f>
        <v/>
      </c>
      <c r="J106" s="69" t="str">
        <f>IF('page 2'!$O$11="","",IF('page 2'!$O$11=Gestion!A106,1,0))</f>
        <v/>
      </c>
      <c r="K106" s="69" t="str">
        <f>IF('page 2'!$O$12="","",IF('page 2'!$O$12=Gestion!A106,1,0))</f>
        <v/>
      </c>
      <c r="L106" s="69" t="str">
        <f>IF('page 2'!$O$13="","",IF('page 2'!$O$13=Gestion!A106,1,0))</f>
        <v/>
      </c>
      <c r="M106" s="69" t="str">
        <f>IF('page 2'!$O$14="","",IF('page 2'!$O$14=Gestion!A106,1,0))</f>
        <v/>
      </c>
      <c r="N106" s="69" t="str">
        <f>IF('page 2'!$O$15="","",IF('page 2'!$O$15=Gestion!A106,1,0))</f>
        <v/>
      </c>
      <c r="O106" s="69" t="str">
        <f>IF('page 2'!$O$16="","",IF('page 2'!$O$16=Gestion!A106,1,0))</f>
        <v/>
      </c>
      <c r="P106" s="69" t="str">
        <f>IF('page 2'!$O$17="","",IF('page 2'!$O$17=Gestion!A106,1,0))</f>
        <v/>
      </c>
      <c r="Q106" s="69" t="str">
        <f>IF('page 2'!$O$18="","",IF('page 2'!$O$18=Gestion!A106,1,0))</f>
        <v/>
      </c>
      <c r="R106" s="69" t="str">
        <f>IF('page 2'!$O$19="","",IF('page 2'!$O$19=Gestion!A106,1,0))</f>
        <v/>
      </c>
      <c r="S106" s="69" t="str">
        <f>IF('page 2'!$O$20="","",IF('page 2'!$O$20=Gestion!A106,1,0))</f>
        <v/>
      </c>
      <c r="T106" s="69" t="str">
        <f>IF('page 2'!$O$25="","",IF('page 2'!$O$25=Gestion!A106,1,0))</f>
        <v/>
      </c>
      <c r="U106" s="69" t="str">
        <f>IF('page 2'!$O$26="","",IF('page 2'!$O$26=Gestion!A106,1,0))</f>
        <v/>
      </c>
      <c r="V106" s="69" t="str">
        <f>IF('page 2'!$O$27="","",IF('page 2'!$O$27=Gestion!A106,1,0))</f>
        <v/>
      </c>
      <c r="W106" s="723">
        <f t="shared" si="14"/>
        <v>0</v>
      </c>
      <c r="X106" s="713"/>
      <c r="Y106" s="69"/>
      <c r="Z106" s="69"/>
      <c r="AA106" s="69"/>
      <c r="AB106" s="711"/>
      <c r="AC106" s="711"/>
      <c r="AD106" s="711"/>
      <c r="AE106" s="88"/>
      <c r="AP106" s="130"/>
      <c r="AQ106" s="130"/>
      <c r="AR106" s="130"/>
      <c r="AS106" s="576"/>
      <c r="AT106" s="576"/>
      <c r="AU106" s="576"/>
      <c r="AV106" s="576"/>
      <c r="AW106" s="602"/>
      <c r="AX106" s="602"/>
      <c r="AY106" s="576"/>
      <c r="AZ106" s="576"/>
      <c r="BA106" s="576"/>
      <c r="BB106" s="576"/>
      <c r="BC106" s="576"/>
      <c r="BD106" s="602"/>
      <c r="BE106" s="602"/>
      <c r="BF106" s="602"/>
      <c r="BG106" s="602"/>
      <c r="BH106" s="602"/>
      <c r="BI106" s="602"/>
      <c r="BJ106" s="602"/>
      <c r="BK106" s="602"/>
      <c r="BL106" s="602"/>
      <c r="BM106" s="602"/>
      <c r="BN106" s="602"/>
      <c r="BO106" s="602"/>
      <c r="BP106" s="602"/>
      <c r="BQ106" s="602"/>
      <c r="BR106" s="602"/>
      <c r="BS106" s="576"/>
      <c r="BT106" s="576"/>
      <c r="BU106" s="576"/>
      <c r="BV106" s="576"/>
      <c r="BW106" s="602"/>
      <c r="BX106" s="602"/>
      <c r="BY106" s="602"/>
      <c r="BZ106" s="576"/>
      <c r="CA106" s="602"/>
      <c r="CB106" s="602"/>
      <c r="CC106" s="576"/>
      <c r="CD106" s="576"/>
      <c r="CE106" s="602"/>
      <c r="CF106" s="576"/>
      <c r="CG106" s="576"/>
      <c r="CH106" s="576"/>
      <c r="CI106" s="576"/>
      <c r="CJ106" s="576"/>
      <c r="CK106" s="602"/>
      <c r="CL106" s="602"/>
      <c r="CM106" s="576"/>
      <c r="CN106" s="602"/>
      <c r="CO106" s="602"/>
      <c r="CP106" s="602"/>
      <c r="CQ106" s="576"/>
      <c r="CR106" s="576"/>
      <c r="CS106" s="602"/>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c r="HF106" s="88"/>
      <c r="HG106" s="88"/>
      <c r="HH106" s="88"/>
      <c r="HI106" s="88"/>
      <c r="HJ106" s="88"/>
      <c r="HK106" s="88"/>
      <c r="HL106" s="88"/>
      <c r="HM106" s="88"/>
      <c r="HN106" s="88"/>
      <c r="HO106" s="88"/>
      <c r="HP106" s="88"/>
      <c r="HQ106" s="88"/>
      <c r="HR106" s="88"/>
      <c r="HS106" s="88"/>
      <c r="HT106" s="88"/>
      <c r="HU106" s="88"/>
      <c r="HV106" s="88"/>
      <c r="HW106" s="88"/>
      <c r="HX106" s="88"/>
      <c r="HY106" s="88"/>
      <c r="HZ106" s="88"/>
      <c r="IA106" s="88"/>
      <c r="IB106" s="88"/>
      <c r="IC106" s="88"/>
      <c r="ID106" s="88"/>
      <c r="IE106" s="88"/>
      <c r="IF106" s="88"/>
      <c r="IG106" s="88"/>
      <c r="IH106" s="88"/>
      <c r="II106" s="88"/>
      <c r="IJ106" s="88"/>
      <c r="IK106" s="88"/>
      <c r="IL106" s="88"/>
      <c r="IM106" s="88"/>
      <c r="IN106" s="88"/>
      <c r="IO106" s="88"/>
      <c r="IP106" s="88"/>
      <c r="IQ106" s="88"/>
      <c r="IR106" s="88"/>
      <c r="IS106" s="88"/>
      <c r="IT106" s="88"/>
      <c r="IU106" s="88"/>
      <c r="IV106" s="88"/>
      <c r="IW106" s="88"/>
      <c r="IX106" s="88"/>
      <c r="IY106" s="88"/>
      <c r="IZ106" s="88"/>
      <c r="JA106" s="88"/>
      <c r="JB106" s="88"/>
      <c r="JC106" s="88"/>
      <c r="JD106" s="88"/>
      <c r="JE106" s="88"/>
      <c r="JF106" s="88"/>
      <c r="JG106" s="88"/>
      <c r="JH106" s="88"/>
      <c r="JI106" s="88"/>
      <c r="JJ106" s="88"/>
      <c r="JK106" s="88"/>
      <c r="JL106" s="88"/>
      <c r="JM106" s="88"/>
      <c r="JN106" s="88"/>
      <c r="JO106" s="88"/>
      <c r="JP106" s="88"/>
      <c r="JQ106" s="88"/>
      <c r="JR106" s="88"/>
      <c r="JS106" s="88"/>
      <c r="JT106" s="88"/>
      <c r="JU106" s="88"/>
      <c r="JV106" s="88"/>
      <c r="JW106" s="88"/>
      <c r="JX106" s="88"/>
      <c r="JY106" s="88"/>
      <c r="JZ106" s="88"/>
      <c r="KA106" s="88"/>
      <c r="KB106" s="88"/>
      <c r="KC106" s="88"/>
      <c r="KD106" s="88"/>
      <c r="KE106" s="88"/>
      <c r="KF106" s="88"/>
      <c r="KG106" s="88"/>
      <c r="KH106" s="88"/>
      <c r="KI106" s="88"/>
      <c r="KJ106" s="88"/>
      <c r="KK106" s="88"/>
      <c r="KL106" s="88"/>
      <c r="KM106" s="88"/>
      <c r="KN106" s="88"/>
      <c r="KO106" s="88"/>
      <c r="KP106" s="88"/>
      <c r="KQ106" s="88"/>
      <c r="KR106" s="88"/>
      <c r="KS106" s="88"/>
      <c r="KT106" s="88"/>
      <c r="KU106" s="88"/>
      <c r="KV106" s="88"/>
      <c r="KW106" s="88"/>
      <c r="KX106" s="88"/>
      <c r="KY106" s="88"/>
      <c r="KZ106" s="88"/>
      <c r="LA106" s="88"/>
      <c r="LB106" s="88"/>
      <c r="LC106" s="88"/>
      <c r="LD106" s="88"/>
      <c r="LE106" s="88"/>
      <c r="LF106" s="88"/>
      <c r="LG106" s="88"/>
      <c r="LH106" s="88"/>
      <c r="LI106" s="88"/>
      <c r="LJ106" s="88"/>
      <c r="LK106" s="88"/>
      <c r="LL106" s="88"/>
      <c r="LM106" s="88"/>
      <c r="LN106" s="88"/>
      <c r="LO106" s="88"/>
      <c r="LP106" s="88"/>
      <c r="LQ106" s="88"/>
      <c r="LR106" s="88"/>
      <c r="LS106" s="88"/>
      <c r="LT106" s="88"/>
      <c r="LU106" s="88"/>
      <c r="LV106" s="88"/>
      <c r="LW106" s="88"/>
      <c r="LX106" s="88"/>
      <c r="LY106" s="88"/>
      <c r="LZ106" s="88"/>
      <c r="MA106" s="88"/>
      <c r="MB106" s="88"/>
      <c r="MC106" s="88"/>
      <c r="MD106" s="88"/>
      <c r="ME106" s="88"/>
      <c r="MF106" s="88"/>
      <c r="MG106" s="88"/>
      <c r="MH106" s="88"/>
      <c r="MI106" s="88"/>
      <c r="MJ106" s="88"/>
      <c r="MK106" s="88"/>
      <c r="ML106" s="88"/>
      <c r="MM106" s="88"/>
      <c r="MN106" s="88"/>
      <c r="MO106" s="88"/>
      <c r="MP106" s="88"/>
      <c r="MQ106" s="88"/>
      <c r="MR106" s="88"/>
      <c r="MS106" s="88"/>
      <c r="MT106" s="88"/>
      <c r="MU106" s="88"/>
      <c r="MV106" s="88"/>
      <c r="MW106" s="88"/>
      <c r="MX106" s="88"/>
      <c r="MY106" s="88"/>
      <c r="MZ106" s="88"/>
      <c r="NA106" s="88"/>
      <c r="NB106" s="88"/>
      <c r="NC106" s="88"/>
      <c r="ND106" s="88"/>
      <c r="NE106" s="88"/>
      <c r="NF106" s="88"/>
      <c r="NG106" s="88"/>
      <c r="NH106" s="88"/>
      <c r="NI106" s="88"/>
      <c r="NJ106" s="88"/>
      <c r="NK106" s="88"/>
      <c r="NL106" s="88"/>
      <c r="NM106" s="88"/>
      <c r="NN106" s="88"/>
      <c r="NO106" s="88"/>
      <c r="NP106" s="88"/>
      <c r="NQ106" s="88"/>
      <c r="NR106" s="88"/>
      <c r="NS106" s="88"/>
      <c r="NT106" s="88"/>
      <c r="NU106" s="88"/>
      <c r="NV106" s="88"/>
      <c r="NW106" s="88"/>
      <c r="NX106" s="88"/>
      <c r="NY106" s="88"/>
      <c r="NZ106" s="88"/>
      <c r="OA106" s="88"/>
      <c r="OB106" s="88"/>
      <c r="OC106" s="88"/>
      <c r="OD106" s="88"/>
      <c r="OE106" s="88"/>
      <c r="OF106" s="88"/>
      <c r="OG106" s="88"/>
      <c r="OH106" s="88"/>
      <c r="OI106" s="88"/>
      <c r="OJ106" s="88"/>
      <c r="OK106" s="88"/>
      <c r="OL106" s="88"/>
      <c r="OM106" s="88"/>
      <c r="ON106" s="88"/>
      <c r="OO106" s="88"/>
      <c r="OP106" s="88"/>
      <c r="OQ106" s="88"/>
      <c r="OR106" s="88"/>
      <c r="OS106" s="88"/>
      <c r="OT106" s="88"/>
      <c r="OU106" s="88"/>
      <c r="OV106" s="88"/>
      <c r="OW106" s="88"/>
      <c r="OX106" s="88"/>
      <c r="OY106" s="88"/>
      <c r="OZ106" s="88"/>
      <c r="PA106" s="88"/>
      <c r="PB106" s="88"/>
      <c r="PC106" s="88"/>
      <c r="PD106" s="88"/>
      <c r="PE106" s="88"/>
      <c r="PF106" s="88"/>
      <c r="PG106" s="88"/>
      <c r="PH106" s="88"/>
      <c r="PI106" s="88"/>
      <c r="PJ106" s="88"/>
      <c r="PK106" s="88"/>
      <c r="PL106" s="88"/>
      <c r="PM106" s="88"/>
      <c r="PN106" s="88"/>
      <c r="PO106" s="88"/>
      <c r="PP106" s="88"/>
      <c r="PQ106" s="88"/>
      <c r="PR106" s="88"/>
      <c r="PS106" s="88"/>
      <c r="PT106" s="88"/>
      <c r="PU106" s="88"/>
      <c r="PV106" s="88"/>
      <c r="PW106" s="88"/>
      <c r="PX106" s="88"/>
      <c r="PY106" s="88"/>
      <c r="PZ106" s="88"/>
      <c r="QA106" s="88"/>
      <c r="QB106" s="88"/>
      <c r="QC106" s="88"/>
      <c r="QD106" s="88"/>
      <c r="QE106" s="88"/>
      <c r="QF106" s="88"/>
      <c r="QG106" s="88"/>
      <c r="QH106" s="88"/>
      <c r="QI106" s="88"/>
      <c r="QJ106" s="88"/>
      <c r="QK106" s="88"/>
      <c r="QL106" s="88"/>
      <c r="QM106" s="88"/>
      <c r="QN106" s="88"/>
      <c r="QO106" s="88"/>
      <c r="QP106" s="88"/>
      <c r="QQ106" s="88"/>
      <c r="QR106" s="88"/>
      <c r="QS106" s="88"/>
      <c r="QT106" s="88"/>
      <c r="QU106" s="88"/>
      <c r="QV106" s="88"/>
      <c r="QW106" s="88"/>
      <c r="QX106" s="88"/>
      <c r="QY106" s="88"/>
      <c r="QZ106" s="88"/>
      <c r="RA106" s="88"/>
      <c r="RB106" s="88"/>
      <c r="RC106" s="88"/>
      <c r="RD106" s="88"/>
      <c r="RE106" s="88"/>
      <c r="RF106" s="88"/>
      <c r="RG106" s="88"/>
      <c r="RH106" s="88"/>
      <c r="RI106" s="88"/>
      <c r="RJ106" s="88"/>
      <c r="RK106" s="88"/>
      <c r="RL106" s="88"/>
      <c r="RM106" s="88"/>
      <c r="RN106" s="88"/>
      <c r="RO106" s="88"/>
      <c r="RP106" s="88"/>
      <c r="RQ106" s="88"/>
      <c r="RR106" s="88"/>
      <c r="RS106" s="88"/>
      <c r="RT106" s="88"/>
      <c r="RU106" s="88"/>
      <c r="RV106" s="88"/>
      <c r="RW106" s="88"/>
      <c r="RX106" s="88"/>
      <c r="RY106" s="88"/>
      <c r="RZ106" s="88"/>
      <c r="SA106" s="88"/>
      <c r="SB106" s="88"/>
      <c r="SC106" s="88"/>
      <c r="SD106" s="88"/>
      <c r="SE106" s="88"/>
      <c r="SF106" s="88"/>
      <c r="SG106" s="88"/>
      <c r="SH106" s="88"/>
      <c r="SI106" s="88"/>
      <c r="SJ106" s="88"/>
      <c r="SK106" s="88"/>
      <c r="SL106" s="88"/>
      <c r="SM106" s="88"/>
      <c r="SN106" s="88"/>
      <c r="SO106" s="88"/>
      <c r="SP106" s="88"/>
      <c r="SQ106" s="88"/>
      <c r="SR106" s="88"/>
      <c r="SS106" s="88"/>
      <c r="ST106" s="88"/>
      <c r="SU106" s="88"/>
      <c r="SV106" s="88"/>
      <c r="SW106" s="88"/>
      <c r="SX106" s="88"/>
      <c r="SY106" s="88"/>
      <c r="SZ106" s="88"/>
      <c r="TA106" s="88"/>
      <c r="TB106" s="88"/>
      <c r="TC106" s="88"/>
      <c r="TD106" s="88"/>
      <c r="TE106" s="88"/>
      <c r="TF106" s="88"/>
      <c r="TG106" s="88"/>
      <c r="TH106" s="88"/>
      <c r="TI106" s="88"/>
      <c r="TJ106" s="88"/>
      <c r="TK106" s="88"/>
      <c r="TL106" s="88"/>
      <c r="TM106" s="88"/>
      <c r="TN106" s="88"/>
      <c r="TO106" s="88"/>
      <c r="TP106" s="88"/>
      <c r="TQ106" s="88"/>
      <c r="TR106" s="88"/>
      <c r="TS106" s="88"/>
      <c r="TT106" s="88"/>
      <c r="TU106" s="88"/>
      <c r="TV106" s="88"/>
      <c r="TW106" s="88"/>
      <c r="TX106" s="88"/>
      <c r="TY106" s="88"/>
      <c r="TZ106" s="88"/>
      <c r="UA106" s="88"/>
      <c r="UB106" s="88"/>
      <c r="UC106" s="88"/>
      <c r="UD106" s="88"/>
      <c r="UE106" s="88"/>
      <c r="UF106" s="88"/>
      <c r="UG106" s="88"/>
      <c r="UH106" s="88"/>
      <c r="UI106" s="88"/>
      <c r="UJ106" s="88"/>
      <c r="UK106" s="88"/>
      <c r="UL106" s="88"/>
      <c r="UM106" s="88"/>
      <c r="UN106" s="88"/>
      <c r="UO106" s="88"/>
      <c r="UP106" s="88"/>
      <c r="UQ106" s="88"/>
      <c r="UR106" s="88"/>
      <c r="US106" s="88"/>
      <c r="UT106" s="88"/>
      <c r="UU106" s="88"/>
      <c r="UV106" s="88"/>
      <c r="UW106" s="88"/>
      <c r="UX106" s="88"/>
      <c r="UY106" s="88"/>
      <c r="UZ106" s="88"/>
      <c r="VA106" s="88"/>
      <c r="VB106" s="88"/>
      <c r="VC106" s="88"/>
      <c r="VD106" s="88"/>
      <c r="VE106" s="88"/>
      <c r="VF106" s="88"/>
      <c r="VG106" s="88"/>
      <c r="VH106" s="88"/>
      <c r="VI106" s="88"/>
      <c r="VJ106" s="88"/>
      <c r="VK106" s="88"/>
      <c r="VL106" s="88"/>
      <c r="VM106" s="88"/>
      <c r="VN106" s="88"/>
      <c r="VO106" s="88"/>
      <c r="VP106" s="88"/>
      <c r="VQ106" s="88"/>
      <c r="VR106" s="88"/>
      <c r="VS106" s="88"/>
      <c r="VT106" s="88"/>
      <c r="VU106" s="88"/>
      <c r="VV106" s="88"/>
      <c r="VW106" s="88"/>
      <c r="VX106" s="88"/>
      <c r="VY106" s="88"/>
      <c r="VZ106" s="88"/>
      <c r="WA106" s="88"/>
      <c r="WB106" s="88"/>
      <c r="WC106" s="88"/>
      <c r="WD106" s="88"/>
      <c r="WE106" s="88"/>
      <c r="WF106" s="88"/>
      <c r="WG106" s="88"/>
      <c r="WH106" s="88"/>
      <c r="WI106" s="88"/>
      <c r="WJ106" s="88"/>
      <c r="WK106" s="88"/>
      <c r="WL106" s="88"/>
      <c r="WM106" s="88"/>
      <c r="WN106" s="88"/>
      <c r="WO106" s="88"/>
      <c r="WP106" s="88"/>
      <c r="WQ106" s="88"/>
      <c r="WR106" s="88"/>
      <c r="WS106" s="88"/>
      <c r="WT106" s="88"/>
      <c r="WU106" s="88"/>
      <c r="WV106" s="88"/>
      <c r="WW106" s="88"/>
      <c r="WX106" s="88"/>
      <c r="WY106" s="88"/>
      <c r="WZ106" s="88"/>
      <c r="XA106" s="88"/>
      <c r="XB106" s="88"/>
      <c r="XC106" s="88"/>
      <c r="XD106" s="88"/>
      <c r="XE106" s="88"/>
      <c r="XF106" s="88"/>
      <c r="XG106" s="88"/>
      <c r="XH106" s="88"/>
      <c r="XI106" s="88"/>
      <c r="XJ106" s="88"/>
      <c r="XK106" s="88"/>
      <c r="XL106" s="88"/>
      <c r="XM106" s="88"/>
      <c r="XN106" s="88"/>
      <c r="XO106" s="88"/>
      <c r="XP106" s="88"/>
      <c r="XQ106" s="88"/>
      <c r="XR106" s="88"/>
      <c r="XS106" s="88"/>
      <c r="XT106" s="88"/>
      <c r="XU106" s="88"/>
      <c r="XV106" s="88"/>
      <c r="XW106" s="88"/>
      <c r="XX106" s="88"/>
      <c r="XY106" s="88"/>
      <c r="XZ106" s="88"/>
      <c r="YA106" s="88"/>
      <c r="YB106" s="88"/>
      <c r="YC106" s="88"/>
      <c r="YD106" s="88"/>
      <c r="YE106" s="88"/>
      <c r="YF106" s="88"/>
      <c r="YG106" s="88"/>
      <c r="YH106" s="88"/>
      <c r="YI106" s="88"/>
      <c r="YJ106" s="88"/>
      <c r="YK106" s="88"/>
      <c r="YL106" s="88"/>
      <c r="YM106" s="88"/>
      <c r="YN106" s="88"/>
      <c r="YO106" s="88"/>
      <c r="YP106" s="88"/>
      <c r="YQ106" s="88"/>
      <c r="YR106" s="88"/>
      <c r="YS106" s="88"/>
      <c r="YT106" s="88"/>
      <c r="YU106" s="88"/>
      <c r="YV106" s="88"/>
      <c r="YW106" s="88"/>
      <c r="YX106" s="88"/>
      <c r="YY106" s="88"/>
      <c r="YZ106" s="88"/>
      <c r="ZA106" s="88"/>
      <c r="ZB106" s="88"/>
      <c r="ZC106" s="88"/>
      <c r="ZD106" s="88"/>
      <c r="ZE106" s="88"/>
      <c r="ZF106" s="88"/>
      <c r="ZG106" s="88"/>
      <c r="ZH106" s="88"/>
      <c r="ZI106" s="88"/>
      <c r="ZJ106" s="88"/>
      <c r="ZK106" s="88"/>
      <c r="ZL106" s="88"/>
      <c r="ZM106" s="88"/>
      <c r="ZN106" s="88"/>
      <c r="ZO106" s="88"/>
      <c r="ZP106" s="88"/>
      <c r="ZQ106" s="88"/>
      <c r="ZR106" s="88"/>
      <c r="ZS106" s="88"/>
      <c r="ZT106" s="88"/>
      <c r="ZU106" s="88"/>
      <c r="ZV106" s="88"/>
      <c r="ZW106" s="88"/>
      <c r="ZX106" s="88"/>
      <c r="ZY106" s="88"/>
      <c r="ZZ106" s="88"/>
      <c r="AAA106" s="88"/>
      <c r="AAB106" s="88"/>
      <c r="AAC106" s="88"/>
      <c r="AAD106" s="88"/>
      <c r="AAE106" s="88"/>
      <c r="AAF106" s="88"/>
      <c r="AAG106" s="88"/>
      <c r="AAH106" s="88"/>
      <c r="AAI106" s="88"/>
      <c r="AAJ106" s="88"/>
      <c r="AAK106" s="88"/>
      <c r="AAL106" s="88"/>
      <c r="AAM106" s="88"/>
      <c r="AAN106" s="88"/>
      <c r="AAO106" s="88"/>
      <c r="AAP106" s="88"/>
      <c r="AAQ106" s="88"/>
      <c r="AAR106" s="88"/>
      <c r="AAS106" s="88"/>
      <c r="AAT106" s="88"/>
      <c r="AAU106" s="88"/>
      <c r="AAV106" s="88"/>
      <c r="AAW106" s="88"/>
      <c r="AAX106" s="88"/>
      <c r="AAY106" s="88"/>
      <c r="AAZ106" s="88"/>
      <c r="ABA106" s="88"/>
      <c r="ABB106" s="88"/>
      <c r="ABC106" s="88"/>
      <c r="ABD106" s="88"/>
      <c r="ABE106" s="88"/>
      <c r="ABF106" s="88"/>
      <c r="ABG106" s="88"/>
      <c r="ABH106" s="88"/>
      <c r="ABI106" s="88"/>
      <c r="ABJ106" s="88"/>
      <c r="ABK106" s="88"/>
      <c r="ABL106" s="88"/>
      <c r="ABM106" s="88"/>
      <c r="ABN106" s="88"/>
      <c r="ABO106" s="88"/>
      <c r="ABP106" s="88"/>
      <c r="ABQ106" s="88"/>
      <c r="ABR106" s="88"/>
      <c r="ABS106" s="88"/>
      <c r="ABT106" s="88"/>
      <c r="ABU106" s="88"/>
      <c r="ABV106" s="88"/>
      <c r="ABW106" s="88"/>
      <c r="ABX106" s="88"/>
      <c r="ABY106" s="88"/>
      <c r="ABZ106" s="88"/>
      <c r="ACA106" s="88"/>
      <c r="ACB106" s="88"/>
      <c r="ACC106" s="88"/>
      <c r="ACD106" s="88"/>
      <c r="ACE106" s="88"/>
      <c r="ACF106" s="88"/>
      <c r="ACG106" s="88"/>
      <c r="ACH106" s="88"/>
      <c r="ACI106" s="88"/>
      <c r="ACJ106" s="88"/>
      <c r="ACK106" s="88"/>
      <c r="ACL106" s="88"/>
      <c r="ACM106" s="88"/>
      <c r="ACN106" s="88"/>
      <c r="ACO106" s="88"/>
      <c r="ACP106" s="88"/>
      <c r="ACQ106" s="88"/>
      <c r="ACR106" s="88"/>
      <c r="ACS106" s="88"/>
      <c r="ACT106" s="88"/>
      <c r="ACU106" s="88"/>
      <c r="ACV106" s="88"/>
      <c r="ACW106" s="88"/>
      <c r="ACX106" s="88"/>
      <c r="ACY106" s="88"/>
      <c r="ACZ106" s="88"/>
      <c r="ADA106" s="88"/>
      <c r="ADB106" s="88"/>
      <c r="ADC106" s="88"/>
      <c r="ADD106" s="88"/>
      <c r="ADE106" s="88"/>
      <c r="ADF106" s="88"/>
      <c r="ADG106" s="88"/>
      <c r="ADH106" s="88"/>
      <c r="ADI106" s="88"/>
      <c r="ADJ106" s="88"/>
      <c r="ADK106" s="88"/>
      <c r="ADL106" s="88"/>
      <c r="ADM106" s="88"/>
      <c r="ADN106" s="88"/>
      <c r="ADO106" s="88"/>
      <c r="ADP106" s="88"/>
      <c r="ADQ106" s="88"/>
      <c r="ADR106" s="88"/>
      <c r="ADS106" s="88"/>
      <c r="ADT106" s="88"/>
      <c r="ADU106" s="88"/>
      <c r="ADV106" s="88"/>
      <c r="ADW106" s="88"/>
      <c r="ADX106" s="88"/>
      <c r="ADY106" s="88"/>
      <c r="ADZ106" s="88"/>
      <c r="AEA106" s="88"/>
      <c r="AEB106" s="88"/>
      <c r="AEC106" s="88"/>
      <c r="AED106" s="88"/>
      <c r="AEE106" s="88"/>
      <c r="AEF106" s="88"/>
      <c r="AEG106" s="88"/>
      <c r="AEH106" s="88"/>
      <c r="AEI106" s="88"/>
      <c r="AEJ106" s="88"/>
      <c r="AEK106" s="88"/>
      <c r="AEL106" s="88"/>
      <c r="AEM106" s="88"/>
      <c r="AEN106" s="88"/>
      <c r="AEO106" s="88"/>
      <c r="AEP106" s="88"/>
      <c r="AEQ106" s="88"/>
      <c r="AER106" s="88"/>
      <c r="AES106" s="88"/>
      <c r="AET106" s="88"/>
      <c r="AEU106" s="88"/>
      <c r="AEV106" s="88"/>
      <c r="AEW106" s="88"/>
      <c r="AEX106" s="88"/>
      <c r="AEY106" s="88"/>
      <c r="AEZ106" s="88"/>
      <c r="AFA106" s="88"/>
      <c r="AFB106" s="88"/>
      <c r="AFC106" s="88"/>
      <c r="AFD106" s="88"/>
      <c r="AFE106" s="88"/>
      <c r="AFF106" s="88"/>
      <c r="AFG106" s="88"/>
      <c r="AFH106" s="88"/>
      <c r="AFI106" s="88"/>
      <c r="AFJ106" s="88"/>
      <c r="AFK106" s="88"/>
      <c r="AFL106" s="88"/>
      <c r="AFM106" s="88"/>
      <c r="AFN106" s="88"/>
      <c r="AFO106" s="88"/>
      <c r="AFP106" s="88"/>
      <c r="AFQ106" s="88"/>
      <c r="AFR106" s="88"/>
      <c r="AFS106" s="88"/>
      <c r="AFT106" s="88"/>
      <c r="AFU106" s="88"/>
      <c r="AFV106" s="88"/>
      <c r="AFW106" s="88"/>
      <c r="AFX106" s="88"/>
      <c r="AFY106" s="88"/>
      <c r="AFZ106" s="88"/>
      <c r="AGA106" s="88"/>
      <c r="AGB106" s="88"/>
      <c r="AGC106" s="88"/>
      <c r="AGD106" s="88"/>
      <c r="AGE106" s="88"/>
      <c r="AGF106" s="88"/>
      <c r="AGG106" s="88"/>
      <c r="AGH106" s="88"/>
      <c r="AGI106" s="88"/>
      <c r="AGJ106" s="88"/>
      <c r="AGK106" s="88"/>
      <c r="AGL106" s="88"/>
      <c r="AGM106" s="88"/>
      <c r="AGN106" s="88"/>
      <c r="AGO106" s="88"/>
      <c r="AGP106" s="88"/>
      <c r="AGQ106" s="88"/>
      <c r="AGR106" s="88"/>
      <c r="AGS106" s="88"/>
      <c r="AGT106" s="88"/>
      <c r="AGU106" s="88"/>
      <c r="AGV106" s="88"/>
      <c r="AGW106" s="88"/>
      <c r="AGX106" s="88"/>
      <c r="AGY106" s="88"/>
      <c r="AGZ106" s="88"/>
      <c r="AHA106" s="88"/>
      <c r="AHB106" s="88"/>
      <c r="AHC106" s="88"/>
      <c r="AHD106" s="88"/>
      <c r="AHE106" s="88"/>
      <c r="AHF106" s="88"/>
      <c r="AHG106" s="88"/>
      <c r="AHH106" s="88"/>
      <c r="AHI106" s="88"/>
      <c r="AHJ106" s="88"/>
      <c r="AHK106" s="88"/>
      <c r="AHL106" s="88"/>
      <c r="AHM106" s="88"/>
      <c r="AHN106" s="88"/>
      <c r="AHO106" s="88"/>
      <c r="AHP106" s="88"/>
      <c r="AHQ106" s="88"/>
      <c r="AHR106" s="88"/>
      <c r="AHS106" s="88"/>
      <c r="AHT106" s="88"/>
      <c r="AHU106" s="88"/>
      <c r="AHV106" s="88"/>
      <c r="AHW106" s="88"/>
      <c r="AHX106" s="88"/>
      <c r="AHY106" s="88"/>
      <c r="AHZ106" s="88"/>
      <c r="AIA106" s="88"/>
      <c r="AIB106" s="88"/>
      <c r="AIC106" s="88"/>
      <c r="AID106" s="88"/>
      <c r="AIE106" s="88"/>
      <c r="AIF106" s="88"/>
      <c r="AIG106" s="88"/>
      <c r="AIH106" s="88"/>
      <c r="AII106" s="88"/>
      <c r="AIJ106" s="88"/>
      <c r="AIK106" s="88"/>
      <c r="AIL106" s="88"/>
      <c r="AIM106" s="88"/>
      <c r="AIN106" s="88"/>
      <c r="AIO106" s="88"/>
      <c r="AIP106" s="88"/>
      <c r="AIQ106" s="88"/>
      <c r="AIR106" s="88"/>
      <c r="AIS106" s="88"/>
      <c r="AIT106" s="88"/>
      <c r="AIU106" s="88"/>
      <c r="AIV106" s="88"/>
      <c r="AIW106" s="88"/>
      <c r="AIX106" s="88"/>
      <c r="AIY106" s="88"/>
      <c r="AIZ106" s="88"/>
      <c r="AJA106" s="88"/>
      <c r="AJB106" s="88"/>
      <c r="AJC106" s="88"/>
      <c r="AJD106" s="88"/>
      <c r="AJE106" s="88"/>
      <c r="AJF106" s="88"/>
      <c r="AJG106" s="88"/>
      <c r="AJH106" s="88"/>
      <c r="AJI106" s="88"/>
      <c r="AJJ106" s="88"/>
      <c r="AJK106" s="88"/>
      <c r="AJL106" s="88"/>
      <c r="AJM106" s="88"/>
      <c r="AJN106" s="88"/>
      <c r="AJO106" s="88"/>
      <c r="AJP106" s="88"/>
      <c r="AJQ106" s="88"/>
      <c r="AJR106" s="88"/>
      <c r="AJS106" s="88"/>
      <c r="AJT106" s="88"/>
      <c r="AJU106" s="88"/>
      <c r="AJV106" s="88"/>
      <c r="AJW106" s="88"/>
      <c r="AJX106" s="88"/>
      <c r="AJY106" s="88"/>
      <c r="AJZ106" s="88"/>
      <c r="AKA106" s="88"/>
      <c r="AKB106" s="88"/>
      <c r="AKC106" s="88"/>
      <c r="AKD106" s="88"/>
      <c r="AKE106" s="88"/>
      <c r="AKF106" s="88"/>
      <c r="AKG106" s="88"/>
      <c r="AKH106" s="88"/>
      <c r="AKI106" s="88"/>
      <c r="AKJ106" s="88"/>
      <c r="AKK106" s="88"/>
      <c r="AKL106" s="88"/>
      <c r="AKM106" s="88"/>
      <c r="AKN106" s="88"/>
      <c r="AKO106" s="88"/>
      <c r="AKP106" s="88"/>
      <c r="AKQ106" s="88"/>
      <c r="AKR106" s="88"/>
      <c r="AKS106" s="88"/>
      <c r="AKT106" s="88"/>
      <c r="AKU106" s="88"/>
      <c r="AKV106" s="88"/>
      <c r="AKW106" s="88"/>
      <c r="AKX106" s="88"/>
      <c r="AKY106" s="88"/>
      <c r="AKZ106" s="88"/>
      <c r="ALA106" s="88"/>
      <c r="ALB106" s="88"/>
      <c r="ALC106" s="88"/>
      <c r="ALD106" s="88"/>
      <c r="ALE106" s="88"/>
      <c r="ALF106" s="88"/>
      <c r="ALG106" s="88"/>
      <c r="ALH106" s="88"/>
      <c r="ALI106" s="88"/>
      <c r="ALJ106" s="88"/>
      <c r="ALK106" s="88"/>
      <c r="ALL106" s="88"/>
      <c r="ALM106" s="88"/>
      <c r="ALN106" s="88"/>
      <c r="ALO106" s="88"/>
      <c r="ALP106" s="88"/>
      <c r="ALQ106" s="88"/>
      <c r="ALR106" s="88"/>
      <c r="ALS106" s="88"/>
      <c r="ALT106" s="88"/>
      <c r="ALU106" s="88"/>
      <c r="ALV106" s="88"/>
      <c r="ALW106" s="88"/>
      <c r="ALX106" s="88"/>
      <c r="ALY106" s="88"/>
      <c r="ALZ106" s="88"/>
      <c r="AMA106" s="88"/>
      <c r="AMB106" s="88"/>
      <c r="AMC106" s="88"/>
      <c r="AMD106" s="88"/>
      <c r="AME106" s="88"/>
      <c r="AMF106" s="88"/>
      <c r="AMG106" s="88"/>
      <c r="AMH106" s="88"/>
      <c r="AMI106" s="88"/>
      <c r="AMJ106" s="88"/>
      <c r="AMK106" s="88"/>
      <c r="AML106" s="88"/>
      <c r="AMM106" s="88"/>
      <c r="AMN106" s="88"/>
      <c r="AMO106" s="88"/>
      <c r="AMP106" s="88"/>
      <c r="AMQ106" s="88"/>
      <c r="AMR106" s="88"/>
      <c r="AMS106" s="88"/>
      <c r="AMT106" s="88"/>
      <c r="AMU106" s="88"/>
      <c r="AMV106" s="88"/>
      <c r="AMW106" s="88"/>
      <c r="AMX106" s="88"/>
      <c r="AMY106" s="88"/>
      <c r="AMZ106" s="88"/>
      <c r="ANA106" s="88"/>
      <c r="ANB106" s="88"/>
      <c r="ANC106" s="88"/>
      <c r="AND106" s="88"/>
      <c r="ANE106" s="88"/>
      <c r="ANF106" s="88"/>
      <c r="ANG106" s="88"/>
      <c r="ANH106" s="88"/>
      <c r="ANI106" s="88"/>
      <c r="ANJ106" s="88"/>
      <c r="ANK106" s="88"/>
      <c r="ANL106" s="88"/>
      <c r="ANM106" s="88"/>
      <c r="ANN106" s="88"/>
      <c r="ANO106" s="88"/>
      <c r="ANP106" s="88"/>
      <c r="ANQ106" s="88"/>
      <c r="ANR106" s="88"/>
      <c r="ANS106" s="88"/>
      <c r="ANT106" s="88"/>
      <c r="ANU106" s="88"/>
      <c r="ANV106" s="88"/>
      <c r="ANW106" s="88"/>
      <c r="ANX106" s="88"/>
      <c r="ANY106" s="88"/>
      <c r="ANZ106" s="88"/>
      <c r="AOA106" s="88"/>
      <c r="AOB106" s="88"/>
      <c r="AOC106" s="88"/>
      <c r="AOD106" s="88"/>
      <c r="AOE106" s="88"/>
      <c r="AOF106" s="88"/>
      <c r="AOG106" s="88"/>
      <c r="AOH106" s="88"/>
      <c r="AOI106" s="88"/>
      <c r="AOJ106" s="88"/>
      <c r="AOK106" s="88"/>
      <c r="AOL106" s="88"/>
      <c r="AOM106" s="88"/>
      <c r="AON106" s="88"/>
      <c r="AOO106" s="88"/>
      <c r="AOP106" s="88"/>
      <c r="AOQ106" s="88"/>
      <c r="AOR106" s="88"/>
      <c r="AOS106" s="88"/>
      <c r="AOT106" s="88"/>
      <c r="AOU106" s="88"/>
      <c r="AOV106" s="88"/>
      <c r="AOW106" s="88"/>
      <c r="AOX106" s="88"/>
      <c r="AOY106" s="88"/>
      <c r="AOZ106" s="88"/>
      <c r="APA106" s="88"/>
      <c r="APB106" s="88"/>
      <c r="APC106" s="88"/>
      <c r="APD106" s="88"/>
      <c r="APE106" s="88"/>
      <c r="APF106" s="88"/>
      <c r="APG106" s="88"/>
      <c r="APH106" s="88"/>
      <c r="API106" s="88"/>
      <c r="APJ106" s="88"/>
      <c r="APK106" s="88"/>
      <c r="APL106" s="88"/>
      <c r="APM106" s="88"/>
      <c r="APN106" s="88"/>
      <c r="APO106" s="88"/>
      <c r="APP106" s="88"/>
      <c r="APQ106" s="88"/>
      <c r="APR106" s="88"/>
      <c r="APS106" s="88"/>
      <c r="APT106" s="88"/>
      <c r="APU106" s="88"/>
      <c r="APV106" s="88"/>
      <c r="APW106" s="88"/>
      <c r="APX106" s="88"/>
      <c r="APY106" s="88"/>
      <c r="APZ106" s="88"/>
      <c r="AQA106" s="88"/>
      <c r="AQB106" s="88"/>
      <c r="AQC106" s="88"/>
      <c r="AQD106" s="88"/>
      <c r="AQE106" s="88"/>
      <c r="AQF106" s="88"/>
      <c r="AQG106" s="88"/>
      <c r="AQH106" s="88"/>
      <c r="AQI106" s="88"/>
      <c r="AQJ106" s="88"/>
      <c r="AQK106" s="88"/>
      <c r="AQL106" s="88"/>
      <c r="AQM106" s="88"/>
      <c r="AQN106" s="88"/>
      <c r="AQO106" s="88"/>
      <c r="AQP106" s="88"/>
      <c r="AQQ106" s="88"/>
      <c r="AQR106" s="88"/>
      <c r="AQS106" s="88"/>
      <c r="AQT106" s="88"/>
      <c r="AQU106" s="88"/>
      <c r="AQV106" s="88"/>
      <c r="AQW106" s="88"/>
      <c r="AQX106" s="88"/>
      <c r="AQY106" s="88"/>
      <c r="AQZ106" s="88"/>
      <c r="ARA106" s="88"/>
      <c r="ARB106" s="88"/>
      <c r="ARC106" s="88"/>
      <c r="ARD106" s="88"/>
      <c r="ARE106" s="88"/>
      <c r="ARF106" s="88"/>
      <c r="ARG106" s="88"/>
      <c r="ARH106" s="88"/>
      <c r="ARI106" s="88"/>
      <c r="ARJ106" s="88"/>
      <c r="ARK106" s="88"/>
      <c r="ARL106" s="88"/>
      <c r="ARM106" s="88"/>
      <c r="ARN106" s="88"/>
      <c r="ARO106" s="88"/>
      <c r="ARP106" s="88"/>
      <c r="ARQ106" s="88"/>
      <c r="ARR106" s="88"/>
      <c r="ARS106" s="88"/>
      <c r="ART106" s="88"/>
      <c r="ARU106" s="88"/>
      <c r="ARV106" s="88"/>
      <c r="ARW106" s="88"/>
      <c r="ARX106" s="88"/>
      <c r="ARY106" s="88"/>
      <c r="ARZ106" s="88"/>
      <c r="ASA106" s="88"/>
      <c r="ASB106" s="88"/>
      <c r="ASC106" s="88"/>
      <c r="ASD106" s="88"/>
      <c r="ASE106" s="88"/>
      <c r="ASF106" s="88"/>
      <c r="ASG106" s="88"/>
      <c r="ASH106" s="88"/>
      <c r="ASI106" s="88"/>
      <c r="ASJ106" s="88"/>
      <c r="ASK106" s="88"/>
      <c r="ASL106" s="88"/>
      <c r="ASM106" s="88"/>
      <c r="ASN106" s="88"/>
      <c r="ASO106" s="88"/>
      <c r="ASP106" s="88"/>
      <c r="ASQ106" s="88"/>
      <c r="ASR106" s="88"/>
      <c r="ASS106" s="88"/>
      <c r="AST106" s="88"/>
      <c r="ASU106" s="88"/>
      <c r="ASV106" s="88"/>
      <c r="ASW106" s="88"/>
      <c r="ASX106" s="88"/>
      <c r="ASY106" s="88"/>
      <c r="ASZ106" s="88"/>
      <c r="ATA106" s="88"/>
      <c r="ATB106" s="88"/>
      <c r="ATC106" s="88"/>
      <c r="ATD106" s="88"/>
      <c r="ATE106" s="88"/>
      <c r="ATF106" s="88"/>
      <c r="ATG106" s="88"/>
      <c r="ATH106" s="88"/>
      <c r="ATI106" s="88"/>
      <c r="ATJ106" s="88"/>
      <c r="ATK106" s="88"/>
      <c r="ATL106" s="88"/>
      <c r="ATM106" s="88"/>
      <c r="ATN106" s="88"/>
      <c r="ATO106" s="88"/>
      <c r="ATP106" s="88"/>
      <c r="ATQ106" s="88"/>
      <c r="ATR106" s="88"/>
      <c r="ATS106" s="88"/>
      <c r="ATT106" s="88"/>
      <c r="ATU106" s="88"/>
      <c r="ATV106" s="88"/>
      <c r="ATW106" s="88"/>
      <c r="ATX106" s="88"/>
      <c r="ATY106" s="88"/>
      <c r="ATZ106" s="88"/>
      <c r="AUA106" s="88"/>
      <c r="AUB106" s="88"/>
      <c r="AUC106" s="88"/>
      <c r="AUD106" s="88"/>
      <c r="AUE106" s="88"/>
      <c r="AUF106" s="88"/>
      <c r="AUG106" s="88"/>
      <c r="AUH106" s="88"/>
      <c r="AUI106" s="88"/>
      <c r="AUJ106" s="88"/>
      <c r="AUK106" s="88"/>
      <c r="AUL106" s="88"/>
      <c r="AUM106" s="88"/>
      <c r="AUN106" s="88"/>
      <c r="AUO106" s="88"/>
      <c r="AUP106" s="88"/>
      <c r="AUQ106" s="88"/>
      <c r="AUR106" s="88"/>
      <c r="AUS106" s="88"/>
      <c r="AUT106" s="88"/>
      <c r="AUU106" s="88"/>
      <c r="AUV106" s="88"/>
      <c r="AUW106" s="88"/>
      <c r="AUX106" s="88"/>
      <c r="AUY106" s="88"/>
      <c r="AUZ106" s="88"/>
      <c r="AVA106" s="88"/>
      <c r="AVB106" s="88"/>
      <c r="AVC106" s="88"/>
      <c r="AVD106" s="88"/>
      <c r="AVE106" s="88"/>
      <c r="AVF106" s="88"/>
      <c r="AVG106" s="88"/>
      <c r="AVH106" s="88"/>
      <c r="AVI106" s="88"/>
      <c r="AVJ106" s="88"/>
      <c r="AVK106" s="88"/>
      <c r="AVL106" s="88"/>
      <c r="AVM106" s="88"/>
      <c r="AVN106" s="88"/>
      <c r="AVO106" s="88"/>
      <c r="AVP106" s="88"/>
      <c r="AVQ106" s="88"/>
      <c r="AVR106" s="88"/>
      <c r="AVS106" s="88"/>
      <c r="AVT106" s="88"/>
      <c r="AVU106" s="88"/>
      <c r="AVV106" s="88"/>
      <c r="AVW106" s="88"/>
      <c r="AVX106" s="88"/>
      <c r="AVY106" s="88"/>
      <c r="AVZ106" s="88"/>
      <c r="AWA106" s="88"/>
      <c r="AWB106" s="88"/>
      <c r="AWC106" s="88"/>
      <c r="AWD106" s="88"/>
      <c r="AWE106" s="88"/>
      <c r="AWF106" s="88"/>
      <c r="AWG106" s="88"/>
      <c r="AWH106" s="88"/>
      <c r="AWI106" s="88"/>
      <c r="AWJ106" s="88"/>
      <c r="AWK106" s="88"/>
      <c r="AWL106" s="88"/>
      <c r="AWM106" s="88"/>
      <c r="AWN106" s="88"/>
      <c r="AWO106" s="88"/>
      <c r="AWP106" s="88"/>
      <c r="AWQ106" s="88"/>
      <c r="AWR106" s="88"/>
      <c r="AWS106" s="88"/>
      <c r="AWT106" s="88"/>
      <c r="AWU106" s="88"/>
      <c r="AWV106" s="88"/>
      <c r="AWW106" s="88"/>
      <c r="AWX106" s="88"/>
      <c r="AWY106" s="88"/>
      <c r="AWZ106" s="88"/>
      <c r="AXA106" s="88"/>
      <c r="AXB106" s="88"/>
      <c r="AXC106" s="88"/>
      <c r="AXD106" s="88"/>
      <c r="AXE106" s="88"/>
      <c r="AXF106" s="88"/>
      <c r="AXG106" s="88"/>
      <c r="AXH106" s="88"/>
      <c r="AXI106" s="88"/>
      <c r="AXJ106" s="88"/>
      <c r="AXK106" s="88"/>
      <c r="AXL106" s="88"/>
      <c r="AXM106" s="88"/>
      <c r="AXN106" s="88"/>
      <c r="AXO106" s="88"/>
      <c r="AXP106" s="88"/>
      <c r="AXQ106" s="88"/>
      <c r="AXR106" s="88"/>
      <c r="AXS106" s="88"/>
      <c r="AXT106" s="88"/>
      <c r="AXU106" s="88"/>
      <c r="AXV106" s="88"/>
      <c r="AXW106" s="88"/>
      <c r="AXX106" s="88"/>
      <c r="AXY106" s="88"/>
      <c r="AXZ106" s="88"/>
      <c r="AYA106" s="88"/>
      <c r="AYB106" s="88"/>
      <c r="AYC106" s="88"/>
      <c r="AYD106" s="88"/>
      <c r="AYE106" s="88"/>
      <c r="AYF106" s="88"/>
      <c r="AYG106" s="88"/>
      <c r="AYH106" s="88"/>
      <c r="AYI106" s="88"/>
      <c r="AYJ106" s="88"/>
      <c r="AYK106" s="88"/>
      <c r="AYL106" s="88"/>
      <c r="AYM106" s="88"/>
      <c r="AYN106" s="88"/>
      <c r="AYO106" s="88"/>
      <c r="AYP106" s="88"/>
      <c r="AYQ106" s="88"/>
      <c r="AYR106" s="88"/>
      <c r="AYS106" s="88"/>
      <c r="AYT106" s="88"/>
      <c r="AYU106" s="88"/>
      <c r="AYV106" s="88"/>
      <c r="AYW106" s="88"/>
      <c r="AYX106" s="88"/>
      <c r="AYY106" s="88"/>
      <c r="AYZ106" s="88"/>
      <c r="AZA106" s="88"/>
      <c r="AZB106" s="88"/>
      <c r="AZC106" s="88"/>
      <c r="AZD106" s="88"/>
      <c r="AZE106" s="88"/>
      <c r="AZF106" s="88"/>
      <c r="AZG106" s="88"/>
      <c r="AZH106" s="88"/>
      <c r="AZI106" s="88"/>
      <c r="AZJ106" s="88"/>
      <c r="AZK106" s="88"/>
      <c r="AZL106" s="88"/>
      <c r="AZM106" s="88"/>
      <c r="AZN106" s="88"/>
      <c r="AZO106" s="88"/>
      <c r="AZP106" s="88"/>
      <c r="AZQ106" s="88"/>
      <c r="AZR106" s="88"/>
      <c r="AZS106" s="88"/>
      <c r="AZT106" s="88"/>
      <c r="AZU106" s="88"/>
      <c r="AZV106" s="88"/>
      <c r="AZW106" s="88"/>
      <c r="AZX106" s="88"/>
      <c r="AZY106" s="88"/>
      <c r="AZZ106" s="88"/>
      <c r="BAA106" s="88"/>
      <c r="BAB106" s="88"/>
      <c r="BAC106" s="88"/>
      <c r="BAD106" s="88"/>
      <c r="BAE106" s="88"/>
      <c r="BAF106" s="88"/>
      <c r="BAG106" s="88"/>
      <c r="BAH106" s="88"/>
      <c r="BAI106" s="88"/>
      <c r="BAJ106" s="88"/>
      <c r="BAK106" s="88"/>
      <c r="BAL106" s="88"/>
      <c r="BAM106" s="88"/>
      <c r="BAN106" s="88"/>
      <c r="BAO106" s="88"/>
      <c r="BAP106" s="88"/>
      <c r="BAQ106" s="88"/>
      <c r="BAR106" s="88"/>
      <c r="BAS106" s="88"/>
      <c r="BAT106" s="88"/>
      <c r="BAU106" s="88"/>
      <c r="BAV106" s="88"/>
      <c r="BAW106" s="88"/>
      <c r="BAX106" s="88"/>
      <c r="BAY106" s="88"/>
      <c r="BAZ106" s="88"/>
      <c r="BBA106" s="88"/>
      <c r="BBB106" s="88"/>
      <c r="BBC106" s="88"/>
      <c r="BBD106" s="88"/>
      <c r="BBE106" s="88"/>
      <c r="BBF106" s="88"/>
      <c r="BBG106" s="88"/>
      <c r="BBH106" s="88"/>
      <c r="BBI106" s="88"/>
      <c r="BBJ106" s="88"/>
      <c r="BBK106" s="88"/>
      <c r="BBL106" s="88"/>
      <c r="BBM106" s="88"/>
      <c r="BBN106" s="88"/>
      <c r="BBO106" s="88"/>
      <c r="BBP106" s="88"/>
      <c r="BBQ106" s="88"/>
      <c r="BBR106" s="88"/>
      <c r="BBS106" s="88"/>
      <c r="BBT106" s="88"/>
      <c r="BBU106" s="88"/>
      <c r="BBV106" s="88"/>
      <c r="BBW106" s="88"/>
      <c r="BBX106" s="88"/>
      <c r="BBY106" s="88"/>
      <c r="BBZ106" s="88"/>
      <c r="BCA106" s="88"/>
      <c r="BCB106" s="88"/>
      <c r="BCC106" s="88"/>
      <c r="BCD106" s="88"/>
      <c r="BCE106" s="88"/>
      <c r="BCF106" s="88"/>
      <c r="BCG106" s="88"/>
      <c r="BCH106" s="88"/>
      <c r="BCI106" s="88"/>
      <c r="BCJ106" s="88"/>
      <c r="BCK106" s="88"/>
      <c r="BCL106" s="88"/>
      <c r="BCM106" s="88"/>
      <c r="BCN106" s="88"/>
      <c r="BCO106" s="88"/>
      <c r="BCP106" s="88"/>
      <c r="BCQ106" s="88"/>
      <c r="BCR106" s="88"/>
      <c r="BCS106" s="88"/>
      <c r="BCT106" s="88"/>
      <c r="BCU106" s="88"/>
      <c r="BCV106" s="88"/>
      <c r="BCW106" s="88"/>
      <c r="BCX106" s="88"/>
      <c r="BCY106" s="88"/>
      <c r="BCZ106" s="88"/>
      <c r="BDA106" s="88"/>
      <c r="BDB106" s="88"/>
      <c r="BDC106" s="88"/>
      <c r="BDD106" s="88"/>
      <c r="BDE106" s="88"/>
      <c r="BDF106" s="88"/>
      <c r="BDG106" s="88"/>
      <c r="BDH106" s="88"/>
      <c r="BDI106" s="88"/>
      <c r="BDJ106" s="88"/>
      <c r="BDK106" s="88"/>
      <c r="BDL106" s="88"/>
      <c r="BDM106" s="88"/>
      <c r="BDN106" s="88"/>
      <c r="BDO106" s="88"/>
      <c r="BDP106" s="88"/>
      <c r="BDQ106" s="88"/>
      <c r="BDR106" s="88"/>
      <c r="BDS106" s="88"/>
      <c r="BDT106" s="88"/>
      <c r="BDU106" s="88"/>
      <c r="BDV106" s="88"/>
      <c r="BDW106" s="88"/>
      <c r="BDX106" s="88"/>
      <c r="BDY106" s="88"/>
      <c r="BDZ106" s="88"/>
      <c r="BEA106" s="88"/>
      <c r="BEB106" s="88"/>
      <c r="BEC106" s="88"/>
      <c r="BED106" s="88"/>
      <c r="BEE106" s="88"/>
      <c r="BEF106" s="88"/>
      <c r="BEG106" s="88"/>
      <c r="BEH106" s="88"/>
      <c r="BEI106" s="88"/>
      <c r="BEJ106" s="88"/>
      <c r="BEK106" s="88"/>
      <c r="BEL106" s="88"/>
      <c r="BEM106" s="88"/>
      <c r="BEN106" s="88"/>
      <c r="BEO106" s="88"/>
      <c r="BEP106" s="88"/>
      <c r="BEQ106" s="88"/>
      <c r="BER106" s="88"/>
      <c r="BES106" s="88"/>
      <c r="BET106" s="88"/>
      <c r="BEU106" s="88"/>
      <c r="BEV106" s="88"/>
      <c r="BEW106" s="88"/>
      <c r="BEX106" s="88"/>
      <c r="BEY106" s="88"/>
      <c r="BEZ106" s="88"/>
      <c r="BFA106" s="88"/>
      <c r="BFB106" s="88"/>
      <c r="BFC106" s="88"/>
      <c r="BFD106" s="88"/>
      <c r="BFE106" s="88"/>
      <c r="BFF106" s="88"/>
      <c r="BFG106" s="88"/>
      <c r="BFH106" s="88"/>
      <c r="BFI106" s="88"/>
      <c r="BFJ106" s="88"/>
      <c r="BFK106" s="88"/>
      <c r="BFL106" s="88"/>
      <c r="BFM106" s="88"/>
      <c r="BFN106" s="88"/>
      <c r="BFO106" s="88"/>
      <c r="BFP106" s="88"/>
      <c r="BFQ106" s="88"/>
      <c r="BFR106" s="88"/>
      <c r="BFS106" s="88"/>
      <c r="BFT106" s="88"/>
      <c r="BFU106" s="88"/>
      <c r="BFV106" s="88"/>
      <c r="BFW106" s="88"/>
      <c r="BFX106" s="88"/>
      <c r="BFY106" s="88"/>
      <c r="BFZ106" s="88"/>
      <c r="BGA106" s="88"/>
      <c r="BGB106" s="88"/>
      <c r="BGC106" s="88"/>
      <c r="BGD106" s="88"/>
      <c r="BGE106" s="88"/>
      <c r="BGF106" s="88"/>
      <c r="BGG106" s="88"/>
      <c r="BGH106" s="88"/>
      <c r="BGI106" s="88"/>
      <c r="BGJ106" s="88"/>
      <c r="BGK106" s="88"/>
      <c r="BGL106" s="88"/>
      <c r="BGM106" s="88"/>
      <c r="BGN106" s="88"/>
      <c r="BGO106" s="88"/>
      <c r="BGP106" s="88"/>
      <c r="BGQ106" s="88"/>
      <c r="BGR106" s="88"/>
      <c r="BGS106" s="88"/>
      <c r="BGT106" s="88"/>
      <c r="BGU106" s="88"/>
      <c r="BGV106" s="88"/>
      <c r="BGW106" s="88"/>
      <c r="BGX106" s="88"/>
      <c r="BGY106" s="88"/>
      <c r="BGZ106" s="88"/>
      <c r="BHA106" s="88"/>
      <c r="BHB106" s="88"/>
      <c r="BHC106" s="88"/>
      <c r="BHD106" s="88"/>
      <c r="BHE106" s="88"/>
      <c r="BHF106" s="88"/>
      <c r="BHG106" s="88"/>
      <c r="BHH106" s="88"/>
      <c r="BHI106" s="88"/>
      <c r="BHJ106" s="88"/>
      <c r="BHK106" s="88"/>
      <c r="BHL106" s="88"/>
      <c r="BHM106" s="88"/>
      <c r="BHN106" s="88"/>
      <c r="BHO106" s="88"/>
      <c r="BHP106" s="88"/>
      <c r="BHQ106" s="88"/>
      <c r="BHR106" s="88"/>
      <c r="BHS106" s="88"/>
      <c r="BHT106" s="88"/>
      <c r="BHU106" s="88"/>
      <c r="BHV106" s="88"/>
      <c r="BHW106" s="88"/>
      <c r="BHX106" s="88"/>
      <c r="BHY106" s="88"/>
      <c r="BHZ106" s="88"/>
      <c r="BIA106" s="88"/>
      <c r="BIB106" s="88"/>
      <c r="BIC106" s="88"/>
      <c r="BID106" s="88"/>
      <c r="BIE106" s="88"/>
      <c r="BIF106" s="88"/>
      <c r="BIG106" s="88"/>
      <c r="BIH106" s="88"/>
      <c r="BII106" s="88"/>
      <c r="BIJ106" s="88"/>
      <c r="BIK106" s="88"/>
      <c r="BIL106" s="88"/>
      <c r="BIM106" s="88"/>
      <c r="BIN106" s="88"/>
      <c r="BIO106" s="88"/>
      <c r="BIP106" s="88"/>
      <c r="BIQ106" s="88"/>
      <c r="BIR106" s="88"/>
      <c r="BIS106" s="88"/>
      <c r="BIT106" s="88"/>
      <c r="BIU106" s="88"/>
      <c r="BIV106" s="88"/>
      <c r="BIW106" s="88"/>
      <c r="BIX106" s="88"/>
      <c r="BIY106" s="88"/>
      <c r="BIZ106" s="88"/>
      <c r="BJA106" s="88"/>
      <c r="BJB106" s="88"/>
      <c r="BJC106" s="88"/>
      <c r="BJD106" s="88"/>
      <c r="BJE106" s="88"/>
      <c r="BJF106" s="88"/>
      <c r="BJG106" s="88"/>
      <c r="BJH106" s="88"/>
      <c r="BJI106" s="88"/>
      <c r="BJJ106" s="88"/>
      <c r="BJK106" s="88"/>
      <c r="BJL106" s="88"/>
      <c r="BJM106" s="88"/>
      <c r="BJN106" s="88"/>
      <c r="BJO106" s="88"/>
      <c r="BJP106" s="88"/>
      <c r="BJQ106" s="88"/>
      <c r="BJR106" s="88"/>
      <c r="BJS106" s="88"/>
      <c r="BJT106" s="88"/>
      <c r="BJU106" s="88"/>
      <c r="BJV106" s="88"/>
      <c r="BJW106" s="88"/>
      <c r="BJX106" s="88"/>
      <c r="BJY106" s="88"/>
      <c r="BJZ106" s="88"/>
      <c r="BKA106" s="88"/>
      <c r="BKB106" s="88"/>
      <c r="BKC106" s="88"/>
      <c r="BKD106" s="88"/>
      <c r="BKE106" s="88"/>
      <c r="BKF106" s="88"/>
      <c r="BKG106" s="88"/>
      <c r="BKH106" s="88"/>
      <c r="BKI106" s="88"/>
      <c r="BKJ106" s="88"/>
      <c r="BKK106" s="88"/>
      <c r="BKL106" s="88"/>
      <c r="BKM106" s="88"/>
      <c r="BKN106" s="88"/>
      <c r="BKO106" s="88"/>
      <c r="BKP106" s="88"/>
      <c r="BKQ106" s="88"/>
      <c r="BKR106" s="88"/>
      <c r="BKS106" s="88"/>
      <c r="BKT106" s="88"/>
      <c r="BKU106" s="88"/>
      <c r="BKV106" s="88"/>
      <c r="BKW106" s="88"/>
      <c r="BKX106" s="88"/>
      <c r="BKY106" s="88"/>
      <c r="BKZ106" s="88"/>
      <c r="BLA106" s="88"/>
      <c r="BLB106" s="88"/>
      <c r="BLC106" s="88"/>
      <c r="BLD106" s="88"/>
      <c r="BLE106" s="88"/>
      <c r="BLF106" s="88"/>
      <c r="BLG106" s="88"/>
      <c r="BLH106" s="88"/>
      <c r="BLI106" s="88"/>
      <c r="BLJ106" s="88"/>
      <c r="BLK106" s="88"/>
      <c r="BLL106" s="88"/>
      <c r="BLM106" s="88"/>
      <c r="BLN106" s="88"/>
      <c r="BLO106" s="88"/>
      <c r="BLP106" s="88"/>
      <c r="BLQ106" s="88"/>
      <c r="BLR106" s="88"/>
      <c r="BLS106" s="88"/>
      <c r="BLT106" s="88"/>
      <c r="BLU106" s="88"/>
      <c r="BLV106" s="88"/>
      <c r="BLW106" s="88"/>
      <c r="BLX106" s="88"/>
      <c r="BLY106" s="88"/>
      <c r="BLZ106" s="88"/>
      <c r="BMA106" s="88"/>
      <c r="BMB106" s="88"/>
      <c r="BMC106" s="88"/>
      <c r="BMD106" s="88"/>
      <c r="BME106" s="88"/>
      <c r="BMF106" s="88"/>
      <c r="BMG106" s="88"/>
      <c r="BMH106" s="88"/>
      <c r="BMI106" s="88"/>
      <c r="BMJ106" s="88"/>
      <c r="BMK106" s="88"/>
      <c r="BML106" s="88"/>
      <c r="BMM106" s="88"/>
      <c r="BMN106" s="88"/>
      <c r="BMO106" s="88"/>
      <c r="BMP106" s="88"/>
      <c r="BMQ106" s="88"/>
      <c r="BMR106" s="88"/>
      <c r="BMS106" s="88"/>
      <c r="BMT106" s="88"/>
      <c r="BMU106" s="88"/>
      <c r="BMV106" s="88"/>
      <c r="BMW106" s="88"/>
      <c r="BMX106" s="88"/>
      <c r="BMY106" s="88"/>
      <c r="BMZ106" s="88"/>
      <c r="BNA106" s="88"/>
      <c r="BNB106" s="88"/>
      <c r="BNC106" s="88"/>
      <c r="BND106" s="88"/>
      <c r="BNE106" s="88"/>
      <c r="BNF106" s="88"/>
      <c r="BNG106" s="88"/>
      <c r="BNH106" s="88"/>
      <c r="BNI106" s="88"/>
      <c r="BNJ106" s="88"/>
      <c r="BNK106" s="88"/>
      <c r="BNL106" s="88"/>
      <c r="BNM106" s="88"/>
      <c r="BNN106" s="88"/>
      <c r="BNO106" s="88"/>
      <c r="BNP106" s="88"/>
      <c r="BNQ106" s="88"/>
      <c r="BNR106" s="88"/>
      <c r="BNS106" s="88"/>
      <c r="BNT106" s="88"/>
      <c r="BNU106" s="88"/>
      <c r="BNV106" s="88"/>
      <c r="BNW106" s="88"/>
      <c r="BNX106" s="88"/>
      <c r="BNY106" s="88"/>
      <c r="BNZ106" s="88"/>
      <c r="BOA106" s="88"/>
      <c r="BOB106" s="88"/>
      <c r="BOC106" s="88"/>
      <c r="BOD106" s="88"/>
      <c r="BOE106" s="88"/>
      <c r="BOF106" s="88"/>
      <c r="BOG106" s="88"/>
      <c r="BOH106" s="88"/>
      <c r="BOI106" s="88"/>
      <c r="BOJ106" s="88"/>
      <c r="BOK106" s="88"/>
      <c r="BOL106" s="88"/>
      <c r="BOM106" s="88"/>
      <c r="BON106" s="88"/>
      <c r="BOO106" s="88"/>
      <c r="BOP106" s="88"/>
      <c r="BOQ106" s="88"/>
      <c r="BOR106" s="88"/>
      <c r="BOS106" s="88"/>
      <c r="BOT106" s="88"/>
      <c r="BOU106" s="88"/>
      <c r="BOV106" s="88"/>
      <c r="BOW106" s="88"/>
      <c r="BOX106" s="88"/>
      <c r="BOY106" s="88"/>
      <c r="BOZ106" s="88"/>
      <c r="BPA106" s="88"/>
      <c r="BPB106" s="88"/>
      <c r="BPC106" s="88"/>
      <c r="BPD106" s="88"/>
      <c r="BPE106" s="88"/>
      <c r="BPF106" s="88"/>
      <c r="BPG106" s="88"/>
      <c r="BPH106" s="88"/>
      <c r="BPI106" s="88"/>
      <c r="BPJ106" s="88"/>
      <c r="BPK106" s="88"/>
      <c r="BPL106" s="88"/>
      <c r="BPM106" s="88"/>
      <c r="BPN106" s="88"/>
      <c r="BPO106" s="88"/>
      <c r="BPP106" s="88"/>
      <c r="BPQ106" s="88"/>
      <c r="BPR106" s="88"/>
      <c r="BPS106" s="88"/>
      <c r="BPT106" s="88"/>
      <c r="BPU106" s="88"/>
      <c r="BPV106" s="88"/>
      <c r="BPW106" s="88"/>
      <c r="BPX106" s="88"/>
      <c r="BPY106" s="88"/>
      <c r="BPZ106" s="88"/>
      <c r="BQA106" s="88"/>
      <c r="BQB106" s="88"/>
      <c r="BQC106" s="88"/>
      <c r="BQD106" s="88"/>
      <c r="BQE106" s="88"/>
      <c r="BQF106" s="88"/>
      <c r="BQG106" s="88"/>
      <c r="BQH106" s="88"/>
      <c r="BQI106" s="88"/>
      <c r="BQJ106" s="88"/>
      <c r="BQK106" s="88"/>
      <c r="BQL106" s="88"/>
      <c r="BQM106" s="88"/>
      <c r="BQN106" s="88"/>
      <c r="BQO106" s="88"/>
      <c r="BQP106" s="88"/>
      <c r="BQQ106" s="88"/>
      <c r="BQR106" s="88"/>
      <c r="BQS106" s="88"/>
      <c r="BQT106" s="88"/>
      <c r="BQU106" s="88"/>
      <c r="BQV106" s="88"/>
      <c r="BQW106" s="88"/>
      <c r="BQX106" s="88"/>
      <c r="BQY106" s="88"/>
      <c r="BQZ106" s="88"/>
      <c r="BRA106" s="88"/>
      <c r="BRB106" s="88"/>
      <c r="BRC106" s="88"/>
      <c r="BRD106" s="88"/>
      <c r="BRE106" s="88"/>
      <c r="BRF106" s="88"/>
      <c r="BRG106" s="88"/>
      <c r="BRH106" s="88"/>
      <c r="BRI106" s="88"/>
      <c r="BRJ106" s="88"/>
      <c r="BRK106" s="88"/>
      <c r="BRL106" s="88"/>
      <c r="BRM106" s="88"/>
      <c r="BRN106" s="88"/>
      <c r="BRO106" s="88"/>
      <c r="BRP106" s="88"/>
      <c r="BRQ106" s="88"/>
      <c r="BRR106" s="88"/>
      <c r="BRS106" s="88"/>
      <c r="BRT106" s="88"/>
      <c r="BRU106" s="88"/>
      <c r="BRV106" s="88"/>
      <c r="BRW106" s="88"/>
      <c r="BRX106" s="88"/>
      <c r="BRY106" s="88"/>
      <c r="BRZ106" s="88"/>
      <c r="BSA106" s="88"/>
      <c r="BSB106" s="88"/>
      <c r="BSC106" s="88"/>
      <c r="BSD106" s="88"/>
      <c r="BSE106" s="88"/>
      <c r="BSF106" s="88"/>
      <c r="BSG106" s="88"/>
      <c r="BSH106" s="88"/>
      <c r="BSI106" s="88"/>
      <c r="BSJ106" s="88"/>
      <c r="BSK106" s="88"/>
      <c r="BSL106" s="88"/>
      <c r="BSM106" s="88"/>
      <c r="BSN106" s="88"/>
      <c r="BSO106" s="88"/>
      <c r="BSP106" s="88"/>
      <c r="BSQ106" s="88"/>
      <c r="BSR106" s="88"/>
      <c r="BSS106" s="88"/>
      <c r="BST106" s="88"/>
      <c r="BSU106" s="88"/>
      <c r="BSV106" s="88"/>
      <c r="BSW106" s="88"/>
      <c r="BSX106" s="88"/>
      <c r="BSY106" s="88"/>
      <c r="BSZ106" s="88"/>
      <c r="BTA106" s="88"/>
      <c r="BTB106" s="88"/>
      <c r="BTC106" s="88"/>
      <c r="BTD106" s="88"/>
      <c r="BTE106" s="88"/>
      <c r="BTF106" s="88"/>
      <c r="BTG106" s="88"/>
      <c r="BTH106" s="88"/>
      <c r="BTI106" s="88"/>
      <c r="BTJ106" s="88"/>
      <c r="BTK106" s="88"/>
      <c r="BTL106" s="88"/>
      <c r="BTM106" s="88"/>
      <c r="BTN106" s="88"/>
      <c r="BTO106" s="88"/>
      <c r="BTP106" s="88"/>
      <c r="BTQ106" s="88"/>
      <c r="BTR106" s="88"/>
      <c r="BTS106" s="88"/>
      <c r="BTT106" s="88"/>
      <c r="BTU106" s="88"/>
      <c r="BTV106" s="88"/>
      <c r="BTW106" s="88"/>
      <c r="BTX106" s="88"/>
      <c r="BTY106" s="88"/>
      <c r="BTZ106" s="88"/>
      <c r="BUA106" s="88"/>
      <c r="BUB106" s="88"/>
      <c r="BUC106" s="88"/>
      <c r="BUD106" s="88"/>
      <c r="BUE106" s="88"/>
      <c r="BUF106" s="88"/>
      <c r="BUG106" s="88"/>
      <c r="BUH106" s="88"/>
      <c r="BUI106" s="88"/>
      <c r="BUJ106" s="88"/>
      <c r="BUK106" s="88"/>
      <c r="BUL106" s="88"/>
      <c r="BUM106" s="88"/>
      <c r="BUN106" s="88"/>
      <c r="BUO106" s="88"/>
      <c r="BUP106" s="88"/>
      <c r="BUQ106" s="88"/>
      <c r="BUR106" s="88"/>
      <c r="BUS106" s="88"/>
      <c r="BUT106" s="88"/>
      <c r="BUU106" s="88"/>
      <c r="BUV106" s="88"/>
      <c r="BUW106" s="88"/>
      <c r="BUX106" s="88"/>
      <c r="BUY106" s="88"/>
      <c r="BUZ106" s="88"/>
      <c r="BVA106" s="88"/>
      <c r="BVB106" s="88"/>
      <c r="BVC106" s="88"/>
      <c r="BVD106" s="88"/>
      <c r="BVE106" s="88"/>
      <c r="BVF106" s="88"/>
      <c r="BVG106" s="88"/>
      <c r="BVH106" s="88"/>
      <c r="BVI106" s="88"/>
      <c r="BVJ106" s="88"/>
      <c r="BVK106" s="88"/>
      <c r="BVL106" s="88"/>
      <c r="BVM106" s="88"/>
      <c r="BVN106" s="88"/>
      <c r="BVO106" s="88"/>
      <c r="BVP106" s="88"/>
      <c r="BVQ106" s="88"/>
      <c r="BVR106" s="88"/>
      <c r="BVS106" s="88"/>
      <c r="BVT106" s="88"/>
      <c r="BVU106" s="88"/>
      <c r="BVV106" s="88"/>
      <c r="BVW106" s="88"/>
      <c r="BVX106" s="88"/>
      <c r="BVY106" s="88"/>
      <c r="BVZ106" s="88"/>
      <c r="BWA106" s="88"/>
      <c r="BWB106" s="88"/>
      <c r="BWC106" s="88"/>
      <c r="BWD106" s="88"/>
      <c r="BWE106" s="88"/>
      <c r="BWF106" s="88"/>
      <c r="BWG106" s="88"/>
      <c r="BWH106" s="88"/>
      <c r="BWI106" s="88"/>
      <c r="BWJ106" s="88"/>
      <c r="BWK106" s="88"/>
      <c r="BWL106" s="88"/>
      <c r="BWM106" s="88"/>
      <c r="BWN106" s="88"/>
      <c r="BWO106" s="88"/>
      <c r="BWP106" s="88"/>
      <c r="BWQ106" s="88"/>
      <c r="BWR106" s="88"/>
      <c r="BWS106" s="88"/>
      <c r="BWT106" s="88"/>
      <c r="BWU106" s="88"/>
      <c r="BWV106" s="88"/>
      <c r="BWW106" s="88"/>
      <c r="BWX106" s="88"/>
      <c r="BWY106" s="88"/>
      <c r="BWZ106" s="88"/>
      <c r="BXA106" s="88"/>
      <c r="BXB106" s="88"/>
      <c r="BXC106" s="88"/>
      <c r="BXD106" s="88"/>
      <c r="BXE106" s="88"/>
      <c r="BXF106" s="88"/>
      <c r="BXG106" s="88"/>
      <c r="BXH106" s="88"/>
      <c r="BXI106" s="88"/>
      <c r="BXJ106" s="88"/>
      <c r="BXK106" s="88"/>
      <c r="BXL106" s="88"/>
      <c r="BXM106" s="88"/>
      <c r="BXN106" s="88"/>
      <c r="BXO106" s="88"/>
      <c r="BXP106" s="88"/>
      <c r="BXQ106" s="88"/>
      <c r="BXR106" s="88"/>
      <c r="BXS106" s="88"/>
      <c r="BXT106" s="88"/>
      <c r="BXU106" s="88"/>
      <c r="BXV106" s="88"/>
      <c r="BXW106" s="88"/>
      <c r="BXX106" s="88"/>
      <c r="BXY106" s="88"/>
      <c r="BXZ106" s="88"/>
      <c r="BYA106" s="88"/>
      <c r="BYB106" s="88"/>
      <c r="BYC106" s="88"/>
      <c r="BYD106" s="88"/>
      <c r="BYE106" s="88"/>
      <c r="BYF106" s="88"/>
      <c r="BYG106" s="88"/>
      <c r="BYH106" s="88"/>
      <c r="BYI106" s="88"/>
      <c r="BYJ106" s="88"/>
      <c r="BYK106" s="88"/>
      <c r="BYL106" s="88"/>
      <c r="BYM106" s="88"/>
      <c r="BYN106" s="88"/>
      <c r="BYO106" s="88"/>
      <c r="BYP106" s="88"/>
      <c r="BYQ106" s="88"/>
      <c r="BYR106" s="88"/>
      <c r="BYS106" s="88"/>
      <c r="BYT106" s="88"/>
      <c r="BYU106" s="88"/>
      <c r="BYV106" s="88"/>
      <c r="BYW106" s="88"/>
      <c r="BYX106" s="88"/>
      <c r="BYY106" s="88"/>
      <c r="BYZ106" s="88"/>
      <c r="BZA106" s="88"/>
      <c r="BZB106" s="88"/>
      <c r="BZC106" s="88"/>
      <c r="BZD106" s="88"/>
      <c r="BZE106" s="88"/>
      <c r="BZF106" s="88"/>
      <c r="BZG106" s="88"/>
      <c r="BZH106" s="88"/>
      <c r="BZI106" s="88"/>
      <c r="BZJ106" s="88"/>
      <c r="BZK106" s="88"/>
      <c r="BZL106" s="88"/>
      <c r="BZM106" s="88"/>
      <c r="BZN106" s="88"/>
      <c r="BZO106" s="88"/>
      <c r="BZP106" s="88"/>
      <c r="BZQ106" s="88"/>
      <c r="BZR106" s="88"/>
      <c r="BZS106" s="88"/>
      <c r="BZT106" s="88"/>
      <c r="BZU106" s="88"/>
      <c r="BZV106" s="88"/>
      <c r="BZW106" s="88"/>
      <c r="BZX106" s="88"/>
      <c r="BZY106" s="88"/>
      <c r="BZZ106" s="88"/>
      <c r="CAA106" s="88"/>
      <c r="CAB106" s="88"/>
      <c r="CAC106" s="88"/>
      <c r="CAD106" s="88"/>
      <c r="CAE106" s="88"/>
      <c r="CAF106" s="88"/>
      <c r="CAG106" s="88"/>
      <c r="CAH106" s="88"/>
      <c r="CAI106" s="88"/>
      <c r="CAJ106" s="88"/>
      <c r="CAK106" s="88"/>
      <c r="CAL106" s="88"/>
      <c r="CAM106" s="88"/>
      <c r="CAN106" s="88"/>
      <c r="CAO106" s="88"/>
      <c r="CAP106" s="88"/>
      <c r="CAQ106" s="88"/>
      <c r="CAR106" s="88"/>
      <c r="CAS106" s="88"/>
      <c r="CAT106" s="88"/>
      <c r="CAU106" s="88"/>
      <c r="CAV106" s="88"/>
      <c r="CAW106" s="88"/>
      <c r="CAX106" s="88"/>
      <c r="CAY106" s="88"/>
      <c r="CAZ106" s="88"/>
      <c r="CBA106" s="88"/>
      <c r="CBB106" s="88"/>
      <c r="CBC106" s="88"/>
      <c r="CBD106" s="88"/>
      <c r="CBE106" s="88"/>
      <c r="CBF106" s="88"/>
      <c r="CBG106" s="88"/>
      <c r="CBH106" s="88"/>
      <c r="CBI106" s="88"/>
      <c r="CBJ106" s="88"/>
      <c r="CBK106" s="88"/>
      <c r="CBL106" s="88"/>
      <c r="CBM106" s="88"/>
      <c r="CBN106" s="88"/>
      <c r="CBO106" s="88"/>
      <c r="CBP106" s="88"/>
      <c r="CBQ106" s="88"/>
      <c r="CBR106" s="88"/>
      <c r="CBS106" s="88"/>
      <c r="CBT106" s="88"/>
      <c r="CBU106" s="88"/>
      <c r="CBV106" s="88"/>
      <c r="CBW106" s="88"/>
      <c r="CBX106" s="88"/>
      <c r="CBY106" s="88"/>
      <c r="CBZ106" s="88"/>
      <c r="CCA106" s="88"/>
      <c r="CCB106" s="88"/>
      <c r="CCC106" s="88"/>
      <c r="CCD106" s="88"/>
      <c r="CCE106" s="88"/>
      <c r="CCF106" s="88"/>
      <c r="CCG106" s="88"/>
      <c r="CCH106" s="88"/>
      <c r="CCI106" s="88"/>
      <c r="CCJ106" s="88"/>
      <c r="CCK106" s="88"/>
      <c r="CCL106" s="88"/>
      <c r="CCM106" s="88"/>
      <c r="CCN106" s="88"/>
      <c r="CCO106" s="88"/>
      <c r="CCP106" s="88"/>
      <c r="CCQ106" s="88"/>
      <c r="CCR106" s="88"/>
      <c r="CCS106" s="88"/>
      <c r="CCT106" s="88"/>
      <c r="CCU106" s="88"/>
      <c r="CCV106" s="88"/>
      <c r="CCW106" s="88"/>
      <c r="CCX106" s="88"/>
      <c r="CCY106" s="88"/>
      <c r="CCZ106" s="88"/>
      <c r="CDA106" s="88"/>
      <c r="CDB106" s="88"/>
      <c r="CDC106" s="88"/>
      <c r="CDD106" s="88"/>
      <c r="CDE106" s="88"/>
      <c r="CDF106" s="88"/>
      <c r="CDG106" s="88"/>
      <c r="CDH106" s="88"/>
      <c r="CDI106" s="88"/>
      <c r="CDJ106" s="88"/>
      <c r="CDK106" s="88"/>
      <c r="CDL106" s="88"/>
      <c r="CDM106" s="88"/>
      <c r="CDN106" s="88"/>
      <c r="CDO106" s="88"/>
      <c r="CDP106" s="88"/>
      <c r="CDQ106" s="88"/>
      <c r="CDR106" s="88"/>
      <c r="CDS106" s="88"/>
      <c r="CDT106" s="88"/>
      <c r="CDU106" s="88"/>
      <c r="CDV106" s="88"/>
      <c r="CDW106" s="88"/>
      <c r="CDX106" s="88"/>
      <c r="CDY106" s="88"/>
      <c r="CDZ106" s="88"/>
      <c r="CEA106" s="88"/>
      <c r="CEB106" s="88"/>
      <c r="CEC106" s="88"/>
      <c r="CED106" s="88"/>
      <c r="CEE106" s="88"/>
      <c r="CEF106" s="88"/>
      <c r="CEG106" s="88"/>
      <c r="CEH106" s="88"/>
      <c r="CEI106" s="88"/>
      <c r="CEJ106" s="88"/>
      <c r="CEK106" s="88"/>
    </row>
    <row r="107" spans="1:2169" s="51" customFormat="1">
      <c r="A107" s="72" t="s">
        <v>799</v>
      </c>
      <c r="B107" s="72" t="s">
        <v>519</v>
      </c>
      <c r="C107" s="69" t="str">
        <f>IF('page 2'!$O$4="","",IF('page 2'!$O$4=Gestion!A107,1,0))</f>
        <v/>
      </c>
      <c r="D107" s="69" t="str">
        <f>IF('page 2'!$O$5="","",IF('page 2'!$O$5=Gestion!A107,1,0))</f>
        <v/>
      </c>
      <c r="E107" s="69" t="str">
        <f>IF('page 2'!$O$6="","",IF('page 2'!$O$6=Gestion!A107,1,0))</f>
        <v/>
      </c>
      <c r="F107" s="69" t="str">
        <f>IF('page 2'!$O$7="","",IF('page 2'!$O$7=Gestion!A107,1,0))</f>
        <v/>
      </c>
      <c r="G107" s="69" t="str">
        <f>IF('page 2'!$O$8="","",IF('page 2'!$O$8=Gestion!A107,1,0))</f>
        <v/>
      </c>
      <c r="H107" s="69" t="str">
        <f>IF('page 2'!$O$9="","",IF('page 2'!$O$9=Gestion!A107,1,0))</f>
        <v/>
      </c>
      <c r="I107" s="69" t="str">
        <f>IF('page 2'!$O$10="","",IF('page 2'!$O$10=Gestion!A107,1,0))</f>
        <v/>
      </c>
      <c r="J107" s="69" t="str">
        <f>IF('page 2'!$O$11="","",IF('page 2'!$O$11=Gestion!A107,1,0))</f>
        <v/>
      </c>
      <c r="K107" s="69" t="str">
        <f>IF('page 2'!$O$12="","",IF('page 2'!$O$12=Gestion!A107,1,0))</f>
        <v/>
      </c>
      <c r="L107" s="69" t="str">
        <f>IF('page 2'!$O$13="","",IF('page 2'!$O$13=Gestion!A107,1,0))</f>
        <v/>
      </c>
      <c r="M107" s="69" t="str">
        <f>IF('page 2'!$O$14="","",IF('page 2'!$O$14=Gestion!A107,1,0))</f>
        <v/>
      </c>
      <c r="N107" s="69" t="str">
        <f>IF('page 2'!$O$15="","",IF('page 2'!$O$15=Gestion!A107,1,0))</f>
        <v/>
      </c>
      <c r="O107" s="69" t="str">
        <f>IF('page 2'!$O$16="","",IF('page 2'!$O$16=Gestion!A105,1,0))</f>
        <v/>
      </c>
      <c r="P107" s="69" t="str">
        <f>IF('page 2'!$O$17="","",IF('page 2'!$O$17=Gestion!A107,1,0))</f>
        <v/>
      </c>
      <c r="Q107" s="69" t="str">
        <f>IF('page 2'!$O$18="","",IF('page 2'!$O$18=Gestion!A107,1,0))</f>
        <v/>
      </c>
      <c r="R107" s="69" t="str">
        <f>IF('page 2'!$O$19="","",IF('page 2'!$O$19=Gestion!A107,1,0))</f>
        <v/>
      </c>
      <c r="S107" s="69" t="str">
        <f>IF('page 2'!$O$20="","",IF('page 2'!$O$20=Gestion!A107,1,0))</f>
        <v/>
      </c>
      <c r="T107" s="69" t="str">
        <f>IF('page 2'!$O$25="","",IF('page 2'!$O$25=Gestion!A107,1,0))</f>
        <v/>
      </c>
      <c r="U107" s="69" t="str">
        <f>IF('page 2'!$O$26="","",IF('page 2'!$O$26=Gestion!A107,1,0))</f>
        <v/>
      </c>
      <c r="V107" s="69" t="str">
        <f>IF('page 2'!$O$27="","",IF('page 2'!$O$27=Gestion!A107,1,0))</f>
        <v/>
      </c>
      <c r="W107" s="723">
        <f t="shared" si="14"/>
        <v>0</v>
      </c>
      <c r="X107" s="713"/>
      <c r="Y107" s="69"/>
      <c r="Z107" s="69"/>
      <c r="AA107" s="69"/>
      <c r="AB107" s="542"/>
      <c r="AC107" s="542"/>
      <c r="AD107" s="542"/>
      <c r="AE107" s="88"/>
      <c r="AP107" s="130"/>
      <c r="AQ107" s="130"/>
      <c r="AR107" s="130"/>
      <c r="AS107" s="576"/>
      <c r="AT107" s="576"/>
      <c r="AU107" s="576"/>
      <c r="AV107" s="576"/>
      <c r="AW107" s="602"/>
      <c r="AX107" s="602"/>
      <c r="AY107" s="576"/>
      <c r="AZ107" s="576"/>
      <c r="BA107" s="576"/>
      <c r="BB107" s="576"/>
      <c r="BC107" s="576"/>
      <c r="BD107" s="602"/>
      <c r="BE107" s="602"/>
      <c r="BF107" s="602"/>
      <c r="BG107" s="602"/>
      <c r="BH107" s="602"/>
      <c r="BI107" s="602"/>
      <c r="BJ107" s="602"/>
      <c r="BK107" s="602"/>
      <c r="BL107" s="602"/>
      <c r="BM107" s="602"/>
      <c r="BN107" s="602"/>
      <c r="BO107" s="602"/>
      <c r="BP107" s="602"/>
      <c r="BQ107" s="602"/>
      <c r="BR107" s="602"/>
      <c r="BS107" s="576"/>
      <c r="BT107" s="576"/>
      <c r="BU107" s="576"/>
      <c r="BV107" s="576"/>
      <c r="BW107" s="602"/>
      <c r="BX107" s="602"/>
      <c r="BY107" s="602"/>
      <c r="BZ107" s="576"/>
      <c r="CA107" s="602"/>
      <c r="CB107" s="602"/>
      <c r="CC107" s="576"/>
      <c r="CD107" s="576"/>
      <c r="CE107" s="602"/>
      <c r="CF107" s="576"/>
      <c r="CG107" s="576"/>
      <c r="CH107" s="576"/>
      <c r="CI107" s="576"/>
      <c r="CJ107" s="576"/>
      <c r="CK107" s="602"/>
      <c r="CL107" s="602"/>
      <c r="CM107" s="576"/>
      <c r="CN107" s="602"/>
      <c r="CO107" s="602"/>
      <c r="CP107" s="602"/>
      <c r="CQ107" s="576"/>
      <c r="CR107" s="576"/>
      <c r="CS107" s="602"/>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c r="HF107" s="88"/>
      <c r="HG107" s="88"/>
      <c r="HH107" s="88"/>
      <c r="HI107" s="88"/>
      <c r="HJ107" s="88"/>
      <c r="HK107" s="88"/>
      <c r="HL107" s="88"/>
      <c r="HM107" s="88"/>
      <c r="HN107" s="88"/>
      <c r="HO107" s="88"/>
      <c r="HP107" s="88"/>
      <c r="HQ107" s="88"/>
      <c r="HR107" s="88"/>
      <c r="HS107" s="88"/>
      <c r="HT107" s="88"/>
      <c r="HU107" s="88"/>
      <c r="HV107" s="88"/>
      <c r="HW107" s="88"/>
      <c r="HX107" s="88"/>
      <c r="HY107" s="88"/>
      <c r="HZ107" s="88"/>
      <c r="IA107" s="88"/>
      <c r="IB107" s="88"/>
      <c r="IC107" s="88"/>
      <c r="ID107" s="88"/>
      <c r="IE107" s="88"/>
      <c r="IF107" s="88"/>
      <c r="IG107" s="88"/>
      <c r="IH107" s="88"/>
      <c r="II107" s="88"/>
      <c r="IJ107" s="88"/>
      <c r="IK107" s="88"/>
      <c r="IL107" s="88"/>
      <c r="IM107" s="88"/>
      <c r="IN107" s="88"/>
      <c r="IO107" s="88"/>
      <c r="IP107" s="88"/>
      <c r="IQ107" s="88"/>
      <c r="IR107" s="88"/>
      <c r="IS107" s="88"/>
      <c r="IT107" s="88"/>
      <c r="IU107" s="88"/>
      <c r="IV107" s="88"/>
      <c r="IW107" s="88"/>
      <c r="IX107" s="88"/>
      <c r="IY107" s="88"/>
      <c r="IZ107" s="88"/>
      <c r="JA107" s="88"/>
      <c r="JB107" s="88"/>
      <c r="JC107" s="88"/>
      <c r="JD107" s="88"/>
      <c r="JE107" s="88"/>
      <c r="JF107" s="88"/>
      <c r="JG107" s="88"/>
      <c r="JH107" s="88"/>
      <c r="JI107" s="88"/>
      <c r="JJ107" s="88"/>
      <c r="JK107" s="88"/>
      <c r="JL107" s="88"/>
      <c r="JM107" s="88"/>
      <c r="JN107" s="88"/>
      <c r="JO107" s="88"/>
      <c r="JP107" s="88"/>
      <c r="JQ107" s="88"/>
      <c r="JR107" s="88"/>
      <c r="JS107" s="88"/>
      <c r="JT107" s="88"/>
      <c r="JU107" s="88"/>
      <c r="JV107" s="88"/>
      <c r="JW107" s="88"/>
      <c r="JX107" s="88"/>
      <c r="JY107" s="88"/>
      <c r="JZ107" s="88"/>
      <c r="KA107" s="88"/>
      <c r="KB107" s="88"/>
      <c r="KC107" s="88"/>
      <c r="KD107" s="88"/>
      <c r="KE107" s="88"/>
      <c r="KF107" s="88"/>
      <c r="KG107" s="88"/>
      <c r="KH107" s="88"/>
      <c r="KI107" s="88"/>
      <c r="KJ107" s="88"/>
      <c r="KK107" s="88"/>
      <c r="KL107" s="88"/>
      <c r="KM107" s="88"/>
      <c r="KN107" s="88"/>
      <c r="KO107" s="88"/>
      <c r="KP107" s="88"/>
      <c r="KQ107" s="88"/>
      <c r="KR107" s="88"/>
      <c r="KS107" s="88"/>
      <c r="KT107" s="88"/>
      <c r="KU107" s="88"/>
      <c r="KV107" s="88"/>
      <c r="KW107" s="88"/>
      <c r="KX107" s="88"/>
      <c r="KY107" s="88"/>
      <c r="KZ107" s="88"/>
      <c r="LA107" s="88"/>
      <c r="LB107" s="88"/>
      <c r="LC107" s="88"/>
      <c r="LD107" s="88"/>
      <c r="LE107" s="88"/>
      <c r="LF107" s="88"/>
      <c r="LG107" s="88"/>
      <c r="LH107" s="88"/>
      <c r="LI107" s="88"/>
      <c r="LJ107" s="88"/>
      <c r="LK107" s="88"/>
      <c r="LL107" s="88"/>
      <c r="LM107" s="88"/>
      <c r="LN107" s="88"/>
      <c r="LO107" s="88"/>
      <c r="LP107" s="88"/>
      <c r="LQ107" s="88"/>
      <c r="LR107" s="88"/>
      <c r="LS107" s="88"/>
      <c r="LT107" s="88"/>
      <c r="LU107" s="88"/>
      <c r="LV107" s="88"/>
      <c r="LW107" s="88"/>
      <c r="LX107" s="88"/>
      <c r="LY107" s="88"/>
      <c r="LZ107" s="88"/>
      <c r="MA107" s="88"/>
      <c r="MB107" s="88"/>
      <c r="MC107" s="88"/>
      <c r="MD107" s="88"/>
      <c r="ME107" s="88"/>
      <c r="MF107" s="88"/>
      <c r="MG107" s="88"/>
      <c r="MH107" s="88"/>
      <c r="MI107" s="88"/>
      <c r="MJ107" s="88"/>
      <c r="MK107" s="88"/>
      <c r="ML107" s="88"/>
      <c r="MM107" s="88"/>
      <c r="MN107" s="88"/>
      <c r="MO107" s="88"/>
      <c r="MP107" s="88"/>
      <c r="MQ107" s="88"/>
      <c r="MR107" s="88"/>
      <c r="MS107" s="88"/>
      <c r="MT107" s="88"/>
      <c r="MU107" s="88"/>
      <c r="MV107" s="88"/>
      <c r="MW107" s="88"/>
      <c r="MX107" s="88"/>
      <c r="MY107" s="88"/>
      <c r="MZ107" s="88"/>
      <c r="NA107" s="88"/>
      <c r="NB107" s="88"/>
      <c r="NC107" s="88"/>
      <c r="ND107" s="88"/>
      <c r="NE107" s="88"/>
      <c r="NF107" s="88"/>
      <c r="NG107" s="88"/>
      <c r="NH107" s="88"/>
      <c r="NI107" s="88"/>
      <c r="NJ107" s="88"/>
      <c r="NK107" s="88"/>
      <c r="NL107" s="88"/>
      <c r="NM107" s="88"/>
      <c r="NN107" s="88"/>
      <c r="NO107" s="88"/>
      <c r="NP107" s="88"/>
      <c r="NQ107" s="88"/>
      <c r="NR107" s="88"/>
      <c r="NS107" s="88"/>
      <c r="NT107" s="88"/>
      <c r="NU107" s="88"/>
      <c r="NV107" s="88"/>
      <c r="NW107" s="88"/>
      <c r="NX107" s="88"/>
      <c r="NY107" s="88"/>
      <c r="NZ107" s="88"/>
      <c r="OA107" s="88"/>
      <c r="OB107" s="88"/>
      <c r="OC107" s="88"/>
      <c r="OD107" s="88"/>
      <c r="OE107" s="88"/>
      <c r="OF107" s="88"/>
      <c r="OG107" s="88"/>
      <c r="OH107" s="88"/>
      <c r="OI107" s="88"/>
      <c r="OJ107" s="88"/>
      <c r="OK107" s="88"/>
      <c r="OL107" s="88"/>
      <c r="OM107" s="88"/>
      <c r="ON107" s="88"/>
      <c r="OO107" s="88"/>
      <c r="OP107" s="88"/>
      <c r="OQ107" s="88"/>
      <c r="OR107" s="88"/>
      <c r="OS107" s="88"/>
      <c r="OT107" s="88"/>
      <c r="OU107" s="88"/>
      <c r="OV107" s="88"/>
      <c r="OW107" s="88"/>
      <c r="OX107" s="88"/>
      <c r="OY107" s="88"/>
      <c r="OZ107" s="88"/>
      <c r="PA107" s="88"/>
      <c r="PB107" s="88"/>
      <c r="PC107" s="88"/>
      <c r="PD107" s="88"/>
      <c r="PE107" s="88"/>
      <c r="PF107" s="88"/>
      <c r="PG107" s="88"/>
      <c r="PH107" s="88"/>
      <c r="PI107" s="88"/>
      <c r="PJ107" s="88"/>
      <c r="PK107" s="88"/>
      <c r="PL107" s="88"/>
      <c r="PM107" s="88"/>
      <c r="PN107" s="88"/>
      <c r="PO107" s="88"/>
      <c r="PP107" s="88"/>
      <c r="PQ107" s="88"/>
      <c r="PR107" s="88"/>
      <c r="PS107" s="88"/>
      <c r="PT107" s="88"/>
      <c r="PU107" s="88"/>
      <c r="PV107" s="88"/>
      <c r="PW107" s="88"/>
      <c r="PX107" s="88"/>
      <c r="PY107" s="88"/>
      <c r="PZ107" s="88"/>
      <c r="QA107" s="88"/>
      <c r="QB107" s="88"/>
      <c r="QC107" s="88"/>
      <c r="QD107" s="88"/>
      <c r="QE107" s="88"/>
      <c r="QF107" s="88"/>
      <c r="QG107" s="88"/>
      <c r="QH107" s="88"/>
      <c r="QI107" s="88"/>
      <c r="QJ107" s="88"/>
      <c r="QK107" s="88"/>
      <c r="QL107" s="88"/>
      <c r="QM107" s="88"/>
      <c r="QN107" s="88"/>
      <c r="QO107" s="88"/>
      <c r="QP107" s="88"/>
      <c r="QQ107" s="88"/>
      <c r="QR107" s="88"/>
      <c r="QS107" s="88"/>
      <c r="QT107" s="88"/>
      <c r="QU107" s="88"/>
      <c r="QV107" s="88"/>
      <c r="QW107" s="88"/>
      <c r="QX107" s="88"/>
      <c r="QY107" s="88"/>
      <c r="QZ107" s="88"/>
      <c r="RA107" s="88"/>
      <c r="RB107" s="88"/>
      <c r="RC107" s="88"/>
      <c r="RD107" s="88"/>
      <c r="RE107" s="88"/>
      <c r="RF107" s="88"/>
      <c r="RG107" s="88"/>
      <c r="RH107" s="88"/>
      <c r="RI107" s="88"/>
      <c r="RJ107" s="88"/>
      <c r="RK107" s="88"/>
      <c r="RL107" s="88"/>
      <c r="RM107" s="88"/>
      <c r="RN107" s="88"/>
      <c r="RO107" s="88"/>
      <c r="RP107" s="88"/>
      <c r="RQ107" s="88"/>
      <c r="RR107" s="88"/>
      <c r="RS107" s="88"/>
      <c r="RT107" s="88"/>
      <c r="RU107" s="88"/>
      <c r="RV107" s="88"/>
      <c r="RW107" s="88"/>
      <c r="RX107" s="88"/>
      <c r="RY107" s="88"/>
      <c r="RZ107" s="88"/>
      <c r="SA107" s="88"/>
      <c r="SB107" s="88"/>
      <c r="SC107" s="88"/>
      <c r="SD107" s="88"/>
      <c r="SE107" s="88"/>
      <c r="SF107" s="88"/>
      <c r="SG107" s="88"/>
      <c r="SH107" s="88"/>
      <c r="SI107" s="88"/>
      <c r="SJ107" s="88"/>
      <c r="SK107" s="88"/>
      <c r="SL107" s="88"/>
      <c r="SM107" s="88"/>
      <c r="SN107" s="88"/>
      <c r="SO107" s="88"/>
      <c r="SP107" s="88"/>
      <c r="SQ107" s="88"/>
      <c r="SR107" s="88"/>
      <c r="SS107" s="88"/>
      <c r="ST107" s="88"/>
      <c r="SU107" s="88"/>
      <c r="SV107" s="88"/>
      <c r="SW107" s="88"/>
      <c r="SX107" s="88"/>
      <c r="SY107" s="88"/>
      <c r="SZ107" s="88"/>
      <c r="TA107" s="88"/>
      <c r="TB107" s="88"/>
      <c r="TC107" s="88"/>
      <c r="TD107" s="88"/>
      <c r="TE107" s="88"/>
      <c r="TF107" s="88"/>
      <c r="TG107" s="88"/>
      <c r="TH107" s="88"/>
      <c r="TI107" s="88"/>
      <c r="TJ107" s="88"/>
      <c r="TK107" s="88"/>
      <c r="TL107" s="88"/>
      <c r="TM107" s="88"/>
      <c r="TN107" s="88"/>
      <c r="TO107" s="88"/>
      <c r="TP107" s="88"/>
      <c r="TQ107" s="88"/>
      <c r="TR107" s="88"/>
      <c r="TS107" s="88"/>
      <c r="TT107" s="88"/>
      <c r="TU107" s="88"/>
      <c r="TV107" s="88"/>
      <c r="TW107" s="88"/>
      <c r="TX107" s="88"/>
      <c r="TY107" s="88"/>
      <c r="TZ107" s="88"/>
      <c r="UA107" s="88"/>
      <c r="UB107" s="88"/>
      <c r="UC107" s="88"/>
      <c r="UD107" s="88"/>
      <c r="UE107" s="88"/>
      <c r="UF107" s="88"/>
      <c r="UG107" s="88"/>
      <c r="UH107" s="88"/>
      <c r="UI107" s="88"/>
      <c r="UJ107" s="88"/>
      <c r="UK107" s="88"/>
      <c r="UL107" s="88"/>
      <c r="UM107" s="88"/>
      <c r="UN107" s="88"/>
      <c r="UO107" s="88"/>
      <c r="UP107" s="88"/>
      <c r="UQ107" s="88"/>
      <c r="UR107" s="88"/>
      <c r="US107" s="88"/>
      <c r="UT107" s="88"/>
      <c r="UU107" s="88"/>
      <c r="UV107" s="88"/>
      <c r="UW107" s="88"/>
      <c r="UX107" s="88"/>
      <c r="UY107" s="88"/>
      <c r="UZ107" s="88"/>
      <c r="VA107" s="88"/>
      <c r="VB107" s="88"/>
      <c r="VC107" s="88"/>
      <c r="VD107" s="88"/>
      <c r="VE107" s="88"/>
      <c r="VF107" s="88"/>
      <c r="VG107" s="88"/>
      <c r="VH107" s="88"/>
      <c r="VI107" s="88"/>
      <c r="VJ107" s="88"/>
      <c r="VK107" s="88"/>
      <c r="VL107" s="88"/>
      <c r="VM107" s="88"/>
      <c r="VN107" s="88"/>
      <c r="VO107" s="88"/>
      <c r="VP107" s="88"/>
      <c r="VQ107" s="88"/>
      <c r="VR107" s="88"/>
      <c r="VS107" s="88"/>
      <c r="VT107" s="88"/>
      <c r="VU107" s="88"/>
      <c r="VV107" s="88"/>
      <c r="VW107" s="88"/>
      <c r="VX107" s="88"/>
      <c r="VY107" s="88"/>
      <c r="VZ107" s="88"/>
      <c r="WA107" s="88"/>
      <c r="WB107" s="88"/>
      <c r="WC107" s="88"/>
      <c r="WD107" s="88"/>
      <c r="WE107" s="88"/>
      <c r="WF107" s="88"/>
      <c r="WG107" s="88"/>
      <c r="WH107" s="88"/>
      <c r="WI107" s="88"/>
      <c r="WJ107" s="88"/>
      <c r="WK107" s="88"/>
      <c r="WL107" s="88"/>
      <c r="WM107" s="88"/>
      <c r="WN107" s="88"/>
      <c r="WO107" s="88"/>
      <c r="WP107" s="88"/>
      <c r="WQ107" s="88"/>
      <c r="WR107" s="88"/>
      <c r="WS107" s="88"/>
      <c r="WT107" s="88"/>
      <c r="WU107" s="88"/>
      <c r="WV107" s="88"/>
      <c r="WW107" s="88"/>
      <c r="WX107" s="88"/>
      <c r="WY107" s="88"/>
      <c r="WZ107" s="88"/>
      <c r="XA107" s="88"/>
      <c r="XB107" s="88"/>
      <c r="XC107" s="88"/>
      <c r="XD107" s="88"/>
      <c r="XE107" s="88"/>
      <c r="XF107" s="88"/>
      <c r="XG107" s="88"/>
      <c r="XH107" s="88"/>
      <c r="XI107" s="88"/>
      <c r="XJ107" s="88"/>
      <c r="XK107" s="88"/>
      <c r="XL107" s="88"/>
      <c r="XM107" s="88"/>
      <c r="XN107" s="88"/>
      <c r="XO107" s="88"/>
      <c r="XP107" s="88"/>
      <c r="XQ107" s="88"/>
      <c r="XR107" s="88"/>
      <c r="XS107" s="88"/>
      <c r="XT107" s="88"/>
      <c r="XU107" s="88"/>
      <c r="XV107" s="88"/>
      <c r="XW107" s="88"/>
      <c r="XX107" s="88"/>
      <c r="XY107" s="88"/>
      <c r="XZ107" s="88"/>
      <c r="YA107" s="88"/>
      <c r="YB107" s="88"/>
      <c r="YC107" s="88"/>
      <c r="YD107" s="88"/>
      <c r="YE107" s="88"/>
      <c r="YF107" s="88"/>
      <c r="YG107" s="88"/>
      <c r="YH107" s="88"/>
      <c r="YI107" s="88"/>
      <c r="YJ107" s="88"/>
      <c r="YK107" s="88"/>
      <c r="YL107" s="88"/>
      <c r="YM107" s="88"/>
      <c r="YN107" s="88"/>
      <c r="YO107" s="88"/>
      <c r="YP107" s="88"/>
      <c r="YQ107" s="88"/>
      <c r="YR107" s="88"/>
      <c r="YS107" s="88"/>
      <c r="YT107" s="88"/>
      <c r="YU107" s="88"/>
      <c r="YV107" s="88"/>
      <c r="YW107" s="88"/>
      <c r="YX107" s="88"/>
      <c r="YY107" s="88"/>
      <c r="YZ107" s="88"/>
      <c r="ZA107" s="88"/>
      <c r="ZB107" s="88"/>
      <c r="ZC107" s="88"/>
      <c r="ZD107" s="88"/>
      <c r="ZE107" s="88"/>
      <c r="ZF107" s="88"/>
      <c r="ZG107" s="88"/>
      <c r="ZH107" s="88"/>
      <c r="ZI107" s="88"/>
      <c r="ZJ107" s="88"/>
      <c r="ZK107" s="88"/>
      <c r="ZL107" s="88"/>
      <c r="ZM107" s="88"/>
      <c r="ZN107" s="88"/>
      <c r="ZO107" s="88"/>
      <c r="ZP107" s="88"/>
      <c r="ZQ107" s="88"/>
      <c r="ZR107" s="88"/>
      <c r="ZS107" s="88"/>
      <c r="ZT107" s="88"/>
      <c r="ZU107" s="88"/>
      <c r="ZV107" s="88"/>
      <c r="ZW107" s="88"/>
      <c r="ZX107" s="88"/>
      <c r="ZY107" s="88"/>
      <c r="ZZ107" s="88"/>
      <c r="AAA107" s="88"/>
      <c r="AAB107" s="88"/>
      <c r="AAC107" s="88"/>
      <c r="AAD107" s="88"/>
      <c r="AAE107" s="88"/>
      <c r="AAF107" s="88"/>
      <c r="AAG107" s="88"/>
      <c r="AAH107" s="88"/>
      <c r="AAI107" s="88"/>
      <c r="AAJ107" s="88"/>
      <c r="AAK107" s="88"/>
      <c r="AAL107" s="88"/>
      <c r="AAM107" s="88"/>
      <c r="AAN107" s="88"/>
      <c r="AAO107" s="88"/>
      <c r="AAP107" s="88"/>
      <c r="AAQ107" s="88"/>
      <c r="AAR107" s="88"/>
      <c r="AAS107" s="88"/>
      <c r="AAT107" s="88"/>
      <c r="AAU107" s="88"/>
      <c r="AAV107" s="88"/>
      <c r="AAW107" s="88"/>
      <c r="AAX107" s="88"/>
      <c r="AAY107" s="88"/>
      <c r="AAZ107" s="88"/>
      <c r="ABA107" s="88"/>
      <c r="ABB107" s="88"/>
      <c r="ABC107" s="88"/>
      <c r="ABD107" s="88"/>
      <c r="ABE107" s="88"/>
      <c r="ABF107" s="88"/>
      <c r="ABG107" s="88"/>
      <c r="ABH107" s="88"/>
      <c r="ABI107" s="88"/>
      <c r="ABJ107" s="88"/>
      <c r="ABK107" s="88"/>
      <c r="ABL107" s="88"/>
      <c r="ABM107" s="88"/>
      <c r="ABN107" s="88"/>
      <c r="ABO107" s="88"/>
      <c r="ABP107" s="88"/>
      <c r="ABQ107" s="88"/>
      <c r="ABR107" s="88"/>
      <c r="ABS107" s="88"/>
      <c r="ABT107" s="88"/>
      <c r="ABU107" s="88"/>
      <c r="ABV107" s="88"/>
      <c r="ABW107" s="88"/>
      <c r="ABX107" s="88"/>
      <c r="ABY107" s="88"/>
      <c r="ABZ107" s="88"/>
      <c r="ACA107" s="88"/>
      <c r="ACB107" s="88"/>
      <c r="ACC107" s="88"/>
      <c r="ACD107" s="88"/>
      <c r="ACE107" s="88"/>
      <c r="ACF107" s="88"/>
      <c r="ACG107" s="88"/>
      <c r="ACH107" s="88"/>
      <c r="ACI107" s="88"/>
      <c r="ACJ107" s="88"/>
      <c r="ACK107" s="88"/>
      <c r="ACL107" s="88"/>
      <c r="ACM107" s="88"/>
      <c r="ACN107" s="88"/>
      <c r="ACO107" s="88"/>
      <c r="ACP107" s="88"/>
      <c r="ACQ107" s="88"/>
      <c r="ACR107" s="88"/>
      <c r="ACS107" s="88"/>
      <c r="ACT107" s="88"/>
      <c r="ACU107" s="88"/>
      <c r="ACV107" s="88"/>
      <c r="ACW107" s="88"/>
      <c r="ACX107" s="88"/>
      <c r="ACY107" s="88"/>
      <c r="ACZ107" s="88"/>
      <c r="ADA107" s="88"/>
      <c r="ADB107" s="88"/>
      <c r="ADC107" s="88"/>
      <c r="ADD107" s="88"/>
      <c r="ADE107" s="88"/>
      <c r="ADF107" s="88"/>
      <c r="ADG107" s="88"/>
      <c r="ADH107" s="88"/>
      <c r="ADI107" s="88"/>
      <c r="ADJ107" s="88"/>
      <c r="ADK107" s="88"/>
      <c r="ADL107" s="88"/>
      <c r="ADM107" s="88"/>
      <c r="ADN107" s="88"/>
      <c r="ADO107" s="88"/>
      <c r="ADP107" s="88"/>
      <c r="ADQ107" s="88"/>
      <c r="ADR107" s="88"/>
      <c r="ADS107" s="88"/>
      <c r="ADT107" s="88"/>
      <c r="ADU107" s="88"/>
      <c r="ADV107" s="88"/>
      <c r="ADW107" s="88"/>
      <c r="ADX107" s="88"/>
      <c r="ADY107" s="88"/>
      <c r="ADZ107" s="88"/>
      <c r="AEA107" s="88"/>
      <c r="AEB107" s="88"/>
      <c r="AEC107" s="88"/>
      <c r="AED107" s="88"/>
      <c r="AEE107" s="88"/>
      <c r="AEF107" s="88"/>
      <c r="AEG107" s="88"/>
      <c r="AEH107" s="88"/>
      <c r="AEI107" s="88"/>
      <c r="AEJ107" s="88"/>
      <c r="AEK107" s="88"/>
      <c r="AEL107" s="88"/>
      <c r="AEM107" s="88"/>
      <c r="AEN107" s="88"/>
      <c r="AEO107" s="88"/>
      <c r="AEP107" s="88"/>
      <c r="AEQ107" s="88"/>
      <c r="AER107" s="88"/>
      <c r="AES107" s="88"/>
      <c r="AET107" s="88"/>
      <c r="AEU107" s="88"/>
      <c r="AEV107" s="88"/>
      <c r="AEW107" s="88"/>
      <c r="AEX107" s="88"/>
      <c r="AEY107" s="88"/>
      <c r="AEZ107" s="88"/>
      <c r="AFA107" s="88"/>
      <c r="AFB107" s="88"/>
      <c r="AFC107" s="88"/>
      <c r="AFD107" s="88"/>
      <c r="AFE107" s="88"/>
      <c r="AFF107" s="88"/>
      <c r="AFG107" s="88"/>
      <c r="AFH107" s="88"/>
      <c r="AFI107" s="88"/>
      <c r="AFJ107" s="88"/>
      <c r="AFK107" s="88"/>
      <c r="AFL107" s="88"/>
      <c r="AFM107" s="88"/>
      <c r="AFN107" s="88"/>
      <c r="AFO107" s="88"/>
      <c r="AFP107" s="88"/>
      <c r="AFQ107" s="88"/>
      <c r="AFR107" s="88"/>
      <c r="AFS107" s="88"/>
      <c r="AFT107" s="88"/>
      <c r="AFU107" s="88"/>
      <c r="AFV107" s="88"/>
      <c r="AFW107" s="88"/>
      <c r="AFX107" s="88"/>
      <c r="AFY107" s="88"/>
      <c r="AFZ107" s="88"/>
      <c r="AGA107" s="88"/>
      <c r="AGB107" s="88"/>
      <c r="AGC107" s="88"/>
      <c r="AGD107" s="88"/>
      <c r="AGE107" s="88"/>
      <c r="AGF107" s="88"/>
      <c r="AGG107" s="88"/>
      <c r="AGH107" s="88"/>
      <c r="AGI107" s="88"/>
      <c r="AGJ107" s="88"/>
      <c r="AGK107" s="88"/>
      <c r="AGL107" s="88"/>
      <c r="AGM107" s="88"/>
      <c r="AGN107" s="88"/>
      <c r="AGO107" s="88"/>
      <c r="AGP107" s="88"/>
      <c r="AGQ107" s="88"/>
      <c r="AGR107" s="88"/>
      <c r="AGS107" s="88"/>
      <c r="AGT107" s="88"/>
      <c r="AGU107" s="88"/>
      <c r="AGV107" s="88"/>
      <c r="AGW107" s="88"/>
      <c r="AGX107" s="88"/>
      <c r="AGY107" s="88"/>
      <c r="AGZ107" s="88"/>
      <c r="AHA107" s="88"/>
      <c r="AHB107" s="88"/>
      <c r="AHC107" s="88"/>
      <c r="AHD107" s="88"/>
      <c r="AHE107" s="88"/>
      <c r="AHF107" s="88"/>
      <c r="AHG107" s="88"/>
      <c r="AHH107" s="88"/>
      <c r="AHI107" s="88"/>
      <c r="AHJ107" s="88"/>
      <c r="AHK107" s="88"/>
      <c r="AHL107" s="88"/>
      <c r="AHM107" s="88"/>
      <c r="AHN107" s="88"/>
      <c r="AHO107" s="88"/>
      <c r="AHP107" s="88"/>
      <c r="AHQ107" s="88"/>
      <c r="AHR107" s="88"/>
      <c r="AHS107" s="88"/>
      <c r="AHT107" s="88"/>
      <c r="AHU107" s="88"/>
      <c r="AHV107" s="88"/>
      <c r="AHW107" s="88"/>
      <c r="AHX107" s="88"/>
      <c r="AHY107" s="88"/>
      <c r="AHZ107" s="88"/>
      <c r="AIA107" s="88"/>
      <c r="AIB107" s="88"/>
      <c r="AIC107" s="88"/>
      <c r="AID107" s="88"/>
      <c r="AIE107" s="88"/>
      <c r="AIF107" s="88"/>
      <c r="AIG107" s="88"/>
      <c r="AIH107" s="88"/>
      <c r="AII107" s="88"/>
      <c r="AIJ107" s="88"/>
      <c r="AIK107" s="88"/>
      <c r="AIL107" s="88"/>
      <c r="AIM107" s="88"/>
      <c r="AIN107" s="88"/>
      <c r="AIO107" s="88"/>
      <c r="AIP107" s="88"/>
      <c r="AIQ107" s="88"/>
      <c r="AIR107" s="88"/>
      <c r="AIS107" s="88"/>
      <c r="AIT107" s="88"/>
      <c r="AIU107" s="88"/>
      <c r="AIV107" s="88"/>
      <c r="AIW107" s="88"/>
      <c r="AIX107" s="88"/>
      <c r="AIY107" s="88"/>
      <c r="AIZ107" s="88"/>
      <c r="AJA107" s="88"/>
      <c r="AJB107" s="88"/>
      <c r="AJC107" s="88"/>
      <c r="AJD107" s="88"/>
      <c r="AJE107" s="88"/>
      <c r="AJF107" s="88"/>
      <c r="AJG107" s="88"/>
      <c r="AJH107" s="88"/>
      <c r="AJI107" s="88"/>
      <c r="AJJ107" s="88"/>
      <c r="AJK107" s="88"/>
      <c r="AJL107" s="88"/>
      <c r="AJM107" s="88"/>
      <c r="AJN107" s="88"/>
      <c r="AJO107" s="88"/>
      <c r="AJP107" s="88"/>
      <c r="AJQ107" s="88"/>
      <c r="AJR107" s="88"/>
      <c r="AJS107" s="88"/>
      <c r="AJT107" s="88"/>
      <c r="AJU107" s="88"/>
      <c r="AJV107" s="88"/>
      <c r="AJW107" s="88"/>
      <c r="AJX107" s="88"/>
      <c r="AJY107" s="88"/>
      <c r="AJZ107" s="88"/>
      <c r="AKA107" s="88"/>
      <c r="AKB107" s="88"/>
      <c r="AKC107" s="88"/>
      <c r="AKD107" s="88"/>
      <c r="AKE107" s="88"/>
      <c r="AKF107" s="88"/>
      <c r="AKG107" s="88"/>
      <c r="AKH107" s="88"/>
      <c r="AKI107" s="88"/>
      <c r="AKJ107" s="88"/>
      <c r="AKK107" s="88"/>
      <c r="AKL107" s="88"/>
      <c r="AKM107" s="88"/>
      <c r="AKN107" s="88"/>
      <c r="AKO107" s="88"/>
      <c r="AKP107" s="88"/>
      <c r="AKQ107" s="88"/>
      <c r="AKR107" s="88"/>
      <c r="AKS107" s="88"/>
      <c r="AKT107" s="88"/>
      <c r="AKU107" s="88"/>
      <c r="AKV107" s="88"/>
      <c r="AKW107" s="88"/>
      <c r="AKX107" s="88"/>
      <c r="AKY107" s="88"/>
      <c r="AKZ107" s="88"/>
      <c r="ALA107" s="88"/>
      <c r="ALB107" s="88"/>
      <c r="ALC107" s="88"/>
      <c r="ALD107" s="88"/>
      <c r="ALE107" s="88"/>
      <c r="ALF107" s="88"/>
      <c r="ALG107" s="88"/>
      <c r="ALH107" s="88"/>
      <c r="ALI107" s="88"/>
      <c r="ALJ107" s="88"/>
      <c r="ALK107" s="88"/>
      <c r="ALL107" s="88"/>
      <c r="ALM107" s="88"/>
      <c r="ALN107" s="88"/>
      <c r="ALO107" s="88"/>
      <c r="ALP107" s="88"/>
      <c r="ALQ107" s="88"/>
      <c r="ALR107" s="88"/>
      <c r="ALS107" s="88"/>
      <c r="ALT107" s="88"/>
      <c r="ALU107" s="88"/>
      <c r="ALV107" s="88"/>
      <c r="ALW107" s="88"/>
      <c r="ALX107" s="88"/>
      <c r="ALY107" s="88"/>
      <c r="ALZ107" s="88"/>
      <c r="AMA107" s="88"/>
      <c r="AMB107" s="88"/>
      <c r="AMC107" s="88"/>
      <c r="AMD107" s="88"/>
      <c r="AME107" s="88"/>
      <c r="AMF107" s="88"/>
      <c r="AMG107" s="88"/>
      <c r="AMH107" s="88"/>
      <c r="AMI107" s="88"/>
      <c r="AMJ107" s="88"/>
      <c r="AMK107" s="88"/>
      <c r="AML107" s="88"/>
      <c r="AMM107" s="88"/>
      <c r="AMN107" s="88"/>
      <c r="AMO107" s="88"/>
      <c r="AMP107" s="88"/>
      <c r="AMQ107" s="88"/>
      <c r="AMR107" s="88"/>
      <c r="AMS107" s="88"/>
      <c r="AMT107" s="88"/>
      <c r="AMU107" s="88"/>
      <c r="AMV107" s="88"/>
      <c r="AMW107" s="88"/>
      <c r="AMX107" s="88"/>
      <c r="AMY107" s="88"/>
      <c r="AMZ107" s="88"/>
      <c r="ANA107" s="88"/>
      <c r="ANB107" s="88"/>
      <c r="ANC107" s="88"/>
      <c r="AND107" s="88"/>
      <c r="ANE107" s="88"/>
      <c r="ANF107" s="88"/>
      <c r="ANG107" s="88"/>
      <c r="ANH107" s="88"/>
      <c r="ANI107" s="88"/>
      <c r="ANJ107" s="88"/>
      <c r="ANK107" s="88"/>
      <c r="ANL107" s="88"/>
      <c r="ANM107" s="88"/>
      <c r="ANN107" s="88"/>
      <c r="ANO107" s="88"/>
      <c r="ANP107" s="88"/>
      <c r="ANQ107" s="88"/>
      <c r="ANR107" s="88"/>
      <c r="ANS107" s="88"/>
      <c r="ANT107" s="88"/>
      <c r="ANU107" s="88"/>
      <c r="ANV107" s="88"/>
      <c r="ANW107" s="88"/>
      <c r="ANX107" s="88"/>
      <c r="ANY107" s="88"/>
      <c r="ANZ107" s="88"/>
      <c r="AOA107" s="88"/>
      <c r="AOB107" s="88"/>
      <c r="AOC107" s="88"/>
      <c r="AOD107" s="88"/>
      <c r="AOE107" s="88"/>
      <c r="AOF107" s="88"/>
      <c r="AOG107" s="88"/>
      <c r="AOH107" s="88"/>
      <c r="AOI107" s="88"/>
      <c r="AOJ107" s="88"/>
      <c r="AOK107" s="88"/>
      <c r="AOL107" s="88"/>
      <c r="AOM107" s="88"/>
      <c r="AON107" s="88"/>
      <c r="AOO107" s="88"/>
      <c r="AOP107" s="88"/>
      <c r="AOQ107" s="88"/>
      <c r="AOR107" s="88"/>
      <c r="AOS107" s="88"/>
      <c r="AOT107" s="88"/>
      <c r="AOU107" s="88"/>
      <c r="AOV107" s="88"/>
      <c r="AOW107" s="88"/>
      <c r="AOX107" s="88"/>
      <c r="AOY107" s="88"/>
      <c r="AOZ107" s="88"/>
      <c r="APA107" s="88"/>
      <c r="APB107" s="88"/>
      <c r="APC107" s="88"/>
      <c r="APD107" s="88"/>
      <c r="APE107" s="88"/>
      <c r="APF107" s="88"/>
      <c r="APG107" s="88"/>
      <c r="APH107" s="88"/>
      <c r="API107" s="88"/>
      <c r="APJ107" s="88"/>
      <c r="APK107" s="88"/>
      <c r="APL107" s="88"/>
      <c r="APM107" s="88"/>
      <c r="APN107" s="88"/>
      <c r="APO107" s="88"/>
      <c r="APP107" s="88"/>
      <c r="APQ107" s="88"/>
      <c r="APR107" s="88"/>
      <c r="APS107" s="88"/>
      <c r="APT107" s="88"/>
      <c r="APU107" s="88"/>
      <c r="APV107" s="88"/>
      <c r="APW107" s="88"/>
      <c r="APX107" s="88"/>
      <c r="APY107" s="88"/>
      <c r="APZ107" s="88"/>
      <c r="AQA107" s="88"/>
      <c r="AQB107" s="88"/>
      <c r="AQC107" s="88"/>
      <c r="AQD107" s="88"/>
      <c r="AQE107" s="88"/>
      <c r="AQF107" s="88"/>
      <c r="AQG107" s="88"/>
      <c r="AQH107" s="88"/>
      <c r="AQI107" s="88"/>
      <c r="AQJ107" s="88"/>
      <c r="AQK107" s="88"/>
      <c r="AQL107" s="88"/>
      <c r="AQM107" s="88"/>
      <c r="AQN107" s="88"/>
      <c r="AQO107" s="88"/>
      <c r="AQP107" s="88"/>
      <c r="AQQ107" s="88"/>
      <c r="AQR107" s="88"/>
      <c r="AQS107" s="88"/>
      <c r="AQT107" s="88"/>
      <c r="AQU107" s="88"/>
      <c r="AQV107" s="88"/>
      <c r="AQW107" s="88"/>
      <c r="AQX107" s="88"/>
      <c r="AQY107" s="88"/>
      <c r="AQZ107" s="88"/>
      <c r="ARA107" s="88"/>
      <c r="ARB107" s="88"/>
      <c r="ARC107" s="88"/>
      <c r="ARD107" s="88"/>
      <c r="ARE107" s="88"/>
      <c r="ARF107" s="88"/>
      <c r="ARG107" s="88"/>
      <c r="ARH107" s="88"/>
      <c r="ARI107" s="88"/>
      <c r="ARJ107" s="88"/>
      <c r="ARK107" s="88"/>
      <c r="ARL107" s="88"/>
      <c r="ARM107" s="88"/>
      <c r="ARN107" s="88"/>
      <c r="ARO107" s="88"/>
      <c r="ARP107" s="88"/>
      <c r="ARQ107" s="88"/>
      <c r="ARR107" s="88"/>
      <c r="ARS107" s="88"/>
      <c r="ART107" s="88"/>
      <c r="ARU107" s="88"/>
      <c r="ARV107" s="88"/>
      <c r="ARW107" s="88"/>
      <c r="ARX107" s="88"/>
      <c r="ARY107" s="88"/>
      <c r="ARZ107" s="88"/>
      <c r="ASA107" s="88"/>
      <c r="ASB107" s="88"/>
      <c r="ASC107" s="88"/>
      <c r="ASD107" s="88"/>
      <c r="ASE107" s="88"/>
      <c r="ASF107" s="88"/>
      <c r="ASG107" s="88"/>
      <c r="ASH107" s="88"/>
      <c r="ASI107" s="88"/>
      <c r="ASJ107" s="88"/>
      <c r="ASK107" s="88"/>
      <c r="ASL107" s="88"/>
      <c r="ASM107" s="88"/>
      <c r="ASN107" s="88"/>
      <c r="ASO107" s="88"/>
      <c r="ASP107" s="88"/>
      <c r="ASQ107" s="88"/>
      <c r="ASR107" s="88"/>
      <c r="ASS107" s="88"/>
      <c r="AST107" s="88"/>
      <c r="ASU107" s="88"/>
      <c r="ASV107" s="88"/>
      <c r="ASW107" s="88"/>
      <c r="ASX107" s="88"/>
      <c r="ASY107" s="88"/>
      <c r="ASZ107" s="88"/>
      <c r="ATA107" s="88"/>
      <c r="ATB107" s="88"/>
      <c r="ATC107" s="88"/>
      <c r="ATD107" s="88"/>
      <c r="ATE107" s="88"/>
      <c r="ATF107" s="88"/>
      <c r="ATG107" s="88"/>
      <c r="ATH107" s="88"/>
      <c r="ATI107" s="88"/>
      <c r="ATJ107" s="88"/>
      <c r="ATK107" s="88"/>
      <c r="ATL107" s="88"/>
      <c r="ATM107" s="88"/>
      <c r="ATN107" s="88"/>
      <c r="ATO107" s="88"/>
      <c r="ATP107" s="88"/>
      <c r="ATQ107" s="88"/>
      <c r="ATR107" s="88"/>
      <c r="ATS107" s="88"/>
      <c r="ATT107" s="88"/>
      <c r="ATU107" s="88"/>
      <c r="ATV107" s="88"/>
      <c r="ATW107" s="88"/>
      <c r="ATX107" s="88"/>
      <c r="ATY107" s="88"/>
      <c r="ATZ107" s="88"/>
      <c r="AUA107" s="88"/>
      <c r="AUB107" s="88"/>
      <c r="AUC107" s="88"/>
      <c r="AUD107" s="88"/>
      <c r="AUE107" s="88"/>
      <c r="AUF107" s="88"/>
      <c r="AUG107" s="88"/>
      <c r="AUH107" s="88"/>
      <c r="AUI107" s="88"/>
      <c r="AUJ107" s="88"/>
      <c r="AUK107" s="88"/>
      <c r="AUL107" s="88"/>
      <c r="AUM107" s="88"/>
      <c r="AUN107" s="88"/>
      <c r="AUO107" s="88"/>
      <c r="AUP107" s="88"/>
      <c r="AUQ107" s="88"/>
      <c r="AUR107" s="88"/>
      <c r="AUS107" s="88"/>
      <c r="AUT107" s="88"/>
      <c r="AUU107" s="88"/>
      <c r="AUV107" s="88"/>
      <c r="AUW107" s="88"/>
      <c r="AUX107" s="88"/>
      <c r="AUY107" s="88"/>
      <c r="AUZ107" s="88"/>
      <c r="AVA107" s="88"/>
      <c r="AVB107" s="88"/>
      <c r="AVC107" s="88"/>
      <c r="AVD107" s="88"/>
      <c r="AVE107" s="88"/>
      <c r="AVF107" s="88"/>
      <c r="AVG107" s="88"/>
      <c r="AVH107" s="88"/>
      <c r="AVI107" s="88"/>
      <c r="AVJ107" s="88"/>
      <c r="AVK107" s="88"/>
      <c r="AVL107" s="88"/>
      <c r="AVM107" s="88"/>
      <c r="AVN107" s="88"/>
      <c r="AVO107" s="88"/>
      <c r="AVP107" s="88"/>
      <c r="AVQ107" s="88"/>
      <c r="AVR107" s="88"/>
      <c r="AVS107" s="88"/>
      <c r="AVT107" s="88"/>
      <c r="AVU107" s="88"/>
      <c r="AVV107" s="88"/>
      <c r="AVW107" s="88"/>
      <c r="AVX107" s="88"/>
      <c r="AVY107" s="88"/>
      <c r="AVZ107" s="88"/>
      <c r="AWA107" s="88"/>
      <c r="AWB107" s="88"/>
      <c r="AWC107" s="88"/>
      <c r="AWD107" s="88"/>
      <c r="AWE107" s="88"/>
      <c r="AWF107" s="88"/>
      <c r="AWG107" s="88"/>
      <c r="AWH107" s="88"/>
      <c r="AWI107" s="88"/>
      <c r="AWJ107" s="88"/>
      <c r="AWK107" s="88"/>
      <c r="AWL107" s="88"/>
      <c r="AWM107" s="88"/>
      <c r="AWN107" s="88"/>
      <c r="AWO107" s="88"/>
      <c r="AWP107" s="88"/>
      <c r="AWQ107" s="88"/>
      <c r="AWR107" s="88"/>
      <c r="AWS107" s="88"/>
      <c r="AWT107" s="88"/>
      <c r="AWU107" s="88"/>
      <c r="AWV107" s="88"/>
      <c r="AWW107" s="88"/>
      <c r="AWX107" s="88"/>
      <c r="AWY107" s="88"/>
      <c r="AWZ107" s="88"/>
      <c r="AXA107" s="88"/>
      <c r="AXB107" s="88"/>
      <c r="AXC107" s="88"/>
      <c r="AXD107" s="88"/>
      <c r="AXE107" s="88"/>
      <c r="AXF107" s="88"/>
      <c r="AXG107" s="88"/>
      <c r="AXH107" s="88"/>
      <c r="AXI107" s="88"/>
      <c r="AXJ107" s="88"/>
      <c r="AXK107" s="88"/>
      <c r="AXL107" s="88"/>
      <c r="AXM107" s="88"/>
      <c r="AXN107" s="88"/>
      <c r="AXO107" s="88"/>
      <c r="AXP107" s="88"/>
      <c r="AXQ107" s="88"/>
      <c r="AXR107" s="88"/>
      <c r="AXS107" s="88"/>
      <c r="AXT107" s="88"/>
      <c r="AXU107" s="88"/>
      <c r="AXV107" s="88"/>
      <c r="AXW107" s="88"/>
      <c r="AXX107" s="88"/>
      <c r="AXY107" s="88"/>
      <c r="AXZ107" s="88"/>
      <c r="AYA107" s="88"/>
      <c r="AYB107" s="88"/>
      <c r="AYC107" s="88"/>
      <c r="AYD107" s="88"/>
      <c r="AYE107" s="88"/>
      <c r="AYF107" s="88"/>
      <c r="AYG107" s="88"/>
      <c r="AYH107" s="88"/>
      <c r="AYI107" s="88"/>
      <c r="AYJ107" s="88"/>
      <c r="AYK107" s="88"/>
      <c r="AYL107" s="88"/>
      <c r="AYM107" s="88"/>
      <c r="AYN107" s="88"/>
      <c r="AYO107" s="88"/>
      <c r="AYP107" s="88"/>
      <c r="AYQ107" s="88"/>
      <c r="AYR107" s="88"/>
      <c r="AYS107" s="88"/>
      <c r="AYT107" s="88"/>
      <c r="AYU107" s="88"/>
      <c r="AYV107" s="88"/>
      <c r="AYW107" s="88"/>
      <c r="AYX107" s="88"/>
      <c r="AYY107" s="88"/>
      <c r="AYZ107" s="88"/>
      <c r="AZA107" s="88"/>
      <c r="AZB107" s="88"/>
      <c r="AZC107" s="88"/>
      <c r="AZD107" s="88"/>
      <c r="AZE107" s="88"/>
      <c r="AZF107" s="88"/>
      <c r="AZG107" s="88"/>
      <c r="AZH107" s="88"/>
      <c r="AZI107" s="88"/>
      <c r="AZJ107" s="88"/>
      <c r="AZK107" s="88"/>
      <c r="AZL107" s="88"/>
      <c r="AZM107" s="88"/>
      <c r="AZN107" s="88"/>
      <c r="AZO107" s="88"/>
      <c r="AZP107" s="88"/>
      <c r="AZQ107" s="88"/>
      <c r="AZR107" s="88"/>
      <c r="AZS107" s="88"/>
      <c r="AZT107" s="88"/>
      <c r="AZU107" s="88"/>
      <c r="AZV107" s="88"/>
      <c r="AZW107" s="88"/>
      <c r="AZX107" s="88"/>
      <c r="AZY107" s="88"/>
      <c r="AZZ107" s="88"/>
      <c r="BAA107" s="88"/>
      <c r="BAB107" s="88"/>
      <c r="BAC107" s="88"/>
      <c r="BAD107" s="88"/>
      <c r="BAE107" s="88"/>
      <c r="BAF107" s="88"/>
      <c r="BAG107" s="88"/>
      <c r="BAH107" s="88"/>
      <c r="BAI107" s="88"/>
      <c r="BAJ107" s="88"/>
      <c r="BAK107" s="88"/>
      <c r="BAL107" s="88"/>
      <c r="BAM107" s="88"/>
      <c r="BAN107" s="88"/>
      <c r="BAO107" s="88"/>
      <c r="BAP107" s="88"/>
      <c r="BAQ107" s="88"/>
      <c r="BAR107" s="88"/>
      <c r="BAS107" s="88"/>
      <c r="BAT107" s="88"/>
      <c r="BAU107" s="88"/>
      <c r="BAV107" s="88"/>
      <c r="BAW107" s="88"/>
      <c r="BAX107" s="88"/>
      <c r="BAY107" s="88"/>
      <c r="BAZ107" s="88"/>
      <c r="BBA107" s="88"/>
      <c r="BBB107" s="88"/>
      <c r="BBC107" s="88"/>
      <c r="BBD107" s="88"/>
      <c r="BBE107" s="88"/>
      <c r="BBF107" s="88"/>
      <c r="BBG107" s="88"/>
      <c r="BBH107" s="88"/>
      <c r="BBI107" s="88"/>
      <c r="BBJ107" s="88"/>
      <c r="BBK107" s="88"/>
      <c r="BBL107" s="88"/>
      <c r="BBM107" s="88"/>
      <c r="BBN107" s="88"/>
      <c r="BBO107" s="88"/>
      <c r="BBP107" s="88"/>
      <c r="BBQ107" s="88"/>
      <c r="BBR107" s="88"/>
      <c r="BBS107" s="88"/>
      <c r="BBT107" s="88"/>
      <c r="BBU107" s="88"/>
      <c r="BBV107" s="88"/>
      <c r="BBW107" s="88"/>
      <c r="BBX107" s="88"/>
      <c r="BBY107" s="88"/>
      <c r="BBZ107" s="88"/>
      <c r="BCA107" s="88"/>
      <c r="BCB107" s="88"/>
      <c r="BCC107" s="88"/>
      <c r="BCD107" s="88"/>
      <c r="BCE107" s="88"/>
      <c r="BCF107" s="88"/>
      <c r="BCG107" s="88"/>
      <c r="BCH107" s="88"/>
      <c r="BCI107" s="88"/>
      <c r="BCJ107" s="88"/>
      <c r="BCK107" s="88"/>
      <c r="BCL107" s="88"/>
      <c r="BCM107" s="88"/>
      <c r="BCN107" s="88"/>
      <c r="BCO107" s="88"/>
      <c r="BCP107" s="88"/>
      <c r="BCQ107" s="88"/>
      <c r="BCR107" s="88"/>
      <c r="BCS107" s="88"/>
      <c r="BCT107" s="88"/>
      <c r="BCU107" s="88"/>
      <c r="BCV107" s="88"/>
      <c r="BCW107" s="88"/>
      <c r="BCX107" s="88"/>
      <c r="BCY107" s="88"/>
      <c r="BCZ107" s="88"/>
      <c r="BDA107" s="88"/>
      <c r="BDB107" s="88"/>
      <c r="BDC107" s="88"/>
      <c r="BDD107" s="88"/>
      <c r="BDE107" s="88"/>
      <c r="BDF107" s="88"/>
      <c r="BDG107" s="88"/>
      <c r="BDH107" s="88"/>
      <c r="BDI107" s="88"/>
      <c r="BDJ107" s="88"/>
      <c r="BDK107" s="88"/>
      <c r="BDL107" s="88"/>
      <c r="BDM107" s="88"/>
      <c r="BDN107" s="88"/>
      <c r="BDO107" s="88"/>
      <c r="BDP107" s="88"/>
      <c r="BDQ107" s="88"/>
      <c r="BDR107" s="88"/>
      <c r="BDS107" s="88"/>
      <c r="BDT107" s="88"/>
      <c r="BDU107" s="88"/>
      <c r="BDV107" s="88"/>
      <c r="BDW107" s="88"/>
      <c r="BDX107" s="88"/>
      <c r="BDY107" s="88"/>
      <c r="BDZ107" s="88"/>
      <c r="BEA107" s="88"/>
      <c r="BEB107" s="88"/>
      <c r="BEC107" s="88"/>
      <c r="BED107" s="88"/>
      <c r="BEE107" s="88"/>
      <c r="BEF107" s="88"/>
      <c r="BEG107" s="88"/>
      <c r="BEH107" s="88"/>
      <c r="BEI107" s="88"/>
      <c r="BEJ107" s="88"/>
      <c r="BEK107" s="88"/>
      <c r="BEL107" s="88"/>
      <c r="BEM107" s="88"/>
      <c r="BEN107" s="88"/>
      <c r="BEO107" s="88"/>
      <c r="BEP107" s="88"/>
      <c r="BEQ107" s="88"/>
      <c r="BER107" s="88"/>
      <c r="BES107" s="88"/>
      <c r="BET107" s="88"/>
      <c r="BEU107" s="88"/>
      <c r="BEV107" s="88"/>
      <c r="BEW107" s="88"/>
      <c r="BEX107" s="88"/>
      <c r="BEY107" s="88"/>
      <c r="BEZ107" s="88"/>
      <c r="BFA107" s="88"/>
      <c r="BFB107" s="88"/>
      <c r="BFC107" s="88"/>
      <c r="BFD107" s="88"/>
      <c r="BFE107" s="88"/>
      <c r="BFF107" s="88"/>
      <c r="BFG107" s="88"/>
      <c r="BFH107" s="88"/>
      <c r="BFI107" s="88"/>
      <c r="BFJ107" s="88"/>
      <c r="BFK107" s="88"/>
      <c r="BFL107" s="88"/>
      <c r="BFM107" s="88"/>
      <c r="BFN107" s="88"/>
      <c r="BFO107" s="88"/>
      <c r="BFP107" s="88"/>
      <c r="BFQ107" s="88"/>
      <c r="BFR107" s="88"/>
      <c r="BFS107" s="88"/>
      <c r="BFT107" s="88"/>
      <c r="BFU107" s="88"/>
      <c r="BFV107" s="88"/>
      <c r="BFW107" s="88"/>
      <c r="BFX107" s="88"/>
      <c r="BFY107" s="88"/>
      <c r="BFZ107" s="88"/>
      <c r="BGA107" s="88"/>
      <c r="BGB107" s="88"/>
      <c r="BGC107" s="88"/>
      <c r="BGD107" s="88"/>
      <c r="BGE107" s="88"/>
      <c r="BGF107" s="88"/>
      <c r="BGG107" s="88"/>
      <c r="BGH107" s="88"/>
      <c r="BGI107" s="88"/>
      <c r="BGJ107" s="88"/>
      <c r="BGK107" s="88"/>
      <c r="BGL107" s="88"/>
      <c r="BGM107" s="88"/>
      <c r="BGN107" s="88"/>
      <c r="BGO107" s="88"/>
      <c r="BGP107" s="88"/>
      <c r="BGQ107" s="88"/>
      <c r="BGR107" s="88"/>
      <c r="BGS107" s="88"/>
      <c r="BGT107" s="88"/>
      <c r="BGU107" s="88"/>
      <c r="BGV107" s="88"/>
      <c r="BGW107" s="88"/>
      <c r="BGX107" s="88"/>
      <c r="BGY107" s="88"/>
      <c r="BGZ107" s="88"/>
      <c r="BHA107" s="88"/>
      <c r="BHB107" s="88"/>
      <c r="BHC107" s="88"/>
      <c r="BHD107" s="88"/>
      <c r="BHE107" s="88"/>
      <c r="BHF107" s="88"/>
      <c r="BHG107" s="88"/>
      <c r="BHH107" s="88"/>
      <c r="BHI107" s="88"/>
      <c r="BHJ107" s="88"/>
      <c r="BHK107" s="88"/>
      <c r="BHL107" s="88"/>
      <c r="BHM107" s="88"/>
      <c r="BHN107" s="88"/>
      <c r="BHO107" s="88"/>
      <c r="BHP107" s="88"/>
      <c r="BHQ107" s="88"/>
      <c r="BHR107" s="88"/>
      <c r="BHS107" s="88"/>
      <c r="BHT107" s="88"/>
      <c r="BHU107" s="88"/>
      <c r="BHV107" s="88"/>
      <c r="BHW107" s="88"/>
      <c r="BHX107" s="88"/>
      <c r="BHY107" s="88"/>
      <c r="BHZ107" s="88"/>
      <c r="BIA107" s="88"/>
      <c r="BIB107" s="88"/>
      <c r="BIC107" s="88"/>
      <c r="BID107" s="88"/>
      <c r="BIE107" s="88"/>
      <c r="BIF107" s="88"/>
      <c r="BIG107" s="88"/>
      <c r="BIH107" s="88"/>
      <c r="BII107" s="88"/>
      <c r="BIJ107" s="88"/>
      <c r="BIK107" s="88"/>
      <c r="BIL107" s="88"/>
      <c r="BIM107" s="88"/>
      <c r="BIN107" s="88"/>
      <c r="BIO107" s="88"/>
      <c r="BIP107" s="88"/>
      <c r="BIQ107" s="88"/>
      <c r="BIR107" s="88"/>
      <c r="BIS107" s="88"/>
      <c r="BIT107" s="88"/>
      <c r="BIU107" s="88"/>
      <c r="BIV107" s="88"/>
      <c r="BIW107" s="88"/>
      <c r="BIX107" s="88"/>
      <c r="BIY107" s="88"/>
      <c r="BIZ107" s="88"/>
      <c r="BJA107" s="88"/>
      <c r="BJB107" s="88"/>
      <c r="BJC107" s="88"/>
      <c r="BJD107" s="88"/>
      <c r="BJE107" s="88"/>
      <c r="BJF107" s="88"/>
      <c r="BJG107" s="88"/>
      <c r="BJH107" s="88"/>
      <c r="BJI107" s="88"/>
      <c r="BJJ107" s="88"/>
      <c r="BJK107" s="88"/>
      <c r="BJL107" s="88"/>
      <c r="BJM107" s="88"/>
      <c r="BJN107" s="88"/>
      <c r="BJO107" s="88"/>
      <c r="BJP107" s="88"/>
      <c r="BJQ107" s="88"/>
      <c r="BJR107" s="88"/>
      <c r="BJS107" s="88"/>
      <c r="BJT107" s="88"/>
      <c r="BJU107" s="88"/>
      <c r="BJV107" s="88"/>
      <c r="BJW107" s="88"/>
      <c r="BJX107" s="88"/>
      <c r="BJY107" s="88"/>
      <c r="BJZ107" s="88"/>
      <c r="BKA107" s="88"/>
      <c r="BKB107" s="88"/>
      <c r="BKC107" s="88"/>
      <c r="BKD107" s="88"/>
      <c r="BKE107" s="88"/>
      <c r="BKF107" s="88"/>
      <c r="BKG107" s="88"/>
      <c r="BKH107" s="88"/>
      <c r="BKI107" s="88"/>
      <c r="BKJ107" s="88"/>
      <c r="BKK107" s="88"/>
      <c r="BKL107" s="88"/>
      <c r="BKM107" s="88"/>
      <c r="BKN107" s="88"/>
      <c r="BKO107" s="88"/>
      <c r="BKP107" s="88"/>
      <c r="BKQ107" s="88"/>
      <c r="BKR107" s="88"/>
      <c r="BKS107" s="88"/>
      <c r="BKT107" s="88"/>
      <c r="BKU107" s="88"/>
      <c r="BKV107" s="88"/>
      <c r="BKW107" s="88"/>
      <c r="BKX107" s="88"/>
      <c r="BKY107" s="88"/>
      <c r="BKZ107" s="88"/>
      <c r="BLA107" s="88"/>
      <c r="BLB107" s="88"/>
      <c r="BLC107" s="88"/>
      <c r="BLD107" s="88"/>
      <c r="BLE107" s="88"/>
      <c r="BLF107" s="88"/>
      <c r="BLG107" s="88"/>
      <c r="BLH107" s="88"/>
      <c r="BLI107" s="88"/>
      <c r="BLJ107" s="88"/>
      <c r="BLK107" s="88"/>
      <c r="BLL107" s="88"/>
      <c r="BLM107" s="88"/>
      <c r="BLN107" s="88"/>
      <c r="BLO107" s="88"/>
      <c r="BLP107" s="88"/>
      <c r="BLQ107" s="88"/>
      <c r="BLR107" s="88"/>
      <c r="BLS107" s="88"/>
      <c r="BLT107" s="88"/>
      <c r="BLU107" s="88"/>
      <c r="BLV107" s="88"/>
      <c r="BLW107" s="88"/>
      <c r="BLX107" s="88"/>
      <c r="BLY107" s="88"/>
      <c r="BLZ107" s="88"/>
      <c r="BMA107" s="88"/>
      <c r="BMB107" s="88"/>
      <c r="BMC107" s="88"/>
      <c r="BMD107" s="88"/>
      <c r="BME107" s="88"/>
      <c r="BMF107" s="88"/>
      <c r="BMG107" s="88"/>
      <c r="BMH107" s="88"/>
      <c r="BMI107" s="88"/>
      <c r="BMJ107" s="88"/>
      <c r="BMK107" s="88"/>
      <c r="BML107" s="88"/>
      <c r="BMM107" s="88"/>
      <c r="BMN107" s="88"/>
      <c r="BMO107" s="88"/>
      <c r="BMP107" s="88"/>
      <c r="BMQ107" s="88"/>
      <c r="BMR107" s="88"/>
      <c r="BMS107" s="88"/>
      <c r="BMT107" s="88"/>
      <c r="BMU107" s="88"/>
      <c r="BMV107" s="88"/>
      <c r="BMW107" s="88"/>
      <c r="BMX107" s="88"/>
      <c r="BMY107" s="88"/>
      <c r="BMZ107" s="88"/>
      <c r="BNA107" s="88"/>
      <c r="BNB107" s="88"/>
      <c r="BNC107" s="88"/>
      <c r="BND107" s="88"/>
      <c r="BNE107" s="88"/>
      <c r="BNF107" s="88"/>
      <c r="BNG107" s="88"/>
      <c r="BNH107" s="88"/>
      <c r="BNI107" s="88"/>
      <c r="BNJ107" s="88"/>
      <c r="BNK107" s="88"/>
      <c r="BNL107" s="88"/>
      <c r="BNM107" s="88"/>
      <c r="BNN107" s="88"/>
      <c r="BNO107" s="88"/>
      <c r="BNP107" s="88"/>
      <c r="BNQ107" s="88"/>
      <c r="BNR107" s="88"/>
      <c r="BNS107" s="88"/>
      <c r="BNT107" s="88"/>
      <c r="BNU107" s="88"/>
      <c r="BNV107" s="88"/>
      <c r="BNW107" s="88"/>
      <c r="BNX107" s="88"/>
      <c r="BNY107" s="88"/>
      <c r="BNZ107" s="88"/>
      <c r="BOA107" s="88"/>
      <c r="BOB107" s="88"/>
      <c r="BOC107" s="88"/>
      <c r="BOD107" s="88"/>
      <c r="BOE107" s="88"/>
      <c r="BOF107" s="88"/>
      <c r="BOG107" s="88"/>
      <c r="BOH107" s="88"/>
      <c r="BOI107" s="88"/>
      <c r="BOJ107" s="88"/>
      <c r="BOK107" s="88"/>
      <c r="BOL107" s="88"/>
      <c r="BOM107" s="88"/>
      <c r="BON107" s="88"/>
      <c r="BOO107" s="88"/>
      <c r="BOP107" s="88"/>
      <c r="BOQ107" s="88"/>
      <c r="BOR107" s="88"/>
      <c r="BOS107" s="88"/>
      <c r="BOT107" s="88"/>
      <c r="BOU107" s="88"/>
      <c r="BOV107" s="88"/>
      <c r="BOW107" s="88"/>
      <c r="BOX107" s="88"/>
      <c r="BOY107" s="88"/>
      <c r="BOZ107" s="88"/>
      <c r="BPA107" s="88"/>
      <c r="BPB107" s="88"/>
      <c r="BPC107" s="88"/>
      <c r="BPD107" s="88"/>
      <c r="BPE107" s="88"/>
      <c r="BPF107" s="88"/>
      <c r="BPG107" s="88"/>
      <c r="BPH107" s="88"/>
      <c r="BPI107" s="88"/>
      <c r="BPJ107" s="88"/>
      <c r="BPK107" s="88"/>
      <c r="BPL107" s="88"/>
      <c r="BPM107" s="88"/>
      <c r="BPN107" s="88"/>
      <c r="BPO107" s="88"/>
      <c r="BPP107" s="88"/>
      <c r="BPQ107" s="88"/>
      <c r="BPR107" s="88"/>
      <c r="BPS107" s="88"/>
      <c r="BPT107" s="88"/>
      <c r="BPU107" s="88"/>
      <c r="BPV107" s="88"/>
      <c r="BPW107" s="88"/>
      <c r="BPX107" s="88"/>
      <c r="BPY107" s="88"/>
      <c r="BPZ107" s="88"/>
      <c r="BQA107" s="88"/>
      <c r="BQB107" s="88"/>
      <c r="BQC107" s="88"/>
      <c r="BQD107" s="88"/>
      <c r="BQE107" s="88"/>
      <c r="BQF107" s="88"/>
      <c r="BQG107" s="88"/>
      <c r="BQH107" s="88"/>
      <c r="BQI107" s="88"/>
      <c r="BQJ107" s="88"/>
      <c r="BQK107" s="88"/>
      <c r="BQL107" s="88"/>
      <c r="BQM107" s="88"/>
      <c r="BQN107" s="88"/>
      <c r="BQO107" s="88"/>
      <c r="BQP107" s="88"/>
      <c r="BQQ107" s="88"/>
      <c r="BQR107" s="88"/>
      <c r="BQS107" s="88"/>
      <c r="BQT107" s="88"/>
      <c r="BQU107" s="88"/>
      <c r="BQV107" s="88"/>
      <c r="BQW107" s="88"/>
      <c r="BQX107" s="88"/>
      <c r="BQY107" s="88"/>
      <c r="BQZ107" s="88"/>
      <c r="BRA107" s="88"/>
      <c r="BRB107" s="88"/>
      <c r="BRC107" s="88"/>
      <c r="BRD107" s="88"/>
      <c r="BRE107" s="88"/>
      <c r="BRF107" s="88"/>
      <c r="BRG107" s="88"/>
      <c r="BRH107" s="88"/>
      <c r="BRI107" s="88"/>
      <c r="BRJ107" s="88"/>
      <c r="BRK107" s="88"/>
      <c r="BRL107" s="88"/>
      <c r="BRM107" s="88"/>
      <c r="BRN107" s="88"/>
      <c r="BRO107" s="88"/>
      <c r="BRP107" s="88"/>
      <c r="BRQ107" s="88"/>
      <c r="BRR107" s="88"/>
      <c r="BRS107" s="88"/>
      <c r="BRT107" s="88"/>
      <c r="BRU107" s="88"/>
      <c r="BRV107" s="88"/>
      <c r="BRW107" s="88"/>
      <c r="BRX107" s="88"/>
      <c r="BRY107" s="88"/>
      <c r="BRZ107" s="88"/>
      <c r="BSA107" s="88"/>
      <c r="BSB107" s="88"/>
      <c r="BSC107" s="88"/>
      <c r="BSD107" s="88"/>
      <c r="BSE107" s="88"/>
      <c r="BSF107" s="88"/>
      <c r="BSG107" s="88"/>
      <c r="BSH107" s="88"/>
      <c r="BSI107" s="88"/>
      <c r="BSJ107" s="88"/>
      <c r="BSK107" s="88"/>
      <c r="BSL107" s="88"/>
      <c r="BSM107" s="88"/>
      <c r="BSN107" s="88"/>
      <c r="BSO107" s="88"/>
      <c r="BSP107" s="88"/>
      <c r="BSQ107" s="88"/>
      <c r="BSR107" s="88"/>
      <c r="BSS107" s="88"/>
      <c r="BST107" s="88"/>
      <c r="BSU107" s="88"/>
      <c r="BSV107" s="88"/>
      <c r="BSW107" s="88"/>
      <c r="BSX107" s="88"/>
      <c r="BSY107" s="88"/>
      <c r="BSZ107" s="88"/>
      <c r="BTA107" s="88"/>
      <c r="BTB107" s="88"/>
      <c r="BTC107" s="88"/>
      <c r="BTD107" s="88"/>
      <c r="BTE107" s="88"/>
      <c r="BTF107" s="88"/>
      <c r="BTG107" s="88"/>
      <c r="BTH107" s="88"/>
      <c r="BTI107" s="88"/>
      <c r="BTJ107" s="88"/>
      <c r="BTK107" s="88"/>
      <c r="BTL107" s="88"/>
      <c r="BTM107" s="88"/>
      <c r="BTN107" s="88"/>
      <c r="BTO107" s="88"/>
      <c r="BTP107" s="88"/>
      <c r="BTQ107" s="88"/>
      <c r="BTR107" s="88"/>
      <c r="BTS107" s="88"/>
      <c r="BTT107" s="88"/>
      <c r="BTU107" s="88"/>
      <c r="BTV107" s="88"/>
      <c r="BTW107" s="88"/>
      <c r="BTX107" s="88"/>
      <c r="BTY107" s="88"/>
      <c r="BTZ107" s="88"/>
      <c r="BUA107" s="88"/>
      <c r="BUB107" s="88"/>
      <c r="BUC107" s="88"/>
      <c r="BUD107" s="88"/>
      <c r="BUE107" s="88"/>
      <c r="BUF107" s="88"/>
      <c r="BUG107" s="88"/>
      <c r="BUH107" s="88"/>
      <c r="BUI107" s="88"/>
      <c r="BUJ107" s="88"/>
      <c r="BUK107" s="88"/>
      <c r="BUL107" s="88"/>
      <c r="BUM107" s="88"/>
      <c r="BUN107" s="88"/>
      <c r="BUO107" s="88"/>
      <c r="BUP107" s="88"/>
      <c r="BUQ107" s="88"/>
      <c r="BUR107" s="88"/>
      <c r="BUS107" s="88"/>
      <c r="BUT107" s="88"/>
      <c r="BUU107" s="88"/>
      <c r="BUV107" s="88"/>
      <c r="BUW107" s="88"/>
      <c r="BUX107" s="88"/>
      <c r="BUY107" s="88"/>
      <c r="BUZ107" s="88"/>
      <c r="BVA107" s="88"/>
      <c r="BVB107" s="88"/>
      <c r="BVC107" s="88"/>
      <c r="BVD107" s="88"/>
      <c r="BVE107" s="88"/>
      <c r="BVF107" s="88"/>
      <c r="BVG107" s="88"/>
      <c r="BVH107" s="88"/>
      <c r="BVI107" s="88"/>
      <c r="BVJ107" s="88"/>
      <c r="BVK107" s="88"/>
      <c r="BVL107" s="88"/>
      <c r="BVM107" s="88"/>
      <c r="BVN107" s="88"/>
      <c r="BVO107" s="88"/>
      <c r="BVP107" s="88"/>
      <c r="BVQ107" s="88"/>
      <c r="BVR107" s="88"/>
      <c r="BVS107" s="88"/>
      <c r="BVT107" s="88"/>
      <c r="BVU107" s="88"/>
      <c r="BVV107" s="88"/>
      <c r="BVW107" s="88"/>
      <c r="BVX107" s="88"/>
      <c r="BVY107" s="88"/>
      <c r="BVZ107" s="88"/>
      <c r="BWA107" s="88"/>
      <c r="BWB107" s="88"/>
      <c r="BWC107" s="88"/>
      <c r="BWD107" s="88"/>
      <c r="BWE107" s="88"/>
      <c r="BWF107" s="88"/>
      <c r="BWG107" s="88"/>
      <c r="BWH107" s="88"/>
      <c r="BWI107" s="88"/>
      <c r="BWJ107" s="88"/>
      <c r="BWK107" s="88"/>
      <c r="BWL107" s="88"/>
      <c r="BWM107" s="88"/>
      <c r="BWN107" s="88"/>
      <c r="BWO107" s="88"/>
      <c r="BWP107" s="88"/>
      <c r="BWQ107" s="88"/>
      <c r="BWR107" s="88"/>
      <c r="BWS107" s="88"/>
      <c r="BWT107" s="88"/>
      <c r="BWU107" s="88"/>
      <c r="BWV107" s="88"/>
      <c r="BWW107" s="88"/>
      <c r="BWX107" s="88"/>
      <c r="BWY107" s="88"/>
      <c r="BWZ107" s="88"/>
      <c r="BXA107" s="88"/>
      <c r="BXB107" s="88"/>
      <c r="BXC107" s="88"/>
      <c r="BXD107" s="88"/>
      <c r="BXE107" s="88"/>
      <c r="BXF107" s="88"/>
      <c r="BXG107" s="88"/>
      <c r="BXH107" s="88"/>
      <c r="BXI107" s="88"/>
      <c r="BXJ107" s="88"/>
      <c r="BXK107" s="88"/>
      <c r="BXL107" s="88"/>
      <c r="BXM107" s="88"/>
      <c r="BXN107" s="88"/>
      <c r="BXO107" s="88"/>
      <c r="BXP107" s="88"/>
      <c r="BXQ107" s="88"/>
      <c r="BXR107" s="88"/>
      <c r="BXS107" s="88"/>
      <c r="BXT107" s="88"/>
      <c r="BXU107" s="88"/>
      <c r="BXV107" s="88"/>
      <c r="BXW107" s="88"/>
      <c r="BXX107" s="88"/>
      <c r="BXY107" s="88"/>
      <c r="BXZ107" s="88"/>
      <c r="BYA107" s="88"/>
      <c r="BYB107" s="88"/>
      <c r="BYC107" s="88"/>
      <c r="BYD107" s="88"/>
      <c r="BYE107" s="88"/>
      <c r="BYF107" s="88"/>
      <c r="BYG107" s="88"/>
      <c r="BYH107" s="88"/>
      <c r="BYI107" s="88"/>
      <c r="BYJ107" s="88"/>
      <c r="BYK107" s="88"/>
      <c r="BYL107" s="88"/>
      <c r="BYM107" s="88"/>
      <c r="BYN107" s="88"/>
      <c r="BYO107" s="88"/>
      <c r="BYP107" s="88"/>
      <c r="BYQ107" s="88"/>
      <c r="BYR107" s="88"/>
      <c r="BYS107" s="88"/>
      <c r="BYT107" s="88"/>
      <c r="BYU107" s="88"/>
      <c r="BYV107" s="88"/>
      <c r="BYW107" s="88"/>
      <c r="BYX107" s="88"/>
      <c r="BYY107" s="88"/>
      <c r="BYZ107" s="88"/>
      <c r="BZA107" s="88"/>
      <c r="BZB107" s="88"/>
      <c r="BZC107" s="88"/>
      <c r="BZD107" s="88"/>
      <c r="BZE107" s="88"/>
      <c r="BZF107" s="88"/>
      <c r="BZG107" s="88"/>
      <c r="BZH107" s="88"/>
      <c r="BZI107" s="88"/>
      <c r="BZJ107" s="88"/>
      <c r="BZK107" s="88"/>
      <c r="BZL107" s="88"/>
      <c r="BZM107" s="88"/>
      <c r="BZN107" s="88"/>
      <c r="BZO107" s="88"/>
      <c r="BZP107" s="88"/>
      <c r="BZQ107" s="88"/>
      <c r="BZR107" s="88"/>
      <c r="BZS107" s="88"/>
      <c r="BZT107" s="88"/>
      <c r="BZU107" s="88"/>
      <c r="BZV107" s="88"/>
      <c r="BZW107" s="88"/>
      <c r="BZX107" s="88"/>
      <c r="BZY107" s="88"/>
      <c r="BZZ107" s="88"/>
      <c r="CAA107" s="88"/>
      <c r="CAB107" s="88"/>
      <c r="CAC107" s="88"/>
      <c r="CAD107" s="88"/>
      <c r="CAE107" s="88"/>
      <c r="CAF107" s="88"/>
      <c r="CAG107" s="88"/>
      <c r="CAH107" s="88"/>
      <c r="CAI107" s="88"/>
      <c r="CAJ107" s="88"/>
      <c r="CAK107" s="88"/>
      <c r="CAL107" s="88"/>
      <c r="CAM107" s="88"/>
      <c r="CAN107" s="88"/>
      <c r="CAO107" s="88"/>
      <c r="CAP107" s="88"/>
      <c r="CAQ107" s="88"/>
      <c r="CAR107" s="88"/>
      <c r="CAS107" s="88"/>
      <c r="CAT107" s="88"/>
      <c r="CAU107" s="88"/>
      <c r="CAV107" s="88"/>
      <c r="CAW107" s="88"/>
      <c r="CAX107" s="88"/>
      <c r="CAY107" s="88"/>
      <c r="CAZ107" s="88"/>
      <c r="CBA107" s="88"/>
      <c r="CBB107" s="88"/>
      <c r="CBC107" s="88"/>
      <c r="CBD107" s="88"/>
      <c r="CBE107" s="88"/>
      <c r="CBF107" s="88"/>
      <c r="CBG107" s="88"/>
      <c r="CBH107" s="88"/>
      <c r="CBI107" s="88"/>
      <c r="CBJ107" s="88"/>
      <c r="CBK107" s="88"/>
      <c r="CBL107" s="88"/>
      <c r="CBM107" s="88"/>
      <c r="CBN107" s="88"/>
      <c r="CBO107" s="88"/>
      <c r="CBP107" s="88"/>
      <c r="CBQ107" s="88"/>
      <c r="CBR107" s="88"/>
      <c r="CBS107" s="88"/>
      <c r="CBT107" s="88"/>
      <c r="CBU107" s="88"/>
      <c r="CBV107" s="88"/>
      <c r="CBW107" s="88"/>
      <c r="CBX107" s="88"/>
      <c r="CBY107" s="88"/>
      <c r="CBZ107" s="88"/>
      <c r="CCA107" s="88"/>
      <c r="CCB107" s="88"/>
      <c r="CCC107" s="88"/>
      <c r="CCD107" s="88"/>
      <c r="CCE107" s="88"/>
      <c r="CCF107" s="88"/>
      <c r="CCG107" s="88"/>
      <c r="CCH107" s="88"/>
      <c r="CCI107" s="88"/>
      <c r="CCJ107" s="88"/>
      <c r="CCK107" s="88"/>
      <c r="CCL107" s="88"/>
      <c r="CCM107" s="88"/>
      <c r="CCN107" s="88"/>
      <c r="CCO107" s="88"/>
      <c r="CCP107" s="88"/>
      <c r="CCQ107" s="88"/>
      <c r="CCR107" s="88"/>
      <c r="CCS107" s="88"/>
      <c r="CCT107" s="88"/>
      <c r="CCU107" s="88"/>
      <c r="CCV107" s="88"/>
      <c r="CCW107" s="88"/>
      <c r="CCX107" s="88"/>
      <c r="CCY107" s="88"/>
      <c r="CCZ107" s="88"/>
      <c r="CDA107" s="88"/>
      <c r="CDB107" s="88"/>
      <c r="CDC107" s="88"/>
      <c r="CDD107" s="88"/>
      <c r="CDE107" s="88"/>
      <c r="CDF107" s="88"/>
      <c r="CDG107" s="88"/>
      <c r="CDH107" s="88"/>
      <c r="CDI107" s="88"/>
      <c r="CDJ107" s="88"/>
      <c r="CDK107" s="88"/>
      <c r="CDL107" s="88"/>
      <c r="CDM107" s="88"/>
      <c r="CDN107" s="88"/>
      <c r="CDO107" s="88"/>
      <c r="CDP107" s="88"/>
      <c r="CDQ107" s="88"/>
      <c r="CDR107" s="88"/>
      <c r="CDS107" s="88"/>
      <c r="CDT107" s="88"/>
      <c r="CDU107" s="88"/>
      <c r="CDV107" s="88"/>
      <c r="CDW107" s="88"/>
      <c r="CDX107" s="88"/>
      <c r="CDY107" s="88"/>
      <c r="CDZ107" s="88"/>
      <c r="CEA107" s="88"/>
      <c r="CEB107" s="88"/>
      <c r="CEC107" s="88"/>
      <c r="CED107" s="88"/>
      <c r="CEE107" s="88"/>
      <c r="CEF107" s="88"/>
      <c r="CEG107" s="88"/>
      <c r="CEH107" s="88"/>
      <c r="CEI107" s="88"/>
      <c r="CEJ107" s="88"/>
      <c r="CEK107" s="88"/>
    </row>
    <row r="108" spans="1:2169" s="51" customFormat="1">
      <c r="A108" s="72" t="s">
        <v>2881</v>
      </c>
      <c r="B108" s="72" t="s">
        <v>2882</v>
      </c>
      <c r="C108" s="69" t="str">
        <f>IF('page 2'!$O$4="","",IF('page 2'!$O$4=Gestion!A108,1,0))</f>
        <v/>
      </c>
      <c r="D108" s="69" t="str">
        <f>IF('page 2'!$O$5="","",IF('page 2'!$O$5=Gestion!A108,1,0))</f>
        <v/>
      </c>
      <c r="E108" s="69" t="str">
        <f>IF('page 2'!$O$6="","",IF('page 2'!$O$6=Gestion!A108,1,0))</f>
        <v/>
      </c>
      <c r="F108" s="69" t="str">
        <f>IF('page 2'!$O$7="","",IF('page 2'!$O$7=Gestion!A108,1,0))</f>
        <v/>
      </c>
      <c r="G108" s="69" t="str">
        <f>IF('page 2'!$O$8="","",IF('page 2'!$O$8=Gestion!A108,1,0))</f>
        <v/>
      </c>
      <c r="H108" s="69" t="str">
        <f>IF('page 2'!$O$9="","",IF('page 2'!$O$9=Gestion!A108,1,0))</f>
        <v/>
      </c>
      <c r="I108" s="69" t="str">
        <f>IF('page 2'!$O$10="","",IF('page 2'!$O$10=Gestion!A108,1,0))</f>
        <v/>
      </c>
      <c r="J108" s="69" t="str">
        <f>IF('page 2'!$O$11="","",IF('page 2'!$O$11=Gestion!A108,1,0))</f>
        <v/>
      </c>
      <c r="K108" s="69" t="str">
        <f>IF('page 2'!$O$12="","",IF('page 2'!$O$12=Gestion!A108,1,0))</f>
        <v/>
      </c>
      <c r="L108" s="69" t="str">
        <f>IF('page 2'!$O$13="","",IF('page 2'!$O$13=Gestion!A108,1,0))</f>
        <v/>
      </c>
      <c r="M108" s="69" t="str">
        <f>IF('page 2'!$O$14="","",IF('page 2'!$O$14=Gestion!A108,1,0))</f>
        <v/>
      </c>
      <c r="N108" s="69" t="str">
        <f>IF('page 2'!$O$15="","",IF('page 2'!$O$15=Gestion!A108,1,0))</f>
        <v/>
      </c>
      <c r="O108" s="69" t="str">
        <f>IF('page 2'!$O$16="","",IF('page 2'!$O$16=Gestion!A107,1,0))</f>
        <v/>
      </c>
      <c r="P108" s="69" t="str">
        <f>IF('page 2'!$O$17="","",IF('page 2'!$O$17=Gestion!A108,1,0))</f>
        <v/>
      </c>
      <c r="Q108" s="69" t="str">
        <f>IF('page 2'!$O$18="","",IF('page 2'!$O$18=Gestion!A108,1,0))</f>
        <v/>
      </c>
      <c r="R108" s="69" t="str">
        <f>IF('page 2'!$O$19="","",IF('page 2'!$O$19=Gestion!A108,1,0))</f>
        <v/>
      </c>
      <c r="S108" s="69" t="str">
        <f>IF('page 2'!$O$20="","",IF('page 2'!$O$20=Gestion!A108,1,0))</f>
        <v/>
      </c>
      <c r="T108" s="69" t="str">
        <f>IF('page 2'!$O$25="","",IF('page 2'!$O$25=Gestion!A108,1,0))</f>
        <v/>
      </c>
      <c r="U108" s="69" t="str">
        <f>IF('page 2'!$O$26="","",IF('page 2'!$O$26=Gestion!A108,1,0))</f>
        <v/>
      </c>
      <c r="V108" s="69" t="str">
        <f>IF('page 2'!$O$27="","",IF('page 2'!$O$27=Gestion!A108,1,0))</f>
        <v/>
      </c>
      <c r="W108" s="723">
        <f t="shared" si="14"/>
        <v>0</v>
      </c>
      <c r="X108" s="713"/>
      <c r="Y108" s="69"/>
      <c r="Z108" s="69"/>
      <c r="AA108" s="69"/>
      <c r="AB108" s="542"/>
      <c r="AC108" s="542"/>
      <c r="AD108" s="542"/>
      <c r="AE108" s="88"/>
      <c r="AP108" s="130"/>
      <c r="AQ108" s="130"/>
      <c r="AR108" s="130"/>
      <c r="AS108" s="602"/>
      <c r="AT108" s="602"/>
      <c r="AU108" s="602"/>
      <c r="AV108" s="602"/>
      <c r="AW108" s="602"/>
      <c r="AX108" s="602"/>
      <c r="AY108" s="602"/>
      <c r="AZ108" s="602"/>
      <c r="BA108" s="602"/>
      <c r="BB108" s="602"/>
      <c r="BC108" s="602"/>
      <c r="BD108" s="602"/>
      <c r="BE108" s="602"/>
      <c r="BF108" s="602"/>
      <c r="BG108" s="602"/>
      <c r="BH108" s="602"/>
      <c r="BI108" s="602"/>
      <c r="BJ108" s="602"/>
      <c r="BK108" s="602"/>
      <c r="BL108" s="602"/>
      <c r="BM108" s="602"/>
      <c r="BN108" s="602"/>
      <c r="BO108" s="602"/>
      <c r="BP108" s="602"/>
      <c r="BQ108" s="602"/>
      <c r="BR108" s="602"/>
      <c r="BS108" s="602"/>
      <c r="BT108" s="602"/>
      <c r="BU108" s="602"/>
      <c r="BV108" s="602"/>
      <c r="BW108" s="602"/>
      <c r="BX108" s="602"/>
      <c r="BY108" s="602"/>
      <c r="BZ108" s="602"/>
      <c r="CA108" s="602"/>
      <c r="CB108" s="602"/>
      <c r="CC108" s="602"/>
      <c r="CD108" s="602"/>
      <c r="CE108" s="602"/>
      <c r="CF108" s="602"/>
      <c r="CG108" s="602"/>
      <c r="CH108" s="602"/>
      <c r="CI108" s="602"/>
      <c r="CJ108" s="602"/>
      <c r="CK108" s="602"/>
      <c r="CL108" s="602"/>
      <c r="CM108" s="602"/>
      <c r="CN108" s="602"/>
      <c r="CO108" s="602"/>
      <c r="CP108" s="602"/>
      <c r="CQ108" s="602"/>
      <c r="CR108" s="602"/>
      <c r="CS108" s="602"/>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c r="HF108" s="88"/>
      <c r="HG108" s="88"/>
      <c r="HH108" s="88"/>
      <c r="HI108" s="88"/>
      <c r="HJ108" s="88"/>
      <c r="HK108" s="88"/>
      <c r="HL108" s="88"/>
      <c r="HM108" s="88"/>
      <c r="HN108" s="88"/>
      <c r="HO108" s="88"/>
      <c r="HP108" s="88"/>
      <c r="HQ108" s="88"/>
      <c r="HR108" s="88"/>
      <c r="HS108" s="88"/>
      <c r="HT108" s="88"/>
      <c r="HU108" s="88"/>
      <c r="HV108" s="88"/>
      <c r="HW108" s="88"/>
      <c r="HX108" s="88"/>
      <c r="HY108" s="88"/>
      <c r="HZ108" s="88"/>
      <c r="IA108" s="88"/>
      <c r="IB108" s="88"/>
      <c r="IC108" s="88"/>
      <c r="ID108" s="88"/>
      <c r="IE108" s="88"/>
      <c r="IF108" s="88"/>
      <c r="IG108" s="88"/>
      <c r="IH108" s="88"/>
      <c r="II108" s="88"/>
      <c r="IJ108" s="88"/>
      <c r="IK108" s="88"/>
      <c r="IL108" s="88"/>
      <c r="IM108" s="88"/>
      <c r="IN108" s="88"/>
      <c r="IO108" s="88"/>
      <c r="IP108" s="88"/>
      <c r="IQ108" s="88"/>
      <c r="IR108" s="88"/>
      <c r="IS108" s="88"/>
      <c r="IT108" s="88"/>
      <c r="IU108" s="88"/>
      <c r="IV108" s="88"/>
      <c r="IW108" s="88"/>
      <c r="IX108" s="88"/>
      <c r="IY108" s="88"/>
      <c r="IZ108" s="88"/>
      <c r="JA108" s="88"/>
      <c r="JB108" s="88"/>
      <c r="JC108" s="88"/>
      <c r="JD108" s="88"/>
      <c r="JE108" s="88"/>
      <c r="JF108" s="88"/>
      <c r="JG108" s="88"/>
      <c r="JH108" s="88"/>
      <c r="JI108" s="88"/>
      <c r="JJ108" s="88"/>
      <c r="JK108" s="88"/>
      <c r="JL108" s="88"/>
      <c r="JM108" s="88"/>
      <c r="JN108" s="88"/>
      <c r="JO108" s="88"/>
      <c r="JP108" s="88"/>
      <c r="JQ108" s="88"/>
      <c r="JR108" s="88"/>
      <c r="JS108" s="88"/>
      <c r="JT108" s="88"/>
      <c r="JU108" s="88"/>
      <c r="JV108" s="88"/>
      <c r="JW108" s="88"/>
      <c r="JX108" s="88"/>
      <c r="JY108" s="88"/>
      <c r="JZ108" s="88"/>
      <c r="KA108" s="88"/>
      <c r="KB108" s="88"/>
      <c r="KC108" s="88"/>
      <c r="KD108" s="88"/>
      <c r="KE108" s="88"/>
      <c r="KF108" s="88"/>
      <c r="KG108" s="88"/>
      <c r="KH108" s="88"/>
      <c r="KI108" s="88"/>
      <c r="KJ108" s="88"/>
      <c r="KK108" s="88"/>
      <c r="KL108" s="88"/>
      <c r="KM108" s="88"/>
      <c r="KN108" s="88"/>
      <c r="KO108" s="88"/>
      <c r="KP108" s="88"/>
      <c r="KQ108" s="88"/>
      <c r="KR108" s="88"/>
      <c r="KS108" s="88"/>
      <c r="KT108" s="88"/>
      <c r="KU108" s="88"/>
      <c r="KV108" s="88"/>
      <c r="KW108" s="88"/>
      <c r="KX108" s="88"/>
      <c r="KY108" s="88"/>
      <c r="KZ108" s="88"/>
      <c r="LA108" s="88"/>
      <c r="LB108" s="88"/>
      <c r="LC108" s="88"/>
      <c r="LD108" s="88"/>
      <c r="LE108" s="88"/>
      <c r="LF108" s="88"/>
      <c r="LG108" s="88"/>
      <c r="LH108" s="88"/>
      <c r="LI108" s="88"/>
      <c r="LJ108" s="88"/>
      <c r="LK108" s="88"/>
      <c r="LL108" s="88"/>
      <c r="LM108" s="88"/>
      <c r="LN108" s="88"/>
      <c r="LO108" s="88"/>
      <c r="LP108" s="88"/>
      <c r="LQ108" s="88"/>
      <c r="LR108" s="88"/>
      <c r="LS108" s="88"/>
      <c r="LT108" s="88"/>
      <c r="LU108" s="88"/>
      <c r="LV108" s="88"/>
      <c r="LW108" s="88"/>
      <c r="LX108" s="88"/>
      <c r="LY108" s="88"/>
      <c r="LZ108" s="88"/>
      <c r="MA108" s="88"/>
      <c r="MB108" s="88"/>
      <c r="MC108" s="88"/>
      <c r="MD108" s="88"/>
      <c r="ME108" s="88"/>
      <c r="MF108" s="88"/>
      <c r="MG108" s="88"/>
      <c r="MH108" s="88"/>
      <c r="MI108" s="88"/>
      <c r="MJ108" s="88"/>
      <c r="MK108" s="88"/>
      <c r="ML108" s="88"/>
      <c r="MM108" s="88"/>
      <c r="MN108" s="88"/>
      <c r="MO108" s="88"/>
      <c r="MP108" s="88"/>
      <c r="MQ108" s="88"/>
      <c r="MR108" s="88"/>
      <c r="MS108" s="88"/>
      <c r="MT108" s="88"/>
      <c r="MU108" s="88"/>
      <c r="MV108" s="88"/>
      <c r="MW108" s="88"/>
      <c r="MX108" s="88"/>
      <c r="MY108" s="88"/>
      <c r="MZ108" s="88"/>
      <c r="NA108" s="88"/>
      <c r="NB108" s="88"/>
      <c r="NC108" s="88"/>
      <c r="ND108" s="88"/>
      <c r="NE108" s="88"/>
      <c r="NF108" s="88"/>
      <c r="NG108" s="88"/>
      <c r="NH108" s="88"/>
      <c r="NI108" s="88"/>
      <c r="NJ108" s="88"/>
      <c r="NK108" s="88"/>
      <c r="NL108" s="88"/>
      <c r="NM108" s="88"/>
      <c r="NN108" s="88"/>
      <c r="NO108" s="88"/>
      <c r="NP108" s="88"/>
      <c r="NQ108" s="88"/>
      <c r="NR108" s="88"/>
      <c r="NS108" s="88"/>
      <c r="NT108" s="88"/>
      <c r="NU108" s="88"/>
      <c r="NV108" s="88"/>
      <c r="NW108" s="88"/>
      <c r="NX108" s="88"/>
      <c r="NY108" s="88"/>
      <c r="NZ108" s="88"/>
      <c r="OA108" s="88"/>
      <c r="OB108" s="88"/>
      <c r="OC108" s="88"/>
      <c r="OD108" s="88"/>
      <c r="OE108" s="88"/>
      <c r="OF108" s="88"/>
      <c r="OG108" s="88"/>
      <c r="OH108" s="88"/>
      <c r="OI108" s="88"/>
      <c r="OJ108" s="88"/>
      <c r="OK108" s="88"/>
      <c r="OL108" s="88"/>
      <c r="OM108" s="88"/>
      <c r="ON108" s="88"/>
      <c r="OO108" s="88"/>
      <c r="OP108" s="88"/>
      <c r="OQ108" s="88"/>
      <c r="OR108" s="88"/>
      <c r="OS108" s="88"/>
      <c r="OT108" s="88"/>
      <c r="OU108" s="88"/>
      <c r="OV108" s="88"/>
      <c r="OW108" s="88"/>
      <c r="OX108" s="88"/>
      <c r="OY108" s="88"/>
      <c r="OZ108" s="88"/>
      <c r="PA108" s="88"/>
      <c r="PB108" s="88"/>
      <c r="PC108" s="88"/>
      <c r="PD108" s="88"/>
      <c r="PE108" s="88"/>
      <c r="PF108" s="88"/>
      <c r="PG108" s="88"/>
      <c r="PH108" s="88"/>
      <c r="PI108" s="88"/>
      <c r="PJ108" s="88"/>
      <c r="PK108" s="88"/>
      <c r="PL108" s="88"/>
      <c r="PM108" s="88"/>
      <c r="PN108" s="88"/>
      <c r="PO108" s="88"/>
      <c r="PP108" s="88"/>
      <c r="PQ108" s="88"/>
      <c r="PR108" s="88"/>
      <c r="PS108" s="88"/>
      <c r="PT108" s="88"/>
      <c r="PU108" s="88"/>
      <c r="PV108" s="88"/>
      <c r="PW108" s="88"/>
      <c r="PX108" s="88"/>
      <c r="PY108" s="88"/>
      <c r="PZ108" s="88"/>
      <c r="QA108" s="88"/>
      <c r="QB108" s="88"/>
      <c r="QC108" s="88"/>
      <c r="QD108" s="88"/>
      <c r="QE108" s="88"/>
      <c r="QF108" s="88"/>
      <c r="QG108" s="88"/>
      <c r="QH108" s="88"/>
      <c r="QI108" s="88"/>
      <c r="QJ108" s="88"/>
      <c r="QK108" s="88"/>
      <c r="QL108" s="88"/>
      <c r="QM108" s="88"/>
      <c r="QN108" s="88"/>
      <c r="QO108" s="88"/>
      <c r="QP108" s="88"/>
      <c r="QQ108" s="88"/>
      <c r="QR108" s="88"/>
      <c r="QS108" s="88"/>
      <c r="QT108" s="88"/>
      <c r="QU108" s="88"/>
      <c r="QV108" s="88"/>
      <c r="QW108" s="88"/>
      <c r="QX108" s="88"/>
      <c r="QY108" s="88"/>
      <c r="QZ108" s="88"/>
      <c r="RA108" s="88"/>
      <c r="RB108" s="88"/>
      <c r="RC108" s="88"/>
      <c r="RD108" s="88"/>
      <c r="RE108" s="88"/>
      <c r="RF108" s="88"/>
      <c r="RG108" s="88"/>
      <c r="RH108" s="88"/>
      <c r="RI108" s="88"/>
      <c r="RJ108" s="88"/>
      <c r="RK108" s="88"/>
      <c r="RL108" s="88"/>
      <c r="RM108" s="88"/>
      <c r="RN108" s="88"/>
      <c r="RO108" s="88"/>
      <c r="RP108" s="88"/>
      <c r="RQ108" s="88"/>
      <c r="RR108" s="88"/>
      <c r="RS108" s="88"/>
      <c r="RT108" s="88"/>
      <c r="RU108" s="88"/>
      <c r="RV108" s="88"/>
      <c r="RW108" s="88"/>
      <c r="RX108" s="88"/>
      <c r="RY108" s="88"/>
      <c r="RZ108" s="88"/>
      <c r="SA108" s="88"/>
      <c r="SB108" s="88"/>
      <c r="SC108" s="88"/>
      <c r="SD108" s="88"/>
      <c r="SE108" s="88"/>
      <c r="SF108" s="88"/>
      <c r="SG108" s="88"/>
      <c r="SH108" s="88"/>
      <c r="SI108" s="88"/>
      <c r="SJ108" s="88"/>
      <c r="SK108" s="88"/>
      <c r="SL108" s="88"/>
      <c r="SM108" s="88"/>
      <c r="SN108" s="88"/>
      <c r="SO108" s="88"/>
      <c r="SP108" s="88"/>
      <c r="SQ108" s="88"/>
      <c r="SR108" s="88"/>
      <c r="SS108" s="88"/>
      <c r="ST108" s="88"/>
      <c r="SU108" s="88"/>
      <c r="SV108" s="88"/>
      <c r="SW108" s="88"/>
      <c r="SX108" s="88"/>
      <c r="SY108" s="88"/>
      <c r="SZ108" s="88"/>
      <c r="TA108" s="88"/>
      <c r="TB108" s="88"/>
      <c r="TC108" s="88"/>
      <c r="TD108" s="88"/>
      <c r="TE108" s="88"/>
      <c r="TF108" s="88"/>
      <c r="TG108" s="88"/>
      <c r="TH108" s="88"/>
      <c r="TI108" s="88"/>
      <c r="TJ108" s="88"/>
      <c r="TK108" s="88"/>
      <c r="TL108" s="88"/>
      <c r="TM108" s="88"/>
      <c r="TN108" s="88"/>
      <c r="TO108" s="88"/>
      <c r="TP108" s="88"/>
      <c r="TQ108" s="88"/>
      <c r="TR108" s="88"/>
      <c r="TS108" s="88"/>
      <c r="TT108" s="88"/>
      <c r="TU108" s="88"/>
      <c r="TV108" s="88"/>
      <c r="TW108" s="88"/>
      <c r="TX108" s="88"/>
      <c r="TY108" s="88"/>
      <c r="TZ108" s="88"/>
      <c r="UA108" s="88"/>
      <c r="UB108" s="88"/>
      <c r="UC108" s="88"/>
      <c r="UD108" s="88"/>
      <c r="UE108" s="88"/>
      <c r="UF108" s="88"/>
      <c r="UG108" s="88"/>
      <c r="UH108" s="88"/>
      <c r="UI108" s="88"/>
      <c r="UJ108" s="88"/>
      <c r="UK108" s="88"/>
      <c r="UL108" s="88"/>
      <c r="UM108" s="88"/>
      <c r="UN108" s="88"/>
      <c r="UO108" s="88"/>
      <c r="UP108" s="88"/>
      <c r="UQ108" s="88"/>
      <c r="UR108" s="88"/>
      <c r="US108" s="88"/>
      <c r="UT108" s="88"/>
      <c r="UU108" s="88"/>
      <c r="UV108" s="88"/>
      <c r="UW108" s="88"/>
      <c r="UX108" s="88"/>
      <c r="UY108" s="88"/>
      <c r="UZ108" s="88"/>
      <c r="VA108" s="88"/>
      <c r="VB108" s="88"/>
      <c r="VC108" s="88"/>
      <c r="VD108" s="88"/>
      <c r="VE108" s="88"/>
      <c r="VF108" s="88"/>
      <c r="VG108" s="88"/>
      <c r="VH108" s="88"/>
      <c r="VI108" s="88"/>
      <c r="VJ108" s="88"/>
      <c r="VK108" s="88"/>
      <c r="VL108" s="88"/>
      <c r="VM108" s="88"/>
      <c r="VN108" s="88"/>
      <c r="VO108" s="88"/>
      <c r="VP108" s="88"/>
      <c r="VQ108" s="88"/>
      <c r="VR108" s="88"/>
      <c r="VS108" s="88"/>
      <c r="VT108" s="88"/>
      <c r="VU108" s="88"/>
      <c r="VV108" s="88"/>
      <c r="VW108" s="88"/>
      <c r="VX108" s="88"/>
      <c r="VY108" s="88"/>
      <c r="VZ108" s="88"/>
      <c r="WA108" s="88"/>
      <c r="WB108" s="88"/>
      <c r="WC108" s="88"/>
      <c r="WD108" s="88"/>
      <c r="WE108" s="88"/>
      <c r="WF108" s="88"/>
      <c r="WG108" s="88"/>
      <c r="WH108" s="88"/>
      <c r="WI108" s="88"/>
      <c r="WJ108" s="88"/>
      <c r="WK108" s="88"/>
      <c r="WL108" s="88"/>
      <c r="WM108" s="88"/>
      <c r="WN108" s="88"/>
      <c r="WO108" s="88"/>
      <c r="WP108" s="88"/>
      <c r="WQ108" s="88"/>
      <c r="WR108" s="88"/>
      <c r="WS108" s="88"/>
      <c r="WT108" s="88"/>
      <c r="WU108" s="88"/>
      <c r="WV108" s="88"/>
      <c r="WW108" s="88"/>
      <c r="WX108" s="88"/>
      <c r="WY108" s="88"/>
      <c r="WZ108" s="88"/>
      <c r="XA108" s="88"/>
      <c r="XB108" s="88"/>
      <c r="XC108" s="88"/>
      <c r="XD108" s="88"/>
      <c r="XE108" s="88"/>
      <c r="XF108" s="88"/>
      <c r="XG108" s="88"/>
      <c r="XH108" s="88"/>
      <c r="XI108" s="88"/>
      <c r="XJ108" s="88"/>
      <c r="XK108" s="88"/>
      <c r="XL108" s="88"/>
      <c r="XM108" s="88"/>
      <c r="XN108" s="88"/>
      <c r="XO108" s="88"/>
      <c r="XP108" s="88"/>
      <c r="XQ108" s="88"/>
      <c r="XR108" s="88"/>
      <c r="XS108" s="88"/>
      <c r="XT108" s="88"/>
      <c r="XU108" s="88"/>
      <c r="XV108" s="88"/>
      <c r="XW108" s="88"/>
      <c r="XX108" s="88"/>
      <c r="XY108" s="88"/>
      <c r="XZ108" s="88"/>
      <c r="YA108" s="88"/>
      <c r="YB108" s="88"/>
      <c r="YC108" s="88"/>
      <c r="YD108" s="88"/>
      <c r="YE108" s="88"/>
      <c r="YF108" s="88"/>
      <c r="YG108" s="88"/>
      <c r="YH108" s="88"/>
      <c r="YI108" s="88"/>
      <c r="YJ108" s="88"/>
      <c r="YK108" s="88"/>
      <c r="YL108" s="88"/>
      <c r="YM108" s="88"/>
      <c r="YN108" s="88"/>
      <c r="YO108" s="88"/>
      <c r="YP108" s="88"/>
      <c r="YQ108" s="88"/>
      <c r="YR108" s="88"/>
      <c r="YS108" s="88"/>
      <c r="YT108" s="88"/>
      <c r="YU108" s="88"/>
      <c r="YV108" s="88"/>
      <c r="YW108" s="88"/>
      <c r="YX108" s="88"/>
      <c r="YY108" s="88"/>
      <c r="YZ108" s="88"/>
      <c r="ZA108" s="88"/>
      <c r="ZB108" s="88"/>
      <c r="ZC108" s="88"/>
      <c r="ZD108" s="88"/>
      <c r="ZE108" s="88"/>
      <c r="ZF108" s="88"/>
      <c r="ZG108" s="88"/>
      <c r="ZH108" s="88"/>
      <c r="ZI108" s="88"/>
      <c r="ZJ108" s="88"/>
      <c r="ZK108" s="88"/>
      <c r="ZL108" s="88"/>
      <c r="ZM108" s="88"/>
      <c r="ZN108" s="88"/>
      <c r="ZO108" s="88"/>
      <c r="ZP108" s="88"/>
      <c r="ZQ108" s="88"/>
      <c r="ZR108" s="88"/>
      <c r="ZS108" s="88"/>
      <c r="ZT108" s="88"/>
      <c r="ZU108" s="88"/>
      <c r="ZV108" s="88"/>
      <c r="ZW108" s="88"/>
      <c r="ZX108" s="88"/>
      <c r="ZY108" s="88"/>
      <c r="ZZ108" s="88"/>
      <c r="AAA108" s="88"/>
      <c r="AAB108" s="88"/>
      <c r="AAC108" s="88"/>
      <c r="AAD108" s="88"/>
      <c r="AAE108" s="88"/>
      <c r="AAF108" s="88"/>
      <c r="AAG108" s="88"/>
      <c r="AAH108" s="88"/>
      <c r="AAI108" s="88"/>
      <c r="AAJ108" s="88"/>
      <c r="AAK108" s="88"/>
      <c r="AAL108" s="88"/>
      <c r="AAM108" s="88"/>
      <c r="AAN108" s="88"/>
      <c r="AAO108" s="88"/>
      <c r="AAP108" s="88"/>
      <c r="AAQ108" s="88"/>
      <c r="AAR108" s="88"/>
      <c r="AAS108" s="88"/>
      <c r="AAT108" s="88"/>
      <c r="AAU108" s="88"/>
      <c r="AAV108" s="88"/>
      <c r="AAW108" s="88"/>
      <c r="AAX108" s="88"/>
      <c r="AAY108" s="88"/>
      <c r="AAZ108" s="88"/>
      <c r="ABA108" s="88"/>
      <c r="ABB108" s="88"/>
      <c r="ABC108" s="88"/>
      <c r="ABD108" s="88"/>
      <c r="ABE108" s="88"/>
      <c r="ABF108" s="88"/>
      <c r="ABG108" s="88"/>
      <c r="ABH108" s="88"/>
      <c r="ABI108" s="88"/>
      <c r="ABJ108" s="88"/>
      <c r="ABK108" s="88"/>
      <c r="ABL108" s="88"/>
      <c r="ABM108" s="88"/>
      <c r="ABN108" s="88"/>
      <c r="ABO108" s="88"/>
      <c r="ABP108" s="88"/>
      <c r="ABQ108" s="88"/>
      <c r="ABR108" s="88"/>
      <c r="ABS108" s="88"/>
      <c r="ABT108" s="88"/>
      <c r="ABU108" s="88"/>
      <c r="ABV108" s="88"/>
      <c r="ABW108" s="88"/>
      <c r="ABX108" s="88"/>
      <c r="ABY108" s="88"/>
      <c r="ABZ108" s="88"/>
      <c r="ACA108" s="88"/>
      <c r="ACB108" s="88"/>
      <c r="ACC108" s="88"/>
      <c r="ACD108" s="88"/>
      <c r="ACE108" s="88"/>
      <c r="ACF108" s="88"/>
      <c r="ACG108" s="88"/>
      <c r="ACH108" s="88"/>
      <c r="ACI108" s="88"/>
      <c r="ACJ108" s="88"/>
      <c r="ACK108" s="88"/>
      <c r="ACL108" s="88"/>
      <c r="ACM108" s="88"/>
      <c r="ACN108" s="88"/>
      <c r="ACO108" s="88"/>
      <c r="ACP108" s="88"/>
      <c r="ACQ108" s="88"/>
      <c r="ACR108" s="88"/>
      <c r="ACS108" s="88"/>
      <c r="ACT108" s="88"/>
      <c r="ACU108" s="88"/>
      <c r="ACV108" s="88"/>
      <c r="ACW108" s="88"/>
      <c r="ACX108" s="88"/>
      <c r="ACY108" s="88"/>
      <c r="ACZ108" s="88"/>
      <c r="ADA108" s="88"/>
      <c r="ADB108" s="88"/>
      <c r="ADC108" s="88"/>
      <c r="ADD108" s="88"/>
      <c r="ADE108" s="88"/>
      <c r="ADF108" s="88"/>
      <c r="ADG108" s="88"/>
      <c r="ADH108" s="88"/>
      <c r="ADI108" s="88"/>
      <c r="ADJ108" s="88"/>
      <c r="ADK108" s="88"/>
      <c r="ADL108" s="88"/>
      <c r="ADM108" s="88"/>
      <c r="ADN108" s="88"/>
      <c r="ADO108" s="88"/>
      <c r="ADP108" s="88"/>
      <c r="ADQ108" s="88"/>
      <c r="ADR108" s="88"/>
      <c r="ADS108" s="88"/>
      <c r="ADT108" s="88"/>
      <c r="ADU108" s="88"/>
      <c r="ADV108" s="88"/>
      <c r="ADW108" s="88"/>
      <c r="ADX108" s="88"/>
      <c r="ADY108" s="88"/>
      <c r="ADZ108" s="88"/>
      <c r="AEA108" s="88"/>
      <c r="AEB108" s="88"/>
      <c r="AEC108" s="88"/>
      <c r="AED108" s="88"/>
      <c r="AEE108" s="88"/>
      <c r="AEF108" s="88"/>
      <c r="AEG108" s="88"/>
      <c r="AEH108" s="88"/>
      <c r="AEI108" s="88"/>
      <c r="AEJ108" s="88"/>
      <c r="AEK108" s="88"/>
      <c r="AEL108" s="88"/>
      <c r="AEM108" s="88"/>
      <c r="AEN108" s="88"/>
      <c r="AEO108" s="88"/>
      <c r="AEP108" s="88"/>
      <c r="AEQ108" s="88"/>
      <c r="AER108" s="88"/>
      <c r="AES108" s="88"/>
      <c r="AET108" s="88"/>
      <c r="AEU108" s="88"/>
      <c r="AEV108" s="88"/>
      <c r="AEW108" s="88"/>
      <c r="AEX108" s="88"/>
      <c r="AEY108" s="88"/>
      <c r="AEZ108" s="88"/>
      <c r="AFA108" s="88"/>
      <c r="AFB108" s="88"/>
      <c r="AFC108" s="88"/>
      <c r="AFD108" s="88"/>
      <c r="AFE108" s="88"/>
      <c r="AFF108" s="88"/>
      <c r="AFG108" s="88"/>
      <c r="AFH108" s="88"/>
      <c r="AFI108" s="88"/>
      <c r="AFJ108" s="88"/>
      <c r="AFK108" s="88"/>
      <c r="AFL108" s="88"/>
      <c r="AFM108" s="88"/>
      <c r="AFN108" s="88"/>
      <c r="AFO108" s="88"/>
      <c r="AFP108" s="88"/>
      <c r="AFQ108" s="88"/>
      <c r="AFR108" s="88"/>
      <c r="AFS108" s="88"/>
      <c r="AFT108" s="88"/>
      <c r="AFU108" s="88"/>
      <c r="AFV108" s="88"/>
      <c r="AFW108" s="88"/>
      <c r="AFX108" s="88"/>
      <c r="AFY108" s="88"/>
      <c r="AFZ108" s="88"/>
      <c r="AGA108" s="88"/>
      <c r="AGB108" s="88"/>
      <c r="AGC108" s="88"/>
      <c r="AGD108" s="88"/>
      <c r="AGE108" s="88"/>
      <c r="AGF108" s="88"/>
      <c r="AGG108" s="88"/>
      <c r="AGH108" s="88"/>
      <c r="AGI108" s="88"/>
      <c r="AGJ108" s="88"/>
      <c r="AGK108" s="88"/>
      <c r="AGL108" s="88"/>
      <c r="AGM108" s="88"/>
      <c r="AGN108" s="88"/>
      <c r="AGO108" s="88"/>
      <c r="AGP108" s="88"/>
      <c r="AGQ108" s="88"/>
      <c r="AGR108" s="88"/>
      <c r="AGS108" s="88"/>
      <c r="AGT108" s="88"/>
      <c r="AGU108" s="88"/>
      <c r="AGV108" s="88"/>
      <c r="AGW108" s="88"/>
      <c r="AGX108" s="88"/>
      <c r="AGY108" s="88"/>
      <c r="AGZ108" s="88"/>
      <c r="AHA108" s="88"/>
      <c r="AHB108" s="88"/>
      <c r="AHC108" s="88"/>
      <c r="AHD108" s="88"/>
      <c r="AHE108" s="88"/>
      <c r="AHF108" s="88"/>
      <c r="AHG108" s="88"/>
      <c r="AHH108" s="88"/>
      <c r="AHI108" s="88"/>
      <c r="AHJ108" s="88"/>
      <c r="AHK108" s="88"/>
      <c r="AHL108" s="88"/>
      <c r="AHM108" s="88"/>
      <c r="AHN108" s="88"/>
      <c r="AHO108" s="88"/>
      <c r="AHP108" s="88"/>
      <c r="AHQ108" s="88"/>
      <c r="AHR108" s="88"/>
      <c r="AHS108" s="88"/>
      <c r="AHT108" s="88"/>
      <c r="AHU108" s="88"/>
      <c r="AHV108" s="88"/>
      <c r="AHW108" s="88"/>
      <c r="AHX108" s="88"/>
      <c r="AHY108" s="88"/>
      <c r="AHZ108" s="88"/>
      <c r="AIA108" s="88"/>
      <c r="AIB108" s="88"/>
      <c r="AIC108" s="88"/>
      <c r="AID108" s="88"/>
      <c r="AIE108" s="88"/>
      <c r="AIF108" s="88"/>
      <c r="AIG108" s="88"/>
      <c r="AIH108" s="88"/>
      <c r="AII108" s="88"/>
      <c r="AIJ108" s="88"/>
      <c r="AIK108" s="88"/>
      <c r="AIL108" s="88"/>
      <c r="AIM108" s="88"/>
      <c r="AIN108" s="88"/>
      <c r="AIO108" s="88"/>
      <c r="AIP108" s="88"/>
      <c r="AIQ108" s="88"/>
      <c r="AIR108" s="88"/>
      <c r="AIS108" s="88"/>
      <c r="AIT108" s="88"/>
      <c r="AIU108" s="88"/>
      <c r="AIV108" s="88"/>
      <c r="AIW108" s="88"/>
      <c r="AIX108" s="88"/>
      <c r="AIY108" s="88"/>
      <c r="AIZ108" s="88"/>
      <c r="AJA108" s="88"/>
      <c r="AJB108" s="88"/>
      <c r="AJC108" s="88"/>
      <c r="AJD108" s="88"/>
      <c r="AJE108" s="88"/>
      <c r="AJF108" s="88"/>
      <c r="AJG108" s="88"/>
      <c r="AJH108" s="88"/>
      <c r="AJI108" s="88"/>
      <c r="AJJ108" s="88"/>
      <c r="AJK108" s="88"/>
      <c r="AJL108" s="88"/>
      <c r="AJM108" s="88"/>
      <c r="AJN108" s="88"/>
      <c r="AJO108" s="88"/>
      <c r="AJP108" s="88"/>
      <c r="AJQ108" s="88"/>
      <c r="AJR108" s="88"/>
      <c r="AJS108" s="88"/>
      <c r="AJT108" s="88"/>
      <c r="AJU108" s="88"/>
      <c r="AJV108" s="88"/>
      <c r="AJW108" s="88"/>
      <c r="AJX108" s="88"/>
      <c r="AJY108" s="88"/>
      <c r="AJZ108" s="88"/>
      <c r="AKA108" s="88"/>
      <c r="AKB108" s="88"/>
      <c r="AKC108" s="88"/>
      <c r="AKD108" s="88"/>
      <c r="AKE108" s="88"/>
      <c r="AKF108" s="88"/>
      <c r="AKG108" s="88"/>
      <c r="AKH108" s="88"/>
      <c r="AKI108" s="88"/>
      <c r="AKJ108" s="88"/>
      <c r="AKK108" s="88"/>
      <c r="AKL108" s="88"/>
      <c r="AKM108" s="88"/>
      <c r="AKN108" s="88"/>
      <c r="AKO108" s="88"/>
      <c r="AKP108" s="88"/>
      <c r="AKQ108" s="88"/>
      <c r="AKR108" s="88"/>
      <c r="AKS108" s="88"/>
      <c r="AKT108" s="88"/>
      <c r="AKU108" s="88"/>
      <c r="AKV108" s="88"/>
      <c r="AKW108" s="88"/>
      <c r="AKX108" s="88"/>
      <c r="AKY108" s="88"/>
      <c r="AKZ108" s="88"/>
      <c r="ALA108" s="88"/>
      <c r="ALB108" s="88"/>
      <c r="ALC108" s="88"/>
      <c r="ALD108" s="88"/>
      <c r="ALE108" s="88"/>
      <c r="ALF108" s="88"/>
      <c r="ALG108" s="88"/>
      <c r="ALH108" s="88"/>
      <c r="ALI108" s="88"/>
      <c r="ALJ108" s="88"/>
      <c r="ALK108" s="88"/>
      <c r="ALL108" s="88"/>
      <c r="ALM108" s="88"/>
      <c r="ALN108" s="88"/>
      <c r="ALO108" s="88"/>
      <c r="ALP108" s="88"/>
      <c r="ALQ108" s="88"/>
      <c r="ALR108" s="88"/>
      <c r="ALS108" s="88"/>
      <c r="ALT108" s="88"/>
      <c r="ALU108" s="88"/>
      <c r="ALV108" s="88"/>
      <c r="ALW108" s="88"/>
      <c r="ALX108" s="88"/>
      <c r="ALY108" s="88"/>
      <c r="ALZ108" s="88"/>
      <c r="AMA108" s="88"/>
      <c r="AMB108" s="88"/>
      <c r="AMC108" s="88"/>
      <c r="AMD108" s="88"/>
      <c r="AME108" s="88"/>
      <c r="AMF108" s="88"/>
      <c r="AMG108" s="88"/>
      <c r="AMH108" s="88"/>
      <c r="AMI108" s="88"/>
      <c r="AMJ108" s="88"/>
      <c r="AMK108" s="88"/>
      <c r="AML108" s="88"/>
      <c r="AMM108" s="88"/>
      <c r="AMN108" s="88"/>
      <c r="AMO108" s="88"/>
      <c r="AMP108" s="88"/>
      <c r="AMQ108" s="88"/>
      <c r="AMR108" s="88"/>
      <c r="AMS108" s="88"/>
      <c r="AMT108" s="88"/>
      <c r="AMU108" s="88"/>
      <c r="AMV108" s="88"/>
      <c r="AMW108" s="88"/>
      <c r="AMX108" s="88"/>
      <c r="AMY108" s="88"/>
      <c r="AMZ108" s="88"/>
      <c r="ANA108" s="88"/>
      <c r="ANB108" s="88"/>
      <c r="ANC108" s="88"/>
      <c r="AND108" s="88"/>
      <c r="ANE108" s="88"/>
      <c r="ANF108" s="88"/>
      <c r="ANG108" s="88"/>
      <c r="ANH108" s="88"/>
      <c r="ANI108" s="88"/>
      <c r="ANJ108" s="88"/>
      <c r="ANK108" s="88"/>
      <c r="ANL108" s="88"/>
      <c r="ANM108" s="88"/>
      <c r="ANN108" s="88"/>
      <c r="ANO108" s="88"/>
      <c r="ANP108" s="88"/>
      <c r="ANQ108" s="88"/>
      <c r="ANR108" s="88"/>
      <c r="ANS108" s="88"/>
      <c r="ANT108" s="88"/>
      <c r="ANU108" s="88"/>
      <c r="ANV108" s="88"/>
      <c r="ANW108" s="88"/>
      <c r="ANX108" s="88"/>
      <c r="ANY108" s="88"/>
      <c r="ANZ108" s="88"/>
      <c r="AOA108" s="88"/>
      <c r="AOB108" s="88"/>
      <c r="AOC108" s="88"/>
      <c r="AOD108" s="88"/>
      <c r="AOE108" s="88"/>
      <c r="AOF108" s="88"/>
      <c r="AOG108" s="88"/>
      <c r="AOH108" s="88"/>
      <c r="AOI108" s="88"/>
      <c r="AOJ108" s="88"/>
      <c r="AOK108" s="88"/>
      <c r="AOL108" s="88"/>
      <c r="AOM108" s="88"/>
      <c r="AON108" s="88"/>
      <c r="AOO108" s="88"/>
      <c r="AOP108" s="88"/>
      <c r="AOQ108" s="88"/>
      <c r="AOR108" s="88"/>
      <c r="AOS108" s="88"/>
      <c r="AOT108" s="88"/>
      <c r="AOU108" s="88"/>
      <c r="AOV108" s="88"/>
      <c r="AOW108" s="88"/>
      <c r="AOX108" s="88"/>
      <c r="AOY108" s="88"/>
      <c r="AOZ108" s="88"/>
      <c r="APA108" s="88"/>
      <c r="APB108" s="88"/>
      <c r="APC108" s="88"/>
      <c r="APD108" s="88"/>
      <c r="APE108" s="88"/>
      <c r="APF108" s="88"/>
      <c r="APG108" s="88"/>
      <c r="APH108" s="88"/>
      <c r="API108" s="88"/>
      <c r="APJ108" s="88"/>
      <c r="APK108" s="88"/>
      <c r="APL108" s="88"/>
      <c r="APM108" s="88"/>
      <c r="APN108" s="88"/>
      <c r="APO108" s="88"/>
      <c r="APP108" s="88"/>
      <c r="APQ108" s="88"/>
      <c r="APR108" s="88"/>
      <c r="APS108" s="88"/>
      <c r="APT108" s="88"/>
      <c r="APU108" s="88"/>
      <c r="APV108" s="88"/>
      <c r="APW108" s="88"/>
      <c r="APX108" s="88"/>
      <c r="APY108" s="88"/>
      <c r="APZ108" s="88"/>
      <c r="AQA108" s="88"/>
      <c r="AQB108" s="88"/>
      <c r="AQC108" s="88"/>
      <c r="AQD108" s="88"/>
      <c r="AQE108" s="88"/>
      <c r="AQF108" s="88"/>
      <c r="AQG108" s="88"/>
      <c r="AQH108" s="88"/>
      <c r="AQI108" s="88"/>
      <c r="AQJ108" s="88"/>
      <c r="AQK108" s="88"/>
      <c r="AQL108" s="88"/>
      <c r="AQM108" s="88"/>
      <c r="AQN108" s="88"/>
      <c r="AQO108" s="88"/>
      <c r="AQP108" s="88"/>
      <c r="AQQ108" s="88"/>
      <c r="AQR108" s="88"/>
      <c r="AQS108" s="88"/>
      <c r="AQT108" s="88"/>
      <c r="AQU108" s="88"/>
      <c r="AQV108" s="88"/>
      <c r="AQW108" s="88"/>
      <c r="AQX108" s="88"/>
      <c r="AQY108" s="88"/>
      <c r="AQZ108" s="88"/>
      <c r="ARA108" s="88"/>
      <c r="ARB108" s="88"/>
      <c r="ARC108" s="88"/>
      <c r="ARD108" s="88"/>
      <c r="ARE108" s="88"/>
      <c r="ARF108" s="88"/>
      <c r="ARG108" s="88"/>
      <c r="ARH108" s="88"/>
      <c r="ARI108" s="88"/>
      <c r="ARJ108" s="88"/>
      <c r="ARK108" s="88"/>
      <c r="ARL108" s="88"/>
      <c r="ARM108" s="88"/>
      <c r="ARN108" s="88"/>
      <c r="ARO108" s="88"/>
      <c r="ARP108" s="88"/>
      <c r="ARQ108" s="88"/>
      <c r="ARR108" s="88"/>
      <c r="ARS108" s="88"/>
      <c r="ART108" s="88"/>
      <c r="ARU108" s="88"/>
      <c r="ARV108" s="88"/>
      <c r="ARW108" s="88"/>
      <c r="ARX108" s="88"/>
      <c r="ARY108" s="88"/>
      <c r="ARZ108" s="88"/>
      <c r="ASA108" s="88"/>
      <c r="ASB108" s="88"/>
      <c r="ASC108" s="88"/>
      <c r="ASD108" s="88"/>
      <c r="ASE108" s="88"/>
      <c r="ASF108" s="88"/>
      <c r="ASG108" s="88"/>
      <c r="ASH108" s="88"/>
      <c r="ASI108" s="88"/>
      <c r="ASJ108" s="88"/>
      <c r="ASK108" s="88"/>
      <c r="ASL108" s="88"/>
      <c r="ASM108" s="88"/>
      <c r="ASN108" s="88"/>
      <c r="ASO108" s="88"/>
      <c r="ASP108" s="88"/>
      <c r="ASQ108" s="88"/>
      <c r="ASR108" s="88"/>
      <c r="ASS108" s="88"/>
      <c r="AST108" s="88"/>
      <c r="ASU108" s="88"/>
      <c r="ASV108" s="88"/>
      <c r="ASW108" s="88"/>
      <c r="ASX108" s="88"/>
      <c r="ASY108" s="88"/>
      <c r="ASZ108" s="88"/>
      <c r="ATA108" s="88"/>
      <c r="ATB108" s="88"/>
      <c r="ATC108" s="88"/>
      <c r="ATD108" s="88"/>
      <c r="ATE108" s="88"/>
      <c r="ATF108" s="88"/>
      <c r="ATG108" s="88"/>
      <c r="ATH108" s="88"/>
      <c r="ATI108" s="88"/>
      <c r="ATJ108" s="88"/>
      <c r="ATK108" s="88"/>
      <c r="ATL108" s="88"/>
      <c r="ATM108" s="88"/>
      <c r="ATN108" s="88"/>
      <c r="ATO108" s="88"/>
      <c r="ATP108" s="88"/>
      <c r="ATQ108" s="88"/>
      <c r="ATR108" s="88"/>
      <c r="ATS108" s="88"/>
      <c r="ATT108" s="88"/>
      <c r="ATU108" s="88"/>
      <c r="ATV108" s="88"/>
      <c r="ATW108" s="88"/>
      <c r="ATX108" s="88"/>
      <c r="ATY108" s="88"/>
      <c r="ATZ108" s="88"/>
      <c r="AUA108" s="88"/>
      <c r="AUB108" s="88"/>
      <c r="AUC108" s="88"/>
      <c r="AUD108" s="88"/>
      <c r="AUE108" s="88"/>
      <c r="AUF108" s="88"/>
      <c r="AUG108" s="88"/>
      <c r="AUH108" s="88"/>
      <c r="AUI108" s="88"/>
      <c r="AUJ108" s="88"/>
      <c r="AUK108" s="88"/>
      <c r="AUL108" s="88"/>
      <c r="AUM108" s="88"/>
      <c r="AUN108" s="88"/>
      <c r="AUO108" s="88"/>
      <c r="AUP108" s="88"/>
      <c r="AUQ108" s="88"/>
      <c r="AUR108" s="88"/>
      <c r="AUS108" s="88"/>
      <c r="AUT108" s="88"/>
      <c r="AUU108" s="88"/>
      <c r="AUV108" s="88"/>
      <c r="AUW108" s="88"/>
      <c r="AUX108" s="88"/>
      <c r="AUY108" s="88"/>
      <c r="AUZ108" s="88"/>
      <c r="AVA108" s="88"/>
      <c r="AVB108" s="88"/>
      <c r="AVC108" s="88"/>
      <c r="AVD108" s="88"/>
      <c r="AVE108" s="88"/>
      <c r="AVF108" s="88"/>
      <c r="AVG108" s="88"/>
      <c r="AVH108" s="88"/>
      <c r="AVI108" s="88"/>
      <c r="AVJ108" s="88"/>
      <c r="AVK108" s="88"/>
      <c r="AVL108" s="88"/>
      <c r="AVM108" s="88"/>
      <c r="AVN108" s="88"/>
      <c r="AVO108" s="88"/>
      <c r="AVP108" s="88"/>
      <c r="AVQ108" s="88"/>
      <c r="AVR108" s="88"/>
      <c r="AVS108" s="88"/>
      <c r="AVT108" s="88"/>
      <c r="AVU108" s="88"/>
      <c r="AVV108" s="88"/>
      <c r="AVW108" s="88"/>
      <c r="AVX108" s="88"/>
      <c r="AVY108" s="88"/>
      <c r="AVZ108" s="88"/>
      <c r="AWA108" s="88"/>
      <c r="AWB108" s="88"/>
      <c r="AWC108" s="88"/>
      <c r="AWD108" s="88"/>
      <c r="AWE108" s="88"/>
      <c r="AWF108" s="88"/>
      <c r="AWG108" s="88"/>
      <c r="AWH108" s="88"/>
      <c r="AWI108" s="88"/>
      <c r="AWJ108" s="88"/>
      <c r="AWK108" s="88"/>
      <c r="AWL108" s="88"/>
      <c r="AWM108" s="88"/>
      <c r="AWN108" s="88"/>
      <c r="AWO108" s="88"/>
      <c r="AWP108" s="88"/>
      <c r="AWQ108" s="88"/>
      <c r="AWR108" s="88"/>
      <c r="AWS108" s="88"/>
      <c r="AWT108" s="88"/>
      <c r="AWU108" s="88"/>
      <c r="AWV108" s="88"/>
      <c r="AWW108" s="88"/>
      <c r="AWX108" s="88"/>
      <c r="AWY108" s="88"/>
      <c r="AWZ108" s="88"/>
      <c r="AXA108" s="88"/>
      <c r="AXB108" s="88"/>
      <c r="AXC108" s="88"/>
      <c r="AXD108" s="88"/>
      <c r="AXE108" s="88"/>
      <c r="AXF108" s="88"/>
      <c r="AXG108" s="88"/>
      <c r="AXH108" s="88"/>
      <c r="AXI108" s="88"/>
      <c r="AXJ108" s="88"/>
      <c r="AXK108" s="88"/>
      <c r="AXL108" s="88"/>
      <c r="AXM108" s="88"/>
      <c r="AXN108" s="88"/>
      <c r="AXO108" s="88"/>
      <c r="AXP108" s="88"/>
      <c r="AXQ108" s="88"/>
      <c r="AXR108" s="88"/>
      <c r="AXS108" s="88"/>
      <c r="AXT108" s="88"/>
      <c r="AXU108" s="88"/>
      <c r="AXV108" s="88"/>
      <c r="AXW108" s="88"/>
      <c r="AXX108" s="88"/>
      <c r="AXY108" s="88"/>
      <c r="AXZ108" s="88"/>
      <c r="AYA108" s="88"/>
      <c r="AYB108" s="88"/>
      <c r="AYC108" s="88"/>
      <c r="AYD108" s="88"/>
      <c r="AYE108" s="88"/>
      <c r="AYF108" s="88"/>
      <c r="AYG108" s="88"/>
      <c r="AYH108" s="88"/>
      <c r="AYI108" s="88"/>
      <c r="AYJ108" s="88"/>
      <c r="AYK108" s="88"/>
      <c r="AYL108" s="88"/>
      <c r="AYM108" s="88"/>
      <c r="AYN108" s="88"/>
      <c r="AYO108" s="88"/>
      <c r="AYP108" s="88"/>
      <c r="AYQ108" s="88"/>
      <c r="AYR108" s="88"/>
      <c r="AYS108" s="88"/>
      <c r="AYT108" s="88"/>
      <c r="AYU108" s="88"/>
      <c r="AYV108" s="88"/>
      <c r="AYW108" s="88"/>
      <c r="AYX108" s="88"/>
      <c r="AYY108" s="88"/>
      <c r="AYZ108" s="88"/>
      <c r="AZA108" s="88"/>
      <c r="AZB108" s="88"/>
      <c r="AZC108" s="88"/>
      <c r="AZD108" s="88"/>
      <c r="AZE108" s="88"/>
      <c r="AZF108" s="88"/>
      <c r="AZG108" s="88"/>
      <c r="AZH108" s="88"/>
      <c r="AZI108" s="88"/>
      <c r="AZJ108" s="88"/>
      <c r="AZK108" s="88"/>
      <c r="AZL108" s="88"/>
      <c r="AZM108" s="88"/>
      <c r="AZN108" s="88"/>
      <c r="AZO108" s="88"/>
      <c r="AZP108" s="88"/>
      <c r="AZQ108" s="88"/>
      <c r="AZR108" s="88"/>
      <c r="AZS108" s="88"/>
      <c r="AZT108" s="88"/>
      <c r="AZU108" s="88"/>
      <c r="AZV108" s="88"/>
      <c r="AZW108" s="88"/>
      <c r="AZX108" s="88"/>
      <c r="AZY108" s="88"/>
      <c r="AZZ108" s="88"/>
      <c r="BAA108" s="88"/>
      <c r="BAB108" s="88"/>
      <c r="BAC108" s="88"/>
      <c r="BAD108" s="88"/>
      <c r="BAE108" s="88"/>
      <c r="BAF108" s="88"/>
      <c r="BAG108" s="88"/>
      <c r="BAH108" s="88"/>
      <c r="BAI108" s="88"/>
      <c r="BAJ108" s="88"/>
      <c r="BAK108" s="88"/>
      <c r="BAL108" s="88"/>
      <c r="BAM108" s="88"/>
      <c r="BAN108" s="88"/>
      <c r="BAO108" s="88"/>
      <c r="BAP108" s="88"/>
      <c r="BAQ108" s="88"/>
      <c r="BAR108" s="88"/>
      <c r="BAS108" s="88"/>
      <c r="BAT108" s="88"/>
      <c r="BAU108" s="88"/>
      <c r="BAV108" s="88"/>
      <c r="BAW108" s="88"/>
      <c r="BAX108" s="88"/>
      <c r="BAY108" s="88"/>
      <c r="BAZ108" s="88"/>
      <c r="BBA108" s="88"/>
      <c r="BBB108" s="88"/>
      <c r="BBC108" s="88"/>
      <c r="BBD108" s="88"/>
      <c r="BBE108" s="88"/>
      <c r="BBF108" s="88"/>
      <c r="BBG108" s="88"/>
      <c r="BBH108" s="88"/>
      <c r="BBI108" s="88"/>
      <c r="BBJ108" s="88"/>
      <c r="BBK108" s="88"/>
      <c r="BBL108" s="88"/>
      <c r="BBM108" s="88"/>
      <c r="BBN108" s="88"/>
      <c r="BBO108" s="88"/>
      <c r="BBP108" s="88"/>
      <c r="BBQ108" s="88"/>
      <c r="BBR108" s="88"/>
      <c r="BBS108" s="88"/>
      <c r="BBT108" s="88"/>
      <c r="BBU108" s="88"/>
      <c r="BBV108" s="88"/>
      <c r="BBW108" s="88"/>
      <c r="BBX108" s="88"/>
      <c r="BBY108" s="88"/>
      <c r="BBZ108" s="88"/>
      <c r="BCA108" s="88"/>
      <c r="BCB108" s="88"/>
      <c r="BCC108" s="88"/>
      <c r="BCD108" s="88"/>
      <c r="BCE108" s="88"/>
      <c r="BCF108" s="88"/>
      <c r="BCG108" s="88"/>
      <c r="BCH108" s="88"/>
      <c r="BCI108" s="88"/>
      <c r="BCJ108" s="88"/>
      <c r="BCK108" s="88"/>
      <c r="BCL108" s="88"/>
      <c r="BCM108" s="88"/>
      <c r="BCN108" s="88"/>
      <c r="BCO108" s="88"/>
      <c r="BCP108" s="88"/>
      <c r="BCQ108" s="88"/>
      <c r="BCR108" s="88"/>
      <c r="BCS108" s="88"/>
      <c r="BCT108" s="88"/>
      <c r="BCU108" s="88"/>
      <c r="BCV108" s="88"/>
      <c r="BCW108" s="88"/>
      <c r="BCX108" s="88"/>
      <c r="BCY108" s="88"/>
      <c r="BCZ108" s="88"/>
      <c r="BDA108" s="88"/>
      <c r="BDB108" s="88"/>
      <c r="BDC108" s="88"/>
      <c r="BDD108" s="88"/>
      <c r="BDE108" s="88"/>
      <c r="BDF108" s="88"/>
      <c r="BDG108" s="88"/>
      <c r="BDH108" s="88"/>
      <c r="BDI108" s="88"/>
      <c r="BDJ108" s="88"/>
      <c r="BDK108" s="88"/>
      <c r="BDL108" s="88"/>
      <c r="BDM108" s="88"/>
      <c r="BDN108" s="88"/>
      <c r="BDO108" s="88"/>
      <c r="BDP108" s="88"/>
      <c r="BDQ108" s="88"/>
      <c r="BDR108" s="88"/>
      <c r="BDS108" s="88"/>
      <c r="BDT108" s="88"/>
      <c r="BDU108" s="88"/>
      <c r="BDV108" s="88"/>
      <c r="BDW108" s="88"/>
      <c r="BDX108" s="88"/>
      <c r="BDY108" s="88"/>
      <c r="BDZ108" s="88"/>
      <c r="BEA108" s="88"/>
      <c r="BEB108" s="88"/>
      <c r="BEC108" s="88"/>
      <c r="BED108" s="88"/>
      <c r="BEE108" s="88"/>
      <c r="BEF108" s="88"/>
      <c r="BEG108" s="88"/>
      <c r="BEH108" s="88"/>
      <c r="BEI108" s="88"/>
      <c r="BEJ108" s="88"/>
      <c r="BEK108" s="88"/>
      <c r="BEL108" s="88"/>
      <c r="BEM108" s="88"/>
      <c r="BEN108" s="88"/>
      <c r="BEO108" s="88"/>
      <c r="BEP108" s="88"/>
      <c r="BEQ108" s="88"/>
      <c r="BER108" s="88"/>
      <c r="BES108" s="88"/>
      <c r="BET108" s="88"/>
      <c r="BEU108" s="88"/>
      <c r="BEV108" s="88"/>
      <c r="BEW108" s="88"/>
      <c r="BEX108" s="88"/>
      <c r="BEY108" s="88"/>
      <c r="BEZ108" s="88"/>
      <c r="BFA108" s="88"/>
      <c r="BFB108" s="88"/>
      <c r="BFC108" s="88"/>
      <c r="BFD108" s="88"/>
      <c r="BFE108" s="88"/>
      <c r="BFF108" s="88"/>
      <c r="BFG108" s="88"/>
      <c r="BFH108" s="88"/>
      <c r="BFI108" s="88"/>
      <c r="BFJ108" s="88"/>
      <c r="BFK108" s="88"/>
      <c r="BFL108" s="88"/>
      <c r="BFM108" s="88"/>
      <c r="BFN108" s="88"/>
      <c r="BFO108" s="88"/>
      <c r="BFP108" s="88"/>
      <c r="BFQ108" s="88"/>
      <c r="BFR108" s="88"/>
      <c r="BFS108" s="88"/>
      <c r="BFT108" s="88"/>
      <c r="BFU108" s="88"/>
      <c r="BFV108" s="88"/>
      <c r="BFW108" s="88"/>
      <c r="BFX108" s="88"/>
      <c r="BFY108" s="88"/>
      <c r="BFZ108" s="88"/>
      <c r="BGA108" s="88"/>
      <c r="BGB108" s="88"/>
      <c r="BGC108" s="88"/>
      <c r="BGD108" s="88"/>
      <c r="BGE108" s="88"/>
      <c r="BGF108" s="88"/>
      <c r="BGG108" s="88"/>
      <c r="BGH108" s="88"/>
      <c r="BGI108" s="88"/>
      <c r="BGJ108" s="88"/>
      <c r="BGK108" s="88"/>
      <c r="BGL108" s="88"/>
      <c r="BGM108" s="88"/>
      <c r="BGN108" s="88"/>
      <c r="BGO108" s="88"/>
      <c r="BGP108" s="88"/>
      <c r="BGQ108" s="88"/>
      <c r="BGR108" s="88"/>
      <c r="BGS108" s="88"/>
      <c r="BGT108" s="88"/>
      <c r="BGU108" s="88"/>
      <c r="BGV108" s="88"/>
      <c r="BGW108" s="88"/>
      <c r="BGX108" s="88"/>
      <c r="BGY108" s="88"/>
      <c r="BGZ108" s="88"/>
      <c r="BHA108" s="88"/>
      <c r="BHB108" s="88"/>
      <c r="BHC108" s="88"/>
      <c r="BHD108" s="88"/>
      <c r="BHE108" s="88"/>
      <c r="BHF108" s="88"/>
      <c r="BHG108" s="88"/>
      <c r="BHH108" s="88"/>
      <c r="BHI108" s="88"/>
      <c r="BHJ108" s="88"/>
      <c r="BHK108" s="88"/>
      <c r="BHL108" s="88"/>
      <c r="BHM108" s="88"/>
      <c r="BHN108" s="88"/>
      <c r="BHO108" s="88"/>
      <c r="BHP108" s="88"/>
      <c r="BHQ108" s="88"/>
      <c r="BHR108" s="88"/>
      <c r="BHS108" s="88"/>
      <c r="BHT108" s="88"/>
      <c r="BHU108" s="88"/>
      <c r="BHV108" s="88"/>
      <c r="BHW108" s="88"/>
      <c r="BHX108" s="88"/>
      <c r="BHY108" s="88"/>
      <c r="BHZ108" s="88"/>
      <c r="BIA108" s="88"/>
      <c r="BIB108" s="88"/>
      <c r="BIC108" s="88"/>
      <c r="BID108" s="88"/>
      <c r="BIE108" s="88"/>
      <c r="BIF108" s="88"/>
      <c r="BIG108" s="88"/>
      <c r="BIH108" s="88"/>
      <c r="BII108" s="88"/>
      <c r="BIJ108" s="88"/>
      <c r="BIK108" s="88"/>
      <c r="BIL108" s="88"/>
      <c r="BIM108" s="88"/>
      <c r="BIN108" s="88"/>
      <c r="BIO108" s="88"/>
      <c r="BIP108" s="88"/>
      <c r="BIQ108" s="88"/>
      <c r="BIR108" s="88"/>
      <c r="BIS108" s="88"/>
      <c r="BIT108" s="88"/>
      <c r="BIU108" s="88"/>
      <c r="BIV108" s="88"/>
      <c r="BIW108" s="88"/>
      <c r="BIX108" s="88"/>
      <c r="BIY108" s="88"/>
      <c r="BIZ108" s="88"/>
      <c r="BJA108" s="88"/>
      <c r="BJB108" s="88"/>
      <c r="BJC108" s="88"/>
      <c r="BJD108" s="88"/>
      <c r="BJE108" s="88"/>
      <c r="BJF108" s="88"/>
      <c r="BJG108" s="88"/>
      <c r="BJH108" s="88"/>
      <c r="BJI108" s="88"/>
      <c r="BJJ108" s="88"/>
      <c r="BJK108" s="88"/>
      <c r="BJL108" s="88"/>
      <c r="BJM108" s="88"/>
      <c r="BJN108" s="88"/>
      <c r="BJO108" s="88"/>
      <c r="BJP108" s="88"/>
      <c r="BJQ108" s="88"/>
      <c r="BJR108" s="88"/>
      <c r="BJS108" s="88"/>
      <c r="BJT108" s="88"/>
      <c r="BJU108" s="88"/>
      <c r="BJV108" s="88"/>
      <c r="BJW108" s="88"/>
      <c r="BJX108" s="88"/>
      <c r="BJY108" s="88"/>
      <c r="BJZ108" s="88"/>
      <c r="BKA108" s="88"/>
      <c r="BKB108" s="88"/>
      <c r="BKC108" s="88"/>
      <c r="BKD108" s="88"/>
      <c r="BKE108" s="88"/>
      <c r="BKF108" s="88"/>
      <c r="BKG108" s="88"/>
      <c r="BKH108" s="88"/>
      <c r="BKI108" s="88"/>
      <c r="BKJ108" s="88"/>
      <c r="BKK108" s="88"/>
      <c r="BKL108" s="88"/>
      <c r="BKM108" s="88"/>
      <c r="BKN108" s="88"/>
      <c r="BKO108" s="88"/>
      <c r="BKP108" s="88"/>
      <c r="BKQ108" s="88"/>
      <c r="BKR108" s="88"/>
      <c r="BKS108" s="88"/>
      <c r="BKT108" s="88"/>
      <c r="BKU108" s="88"/>
      <c r="BKV108" s="88"/>
      <c r="BKW108" s="88"/>
      <c r="BKX108" s="88"/>
      <c r="BKY108" s="88"/>
      <c r="BKZ108" s="88"/>
      <c r="BLA108" s="88"/>
      <c r="BLB108" s="88"/>
      <c r="BLC108" s="88"/>
      <c r="BLD108" s="88"/>
      <c r="BLE108" s="88"/>
      <c r="BLF108" s="88"/>
      <c r="BLG108" s="88"/>
      <c r="BLH108" s="88"/>
      <c r="BLI108" s="88"/>
      <c r="BLJ108" s="88"/>
      <c r="BLK108" s="88"/>
      <c r="BLL108" s="88"/>
      <c r="BLM108" s="88"/>
      <c r="BLN108" s="88"/>
      <c r="BLO108" s="88"/>
      <c r="BLP108" s="88"/>
      <c r="BLQ108" s="88"/>
      <c r="BLR108" s="88"/>
      <c r="BLS108" s="88"/>
      <c r="BLT108" s="88"/>
      <c r="BLU108" s="88"/>
      <c r="BLV108" s="88"/>
      <c r="BLW108" s="88"/>
      <c r="BLX108" s="88"/>
      <c r="BLY108" s="88"/>
      <c r="BLZ108" s="88"/>
      <c r="BMA108" s="88"/>
      <c r="BMB108" s="88"/>
      <c r="BMC108" s="88"/>
      <c r="BMD108" s="88"/>
      <c r="BME108" s="88"/>
      <c r="BMF108" s="88"/>
      <c r="BMG108" s="88"/>
      <c r="BMH108" s="88"/>
      <c r="BMI108" s="88"/>
      <c r="BMJ108" s="88"/>
      <c r="BMK108" s="88"/>
      <c r="BML108" s="88"/>
      <c r="BMM108" s="88"/>
      <c r="BMN108" s="88"/>
      <c r="BMO108" s="88"/>
      <c r="BMP108" s="88"/>
      <c r="BMQ108" s="88"/>
      <c r="BMR108" s="88"/>
      <c r="BMS108" s="88"/>
      <c r="BMT108" s="88"/>
      <c r="BMU108" s="88"/>
      <c r="BMV108" s="88"/>
      <c r="BMW108" s="88"/>
      <c r="BMX108" s="88"/>
      <c r="BMY108" s="88"/>
      <c r="BMZ108" s="88"/>
      <c r="BNA108" s="88"/>
      <c r="BNB108" s="88"/>
      <c r="BNC108" s="88"/>
      <c r="BND108" s="88"/>
      <c r="BNE108" s="88"/>
      <c r="BNF108" s="88"/>
      <c r="BNG108" s="88"/>
      <c r="BNH108" s="88"/>
      <c r="BNI108" s="88"/>
      <c r="BNJ108" s="88"/>
      <c r="BNK108" s="88"/>
      <c r="BNL108" s="88"/>
      <c r="BNM108" s="88"/>
      <c r="BNN108" s="88"/>
      <c r="BNO108" s="88"/>
      <c r="BNP108" s="88"/>
      <c r="BNQ108" s="88"/>
      <c r="BNR108" s="88"/>
      <c r="BNS108" s="88"/>
      <c r="BNT108" s="88"/>
      <c r="BNU108" s="88"/>
      <c r="BNV108" s="88"/>
      <c r="BNW108" s="88"/>
      <c r="BNX108" s="88"/>
      <c r="BNY108" s="88"/>
      <c r="BNZ108" s="88"/>
      <c r="BOA108" s="88"/>
      <c r="BOB108" s="88"/>
      <c r="BOC108" s="88"/>
      <c r="BOD108" s="88"/>
      <c r="BOE108" s="88"/>
      <c r="BOF108" s="88"/>
      <c r="BOG108" s="88"/>
      <c r="BOH108" s="88"/>
      <c r="BOI108" s="88"/>
      <c r="BOJ108" s="88"/>
      <c r="BOK108" s="88"/>
      <c r="BOL108" s="88"/>
      <c r="BOM108" s="88"/>
      <c r="BON108" s="88"/>
      <c r="BOO108" s="88"/>
      <c r="BOP108" s="88"/>
      <c r="BOQ108" s="88"/>
      <c r="BOR108" s="88"/>
      <c r="BOS108" s="88"/>
      <c r="BOT108" s="88"/>
      <c r="BOU108" s="88"/>
      <c r="BOV108" s="88"/>
      <c r="BOW108" s="88"/>
      <c r="BOX108" s="88"/>
      <c r="BOY108" s="88"/>
      <c r="BOZ108" s="88"/>
      <c r="BPA108" s="88"/>
      <c r="BPB108" s="88"/>
      <c r="BPC108" s="88"/>
      <c r="BPD108" s="88"/>
      <c r="BPE108" s="88"/>
      <c r="BPF108" s="88"/>
      <c r="BPG108" s="88"/>
      <c r="BPH108" s="88"/>
      <c r="BPI108" s="88"/>
      <c r="BPJ108" s="88"/>
      <c r="BPK108" s="88"/>
      <c r="BPL108" s="88"/>
      <c r="BPM108" s="88"/>
      <c r="BPN108" s="88"/>
      <c r="BPO108" s="88"/>
      <c r="BPP108" s="88"/>
      <c r="BPQ108" s="88"/>
      <c r="BPR108" s="88"/>
      <c r="BPS108" s="88"/>
      <c r="BPT108" s="88"/>
      <c r="BPU108" s="88"/>
      <c r="BPV108" s="88"/>
      <c r="BPW108" s="88"/>
      <c r="BPX108" s="88"/>
      <c r="BPY108" s="88"/>
      <c r="BPZ108" s="88"/>
      <c r="BQA108" s="88"/>
      <c r="BQB108" s="88"/>
      <c r="BQC108" s="88"/>
      <c r="BQD108" s="88"/>
      <c r="BQE108" s="88"/>
      <c r="BQF108" s="88"/>
      <c r="BQG108" s="88"/>
      <c r="BQH108" s="88"/>
      <c r="BQI108" s="88"/>
      <c r="BQJ108" s="88"/>
      <c r="BQK108" s="88"/>
      <c r="BQL108" s="88"/>
      <c r="BQM108" s="88"/>
      <c r="BQN108" s="88"/>
      <c r="BQO108" s="88"/>
      <c r="BQP108" s="88"/>
      <c r="BQQ108" s="88"/>
      <c r="BQR108" s="88"/>
      <c r="BQS108" s="88"/>
      <c r="BQT108" s="88"/>
      <c r="BQU108" s="88"/>
      <c r="BQV108" s="88"/>
      <c r="BQW108" s="88"/>
      <c r="BQX108" s="88"/>
      <c r="BQY108" s="88"/>
      <c r="BQZ108" s="88"/>
      <c r="BRA108" s="88"/>
      <c r="BRB108" s="88"/>
      <c r="BRC108" s="88"/>
      <c r="BRD108" s="88"/>
      <c r="BRE108" s="88"/>
      <c r="BRF108" s="88"/>
      <c r="BRG108" s="88"/>
      <c r="BRH108" s="88"/>
      <c r="BRI108" s="88"/>
      <c r="BRJ108" s="88"/>
      <c r="BRK108" s="88"/>
      <c r="BRL108" s="88"/>
      <c r="BRM108" s="88"/>
      <c r="BRN108" s="88"/>
      <c r="BRO108" s="88"/>
      <c r="BRP108" s="88"/>
      <c r="BRQ108" s="88"/>
      <c r="BRR108" s="88"/>
      <c r="BRS108" s="88"/>
      <c r="BRT108" s="88"/>
      <c r="BRU108" s="88"/>
      <c r="BRV108" s="88"/>
      <c r="BRW108" s="88"/>
      <c r="BRX108" s="88"/>
      <c r="BRY108" s="88"/>
      <c r="BRZ108" s="88"/>
      <c r="BSA108" s="88"/>
      <c r="BSB108" s="88"/>
      <c r="BSC108" s="88"/>
      <c r="BSD108" s="88"/>
      <c r="BSE108" s="88"/>
      <c r="BSF108" s="88"/>
      <c r="BSG108" s="88"/>
      <c r="BSH108" s="88"/>
      <c r="BSI108" s="88"/>
      <c r="BSJ108" s="88"/>
      <c r="BSK108" s="88"/>
      <c r="BSL108" s="88"/>
      <c r="BSM108" s="88"/>
      <c r="BSN108" s="88"/>
      <c r="BSO108" s="88"/>
      <c r="BSP108" s="88"/>
      <c r="BSQ108" s="88"/>
      <c r="BSR108" s="88"/>
      <c r="BSS108" s="88"/>
      <c r="BST108" s="88"/>
      <c r="BSU108" s="88"/>
      <c r="BSV108" s="88"/>
      <c r="BSW108" s="88"/>
      <c r="BSX108" s="88"/>
      <c r="BSY108" s="88"/>
      <c r="BSZ108" s="88"/>
      <c r="BTA108" s="88"/>
      <c r="BTB108" s="88"/>
      <c r="BTC108" s="88"/>
      <c r="BTD108" s="88"/>
      <c r="BTE108" s="88"/>
      <c r="BTF108" s="88"/>
      <c r="BTG108" s="88"/>
      <c r="BTH108" s="88"/>
      <c r="BTI108" s="88"/>
      <c r="BTJ108" s="88"/>
      <c r="BTK108" s="88"/>
      <c r="BTL108" s="88"/>
      <c r="BTM108" s="88"/>
      <c r="BTN108" s="88"/>
      <c r="BTO108" s="88"/>
      <c r="BTP108" s="88"/>
      <c r="BTQ108" s="88"/>
      <c r="BTR108" s="88"/>
      <c r="BTS108" s="88"/>
      <c r="BTT108" s="88"/>
      <c r="BTU108" s="88"/>
      <c r="BTV108" s="88"/>
      <c r="BTW108" s="88"/>
      <c r="BTX108" s="88"/>
      <c r="BTY108" s="88"/>
      <c r="BTZ108" s="88"/>
      <c r="BUA108" s="88"/>
      <c r="BUB108" s="88"/>
      <c r="BUC108" s="88"/>
      <c r="BUD108" s="88"/>
      <c r="BUE108" s="88"/>
      <c r="BUF108" s="88"/>
      <c r="BUG108" s="88"/>
      <c r="BUH108" s="88"/>
      <c r="BUI108" s="88"/>
      <c r="BUJ108" s="88"/>
      <c r="BUK108" s="88"/>
      <c r="BUL108" s="88"/>
      <c r="BUM108" s="88"/>
      <c r="BUN108" s="88"/>
      <c r="BUO108" s="88"/>
      <c r="BUP108" s="88"/>
      <c r="BUQ108" s="88"/>
      <c r="BUR108" s="88"/>
      <c r="BUS108" s="88"/>
      <c r="BUT108" s="88"/>
      <c r="BUU108" s="88"/>
      <c r="BUV108" s="88"/>
      <c r="BUW108" s="88"/>
      <c r="BUX108" s="88"/>
      <c r="BUY108" s="88"/>
      <c r="BUZ108" s="88"/>
      <c r="BVA108" s="88"/>
      <c r="BVB108" s="88"/>
      <c r="BVC108" s="88"/>
      <c r="BVD108" s="88"/>
      <c r="BVE108" s="88"/>
      <c r="BVF108" s="88"/>
      <c r="BVG108" s="88"/>
      <c r="BVH108" s="88"/>
      <c r="BVI108" s="88"/>
      <c r="BVJ108" s="88"/>
      <c r="BVK108" s="88"/>
      <c r="BVL108" s="88"/>
      <c r="BVM108" s="88"/>
      <c r="BVN108" s="88"/>
      <c r="BVO108" s="88"/>
      <c r="BVP108" s="88"/>
      <c r="BVQ108" s="88"/>
      <c r="BVR108" s="88"/>
      <c r="BVS108" s="88"/>
      <c r="BVT108" s="88"/>
      <c r="BVU108" s="88"/>
      <c r="BVV108" s="88"/>
      <c r="BVW108" s="88"/>
      <c r="BVX108" s="88"/>
      <c r="BVY108" s="88"/>
      <c r="BVZ108" s="88"/>
      <c r="BWA108" s="88"/>
      <c r="BWB108" s="88"/>
      <c r="BWC108" s="88"/>
      <c r="BWD108" s="88"/>
      <c r="BWE108" s="88"/>
      <c r="BWF108" s="88"/>
      <c r="BWG108" s="88"/>
      <c r="BWH108" s="88"/>
      <c r="BWI108" s="88"/>
      <c r="BWJ108" s="88"/>
      <c r="BWK108" s="88"/>
      <c r="BWL108" s="88"/>
      <c r="BWM108" s="88"/>
      <c r="BWN108" s="88"/>
      <c r="BWO108" s="88"/>
      <c r="BWP108" s="88"/>
      <c r="BWQ108" s="88"/>
      <c r="BWR108" s="88"/>
      <c r="BWS108" s="88"/>
      <c r="BWT108" s="88"/>
      <c r="BWU108" s="88"/>
      <c r="BWV108" s="88"/>
      <c r="BWW108" s="88"/>
      <c r="BWX108" s="88"/>
      <c r="BWY108" s="88"/>
      <c r="BWZ108" s="88"/>
      <c r="BXA108" s="88"/>
      <c r="BXB108" s="88"/>
      <c r="BXC108" s="88"/>
      <c r="BXD108" s="88"/>
      <c r="BXE108" s="88"/>
      <c r="BXF108" s="88"/>
      <c r="BXG108" s="88"/>
      <c r="BXH108" s="88"/>
      <c r="BXI108" s="88"/>
      <c r="BXJ108" s="88"/>
      <c r="BXK108" s="88"/>
      <c r="BXL108" s="88"/>
      <c r="BXM108" s="88"/>
      <c r="BXN108" s="88"/>
      <c r="BXO108" s="88"/>
      <c r="BXP108" s="88"/>
      <c r="BXQ108" s="88"/>
      <c r="BXR108" s="88"/>
      <c r="BXS108" s="88"/>
      <c r="BXT108" s="88"/>
      <c r="BXU108" s="88"/>
      <c r="BXV108" s="88"/>
      <c r="BXW108" s="88"/>
      <c r="BXX108" s="88"/>
      <c r="BXY108" s="88"/>
      <c r="BXZ108" s="88"/>
      <c r="BYA108" s="88"/>
      <c r="BYB108" s="88"/>
      <c r="BYC108" s="88"/>
      <c r="BYD108" s="88"/>
      <c r="BYE108" s="88"/>
      <c r="BYF108" s="88"/>
      <c r="BYG108" s="88"/>
      <c r="BYH108" s="88"/>
      <c r="BYI108" s="88"/>
      <c r="BYJ108" s="88"/>
      <c r="BYK108" s="88"/>
      <c r="BYL108" s="88"/>
      <c r="BYM108" s="88"/>
      <c r="BYN108" s="88"/>
      <c r="BYO108" s="88"/>
      <c r="BYP108" s="88"/>
      <c r="BYQ108" s="88"/>
      <c r="BYR108" s="88"/>
      <c r="BYS108" s="88"/>
      <c r="BYT108" s="88"/>
      <c r="BYU108" s="88"/>
      <c r="BYV108" s="88"/>
      <c r="BYW108" s="88"/>
      <c r="BYX108" s="88"/>
      <c r="BYY108" s="88"/>
      <c r="BYZ108" s="88"/>
      <c r="BZA108" s="88"/>
      <c r="BZB108" s="88"/>
      <c r="BZC108" s="88"/>
      <c r="BZD108" s="88"/>
      <c r="BZE108" s="88"/>
      <c r="BZF108" s="88"/>
      <c r="BZG108" s="88"/>
      <c r="BZH108" s="88"/>
      <c r="BZI108" s="88"/>
      <c r="BZJ108" s="88"/>
      <c r="BZK108" s="88"/>
      <c r="BZL108" s="88"/>
      <c r="BZM108" s="88"/>
      <c r="BZN108" s="88"/>
      <c r="BZO108" s="88"/>
      <c r="BZP108" s="88"/>
      <c r="BZQ108" s="88"/>
      <c r="BZR108" s="88"/>
      <c r="BZS108" s="88"/>
      <c r="BZT108" s="88"/>
      <c r="BZU108" s="88"/>
      <c r="BZV108" s="88"/>
      <c r="BZW108" s="88"/>
      <c r="BZX108" s="88"/>
      <c r="BZY108" s="88"/>
      <c r="BZZ108" s="88"/>
      <c r="CAA108" s="88"/>
      <c r="CAB108" s="88"/>
      <c r="CAC108" s="88"/>
      <c r="CAD108" s="88"/>
      <c r="CAE108" s="88"/>
      <c r="CAF108" s="88"/>
      <c r="CAG108" s="88"/>
      <c r="CAH108" s="88"/>
      <c r="CAI108" s="88"/>
      <c r="CAJ108" s="88"/>
      <c r="CAK108" s="88"/>
      <c r="CAL108" s="88"/>
      <c r="CAM108" s="88"/>
      <c r="CAN108" s="88"/>
      <c r="CAO108" s="88"/>
      <c r="CAP108" s="88"/>
      <c r="CAQ108" s="88"/>
      <c r="CAR108" s="88"/>
      <c r="CAS108" s="88"/>
      <c r="CAT108" s="88"/>
      <c r="CAU108" s="88"/>
      <c r="CAV108" s="88"/>
      <c r="CAW108" s="88"/>
      <c r="CAX108" s="88"/>
      <c r="CAY108" s="88"/>
      <c r="CAZ108" s="88"/>
      <c r="CBA108" s="88"/>
      <c r="CBB108" s="88"/>
      <c r="CBC108" s="88"/>
      <c r="CBD108" s="88"/>
      <c r="CBE108" s="88"/>
      <c r="CBF108" s="88"/>
      <c r="CBG108" s="88"/>
      <c r="CBH108" s="88"/>
      <c r="CBI108" s="88"/>
      <c r="CBJ108" s="88"/>
      <c r="CBK108" s="88"/>
      <c r="CBL108" s="88"/>
      <c r="CBM108" s="88"/>
      <c r="CBN108" s="88"/>
      <c r="CBO108" s="88"/>
      <c r="CBP108" s="88"/>
      <c r="CBQ108" s="88"/>
      <c r="CBR108" s="88"/>
      <c r="CBS108" s="88"/>
      <c r="CBT108" s="88"/>
      <c r="CBU108" s="88"/>
      <c r="CBV108" s="88"/>
      <c r="CBW108" s="88"/>
      <c r="CBX108" s="88"/>
      <c r="CBY108" s="88"/>
      <c r="CBZ108" s="88"/>
      <c r="CCA108" s="88"/>
      <c r="CCB108" s="88"/>
      <c r="CCC108" s="88"/>
      <c r="CCD108" s="88"/>
      <c r="CCE108" s="88"/>
      <c r="CCF108" s="88"/>
      <c r="CCG108" s="88"/>
      <c r="CCH108" s="88"/>
      <c r="CCI108" s="88"/>
      <c r="CCJ108" s="88"/>
      <c r="CCK108" s="88"/>
      <c r="CCL108" s="88"/>
      <c r="CCM108" s="88"/>
      <c r="CCN108" s="88"/>
      <c r="CCO108" s="88"/>
      <c r="CCP108" s="88"/>
      <c r="CCQ108" s="88"/>
      <c r="CCR108" s="88"/>
      <c r="CCS108" s="88"/>
      <c r="CCT108" s="88"/>
      <c r="CCU108" s="88"/>
      <c r="CCV108" s="88"/>
      <c r="CCW108" s="88"/>
      <c r="CCX108" s="88"/>
      <c r="CCY108" s="88"/>
      <c r="CCZ108" s="88"/>
      <c r="CDA108" s="88"/>
      <c r="CDB108" s="88"/>
      <c r="CDC108" s="88"/>
      <c r="CDD108" s="88"/>
      <c r="CDE108" s="88"/>
      <c r="CDF108" s="88"/>
      <c r="CDG108" s="88"/>
      <c r="CDH108" s="88"/>
      <c r="CDI108" s="88"/>
      <c r="CDJ108" s="88"/>
      <c r="CDK108" s="88"/>
      <c r="CDL108" s="88"/>
      <c r="CDM108" s="88"/>
      <c r="CDN108" s="88"/>
      <c r="CDO108" s="88"/>
      <c r="CDP108" s="88"/>
      <c r="CDQ108" s="88"/>
      <c r="CDR108" s="88"/>
      <c r="CDS108" s="88"/>
      <c r="CDT108" s="88"/>
      <c r="CDU108" s="88"/>
      <c r="CDV108" s="88"/>
      <c r="CDW108" s="88"/>
      <c r="CDX108" s="88"/>
      <c r="CDY108" s="88"/>
      <c r="CDZ108" s="88"/>
      <c r="CEA108" s="88"/>
      <c r="CEB108" s="88"/>
      <c r="CEC108" s="88"/>
      <c r="CED108" s="88"/>
      <c r="CEE108" s="88"/>
      <c r="CEF108" s="88"/>
      <c r="CEG108" s="88"/>
      <c r="CEH108" s="88"/>
      <c r="CEI108" s="88"/>
      <c r="CEJ108" s="88"/>
      <c r="CEK108" s="88"/>
    </row>
    <row r="109" spans="1:2169" s="63" customFormat="1">
      <c r="A109" s="73" t="s">
        <v>2662</v>
      </c>
      <c r="B109" s="73" t="s">
        <v>2665</v>
      </c>
      <c r="C109" s="68" t="str">
        <f>IF('page 2'!$O$4="","",IF('page 2'!$O$4=Gestion!A109,1,0))</f>
        <v/>
      </c>
      <c r="D109" s="68" t="str">
        <f>IF('page 2'!$O$5="","",IF('page 2'!$O$5=Gestion!A109,1,0))</f>
        <v/>
      </c>
      <c r="E109" s="68" t="str">
        <f>IF('page 2'!$O$6="","",IF('page 2'!$O$6=Gestion!A109,1,0))</f>
        <v/>
      </c>
      <c r="F109" s="68" t="str">
        <f>IF('page 2'!$O$7="","",IF('page 2'!$O$7=Gestion!A109,1,0))</f>
        <v/>
      </c>
      <c r="G109" s="68" t="str">
        <f>IF('page 2'!$O$8="","",IF('page 2'!$O$8=Gestion!A109,1,0))</f>
        <v/>
      </c>
      <c r="H109" s="68" t="str">
        <f>IF('page 2'!$O$9="","",IF('page 2'!$O$9=Gestion!A109,1,0))</f>
        <v/>
      </c>
      <c r="I109" s="68" t="str">
        <f>IF('page 2'!$O$10="","",IF('page 2'!$O$10=Gestion!A109,1,0))</f>
        <v/>
      </c>
      <c r="J109" s="68" t="str">
        <f>IF('page 2'!$O$11="","",IF('page 2'!$O$11=Gestion!A109,1,0))</f>
        <v/>
      </c>
      <c r="K109" s="68" t="str">
        <f>IF('page 2'!$O$12="","",IF('page 2'!$O$12=Gestion!A109,1,0))</f>
        <v/>
      </c>
      <c r="L109" s="68" t="str">
        <f>IF('page 2'!$O$13="","",IF('page 2'!$O$13=Gestion!A109,1,0))</f>
        <v/>
      </c>
      <c r="M109" s="68" t="str">
        <f>IF('page 2'!$O$14="","",IF('page 2'!$O$14=Gestion!A109,1,0))</f>
        <v/>
      </c>
      <c r="N109" s="68" t="str">
        <f>IF('page 2'!$O$15="","",IF('page 2'!$O$15=Gestion!A109,1,0))</f>
        <v/>
      </c>
      <c r="O109" s="68" t="str">
        <f>IF('page 2'!$O$16="","",IF('page 2'!$O$16=Gestion!A109,1,0))</f>
        <v/>
      </c>
      <c r="P109" s="68" t="str">
        <f>IF('page 2'!$O$17="","",IF('page 2'!$O$17=Gestion!A109,1,0))</f>
        <v/>
      </c>
      <c r="Q109" s="68" t="str">
        <f>IF('page 2'!$O$18="","",IF('page 2'!$O$18=Gestion!A109,1,0))</f>
        <v/>
      </c>
      <c r="R109" s="68" t="str">
        <f>IF('page 2'!$O$19="","",IF('page 2'!$O$19=Gestion!A109,1,0))</f>
        <v/>
      </c>
      <c r="S109" s="68" t="str">
        <f>IF('page 2'!$O$20="","",IF('page 2'!$O$20=Gestion!A109,1,0))</f>
        <v/>
      </c>
      <c r="T109" s="68" t="str">
        <f>IF('page 2'!$O$25="","",IF('page 2'!$O$25=Gestion!A109,1,0))</f>
        <v/>
      </c>
      <c r="U109" s="68" t="str">
        <f>IF('page 2'!$O$26="","",IF('page 2'!$O$26=Gestion!A109,1,0))</f>
        <v/>
      </c>
      <c r="V109" s="68" t="str">
        <f>IF('page 2'!$O$27="","",IF('page 2'!$O$27=Gestion!A109,1,0))</f>
        <v/>
      </c>
      <c r="W109" s="722">
        <f t="shared" si="14"/>
        <v>0</v>
      </c>
      <c r="X109" s="714"/>
      <c r="Y109" s="68"/>
      <c r="Z109" s="68"/>
      <c r="AA109" s="68"/>
      <c r="AB109" s="68"/>
      <c r="AC109" s="68"/>
      <c r="AD109" s="68"/>
      <c r="AP109" s="130"/>
      <c r="AQ109" s="130"/>
      <c r="AR109" s="130"/>
      <c r="AS109" s="576"/>
      <c r="AT109" s="576"/>
      <c r="AU109" s="576"/>
      <c r="AV109" s="576"/>
      <c r="AW109" s="602"/>
      <c r="AX109" s="602"/>
      <c r="AY109" s="576"/>
      <c r="AZ109" s="576"/>
      <c r="BA109" s="576"/>
      <c r="BB109" s="576"/>
      <c r="BC109" s="576"/>
      <c r="BD109" s="602"/>
      <c r="BE109" s="602"/>
      <c r="BF109" s="602"/>
      <c r="BG109" s="602"/>
      <c r="BH109" s="602"/>
      <c r="BI109" s="602"/>
      <c r="BJ109" s="602"/>
      <c r="BK109" s="602"/>
      <c r="BL109" s="602"/>
      <c r="BM109" s="602"/>
      <c r="BN109" s="602"/>
      <c r="BO109" s="602"/>
      <c r="BP109" s="602"/>
      <c r="BQ109" s="602"/>
      <c r="BR109" s="602"/>
      <c r="BS109" s="576"/>
      <c r="BT109" s="576"/>
      <c r="BU109" s="576"/>
      <c r="BV109" s="576"/>
      <c r="BW109" s="602"/>
      <c r="BX109" s="602"/>
      <c r="BY109" s="602"/>
      <c r="BZ109" s="576"/>
      <c r="CA109" s="602"/>
      <c r="CB109" s="602"/>
      <c r="CC109" s="576"/>
      <c r="CD109" s="576"/>
      <c r="CE109" s="602"/>
      <c r="CF109" s="576"/>
      <c r="CG109" s="576"/>
      <c r="CH109" s="576"/>
      <c r="CI109" s="576"/>
      <c r="CJ109" s="576"/>
      <c r="CK109" s="602"/>
      <c r="CL109" s="602"/>
      <c r="CM109" s="576"/>
      <c r="CN109" s="602"/>
      <c r="CO109" s="602"/>
      <c r="CP109" s="602"/>
      <c r="CQ109" s="576"/>
      <c r="CR109" s="576"/>
      <c r="CS109" s="602"/>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c r="HP109" s="88"/>
      <c r="HQ109" s="88"/>
      <c r="HR109" s="88"/>
      <c r="HS109" s="88"/>
      <c r="HT109" s="88"/>
      <c r="HU109" s="88"/>
      <c r="HV109" s="88"/>
      <c r="HW109" s="88"/>
      <c r="HX109" s="88"/>
      <c r="HY109" s="88"/>
      <c r="HZ109" s="88"/>
      <c r="IA109" s="88"/>
      <c r="IB109" s="88"/>
      <c r="IC109" s="88"/>
      <c r="ID109" s="88"/>
      <c r="IE109" s="88"/>
      <c r="IF109" s="88"/>
      <c r="IG109" s="88"/>
      <c r="IH109" s="88"/>
      <c r="II109" s="88"/>
      <c r="IJ109" s="88"/>
      <c r="IK109" s="88"/>
      <c r="IL109" s="88"/>
      <c r="IM109" s="88"/>
      <c r="IN109" s="88"/>
      <c r="IO109" s="88"/>
      <c r="IP109" s="88"/>
      <c r="IQ109" s="88"/>
      <c r="IR109" s="88"/>
      <c r="IS109" s="88"/>
      <c r="IT109" s="88"/>
      <c r="IU109" s="88"/>
      <c r="IV109" s="88"/>
      <c r="IW109" s="88"/>
      <c r="IX109" s="88"/>
      <c r="IY109" s="88"/>
      <c r="IZ109" s="88"/>
      <c r="JA109" s="88"/>
      <c r="JB109" s="88"/>
      <c r="JC109" s="88"/>
      <c r="JD109" s="88"/>
      <c r="JE109" s="88"/>
      <c r="JF109" s="88"/>
      <c r="JG109" s="88"/>
      <c r="JH109" s="88"/>
      <c r="JI109" s="88"/>
      <c r="JJ109" s="88"/>
      <c r="JK109" s="88"/>
      <c r="JL109" s="88"/>
      <c r="JM109" s="88"/>
      <c r="JN109" s="88"/>
      <c r="JO109" s="88"/>
      <c r="JP109" s="88"/>
      <c r="JQ109" s="88"/>
      <c r="JR109" s="88"/>
      <c r="JS109" s="88"/>
      <c r="JT109" s="88"/>
      <c r="JU109" s="88"/>
      <c r="JV109" s="88"/>
      <c r="JW109" s="88"/>
      <c r="JX109" s="88"/>
      <c r="JY109" s="88"/>
      <c r="JZ109" s="88"/>
      <c r="KA109" s="88"/>
      <c r="KB109" s="88"/>
      <c r="KC109" s="88"/>
      <c r="KD109" s="88"/>
      <c r="KE109" s="88"/>
      <c r="KF109" s="88"/>
      <c r="KG109" s="88"/>
      <c r="KH109" s="88"/>
      <c r="KI109" s="88"/>
      <c r="KJ109" s="88"/>
      <c r="KK109" s="88"/>
      <c r="KL109" s="88"/>
      <c r="KM109" s="88"/>
      <c r="KN109" s="88"/>
      <c r="KO109" s="88"/>
      <c r="KP109" s="88"/>
      <c r="KQ109" s="88"/>
      <c r="KR109" s="88"/>
      <c r="KS109" s="88"/>
      <c r="KT109" s="88"/>
      <c r="KU109" s="88"/>
      <c r="KV109" s="88"/>
      <c r="KW109" s="88"/>
      <c r="KX109" s="88"/>
      <c r="KY109" s="88"/>
      <c r="KZ109" s="88"/>
      <c r="LA109" s="88"/>
      <c r="LB109" s="88"/>
      <c r="LC109" s="88"/>
      <c r="LD109" s="88"/>
      <c r="LE109" s="88"/>
      <c r="LF109" s="88"/>
      <c r="LG109" s="88"/>
      <c r="LH109" s="88"/>
      <c r="LI109" s="88"/>
      <c r="LJ109" s="88"/>
      <c r="LK109" s="88"/>
      <c r="LL109" s="88"/>
      <c r="LM109" s="88"/>
      <c r="LN109" s="88"/>
      <c r="LO109" s="88"/>
      <c r="LP109" s="88"/>
      <c r="LQ109" s="88"/>
      <c r="LR109" s="88"/>
      <c r="LS109" s="88"/>
      <c r="LT109" s="88"/>
      <c r="LU109" s="88"/>
      <c r="LV109" s="88"/>
      <c r="LW109" s="88"/>
      <c r="LX109" s="88"/>
      <c r="LY109" s="88"/>
      <c r="LZ109" s="88"/>
      <c r="MA109" s="88"/>
      <c r="MB109" s="88"/>
      <c r="MC109" s="88"/>
      <c r="MD109" s="88"/>
      <c r="ME109" s="88"/>
      <c r="MF109" s="88"/>
      <c r="MG109" s="88"/>
      <c r="MH109" s="88"/>
      <c r="MI109" s="88"/>
      <c r="MJ109" s="88"/>
      <c r="MK109" s="88"/>
      <c r="ML109" s="88"/>
      <c r="MM109" s="88"/>
      <c r="MN109" s="88"/>
      <c r="MO109" s="88"/>
      <c r="MP109" s="88"/>
      <c r="MQ109" s="88"/>
      <c r="MR109" s="88"/>
      <c r="MS109" s="88"/>
      <c r="MT109" s="88"/>
      <c r="MU109" s="88"/>
      <c r="MV109" s="88"/>
      <c r="MW109" s="88"/>
      <c r="MX109" s="88"/>
      <c r="MY109" s="88"/>
      <c r="MZ109" s="88"/>
      <c r="NA109" s="88"/>
      <c r="NB109" s="88"/>
      <c r="NC109" s="88"/>
      <c r="ND109" s="88"/>
      <c r="NE109" s="88"/>
      <c r="NF109" s="88"/>
      <c r="NG109" s="88"/>
      <c r="NH109" s="88"/>
      <c r="NI109" s="88"/>
      <c r="NJ109" s="88"/>
      <c r="NK109" s="88"/>
      <c r="NL109" s="88"/>
      <c r="NM109" s="88"/>
      <c r="NN109" s="88"/>
      <c r="NO109" s="88"/>
      <c r="NP109" s="88"/>
      <c r="NQ109" s="88"/>
      <c r="NR109" s="88"/>
      <c r="NS109" s="88"/>
      <c r="NT109" s="88"/>
      <c r="NU109" s="88"/>
      <c r="NV109" s="88"/>
      <c r="NW109" s="88"/>
      <c r="NX109" s="88"/>
      <c r="NY109" s="88"/>
      <c r="NZ109" s="88"/>
      <c r="OA109" s="88"/>
      <c r="OB109" s="88"/>
      <c r="OC109" s="88"/>
      <c r="OD109" s="88"/>
      <c r="OE109" s="88"/>
      <c r="OF109" s="88"/>
      <c r="OG109" s="88"/>
      <c r="OH109" s="88"/>
      <c r="OI109" s="88"/>
      <c r="OJ109" s="88"/>
      <c r="OK109" s="88"/>
      <c r="OL109" s="88"/>
      <c r="OM109" s="88"/>
      <c r="ON109" s="88"/>
      <c r="OO109" s="88"/>
      <c r="OP109" s="88"/>
      <c r="OQ109" s="88"/>
      <c r="OR109" s="88"/>
      <c r="OS109" s="88"/>
      <c r="OT109" s="88"/>
      <c r="OU109" s="88"/>
      <c r="OV109" s="88"/>
      <c r="OW109" s="88"/>
      <c r="OX109" s="88"/>
      <c r="OY109" s="88"/>
      <c r="OZ109" s="88"/>
      <c r="PA109" s="88"/>
      <c r="PB109" s="88"/>
      <c r="PC109" s="88"/>
      <c r="PD109" s="88"/>
      <c r="PE109" s="88"/>
      <c r="PF109" s="88"/>
      <c r="PG109" s="88"/>
      <c r="PH109" s="88"/>
      <c r="PI109" s="88"/>
      <c r="PJ109" s="88"/>
      <c r="PK109" s="88"/>
      <c r="PL109" s="88"/>
      <c r="PM109" s="88"/>
      <c r="PN109" s="88"/>
      <c r="PO109" s="88"/>
      <c r="PP109" s="88"/>
      <c r="PQ109" s="88"/>
      <c r="PR109" s="88"/>
      <c r="PS109" s="88"/>
      <c r="PT109" s="88"/>
      <c r="PU109" s="88"/>
      <c r="PV109" s="88"/>
      <c r="PW109" s="88"/>
      <c r="PX109" s="88"/>
      <c r="PY109" s="88"/>
      <c r="PZ109" s="88"/>
      <c r="QA109" s="88"/>
      <c r="QB109" s="88"/>
      <c r="QC109" s="88"/>
      <c r="QD109" s="88"/>
      <c r="QE109" s="88"/>
      <c r="QF109" s="88"/>
      <c r="QG109" s="88"/>
      <c r="QH109" s="88"/>
      <c r="QI109" s="88"/>
      <c r="QJ109" s="88"/>
      <c r="QK109" s="88"/>
      <c r="QL109" s="88"/>
      <c r="QM109" s="88"/>
      <c r="QN109" s="88"/>
      <c r="QO109" s="88"/>
      <c r="QP109" s="88"/>
      <c r="QQ109" s="88"/>
      <c r="QR109" s="88"/>
      <c r="QS109" s="88"/>
      <c r="QT109" s="88"/>
      <c r="QU109" s="88"/>
      <c r="QV109" s="88"/>
      <c r="QW109" s="88"/>
      <c r="QX109" s="88"/>
      <c r="QY109" s="88"/>
      <c r="QZ109" s="88"/>
      <c r="RA109" s="88"/>
      <c r="RB109" s="88"/>
      <c r="RC109" s="88"/>
      <c r="RD109" s="88"/>
      <c r="RE109" s="88"/>
      <c r="RF109" s="88"/>
      <c r="RG109" s="88"/>
      <c r="RH109" s="88"/>
      <c r="RI109" s="88"/>
      <c r="RJ109" s="88"/>
      <c r="RK109" s="88"/>
      <c r="RL109" s="88"/>
      <c r="RM109" s="88"/>
      <c r="RN109" s="88"/>
      <c r="RO109" s="88"/>
      <c r="RP109" s="88"/>
      <c r="RQ109" s="88"/>
      <c r="RR109" s="88"/>
      <c r="RS109" s="88"/>
      <c r="RT109" s="88"/>
      <c r="RU109" s="88"/>
      <c r="RV109" s="88"/>
      <c r="RW109" s="88"/>
      <c r="RX109" s="88"/>
      <c r="RY109" s="88"/>
      <c r="RZ109" s="88"/>
      <c r="SA109" s="88"/>
      <c r="SB109" s="88"/>
      <c r="SC109" s="88"/>
      <c r="SD109" s="88"/>
      <c r="SE109" s="88"/>
      <c r="SF109" s="88"/>
      <c r="SG109" s="88"/>
      <c r="SH109" s="88"/>
      <c r="SI109" s="88"/>
      <c r="SJ109" s="88"/>
      <c r="SK109" s="88"/>
      <c r="SL109" s="88"/>
      <c r="SM109" s="88"/>
      <c r="SN109" s="88"/>
      <c r="SO109" s="88"/>
      <c r="SP109" s="88"/>
      <c r="SQ109" s="88"/>
      <c r="SR109" s="88"/>
      <c r="SS109" s="88"/>
      <c r="ST109" s="88"/>
      <c r="SU109" s="88"/>
      <c r="SV109" s="88"/>
      <c r="SW109" s="88"/>
      <c r="SX109" s="88"/>
      <c r="SY109" s="88"/>
      <c r="SZ109" s="88"/>
      <c r="TA109" s="88"/>
      <c r="TB109" s="88"/>
      <c r="TC109" s="88"/>
      <c r="TD109" s="88"/>
      <c r="TE109" s="88"/>
      <c r="TF109" s="88"/>
      <c r="TG109" s="88"/>
      <c r="TH109" s="88"/>
      <c r="TI109" s="88"/>
      <c r="TJ109" s="88"/>
      <c r="TK109" s="88"/>
      <c r="TL109" s="88"/>
      <c r="TM109" s="88"/>
      <c r="TN109" s="88"/>
      <c r="TO109" s="88"/>
      <c r="TP109" s="88"/>
      <c r="TQ109" s="88"/>
      <c r="TR109" s="88"/>
      <c r="TS109" s="88"/>
      <c r="TT109" s="88"/>
      <c r="TU109" s="88"/>
      <c r="TV109" s="88"/>
      <c r="TW109" s="88"/>
      <c r="TX109" s="88"/>
      <c r="TY109" s="88"/>
      <c r="TZ109" s="88"/>
      <c r="UA109" s="88"/>
      <c r="UB109" s="88"/>
      <c r="UC109" s="88"/>
      <c r="UD109" s="88"/>
      <c r="UE109" s="88"/>
      <c r="UF109" s="88"/>
      <c r="UG109" s="88"/>
      <c r="UH109" s="88"/>
      <c r="UI109" s="88"/>
      <c r="UJ109" s="88"/>
      <c r="UK109" s="88"/>
      <c r="UL109" s="88"/>
      <c r="UM109" s="88"/>
      <c r="UN109" s="88"/>
      <c r="UO109" s="88"/>
      <c r="UP109" s="88"/>
      <c r="UQ109" s="88"/>
      <c r="UR109" s="88"/>
      <c r="US109" s="88"/>
      <c r="UT109" s="88"/>
      <c r="UU109" s="88"/>
      <c r="UV109" s="88"/>
      <c r="UW109" s="88"/>
      <c r="UX109" s="88"/>
      <c r="UY109" s="88"/>
      <c r="UZ109" s="88"/>
      <c r="VA109" s="88"/>
      <c r="VB109" s="88"/>
      <c r="VC109" s="88"/>
      <c r="VD109" s="88"/>
      <c r="VE109" s="88"/>
      <c r="VF109" s="88"/>
      <c r="VG109" s="88"/>
      <c r="VH109" s="88"/>
      <c r="VI109" s="88"/>
      <c r="VJ109" s="88"/>
      <c r="VK109" s="88"/>
      <c r="VL109" s="88"/>
      <c r="VM109" s="88"/>
      <c r="VN109" s="88"/>
      <c r="VO109" s="88"/>
      <c r="VP109" s="88"/>
      <c r="VQ109" s="88"/>
      <c r="VR109" s="88"/>
      <c r="VS109" s="88"/>
      <c r="VT109" s="88"/>
      <c r="VU109" s="88"/>
      <c r="VV109" s="88"/>
      <c r="VW109" s="88"/>
      <c r="VX109" s="88"/>
      <c r="VY109" s="88"/>
      <c r="VZ109" s="88"/>
      <c r="WA109" s="88"/>
      <c r="WB109" s="88"/>
      <c r="WC109" s="88"/>
      <c r="WD109" s="88"/>
      <c r="WE109" s="88"/>
      <c r="WF109" s="88"/>
      <c r="WG109" s="88"/>
      <c r="WH109" s="88"/>
      <c r="WI109" s="88"/>
      <c r="WJ109" s="88"/>
      <c r="WK109" s="88"/>
      <c r="WL109" s="88"/>
      <c r="WM109" s="88"/>
      <c r="WN109" s="88"/>
      <c r="WO109" s="88"/>
      <c r="WP109" s="88"/>
      <c r="WQ109" s="88"/>
      <c r="WR109" s="88"/>
      <c r="WS109" s="88"/>
      <c r="WT109" s="88"/>
      <c r="WU109" s="88"/>
      <c r="WV109" s="88"/>
      <c r="WW109" s="88"/>
      <c r="WX109" s="88"/>
      <c r="WY109" s="88"/>
      <c r="WZ109" s="88"/>
      <c r="XA109" s="88"/>
      <c r="XB109" s="88"/>
      <c r="XC109" s="88"/>
      <c r="XD109" s="88"/>
      <c r="XE109" s="88"/>
      <c r="XF109" s="88"/>
      <c r="XG109" s="88"/>
      <c r="XH109" s="88"/>
      <c r="XI109" s="88"/>
      <c r="XJ109" s="88"/>
      <c r="XK109" s="88"/>
      <c r="XL109" s="88"/>
      <c r="XM109" s="88"/>
      <c r="XN109" s="88"/>
      <c r="XO109" s="88"/>
      <c r="XP109" s="88"/>
      <c r="XQ109" s="88"/>
      <c r="XR109" s="88"/>
      <c r="XS109" s="88"/>
      <c r="XT109" s="88"/>
      <c r="XU109" s="88"/>
      <c r="XV109" s="88"/>
      <c r="XW109" s="88"/>
      <c r="XX109" s="88"/>
      <c r="XY109" s="88"/>
      <c r="XZ109" s="88"/>
      <c r="YA109" s="88"/>
      <c r="YB109" s="88"/>
      <c r="YC109" s="88"/>
      <c r="YD109" s="88"/>
      <c r="YE109" s="88"/>
      <c r="YF109" s="88"/>
      <c r="YG109" s="88"/>
      <c r="YH109" s="88"/>
      <c r="YI109" s="88"/>
      <c r="YJ109" s="88"/>
      <c r="YK109" s="88"/>
      <c r="YL109" s="88"/>
      <c r="YM109" s="88"/>
      <c r="YN109" s="88"/>
      <c r="YO109" s="88"/>
      <c r="YP109" s="88"/>
      <c r="YQ109" s="88"/>
      <c r="YR109" s="88"/>
      <c r="YS109" s="88"/>
      <c r="YT109" s="88"/>
      <c r="YU109" s="88"/>
      <c r="YV109" s="88"/>
      <c r="YW109" s="88"/>
      <c r="YX109" s="88"/>
      <c r="YY109" s="88"/>
      <c r="YZ109" s="88"/>
      <c r="ZA109" s="88"/>
      <c r="ZB109" s="88"/>
      <c r="ZC109" s="88"/>
      <c r="ZD109" s="88"/>
      <c r="ZE109" s="88"/>
      <c r="ZF109" s="88"/>
      <c r="ZG109" s="88"/>
      <c r="ZH109" s="88"/>
      <c r="ZI109" s="88"/>
      <c r="ZJ109" s="88"/>
      <c r="ZK109" s="88"/>
      <c r="ZL109" s="88"/>
      <c r="ZM109" s="88"/>
      <c r="ZN109" s="88"/>
      <c r="ZO109" s="88"/>
      <c r="ZP109" s="88"/>
      <c r="ZQ109" s="88"/>
      <c r="ZR109" s="88"/>
      <c r="ZS109" s="88"/>
      <c r="ZT109" s="88"/>
      <c r="ZU109" s="88"/>
      <c r="ZV109" s="88"/>
      <c r="ZW109" s="88"/>
      <c r="ZX109" s="88"/>
      <c r="ZY109" s="88"/>
      <c r="ZZ109" s="88"/>
      <c r="AAA109" s="88"/>
      <c r="AAB109" s="88"/>
      <c r="AAC109" s="88"/>
      <c r="AAD109" s="88"/>
      <c r="AAE109" s="88"/>
      <c r="AAF109" s="88"/>
      <c r="AAG109" s="88"/>
      <c r="AAH109" s="88"/>
      <c r="AAI109" s="88"/>
      <c r="AAJ109" s="88"/>
      <c r="AAK109" s="88"/>
      <c r="AAL109" s="88"/>
      <c r="AAM109" s="88"/>
      <c r="AAN109" s="88"/>
      <c r="AAO109" s="88"/>
      <c r="AAP109" s="88"/>
      <c r="AAQ109" s="88"/>
      <c r="AAR109" s="88"/>
      <c r="AAS109" s="88"/>
      <c r="AAT109" s="88"/>
      <c r="AAU109" s="88"/>
      <c r="AAV109" s="88"/>
      <c r="AAW109" s="88"/>
      <c r="AAX109" s="88"/>
      <c r="AAY109" s="88"/>
      <c r="AAZ109" s="88"/>
      <c r="ABA109" s="88"/>
      <c r="ABB109" s="88"/>
      <c r="ABC109" s="88"/>
      <c r="ABD109" s="88"/>
      <c r="ABE109" s="88"/>
      <c r="ABF109" s="88"/>
      <c r="ABG109" s="88"/>
      <c r="ABH109" s="88"/>
      <c r="ABI109" s="88"/>
      <c r="ABJ109" s="88"/>
      <c r="ABK109" s="88"/>
      <c r="ABL109" s="88"/>
      <c r="ABM109" s="88"/>
      <c r="ABN109" s="88"/>
      <c r="ABO109" s="88"/>
      <c r="ABP109" s="88"/>
      <c r="ABQ109" s="88"/>
      <c r="ABR109" s="88"/>
      <c r="ABS109" s="88"/>
      <c r="ABT109" s="88"/>
      <c r="ABU109" s="88"/>
      <c r="ABV109" s="88"/>
      <c r="ABW109" s="88"/>
      <c r="ABX109" s="88"/>
      <c r="ABY109" s="88"/>
      <c r="ABZ109" s="88"/>
      <c r="ACA109" s="88"/>
      <c r="ACB109" s="88"/>
      <c r="ACC109" s="88"/>
      <c r="ACD109" s="88"/>
      <c r="ACE109" s="88"/>
      <c r="ACF109" s="88"/>
      <c r="ACG109" s="88"/>
      <c r="ACH109" s="88"/>
      <c r="ACI109" s="88"/>
      <c r="ACJ109" s="88"/>
      <c r="ACK109" s="88"/>
      <c r="ACL109" s="88"/>
      <c r="ACM109" s="88"/>
      <c r="ACN109" s="88"/>
      <c r="ACO109" s="88"/>
      <c r="ACP109" s="88"/>
      <c r="ACQ109" s="88"/>
      <c r="ACR109" s="88"/>
      <c r="ACS109" s="88"/>
      <c r="ACT109" s="88"/>
      <c r="ACU109" s="88"/>
      <c r="ACV109" s="88"/>
      <c r="ACW109" s="88"/>
      <c r="ACX109" s="88"/>
      <c r="ACY109" s="88"/>
      <c r="ACZ109" s="88"/>
      <c r="ADA109" s="88"/>
      <c r="ADB109" s="88"/>
      <c r="ADC109" s="88"/>
      <c r="ADD109" s="88"/>
      <c r="ADE109" s="88"/>
      <c r="ADF109" s="88"/>
      <c r="ADG109" s="88"/>
      <c r="ADH109" s="88"/>
      <c r="ADI109" s="88"/>
      <c r="ADJ109" s="88"/>
      <c r="ADK109" s="88"/>
      <c r="ADL109" s="88"/>
      <c r="ADM109" s="88"/>
      <c r="ADN109" s="88"/>
      <c r="ADO109" s="88"/>
      <c r="ADP109" s="88"/>
      <c r="ADQ109" s="88"/>
      <c r="ADR109" s="88"/>
      <c r="ADS109" s="88"/>
      <c r="ADT109" s="88"/>
      <c r="ADU109" s="88"/>
      <c r="ADV109" s="88"/>
      <c r="ADW109" s="88"/>
      <c r="ADX109" s="88"/>
      <c r="ADY109" s="88"/>
      <c r="ADZ109" s="88"/>
      <c r="AEA109" s="88"/>
      <c r="AEB109" s="88"/>
      <c r="AEC109" s="88"/>
      <c r="AED109" s="88"/>
      <c r="AEE109" s="88"/>
      <c r="AEF109" s="88"/>
      <c r="AEG109" s="88"/>
      <c r="AEH109" s="88"/>
      <c r="AEI109" s="88"/>
      <c r="AEJ109" s="88"/>
      <c r="AEK109" s="88"/>
      <c r="AEL109" s="88"/>
      <c r="AEM109" s="88"/>
      <c r="AEN109" s="88"/>
      <c r="AEO109" s="88"/>
      <c r="AEP109" s="88"/>
      <c r="AEQ109" s="88"/>
      <c r="AER109" s="88"/>
      <c r="AES109" s="88"/>
      <c r="AET109" s="88"/>
      <c r="AEU109" s="88"/>
      <c r="AEV109" s="88"/>
      <c r="AEW109" s="88"/>
      <c r="AEX109" s="88"/>
      <c r="AEY109" s="88"/>
      <c r="AEZ109" s="88"/>
      <c r="AFA109" s="88"/>
      <c r="AFB109" s="88"/>
      <c r="AFC109" s="88"/>
      <c r="AFD109" s="88"/>
      <c r="AFE109" s="88"/>
      <c r="AFF109" s="88"/>
      <c r="AFG109" s="88"/>
      <c r="AFH109" s="88"/>
      <c r="AFI109" s="88"/>
      <c r="AFJ109" s="88"/>
      <c r="AFK109" s="88"/>
      <c r="AFL109" s="88"/>
      <c r="AFM109" s="88"/>
      <c r="AFN109" s="88"/>
      <c r="AFO109" s="88"/>
      <c r="AFP109" s="88"/>
      <c r="AFQ109" s="88"/>
      <c r="AFR109" s="88"/>
      <c r="AFS109" s="88"/>
      <c r="AFT109" s="88"/>
      <c r="AFU109" s="88"/>
      <c r="AFV109" s="88"/>
      <c r="AFW109" s="88"/>
      <c r="AFX109" s="88"/>
      <c r="AFY109" s="88"/>
      <c r="AFZ109" s="88"/>
      <c r="AGA109" s="88"/>
      <c r="AGB109" s="88"/>
      <c r="AGC109" s="88"/>
      <c r="AGD109" s="88"/>
      <c r="AGE109" s="88"/>
      <c r="AGF109" s="88"/>
      <c r="AGG109" s="88"/>
      <c r="AGH109" s="88"/>
      <c r="AGI109" s="88"/>
      <c r="AGJ109" s="88"/>
      <c r="AGK109" s="88"/>
      <c r="AGL109" s="88"/>
      <c r="AGM109" s="88"/>
      <c r="AGN109" s="88"/>
      <c r="AGO109" s="88"/>
      <c r="AGP109" s="88"/>
      <c r="AGQ109" s="88"/>
      <c r="AGR109" s="88"/>
      <c r="AGS109" s="88"/>
      <c r="AGT109" s="88"/>
      <c r="AGU109" s="88"/>
      <c r="AGV109" s="88"/>
      <c r="AGW109" s="88"/>
      <c r="AGX109" s="88"/>
      <c r="AGY109" s="88"/>
      <c r="AGZ109" s="88"/>
      <c r="AHA109" s="88"/>
      <c r="AHB109" s="88"/>
      <c r="AHC109" s="88"/>
      <c r="AHD109" s="88"/>
      <c r="AHE109" s="88"/>
      <c r="AHF109" s="88"/>
      <c r="AHG109" s="88"/>
      <c r="AHH109" s="88"/>
      <c r="AHI109" s="88"/>
      <c r="AHJ109" s="88"/>
      <c r="AHK109" s="88"/>
      <c r="AHL109" s="88"/>
      <c r="AHM109" s="88"/>
      <c r="AHN109" s="88"/>
      <c r="AHO109" s="88"/>
      <c r="AHP109" s="88"/>
      <c r="AHQ109" s="88"/>
      <c r="AHR109" s="88"/>
      <c r="AHS109" s="88"/>
      <c r="AHT109" s="88"/>
      <c r="AHU109" s="88"/>
      <c r="AHV109" s="88"/>
      <c r="AHW109" s="88"/>
      <c r="AHX109" s="88"/>
      <c r="AHY109" s="88"/>
      <c r="AHZ109" s="88"/>
      <c r="AIA109" s="88"/>
      <c r="AIB109" s="88"/>
      <c r="AIC109" s="88"/>
      <c r="AID109" s="88"/>
      <c r="AIE109" s="88"/>
      <c r="AIF109" s="88"/>
      <c r="AIG109" s="88"/>
      <c r="AIH109" s="88"/>
      <c r="AII109" s="88"/>
      <c r="AIJ109" s="88"/>
      <c r="AIK109" s="88"/>
      <c r="AIL109" s="88"/>
      <c r="AIM109" s="88"/>
      <c r="AIN109" s="88"/>
      <c r="AIO109" s="88"/>
      <c r="AIP109" s="88"/>
      <c r="AIQ109" s="88"/>
      <c r="AIR109" s="88"/>
      <c r="AIS109" s="88"/>
      <c r="AIT109" s="88"/>
      <c r="AIU109" s="88"/>
      <c r="AIV109" s="88"/>
      <c r="AIW109" s="88"/>
      <c r="AIX109" s="88"/>
      <c r="AIY109" s="88"/>
      <c r="AIZ109" s="88"/>
      <c r="AJA109" s="88"/>
      <c r="AJB109" s="88"/>
      <c r="AJC109" s="88"/>
      <c r="AJD109" s="88"/>
      <c r="AJE109" s="88"/>
      <c r="AJF109" s="88"/>
      <c r="AJG109" s="88"/>
      <c r="AJH109" s="88"/>
      <c r="AJI109" s="88"/>
      <c r="AJJ109" s="88"/>
      <c r="AJK109" s="88"/>
      <c r="AJL109" s="88"/>
      <c r="AJM109" s="88"/>
      <c r="AJN109" s="88"/>
      <c r="AJO109" s="88"/>
      <c r="AJP109" s="88"/>
      <c r="AJQ109" s="88"/>
      <c r="AJR109" s="88"/>
      <c r="AJS109" s="88"/>
      <c r="AJT109" s="88"/>
      <c r="AJU109" s="88"/>
      <c r="AJV109" s="88"/>
      <c r="AJW109" s="88"/>
      <c r="AJX109" s="88"/>
      <c r="AJY109" s="88"/>
      <c r="AJZ109" s="88"/>
      <c r="AKA109" s="88"/>
      <c r="AKB109" s="88"/>
      <c r="AKC109" s="88"/>
      <c r="AKD109" s="88"/>
      <c r="AKE109" s="88"/>
      <c r="AKF109" s="88"/>
      <c r="AKG109" s="88"/>
      <c r="AKH109" s="88"/>
      <c r="AKI109" s="88"/>
      <c r="AKJ109" s="88"/>
      <c r="AKK109" s="88"/>
      <c r="AKL109" s="88"/>
      <c r="AKM109" s="88"/>
      <c r="AKN109" s="88"/>
      <c r="AKO109" s="88"/>
      <c r="AKP109" s="88"/>
      <c r="AKQ109" s="88"/>
      <c r="AKR109" s="88"/>
      <c r="AKS109" s="88"/>
      <c r="AKT109" s="88"/>
      <c r="AKU109" s="88"/>
      <c r="AKV109" s="88"/>
      <c r="AKW109" s="88"/>
      <c r="AKX109" s="88"/>
      <c r="AKY109" s="88"/>
      <c r="AKZ109" s="88"/>
      <c r="ALA109" s="88"/>
      <c r="ALB109" s="88"/>
      <c r="ALC109" s="88"/>
      <c r="ALD109" s="88"/>
      <c r="ALE109" s="88"/>
      <c r="ALF109" s="88"/>
      <c r="ALG109" s="88"/>
      <c r="ALH109" s="88"/>
      <c r="ALI109" s="88"/>
      <c r="ALJ109" s="88"/>
      <c r="ALK109" s="88"/>
      <c r="ALL109" s="88"/>
      <c r="ALM109" s="88"/>
      <c r="ALN109" s="88"/>
      <c r="ALO109" s="88"/>
      <c r="ALP109" s="88"/>
      <c r="ALQ109" s="88"/>
      <c r="ALR109" s="88"/>
      <c r="ALS109" s="88"/>
      <c r="ALT109" s="88"/>
      <c r="ALU109" s="88"/>
      <c r="ALV109" s="88"/>
      <c r="ALW109" s="88"/>
      <c r="ALX109" s="88"/>
      <c r="ALY109" s="88"/>
      <c r="ALZ109" s="88"/>
      <c r="AMA109" s="88"/>
      <c r="AMB109" s="88"/>
      <c r="AMC109" s="88"/>
      <c r="AMD109" s="88"/>
      <c r="AME109" s="88"/>
      <c r="AMF109" s="88"/>
      <c r="AMG109" s="88"/>
      <c r="AMH109" s="88"/>
      <c r="AMI109" s="88"/>
      <c r="AMJ109" s="88"/>
      <c r="AMK109" s="88"/>
      <c r="AML109" s="88"/>
      <c r="AMM109" s="88"/>
      <c r="AMN109" s="88"/>
      <c r="AMO109" s="88"/>
      <c r="AMP109" s="88"/>
      <c r="AMQ109" s="88"/>
      <c r="AMR109" s="88"/>
      <c r="AMS109" s="88"/>
      <c r="AMT109" s="88"/>
      <c r="AMU109" s="88"/>
      <c r="AMV109" s="88"/>
      <c r="AMW109" s="88"/>
      <c r="AMX109" s="88"/>
      <c r="AMY109" s="88"/>
      <c r="AMZ109" s="88"/>
      <c r="ANA109" s="88"/>
      <c r="ANB109" s="88"/>
      <c r="ANC109" s="88"/>
      <c r="AND109" s="88"/>
      <c r="ANE109" s="88"/>
      <c r="ANF109" s="88"/>
      <c r="ANG109" s="88"/>
      <c r="ANH109" s="88"/>
      <c r="ANI109" s="88"/>
      <c r="ANJ109" s="88"/>
      <c r="ANK109" s="88"/>
      <c r="ANL109" s="88"/>
      <c r="ANM109" s="88"/>
      <c r="ANN109" s="88"/>
      <c r="ANO109" s="88"/>
      <c r="ANP109" s="88"/>
      <c r="ANQ109" s="88"/>
      <c r="ANR109" s="88"/>
      <c r="ANS109" s="88"/>
      <c r="ANT109" s="88"/>
      <c r="ANU109" s="88"/>
      <c r="ANV109" s="88"/>
      <c r="ANW109" s="88"/>
      <c r="ANX109" s="88"/>
      <c r="ANY109" s="88"/>
      <c r="ANZ109" s="88"/>
      <c r="AOA109" s="88"/>
      <c r="AOB109" s="88"/>
      <c r="AOC109" s="88"/>
      <c r="AOD109" s="88"/>
      <c r="AOE109" s="88"/>
      <c r="AOF109" s="88"/>
      <c r="AOG109" s="88"/>
      <c r="AOH109" s="88"/>
      <c r="AOI109" s="88"/>
      <c r="AOJ109" s="88"/>
      <c r="AOK109" s="88"/>
      <c r="AOL109" s="88"/>
      <c r="AOM109" s="88"/>
      <c r="AON109" s="88"/>
      <c r="AOO109" s="88"/>
      <c r="AOP109" s="88"/>
      <c r="AOQ109" s="88"/>
      <c r="AOR109" s="88"/>
      <c r="AOS109" s="88"/>
      <c r="AOT109" s="88"/>
      <c r="AOU109" s="88"/>
      <c r="AOV109" s="88"/>
      <c r="AOW109" s="88"/>
      <c r="AOX109" s="88"/>
      <c r="AOY109" s="88"/>
      <c r="AOZ109" s="88"/>
      <c r="APA109" s="88"/>
      <c r="APB109" s="88"/>
      <c r="APC109" s="88"/>
      <c r="APD109" s="88"/>
      <c r="APE109" s="88"/>
      <c r="APF109" s="88"/>
      <c r="APG109" s="88"/>
      <c r="APH109" s="88"/>
      <c r="API109" s="88"/>
      <c r="APJ109" s="88"/>
      <c r="APK109" s="88"/>
      <c r="APL109" s="88"/>
      <c r="APM109" s="88"/>
      <c r="APN109" s="88"/>
      <c r="APO109" s="88"/>
      <c r="APP109" s="88"/>
      <c r="APQ109" s="88"/>
      <c r="APR109" s="88"/>
      <c r="APS109" s="88"/>
      <c r="APT109" s="88"/>
      <c r="APU109" s="88"/>
      <c r="APV109" s="88"/>
      <c r="APW109" s="88"/>
      <c r="APX109" s="88"/>
      <c r="APY109" s="88"/>
      <c r="APZ109" s="88"/>
      <c r="AQA109" s="88"/>
      <c r="AQB109" s="88"/>
      <c r="AQC109" s="88"/>
      <c r="AQD109" s="88"/>
      <c r="AQE109" s="88"/>
      <c r="AQF109" s="88"/>
      <c r="AQG109" s="88"/>
      <c r="AQH109" s="88"/>
      <c r="AQI109" s="88"/>
      <c r="AQJ109" s="88"/>
      <c r="AQK109" s="88"/>
      <c r="AQL109" s="88"/>
      <c r="AQM109" s="88"/>
      <c r="AQN109" s="88"/>
      <c r="AQO109" s="88"/>
      <c r="AQP109" s="88"/>
      <c r="AQQ109" s="88"/>
      <c r="AQR109" s="88"/>
      <c r="AQS109" s="88"/>
      <c r="AQT109" s="88"/>
      <c r="AQU109" s="88"/>
      <c r="AQV109" s="88"/>
      <c r="AQW109" s="88"/>
      <c r="AQX109" s="88"/>
      <c r="AQY109" s="88"/>
      <c r="AQZ109" s="88"/>
      <c r="ARA109" s="88"/>
      <c r="ARB109" s="88"/>
      <c r="ARC109" s="88"/>
      <c r="ARD109" s="88"/>
      <c r="ARE109" s="88"/>
      <c r="ARF109" s="88"/>
      <c r="ARG109" s="88"/>
      <c r="ARH109" s="88"/>
      <c r="ARI109" s="88"/>
      <c r="ARJ109" s="88"/>
      <c r="ARK109" s="88"/>
      <c r="ARL109" s="88"/>
      <c r="ARM109" s="88"/>
      <c r="ARN109" s="88"/>
      <c r="ARO109" s="88"/>
      <c r="ARP109" s="88"/>
      <c r="ARQ109" s="88"/>
      <c r="ARR109" s="88"/>
      <c r="ARS109" s="88"/>
      <c r="ART109" s="88"/>
      <c r="ARU109" s="88"/>
      <c r="ARV109" s="88"/>
      <c r="ARW109" s="88"/>
      <c r="ARX109" s="88"/>
      <c r="ARY109" s="88"/>
      <c r="ARZ109" s="88"/>
      <c r="ASA109" s="88"/>
      <c r="ASB109" s="88"/>
      <c r="ASC109" s="88"/>
      <c r="ASD109" s="88"/>
      <c r="ASE109" s="88"/>
      <c r="ASF109" s="88"/>
      <c r="ASG109" s="88"/>
      <c r="ASH109" s="88"/>
      <c r="ASI109" s="88"/>
      <c r="ASJ109" s="88"/>
      <c r="ASK109" s="88"/>
      <c r="ASL109" s="88"/>
      <c r="ASM109" s="88"/>
      <c r="ASN109" s="88"/>
      <c r="ASO109" s="88"/>
      <c r="ASP109" s="88"/>
      <c r="ASQ109" s="88"/>
      <c r="ASR109" s="88"/>
      <c r="ASS109" s="88"/>
      <c r="AST109" s="88"/>
      <c r="ASU109" s="88"/>
      <c r="ASV109" s="88"/>
      <c r="ASW109" s="88"/>
      <c r="ASX109" s="88"/>
      <c r="ASY109" s="88"/>
      <c r="ASZ109" s="88"/>
      <c r="ATA109" s="88"/>
      <c r="ATB109" s="88"/>
      <c r="ATC109" s="88"/>
      <c r="ATD109" s="88"/>
      <c r="ATE109" s="88"/>
      <c r="ATF109" s="88"/>
      <c r="ATG109" s="88"/>
      <c r="ATH109" s="88"/>
      <c r="ATI109" s="88"/>
      <c r="ATJ109" s="88"/>
      <c r="ATK109" s="88"/>
      <c r="ATL109" s="88"/>
      <c r="ATM109" s="88"/>
      <c r="ATN109" s="88"/>
      <c r="ATO109" s="88"/>
      <c r="ATP109" s="88"/>
      <c r="ATQ109" s="88"/>
      <c r="ATR109" s="88"/>
      <c r="ATS109" s="88"/>
      <c r="ATT109" s="88"/>
      <c r="ATU109" s="88"/>
      <c r="ATV109" s="88"/>
      <c r="ATW109" s="88"/>
      <c r="ATX109" s="88"/>
      <c r="ATY109" s="88"/>
      <c r="ATZ109" s="88"/>
      <c r="AUA109" s="88"/>
      <c r="AUB109" s="88"/>
      <c r="AUC109" s="88"/>
      <c r="AUD109" s="88"/>
      <c r="AUE109" s="88"/>
      <c r="AUF109" s="88"/>
      <c r="AUG109" s="88"/>
      <c r="AUH109" s="88"/>
      <c r="AUI109" s="88"/>
      <c r="AUJ109" s="88"/>
      <c r="AUK109" s="88"/>
      <c r="AUL109" s="88"/>
      <c r="AUM109" s="88"/>
      <c r="AUN109" s="88"/>
      <c r="AUO109" s="88"/>
      <c r="AUP109" s="88"/>
      <c r="AUQ109" s="88"/>
      <c r="AUR109" s="88"/>
      <c r="AUS109" s="88"/>
      <c r="AUT109" s="88"/>
      <c r="AUU109" s="88"/>
      <c r="AUV109" s="88"/>
      <c r="AUW109" s="88"/>
      <c r="AUX109" s="88"/>
      <c r="AUY109" s="88"/>
      <c r="AUZ109" s="88"/>
      <c r="AVA109" s="88"/>
      <c r="AVB109" s="88"/>
      <c r="AVC109" s="88"/>
      <c r="AVD109" s="88"/>
      <c r="AVE109" s="88"/>
      <c r="AVF109" s="88"/>
      <c r="AVG109" s="88"/>
      <c r="AVH109" s="88"/>
      <c r="AVI109" s="88"/>
      <c r="AVJ109" s="88"/>
      <c r="AVK109" s="88"/>
      <c r="AVL109" s="88"/>
      <c r="AVM109" s="88"/>
      <c r="AVN109" s="88"/>
      <c r="AVO109" s="88"/>
      <c r="AVP109" s="88"/>
      <c r="AVQ109" s="88"/>
      <c r="AVR109" s="88"/>
      <c r="AVS109" s="88"/>
      <c r="AVT109" s="88"/>
      <c r="AVU109" s="88"/>
      <c r="AVV109" s="88"/>
      <c r="AVW109" s="88"/>
      <c r="AVX109" s="88"/>
      <c r="AVY109" s="88"/>
      <c r="AVZ109" s="88"/>
      <c r="AWA109" s="88"/>
      <c r="AWB109" s="88"/>
      <c r="AWC109" s="88"/>
      <c r="AWD109" s="88"/>
      <c r="AWE109" s="88"/>
      <c r="AWF109" s="88"/>
      <c r="AWG109" s="88"/>
      <c r="AWH109" s="88"/>
      <c r="AWI109" s="88"/>
      <c r="AWJ109" s="88"/>
      <c r="AWK109" s="88"/>
      <c r="AWL109" s="88"/>
      <c r="AWM109" s="88"/>
      <c r="AWN109" s="88"/>
      <c r="AWO109" s="88"/>
      <c r="AWP109" s="88"/>
      <c r="AWQ109" s="88"/>
      <c r="AWR109" s="88"/>
      <c r="AWS109" s="88"/>
      <c r="AWT109" s="88"/>
      <c r="AWU109" s="88"/>
      <c r="AWV109" s="88"/>
      <c r="AWW109" s="88"/>
      <c r="AWX109" s="88"/>
      <c r="AWY109" s="88"/>
      <c r="AWZ109" s="88"/>
      <c r="AXA109" s="88"/>
      <c r="AXB109" s="88"/>
      <c r="AXC109" s="88"/>
      <c r="AXD109" s="88"/>
      <c r="AXE109" s="88"/>
      <c r="AXF109" s="88"/>
      <c r="AXG109" s="88"/>
      <c r="AXH109" s="88"/>
      <c r="AXI109" s="88"/>
      <c r="AXJ109" s="88"/>
      <c r="AXK109" s="88"/>
      <c r="AXL109" s="88"/>
      <c r="AXM109" s="88"/>
      <c r="AXN109" s="88"/>
      <c r="AXO109" s="88"/>
      <c r="AXP109" s="88"/>
      <c r="AXQ109" s="88"/>
      <c r="AXR109" s="88"/>
      <c r="AXS109" s="88"/>
      <c r="AXT109" s="88"/>
      <c r="AXU109" s="88"/>
      <c r="AXV109" s="88"/>
      <c r="AXW109" s="88"/>
      <c r="AXX109" s="88"/>
      <c r="AXY109" s="88"/>
      <c r="AXZ109" s="88"/>
      <c r="AYA109" s="88"/>
      <c r="AYB109" s="88"/>
      <c r="AYC109" s="88"/>
      <c r="AYD109" s="88"/>
      <c r="AYE109" s="88"/>
      <c r="AYF109" s="88"/>
      <c r="AYG109" s="88"/>
      <c r="AYH109" s="88"/>
      <c r="AYI109" s="88"/>
      <c r="AYJ109" s="88"/>
      <c r="AYK109" s="88"/>
      <c r="AYL109" s="88"/>
      <c r="AYM109" s="88"/>
      <c r="AYN109" s="88"/>
      <c r="AYO109" s="88"/>
      <c r="AYP109" s="88"/>
      <c r="AYQ109" s="88"/>
      <c r="AYR109" s="88"/>
      <c r="AYS109" s="88"/>
      <c r="AYT109" s="88"/>
      <c r="AYU109" s="88"/>
      <c r="AYV109" s="88"/>
      <c r="AYW109" s="88"/>
      <c r="AYX109" s="88"/>
      <c r="AYY109" s="88"/>
      <c r="AYZ109" s="88"/>
      <c r="AZA109" s="88"/>
      <c r="AZB109" s="88"/>
      <c r="AZC109" s="88"/>
      <c r="AZD109" s="88"/>
      <c r="AZE109" s="88"/>
      <c r="AZF109" s="88"/>
      <c r="AZG109" s="88"/>
      <c r="AZH109" s="88"/>
      <c r="AZI109" s="88"/>
      <c r="AZJ109" s="88"/>
      <c r="AZK109" s="88"/>
      <c r="AZL109" s="88"/>
      <c r="AZM109" s="88"/>
      <c r="AZN109" s="88"/>
      <c r="AZO109" s="88"/>
      <c r="AZP109" s="88"/>
      <c r="AZQ109" s="88"/>
      <c r="AZR109" s="88"/>
      <c r="AZS109" s="88"/>
      <c r="AZT109" s="88"/>
      <c r="AZU109" s="88"/>
      <c r="AZV109" s="88"/>
      <c r="AZW109" s="88"/>
      <c r="AZX109" s="88"/>
      <c r="AZY109" s="88"/>
      <c r="AZZ109" s="88"/>
      <c r="BAA109" s="88"/>
      <c r="BAB109" s="88"/>
      <c r="BAC109" s="88"/>
      <c r="BAD109" s="88"/>
      <c r="BAE109" s="88"/>
      <c r="BAF109" s="88"/>
      <c r="BAG109" s="88"/>
      <c r="BAH109" s="88"/>
      <c r="BAI109" s="88"/>
      <c r="BAJ109" s="88"/>
      <c r="BAK109" s="88"/>
      <c r="BAL109" s="88"/>
      <c r="BAM109" s="88"/>
      <c r="BAN109" s="88"/>
      <c r="BAO109" s="88"/>
      <c r="BAP109" s="88"/>
      <c r="BAQ109" s="88"/>
      <c r="BAR109" s="88"/>
      <c r="BAS109" s="88"/>
      <c r="BAT109" s="88"/>
      <c r="BAU109" s="88"/>
      <c r="BAV109" s="88"/>
      <c r="BAW109" s="88"/>
      <c r="BAX109" s="88"/>
      <c r="BAY109" s="88"/>
      <c r="BAZ109" s="88"/>
      <c r="BBA109" s="88"/>
      <c r="BBB109" s="88"/>
      <c r="BBC109" s="88"/>
      <c r="BBD109" s="88"/>
      <c r="BBE109" s="88"/>
      <c r="BBF109" s="88"/>
      <c r="BBG109" s="88"/>
      <c r="BBH109" s="88"/>
      <c r="BBI109" s="88"/>
      <c r="BBJ109" s="88"/>
      <c r="BBK109" s="88"/>
      <c r="BBL109" s="88"/>
      <c r="BBM109" s="88"/>
      <c r="BBN109" s="88"/>
      <c r="BBO109" s="88"/>
      <c r="BBP109" s="88"/>
      <c r="BBQ109" s="88"/>
      <c r="BBR109" s="88"/>
      <c r="BBS109" s="88"/>
      <c r="BBT109" s="88"/>
      <c r="BBU109" s="88"/>
      <c r="BBV109" s="88"/>
      <c r="BBW109" s="88"/>
      <c r="BBX109" s="88"/>
      <c r="BBY109" s="88"/>
      <c r="BBZ109" s="88"/>
      <c r="BCA109" s="88"/>
      <c r="BCB109" s="88"/>
      <c r="BCC109" s="88"/>
      <c r="BCD109" s="88"/>
      <c r="BCE109" s="88"/>
      <c r="BCF109" s="88"/>
      <c r="BCG109" s="88"/>
      <c r="BCH109" s="88"/>
      <c r="BCI109" s="88"/>
      <c r="BCJ109" s="88"/>
      <c r="BCK109" s="88"/>
      <c r="BCL109" s="88"/>
      <c r="BCM109" s="88"/>
      <c r="BCN109" s="88"/>
      <c r="BCO109" s="88"/>
      <c r="BCP109" s="88"/>
      <c r="BCQ109" s="88"/>
      <c r="BCR109" s="88"/>
      <c r="BCS109" s="88"/>
      <c r="BCT109" s="88"/>
      <c r="BCU109" s="88"/>
      <c r="BCV109" s="88"/>
      <c r="BCW109" s="88"/>
      <c r="BCX109" s="88"/>
      <c r="BCY109" s="88"/>
      <c r="BCZ109" s="88"/>
      <c r="BDA109" s="88"/>
      <c r="BDB109" s="88"/>
      <c r="BDC109" s="88"/>
      <c r="BDD109" s="88"/>
      <c r="BDE109" s="88"/>
      <c r="BDF109" s="88"/>
      <c r="BDG109" s="88"/>
      <c r="BDH109" s="88"/>
      <c r="BDI109" s="88"/>
      <c r="BDJ109" s="88"/>
      <c r="BDK109" s="88"/>
      <c r="BDL109" s="88"/>
      <c r="BDM109" s="88"/>
      <c r="BDN109" s="88"/>
      <c r="BDO109" s="88"/>
      <c r="BDP109" s="88"/>
      <c r="BDQ109" s="88"/>
      <c r="BDR109" s="88"/>
      <c r="BDS109" s="88"/>
      <c r="BDT109" s="88"/>
      <c r="BDU109" s="88"/>
      <c r="BDV109" s="88"/>
      <c r="BDW109" s="88"/>
      <c r="BDX109" s="88"/>
      <c r="BDY109" s="88"/>
      <c r="BDZ109" s="88"/>
      <c r="BEA109" s="88"/>
      <c r="BEB109" s="88"/>
      <c r="BEC109" s="88"/>
      <c r="BED109" s="88"/>
      <c r="BEE109" s="88"/>
      <c r="BEF109" s="88"/>
      <c r="BEG109" s="88"/>
      <c r="BEH109" s="88"/>
      <c r="BEI109" s="88"/>
      <c r="BEJ109" s="88"/>
      <c r="BEK109" s="88"/>
      <c r="BEL109" s="88"/>
      <c r="BEM109" s="88"/>
      <c r="BEN109" s="88"/>
      <c r="BEO109" s="88"/>
      <c r="BEP109" s="88"/>
      <c r="BEQ109" s="88"/>
      <c r="BER109" s="88"/>
      <c r="BES109" s="88"/>
      <c r="BET109" s="88"/>
      <c r="BEU109" s="88"/>
      <c r="BEV109" s="88"/>
      <c r="BEW109" s="88"/>
      <c r="BEX109" s="88"/>
      <c r="BEY109" s="88"/>
      <c r="BEZ109" s="88"/>
      <c r="BFA109" s="88"/>
      <c r="BFB109" s="88"/>
      <c r="BFC109" s="88"/>
      <c r="BFD109" s="88"/>
      <c r="BFE109" s="88"/>
      <c r="BFF109" s="88"/>
      <c r="BFG109" s="88"/>
      <c r="BFH109" s="88"/>
      <c r="BFI109" s="88"/>
      <c r="BFJ109" s="88"/>
      <c r="BFK109" s="88"/>
      <c r="BFL109" s="88"/>
      <c r="BFM109" s="88"/>
      <c r="BFN109" s="88"/>
      <c r="BFO109" s="88"/>
      <c r="BFP109" s="88"/>
      <c r="BFQ109" s="88"/>
      <c r="BFR109" s="88"/>
      <c r="BFS109" s="88"/>
      <c r="BFT109" s="88"/>
      <c r="BFU109" s="88"/>
      <c r="BFV109" s="88"/>
      <c r="BFW109" s="88"/>
      <c r="BFX109" s="88"/>
      <c r="BFY109" s="88"/>
      <c r="BFZ109" s="88"/>
      <c r="BGA109" s="88"/>
      <c r="BGB109" s="88"/>
      <c r="BGC109" s="88"/>
      <c r="BGD109" s="88"/>
      <c r="BGE109" s="88"/>
      <c r="BGF109" s="88"/>
      <c r="BGG109" s="88"/>
      <c r="BGH109" s="88"/>
      <c r="BGI109" s="88"/>
      <c r="BGJ109" s="88"/>
      <c r="BGK109" s="88"/>
      <c r="BGL109" s="88"/>
      <c r="BGM109" s="88"/>
      <c r="BGN109" s="88"/>
      <c r="BGO109" s="88"/>
      <c r="BGP109" s="88"/>
      <c r="BGQ109" s="88"/>
      <c r="BGR109" s="88"/>
      <c r="BGS109" s="88"/>
      <c r="BGT109" s="88"/>
      <c r="BGU109" s="88"/>
      <c r="BGV109" s="88"/>
      <c r="BGW109" s="88"/>
      <c r="BGX109" s="88"/>
      <c r="BGY109" s="88"/>
      <c r="BGZ109" s="88"/>
      <c r="BHA109" s="88"/>
      <c r="BHB109" s="88"/>
      <c r="BHC109" s="88"/>
      <c r="BHD109" s="88"/>
      <c r="BHE109" s="88"/>
      <c r="BHF109" s="88"/>
      <c r="BHG109" s="88"/>
      <c r="BHH109" s="88"/>
      <c r="BHI109" s="88"/>
      <c r="BHJ109" s="88"/>
      <c r="BHK109" s="88"/>
      <c r="BHL109" s="88"/>
      <c r="BHM109" s="88"/>
      <c r="BHN109" s="88"/>
      <c r="BHO109" s="88"/>
      <c r="BHP109" s="88"/>
      <c r="BHQ109" s="88"/>
      <c r="BHR109" s="88"/>
      <c r="BHS109" s="88"/>
      <c r="BHT109" s="88"/>
      <c r="BHU109" s="88"/>
      <c r="BHV109" s="88"/>
      <c r="BHW109" s="88"/>
      <c r="BHX109" s="88"/>
      <c r="BHY109" s="88"/>
      <c r="BHZ109" s="88"/>
      <c r="BIA109" s="88"/>
      <c r="BIB109" s="88"/>
      <c r="BIC109" s="88"/>
      <c r="BID109" s="88"/>
      <c r="BIE109" s="88"/>
      <c r="BIF109" s="88"/>
      <c r="BIG109" s="88"/>
      <c r="BIH109" s="88"/>
      <c r="BII109" s="88"/>
      <c r="BIJ109" s="88"/>
      <c r="BIK109" s="88"/>
      <c r="BIL109" s="88"/>
      <c r="BIM109" s="88"/>
      <c r="BIN109" s="88"/>
      <c r="BIO109" s="88"/>
      <c r="BIP109" s="88"/>
      <c r="BIQ109" s="88"/>
      <c r="BIR109" s="88"/>
      <c r="BIS109" s="88"/>
      <c r="BIT109" s="88"/>
      <c r="BIU109" s="88"/>
      <c r="BIV109" s="88"/>
      <c r="BIW109" s="88"/>
      <c r="BIX109" s="88"/>
      <c r="BIY109" s="88"/>
      <c r="BIZ109" s="88"/>
      <c r="BJA109" s="88"/>
      <c r="BJB109" s="88"/>
      <c r="BJC109" s="88"/>
      <c r="BJD109" s="88"/>
      <c r="BJE109" s="88"/>
      <c r="BJF109" s="88"/>
      <c r="BJG109" s="88"/>
      <c r="BJH109" s="88"/>
      <c r="BJI109" s="88"/>
      <c r="BJJ109" s="88"/>
      <c r="BJK109" s="88"/>
      <c r="BJL109" s="88"/>
      <c r="BJM109" s="88"/>
      <c r="BJN109" s="88"/>
      <c r="BJO109" s="88"/>
      <c r="BJP109" s="88"/>
      <c r="BJQ109" s="88"/>
      <c r="BJR109" s="88"/>
      <c r="BJS109" s="88"/>
      <c r="BJT109" s="88"/>
      <c r="BJU109" s="88"/>
      <c r="BJV109" s="88"/>
      <c r="BJW109" s="88"/>
      <c r="BJX109" s="88"/>
      <c r="BJY109" s="88"/>
      <c r="BJZ109" s="88"/>
      <c r="BKA109" s="88"/>
      <c r="BKB109" s="88"/>
      <c r="BKC109" s="88"/>
      <c r="BKD109" s="88"/>
      <c r="BKE109" s="88"/>
      <c r="BKF109" s="88"/>
      <c r="BKG109" s="88"/>
      <c r="BKH109" s="88"/>
      <c r="BKI109" s="88"/>
      <c r="BKJ109" s="88"/>
      <c r="BKK109" s="88"/>
      <c r="BKL109" s="88"/>
      <c r="BKM109" s="88"/>
      <c r="BKN109" s="88"/>
      <c r="BKO109" s="88"/>
      <c r="BKP109" s="88"/>
      <c r="BKQ109" s="88"/>
      <c r="BKR109" s="88"/>
      <c r="BKS109" s="88"/>
      <c r="BKT109" s="88"/>
      <c r="BKU109" s="88"/>
      <c r="BKV109" s="88"/>
      <c r="BKW109" s="88"/>
      <c r="BKX109" s="88"/>
      <c r="BKY109" s="88"/>
      <c r="BKZ109" s="88"/>
      <c r="BLA109" s="88"/>
      <c r="BLB109" s="88"/>
      <c r="BLC109" s="88"/>
      <c r="BLD109" s="88"/>
      <c r="BLE109" s="88"/>
      <c r="BLF109" s="88"/>
      <c r="BLG109" s="88"/>
      <c r="BLH109" s="88"/>
      <c r="BLI109" s="88"/>
      <c r="BLJ109" s="88"/>
      <c r="BLK109" s="88"/>
      <c r="BLL109" s="88"/>
      <c r="BLM109" s="88"/>
      <c r="BLN109" s="88"/>
      <c r="BLO109" s="88"/>
      <c r="BLP109" s="88"/>
      <c r="BLQ109" s="88"/>
      <c r="BLR109" s="88"/>
      <c r="BLS109" s="88"/>
      <c r="BLT109" s="88"/>
      <c r="BLU109" s="88"/>
      <c r="BLV109" s="88"/>
      <c r="BLW109" s="88"/>
      <c r="BLX109" s="88"/>
      <c r="BLY109" s="88"/>
      <c r="BLZ109" s="88"/>
      <c r="BMA109" s="88"/>
      <c r="BMB109" s="88"/>
      <c r="BMC109" s="88"/>
      <c r="BMD109" s="88"/>
      <c r="BME109" s="88"/>
      <c r="BMF109" s="88"/>
      <c r="BMG109" s="88"/>
      <c r="BMH109" s="88"/>
      <c r="BMI109" s="88"/>
      <c r="BMJ109" s="88"/>
      <c r="BMK109" s="88"/>
      <c r="BML109" s="88"/>
      <c r="BMM109" s="88"/>
      <c r="BMN109" s="88"/>
      <c r="BMO109" s="88"/>
      <c r="BMP109" s="88"/>
      <c r="BMQ109" s="88"/>
      <c r="BMR109" s="88"/>
      <c r="BMS109" s="88"/>
      <c r="BMT109" s="88"/>
      <c r="BMU109" s="88"/>
      <c r="BMV109" s="88"/>
      <c r="BMW109" s="88"/>
      <c r="BMX109" s="88"/>
      <c r="BMY109" s="88"/>
      <c r="BMZ109" s="88"/>
      <c r="BNA109" s="88"/>
      <c r="BNB109" s="88"/>
      <c r="BNC109" s="88"/>
      <c r="BND109" s="88"/>
      <c r="BNE109" s="88"/>
      <c r="BNF109" s="88"/>
      <c r="BNG109" s="88"/>
      <c r="BNH109" s="88"/>
      <c r="BNI109" s="88"/>
      <c r="BNJ109" s="88"/>
      <c r="BNK109" s="88"/>
      <c r="BNL109" s="88"/>
      <c r="BNM109" s="88"/>
      <c r="BNN109" s="88"/>
      <c r="BNO109" s="88"/>
      <c r="BNP109" s="88"/>
      <c r="BNQ109" s="88"/>
      <c r="BNR109" s="88"/>
      <c r="BNS109" s="88"/>
      <c r="BNT109" s="88"/>
      <c r="BNU109" s="88"/>
      <c r="BNV109" s="88"/>
      <c r="BNW109" s="88"/>
      <c r="BNX109" s="88"/>
      <c r="BNY109" s="88"/>
      <c r="BNZ109" s="88"/>
      <c r="BOA109" s="88"/>
      <c r="BOB109" s="88"/>
      <c r="BOC109" s="88"/>
      <c r="BOD109" s="88"/>
      <c r="BOE109" s="88"/>
      <c r="BOF109" s="88"/>
      <c r="BOG109" s="88"/>
      <c r="BOH109" s="88"/>
      <c r="BOI109" s="88"/>
      <c r="BOJ109" s="88"/>
      <c r="BOK109" s="88"/>
      <c r="BOL109" s="88"/>
      <c r="BOM109" s="88"/>
      <c r="BON109" s="88"/>
      <c r="BOO109" s="88"/>
      <c r="BOP109" s="88"/>
      <c r="BOQ109" s="88"/>
      <c r="BOR109" s="88"/>
      <c r="BOS109" s="88"/>
      <c r="BOT109" s="88"/>
      <c r="BOU109" s="88"/>
      <c r="BOV109" s="88"/>
      <c r="BOW109" s="88"/>
      <c r="BOX109" s="88"/>
      <c r="BOY109" s="88"/>
      <c r="BOZ109" s="88"/>
      <c r="BPA109" s="88"/>
      <c r="BPB109" s="88"/>
      <c r="BPC109" s="88"/>
      <c r="BPD109" s="88"/>
      <c r="BPE109" s="88"/>
      <c r="BPF109" s="88"/>
      <c r="BPG109" s="88"/>
      <c r="BPH109" s="88"/>
      <c r="BPI109" s="88"/>
      <c r="BPJ109" s="88"/>
      <c r="BPK109" s="88"/>
      <c r="BPL109" s="88"/>
      <c r="BPM109" s="88"/>
      <c r="BPN109" s="88"/>
      <c r="BPO109" s="88"/>
      <c r="BPP109" s="88"/>
      <c r="BPQ109" s="88"/>
      <c r="BPR109" s="88"/>
      <c r="BPS109" s="88"/>
      <c r="BPT109" s="88"/>
      <c r="BPU109" s="88"/>
      <c r="BPV109" s="88"/>
      <c r="BPW109" s="88"/>
      <c r="BPX109" s="88"/>
      <c r="BPY109" s="88"/>
      <c r="BPZ109" s="88"/>
      <c r="BQA109" s="88"/>
      <c r="BQB109" s="88"/>
      <c r="BQC109" s="88"/>
      <c r="BQD109" s="88"/>
      <c r="BQE109" s="88"/>
      <c r="BQF109" s="88"/>
      <c r="BQG109" s="88"/>
      <c r="BQH109" s="88"/>
      <c r="BQI109" s="88"/>
      <c r="BQJ109" s="88"/>
      <c r="BQK109" s="88"/>
      <c r="BQL109" s="88"/>
      <c r="BQM109" s="88"/>
      <c r="BQN109" s="88"/>
      <c r="BQO109" s="88"/>
      <c r="BQP109" s="88"/>
      <c r="BQQ109" s="88"/>
      <c r="BQR109" s="88"/>
      <c r="BQS109" s="88"/>
      <c r="BQT109" s="88"/>
      <c r="BQU109" s="88"/>
      <c r="BQV109" s="88"/>
      <c r="BQW109" s="88"/>
      <c r="BQX109" s="88"/>
      <c r="BQY109" s="88"/>
      <c r="BQZ109" s="88"/>
      <c r="BRA109" s="88"/>
      <c r="BRB109" s="88"/>
      <c r="BRC109" s="88"/>
      <c r="BRD109" s="88"/>
      <c r="BRE109" s="88"/>
      <c r="BRF109" s="88"/>
      <c r="BRG109" s="88"/>
      <c r="BRH109" s="88"/>
      <c r="BRI109" s="88"/>
      <c r="BRJ109" s="88"/>
      <c r="BRK109" s="88"/>
      <c r="BRL109" s="88"/>
      <c r="BRM109" s="88"/>
      <c r="BRN109" s="88"/>
      <c r="BRO109" s="88"/>
      <c r="BRP109" s="88"/>
      <c r="BRQ109" s="88"/>
      <c r="BRR109" s="88"/>
      <c r="BRS109" s="88"/>
      <c r="BRT109" s="88"/>
      <c r="BRU109" s="88"/>
      <c r="BRV109" s="88"/>
      <c r="BRW109" s="88"/>
      <c r="BRX109" s="88"/>
      <c r="BRY109" s="88"/>
      <c r="BRZ109" s="88"/>
      <c r="BSA109" s="88"/>
      <c r="BSB109" s="88"/>
      <c r="BSC109" s="88"/>
      <c r="BSD109" s="88"/>
      <c r="BSE109" s="88"/>
      <c r="BSF109" s="88"/>
      <c r="BSG109" s="88"/>
      <c r="BSH109" s="88"/>
      <c r="BSI109" s="88"/>
      <c r="BSJ109" s="88"/>
      <c r="BSK109" s="88"/>
      <c r="BSL109" s="88"/>
      <c r="BSM109" s="88"/>
      <c r="BSN109" s="88"/>
      <c r="BSO109" s="88"/>
      <c r="BSP109" s="88"/>
      <c r="BSQ109" s="88"/>
      <c r="BSR109" s="88"/>
      <c r="BSS109" s="88"/>
      <c r="BST109" s="88"/>
      <c r="BSU109" s="88"/>
      <c r="BSV109" s="88"/>
      <c r="BSW109" s="88"/>
      <c r="BSX109" s="88"/>
      <c r="BSY109" s="88"/>
      <c r="BSZ109" s="88"/>
      <c r="BTA109" s="88"/>
      <c r="BTB109" s="88"/>
      <c r="BTC109" s="88"/>
      <c r="BTD109" s="88"/>
      <c r="BTE109" s="88"/>
      <c r="BTF109" s="88"/>
      <c r="BTG109" s="88"/>
      <c r="BTH109" s="88"/>
      <c r="BTI109" s="88"/>
      <c r="BTJ109" s="88"/>
      <c r="BTK109" s="88"/>
      <c r="BTL109" s="88"/>
      <c r="BTM109" s="88"/>
      <c r="BTN109" s="88"/>
      <c r="BTO109" s="88"/>
      <c r="BTP109" s="88"/>
      <c r="BTQ109" s="88"/>
      <c r="BTR109" s="88"/>
      <c r="BTS109" s="88"/>
      <c r="BTT109" s="88"/>
      <c r="BTU109" s="88"/>
      <c r="BTV109" s="88"/>
      <c r="BTW109" s="88"/>
      <c r="BTX109" s="88"/>
      <c r="BTY109" s="88"/>
      <c r="BTZ109" s="88"/>
      <c r="BUA109" s="88"/>
      <c r="BUB109" s="88"/>
      <c r="BUC109" s="88"/>
      <c r="BUD109" s="88"/>
      <c r="BUE109" s="88"/>
      <c r="BUF109" s="88"/>
      <c r="BUG109" s="88"/>
      <c r="BUH109" s="88"/>
      <c r="BUI109" s="88"/>
      <c r="BUJ109" s="88"/>
      <c r="BUK109" s="88"/>
      <c r="BUL109" s="88"/>
      <c r="BUM109" s="88"/>
      <c r="BUN109" s="88"/>
      <c r="BUO109" s="88"/>
      <c r="BUP109" s="88"/>
      <c r="BUQ109" s="88"/>
      <c r="BUR109" s="88"/>
      <c r="BUS109" s="88"/>
      <c r="BUT109" s="88"/>
      <c r="BUU109" s="88"/>
      <c r="BUV109" s="88"/>
      <c r="BUW109" s="88"/>
      <c r="BUX109" s="88"/>
      <c r="BUY109" s="88"/>
      <c r="BUZ109" s="88"/>
      <c r="BVA109" s="88"/>
      <c r="BVB109" s="88"/>
      <c r="BVC109" s="88"/>
      <c r="BVD109" s="88"/>
      <c r="BVE109" s="88"/>
      <c r="BVF109" s="88"/>
      <c r="BVG109" s="88"/>
      <c r="BVH109" s="88"/>
      <c r="BVI109" s="88"/>
      <c r="BVJ109" s="88"/>
      <c r="BVK109" s="88"/>
      <c r="BVL109" s="88"/>
      <c r="BVM109" s="88"/>
      <c r="BVN109" s="88"/>
      <c r="BVO109" s="88"/>
      <c r="BVP109" s="88"/>
      <c r="BVQ109" s="88"/>
      <c r="BVR109" s="88"/>
      <c r="BVS109" s="88"/>
      <c r="BVT109" s="88"/>
      <c r="BVU109" s="88"/>
      <c r="BVV109" s="88"/>
      <c r="BVW109" s="88"/>
      <c r="BVX109" s="88"/>
      <c r="BVY109" s="88"/>
      <c r="BVZ109" s="88"/>
      <c r="BWA109" s="88"/>
      <c r="BWB109" s="88"/>
      <c r="BWC109" s="88"/>
      <c r="BWD109" s="88"/>
      <c r="BWE109" s="88"/>
      <c r="BWF109" s="88"/>
      <c r="BWG109" s="88"/>
      <c r="BWH109" s="88"/>
      <c r="BWI109" s="88"/>
      <c r="BWJ109" s="88"/>
      <c r="BWK109" s="88"/>
      <c r="BWL109" s="88"/>
      <c r="BWM109" s="88"/>
      <c r="BWN109" s="88"/>
      <c r="BWO109" s="88"/>
      <c r="BWP109" s="88"/>
      <c r="BWQ109" s="88"/>
      <c r="BWR109" s="88"/>
      <c r="BWS109" s="88"/>
      <c r="BWT109" s="88"/>
      <c r="BWU109" s="88"/>
      <c r="BWV109" s="88"/>
      <c r="BWW109" s="88"/>
      <c r="BWX109" s="88"/>
      <c r="BWY109" s="88"/>
      <c r="BWZ109" s="88"/>
      <c r="BXA109" s="88"/>
      <c r="BXB109" s="88"/>
      <c r="BXC109" s="88"/>
      <c r="BXD109" s="88"/>
      <c r="BXE109" s="88"/>
      <c r="BXF109" s="88"/>
      <c r="BXG109" s="88"/>
      <c r="BXH109" s="88"/>
      <c r="BXI109" s="88"/>
      <c r="BXJ109" s="88"/>
      <c r="BXK109" s="88"/>
      <c r="BXL109" s="88"/>
      <c r="BXM109" s="88"/>
      <c r="BXN109" s="88"/>
      <c r="BXO109" s="88"/>
      <c r="BXP109" s="88"/>
      <c r="BXQ109" s="88"/>
      <c r="BXR109" s="88"/>
      <c r="BXS109" s="88"/>
      <c r="BXT109" s="88"/>
      <c r="BXU109" s="88"/>
      <c r="BXV109" s="88"/>
      <c r="BXW109" s="88"/>
      <c r="BXX109" s="88"/>
      <c r="BXY109" s="88"/>
      <c r="BXZ109" s="88"/>
      <c r="BYA109" s="88"/>
      <c r="BYB109" s="88"/>
      <c r="BYC109" s="88"/>
      <c r="BYD109" s="88"/>
      <c r="BYE109" s="88"/>
      <c r="BYF109" s="88"/>
      <c r="BYG109" s="88"/>
      <c r="BYH109" s="88"/>
      <c r="BYI109" s="88"/>
      <c r="BYJ109" s="88"/>
      <c r="BYK109" s="88"/>
      <c r="BYL109" s="88"/>
      <c r="BYM109" s="88"/>
      <c r="BYN109" s="88"/>
      <c r="BYO109" s="88"/>
      <c r="BYP109" s="88"/>
      <c r="BYQ109" s="88"/>
      <c r="BYR109" s="88"/>
      <c r="BYS109" s="88"/>
      <c r="BYT109" s="88"/>
      <c r="BYU109" s="88"/>
      <c r="BYV109" s="88"/>
      <c r="BYW109" s="88"/>
      <c r="BYX109" s="88"/>
      <c r="BYY109" s="88"/>
      <c r="BYZ109" s="88"/>
      <c r="BZA109" s="88"/>
      <c r="BZB109" s="88"/>
      <c r="BZC109" s="88"/>
      <c r="BZD109" s="88"/>
      <c r="BZE109" s="88"/>
      <c r="BZF109" s="88"/>
      <c r="BZG109" s="88"/>
      <c r="BZH109" s="88"/>
      <c r="BZI109" s="88"/>
      <c r="BZJ109" s="88"/>
      <c r="BZK109" s="88"/>
      <c r="BZL109" s="88"/>
      <c r="BZM109" s="88"/>
      <c r="BZN109" s="88"/>
      <c r="BZO109" s="88"/>
      <c r="BZP109" s="88"/>
      <c r="BZQ109" s="88"/>
      <c r="BZR109" s="88"/>
      <c r="BZS109" s="88"/>
      <c r="BZT109" s="88"/>
      <c r="BZU109" s="88"/>
      <c r="BZV109" s="88"/>
      <c r="BZW109" s="88"/>
      <c r="BZX109" s="88"/>
      <c r="BZY109" s="88"/>
      <c r="BZZ109" s="88"/>
      <c r="CAA109" s="88"/>
      <c r="CAB109" s="88"/>
      <c r="CAC109" s="88"/>
      <c r="CAD109" s="88"/>
      <c r="CAE109" s="88"/>
      <c r="CAF109" s="88"/>
      <c r="CAG109" s="88"/>
      <c r="CAH109" s="88"/>
      <c r="CAI109" s="88"/>
      <c r="CAJ109" s="88"/>
      <c r="CAK109" s="88"/>
      <c r="CAL109" s="88"/>
      <c r="CAM109" s="88"/>
      <c r="CAN109" s="88"/>
      <c r="CAO109" s="88"/>
      <c r="CAP109" s="88"/>
      <c r="CAQ109" s="88"/>
      <c r="CAR109" s="88"/>
      <c r="CAS109" s="88"/>
      <c r="CAT109" s="88"/>
      <c r="CAU109" s="88"/>
      <c r="CAV109" s="88"/>
      <c r="CAW109" s="88"/>
      <c r="CAX109" s="88"/>
      <c r="CAY109" s="88"/>
      <c r="CAZ109" s="88"/>
      <c r="CBA109" s="88"/>
      <c r="CBB109" s="88"/>
      <c r="CBC109" s="88"/>
      <c r="CBD109" s="88"/>
      <c r="CBE109" s="88"/>
      <c r="CBF109" s="88"/>
      <c r="CBG109" s="88"/>
      <c r="CBH109" s="88"/>
      <c r="CBI109" s="88"/>
      <c r="CBJ109" s="88"/>
      <c r="CBK109" s="88"/>
      <c r="CBL109" s="88"/>
      <c r="CBM109" s="88"/>
      <c r="CBN109" s="88"/>
      <c r="CBO109" s="88"/>
      <c r="CBP109" s="88"/>
      <c r="CBQ109" s="88"/>
      <c r="CBR109" s="88"/>
      <c r="CBS109" s="88"/>
      <c r="CBT109" s="88"/>
      <c r="CBU109" s="88"/>
      <c r="CBV109" s="88"/>
      <c r="CBW109" s="88"/>
      <c r="CBX109" s="88"/>
      <c r="CBY109" s="88"/>
      <c r="CBZ109" s="88"/>
      <c r="CCA109" s="88"/>
      <c r="CCB109" s="88"/>
      <c r="CCC109" s="88"/>
      <c r="CCD109" s="88"/>
      <c r="CCE109" s="88"/>
      <c r="CCF109" s="88"/>
      <c r="CCG109" s="88"/>
      <c r="CCH109" s="88"/>
      <c r="CCI109" s="88"/>
      <c r="CCJ109" s="88"/>
      <c r="CCK109" s="88"/>
      <c r="CCL109" s="88"/>
      <c r="CCM109" s="88"/>
      <c r="CCN109" s="88"/>
      <c r="CCO109" s="88"/>
      <c r="CCP109" s="88"/>
      <c r="CCQ109" s="88"/>
      <c r="CCR109" s="88"/>
      <c r="CCS109" s="88"/>
      <c r="CCT109" s="88"/>
      <c r="CCU109" s="88"/>
      <c r="CCV109" s="88"/>
      <c r="CCW109" s="88"/>
      <c r="CCX109" s="88"/>
      <c r="CCY109" s="88"/>
      <c r="CCZ109" s="88"/>
      <c r="CDA109" s="88"/>
      <c r="CDB109" s="88"/>
      <c r="CDC109" s="88"/>
      <c r="CDD109" s="88"/>
      <c r="CDE109" s="88"/>
      <c r="CDF109" s="88"/>
      <c r="CDG109" s="88"/>
      <c r="CDH109" s="88"/>
      <c r="CDI109" s="88"/>
      <c r="CDJ109" s="88"/>
      <c r="CDK109" s="88"/>
      <c r="CDL109" s="88"/>
      <c r="CDM109" s="88"/>
      <c r="CDN109" s="88"/>
      <c r="CDO109" s="88"/>
      <c r="CDP109" s="88"/>
      <c r="CDQ109" s="88"/>
      <c r="CDR109" s="88"/>
      <c r="CDS109" s="88"/>
      <c r="CDT109" s="88"/>
      <c r="CDU109" s="88"/>
      <c r="CDV109" s="88"/>
      <c r="CDW109" s="88"/>
      <c r="CDX109" s="88"/>
      <c r="CDY109" s="88"/>
      <c r="CDZ109" s="88"/>
      <c r="CEA109" s="88"/>
      <c r="CEB109" s="88"/>
      <c r="CEC109" s="88"/>
      <c r="CED109" s="88"/>
      <c r="CEE109" s="88"/>
      <c r="CEF109" s="88"/>
      <c r="CEG109" s="88"/>
      <c r="CEH109" s="88"/>
      <c r="CEI109" s="88"/>
      <c r="CEJ109" s="88"/>
      <c r="CEK109" s="88"/>
    </row>
    <row r="110" spans="1:2169" s="63" customFormat="1">
      <c r="A110" s="73" t="s">
        <v>2663</v>
      </c>
      <c r="B110" s="73" t="s">
        <v>2666</v>
      </c>
      <c r="C110" s="68" t="str">
        <f>IF('page 2'!$O$4="","",IF('page 2'!$O$4=Gestion!A110,1,0))</f>
        <v/>
      </c>
      <c r="D110" s="68" t="str">
        <f>IF('page 2'!$O$5="","",IF('page 2'!$O$5=Gestion!A110,1,0))</f>
        <v/>
      </c>
      <c r="E110" s="68" t="str">
        <f>IF('page 2'!$O$6="","",IF('page 2'!$O$6=Gestion!A110,1,0))</f>
        <v/>
      </c>
      <c r="F110" s="68" t="str">
        <f>IF('page 2'!$O$7="","",IF('page 2'!$O$7=Gestion!A110,1,0))</f>
        <v/>
      </c>
      <c r="G110" s="68" t="str">
        <f>IF('page 2'!$O$8="","",IF('page 2'!$O$8=Gestion!A110,1,0))</f>
        <v/>
      </c>
      <c r="H110" s="68" t="str">
        <f>IF('page 2'!$O$9="","",IF('page 2'!$O$9=Gestion!A110,1,0))</f>
        <v/>
      </c>
      <c r="I110" s="68" t="str">
        <f>IF('page 2'!$O$10="","",IF('page 2'!$O$10=Gestion!A110,1,0))</f>
        <v/>
      </c>
      <c r="J110" s="68" t="str">
        <f>IF('page 2'!$O$11="","",IF('page 2'!$O$11=Gestion!A110,1,0))</f>
        <v/>
      </c>
      <c r="K110" s="68" t="str">
        <f>IF('page 2'!$O$12="","",IF('page 2'!$O$12=Gestion!A110,1,0))</f>
        <v/>
      </c>
      <c r="L110" s="68" t="str">
        <f>IF('page 2'!$O$13="","",IF('page 2'!$O$13=Gestion!A110,1,0))</f>
        <v/>
      </c>
      <c r="M110" s="68" t="str">
        <f>IF('page 2'!$O$14="","",IF('page 2'!$O$14=Gestion!A110,1,0))</f>
        <v/>
      </c>
      <c r="N110" s="68" t="str">
        <f>IF('page 2'!$O$15="","",IF('page 2'!$O$15=Gestion!A110,1,0))</f>
        <v/>
      </c>
      <c r="O110" s="68" t="str">
        <f>IF('page 2'!$O$16="","",IF('page 2'!$O$16=Gestion!A110,1,0))</f>
        <v/>
      </c>
      <c r="P110" s="68" t="str">
        <f>IF('page 2'!$O$17="","",IF('page 2'!$O$17=Gestion!A110,1,0))</f>
        <v/>
      </c>
      <c r="Q110" s="68" t="str">
        <f>IF('page 2'!$O$18="","",IF('page 2'!$O$18=Gestion!A110,1,0))</f>
        <v/>
      </c>
      <c r="R110" s="68" t="str">
        <f>IF('page 2'!$O$19="","",IF('page 2'!$O$19=Gestion!A110,1,0))</f>
        <v/>
      </c>
      <c r="S110" s="68" t="str">
        <f>IF('page 2'!$O$20="","",IF('page 2'!$O$20=Gestion!A110,1,0))</f>
        <v/>
      </c>
      <c r="T110" s="68" t="str">
        <f>IF('page 2'!$O$25="","",IF('page 2'!$O$25=Gestion!A110,1,0))</f>
        <v/>
      </c>
      <c r="U110" s="68" t="str">
        <f>IF('page 2'!$O$26="","",IF('page 2'!$O$26=Gestion!A110,1,0))</f>
        <v/>
      </c>
      <c r="V110" s="68" t="str">
        <f>IF('page 2'!$O$27="","",IF('page 2'!$O$27=Gestion!A110,1,0))</f>
        <v/>
      </c>
      <c r="W110" s="722">
        <f t="shared" si="14"/>
        <v>0</v>
      </c>
      <c r="X110" s="714"/>
      <c r="Y110" s="68"/>
      <c r="Z110" s="68"/>
      <c r="AA110" s="68"/>
      <c r="AB110" s="68"/>
      <c r="AC110" s="68"/>
      <c r="AD110" s="68"/>
      <c r="AP110" s="130"/>
      <c r="AQ110" s="130"/>
      <c r="AR110" s="130"/>
      <c r="AS110" s="576"/>
      <c r="AT110" s="576"/>
      <c r="AU110" s="576"/>
      <c r="AV110" s="576"/>
      <c r="AW110" s="602"/>
      <c r="AX110" s="602"/>
      <c r="AY110" s="576"/>
      <c r="AZ110" s="576"/>
      <c r="BA110" s="576"/>
      <c r="BB110" s="576"/>
      <c r="BC110" s="576"/>
      <c r="BD110" s="602"/>
      <c r="BE110" s="602"/>
      <c r="BF110" s="602"/>
      <c r="BG110" s="602"/>
      <c r="BH110" s="602"/>
      <c r="BI110" s="602"/>
      <c r="BJ110" s="602"/>
      <c r="BK110" s="602"/>
      <c r="BL110" s="602"/>
      <c r="BM110" s="602"/>
      <c r="BN110" s="602"/>
      <c r="BO110" s="602"/>
      <c r="BP110" s="602"/>
      <c r="BQ110" s="602"/>
      <c r="BR110" s="602"/>
      <c r="BS110" s="576"/>
      <c r="BT110" s="576"/>
      <c r="BU110" s="576"/>
      <c r="BV110" s="576"/>
      <c r="BW110" s="602"/>
      <c r="BX110" s="602"/>
      <c r="BY110" s="602"/>
      <c r="BZ110" s="576"/>
      <c r="CA110" s="602"/>
      <c r="CB110" s="602"/>
      <c r="CC110" s="576"/>
      <c r="CD110" s="576"/>
      <c r="CE110" s="602"/>
      <c r="CF110" s="576"/>
      <c r="CG110" s="576"/>
      <c r="CH110" s="576"/>
      <c r="CI110" s="576"/>
      <c r="CJ110" s="576"/>
      <c r="CK110" s="602"/>
      <c r="CL110" s="602"/>
      <c r="CM110" s="576"/>
      <c r="CN110" s="602"/>
      <c r="CO110" s="602"/>
      <c r="CP110" s="602"/>
      <c r="CQ110" s="576"/>
      <c r="CR110" s="576"/>
      <c r="CS110" s="602"/>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c r="HF110" s="88"/>
      <c r="HG110" s="88"/>
      <c r="HH110" s="88"/>
      <c r="HI110" s="88"/>
      <c r="HJ110" s="88"/>
      <c r="HK110" s="88"/>
      <c r="HL110" s="88"/>
      <c r="HM110" s="88"/>
      <c r="HN110" s="88"/>
      <c r="HO110" s="88"/>
      <c r="HP110" s="88"/>
      <c r="HQ110" s="88"/>
      <c r="HR110" s="88"/>
      <c r="HS110" s="88"/>
      <c r="HT110" s="88"/>
      <c r="HU110" s="88"/>
      <c r="HV110" s="88"/>
      <c r="HW110" s="88"/>
      <c r="HX110" s="88"/>
      <c r="HY110" s="88"/>
      <c r="HZ110" s="88"/>
      <c r="IA110" s="88"/>
      <c r="IB110" s="88"/>
      <c r="IC110" s="88"/>
      <c r="ID110" s="88"/>
      <c r="IE110" s="88"/>
      <c r="IF110" s="88"/>
      <c r="IG110" s="88"/>
      <c r="IH110" s="88"/>
      <c r="II110" s="88"/>
      <c r="IJ110" s="88"/>
      <c r="IK110" s="88"/>
      <c r="IL110" s="88"/>
      <c r="IM110" s="88"/>
      <c r="IN110" s="88"/>
      <c r="IO110" s="88"/>
      <c r="IP110" s="88"/>
      <c r="IQ110" s="88"/>
      <c r="IR110" s="88"/>
      <c r="IS110" s="88"/>
      <c r="IT110" s="88"/>
      <c r="IU110" s="88"/>
      <c r="IV110" s="88"/>
      <c r="IW110" s="88"/>
      <c r="IX110" s="88"/>
      <c r="IY110" s="88"/>
      <c r="IZ110" s="88"/>
      <c r="JA110" s="88"/>
      <c r="JB110" s="88"/>
      <c r="JC110" s="88"/>
      <c r="JD110" s="88"/>
      <c r="JE110" s="88"/>
      <c r="JF110" s="88"/>
      <c r="JG110" s="88"/>
      <c r="JH110" s="88"/>
      <c r="JI110" s="88"/>
      <c r="JJ110" s="88"/>
      <c r="JK110" s="88"/>
      <c r="JL110" s="88"/>
      <c r="JM110" s="88"/>
      <c r="JN110" s="88"/>
      <c r="JO110" s="88"/>
      <c r="JP110" s="88"/>
      <c r="JQ110" s="88"/>
      <c r="JR110" s="88"/>
      <c r="JS110" s="88"/>
      <c r="JT110" s="88"/>
      <c r="JU110" s="88"/>
      <c r="JV110" s="88"/>
      <c r="JW110" s="88"/>
      <c r="JX110" s="88"/>
      <c r="JY110" s="88"/>
      <c r="JZ110" s="88"/>
      <c r="KA110" s="88"/>
      <c r="KB110" s="88"/>
      <c r="KC110" s="88"/>
      <c r="KD110" s="88"/>
      <c r="KE110" s="88"/>
      <c r="KF110" s="88"/>
      <c r="KG110" s="88"/>
      <c r="KH110" s="88"/>
      <c r="KI110" s="88"/>
      <c r="KJ110" s="88"/>
      <c r="KK110" s="88"/>
      <c r="KL110" s="88"/>
      <c r="KM110" s="88"/>
      <c r="KN110" s="88"/>
      <c r="KO110" s="88"/>
      <c r="KP110" s="88"/>
      <c r="KQ110" s="88"/>
      <c r="KR110" s="88"/>
      <c r="KS110" s="88"/>
      <c r="KT110" s="88"/>
      <c r="KU110" s="88"/>
      <c r="KV110" s="88"/>
      <c r="KW110" s="88"/>
      <c r="KX110" s="88"/>
      <c r="KY110" s="88"/>
      <c r="KZ110" s="88"/>
      <c r="LA110" s="88"/>
      <c r="LB110" s="88"/>
      <c r="LC110" s="88"/>
      <c r="LD110" s="88"/>
      <c r="LE110" s="88"/>
      <c r="LF110" s="88"/>
      <c r="LG110" s="88"/>
      <c r="LH110" s="88"/>
      <c r="LI110" s="88"/>
      <c r="LJ110" s="88"/>
      <c r="LK110" s="88"/>
      <c r="LL110" s="88"/>
      <c r="LM110" s="88"/>
      <c r="LN110" s="88"/>
      <c r="LO110" s="88"/>
      <c r="LP110" s="88"/>
      <c r="LQ110" s="88"/>
      <c r="LR110" s="88"/>
      <c r="LS110" s="88"/>
      <c r="LT110" s="88"/>
      <c r="LU110" s="88"/>
      <c r="LV110" s="88"/>
      <c r="LW110" s="88"/>
      <c r="LX110" s="88"/>
      <c r="LY110" s="88"/>
      <c r="LZ110" s="88"/>
      <c r="MA110" s="88"/>
      <c r="MB110" s="88"/>
      <c r="MC110" s="88"/>
      <c r="MD110" s="88"/>
      <c r="ME110" s="88"/>
      <c r="MF110" s="88"/>
      <c r="MG110" s="88"/>
      <c r="MH110" s="88"/>
      <c r="MI110" s="88"/>
      <c r="MJ110" s="88"/>
      <c r="MK110" s="88"/>
      <c r="ML110" s="88"/>
      <c r="MM110" s="88"/>
      <c r="MN110" s="88"/>
      <c r="MO110" s="88"/>
      <c r="MP110" s="88"/>
      <c r="MQ110" s="88"/>
      <c r="MR110" s="88"/>
      <c r="MS110" s="88"/>
      <c r="MT110" s="88"/>
      <c r="MU110" s="88"/>
      <c r="MV110" s="88"/>
      <c r="MW110" s="88"/>
      <c r="MX110" s="88"/>
      <c r="MY110" s="88"/>
      <c r="MZ110" s="88"/>
      <c r="NA110" s="88"/>
      <c r="NB110" s="88"/>
      <c r="NC110" s="88"/>
      <c r="ND110" s="88"/>
      <c r="NE110" s="88"/>
      <c r="NF110" s="88"/>
      <c r="NG110" s="88"/>
      <c r="NH110" s="88"/>
      <c r="NI110" s="88"/>
      <c r="NJ110" s="88"/>
      <c r="NK110" s="88"/>
      <c r="NL110" s="88"/>
      <c r="NM110" s="88"/>
      <c r="NN110" s="88"/>
      <c r="NO110" s="88"/>
      <c r="NP110" s="88"/>
      <c r="NQ110" s="88"/>
      <c r="NR110" s="88"/>
      <c r="NS110" s="88"/>
      <c r="NT110" s="88"/>
      <c r="NU110" s="88"/>
      <c r="NV110" s="88"/>
      <c r="NW110" s="88"/>
      <c r="NX110" s="88"/>
      <c r="NY110" s="88"/>
      <c r="NZ110" s="88"/>
      <c r="OA110" s="88"/>
      <c r="OB110" s="88"/>
      <c r="OC110" s="88"/>
      <c r="OD110" s="88"/>
      <c r="OE110" s="88"/>
      <c r="OF110" s="88"/>
      <c r="OG110" s="88"/>
      <c r="OH110" s="88"/>
      <c r="OI110" s="88"/>
      <c r="OJ110" s="88"/>
      <c r="OK110" s="88"/>
      <c r="OL110" s="88"/>
      <c r="OM110" s="88"/>
      <c r="ON110" s="88"/>
      <c r="OO110" s="88"/>
      <c r="OP110" s="88"/>
      <c r="OQ110" s="88"/>
      <c r="OR110" s="88"/>
      <c r="OS110" s="88"/>
      <c r="OT110" s="88"/>
      <c r="OU110" s="88"/>
      <c r="OV110" s="88"/>
      <c r="OW110" s="88"/>
      <c r="OX110" s="88"/>
      <c r="OY110" s="88"/>
      <c r="OZ110" s="88"/>
      <c r="PA110" s="88"/>
      <c r="PB110" s="88"/>
      <c r="PC110" s="88"/>
      <c r="PD110" s="88"/>
      <c r="PE110" s="88"/>
      <c r="PF110" s="88"/>
      <c r="PG110" s="88"/>
      <c r="PH110" s="88"/>
      <c r="PI110" s="88"/>
      <c r="PJ110" s="88"/>
      <c r="PK110" s="88"/>
      <c r="PL110" s="88"/>
      <c r="PM110" s="88"/>
      <c r="PN110" s="88"/>
      <c r="PO110" s="88"/>
      <c r="PP110" s="88"/>
      <c r="PQ110" s="88"/>
      <c r="PR110" s="88"/>
      <c r="PS110" s="88"/>
      <c r="PT110" s="88"/>
      <c r="PU110" s="88"/>
      <c r="PV110" s="88"/>
      <c r="PW110" s="88"/>
      <c r="PX110" s="88"/>
      <c r="PY110" s="88"/>
      <c r="PZ110" s="88"/>
      <c r="QA110" s="88"/>
      <c r="QB110" s="88"/>
      <c r="QC110" s="88"/>
      <c r="QD110" s="88"/>
      <c r="QE110" s="88"/>
      <c r="QF110" s="88"/>
      <c r="QG110" s="88"/>
      <c r="QH110" s="88"/>
      <c r="QI110" s="88"/>
      <c r="QJ110" s="88"/>
      <c r="QK110" s="88"/>
      <c r="QL110" s="88"/>
      <c r="QM110" s="88"/>
      <c r="QN110" s="88"/>
      <c r="QO110" s="88"/>
      <c r="QP110" s="88"/>
      <c r="QQ110" s="88"/>
      <c r="QR110" s="88"/>
      <c r="QS110" s="88"/>
      <c r="QT110" s="88"/>
      <c r="QU110" s="88"/>
      <c r="QV110" s="88"/>
      <c r="QW110" s="88"/>
      <c r="QX110" s="88"/>
      <c r="QY110" s="88"/>
      <c r="QZ110" s="88"/>
      <c r="RA110" s="88"/>
      <c r="RB110" s="88"/>
      <c r="RC110" s="88"/>
      <c r="RD110" s="88"/>
      <c r="RE110" s="88"/>
      <c r="RF110" s="88"/>
      <c r="RG110" s="88"/>
      <c r="RH110" s="88"/>
      <c r="RI110" s="88"/>
      <c r="RJ110" s="88"/>
      <c r="RK110" s="88"/>
      <c r="RL110" s="88"/>
      <c r="RM110" s="88"/>
      <c r="RN110" s="88"/>
      <c r="RO110" s="88"/>
      <c r="RP110" s="88"/>
      <c r="RQ110" s="88"/>
      <c r="RR110" s="88"/>
      <c r="RS110" s="88"/>
      <c r="RT110" s="88"/>
      <c r="RU110" s="88"/>
      <c r="RV110" s="88"/>
      <c r="RW110" s="88"/>
      <c r="RX110" s="88"/>
      <c r="RY110" s="88"/>
      <c r="RZ110" s="88"/>
      <c r="SA110" s="88"/>
      <c r="SB110" s="88"/>
      <c r="SC110" s="88"/>
      <c r="SD110" s="88"/>
      <c r="SE110" s="88"/>
      <c r="SF110" s="88"/>
      <c r="SG110" s="88"/>
      <c r="SH110" s="88"/>
      <c r="SI110" s="88"/>
      <c r="SJ110" s="88"/>
      <c r="SK110" s="88"/>
      <c r="SL110" s="88"/>
      <c r="SM110" s="88"/>
      <c r="SN110" s="88"/>
      <c r="SO110" s="88"/>
      <c r="SP110" s="88"/>
      <c r="SQ110" s="88"/>
      <c r="SR110" s="88"/>
      <c r="SS110" s="88"/>
      <c r="ST110" s="88"/>
      <c r="SU110" s="88"/>
      <c r="SV110" s="88"/>
      <c r="SW110" s="88"/>
      <c r="SX110" s="88"/>
      <c r="SY110" s="88"/>
      <c r="SZ110" s="88"/>
      <c r="TA110" s="88"/>
      <c r="TB110" s="88"/>
      <c r="TC110" s="88"/>
      <c r="TD110" s="88"/>
      <c r="TE110" s="88"/>
      <c r="TF110" s="88"/>
      <c r="TG110" s="88"/>
      <c r="TH110" s="88"/>
      <c r="TI110" s="88"/>
      <c r="TJ110" s="88"/>
      <c r="TK110" s="88"/>
      <c r="TL110" s="88"/>
      <c r="TM110" s="88"/>
      <c r="TN110" s="88"/>
      <c r="TO110" s="88"/>
      <c r="TP110" s="88"/>
      <c r="TQ110" s="88"/>
      <c r="TR110" s="88"/>
      <c r="TS110" s="88"/>
      <c r="TT110" s="88"/>
      <c r="TU110" s="88"/>
      <c r="TV110" s="88"/>
      <c r="TW110" s="88"/>
      <c r="TX110" s="88"/>
      <c r="TY110" s="88"/>
      <c r="TZ110" s="88"/>
      <c r="UA110" s="88"/>
      <c r="UB110" s="88"/>
      <c r="UC110" s="88"/>
      <c r="UD110" s="88"/>
      <c r="UE110" s="88"/>
      <c r="UF110" s="88"/>
      <c r="UG110" s="88"/>
      <c r="UH110" s="88"/>
      <c r="UI110" s="88"/>
      <c r="UJ110" s="88"/>
      <c r="UK110" s="88"/>
      <c r="UL110" s="88"/>
      <c r="UM110" s="88"/>
      <c r="UN110" s="88"/>
      <c r="UO110" s="88"/>
      <c r="UP110" s="88"/>
      <c r="UQ110" s="88"/>
      <c r="UR110" s="88"/>
      <c r="US110" s="88"/>
      <c r="UT110" s="88"/>
      <c r="UU110" s="88"/>
      <c r="UV110" s="88"/>
      <c r="UW110" s="88"/>
      <c r="UX110" s="88"/>
      <c r="UY110" s="88"/>
      <c r="UZ110" s="88"/>
      <c r="VA110" s="88"/>
      <c r="VB110" s="88"/>
      <c r="VC110" s="88"/>
      <c r="VD110" s="88"/>
      <c r="VE110" s="88"/>
      <c r="VF110" s="88"/>
      <c r="VG110" s="88"/>
      <c r="VH110" s="88"/>
      <c r="VI110" s="88"/>
      <c r="VJ110" s="88"/>
      <c r="VK110" s="88"/>
      <c r="VL110" s="88"/>
      <c r="VM110" s="88"/>
      <c r="VN110" s="88"/>
      <c r="VO110" s="88"/>
      <c r="VP110" s="88"/>
      <c r="VQ110" s="88"/>
      <c r="VR110" s="88"/>
      <c r="VS110" s="88"/>
      <c r="VT110" s="88"/>
      <c r="VU110" s="88"/>
      <c r="VV110" s="88"/>
      <c r="VW110" s="88"/>
      <c r="VX110" s="88"/>
      <c r="VY110" s="88"/>
      <c r="VZ110" s="88"/>
      <c r="WA110" s="88"/>
      <c r="WB110" s="88"/>
      <c r="WC110" s="88"/>
      <c r="WD110" s="88"/>
      <c r="WE110" s="88"/>
      <c r="WF110" s="88"/>
      <c r="WG110" s="88"/>
      <c r="WH110" s="88"/>
      <c r="WI110" s="88"/>
      <c r="WJ110" s="88"/>
      <c r="WK110" s="88"/>
      <c r="WL110" s="88"/>
      <c r="WM110" s="88"/>
      <c r="WN110" s="88"/>
      <c r="WO110" s="88"/>
      <c r="WP110" s="88"/>
      <c r="WQ110" s="88"/>
      <c r="WR110" s="88"/>
      <c r="WS110" s="88"/>
      <c r="WT110" s="88"/>
      <c r="WU110" s="88"/>
      <c r="WV110" s="88"/>
      <c r="WW110" s="88"/>
      <c r="WX110" s="88"/>
      <c r="WY110" s="88"/>
      <c r="WZ110" s="88"/>
      <c r="XA110" s="88"/>
      <c r="XB110" s="88"/>
      <c r="XC110" s="88"/>
      <c r="XD110" s="88"/>
      <c r="XE110" s="88"/>
      <c r="XF110" s="88"/>
      <c r="XG110" s="88"/>
      <c r="XH110" s="88"/>
      <c r="XI110" s="88"/>
      <c r="XJ110" s="88"/>
      <c r="XK110" s="88"/>
      <c r="XL110" s="88"/>
      <c r="XM110" s="88"/>
      <c r="XN110" s="88"/>
      <c r="XO110" s="88"/>
      <c r="XP110" s="88"/>
      <c r="XQ110" s="88"/>
      <c r="XR110" s="88"/>
      <c r="XS110" s="88"/>
      <c r="XT110" s="88"/>
      <c r="XU110" s="88"/>
      <c r="XV110" s="88"/>
      <c r="XW110" s="88"/>
      <c r="XX110" s="88"/>
      <c r="XY110" s="88"/>
      <c r="XZ110" s="88"/>
      <c r="YA110" s="88"/>
      <c r="YB110" s="88"/>
      <c r="YC110" s="88"/>
      <c r="YD110" s="88"/>
      <c r="YE110" s="88"/>
      <c r="YF110" s="88"/>
      <c r="YG110" s="88"/>
      <c r="YH110" s="88"/>
      <c r="YI110" s="88"/>
      <c r="YJ110" s="88"/>
      <c r="YK110" s="88"/>
      <c r="YL110" s="88"/>
      <c r="YM110" s="88"/>
      <c r="YN110" s="88"/>
      <c r="YO110" s="88"/>
      <c r="YP110" s="88"/>
      <c r="YQ110" s="88"/>
      <c r="YR110" s="88"/>
      <c r="YS110" s="88"/>
      <c r="YT110" s="88"/>
      <c r="YU110" s="88"/>
      <c r="YV110" s="88"/>
      <c r="YW110" s="88"/>
      <c r="YX110" s="88"/>
      <c r="YY110" s="88"/>
      <c r="YZ110" s="88"/>
      <c r="ZA110" s="88"/>
      <c r="ZB110" s="88"/>
      <c r="ZC110" s="88"/>
      <c r="ZD110" s="88"/>
      <c r="ZE110" s="88"/>
      <c r="ZF110" s="88"/>
      <c r="ZG110" s="88"/>
      <c r="ZH110" s="88"/>
      <c r="ZI110" s="88"/>
      <c r="ZJ110" s="88"/>
      <c r="ZK110" s="88"/>
      <c r="ZL110" s="88"/>
      <c r="ZM110" s="88"/>
      <c r="ZN110" s="88"/>
      <c r="ZO110" s="88"/>
      <c r="ZP110" s="88"/>
      <c r="ZQ110" s="88"/>
      <c r="ZR110" s="88"/>
      <c r="ZS110" s="88"/>
      <c r="ZT110" s="88"/>
      <c r="ZU110" s="88"/>
      <c r="ZV110" s="88"/>
      <c r="ZW110" s="88"/>
      <c r="ZX110" s="88"/>
      <c r="ZY110" s="88"/>
      <c r="ZZ110" s="88"/>
      <c r="AAA110" s="88"/>
      <c r="AAB110" s="88"/>
      <c r="AAC110" s="88"/>
      <c r="AAD110" s="88"/>
      <c r="AAE110" s="88"/>
      <c r="AAF110" s="88"/>
      <c r="AAG110" s="88"/>
      <c r="AAH110" s="88"/>
      <c r="AAI110" s="88"/>
      <c r="AAJ110" s="88"/>
      <c r="AAK110" s="88"/>
      <c r="AAL110" s="88"/>
      <c r="AAM110" s="88"/>
      <c r="AAN110" s="88"/>
      <c r="AAO110" s="88"/>
      <c r="AAP110" s="88"/>
      <c r="AAQ110" s="88"/>
      <c r="AAR110" s="88"/>
      <c r="AAS110" s="88"/>
      <c r="AAT110" s="88"/>
      <c r="AAU110" s="88"/>
      <c r="AAV110" s="88"/>
      <c r="AAW110" s="88"/>
      <c r="AAX110" s="88"/>
      <c r="AAY110" s="88"/>
      <c r="AAZ110" s="88"/>
      <c r="ABA110" s="88"/>
      <c r="ABB110" s="88"/>
      <c r="ABC110" s="88"/>
      <c r="ABD110" s="88"/>
      <c r="ABE110" s="88"/>
      <c r="ABF110" s="88"/>
      <c r="ABG110" s="88"/>
      <c r="ABH110" s="88"/>
      <c r="ABI110" s="88"/>
      <c r="ABJ110" s="88"/>
      <c r="ABK110" s="88"/>
      <c r="ABL110" s="88"/>
      <c r="ABM110" s="88"/>
      <c r="ABN110" s="88"/>
      <c r="ABO110" s="88"/>
      <c r="ABP110" s="88"/>
      <c r="ABQ110" s="88"/>
      <c r="ABR110" s="88"/>
      <c r="ABS110" s="88"/>
      <c r="ABT110" s="88"/>
      <c r="ABU110" s="88"/>
      <c r="ABV110" s="88"/>
      <c r="ABW110" s="88"/>
      <c r="ABX110" s="88"/>
      <c r="ABY110" s="88"/>
      <c r="ABZ110" s="88"/>
      <c r="ACA110" s="88"/>
      <c r="ACB110" s="88"/>
      <c r="ACC110" s="88"/>
      <c r="ACD110" s="88"/>
      <c r="ACE110" s="88"/>
      <c r="ACF110" s="88"/>
      <c r="ACG110" s="88"/>
      <c r="ACH110" s="88"/>
      <c r="ACI110" s="88"/>
      <c r="ACJ110" s="88"/>
      <c r="ACK110" s="88"/>
      <c r="ACL110" s="88"/>
      <c r="ACM110" s="88"/>
      <c r="ACN110" s="88"/>
      <c r="ACO110" s="88"/>
      <c r="ACP110" s="88"/>
      <c r="ACQ110" s="88"/>
      <c r="ACR110" s="88"/>
      <c r="ACS110" s="88"/>
      <c r="ACT110" s="88"/>
      <c r="ACU110" s="88"/>
      <c r="ACV110" s="88"/>
      <c r="ACW110" s="88"/>
      <c r="ACX110" s="88"/>
      <c r="ACY110" s="88"/>
      <c r="ACZ110" s="88"/>
      <c r="ADA110" s="88"/>
      <c r="ADB110" s="88"/>
      <c r="ADC110" s="88"/>
      <c r="ADD110" s="88"/>
      <c r="ADE110" s="88"/>
      <c r="ADF110" s="88"/>
      <c r="ADG110" s="88"/>
      <c r="ADH110" s="88"/>
      <c r="ADI110" s="88"/>
      <c r="ADJ110" s="88"/>
      <c r="ADK110" s="88"/>
      <c r="ADL110" s="88"/>
      <c r="ADM110" s="88"/>
      <c r="ADN110" s="88"/>
      <c r="ADO110" s="88"/>
      <c r="ADP110" s="88"/>
      <c r="ADQ110" s="88"/>
      <c r="ADR110" s="88"/>
      <c r="ADS110" s="88"/>
      <c r="ADT110" s="88"/>
      <c r="ADU110" s="88"/>
      <c r="ADV110" s="88"/>
      <c r="ADW110" s="88"/>
      <c r="ADX110" s="88"/>
      <c r="ADY110" s="88"/>
      <c r="ADZ110" s="88"/>
      <c r="AEA110" s="88"/>
      <c r="AEB110" s="88"/>
      <c r="AEC110" s="88"/>
      <c r="AED110" s="88"/>
      <c r="AEE110" s="88"/>
      <c r="AEF110" s="88"/>
      <c r="AEG110" s="88"/>
      <c r="AEH110" s="88"/>
      <c r="AEI110" s="88"/>
      <c r="AEJ110" s="88"/>
      <c r="AEK110" s="88"/>
      <c r="AEL110" s="88"/>
      <c r="AEM110" s="88"/>
      <c r="AEN110" s="88"/>
      <c r="AEO110" s="88"/>
      <c r="AEP110" s="88"/>
      <c r="AEQ110" s="88"/>
      <c r="AER110" s="88"/>
      <c r="AES110" s="88"/>
      <c r="AET110" s="88"/>
      <c r="AEU110" s="88"/>
      <c r="AEV110" s="88"/>
      <c r="AEW110" s="88"/>
      <c r="AEX110" s="88"/>
      <c r="AEY110" s="88"/>
      <c r="AEZ110" s="88"/>
      <c r="AFA110" s="88"/>
      <c r="AFB110" s="88"/>
      <c r="AFC110" s="88"/>
      <c r="AFD110" s="88"/>
      <c r="AFE110" s="88"/>
      <c r="AFF110" s="88"/>
      <c r="AFG110" s="88"/>
      <c r="AFH110" s="88"/>
      <c r="AFI110" s="88"/>
      <c r="AFJ110" s="88"/>
      <c r="AFK110" s="88"/>
      <c r="AFL110" s="88"/>
      <c r="AFM110" s="88"/>
      <c r="AFN110" s="88"/>
      <c r="AFO110" s="88"/>
      <c r="AFP110" s="88"/>
      <c r="AFQ110" s="88"/>
      <c r="AFR110" s="88"/>
      <c r="AFS110" s="88"/>
      <c r="AFT110" s="88"/>
      <c r="AFU110" s="88"/>
      <c r="AFV110" s="88"/>
      <c r="AFW110" s="88"/>
      <c r="AFX110" s="88"/>
      <c r="AFY110" s="88"/>
      <c r="AFZ110" s="88"/>
      <c r="AGA110" s="88"/>
      <c r="AGB110" s="88"/>
      <c r="AGC110" s="88"/>
      <c r="AGD110" s="88"/>
      <c r="AGE110" s="88"/>
      <c r="AGF110" s="88"/>
      <c r="AGG110" s="88"/>
      <c r="AGH110" s="88"/>
      <c r="AGI110" s="88"/>
      <c r="AGJ110" s="88"/>
      <c r="AGK110" s="88"/>
      <c r="AGL110" s="88"/>
      <c r="AGM110" s="88"/>
      <c r="AGN110" s="88"/>
      <c r="AGO110" s="88"/>
      <c r="AGP110" s="88"/>
      <c r="AGQ110" s="88"/>
      <c r="AGR110" s="88"/>
      <c r="AGS110" s="88"/>
      <c r="AGT110" s="88"/>
      <c r="AGU110" s="88"/>
      <c r="AGV110" s="88"/>
      <c r="AGW110" s="88"/>
      <c r="AGX110" s="88"/>
      <c r="AGY110" s="88"/>
      <c r="AGZ110" s="88"/>
      <c r="AHA110" s="88"/>
      <c r="AHB110" s="88"/>
      <c r="AHC110" s="88"/>
      <c r="AHD110" s="88"/>
      <c r="AHE110" s="88"/>
      <c r="AHF110" s="88"/>
      <c r="AHG110" s="88"/>
      <c r="AHH110" s="88"/>
      <c r="AHI110" s="88"/>
      <c r="AHJ110" s="88"/>
      <c r="AHK110" s="88"/>
      <c r="AHL110" s="88"/>
      <c r="AHM110" s="88"/>
      <c r="AHN110" s="88"/>
      <c r="AHO110" s="88"/>
      <c r="AHP110" s="88"/>
      <c r="AHQ110" s="88"/>
      <c r="AHR110" s="88"/>
      <c r="AHS110" s="88"/>
      <c r="AHT110" s="88"/>
      <c r="AHU110" s="88"/>
      <c r="AHV110" s="88"/>
      <c r="AHW110" s="88"/>
      <c r="AHX110" s="88"/>
      <c r="AHY110" s="88"/>
      <c r="AHZ110" s="88"/>
      <c r="AIA110" s="88"/>
      <c r="AIB110" s="88"/>
      <c r="AIC110" s="88"/>
      <c r="AID110" s="88"/>
      <c r="AIE110" s="88"/>
      <c r="AIF110" s="88"/>
      <c r="AIG110" s="88"/>
      <c r="AIH110" s="88"/>
      <c r="AII110" s="88"/>
      <c r="AIJ110" s="88"/>
      <c r="AIK110" s="88"/>
      <c r="AIL110" s="88"/>
      <c r="AIM110" s="88"/>
      <c r="AIN110" s="88"/>
      <c r="AIO110" s="88"/>
      <c r="AIP110" s="88"/>
      <c r="AIQ110" s="88"/>
      <c r="AIR110" s="88"/>
      <c r="AIS110" s="88"/>
      <c r="AIT110" s="88"/>
      <c r="AIU110" s="88"/>
      <c r="AIV110" s="88"/>
      <c r="AIW110" s="88"/>
      <c r="AIX110" s="88"/>
      <c r="AIY110" s="88"/>
      <c r="AIZ110" s="88"/>
      <c r="AJA110" s="88"/>
      <c r="AJB110" s="88"/>
      <c r="AJC110" s="88"/>
      <c r="AJD110" s="88"/>
      <c r="AJE110" s="88"/>
      <c r="AJF110" s="88"/>
      <c r="AJG110" s="88"/>
      <c r="AJH110" s="88"/>
      <c r="AJI110" s="88"/>
      <c r="AJJ110" s="88"/>
      <c r="AJK110" s="88"/>
      <c r="AJL110" s="88"/>
      <c r="AJM110" s="88"/>
      <c r="AJN110" s="88"/>
      <c r="AJO110" s="88"/>
      <c r="AJP110" s="88"/>
      <c r="AJQ110" s="88"/>
      <c r="AJR110" s="88"/>
      <c r="AJS110" s="88"/>
      <c r="AJT110" s="88"/>
      <c r="AJU110" s="88"/>
      <c r="AJV110" s="88"/>
      <c r="AJW110" s="88"/>
      <c r="AJX110" s="88"/>
      <c r="AJY110" s="88"/>
      <c r="AJZ110" s="88"/>
      <c r="AKA110" s="88"/>
      <c r="AKB110" s="88"/>
      <c r="AKC110" s="88"/>
      <c r="AKD110" s="88"/>
      <c r="AKE110" s="88"/>
      <c r="AKF110" s="88"/>
      <c r="AKG110" s="88"/>
      <c r="AKH110" s="88"/>
      <c r="AKI110" s="88"/>
      <c r="AKJ110" s="88"/>
      <c r="AKK110" s="88"/>
      <c r="AKL110" s="88"/>
      <c r="AKM110" s="88"/>
      <c r="AKN110" s="88"/>
      <c r="AKO110" s="88"/>
      <c r="AKP110" s="88"/>
      <c r="AKQ110" s="88"/>
      <c r="AKR110" s="88"/>
      <c r="AKS110" s="88"/>
      <c r="AKT110" s="88"/>
      <c r="AKU110" s="88"/>
      <c r="AKV110" s="88"/>
      <c r="AKW110" s="88"/>
      <c r="AKX110" s="88"/>
      <c r="AKY110" s="88"/>
      <c r="AKZ110" s="88"/>
      <c r="ALA110" s="88"/>
      <c r="ALB110" s="88"/>
      <c r="ALC110" s="88"/>
      <c r="ALD110" s="88"/>
      <c r="ALE110" s="88"/>
      <c r="ALF110" s="88"/>
      <c r="ALG110" s="88"/>
      <c r="ALH110" s="88"/>
      <c r="ALI110" s="88"/>
      <c r="ALJ110" s="88"/>
      <c r="ALK110" s="88"/>
      <c r="ALL110" s="88"/>
      <c r="ALM110" s="88"/>
      <c r="ALN110" s="88"/>
      <c r="ALO110" s="88"/>
      <c r="ALP110" s="88"/>
      <c r="ALQ110" s="88"/>
      <c r="ALR110" s="88"/>
      <c r="ALS110" s="88"/>
      <c r="ALT110" s="88"/>
      <c r="ALU110" s="88"/>
      <c r="ALV110" s="88"/>
      <c r="ALW110" s="88"/>
      <c r="ALX110" s="88"/>
      <c r="ALY110" s="88"/>
      <c r="ALZ110" s="88"/>
      <c r="AMA110" s="88"/>
      <c r="AMB110" s="88"/>
      <c r="AMC110" s="88"/>
      <c r="AMD110" s="88"/>
      <c r="AME110" s="88"/>
      <c r="AMF110" s="88"/>
      <c r="AMG110" s="88"/>
      <c r="AMH110" s="88"/>
      <c r="AMI110" s="88"/>
      <c r="AMJ110" s="88"/>
      <c r="AMK110" s="88"/>
      <c r="AML110" s="88"/>
      <c r="AMM110" s="88"/>
      <c r="AMN110" s="88"/>
      <c r="AMO110" s="88"/>
      <c r="AMP110" s="88"/>
      <c r="AMQ110" s="88"/>
      <c r="AMR110" s="88"/>
      <c r="AMS110" s="88"/>
      <c r="AMT110" s="88"/>
      <c r="AMU110" s="88"/>
      <c r="AMV110" s="88"/>
      <c r="AMW110" s="88"/>
      <c r="AMX110" s="88"/>
      <c r="AMY110" s="88"/>
      <c r="AMZ110" s="88"/>
      <c r="ANA110" s="88"/>
      <c r="ANB110" s="88"/>
      <c r="ANC110" s="88"/>
      <c r="AND110" s="88"/>
      <c r="ANE110" s="88"/>
      <c r="ANF110" s="88"/>
      <c r="ANG110" s="88"/>
      <c r="ANH110" s="88"/>
      <c r="ANI110" s="88"/>
      <c r="ANJ110" s="88"/>
      <c r="ANK110" s="88"/>
      <c r="ANL110" s="88"/>
      <c r="ANM110" s="88"/>
      <c r="ANN110" s="88"/>
      <c r="ANO110" s="88"/>
      <c r="ANP110" s="88"/>
      <c r="ANQ110" s="88"/>
      <c r="ANR110" s="88"/>
      <c r="ANS110" s="88"/>
      <c r="ANT110" s="88"/>
      <c r="ANU110" s="88"/>
      <c r="ANV110" s="88"/>
      <c r="ANW110" s="88"/>
      <c r="ANX110" s="88"/>
      <c r="ANY110" s="88"/>
      <c r="ANZ110" s="88"/>
      <c r="AOA110" s="88"/>
      <c r="AOB110" s="88"/>
      <c r="AOC110" s="88"/>
      <c r="AOD110" s="88"/>
      <c r="AOE110" s="88"/>
      <c r="AOF110" s="88"/>
      <c r="AOG110" s="88"/>
      <c r="AOH110" s="88"/>
      <c r="AOI110" s="88"/>
      <c r="AOJ110" s="88"/>
      <c r="AOK110" s="88"/>
      <c r="AOL110" s="88"/>
      <c r="AOM110" s="88"/>
      <c r="AON110" s="88"/>
      <c r="AOO110" s="88"/>
      <c r="AOP110" s="88"/>
      <c r="AOQ110" s="88"/>
      <c r="AOR110" s="88"/>
      <c r="AOS110" s="88"/>
      <c r="AOT110" s="88"/>
      <c r="AOU110" s="88"/>
      <c r="AOV110" s="88"/>
      <c r="AOW110" s="88"/>
      <c r="AOX110" s="88"/>
      <c r="AOY110" s="88"/>
      <c r="AOZ110" s="88"/>
      <c r="APA110" s="88"/>
      <c r="APB110" s="88"/>
      <c r="APC110" s="88"/>
      <c r="APD110" s="88"/>
      <c r="APE110" s="88"/>
      <c r="APF110" s="88"/>
      <c r="APG110" s="88"/>
      <c r="APH110" s="88"/>
      <c r="API110" s="88"/>
      <c r="APJ110" s="88"/>
      <c r="APK110" s="88"/>
      <c r="APL110" s="88"/>
      <c r="APM110" s="88"/>
      <c r="APN110" s="88"/>
      <c r="APO110" s="88"/>
      <c r="APP110" s="88"/>
      <c r="APQ110" s="88"/>
      <c r="APR110" s="88"/>
      <c r="APS110" s="88"/>
      <c r="APT110" s="88"/>
      <c r="APU110" s="88"/>
      <c r="APV110" s="88"/>
      <c r="APW110" s="88"/>
      <c r="APX110" s="88"/>
      <c r="APY110" s="88"/>
      <c r="APZ110" s="88"/>
      <c r="AQA110" s="88"/>
      <c r="AQB110" s="88"/>
      <c r="AQC110" s="88"/>
      <c r="AQD110" s="88"/>
      <c r="AQE110" s="88"/>
      <c r="AQF110" s="88"/>
      <c r="AQG110" s="88"/>
      <c r="AQH110" s="88"/>
      <c r="AQI110" s="88"/>
      <c r="AQJ110" s="88"/>
      <c r="AQK110" s="88"/>
      <c r="AQL110" s="88"/>
      <c r="AQM110" s="88"/>
      <c r="AQN110" s="88"/>
      <c r="AQO110" s="88"/>
      <c r="AQP110" s="88"/>
      <c r="AQQ110" s="88"/>
      <c r="AQR110" s="88"/>
      <c r="AQS110" s="88"/>
      <c r="AQT110" s="88"/>
      <c r="AQU110" s="88"/>
      <c r="AQV110" s="88"/>
      <c r="AQW110" s="88"/>
      <c r="AQX110" s="88"/>
      <c r="AQY110" s="88"/>
      <c r="AQZ110" s="88"/>
      <c r="ARA110" s="88"/>
      <c r="ARB110" s="88"/>
      <c r="ARC110" s="88"/>
      <c r="ARD110" s="88"/>
      <c r="ARE110" s="88"/>
      <c r="ARF110" s="88"/>
      <c r="ARG110" s="88"/>
      <c r="ARH110" s="88"/>
      <c r="ARI110" s="88"/>
      <c r="ARJ110" s="88"/>
      <c r="ARK110" s="88"/>
      <c r="ARL110" s="88"/>
      <c r="ARM110" s="88"/>
      <c r="ARN110" s="88"/>
      <c r="ARO110" s="88"/>
      <c r="ARP110" s="88"/>
      <c r="ARQ110" s="88"/>
      <c r="ARR110" s="88"/>
      <c r="ARS110" s="88"/>
      <c r="ART110" s="88"/>
      <c r="ARU110" s="88"/>
      <c r="ARV110" s="88"/>
      <c r="ARW110" s="88"/>
      <c r="ARX110" s="88"/>
      <c r="ARY110" s="88"/>
      <c r="ARZ110" s="88"/>
      <c r="ASA110" s="88"/>
      <c r="ASB110" s="88"/>
      <c r="ASC110" s="88"/>
      <c r="ASD110" s="88"/>
      <c r="ASE110" s="88"/>
      <c r="ASF110" s="88"/>
      <c r="ASG110" s="88"/>
      <c r="ASH110" s="88"/>
      <c r="ASI110" s="88"/>
      <c r="ASJ110" s="88"/>
      <c r="ASK110" s="88"/>
      <c r="ASL110" s="88"/>
      <c r="ASM110" s="88"/>
      <c r="ASN110" s="88"/>
      <c r="ASO110" s="88"/>
      <c r="ASP110" s="88"/>
      <c r="ASQ110" s="88"/>
      <c r="ASR110" s="88"/>
      <c r="ASS110" s="88"/>
      <c r="AST110" s="88"/>
      <c r="ASU110" s="88"/>
      <c r="ASV110" s="88"/>
      <c r="ASW110" s="88"/>
      <c r="ASX110" s="88"/>
      <c r="ASY110" s="88"/>
      <c r="ASZ110" s="88"/>
      <c r="ATA110" s="88"/>
      <c r="ATB110" s="88"/>
      <c r="ATC110" s="88"/>
      <c r="ATD110" s="88"/>
      <c r="ATE110" s="88"/>
      <c r="ATF110" s="88"/>
      <c r="ATG110" s="88"/>
      <c r="ATH110" s="88"/>
      <c r="ATI110" s="88"/>
      <c r="ATJ110" s="88"/>
      <c r="ATK110" s="88"/>
      <c r="ATL110" s="88"/>
      <c r="ATM110" s="88"/>
      <c r="ATN110" s="88"/>
      <c r="ATO110" s="88"/>
      <c r="ATP110" s="88"/>
      <c r="ATQ110" s="88"/>
      <c r="ATR110" s="88"/>
      <c r="ATS110" s="88"/>
      <c r="ATT110" s="88"/>
      <c r="ATU110" s="88"/>
      <c r="ATV110" s="88"/>
      <c r="ATW110" s="88"/>
      <c r="ATX110" s="88"/>
      <c r="ATY110" s="88"/>
      <c r="ATZ110" s="88"/>
      <c r="AUA110" s="88"/>
      <c r="AUB110" s="88"/>
      <c r="AUC110" s="88"/>
      <c r="AUD110" s="88"/>
      <c r="AUE110" s="88"/>
      <c r="AUF110" s="88"/>
      <c r="AUG110" s="88"/>
      <c r="AUH110" s="88"/>
      <c r="AUI110" s="88"/>
      <c r="AUJ110" s="88"/>
      <c r="AUK110" s="88"/>
      <c r="AUL110" s="88"/>
      <c r="AUM110" s="88"/>
      <c r="AUN110" s="88"/>
      <c r="AUO110" s="88"/>
      <c r="AUP110" s="88"/>
      <c r="AUQ110" s="88"/>
      <c r="AUR110" s="88"/>
      <c r="AUS110" s="88"/>
      <c r="AUT110" s="88"/>
      <c r="AUU110" s="88"/>
      <c r="AUV110" s="88"/>
      <c r="AUW110" s="88"/>
      <c r="AUX110" s="88"/>
      <c r="AUY110" s="88"/>
      <c r="AUZ110" s="88"/>
      <c r="AVA110" s="88"/>
      <c r="AVB110" s="88"/>
      <c r="AVC110" s="88"/>
      <c r="AVD110" s="88"/>
      <c r="AVE110" s="88"/>
      <c r="AVF110" s="88"/>
      <c r="AVG110" s="88"/>
      <c r="AVH110" s="88"/>
      <c r="AVI110" s="88"/>
      <c r="AVJ110" s="88"/>
      <c r="AVK110" s="88"/>
      <c r="AVL110" s="88"/>
      <c r="AVM110" s="88"/>
      <c r="AVN110" s="88"/>
      <c r="AVO110" s="88"/>
      <c r="AVP110" s="88"/>
      <c r="AVQ110" s="88"/>
      <c r="AVR110" s="88"/>
      <c r="AVS110" s="88"/>
      <c r="AVT110" s="88"/>
      <c r="AVU110" s="88"/>
      <c r="AVV110" s="88"/>
      <c r="AVW110" s="88"/>
      <c r="AVX110" s="88"/>
      <c r="AVY110" s="88"/>
      <c r="AVZ110" s="88"/>
      <c r="AWA110" s="88"/>
      <c r="AWB110" s="88"/>
      <c r="AWC110" s="88"/>
      <c r="AWD110" s="88"/>
      <c r="AWE110" s="88"/>
      <c r="AWF110" s="88"/>
      <c r="AWG110" s="88"/>
      <c r="AWH110" s="88"/>
      <c r="AWI110" s="88"/>
      <c r="AWJ110" s="88"/>
      <c r="AWK110" s="88"/>
      <c r="AWL110" s="88"/>
      <c r="AWM110" s="88"/>
      <c r="AWN110" s="88"/>
      <c r="AWO110" s="88"/>
      <c r="AWP110" s="88"/>
      <c r="AWQ110" s="88"/>
      <c r="AWR110" s="88"/>
      <c r="AWS110" s="88"/>
      <c r="AWT110" s="88"/>
      <c r="AWU110" s="88"/>
      <c r="AWV110" s="88"/>
      <c r="AWW110" s="88"/>
      <c r="AWX110" s="88"/>
      <c r="AWY110" s="88"/>
      <c r="AWZ110" s="88"/>
      <c r="AXA110" s="88"/>
      <c r="AXB110" s="88"/>
      <c r="AXC110" s="88"/>
      <c r="AXD110" s="88"/>
      <c r="AXE110" s="88"/>
      <c r="AXF110" s="88"/>
      <c r="AXG110" s="88"/>
      <c r="AXH110" s="88"/>
      <c r="AXI110" s="88"/>
      <c r="AXJ110" s="88"/>
      <c r="AXK110" s="88"/>
      <c r="AXL110" s="88"/>
      <c r="AXM110" s="88"/>
      <c r="AXN110" s="88"/>
      <c r="AXO110" s="88"/>
      <c r="AXP110" s="88"/>
      <c r="AXQ110" s="88"/>
      <c r="AXR110" s="88"/>
      <c r="AXS110" s="88"/>
      <c r="AXT110" s="88"/>
      <c r="AXU110" s="88"/>
      <c r="AXV110" s="88"/>
      <c r="AXW110" s="88"/>
      <c r="AXX110" s="88"/>
      <c r="AXY110" s="88"/>
      <c r="AXZ110" s="88"/>
      <c r="AYA110" s="88"/>
      <c r="AYB110" s="88"/>
      <c r="AYC110" s="88"/>
      <c r="AYD110" s="88"/>
      <c r="AYE110" s="88"/>
      <c r="AYF110" s="88"/>
      <c r="AYG110" s="88"/>
      <c r="AYH110" s="88"/>
      <c r="AYI110" s="88"/>
      <c r="AYJ110" s="88"/>
      <c r="AYK110" s="88"/>
      <c r="AYL110" s="88"/>
      <c r="AYM110" s="88"/>
      <c r="AYN110" s="88"/>
      <c r="AYO110" s="88"/>
      <c r="AYP110" s="88"/>
      <c r="AYQ110" s="88"/>
      <c r="AYR110" s="88"/>
      <c r="AYS110" s="88"/>
      <c r="AYT110" s="88"/>
      <c r="AYU110" s="88"/>
      <c r="AYV110" s="88"/>
      <c r="AYW110" s="88"/>
      <c r="AYX110" s="88"/>
      <c r="AYY110" s="88"/>
      <c r="AYZ110" s="88"/>
      <c r="AZA110" s="88"/>
      <c r="AZB110" s="88"/>
      <c r="AZC110" s="88"/>
      <c r="AZD110" s="88"/>
      <c r="AZE110" s="88"/>
      <c r="AZF110" s="88"/>
      <c r="AZG110" s="88"/>
      <c r="AZH110" s="88"/>
      <c r="AZI110" s="88"/>
      <c r="AZJ110" s="88"/>
      <c r="AZK110" s="88"/>
      <c r="AZL110" s="88"/>
      <c r="AZM110" s="88"/>
      <c r="AZN110" s="88"/>
      <c r="AZO110" s="88"/>
      <c r="AZP110" s="88"/>
      <c r="AZQ110" s="88"/>
      <c r="AZR110" s="88"/>
      <c r="AZS110" s="88"/>
      <c r="AZT110" s="88"/>
      <c r="AZU110" s="88"/>
      <c r="AZV110" s="88"/>
      <c r="AZW110" s="88"/>
      <c r="AZX110" s="88"/>
      <c r="AZY110" s="88"/>
      <c r="AZZ110" s="88"/>
      <c r="BAA110" s="88"/>
      <c r="BAB110" s="88"/>
      <c r="BAC110" s="88"/>
      <c r="BAD110" s="88"/>
      <c r="BAE110" s="88"/>
      <c r="BAF110" s="88"/>
      <c r="BAG110" s="88"/>
      <c r="BAH110" s="88"/>
      <c r="BAI110" s="88"/>
      <c r="BAJ110" s="88"/>
      <c r="BAK110" s="88"/>
      <c r="BAL110" s="88"/>
      <c r="BAM110" s="88"/>
      <c r="BAN110" s="88"/>
      <c r="BAO110" s="88"/>
      <c r="BAP110" s="88"/>
      <c r="BAQ110" s="88"/>
      <c r="BAR110" s="88"/>
      <c r="BAS110" s="88"/>
      <c r="BAT110" s="88"/>
      <c r="BAU110" s="88"/>
      <c r="BAV110" s="88"/>
      <c r="BAW110" s="88"/>
      <c r="BAX110" s="88"/>
      <c r="BAY110" s="88"/>
      <c r="BAZ110" s="88"/>
      <c r="BBA110" s="88"/>
      <c r="BBB110" s="88"/>
      <c r="BBC110" s="88"/>
      <c r="BBD110" s="88"/>
      <c r="BBE110" s="88"/>
      <c r="BBF110" s="88"/>
      <c r="BBG110" s="88"/>
      <c r="BBH110" s="88"/>
      <c r="BBI110" s="88"/>
      <c r="BBJ110" s="88"/>
      <c r="BBK110" s="88"/>
      <c r="BBL110" s="88"/>
      <c r="BBM110" s="88"/>
      <c r="BBN110" s="88"/>
      <c r="BBO110" s="88"/>
      <c r="BBP110" s="88"/>
      <c r="BBQ110" s="88"/>
      <c r="BBR110" s="88"/>
      <c r="BBS110" s="88"/>
      <c r="BBT110" s="88"/>
      <c r="BBU110" s="88"/>
      <c r="BBV110" s="88"/>
      <c r="BBW110" s="88"/>
      <c r="BBX110" s="88"/>
      <c r="BBY110" s="88"/>
      <c r="BBZ110" s="88"/>
      <c r="BCA110" s="88"/>
      <c r="BCB110" s="88"/>
      <c r="BCC110" s="88"/>
      <c r="BCD110" s="88"/>
      <c r="BCE110" s="88"/>
      <c r="BCF110" s="88"/>
      <c r="BCG110" s="88"/>
      <c r="BCH110" s="88"/>
      <c r="BCI110" s="88"/>
      <c r="BCJ110" s="88"/>
      <c r="BCK110" s="88"/>
      <c r="BCL110" s="88"/>
      <c r="BCM110" s="88"/>
      <c r="BCN110" s="88"/>
      <c r="BCO110" s="88"/>
      <c r="BCP110" s="88"/>
      <c r="BCQ110" s="88"/>
      <c r="BCR110" s="88"/>
      <c r="BCS110" s="88"/>
      <c r="BCT110" s="88"/>
      <c r="BCU110" s="88"/>
      <c r="BCV110" s="88"/>
      <c r="BCW110" s="88"/>
      <c r="BCX110" s="88"/>
      <c r="BCY110" s="88"/>
      <c r="BCZ110" s="88"/>
      <c r="BDA110" s="88"/>
      <c r="BDB110" s="88"/>
      <c r="BDC110" s="88"/>
      <c r="BDD110" s="88"/>
      <c r="BDE110" s="88"/>
      <c r="BDF110" s="88"/>
      <c r="BDG110" s="88"/>
      <c r="BDH110" s="88"/>
      <c r="BDI110" s="88"/>
      <c r="BDJ110" s="88"/>
      <c r="BDK110" s="88"/>
      <c r="BDL110" s="88"/>
      <c r="BDM110" s="88"/>
      <c r="BDN110" s="88"/>
      <c r="BDO110" s="88"/>
      <c r="BDP110" s="88"/>
      <c r="BDQ110" s="88"/>
      <c r="BDR110" s="88"/>
      <c r="BDS110" s="88"/>
      <c r="BDT110" s="88"/>
      <c r="BDU110" s="88"/>
      <c r="BDV110" s="88"/>
      <c r="BDW110" s="88"/>
      <c r="BDX110" s="88"/>
      <c r="BDY110" s="88"/>
      <c r="BDZ110" s="88"/>
      <c r="BEA110" s="88"/>
      <c r="BEB110" s="88"/>
      <c r="BEC110" s="88"/>
      <c r="BED110" s="88"/>
      <c r="BEE110" s="88"/>
      <c r="BEF110" s="88"/>
      <c r="BEG110" s="88"/>
      <c r="BEH110" s="88"/>
      <c r="BEI110" s="88"/>
      <c r="BEJ110" s="88"/>
      <c r="BEK110" s="88"/>
      <c r="BEL110" s="88"/>
      <c r="BEM110" s="88"/>
      <c r="BEN110" s="88"/>
      <c r="BEO110" s="88"/>
      <c r="BEP110" s="88"/>
      <c r="BEQ110" s="88"/>
      <c r="BER110" s="88"/>
      <c r="BES110" s="88"/>
      <c r="BET110" s="88"/>
      <c r="BEU110" s="88"/>
      <c r="BEV110" s="88"/>
      <c r="BEW110" s="88"/>
      <c r="BEX110" s="88"/>
      <c r="BEY110" s="88"/>
      <c r="BEZ110" s="88"/>
      <c r="BFA110" s="88"/>
      <c r="BFB110" s="88"/>
      <c r="BFC110" s="88"/>
      <c r="BFD110" s="88"/>
      <c r="BFE110" s="88"/>
      <c r="BFF110" s="88"/>
      <c r="BFG110" s="88"/>
      <c r="BFH110" s="88"/>
      <c r="BFI110" s="88"/>
      <c r="BFJ110" s="88"/>
      <c r="BFK110" s="88"/>
      <c r="BFL110" s="88"/>
      <c r="BFM110" s="88"/>
      <c r="BFN110" s="88"/>
      <c r="BFO110" s="88"/>
      <c r="BFP110" s="88"/>
      <c r="BFQ110" s="88"/>
      <c r="BFR110" s="88"/>
      <c r="BFS110" s="88"/>
      <c r="BFT110" s="88"/>
      <c r="BFU110" s="88"/>
      <c r="BFV110" s="88"/>
      <c r="BFW110" s="88"/>
      <c r="BFX110" s="88"/>
      <c r="BFY110" s="88"/>
      <c r="BFZ110" s="88"/>
      <c r="BGA110" s="88"/>
      <c r="BGB110" s="88"/>
      <c r="BGC110" s="88"/>
      <c r="BGD110" s="88"/>
      <c r="BGE110" s="88"/>
      <c r="BGF110" s="88"/>
      <c r="BGG110" s="88"/>
      <c r="BGH110" s="88"/>
      <c r="BGI110" s="88"/>
      <c r="BGJ110" s="88"/>
      <c r="BGK110" s="88"/>
      <c r="BGL110" s="88"/>
      <c r="BGM110" s="88"/>
      <c r="BGN110" s="88"/>
      <c r="BGO110" s="88"/>
      <c r="BGP110" s="88"/>
      <c r="BGQ110" s="88"/>
      <c r="BGR110" s="88"/>
      <c r="BGS110" s="88"/>
      <c r="BGT110" s="88"/>
      <c r="BGU110" s="88"/>
      <c r="BGV110" s="88"/>
      <c r="BGW110" s="88"/>
      <c r="BGX110" s="88"/>
      <c r="BGY110" s="88"/>
      <c r="BGZ110" s="88"/>
      <c r="BHA110" s="88"/>
      <c r="BHB110" s="88"/>
      <c r="BHC110" s="88"/>
      <c r="BHD110" s="88"/>
      <c r="BHE110" s="88"/>
      <c r="BHF110" s="88"/>
      <c r="BHG110" s="88"/>
      <c r="BHH110" s="88"/>
      <c r="BHI110" s="88"/>
      <c r="BHJ110" s="88"/>
      <c r="BHK110" s="88"/>
      <c r="BHL110" s="88"/>
      <c r="BHM110" s="88"/>
      <c r="BHN110" s="88"/>
      <c r="BHO110" s="88"/>
      <c r="BHP110" s="88"/>
      <c r="BHQ110" s="88"/>
      <c r="BHR110" s="88"/>
      <c r="BHS110" s="88"/>
      <c r="BHT110" s="88"/>
      <c r="BHU110" s="88"/>
      <c r="BHV110" s="88"/>
      <c r="BHW110" s="88"/>
      <c r="BHX110" s="88"/>
      <c r="BHY110" s="88"/>
      <c r="BHZ110" s="88"/>
      <c r="BIA110" s="88"/>
      <c r="BIB110" s="88"/>
      <c r="BIC110" s="88"/>
      <c r="BID110" s="88"/>
      <c r="BIE110" s="88"/>
      <c r="BIF110" s="88"/>
      <c r="BIG110" s="88"/>
      <c r="BIH110" s="88"/>
      <c r="BII110" s="88"/>
      <c r="BIJ110" s="88"/>
      <c r="BIK110" s="88"/>
      <c r="BIL110" s="88"/>
      <c r="BIM110" s="88"/>
      <c r="BIN110" s="88"/>
      <c r="BIO110" s="88"/>
      <c r="BIP110" s="88"/>
      <c r="BIQ110" s="88"/>
      <c r="BIR110" s="88"/>
      <c r="BIS110" s="88"/>
      <c r="BIT110" s="88"/>
      <c r="BIU110" s="88"/>
      <c r="BIV110" s="88"/>
      <c r="BIW110" s="88"/>
      <c r="BIX110" s="88"/>
      <c r="BIY110" s="88"/>
      <c r="BIZ110" s="88"/>
      <c r="BJA110" s="88"/>
      <c r="BJB110" s="88"/>
      <c r="BJC110" s="88"/>
      <c r="BJD110" s="88"/>
      <c r="BJE110" s="88"/>
      <c r="BJF110" s="88"/>
      <c r="BJG110" s="88"/>
      <c r="BJH110" s="88"/>
      <c r="BJI110" s="88"/>
      <c r="BJJ110" s="88"/>
      <c r="BJK110" s="88"/>
      <c r="BJL110" s="88"/>
      <c r="BJM110" s="88"/>
      <c r="BJN110" s="88"/>
      <c r="BJO110" s="88"/>
      <c r="BJP110" s="88"/>
      <c r="BJQ110" s="88"/>
      <c r="BJR110" s="88"/>
      <c r="BJS110" s="88"/>
      <c r="BJT110" s="88"/>
      <c r="BJU110" s="88"/>
      <c r="BJV110" s="88"/>
      <c r="BJW110" s="88"/>
      <c r="BJX110" s="88"/>
      <c r="BJY110" s="88"/>
      <c r="BJZ110" s="88"/>
      <c r="BKA110" s="88"/>
      <c r="BKB110" s="88"/>
      <c r="BKC110" s="88"/>
      <c r="BKD110" s="88"/>
      <c r="BKE110" s="88"/>
      <c r="BKF110" s="88"/>
      <c r="BKG110" s="88"/>
      <c r="BKH110" s="88"/>
      <c r="BKI110" s="88"/>
      <c r="BKJ110" s="88"/>
      <c r="BKK110" s="88"/>
      <c r="BKL110" s="88"/>
      <c r="BKM110" s="88"/>
      <c r="BKN110" s="88"/>
      <c r="BKO110" s="88"/>
      <c r="BKP110" s="88"/>
      <c r="BKQ110" s="88"/>
      <c r="BKR110" s="88"/>
      <c r="BKS110" s="88"/>
      <c r="BKT110" s="88"/>
      <c r="BKU110" s="88"/>
      <c r="BKV110" s="88"/>
      <c r="BKW110" s="88"/>
      <c r="BKX110" s="88"/>
      <c r="BKY110" s="88"/>
      <c r="BKZ110" s="88"/>
      <c r="BLA110" s="88"/>
      <c r="BLB110" s="88"/>
      <c r="BLC110" s="88"/>
      <c r="BLD110" s="88"/>
      <c r="BLE110" s="88"/>
      <c r="BLF110" s="88"/>
      <c r="BLG110" s="88"/>
      <c r="BLH110" s="88"/>
      <c r="BLI110" s="88"/>
      <c r="BLJ110" s="88"/>
      <c r="BLK110" s="88"/>
      <c r="BLL110" s="88"/>
      <c r="BLM110" s="88"/>
      <c r="BLN110" s="88"/>
      <c r="BLO110" s="88"/>
      <c r="BLP110" s="88"/>
      <c r="BLQ110" s="88"/>
      <c r="BLR110" s="88"/>
      <c r="BLS110" s="88"/>
      <c r="BLT110" s="88"/>
      <c r="BLU110" s="88"/>
      <c r="BLV110" s="88"/>
      <c r="BLW110" s="88"/>
      <c r="BLX110" s="88"/>
      <c r="BLY110" s="88"/>
      <c r="BLZ110" s="88"/>
      <c r="BMA110" s="88"/>
      <c r="BMB110" s="88"/>
      <c r="BMC110" s="88"/>
      <c r="BMD110" s="88"/>
      <c r="BME110" s="88"/>
      <c r="BMF110" s="88"/>
      <c r="BMG110" s="88"/>
      <c r="BMH110" s="88"/>
      <c r="BMI110" s="88"/>
      <c r="BMJ110" s="88"/>
      <c r="BMK110" s="88"/>
      <c r="BML110" s="88"/>
      <c r="BMM110" s="88"/>
      <c r="BMN110" s="88"/>
      <c r="BMO110" s="88"/>
      <c r="BMP110" s="88"/>
      <c r="BMQ110" s="88"/>
      <c r="BMR110" s="88"/>
      <c r="BMS110" s="88"/>
      <c r="BMT110" s="88"/>
      <c r="BMU110" s="88"/>
      <c r="BMV110" s="88"/>
      <c r="BMW110" s="88"/>
      <c r="BMX110" s="88"/>
      <c r="BMY110" s="88"/>
      <c r="BMZ110" s="88"/>
      <c r="BNA110" s="88"/>
      <c r="BNB110" s="88"/>
      <c r="BNC110" s="88"/>
      <c r="BND110" s="88"/>
      <c r="BNE110" s="88"/>
      <c r="BNF110" s="88"/>
      <c r="BNG110" s="88"/>
      <c r="BNH110" s="88"/>
      <c r="BNI110" s="88"/>
      <c r="BNJ110" s="88"/>
      <c r="BNK110" s="88"/>
      <c r="BNL110" s="88"/>
      <c r="BNM110" s="88"/>
      <c r="BNN110" s="88"/>
      <c r="BNO110" s="88"/>
      <c r="BNP110" s="88"/>
      <c r="BNQ110" s="88"/>
      <c r="BNR110" s="88"/>
      <c r="BNS110" s="88"/>
      <c r="BNT110" s="88"/>
      <c r="BNU110" s="88"/>
      <c r="BNV110" s="88"/>
      <c r="BNW110" s="88"/>
      <c r="BNX110" s="88"/>
      <c r="BNY110" s="88"/>
      <c r="BNZ110" s="88"/>
      <c r="BOA110" s="88"/>
      <c r="BOB110" s="88"/>
      <c r="BOC110" s="88"/>
      <c r="BOD110" s="88"/>
      <c r="BOE110" s="88"/>
      <c r="BOF110" s="88"/>
      <c r="BOG110" s="88"/>
      <c r="BOH110" s="88"/>
      <c r="BOI110" s="88"/>
      <c r="BOJ110" s="88"/>
      <c r="BOK110" s="88"/>
      <c r="BOL110" s="88"/>
      <c r="BOM110" s="88"/>
      <c r="BON110" s="88"/>
      <c r="BOO110" s="88"/>
      <c r="BOP110" s="88"/>
      <c r="BOQ110" s="88"/>
      <c r="BOR110" s="88"/>
      <c r="BOS110" s="88"/>
      <c r="BOT110" s="88"/>
      <c r="BOU110" s="88"/>
      <c r="BOV110" s="88"/>
      <c r="BOW110" s="88"/>
      <c r="BOX110" s="88"/>
      <c r="BOY110" s="88"/>
      <c r="BOZ110" s="88"/>
      <c r="BPA110" s="88"/>
      <c r="BPB110" s="88"/>
      <c r="BPC110" s="88"/>
      <c r="BPD110" s="88"/>
      <c r="BPE110" s="88"/>
      <c r="BPF110" s="88"/>
      <c r="BPG110" s="88"/>
      <c r="BPH110" s="88"/>
      <c r="BPI110" s="88"/>
      <c r="BPJ110" s="88"/>
      <c r="BPK110" s="88"/>
      <c r="BPL110" s="88"/>
      <c r="BPM110" s="88"/>
      <c r="BPN110" s="88"/>
      <c r="BPO110" s="88"/>
      <c r="BPP110" s="88"/>
      <c r="BPQ110" s="88"/>
      <c r="BPR110" s="88"/>
      <c r="BPS110" s="88"/>
      <c r="BPT110" s="88"/>
      <c r="BPU110" s="88"/>
      <c r="BPV110" s="88"/>
      <c r="BPW110" s="88"/>
      <c r="BPX110" s="88"/>
      <c r="BPY110" s="88"/>
      <c r="BPZ110" s="88"/>
      <c r="BQA110" s="88"/>
      <c r="BQB110" s="88"/>
      <c r="BQC110" s="88"/>
      <c r="BQD110" s="88"/>
      <c r="BQE110" s="88"/>
      <c r="BQF110" s="88"/>
      <c r="BQG110" s="88"/>
      <c r="BQH110" s="88"/>
      <c r="BQI110" s="88"/>
      <c r="BQJ110" s="88"/>
      <c r="BQK110" s="88"/>
      <c r="BQL110" s="88"/>
      <c r="BQM110" s="88"/>
      <c r="BQN110" s="88"/>
      <c r="BQO110" s="88"/>
      <c r="BQP110" s="88"/>
      <c r="BQQ110" s="88"/>
      <c r="BQR110" s="88"/>
      <c r="BQS110" s="88"/>
      <c r="BQT110" s="88"/>
      <c r="BQU110" s="88"/>
      <c r="BQV110" s="88"/>
      <c r="BQW110" s="88"/>
      <c r="BQX110" s="88"/>
      <c r="BQY110" s="88"/>
      <c r="BQZ110" s="88"/>
      <c r="BRA110" s="88"/>
      <c r="BRB110" s="88"/>
      <c r="BRC110" s="88"/>
      <c r="BRD110" s="88"/>
      <c r="BRE110" s="88"/>
      <c r="BRF110" s="88"/>
      <c r="BRG110" s="88"/>
      <c r="BRH110" s="88"/>
      <c r="BRI110" s="88"/>
      <c r="BRJ110" s="88"/>
      <c r="BRK110" s="88"/>
      <c r="BRL110" s="88"/>
      <c r="BRM110" s="88"/>
      <c r="BRN110" s="88"/>
      <c r="BRO110" s="88"/>
      <c r="BRP110" s="88"/>
      <c r="BRQ110" s="88"/>
      <c r="BRR110" s="88"/>
      <c r="BRS110" s="88"/>
      <c r="BRT110" s="88"/>
      <c r="BRU110" s="88"/>
      <c r="BRV110" s="88"/>
      <c r="BRW110" s="88"/>
      <c r="BRX110" s="88"/>
      <c r="BRY110" s="88"/>
      <c r="BRZ110" s="88"/>
      <c r="BSA110" s="88"/>
      <c r="BSB110" s="88"/>
      <c r="BSC110" s="88"/>
      <c r="BSD110" s="88"/>
      <c r="BSE110" s="88"/>
      <c r="BSF110" s="88"/>
      <c r="BSG110" s="88"/>
      <c r="BSH110" s="88"/>
      <c r="BSI110" s="88"/>
      <c r="BSJ110" s="88"/>
      <c r="BSK110" s="88"/>
      <c r="BSL110" s="88"/>
      <c r="BSM110" s="88"/>
      <c r="BSN110" s="88"/>
      <c r="BSO110" s="88"/>
      <c r="BSP110" s="88"/>
      <c r="BSQ110" s="88"/>
      <c r="BSR110" s="88"/>
      <c r="BSS110" s="88"/>
      <c r="BST110" s="88"/>
      <c r="BSU110" s="88"/>
      <c r="BSV110" s="88"/>
      <c r="BSW110" s="88"/>
      <c r="BSX110" s="88"/>
      <c r="BSY110" s="88"/>
      <c r="BSZ110" s="88"/>
      <c r="BTA110" s="88"/>
      <c r="BTB110" s="88"/>
      <c r="BTC110" s="88"/>
      <c r="BTD110" s="88"/>
      <c r="BTE110" s="88"/>
      <c r="BTF110" s="88"/>
      <c r="BTG110" s="88"/>
      <c r="BTH110" s="88"/>
      <c r="BTI110" s="88"/>
      <c r="BTJ110" s="88"/>
      <c r="BTK110" s="88"/>
      <c r="BTL110" s="88"/>
      <c r="BTM110" s="88"/>
      <c r="BTN110" s="88"/>
      <c r="BTO110" s="88"/>
      <c r="BTP110" s="88"/>
      <c r="BTQ110" s="88"/>
      <c r="BTR110" s="88"/>
      <c r="BTS110" s="88"/>
      <c r="BTT110" s="88"/>
      <c r="BTU110" s="88"/>
      <c r="BTV110" s="88"/>
      <c r="BTW110" s="88"/>
      <c r="BTX110" s="88"/>
      <c r="BTY110" s="88"/>
      <c r="BTZ110" s="88"/>
      <c r="BUA110" s="88"/>
      <c r="BUB110" s="88"/>
      <c r="BUC110" s="88"/>
      <c r="BUD110" s="88"/>
      <c r="BUE110" s="88"/>
      <c r="BUF110" s="88"/>
      <c r="BUG110" s="88"/>
      <c r="BUH110" s="88"/>
      <c r="BUI110" s="88"/>
      <c r="BUJ110" s="88"/>
      <c r="BUK110" s="88"/>
      <c r="BUL110" s="88"/>
      <c r="BUM110" s="88"/>
      <c r="BUN110" s="88"/>
      <c r="BUO110" s="88"/>
      <c r="BUP110" s="88"/>
      <c r="BUQ110" s="88"/>
      <c r="BUR110" s="88"/>
      <c r="BUS110" s="88"/>
      <c r="BUT110" s="88"/>
      <c r="BUU110" s="88"/>
      <c r="BUV110" s="88"/>
      <c r="BUW110" s="88"/>
      <c r="BUX110" s="88"/>
      <c r="BUY110" s="88"/>
      <c r="BUZ110" s="88"/>
      <c r="BVA110" s="88"/>
      <c r="BVB110" s="88"/>
      <c r="BVC110" s="88"/>
      <c r="BVD110" s="88"/>
      <c r="BVE110" s="88"/>
      <c r="BVF110" s="88"/>
      <c r="BVG110" s="88"/>
      <c r="BVH110" s="88"/>
      <c r="BVI110" s="88"/>
      <c r="BVJ110" s="88"/>
      <c r="BVK110" s="88"/>
      <c r="BVL110" s="88"/>
      <c r="BVM110" s="88"/>
      <c r="BVN110" s="88"/>
      <c r="BVO110" s="88"/>
      <c r="BVP110" s="88"/>
      <c r="BVQ110" s="88"/>
      <c r="BVR110" s="88"/>
      <c r="BVS110" s="88"/>
      <c r="BVT110" s="88"/>
      <c r="BVU110" s="88"/>
      <c r="BVV110" s="88"/>
      <c r="BVW110" s="88"/>
      <c r="BVX110" s="88"/>
      <c r="BVY110" s="88"/>
      <c r="BVZ110" s="88"/>
      <c r="BWA110" s="88"/>
      <c r="BWB110" s="88"/>
      <c r="BWC110" s="88"/>
      <c r="BWD110" s="88"/>
      <c r="BWE110" s="88"/>
      <c r="BWF110" s="88"/>
      <c r="BWG110" s="88"/>
      <c r="BWH110" s="88"/>
      <c r="BWI110" s="88"/>
      <c r="BWJ110" s="88"/>
      <c r="BWK110" s="88"/>
      <c r="BWL110" s="88"/>
      <c r="BWM110" s="88"/>
      <c r="BWN110" s="88"/>
      <c r="BWO110" s="88"/>
      <c r="BWP110" s="88"/>
      <c r="BWQ110" s="88"/>
      <c r="BWR110" s="88"/>
      <c r="BWS110" s="88"/>
      <c r="BWT110" s="88"/>
      <c r="BWU110" s="88"/>
      <c r="BWV110" s="88"/>
      <c r="BWW110" s="88"/>
      <c r="BWX110" s="88"/>
      <c r="BWY110" s="88"/>
      <c r="BWZ110" s="88"/>
      <c r="BXA110" s="88"/>
      <c r="BXB110" s="88"/>
      <c r="BXC110" s="88"/>
      <c r="BXD110" s="88"/>
      <c r="BXE110" s="88"/>
      <c r="BXF110" s="88"/>
      <c r="BXG110" s="88"/>
      <c r="BXH110" s="88"/>
      <c r="BXI110" s="88"/>
      <c r="BXJ110" s="88"/>
      <c r="BXK110" s="88"/>
      <c r="BXL110" s="88"/>
      <c r="BXM110" s="88"/>
      <c r="BXN110" s="88"/>
      <c r="BXO110" s="88"/>
      <c r="BXP110" s="88"/>
      <c r="BXQ110" s="88"/>
      <c r="BXR110" s="88"/>
      <c r="BXS110" s="88"/>
      <c r="BXT110" s="88"/>
      <c r="BXU110" s="88"/>
      <c r="BXV110" s="88"/>
      <c r="BXW110" s="88"/>
      <c r="BXX110" s="88"/>
      <c r="BXY110" s="88"/>
      <c r="BXZ110" s="88"/>
      <c r="BYA110" s="88"/>
      <c r="BYB110" s="88"/>
      <c r="BYC110" s="88"/>
      <c r="BYD110" s="88"/>
      <c r="BYE110" s="88"/>
      <c r="BYF110" s="88"/>
      <c r="BYG110" s="88"/>
      <c r="BYH110" s="88"/>
      <c r="BYI110" s="88"/>
      <c r="BYJ110" s="88"/>
      <c r="BYK110" s="88"/>
      <c r="BYL110" s="88"/>
      <c r="BYM110" s="88"/>
      <c r="BYN110" s="88"/>
      <c r="BYO110" s="88"/>
      <c r="BYP110" s="88"/>
      <c r="BYQ110" s="88"/>
      <c r="BYR110" s="88"/>
      <c r="BYS110" s="88"/>
      <c r="BYT110" s="88"/>
      <c r="BYU110" s="88"/>
      <c r="BYV110" s="88"/>
      <c r="BYW110" s="88"/>
      <c r="BYX110" s="88"/>
      <c r="BYY110" s="88"/>
      <c r="BYZ110" s="88"/>
      <c r="BZA110" s="88"/>
      <c r="BZB110" s="88"/>
      <c r="BZC110" s="88"/>
      <c r="BZD110" s="88"/>
      <c r="BZE110" s="88"/>
      <c r="BZF110" s="88"/>
      <c r="BZG110" s="88"/>
      <c r="BZH110" s="88"/>
      <c r="BZI110" s="88"/>
      <c r="BZJ110" s="88"/>
      <c r="BZK110" s="88"/>
      <c r="BZL110" s="88"/>
      <c r="BZM110" s="88"/>
      <c r="BZN110" s="88"/>
      <c r="BZO110" s="88"/>
      <c r="BZP110" s="88"/>
      <c r="BZQ110" s="88"/>
      <c r="BZR110" s="88"/>
      <c r="BZS110" s="88"/>
      <c r="BZT110" s="88"/>
      <c r="BZU110" s="88"/>
      <c r="BZV110" s="88"/>
      <c r="BZW110" s="88"/>
      <c r="BZX110" s="88"/>
      <c r="BZY110" s="88"/>
      <c r="BZZ110" s="88"/>
      <c r="CAA110" s="88"/>
      <c r="CAB110" s="88"/>
      <c r="CAC110" s="88"/>
      <c r="CAD110" s="88"/>
      <c r="CAE110" s="88"/>
      <c r="CAF110" s="88"/>
      <c r="CAG110" s="88"/>
      <c r="CAH110" s="88"/>
      <c r="CAI110" s="88"/>
      <c r="CAJ110" s="88"/>
      <c r="CAK110" s="88"/>
      <c r="CAL110" s="88"/>
      <c r="CAM110" s="88"/>
      <c r="CAN110" s="88"/>
      <c r="CAO110" s="88"/>
      <c r="CAP110" s="88"/>
      <c r="CAQ110" s="88"/>
      <c r="CAR110" s="88"/>
      <c r="CAS110" s="88"/>
      <c r="CAT110" s="88"/>
      <c r="CAU110" s="88"/>
      <c r="CAV110" s="88"/>
      <c r="CAW110" s="88"/>
      <c r="CAX110" s="88"/>
      <c r="CAY110" s="88"/>
      <c r="CAZ110" s="88"/>
      <c r="CBA110" s="88"/>
      <c r="CBB110" s="88"/>
      <c r="CBC110" s="88"/>
      <c r="CBD110" s="88"/>
      <c r="CBE110" s="88"/>
      <c r="CBF110" s="88"/>
      <c r="CBG110" s="88"/>
      <c r="CBH110" s="88"/>
      <c r="CBI110" s="88"/>
      <c r="CBJ110" s="88"/>
      <c r="CBK110" s="88"/>
      <c r="CBL110" s="88"/>
      <c r="CBM110" s="88"/>
      <c r="CBN110" s="88"/>
      <c r="CBO110" s="88"/>
      <c r="CBP110" s="88"/>
      <c r="CBQ110" s="88"/>
      <c r="CBR110" s="88"/>
      <c r="CBS110" s="88"/>
      <c r="CBT110" s="88"/>
      <c r="CBU110" s="88"/>
      <c r="CBV110" s="88"/>
      <c r="CBW110" s="88"/>
      <c r="CBX110" s="88"/>
      <c r="CBY110" s="88"/>
      <c r="CBZ110" s="88"/>
      <c r="CCA110" s="88"/>
      <c r="CCB110" s="88"/>
      <c r="CCC110" s="88"/>
      <c r="CCD110" s="88"/>
      <c r="CCE110" s="88"/>
      <c r="CCF110" s="88"/>
      <c r="CCG110" s="88"/>
      <c r="CCH110" s="88"/>
      <c r="CCI110" s="88"/>
      <c r="CCJ110" s="88"/>
      <c r="CCK110" s="88"/>
      <c r="CCL110" s="88"/>
      <c r="CCM110" s="88"/>
      <c r="CCN110" s="88"/>
      <c r="CCO110" s="88"/>
      <c r="CCP110" s="88"/>
      <c r="CCQ110" s="88"/>
      <c r="CCR110" s="88"/>
      <c r="CCS110" s="88"/>
      <c r="CCT110" s="88"/>
      <c r="CCU110" s="88"/>
      <c r="CCV110" s="88"/>
      <c r="CCW110" s="88"/>
      <c r="CCX110" s="88"/>
      <c r="CCY110" s="88"/>
      <c r="CCZ110" s="88"/>
      <c r="CDA110" s="88"/>
      <c r="CDB110" s="88"/>
      <c r="CDC110" s="88"/>
      <c r="CDD110" s="88"/>
      <c r="CDE110" s="88"/>
      <c r="CDF110" s="88"/>
      <c r="CDG110" s="88"/>
      <c r="CDH110" s="88"/>
      <c r="CDI110" s="88"/>
      <c r="CDJ110" s="88"/>
      <c r="CDK110" s="88"/>
      <c r="CDL110" s="88"/>
      <c r="CDM110" s="88"/>
      <c r="CDN110" s="88"/>
      <c r="CDO110" s="88"/>
      <c r="CDP110" s="88"/>
      <c r="CDQ110" s="88"/>
      <c r="CDR110" s="88"/>
      <c r="CDS110" s="88"/>
      <c r="CDT110" s="88"/>
      <c r="CDU110" s="88"/>
      <c r="CDV110" s="88"/>
      <c r="CDW110" s="88"/>
      <c r="CDX110" s="88"/>
      <c r="CDY110" s="88"/>
      <c r="CDZ110" s="88"/>
      <c r="CEA110" s="88"/>
      <c r="CEB110" s="88"/>
      <c r="CEC110" s="88"/>
      <c r="CED110" s="88"/>
      <c r="CEE110" s="88"/>
      <c r="CEF110" s="88"/>
      <c r="CEG110" s="88"/>
      <c r="CEH110" s="88"/>
      <c r="CEI110" s="88"/>
      <c r="CEJ110" s="88"/>
      <c r="CEK110" s="88"/>
    </row>
    <row r="111" spans="1:2169" s="63" customFormat="1">
      <c r="A111" s="677" t="s">
        <v>16117</v>
      </c>
      <c r="B111" s="677" t="s">
        <v>16118</v>
      </c>
      <c r="C111" s="68" t="str">
        <f>IF('page 2'!$O$4="","",IF('page 2'!$O$4=Gestion!A111,1,0))</f>
        <v/>
      </c>
      <c r="D111" s="68" t="str">
        <f>IF('page 2'!$O$5="","",IF('page 2'!$O$5=Gestion!A111,1,0))</f>
        <v/>
      </c>
      <c r="E111" s="68" t="str">
        <f>IF('page 2'!$O$6="","",IF('page 2'!$O$6=Gestion!A111,1,0))</f>
        <v/>
      </c>
      <c r="F111" s="68" t="str">
        <f>IF('page 2'!$O$7="","",IF('page 2'!$O$7=Gestion!A111,1,0))</f>
        <v/>
      </c>
      <c r="G111" s="68" t="str">
        <f>IF('page 2'!$O$8="","",IF('page 2'!$O$8=Gestion!A111,1,0))</f>
        <v/>
      </c>
      <c r="H111" s="68" t="str">
        <f>IF('page 2'!$O$9="","",IF('page 2'!$O$9=Gestion!A111,1,0))</f>
        <v/>
      </c>
      <c r="I111" s="68" t="str">
        <f>IF('page 2'!$O$10="","",IF('page 2'!$O$10=Gestion!A111,1,0))</f>
        <v/>
      </c>
      <c r="J111" s="68" t="str">
        <f>IF('page 2'!$O$11="","",IF('page 2'!$O$11=Gestion!A111,1,0))</f>
        <v/>
      </c>
      <c r="K111" s="68" t="str">
        <f>IF('page 2'!$O$12="","",IF('page 2'!$O$12=Gestion!A111,1,0))</f>
        <v/>
      </c>
      <c r="L111" s="68" t="str">
        <f>IF('page 2'!$O$13="","",IF('page 2'!$O$13=Gestion!A111,1,0))</f>
        <v/>
      </c>
      <c r="M111" s="68" t="str">
        <f>IF('page 2'!$O$14="","",IF('page 2'!$O$14=Gestion!A111,1,0))</f>
        <v/>
      </c>
      <c r="N111" s="68" t="str">
        <f>IF('page 2'!$O$15="","",IF('page 2'!$O$15=Gestion!A111,1,0))</f>
        <v/>
      </c>
      <c r="O111" s="68" t="str">
        <f>IF('page 2'!$O$16="","",IF('page 2'!$O$16=Gestion!A111,1,0))</f>
        <v/>
      </c>
      <c r="P111" s="68" t="str">
        <f>IF('page 2'!$O$17="","",IF('page 2'!$O$17=Gestion!A111,1,0))</f>
        <v/>
      </c>
      <c r="Q111" s="68" t="str">
        <f>IF('page 2'!$O$18="","",IF('page 2'!$O$18=Gestion!A111,1,0))</f>
        <v/>
      </c>
      <c r="R111" s="68" t="str">
        <f>IF('page 2'!$O$19="","",IF('page 2'!$O$19=Gestion!A111,1,0))</f>
        <v/>
      </c>
      <c r="S111" s="68" t="str">
        <f>IF('page 2'!$O$20="","",IF('page 2'!$O$20=Gestion!A111,1,0))</f>
        <v/>
      </c>
      <c r="T111" s="68" t="str">
        <f>IF('page 2'!$O$25="","",IF('page 2'!$O$25=Gestion!A111,1,0))</f>
        <v/>
      </c>
      <c r="U111" s="68" t="str">
        <f>IF('page 2'!$O$26="","",IF('page 2'!$O$26=Gestion!A111,1,0))</f>
        <v/>
      </c>
      <c r="V111" s="68" t="str">
        <f>IF('page 2'!$O$27="","",IF('page 2'!$O$27=Gestion!A111,1,0))</f>
        <v/>
      </c>
      <c r="W111" s="722">
        <f t="shared" ref="W111" si="17">SUM(C111:V111)</f>
        <v>0</v>
      </c>
      <c r="X111" s="714"/>
      <c r="Y111" s="68"/>
      <c r="Z111" s="68"/>
      <c r="AA111" s="68"/>
      <c r="AB111" s="68"/>
      <c r="AC111" s="68"/>
      <c r="AD111" s="68"/>
      <c r="AP111" s="469"/>
      <c r="AQ111" s="469"/>
      <c r="AR111" s="469"/>
      <c r="AS111" s="576"/>
      <c r="AT111" s="576"/>
      <c r="AU111" s="576"/>
      <c r="AV111" s="576"/>
      <c r="AW111" s="602"/>
      <c r="AX111" s="602"/>
      <c r="AY111" s="576"/>
      <c r="AZ111" s="576"/>
      <c r="BA111" s="576"/>
      <c r="BB111" s="576"/>
      <c r="BC111" s="576"/>
      <c r="BD111" s="602"/>
      <c r="BE111" s="602"/>
      <c r="BF111" s="602"/>
      <c r="BG111" s="602"/>
      <c r="BH111" s="602"/>
      <c r="BI111" s="602"/>
      <c r="BJ111" s="602"/>
      <c r="BK111" s="602"/>
      <c r="BL111" s="602"/>
      <c r="BM111" s="602"/>
      <c r="BN111" s="602"/>
      <c r="BO111" s="602"/>
      <c r="BP111" s="602"/>
      <c r="BQ111" s="602"/>
      <c r="BR111" s="602"/>
      <c r="BS111" s="576"/>
      <c r="BT111" s="576"/>
      <c r="BU111" s="576"/>
      <c r="BV111" s="576"/>
      <c r="BW111" s="602"/>
      <c r="BX111" s="602"/>
      <c r="BY111" s="602"/>
      <c r="BZ111" s="576"/>
      <c r="CA111" s="602"/>
      <c r="CB111" s="602"/>
      <c r="CC111" s="576"/>
      <c r="CD111" s="576"/>
      <c r="CE111" s="602"/>
      <c r="CF111" s="576"/>
      <c r="CG111" s="576"/>
      <c r="CH111" s="576"/>
      <c r="CI111" s="576"/>
      <c r="CJ111" s="576"/>
      <c r="CK111" s="602"/>
      <c r="CL111" s="602"/>
      <c r="CM111" s="576"/>
      <c r="CN111" s="602"/>
      <c r="CO111" s="602"/>
      <c r="CP111" s="602"/>
      <c r="CQ111" s="576"/>
      <c r="CR111" s="576"/>
      <c r="CS111" s="602"/>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c r="HF111" s="88"/>
      <c r="HG111" s="88"/>
      <c r="HH111" s="88"/>
      <c r="HI111" s="88"/>
      <c r="HJ111" s="88"/>
      <c r="HK111" s="88"/>
      <c r="HL111" s="88"/>
      <c r="HM111" s="88"/>
      <c r="HN111" s="88"/>
      <c r="HO111" s="88"/>
      <c r="HP111" s="88"/>
      <c r="HQ111" s="88"/>
      <c r="HR111" s="88"/>
      <c r="HS111" s="88"/>
      <c r="HT111" s="88"/>
      <c r="HU111" s="88"/>
      <c r="HV111" s="88"/>
      <c r="HW111" s="88"/>
      <c r="HX111" s="88"/>
      <c r="HY111" s="88"/>
      <c r="HZ111" s="88"/>
      <c r="IA111" s="88"/>
      <c r="IB111" s="88"/>
      <c r="IC111" s="88"/>
      <c r="ID111" s="88"/>
      <c r="IE111" s="88"/>
      <c r="IF111" s="88"/>
      <c r="IG111" s="88"/>
      <c r="IH111" s="88"/>
      <c r="II111" s="88"/>
      <c r="IJ111" s="88"/>
      <c r="IK111" s="88"/>
      <c r="IL111" s="88"/>
      <c r="IM111" s="88"/>
      <c r="IN111" s="88"/>
      <c r="IO111" s="88"/>
      <c r="IP111" s="88"/>
      <c r="IQ111" s="88"/>
      <c r="IR111" s="88"/>
      <c r="IS111" s="88"/>
      <c r="IT111" s="88"/>
      <c r="IU111" s="88"/>
      <c r="IV111" s="88"/>
      <c r="IW111" s="88"/>
      <c r="IX111" s="88"/>
      <c r="IY111" s="88"/>
      <c r="IZ111" s="88"/>
      <c r="JA111" s="88"/>
      <c r="JB111" s="88"/>
      <c r="JC111" s="88"/>
      <c r="JD111" s="88"/>
      <c r="JE111" s="88"/>
      <c r="JF111" s="88"/>
      <c r="JG111" s="88"/>
      <c r="JH111" s="88"/>
      <c r="JI111" s="88"/>
      <c r="JJ111" s="88"/>
      <c r="JK111" s="88"/>
      <c r="JL111" s="88"/>
      <c r="JM111" s="88"/>
      <c r="JN111" s="88"/>
      <c r="JO111" s="88"/>
      <c r="JP111" s="88"/>
      <c r="JQ111" s="88"/>
      <c r="JR111" s="88"/>
      <c r="JS111" s="88"/>
      <c r="JT111" s="88"/>
      <c r="JU111" s="88"/>
      <c r="JV111" s="88"/>
      <c r="JW111" s="88"/>
      <c r="JX111" s="88"/>
      <c r="JY111" s="88"/>
      <c r="JZ111" s="88"/>
      <c r="KA111" s="88"/>
      <c r="KB111" s="88"/>
      <c r="KC111" s="88"/>
      <c r="KD111" s="88"/>
      <c r="KE111" s="88"/>
      <c r="KF111" s="88"/>
      <c r="KG111" s="88"/>
      <c r="KH111" s="88"/>
      <c r="KI111" s="88"/>
      <c r="KJ111" s="88"/>
      <c r="KK111" s="88"/>
      <c r="KL111" s="88"/>
      <c r="KM111" s="88"/>
      <c r="KN111" s="88"/>
      <c r="KO111" s="88"/>
      <c r="KP111" s="88"/>
      <c r="KQ111" s="88"/>
      <c r="KR111" s="88"/>
      <c r="KS111" s="88"/>
      <c r="KT111" s="88"/>
      <c r="KU111" s="88"/>
      <c r="KV111" s="88"/>
      <c r="KW111" s="88"/>
      <c r="KX111" s="88"/>
      <c r="KY111" s="88"/>
      <c r="KZ111" s="88"/>
      <c r="LA111" s="88"/>
      <c r="LB111" s="88"/>
      <c r="LC111" s="88"/>
      <c r="LD111" s="88"/>
      <c r="LE111" s="88"/>
      <c r="LF111" s="88"/>
      <c r="LG111" s="88"/>
      <c r="LH111" s="88"/>
      <c r="LI111" s="88"/>
      <c r="LJ111" s="88"/>
      <c r="LK111" s="88"/>
      <c r="LL111" s="88"/>
      <c r="LM111" s="88"/>
      <c r="LN111" s="88"/>
      <c r="LO111" s="88"/>
      <c r="LP111" s="88"/>
      <c r="LQ111" s="88"/>
      <c r="LR111" s="88"/>
      <c r="LS111" s="88"/>
      <c r="LT111" s="88"/>
      <c r="LU111" s="88"/>
      <c r="LV111" s="88"/>
      <c r="LW111" s="88"/>
      <c r="LX111" s="88"/>
      <c r="LY111" s="88"/>
      <c r="LZ111" s="88"/>
      <c r="MA111" s="88"/>
      <c r="MB111" s="88"/>
      <c r="MC111" s="88"/>
      <c r="MD111" s="88"/>
      <c r="ME111" s="88"/>
      <c r="MF111" s="88"/>
      <c r="MG111" s="88"/>
      <c r="MH111" s="88"/>
      <c r="MI111" s="88"/>
      <c r="MJ111" s="88"/>
      <c r="MK111" s="88"/>
      <c r="ML111" s="88"/>
      <c r="MM111" s="88"/>
      <c r="MN111" s="88"/>
      <c r="MO111" s="88"/>
      <c r="MP111" s="88"/>
      <c r="MQ111" s="88"/>
      <c r="MR111" s="88"/>
      <c r="MS111" s="88"/>
      <c r="MT111" s="88"/>
      <c r="MU111" s="88"/>
      <c r="MV111" s="88"/>
      <c r="MW111" s="88"/>
      <c r="MX111" s="88"/>
      <c r="MY111" s="88"/>
      <c r="MZ111" s="88"/>
      <c r="NA111" s="88"/>
      <c r="NB111" s="88"/>
      <c r="NC111" s="88"/>
      <c r="ND111" s="88"/>
      <c r="NE111" s="88"/>
      <c r="NF111" s="88"/>
      <c r="NG111" s="88"/>
      <c r="NH111" s="88"/>
      <c r="NI111" s="88"/>
      <c r="NJ111" s="88"/>
      <c r="NK111" s="88"/>
      <c r="NL111" s="88"/>
      <c r="NM111" s="88"/>
      <c r="NN111" s="88"/>
      <c r="NO111" s="88"/>
      <c r="NP111" s="88"/>
      <c r="NQ111" s="88"/>
      <c r="NR111" s="88"/>
      <c r="NS111" s="88"/>
      <c r="NT111" s="88"/>
      <c r="NU111" s="88"/>
      <c r="NV111" s="88"/>
      <c r="NW111" s="88"/>
      <c r="NX111" s="88"/>
      <c r="NY111" s="88"/>
      <c r="NZ111" s="88"/>
      <c r="OA111" s="88"/>
      <c r="OB111" s="88"/>
      <c r="OC111" s="88"/>
      <c r="OD111" s="88"/>
      <c r="OE111" s="88"/>
      <c r="OF111" s="88"/>
      <c r="OG111" s="88"/>
      <c r="OH111" s="88"/>
      <c r="OI111" s="88"/>
      <c r="OJ111" s="88"/>
      <c r="OK111" s="88"/>
      <c r="OL111" s="88"/>
      <c r="OM111" s="88"/>
      <c r="ON111" s="88"/>
      <c r="OO111" s="88"/>
      <c r="OP111" s="88"/>
      <c r="OQ111" s="88"/>
      <c r="OR111" s="88"/>
      <c r="OS111" s="88"/>
      <c r="OT111" s="88"/>
      <c r="OU111" s="88"/>
      <c r="OV111" s="88"/>
      <c r="OW111" s="88"/>
      <c r="OX111" s="88"/>
      <c r="OY111" s="88"/>
      <c r="OZ111" s="88"/>
      <c r="PA111" s="88"/>
      <c r="PB111" s="88"/>
      <c r="PC111" s="88"/>
      <c r="PD111" s="88"/>
      <c r="PE111" s="88"/>
      <c r="PF111" s="88"/>
      <c r="PG111" s="88"/>
      <c r="PH111" s="88"/>
      <c r="PI111" s="88"/>
      <c r="PJ111" s="88"/>
      <c r="PK111" s="88"/>
      <c r="PL111" s="88"/>
      <c r="PM111" s="88"/>
      <c r="PN111" s="88"/>
      <c r="PO111" s="88"/>
      <c r="PP111" s="88"/>
      <c r="PQ111" s="88"/>
      <c r="PR111" s="88"/>
      <c r="PS111" s="88"/>
      <c r="PT111" s="88"/>
      <c r="PU111" s="88"/>
      <c r="PV111" s="88"/>
      <c r="PW111" s="88"/>
      <c r="PX111" s="88"/>
      <c r="PY111" s="88"/>
      <c r="PZ111" s="88"/>
      <c r="QA111" s="88"/>
      <c r="QB111" s="88"/>
      <c r="QC111" s="88"/>
      <c r="QD111" s="88"/>
      <c r="QE111" s="88"/>
      <c r="QF111" s="88"/>
      <c r="QG111" s="88"/>
      <c r="QH111" s="88"/>
      <c r="QI111" s="88"/>
      <c r="QJ111" s="88"/>
      <c r="QK111" s="88"/>
      <c r="QL111" s="88"/>
      <c r="QM111" s="88"/>
      <c r="QN111" s="88"/>
      <c r="QO111" s="88"/>
      <c r="QP111" s="88"/>
      <c r="QQ111" s="88"/>
      <c r="QR111" s="88"/>
      <c r="QS111" s="88"/>
      <c r="QT111" s="88"/>
      <c r="QU111" s="88"/>
      <c r="QV111" s="88"/>
      <c r="QW111" s="88"/>
      <c r="QX111" s="88"/>
      <c r="QY111" s="88"/>
      <c r="QZ111" s="88"/>
      <c r="RA111" s="88"/>
      <c r="RB111" s="88"/>
      <c r="RC111" s="88"/>
      <c r="RD111" s="88"/>
      <c r="RE111" s="88"/>
      <c r="RF111" s="88"/>
      <c r="RG111" s="88"/>
      <c r="RH111" s="88"/>
      <c r="RI111" s="88"/>
      <c r="RJ111" s="88"/>
      <c r="RK111" s="88"/>
      <c r="RL111" s="88"/>
      <c r="RM111" s="88"/>
      <c r="RN111" s="88"/>
      <c r="RO111" s="88"/>
      <c r="RP111" s="88"/>
      <c r="RQ111" s="88"/>
      <c r="RR111" s="88"/>
      <c r="RS111" s="88"/>
      <c r="RT111" s="88"/>
      <c r="RU111" s="88"/>
      <c r="RV111" s="88"/>
      <c r="RW111" s="88"/>
      <c r="RX111" s="88"/>
      <c r="RY111" s="88"/>
      <c r="RZ111" s="88"/>
      <c r="SA111" s="88"/>
      <c r="SB111" s="88"/>
      <c r="SC111" s="88"/>
      <c r="SD111" s="88"/>
      <c r="SE111" s="88"/>
      <c r="SF111" s="88"/>
      <c r="SG111" s="88"/>
      <c r="SH111" s="88"/>
      <c r="SI111" s="88"/>
      <c r="SJ111" s="88"/>
      <c r="SK111" s="88"/>
      <c r="SL111" s="88"/>
      <c r="SM111" s="88"/>
      <c r="SN111" s="88"/>
      <c r="SO111" s="88"/>
      <c r="SP111" s="88"/>
      <c r="SQ111" s="88"/>
      <c r="SR111" s="88"/>
      <c r="SS111" s="88"/>
      <c r="ST111" s="88"/>
      <c r="SU111" s="88"/>
      <c r="SV111" s="88"/>
      <c r="SW111" s="88"/>
      <c r="SX111" s="88"/>
      <c r="SY111" s="88"/>
      <c r="SZ111" s="88"/>
      <c r="TA111" s="88"/>
      <c r="TB111" s="88"/>
      <c r="TC111" s="88"/>
      <c r="TD111" s="88"/>
      <c r="TE111" s="88"/>
      <c r="TF111" s="88"/>
      <c r="TG111" s="88"/>
      <c r="TH111" s="88"/>
      <c r="TI111" s="88"/>
      <c r="TJ111" s="88"/>
      <c r="TK111" s="88"/>
      <c r="TL111" s="88"/>
      <c r="TM111" s="88"/>
      <c r="TN111" s="88"/>
      <c r="TO111" s="88"/>
      <c r="TP111" s="88"/>
      <c r="TQ111" s="88"/>
      <c r="TR111" s="88"/>
      <c r="TS111" s="88"/>
      <c r="TT111" s="88"/>
      <c r="TU111" s="88"/>
      <c r="TV111" s="88"/>
      <c r="TW111" s="88"/>
      <c r="TX111" s="88"/>
      <c r="TY111" s="88"/>
      <c r="TZ111" s="88"/>
      <c r="UA111" s="88"/>
      <c r="UB111" s="88"/>
      <c r="UC111" s="88"/>
      <c r="UD111" s="88"/>
      <c r="UE111" s="88"/>
      <c r="UF111" s="88"/>
      <c r="UG111" s="88"/>
      <c r="UH111" s="88"/>
      <c r="UI111" s="88"/>
      <c r="UJ111" s="88"/>
      <c r="UK111" s="88"/>
      <c r="UL111" s="88"/>
      <c r="UM111" s="88"/>
      <c r="UN111" s="88"/>
      <c r="UO111" s="88"/>
      <c r="UP111" s="88"/>
      <c r="UQ111" s="88"/>
      <c r="UR111" s="88"/>
      <c r="US111" s="88"/>
      <c r="UT111" s="88"/>
      <c r="UU111" s="88"/>
      <c r="UV111" s="88"/>
      <c r="UW111" s="88"/>
      <c r="UX111" s="88"/>
      <c r="UY111" s="88"/>
      <c r="UZ111" s="88"/>
      <c r="VA111" s="88"/>
      <c r="VB111" s="88"/>
      <c r="VC111" s="88"/>
      <c r="VD111" s="88"/>
      <c r="VE111" s="88"/>
      <c r="VF111" s="88"/>
      <c r="VG111" s="88"/>
      <c r="VH111" s="88"/>
      <c r="VI111" s="88"/>
      <c r="VJ111" s="88"/>
      <c r="VK111" s="88"/>
      <c r="VL111" s="88"/>
      <c r="VM111" s="88"/>
      <c r="VN111" s="88"/>
      <c r="VO111" s="88"/>
      <c r="VP111" s="88"/>
      <c r="VQ111" s="88"/>
      <c r="VR111" s="88"/>
      <c r="VS111" s="88"/>
      <c r="VT111" s="88"/>
      <c r="VU111" s="88"/>
      <c r="VV111" s="88"/>
      <c r="VW111" s="88"/>
      <c r="VX111" s="88"/>
      <c r="VY111" s="88"/>
      <c r="VZ111" s="88"/>
      <c r="WA111" s="88"/>
      <c r="WB111" s="88"/>
      <c r="WC111" s="88"/>
      <c r="WD111" s="88"/>
      <c r="WE111" s="88"/>
      <c r="WF111" s="88"/>
      <c r="WG111" s="88"/>
      <c r="WH111" s="88"/>
      <c r="WI111" s="88"/>
      <c r="WJ111" s="88"/>
      <c r="WK111" s="88"/>
      <c r="WL111" s="88"/>
      <c r="WM111" s="88"/>
      <c r="WN111" s="88"/>
      <c r="WO111" s="88"/>
      <c r="WP111" s="88"/>
      <c r="WQ111" s="88"/>
      <c r="WR111" s="88"/>
      <c r="WS111" s="88"/>
      <c r="WT111" s="88"/>
      <c r="WU111" s="88"/>
      <c r="WV111" s="88"/>
      <c r="WW111" s="88"/>
      <c r="WX111" s="88"/>
      <c r="WY111" s="88"/>
      <c r="WZ111" s="88"/>
      <c r="XA111" s="88"/>
      <c r="XB111" s="88"/>
      <c r="XC111" s="88"/>
      <c r="XD111" s="88"/>
      <c r="XE111" s="88"/>
      <c r="XF111" s="88"/>
      <c r="XG111" s="88"/>
      <c r="XH111" s="88"/>
      <c r="XI111" s="88"/>
      <c r="XJ111" s="88"/>
      <c r="XK111" s="88"/>
      <c r="XL111" s="88"/>
      <c r="XM111" s="88"/>
      <c r="XN111" s="88"/>
      <c r="XO111" s="88"/>
      <c r="XP111" s="88"/>
      <c r="XQ111" s="88"/>
      <c r="XR111" s="88"/>
      <c r="XS111" s="88"/>
      <c r="XT111" s="88"/>
      <c r="XU111" s="88"/>
      <c r="XV111" s="88"/>
      <c r="XW111" s="88"/>
      <c r="XX111" s="88"/>
      <c r="XY111" s="88"/>
      <c r="XZ111" s="88"/>
      <c r="YA111" s="88"/>
      <c r="YB111" s="88"/>
      <c r="YC111" s="88"/>
      <c r="YD111" s="88"/>
      <c r="YE111" s="88"/>
      <c r="YF111" s="88"/>
      <c r="YG111" s="88"/>
      <c r="YH111" s="88"/>
      <c r="YI111" s="88"/>
      <c r="YJ111" s="88"/>
      <c r="YK111" s="88"/>
      <c r="YL111" s="88"/>
      <c r="YM111" s="88"/>
      <c r="YN111" s="88"/>
      <c r="YO111" s="88"/>
      <c r="YP111" s="88"/>
      <c r="YQ111" s="88"/>
      <c r="YR111" s="88"/>
      <c r="YS111" s="88"/>
      <c r="YT111" s="88"/>
      <c r="YU111" s="88"/>
      <c r="YV111" s="88"/>
      <c r="YW111" s="88"/>
      <c r="YX111" s="88"/>
      <c r="YY111" s="88"/>
      <c r="YZ111" s="88"/>
      <c r="ZA111" s="88"/>
      <c r="ZB111" s="88"/>
      <c r="ZC111" s="88"/>
      <c r="ZD111" s="88"/>
      <c r="ZE111" s="88"/>
      <c r="ZF111" s="88"/>
      <c r="ZG111" s="88"/>
      <c r="ZH111" s="88"/>
      <c r="ZI111" s="88"/>
      <c r="ZJ111" s="88"/>
      <c r="ZK111" s="88"/>
      <c r="ZL111" s="88"/>
      <c r="ZM111" s="88"/>
      <c r="ZN111" s="88"/>
      <c r="ZO111" s="88"/>
      <c r="ZP111" s="88"/>
      <c r="ZQ111" s="88"/>
      <c r="ZR111" s="88"/>
      <c r="ZS111" s="88"/>
      <c r="ZT111" s="88"/>
      <c r="ZU111" s="88"/>
      <c r="ZV111" s="88"/>
      <c r="ZW111" s="88"/>
      <c r="ZX111" s="88"/>
      <c r="ZY111" s="88"/>
      <c r="ZZ111" s="88"/>
      <c r="AAA111" s="88"/>
      <c r="AAB111" s="88"/>
      <c r="AAC111" s="88"/>
      <c r="AAD111" s="88"/>
      <c r="AAE111" s="88"/>
      <c r="AAF111" s="88"/>
      <c r="AAG111" s="88"/>
      <c r="AAH111" s="88"/>
      <c r="AAI111" s="88"/>
      <c r="AAJ111" s="88"/>
      <c r="AAK111" s="88"/>
      <c r="AAL111" s="88"/>
      <c r="AAM111" s="88"/>
      <c r="AAN111" s="88"/>
      <c r="AAO111" s="88"/>
      <c r="AAP111" s="88"/>
      <c r="AAQ111" s="88"/>
      <c r="AAR111" s="88"/>
      <c r="AAS111" s="88"/>
      <c r="AAT111" s="88"/>
      <c r="AAU111" s="88"/>
      <c r="AAV111" s="88"/>
      <c r="AAW111" s="88"/>
      <c r="AAX111" s="88"/>
      <c r="AAY111" s="88"/>
      <c r="AAZ111" s="88"/>
      <c r="ABA111" s="88"/>
      <c r="ABB111" s="88"/>
      <c r="ABC111" s="88"/>
      <c r="ABD111" s="88"/>
      <c r="ABE111" s="88"/>
      <c r="ABF111" s="88"/>
      <c r="ABG111" s="88"/>
      <c r="ABH111" s="88"/>
      <c r="ABI111" s="88"/>
      <c r="ABJ111" s="88"/>
      <c r="ABK111" s="88"/>
      <c r="ABL111" s="88"/>
      <c r="ABM111" s="88"/>
      <c r="ABN111" s="88"/>
      <c r="ABO111" s="88"/>
      <c r="ABP111" s="88"/>
      <c r="ABQ111" s="88"/>
      <c r="ABR111" s="88"/>
      <c r="ABS111" s="88"/>
      <c r="ABT111" s="88"/>
      <c r="ABU111" s="88"/>
      <c r="ABV111" s="88"/>
      <c r="ABW111" s="88"/>
      <c r="ABX111" s="88"/>
      <c r="ABY111" s="88"/>
      <c r="ABZ111" s="88"/>
      <c r="ACA111" s="88"/>
      <c r="ACB111" s="88"/>
      <c r="ACC111" s="88"/>
      <c r="ACD111" s="88"/>
      <c r="ACE111" s="88"/>
      <c r="ACF111" s="88"/>
      <c r="ACG111" s="88"/>
      <c r="ACH111" s="88"/>
      <c r="ACI111" s="88"/>
      <c r="ACJ111" s="88"/>
      <c r="ACK111" s="88"/>
      <c r="ACL111" s="88"/>
      <c r="ACM111" s="88"/>
      <c r="ACN111" s="88"/>
      <c r="ACO111" s="88"/>
      <c r="ACP111" s="88"/>
      <c r="ACQ111" s="88"/>
      <c r="ACR111" s="88"/>
      <c r="ACS111" s="88"/>
      <c r="ACT111" s="88"/>
      <c r="ACU111" s="88"/>
      <c r="ACV111" s="88"/>
      <c r="ACW111" s="88"/>
      <c r="ACX111" s="88"/>
      <c r="ACY111" s="88"/>
      <c r="ACZ111" s="88"/>
      <c r="ADA111" s="88"/>
      <c r="ADB111" s="88"/>
      <c r="ADC111" s="88"/>
      <c r="ADD111" s="88"/>
      <c r="ADE111" s="88"/>
      <c r="ADF111" s="88"/>
      <c r="ADG111" s="88"/>
      <c r="ADH111" s="88"/>
      <c r="ADI111" s="88"/>
      <c r="ADJ111" s="88"/>
      <c r="ADK111" s="88"/>
      <c r="ADL111" s="88"/>
      <c r="ADM111" s="88"/>
      <c r="ADN111" s="88"/>
      <c r="ADO111" s="88"/>
      <c r="ADP111" s="88"/>
      <c r="ADQ111" s="88"/>
      <c r="ADR111" s="88"/>
      <c r="ADS111" s="88"/>
      <c r="ADT111" s="88"/>
      <c r="ADU111" s="88"/>
      <c r="ADV111" s="88"/>
      <c r="ADW111" s="88"/>
      <c r="ADX111" s="88"/>
      <c r="ADY111" s="88"/>
      <c r="ADZ111" s="88"/>
      <c r="AEA111" s="88"/>
      <c r="AEB111" s="88"/>
      <c r="AEC111" s="88"/>
      <c r="AED111" s="88"/>
      <c r="AEE111" s="88"/>
      <c r="AEF111" s="88"/>
      <c r="AEG111" s="88"/>
      <c r="AEH111" s="88"/>
      <c r="AEI111" s="88"/>
      <c r="AEJ111" s="88"/>
      <c r="AEK111" s="88"/>
      <c r="AEL111" s="88"/>
      <c r="AEM111" s="88"/>
      <c r="AEN111" s="88"/>
      <c r="AEO111" s="88"/>
      <c r="AEP111" s="88"/>
      <c r="AEQ111" s="88"/>
      <c r="AER111" s="88"/>
      <c r="AES111" s="88"/>
      <c r="AET111" s="88"/>
      <c r="AEU111" s="88"/>
      <c r="AEV111" s="88"/>
      <c r="AEW111" s="88"/>
      <c r="AEX111" s="88"/>
      <c r="AEY111" s="88"/>
      <c r="AEZ111" s="88"/>
      <c r="AFA111" s="88"/>
      <c r="AFB111" s="88"/>
      <c r="AFC111" s="88"/>
      <c r="AFD111" s="88"/>
      <c r="AFE111" s="88"/>
      <c r="AFF111" s="88"/>
      <c r="AFG111" s="88"/>
      <c r="AFH111" s="88"/>
      <c r="AFI111" s="88"/>
      <c r="AFJ111" s="88"/>
      <c r="AFK111" s="88"/>
      <c r="AFL111" s="88"/>
      <c r="AFM111" s="88"/>
      <c r="AFN111" s="88"/>
      <c r="AFO111" s="88"/>
      <c r="AFP111" s="88"/>
      <c r="AFQ111" s="88"/>
      <c r="AFR111" s="88"/>
      <c r="AFS111" s="88"/>
      <c r="AFT111" s="88"/>
      <c r="AFU111" s="88"/>
      <c r="AFV111" s="88"/>
      <c r="AFW111" s="88"/>
      <c r="AFX111" s="88"/>
      <c r="AFY111" s="88"/>
      <c r="AFZ111" s="88"/>
      <c r="AGA111" s="88"/>
      <c r="AGB111" s="88"/>
      <c r="AGC111" s="88"/>
      <c r="AGD111" s="88"/>
      <c r="AGE111" s="88"/>
      <c r="AGF111" s="88"/>
      <c r="AGG111" s="88"/>
      <c r="AGH111" s="88"/>
      <c r="AGI111" s="88"/>
      <c r="AGJ111" s="88"/>
      <c r="AGK111" s="88"/>
      <c r="AGL111" s="88"/>
      <c r="AGM111" s="88"/>
      <c r="AGN111" s="88"/>
      <c r="AGO111" s="88"/>
      <c r="AGP111" s="88"/>
      <c r="AGQ111" s="88"/>
      <c r="AGR111" s="88"/>
      <c r="AGS111" s="88"/>
      <c r="AGT111" s="88"/>
      <c r="AGU111" s="88"/>
      <c r="AGV111" s="88"/>
      <c r="AGW111" s="88"/>
      <c r="AGX111" s="88"/>
      <c r="AGY111" s="88"/>
      <c r="AGZ111" s="88"/>
      <c r="AHA111" s="88"/>
      <c r="AHB111" s="88"/>
      <c r="AHC111" s="88"/>
      <c r="AHD111" s="88"/>
      <c r="AHE111" s="88"/>
      <c r="AHF111" s="88"/>
      <c r="AHG111" s="88"/>
      <c r="AHH111" s="88"/>
      <c r="AHI111" s="88"/>
      <c r="AHJ111" s="88"/>
      <c r="AHK111" s="88"/>
      <c r="AHL111" s="88"/>
      <c r="AHM111" s="88"/>
      <c r="AHN111" s="88"/>
      <c r="AHO111" s="88"/>
      <c r="AHP111" s="88"/>
      <c r="AHQ111" s="88"/>
      <c r="AHR111" s="88"/>
      <c r="AHS111" s="88"/>
      <c r="AHT111" s="88"/>
      <c r="AHU111" s="88"/>
      <c r="AHV111" s="88"/>
      <c r="AHW111" s="88"/>
      <c r="AHX111" s="88"/>
      <c r="AHY111" s="88"/>
      <c r="AHZ111" s="88"/>
      <c r="AIA111" s="88"/>
      <c r="AIB111" s="88"/>
      <c r="AIC111" s="88"/>
      <c r="AID111" s="88"/>
      <c r="AIE111" s="88"/>
      <c r="AIF111" s="88"/>
      <c r="AIG111" s="88"/>
      <c r="AIH111" s="88"/>
      <c r="AII111" s="88"/>
      <c r="AIJ111" s="88"/>
      <c r="AIK111" s="88"/>
      <c r="AIL111" s="88"/>
      <c r="AIM111" s="88"/>
      <c r="AIN111" s="88"/>
      <c r="AIO111" s="88"/>
      <c r="AIP111" s="88"/>
      <c r="AIQ111" s="88"/>
      <c r="AIR111" s="88"/>
      <c r="AIS111" s="88"/>
      <c r="AIT111" s="88"/>
      <c r="AIU111" s="88"/>
      <c r="AIV111" s="88"/>
      <c r="AIW111" s="88"/>
      <c r="AIX111" s="88"/>
      <c r="AIY111" s="88"/>
      <c r="AIZ111" s="88"/>
      <c r="AJA111" s="88"/>
      <c r="AJB111" s="88"/>
      <c r="AJC111" s="88"/>
      <c r="AJD111" s="88"/>
      <c r="AJE111" s="88"/>
      <c r="AJF111" s="88"/>
      <c r="AJG111" s="88"/>
      <c r="AJH111" s="88"/>
      <c r="AJI111" s="88"/>
      <c r="AJJ111" s="88"/>
      <c r="AJK111" s="88"/>
      <c r="AJL111" s="88"/>
      <c r="AJM111" s="88"/>
      <c r="AJN111" s="88"/>
      <c r="AJO111" s="88"/>
      <c r="AJP111" s="88"/>
      <c r="AJQ111" s="88"/>
      <c r="AJR111" s="88"/>
      <c r="AJS111" s="88"/>
      <c r="AJT111" s="88"/>
      <c r="AJU111" s="88"/>
      <c r="AJV111" s="88"/>
      <c r="AJW111" s="88"/>
      <c r="AJX111" s="88"/>
      <c r="AJY111" s="88"/>
      <c r="AJZ111" s="88"/>
      <c r="AKA111" s="88"/>
      <c r="AKB111" s="88"/>
      <c r="AKC111" s="88"/>
      <c r="AKD111" s="88"/>
      <c r="AKE111" s="88"/>
      <c r="AKF111" s="88"/>
      <c r="AKG111" s="88"/>
      <c r="AKH111" s="88"/>
      <c r="AKI111" s="88"/>
      <c r="AKJ111" s="88"/>
      <c r="AKK111" s="88"/>
      <c r="AKL111" s="88"/>
      <c r="AKM111" s="88"/>
      <c r="AKN111" s="88"/>
      <c r="AKO111" s="88"/>
      <c r="AKP111" s="88"/>
      <c r="AKQ111" s="88"/>
      <c r="AKR111" s="88"/>
      <c r="AKS111" s="88"/>
      <c r="AKT111" s="88"/>
      <c r="AKU111" s="88"/>
      <c r="AKV111" s="88"/>
      <c r="AKW111" s="88"/>
      <c r="AKX111" s="88"/>
      <c r="AKY111" s="88"/>
      <c r="AKZ111" s="88"/>
      <c r="ALA111" s="88"/>
      <c r="ALB111" s="88"/>
      <c r="ALC111" s="88"/>
      <c r="ALD111" s="88"/>
      <c r="ALE111" s="88"/>
      <c r="ALF111" s="88"/>
      <c r="ALG111" s="88"/>
      <c r="ALH111" s="88"/>
      <c r="ALI111" s="88"/>
      <c r="ALJ111" s="88"/>
      <c r="ALK111" s="88"/>
      <c r="ALL111" s="88"/>
      <c r="ALM111" s="88"/>
      <c r="ALN111" s="88"/>
      <c r="ALO111" s="88"/>
      <c r="ALP111" s="88"/>
      <c r="ALQ111" s="88"/>
      <c r="ALR111" s="88"/>
      <c r="ALS111" s="88"/>
      <c r="ALT111" s="88"/>
      <c r="ALU111" s="88"/>
      <c r="ALV111" s="88"/>
      <c r="ALW111" s="88"/>
      <c r="ALX111" s="88"/>
      <c r="ALY111" s="88"/>
      <c r="ALZ111" s="88"/>
      <c r="AMA111" s="88"/>
      <c r="AMB111" s="88"/>
      <c r="AMC111" s="88"/>
      <c r="AMD111" s="88"/>
      <c r="AME111" s="88"/>
      <c r="AMF111" s="88"/>
      <c r="AMG111" s="88"/>
      <c r="AMH111" s="88"/>
      <c r="AMI111" s="88"/>
      <c r="AMJ111" s="88"/>
      <c r="AMK111" s="88"/>
      <c r="AML111" s="88"/>
      <c r="AMM111" s="88"/>
      <c r="AMN111" s="88"/>
      <c r="AMO111" s="88"/>
      <c r="AMP111" s="88"/>
      <c r="AMQ111" s="88"/>
      <c r="AMR111" s="88"/>
      <c r="AMS111" s="88"/>
      <c r="AMT111" s="88"/>
      <c r="AMU111" s="88"/>
      <c r="AMV111" s="88"/>
      <c r="AMW111" s="88"/>
      <c r="AMX111" s="88"/>
      <c r="AMY111" s="88"/>
      <c r="AMZ111" s="88"/>
      <c r="ANA111" s="88"/>
      <c r="ANB111" s="88"/>
      <c r="ANC111" s="88"/>
      <c r="AND111" s="88"/>
      <c r="ANE111" s="88"/>
      <c r="ANF111" s="88"/>
      <c r="ANG111" s="88"/>
      <c r="ANH111" s="88"/>
      <c r="ANI111" s="88"/>
      <c r="ANJ111" s="88"/>
      <c r="ANK111" s="88"/>
      <c r="ANL111" s="88"/>
      <c r="ANM111" s="88"/>
      <c r="ANN111" s="88"/>
      <c r="ANO111" s="88"/>
      <c r="ANP111" s="88"/>
      <c r="ANQ111" s="88"/>
      <c r="ANR111" s="88"/>
      <c r="ANS111" s="88"/>
      <c r="ANT111" s="88"/>
      <c r="ANU111" s="88"/>
      <c r="ANV111" s="88"/>
      <c r="ANW111" s="88"/>
      <c r="ANX111" s="88"/>
      <c r="ANY111" s="88"/>
      <c r="ANZ111" s="88"/>
      <c r="AOA111" s="88"/>
      <c r="AOB111" s="88"/>
      <c r="AOC111" s="88"/>
      <c r="AOD111" s="88"/>
      <c r="AOE111" s="88"/>
      <c r="AOF111" s="88"/>
      <c r="AOG111" s="88"/>
      <c r="AOH111" s="88"/>
      <c r="AOI111" s="88"/>
      <c r="AOJ111" s="88"/>
      <c r="AOK111" s="88"/>
      <c r="AOL111" s="88"/>
      <c r="AOM111" s="88"/>
      <c r="AON111" s="88"/>
      <c r="AOO111" s="88"/>
      <c r="AOP111" s="88"/>
      <c r="AOQ111" s="88"/>
      <c r="AOR111" s="88"/>
      <c r="AOS111" s="88"/>
      <c r="AOT111" s="88"/>
      <c r="AOU111" s="88"/>
      <c r="AOV111" s="88"/>
      <c r="AOW111" s="88"/>
      <c r="AOX111" s="88"/>
      <c r="AOY111" s="88"/>
      <c r="AOZ111" s="88"/>
      <c r="APA111" s="88"/>
      <c r="APB111" s="88"/>
      <c r="APC111" s="88"/>
      <c r="APD111" s="88"/>
      <c r="APE111" s="88"/>
      <c r="APF111" s="88"/>
      <c r="APG111" s="88"/>
      <c r="APH111" s="88"/>
      <c r="API111" s="88"/>
      <c r="APJ111" s="88"/>
      <c r="APK111" s="88"/>
      <c r="APL111" s="88"/>
      <c r="APM111" s="88"/>
      <c r="APN111" s="88"/>
      <c r="APO111" s="88"/>
      <c r="APP111" s="88"/>
      <c r="APQ111" s="88"/>
      <c r="APR111" s="88"/>
      <c r="APS111" s="88"/>
      <c r="APT111" s="88"/>
      <c r="APU111" s="88"/>
      <c r="APV111" s="88"/>
      <c r="APW111" s="88"/>
      <c r="APX111" s="88"/>
      <c r="APY111" s="88"/>
      <c r="APZ111" s="88"/>
      <c r="AQA111" s="88"/>
      <c r="AQB111" s="88"/>
      <c r="AQC111" s="88"/>
      <c r="AQD111" s="88"/>
      <c r="AQE111" s="88"/>
      <c r="AQF111" s="88"/>
      <c r="AQG111" s="88"/>
      <c r="AQH111" s="88"/>
      <c r="AQI111" s="88"/>
      <c r="AQJ111" s="88"/>
      <c r="AQK111" s="88"/>
      <c r="AQL111" s="88"/>
      <c r="AQM111" s="88"/>
      <c r="AQN111" s="88"/>
      <c r="AQO111" s="88"/>
      <c r="AQP111" s="88"/>
      <c r="AQQ111" s="88"/>
      <c r="AQR111" s="88"/>
      <c r="AQS111" s="88"/>
      <c r="AQT111" s="88"/>
      <c r="AQU111" s="88"/>
      <c r="AQV111" s="88"/>
      <c r="AQW111" s="88"/>
      <c r="AQX111" s="88"/>
      <c r="AQY111" s="88"/>
      <c r="AQZ111" s="88"/>
      <c r="ARA111" s="88"/>
      <c r="ARB111" s="88"/>
      <c r="ARC111" s="88"/>
      <c r="ARD111" s="88"/>
      <c r="ARE111" s="88"/>
      <c r="ARF111" s="88"/>
      <c r="ARG111" s="88"/>
      <c r="ARH111" s="88"/>
      <c r="ARI111" s="88"/>
      <c r="ARJ111" s="88"/>
      <c r="ARK111" s="88"/>
      <c r="ARL111" s="88"/>
      <c r="ARM111" s="88"/>
      <c r="ARN111" s="88"/>
      <c r="ARO111" s="88"/>
      <c r="ARP111" s="88"/>
      <c r="ARQ111" s="88"/>
      <c r="ARR111" s="88"/>
      <c r="ARS111" s="88"/>
      <c r="ART111" s="88"/>
      <c r="ARU111" s="88"/>
      <c r="ARV111" s="88"/>
      <c r="ARW111" s="88"/>
      <c r="ARX111" s="88"/>
      <c r="ARY111" s="88"/>
      <c r="ARZ111" s="88"/>
      <c r="ASA111" s="88"/>
      <c r="ASB111" s="88"/>
      <c r="ASC111" s="88"/>
      <c r="ASD111" s="88"/>
      <c r="ASE111" s="88"/>
      <c r="ASF111" s="88"/>
      <c r="ASG111" s="88"/>
      <c r="ASH111" s="88"/>
      <c r="ASI111" s="88"/>
      <c r="ASJ111" s="88"/>
      <c r="ASK111" s="88"/>
      <c r="ASL111" s="88"/>
      <c r="ASM111" s="88"/>
      <c r="ASN111" s="88"/>
      <c r="ASO111" s="88"/>
      <c r="ASP111" s="88"/>
      <c r="ASQ111" s="88"/>
      <c r="ASR111" s="88"/>
      <c r="ASS111" s="88"/>
      <c r="AST111" s="88"/>
      <c r="ASU111" s="88"/>
      <c r="ASV111" s="88"/>
      <c r="ASW111" s="88"/>
      <c r="ASX111" s="88"/>
      <c r="ASY111" s="88"/>
      <c r="ASZ111" s="88"/>
      <c r="ATA111" s="88"/>
      <c r="ATB111" s="88"/>
      <c r="ATC111" s="88"/>
      <c r="ATD111" s="88"/>
      <c r="ATE111" s="88"/>
      <c r="ATF111" s="88"/>
      <c r="ATG111" s="88"/>
      <c r="ATH111" s="88"/>
      <c r="ATI111" s="88"/>
      <c r="ATJ111" s="88"/>
      <c r="ATK111" s="88"/>
      <c r="ATL111" s="88"/>
      <c r="ATM111" s="88"/>
      <c r="ATN111" s="88"/>
      <c r="ATO111" s="88"/>
      <c r="ATP111" s="88"/>
      <c r="ATQ111" s="88"/>
      <c r="ATR111" s="88"/>
      <c r="ATS111" s="88"/>
      <c r="ATT111" s="88"/>
      <c r="ATU111" s="88"/>
      <c r="ATV111" s="88"/>
      <c r="ATW111" s="88"/>
      <c r="ATX111" s="88"/>
      <c r="ATY111" s="88"/>
      <c r="ATZ111" s="88"/>
      <c r="AUA111" s="88"/>
      <c r="AUB111" s="88"/>
      <c r="AUC111" s="88"/>
      <c r="AUD111" s="88"/>
      <c r="AUE111" s="88"/>
      <c r="AUF111" s="88"/>
      <c r="AUG111" s="88"/>
      <c r="AUH111" s="88"/>
      <c r="AUI111" s="88"/>
      <c r="AUJ111" s="88"/>
      <c r="AUK111" s="88"/>
      <c r="AUL111" s="88"/>
      <c r="AUM111" s="88"/>
      <c r="AUN111" s="88"/>
      <c r="AUO111" s="88"/>
      <c r="AUP111" s="88"/>
      <c r="AUQ111" s="88"/>
      <c r="AUR111" s="88"/>
      <c r="AUS111" s="88"/>
      <c r="AUT111" s="88"/>
      <c r="AUU111" s="88"/>
      <c r="AUV111" s="88"/>
      <c r="AUW111" s="88"/>
      <c r="AUX111" s="88"/>
      <c r="AUY111" s="88"/>
      <c r="AUZ111" s="88"/>
      <c r="AVA111" s="88"/>
      <c r="AVB111" s="88"/>
      <c r="AVC111" s="88"/>
      <c r="AVD111" s="88"/>
      <c r="AVE111" s="88"/>
      <c r="AVF111" s="88"/>
      <c r="AVG111" s="88"/>
      <c r="AVH111" s="88"/>
      <c r="AVI111" s="88"/>
      <c r="AVJ111" s="88"/>
      <c r="AVK111" s="88"/>
      <c r="AVL111" s="88"/>
      <c r="AVM111" s="88"/>
      <c r="AVN111" s="88"/>
      <c r="AVO111" s="88"/>
      <c r="AVP111" s="88"/>
      <c r="AVQ111" s="88"/>
      <c r="AVR111" s="88"/>
      <c r="AVS111" s="88"/>
      <c r="AVT111" s="88"/>
      <c r="AVU111" s="88"/>
      <c r="AVV111" s="88"/>
      <c r="AVW111" s="88"/>
      <c r="AVX111" s="88"/>
      <c r="AVY111" s="88"/>
      <c r="AVZ111" s="88"/>
      <c r="AWA111" s="88"/>
      <c r="AWB111" s="88"/>
      <c r="AWC111" s="88"/>
      <c r="AWD111" s="88"/>
      <c r="AWE111" s="88"/>
      <c r="AWF111" s="88"/>
      <c r="AWG111" s="88"/>
      <c r="AWH111" s="88"/>
      <c r="AWI111" s="88"/>
      <c r="AWJ111" s="88"/>
      <c r="AWK111" s="88"/>
      <c r="AWL111" s="88"/>
      <c r="AWM111" s="88"/>
      <c r="AWN111" s="88"/>
      <c r="AWO111" s="88"/>
      <c r="AWP111" s="88"/>
      <c r="AWQ111" s="88"/>
      <c r="AWR111" s="88"/>
      <c r="AWS111" s="88"/>
      <c r="AWT111" s="88"/>
      <c r="AWU111" s="88"/>
      <c r="AWV111" s="88"/>
      <c r="AWW111" s="88"/>
      <c r="AWX111" s="88"/>
      <c r="AWY111" s="88"/>
      <c r="AWZ111" s="88"/>
      <c r="AXA111" s="88"/>
      <c r="AXB111" s="88"/>
      <c r="AXC111" s="88"/>
      <c r="AXD111" s="88"/>
      <c r="AXE111" s="88"/>
      <c r="AXF111" s="88"/>
      <c r="AXG111" s="88"/>
      <c r="AXH111" s="88"/>
      <c r="AXI111" s="88"/>
      <c r="AXJ111" s="88"/>
      <c r="AXK111" s="88"/>
      <c r="AXL111" s="88"/>
      <c r="AXM111" s="88"/>
      <c r="AXN111" s="88"/>
      <c r="AXO111" s="88"/>
      <c r="AXP111" s="88"/>
      <c r="AXQ111" s="88"/>
      <c r="AXR111" s="88"/>
      <c r="AXS111" s="88"/>
      <c r="AXT111" s="88"/>
      <c r="AXU111" s="88"/>
      <c r="AXV111" s="88"/>
      <c r="AXW111" s="88"/>
      <c r="AXX111" s="88"/>
      <c r="AXY111" s="88"/>
      <c r="AXZ111" s="88"/>
      <c r="AYA111" s="88"/>
      <c r="AYB111" s="88"/>
      <c r="AYC111" s="88"/>
      <c r="AYD111" s="88"/>
      <c r="AYE111" s="88"/>
      <c r="AYF111" s="88"/>
      <c r="AYG111" s="88"/>
      <c r="AYH111" s="88"/>
      <c r="AYI111" s="88"/>
      <c r="AYJ111" s="88"/>
      <c r="AYK111" s="88"/>
      <c r="AYL111" s="88"/>
      <c r="AYM111" s="88"/>
      <c r="AYN111" s="88"/>
      <c r="AYO111" s="88"/>
      <c r="AYP111" s="88"/>
      <c r="AYQ111" s="88"/>
      <c r="AYR111" s="88"/>
      <c r="AYS111" s="88"/>
      <c r="AYT111" s="88"/>
      <c r="AYU111" s="88"/>
      <c r="AYV111" s="88"/>
      <c r="AYW111" s="88"/>
      <c r="AYX111" s="88"/>
      <c r="AYY111" s="88"/>
      <c r="AYZ111" s="88"/>
      <c r="AZA111" s="88"/>
      <c r="AZB111" s="88"/>
      <c r="AZC111" s="88"/>
      <c r="AZD111" s="88"/>
      <c r="AZE111" s="88"/>
      <c r="AZF111" s="88"/>
      <c r="AZG111" s="88"/>
      <c r="AZH111" s="88"/>
      <c r="AZI111" s="88"/>
      <c r="AZJ111" s="88"/>
      <c r="AZK111" s="88"/>
      <c r="AZL111" s="88"/>
      <c r="AZM111" s="88"/>
      <c r="AZN111" s="88"/>
      <c r="AZO111" s="88"/>
      <c r="AZP111" s="88"/>
      <c r="AZQ111" s="88"/>
      <c r="AZR111" s="88"/>
      <c r="AZS111" s="88"/>
      <c r="AZT111" s="88"/>
      <c r="AZU111" s="88"/>
      <c r="AZV111" s="88"/>
      <c r="AZW111" s="88"/>
      <c r="AZX111" s="88"/>
      <c r="AZY111" s="88"/>
      <c r="AZZ111" s="88"/>
      <c r="BAA111" s="88"/>
      <c r="BAB111" s="88"/>
      <c r="BAC111" s="88"/>
      <c r="BAD111" s="88"/>
      <c r="BAE111" s="88"/>
      <c r="BAF111" s="88"/>
      <c r="BAG111" s="88"/>
      <c r="BAH111" s="88"/>
      <c r="BAI111" s="88"/>
      <c r="BAJ111" s="88"/>
      <c r="BAK111" s="88"/>
      <c r="BAL111" s="88"/>
      <c r="BAM111" s="88"/>
      <c r="BAN111" s="88"/>
      <c r="BAO111" s="88"/>
      <c r="BAP111" s="88"/>
      <c r="BAQ111" s="88"/>
      <c r="BAR111" s="88"/>
      <c r="BAS111" s="88"/>
      <c r="BAT111" s="88"/>
      <c r="BAU111" s="88"/>
      <c r="BAV111" s="88"/>
      <c r="BAW111" s="88"/>
      <c r="BAX111" s="88"/>
      <c r="BAY111" s="88"/>
      <c r="BAZ111" s="88"/>
      <c r="BBA111" s="88"/>
      <c r="BBB111" s="88"/>
      <c r="BBC111" s="88"/>
      <c r="BBD111" s="88"/>
      <c r="BBE111" s="88"/>
      <c r="BBF111" s="88"/>
      <c r="BBG111" s="88"/>
      <c r="BBH111" s="88"/>
      <c r="BBI111" s="88"/>
      <c r="BBJ111" s="88"/>
      <c r="BBK111" s="88"/>
      <c r="BBL111" s="88"/>
      <c r="BBM111" s="88"/>
      <c r="BBN111" s="88"/>
      <c r="BBO111" s="88"/>
      <c r="BBP111" s="88"/>
      <c r="BBQ111" s="88"/>
      <c r="BBR111" s="88"/>
      <c r="BBS111" s="88"/>
      <c r="BBT111" s="88"/>
      <c r="BBU111" s="88"/>
      <c r="BBV111" s="88"/>
      <c r="BBW111" s="88"/>
      <c r="BBX111" s="88"/>
      <c r="BBY111" s="88"/>
      <c r="BBZ111" s="88"/>
      <c r="BCA111" s="88"/>
      <c r="BCB111" s="88"/>
      <c r="BCC111" s="88"/>
      <c r="BCD111" s="88"/>
      <c r="BCE111" s="88"/>
      <c r="BCF111" s="88"/>
      <c r="BCG111" s="88"/>
      <c r="BCH111" s="88"/>
      <c r="BCI111" s="88"/>
      <c r="BCJ111" s="88"/>
      <c r="BCK111" s="88"/>
      <c r="BCL111" s="88"/>
      <c r="BCM111" s="88"/>
      <c r="BCN111" s="88"/>
      <c r="BCO111" s="88"/>
      <c r="BCP111" s="88"/>
      <c r="BCQ111" s="88"/>
      <c r="BCR111" s="88"/>
      <c r="BCS111" s="88"/>
      <c r="BCT111" s="88"/>
      <c r="BCU111" s="88"/>
      <c r="BCV111" s="88"/>
      <c r="BCW111" s="88"/>
      <c r="BCX111" s="88"/>
      <c r="BCY111" s="88"/>
      <c r="BCZ111" s="88"/>
      <c r="BDA111" s="88"/>
      <c r="BDB111" s="88"/>
      <c r="BDC111" s="88"/>
      <c r="BDD111" s="88"/>
      <c r="BDE111" s="88"/>
      <c r="BDF111" s="88"/>
      <c r="BDG111" s="88"/>
      <c r="BDH111" s="88"/>
      <c r="BDI111" s="88"/>
      <c r="BDJ111" s="88"/>
      <c r="BDK111" s="88"/>
      <c r="BDL111" s="88"/>
      <c r="BDM111" s="88"/>
      <c r="BDN111" s="88"/>
      <c r="BDO111" s="88"/>
      <c r="BDP111" s="88"/>
      <c r="BDQ111" s="88"/>
      <c r="BDR111" s="88"/>
      <c r="BDS111" s="88"/>
      <c r="BDT111" s="88"/>
      <c r="BDU111" s="88"/>
      <c r="BDV111" s="88"/>
      <c r="BDW111" s="88"/>
      <c r="BDX111" s="88"/>
      <c r="BDY111" s="88"/>
      <c r="BDZ111" s="88"/>
      <c r="BEA111" s="88"/>
      <c r="BEB111" s="88"/>
      <c r="BEC111" s="88"/>
      <c r="BED111" s="88"/>
      <c r="BEE111" s="88"/>
      <c r="BEF111" s="88"/>
      <c r="BEG111" s="88"/>
      <c r="BEH111" s="88"/>
      <c r="BEI111" s="88"/>
      <c r="BEJ111" s="88"/>
      <c r="BEK111" s="88"/>
      <c r="BEL111" s="88"/>
      <c r="BEM111" s="88"/>
      <c r="BEN111" s="88"/>
      <c r="BEO111" s="88"/>
      <c r="BEP111" s="88"/>
      <c r="BEQ111" s="88"/>
      <c r="BER111" s="88"/>
      <c r="BES111" s="88"/>
      <c r="BET111" s="88"/>
      <c r="BEU111" s="88"/>
      <c r="BEV111" s="88"/>
      <c r="BEW111" s="88"/>
      <c r="BEX111" s="88"/>
      <c r="BEY111" s="88"/>
      <c r="BEZ111" s="88"/>
      <c r="BFA111" s="88"/>
      <c r="BFB111" s="88"/>
      <c r="BFC111" s="88"/>
      <c r="BFD111" s="88"/>
      <c r="BFE111" s="88"/>
      <c r="BFF111" s="88"/>
      <c r="BFG111" s="88"/>
      <c r="BFH111" s="88"/>
      <c r="BFI111" s="88"/>
      <c r="BFJ111" s="88"/>
      <c r="BFK111" s="88"/>
      <c r="BFL111" s="88"/>
      <c r="BFM111" s="88"/>
      <c r="BFN111" s="88"/>
      <c r="BFO111" s="88"/>
      <c r="BFP111" s="88"/>
      <c r="BFQ111" s="88"/>
      <c r="BFR111" s="88"/>
      <c r="BFS111" s="88"/>
      <c r="BFT111" s="88"/>
      <c r="BFU111" s="88"/>
      <c r="BFV111" s="88"/>
      <c r="BFW111" s="88"/>
      <c r="BFX111" s="88"/>
      <c r="BFY111" s="88"/>
      <c r="BFZ111" s="88"/>
      <c r="BGA111" s="88"/>
      <c r="BGB111" s="88"/>
      <c r="BGC111" s="88"/>
      <c r="BGD111" s="88"/>
      <c r="BGE111" s="88"/>
      <c r="BGF111" s="88"/>
      <c r="BGG111" s="88"/>
      <c r="BGH111" s="88"/>
      <c r="BGI111" s="88"/>
      <c r="BGJ111" s="88"/>
      <c r="BGK111" s="88"/>
      <c r="BGL111" s="88"/>
      <c r="BGM111" s="88"/>
      <c r="BGN111" s="88"/>
      <c r="BGO111" s="88"/>
      <c r="BGP111" s="88"/>
      <c r="BGQ111" s="88"/>
      <c r="BGR111" s="88"/>
      <c r="BGS111" s="88"/>
      <c r="BGT111" s="88"/>
      <c r="BGU111" s="88"/>
      <c r="BGV111" s="88"/>
      <c r="BGW111" s="88"/>
      <c r="BGX111" s="88"/>
      <c r="BGY111" s="88"/>
      <c r="BGZ111" s="88"/>
      <c r="BHA111" s="88"/>
      <c r="BHB111" s="88"/>
      <c r="BHC111" s="88"/>
      <c r="BHD111" s="88"/>
      <c r="BHE111" s="88"/>
      <c r="BHF111" s="88"/>
      <c r="BHG111" s="88"/>
      <c r="BHH111" s="88"/>
      <c r="BHI111" s="88"/>
      <c r="BHJ111" s="88"/>
      <c r="BHK111" s="88"/>
      <c r="BHL111" s="88"/>
      <c r="BHM111" s="88"/>
      <c r="BHN111" s="88"/>
      <c r="BHO111" s="88"/>
      <c r="BHP111" s="88"/>
      <c r="BHQ111" s="88"/>
      <c r="BHR111" s="88"/>
      <c r="BHS111" s="88"/>
      <c r="BHT111" s="88"/>
      <c r="BHU111" s="88"/>
      <c r="BHV111" s="88"/>
      <c r="BHW111" s="88"/>
      <c r="BHX111" s="88"/>
      <c r="BHY111" s="88"/>
      <c r="BHZ111" s="88"/>
      <c r="BIA111" s="88"/>
      <c r="BIB111" s="88"/>
      <c r="BIC111" s="88"/>
      <c r="BID111" s="88"/>
      <c r="BIE111" s="88"/>
      <c r="BIF111" s="88"/>
      <c r="BIG111" s="88"/>
      <c r="BIH111" s="88"/>
      <c r="BII111" s="88"/>
      <c r="BIJ111" s="88"/>
      <c r="BIK111" s="88"/>
      <c r="BIL111" s="88"/>
      <c r="BIM111" s="88"/>
      <c r="BIN111" s="88"/>
      <c r="BIO111" s="88"/>
      <c r="BIP111" s="88"/>
      <c r="BIQ111" s="88"/>
      <c r="BIR111" s="88"/>
      <c r="BIS111" s="88"/>
      <c r="BIT111" s="88"/>
      <c r="BIU111" s="88"/>
      <c r="BIV111" s="88"/>
      <c r="BIW111" s="88"/>
      <c r="BIX111" s="88"/>
      <c r="BIY111" s="88"/>
      <c r="BIZ111" s="88"/>
      <c r="BJA111" s="88"/>
      <c r="BJB111" s="88"/>
      <c r="BJC111" s="88"/>
      <c r="BJD111" s="88"/>
      <c r="BJE111" s="88"/>
      <c r="BJF111" s="88"/>
      <c r="BJG111" s="88"/>
      <c r="BJH111" s="88"/>
      <c r="BJI111" s="88"/>
      <c r="BJJ111" s="88"/>
      <c r="BJK111" s="88"/>
      <c r="BJL111" s="88"/>
      <c r="BJM111" s="88"/>
      <c r="BJN111" s="88"/>
      <c r="BJO111" s="88"/>
      <c r="BJP111" s="88"/>
      <c r="BJQ111" s="88"/>
      <c r="BJR111" s="88"/>
      <c r="BJS111" s="88"/>
      <c r="BJT111" s="88"/>
      <c r="BJU111" s="88"/>
      <c r="BJV111" s="88"/>
      <c r="BJW111" s="88"/>
      <c r="BJX111" s="88"/>
      <c r="BJY111" s="88"/>
      <c r="BJZ111" s="88"/>
      <c r="BKA111" s="88"/>
      <c r="BKB111" s="88"/>
      <c r="BKC111" s="88"/>
      <c r="BKD111" s="88"/>
      <c r="BKE111" s="88"/>
      <c r="BKF111" s="88"/>
      <c r="BKG111" s="88"/>
      <c r="BKH111" s="88"/>
      <c r="BKI111" s="88"/>
      <c r="BKJ111" s="88"/>
      <c r="BKK111" s="88"/>
      <c r="BKL111" s="88"/>
      <c r="BKM111" s="88"/>
      <c r="BKN111" s="88"/>
      <c r="BKO111" s="88"/>
      <c r="BKP111" s="88"/>
      <c r="BKQ111" s="88"/>
      <c r="BKR111" s="88"/>
      <c r="BKS111" s="88"/>
      <c r="BKT111" s="88"/>
      <c r="BKU111" s="88"/>
      <c r="BKV111" s="88"/>
      <c r="BKW111" s="88"/>
      <c r="BKX111" s="88"/>
      <c r="BKY111" s="88"/>
      <c r="BKZ111" s="88"/>
      <c r="BLA111" s="88"/>
      <c r="BLB111" s="88"/>
      <c r="BLC111" s="88"/>
      <c r="BLD111" s="88"/>
      <c r="BLE111" s="88"/>
      <c r="BLF111" s="88"/>
      <c r="BLG111" s="88"/>
      <c r="BLH111" s="88"/>
      <c r="BLI111" s="88"/>
      <c r="BLJ111" s="88"/>
      <c r="BLK111" s="88"/>
      <c r="BLL111" s="88"/>
      <c r="BLM111" s="88"/>
      <c r="BLN111" s="88"/>
      <c r="BLO111" s="88"/>
      <c r="BLP111" s="88"/>
      <c r="BLQ111" s="88"/>
      <c r="BLR111" s="88"/>
      <c r="BLS111" s="88"/>
      <c r="BLT111" s="88"/>
      <c r="BLU111" s="88"/>
      <c r="BLV111" s="88"/>
      <c r="BLW111" s="88"/>
      <c r="BLX111" s="88"/>
      <c r="BLY111" s="88"/>
      <c r="BLZ111" s="88"/>
      <c r="BMA111" s="88"/>
      <c r="BMB111" s="88"/>
      <c r="BMC111" s="88"/>
      <c r="BMD111" s="88"/>
      <c r="BME111" s="88"/>
      <c r="BMF111" s="88"/>
      <c r="BMG111" s="88"/>
      <c r="BMH111" s="88"/>
      <c r="BMI111" s="88"/>
      <c r="BMJ111" s="88"/>
      <c r="BMK111" s="88"/>
      <c r="BML111" s="88"/>
      <c r="BMM111" s="88"/>
      <c r="BMN111" s="88"/>
      <c r="BMO111" s="88"/>
      <c r="BMP111" s="88"/>
      <c r="BMQ111" s="88"/>
      <c r="BMR111" s="88"/>
      <c r="BMS111" s="88"/>
      <c r="BMT111" s="88"/>
      <c r="BMU111" s="88"/>
      <c r="BMV111" s="88"/>
      <c r="BMW111" s="88"/>
      <c r="BMX111" s="88"/>
      <c r="BMY111" s="88"/>
      <c r="BMZ111" s="88"/>
      <c r="BNA111" s="88"/>
      <c r="BNB111" s="88"/>
      <c r="BNC111" s="88"/>
      <c r="BND111" s="88"/>
      <c r="BNE111" s="88"/>
      <c r="BNF111" s="88"/>
      <c r="BNG111" s="88"/>
      <c r="BNH111" s="88"/>
      <c r="BNI111" s="88"/>
      <c r="BNJ111" s="88"/>
      <c r="BNK111" s="88"/>
      <c r="BNL111" s="88"/>
      <c r="BNM111" s="88"/>
      <c r="BNN111" s="88"/>
      <c r="BNO111" s="88"/>
      <c r="BNP111" s="88"/>
      <c r="BNQ111" s="88"/>
      <c r="BNR111" s="88"/>
      <c r="BNS111" s="88"/>
      <c r="BNT111" s="88"/>
      <c r="BNU111" s="88"/>
      <c r="BNV111" s="88"/>
      <c r="BNW111" s="88"/>
      <c r="BNX111" s="88"/>
      <c r="BNY111" s="88"/>
      <c r="BNZ111" s="88"/>
      <c r="BOA111" s="88"/>
      <c r="BOB111" s="88"/>
      <c r="BOC111" s="88"/>
      <c r="BOD111" s="88"/>
      <c r="BOE111" s="88"/>
      <c r="BOF111" s="88"/>
      <c r="BOG111" s="88"/>
      <c r="BOH111" s="88"/>
      <c r="BOI111" s="88"/>
      <c r="BOJ111" s="88"/>
      <c r="BOK111" s="88"/>
      <c r="BOL111" s="88"/>
      <c r="BOM111" s="88"/>
      <c r="BON111" s="88"/>
      <c r="BOO111" s="88"/>
      <c r="BOP111" s="88"/>
      <c r="BOQ111" s="88"/>
      <c r="BOR111" s="88"/>
      <c r="BOS111" s="88"/>
      <c r="BOT111" s="88"/>
      <c r="BOU111" s="88"/>
      <c r="BOV111" s="88"/>
      <c r="BOW111" s="88"/>
      <c r="BOX111" s="88"/>
      <c r="BOY111" s="88"/>
      <c r="BOZ111" s="88"/>
      <c r="BPA111" s="88"/>
      <c r="BPB111" s="88"/>
      <c r="BPC111" s="88"/>
      <c r="BPD111" s="88"/>
      <c r="BPE111" s="88"/>
      <c r="BPF111" s="88"/>
      <c r="BPG111" s="88"/>
      <c r="BPH111" s="88"/>
      <c r="BPI111" s="88"/>
      <c r="BPJ111" s="88"/>
      <c r="BPK111" s="88"/>
      <c r="BPL111" s="88"/>
      <c r="BPM111" s="88"/>
      <c r="BPN111" s="88"/>
      <c r="BPO111" s="88"/>
      <c r="BPP111" s="88"/>
      <c r="BPQ111" s="88"/>
      <c r="BPR111" s="88"/>
      <c r="BPS111" s="88"/>
      <c r="BPT111" s="88"/>
      <c r="BPU111" s="88"/>
      <c r="BPV111" s="88"/>
      <c r="BPW111" s="88"/>
      <c r="BPX111" s="88"/>
      <c r="BPY111" s="88"/>
      <c r="BPZ111" s="88"/>
      <c r="BQA111" s="88"/>
      <c r="BQB111" s="88"/>
      <c r="BQC111" s="88"/>
      <c r="BQD111" s="88"/>
      <c r="BQE111" s="88"/>
      <c r="BQF111" s="88"/>
      <c r="BQG111" s="88"/>
      <c r="BQH111" s="88"/>
      <c r="BQI111" s="88"/>
      <c r="BQJ111" s="88"/>
      <c r="BQK111" s="88"/>
      <c r="BQL111" s="88"/>
      <c r="BQM111" s="88"/>
      <c r="BQN111" s="88"/>
      <c r="BQO111" s="88"/>
      <c r="BQP111" s="88"/>
      <c r="BQQ111" s="88"/>
      <c r="BQR111" s="88"/>
      <c r="BQS111" s="88"/>
      <c r="BQT111" s="88"/>
      <c r="BQU111" s="88"/>
      <c r="BQV111" s="88"/>
      <c r="BQW111" s="88"/>
      <c r="BQX111" s="88"/>
      <c r="BQY111" s="88"/>
      <c r="BQZ111" s="88"/>
      <c r="BRA111" s="88"/>
      <c r="BRB111" s="88"/>
      <c r="BRC111" s="88"/>
      <c r="BRD111" s="88"/>
      <c r="BRE111" s="88"/>
      <c r="BRF111" s="88"/>
      <c r="BRG111" s="88"/>
      <c r="BRH111" s="88"/>
      <c r="BRI111" s="88"/>
      <c r="BRJ111" s="88"/>
      <c r="BRK111" s="88"/>
      <c r="BRL111" s="88"/>
      <c r="BRM111" s="88"/>
      <c r="BRN111" s="88"/>
      <c r="BRO111" s="88"/>
      <c r="BRP111" s="88"/>
      <c r="BRQ111" s="88"/>
      <c r="BRR111" s="88"/>
      <c r="BRS111" s="88"/>
      <c r="BRT111" s="88"/>
      <c r="BRU111" s="88"/>
      <c r="BRV111" s="88"/>
      <c r="BRW111" s="88"/>
      <c r="BRX111" s="88"/>
      <c r="BRY111" s="88"/>
      <c r="BRZ111" s="88"/>
      <c r="BSA111" s="88"/>
      <c r="BSB111" s="88"/>
      <c r="BSC111" s="88"/>
      <c r="BSD111" s="88"/>
      <c r="BSE111" s="88"/>
      <c r="BSF111" s="88"/>
      <c r="BSG111" s="88"/>
      <c r="BSH111" s="88"/>
      <c r="BSI111" s="88"/>
      <c r="BSJ111" s="88"/>
      <c r="BSK111" s="88"/>
      <c r="BSL111" s="88"/>
      <c r="BSM111" s="88"/>
      <c r="BSN111" s="88"/>
      <c r="BSO111" s="88"/>
      <c r="BSP111" s="88"/>
      <c r="BSQ111" s="88"/>
      <c r="BSR111" s="88"/>
      <c r="BSS111" s="88"/>
      <c r="BST111" s="88"/>
      <c r="BSU111" s="88"/>
      <c r="BSV111" s="88"/>
      <c r="BSW111" s="88"/>
      <c r="BSX111" s="88"/>
      <c r="BSY111" s="88"/>
      <c r="BSZ111" s="88"/>
      <c r="BTA111" s="88"/>
      <c r="BTB111" s="88"/>
      <c r="BTC111" s="88"/>
      <c r="BTD111" s="88"/>
      <c r="BTE111" s="88"/>
      <c r="BTF111" s="88"/>
      <c r="BTG111" s="88"/>
      <c r="BTH111" s="88"/>
      <c r="BTI111" s="88"/>
      <c r="BTJ111" s="88"/>
      <c r="BTK111" s="88"/>
      <c r="BTL111" s="88"/>
      <c r="BTM111" s="88"/>
      <c r="BTN111" s="88"/>
      <c r="BTO111" s="88"/>
      <c r="BTP111" s="88"/>
      <c r="BTQ111" s="88"/>
      <c r="BTR111" s="88"/>
      <c r="BTS111" s="88"/>
      <c r="BTT111" s="88"/>
      <c r="BTU111" s="88"/>
      <c r="BTV111" s="88"/>
      <c r="BTW111" s="88"/>
      <c r="BTX111" s="88"/>
      <c r="BTY111" s="88"/>
      <c r="BTZ111" s="88"/>
      <c r="BUA111" s="88"/>
      <c r="BUB111" s="88"/>
      <c r="BUC111" s="88"/>
      <c r="BUD111" s="88"/>
      <c r="BUE111" s="88"/>
      <c r="BUF111" s="88"/>
      <c r="BUG111" s="88"/>
      <c r="BUH111" s="88"/>
      <c r="BUI111" s="88"/>
      <c r="BUJ111" s="88"/>
      <c r="BUK111" s="88"/>
      <c r="BUL111" s="88"/>
      <c r="BUM111" s="88"/>
      <c r="BUN111" s="88"/>
      <c r="BUO111" s="88"/>
      <c r="BUP111" s="88"/>
      <c r="BUQ111" s="88"/>
      <c r="BUR111" s="88"/>
      <c r="BUS111" s="88"/>
      <c r="BUT111" s="88"/>
      <c r="BUU111" s="88"/>
      <c r="BUV111" s="88"/>
      <c r="BUW111" s="88"/>
      <c r="BUX111" s="88"/>
      <c r="BUY111" s="88"/>
      <c r="BUZ111" s="88"/>
      <c r="BVA111" s="88"/>
      <c r="BVB111" s="88"/>
      <c r="BVC111" s="88"/>
      <c r="BVD111" s="88"/>
      <c r="BVE111" s="88"/>
      <c r="BVF111" s="88"/>
      <c r="BVG111" s="88"/>
      <c r="BVH111" s="88"/>
      <c r="BVI111" s="88"/>
      <c r="BVJ111" s="88"/>
      <c r="BVK111" s="88"/>
      <c r="BVL111" s="88"/>
      <c r="BVM111" s="88"/>
      <c r="BVN111" s="88"/>
      <c r="BVO111" s="88"/>
      <c r="BVP111" s="88"/>
      <c r="BVQ111" s="88"/>
      <c r="BVR111" s="88"/>
      <c r="BVS111" s="88"/>
      <c r="BVT111" s="88"/>
      <c r="BVU111" s="88"/>
      <c r="BVV111" s="88"/>
      <c r="BVW111" s="88"/>
      <c r="BVX111" s="88"/>
      <c r="BVY111" s="88"/>
      <c r="BVZ111" s="88"/>
      <c r="BWA111" s="88"/>
      <c r="BWB111" s="88"/>
      <c r="BWC111" s="88"/>
      <c r="BWD111" s="88"/>
      <c r="BWE111" s="88"/>
      <c r="BWF111" s="88"/>
      <c r="BWG111" s="88"/>
      <c r="BWH111" s="88"/>
      <c r="BWI111" s="88"/>
      <c r="BWJ111" s="88"/>
      <c r="BWK111" s="88"/>
      <c r="BWL111" s="88"/>
      <c r="BWM111" s="88"/>
      <c r="BWN111" s="88"/>
      <c r="BWO111" s="88"/>
      <c r="BWP111" s="88"/>
      <c r="BWQ111" s="88"/>
      <c r="BWR111" s="88"/>
      <c r="BWS111" s="88"/>
      <c r="BWT111" s="88"/>
      <c r="BWU111" s="88"/>
      <c r="BWV111" s="88"/>
      <c r="BWW111" s="88"/>
      <c r="BWX111" s="88"/>
      <c r="BWY111" s="88"/>
      <c r="BWZ111" s="88"/>
      <c r="BXA111" s="88"/>
      <c r="BXB111" s="88"/>
      <c r="BXC111" s="88"/>
      <c r="BXD111" s="88"/>
      <c r="BXE111" s="88"/>
      <c r="BXF111" s="88"/>
      <c r="BXG111" s="88"/>
      <c r="BXH111" s="88"/>
      <c r="BXI111" s="88"/>
      <c r="BXJ111" s="88"/>
      <c r="BXK111" s="88"/>
      <c r="BXL111" s="88"/>
      <c r="BXM111" s="88"/>
      <c r="BXN111" s="88"/>
      <c r="BXO111" s="88"/>
      <c r="BXP111" s="88"/>
      <c r="BXQ111" s="88"/>
      <c r="BXR111" s="88"/>
      <c r="BXS111" s="88"/>
      <c r="BXT111" s="88"/>
      <c r="BXU111" s="88"/>
      <c r="BXV111" s="88"/>
      <c r="BXW111" s="88"/>
      <c r="BXX111" s="88"/>
      <c r="BXY111" s="88"/>
      <c r="BXZ111" s="88"/>
      <c r="BYA111" s="88"/>
      <c r="BYB111" s="88"/>
      <c r="BYC111" s="88"/>
      <c r="BYD111" s="88"/>
      <c r="BYE111" s="88"/>
      <c r="BYF111" s="88"/>
      <c r="BYG111" s="88"/>
      <c r="BYH111" s="88"/>
      <c r="BYI111" s="88"/>
      <c r="BYJ111" s="88"/>
      <c r="BYK111" s="88"/>
      <c r="BYL111" s="88"/>
      <c r="BYM111" s="88"/>
      <c r="BYN111" s="88"/>
      <c r="BYO111" s="88"/>
      <c r="BYP111" s="88"/>
      <c r="BYQ111" s="88"/>
      <c r="BYR111" s="88"/>
      <c r="BYS111" s="88"/>
      <c r="BYT111" s="88"/>
      <c r="BYU111" s="88"/>
      <c r="BYV111" s="88"/>
      <c r="BYW111" s="88"/>
      <c r="BYX111" s="88"/>
      <c r="BYY111" s="88"/>
      <c r="BYZ111" s="88"/>
      <c r="BZA111" s="88"/>
      <c r="BZB111" s="88"/>
      <c r="BZC111" s="88"/>
      <c r="BZD111" s="88"/>
      <c r="BZE111" s="88"/>
      <c r="BZF111" s="88"/>
      <c r="BZG111" s="88"/>
      <c r="BZH111" s="88"/>
      <c r="BZI111" s="88"/>
      <c r="BZJ111" s="88"/>
      <c r="BZK111" s="88"/>
      <c r="BZL111" s="88"/>
      <c r="BZM111" s="88"/>
      <c r="BZN111" s="88"/>
      <c r="BZO111" s="88"/>
      <c r="BZP111" s="88"/>
      <c r="BZQ111" s="88"/>
      <c r="BZR111" s="88"/>
      <c r="BZS111" s="88"/>
      <c r="BZT111" s="88"/>
      <c r="BZU111" s="88"/>
      <c r="BZV111" s="88"/>
      <c r="BZW111" s="88"/>
      <c r="BZX111" s="88"/>
      <c r="BZY111" s="88"/>
      <c r="BZZ111" s="88"/>
      <c r="CAA111" s="88"/>
      <c r="CAB111" s="88"/>
      <c r="CAC111" s="88"/>
      <c r="CAD111" s="88"/>
      <c r="CAE111" s="88"/>
      <c r="CAF111" s="88"/>
      <c r="CAG111" s="88"/>
      <c r="CAH111" s="88"/>
      <c r="CAI111" s="88"/>
      <c r="CAJ111" s="88"/>
      <c r="CAK111" s="88"/>
      <c r="CAL111" s="88"/>
      <c r="CAM111" s="88"/>
      <c r="CAN111" s="88"/>
      <c r="CAO111" s="88"/>
      <c r="CAP111" s="88"/>
      <c r="CAQ111" s="88"/>
      <c r="CAR111" s="88"/>
      <c r="CAS111" s="88"/>
      <c r="CAT111" s="88"/>
      <c r="CAU111" s="88"/>
      <c r="CAV111" s="88"/>
      <c r="CAW111" s="88"/>
      <c r="CAX111" s="88"/>
      <c r="CAY111" s="88"/>
      <c r="CAZ111" s="88"/>
      <c r="CBA111" s="88"/>
      <c r="CBB111" s="88"/>
      <c r="CBC111" s="88"/>
      <c r="CBD111" s="88"/>
      <c r="CBE111" s="88"/>
      <c r="CBF111" s="88"/>
      <c r="CBG111" s="88"/>
      <c r="CBH111" s="88"/>
      <c r="CBI111" s="88"/>
      <c r="CBJ111" s="88"/>
      <c r="CBK111" s="88"/>
      <c r="CBL111" s="88"/>
      <c r="CBM111" s="88"/>
      <c r="CBN111" s="88"/>
      <c r="CBO111" s="88"/>
      <c r="CBP111" s="88"/>
      <c r="CBQ111" s="88"/>
      <c r="CBR111" s="88"/>
      <c r="CBS111" s="88"/>
      <c r="CBT111" s="88"/>
      <c r="CBU111" s="88"/>
      <c r="CBV111" s="88"/>
      <c r="CBW111" s="88"/>
      <c r="CBX111" s="88"/>
      <c r="CBY111" s="88"/>
      <c r="CBZ111" s="88"/>
      <c r="CCA111" s="88"/>
      <c r="CCB111" s="88"/>
      <c r="CCC111" s="88"/>
      <c r="CCD111" s="88"/>
      <c r="CCE111" s="88"/>
      <c r="CCF111" s="88"/>
      <c r="CCG111" s="88"/>
      <c r="CCH111" s="88"/>
      <c r="CCI111" s="88"/>
      <c r="CCJ111" s="88"/>
      <c r="CCK111" s="88"/>
      <c r="CCL111" s="88"/>
      <c r="CCM111" s="88"/>
      <c r="CCN111" s="88"/>
      <c r="CCO111" s="88"/>
      <c r="CCP111" s="88"/>
      <c r="CCQ111" s="88"/>
      <c r="CCR111" s="88"/>
      <c r="CCS111" s="88"/>
      <c r="CCT111" s="88"/>
      <c r="CCU111" s="88"/>
      <c r="CCV111" s="88"/>
      <c r="CCW111" s="88"/>
      <c r="CCX111" s="88"/>
      <c r="CCY111" s="88"/>
      <c r="CCZ111" s="88"/>
      <c r="CDA111" s="88"/>
      <c r="CDB111" s="88"/>
      <c r="CDC111" s="88"/>
      <c r="CDD111" s="88"/>
      <c r="CDE111" s="88"/>
      <c r="CDF111" s="88"/>
      <c r="CDG111" s="88"/>
      <c r="CDH111" s="88"/>
      <c r="CDI111" s="88"/>
      <c r="CDJ111" s="88"/>
      <c r="CDK111" s="88"/>
      <c r="CDL111" s="88"/>
      <c r="CDM111" s="88"/>
      <c r="CDN111" s="88"/>
      <c r="CDO111" s="88"/>
      <c r="CDP111" s="88"/>
      <c r="CDQ111" s="88"/>
      <c r="CDR111" s="88"/>
      <c r="CDS111" s="88"/>
      <c r="CDT111" s="88"/>
      <c r="CDU111" s="88"/>
      <c r="CDV111" s="88"/>
      <c r="CDW111" s="88"/>
      <c r="CDX111" s="88"/>
      <c r="CDY111" s="88"/>
      <c r="CDZ111" s="88"/>
      <c r="CEA111" s="88"/>
      <c r="CEB111" s="88"/>
      <c r="CEC111" s="88"/>
      <c r="CED111" s="88"/>
      <c r="CEE111" s="88"/>
      <c r="CEF111" s="88"/>
      <c r="CEG111" s="88"/>
      <c r="CEH111" s="88"/>
      <c r="CEI111" s="88"/>
      <c r="CEJ111" s="88"/>
      <c r="CEK111" s="88"/>
    </row>
    <row r="112" spans="1:2169" s="51" customFormat="1">
      <c r="A112" s="72" t="s">
        <v>800</v>
      </c>
      <c r="B112" s="72" t="s">
        <v>520</v>
      </c>
      <c r="C112" s="69" t="str">
        <f>IF('page 2'!$O$4="","",IF('page 2'!$O$4=Gestion!A112,1,0))</f>
        <v/>
      </c>
      <c r="D112" s="69" t="str">
        <f>IF('page 2'!$O$5="","",IF('page 2'!$O$5=Gestion!A112,1,0))</f>
        <v/>
      </c>
      <c r="E112" s="69" t="str">
        <f>IF('page 2'!$O$6="","",IF('page 2'!$O$6=Gestion!A112,1,0))</f>
        <v/>
      </c>
      <c r="F112" s="69" t="str">
        <f>IF('page 2'!$O$7="","",IF('page 2'!$O$7=Gestion!A112,1,0))</f>
        <v/>
      </c>
      <c r="G112" s="69" t="str">
        <f>IF('page 2'!$O$8="","",IF('page 2'!$O$8=Gestion!A112,1,0))</f>
        <v/>
      </c>
      <c r="H112" s="69" t="str">
        <f>IF('page 2'!$O$9="","",IF('page 2'!$O$9=Gestion!A112,1,0))</f>
        <v/>
      </c>
      <c r="I112" s="69" t="str">
        <f>IF('page 2'!$O$10="","",IF('page 2'!$O$10=Gestion!A112,1,0))</f>
        <v/>
      </c>
      <c r="J112" s="69" t="str">
        <f>IF('page 2'!$O$11="","",IF('page 2'!$O$11=Gestion!A112,1,0))</f>
        <v/>
      </c>
      <c r="K112" s="69" t="str">
        <f>IF('page 2'!$O$12="","",IF('page 2'!$O$12=Gestion!A112,1,0))</f>
        <v/>
      </c>
      <c r="L112" s="69" t="str">
        <f>IF('page 2'!$O$13="","",IF('page 2'!$O$13=Gestion!A112,1,0))</f>
        <v/>
      </c>
      <c r="M112" s="69" t="str">
        <f>IF('page 2'!$O$14="","",IF('page 2'!$O$14=Gestion!A112,1,0))</f>
        <v/>
      </c>
      <c r="N112" s="69" t="str">
        <f>IF('page 2'!$O$15="","",IF('page 2'!$O$15=Gestion!A112,1,0))</f>
        <v/>
      </c>
      <c r="O112" s="69" t="str">
        <f>IF('page 2'!$O$16="","",IF('page 2'!$O$16=Gestion!A112,1,0))</f>
        <v/>
      </c>
      <c r="P112" s="69" t="str">
        <f>IF('page 2'!$O$17="","",IF('page 2'!$O$17=Gestion!A112,1,0))</f>
        <v/>
      </c>
      <c r="Q112" s="69" t="str">
        <f>IF('page 2'!$O$18="","",IF('page 2'!$O$18=Gestion!A112,1,0))</f>
        <v/>
      </c>
      <c r="R112" s="69" t="str">
        <f>IF('page 2'!$O$19="","",IF('page 2'!$O$19=Gestion!A112,1,0))</f>
        <v/>
      </c>
      <c r="S112" s="69" t="str">
        <f>IF('page 2'!$O$20="","",IF('page 2'!$O$20=Gestion!A112,1,0))</f>
        <v/>
      </c>
      <c r="T112" s="69" t="str">
        <f>IF('page 2'!$O$25="","",IF('page 2'!$O$25=Gestion!A112,1,0))</f>
        <v/>
      </c>
      <c r="U112" s="69" t="str">
        <f>IF('page 2'!$O$26="","",IF('page 2'!$O$26=Gestion!A112,1,0))</f>
        <v/>
      </c>
      <c r="V112" s="69" t="str">
        <f>IF('page 2'!$O$27="","",IF('page 2'!$O$27=Gestion!A112,1,0))</f>
        <v/>
      </c>
      <c r="W112" s="723">
        <f t="shared" si="14"/>
        <v>0</v>
      </c>
      <c r="X112" s="713"/>
      <c r="Y112" s="69"/>
      <c r="Z112" s="69"/>
      <c r="AA112" s="69"/>
      <c r="AB112" s="542"/>
      <c r="AC112" s="542"/>
      <c r="AD112" s="542"/>
      <c r="AE112" s="88"/>
      <c r="AP112" s="130"/>
      <c r="AQ112" s="130"/>
      <c r="AR112" s="130"/>
      <c r="AS112" s="576"/>
      <c r="AT112" s="576"/>
      <c r="AU112" s="576"/>
      <c r="AV112" s="576"/>
      <c r="AW112" s="602"/>
      <c r="AX112" s="602"/>
      <c r="AY112" s="576"/>
      <c r="AZ112" s="576"/>
      <c r="BA112" s="576"/>
      <c r="BB112" s="576"/>
      <c r="BC112" s="576"/>
      <c r="BD112" s="602"/>
      <c r="BE112" s="602"/>
      <c r="BF112" s="602"/>
      <c r="BG112" s="602"/>
      <c r="BH112" s="602"/>
      <c r="BI112" s="602"/>
      <c r="BJ112" s="602"/>
      <c r="BK112" s="602"/>
      <c r="BL112" s="602"/>
      <c r="BM112" s="602"/>
      <c r="BN112" s="602"/>
      <c r="BO112" s="602"/>
      <c r="BP112" s="602"/>
      <c r="BQ112" s="602"/>
      <c r="BR112" s="602"/>
      <c r="BS112" s="576"/>
      <c r="BT112" s="576"/>
      <c r="BU112" s="576"/>
      <c r="BV112" s="576"/>
      <c r="BW112" s="602"/>
      <c r="BX112" s="602"/>
      <c r="BY112" s="602"/>
      <c r="BZ112" s="576"/>
      <c r="CA112" s="602"/>
      <c r="CB112" s="602"/>
      <c r="CC112" s="576"/>
      <c r="CD112" s="576"/>
      <c r="CE112" s="602"/>
      <c r="CF112" s="576"/>
      <c r="CG112" s="576"/>
      <c r="CH112" s="576"/>
      <c r="CI112" s="576"/>
      <c r="CJ112" s="576"/>
      <c r="CK112" s="602"/>
      <c r="CL112" s="602"/>
      <c r="CM112" s="576"/>
      <c r="CN112" s="602"/>
      <c r="CO112" s="602"/>
      <c r="CP112" s="602"/>
      <c r="CQ112" s="576"/>
      <c r="CR112" s="576"/>
      <c r="CS112" s="602"/>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c r="HF112" s="88"/>
      <c r="HG112" s="88"/>
      <c r="HH112" s="88"/>
      <c r="HI112" s="88"/>
      <c r="HJ112" s="88"/>
      <c r="HK112" s="88"/>
      <c r="HL112" s="88"/>
      <c r="HM112" s="88"/>
      <c r="HN112" s="88"/>
      <c r="HO112" s="88"/>
      <c r="HP112" s="88"/>
      <c r="HQ112" s="88"/>
      <c r="HR112" s="88"/>
      <c r="HS112" s="88"/>
      <c r="HT112" s="88"/>
      <c r="HU112" s="88"/>
      <c r="HV112" s="88"/>
      <c r="HW112" s="88"/>
      <c r="HX112" s="88"/>
      <c r="HY112" s="88"/>
      <c r="HZ112" s="88"/>
      <c r="IA112" s="88"/>
      <c r="IB112" s="88"/>
      <c r="IC112" s="88"/>
      <c r="ID112" s="88"/>
      <c r="IE112" s="88"/>
      <c r="IF112" s="88"/>
      <c r="IG112" s="88"/>
      <c r="IH112" s="88"/>
      <c r="II112" s="88"/>
      <c r="IJ112" s="88"/>
      <c r="IK112" s="88"/>
      <c r="IL112" s="88"/>
      <c r="IM112" s="88"/>
      <c r="IN112" s="88"/>
      <c r="IO112" s="88"/>
      <c r="IP112" s="88"/>
      <c r="IQ112" s="88"/>
      <c r="IR112" s="88"/>
      <c r="IS112" s="88"/>
      <c r="IT112" s="88"/>
      <c r="IU112" s="88"/>
      <c r="IV112" s="88"/>
      <c r="IW112" s="88"/>
      <c r="IX112" s="88"/>
      <c r="IY112" s="88"/>
      <c r="IZ112" s="88"/>
      <c r="JA112" s="88"/>
      <c r="JB112" s="88"/>
      <c r="JC112" s="88"/>
      <c r="JD112" s="88"/>
      <c r="JE112" s="88"/>
      <c r="JF112" s="88"/>
      <c r="JG112" s="88"/>
      <c r="JH112" s="88"/>
      <c r="JI112" s="88"/>
      <c r="JJ112" s="88"/>
      <c r="JK112" s="88"/>
      <c r="JL112" s="88"/>
      <c r="JM112" s="88"/>
      <c r="JN112" s="88"/>
      <c r="JO112" s="88"/>
      <c r="JP112" s="88"/>
      <c r="JQ112" s="88"/>
      <c r="JR112" s="88"/>
      <c r="JS112" s="88"/>
      <c r="JT112" s="88"/>
      <c r="JU112" s="88"/>
      <c r="JV112" s="88"/>
      <c r="JW112" s="88"/>
      <c r="JX112" s="88"/>
      <c r="JY112" s="88"/>
      <c r="JZ112" s="88"/>
      <c r="KA112" s="88"/>
      <c r="KB112" s="88"/>
      <c r="KC112" s="88"/>
      <c r="KD112" s="88"/>
      <c r="KE112" s="88"/>
      <c r="KF112" s="88"/>
      <c r="KG112" s="88"/>
      <c r="KH112" s="88"/>
      <c r="KI112" s="88"/>
      <c r="KJ112" s="88"/>
      <c r="KK112" s="88"/>
      <c r="KL112" s="88"/>
      <c r="KM112" s="88"/>
      <c r="KN112" s="88"/>
      <c r="KO112" s="88"/>
      <c r="KP112" s="88"/>
      <c r="KQ112" s="88"/>
      <c r="KR112" s="88"/>
      <c r="KS112" s="88"/>
      <c r="KT112" s="88"/>
      <c r="KU112" s="88"/>
      <c r="KV112" s="88"/>
      <c r="KW112" s="88"/>
      <c r="KX112" s="88"/>
      <c r="KY112" s="88"/>
      <c r="KZ112" s="88"/>
      <c r="LA112" s="88"/>
      <c r="LB112" s="88"/>
      <c r="LC112" s="88"/>
      <c r="LD112" s="88"/>
      <c r="LE112" s="88"/>
      <c r="LF112" s="88"/>
      <c r="LG112" s="88"/>
      <c r="LH112" s="88"/>
      <c r="LI112" s="88"/>
      <c r="LJ112" s="88"/>
      <c r="LK112" s="88"/>
      <c r="LL112" s="88"/>
      <c r="LM112" s="88"/>
      <c r="LN112" s="88"/>
      <c r="LO112" s="88"/>
      <c r="LP112" s="88"/>
      <c r="LQ112" s="88"/>
      <c r="LR112" s="88"/>
      <c r="LS112" s="88"/>
      <c r="LT112" s="88"/>
      <c r="LU112" s="88"/>
      <c r="LV112" s="88"/>
      <c r="LW112" s="88"/>
      <c r="LX112" s="88"/>
      <c r="LY112" s="88"/>
      <c r="LZ112" s="88"/>
      <c r="MA112" s="88"/>
      <c r="MB112" s="88"/>
      <c r="MC112" s="88"/>
      <c r="MD112" s="88"/>
      <c r="ME112" s="88"/>
      <c r="MF112" s="88"/>
      <c r="MG112" s="88"/>
      <c r="MH112" s="88"/>
      <c r="MI112" s="88"/>
      <c r="MJ112" s="88"/>
      <c r="MK112" s="88"/>
      <c r="ML112" s="88"/>
      <c r="MM112" s="88"/>
      <c r="MN112" s="88"/>
      <c r="MO112" s="88"/>
      <c r="MP112" s="88"/>
      <c r="MQ112" s="88"/>
      <c r="MR112" s="88"/>
      <c r="MS112" s="88"/>
      <c r="MT112" s="88"/>
      <c r="MU112" s="88"/>
      <c r="MV112" s="88"/>
      <c r="MW112" s="88"/>
      <c r="MX112" s="88"/>
      <c r="MY112" s="88"/>
      <c r="MZ112" s="88"/>
      <c r="NA112" s="88"/>
      <c r="NB112" s="88"/>
      <c r="NC112" s="88"/>
      <c r="ND112" s="88"/>
      <c r="NE112" s="88"/>
      <c r="NF112" s="88"/>
      <c r="NG112" s="88"/>
      <c r="NH112" s="88"/>
      <c r="NI112" s="88"/>
      <c r="NJ112" s="88"/>
      <c r="NK112" s="88"/>
      <c r="NL112" s="88"/>
      <c r="NM112" s="88"/>
      <c r="NN112" s="88"/>
      <c r="NO112" s="88"/>
      <c r="NP112" s="88"/>
      <c r="NQ112" s="88"/>
      <c r="NR112" s="88"/>
      <c r="NS112" s="88"/>
      <c r="NT112" s="88"/>
      <c r="NU112" s="88"/>
      <c r="NV112" s="88"/>
      <c r="NW112" s="88"/>
      <c r="NX112" s="88"/>
      <c r="NY112" s="88"/>
      <c r="NZ112" s="88"/>
      <c r="OA112" s="88"/>
      <c r="OB112" s="88"/>
      <c r="OC112" s="88"/>
      <c r="OD112" s="88"/>
      <c r="OE112" s="88"/>
      <c r="OF112" s="88"/>
      <c r="OG112" s="88"/>
      <c r="OH112" s="88"/>
      <c r="OI112" s="88"/>
      <c r="OJ112" s="88"/>
      <c r="OK112" s="88"/>
      <c r="OL112" s="88"/>
      <c r="OM112" s="88"/>
      <c r="ON112" s="88"/>
      <c r="OO112" s="88"/>
      <c r="OP112" s="88"/>
      <c r="OQ112" s="88"/>
      <c r="OR112" s="88"/>
      <c r="OS112" s="88"/>
      <c r="OT112" s="88"/>
      <c r="OU112" s="88"/>
      <c r="OV112" s="88"/>
      <c r="OW112" s="88"/>
      <c r="OX112" s="88"/>
      <c r="OY112" s="88"/>
      <c r="OZ112" s="88"/>
      <c r="PA112" s="88"/>
      <c r="PB112" s="88"/>
      <c r="PC112" s="88"/>
      <c r="PD112" s="88"/>
      <c r="PE112" s="88"/>
      <c r="PF112" s="88"/>
      <c r="PG112" s="88"/>
      <c r="PH112" s="88"/>
      <c r="PI112" s="88"/>
      <c r="PJ112" s="88"/>
      <c r="PK112" s="88"/>
      <c r="PL112" s="88"/>
      <c r="PM112" s="88"/>
      <c r="PN112" s="88"/>
      <c r="PO112" s="88"/>
      <c r="PP112" s="88"/>
      <c r="PQ112" s="88"/>
      <c r="PR112" s="88"/>
      <c r="PS112" s="88"/>
      <c r="PT112" s="88"/>
      <c r="PU112" s="88"/>
      <c r="PV112" s="88"/>
      <c r="PW112" s="88"/>
      <c r="PX112" s="88"/>
      <c r="PY112" s="88"/>
      <c r="PZ112" s="88"/>
      <c r="QA112" s="88"/>
      <c r="QB112" s="88"/>
      <c r="QC112" s="88"/>
      <c r="QD112" s="88"/>
      <c r="QE112" s="88"/>
      <c r="QF112" s="88"/>
      <c r="QG112" s="88"/>
      <c r="QH112" s="88"/>
      <c r="QI112" s="88"/>
      <c r="QJ112" s="88"/>
      <c r="QK112" s="88"/>
      <c r="QL112" s="88"/>
      <c r="QM112" s="88"/>
      <c r="QN112" s="88"/>
      <c r="QO112" s="88"/>
      <c r="QP112" s="88"/>
      <c r="QQ112" s="88"/>
      <c r="QR112" s="88"/>
      <c r="QS112" s="88"/>
      <c r="QT112" s="88"/>
      <c r="QU112" s="88"/>
      <c r="QV112" s="88"/>
      <c r="QW112" s="88"/>
      <c r="QX112" s="88"/>
      <c r="QY112" s="88"/>
      <c r="QZ112" s="88"/>
      <c r="RA112" s="88"/>
      <c r="RB112" s="88"/>
      <c r="RC112" s="88"/>
      <c r="RD112" s="88"/>
      <c r="RE112" s="88"/>
      <c r="RF112" s="88"/>
      <c r="RG112" s="88"/>
      <c r="RH112" s="88"/>
      <c r="RI112" s="88"/>
      <c r="RJ112" s="88"/>
      <c r="RK112" s="88"/>
      <c r="RL112" s="88"/>
      <c r="RM112" s="88"/>
      <c r="RN112" s="88"/>
      <c r="RO112" s="88"/>
      <c r="RP112" s="88"/>
      <c r="RQ112" s="88"/>
      <c r="RR112" s="88"/>
      <c r="RS112" s="88"/>
      <c r="RT112" s="88"/>
      <c r="RU112" s="88"/>
      <c r="RV112" s="88"/>
      <c r="RW112" s="88"/>
      <c r="RX112" s="88"/>
      <c r="RY112" s="88"/>
      <c r="RZ112" s="88"/>
      <c r="SA112" s="88"/>
      <c r="SB112" s="88"/>
      <c r="SC112" s="88"/>
      <c r="SD112" s="88"/>
      <c r="SE112" s="88"/>
      <c r="SF112" s="88"/>
      <c r="SG112" s="88"/>
      <c r="SH112" s="88"/>
      <c r="SI112" s="88"/>
      <c r="SJ112" s="88"/>
      <c r="SK112" s="88"/>
      <c r="SL112" s="88"/>
      <c r="SM112" s="88"/>
      <c r="SN112" s="88"/>
      <c r="SO112" s="88"/>
      <c r="SP112" s="88"/>
      <c r="SQ112" s="88"/>
      <c r="SR112" s="88"/>
      <c r="SS112" s="88"/>
      <c r="ST112" s="88"/>
      <c r="SU112" s="88"/>
      <c r="SV112" s="88"/>
      <c r="SW112" s="88"/>
      <c r="SX112" s="88"/>
      <c r="SY112" s="88"/>
      <c r="SZ112" s="88"/>
      <c r="TA112" s="88"/>
      <c r="TB112" s="88"/>
      <c r="TC112" s="88"/>
      <c r="TD112" s="88"/>
      <c r="TE112" s="88"/>
      <c r="TF112" s="88"/>
      <c r="TG112" s="88"/>
      <c r="TH112" s="88"/>
      <c r="TI112" s="88"/>
      <c r="TJ112" s="88"/>
      <c r="TK112" s="88"/>
      <c r="TL112" s="88"/>
      <c r="TM112" s="88"/>
      <c r="TN112" s="88"/>
      <c r="TO112" s="88"/>
      <c r="TP112" s="88"/>
      <c r="TQ112" s="88"/>
      <c r="TR112" s="88"/>
      <c r="TS112" s="88"/>
      <c r="TT112" s="88"/>
      <c r="TU112" s="88"/>
      <c r="TV112" s="88"/>
      <c r="TW112" s="88"/>
      <c r="TX112" s="88"/>
      <c r="TY112" s="88"/>
      <c r="TZ112" s="88"/>
      <c r="UA112" s="88"/>
      <c r="UB112" s="88"/>
      <c r="UC112" s="88"/>
      <c r="UD112" s="88"/>
      <c r="UE112" s="88"/>
      <c r="UF112" s="88"/>
      <c r="UG112" s="88"/>
      <c r="UH112" s="88"/>
      <c r="UI112" s="88"/>
      <c r="UJ112" s="88"/>
      <c r="UK112" s="88"/>
      <c r="UL112" s="88"/>
      <c r="UM112" s="88"/>
      <c r="UN112" s="88"/>
      <c r="UO112" s="88"/>
      <c r="UP112" s="88"/>
      <c r="UQ112" s="88"/>
      <c r="UR112" s="88"/>
      <c r="US112" s="88"/>
      <c r="UT112" s="88"/>
      <c r="UU112" s="88"/>
      <c r="UV112" s="88"/>
      <c r="UW112" s="88"/>
      <c r="UX112" s="88"/>
      <c r="UY112" s="88"/>
      <c r="UZ112" s="88"/>
      <c r="VA112" s="88"/>
      <c r="VB112" s="88"/>
      <c r="VC112" s="88"/>
      <c r="VD112" s="88"/>
      <c r="VE112" s="88"/>
      <c r="VF112" s="88"/>
      <c r="VG112" s="88"/>
      <c r="VH112" s="88"/>
      <c r="VI112" s="88"/>
      <c r="VJ112" s="88"/>
      <c r="VK112" s="88"/>
      <c r="VL112" s="88"/>
      <c r="VM112" s="88"/>
      <c r="VN112" s="88"/>
      <c r="VO112" s="88"/>
      <c r="VP112" s="88"/>
      <c r="VQ112" s="88"/>
      <c r="VR112" s="88"/>
      <c r="VS112" s="88"/>
      <c r="VT112" s="88"/>
      <c r="VU112" s="88"/>
      <c r="VV112" s="88"/>
      <c r="VW112" s="88"/>
      <c r="VX112" s="88"/>
      <c r="VY112" s="88"/>
      <c r="VZ112" s="88"/>
      <c r="WA112" s="88"/>
      <c r="WB112" s="88"/>
      <c r="WC112" s="88"/>
      <c r="WD112" s="88"/>
      <c r="WE112" s="88"/>
      <c r="WF112" s="88"/>
      <c r="WG112" s="88"/>
      <c r="WH112" s="88"/>
      <c r="WI112" s="88"/>
      <c r="WJ112" s="88"/>
      <c r="WK112" s="88"/>
      <c r="WL112" s="88"/>
      <c r="WM112" s="88"/>
      <c r="WN112" s="88"/>
      <c r="WO112" s="88"/>
      <c r="WP112" s="88"/>
      <c r="WQ112" s="88"/>
      <c r="WR112" s="88"/>
      <c r="WS112" s="88"/>
      <c r="WT112" s="88"/>
      <c r="WU112" s="88"/>
      <c r="WV112" s="88"/>
      <c r="WW112" s="88"/>
      <c r="WX112" s="88"/>
      <c r="WY112" s="88"/>
      <c r="WZ112" s="88"/>
      <c r="XA112" s="88"/>
      <c r="XB112" s="88"/>
      <c r="XC112" s="88"/>
      <c r="XD112" s="88"/>
      <c r="XE112" s="88"/>
      <c r="XF112" s="88"/>
      <c r="XG112" s="88"/>
      <c r="XH112" s="88"/>
      <c r="XI112" s="88"/>
      <c r="XJ112" s="88"/>
      <c r="XK112" s="88"/>
      <c r="XL112" s="88"/>
      <c r="XM112" s="88"/>
      <c r="XN112" s="88"/>
      <c r="XO112" s="88"/>
      <c r="XP112" s="88"/>
      <c r="XQ112" s="88"/>
      <c r="XR112" s="88"/>
      <c r="XS112" s="88"/>
      <c r="XT112" s="88"/>
      <c r="XU112" s="88"/>
      <c r="XV112" s="88"/>
      <c r="XW112" s="88"/>
      <c r="XX112" s="88"/>
      <c r="XY112" s="88"/>
      <c r="XZ112" s="88"/>
      <c r="YA112" s="88"/>
      <c r="YB112" s="88"/>
      <c r="YC112" s="88"/>
      <c r="YD112" s="88"/>
      <c r="YE112" s="88"/>
      <c r="YF112" s="88"/>
      <c r="YG112" s="88"/>
      <c r="YH112" s="88"/>
      <c r="YI112" s="88"/>
      <c r="YJ112" s="88"/>
      <c r="YK112" s="88"/>
      <c r="YL112" s="88"/>
      <c r="YM112" s="88"/>
      <c r="YN112" s="88"/>
      <c r="YO112" s="88"/>
      <c r="YP112" s="88"/>
      <c r="YQ112" s="88"/>
      <c r="YR112" s="88"/>
      <c r="YS112" s="88"/>
      <c r="YT112" s="88"/>
      <c r="YU112" s="88"/>
      <c r="YV112" s="88"/>
      <c r="YW112" s="88"/>
      <c r="YX112" s="88"/>
      <c r="YY112" s="88"/>
      <c r="YZ112" s="88"/>
      <c r="ZA112" s="88"/>
      <c r="ZB112" s="88"/>
      <c r="ZC112" s="88"/>
      <c r="ZD112" s="88"/>
      <c r="ZE112" s="88"/>
      <c r="ZF112" s="88"/>
      <c r="ZG112" s="88"/>
      <c r="ZH112" s="88"/>
      <c r="ZI112" s="88"/>
      <c r="ZJ112" s="88"/>
      <c r="ZK112" s="88"/>
      <c r="ZL112" s="88"/>
      <c r="ZM112" s="88"/>
      <c r="ZN112" s="88"/>
      <c r="ZO112" s="88"/>
      <c r="ZP112" s="88"/>
      <c r="ZQ112" s="88"/>
      <c r="ZR112" s="88"/>
      <c r="ZS112" s="88"/>
      <c r="ZT112" s="88"/>
      <c r="ZU112" s="88"/>
      <c r="ZV112" s="88"/>
      <c r="ZW112" s="88"/>
      <c r="ZX112" s="88"/>
      <c r="ZY112" s="88"/>
      <c r="ZZ112" s="88"/>
      <c r="AAA112" s="88"/>
      <c r="AAB112" s="88"/>
      <c r="AAC112" s="88"/>
      <c r="AAD112" s="88"/>
      <c r="AAE112" s="88"/>
      <c r="AAF112" s="88"/>
      <c r="AAG112" s="88"/>
      <c r="AAH112" s="88"/>
      <c r="AAI112" s="88"/>
      <c r="AAJ112" s="88"/>
      <c r="AAK112" s="88"/>
      <c r="AAL112" s="88"/>
      <c r="AAM112" s="88"/>
      <c r="AAN112" s="88"/>
      <c r="AAO112" s="88"/>
      <c r="AAP112" s="88"/>
      <c r="AAQ112" s="88"/>
      <c r="AAR112" s="88"/>
      <c r="AAS112" s="88"/>
      <c r="AAT112" s="88"/>
      <c r="AAU112" s="88"/>
      <c r="AAV112" s="88"/>
      <c r="AAW112" s="88"/>
      <c r="AAX112" s="88"/>
      <c r="AAY112" s="88"/>
      <c r="AAZ112" s="88"/>
      <c r="ABA112" s="88"/>
      <c r="ABB112" s="88"/>
      <c r="ABC112" s="88"/>
      <c r="ABD112" s="88"/>
      <c r="ABE112" s="88"/>
      <c r="ABF112" s="88"/>
      <c r="ABG112" s="88"/>
      <c r="ABH112" s="88"/>
      <c r="ABI112" s="88"/>
      <c r="ABJ112" s="88"/>
      <c r="ABK112" s="88"/>
      <c r="ABL112" s="88"/>
      <c r="ABM112" s="88"/>
      <c r="ABN112" s="88"/>
      <c r="ABO112" s="88"/>
      <c r="ABP112" s="88"/>
      <c r="ABQ112" s="88"/>
      <c r="ABR112" s="88"/>
      <c r="ABS112" s="88"/>
      <c r="ABT112" s="88"/>
      <c r="ABU112" s="88"/>
      <c r="ABV112" s="88"/>
      <c r="ABW112" s="88"/>
      <c r="ABX112" s="88"/>
      <c r="ABY112" s="88"/>
      <c r="ABZ112" s="88"/>
      <c r="ACA112" s="88"/>
      <c r="ACB112" s="88"/>
      <c r="ACC112" s="88"/>
      <c r="ACD112" s="88"/>
      <c r="ACE112" s="88"/>
      <c r="ACF112" s="88"/>
      <c r="ACG112" s="88"/>
      <c r="ACH112" s="88"/>
      <c r="ACI112" s="88"/>
      <c r="ACJ112" s="88"/>
      <c r="ACK112" s="88"/>
      <c r="ACL112" s="88"/>
      <c r="ACM112" s="88"/>
      <c r="ACN112" s="88"/>
      <c r="ACO112" s="88"/>
      <c r="ACP112" s="88"/>
      <c r="ACQ112" s="88"/>
      <c r="ACR112" s="88"/>
      <c r="ACS112" s="88"/>
      <c r="ACT112" s="88"/>
      <c r="ACU112" s="88"/>
      <c r="ACV112" s="88"/>
      <c r="ACW112" s="88"/>
      <c r="ACX112" s="88"/>
      <c r="ACY112" s="88"/>
      <c r="ACZ112" s="88"/>
      <c r="ADA112" s="88"/>
      <c r="ADB112" s="88"/>
      <c r="ADC112" s="88"/>
      <c r="ADD112" s="88"/>
      <c r="ADE112" s="88"/>
      <c r="ADF112" s="88"/>
      <c r="ADG112" s="88"/>
      <c r="ADH112" s="88"/>
      <c r="ADI112" s="88"/>
      <c r="ADJ112" s="88"/>
      <c r="ADK112" s="88"/>
      <c r="ADL112" s="88"/>
      <c r="ADM112" s="88"/>
      <c r="ADN112" s="88"/>
      <c r="ADO112" s="88"/>
      <c r="ADP112" s="88"/>
      <c r="ADQ112" s="88"/>
      <c r="ADR112" s="88"/>
      <c r="ADS112" s="88"/>
      <c r="ADT112" s="88"/>
      <c r="ADU112" s="88"/>
      <c r="ADV112" s="88"/>
      <c r="ADW112" s="88"/>
      <c r="ADX112" s="88"/>
      <c r="ADY112" s="88"/>
      <c r="ADZ112" s="88"/>
      <c r="AEA112" s="88"/>
      <c r="AEB112" s="88"/>
      <c r="AEC112" s="88"/>
      <c r="AED112" s="88"/>
      <c r="AEE112" s="88"/>
      <c r="AEF112" s="88"/>
      <c r="AEG112" s="88"/>
      <c r="AEH112" s="88"/>
      <c r="AEI112" s="88"/>
      <c r="AEJ112" s="88"/>
      <c r="AEK112" s="88"/>
      <c r="AEL112" s="88"/>
      <c r="AEM112" s="88"/>
      <c r="AEN112" s="88"/>
      <c r="AEO112" s="88"/>
      <c r="AEP112" s="88"/>
      <c r="AEQ112" s="88"/>
      <c r="AER112" s="88"/>
      <c r="AES112" s="88"/>
      <c r="AET112" s="88"/>
      <c r="AEU112" s="88"/>
      <c r="AEV112" s="88"/>
      <c r="AEW112" s="88"/>
      <c r="AEX112" s="88"/>
      <c r="AEY112" s="88"/>
      <c r="AEZ112" s="88"/>
      <c r="AFA112" s="88"/>
      <c r="AFB112" s="88"/>
      <c r="AFC112" s="88"/>
      <c r="AFD112" s="88"/>
      <c r="AFE112" s="88"/>
      <c r="AFF112" s="88"/>
      <c r="AFG112" s="88"/>
      <c r="AFH112" s="88"/>
      <c r="AFI112" s="88"/>
      <c r="AFJ112" s="88"/>
      <c r="AFK112" s="88"/>
      <c r="AFL112" s="88"/>
      <c r="AFM112" s="88"/>
      <c r="AFN112" s="88"/>
      <c r="AFO112" s="88"/>
      <c r="AFP112" s="88"/>
      <c r="AFQ112" s="88"/>
      <c r="AFR112" s="88"/>
      <c r="AFS112" s="88"/>
      <c r="AFT112" s="88"/>
      <c r="AFU112" s="88"/>
      <c r="AFV112" s="88"/>
      <c r="AFW112" s="88"/>
      <c r="AFX112" s="88"/>
      <c r="AFY112" s="88"/>
      <c r="AFZ112" s="88"/>
      <c r="AGA112" s="88"/>
      <c r="AGB112" s="88"/>
      <c r="AGC112" s="88"/>
      <c r="AGD112" s="88"/>
      <c r="AGE112" s="88"/>
      <c r="AGF112" s="88"/>
      <c r="AGG112" s="88"/>
      <c r="AGH112" s="88"/>
      <c r="AGI112" s="88"/>
      <c r="AGJ112" s="88"/>
      <c r="AGK112" s="88"/>
      <c r="AGL112" s="88"/>
      <c r="AGM112" s="88"/>
      <c r="AGN112" s="88"/>
      <c r="AGO112" s="88"/>
      <c r="AGP112" s="88"/>
      <c r="AGQ112" s="88"/>
      <c r="AGR112" s="88"/>
      <c r="AGS112" s="88"/>
      <c r="AGT112" s="88"/>
      <c r="AGU112" s="88"/>
      <c r="AGV112" s="88"/>
      <c r="AGW112" s="88"/>
      <c r="AGX112" s="88"/>
      <c r="AGY112" s="88"/>
      <c r="AGZ112" s="88"/>
      <c r="AHA112" s="88"/>
      <c r="AHB112" s="88"/>
      <c r="AHC112" s="88"/>
      <c r="AHD112" s="88"/>
      <c r="AHE112" s="88"/>
      <c r="AHF112" s="88"/>
      <c r="AHG112" s="88"/>
      <c r="AHH112" s="88"/>
      <c r="AHI112" s="88"/>
      <c r="AHJ112" s="88"/>
      <c r="AHK112" s="88"/>
      <c r="AHL112" s="88"/>
      <c r="AHM112" s="88"/>
      <c r="AHN112" s="88"/>
      <c r="AHO112" s="88"/>
      <c r="AHP112" s="88"/>
      <c r="AHQ112" s="88"/>
      <c r="AHR112" s="88"/>
      <c r="AHS112" s="88"/>
      <c r="AHT112" s="88"/>
      <c r="AHU112" s="88"/>
      <c r="AHV112" s="88"/>
      <c r="AHW112" s="88"/>
      <c r="AHX112" s="88"/>
      <c r="AHY112" s="88"/>
      <c r="AHZ112" s="88"/>
      <c r="AIA112" s="88"/>
      <c r="AIB112" s="88"/>
      <c r="AIC112" s="88"/>
      <c r="AID112" s="88"/>
      <c r="AIE112" s="88"/>
      <c r="AIF112" s="88"/>
      <c r="AIG112" s="88"/>
      <c r="AIH112" s="88"/>
      <c r="AII112" s="88"/>
      <c r="AIJ112" s="88"/>
      <c r="AIK112" s="88"/>
      <c r="AIL112" s="88"/>
      <c r="AIM112" s="88"/>
      <c r="AIN112" s="88"/>
      <c r="AIO112" s="88"/>
      <c r="AIP112" s="88"/>
      <c r="AIQ112" s="88"/>
      <c r="AIR112" s="88"/>
      <c r="AIS112" s="88"/>
      <c r="AIT112" s="88"/>
      <c r="AIU112" s="88"/>
      <c r="AIV112" s="88"/>
      <c r="AIW112" s="88"/>
      <c r="AIX112" s="88"/>
      <c r="AIY112" s="88"/>
      <c r="AIZ112" s="88"/>
      <c r="AJA112" s="88"/>
      <c r="AJB112" s="88"/>
      <c r="AJC112" s="88"/>
      <c r="AJD112" s="88"/>
      <c r="AJE112" s="88"/>
      <c r="AJF112" s="88"/>
      <c r="AJG112" s="88"/>
      <c r="AJH112" s="88"/>
      <c r="AJI112" s="88"/>
      <c r="AJJ112" s="88"/>
      <c r="AJK112" s="88"/>
      <c r="AJL112" s="88"/>
      <c r="AJM112" s="88"/>
      <c r="AJN112" s="88"/>
      <c r="AJO112" s="88"/>
      <c r="AJP112" s="88"/>
      <c r="AJQ112" s="88"/>
      <c r="AJR112" s="88"/>
      <c r="AJS112" s="88"/>
      <c r="AJT112" s="88"/>
      <c r="AJU112" s="88"/>
      <c r="AJV112" s="88"/>
      <c r="AJW112" s="88"/>
      <c r="AJX112" s="88"/>
      <c r="AJY112" s="88"/>
      <c r="AJZ112" s="88"/>
      <c r="AKA112" s="88"/>
      <c r="AKB112" s="88"/>
      <c r="AKC112" s="88"/>
      <c r="AKD112" s="88"/>
      <c r="AKE112" s="88"/>
      <c r="AKF112" s="88"/>
      <c r="AKG112" s="88"/>
      <c r="AKH112" s="88"/>
      <c r="AKI112" s="88"/>
      <c r="AKJ112" s="88"/>
      <c r="AKK112" s="88"/>
      <c r="AKL112" s="88"/>
      <c r="AKM112" s="88"/>
      <c r="AKN112" s="88"/>
      <c r="AKO112" s="88"/>
      <c r="AKP112" s="88"/>
      <c r="AKQ112" s="88"/>
      <c r="AKR112" s="88"/>
      <c r="AKS112" s="88"/>
      <c r="AKT112" s="88"/>
      <c r="AKU112" s="88"/>
      <c r="AKV112" s="88"/>
      <c r="AKW112" s="88"/>
      <c r="AKX112" s="88"/>
      <c r="AKY112" s="88"/>
      <c r="AKZ112" s="88"/>
      <c r="ALA112" s="88"/>
      <c r="ALB112" s="88"/>
      <c r="ALC112" s="88"/>
      <c r="ALD112" s="88"/>
      <c r="ALE112" s="88"/>
      <c r="ALF112" s="88"/>
      <c r="ALG112" s="88"/>
      <c r="ALH112" s="88"/>
      <c r="ALI112" s="88"/>
      <c r="ALJ112" s="88"/>
      <c r="ALK112" s="88"/>
      <c r="ALL112" s="88"/>
      <c r="ALM112" s="88"/>
      <c r="ALN112" s="88"/>
      <c r="ALO112" s="88"/>
      <c r="ALP112" s="88"/>
      <c r="ALQ112" s="88"/>
      <c r="ALR112" s="88"/>
      <c r="ALS112" s="88"/>
      <c r="ALT112" s="88"/>
      <c r="ALU112" s="88"/>
      <c r="ALV112" s="88"/>
      <c r="ALW112" s="88"/>
      <c r="ALX112" s="88"/>
      <c r="ALY112" s="88"/>
      <c r="ALZ112" s="88"/>
      <c r="AMA112" s="88"/>
      <c r="AMB112" s="88"/>
      <c r="AMC112" s="88"/>
      <c r="AMD112" s="88"/>
      <c r="AME112" s="88"/>
      <c r="AMF112" s="88"/>
      <c r="AMG112" s="88"/>
      <c r="AMH112" s="88"/>
      <c r="AMI112" s="88"/>
      <c r="AMJ112" s="88"/>
      <c r="AMK112" s="88"/>
      <c r="AML112" s="88"/>
      <c r="AMM112" s="88"/>
      <c r="AMN112" s="88"/>
      <c r="AMO112" s="88"/>
      <c r="AMP112" s="88"/>
      <c r="AMQ112" s="88"/>
      <c r="AMR112" s="88"/>
      <c r="AMS112" s="88"/>
      <c r="AMT112" s="88"/>
      <c r="AMU112" s="88"/>
      <c r="AMV112" s="88"/>
      <c r="AMW112" s="88"/>
      <c r="AMX112" s="88"/>
      <c r="AMY112" s="88"/>
      <c r="AMZ112" s="88"/>
      <c r="ANA112" s="88"/>
      <c r="ANB112" s="88"/>
      <c r="ANC112" s="88"/>
      <c r="AND112" s="88"/>
      <c r="ANE112" s="88"/>
      <c r="ANF112" s="88"/>
      <c r="ANG112" s="88"/>
      <c r="ANH112" s="88"/>
      <c r="ANI112" s="88"/>
      <c r="ANJ112" s="88"/>
      <c r="ANK112" s="88"/>
      <c r="ANL112" s="88"/>
      <c r="ANM112" s="88"/>
      <c r="ANN112" s="88"/>
      <c r="ANO112" s="88"/>
      <c r="ANP112" s="88"/>
      <c r="ANQ112" s="88"/>
      <c r="ANR112" s="88"/>
      <c r="ANS112" s="88"/>
      <c r="ANT112" s="88"/>
      <c r="ANU112" s="88"/>
      <c r="ANV112" s="88"/>
      <c r="ANW112" s="88"/>
      <c r="ANX112" s="88"/>
      <c r="ANY112" s="88"/>
      <c r="ANZ112" s="88"/>
      <c r="AOA112" s="88"/>
      <c r="AOB112" s="88"/>
      <c r="AOC112" s="88"/>
      <c r="AOD112" s="88"/>
      <c r="AOE112" s="88"/>
      <c r="AOF112" s="88"/>
      <c r="AOG112" s="88"/>
      <c r="AOH112" s="88"/>
      <c r="AOI112" s="88"/>
      <c r="AOJ112" s="88"/>
      <c r="AOK112" s="88"/>
      <c r="AOL112" s="88"/>
      <c r="AOM112" s="88"/>
      <c r="AON112" s="88"/>
      <c r="AOO112" s="88"/>
      <c r="AOP112" s="88"/>
      <c r="AOQ112" s="88"/>
      <c r="AOR112" s="88"/>
      <c r="AOS112" s="88"/>
      <c r="AOT112" s="88"/>
      <c r="AOU112" s="88"/>
      <c r="AOV112" s="88"/>
      <c r="AOW112" s="88"/>
      <c r="AOX112" s="88"/>
      <c r="AOY112" s="88"/>
      <c r="AOZ112" s="88"/>
      <c r="APA112" s="88"/>
      <c r="APB112" s="88"/>
      <c r="APC112" s="88"/>
      <c r="APD112" s="88"/>
      <c r="APE112" s="88"/>
      <c r="APF112" s="88"/>
      <c r="APG112" s="88"/>
      <c r="APH112" s="88"/>
      <c r="API112" s="88"/>
      <c r="APJ112" s="88"/>
      <c r="APK112" s="88"/>
      <c r="APL112" s="88"/>
      <c r="APM112" s="88"/>
      <c r="APN112" s="88"/>
      <c r="APO112" s="88"/>
      <c r="APP112" s="88"/>
      <c r="APQ112" s="88"/>
      <c r="APR112" s="88"/>
      <c r="APS112" s="88"/>
      <c r="APT112" s="88"/>
      <c r="APU112" s="88"/>
      <c r="APV112" s="88"/>
      <c r="APW112" s="88"/>
      <c r="APX112" s="88"/>
      <c r="APY112" s="88"/>
      <c r="APZ112" s="88"/>
      <c r="AQA112" s="88"/>
      <c r="AQB112" s="88"/>
      <c r="AQC112" s="88"/>
      <c r="AQD112" s="88"/>
      <c r="AQE112" s="88"/>
      <c r="AQF112" s="88"/>
      <c r="AQG112" s="88"/>
      <c r="AQH112" s="88"/>
      <c r="AQI112" s="88"/>
      <c r="AQJ112" s="88"/>
      <c r="AQK112" s="88"/>
      <c r="AQL112" s="88"/>
      <c r="AQM112" s="88"/>
      <c r="AQN112" s="88"/>
      <c r="AQO112" s="88"/>
      <c r="AQP112" s="88"/>
      <c r="AQQ112" s="88"/>
      <c r="AQR112" s="88"/>
      <c r="AQS112" s="88"/>
      <c r="AQT112" s="88"/>
      <c r="AQU112" s="88"/>
      <c r="AQV112" s="88"/>
      <c r="AQW112" s="88"/>
      <c r="AQX112" s="88"/>
      <c r="AQY112" s="88"/>
      <c r="AQZ112" s="88"/>
      <c r="ARA112" s="88"/>
      <c r="ARB112" s="88"/>
      <c r="ARC112" s="88"/>
      <c r="ARD112" s="88"/>
      <c r="ARE112" s="88"/>
      <c r="ARF112" s="88"/>
      <c r="ARG112" s="88"/>
      <c r="ARH112" s="88"/>
      <c r="ARI112" s="88"/>
      <c r="ARJ112" s="88"/>
      <c r="ARK112" s="88"/>
      <c r="ARL112" s="88"/>
      <c r="ARM112" s="88"/>
      <c r="ARN112" s="88"/>
      <c r="ARO112" s="88"/>
      <c r="ARP112" s="88"/>
      <c r="ARQ112" s="88"/>
      <c r="ARR112" s="88"/>
      <c r="ARS112" s="88"/>
      <c r="ART112" s="88"/>
      <c r="ARU112" s="88"/>
      <c r="ARV112" s="88"/>
      <c r="ARW112" s="88"/>
      <c r="ARX112" s="88"/>
      <c r="ARY112" s="88"/>
      <c r="ARZ112" s="88"/>
      <c r="ASA112" s="88"/>
      <c r="ASB112" s="88"/>
      <c r="ASC112" s="88"/>
      <c r="ASD112" s="88"/>
      <c r="ASE112" s="88"/>
      <c r="ASF112" s="88"/>
      <c r="ASG112" s="88"/>
      <c r="ASH112" s="88"/>
      <c r="ASI112" s="88"/>
      <c r="ASJ112" s="88"/>
      <c r="ASK112" s="88"/>
      <c r="ASL112" s="88"/>
      <c r="ASM112" s="88"/>
      <c r="ASN112" s="88"/>
      <c r="ASO112" s="88"/>
      <c r="ASP112" s="88"/>
      <c r="ASQ112" s="88"/>
      <c r="ASR112" s="88"/>
      <c r="ASS112" s="88"/>
      <c r="AST112" s="88"/>
      <c r="ASU112" s="88"/>
      <c r="ASV112" s="88"/>
      <c r="ASW112" s="88"/>
      <c r="ASX112" s="88"/>
      <c r="ASY112" s="88"/>
      <c r="ASZ112" s="88"/>
      <c r="ATA112" s="88"/>
      <c r="ATB112" s="88"/>
      <c r="ATC112" s="88"/>
      <c r="ATD112" s="88"/>
      <c r="ATE112" s="88"/>
      <c r="ATF112" s="88"/>
      <c r="ATG112" s="88"/>
      <c r="ATH112" s="88"/>
      <c r="ATI112" s="88"/>
      <c r="ATJ112" s="88"/>
      <c r="ATK112" s="88"/>
      <c r="ATL112" s="88"/>
      <c r="ATM112" s="88"/>
      <c r="ATN112" s="88"/>
      <c r="ATO112" s="88"/>
      <c r="ATP112" s="88"/>
      <c r="ATQ112" s="88"/>
      <c r="ATR112" s="88"/>
      <c r="ATS112" s="88"/>
      <c r="ATT112" s="88"/>
      <c r="ATU112" s="88"/>
      <c r="ATV112" s="88"/>
      <c r="ATW112" s="88"/>
      <c r="ATX112" s="88"/>
      <c r="ATY112" s="88"/>
      <c r="ATZ112" s="88"/>
      <c r="AUA112" s="88"/>
      <c r="AUB112" s="88"/>
      <c r="AUC112" s="88"/>
      <c r="AUD112" s="88"/>
      <c r="AUE112" s="88"/>
      <c r="AUF112" s="88"/>
      <c r="AUG112" s="88"/>
      <c r="AUH112" s="88"/>
      <c r="AUI112" s="88"/>
      <c r="AUJ112" s="88"/>
      <c r="AUK112" s="88"/>
      <c r="AUL112" s="88"/>
      <c r="AUM112" s="88"/>
      <c r="AUN112" s="88"/>
      <c r="AUO112" s="88"/>
      <c r="AUP112" s="88"/>
      <c r="AUQ112" s="88"/>
      <c r="AUR112" s="88"/>
      <c r="AUS112" s="88"/>
      <c r="AUT112" s="88"/>
      <c r="AUU112" s="88"/>
      <c r="AUV112" s="88"/>
      <c r="AUW112" s="88"/>
      <c r="AUX112" s="88"/>
      <c r="AUY112" s="88"/>
      <c r="AUZ112" s="88"/>
      <c r="AVA112" s="88"/>
      <c r="AVB112" s="88"/>
      <c r="AVC112" s="88"/>
      <c r="AVD112" s="88"/>
      <c r="AVE112" s="88"/>
      <c r="AVF112" s="88"/>
      <c r="AVG112" s="88"/>
      <c r="AVH112" s="88"/>
      <c r="AVI112" s="88"/>
      <c r="AVJ112" s="88"/>
      <c r="AVK112" s="88"/>
      <c r="AVL112" s="88"/>
      <c r="AVM112" s="88"/>
      <c r="AVN112" s="88"/>
      <c r="AVO112" s="88"/>
      <c r="AVP112" s="88"/>
      <c r="AVQ112" s="88"/>
      <c r="AVR112" s="88"/>
      <c r="AVS112" s="88"/>
      <c r="AVT112" s="88"/>
      <c r="AVU112" s="88"/>
      <c r="AVV112" s="88"/>
      <c r="AVW112" s="88"/>
      <c r="AVX112" s="88"/>
      <c r="AVY112" s="88"/>
      <c r="AVZ112" s="88"/>
      <c r="AWA112" s="88"/>
      <c r="AWB112" s="88"/>
      <c r="AWC112" s="88"/>
      <c r="AWD112" s="88"/>
      <c r="AWE112" s="88"/>
      <c r="AWF112" s="88"/>
      <c r="AWG112" s="88"/>
      <c r="AWH112" s="88"/>
      <c r="AWI112" s="88"/>
      <c r="AWJ112" s="88"/>
      <c r="AWK112" s="88"/>
      <c r="AWL112" s="88"/>
      <c r="AWM112" s="88"/>
      <c r="AWN112" s="88"/>
      <c r="AWO112" s="88"/>
      <c r="AWP112" s="88"/>
      <c r="AWQ112" s="88"/>
      <c r="AWR112" s="88"/>
      <c r="AWS112" s="88"/>
      <c r="AWT112" s="88"/>
      <c r="AWU112" s="88"/>
      <c r="AWV112" s="88"/>
      <c r="AWW112" s="88"/>
      <c r="AWX112" s="88"/>
      <c r="AWY112" s="88"/>
      <c r="AWZ112" s="88"/>
      <c r="AXA112" s="88"/>
      <c r="AXB112" s="88"/>
      <c r="AXC112" s="88"/>
      <c r="AXD112" s="88"/>
      <c r="AXE112" s="88"/>
      <c r="AXF112" s="88"/>
      <c r="AXG112" s="88"/>
      <c r="AXH112" s="88"/>
      <c r="AXI112" s="88"/>
      <c r="AXJ112" s="88"/>
      <c r="AXK112" s="88"/>
      <c r="AXL112" s="88"/>
      <c r="AXM112" s="88"/>
      <c r="AXN112" s="88"/>
      <c r="AXO112" s="88"/>
      <c r="AXP112" s="88"/>
      <c r="AXQ112" s="88"/>
      <c r="AXR112" s="88"/>
      <c r="AXS112" s="88"/>
      <c r="AXT112" s="88"/>
      <c r="AXU112" s="88"/>
      <c r="AXV112" s="88"/>
      <c r="AXW112" s="88"/>
      <c r="AXX112" s="88"/>
      <c r="AXY112" s="88"/>
      <c r="AXZ112" s="88"/>
      <c r="AYA112" s="88"/>
      <c r="AYB112" s="88"/>
      <c r="AYC112" s="88"/>
      <c r="AYD112" s="88"/>
      <c r="AYE112" s="88"/>
      <c r="AYF112" s="88"/>
      <c r="AYG112" s="88"/>
      <c r="AYH112" s="88"/>
      <c r="AYI112" s="88"/>
      <c r="AYJ112" s="88"/>
      <c r="AYK112" s="88"/>
      <c r="AYL112" s="88"/>
      <c r="AYM112" s="88"/>
      <c r="AYN112" s="88"/>
      <c r="AYO112" s="88"/>
      <c r="AYP112" s="88"/>
      <c r="AYQ112" s="88"/>
      <c r="AYR112" s="88"/>
      <c r="AYS112" s="88"/>
      <c r="AYT112" s="88"/>
      <c r="AYU112" s="88"/>
      <c r="AYV112" s="88"/>
      <c r="AYW112" s="88"/>
      <c r="AYX112" s="88"/>
      <c r="AYY112" s="88"/>
      <c r="AYZ112" s="88"/>
      <c r="AZA112" s="88"/>
      <c r="AZB112" s="88"/>
      <c r="AZC112" s="88"/>
      <c r="AZD112" s="88"/>
      <c r="AZE112" s="88"/>
      <c r="AZF112" s="88"/>
      <c r="AZG112" s="88"/>
      <c r="AZH112" s="88"/>
      <c r="AZI112" s="88"/>
      <c r="AZJ112" s="88"/>
      <c r="AZK112" s="88"/>
      <c r="AZL112" s="88"/>
      <c r="AZM112" s="88"/>
      <c r="AZN112" s="88"/>
      <c r="AZO112" s="88"/>
      <c r="AZP112" s="88"/>
      <c r="AZQ112" s="88"/>
      <c r="AZR112" s="88"/>
      <c r="AZS112" s="88"/>
      <c r="AZT112" s="88"/>
      <c r="AZU112" s="88"/>
      <c r="AZV112" s="88"/>
      <c r="AZW112" s="88"/>
      <c r="AZX112" s="88"/>
      <c r="AZY112" s="88"/>
      <c r="AZZ112" s="88"/>
      <c r="BAA112" s="88"/>
      <c r="BAB112" s="88"/>
      <c r="BAC112" s="88"/>
      <c r="BAD112" s="88"/>
      <c r="BAE112" s="88"/>
      <c r="BAF112" s="88"/>
      <c r="BAG112" s="88"/>
      <c r="BAH112" s="88"/>
      <c r="BAI112" s="88"/>
      <c r="BAJ112" s="88"/>
      <c r="BAK112" s="88"/>
      <c r="BAL112" s="88"/>
      <c r="BAM112" s="88"/>
      <c r="BAN112" s="88"/>
      <c r="BAO112" s="88"/>
      <c r="BAP112" s="88"/>
      <c r="BAQ112" s="88"/>
      <c r="BAR112" s="88"/>
      <c r="BAS112" s="88"/>
      <c r="BAT112" s="88"/>
      <c r="BAU112" s="88"/>
      <c r="BAV112" s="88"/>
      <c r="BAW112" s="88"/>
      <c r="BAX112" s="88"/>
      <c r="BAY112" s="88"/>
      <c r="BAZ112" s="88"/>
      <c r="BBA112" s="88"/>
      <c r="BBB112" s="88"/>
      <c r="BBC112" s="88"/>
      <c r="BBD112" s="88"/>
      <c r="BBE112" s="88"/>
      <c r="BBF112" s="88"/>
      <c r="BBG112" s="88"/>
      <c r="BBH112" s="88"/>
      <c r="BBI112" s="88"/>
      <c r="BBJ112" s="88"/>
      <c r="BBK112" s="88"/>
      <c r="BBL112" s="88"/>
      <c r="BBM112" s="88"/>
      <c r="BBN112" s="88"/>
      <c r="BBO112" s="88"/>
      <c r="BBP112" s="88"/>
      <c r="BBQ112" s="88"/>
      <c r="BBR112" s="88"/>
      <c r="BBS112" s="88"/>
      <c r="BBT112" s="88"/>
      <c r="BBU112" s="88"/>
      <c r="BBV112" s="88"/>
      <c r="BBW112" s="88"/>
      <c r="BBX112" s="88"/>
      <c r="BBY112" s="88"/>
      <c r="BBZ112" s="88"/>
      <c r="BCA112" s="88"/>
      <c r="BCB112" s="88"/>
      <c r="BCC112" s="88"/>
      <c r="BCD112" s="88"/>
      <c r="BCE112" s="88"/>
      <c r="BCF112" s="88"/>
      <c r="BCG112" s="88"/>
      <c r="BCH112" s="88"/>
      <c r="BCI112" s="88"/>
      <c r="BCJ112" s="88"/>
      <c r="BCK112" s="88"/>
      <c r="BCL112" s="88"/>
      <c r="BCM112" s="88"/>
      <c r="BCN112" s="88"/>
      <c r="BCO112" s="88"/>
      <c r="BCP112" s="88"/>
      <c r="BCQ112" s="88"/>
      <c r="BCR112" s="88"/>
      <c r="BCS112" s="88"/>
      <c r="BCT112" s="88"/>
      <c r="BCU112" s="88"/>
      <c r="BCV112" s="88"/>
      <c r="BCW112" s="88"/>
      <c r="BCX112" s="88"/>
      <c r="BCY112" s="88"/>
      <c r="BCZ112" s="88"/>
      <c r="BDA112" s="88"/>
      <c r="BDB112" s="88"/>
      <c r="BDC112" s="88"/>
      <c r="BDD112" s="88"/>
      <c r="BDE112" s="88"/>
      <c r="BDF112" s="88"/>
      <c r="BDG112" s="88"/>
      <c r="BDH112" s="88"/>
      <c r="BDI112" s="88"/>
      <c r="BDJ112" s="88"/>
      <c r="BDK112" s="88"/>
      <c r="BDL112" s="88"/>
      <c r="BDM112" s="88"/>
      <c r="BDN112" s="88"/>
      <c r="BDO112" s="88"/>
      <c r="BDP112" s="88"/>
      <c r="BDQ112" s="88"/>
      <c r="BDR112" s="88"/>
      <c r="BDS112" s="88"/>
      <c r="BDT112" s="88"/>
      <c r="BDU112" s="88"/>
      <c r="BDV112" s="88"/>
      <c r="BDW112" s="88"/>
      <c r="BDX112" s="88"/>
      <c r="BDY112" s="88"/>
      <c r="BDZ112" s="88"/>
      <c r="BEA112" s="88"/>
      <c r="BEB112" s="88"/>
      <c r="BEC112" s="88"/>
      <c r="BED112" s="88"/>
      <c r="BEE112" s="88"/>
      <c r="BEF112" s="88"/>
      <c r="BEG112" s="88"/>
      <c r="BEH112" s="88"/>
      <c r="BEI112" s="88"/>
      <c r="BEJ112" s="88"/>
      <c r="BEK112" s="88"/>
      <c r="BEL112" s="88"/>
      <c r="BEM112" s="88"/>
      <c r="BEN112" s="88"/>
      <c r="BEO112" s="88"/>
      <c r="BEP112" s="88"/>
      <c r="BEQ112" s="88"/>
      <c r="BER112" s="88"/>
      <c r="BES112" s="88"/>
      <c r="BET112" s="88"/>
      <c r="BEU112" s="88"/>
      <c r="BEV112" s="88"/>
      <c r="BEW112" s="88"/>
      <c r="BEX112" s="88"/>
      <c r="BEY112" s="88"/>
      <c r="BEZ112" s="88"/>
      <c r="BFA112" s="88"/>
      <c r="BFB112" s="88"/>
      <c r="BFC112" s="88"/>
      <c r="BFD112" s="88"/>
      <c r="BFE112" s="88"/>
      <c r="BFF112" s="88"/>
      <c r="BFG112" s="88"/>
      <c r="BFH112" s="88"/>
      <c r="BFI112" s="88"/>
      <c r="BFJ112" s="88"/>
      <c r="BFK112" s="88"/>
      <c r="BFL112" s="88"/>
      <c r="BFM112" s="88"/>
      <c r="BFN112" s="88"/>
      <c r="BFO112" s="88"/>
      <c r="BFP112" s="88"/>
      <c r="BFQ112" s="88"/>
      <c r="BFR112" s="88"/>
      <c r="BFS112" s="88"/>
      <c r="BFT112" s="88"/>
      <c r="BFU112" s="88"/>
      <c r="BFV112" s="88"/>
      <c r="BFW112" s="88"/>
      <c r="BFX112" s="88"/>
      <c r="BFY112" s="88"/>
      <c r="BFZ112" s="88"/>
      <c r="BGA112" s="88"/>
      <c r="BGB112" s="88"/>
      <c r="BGC112" s="88"/>
      <c r="BGD112" s="88"/>
      <c r="BGE112" s="88"/>
      <c r="BGF112" s="88"/>
      <c r="BGG112" s="88"/>
      <c r="BGH112" s="88"/>
      <c r="BGI112" s="88"/>
      <c r="BGJ112" s="88"/>
      <c r="BGK112" s="88"/>
      <c r="BGL112" s="88"/>
      <c r="BGM112" s="88"/>
      <c r="BGN112" s="88"/>
      <c r="BGO112" s="88"/>
      <c r="BGP112" s="88"/>
      <c r="BGQ112" s="88"/>
      <c r="BGR112" s="88"/>
      <c r="BGS112" s="88"/>
      <c r="BGT112" s="88"/>
      <c r="BGU112" s="88"/>
      <c r="BGV112" s="88"/>
      <c r="BGW112" s="88"/>
      <c r="BGX112" s="88"/>
      <c r="BGY112" s="88"/>
      <c r="BGZ112" s="88"/>
      <c r="BHA112" s="88"/>
      <c r="BHB112" s="88"/>
      <c r="BHC112" s="88"/>
      <c r="BHD112" s="88"/>
      <c r="BHE112" s="88"/>
      <c r="BHF112" s="88"/>
      <c r="BHG112" s="88"/>
      <c r="BHH112" s="88"/>
      <c r="BHI112" s="88"/>
      <c r="BHJ112" s="88"/>
      <c r="BHK112" s="88"/>
      <c r="BHL112" s="88"/>
      <c r="BHM112" s="88"/>
      <c r="BHN112" s="88"/>
      <c r="BHO112" s="88"/>
      <c r="BHP112" s="88"/>
      <c r="BHQ112" s="88"/>
      <c r="BHR112" s="88"/>
      <c r="BHS112" s="88"/>
      <c r="BHT112" s="88"/>
      <c r="BHU112" s="88"/>
      <c r="BHV112" s="88"/>
      <c r="BHW112" s="88"/>
      <c r="BHX112" s="88"/>
      <c r="BHY112" s="88"/>
      <c r="BHZ112" s="88"/>
      <c r="BIA112" s="88"/>
      <c r="BIB112" s="88"/>
      <c r="BIC112" s="88"/>
      <c r="BID112" s="88"/>
      <c r="BIE112" s="88"/>
      <c r="BIF112" s="88"/>
      <c r="BIG112" s="88"/>
      <c r="BIH112" s="88"/>
      <c r="BII112" s="88"/>
      <c r="BIJ112" s="88"/>
      <c r="BIK112" s="88"/>
      <c r="BIL112" s="88"/>
      <c r="BIM112" s="88"/>
      <c r="BIN112" s="88"/>
      <c r="BIO112" s="88"/>
      <c r="BIP112" s="88"/>
      <c r="BIQ112" s="88"/>
      <c r="BIR112" s="88"/>
      <c r="BIS112" s="88"/>
      <c r="BIT112" s="88"/>
      <c r="BIU112" s="88"/>
      <c r="BIV112" s="88"/>
      <c r="BIW112" s="88"/>
      <c r="BIX112" s="88"/>
      <c r="BIY112" s="88"/>
      <c r="BIZ112" s="88"/>
      <c r="BJA112" s="88"/>
      <c r="BJB112" s="88"/>
      <c r="BJC112" s="88"/>
      <c r="BJD112" s="88"/>
      <c r="BJE112" s="88"/>
      <c r="BJF112" s="88"/>
      <c r="BJG112" s="88"/>
      <c r="BJH112" s="88"/>
      <c r="BJI112" s="88"/>
      <c r="BJJ112" s="88"/>
      <c r="BJK112" s="88"/>
      <c r="BJL112" s="88"/>
      <c r="BJM112" s="88"/>
      <c r="BJN112" s="88"/>
      <c r="BJO112" s="88"/>
      <c r="BJP112" s="88"/>
      <c r="BJQ112" s="88"/>
      <c r="BJR112" s="88"/>
      <c r="BJS112" s="88"/>
      <c r="BJT112" s="88"/>
      <c r="BJU112" s="88"/>
      <c r="BJV112" s="88"/>
      <c r="BJW112" s="88"/>
      <c r="BJX112" s="88"/>
      <c r="BJY112" s="88"/>
      <c r="BJZ112" s="88"/>
      <c r="BKA112" s="88"/>
      <c r="BKB112" s="88"/>
      <c r="BKC112" s="88"/>
      <c r="BKD112" s="88"/>
      <c r="BKE112" s="88"/>
      <c r="BKF112" s="88"/>
      <c r="BKG112" s="88"/>
      <c r="BKH112" s="88"/>
      <c r="BKI112" s="88"/>
      <c r="BKJ112" s="88"/>
      <c r="BKK112" s="88"/>
      <c r="BKL112" s="88"/>
      <c r="BKM112" s="88"/>
      <c r="BKN112" s="88"/>
      <c r="BKO112" s="88"/>
      <c r="BKP112" s="88"/>
      <c r="BKQ112" s="88"/>
      <c r="BKR112" s="88"/>
      <c r="BKS112" s="88"/>
      <c r="BKT112" s="88"/>
      <c r="BKU112" s="88"/>
      <c r="BKV112" s="88"/>
      <c r="BKW112" s="88"/>
      <c r="BKX112" s="88"/>
      <c r="BKY112" s="88"/>
      <c r="BKZ112" s="88"/>
      <c r="BLA112" s="88"/>
      <c r="BLB112" s="88"/>
      <c r="BLC112" s="88"/>
      <c r="BLD112" s="88"/>
      <c r="BLE112" s="88"/>
      <c r="BLF112" s="88"/>
      <c r="BLG112" s="88"/>
      <c r="BLH112" s="88"/>
      <c r="BLI112" s="88"/>
      <c r="BLJ112" s="88"/>
      <c r="BLK112" s="88"/>
      <c r="BLL112" s="88"/>
      <c r="BLM112" s="88"/>
      <c r="BLN112" s="88"/>
      <c r="BLO112" s="88"/>
      <c r="BLP112" s="88"/>
      <c r="BLQ112" s="88"/>
      <c r="BLR112" s="88"/>
      <c r="BLS112" s="88"/>
      <c r="BLT112" s="88"/>
      <c r="BLU112" s="88"/>
      <c r="BLV112" s="88"/>
      <c r="BLW112" s="88"/>
      <c r="BLX112" s="88"/>
      <c r="BLY112" s="88"/>
      <c r="BLZ112" s="88"/>
      <c r="BMA112" s="88"/>
      <c r="BMB112" s="88"/>
      <c r="BMC112" s="88"/>
      <c r="BMD112" s="88"/>
      <c r="BME112" s="88"/>
      <c r="BMF112" s="88"/>
      <c r="BMG112" s="88"/>
      <c r="BMH112" s="88"/>
      <c r="BMI112" s="88"/>
      <c r="BMJ112" s="88"/>
      <c r="BMK112" s="88"/>
      <c r="BML112" s="88"/>
      <c r="BMM112" s="88"/>
      <c r="BMN112" s="88"/>
      <c r="BMO112" s="88"/>
      <c r="BMP112" s="88"/>
      <c r="BMQ112" s="88"/>
      <c r="BMR112" s="88"/>
      <c r="BMS112" s="88"/>
      <c r="BMT112" s="88"/>
      <c r="BMU112" s="88"/>
      <c r="BMV112" s="88"/>
      <c r="BMW112" s="88"/>
      <c r="BMX112" s="88"/>
      <c r="BMY112" s="88"/>
      <c r="BMZ112" s="88"/>
      <c r="BNA112" s="88"/>
      <c r="BNB112" s="88"/>
      <c r="BNC112" s="88"/>
      <c r="BND112" s="88"/>
      <c r="BNE112" s="88"/>
      <c r="BNF112" s="88"/>
      <c r="BNG112" s="88"/>
      <c r="BNH112" s="88"/>
      <c r="BNI112" s="88"/>
      <c r="BNJ112" s="88"/>
      <c r="BNK112" s="88"/>
      <c r="BNL112" s="88"/>
      <c r="BNM112" s="88"/>
      <c r="BNN112" s="88"/>
      <c r="BNO112" s="88"/>
      <c r="BNP112" s="88"/>
      <c r="BNQ112" s="88"/>
      <c r="BNR112" s="88"/>
      <c r="BNS112" s="88"/>
      <c r="BNT112" s="88"/>
      <c r="BNU112" s="88"/>
      <c r="BNV112" s="88"/>
      <c r="BNW112" s="88"/>
      <c r="BNX112" s="88"/>
      <c r="BNY112" s="88"/>
      <c r="BNZ112" s="88"/>
      <c r="BOA112" s="88"/>
      <c r="BOB112" s="88"/>
      <c r="BOC112" s="88"/>
      <c r="BOD112" s="88"/>
      <c r="BOE112" s="88"/>
      <c r="BOF112" s="88"/>
      <c r="BOG112" s="88"/>
      <c r="BOH112" s="88"/>
      <c r="BOI112" s="88"/>
      <c r="BOJ112" s="88"/>
      <c r="BOK112" s="88"/>
      <c r="BOL112" s="88"/>
      <c r="BOM112" s="88"/>
      <c r="BON112" s="88"/>
      <c r="BOO112" s="88"/>
      <c r="BOP112" s="88"/>
      <c r="BOQ112" s="88"/>
      <c r="BOR112" s="88"/>
      <c r="BOS112" s="88"/>
      <c r="BOT112" s="88"/>
      <c r="BOU112" s="88"/>
      <c r="BOV112" s="88"/>
      <c r="BOW112" s="88"/>
      <c r="BOX112" s="88"/>
      <c r="BOY112" s="88"/>
      <c r="BOZ112" s="88"/>
      <c r="BPA112" s="88"/>
      <c r="BPB112" s="88"/>
      <c r="BPC112" s="88"/>
      <c r="BPD112" s="88"/>
      <c r="BPE112" s="88"/>
      <c r="BPF112" s="88"/>
      <c r="BPG112" s="88"/>
      <c r="BPH112" s="88"/>
      <c r="BPI112" s="88"/>
      <c r="BPJ112" s="88"/>
      <c r="BPK112" s="88"/>
      <c r="BPL112" s="88"/>
      <c r="BPM112" s="88"/>
      <c r="BPN112" s="88"/>
      <c r="BPO112" s="88"/>
      <c r="BPP112" s="88"/>
      <c r="BPQ112" s="88"/>
      <c r="BPR112" s="88"/>
      <c r="BPS112" s="88"/>
      <c r="BPT112" s="88"/>
      <c r="BPU112" s="88"/>
      <c r="BPV112" s="88"/>
      <c r="BPW112" s="88"/>
      <c r="BPX112" s="88"/>
      <c r="BPY112" s="88"/>
      <c r="BPZ112" s="88"/>
      <c r="BQA112" s="88"/>
      <c r="BQB112" s="88"/>
      <c r="BQC112" s="88"/>
      <c r="BQD112" s="88"/>
      <c r="BQE112" s="88"/>
      <c r="BQF112" s="88"/>
      <c r="BQG112" s="88"/>
      <c r="BQH112" s="88"/>
      <c r="BQI112" s="88"/>
      <c r="BQJ112" s="88"/>
      <c r="BQK112" s="88"/>
      <c r="BQL112" s="88"/>
      <c r="BQM112" s="88"/>
      <c r="BQN112" s="88"/>
      <c r="BQO112" s="88"/>
      <c r="BQP112" s="88"/>
      <c r="BQQ112" s="88"/>
      <c r="BQR112" s="88"/>
      <c r="BQS112" s="88"/>
      <c r="BQT112" s="88"/>
      <c r="BQU112" s="88"/>
      <c r="BQV112" s="88"/>
      <c r="BQW112" s="88"/>
      <c r="BQX112" s="88"/>
      <c r="BQY112" s="88"/>
      <c r="BQZ112" s="88"/>
      <c r="BRA112" s="88"/>
      <c r="BRB112" s="88"/>
      <c r="BRC112" s="88"/>
      <c r="BRD112" s="88"/>
      <c r="BRE112" s="88"/>
      <c r="BRF112" s="88"/>
      <c r="BRG112" s="88"/>
      <c r="BRH112" s="88"/>
      <c r="BRI112" s="88"/>
      <c r="BRJ112" s="88"/>
      <c r="BRK112" s="88"/>
      <c r="BRL112" s="88"/>
      <c r="BRM112" s="88"/>
      <c r="BRN112" s="88"/>
      <c r="BRO112" s="88"/>
      <c r="BRP112" s="88"/>
      <c r="BRQ112" s="88"/>
      <c r="BRR112" s="88"/>
      <c r="BRS112" s="88"/>
      <c r="BRT112" s="88"/>
      <c r="BRU112" s="88"/>
      <c r="BRV112" s="88"/>
      <c r="BRW112" s="88"/>
      <c r="BRX112" s="88"/>
      <c r="BRY112" s="88"/>
      <c r="BRZ112" s="88"/>
      <c r="BSA112" s="88"/>
      <c r="BSB112" s="88"/>
      <c r="BSC112" s="88"/>
      <c r="BSD112" s="88"/>
      <c r="BSE112" s="88"/>
      <c r="BSF112" s="88"/>
      <c r="BSG112" s="88"/>
      <c r="BSH112" s="88"/>
      <c r="BSI112" s="88"/>
      <c r="BSJ112" s="88"/>
      <c r="BSK112" s="88"/>
      <c r="BSL112" s="88"/>
      <c r="BSM112" s="88"/>
      <c r="BSN112" s="88"/>
      <c r="BSO112" s="88"/>
      <c r="BSP112" s="88"/>
      <c r="BSQ112" s="88"/>
      <c r="BSR112" s="88"/>
      <c r="BSS112" s="88"/>
      <c r="BST112" s="88"/>
      <c r="BSU112" s="88"/>
      <c r="BSV112" s="88"/>
      <c r="BSW112" s="88"/>
      <c r="BSX112" s="88"/>
      <c r="BSY112" s="88"/>
      <c r="BSZ112" s="88"/>
      <c r="BTA112" s="88"/>
      <c r="BTB112" s="88"/>
      <c r="BTC112" s="88"/>
      <c r="BTD112" s="88"/>
      <c r="BTE112" s="88"/>
      <c r="BTF112" s="88"/>
      <c r="BTG112" s="88"/>
      <c r="BTH112" s="88"/>
      <c r="BTI112" s="88"/>
      <c r="BTJ112" s="88"/>
      <c r="BTK112" s="88"/>
      <c r="BTL112" s="88"/>
      <c r="BTM112" s="88"/>
      <c r="BTN112" s="88"/>
      <c r="BTO112" s="88"/>
      <c r="BTP112" s="88"/>
      <c r="BTQ112" s="88"/>
      <c r="BTR112" s="88"/>
      <c r="BTS112" s="88"/>
      <c r="BTT112" s="88"/>
      <c r="BTU112" s="88"/>
      <c r="BTV112" s="88"/>
      <c r="BTW112" s="88"/>
      <c r="BTX112" s="88"/>
      <c r="BTY112" s="88"/>
      <c r="BTZ112" s="88"/>
      <c r="BUA112" s="88"/>
      <c r="BUB112" s="88"/>
      <c r="BUC112" s="88"/>
      <c r="BUD112" s="88"/>
      <c r="BUE112" s="88"/>
      <c r="BUF112" s="88"/>
      <c r="BUG112" s="88"/>
      <c r="BUH112" s="88"/>
      <c r="BUI112" s="88"/>
      <c r="BUJ112" s="88"/>
      <c r="BUK112" s="88"/>
      <c r="BUL112" s="88"/>
      <c r="BUM112" s="88"/>
      <c r="BUN112" s="88"/>
      <c r="BUO112" s="88"/>
      <c r="BUP112" s="88"/>
      <c r="BUQ112" s="88"/>
      <c r="BUR112" s="88"/>
      <c r="BUS112" s="88"/>
      <c r="BUT112" s="88"/>
      <c r="BUU112" s="88"/>
      <c r="BUV112" s="88"/>
      <c r="BUW112" s="88"/>
      <c r="BUX112" s="88"/>
      <c r="BUY112" s="88"/>
      <c r="BUZ112" s="88"/>
      <c r="BVA112" s="88"/>
      <c r="BVB112" s="88"/>
      <c r="BVC112" s="88"/>
      <c r="BVD112" s="88"/>
      <c r="BVE112" s="88"/>
      <c r="BVF112" s="88"/>
      <c r="BVG112" s="88"/>
      <c r="BVH112" s="88"/>
      <c r="BVI112" s="88"/>
      <c r="BVJ112" s="88"/>
      <c r="BVK112" s="88"/>
      <c r="BVL112" s="88"/>
      <c r="BVM112" s="88"/>
      <c r="BVN112" s="88"/>
      <c r="BVO112" s="88"/>
      <c r="BVP112" s="88"/>
      <c r="BVQ112" s="88"/>
      <c r="BVR112" s="88"/>
      <c r="BVS112" s="88"/>
      <c r="BVT112" s="88"/>
      <c r="BVU112" s="88"/>
      <c r="BVV112" s="88"/>
      <c r="BVW112" s="88"/>
      <c r="BVX112" s="88"/>
      <c r="BVY112" s="88"/>
      <c r="BVZ112" s="88"/>
      <c r="BWA112" s="88"/>
      <c r="BWB112" s="88"/>
      <c r="BWC112" s="88"/>
      <c r="BWD112" s="88"/>
      <c r="BWE112" s="88"/>
      <c r="BWF112" s="88"/>
      <c r="BWG112" s="88"/>
      <c r="BWH112" s="88"/>
      <c r="BWI112" s="88"/>
      <c r="BWJ112" s="88"/>
      <c r="BWK112" s="88"/>
      <c r="BWL112" s="88"/>
      <c r="BWM112" s="88"/>
      <c r="BWN112" s="88"/>
      <c r="BWO112" s="88"/>
      <c r="BWP112" s="88"/>
      <c r="BWQ112" s="88"/>
      <c r="BWR112" s="88"/>
      <c r="BWS112" s="88"/>
      <c r="BWT112" s="88"/>
      <c r="BWU112" s="88"/>
      <c r="BWV112" s="88"/>
      <c r="BWW112" s="88"/>
      <c r="BWX112" s="88"/>
      <c r="BWY112" s="88"/>
      <c r="BWZ112" s="88"/>
      <c r="BXA112" s="88"/>
      <c r="BXB112" s="88"/>
      <c r="BXC112" s="88"/>
      <c r="BXD112" s="88"/>
      <c r="BXE112" s="88"/>
      <c r="BXF112" s="88"/>
      <c r="BXG112" s="88"/>
      <c r="BXH112" s="88"/>
      <c r="BXI112" s="88"/>
      <c r="BXJ112" s="88"/>
      <c r="BXK112" s="88"/>
      <c r="BXL112" s="88"/>
      <c r="BXM112" s="88"/>
      <c r="BXN112" s="88"/>
      <c r="BXO112" s="88"/>
      <c r="BXP112" s="88"/>
      <c r="BXQ112" s="88"/>
      <c r="BXR112" s="88"/>
      <c r="BXS112" s="88"/>
      <c r="BXT112" s="88"/>
      <c r="BXU112" s="88"/>
      <c r="BXV112" s="88"/>
      <c r="BXW112" s="88"/>
      <c r="BXX112" s="88"/>
      <c r="BXY112" s="88"/>
      <c r="BXZ112" s="88"/>
      <c r="BYA112" s="88"/>
      <c r="BYB112" s="88"/>
      <c r="BYC112" s="88"/>
      <c r="BYD112" s="88"/>
      <c r="BYE112" s="88"/>
      <c r="BYF112" s="88"/>
      <c r="BYG112" s="88"/>
      <c r="BYH112" s="88"/>
      <c r="BYI112" s="88"/>
      <c r="BYJ112" s="88"/>
      <c r="BYK112" s="88"/>
      <c r="BYL112" s="88"/>
      <c r="BYM112" s="88"/>
      <c r="BYN112" s="88"/>
      <c r="BYO112" s="88"/>
      <c r="BYP112" s="88"/>
      <c r="BYQ112" s="88"/>
      <c r="BYR112" s="88"/>
      <c r="BYS112" s="88"/>
      <c r="BYT112" s="88"/>
      <c r="BYU112" s="88"/>
      <c r="BYV112" s="88"/>
      <c r="BYW112" s="88"/>
      <c r="BYX112" s="88"/>
      <c r="BYY112" s="88"/>
      <c r="BYZ112" s="88"/>
      <c r="BZA112" s="88"/>
      <c r="BZB112" s="88"/>
      <c r="BZC112" s="88"/>
      <c r="BZD112" s="88"/>
      <c r="BZE112" s="88"/>
      <c r="BZF112" s="88"/>
      <c r="BZG112" s="88"/>
      <c r="BZH112" s="88"/>
      <c r="BZI112" s="88"/>
      <c r="BZJ112" s="88"/>
      <c r="BZK112" s="88"/>
      <c r="BZL112" s="88"/>
      <c r="BZM112" s="88"/>
      <c r="BZN112" s="88"/>
      <c r="BZO112" s="88"/>
      <c r="BZP112" s="88"/>
      <c r="BZQ112" s="88"/>
      <c r="BZR112" s="88"/>
      <c r="BZS112" s="88"/>
      <c r="BZT112" s="88"/>
      <c r="BZU112" s="88"/>
      <c r="BZV112" s="88"/>
      <c r="BZW112" s="88"/>
      <c r="BZX112" s="88"/>
      <c r="BZY112" s="88"/>
      <c r="BZZ112" s="88"/>
      <c r="CAA112" s="88"/>
      <c r="CAB112" s="88"/>
      <c r="CAC112" s="88"/>
      <c r="CAD112" s="88"/>
      <c r="CAE112" s="88"/>
      <c r="CAF112" s="88"/>
      <c r="CAG112" s="88"/>
      <c r="CAH112" s="88"/>
      <c r="CAI112" s="88"/>
      <c r="CAJ112" s="88"/>
      <c r="CAK112" s="88"/>
      <c r="CAL112" s="88"/>
      <c r="CAM112" s="88"/>
      <c r="CAN112" s="88"/>
      <c r="CAO112" s="88"/>
      <c r="CAP112" s="88"/>
      <c r="CAQ112" s="88"/>
      <c r="CAR112" s="88"/>
      <c r="CAS112" s="88"/>
      <c r="CAT112" s="88"/>
      <c r="CAU112" s="88"/>
      <c r="CAV112" s="88"/>
      <c r="CAW112" s="88"/>
      <c r="CAX112" s="88"/>
      <c r="CAY112" s="88"/>
      <c r="CAZ112" s="88"/>
      <c r="CBA112" s="88"/>
      <c r="CBB112" s="88"/>
      <c r="CBC112" s="88"/>
      <c r="CBD112" s="88"/>
      <c r="CBE112" s="88"/>
      <c r="CBF112" s="88"/>
      <c r="CBG112" s="88"/>
      <c r="CBH112" s="88"/>
      <c r="CBI112" s="88"/>
      <c r="CBJ112" s="88"/>
      <c r="CBK112" s="88"/>
      <c r="CBL112" s="88"/>
      <c r="CBM112" s="88"/>
      <c r="CBN112" s="88"/>
      <c r="CBO112" s="88"/>
      <c r="CBP112" s="88"/>
      <c r="CBQ112" s="88"/>
      <c r="CBR112" s="88"/>
      <c r="CBS112" s="88"/>
      <c r="CBT112" s="88"/>
      <c r="CBU112" s="88"/>
      <c r="CBV112" s="88"/>
      <c r="CBW112" s="88"/>
      <c r="CBX112" s="88"/>
      <c r="CBY112" s="88"/>
      <c r="CBZ112" s="88"/>
      <c r="CCA112" s="88"/>
      <c r="CCB112" s="88"/>
      <c r="CCC112" s="88"/>
      <c r="CCD112" s="88"/>
      <c r="CCE112" s="88"/>
      <c r="CCF112" s="88"/>
      <c r="CCG112" s="88"/>
      <c r="CCH112" s="88"/>
      <c r="CCI112" s="88"/>
      <c r="CCJ112" s="88"/>
      <c r="CCK112" s="88"/>
      <c r="CCL112" s="88"/>
      <c r="CCM112" s="88"/>
      <c r="CCN112" s="88"/>
      <c r="CCO112" s="88"/>
      <c r="CCP112" s="88"/>
      <c r="CCQ112" s="88"/>
      <c r="CCR112" s="88"/>
      <c r="CCS112" s="88"/>
      <c r="CCT112" s="88"/>
      <c r="CCU112" s="88"/>
      <c r="CCV112" s="88"/>
      <c r="CCW112" s="88"/>
      <c r="CCX112" s="88"/>
      <c r="CCY112" s="88"/>
      <c r="CCZ112" s="88"/>
      <c r="CDA112" s="88"/>
      <c r="CDB112" s="88"/>
      <c r="CDC112" s="88"/>
      <c r="CDD112" s="88"/>
      <c r="CDE112" s="88"/>
      <c r="CDF112" s="88"/>
      <c r="CDG112" s="88"/>
      <c r="CDH112" s="88"/>
      <c r="CDI112" s="88"/>
      <c r="CDJ112" s="88"/>
      <c r="CDK112" s="88"/>
      <c r="CDL112" s="88"/>
      <c r="CDM112" s="88"/>
      <c r="CDN112" s="88"/>
      <c r="CDO112" s="88"/>
      <c r="CDP112" s="88"/>
      <c r="CDQ112" s="88"/>
      <c r="CDR112" s="88"/>
      <c r="CDS112" s="88"/>
      <c r="CDT112" s="88"/>
      <c r="CDU112" s="88"/>
      <c r="CDV112" s="88"/>
      <c r="CDW112" s="88"/>
      <c r="CDX112" s="88"/>
      <c r="CDY112" s="88"/>
      <c r="CDZ112" s="88"/>
      <c r="CEA112" s="88"/>
      <c r="CEB112" s="88"/>
      <c r="CEC112" s="88"/>
      <c r="CED112" s="88"/>
      <c r="CEE112" s="88"/>
      <c r="CEF112" s="88"/>
      <c r="CEG112" s="88"/>
      <c r="CEH112" s="88"/>
      <c r="CEI112" s="88"/>
      <c r="CEJ112" s="88"/>
      <c r="CEK112" s="88"/>
    </row>
    <row r="113" spans="1:2169" s="63" customFormat="1">
      <c r="A113" s="73" t="s">
        <v>801</v>
      </c>
      <c r="B113" s="71" t="s">
        <v>521</v>
      </c>
      <c r="C113" s="68" t="str">
        <f>IF('page 2'!$O$4="","",IF('page 2'!$O$4=Gestion!A113,1,0))</f>
        <v/>
      </c>
      <c r="D113" s="68" t="str">
        <f>IF('page 2'!$O$5="","",IF('page 2'!$O$5=Gestion!A113,1,0))</f>
        <v/>
      </c>
      <c r="E113" s="68" t="str">
        <f>IF('page 2'!$O$6="","",IF('page 2'!$O$6=Gestion!A113,1,0))</f>
        <v/>
      </c>
      <c r="F113" s="68" t="str">
        <f>IF('page 2'!$O$7="","",IF('page 2'!$O$7=Gestion!A113,1,0))</f>
        <v/>
      </c>
      <c r="G113" s="68" t="str">
        <f>IF('page 2'!$O$8="","",IF('page 2'!$O$8=Gestion!A113,1,0))</f>
        <v/>
      </c>
      <c r="H113" s="68" t="str">
        <f>IF('page 2'!$O$9="","",IF('page 2'!$O$9=Gestion!A113,1,0))</f>
        <v/>
      </c>
      <c r="I113" s="68" t="str">
        <f>IF('page 2'!$O$10="","",IF('page 2'!$O$10=Gestion!A113,1,0))</f>
        <v/>
      </c>
      <c r="J113" s="68" t="str">
        <f>IF('page 2'!$O$11="","",IF('page 2'!$O$11=Gestion!A113,1,0))</f>
        <v/>
      </c>
      <c r="K113" s="68" t="str">
        <f>IF('page 2'!$O$12="","",IF('page 2'!$O$12=Gestion!A113,1,0))</f>
        <v/>
      </c>
      <c r="L113" s="68" t="str">
        <f>IF('page 2'!$O$13="","",IF('page 2'!$O$13=Gestion!A113,1,0))</f>
        <v/>
      </c>
      <c r="M113" s="68" t="str">
        <f>IF('page 2'!$O$14="","",IF('page 2'!$O$14=Gestion!A113,1,0))</f>
        <v/>
      </c>
      <c r="N113" s="68" t="str">
        <f>IF('page 2'!$O$15="","",IF('page 2'!$O$15=Gestion!A113,1,0))</f>
        <v/>
      </c>
      <c r="O113" s="68" t="str">
        <f>IF('page 2'!$O$16="","",IF('page 2'!$O$16=Gestion!A113,1,0))</f>
        <v/>
      </c>
      <c r="P113" s="68" t="str">
        <f>IF('page 2'!$O$17="","",IF('page 2'!$O$17=Gestion!A113,1,0))</f>
        <v/>
      </c>
      <c r="Q113" s="68" t="str">
        <f>IF('page 2'!$O$18="","",IF('page 2'!$O$18=Gestion!A113,1,0))</f>
        <v/>
      </c>
      <c r="R113" s="68" t="str">
        <f>IF('page 2'!$O$19="","",IF('page 2'!$O$19=Gestion!A113,1,0))</f>
        <v/>
      </c>
      <c r="S113" s="68" t="str">
        <f>IF('page 2'!$O$20="","",IF('page 2'!$O$20=Gestion!A113,1,0))</f>
        <v/>
      </c>
      <c r="T113" s="68" t="str">
        <f>IF('page 2'!$O$25="","",IF('page 2'!$O$25=Gestion!A113,1,0))</f>
        <v/>
      </c>
      <c r="U113" s="68" t="str">
        <f>IF('page 2'!$O$26="","",IF('page 2'!$O$26=Gestion!A113,1,0))</f>
        <v/>
      </c>
      <c r="V113" s="68" t="str">
        <f>IF('page 2'!$O$27="","",IF('page 2'!$O$27=Gestion!A113,1,0))</f>
        <v/>
      </c>
      <c r="W113" s="722">
        <f t="shared" si="14"/>
        <v>0</v>
      </c>
      <c r="X113" s="714"/>
      <c r="Y113" s="68"/>
      <c r="Z113" s="68"/>
      <c r="AA113" s="68"/>
      <c r="AB113" s="68"/>
      <c r="AC113" s="68"/>
      <c r="AD113" s="68"/>
      <c r="AP113" s="130"/>
      <c r="AQ113" s="130"/>
      <c r="AR113" s="130"/>
      <c r="AS113" s="576"/>
      <c r="AT113" s="576"/>
      <c r="AU113" s="576"/>
      <c r="AV113" s="576"/>
      <c r="AW113" s="602"/>
      <c r="AX113" s="602"/>
      <c r="AY113" s="576"/>
      <c r="AZ113" s="576"/>
      <c r="BA113" s="576"/>
      <c r="BB113" s="576"/>
      <c r="BC113" s="576"/>
      <c r="BD113" s="602"/>
      <c r="BE113" s="602"/>
      <c r="BF113" s="602"/>
      <c r="BG113" s="602"/>
      <c r="BH113" s="602"/>
      <c r="BI113" s="602"/>
      <c r="BJ113" s="602"/>
      <c r="BK113" s="602"/>
      <c r="BL113" s="602"/>
      <c r="BM113" s="602"/>
      <c r="BN113" s="602"/>
      <c r="BO113" s="602"/>
      <c r="BP113" s="602"/>
      <c r="BQ113" s="602"/>
      <c r="BR113" s="602"/>
      <c r="BS113" s="576"/>
      <c r="BT113" s="576"/>
      <c r="BU113" s="576"/>
      <c r="BV113" s="576"/>
      <c r="BW113" s="602"/>
      <c r="BX113" s="602"/>
      <c r="BY113" s="602"/>
      <c r="BZ113" s="576"/>
      <c r="CA113" s="602"/>
      <c r="CB113" s="602"/>
      <c r="CC113" s="576"/>
      <c r="CD113" s="576"/>
      <c r="CE113" s="602"/>
      <c r="CF113" s="576"/>
      <c r="CG113" s="576"/>
      <c r="CH113" s="576"/>
      <c r="CI113" s="576"/>
      <c r="CJ113" s="576"/>
      <c r="CK113" s="602"/>
      <c r="CL113" s="602"/>
      <c r="CM113" s="576"/>
      <c r="CN113" s="602"/>
      <c r="CO113" s="602"/>
      <c r="CP113" s="602"/>
      <c r="CQ113" s="576"/>
      <c r="CR113" s="576"/>
      <c r="CS113" s="602"/>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c r="HF113" s="88"/>
      <c r="HG113" s="88"/>
      <c r="HH113" s="88"/>
      <c r="HI113" s="88"/>
      <c r="HJ113" s="88"/>
      <c r="HK113" s="88"/>
      <c r="HL113" s="88"/>
      <c r="HM113" s="88"/>
      <c r="HN113" s="88"/>
      <c r="HO113" s="88"/>
      <c r="HP113" s="88"/>
      <c r="HQ113" s="88"/>
      <c r="HR113" s="88"/>
      <c r="HS113" s="88"/>
      <c r="HT113" s="88"/>
      <c r="HU113" s="88"/>
      <c r="HV113" s="88"/>
      <c r="HW113" s="88"/>
      <c r="HX113" s="88"/>
      <c r="HY113" s="88"/>
      <c r="HZ113" s="88"/>
      <c r="IA113" s="88"/>
      <c r="IB113" s="88"/>
      <c r="IC113" s="88"/>
      <c r="ID113" s="88"/>
      <c r="IE113" s="88"/>
      <c r="IF113" s="88"/>
      <c r="IG113" s="88"/>
      <c r="IH113" s="88"/>
      <c r="II113" s="88"/>
      <c r="IJ113" s="88"/>
      <c r="IK113" s="88"/>
      <c r="IL113" s="88"/>
      <c r="IM113" s="88"/>
      <c r="IN113" s="88"/>
      <c r="IO113" s="88"/>
      <c r="IP113" s="88"/>
      <c r="IQ113" s="88"/>
      <c r="IR113" s="88"/>
      <c r="IS113" s="88"/>
      <c r="IT113" s="88"/>
      <c r="IU113" s="88"/>
      <c r="IV113" s="88"/>
      <c r="IW113" s="88"/>
      <c r="IX113" s="88"/>
      <c r="IY113" s="88"/>
      <c r="IZ113" s="88"/>
      <c r="JA113" s="88"/>
      <c r="JB113" s="88"/>
      <c r="JC113" s="88"/>
      <c r="JD113" s="88"/>
      <c r="JE113" s="88"/>
      <c r="JF113" s="88"/>
      <c r="JG113" s="88"/>
      <c r="JH113" s="88"/>
      <c r="JI113" s="88"/>
      <c r="JJ113" s="88"/>
      <c r="JK113" s="88"/>
      <c r="JL113" s="88"/>
      <c r="JM113" s="88"/>
      <c r="JN113" s="88"/>
      <c r="JO113" s="88"/>
      <c r="JP113" s="88"/>
      <c r="JQ113" s="88"/>
      <c r="JR113" s="88"/>
      <c r="JS113" s="88"/>
      <c r="JT113" s="88"/>
      <c r="JU113" s="88"/>
      <c r="JV113" s="88"/>
      <c r="JW113" s="88"/>
      <c r="JX113" s="88"/>
      <c r="JY113" s="88"/>
      <c r="JZ113" s="88"/>
      <c r="KA113" s="88"/>
      <c r="KB113" s="88"/>
      <c r="KC113" s="88"/>
      <c r="KD113" s="88"/>
      <c r="KE113" s="88"/>
      <c r="KF113" s="88"/>
      <c r="KG113" s="88"/>
      <c r="KH113" s="88"/>
      <c r="KI113" s="88"/>
      <c r="KJ113" s="88"/>
      <c r="KK113" s="88"/>
      <c r="KL113" s="88"/>
      <c r="KM113" s="88"/>
      <c r="KN113" s="88"/>
      <c r="KO113" s="88"/>
      <c r="KP113" s="88"/>
      <c r="KQ113" s="88"/>
      <c r="KR113" s="88"/>
      <c r="KS113" s="88"/>
      <c r="KT113" s="88"/>
      <c r="KU113" s="88"/>
      <c r="KV113" s="88"/>
      <c r="KW113" s="88"/>
      <c r="KX113" s="88"/>
      <c r="KY113" s="88"/>
      <c r="KZ113" s="88"/>
      <c r="LA113" s="88"/>
      <c r="LB113" s="88"/>
      <c r="LC113" s="88"/>
      <c r="LD113" s="88"/>
      <c r="LE113" s="88"/>
      <c r="LF113" s="88"/>
      <c r="LG113" s="88"/>
      <c r="LH113" s="88"/>
      <c r="LI113" s="88"/>
      <c r="LJ113" s="88"/>
      <c r="LK113" s="88"/>
      <c r="LL113" s="88"/>
      <c r="LM113" s="88"/>
      <c r="LN113" s="88"/>
      <c r="LO113" s="88"/>
      <c r="LP113" s="88"/>
      <c r="LQ113" s="88"/>
      <c r="LR113" s="88"/>
      <c r="LS113" s="88"/>
      <c r="LT113" s="88"/>
      <c r="LU113" s="88"/>
      <c r="LV113" s="88"/>
      <c r="LW113" s="88"/>
      <c r="LX113" s="88"/>
      <c r="LY113" s="88"/>
      <c r="LZ113" s="88"/>
      <c r="MA113" s="88"/>
      <c r="MB113" s="88"/>
      <c r="MC113" s="88"/>
      <c r="MD113" s="88"/>
      <c r="ME113" s="88"/>
      <c r="MF113" s="88"/>
      <c r="MG113" s="88"/>
      <c r="MH113" s="88"/>
      <c r="MI113" s="88"/>
      <c r="MJ113" s="88"/>
      <c r="MK113" s="88"/>
      <c r="ML113" s="88"/>
      <c r="MM113" s="88"/>
      <c r="MN113" s="88"/>
      <c r="MO113" s="88"/>
      <c r="MP113" s="88"/>
      <c r="MQ113" s="88"/>
      <c r="MR113" s="88"/>
      <c r="MS113" s="88"/>
      <c r="MT113" s="88"/>
      <c r="MU113" s="88"/>
      <c r="MV113" s="88"/>
      <c r="MW113" s="88"/>
      <c r="MX113" s="88"/>
      <c r="MY113" s="88"/>
      <c r="MZ113" s="88"/>
      <c r="NA113" s="88"/>
      <c r="NB113" s="88"/>
      <c r="NC113" s="88"/>
      <c r="ND113" s="88"/>
      <c r="NE113" s="88"/>
      <c r="NF113" s="88"/>
      <c r="NG113" s="88"/>
      <c r="NH113" s="88"/>
      <c r="NI113" s="88"/>
      <c r="NJ113" s="88"/>
      <c r="NK113" s="88"/>
      <c r="NL113" s="88"/>
      <c r="NM113" s="88"/>
      <c r="NN113" s="88"/>
      <c r="NO113" s="88"/>
      <c r="NP113" s="88"/>
      <c r="NQ113" s="88"/>
      <c r="NR113" s="88"/>
      <c r="NS113" s="88"/>
      <c r="NT113" s="88"/>
      <c r="NU113" s="88"/>
      <c r="NV113" s="88"/>
      <c r="NW113" s="88"/>
      <c r="NX113" s="88"/>
      <c r="NY113" s="88"/>
      <c r="NZ113" s="88"/>
      <c r="OA113" s="88"/>
      <c r="OB113" s="88"/>
      <c r="OC113" s="88"/>
      <c r="OD113" s="88"/>
      <c r="OE113" s="88"/>
      <c r="OF113" s="88"/>
      <c r="OG113" s="88"/>
      <c r="OH113" s="88"/>
      <c r="OI113" s="88"/>
      <c r="OJ113" s="88"/>
      <c r="OK113" s="88"/>
      <c r="OL113" s="88"/>
      <c r="OM113" s="88"/>
      <c r="ON113" s="88"/>
      <c r="OO113" s="88"/>
      <c r="OP113" s="88"/>
      <c r="OQ113" s="88"/>
      <c r="OR113" s="88"/>
      <c r="OS113" s="88"/>
      <c r="OT113" s="88"/>
      <c r="OU113" s="88"/>
      <c r="OV113" s="88"/>
      <c r="OW113" s="88"/>
      <c r="OX113" s="88"/>
      <c r="OY113" s="88"/>
      <c r="OZ113" s="88"/>
      <c r="PA113" s="88"/>
      <c r="PB113" s="88"/>
      <c r="PC113" s="88"/>
      <c r="PD113" s="88"/>
      <c r="PE113" s="88"/>
      <c r="PF113" s="88"/>
      <c r="PG113" s="88"/>
      <c r="PH113" s="88"/>
      <c r="PI113" s="88"/>
      <c r="PJ113" s="88"/>
      <c r="PK113" s="88"/>
      <c r="PL113" s="88"/>
      <c r="PM113" s="88"/>
      <c r="PN113" s="88"/>
      <c r="PO113" s="88"/>
      <c r="PP113" s="88"/>
      <c r="PQ113" s="88"/>
      <c r="PR113" s="88"/>
      <c r="PS113" s="88"/>
      <c r="PT113" s="88"/>
      <c r="PU113" s="88"/>
      <c r="PV113" s="88"/>
      <c r="PW113" s="88"/>
      <c r="PX113" s="88"/>
      <c r="PY113" s="88"/>
      <c r="PZ113" s="88"/>
      <c r="QA113" s="88"/>
      <c r="QB113" s="88"/>
      <c r="QC113" s="88"/>
      <c r="QD113" s="88"/>
      <c r="QE113" s="88"/>
      <c r="QF113" s="88"/>
      <c r="QG113" s="88"/>
      <c r="QH113" s="88"/>
      <c r="QI113" s="88"/>
      <c r="QJ113" s="88"/>
      <c r="QK113" s="88"/>
      <c r="QL113" s="88"/>
      <c r="QM113" s="88"/>
      <c r="QN113" s="88"/>
      <c r="QO113" s="88"/>
      <c r="QP113" s="88"/>
      <c r="QQ113" s="88"/>
      <c r="QR113" s="88"/>
      <c r="QS113" s="88"/>
      <c r="QT113" s="88"/>
      <c r="QU113" s="88"/>
      <c r="QV113" s="88"/>
      <c r="QW113" s="88"/>
      <c r="QX113" s="88"/>
      <c r="QY113" s="88"/>
      <c r="QZ113" s="88"/>
      <c r="RA113" s="88"/>
      <c r="RB113" s="88"/>
      <c r="RC113" s="88"/>
      <c r="RD113" s="88"/>
      <c r="RE113" s="88"/>
      <c r="RF113" s="88"/>
      <c r="RG113" s="88"/>
      <c r="RH113" s="88"/>
      <c r="RI113" s="88"/>
      <c r="RJ113" s="88"/>
      <c r="RK113" s="88"/>
      <c r="RL113" s="88"/>
      <c r="RM113" s="88"/>
      <c r="RN113" s="88"/>
      <c r="RO113" s="88"/>
      <c r="RP113" s="88"/>
      <c r="RQ113" s="88"/>
      <c r="RR113" s="88"/>
      <c r="RS113" s="88"/>
      <c r="RT113" s="88"/>
      <c r="RU113" s="88"/>
      <c r="RV113" s="88"/>
      <c r="RW113" s="88"/>
      <c r="RX113" s="88"/>
      <c r="RY113" s="88"/>
      <c r="RZ113" s="88"/>
      <c r="SA113" s="88"/>
      <c r="SB113" s="88"/>
      <c r="SC113" s="88"/>
      <c r="SD113" s="88"/>
      <c r="SE113" s="88"/>
      <c r="SF113" s="88"/>
      <c r="SG113" s="88"/>
      <c r="SH113" s="88"/>
      <c r="SI113" s="88"/>
      <c r="SJ113" s="88"/>
      <c r="SK113" s="88"/>
      <c r="SL113" s="88"/>
      <c r="SM113" s="88"/>
      <c r="SN113" s="88"/>
      <c r="SO113" s="88"/>
      <c r="SP113" s="88"/>
      <c r="SQ113" s="88"/>
      <c r="SR113" s="88"/>
      <c r="SS113" s="88"/>
      <c r="ST113" s="88"/>
      <c r="SU113" s="88"/>
      <c r="SV113" s="88"/>
      <c r="SW113" s="88"/>
      <c r="SX113" s="88"/>
      <c r="SY113" s="88"/>
      <c r="SZ113" s="88"/>
      <c r="TA113" s="88"/>
      <c r="TB113" s="88"/>
      <c r="TC113" s="88"/>
      <c r="TD113" s="88"/>
      <c r="TE113" s="88"/>
      <c r="TF113" s="88"/>
      <c r="TG113" s="88"/>
      <c r="TH113" s="88"/>
      <c r="TI113" s="88"/>
      <c r="TJ113" s="88"/>
      <c r="TK113" s="88"/>
      <c r="TL113" s="88"/>
      <c r="TM113" s="88"/>
      <c r="TN113" s="88"/>
      <c r="TO113" s="88"/>
      <c r="TP113" s="88"/>
      <c r="TQ113" s="88"/>
      <c r="TR113" s="88"/>
      <c r="TS113" s="88"/>
      <c r="TT113" s="88"/>
      <c r="TU113" s="88"/>
      <c r="TV113" s="88"/>
      <c r="TW113" s="88"/>
      <c r="TX113" s="88"/>
      <c r="TY113" s="88"/>
      <c r="TZ113" s="88"/>
      <c r="UA113" s="88"/>
      <c r="UB113" s="88"/>
      <c r="UC113" s="88"/>
      <c r="UD113" s="88"/>
      <c r="UE113" s="88"/>
      <c r="UF113" s="88"/>
      <c r="UG113" s="88"/>
      <c r="UH113" s="88"/>
      <c r="UI113" s="88"/>
      <c r="UJ113" s="88"/>
      <c r="UK113" s="88"/>
      <c r="UL113" s="88"/>
      <c r="UM113" s="88"/>
      <c r="UN113" s="88"/>
      <c r="UO113" s="88"/>
      <c r="UP113" s="88"/>
      <c r="UQ113" s="88"/>
      <c r="UR113" s="88"/>
      <c r="US113" s="88"/>
      <c r="UT113" s="88"/>
      <c r="UU113" s="88"/>
      <c r="UV113" s="88"/>
      <c r="UW113" s="88"/>
      <c r="UX113" s="88"/>
      <c r="UY113" s="88"/>
      <c r="UZ113" s="88"/>
      <c r="VA113" s="88"/>
      <c r="VB113" s="88"/>
      <c r="VC113" s="88"/>
      <c r="VD113" s="88"/>
      <c r="VE113" s="88"/>
      <c r="VF113" s="88"/>
      <c r="VG113" s="88"/>
      <c r="VH113" s="88"/>
      <c r="VI113" s="88"/>
      <c r="VJ113" s="88"/>
      <c r="VK113" s="88"/>
      <c r="VL113" s="88"/>
      <c r="VM113" s="88"/>
      <c r="VN113" s="88"/>
      <c r="VO113" s="88"/>
      <c r="VP113" s="88"/>
      <c r="VQ113" s="88"/>
      <c r="VR113" s="88"/>
      <c r="VS113" s="88"/>
      <c r="VT113" s="88"/>
      <c r="VU113" s="88"/>
      <c r="VV113" s="88"/>
      <c r="VW113" s="88"/>
      <c r="VX113" s="88"/>
      <c r="VY113" s="88"/>
      <c r="VZ113" s="88"/>
      <c r="WA113" s="88"/>
      <c r="WB113" s="88"/>
      <c r="WC113" s="88"/>
      <c r="WD113" s="88"/>
      <c r="WE113" s="88"/>
      <c r="WF113" s="88"/>
      <c r="WG113" s="88"/>
      <c r="WH113" s="88"/>
      <c r="WI113" s="88"/>
      <c r="WJ113" s="88"/>
      <c r="WK113" s="88"/>
      <c r="WL113" s="88"/>
      <c r="WM113" s="88"/>
      <c r="WN113" s="88"/>
      <c r="WO113" s="88"/>
      <c r="WP113" s="88"/>
      <c r="WQ113" s="88"/>
      <c r="WR113" s="88"/>
      <c r="WS113" s="88"/>
      <c r="WT113" s="88"/>
      <c r="WU113" s="88"/>
      <c r="WV113" s="88"/>
      <c r="WW113" s="88"/>
      <c r="WX113" s="88"/>
      <c r="WY113" s="88"/>
      <c r="WZ113" s="88"/>
      <c r="XA113" s="88"/>
      <c r="XB113" s="88"/>
      <c r="XC113" s="88"/>
      <c r="XD113" s="88"/>
      <c r="XE113" s="88"/>
      <c r="XF113" s="88"/>
      <c r="XG113" s="88"/>
      <c r="XH113" s="88"/>
      <c r="XI113" s="88"/>
      <c r="XJ113" s="88"/>
      <c r="XK113" s="88"/>
      <c r="XL113" s="88"/>
      <c r="XM113" s="88"/>
      <c r="XN113" s="88"/>
      <c r="XO113" s="88"/>
      <c r="XP113" s="88"/>
      <c r="XQ113" s="88"/>
      <c r="XR113" s="88"/>
      <c r="XS113" s="88"/>
      <c r="XT113" s="88"/>
      <c r="XU113" s="88"/>
      <c r="XV113" s="88"/>
      <c r="XW113" s="88"/>
      <c r="XX113" s="88"/>
      <c r="XY113" s="88"/>
      <c r="XZ113" s="88"/>
      <c r="YA113" s="88"/>
      <c r="YB113" s="88"/>
      <c r="YC113" s="88"/>
      <c r="YD113" s="88"/>
      <c r="YE113" s="88"/>
      <c r="YF113" s="88"/>
      <c r="YG113" s="88"/>
      <c r="YH113" s="88"/>
      <c r="YI113" s="88"/>
      <c r="YJ113" s="88"/>
      <c r="YK113" s="88"/>
      <c r="YL113" s="88"/>
      <c r="YM113" s="88"/>
      <c r="YN113" s="88"/>
      <c r="YO113" s="88"/>
      <c r="YP113" s="88"/>
      <c r="YQ113" s="88"/>
      <c r="YR113" s="88"/>
      <c r="YS113" s="88"/>
      <c r="YT113" s="88"/>
      <c r="YU113" s="88"/>
      <c r="YV113" s="88"/>
      <c r="YW113" s="88"/>
      <c r="YX113" s="88"/>
      <c r="YY113" s="88"/>
      <c r="YZ113" s="88"/>
      <c r="ZA113" s="88"/>
      <c r="ZB113" s="88"/>
      <c r="ZC113" s="88"/>
      <c r="ZD113" s="88"/>
      <c r="ZE113" s="88"/>
      <c r="ZF113" s="88"/>
      <c r="ZG113" s="88"/>
      <c r="ZH113" s="88"/>
      <c r="ZI113" s="88"/>
      <c r="ZJ113" s="88"/>
      <c r="ZK113" s="88"/>
      <c r="ZL113" s="88"/>
      <c r="ZM113" s="88"/>
      <c r="ZN113" s="88"/>
      <c r="ZO113" s="88"/>
      <c r="ZP113" s="88"/>
      <c r="ZQ113" s="88"/>
      <c r="ZR113" s="88"/>
      <c r="ZS113" s="88"/>
      <c r="ZT113" s="88"/>
      <c r="ZU113" s="88"/>
      <c r="ZV113" s="88"/>
      <c r="ZW113" s="88"/>
      <c r="ZX113" s="88"/>
      <c r="ZY113" s="88"/>
      <c r="ZZ113" s="88"/>
      <c r="AAA113" s="88"/>
      <c r="AAB113" s="88"/>
      <c r="AAC113" s="88"/>
      <c r="AAD113" s="88"/>
      <c r="AAE113" s="88"/>
      <c r="AAF113" s="88"/>
      <c r="AAG113" s="88"/>
      <c r="AAH113" s="88"/>
      <c r="AAI113" s="88"/>
      <c r="AAJ113" s="88"/>
      <c r="AAK113" s="88"/>
      <c r="AAL113" s="88"/>
      <c r="AAM113" s="88"/>
      <c r="AAN113" s="88"/>
      <c r="AAO113" s="88"/>
      <c r="AAP113" s="88"/>
      <c r="AAQ113" s="88"/>
      <c r="AAR113" s="88"/>
      <c r="AAS113" s="88"/>
      <c r="AAT113" s="88"/>
      <c r="AAU113" s="88"/>
      <c r="AAV113" s="88"/>
      <c r="AAW113" s="88"/>
      <c r="AAX113" s="88"/>
      <c r="AAY113" s="88"/>
      <c r="AAZ113" s="88"/>
      <c r="ABA113" s="88"/>
      <c r="ABB113" s="88"/>
      <c r="ABC113" s="88"/>
      <c r="ABD113" s="88"/>
      <c r="ABE113" s="88"/>
      <c r="ABF113" s="88"/>
      <c r="ABG113" s="88"/>
      <c r="ABH113" s="88"/>
      <c r="ABI113" s="88"/>
      <c r="ABJ113" s="88"/>
      <c r="ABK113" s="88"/>
      <c r="ABL113" s="88"/>
      <c r="ABM113" s="88"/>
      <c r="ABN113" s="88"/>
      <c r="ABO113" s="88"/>
      <c r="ABP113" s="88"/>
      <c r="ABQ113" s="88"/>
      <c r="ABR113" s="88"/>
      <c r="ABS113" s="88"/>
      <c r="ABT113" s="88"/>
      <c r="ABU113" s="88"/>
      <c r="ABV113" s="88"/>
      <c r="ABW113" s="88"/>
      <c r="ABX113" s="88"/>
      <c r="ABY113" s="88"/>
      <c r="ABZ113" s="88"/>
      <c r="ACA113" s="88"/>
      <c r="ACB113" s="88"/>
      <c r="ACC113" s="88"/>
      <c r="ACD113" s="88"/>
      <c r="ACE113" s="88"/>
      <c r="ACF113" s="88"/>
      <c r="ACG113" s="88"/>
      <c r="ACH113" s="88"/>
      <c r="ACI113" s="88"/>
      <c r="ACJ113" s="88"/>
      <c r="ACK113" s="88"/>
      <c r="ACL113" s="88"/>
      <c r="ACM113" s="88"/>
      <c r="ACN113" s="88"/>
      <c r="ACO113" s="88"/>
      <c r="ACP113" s="88"/>
      <c r="ACQ113" s="88"/>
      <c r="ACR113" s="88"/>
      <c r="ACS113" s="88"/>
      <c r="ACT113" s="88"/>
      <c r="ACU113" s="88"/>
      <c r="ACV113" s="88"/>
      <c r="ACW113" s="88"/>
      <c r="ACX113" s="88"/>
      <c r="ACY113" s="88"/>
      <c r="ACZ113" s="88"/>
      <c r="ADA113" s="88"/>
      <c r="ADB113" s="88"/>
      <c r="ADC113" s="88"/>
      <c r="ADD113" s="88"/>
      <c r="ADE113" s="88"/>
      <c r="ADF113" s="88"/>
      <c r="ADG113" s="88"/>
      <c r="ADH113" s="88"/>
      <c r="ADI113" s="88"/>
      <c r="ADJ113" s="88"/>
      <c r="ADK113" s="88"/>
      <c r="ADL113" s="88"/>
      <c r="ADM113" s="88"/>
      <c r="ADN113" s="88"/>
      <c r="ADO113" s="88"/>
      <c r="ADP113" s="88"/>
      <c r="ADQ113" s="88"/>
      <c r="ADR113" s="88"/>
      <c r="ADS113" s="88"/>
      <c r="ADT113" s="88"/>
      <c r="ADU113" s="88"/>
      <c r="ADV113" s="88"/>
      <c r="ADW113" s="88"/>
      <c r="ADX113" s="88"/>
      <c r="ADY113" s="88"/>
      <c r="ADZ113" s="88"/>
      <c r="AEA113" s="88"/>
      <c r="AEB113" s="88"/>
      <c r="AEC113" s="88"/>
      <c r="AED113" s="88"/>
      <c r="AEE113" s="88"/>
      <c r="AEF113" s="88"/>
      <c r="AEG113" s="88"/>
      <c r="AEH113" s="88"/>
      <c r="AEI113" s="88"/>
      <c r="AEJ113" s="88"/>
      <c r="AEK113" s="88"/>
      <c r="AEL113" s="88"/>
      <c r="AEM113" s="88"/>
      <c r="AEN113" s="88"/>
      <c r="AEO113" s="88"/>
      <c r="AEP113" s="88"/>
      <c r="AEQ113" s="88"/>
      <c r="AER113" s="88"/>
      <c r="AES113" s="88"/>
      <c r="AET113" s="88"/>
      <c r="AEU113" s="88"/>
      <c r="AEV113" s="88"/>
      <c r="AEW113" s="88"/>
      <c r="AEX113" s="88"/>
      <c r="AEY113" s="88"/>
      <c r="AEZ113" s="88"/>
      <c r="AFA113" s="88"/>
      <c r="AFB113" s="88"/>
      <c r="AFC113" s="88"/>
      <c r="AFD113" s="88"/>
      <c r="AFE113" s="88"/>
      <c r="AFF113" s="88"/>
      <c r="AFG113" s="88"/>
      <c r="AFH113" s="88"/>
      <c r="AFI113" s="88"/>
      <c r="AFJ113" s="88"/>
      <c r="AFK113" s="88"/>
      <c r="AFL113" s="88"/>
      <c r="AFM113" s="88"/>
      <c r="AFN113" s="88"/>
      <c r="AFO113" s="88"/>
      <c r="AFP113" s="88"/>
      <c r="AFQ113" s="88"/>
      <c r="AFR113" s="88"/>
      <c r="AFS113" s="88"/>
      <c r="AFT113" s="88"/>
      <c r="AFU113" s="88"/>
      <c r="AFV113" s="88"/>
      <c r="AFW113" s="88"/>
      <c r="AFX113" s="88"/>
      <c r="AFY113" s="88"/>
      <c r="AFZ113" s="88"/>
      <c r="AGA113" s="88"/>
      <c r="AGB113" s="88"/>
      <c r="AGC113" s="88"/>
      <c r="AGD113" s="88"/>
      <c r="AGE113" s="88"/>
      <c r="AGF113" s="88"/>
      <c r="AGG113" s="88"/>
      <c r="AGH113" s="88"/>
      <c r="AGI113" s="88"/>
      <c r="AGJ113" s="88"/>
      <c r="AGK113" s="88"/>
      <c r="AGL113" s="88"/>
      <c r="AGM113" s="88"/>
      <c r="AGN113" s="88"/>
      <c r="AGO113" s="88"/>
      <c r="AGP113" s="88"/>
      <c r="AGQ113" s="88"/>
      <c r="AGR113" s="88"/>
      <c r="AGS113" s="88"/>
      <c r="AGT113" s="88"/>
      <c r="AGU113" s="88"/>
      <c r="AGV113" s="88"/>
      <c r="AGW113" s="88"/>
      <c r="AGX113" s="88"/>
      <c r="AGY113" s="88"/>
      <c r="AGZ113" s="88"/>
      <c r="AHA113" s="88"/>
      <c r="AHB113" s="88"/>
      <c r="AHC113" s="88"/>
      <c r="AHD113" s="88"/>
      <c r="AHE113" s="88"/>
      <c r="AHF113" s="88"/>
      <c r="AHG113" s="88"/>
      <c r="AHH113" s="88"/>
      <c r="AHI113" s="88"/>
      <c r="AHJ113" s="88"/>
      <c r="AHK113" s="88"/>
      <c r="AHL113" s="88"/>
      <c r="AHM113" s="88"/>
      <c r="AHN113" s="88"/>
      <c r="AHO113" s="88"/>
      <c r="AHP113" s="88"/>
      <c r="AHQ113" s="88"/>
      <c r="AHR113" s="88"/>
      <c r="AHS113" s="88"/>
      <c r="AHT113" s="88"/>
      <c r="AHU113" s="88"/>
      <c r="AHV113" s="88"/>
      <c r="AHW113" s="88"/>
      <c r="AHX113" s="88"/>
      <c r="AHY113" s="88"/>
      <c r="AHZ113" s="88"/>
      <c r="AIA113" s="88"/>
      <c r="AIB113" s="88"/>
      <c r="AIC113" s="88"/>
      <c r="AID113" s="88"/>
      <c r="AIE113" s="88"/>
      <c r="AIF113" s="88"/>
      <c r="AIG113" s="88"/>
      <c r="AIH113" s="88"/>
      <c r="AII113" s="88"/>
      <c r="AIJ113" s="88"/>
      <c r="AIK113" s="88"/>
      <c r="AIL113" s="88"/>
      <c r="AIM113" s="88"/>
      <c r="AIN113" s="88"/>
      <c r="AIO113" s="88"/>
      <c r="AIP113" s="88"/>
      <c r="AIQ113" s="88"/>
      <c r="AIR113" s="88"/>
      <c r="AIS113" s="88"/>
      <c r="AIT113" s="88"/>
      <c r="AIU113" s="88"/>
      <c r="AIV113" s="88"/>
      <c r="AIW113" s="88"/>
      <c r="AIX113" s="88"/>
      <c r="AIY113" s="88"/>
      <c r="AIZ113" s="88"/>
      <c r="AJA113" s="88"/>
      <c r="AJB113" s="88"/>
      <c r="AJC113" s="88"/>
      <c r="AJD113" s="88"/>
      <c r="AJE113" s="88"/>
      <c r="AJF113" s="88"/>
      <c r="AJG113" s="88"/>
      <c r="AJH113" s="88"/>
      <c r="AJI113" s="88"/>
      <c r="AJJ113" s="88"/>
      <c r="AJK113" s="88"/>
      <c r="AJL113" s="88"/>
      <c r="AJM113" s="88"/>
      <c r="AJN113" s="88"/>
      <c r="AJO113" s="88"/>
      <c r="AJP113" s="88"/>
      <c r="AJQ113" s="88"/>
      <c r="AJR113" s="88"/>
      <c r="AJS113" s="88"/>
      <c r="AJT113" s="88"/>
      <c r="AJU113" s="88"/>
      <c r="AJV113" s="88"/>
      <c r="AJW113" s="88"/>
      <c r="AJX113" s="88"/>
      <c r="AJY113" s="88"/>
      <c r="AJZ113" s="88"/>
      <c r="AKA113" s="88"/>
      <c r="AKB113" s="88"/>
      <c r="AKC113" s="88"/>
      <c r="AKD113" s="88"/>
      <c r="AKE113" s="88"/>
      <c r="AKF113" s="88"/>
      <c r="AKG113" s="88"/>
      <c r="AKH113" s="88"/>
      <c r="AKI113" s="88"/>
      <c r="AKJ113" s="88"/>
      <c r="AKK113" s="88"/>
      <c r="AKL113" s="88"/>
      <c r="AKM113" s="88"/>
      <c r="AKN113" s="88"/>
      <c r="AKO113" s="88"/>
      <c r="AKP113" s="88"/>
      <c r="AKQ113" s="88"/>
      <c r="AKR113" s="88"/>
      <c r="AKS113" s="88"/>
      <c r="AKT113" s="88"/>
      <c r="AKU113" s="88"/>
      <c r="AKV113" s="88"/>
      <c r="AKW113" s="88"/>
      <c r="AKX113" s="88"/>
      <c r="AKY113" s="88"/>
      <c r="AKZ113" s="88"/>
      <c r="ALA113" s="88"/>
      <c r="ALB113" s="88"/>
      <c r="ALC113" s="88"/>
      <c r="ALD113" s="88"/>
      <c r="ALE113" s="88"/>
      <c r="ALF113" s="88"/>
      <c r="ALG113" s="88"/>
      <c r="ALH113" s="88"/>
      <c r="ALI113" s="88"/>
      <c r="ALJ113" s="88"/>
      <c r="ALK113" s="88"/>
      <c r="ALL113" s="88"/>
      <c r="ALM113" s="88"/>
      <c r="ALN113" s="88"/>
      <c r="ALO113" s="88"/>
      <c r="ALP113" s="88"/>
      <c r="ALQ113" s="88"/>
      <c r="ALR113" s="88"/>
      <c r="ALS113" s="88"/>
      <c r="ALT113" s="88"/>
      <c r="ALU113" s="88"/>
      <c r="ALV113" s="88"/>
      <c r="ALW113" s="88"/>
      <c r="ALX113" s="88"/>
      <c r="ALY113" s="88"/>
      <c r="ALZ113" s="88"/>
      <c r="AMA113" s="88"/>
      <c r="AMB113" s="88"/>
      <c r="AMC113" s="88"/>
      <c r="AMD113" s="88"/>
      <c r="AME113" s="88"/>
      <c r="AMF113" s="88"/>
      <c r="AMG113" s="88"/>
      <c r="AMH113" s="88"/>
      <c r="AMI113" s="88"/>
      <c r="AMJ113" s="88"/>
      <c r="AMK113" s="88"/>
      <c r="AML113" s="88"/>
      <c r="AMM113" s="88"/>
      <c r="AMN113" s="88"/>
      <c r="AMO113" s="88"/>
      <c r="AMP113" s="88"/>
      <c r="AMQ113" s="88"/>
      <c r="AMR113" s="88"/>
      <c r="AMS113" s="88"/>
      <c r="AMT113" s="88"/>
      <c r="AMU113" s="88"/>
      <c r="AMV113" s="88"/>
      <c r="AMW113" s="88"/>
      <c r="AMX113" s="88"/>
      <c r="AMY113" s="88"/>
      <c r="AMZ113" s="88"/>
      <c r="ANA113" s="88"/>
      <c r="ANB113" s="88"/>
      <c r="ANC113" s="88"/>
      <c r="AND113" s="88"/>
      <c r="ANE113" s="88"/>
      <c r="ANF113" s="88"/>
      <c r="ANG113" s="88"/>
      <c r="ANH113" s="88"/>
      <c r="ANI113" s="88"/>
      <c r="ANJ113" s="88"/>
      <c r="ANK113" s="88"/>
      <c r="ANL113" s="88"/>
      <c r="ANM113" s="88"/>
      <c r="ANN113" s="88"/>
      <c r="ANO113" s="88"/>
      <c r="ANP113" s="88"/>
      <c r="ANQ113" s="88"/>
      <c r="ANR113" s="88"/>
      <c r="ANS113" s="88"/>
      <c r="ANT113" s="88"/>
      <c r="ANU113" s="88"/>
      <c r="ANV113" s="88"/>
      <c r="ANW113" s="88"/>
      <c r="ANX113" s="88"/>
      <c r="ANY113" s="88"/>
      <c r="ANZ113" s="88"/>
      <c r="AOA113" s="88"/>
      <c r="AOB113" s="88"/>
      <c r="AOC113" s="88"/>
      <c r="AOD113" s="88"/>
      <c r="AOE113" s="88"/>
      <c r="AOF113" s="88"/>
      <c r="AOG113" s="88"/>
      <c r="AOH113" s="88"/>
      <c r="AOI113" s="88"/>
      <c r="AOJ113" s="88"/>
      <c r="AOK113" s="88"/>
      <c r="AOL113" s="88"/>
      <c r="AOM113" s="88"/>
      <c r="AON113" s="88"/>
      <c r="AOO113" s="88"/>
      <c r="AOP113" s="88"/>
      <c r="AOQ113" s="88"/>
      <c r="AOR113" s="88"/>
      <c r="AOS113" s="88"/>
      <c r="AOT113" s="88"/>
      <c r="AOU113" s="88"/>
      <c r="AOV113" s="88"/>
      <c r="AOW113" s="88"/>
      <c r="AOX113" s="88"/>
      <c r="AOY113" s="88"/>
      <c r="AOZ113" s="88"/>
      <c r="APA113" s="88"/>
      <c r="APB113" s="88"/>
      <c r="APC113" s="88"/>
      <c r="APD113" s="88"/>
      <c r="APE113" s="88"/>
      <c r="APF113" s="88"/>
      <c r="APG113" s="88"/>
      <c r="APH113" s="88"/>
      <c r="API113" s="88"/>
      <c r="APJ113" s="88"/>
      <c r="APK113" s="88"/>
      <c r="APL113" s="88"/>
      <c r="APM113" s="88"/>
      <c r="APN113" s="88"/>
      <c r="APO113" s="88"/>
      <c r="APP113" s="88"/>
      <c r="APQ113" s="88"/>
      <c r="APR113" s="88"/>
      <c r="APS113" s="88"/>
      <c r="APT113" s="88"/>
      <c r="APU113" s="88"/>
      <c r="APV113" s="88"/>
      <c r="APW113" s="88"/>
      <c r="APX113" s="88"/>
      <c r="APY113" s="88"/>
      <c r="APZ113" s="88"/>
      <c r="AQA113" s="88"/>
      <c r="AQB113" s="88"/>
      <c r="AQC113" s="88"/>
      <c r="AQD113" s="88"/>
      <c r="AQE113" s="88"/>
      <c r="AQF113" s="88"/>
      <c r="AQG113" s="88"/>
      <c r="AQH113" s="88"/>
      <c r="AQI113" s="88"/>
      <c r="AQJ113" s="88"/>
      <c r="AQK113" s="88"/>
      <c r="AQL113" s="88"/>
      <c r="AQM113" s="88"/>
      <c r="AQN113" s="88"/>
      <c r="AQO113" s="88"/>
      <c r="AQP113" s="88"/>
      <c r="AQQ113" s="88"/>
      <c r="AQR113" s="88"/>
      <c r="AQS113" s="88"/>
      <c r="AQT113" s="88"/>
      <c r="AQU113" s="88"/>
      <c r="AQV113" s="88"/>
      <c r="AQW113" s="88"/>
      <c r="AQX113" s="88"/>
      <c r="AQY113" s="88"/>
      <c r="AQZ113" s="88"/>
      <c r="ARA113" s="88"/>
      <c r="ARB113" s="88"/>
      <c r="ARC113" s="88"/>
      <c r="ARD113" s="88"/>
      <c r="ARE113" s="88"/>
      <c r="ARF113" s="88"/>
      <c r="ARG113" s="88"/>
      <c r="ARH113" s="88"/>
      <c r="ARI113" s="88"/>
      <c r="ARJ113" s="88"/>
      <c r="ARK113" s="88"/>
      <c r="ARL113" s="88"/>
      <c r="ARM113" s="88"/>
      <c r="ARN113" s="88"/>
      <c r="ARO113" s="88"/>
      <c r="ARP113" s="88"/>
      <c r="ARQ113" s="88"/>
      <c r="ARR113" s="88"/>
      <c r="ARS113" s="88"/>
      <c r="ART113" s="88"/>
      <c r="ARU113" s="88"/>
      <c r="ARV113" s="88"/>
      <c r="ARW113" s="88"/>
      <c r="ARX113" s="88"/>
      <c r="ARY113" s="88"/>
      <c r="ARZ113" s="88"/>
      <c r="ASA113" s="88"/>
      <c r="ASB113" s="88"/>
      <c r="ASC113" s="88"/>
      <c r="ASD113" s="88"/>
      <c r="ASE113" s="88"/>
      <c r="ASF113" s="88"/>
      <c r="ASG113" s="88"/>
      <c r="ASH113" s="88"/>
      <c r="ASI113" s="88"/>
      <c r="ASJ113" s="88"/>
      <c r="ASK113" s="88"/>
      <c r="ASL113" s="88"/>
      <c r="ASM113" s="88"/>
      <c r="ASN113" s="88"/>
      <c r="ASO113" s="88"/>
      <c r="ASP113" s="88"/>
      <c r="ASQ113" s="88"/>
      <c r="ASR113" s="88"/>
      <c r="ASS113" s="88"/>
      <c r="AST113" s="88"/>
      <c r="ASU113" s="88"/>
      <c r="ASV113" s="88"/>
      <c r="ASW113" s="88"/>
      <c r="ASX113" s="88"/>
      <c r="ASY113" s="88"/>
      <c r="ASZ113" s="88"/>
      <c r="ATA113" s="88"/>
      <c r="ATB113" s="88"/>
      <c r="ATC113" s="88"/>
      <c r="ATD113" s="88"/>
      <c r="ATE113" s="88"/>
      <c r="ATF113" s="88"/>
      <c r="ATG113" s="88"/>
      <c r="ATH113" s="88"/>
      <c r="ATI113" s="88"/>
      <c r="ATJ113" s="88"/>
      <c r="ATK113" s="88"/>
      <c r="ATL113" s="88"/>
      <c r="ATM113" s="88"/>
      <c r="ATN113" s="88"/>
      <c r="ATO113" s="88"/>
      <c r="ATP113" s="88"/>
      <c r="ATQ113" s="88"/>
      <c r="ATR113" s="88"/>
      <c r="ATS113" s="88"/>
      <c r="ATT113" s="88"/>
      <c r="ATU113" s="88"/>
      <c r="ATV113" s="88"/>
      <c r="ATW113" s="88"/>
      <c r="ATX113" s="88"/>
      <c r="ATY113" s="88"/>
      <c r="ATZ113" s="88"/>
      <c r="AUA113" s="88"/>
      <c r="AUB113" s="88"/>
      <c r="AUC113" s="88"/>
      <c r="AUD113" s="88"/>
      <c r="AUE113" s="88"/>
      <c r="AUF113" s="88"/>
      <c r="AUG113" s="88"/>
      <c r="AUH113" s="88"/>
      <c r="AUI113" s="88"/>
      <c r="AUJ113" s="88"/>
      <c r="AUK113" s="88"/>
      <c r="AUL113" s="88"/>
      <c r="AUM113" s="88"/>
      <c r="AUN113" s="88"/>
      <c r="AUO113" s="88"/>
      <c r="AUP113" s="88"/>
      <c r="AUQ113" s="88"/>
      <c r="AUR113" s="88"/>
      <c r="AUS113" s="88"/>
      <c r="AUT113" s="88"/>
      <c r="AUU113" s="88"/>
      <c r="AUV113" s="88"/>
      <c r="AUW113" s="88"/>
      <c r="AUX113" s="88"/>
      <c r="AUY113" s="88"/>
      <c r="AUZ113" s="88"/>
      <c r="AVA113" s="88"/>
      <c r="AVB113" s="88"/>
      <c r="AVC113" s="88"/>
      <c r="AVD113" s="88"/>
      <c r="AVE113" s="88"/>
      <c r="AVF113" s="88"/>
      <c r="AVG113" s="88"/>
      <c r="AVH113" s="88"/>
      <c r="AVI113" s="88"/>
      <c r="AVJ113" s="88"/>
      <c r="AVK113" s="88"/>
      <c r="AVL113" s="88"/>
      <c r="AVM113" s="88"/>
      <c r="AVN113" s="88"/>
      <c r="AVO113" s="88"/>
      <c r="AVP113" s="88"/>
      <c r="AVQ113" s="88"/>
      <c r="AVR113" s="88"/>
      <c r="AVS113" s="88"/>
      <c r="AVT113" s="88"/>
      <c r="AVU113" s="88"/>
      <c r="AVV113" s="88"/>
      <c r="AVW113" s="88"/>
      <c r="AVX113" s="88"/>
      <c r="AVY113" s="88"/>
      <c r="AVZ113" s="88"/>
      <c r="AWA113" s="88"/>
      <c r="AWB113" s="88"/>
      <c r="AWC113" s="88"/>
      <c r="AWD113" s="88"/>
      <c r="AWE113" s="88"/>
      <c r="AWF113" s="88"/>
      <c r="AWG113" s="88"/>
      <c r="AWH113" s="88"/>
      <c r="AWI113" s="88"/>
      <c r="AWJ113" s="88"/>
      <c r="AWK113" s="88"/>
      <c r="AWL113" s="88"/>
      <c r="AWM113" s="88"/>
      <c r="AWN113" s="88"/>
      <c r="AWO113" s="88"/>
      <c r="AWP113" s="88"/>
      <c r="AWQ113" s="88"/>
      <c r="AWR113" s="88"/>
      <c r="AWS113" s="88"/>
      <c r="AWT113" s="88"/>
      <c r="AWU113" s="88"/>
      <c r="AWV113" s="88"/>
      <c r="AWW113" s="88"/>
      <c r="AWX113" s="88"/>
      <c r="AWY113" s="88"/>
      <c r="AWZ113" s="88"/>
      <c r="AXA113" s="88"/>
      <c r="AXB113" s="88"/>
      <c r="AXC113" s="88"/>
      <c r="AXD113" s="88"/>
      <c r="AXE113" s="88"/>
      <c r="AXF113" s="88"/>
      <c r="AXG113" s="88"/>
      <c r="AXH113" s="88"/>
      <c r="AXI113" s="88"/>
      <c r="AXJ113" s="88"/>
      <c r="AXK113" s="88"/>
      <c r="AXL113" s="88"/>
      <c r="AXM113" s="88"/>
      <c r="AXN113" s="88"/>
      <c r="AXO113" s="88"/>
      <c r="AXP113" s="88"/>
      <c r="AXQ113" s="88"/>
      <c r="AXR113" s="88"/>
      <c r="AXS113" s="88"/>
      <c r="AXT113" s="88"/>
      <c r="AXU113" s="88"/>
      <c r="AXV113" s="88"/>
      <c r="AXW113" s="88"/>
      <c r="AXX113" s="88"/>
      <c r="AXY113" s="88"/>
      <c r="AXZ113" s="88"/>
      <c r="AYA113" s="88"/>
      <c r="AYB113" s="88"/>
      <c r="AYC113" s="88"/>
      <c r="AYD113" s="88"/>
      <c r="AYE113" s="88"/>
      <c r="AYF113" s="88"/>
      <c r="AYG113" s="88"/>
      <c r="AYH113" s="88"/>
      <c r="AYI113" s="88"/>
      <c r="AYJ113" s="88"/>
      <c r="AYK113" s="88"/>
      <c r="AYL113" s="88"/>
      <c r="AYM113" s="88"/>
      <c r="AYN113" s="88"/>
      <c r="AYO113" s="88"/>
      <c r="AYP113" s="88"/>
      <c r="AYQ113" s="88"/>
      <c r="AYR113" s="88"/>
      <c r="AYS113" s="88"/>
      <c r="AYT113" s="88"/>
      <c r="AYU113" s="88"/>
      <c r="AYV113" s="88"/>
      <c r="AYW113" s="88"/>
      <c r="AYX113" s="88"/>
      <c r="AYY113" s="88"/>
      <c r="AYZ113" s="88"/>
      <c r="AZA113" s="88"/>
      <c r="AZB113" s="88"/>
      <c r="AZC113" s="88"/>
      <c r="AZD113" s="88"/>
      <c r="AZE113" s="88"/>
      <c r="AZF113" s="88"/>
      <c r="AZG113" s="88"/>
      <c r="AZH113" s="88"/>
      <c r="AZI113" s="88"/>
      <c r="AZJ113" s="88"/>
      <c r="AZK113" s="88"/>
      <c r="AZL113" s="88"/>
      <c r="AZM113" s="88"/>
      <c r="AZN113" s="88"/>
      <c r="AZO113" s="88"/>
      <c r="AZP113" s="88"/>
      <c r="AZQ113" s="88"/>
      <c r="AZR113" s="88"/>
      <c r="AZS113" s="88"/>
      <c r="AZT113" s="88"/>
      <c r="AZU113" s="88"/>
      <c r="AZV113" s="88"/>
      <c r="AZW113" s="88"/>
      <c r="AZX113" s="88"/>
      <c r="AZY113" s="88"/>
      <c r="AZZ113" s="88"/>
      <c r="BAA113" s="88"/>
      <c r="BAB113" s="88"/>
      <c r="BAC113" s="88"/>
      <c r="BAD113" s="88"/>
      <c r="BAE113" s="88"/>
      <c r="BAF113" s="88"/>
      <c r="BAG113" s="88"/>
      <c r="BAH113" s="88"/>
      <c r="BAI113" s="88"/>
      <c r="BAJ113" s="88"/>
      <c r="BAK113" s="88"/>
      <c r="BAL113" s="88"/>
      <c r="BAM113" s="88"/>
      <c r="BAN113" s="88"/>
      <c r="BAO113" s="88"/>
      <c r="BAP113" s="88"/>
      <c r="BAQ113" s="88"/>
      <c r="BAR113" s="88"/>
      <c r="BAS113" s="88"/>
      <c r="BAT113" s="88"/>
      <c r="BAU113" s="88"/>
      <c r="BAV113" s="88"/>
      <c r="BAW113" s="88"/>
      <c r="BAX113" s="88"/>
      <c r="BAY113" s="88"/>
      <c r="BAZ113" s="88"/>
      <c r="BBA113" s="88"/>
      <c r="BBB113" s="88"/>
      <c r="BBC113" s="88"/>
      <c r="BBD113" s="88"/>
      <c r="BBE113" s="88"/>
      <c r="BBF113" s="88"/>
      <c r="BBG113" s="88"/>
      <c r="BBH113" s="88"/>
      <c r="BBI113" s="88"/>
      <c r="BBJ113" s="88"/>
      <c r="BBK113" s="88"/>
      <c r="BBL113" s="88"/>
      <c r="BBM113" s="88"/>
      <c r="BBN113" s="88"/>
      <c r="BBO113" s="88"/>
      <c r="BBP113" s="88"/>
      <c r="BBQ113" s="88"/>
      <c r="BBR113" s="88"/>
      <c r="BBS113" s="88"/>
      <c r="BBT113" s="88"/>
      <c r="BBU113" s="88"/>
      <c r="BBV113" s="88"/>
      <c r="BBW113" s="88"/>
      <c r="BBX113" s="88"/>
      <c r="BBY113" s="88"/>
      <c r="BBZ113" s="88"/>
      <c r="BCA113" s="88"/>
      <c r="BCB113" s="88"/>
      <c r="BCC113" s="88"/>
      <c r="BCD113" s="88"/>
      <c r="BCE113" s="88"/>
      <c r="BCF113" s="88"/>
      <c r="BCG113" s="88"/>
      <c r="BCH113" s="88"/>
      <c r="BCI113" s="88"/>
      <c r="BCJ113" s="88"/>
      <c r="BCK113" s="88"/>
      <c r="BCL113" s="88"/>
      <c r="BCM113" s="88"/>
      <c r="BCN113" s="88"/>
      <c r="BCO113" s="88"/>
      <c r="BCP113" s="88"/>
      <c r="BCQ113" s="88"/>
      <c r="BCR113" s="88"/>
      <c r="BCS113" s="88"/>
      <c r="BCT113" s="88"/>
      <c r="BCU113" s="88"/>
      <c r="BCV113" s="88"/>
      <c r="BCW113" s="88"/>
      <c r="BCX113" s="88"/>
      <c r="BCY113" s="88"/>
      <c r="BCZ113" s="88"/>
      <c r="BDA113" s="88"/>
      <c r="BDB113" s="88"/>
      <c r="BDC113" s="88"/>
      <c r="BDD113" s="88"/>
      <c r="BDE113" s="88"/>
      <c r="BDF113" s="88"/>
      <c r="BDG113" s="88"/>
      <c r="BDH113" s="88"/>
      <c r="BDI113" s="88"/>
      <c r="BDJ113" s="88"/>
      <c r="BDK113" s="88"/>
      <c r="BDL113" s="88"/>
      <c r="BDM113" s="88"/>
      <c r="BDN113" s="88"/>
      <c r="BDO113" s="88"/>
      <c r="BDP113" s="88"/>
      <c r="BDQ113" s="88"/>
      <c r="BDR113" s="88"/>
      <c r="BDS113" s="88"/>
      <c r="BDT113" s="88"/>
      <c r="BDU113" s="88"/>
      <c r="BDV113" s="88"/>
      <c r="BDW113" s="88"/>
      <c r="BDX113" s="88"/>
      <c r="BDY113" s="88"/>
      <c r="BDZ113" s="88"/>
      <c r="BEA113" s="88"/>
      <c r="BEB113" s="88"/>
      <c r="BEC113" s="88"/>
      <c r="BED113" s="88"/>
      <c r="BEE113" s="88"/>
      <c r="BEF113" s="88"/>
      <c r="BEG113" s="88"/>
      <c r="BEH113" s="88"/>
      <c r="BEI113" s="88"/>
      <c r="BEJ113" s="88"/>
      <c r="BEK113" s="88"/>
      <c r="BEL113" s="88"/>
      <c r="BEM113" s="88"/>
      <c r="BEN113" s="88"/>
      <c r="BEO113" s="88"/>
      <c r="BEP113" s="88"/>
      <c r="BEQ113" s="88"/>
      <c r="BER113" s="88"/>
      <c r="BES113" s="88"/>
      <c r="BET113" s="88"/>
      <c r="BEU113" s="88"/>
      <c r="BEV113" s="88"/>
      <c r="BEW113" s="88"/>
      <c r="BEX113" s="88"/>
      <c r="BEY113" s="88"/>
      <c r="BEZ113" s="88"/>
      <c r="BFA113" s="88"/>
      <c r="BFB113" s="88"/>
      <c r="BFC113" s="88"/>
      <c r="BFD113" s="88"/>
      <c r="BFE113" s="88"/>
      <c r="BFF113" s="88"/>
      <c r="BFG113" s="88"/>
      <c r="BFH113" s="88"/>
      <c r="BFI113" s="88"/>
      <c r="BFJ113" s="88"/>
      <c r="BFK113" s="88"/>
      <c r="BFL113" s="88"/>
      <c r="BFM113" s="88"/>
      <c r="BFN113" s="88"/>
      <c r="BFO113" s="88"/>
      <c r="BFP113" s="88"/>
      <c r="BFQ113" s="88"/>
      <c r="BFR113" s="88"/>
      <c r="BFS113" s="88"/>
      <c r="BFT113" s="88"/>
      <c r="BFU113" s="88"/>
      <c r="BFV113" s="88"/>
      <c r="BFW113" s="88"/>
      <c r="BFX113" s="88"/>
      <c r="BFY113" s="88"/>
      <c r="BFZ113" s="88"/>
      <c r="BGA113" s="88"/>
      <c r="BGB113" s="88"/>
      <c r="BGC113" s="88"/>
      <c r="BGD113" s="88"/>
      <c r="BGE113" s="88"/>
      <c r="BGF113" s="88"/>
      <c r="BGG113" s="88"/>
      <c r="BGH113" s="88"/>
      <c r="BGI113" s="88"/>
      <c r="BGJ113" s="88"/>
      <c r="BGK113" s="88"/>
      <c r="BGL113" s="88"/>
      <c r="BGM113" s="88"/>
      <c r="BGN113" s="88"/>
      <c r="BGO113" s="88"/>
      <c r="BGP113" s="88"/>
      <c r="BGQ113" s="88"/>
      <c r="BGR113" s="88"/>
      <c r="BGS113" s="88"/>
      <c r="BGT113" s="88"/>
      <c r="BGU113" s="88"/>
      <c r="BGV113" s="88"/>
      <c r="BGW113" s="88"/>
      <c r="BGX113" s="88"/>
      <c r="BGY113" s="88"/>
      <c r="BGZ113" s="88"/>
      <c r="BHA113" s="88"/>
      <c r="BHB113" s="88"/>
      <c r="BHC113" s="88"/>
      <c r="BHD113" s="88"/>
      <c r="BHE113" s="88"/>
      <c r="BHF113" s="88"/>
      <c r="BHG113" s="88"/>
      <c r="BHH113" s="88"/>
      <c r="BHI113" s="88"/>
      <c r="BHJ113" s="88"/>
      <c r="BHK113" s="88"/>
      <c r="BHL113" s="88"/>
      <c r="BHM113" s="88"/>
      <c r="BHN113" s="88"/>
      <c r="BHO113" s="88"/>
      <c r="BHP113" s="88"/>
      <c r="BHQ113" s="88"/>
      <c r="BHR113" s="88"/>
      <c r="BHS113" s="88"/>
      <c r="BHT113" s="88"/>
      <c r="BHU113" s="88"/>
      <c r="BHV113" s="88"/>
      <c r="BHW113" s="88"/>
      <c r="BHX113" s="88"/>
      <c r="BHY113" s="88"/>
      <c r="BHZ113" s="88"/>
      <c r="BIA113" s="88"/>
      <c r="BIB113" s="88"/>
      <c r="BIC113" s="88"/>
      <c r="BID113" s="88"/>
      <c r="BIE113" s="88"/>
      <c r="BIF113" s="88"/>
      <c r="BIG113" s="88"/>
      <c r="BIH113" s="88"/>
      <c r="BII113" s="88"/>
      <c r="BIJ113" s="88"/>
      <c r="BIK113" s="88"/>
      <c r="BIL113" s="88"/>
      <c r="BIM113" s="88"/>
      <c r="BIN113" s="88"/>
      <c r="BIO113" s="88"/>
      <c r="BIP113" s="88"/>
      <c r="BIQ113" s="88"/>
      <c r="BIR113" s="88"/>
      <c r="BIS113" s="88"/>
      <c r="BIT113" s="88"/>
      <c r="BIU113" s="88"/>
      <c r="BIV113" s="88"/>
      <c r="BIW113" s="88"/>
      <c r="BIX113" s="88"/>
      <c r="BIY113" s="88"/>
      <c r="BIZ113" s="88"/>
      <c r="BJA113" s="88"/>
      <c r="BJB113" s="88"/>
      <c r="BJC113" s="88"/>
      <c r="BJD113" s="88"/>
      <c r="BJE113" s="88"/>
      <c r="BJF113" s="88"/>
      <c r="BJG113" s="88"/>
      <c r="BJH113" s="88"/>
      <c r="BJI113" s="88"/>
      <c r="BJJ113" s="88"/>
      <c r="BJK113" s="88"/>
      <c r="BJL113" s="88"/>
      <c r="BJM113" s="88"/>
      <c r="BJN113" s="88"/>
      <c r="BJO113" s="88"/>
      <c r="BJP113" s="88"/>
      <c r="BJQ113" s="88"/>
      <c r="BJR113" s="88"/>
      <c r="BJS113" s="88"/>
      <c r="BJT113" s="88"/>
      <c r="BJU113" s="88"/>
      <c r="BJV113" s="88"/>
      <c r="BJW113" s="88"/>
      <c r="BJX113" s="88"/>
      <c r="BJY113" s="88"/>
      <c r="BJZ113" s="88"/>
      <c r="BKA113" s="88"/>
      <c r="BKB113" s="88"/>
      <c r="BKC113" s="88"/>
      <c r="BKD113" s="88"/>
      <c r="BKE113" s="88"/>
      <c r="BKF113" s="88"/>
      <c r="BKG113" s="88"/>
      <c r="BKH113" s="88"/>
      <c r="BKI113" s="88"/>
      <c r="BKJ113" s="88"/>
      <c r="BKK113" s="88"/>
      <c r="BKL113" s="88"/>
      <c r="BKM113" s="88"/>
      <c r="BKN113" s="88"/>
      <c r="BKO113" s="88"/>
      <c r="BKP113" s="88"/>
      <c r="BKQ113" s="88"/>
      <c r="BKR113" s="88"/>
      <c r="BKS113" s="88"/>
      <c r="BKT113" s="88"/>
      <c r="BKU113" s="88"/>
      <c r="BKV113" s="88"/>
      <c r="BKW113" s="88"/>
      <c r="BKX113" s="88"/>
      <c r="BKY113" s="88"/>
      <c r="BKZ113" s="88"/>
      <c r="BLA113" s="88"/>
      <c r="BLB113" s="88"/>
      <c r="BLC113" s="88"/>
      <c r="BLD113" s="88"/>
      <c r="BLE113" s="88"/>
      <c r="BLF113" s="88"/>
      <c r="BLG113" s="88"/>
      <c r="BLH113" s="88"/>
      <c r="BLI113" s="88"/>
      <c r="BLJ113" s="88"/>
      <c r="BLK113" s="88"/>
      <c r="BLL113" s="88"/>
      <c r="BLM113" s="88"/>
      <c r="BLN113" s="88"/>
      <c r="BLO113" s="88"/>
      <c r="BLP113" s="88"/>
      <c r="BLQ113" s="88"/>
      <c r="BLR113" s="88"/>
      <c r="BLS113" s="88"/>
      <c r="BLT113" s="88"/>
      <c r="BLU113" s="88"/>
      <c r="BLV113" s="88"/>
      <c r="BLW113" s="88"/>
      <c r="BLX113" s="88"/>
      <c r="BLY113" s="88"/>
      <c r="BLZ113" s="88"/>
      <c r="BMA113" s="88"/>
      <c r="BMB113" s="88"/>
      <c r="BMC113" s="88"/>
      <c r="BMD113" s="88"/>
      <c r="BME113" s="88"/>
      <c r="BMF113" s="88"/>
      <c r="BMG113" s="88"/>
      <c r="BMH113" s="88"/>
      <c r="BMI113" s="88"/>
      <c r="BMJ113" s="88"/>
      <c r="BMK113" s="88"/>
      <c r="BML113" s="88"/>
      <c r="BMM113" s="88"/>
      <c r="BMN113" s="88"/>
      <c r="BMO113" s="88"/>
      <c r="BMP113" s="88"/>
      <c r="BMQ113" s="88"/>
      <c r="BMR113" s="88"/>
      <c r="BMS113" s="88"/>
      <c r="BMT113" s="88"/>
      <c r="BMU113" s="88"/>
      <c r="BMV113" s="88"/>
      <c r="BMW113" s="88"/>
      <c r="BMX113" s="88"/>
      <c r="BMY113" s="88"/>
      <c r="BMZ113" s="88"/>
      <c r="BNA113" s="88"/>
      <c r="BNB113" s="88"/>
      <c r="BNC113" s="88"/>
      <c r="BND113" s="88"/>
      <c r="BNE113" s="88"/>
      <c r="BNF113" s="88"/>
      <c r="BNG113" s="88"/>
      <c r="BNH113" s="88"/>
      <c r="BNI113" s="88"/>
      <c r="BNJ113" s="88"/>
      <c r="BNK113" s="88"/>
      <c r="BNL113" s="88"/>
      <c r="BNM113" s="88"/>
      <c r="BNN113" s="88"/>
      <c r="BNO113" s="88"/>
      <c r="BNP113" s="88"/>
      <c r="BNQ113" s="88"/>
      <c r="BNR113" s="88"/>
      <c r="BNS113" s="88"/>
      <c r="BNT113" s="88"/>
      <c r="BNU113" s="88"/>
      <c r="BNV113" s="88"/>
      <c r="BNW113" s="88"/>
      <c r="BNX113" s="88"/>
      <c r="BNY113" s="88"/>
      <c r="BNZ113" s="88"/>
      <c r="BOA113" s="88"/>
      <c r="BOB113" s="88"/>
      <c r="BOC113" s="88"/>
      <c r="BOD113" s="88"/>
      <c r="BOE113" s="88"/>
      <c r="BOF113" s="88"/>
      <c r="BOG113" s="88"/>
      <c r="BOH113" s="88"/>
      <c r="BOI113" s="88"/>
      <c r="BOJ113" s="88"/>
      <c r="BOK113" s="88"/>
      <c r="BOL113" s="88"/>
      <c r="BOM113" s="88"/>
      <c r="BON113" s="88"/>
      <c r="BOO113" s="88"/>
      <c r="BOP113" s="88"/>
      <c r="BOQ113" s="88"/>
      <c r="BOR113" s="88"/>
      <c r="BOS113" s="88"/>
      <c r="BOT113" s="88"/>
      <c r="BOU113" s="88"/>
      <c r="BOV113" s="88"/>
      <c r="BOW113" s="88"/>
      <c r="BOX113" s="88"/>
      <c r="BOY113" s="88"/>
      <c r="BOZ113" s="88"/>
      <c r="BPA113" s="88"/>
      <c r="BPB113" s="88"/>
      <c r="BPC113" s="88"/>
      <c r="BPD113" s="88"/>
      <c r="BPE113" s="88"/>
      <c r="BPF113" s="88"/>
      <c r="BPG113" s="88"/>
      <c r="BPH113" s="88"/>
      <c r="BPI113" s="88"/>
      <c r="BPJ113" s="88"/>
      <c r="BPK113" s="88"/>
      <c r="BPL113" s="88"/>
      <c r="BPM113" s="88"/>
      <c r="BPN113" s="88"/>
      <c r="BPO113" s="88"/>
      <c r="BPP113" s="88"/>
      <c r="BPQ113" s="88"/>
      <c r="BPR113" s="88"/>
      <c r="BPS113" s="88"/>
      <c r="BPT113" s="88"/>
      <c r="BPU113" s="88"/>
      <c r="BPV113" s="88"/>
      <c r="BPW113" s="88"/>
      <c r="BPX113" s="88"/>
      <c r="BPY113" s="88"/>
      <c r="BPZ113" s="88"/>
      <c r="BQA113" s="88"/>
      <c r="BQB113" s="88"/>
      <c r="BQC113" s="88"/>
      <c r="BQD113" s="88"/>
      <c r="BQE113" s="88"/>
      <c r="BQF113" s="88"/>
      <c r="BQG113" s="88"/>
      <c r="BQH113" s="88"/>
      <c r="BQI113" s="88"/>
      <c r="BQJ113" s="88"/>
      <c r="BQK113" s="88"/>
      <c r="BQL113" s="88"/>
      <c r="BQM113" s="88"/>
      <c r="BQN113" s="88"/>
      <c r="BQO113" s="88"/>
      <c r="BQP113" s="88"/>
      <c r="BQQ113" s="88"/>
      <c r="BQR113" s="88"/>
      <c r="BQS113" s="88"/>
      <c r="BQT113" s="88"/>
      <c r="BQU113" s="88"/>
      <c r="BQV113" s="88"/>
      <c r="BQW113" s="88"/>
      <c r="BQX113" s="88"/>
      <c r="BQY113" s="88"/>
      <c r="BQZ113" s="88"/>
      <c r="BRA113" s="88"/>
      <c r="BRB113" s="88"/>
      <c r="BRC113" s="88"/>
      <c r="BRD113" s="88"/>
      <c r="BRE113" s="88"/>
      <c r="BRF113" s="88"/>
      <c r="BRG113" s="88"/>
      <c r="BRH113" s="88"/>
      <c r="BRI113" s="88"/>
      <c r="BRJ113" s="88"/>
      <c r="BRK113" s="88"/>
      <c r="BRL113" s="88"/>
      <c r="BRM113" s="88"/>
      <c r="BRN113" s="88"/>
      <c r="BRO113" s="88"/>
      <c r="BRP113" s="88"/>
      <c r="BRQ113" s="88"/>
      <c r="BRR113" s="88"/>
      <c r="BRS113" s="88"/>
      <c r="BRT113" s="88"/>
      <c r="BRU113" s="88"/>
      <c r="BRV113" s="88"/>
      <c r="BRW113" s="88"/>
      <c r="BRX113" s="88"/>
      <c r="BRY113" s="88"/>
      <c r="BRZ113" s="88"/>
      <c r="BSA113" s="88"/>
      <c r="BSB113" s="88"/>
      <c r="BSC113" s="88"/>
      <c r="BSD113" s="88"/>
      <c r="BSE113" s="88"/>
      <c r="BSF113" s="88"/>
      <c r="BSG113" s="88"/>
      <c r="BSH113" s="88"/>
      <c r="BSI113" s="88"/>
      <c r="BSJ113" s="88"/>
      <c r="BSK113" s="88"/>
      <c r="BSL113" s="88"/>
      <c r="BSM113" s="88"/>
      <c r="BSN113" s="88"/>
      <c r="BSO113" s="88"/>
      <c r="BSP113" s="88"/>
      <c r="BSQ113" s="88"/>
      <c r="BSR113" s="88"/>
      <c r="BSS113" s="88"/>
      <c r="BST113" s="88"/>
      <c r="BSU113" s="88"/>
      <c r="BSV113" s="88"/>
      <c r="BSW113" s="88"/>
      <c r="BSX113" s="88"/>
      <c r="BSY113" s="88"/>
      <c r="BSZ113" s="88"/>
      <c r="BTA113" s="88"/>
      <c r="BTB113" s="88"/>
      <c r="BTC113" s="88"/>
      <c r="BTD113" s="88"/>
      <c r="BTE113" s="88"/>
      <c r="BTF113" s="88"/>
      <c r="BTG113" s="88"/>
      <c r="BTH113" s="88"/>
      <c r="BTI113" s="88"/>
      <c r="BTJ113" s="88"/>
      <c r="BTK113" s="88"/>
      <c r="BTL113" s="88"/>
      <c r="BTM113" s="88"/>
      <c r="BTN113" s="88"/>
      <c r="BTO113" s="88"/>
      <c r="BTP113" s="88"/>
      <c r="BTQ113" s="88"/>
      <c r="BTR113" s="88"/>
      <c r="BTS113" s="88"/>
      <c r="BTT113" s="88"/>
      <c r="BTU113" s="88"/>
      <c r="BTV113" s="88"/>
      <c r="BTW113" s="88"/>
      <c r="BTX113" s="88"/>
      <c r="BTY113" s="88"/>
      <c r="BTZ113" s="88"/>
      <c r="BUA113" s="88"/>
      <c r="BUB113" s="88"/>
      <c r="BUC113" s="88"/>
      <c r="BUD113" s="88"/>
      <c r="BUE113" s="88"/>
      <c r="BUF113" s="88"/>
      <c r="BUG113" s="88"/>
      <c r="BUH113" s="88"/>
      <c r="BUI113" s="88"/>
      <c r="BUJ113" s="88"/>
      <c r="BUK113" s="88"/>
      <c r="BUL113" s="88"/>
      <c r="BUM113" s="88"/>
      <c r="BUN113" s="88"/>
      <c r="BUO113" s="88"/>
      <c r="BUP113" s="88"/>
      <c r="BUQ113" s="88"/>
      <c r="BUR113" s="88"/>
      <c r="BUS113" s="88"/>
      <c r="BUT113" s="88"/>
      <c r="BUU113" s="88"/>
      <c r="BUV113" s="88"/>
      <c r="BUW113" s="88"/>
      <c r="BUX113" s="88"/>
      <c r="BUY113" s="88"/>
      <c r="BUZ113" s="88"/>
      <c r="BVA113" s="88"/>
      <c r="BVB113" s="88"/>
      <c r="BVC113" s="88"/>
      <c r="BVD113" s="88"/>
      <c r="BVE113" s="88"/>
      <c r="BVF113" s="88"/>
      <c r="BVG113" s="88"/>
      <c r="BVH113" s="88"/>
      <c r="BVI113" s="88"/>
      <c r="BVJ113" s="88"/>
      <c r="BVK113" s="88"/>
      <c r="BVL113" s="88"/>
      <c r="BVM113" s="88"/>
      <c r="BVN113" s="88"/>
      <c r="BVO113" s="88"/>
      <c r="BVP113" s="88"/>
      <c r="BVQ113" s="88"/>
      <c r="BVR113" s="88"/>
      <c r="BVS113" s="88"/>
      <c r="BVT113" s="88"/>
      <c r="BVU113" s="88"/>
      <c r="BVV113" s="88"/>
      <c r="BVW113" s="88"/>
      <c r="BVX113" s="88"/>
      <c r="BVY113" s="88"/>
      <c r="BVZ113" s="88"/>
      <c r="BWA113" s="88"/>
      <c r="BWB113" s="88"/>
      <c r="BWC113" s="88"/>
      <c r="BWD113" s="88"/>
      <c r="BWE113" s="88"/>
      <c r="BWF113" s="88"/>
      <c r="BWG113" s="88"/>
      <c r="BWH113" s="88"/>
      <c r="BWI113" s="88"/>
      <c r="BWJ113" s="88"/>
      <c r="BWK113" s="88"/>
      <c r="BWL113" s="88"/>
      <c r="BWM113" s="88"/>
      <c r="BWN113" s="88"/>
      <c r="BWO113" s="88"/>
      <c r="BWP113" s="88"/>
      <c r="BWQ113" s="88"/>
      <c r="BWR113" s="88"/>
      <c r="BWS113" s="88"/>
      <c r="BWT113" s="88"/>
      <c r="BWU113" s="88"/>
      <c r="BWV113" s="88"/>
      <c r="BWW113" s="88"/>
      <c r="BWX113" s="88"/>
      <c r="BWY113" s="88"/>
      <c r="BWZ113" s="88"/>
      <c r="BXA113" s="88"/>
      <c r="BXB113" s="88"/>
      <c r="BXC113" s="88"/>
      <c r="BXD113" s="88"/>
      <c r="BXE113" s="88"/>
      <c r="BXF113" s="88"/>
      <c r="BXG113" s="88"/>
      <c r="BXH113" s="88"/>
      <c r="BXI113" s="88"/>
      <c r="BXJ113" s="88"/>
      <c r="BXK113" s="88"/>
      <c r="BXL113" s="88"/>
      <c r="BXM113" s="88"/>
      <c r="BXN113" s="88"/>
      <c r="BXO113" s="88"/>
      <c r="BXP113" s="88"/>
      <c r="BXQ113" s="88"/>
      <c r="BXR113" s="88"/>
      <c r="BXS113" s="88"/>
      <c r="BXT113" s="88"/>
      <c r="BXU113" s="88"/>
      <c r="BXV113" s="88"/>
      <c r="BXW113" s="88"/>
      <c r="BXX113" s="88"/>
      <c r="BXY113" s="88"/>
      <c r="BXZ113" s="88"/>
      <c r="BYA113" s="88"/>
      <c r="BYB113" s="88"/>
      <c r="BYC113" s="88"/>
      <c r="BYD113" s="88"/>
      <c r="BYE113" s="88"/>
      <c r="BYF113" s="88"/>
      <c r="BYG113" s="88"/>
      <c r="BYH113" s="88"/>
      <c r="BYI113" s="88"/>
      <c r="BYJ113" s="88"/>
      <c r="BYK113" s="88"/>
      <c r="BYL113" s="88"/>
      <c r="BYM113" s="88"/>
      <c r="BYN113" s="88"/>
      <c r="BYO113" s="88"/>
      <c r="BYP113" s="88"/>
      <c r="BYQ113" s="88"/>
      <c r="BYR113" s="88"/>
      <c r="BYS113" s="88"/>
      <c r="BYT113" s="88"/>
      <c r="BYU113" s="88"/>
      <c r="BYV113" s="88"/>
      <c r="BYW113" s="88"/>
      <c r="BYX113" s="88"/>
      <c r="BYY113" s="88"/>
      <c r="BYZ113" s="88"/>
      <c r="BZA113" s="88"/>
      <c r="BZB113" s="88"/>
      <c r="BZC113" s="88"/>
      <c r="BZD113" s="88"/>
      <c r="BZE113" s="88"/>
      <c r="BZF113" s="88"/>
      <c r="BZG113" s="88"/>
      <c r="BZH113" s="88"/>
      <c r="BZI113" s="88"/>
      <c r="BZJ113" s="88"/>
      <c r="BZK113" s="88"/>
      <c r="BZL113" s="88"/>
      <c r="BZM113" s="88"/>
      <c r="BZN113" s="88"/>
      <c r="BZO113" s="88"/>
      <c r="BZP113" s="88"/>
      <c r="BZQ113" s="88"/>
      <c r="BZR113" s="88"/>
      <c r="BZS113" s="88"/>
      <c r="BZT113" s="88"/>
      <c r="BZU113" s="88"/>
      <c r="BZV113" s="88"/>
      <c r="BZW113" s="88"/>
      <c r="BZX113" s="88"/>
      <c r="BZY113" s="88"/>
      <c r="BZZ113" s="88"/>
      <c r="CAA113" s="88"/>
      <c r="CAB113" s="88"/>
      <c r="CAC113" s="88"/>
      <c r="CAD113" s="88"/>
      <c r="CAE113" s="88"/>
      <c r="CAF113" s="88"/>
      <c r="CAG113" s="88"/>
      <c r="CAH113" s="88"/>
      <c r="CAI113" s="88"/>
      <c r="CAJ113" s="88"/>
      <c r="CAK113" s="88"/>
      <c r="CAL113" s="88"/>
      <c r="CAM113" s="88"/>
      <c r="CAN113" s="88"/>
      <c r="CAO113" s="88"/>
      <c r="CAP113" s="88"/>
      <c r="CAQ113" s="88"/>
      <c r="CAR113" s="88"/>
      <c r="CAS113" s="88"/>
      <c r="CAT113" s="88"/>
      <c r="CAU113" s="88"/>
      <c r="CAV113" s="88"/>
      <c r="CAW113" s="88"/>
      <c r="CAX113" s="88"/>
      <c r="CAY113" s="88"/>
      <c r="CAZ113" s="88"/>
      <c r="CBA113" s="88"/>
      <c r="CBB113" s="88"/>
      <c r="CBC113" s="88"/>
      <c r="CBD113" s="88"/>
      <c r="CBE113" s="88"/>
      <c r="CBF113" s="88"/>
      <c r="CBG113" s="88"/>
      <c r="CBH113" s="88"/>
      <c r="CBI113" s="88"/>
      <c r="CBJ113" s="88"/>
      <c r="CBK113" s="88"/>
      <c r="CBL113" s="88"/>
      <c r="CBM113" s="88"/>
      <c r="CBN113" s="88"/>
      <c r="CBO113" s="88"/>
      <c r="CBP113" s="88"/>
      <c r="CBQ113" s="88"/>
      <c r="CBR113" s="88"/>
      <c r="CBS113" s="88"/>
      <c r="CBT113" s="88"/>
      <c r="CBU113" s="88"/>
      <c r="CBV113" s="88"/>
      <c r="CBW113" s="88"/>
      <c r="CBX113" s="88"/>
      <c r="CBY113" s="88"/>
      <c r="CBZ113" s="88"/>
      <c r="CCA113" s="88"/>
      <c r="CCB113" s="88"/>
      <c r="CCC113" s="88"/>
      <c r="CCD113" s="88"/>
      <c r="CCE113" s="88"/>
      <c r="CCF113" s="88"/>
      <c r="CCG113" s="88"/>
      <c r="CCH113" s="88"/>
      <c r="CCI113" s="88"/>
      <c r="CCJ113" s="88"/>
      <c r="CCK113" s="88"/>
      <c r="CCL113" s="88"/>
      <c r="CCM113" s="88"/>
      <c r="CCN113" s="88"/>
      <c r="CCO113" s="88"/>
      <c r="CCP113" s="88"/>
      <c r="CCQ113" s="88"/>
      <c r="CCR113" s="88"/>
      <c r="CCS113" s="88"/>
      <c r="CCT113" s="88"/>
      <c r="CCU113" s="88"/>
      <c r="CCV113" s="88"/>
      <c r="CCW113" s="88"/>
      <c r="CCX113" s="88"/>
      <c r="CCY113" s="88"/>
      <c r="CCZ113" s="88"/>
      <c r="CDA113" s="88"/>
      <c r="CDB113" s="88"/>
      <c r="CDC113" s="88"/>
      <c r="CDD113" s="88"/>
      <c r="CDE113" s="88"/>
      <c r="CDF113" s="88"/>
      <c r="CDG113" s="88"/>
      <c r="CDH113" s="88"/>
      <c r="CDI113" s="88"/>
      <c r="CDJ113" s="88"/>
      <c r="CDK113" s="88"/>
      <c r="CDL113" s="88"/>
      <c r="CDM113" s="88"/>
      <c r="CDN113" s="88"/>
      <c r="CDO113" s="88"/>
      <c r="CDP113" s="88"/>
      <c r="CDQ113" s="88"/>
      <c r="CDR113" s="88"/>
      <c r="CDS113" s="88"/>
      <c r="CDT113" s="88"/>
      <c r="CDU113" s="88"/>
      <c r="CDV113" s="88"/>
      <c r="CDW113" s="88"/>
      <c r="CDX113" s="88"/>
      <c r="CDY113" s="88"/>
      <c r="CDZ113" s="88"/>
      <c r="CEA113" s="88"/>
      <c r="CEB113" s="88"/>
      <c r="CEC113" s="88"/>
      <c r="CED113" s="88"/>
      <c r="CEE113" s="88"/>
      <c r="CEF113" s="88"/>
      <c r="CEG113" s="88"/>
      <c r="CEH113" s="88"/>
      <c r="CEI113" s="88"/>
      <c r="CEJ113" s="88"/>
      <c r="CEK113" s="88"/>
    </row>
    <row r="114" spans="1:2169" s="63" customFormat="1">
      <c r="A114" s="73" t="s">
        <v>802</v>
      </c>
      <c r="B114" s="73" t="s">
        <v>708</v>
      </c>
      <c r="C114" s="68" t="str">
        <f>IF('page 2'!$O$4="","",IF('page 2'!$O$4=Gestion!A114,1,0))</f>
        <v/>
      </c>
      <c r="D114" s="68" t="str">
        <f>IF('page 2'!$O$5="","",IF('page 2'!$O$5=Gestion!A114,1,0))</f>
        <v/>
      </c>
      <c r="E114" s="68" t="str">
        <f>IF('page 2'!$O$6="","",IF('page 2'!$O$6=Gestion!A114,1,0))</f>
        <v/>
      </c>
      <c r="F114" s="68" t="str">
        <f>IF('page 2'!$O$7="","",IF('page 2'!$O$7=Gestion!A114,1,0))</f>
        <v/>
      </c>
      <c r="G114" s="68" t="str">
        <f>IF('page 2'!$O$8="","",IF('page 2'!$O$8=Gestion!A114,1,0))</f>
        <v/>
      </c>
      <c r="H114" s="68" t="str">
        <f>IF('page 2'!$O$9="","",IF('page 2'!$O$9=Gestion!A114,1,0))</f>
        <v/>
      </c>
      <c r="I114" s="68" t="str">
        <f>IF('page 2'!$O$10="","",IF('page 2'!$O$10=Gestion!A114,1,0))</f>
        <v/>
      </c>
      <c r="J114" s="68" t="str">
        <f>IF('page 2'!$O$11="","",IF('page 2'!$O$11=Gestion!A114,1,0))</f>
        <v/>
      </c>
      <c r="K114" s="68" t="str">
        <f>IF('page 2'!$O$12="","",IF('page 2'!$O$12=Gestion!A114,1,0))</f>
        <v/>
      </c>
      <c r="L114" s="68" t="str">
        <f>IF('page 2'!$O$13="","",IF('page 2'!$O$13=Gestion!A114,1,0))</f>
        <v/>
      </c>
      <c r="M114" s="68" t="str">
        <f>IF('page 2'!$O$14="","",IF('page 2'!$O$14=Gestion!A114,1,0))</f>
        <v/>
      </c>
      <c r="N114" s="68" t="str">
        <f>IF('page 2'!$O$15="","",IF('page 2'!$O$15=Gestion!A114,1,0))</f>
        <v/>
      </c>
      <c r="O114" s="68" t="str">
        <f>IF('page 2'!$O$16="","",IF('page 2'!$O$16=Gestion!A114,1,0))</f>
        <v/>
      </c>
      <c r="P114" s="68" t="str">
        <f>IF('page 2'!$O$17="","",IF('page 2'!$O$17=Gestion!A114,1,0))</f>
        <v/>
      </c>
      <c r="Q114" s="68" t="str">
        <f>IF('page 2'!$O$18="","",IF('page 2'!$O$18=Gestion!A114,1,0))</f>
        <v/>
      </c>
      <c r="R114" s="68" t="str">
        <f>IF('page 2'!$O$19="","",IF('page 2'!$O$19=Gestion!A114,1,0))</f>
        <v/>
      </c>
      <c r="S114" s="68" t="str">
        <f>IF('page 2'!$O$20="","",IF('page 2'!$O$20=Gestion!A114,1,0))</f>
        <v/>
      </c>
      <c r="T114" s="68" t="str">
        <f>IF('page 2'!$O$25="","",IF('page 2'!$O$25=Gestion!A114,1,0))</f>
        <v/>
      </c>
      <c r="U114" s="68" t="str">
        <f>IF('page 2'!$O$26="","",IF('page 2'!$O$26=Gestion!A114,1,0))</f>
        <v/>
      </c>
      <c r="V114" s="68" t="str">
        <f>IF('page 2'!$O$27="","",IF('page 2'!$O$27=Gestion!A114,1,0))</f>
        <v/>
      </c>
      <c r="W114" s="722">
        <f t="shared" si="14"/>
        <v>0</v>
      </c>
      <c r="X114" s="714"/>
      <c r="Y114" s="68"/>
      <c r="Z114" s="68"/>
      <c r="AA114" s="68"/>
      <c r="AB114" s="68"/>
      <c r="AC114" s="68"/>
      <c r="AD114" s="68"/>
      <c r="AP114" s="130"/>
      <c r="AQ114" s="130"/>
      <c r="AR114" s="130"/>
      <c r="AS114" s="576"/>
      <c r="AT114" s="576"/>
      <c r="AU114" s="576"/>
      <c r="AV114" s="576"/>
      <c r="AW114" s="602"/>
      <c r="AX114" s="602"/>
      <c r="AY114" s="576"/>
      <c r="AZ114" s="576"/>
      <c r="BA114" s="576"/>
      <c r="BB114" s="576"/>
      <c r="BC114" s="576"/>
      <c r="BD114" s="602"/>
      <c r="BE114" s="602"/>
      <c r="BF114" s="602"/>
      <c r="BG114" s="602"/>
      <c r="BH114" s="602"/>
      <c r="BI114" s="602"/>
      <c r="BJ114" s="602"/>
      <c r="BK114" s="602"/>
      <c r="BL114" s="602"/>
      <c r="BM114" s="602"/>
      <c r="BN114" s="602"/>
      <c r="BO114" s="602"/>
      <c r="BP114" s="602"/>
      <c r="BQ114" s="602"/>
      <c r="BR114" s="602"/>
      <c r="BS114" s="576"/>
      <c r="BT114" s="576"/>
      <c r="BU114" s="576"/>
      <c r="BV114" s="576"/>
      <c r="BW114" s="602"/>
      <c r="BX114" s="602"/>
      <c r="BY114" s="602"/>
      <c r="BZ114" s="576"/>
      <c r="CA114" s="602"/>
      <c r="CB114" s="602"/>
      <c r="CC114" s="576"/>
      <c r="CD114" s="576"/>
      <c r="CE114" s="602"/>
      <c r="CF114" s="576"/>
      <c r="CG114" s="576"/>
      <c r="CH114" s="576"/>
      <c r="CI114" s="576"/>
      <c r="CJ114" s="576"/>
      <c r="CK114" s="602"/>
      <c r="CL114" s="602"/>
      <c r="CM114" s="576"/>
      <c r="CN114" s="602"/>
      <c r="CO114" s="602"/>
      <c r="CP114" s="602"/>
      <c r="CQ114" s="576"/>
      <c r="CR114" s="576"/>
      <c r="CS114" s="602"/>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c r="HF114" s="88"/>
      <c r="HG114" s="88"/>
      <c r="HH114" s="88"/>
      <c r="HI114" s="88"/>
      <c r="HJ114" s="88"/>
      <c r="HK114" s="88"/>
      <c r="HL114" s="88"/>
      <c r="HM114" s="88"/>
      <c r="HN114" s="88"/>
      <c r="HO114" s="88"/>
      <c r="HP114" s="88"/>
      <c r="HQ114" s="88"/>
      <c r="HR114" s="88"/>
      <c r="HS114" s="88"/>
      <c r="HT114" s="88"/>
      <c r="HU114" s="88"/>
      <c r="HV114" s="88"/>
      <c r="HW114" s="88"/>
      <c r="HX114" s="88"/>
      <c r="HY114" s="88"/>
      <c r="HZ114" s="88"/>
      <c r="IA114" s="88"/>
      <c r="IB114" s="88"/>
      <c r="IC114" s="88"/>
      <c r="ID114" s="88"/>
      <c r="IE114" s="88"/>
      <c r="IF114" s="88"/>
      <c r="IG114" s="88"/>
      <c r="IH114" s="88"/>
      <c r="II114" s="88"/>
      <c r="IJ114" s="88"/>
      <c r="IK114" s="88"/>
      <c r="IL114" s="88"/>
      <c r="IM114" s="88"/>
      <c r="IN114" s="88"/>
      <c r="IO114" s="88"/>
      <c r="IP114" s="88"/>
      <c r="IQ114" s="88"/>
      <c r="IR114" s="88"/>
      <c r="IS114" s="88"/>
      <c r="IT114" s="88"/>
      <c r="IU114" s="88"/>
      <c r="IV114" s="88"/>
      <c r="IW114" s="88"/>
      <c r="IX114" s="88"/>
      <c r="IY114" s="88"/>
      <c r="IZ114" s="88"/>
      <c r="JA114" s="88"/>
      <c r="JB114" s="88"/>
      <c r="JC114" s="88"/>
      <c r="JD114" s="88"/>
      <c r="JE114" s="88"/>
      <c r="JF114" s="88"/>
      <c r="JG114" s="88"/>
      <c r="JH114" s="88"/>
      <c r="JI114" s="88"/>
      <c r="JJ114" s="88"/>
      <c r="JK114" s="88"/>
      <c r="JL114" s="88"/>
      <c r="JM114" s="88"/>
      <c r="JN114" s="88"/>
      <c r="JO114" s="88"/>
      <c r="JP114" s="88"/>
      <c r="JQ114" s="88"/>
      <c r="JR114" s="88"/>
      <c r="JS114" s="88"/>
      <c r="JT114" s="88"/>
      <c r="JU114" s="88"/>
      <c r="JV114" s="88"/>
      <c r="JW114" s="88"/>
      <c r="JX114" s="88"/>
      <c r="JY114" s="88"/>
      <c r="JZ114" s="88"/>
      <c r="KA114" s="88"/>
      <c r="KB114" s="88"/>
      <c r="KC114" s="88"/>
      <c r="KD114" s="88"/>
      <c r="KE114" s="88"/>
      <c r="KF114" s="88"/>
      <c r="KG114" s="88"/>
      <c r="KH114" s="88"/>
      <c r="KI114" s="88"/>
      <c r="KJ114" s="88"/>
      <c r="KK114" s="88"/>
      <c r="KL114" s="88"/>
      <c r="KM114" s="88"/>
      <c r="KN114" s="88"/>
      <c r="KO114" s="88"/>
      <c r="KP114" s="88"/>
      <c r="KQ114" s="88"/>
      <c r="KR114" s="88"/>
      <c r="KS114" s="88"/>
      <c r="KT114" s="88"/>
      <c r="KU114" s="88"/>
      <c r="KV114" s="88"/>
      <c r="KW114" s="88"/>
      <c r="KX114" s="88"/>
      <c r="KY114" s="88"/>
      <c r="KZ114" s="88"/>
      <c r="LA114" s="88"/>
      <c r="LB114" s="88"/>
      <c r="LC114" s="88"/>
      <c r="LD114" s="88"/>
      <c r="LE114" s="88"/>
      <c r="LF114" s="88"/>
      <c r="LG114" s="88"/>
      <c r="LH114" s="88"/>
      <c r="LI114" s="88"/>
      <c r="LJ114" s="88"/>
      <c r="LK114" s="88"/>
      <c r="LL114" s="88"/>
      <c r="LM114" s="88"/>
      <c r="LN114" s="88"/>
      <c r="LO114" s="88"/>
      <c r="LP114" s="88"/>
      <c r="LQ114" s="88"/>
      <c r="LR114" s="88"/>
      <c r="LS114" s="88"/>
      <c r="LT114" s="88"/>
      <c r="LU114" s="88"/>
      <c r="LV114" s="88"/>
      <c r="LW114" s="88"/>
      <c r="LX114" s="88"/>
      <c r="LY114" s="88"/>
      <c r="LZ114" s="88"/>
      <c r="MA114" s="88"/>
      <c r="MB114" s="88"/>
      <c r="MC114" s="88"/>
      <c r="MD114" s="88"/>
      <c r="ME114" s="88"/>
      <c r="MF114" s="88"/>
      <c r="MG114" s="88"/>
      <c r="MH114" s="88"/>
      <c r="MI114" s="88"/>
      <c r="MJ114" s="88"/>
      <c r="MK114" s="88"/>
      <c r="ML114" s="88"/>
      <c r="MM114" s="88"/>
      <c r="MN114" s="88"/>
      <c r="MO114" s="88"/>
      <c r="MP114" s="88"/>
      <c r="MQ114" s="88"/>
      <c r="MR114" s="88"/>
      <c r="MS114" s="88"/>
      <c r="MT114" s="88"/>
      <c r="MU114" s="88"/>
      <c r="MV114" s="88"/>
      <c r="MW114" s="88"/>
      <c r="MX114" s="88"/>
      <c r="MY114" s="88"/>
      <c r="MZ114" s="88"/>
      <c r="NA114" s="88"/>
      <c r="NB114" s="88"/>
      <c r="NC114" s="88"/>
      <c r="ND114" s="88"/>
      <c r="NE114" s="88"/>
      <c r="NF114" s="88"/>
      <c r="NG114" s="88"/>
      <c r="NH114" s="88"/>
      <c r="NI114" s="88"/>
      <c r="NJ114" s="88"/>
      <c r="NK114" s="88"/>
      <c r="NL114" s="88"/>
      <c r="NM114" s="88"/>
      <c r="NN114" s="88"/>
      <c r="NO114" s="88"/>
      <c r="NP114" s="88"/>
      <c r="NQ114" s="88"/>
      <c r="NR114" s="88"/>
      <c r="NS114" s="88"/>
      <c r="NT114" s="88"/>
      <c r="NU114" s="88"/>
      <c r="NV114" s="88"/>
      <c r="NW114" s="88"/>
      <c r="NX114" s="88"/>
      <c r="NY114" s="88"/>
      <c r="NZ114" s="88"/>
      <c r="OA114" s="88"/>
      <c r="OB114" s="88"/>
      <c r="OC114" s="88"/>
      <c r="OD114" s="88"/>
      <c r="OE114" s="88"/>
      <c r="OF114" s="88"/>
      <c r="OG114" s="88"/>
      <c r="OH114" s="88"/>
      <c r="OI114" s="88"/>
      <c r="OJ114" s="88"/>
      <c r="OK114" s="88"/>
      <c r="OL114" s="88"/>
      <c r="OM114" s="88"/>
      <c r="ON114" s="88"/>
      <c r="OO114" s="88"/>
      <c r="OP114" s="88"/>
      <c r="OQ114" s="88"/>
      <c r="OR114" s="88"/>
      <c r="OS114" s="88"/>
      <c r="OT114" s="88"/>
      <c r="OU114" s="88"/>
      <c r="OV114" s="88"/>
      <c r="OW114" s="88"/>
      <c r="OX114" s="88"/>
      <c r="OY114" s="88"/>
      <c r="OZ114" s="88"/>
      <c r="PA114" s="88"/>
      <c r="PB114" s="88"/>
      <c r="PC114" s="88"/>
      <c r="PD114" s="88"/>
      <c r="PE114" s="88"/>
      <c r="PF114" s="88"/>
      <c r="PG114" s="88"/>
      <c r="PH114" s="88"/>
      <c r="PI114" s="88"/>
      <c r="PJ114" s="88"/>
      <c r="PK114" s="88"/>
      <c r="PL114" s="88"/>
      <c r="PM114" s="88"/>
      <c r="PN114" s="88"/>
      <c r="PO114" s="88"/>
      <c r="PP114" s="88"/>
      <c r="PQ114" s="88"/>
      <c r="PR114" s="88"/>
      <c r="PS114" s="88"/>
      <c r="PT114" s="88"/>
      <c r="PU114" s="88"/>
      <c r="PV114" s="88"/>
      <c r="PW114" s="88"/>
      <c r="PX114" s="88"/>
      <c r="PY114" s="88"/>
      <c r="PZ114" s="88"/>
      <c r="QA114" s="88"/>
      <c r="QB114" s="88"/>
      <c r="QC114" s="88"/>
      <c r="QD114" s="88"/>
      <c r="QE114" s="88"/>
      <c r="QF114" s="88"/>
      <c r="QG114" s="88"/>
      <c r="QH114" s="88"/>
      <c r="QI114" s="88"/>
      <c r="QJ114" s="88"/>
      <c r="QK114" s="88"/>
      <c r="QL114" s="88"/>
      <c r="QM114" s="88"/>
      <c r="QN114" s="88"/>
      <c r="QO114" s="88"/>
      <c r="QP114" s="88"/>
      <c r="QQ114" s="88"/>
      <c r="QR114" s="88"/>
      <c r="QS114" s="88"/>
      <c r="QT114" s="88"/>
      <c r="QU114" s="88"/>
      <c r="QV114" s="88"/>
      <c r="QW114" s="88"/>
      <c r="QX114" s="88"/>
      <c r="QY114" s="88"/>
      <c r="QZ114" s="88"/>
      <c r="RA114" s="88"/>
      <c r="RB114" s="88"/>
      <c r="RC114" s="88"/>
      <c r="RD114" s="88"/>
      <c r="RE114" s="88"/>
      <c r="RF114" s="88"/>
      <c r="RG114" s="88"/>
      <c r="RH114" s="88"/>
      <c r="RI114" s="88"/>
      <c r="RJ114" s="88"/>
      <c r="RK114" s="88"/>
      <c r="RL114" s="88"/>
      <c r="RM114" s="88"/>
      <c r="RN114" s="88"/>
      <c r="RO114" s="88"/>
      <c r="RP114" s="88"/>
      <c r="RQ114" s="88"/>
      <c r="RR114" s="88"/>
      <c r="RS114" s="88"/>
      <c r="RT114" s="88"/>
      <c r="RU114" s="88"/>
      <c r="RV114" s="88"/>
      <c r="RW114" s="88"/>
      <c r="RX114" s="88"/>
      <c r="RY114" s="88"/>
      <c r="RZ114" s="88"/>
      <c r="SA114" s="88"/>
      <c r="SB114" s="88"/>
      <c r="SC114" s="88"/>
      <c r="SD114" s="88"/>
      <c r="SE114" s="88"/>
      <c r="SF114" s="88"/>
      <c r="SG114" s="88"/>
      <c r="SH114" s="88"/>
      <c r="SI114" s="88"/>
      <c r="SJ114" s="88"/>
      <c r="SK114" s="88"/>
      <c r="SL114" s="88"/>
      <c r="SM114" s="88"/>
      <c r="SN114" s="88"/>
      <c r="SO114" s="88"/>
      <c r="SP114" s="88"/>
      <c r="SQ114" s="88"/>
      <c r="SR114" s="88"/>
      <c r="SS114" s="88"/>
      <c r="ST114" s="88"/>
      <c r="SU114" s="88"/>
      <c r="SV114" s="88"/>
      <c r="SW114" s="88"/>
      <c r="SX114" s="88"/>
      <c r="SY114" s="88"/>
      <c r="SZ114" s="88"/>
      <c r="TA114" s="88"/>
      <c r="TB114" s="88"/>
      <c r="TC114" s="88"/>
      <c r="TD114" s="88"/>
      <c r="TE114" s="88"/>
      <c r="TF114" s="88"/>
      <c r="TG114" s="88"/>
      <c r="TH114" s="88"/>
      <c r="TI114" s="88"/>
      <c r="TJ114" s="88"/>
      <c r="TK114" s="88"/>
      <c r="TL114" s="88"/>
      <c r="TM114" s="88"/>
      <c r="TN114" s="88"/>
      <c r="TO114" s="88"/>
      <c r="TP114" s="88"/>
      <c r="TQ114" s="88"/>
      <c r="TR114" s="88"/>
      <c r="TS114" s="88"/>
      <c r="TT114" s="88"/>
      <c r="TU114" s="88"/>
      <c r="TV114" s="88"/>
      <c r="TW114" s="88"/>
      <c r="TX114" s="88"/>
      <c r="TY114" s="88"/>
      <c r="TZ114" s="88"/>
      <c r="UA114" s="88"/>
      <c r="UB114" s="88"/>
      <c r="UC114" s="88"/>
      <c r="UD114" s="88"/>
      <c r="UE114" s="88"/>
      <c r="UF114" s="88"/>
      <c r="UG114" s="88"/>
      <c r="UH114" s="88"/>
      <c r="UI114" s="88"/>
      <c r="UJ114" s="88"/>
      <c r="UK114" s="88"/>
      <c r="UL114" s="88"/>
      <c r="UM114" s="88"/>
      <c r="UN114" s="88"/>
      <c r="UO114" s="88"/>
      <c r="UP114" s="88"/>
      <c r="UQ114" s="88"/>
      <c r="UR114" s="88"/>
      <c r="US114" s="88"/>
      <c r="UT114" s="88"/>
      <c r="UU114" s="88"/>
      <c r="UV114" s="88"/>
      <c r="UW114" s="88"/>
      <c r="UX114" s="88"/>
      <c r="UY114" s="88"/>
      <c r="UZ114" s="88"/>
      <c r="VA114" s="88"/>
      <c r="VB114" s="88"/>
      <c r="VC114" s="88"/>
      <c r="VD114" s="88"/>
      <c r="VE114" s="88"/>
      <c r="VF114" s="88"/>
      <c r="VG114" s="88"/>
      <c r="VH114" s="88"/>
      <c r="VI114" s="88"/>
      <c r="VJ114" s="88"/>
      <c r="VK114" s="88"/>
      <c r="VL114" s="88"/>
      <c r="VM114" s="88"/>
      <c r="VN114" s="88"/>
      <c r="VO114" s="88"/>
      <c r="VP114" s="88"/>
      <c r="VQ114" s="88"/>
      <c r="VR114" s="88"/>
      <c r="VS114" s="88"/>
      <c r="VT114" s="88"/>
      <c r="VU114" s="88"/>
      <c r="VV114" s="88"/>
      <c r="VW114" s="88"/>
      <c r="VX114" s="88"/>
      <c r="VY114" s="88"/>
      <c r="VZ114" s="88"/>
      <c r="WA114" s="88"/>
      <c r="WB114" s="88"/>
      <c r="WC114" s="88"/>
      <c r="WD114" s="88"/>
      <c r="WE114" s="88"/>
      <c r="WF114" s="88"/>
      <c r="WG114" s="88"/>
      <c r="WH114" s="88"/>
      <c r="WI114" s="88"/>
      <c r="WJ114" s="88"/>
      <c r="WK114" s="88"/>
      <c r="WL114" s="88"/>
      <c r="WM114" s="88"/>
      <c r="WN114" s="88"/>
      <c r="WO114" s="88"/>
      <c r="WP114" s="88"/>
      <c r="WQ114" s="88"/>
      <c r="WR114" s="88"/>
      <c r="WS114" s="88"/>
      <c r="WT114" s="88"/>
      <c r="WU114" s="88"/>
      <c r="WV114" s="88"/>
      <c r="WW114" s="88"/>
      <c r="WX114" s="88"/>
      <c r="WY114" s="88"/>
      <c r="WZ114" s="88"/>
      <c r="XA114" s="88"/>
      <c r="XB114" s="88"/>
      <c r="XC114" s="88"/>
      <c r="XD114" s="88"/>
      <c r="XE114" s="88"/>
      <c r="XF114" s="88"/>
      <c r="XG114" s="88"/>
      <c r="XH114" s="88"/>
      <c r="XI114" s="88"/>
      <c r="XJ114" s="88"/>
      <c r="XK114" s="88"/>
      <c r="XL114" s="88"/>
      <c r="XM114" s="88"/>
      <c r="XN114" s="88"/>
      <c r="XO114" s="88"/>
      <c r="XP114" s="88"/>
      <c r="XQ114" s="88"/>
      <c r="XR114" s="88"/>
      <c r="XS114" s="88"/>
      <c r="XT114" s="88"/>
      <c r="XU114" s="88"/>
      <c r="XV114" s="88"/>
      <c r="XW114" s="88"/>
      <c r="XX114" s="88"/>
      <c r="XY114" s="88"/>
      <c r="XZ114" s="88"/>
      <c r="YA114" s="88"/>
      <c r="YB114" s="88"/>
      <c r="YC114" s="88"/>
      <c r="YD114" s="88"/>
      <c r="YE114" s="88"/>
      <c r="YF114" s="88"/>
      <c r="YG114" s="88"/>
      <c r="YH114" s="88"/>
      <c r="YI114" s="88"/>
      <c r="YJ114" s="88"/>
      <c r="YK114" s="88"/>
      <c r="YL114" s="88"/>
      <c r="YM114" s="88"/>
      <c r="YN114" s="88"/>
      <c r="YO114" s="88"/>
      <c r="YP114" s="88"/>
      <c r="YQ114" s="88"/>
      <c r="YR114" s="88"/>
      <c r="YS114" s="88"/>
      <c r="YT114" s="88"/>
      <c r="YU114" s="88"/>
      <c r="YV114" s="88"/>
      <c r="YW114" s="88"/>
      <c r="YX114" s="88"/>
      <c r="YY114" s="88"/>
      <c r="YZ114" s="88"/>
      <c r="ZA114" s="88"/>
      <c r="ZB114" s="88"/>
      <c r="ZC114" s="88"/>
      <c r="ZD114" s="88"/>
      <c r="ZE114" s="88"/>
      <c r="ZF114" s="88"/>
      <c r="ZG114" s="88"/>
      <c r="ZH114" s="88"/>
      <c r="ZI114" s="88"/>
      <c r="ZJ114" s="88"/>
      <c r="ZK114" s="88"/>
      <c r="ZL114" s="88"/>
      <c r="ZM114" s="88"/>
      <c r="ZN114" s="88"/>
      <c r="ZO114" s="88"/>
      <c r="ZP114" s="88"/>
      <c r="ZQ114" s="88"/>
      <c r="ZR114" s="88"/>
      <c r="ZS114" s="88"/>
      <c r="ZT114" s="88"/>
      <c r="ZU114" s="88"/>
      <c r="ZV114" s="88"/>
      <c r="ZW114" s="88"/>
      <c r="ZX114" s="88"/>
      <c r="ZY114" s="88"/>
      <c r="ZZ114" s="88"/>
      <c r="AAA114" s="88"/>
      <c r="AAB114" s="88"/>
      <c r="AAC114" s="88"/>
      <c r="AAD114" s="88"/>
      <c r="AAE114" s="88"/>
      <c r="AAF114" s="88"/>
      <c r="AAG114" s="88"/>
      <c r="AAH114" s="88"/>
      <c r="AAI114" s="88"/>
      <c r="AAJ114" s="88"/>
      <c r="AAK114" s="88"/>
      <c r="AAL114" s="88"/>
      <c r="AAM114" s="88"/>
      <c r="AAN114" s="88"/>
      <c r="AAO114" s="88"/>
      <c r="AAP114" s="88"/>
      <c r="AAQ114" s="88"/>
      <c r="AAR114" s="88"/>
      <c r="AAS114" s="88"/>
      <c r="AAT114" s="88"/>
      <c r="AAU114" s="88"/>
      <c r="AAV114" s="88"/>
      <c r="AAW114" s="88"/>
      <c r="AAX114" s="88"/>
      <c r="AAY114" s="88"/>
      <c r="AAZ114" s="88"/>
      <c r="ABA114" s="88"/>
      <c r="ABB114" s="88"/>
      <c r="ABC114" s="88"/>
      <c r="ABD114" s="88"/>
      <c r="ABE114" s="88"/>
      <c r="ABF114" s="88"/>
      <c r="ABG114" s="88"/>
      <c r="ABH114" s="88"/>
      <c r="ABI114" s="88"/>
      <c r="ABJ114" s="88"/>
      <c r="ABK114" s="88"/>
      <c r="ABL114" s="88"/>
      <c r="ABM114" s="88"/>
      <c r="ABN114" s="88"/>
      <c r="ABO114" s="88"/>
      <c r="ABP114" s="88"/>
      <c r="ABQ114" s="88"/>
      <c r="ABR114" s="88"/>
      <c r="ABS114" s="88"/>
      <c r="ABT114" s="88"/>
      <c r="ABU114" s="88"/>
      <c r="ABV114" s="88"/>
      <c r="ABW114" s="88"/>
      <c r="ABX114" s="88"/>
      <c r="ABY114" s="88"/>
      <c r="ABZ114" s="88"/>
      <c r="ACA114" s="88"/>
      <c r="ACB114" s="88"/>
      <c r="ACC114" s="88"/>
      <c r="ACD114" s="88"/>
      <c r="ACE114" s="88"/>
      <c r="ACF114" s="88"/>
      <c r="ACG114" s="88"/>
      <c r="ACH114" s="88"/>
      <c r="ACI114" s="88"/>
      <c r="ACJ114" s="88"/>
      <c r="ACK114" s="88"/>
      <c r="ACL114" s="88"/>
      <c r="ACM114" s="88"/>
      <c r="ACN114" s="88"/>
      <c r="ACO114" s="88"/>
      <c r="ACP114" s="88"/>
      <c r="ACQ114" s="88"/>
      <c r="ACR114" s="88"/>
      <c r="ACS114" s="88"/>
      <c r="ACT114" s="88"/>
      <c r="ACU114" s="88"/>
      <c r="ACV114" s="88"/>
      <c r="ACW114" s="88"/>
      <c r="ACX114" s="88"/>
      <c r="ACY114" s="88"/>
      <c r="ACZ114" s="88"/>
      <c r="ADA114" s="88"/>
      <c r="ADB114" s="88"/>
      <c r="ADC114" s="88"/>
      <c r="ADD114" s="88"/>
      <c r="ADE114" s="88"/>
      <c r="ADF114" s="88"/>
      <c r="ADG114" s="88"/>
      <c r="ADH114" s="88"/>
      <c r="ADI114" s="88"/>
      <c r="ADJ114" s="88"/>
      <c r="ADK114" s="88"/>
      <c r="ADL114" s="88"/>
      <c r="ADM114" s="88"/>
      <c r="ADN114" s="88"/>
      <c r="ADO114" s="88"/>
      <c r="ADP114" s="88"/>
      <c r="ADQ114" s="88"/>
      <c r="ADR114" s="88"/>
      <c r="ADS114" s="88"/>
      <c r="ADT114" s="88"/>
      <c r="ADU114" s="88"/>
      <c r="ADV114" s="88"/>
      <c r="ADW114" s="88"/>
      <c r="ADX114" s="88"/>
      <c r="ADY114" s="88"/>
      <c r="ADZ114" s="88"/>
      <c r="AEA114" s="88"/>
      <c r="AEB114" s="88"/>
      <c r="AEC114" s="88"/>
      <c r="AED114" s="88"/>
      <c r="AEE114" s="88"/>
      <c r="AEF114" s="88"/>
      <c r="AEG114" s="88"/>
      <c r="AEH114" s="88"/>
      <c r="AEI114" s="88"/>
      <c r="AEJ114" s="88"/>
      <c r="AEK114" s="88"/>
      <c r="AEL114" s="88"/>
      <c r="AEM114" s="88"/>
      <c r="AEN114" s="88"/>
      <c r="AEO114" s="88"/>
      <c r="AEP114" s="88"/>
      <c r="AEQ114" s="88"/>
      <c r="AER114" s="88"/>
      <c r="AES114" s="88"/>
      <c r="AET114" s="88"/>
      <c r="AEU114" s="88"/>
      <c r="AEV114" s="88"/>
      <c r="AEW114" s="88"/>
      <c r="AEX114" s="88"/>
      <c r="AEY114" s="88"/>
      <c r="AEZ114" s="88"/>
      <c r="AFA114" s="88"/>
      <c r="AFB114" s="88"/>
      <c r="AFC114" s="88"/>
      <c r="AFD114" s="88"/>
      <c r="AFE114" s="88"/>
      <c r="AFF114" s="88"/>
      <c r="AFG114" s="88"/>
      <c r="AFH114" s="88"/>
      <c r="AFI114" s="88"/>
      <c r="AFJ114" s="88"/>
      <c r="AFK114" s="88"/>
      <c r="AFL114" s="88"/>
      <c r="AFM114" s="88"/>
      <c r="AFN114" s="88"/>
      <c r="AFO114" s="88"/>
      <c r="AFP114" s="88"/>
      <c r="AFQ114" s="88"/>
      <c r="AFR114" s="88"/>
      <c r="AFS114" s="88"/>
      <c r="AFT114" s="88"/>
      <c r="AFU114" s="88"/>
      <c r="AFV114" s="88"/>
      <c r="AFW114" s="88"/>
      <c r="AFX114" s="88"/>
      <c r="AFY114" s="88"/>
      <c r="AFZ114" s="88"/>
      <c r="AGA114" s="88"/>
      <c r="AGB114" s="88"/>
      <c r="AGC114" s="88"/>
      <c r="AGD114" s="88"/>
      <c r="AGE114" s="88"/>
      <c r="AGF114" s="88"/>
      <c r="AGG114" s="88"/>
      <c r="AGH114" s="88"/>
      <c r="AGI114" s="88"/>
      <c r="AGJ114" s="88"/>
      <c r="AGK114" s="88"/>
      <c r="AGL114" s="88"/>
      <c r="AGM114" s="88"/>
      <c r="AGN114" s="88"/>
      <c r="AGO114" s="88"/>
      <c r="AGP114" s="88"/>
      <c r="AGQ114" s="88"/>
      <c r="AGR114" s="88"/>
      <c r="AGS114" s="88"/>
      <c r="AGT114" s="88"/>
      <c r="AGU114" s="88"/>
      <c r="AGV114" s="88"/>
      <c r="AGW114" s="88"/>
      <c r="AGX114" s="88"/>
      <c r="AGY114" s="88"/>
      <c r="AGZ114" s="88"/>
      <c r="AHA114" s="88"/>
      <c r="AHB114" s="88"/>
      <c r="AHC114" s="88"/>
      <c r="AHD114" s="88"/>
      <c r="AHE114" s="88"/>
      <c r="AHF114" s="88"/>
      <c r="AHG114" s="88"/>
      <c r="AHH114" s="88"/>
      <c r="AHI114" s="88"/>
      <c r="AHJ114" s="88"/>
      <c r="AHK114" s="88"/>
      <c r="AHL114" s="88"/>
      <c r="AHM114" s="88"/>
      <c r="AHN114" s="88"/>
      <c r="AHO114" s="88"/>
      <c r="AHP114" s="88"/>
      <c r="AHQ114" s="88"/>
      <c r="AHR114" s="88"/>
      <c r="AHS114" s="88"/>
      <c r="AHT114" s="88"/>
      <c r="AHU114" s="88"/>
      <c r="AHV114" s="88"/>
      <c r="AHW114" s="88"/>
      <c r="AHX114" s="88"/>
      <c r="AHY114" s="88"/>
      <c r="AHZ114" s="88"/>
      <c r="AIA114" s="88"/>
      <c r="AIB114" s="88"/>
      <c r="AIC114" s="88"/>
      <c r="AID114" s="88"/>
      <c r="AIE114" s="88"/>
      <c r="AIF114" s="88"/>
      <c r="AIG114" s="88"/>
      <c r="AIH114" s="88"/>
      <c r="AII114" s="88"/>
      <c r="AIJ114" s="88"/>
      <c r="AIK114" s="88"/>
      <c r="AIL114" s="88"/>
      <c r="AIM114" s="88"/>
      <c r="AIN114" s="88"/>
      <c r="AIO114" s="88"/>
      <c r="AIP114" s="88"/>
      <c r="AIQ114" s="88"/>
      <c r="AIR114" s="88"/>
      <c r="AIS114" s="88"/>
      <c r="AIT114" s="88"/>
      <c r="AIU114" s="88"/>
      <c r="AIV114" s="88"/>
      <c r="AIW114" s="88"/>
      <c r="AIX114" s="88"/>
      <c r="AIY114" s="88"/>
      <c r="AIZ114" s="88"/>
      <c r="AJA114" s="88"/>
      <c r="AJB114" s="88"/>
      <c r="AJC114" s="88"/>
      <c r="AJD114" s="88"/>
      <c r="AJE114" s="88"/>
      <c r="AJF114" s="88"/>
      <c r="AJG114" s="88"/>
      <c r="AJH114" s="88"/>
      <c r="AJI114" s="88"/>
      <c r="AJJ114" s="88"/>
      <c r="AJK114" s="88"/>
      <c r="AJL114" s="88"/>
      <c r="AJM114" s="88"/>
      <c r="AJN114" s="88"/>
      <c r="AJO114" s="88"/>
      <c r="AJP114" s="88"/>
      <c r="AJQ114" s="88"/>
      <c r="AJR114" s="88"/>
      <c r="AJS114" s="88"/>
      <c r="AJT114" s="88"/>
      <c r="AJU114" s="88"/>
      <c r="AJV114" s="88"/>
      <c r="AJW114" s="88"/>
      <c r="AJX114" s="88"/>
      <c r="AJY114" s="88"/>
      <c r="AJZ114" s="88"/>
      <c r="AKA114" s="88"/>
      <c r="AKB114" s="88"/>
      <c r="AKC114" s="88"/>
      <c r="AKD114" s="88"/>
      <c r="AKE114" s="88"/>
      <c r="AKF114" s="88"/>
      <c r="AKG114" s="88"/>
      <c r="AKH114" s="88"/>
      <c r="AKI114" s="88"/>
      <c r="AKJ114" s="88"/>
      <c r="AKK114" s="88"/>
      <c r="AKL114" s="88"/>
      <c r="AKM114" s="88"/>
      <c r="AKN114" s="88"/>
      <c r="AKO114" s="88"/>
      <c r="AKP114" s="88"/>
      <c r="AKQ114" s="88"/>
      <c r="AKR114" s="88"/>
      <c r="AKS114" s="88"/>
      <c r="AKT114" s="88"/>
      <c r="AKU114" s="88"/>
      <c r="AKV114" s="88"/>
      <c r="AKW114" s="88"/>
      <c r="AKX114" s="88"/>
      <c r="AKY114" s="88"/>
      <c r="AKZ114" s="88"/>
      <c r="ALA114" s="88"/>
      <c r="ALB114" s="88"/>
      <c r="ALC114" s="88"/>
      <c r="ALD114" s="88"/>
      <c r="ALE114" s="88"/>
      <c r="ALF114" s="88"/>
      <c r="ALG114" s="88"/>
      <c r="ALH114" s="88"/>
      <c r="ALI114" s="88"/>
      <c r="ALJ114" s="88"/>
      <c r="ALK114" s="88"/>
      <c r="ALL114" s="88"/>
      <c r="ALM114" s="88"/>
      <c r="ALN114" s="88"/>
      <c r="ALO114" s="88"/>
      <c r="ALP114" s="88"/>
      <c r="ALQ114" s="88"/>
      <c r="ALR114" s="88"/>
      <c r="ALS114" s="88"/>
      <c r="ALT114" s="88"/>
      <c r="ALU114" s="88"/>
      <c r="ALV114" s="88"/>
      <c r="ALW114" s="88"/>
      <c r="ALX114" s="88"/>
      <c r="ALY114" s="88"/>
      <c r="ALZ114" s="88"/>
      <c r="AMA114" s="88"/>
      <c r="AMB114" s="88"/>
      <c r="AMC114" s="88"/>
      <c r="AMD114" s="88"/>
      <c r="AME114" s="88"/>
      <c r="AMF114" s="88"/>
      <c r="AMG114" s="88"/>
      <c r="AMH114" s="88"/>
      <c r="AMI114" s="88"/>
      <c r="AMJ114" s="88"/>
      <c r="AMK114" s="88"/>
      <c r="AML114" s="88"/>
      <c r="AMM114" s="88"/>
      <c r="AMN114" s="88"/>
      <c r="AMO114" s="88"/>
      <c r="AMP114" s="88"/>
      <c r="AMQ114" s="88"/>
      <c r="AMR114" s="88"/>
      <c r="AMS114" s="88"/>
      <c r="AMT114" s="88"/>
      <c r="AMU114" s="88"/>
      <c r="AMV114" s="88"/>
      <c r="AMW114" s="88"/>
      <c r="AMX114" s="88"/>
      <c r="AMY114" s="88"/>
      <c r="AMZ114" s="88"/>
      <c r="ANA114" s="88"/>
      <c r="ANB114" s="88"/>
      <c r="ANC114" s="88"/>
      <c r="AND114" s="88"/>
      <c r="ANE114" s="88"/>
      <c r="ANF114" s="88"/>
      <c r="ANG114" s="88"/>
      <c r="ANH114" s="88"/>
      <c r="ANI114" s="88"/>
      <c r="ANJ114" s="88"/>
      <c r="ANK114" s="88"/>
      <c r="ANL114" s="88"/>
      <c r="ANM114" s="88"/>
      <c r="ANN114" s="88"/>
      <c r="ANO114" s="88"/>
      <c r="ANP114" s="88"/>
      <c r="ANQ114" s="88"/>
      <c r="ANR114" s="88"/>
      <c r="ANS114" s="88"/>
      <c r="ANT114" s="88"/>
      <c r="ANU114" s="88"/>
      <c r="ANV114" s="88"/>
      <c r="ANW114" s="88"/>
      <c r="ANX114" s="88"/>
      <c r="ANY114" s="88"/>
      <c r="ANZ114" s="88"/>
      <c r="AOA114" s="88"/>
      <c r="AOB114" s="88"/>
      <c r="AOC114" s="88"/>
      <c r="AOD114" s="88"/>
      <c r="AOE114" s="88"/>
      <c r="AOF114" s="88"/>
      <c r="AOG114" s="88"/>
      <c r="AOH114" s="88"/>
      <c r="AOI114" s="88"/>
      <c r="AOJ114" s="88"/>
      <c r="AOK114" s="88"/>
      <c r="AOL114" s="88"/>
      <c r="AOM114" s="88"/>
      <c r="AON114" s="88"/>
      <c r="AOO114" s="88"/>
      <c r="AOP114" s="88"/>
      <c r="AOQ114" s="88"/>
      <c r="AOR114" s="88"/>
      <c r="AOS114" s="88"/>
      <c r="AOT114" s="88"/>
      <c r="AOU114" s="88"/>
      <c r="AOV114" s="88"/>
      <c r="AOW114" s="88"/>
      <c r="AOX114" s="88"/>
      <c r="AOY114" s="88"/>
      <c r="AOZ114" s="88"/>
      <c r="APA114" s="88"/>
      <c r="APB114" s="88"/>
      <c r="APC114" s="88"/>
      <c r="APD114" s="88"/>
      <c r="APE114" s="88"/>
      <c r="APF114" s="88"/>
      <c r="APG114" s="88"/>
      <c r="APH114" s="88"/>
      <c r="API114" s="88"/>
      <c r="APJ114" s="88"/>
      <c r="APK114" s="88"/>
      <c r="APL114" s="88"/>
      <c r="APM114" s="88"/>
      <c r="APN114" s="88"/>
      <c r="APO114" s="88"/>
      <c r="APP114" s="88"/>
      <c r="APQ114" s="88"/>
      <c r="APR114" s="88"/>
      <c r="APS114" s="88"/>
      <c r="APT114" s="88"/>
      <c r="APU114" s="88"/>
      <c r="APV114" s="88"/>
      <c r="APW114" s="88"/>
      <c r="APX114" s="88"/>
      <c r="APY114" s="88"/>
      <c r="APZ114" s="88"/>
      <c r="AQA114" s="88"/>
      <c r="AQB114" s="88"/>
      <c r="AQC114" s="88"/>
      <c r="AQD114" s="88"/>
      <c r="AQE114" s="88"/>
      <c r="AQF114" s="88"/>
      <c r="AQG114" s="88"/>
      <c r="AQH114" s="88"/>
      <c r="AQI114" s="88"/>
      <c r="AQJ114" s="88"/>
      <c r="AQK114" s="88"/>
      <c r="AQL114" s="88"/>
      <c r="AQM114" s="88"/>
      <c r="AQN114" s="88"/>
      <c r="AQO114" s="88"/>
      <c r="AQP114" s="88"/>
      <c r="AQQ114" s="88"/>
      <c r="AQR114" s="88"/>
      <c r="AQS114" s="88"/>
      <c r="AQT114" s="88"/>
      <c r="AQU114" s="88"/>
      <c r="AQV114" s="88"/>
      <c r="AQW114" s="88"/>
      <c r="AQX114" s="88"/>
      <c r="AQY114" s="88"/>
      <c r="AQZ114" s="88"/>
      <c r="ARA114" s="88"/>
      <c r="ARB114" s="88"/>
      <c r="ARC114" s="88"/>
      <c r="ARD114" s="88"/>
      <c r="ARE114" s="88"/>
      <c r="ARF114" s="88"/>
      <c r="ARG114" s="88"/>
      <c r="ARH114" s="88"/>
      <c r="ARI114" s="88"/>
      <c r="ARJ114" s="88"/>
      <c r="ARK114" s="88"/>
      <c r="ARL114" s="88"/>
      <c r="ARM114" s="88"/>
      <c r="ARN114" s="88"/>
      <c r="ARO114" s="88"/>
      <c r="ARP114" s="88"/>
      <c r="ARQ114" s="88"/>
      <c r="ARR114" s="88"/>
      <c r="ARS114" s="88"/>
      <c r="ART114" s="88"/>
      <c r="ARU114" s="88"/>
      <c r="ARV114" s="88"/>
      <c r="ARW114" s="88"/>
      <c r="ARX114" s="88"/>
      <c r="ARY114" s="88"/>
      <c r="ARZ114" s="88"/>
      <c r="ASA114" s="88"/>
      <c r="ASB114" s="88"/>
      <c r="ASC114" s="88"/>
      <c r="ASD114" s="88"/>
      <c r="ASE114" s="88"/>
      <c r="ASF114" s="88"/>
      <c r="ASG114" s="88"/>
      <c r="ASH114" s="88"/>
      <c r="ASI114" s="88"/>
      <c r="ASJ114" s="88"/>
      <c r="ASK114" s="88"/>
      <c r="ASL114" s="88"/>
      <c r="ASM114" s="88"/>
      <c r="ASN114" s="88"/>
      <c r="ASO114" s="88"/>
      <c r="ASP114" s="88"/>
      <c r="ASQ114" s="88"/>
      <c r="ASR114" s="88"/>
      <c r="ASS114" s="88"/>
      <c r="AST114" s="88"/>
      <c r="ASU114" s="88"/>
      <c r="ASV114" s="88"/>
      <c r="ASW114" s="88"/>
      <c r="ASX114" s="88"/>
      <c r="ASY114" s="88"/>
      <c r="ASZ114" s="88"/>
      <c r="ATA114" s="88"/>
      <c r="ATB114" s="88"/>
      <c r="ATC114" s="88"/>
      <c r="ATD114" s="88"/>
      <c r="ATE114" s="88"/>
      <c r="ATF114" s="88"/>
      <c r="ATG114" s="88"/>
      <c r="ATH114" s="88"/>
      <c r="ATI114" s="88"/>
      <c r="ATJ114" s="88"/>
      <c r="ATK114" s="88"/>
      <c r="ATL114" s="88"/>
      <c r="ATM114" s="88"/>
      <c r="ATN114" s="88"/>
      <c r="ATO114" s="88"/>
      <c r="ATP114" s="88"/>
      <c r="ATQ114" s="88"/>
      <c r="ATR114" s="88"/>
      <c r="ATS114" s="88"/>
      <c r="ATT114" s="88"/>
      <c r="ATU114" s="88"/>
      <c r="ATV114" s="88"/>
      <c r="ATW114" s="88"/>
      <c r="ATX114" s="88"/>
      <c r="ATY114" s="88"/>
      <c r="ATZ114" s="88"/>
      <c r="AUA114" s="88"/>
      <c r="AUB114" s="88"/>
      <c r="AUC114" s="88"/>
      <c r="AUD114" s="88"/>
      <c r="AUE114" s="88"/>
      <c r="AUF114" s="88"/>
      <c r="AUG114" s="88"/>
      <c r="AUH114" s="88"/>
      <c r="AUI114" s="88"/>
      <c r="AUJ114" s="88"/>
      <c r="AUK114" s="88"/>
      <c r="AUL114" s="88"/>
      <c r="AUM114" s="88"/>
      <c r="AUN114" s="88"/>
      <c r="AUO114" s="88"/>
      <c r="AUP114" s="88"/>
      <c r="AUQ114" s="88"/>
      <c r="AUR114" s="88"/>
      <c r="AUS114" s="88"/>
      <c r="AUT114" s="88"/>
      <c r="AUU114" s="88"/>
      <c r="AUV114" s="88"/>
      <c r="AUW114" s="88"/>
      <c r="AUX114" s="88"/>
      <c r="AUY114" s="88"/>
      <c r="AUZ114" s="88"/>
      <c r="AVA114" s="88"/>
      <c r="AVB114" s="88"/>
      <c r="AVC114" s="88"/>
      <c r="AVD114" s="88"/>
      <c r="AVE114" s="88"/>
      <c r="AVF114" s="88"/>
      <c r="AVG114" s="88"/>
      <c r="AVH114" s="88"/>
      <c r="AVI114" s="88"/>
      <c r="AVJ114" s="88"/>
      <c r="AVK114" s="88"/>
      <c r="AVL114" s="88"/>
      <c r="AVM114" s="88"/>
      <c r="AVN114" s="88"/>
      <c r="AVO114" s="88"/>
      <c r="AVP114" s="88"/>
      <c r="AVQ114" s="88"/>
      <c r="AVR114" s="88"/>
      <c r="AVS114" s="88"/>
      <c r="AVT114" s="88"/>
      <c r="AVU114" s="88"/>
      <c r="AVV114" s="88"/>
      <c r="AVW114" s="88"/>
      <c r="AVX114" s="88"/>
      <c r="AVY114" s="88"/>
      <c r="AVZ114" s="88"/>
      <c r="AWA114" s="88"/>
      <c r="AWB114" s="88"/>
      <c r="AWC114" s="88"/>
      <c r="AWD114" s="88"/>
      <c r="AWE114" s="88"/>
      <c r="AWF114" s="88"/>
      <c r="AWG114" s="88"/>
      <c r="AWH114" s="88"/>
      <c r="AWI114" s="88"/>
      <c r="AWJ114" s="88"/>
      <c r="AWK114" s="88"/>
      <c r="AWL114" s="88"/>
      <c r="AWM114" s="88"/>
      <c r="AWN114" s="88"/>
      <c r="AWO114" s="88"/>
      <c r="AWP114" s="88"/>
      <c r="AWQ114" s="88"/>
      <c r="AWR114" s="88"/>
      <c r="AWS114" s="88"/>
      <c r="AWT114" s="88"/>
      <c r="AWU114" s="88"/>
      <c r="AWV114" s="88"/>
      <c r="AWW114" s="88"/>
      <c r="AWX114" s="88"/>
      <c r="AWY114" s="88"/>
      <c r="AWZ114" s="88"/>
      <c r="AXA114" s="88"/>
      <c r="AXB114" s="88"/>
      <c r="AXC114" s="88"/>
      <c r="AXD114" s="88"/>
      <c r="AXE114" s="88"/>
      <c r="AXF114" s="88"/>
      <c r="AXG114" s="88"/>
      <c r="AXH114" s="88"/>
      <c r="AXI114" s="88"/>
      <c r="AXJ114" s="88"/>
      <c r="AXK114" s="88"/>
      <c r="AXL114" s="88"/>
      <c r="AXM114" s="88"/>
      <c r="AXN114" s="88"/>
      <c r="AXO114" s="88"/>
      <c r="AXP114" s="88"/>
      <c r="AXQ114" s="88"/>
      <c r="AXR114" s="88"/>
      <c r="AXS114" s="88"/>
      <c r="AXT114" s="88"/>
      <c r="AXU114" s="88"/>
      <c r="AXV114" s="88"/>
      <c r="AXW114" s="88"/>
      <c r="AXX114" s="88"/>
      <c r="AXY114" s="88"/>
      <c r="AXZ114" s="88"/>
      <c r="AYA114" s="88"/>
      <c r="AYB114" s="88"/>
      <c r="AYC114" s="88"/>
      <c r="AYD114" s="88"/>
      <c r="AYE114" s="88"/>
      <c r="AYF114" s="88"/>
      <c r="AYG114" s="88"/>
      <c r="AYH114" s="88"/>
      <c r="AYI114" s="88"/>
      <c r="AYJ114" s="88"/>
      <c r="AYK114" s="88"/>
      <c r="AYL114" s="88"/>
      <c r="AYM114" s="88"/>
      <c r="AYN114" s="88"/>
      <c r="AYO114" s="88"/>
      <c r="AYP114" s="88"/>
      <c r="AYQ114" s="88"/>
      <c r="AYR114" s="88"/>
      <c r="AYS114" s="88"/>
      <c r="AYT114" s="88"/>
      <c r="AYU114" s="88"/>
      <c r="AYV114" s="88"/>
      <c r="AYW114" s="88"/>
      <c r="AYX114" s="88"/>
      <c r="AYY114" s="88"/>
      <c r="AYZ114" s="88"/>
      <c r="AZA114" s="88"/>
      <c r="AZB114" s="88"/>
      <c r="AZC114" s="88"/>
      <c r="AZD114" s="88"/>
      <c r="AZE114" s="88"/>
      <c r="AZF114" s="88"/>
      <c r="AZG114" s="88"/>
      <c r="AZH114" s="88"/>
      <c r="AZI114" s="88"/>
      <c r="AZJ114" s="88"/>
      <c r="AZK114" s="88"/>
      <c r="AZL114" s="88"/>
      <c r="AZM114" s="88"/>
      <c r="AZN114" s="88"/>
      <c r="AZO114" s="88"/>
      <c r="AZP114" s="88"/>
      <c r="AZQ114" s="88"/>
      <c r="AZR114" s="88"/>
      <c r="AZS114" s="88"/>
      <c r="AZT114" s="88"/>
      <c r="AZU114" s="88"/>
      <c r="AZV114" s="88"/>
      <c r="AZW114" s="88"/>
      <c r="AZX114" s="88"/>
      <c r="AZY114" s="88"/>
      <c r="AZZ114" s="88"/>
      <c r="BAA114" s="88"/>
      <c r="BAB114" s="88"/>
      <c r="BAC114" s="88"/>
      <c r="BAD114" s="88"/>
      <c r="BAE114" s="88"/>
      <c r="BAF114" s="88"/>
      <c r="BAG114" s="88"/>
      <c r="BAH114" s="88"/>
      <c r="BAI114" s="88"/>
      <c r="BAJ114" s="88"/>
      <c r="BAK114" s="88"/>
      <c r="BAL114" s="88"/>
      <c r="BAM114" s="88"/>
      <c r="BAN114" s="88"/>
      <c r="BAO114" s="88"/>
      <c r="BAP114" s="88"/>
      <c r="BAQ114" s="88"/>
      <c r="BAR114" s="88"/>
      <c r="BAS114" s="88"/>
      <c r="BAT114" s="88"/>
      <c r="BAU114" s="88"/>
      <c r="BAV114" s="88"/>
      <c r="BAW114" s="88"/>
      <c r="BAX114" s="88"/>
      <c r="BAY114" s="88"/>
      <c r="BAZ114" s="88"/>
      <c r="BBA114" s="88"/>
      <c r="BBB114" s="88"/>
      <c r="BBC114" s="88"/>
      <c r="BBD114" s="88"/>
      <c r="BBE114" s="88"/>
      <c r="BBF114" s="88"/>
      <c r="BBG114" s="88"/>
      <c r="BBH114" s="88"/>
      <c r="BBI114" s="88"/>
      <c r="BBJ114" s="88"/>
      <c r="BBK114" s="88"/>
      <c r="BBL114" s="88"/>
      <c r="BBM114" s="88"/>
      <c r="BBN114" s="88"/>
      <c r="BBO114" s="88"/>
      <c r="BBP114" s="88"/>
      <c r="BBQ114" s="88"/>
      <c r="BBR114" s="88"/>
      <c r="BBS114" s="88"/>
      <c r="BBT114" s="88"/>
      <c r="BBU114" s="88"/>
      <c r="BBV114" s="88"/>
      <c r="BBW114" s="88"/>
      <c r="BBX114" s="88"/>
      <c r="BBY114" s="88"/>
      <c r="BBZ114" s="88"/>
      <c r="BCA114" s="88"/>
      <c r="BCB114" s="88"/>
      <c r="BCC114" s="88"/>
      <c r="BCD114" s="88"/>
      <c r="BCE114" s="88"/>
      <c r="BCF114" s="88"/>
      <c r="BCG114" s="88"/>
      <c r="BCH114" s="88"/>
      <c r="BCI114" s="88"/>
      <c r="BCJ114" s="88"/>
      <c r="BCK114" s="88"/>
      <c r="BCL114" s="88"/>
      <c r="BCM114" s="88"/>
      <c r="BCN114" s="88"/>
      <c r="BCO114" s="88"/>
      <c r="BCP114" s="88"/>
      <c r="BCQ114" s="88"/>
      <c r="BCR114" s="88"/>
      <c r="BCS114" s="88"/>
      <c r="BCT114" s="88"/>
      <c r="BCU114" s="88"/>
      <c r="BCV114" s="88"/>
      <c r="BCW114" s="88"/>
      <c r="BCX114" s="88"/>
      <c r="BCY114" s="88"/>
      <c r="BCZ114" s="88"/>
      <c r="BDA114" s="88"/>
      <c r="BDB114" s="88"/>
      <c r="BDC114" s="88"/>
      <c r="BDD114" s="88"/>
      <c r="BDE114" s="88"/>
      <c r="BDF114" s="88"/>
      <c r="BDG114" s="88"/>
      <c r="BDH114" s="88"/>
      <c r="BDI114" s="88"/>
      <c r="BDJ114" s="88"/>
      <c r="BDK114" s="88"/>
      <c r="BDL114" s="88"/>
      <c r="BDM114" s="88"/>
      <c r="BDN114" s="88"/>
      <c r="BDO114" s="88"/>
      <c r="BDP114" s="88"/>
      <c r="BDQ114" s="88"/>
      <c r="BDR114" s="88"/>
      <c r="BDS114" s="88"/>
      <c r="BDT114" s="88"/>
      <c r="BDU114" s="88"/>
      <c r="BDV114" s="88"/>
      <c r="BDW114" s="88"/>
      <c r="BDX114" s="88"/>
      <c r="BDY114" s="88"/>
      <c r="BDZ114" s="88"/>
      <c r="BEA114" s="88"/>
      <c r="BEB114" s="88"/>
      <c r="BEC114" s="88"/>
      <c r="BED114" s="88"/>
      <c r="BEE114" s="88"/>
      <c r="BEF114" s="88"/>
      <c r="BEG114" s="88"/>
      <c r="BEH114" s="88"/>
      <c r="BEI114" s="88"/>
      <c r="BEJ114" s="88"/>
      <c r="BEK114" s="88"/>
      <c r="BEL114" s="88"/>
      <c r="BEM114" s="88"/>
      <c r="BEN114" s="88"/>
      <c r="BEO114" s="88"/>
      <c r="BEP114" s="88"/>
      <c r="BEQ114" s="88"/>
      <c r="BER114" s="88"/>
      <c r="BES114" s="88"/>
      <c r="BET114" s="88"/>
      <c r="BEU114" s="88"/>
      <c r="BEV114" s="88"/>
      <c r="BEW114" s="88"/>
      <c r="BEX114" s="88"/>
      <c r="BEY114" s="88"/>
      <c r="BEZ114" s="88"/>
      <c r="BFA114" s="88"/>
      <c r="BFB114" s="88"/>
      <c r="BFC114" s="88"/>
      <c r="BFD114" s="88"/>
      <c r="BFE114" s="88"/>
      <c r="BFF114" s="88"/>
      <c r="BFG114" s="88"/>
      <c r="BFH114" s="88"/>
      <c r="BFI114" s="88"/>
      <c r="BFJ114" s="88"/>
      <c r="BFK114" s="88"/>
      <c r="BFL114" s="88"/>
      <c r="BFM114" s="88"/>
      <c r="BFN114" s="88"/>
      <c r="BFO114" s="88"/>
      <c r="BFP114" s="88"/>
      <c r="BFQ114" s="88"/>
      <c r="BFR114" s="88"/>
      <c r="BFS114" s="88"/>
      <c r="BFT114" s="88"/>
      <c r="BFU114" s="88"/>
      <c r="BFV114" s="88"/>
      <c r="BFW114" s="88"/>
      <c r="BFX114" s="88"/>
      <c r="BFY114" s="88"/>
      <c r="BFZ114" s="88"/>
      <c r="BGA114" s="88"/>
      <c r="BGB114" s="88"/>
      <c r="BGC114" s="88"/>
      <c r="BGD114" s="88"/>
      <c r="BGE114" s="88"/>
      <c r="BGF114" s="88"/>
      <c r="BGG114" s="88"/>
      <c r="BGH114" s="88"/>
      <c r="BGI114" s="88"/>
      <c r="BGJ114" s="88"/>
      <c r="BGK114" s="88"/>
      <c r="BGL114" s="88"/>
      <c r="BGM114" s="88"/>
      <c r="BGN114" s="88"/>
      <c r="BGO114" s="88"/>
      <c r="BGP114" s="88"/>
      <c r="BGQ114" s="88"/>
      <c r="BGR114" s="88"/>
      <c r="BGS114" s="88"/>
      <c r="BGT114" s="88"/>
      <c r="BGU114" s="88"/>
      <c r="BGV114" s="88"/>
      <c r="BGW114" s="88"/>
      <c r="BGX114" s="88"/>
      <c r="BGY114" s="88"/>
      <c r="BGZ114" s="88"/>
      <c r="BHA114" s="88"/>
      <c r="BHB114" s="88"/>
      <c r="BHC114" s="88"/>
      <c r="BHD114" s="88"/>
      <c r="BHE114" s="88"/>
      <c r="BHF114" s="88"/>
      <c r="BHG114" s="88"/>
      <c r="BHH114" s="88"/>
      <c r="BHI114" s="88"/>
      <c r="BHJ114" s="88"/>
      <c r="BHK114" s="88"/>
      <c r="BHL114" s="88"/>
      <c r="BHM114" s="88"/>
      <c r="BHN114" s="88"/>
      <c r="BHO114" s="88"/>
      <c r="BHP114" s="88"/>
      <c r="BHQ114" s="88"/>
      <c r="BHR114" s="88"/>
      <c r="BHS114" s="88"/>
      <c r="BHT114" s="88"/>
      <c r="BHU114" s="88"/>
      <c r="BHV114" s="88"/>
      <c r="BHW114" s="88"/>
      <c r="BHX114" s="88"/>
      <c r="BHY114" s="88"/>
      <c r="BHZ114" s="88"/>
      <c r="BIA114" s="88"/>
      <c r="BIB114" s="88"/>
      <c r="BIC114" s="88"/>
      <c r="BID114" s="88"/>
      <c r="BIE114" s="88"/>
      <c r="BIF114" s="88"/>
      <c r="BIG114" s="88"/>
      <c r="BIH114" s="88"/>
      <c r="BII114" s="88"/>
      <c r="BIJ114" s="88"/>
      <c r="BIK114" s="88"/>
      <c r="BIL114" s="88"/>
      <c r="BIM114" s="88"/>
      <c r="BIN114" s="88"/>
      <c r="BIO114" s="88"/>
      <c r="BIP114" s="88"/>
      <c r="BIQ114" s="88"/>
      <c r="BIR114" s="88"/>
      <c r="BIS114" s="88"/>
      <c r="BIT114" s="88"/>
      <c r="BIU114" s="88"/>
      <c r="BIV114" s="88"/>
      <c r="BIW114" s="88"/>
      <c r="BIX114" s="88"/>
      <c r="BIY114" s="88"/>
      <c r="BIZ114" s="88"/>
      <c r="BJA114" s="88"/>
      <c r="BJB114" s="88"/>
      <c r="BJC114" s="88"/>
      <c r="BJD114" s="88"/>
      <c r="BJE114" s="88"/>
      <c r="BJF114" s="88"/>
      <c r="BJG114" s="88"/>
      <c r="BJH114" s="88"/>
      <c r="BJI114" s="88"/>
      <c r="BJJ114" s="88"/>
      <c r="BJK114" s="88"/>
      <c r="BJL114" s="88"/>
      <c r="BJM114" s="88"/>
      <c r="BJN114" s="88"/>
      <c r="BJO114" s="88"/>
      <c r="BJP114" s="88"/>
      <c r="BJQ114" s="88"/>
      <c r="BJR114" s="88"/>
      <c r="BJS114" s="88"/>
      <c r="BJT114" s="88"/>
      <c r="BJU114" s="88"/>
      <c r="BJV114" s="88"/>
      <c r="BJW114" s="88"/>
      <c r="BJX114" s="88"/>
      <c r="BJY114" s="88"/>
      <c r="BJZ114" s="88"/>
      <c r="BKA114" s="88"/>
      <c r="BKB114" s="88"/>
      <c r="BKC114" s="88"/>
      <c r="BKD114" s="88"/>
      <c r="BKE114" s="88"/>
      <c r="BKF114" s="88"/>
      <c r="BKG114" s="88"/>
      <c r="BKH114" s="88"/>
      <c r="BKI114" s="88"/>
      <c r="BKJ114" s="88"/>
      <c r="BKK114" s="88"/>
      <c r="BKL114" s="88"/>
      <c r="BKM114" s="88"/>
      <c r="BKN114" s="88"/>
      <c r="BKO114" s="88"/>
      <c r="BKP114" s="88"/>
      <c r="BKQ114" s="88"/>
      <c r="BKR114" s="88"/>
      <c r="BKS114" s="88"/>
      <c r="BKT114" s="88"/>
      <c r="BKU114" s="88"/>
      <c r="BKV114" s="88"/>
      <c r="BKW114" s="88"/>
      <c r="BKX114" s="88"/>
      <c r="BKY114" s="88"/>
      <c r="BKZ114" s="88"/>
      <c r="BLA114" s="88"/>
      <c r="BLB114" s="88"/>
      <c r="BLC114" s="88"/>
      <c r="BLD114" s="88"/>
      <c r="BLE114" s="88"/>
      <c r="BLF114" s="88"/>
      <c r="BLG114" s="88"/>
      <c r="BLH114" s="88"/>
      <c r="BLI114" s="88"/>
      <c r="BLJ114" s="88"/>
      <c r="BLK114" s="88"/>
      <c r="BLL114" s="88"/>
      <c r="BLM114" s="88"/>
      <c r="BLN114" s="88"/>
      <c r="BLO114" s="88"/>
      <c r="BLP114" s="88"/>
      <c r="BLQ114" s="88"/>
      <c r="BLR114" s="88"/>
      <c r="BLS114" s="88"/>
      <c r="BLT114" s="88"/>
      <c r="BLU114" s="88"/>
      <c r="BLV114" s="88"/>
      <c r="BLW114" s="88"/>
      <c r="BLX114" s="88"/>
      <c r="BLY114" s="88"/>
      <c r="BLZ114" s="88"/>
      <c r="BMA114" s="88"/>
      <c r="BMB114" s="88"/>
      <c r="BMC114" s="88"/>
      <c r="BMD114" s="88"/>
      <c r="BME114" s="88"/>
      <c r="BMF114" s="88"/>
      <c r="BMG114" s="88"/>
      <c r="BMH114" s="88"/>
      <c r="BMI114" s="88"/>
      <c r="BMJ114" s="88"/>
      <c r="BMK114" s="88"/>
      <c r="BML114" s="88"/>
      <c r="BMM114" s="88"/>
      <c r="BMN114" s="88"/>
      <c r="BMO114" s="88"/>
      <c r="BMP114" s="88"/>
      <c r="BMQ114" s="88"/>
      <c r="BMR114" s="88"/>
      <c r="BMS114" s="88"/>
      <c r="BMT114" s="88"/>
      <c r="BMU114" s="88"/>
      <c r="BMV114" s="88"/>
      <c r="BMW114" s="88"/>
      <c r="BMX114" s="88"/>
      <c r="BMY114" s="88"/>
      <c r="BMZ114" s="88"/>
      <c r="BNA114" s="88"/>
      <c r="BNB114" s="88"/>
      <c r="BNC114" s="88"/>
      <c r="BND114" s="88"/>
      <c r="BNE114" s="88"/>
      <c r="BNF114" s="88"/>
      <c r="BNG114" s="88"/>
      <c r="BNH114" s="88"/>
      <c r="BNI114" s="88"/>
      <c r="BNJ114" s="88"/>
      <c r="BNK114" s="88"/>
      <c r="BNL114" s="88"/>
      <c r="BNM114" s="88"/>
      <c r="BNN114" s="88"/>
      <c r="BNO114" s="88"/>
      <c r="BNP114" s="88"/>
      <c r="BNQ114" s="88"/>
      <c r="BNR114" s="88"/>
      <c r="BNS114" s="88"/>
      <c r="BNT114" s="88"/>
      <c r="BNU114" s="88"/>
      <c r="BNV114" s="88"/>
      <c r="BNW114" s="88"/>
      <c r="BNX114" s="88"/>
      <c r="BNY114" s="88"/>
      <c r="BNZ114" s="88"/>
      <c r="BOA114" s="88"/>
      <c r="BOB114" s="88"/>
      <c r="BOC114" s="88"/>
      <c r="BOD114" s="88"/>
      <c r="BOE114" s="88"/>
      <c r="BOF114" s="88"/>
      <c r="BOG114" s="88"/>
      <c r="BOH114" s="88"/>
      <c r="BOI114" s="88"/>
      <c r="BOJ114" s="88"/>
      <c r="BOK114" s="88"/>
      <c r="BOL114" s="88"/>
      <c r="BOM114" s="88"/>
      <c r="BON114" s="88"/>
      <c r="BOO114" s="88"/>
      <c r="BOP114" s="88"/>
      <c r="BOQ114" s="88"/>
      <c r="BOR114" s="88"/>
      <c r="BOS114" s="88"/>
      <c r="BOT114" s="88"/>
      <c r="BOU114" s="88"/>
      <c r="BOV114" s="88"/>
      <c r="BOW114" s="88"/>
      <c r="BOX114" s="88"/>
      <c r="BOY114" s="88"/>
      <c r="BOZ114" s="88"/>
      <c r="BPA114" s="88"/>
      <c r="BPB114" s="88"/>
      <c r="BPC114" s="88"/>
      <c r="BPD114" s="88"/>
      <c r="BPE114" s="88"/>
      <c r="BPF114" s="88"/>
      <c r="BPG114" s="88"/>
      <c r="BPH114" s="88"/>
      <c r="BPI114" s="88"/>
      <c r="BPJ114" s="88"/>
      <c r="BPK114" s="88"/>
      <c r="BPL114" s="88"/>
      <c r="BPM114" s="88"/>
      <c r="BPN114" s="88"/>
      <c r="BPO114" s="88"/>
      <c r="BPP114" s="88"/>
      <c r="BPQ114" s="88"/>
      <c r="BPR114" s="88"/>
      <c r="BPS114" s="88"/>
      <c r="BPT114" s="88"/>
      <c r="BPU114" s="88"/>
      <c r="BPV114" s="88"/>
      <c r="BPW114" s="88"/>
      <c r="BPX114" s="88"/>
      <c r="BPY114" s="88"/>
      <c r="BPZ114" s="88"/>
      <c r="BQA114" s="88"/>
      <c r="BQB114" s="88"/>
      <c r="BQC114" s="88"/>
      <c r="BQD114" s="88"/>
      <c r="BQE114" s="88"/>
      <c r="BQF114" s="88"/>
      <c r="BQG114" s="88"/>
      <c r="BQH114" s="88"/>
      <c r="BQI114" s="88"/>
      <c r="BQJ114" s="88"/>
      <c r="BQK114" s="88"/>
      <c r="BQL114" s="88"/>
      <c r="BQM114" s="88"/>
      <c r="BQN114" s="88"/>
      <c r="BQO114" s="88"/>
      <c r="BQP114" s="88"/>
      <c r="BQQ114" s="88"/>
      <c r="BQR114" s="88"/>
      <c r="BQS114" s="88"/>
      <c r="BQT114" s="88"/>
      <c r="BQU114" s="88"/>
      <c r="BQV114" s="88"/>
      <c r="BQW114" s="88"/>
      <c r="BQX114" s="88"/>
      <c r="BQY114" s="88"/>
      <c r="BQZ114" s="88"/>
      <c r="BRA114" s="88"/>
      <c r="BRB114" s="88"/>
      <c r="BRC114" s="88"/>
      <c r="BRD114" s="88"/>
      <c r="BRE114" s="88"/>
      <c r="BRF114" s="88"/>
      <c r="BRG114" s="88"/>
      <c r="BRH114" s="88"/>
      <c r="BRI114" s="88"/>
      <c r="BRJ114" s="88"/>
      <c r="BRK114" s="88"/>
      <c r="BRL114" s="88"/>
      <c r="BRM114" s="88"/>
      <c r="BRN114" s="88"/>
      <c r="BRO114" s="88"/>
      <c r="BRP114" s="88"/>
      <c r="BRQ114" s="88"/>
      <c r="BRR114" s="88"/>
      <c r="BRS114" s="88"/>
      <c r="BRT114" s="88"/>
      <c r="BRU114" s="88"/>
      <c r="BRV114" s="88"/>
      <c r="BRW114" s="88"/>
      <c r="BRX114" s="88"/>
      <c r="BRY114" s="88"/>
      <c r="BRZ114" s="88"/>
      <c r="BSA114" s="88"/>
      <c r="BSB114" s="88"/>
      <c r="BSC114" s="88"/>
      <c r="BSD114" s="88"/>
      <c r="BSE114" s="88"/>
      <c r="BSF114" s="88"/>
      <c r="BSG114" s="88"/>
      <c r="BSH114" s="88"/>
      <c r="BSI114" s="88"/>
      <c r="BSJ114" s="88"/>
      <c r="BSK114" s="88"/>
      <c r="BSL114" s="88"/>
      <c r="BSM114" s="88"/>
      <c r="BSN114" s="88"/>
      <c r="BSO114" s="88"/>
      <c r="BSP114" s="88"/>
      <c r="BSQ114" s="88"/>
      <c r="BSR114" s="88"/>
      <c r="BSS114" s="88"/>
      <c r="BST114" s="88"/>
      <c r="BSU114" s="88"/>
      <c r="BSV114" s="88"/>
      <c r="BSW114" s="88"/>
      <c r="BSX114" s="88"/>
      <c r="BSY114" s="88"/>
      <c r="BSZ114" s="88"/>
      <c r="BTA114" s="88"/>
      <c r="BTB114" s="88"/>
      <c r="BTC114" s="88"/>
      <c r="BTD114" s="88"/>
      <c r="BTE114" s="88"/>
      <c r="BTF114" s="88"/>
      <c r="BTG114" s="88"/>
      <c r="BTH114" s="88"/>
      <c r="BTI114" s="88"/>
      <c r="BTJ114" s="88"/>
      <c r="BTK114" s="88"/>
      <c r="BTL114" s="88"/>
      <c r="BTM114" s="88"/>
      <c r="BTN114" s="88"/>
      <c r="BTO114" s="88"/>
      <c r="BTP114" s="88"/>
      <c r="BTQ114" s="88"/>
      <c r="BTR114" s="88"/>
      <c r="BTS114" s="88"/>
      <c r="BTT114" s="88"/>
      <c r="BTU114" s="88"/>
      <c r="BTV114" s="88"/>
      <c r="BTW114" s="88"/>
      <c r="BTX114" s="88"/>
      <c r="BTY114" s="88"/>
      <c r="BTZ114" s="88"/>
      <c r="BUA114" s="88"/>
      <c r="BUB114" s="88"/>
      <c r="BUC114" s="88"/>
      <c r="BUD114" s="88"/>
      <c r="BUE114" s="88"/>
      <c r="BUF114" s="88"/>
      <c r="BUG114" s="88"/>
      <c r="BUH114" s="88"/>
      <c r="BUI114" s="88"/>
      <c r="BUJ114" s="88"/>
      <c r="BUK114" s="88"/>
      <c r="BUL114" s="88"/>
      <c r="BUM114" s="88"/>
      <c r="BUN114" s="88"/>
      <c r="BUO114" s="88"/>
      <c r="BUP114" s="88"/>
      <c r="BUQ114" s="88"/>
      <c r="BUR114" s="88"/>
      <c r="BUS114" s="88"/>
      <c r="BUT114" s="88"/>
      <c r="BUU114" s="88"/>
      <c r="BUV114" s="88"/>
      <c r="BUW114" s="88"/>
      <c r="BUX114" s="88"/>
      <c r="BUY114" s="88"/>
      <c r="BUZ114" s="88"/>
      <c r="BVA114" s="88"/>
      <c r="BVB114" s="88"/>
      <c r="BVC114" s="88"/>
      <c r="BVD114" s="88"/>
      <c r="BVE114" s="88"/>
      <c r="BVF114" s="88"/>
      <c r="BVG114" s="88"/>
      <c r="BVH114" s="88"/>
      <c r="BVI114" s="88"/>
      <c r="BVJ114" s="88"/>
      <c r="BVK114" s="88"/>
      <c r="BVL114" s="88"/>
      <c r="BVM114" s="88"/>
      <c r="BVN114" s="88"/>
      <c r="BVO114" s="88"/>
      <c r="BVP114" s="88"/>
      <c r="BVQ114" s="88"/>
      <c r="BVR114" s="88"/>
      <c r="BVS114" s="88"/>
      <c r="BVT114" s="88"/>
      <c r="BVU114" s="88"/>
      <c r="BVV114" s="88"/>
      <c r="BVW114" s="88"/>
      <c r="BVX114" s="88"/>
      <c r="BVY114" s="88"/>
      <c r="BVZ114" s="88"/>
      <c r="BWA114" s="88"/>
      <c r="BWB114" s="88"/>
      <c r="BWC114" s="88"/>
      <c r="BWD114" s="88"/>
      <c r="BWE114" s="88"/>
      <c r="BWF114" s="88"/>
      <c r="BWG114" s="88"/>
      <c r="BWH114" s="88"/>
      <c r="BWI114" s="88"/>
      <c r="BWJ114" s="88"/>
      <c r="BWK114" s="88"/>
      <c r="BWL114" s="88"/>
      <c r="BWM114" s="88"/>
      <c r="BWN114" s="88"/>
      <c r="BWO114" s="88"/>
      <c r="BWP114" s="88"/>
      <c r="BWQ114" s="88"/>
      <c r="BWR114" s="88"/>
      <c r="BWS114" s="88"/>
      <c r="BWT114" s="88"/>
      <c r="BWU114" s="88"/>
      <c r="BWV114" s="88"/>
      <c r="BWW114" s="88"/>
      <c r="BWX114" s="88"/>
      <c r="BWY114" s="88"/>
      <c r="BWZ114" s="88"/>
      <c r="BXA114" s="88"/>
      <c r="BXB114" s="88"/>
      <c r="BXC114" s="88"/>
      <c r="BXD114" s="88"/>
      <c r="BXE114" s="88"/>
      <c r="BXF114" s="88"/>
      <c r="BXG114" s="88"/>
      <c r="BXH114" s="88"/>
      <c r="BXI114" s="88"/>
      <c r="BXJ114" s="88"/>
      <c r="BXK114" s="88"/>
      <c r="BXL114" s="88"/>
      <c r="BXM114" s="88"/>
      <c r="BXN114" s="88"/>
      <c r="BXO114" s="88"/>
      <c r="BXP114" s="88"/>
      <c r="BXQ114" s="88"/>
      <c r="BXR114" s="88"/>
      <c r="BXS114" s="88"/>
      <c r="BXT114" s="88"/>
      <c r="BXU114" s="88"/>
      <c r="BXV114" s="88"/>
      <c r="BXW114" s="88"/>
      <c r="BXX114" s="88"/>
      <c r="BXY114" s="88"/>
      <c r="BXZ114" s="88"/>
      <c r="BYA114" s="88"/>
      <c r="BYB114" s="88"/>
      <c r="BYC114" s="88"/>
      <c r="BYD114" s="88"/>
      <c r="BYE114" s="88"/>
      <c r="BYF114" s="88"/>
      <c r="BYG114" s="88"/>
      <c r="BYH114" s="88"/>
      <c r="BYI114" s="88"/>
      <c r="BYJ114" s="88"/>
      <c r="BYK114" s="88"/>
      <c r="BYL114" s="88"/>
      <c r="BYM114" s="88"/>
      <c r="BYN114" s="88"/>
      <c r="BYO114" s="88"/>
      <c r="BYP114" s="88"/>
      <c r="BYQ114" s="88"/>
      <c r="BYR114" s="88"/>
      <c r="BYS114" s="88"/>
      <c r="BYT114" s="88"/>
      <c r="BYU114" s="88"/>
      <c r="BYV114" s="88"/>
      <c r="BYW114" s="88"/>
      <c r="BYX114" s="88"/>
      <c r="BYY114" s="88"/>
      <c r="BYZ114" s="88"/>
      <c r="BZA114" s="88"/>
      <c r="BZB114" s="88"/>
      <c r="BZC114" s="88"/>
      <c r="BZD114" s="88"/>
      <c r="BZE114" s="88"/>
      <c r="BZF114" s="88"/>
      <c r="BZG114" s="88"/>
      <c r="BZH114" s="88"/>
      <c r="BZI114" s="88"/>
      <c r="BZJ114" s="88"/>
      <c r="BZK114" s="88"/>
      <c r="BZL114" s="88"/>
      <c r="BZM114" s="88"/>
      <c r="BZN114" s="88"/>
      <c r="BZO114" s="88"/>
      <c r="BZP114" s="88"/>
      <c r="BZQ114" s="88"/>
      <c r="BZR114" s="88"/>
      <c r="BZS114" s="88"/>
      <c r="BZT114" s="88"/>
      <c r="BZU114" s="88"/>
      <c r="BZV114" s="88"/>
      <c r="BZW114" s="88"/>
      <c r="BZX114" s="88"/>
      <c r="BZY114" s="88"/>
      <c r="BZZ114" s="88"/>
      <c r="CAA114" s="88"/>
      <c r="CAB114" s="88"/>
      <c r="CAC114" s="88"/>
      <c r="CAD114" s="88"/>
      <c r="CAE114" s="88"/>
      <c r="CAF114" s="88"/>
      <c r="CAG114" s="88"/>
      <c r="CAH114" s="88"/>
      <c r="CAI114" s="88"/>
      <c r="CAJ114" s="88"/>
      <c r="CAK114" s="88"/>
      <c r="CAL114" s="88"/>
      <c r="CAM114" s="88"/>
      <c r="CAN114" s="88"/>
      <c r="CAO114" s="88"/>
      <c r="CAP114" s="88"/>
      <c r="CAQ114" s="88"/>
      <c r="CAR114" s="88"/>
      <c r="CAS114" s="88"/>
      <c r="CAT114" s="88"/>
      <c r="CAU114" s="88"/>
      <c r="CAV114" s="88"/>
      <c r="CAW114" s="88"/>
      <c r="CAX114" s="88"/>
      <c r="CAY114" s="88"/>
      <c r="CAZ114" s="88"/>
      <c r="CBA114" s="88"/>
      <c r="CBB114" s="88"/>
      <c r="CBC114" s="88"/>
      <c r="CBD114" s="88"/>
      <c r="CBE114" s="88"/>
      <c r="CBF114" s="88"/>
      <c r="CBG114" s="88"/>
      <c r="CBH114" s="88"/>
      <c r="CBI114" s="88"/>
      <c r="CBJ114" s="88"/>
      <c r="CBK114" s="88"/>
      <c r="CBL114" s="88"/>
      <c r="CBM114" s="88"/>
      <c r="CBN114" s="88"/>
      <c r="CBO114" s="88"/>
      <c r="CBP114" s="88"/>
      <c r="CBQ114" s="88"/>
      <c r="CBR114" s="88"/>
      <c r="CBS114" s="88"/>
      <c r="CBT114" s="88"/>
      <c r="CBU114" s="88"/>
      <c r="CBV114" s="88"/>
      <c r="CBW114" s="88"/>
      <c r="CBX114" s="88"/>
      <c r="CBY114" s="88"/>
      <c r="CBZ114" s="88"/>
      <c r="CCA114" s="88"/>
      <c r="CCB114" s="88"/>
      <c r="CCC114" s="88"/>
      <c r="CCD114" s="88"/>
      <c r="CCE114" s="88"/>
      <c r="CCF114" s="88"/>
      <c r="CCG114" s="88"/>
      <c r="CCH114" s="88"/>
      <c r="CCI114" s="88"/>
      <c r="CCJ114" s="88"/>
      <c r="CCK114" s="88"/>
      <c r="CCL114" s="88"/>
      <c r="CCM114" s="88"/>
      <c r="CCN114" s="88"/>
      <c r="CCO114" s="88"/>
      <c r="CCP114" s="88"/>
      <c r="CCQ114" s="88"/>
      <c r="CCR114" s="88"/>
      <c r="CCS114" s="88"/>
      <c r="CCT114" s="88"/>
      <c r="CCU114" s="88"/>
      <c r="CCV114" s="88"/>
      <c r="CCW114" s="88"/>
      <c r="CCX114" s="88"/>
      <c r="CCY114" s="88"/>
      <c r="CCZ114" s="88"/>
      <c r="CDA114" s="88"/>
      <c r="CDB114" s="88"/>
      <c r="CDC114" s="88"/>
      <c r="CDD114" s="88"/>
      <c r="CDE114" s="88"/>
      <c r="CDF114" s="88"/>
      <c r="CDG114" s="88"/>
      <c r="CDH114" s="88"/>
      <c r="CDI114" s="88"/>
      <c r="CDJ114" s="88"/>
      <c r="CDK114" s="88"/>
      <c r="CDL114" s="88"/>
      <c r="CDM114" s="88"/>
      <c r="CDN114" s="88"/>
      <c r="CDO114" s="88"/>
      <c r="CDP114" s="88"/>
      <c r="CDQ114" s="88"/>
      <c r="CDR114" s="88"/>
      <c r="CDS114" s="88"/>
      <c r="CDT114" s="88"/>
      <c r="CDU114" s="88"/>
      <c r="CDV114" s="88"/>
      <c r="CDW114" s="88"/>
      <c r="CDX114" s="88"/>
      <c r="CDY114" s="88"/>
      <c r="CDZ114" s="88"/>
      <c r="CEA114" s="88"/>
      <c r="CEB114" s="88"/>
      <c r="CEC114" s="88"/>
      <c r="CED114" s="88"/>
      <c r="CEE114" s="88"/>
      <c r="CEF114" s="88"/>
      <c r="CEG114" s="88"/>
      <c r="CEH114" s="88"/>
      <c r="CEI114" s="88"/>
      <c r="CEJ114" s="88"/>
      <c r="CEK114" s="88"/>
    </row>
    <row r="115" spans="1:2169" s="63" customFormat="1">
      <c r="A115" s="73" t="s">
        <v>803</v>
      </c>
      <c r="B115" s="71" t="s">
        <v>710</v>
      </c>
      <c r="C115" s="68" t="str">
        <f>IF('page 2'!$O$4="","",IF('page 2'!$O$4=Gestion!A115,1,0))</f>
        <v/>
      </c>
      <c r="D115" s="68" t="str">
        <f>IF('page 2'!$O$5="","",IF('page 2'!$O$5=Gestion!A115,1,0))</f>
        <v/>
      </c>
      <c r="E115" s="68" t="str">
        <f>IF('page 2'!$O$6="","",IF('page 2'!$O$6=Gestion!A115,1,0))</f>
        <v/>
      </c>
      <c r="F115" s="68" t="str">
        <f>IF('page 2'!$O$7="","",IF('page 2'!$O$7=Gestion!A115,1,0))</f>
        <v/>
      </c>
      <c r="G115" s="68" t="str">
        <f>IF('page 2'!$O$8="","",IF('page 2'!$O$8=Gestion!A115,1,0))</f>
        <v/>
      </c>
      <c r="H115" s="68" t="str">
        <f>IF('page 2'!$O$9="","",IF('page 2'!$O$9=Gestion!A115,1,0))</f>
        <v/>
      </c>
      <c r="I115" s="68" t="str">
        <f>IF('page 2'!$O$10="","",IF('page 2'!$O$10=Gestion!A115,1,0))</f>
        <v/>
      </c>
      <c r="J115" s="68" t="str">
        <f>IF('page 2'!$O$11="","",IF('page 2'!$O$11=Gestion!A115,1,0))</f>
        <v/>
      </c>
      <c r="K115" s="68" t="str">
        <f>IF('page 2'!$O$12="","",IF('page 2'!$O$12=Gestion!A115,1,0))</f>
        <v/>
      </c>
      <c r="L115" s="68" t="str">
        <f>IF('page 2'!$O$13="","",IF('page 2'!$O$13=Gestion!A115,1,0))</f>
        <v/>
      </c>
      <c r="M115" s="68" t="str">
        <f>IF('page 2'!$O$14="","",IF('page 2'!$O$14=Gestion!A115,1,0))</f>
        <v/>
      </c>
      <c r="N115" s="68" t="str">
        <f>IF('page 2'!$O$15="","",IF('page 2'!$O$15=Gestion!A115,1,0))</f>
        <v/>
      </c>
      <c r="O115" s="68" t="str">
        <f>IF('page 2'!$O$16="","",IF('page 2'!$O$16=Gestion!A115,1,0))</f>
        <v/>
      </c>
      <c r="P115" s="68" t="str">
        <f>IF('page 2'!$O$17="","",IF('page 2'!$O$17=Gestion!A115,1,0))</f>
        <v/>
      </c>
      <c r="Q115" s="68" t="str">
        <f>IF('page 2'!$O$18="","",IF('page 2'!$O$18=Gestion!A115,1,0))</f>
        <v/>
      </c>
      <c r="R115" s="68" t="str">
        <f>IF('page 2'!$O$19="","",IF('page 2'!$O$19=Gestion!A115,1,0))</f>
        <v/>
      </c>
      <c r="S115" s="68" t="str">
        <f>IF('page 2'!$O$20="","",IF('page 2'!$O$20=Gestion!A115,1,0))</f>
        <v/>
      </c>
      <c r="T115" s="68" t="str">
        <f>IF('page 2'!$O$25="","",IF('page 2'!$O$25=Gestion!A115,1,0))</f>
        <v/>
      </c>
      <c r="U115" s="68" t="str">
        <f>IF('page 2'!$O$26="","",IF('page 2'!$O$26=Gestion!A115,1,0))</f>
        <v/>
      </c>
      <c r="V115" s="68" t="str">
        <f>IF('page 2'!$O$27="","",IF('page 2'!$O$27=Gestion!A115,1,0))</f>
        <v/>
      </c>
      <c r="W115" s="722">
        <f t="shared" si="14"/>
        <v>0</v>
      </c>
      <c r="X115" s="714"/>
      <c r="Y115" s="68"/>
      <c r="Z115" s="68"/>
      <c r="AA115" s="68"/>
      <c r="AB115" s="68"/>
      <c r="AC115" s="68"/>
      <c r="AD115" s="68"/>
      <c r="AP115" s="130"/>
      <c r="AQ115" s="130"/>
      <c r="AR115" s="130"/>
      <c r="AS115" s="576"/>
      <c r="AT115" s="576"/>
      <c r="AU115" s="576"/>
      <c r="AV115" s="576"/>
      <c r="AW115" s="602"/>
      <c r="AX115" s="602"/>
      <c r="AY115" s="576"/>
      <c r="AZ115" s="576"/>
      <c r="BA115" s="576"/>
      <c r="BB115" s="576"/>
      <c r="BC115" s="576"/>
      <c r="BD115" s="602"/>
      <c r="BE115" s="602"/>
      <c r="BF115" s="602"/>
      <c r="BG115" s="602"/>
      <c r="BH115" s="602"/>
      <c r="BI115" s="602"/>
      <c r="BJ115" s="602"/>
      <c r="BK115" s="602"/>
      <c r="BL115" s="602"/>
      <c r="BM115" s="602"/>
      <c r="BN115" s="602"/>
      <c r="BO115" s="602"/>
      <c r="BP115" s="602"/>
      <c r="BQ115" s="602"/>
      <c r="BR115" s="602"/>
      <c r="BS115" s="576"/>
      <c r="BT115" s="576"/>
      <c r="BU115" s="576"/>
      <c r="BV115" s="576"/>
      <c r="BW115" s="602"/>
      <c r="BX115" s="602"/>
      <c r="BY115" s="602"/>
      <c r="BZ115" s="576"/>
      <c r="CA115" s="602"/>
      <c r="CB115" s="602"/>
      <c r="CC115" s="576"/>
      <c r="CD115" s="576"/>
      <c r="CE115" s="602"/>
      <c r="CF115" s="576"/>
      <c r="CG115" s="576"/>
      <c r="CH115" s="576"/>
      <c r="CI115" s="576"/>
      <c r="CJ115" s="576"/>
      <c r="CK115" s="602"/>
      <c r="CL115" s="602"/>
      <c r="CM115" s="576"/>
      <c r="CN115" s="602"/>
      <c r="CO115" s="602"/>
      <c r="CP115" s="602"/>
      <c r="CQ115" s="576"/>
      <c r="CR115" s="576"/>
      <c r="CS115" s="602"/>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c r="HF115" s="88"/>
      <c r="HG115" s="88"/>
      <c r="HH115" s="88"/>
      <c r="HI115" s="88"/>
      <c r="HJ115" s="88"/>
      <c r="HK115" s="88"/>
      <c r="HL115" s="88"/>
      <c r="HM115" s="88"/>
      <c r="HN115" s="88"/>
      <c r="HO115" s="88"/>
      <c r="HP115" s="88"/>
      <c r="HQ115" s="88"/>
      <c r="HR115" s="88"/>
      <c r="HS115" s="88"/>
      <c r="HT115" s="88"/>
      <c r="HU115" s="88"/>
      <c r="HV115" s="88"/>
      <c r="HW115" s="88"/>
      <c r="HX115" s="88"/>
      <c r="HY115" s="88"/>
      <c r="HZ115" s="88"/>
      <c r="IA115" s="88"/>
      <c r="IB115" s="88"/>
      <c r="IC115" s="88"/>
      <c r="ID115" s="88"/>
      <c r="IE115" s="88"/>
      <c r="IF115" s="88"/>
      <c r="IG115" s="88"/>
      <c r="IH115" s="88"/>
      <c r="II115" s="88"/>
      <c r="IJ115" s="88"/>
      <c r="IK115" s="88"/>
      <c r="IL115" s="88"/>
      <c r="IM115" s="88"/>
      <c r="IN115" s="88"/>
      <c r="IO115" s="88"/>
      <c r="IP115" s="88"/>
      <c r="IQ115" s="88"/>
      <c r="IR115" s="88"/>
      <c r="IS115" s="88"/>
      <c r="IT115" s="88"/>
      <c r="IU115" s="88"/>
      <c r="IV115" s="88"/>
      <c r="IW115" s="88"/>
      <c r="IX115" s="88"/>
      <c r="IY115" s="88"/>
      <c r="IZ115" s="88"/>
      <c r="JA115" s="88"/>
      <c r="JB115" s="88"/>
      <c r="JC115" s="88"/>
      <c r="JD115" s="88"/>
      <c r="JE115" s="88"/>
      <c r="JF115" s="88"/>
      <c r="JG115" s="88"/>
      <c r="JH115" s="88"/>
      <c r="JI115" s="88"/>
      <c r="JJ115" s="88"/>
      <c r="JK115" s="88"/>
      <c r="JL115" s="88"/>
      <c r="JM115" s="88"/>
      <c r="JN115" s="88"/>
      <c r="JO115" s="88"/>
      <c r="JP115" s="88"/>
      <c r="JQ115" s="88"/>
      <c r="JR115" s="88"/>
      <c r="JS115" s="88"/>
      <c r="JT115" s="88"/>
      <c r="JU115" s="88"/>
      <c r="JV115" s="88"/>
      <c r="JW115" s="88"/>
      <c r="JX115" s="88"/>
      <c r="JY115" s="88"/>
      <c r="JZ115" s="88"/>
      <c r="KA115" s="88"/>
      <c r="KB115" s="88"/>
      <c r="KC115" s="88"/>
      <c r="KD115" s="88"/>
      <c r="KE115" s="88"/>
      <c r="KF115" s="88"/>
      <c r="KG115" s="88"/>
      <c r="KH115" s="88"/>
      <c r="KI115" s="88"/>
      <c r="KJ115" s="88"/>
      <c r="KK115" s="88"/>
      <c r="KL115" s="88"/>
      <c r="KM115" s="88"/>
      <c r="KN115" s="88"/>
      <c r="KO115" s="88"/>
      <c r="KP115" s="88"/>
      <c r="KQ115" s="88"/>
      <c r="KR115" s="88"/>
      <c r="KS115" s="88"/>
      <c r="KT115" s="88"/>
      <c r="KU115" s="88"/>
      <c r="KV115" s="88"/>
      <c r="KW115" s="88"/>
      <c r="KX115" s="88"/>
      <c r="KY115" s="88"/>
      <c r="KZ115" s="88"/>
      <c r="LA115" s="88"/>
      <c r="LB115" s="88"/>
      <c r="LC115" s="88"/>
      <c r="LD115" s="88"/>
      <c r="LE115" s="88"/>
      <c r="LF115" s="88"/>
      <c r="LG115" s="88"/>
      <c r="LH115" s="88"/>
      <c r="LI115" s="88"/>
      <c r="LJ115" s="88"/>
      <c r="LK115" s="88"/>
      <c r="LL115" s="88"/>
      <c r="LM115" s="88"/>
      <c r="LN115" s="88"/>
      <c r="LO115" s="88"/>
      <c r="LP115" s="88"/>
      <c r="LQ115" s="88"/>
      <c r="LR115" s="88"/>
      <c r="LS115" s="88"/>
      <c r="LT115" s="88"/>
      <c r="LU115" s="88"/>
      <c r="LV115" s="88"/>
      <c r="LW115" s="88"/>
      <c r="LX115" s="88"/>
      <c r="LY115" s="88"/>
      <c r="LZ115" s="88"/>
      <c r="MA115" s="88"/>
      <c r="MB115" s="88"/>
      <c r="MC115" s="88"/>
      <c r="MD115" s="88"/>
      <c r="ME115" s="88"/>
      <c r="MF115" s="88"/>
      <c r="MG115" s="88"/>
      <c r="MH115" s="88"/>
      <c r="MI115" s="88"/>
      <c r="MJ115" s="88"/>
      <c r="MK115" s="88"/>
      <c r="ML115" s="88"/>
      <c r="MM115" s="88"/>
      <c r="MN115" s="88"/>
      <c r="MO115" s="88"/>
      <c r="MP115" s="88"/>
      <c r="MQ115" s="88"/>
      <c r="MR115" s="88"/>
      <c r="MS115" s="88"/>
      <c r="MT115" s="88"/>
      <c r="MU115" s="88"/>
      <c r="MV115" s="88"/>
      <c r="MW115" s="88"/>
      <c r="MX115" s="88"/>
      <c r="MY115" s="88"/>
      <c r="MZ115" s="88"/>
      <c r="NA115" s="88"/>
      <c r="NB115" s="88"/>
      <c r="NC115" s="88"/>
      <c r="ND115" s="88"/>
      <c r="NE115" s="88"/>
      <c r="NF115" s="88"/>
      <c r="NG115" s="88"/>
      <c r="NH115" s="88"/>
      <c r="NI115" s="88"/>
      <c r="NJ115" s="88"/>
      <c r="NK115" s="88"/>
      <c r="NL115" s="88"/>
      <c r="NM115" s="88"/>
      <c r="NN115" s="88"/>
      <c r="NO115" s="88"/>
      <c r="NP115" s="88"/>
      <c r="NQ115" s="88"/>
      <c r="NR115" s="88"/>
      <c r="NS115" s="88"/>
      <c r="NT115" s="88"/>
      <c r="NU115" s="88"/>
      <c r="NV115" s="88"/>
      <c r="NW115" s="88"/>
      <c r="NX115" s="88"/>
      <c r="NY115" s="88"/>
      <c r="NZ115" s="88"/>
      <c r="OA115" s="88"/>
      <c r="OB115" s="88"/>
      <c r="OC115" s="88"/>
      <c r="OD115" s="88"/>
      <c r="OE115" s="88"/>
      <c r="OF115" s="88"/>
      <c r="OG115" s="88"/>
      <c r="OH115" s="88"/>
      <c r="OI115" s="88"/>
      <c r="OJ115" s="88"/>
      <c r="OK115" s="88"/>
      <c r="OL115" s="88"/>
      <c r="OM115" s="88"/>
      <c r="ON115" s="88"/>
      <c r="OO115" s="88"/>
      <c r="OP115" s="88"/>
      <c r="OQ115" s="88"/>
      <c r="OR115" s="88"/>
      <c r="OS115" s="88"/>
      <c r="OT115" s="88"/>
      <c r="OU115" s="88"/>
      <c r="OV115" s="88"/>
      <c r="OW115" s="88"/>
      <c r="OX115" s="88"/>
      <c r="OY115" s="88"/>
      <c r="OZ115" s="88"/>
      <c r="PA115" s="88"/>
      <c r="PB115" s="88"/>
      <c r="PC115" s="88"/>
      <c r="PD115" s="88"/>
      <c r="PE115" s="88"/>
      <c r="PF115" s="88"/>
      <c r="PG115" s="88"/>
      <c r="PH115" s="88"/>
      <c r="PI115" s="88"/>
      <c r="PJ115" s="88"/>
      <c r="PK115" s="88"/>
      <c r="PL115" s="88"/>
      <c r="PM115" s="88"/>
      <c r="PN115" s="88"/>
      <c r="PO115" s="88"/>
      <c r="PP115" s="88"/>
      <c r="PQ115" s="88"/>
      <c r="PR115" s="88"/>
      <c r="PS115" s="88"/>
      <c r="PT115" s="88"/>
      <c r="PU115" s="88"/>
      <c r="PV115" s="88"/>
      <c r="PW115" s="88"/>
      <c r="PX115" s="88"/>
      <c r="PY115" s="88"/>
      <c r="PZ115" s="88"/>
      <c r="QA115" s="88"/>
      <c r="QB115" s="88"/>
      <c r="QC115" s="88"/>
      <c r="QD115" s="88"/>
      <c r="QE115" s="88"/>
      <c r="QF115" s="88"/>
      <c r="QG115" s="88"/>
      <c r="QH115" s="88"/>
      <c r="QI115" s="88"/>
      <c r="QJ115" s="88"/>
      <c r="QK115" s="88"/>
      <c r="QL115" s="88"/>
      <c r="QM115" s="88"/>
      <c r="QN115" s="88"/>
      <c r="QO115" s="88"/>
      <c r="QP115" s="88"/>
      <c r="QQ115" s="88"/>
      <c r="QR115" s="88"/>
      <c r="QS115" s="88"/>
      <c r="QT115" s="88"/>
      <c r="QU115" s="88"/>
      <c r="QV115" s="88"/>
      <c r="QW115" s="88"/>
      <c r="QX115" s="88"/>
      <c r="QY115" s="88"/>
      <c r="QZ115" s="88"/>
      <c r="RA115" s="88"/>
      <c r="RB115" s="88"/>
      <c r="RC115" s="88"/>
      <c r="RD115" s="88"/>
      <c r="RE115" s="88"/>
      <c r="RF115" s="88"/>
      <c r="RG115" s="88"/>
      <c r="RH115" s="88"/>
      <c r="RI115" s="88"/>
      <c r="RJ115" s="88"/>
      <c r="RK115" s="88"/>
      <c r="RL115" s="88"/>
      <c r="RM115" s="88"/>
      <c r="RN115" s="88"/>
      <c r="RO115" s="88"/>
      <c r="RP115" s="88"/>
      <c r="RQ115" s="88"/>
      <c r="RR115" s="88"/>
      <c r="RS115" s="88"/>
      <c r="RT115" s="88"/>
      <c r="RU115" s="88"/>
      <c r="RV115" s="88"/>
      <c r="RW115" s="88"/>
      <c r="RX115" s="88"/>
      <c r="RY115" s="88"/>
      <c r="RZ115" s="88"/>
      <c r="SA115" s="88"/>
      <c r="SB115" s="88"/>
      <c r="SC115" s="88"/>
      <c r="SD115" s="88"/>
      <c r="SE115" s="88"/>
      <c r="SF115" s="88"/>
      <c r="SG115" s="88"/>
      <c r="SH115" s="88"/>
      <c r="SI115" s="88"/>
      <c r="SJ115" s="88"/>
      <c r="SK115" s="88"/>
      <c r="SL115" s="88"/>
      <c r="SM115" s="88"/>
      <c r="SN115" s="88"/>
      <c r="SO115" s="88"/>
      <c r="SP115" s="88"/>
      <c r="SQ115" s="88"/>
      <c r="SR115" s="88"/>
      <c r="SS115" s="88"/>
      <c r="ST115" s="88"/>
      <c r="SU115" s="88"/>
      <c r="SV115" s="88"/>
      <c r="SW115" s="88"/>
      <c r="SX115" s="88"/>
      <c r="SY115" s="88"/>
      <c r="SZ115" s="88"/>
      <c r="TA115" s="88"/>
      <c r="TB115" s="88"/>
      <c r="TC115" s="88"/>
      <c r="TD115" s="88"/>
      <c r="TE115" s="88"/>
      <c r="TF115" s="88"/>
      <c r="TG115" s="88"/>
      <c r="TH115" s="88"/>
      <c r="TI115" s="88"/>
      <c r="TJ115" s="88"/>
      <c r="TK115" s="88"/>
      <c r="TL115" s="88"/>
      <c r="TM115" s="88"/>
      <c r="TN115" s="88"/>
      <c r="TO115" s="88"/>
      <c r="TP115" s="88"/>
      <c r="TQ115" s="88"/>
      <c r="TR115" s="88"/>
      <c r="TS115" s="88"/>
      <c r="TT115" s="88"/>
      <c r="TU115" s="88"/>
      <c r="TV115" s="88"/>
      <c r="TW115" s="88"/>
      <c r="TX115" s="88"/>
      <c r="TY115" s="88"/>
      <c r="TZ115" s="88"/>
      <c r="UA115" s="88"/>
      <c r="UB115" s="88"/>
      <c r="UC115" s="88"/>
      <c r="UD115" s="88"/>
      <c r="UE115" s="88"/>
      <c r="UF115" s="88"/>
      <c r="UG115" s="88"/>
      <c r="UH115" s="88"/>
      <c r="UI115" s="88"/>
      <c r="UJ115" s="88"/>
      <c r="UK115" s="88"/>
      <c r="UL115" s="88"/>
      <c r="UM115" s="88"/>
      <c r="UN115" s="88"/>
      <c r="UO115" s="88"/>
      <c r="UP115" s="88"/>
      <c r="UQ115" s="88"/>
      <c r="UR115" s="88"/>
      <c r="US115" s="88"/>
      <c r="UT115" s="88"/>
      <c r="UU115" s="88"/>
      <c r="UV115" s="88"/>
      <c r="UW115" s="88"/>
      <c r="UX115" s="88"/>
      <c r="UY115" s="88"/>
      <c r="UZ115" s="88"/>
      <c r="VA115" s="88"/>
      <c r="VB115" s="88"/>
      <c r="VC115" s="88"/>
      <c r="VD115" s="88"/>
      <c r="VE115" s="88"/>
      <c r="VF115" s="88"/>
      <c r="VG115" s="88"/>
      <c r="VH115" s="88"/>
      <c r="VI115" s="88"/>
      <c r="VJ115" s="88"/>
      <c r="VK115" s="88"/>
      <c r="VL115" s="88"/>
      <c r="VM115" s="88"/>
      <c r="VN115" s="88"/>
      <c r="VO115" s="88"/>
      <c r="VP115" s="88"/>
      <c r="VQ115" s="88"/>
      <c r="VR115" s="88"/>
      <c r="VS115" s="88"/>
      <c r="VT115" s="88"/>
      <c r="VU115" s="88"/>
      <c r="VV115" s="88"/>
      <c r="VW115" s="88"/>
      <c r="VX115" s="88"/>
      <c r="VY115" s="88"/>
      <c r="VZ115" s="88"/>
      <c r="WA115" s="88"/>
      <c r="WB115" s="88"/>
      <c r="WC115" s="88"/>
      <c r="WD115" s="88"/>
      <c r="WE115" s="88"/>
      <c r="WF115" s="88"/>
      <c r="WG115" s="88"/>
      <c r="WH115" s="88"/>
      <c r="WI115" s="88"/>
      <c r="WJ115" s="88"/>
      <c r="WK115" s="88"/>
      <c r="WL115" s="88"/>
      <c r="WM115" s="88"/>
      <c r="WN115" s="88"/>
      <c r="WO115" s="88"/>
      <c r="WP115" s="88"/>
      <c r="WQ115" s="88"/>
      <c r="WR115" s="88"/>
      <c r="WS115" s="88"/>
      <c r="WT115" s="88"/>
      <c r="WU115" s="88"/>
      <c r="WV115" s="88"/>
      <c r="WW115" s="88"/>
      <c r="WX115" s="88"/>
      <c r="WY115" s="88"/>
      <c r="WZ115" s="88"/>
      <c r="XA115" s="88"/>
      <c r="XB115" s="88"/>
      <c r="XC115" s="88"/>
      <c r="XD115" s="88"/>
      <c r="XE115" s="88"/>
      <c r="XF115" s="88"/>
      <c r="XG115" s="88"/>
      <c r="XH115" s="88"/>
      <c r="XI115" s="88"/>
      <c r="XJ115" s="88"/>
      <c r="XK115" s="88"/>
      <c r="XL115" s="88"/>
      <c r="XM115" s="88"/>
      <c r="XN115" s="88"/>
      <c r="XO115" s="88"/>
      <c r="XP115" s="88"/>
      <c r="XQ115" s="88"/>
      <c r="XR115" s="88"/>
      <c r="XS115" s="88"/>
      <c r="XT115" s="88"/>
      <c r="XU115" s="88"/>
      <c r="XV115" s="88"/>
      <c r="XW115" s="88"/>
      <c r="XX115" s="88"/>
      <c r="XY115" s="88"/>
      <c r="XZ115" s="88"/>
      <c r="YA115" s="88"/>
      <c r="YB115" s="88"/>
      <c r="YC115" s="88"/>
      <c r="YD115" s="88"/>
      <c r="YE115" s="88"/>
      <c r="YF115" s="88"/>
      <c r="YG115" s="88"/>
      <c r="YH115" s="88"/>
      <c r="YI115" s="88"/>
      <c r="YJ115" s="88"/>
      <c r="YK115" s="88"/>
      <c r="YL115" s="88"/>
      <c r="YM115" s="88"/>
      <c r="YN115" s="88"/>
      <c r="YO115" s="88"/>
      <c r="YP115" s="88"/>
      <c r="YQ115" s="88"/>
      <c r="YR115" s="88"/>
      <c r="YS115" s="88"/>
      <c r="YT115" s="88"/>
      <c r="YU115" s="88"/>
      <c r="YV115" s="88"/>
      <c r="YW115" s="88"/>
      <c r="YX115" s="88"/>
      <c r="YY115" s="88"/>
      <c r="YZ115" s="88"/>
      <c r="ZA115" s="88"/>
      <c r="ZB115" s="88"/>
      <c r="ZC115" s="88"/>
      <c r="ZD115" s="88"/>
      <c r="ZE115" s="88"/>
      <c r="ZF115" s="88"/>
      <c r="ZG115" s="88"/>
      <c r="ZH115" s="88"/>
      <c r="ZI115" s="88"/>
      <c r="ZJ115" s="88"/>
      <c r="ZK115" s="88"/>
      <c r="ZL115" s="88"/>
      <c r="ZM115" s="88"/>
      <c r="ZN115" s="88"/>
      <c r="ZO115" s="88"/>
      <c r="ZP115" s="88"/>
      <c r="ZQ115" s="88"/>
      <c r="ZR115" s="88"/>
      <c r="ZS115" s="88"/>
      <c r="ZT115" s="88"/>
      <c r="ZU115" s="88"/>
      <c r="ZV115" s="88"/>
      <c r="ZW115" s="88"/>
      <c r="ZX115" s="88"/>
      <c r="ZY115" s="88"/>
      <c r="ZZ115" s="88"/>
      <c r="AAA115" s="88"/>
      <c r="AAB115" s="88"/>
      <c r="AAC115" s="88"/>
      <c r="AAD115" s="88"/>
      <c r="AAE115" s="88"/>
      <c r="AAF115" s="88"/>
      <c r="AAG115" s="88"/>
      <c r="AAH115" s="88"/>
      <c r="AAI115" s="88"/>
      <c r="AAJ115" s="88"/>
      <c r="AAK115" s="88"/>
      <c r="AAL115" s="88"/>
      <c r="AAM115" s="88"/>
      <c r="AAN115" s="88"/>
      <c r="AAO115" s="88"/>
      <c r="AAP115" s="88"/>
      <c r="AAQ115" s="88"/>
      <c r="AAR115" s="88"/>
      <c r="AAS115" s="88"/>
      <c r="AAT115" s="88"/>
      <c r="AAU115" s="88"/>
      <c r="AAV115" s="88"/>
      <c r="AAW115" s="88"/>
      <c r="AAX115" s="88"/>
      <c r="AAY115" s="88"/>
      <c r="AAZ115" s="88"/>
      <c r="ABA115" s="88"/>
      <c r="ABB115" s="88"/>
      <c r="ABC115" s="88"/>
      <c r="ABD115" s="88"/>
      <c r="ABE115" s="88"/>
      <c r="ABF115" s="88"/>
      <c r="ABG115" s="88"/>
      <c r="ABH115" s="88"/>
      <c r="ABI115" s="88"/>
      <c r="ABJ115" s="88"/>
      <c r="ABK115" s="88"/>
      <c r="ABL115" s="88"/>
      <c r="ABM115" s="88"/>
      <c r="ABN115" s="88"/>
      <c r="ABO115" s="88"/>
      <c r="ABP115" s="88"/>
      <c r="ABQ115" s="88"/>
      <c r="ABR115" s="88"/>
      <c r="ABS115" s="88"/>
      <c r="ABT115" s="88"/>
      <c r="ABU115" s="88"/>
      <c r="ABV115" s="88"/>
      <c r="ABW115" s="88"/>
      <c r="ABX115" s="88"/>
      <c r="ABY115" s="88"/>
      <c r="ABZ115" s="88"/>
      <c r="ACA115" s="88"/>
      <c r="ACB115" s="88"/>
      <c r="ACC115" s="88"/>
      <c r="ACD115" s="88"/>
      <c r="ACE115" s="88"/>
      <c r="ACF115" s="88"/>
      <c r="ACG115" s="88"/>
      <c r="ACH115" s="88"/>
      <c r="ACI115" s="88"/>
      <c r="ACJ115" s="88"/>
      <c r="ACK115" s="88"/>
      <c r="ACL115" s="88"/>
      <c r="ACM115" s="88"/>
      <c r="ACN115" s="88"/>
      <c r="ACO115" s="88"/>
      <c r="ACP115" s="88"/>
      <c r="ACQ115" s="88"/>
      <c r="ACR115" s="88"/>
      <c r="ACS115" s="88"/>
      <c r="ACT115" s="88"/>
      <c r="ACU115" s="88"/>
      <c r="ACV115" s="88"/>
      <c r="ACW115" s="88"/>
      <c r="ACX115" s="88"/>
      <c r="ACY115" s="88"/>
      <c r="ACZ115" s="88"/>
      <c r="ADA115" s="88"/>
      <c r="ADB115" s="88"/>
      <c r="ADC115" s="88"/>
      <c r="ADD115" s="88"/>
      <c r="ADE115" s="88"/>
      <c r="ADF115" s="88"/>
      <c r="ADG115" s="88"/>
      <c r="ADH115" s="88"/>
      <c r="ADI115" s="88"/>
      <c r="ADJ115" s="88"/>
      <c r="ADK115" s="88"/>
      <c r="ADL115" s="88"/>
      <c r="ADM115" s="88"/>
      <c r="ADN115" s="88"/>
      <c r="ADO115" s="88"/>
      <c r="ADP115" s="88"/>
      <c r="ADQ115" s="88"/>
      <c r="ADR115" s="88"/>
      <c r="ADS115" s="88"/>
      <c r="ADT115" s="88"/>
      <c r="ADU115" s="88"/>
      <c r="ADV115" s="88"/>
      <c r="ADW115" s="88"/>
      <c r="ADX115" s="88"/>
      <c r="ADY115" s="88"/>
      <c r="ADZ115" s="88"/>
      <c r="AEA115" s="88"/>
      <c r="AEB115" s="88"/>
      <c r="AEC115" s="88"/>
      <c r="AED115" s="88"/>
      <c r="AEE115" s="88"/>
      <c r="AEF115" s="88"/>
      <c r="AEG115" s="88"/>
      <c r="AEH115" s="88"/>
      <c r="AEI115" s="88"/>
      <c r="AEJ115" s="88"/>
      <c r="AEK115" s="88"/>
      <c r="AEL115" s="88"/>
      <c r="AEM115" s="88"/>
      <c r="AEN115" s="88"/>
      <c r="AEO115" s="88"/>
      <c r="AEP115" s="88"/>
      <c r="AEQ115" s="88"/>
      <c r="AER115" s="88"/>
      <c r="AES115" s="88"/>
      <c r="AET115" s="88"/>
      <c r="AEU115" s="88"/>
      <c r="AEV115" s="88"/>
      <c r="AEW115" s="88"/>
      <c r="AEX115" s="88"/>
      <c r="AEY115" s="88"/>
      <c r="AEZ115" s="88"/>
      <c r="AFA115" s="88"/>
      <c r="AFB115" s="88"/>
      <c r="AFC115" s="88"/>
      <c r="AFD115" s="88"/>
      <c r="AFE115" s="88"/>
      <c r="AFF115" s="88"/>
      <c r="AFG115" s="88"/>
      <c r="AFH115" s="88"/>
      <c r="AFI115" s="88"/>
      <c r="AFJ115" s="88"/>
      <c r="AFK115" s="88"/>
      <c r="AFL115" s="88"/>
      <c r="AFM115" s="88"/>
      <c r="AFN115" s="88"/>
      <c r="AFO115" s="88"/>
      <c r="AFP115" s="88"/>
      <c r="AFQ115" s="88"/>
      <c r="AFR115" s="88"/>
      <c r="AFS115" s="88"/>
      <c r="AFT115" s="88"/>
      <c r="AFU115" s="88"/>
      <c r="AFV115" s="88"/>
      <c r="AFW115" s="88"/>
      <c r="AFX115" s="88"/>
      <c r="AFY115" s="88"/>
      <c r="AFZ115" s="88"/>
      <c r="AGA115" s="88"/>
      <c r="AGB115" s="88"/>
      <c r="AGC115" s="88"/>
      <c r="AGD115" s="88"/>
      <c r="AGE115" s="88"/>
      <c r="AGF115" s="88"/>
      <c r="AGG115" s="88"/>
      <c r="AGH115" s="88"/>
      <c r="AGI115" s="88"/>
      <c r="AGJ115" s="88"/>
      <c r="AGK115" s="88"/>
      <c r="AGL115" s="88"/>
      <c r="AGM115" s="88"/>
      <c r="AGN115" s="88"/>
      <c r="AGO115" s="88"/>
      <c r="AGP115" s="88"/>
      <c r="AGQ115" s="88"/>
      <c r="AGR115" s="88"/>
      <c r="AGS115" s="88"/>
      <c r="AGT115" s="88"/>
      <c r="AGU115" s="88"/>
      <c r="AGV115" s="88"/>
      <c r="AGW115" s="88"/>
      <c r="AGX115" s="88"/>
      <c r="AGY115" s="88"/>
      <c r="AGZ115" s="88"/>
      <c r="AHA115" s="88"/>
      <c r="AHB115" s="88"/>
      <c r="AHC115" s="88"/>
      <c r="AHD115" s="88"/>
      <c r="AHE115" s="88"/>
      <c r="AHF115" s="88"/>
      <c r="AHG115" s="88"/>
      <c r="AHH115" s="88"/>
      <c r="AHI115" s="88"/>
      <c r="AHJ115" s="88"/>
      <c r="AHK115" s="88"/>
      <c r="AHL115" s="88"/>
      <c r="AHM115" s="88"/>
      <c r="AHN115" s="88"/>
      <c r="AHO115" s="88"/>
      <c r="AHP115" s="88"/>
      <c r="AHQ115" s="88"/>
      <c r="AHR115" s="88"/>
      <c r="AHS115" s="88"/>
      <c r="AHT115" s="88"/>
      <c r="AHU115" s="88"/>
      <c r="AHV115" s="88"/>
      <c r="AHW115" s="88"/>
      <c r="AHX115" s="88"/>
      <c r="AHY115" s="88"/>
      <c r="AHZ115" s="88"/>
      <c r="AIA115" s="88"/>
      <c r="AIB115" s="88"/>
      <c r="AIC115" s="88"/>
      <c r="AID115" s="88"/>
      <c r="AIE115" s="88"/>
      <c r="AIF115" s="88"/>
      <c r="AIG115" s="88"/>
      <c r="AIH115" s="88"/>
      <c r="AII115" s="88"/>
      <c r="AIJ115" s="88"/>
      <c r="AIK115" s="88"/>
      <c r="AIL115" s="88"/>
      <c r="AIM115" s="88"/>
      <c r="AIN115" s="88"/>
      <c r="AIO115" s="88"/>
      <c r="AIP115" s="88"/>
      <c r="AIQ115" s="88"/>
      <c r="AIR115" s="88"/>
      <c r="AIS115" s="88"/>
      <c r="AIT115" s="88"/>
      <c r="AIU115" s="88"/>
      <c r="AIV115" s="88"/>
      <c r="AIW115" s="88"/>
      <c r="AIX115" s="88"/>
      <c r="AIY115" s="88"/>
      <c r="AIZ115" s="88"/>
      <c r="AJA115" s="88"/>
      <c r="AJB115" s="88"/>
      <c r="AJC115" s="88"/>
      <c r="AJD115" s="88"/>
      <c r="AJE115" s="88"/>
      <c r="AJF115" s="88"/>
      <c r="AJG115" s="88"/>
      <c r="AJH115" s="88"/>
      <c r="AJI115" s="88"/>
      <c r="AJJ115" s="88"/>
      <c r="AJK115" s="88"/>
      <c r="AJL115" s="88"/>
      <c r="AJM115" s="88"/>
      <c r="AJN115" s="88"/>
      <c r="AJO115" s="88"/>
      <c r="AJP115" s="88"/>
      <c r="AJQ115" s="88"/>
      <c r="AJR115" s="88"/>
      <c r="AJS115" s="88"/>
      <c r="AJT115" s="88"/>
      <c r="AJU115" s="88"/>
      <c r="AJV115" s="88"/>
      <c r="AJW115" s="88"/>
      <c r="AJX115" s="88"/>
      <c r="AJY115" s="88"/>
      <c r="AJZ115" s="88"/>
      <c r="AKA115" s="88"/>
      <c r="AKB115" s="88"/>
      <c r="AKC115" s="88"/>
      <c r="AKD115" s="88"/>
      <c r="AKE115" s="88"/>
      <c r="AKF115" s="88"/>
      <c r="AKG115" s="88"/>
      <c r="AKH115" s="88"/>
      <c r="AKI115" s="88"/>
      <c r="AKJ115" s="88"/>
      <c r="AKK115" s="88"/>
      <c r="AKL115" s="88"/>
      <c r="AKM115" s="88"/>
      <c r="AKN115" s="88"/>
      <c r="AKO115" s="88"/>
      <c r="AKP115" s="88"/>
      <c r="AKQ115" s="88"/>
      <c r="AKR115" s="88"/>
      <c r="AKS115" s="88"/>
      <c r="AKT115" s="88"/>
      <c r="AKU115" s="88"/>
      <c r="AKV115" s="88"/>
      <c r="AKW115" s="88"/>
      <c r="AKX115" s="88"/>
      <c r="AKY115" s="88"/>
      <c r="AKZ115" s="88"/>
      <c r="ALA115" s="88"/>
      <c r="ALB115" s="88"/>
      <c r="ALC115" s="88"/>
      <c r="ALD115" s="88"/>
      <c r="ALE115" s="88"/>
      <c r="ALF115" s="88"/>
      <c r="ALG115" s="88"/>
      <c r="ALH115" s="88"/>
      <c r="ALI115" s="88"/>
      <c r="ALJ115" s="88"/>
      <c r="ALK115" s="88"/>
      <c r="ALL115" s="88"/>
      <c r="ALM115" s="88"/>
      <c r="ALN115" s="88"/>
      <c r="ALO115" s="88"/>
      <c r="ALP115" s="88"/>
      <c r="ALQ115" s="88"/>
      <c r="ALR115" s="88"/>
      <c r="ALS115" s="88"/>
      <c r="ALT115" s="88"/>
      <c r="ALU115" s="88"/>
      <c r="ALV115" s="88"/>
      <c r="ALW115" s="88"/>
      <c r="ALX115" s="88"/>
      <c r="ALY115" s="88"/>
      <c r="ALZ115" s="88"/>
      <c r="AMA115" s="88"/>
      <c r="AMB115" s="88"/>
      <c r="AMC115" s="88"/>
      <c r="AMD115" s="88"/>
      <c r="AME115" s="88"/>
      <c r="AMF115" s="88"/>
      <c r="AMG115" s="88"/>
      <c r="AMH115" s="88"/>
      <c r="AMI115" s="88"/>
      <c r="AMJ115" s="88"/>
      <c r="AMK115" s="88"/>
      <c r="AML115" s="88"/>
      <c r="AMM115" s="88"/>
      <c r="AMN115" s="88"/>
      <c r="AMO115" s="88"/>
      <c r="AMP115" s="88"/>
      <c r="AMQ115" s="88"/>
      <c r="AMR115" s="88"/>
      <c r="AMS115" s="88"/>
      <c r="AMT115" s="88"/>
      <c r="AMU115" s="88"/>
      <c r="AMV115" s="88"/>
      <c r="AMW115" s="88"/>
      <c r="AMX115" s="88"/>
      <c r="AMY115" s="88"/>
      <c r="AMZ115" s="88"/>
      <c r="ANA115" s="88"/>
      <c r="ANB115" s="88"/>
      <c r="ANC115" s="88"/>
      <c r="AND115" s="88"/>
      <c r="ANE115" s="88"/>
      <c r="ANF115" s="88"/>
      <c r="ANG115" s="88"/>
      <c r="ANH115" s="88"/>
      <c r="ANI115" s="88"/>
      <c r="ANJ115" s="88"/>
      <c r="ANK115" s="88"/>
      <c r="ANL115" s="88"/>
      <c r="ANM115" s="88"/>
      <c r="ANN115" s="88"/>
      <c r="ANO115" s="88"/>
      <c r="ANP115" s="88"/>
      <c r="ANQ115" s="88"/>
      <c r="ANR115" s="88"/>
      <c r="ANS115" s="88"/>
      <c r="ANT115" s="88"/>
      <c r="ANU115" s="88"/>
      <c r="ANV115" s="88"/>
      <c r="ANW115" s="88"/>
      <c r="ANX115" s="88"/>
      <c r="ANY115" s="88"/>
      <c r="ANZ115" s="88"/>
      <c r="AOA115" s="88"/>
      <c r="AOB115" s="88"/>
      <c r="AOC115" s="88"/>
      <c r="AOD115" s="88"/>
      <c r="AOE115" s="88"/>
      <c r="AOF115" s="88"/>
      <c r="AOG115" s="88"/>
      <c r="AOH115" s="88"/>
      <c r="AOI115" s="88"/>
      <c r="AOJ115" s="88"/>
      <c r="AOK115" s="88"/>
      <c r="AOL115" s="88"/>
      <c r="AOM115" s="88"/>
      <c r="AON115" s="88"/>
      <c r="AOO115" s="88"/>
      <c r="AOP115" s="88"/>
      <c r="AOQ115" s="88"/>
      <c r="AOR115" s="88"/>
      <c r="AOS115" s="88"/>
      <c r="AOT115" s="88"/>
      <c r="AOU115" s="88"/>
      <c r="AOV115" s="88"/>
      <c r="AOW115" s="88"/>
      <c r="AOX115" s="88"/>
      <c r="AOY115" s="88"/>
      <c r="AOZ115" s="88"/>
      <c r="APA115" s="88"/>
      <c r="APB115" s="88"/>
      <c r="APC115" s="88"/>
      <c r="APD115" s="88"/>
      <c r="APE115" s="88"/>
      <c r="APF115" s="88"/>
      <c r="APG115" s="88"/>
      <c r="APH115" s="88"/>
      <c r="API115" s="88"/>
      <c r="APJ115" s="88"/>
      <c r="APK115" s="88"/>
      <c r="APL115" s="88"/>
      <c r="APM115" s="88"/>
      <c r="APN115" s="88"/>
      <c r="APO115" s="88"/>
      <c r="APP115" s="88"/>
      <c r="APQ115" s="88"/>
      <c r="APR115" s="88"/>
      <c r="APS115" s="88"/>
      <c r="APT115" s="88"/>
      <c r="APU115" s="88"/>
      <c r="APV115" s="88"/>
      <c r="APW115" s="88"/>
      <c r="APX115" s="88"/>
      <c r="APY115" s="88"/>
      <c r="APZ115" s="88"/>
      <c r="AQA115" s="88"/>
      <c r="AQB115" s="88"/>
      <c r="AQC115" s="88"/>
      <c r="AQD115" s="88"/>
      <c r="AQE115" s="88"/>
      <c r="AQF115" s="88"/>
      <c r="AQG115" s="88"/>
      <c r="AQH115" s="88"/>
      <c r="AQI115" s="88"/>
      <c r="AQJ115" s="88"/>
      <c r="AQK115" s="88"/>
      <c r="AQL115" s="88"/>
      <c r="AQM115" s="88"/>
      <c r="AQN115" s="88"/>
      <c r="AQO115" s="88"/>
      <c r="AQP115" s="88"/>
      <c r="AQQ115" s="88"/>
      <c r="AQR115" s="88"/>
      <c r="AQS115" s="88"/>
      <c r="AQT115" s="88"/>
      <c r="AQU115" s="88"/>
      <c r="AQV115" s="88"/>
      <c r="AQW115" s="88"/>
      <c r="AQX115" s="88"/>
      <c r="AQY115" s="88"/>
      <c r="AQZ115" s="88"/>
      <c r="ARA115" s="88"/>
      <c r="ARB115" s="88"/>
      <c r="ARC115" s="88"/>
      <c r="ARD115" s="88"/>
      <c r="ARE115" s="88"/>
      <c r="ARF115" s="88"/>
      <c r="ARG115" s="88"/>
      <c r="ARH115" s="88"/>
      <c r="ARI115" s="88"/>
      <c r="ARJ115" s="88"/>
      <c r="ARK115" s="88"/>
      <c r="ARL115" s="88"/>
      <c r="ARM115" s="88"/>
      <c r="ARN115" s="88"/>
      <c r="ARO115" s="88"/>
      <c r="ARP115" s="88"/>
      <c r="ARQ115" s="88"/>
      <c r="ARR115" s="88"/>
      <c r="ARS115" s="88"/>
      <c r="ART115" s="88"/>
      <c r="ARU115" s="88"/>
      <c r="ARV115" s="88"/>
      <c r="ARW115" s="88"/>
      <c r="ARX115" s="88"/>
      <c r="ARY115" s="88"/>
      <c r="ARZ115" s="88"/>
      <c r="ASA115" s="88"/>
      <c r="ASB115" s="88"/>
      <c r="ASC115" s="88"/>
      <c r="ASD115" s="88"/>
      <c r="ASE115" s="88"/>
      <c r="ASF115" s="88"/>
      <c r="ASG115" s="88"/>
      <c r="ASH115" s="88"/>
      <c r="ASI115" s="88"/>
      <c r="ASJ115" s="88"/>
      <c r="ASK115" s="88"/>
      <c r="ASL115" s="88"/>
      <c r="ASM115" s="88"/>
      <c r="ASN115" s="88"/>
      <c r="ASO115" s="88"/>
      <c r="ASP115" s="88"/>
      <c r="ASQ115" s="88"/>
      <c r="ASR115" s="88"/>
      <c r="ASS115" s="88"/>
      <c r="AST115" s="88"/>
      <c r="ASU115" s="88"/>
      <c r="ASV115" s="88"/>
      <c r="ASW115" s="88"/>
      <c r="ASX115" s="88"/>
      <c r="ASY115" s="88"/>
      <c r="ASZ115" s="88"/>
      <c r="ATA115" s="88"/>
      <c r="ATB115" s="88"/>
      <c r="ATC115" s="88"/>
      <c r="ATD115" s="88"/>
      <c r="ATE115" s="88"/>
      <c r="ATF115" s="88"/>
      <c r="ATG115" s="88"/>
      <c r="ATH115" s="88"/>
      <c r="ATI115" s="88"/>
      <c r="ATJ115" s="88"/>
      <c r="ATK115" s="88"/>
      <c r="ATL115" s="88"/>
      <c r="ATM115" s="88"/>
      <c r="ATN115" s="88"/>
      <c r="ATO115" s="88"/>
      <c r="ATP115" s="88"/>
      <c r="ATQ115" s="88"/>
      <c r="ATR115" s="88"/>
      <c r="ATS115" s="88"/>
      <c r="ATT115" s="88"/>
      <c r="ATU115" s="88"/>
      <c r="ATV115" s="88"/>
      <c r="ATW115" s="88"/>
      <c r="ATX115" s="88"/>
      <c r="ATY115" s="88"/>
      <c r="ATZ115" s="88"/>
      <c r="AUA115" s="88"/>
      <c r="AUB115" s="88"/>
      <c r="AUC115" s="88"/>
      <c r="AUD115" s="88"/>
      <c r="AUE115" s="88"/>
      <c r="AUF115" s="88"/>
      <c r="AUG115" s="88"/>
      <c r="AUH115" s="88"/>
      <c r="AUI115" s="88"/>
      <c r="AUJ115" s="88"/>
      <c r="AUK115" s="88"/>
      <c r="AUL115" s="88"/>
      <c r="AUM115" s="88"/>
      <c r="AUN115" s="88"/>
      <c r="AUO115" s="88"/>
      <c r="AUP115" s="88"/>
      <c r="AUQ115" s="88"/>
      <c r="AUR115" s="88"/>
      <c r="AUS115" s="88"/>
      <c r="AUT115" s="88"/>
      <c r="AUU115" s="88"/>
      <c r="AUV115" s="88"/>
      <c r="AUW115" s="88"/>
      <c r="AUX115" s="88"/>
      <c r="AUY115" s="88"/>
      <c r="AUZ115" s="88"/>
      <c r="AVA115" s="88"/>
      <c r="AVB115" s="88"/>
      <c r="AVC115" s="88"/>
      <c r="AVD115" s="88"/>
      <c r="AVE115" s="88"/>
      <c r="AVF115" s="88"/>
      <c r="AVG115" s="88"/>
      <c r="AVH115" s="88"/>
      <c r="AVI115" s="88"/>
      <c r="AVJ115" s="88"/>
      <c r="AVK115" s="88"/>
      <c r="AVL115" s="88"/>
      <c r="AVM115" s="88"/>
      <c r="AVN115" s="88"/>
      <c r="AVO115" s="88"/>
      <c r="AVP115" s="88"/>
      <c r="AVQ115" s="88"/>
      <c r="AVR115" s="88"/>
      <c r="AVS115" s="88"/>
      <c r="AVT115" s="88"/>
      <c r="AVU115" s="88"/>
      <c r="AVV115" s="88"/>
      <c r="AVW115" s="88"/>
      <c r="AVX115" s="88"/>
      <c r="AVY115" s="88"/>
      <c r="AVZ115" s="88"/>
      <c r="AWA115" s="88"/>
      <c r="AWB115" s="88"/>
      <c r="AWC115" s="88"/>
      <c r="AWD115" s="88"/>
      <c r="AWE115" s="88"/>
      <c r="AWF115" s="88"/>
      <c r="AWG115" s="88"/>
      <c r="AWH115" s="88"/>
      <c r="AWI115" s="88"/>
      <c r="AWJ115" s="88"/>
      <c r="AWK115" s="88"/>
      <c r="AWL115" s="88"/>
      <c r="AWM115" s="88"/>
      <c r="AWN115" s="88"/>
      <c r="AWO115" s="88"/>
      <c r="AWP115" s="88"/>
      <c r="AWQ115" s="88"/>
      <c r="AWR115" s="88"/>
      <c r="AWS115" s="88"/>
      <c r="AWT115" s="88"/>
      <c r="AWU115" s="88"/>
      <c r="AWV115" s="88"/>
      <c r="AWW115" s="88"/>
      <c r="AWX115" s="88"/>
      <c r="AWY115" s="88"/>
      <c r="AWZ115" s="88"/>
      <c r="AXA115" s="88"/>
      <c r="AXB115" s="88"/>
      <c r="AXC115" s="88"/>
      <c r="AXD115" s="88"/>
      <c r="AXE115" s="88"/>
      <c r="AXF115" s="88"/>
      <c r="AXG115" s="88"/>
      <c r="AXH115" s="88"/>
      <c r="AXI115" s="88"/>
      <c r="AXJ115" s="88"/>
      <c r="AXK115" s="88"/>
      <c r="AXL115" s="88"/>
      <c r="AXM115" s="88"/>
      <c r="AXN115" s="88"/>
      <c r="AXO115" s="88"/>
      <c r="AXP115" s="88"/>
      <c r="AXQ115" s="88"/>
      <c r="AXR115" s="88"/>
      <c r="AXS115" s="88"/>
      <c r="AXT115" s="88"/>
      <c r="AXU115" s="88"/>
      <c r="AXV115" s="88"/>
      <c r="AXW115" s="88"/>
      <c r="AXX115" s="88"/>
      <c r="AXY115" s="88"/>
      <c r="AXZ115" s="88"/>
      <c r="AYA115" s="88"/>
      <c r="AYB115" s="88"/>
      <c r="AYC115" s="88"/>
      <c r="AYD115" s="88"/>
      <c r="AYE115" s="88"/>
      <c r="AYF115" s="88"/>
      <c r="AYG115" s="88"/>
      <c r="AYH115" s="88"/>
      <c r="AYI115" s="88"/>
      <c r="AYJ115" s="88"/>
      <c r="AYK115" s="88"/>
      <c r="AYL115" s="88"/>
      <c r="AYM115" s="88"/>
      <c r="AYN115" s="88"/>
      <c r="AYO115" s="88"/>
      <c r="AYP115" s="88"/>
      <c r="AYQ115" s="88"/>
      <c r="AYR115" s="88"/>
      <c r="AYS115" s="88"/>
      <c r="AYT115" s="88"/>
      <c r="AYU115" s="88"/>
      <c r="AYV115" s="88"/>
      <c r="AYW115" s="88"/>
      <c r="AYX115" s="88"/>
      <c r="AYY115" s="88"/>
      <c r="AYZ115" s="88"/>
      <c r="AZA115" s="88"/>
      <c r="AZB115" s="88"/>
      <c r="AZC115" s="88"/>
      <c r="AZD115" s="88"/>
      <c r="AZE115" s="88"/>
      <c r="AZF115" s="88"/>
      <c r="AZG115" s="88"/>
      <c r="AZH115" s="88"/>
      <c r="AZI115" s="88"/>
      <c r="AZJ115" s="88"/>
      <c r="AZK115" s="88"/>
      <c r="AZL115" s="88"/>
      <c r="AZM115" s="88"/>
      <c r="AZN115" s="88"/>
      <c r="AZO115" s="88"/>
      <c r="AZP115" s="88"/>
      <c r="AZQ115" s="88"/>
      <c r="AZR115" s="88"/>
      <c r="AZS115" s="88"/>
      <c r="AZT115" s="88"/>
      <c r="AZU115" s="88"/>
      <c r="AZV115" s="88"/>
      <c r="AZW115" s="88"/>
      <c r="AZX115" s="88"/>
      <c r="AZY115" s="88"/>
      <c r="AZZ115" s="88"/>
      <c r="BAA115" s="88"/>
      <c r="BAB115" s="88"/>
      <c r="BAC115" s="88"/>
      <c r="BAD115" s="88"/>
      <c r="BAE115" s="88"/>
      <c r="BAF115" s="88"/>
      <c r="BAG115" s="88"/>
      <c r="BAH115" s="88"/>
      <c r="BAI115" s="88"/>
      <c r="BAJ115" s="88"/>
      <c r="BAK115" s="88"/>
      <c r="BAL115" s="88"/>
      <c r="BAM115" s="88"/>
      <c r="BAN115" s="88"/>
      <c r="BAO115" s="88"/>
      <c r="BAP115" s="88"/>
      <c r="BAQ115" s="88"/>
      <c r="BAR115" s="88"/>
      <c r="BAS115" s="88"/>
      <c r="BAT115" s="88"/>
      <c r="BAU115" s="88"/>
      <c r="BAV115" s="88"/>
      <c r="BAW115" s="88"/>
      <c r="BAX115" s="88"/>
      <c r="BAY115" s="88"/>
      <c r="BAZ115" s="88"/>
      <c r="BBA115" s="88"/>
      <c r="BBB115" s="88"/>
      <c r="BBC115" s="88"/>
      <c r="BBD115" s="88"/>
      <c r="BBE115" s="88"/>
      <c r="BBF115" s="88"/>
      <c r="BBG115" s="88"/>
      <c r="BBH115" s="88"/>
      <c r="BBI115" s="88"/>
      <c r="BBJ115" s="88"/>
      <c r="BBK115" s="88"/>
      <c r="BBL115" s="88"/>
      <c r="BBM115" s="88"/>
      <c r="BBN115" s="88"/>
      <c r="BBO115" s="88"/>
      <c r="BBP115" s="88"/>
      <c r="BBQ115" s="88"/>
      <c r="BBR115" s="88"/>
      <c r="BBS115" s="88"/>
      <c r="BBT115" s="88"/>
      <c r="BBU115" s="88"/>
      <c r="BBV115" s="88"/>
      <c r="BBW115" s="88"/>
      <c r="BBX115" s="88"/>
      <c r="BBY115" s="88"/>
      <c r="BBZ115" s="88"/>
      <c r="BCA115" s="88"/>
      <c r="BCB115" s="88"/>
      <c r="BCC115" s="88"/>
      <c r="BCD115" s="88"/>
      <c r="BCE115" s="88"/>
      <c r="BCF115" s="88"/>
      <c r="BCG115" s="88"/>
      <c r="BCH115" s="88"/>
      <c r="BCI115" s="88"/>
      <c r="BCJ115" s="88"/>
      <c r="BCK115" s="88"/>
      <c r="BCL115" s="88"/>
      <c r="BCM115" s="88"/>
      <c r="BCN115" s="88"/>
      <c r="BCO115" s="88"/>
      <c r="BCP115" s="88"/>
      <c r="BCQ115" s="88"/>
      <c r="BCR115" s="88"/>
      <c r="BCS115" s="88"/>
      <c r="BCT115" s="88"/>
      <c r="BCU115" s="88"/>
      <c r="BCV115" s="88"/>
      <c r="BCW115" s="88"/>
      <c r="BCX115" s="88"/>
      <c r="BCY115" s="88"/>
      <c r="BCZ115" s="88"/>
      <c r="BDA115" s="88"/>
      <c r="BDB115" s="88"/>
      <c r="BDC115" s="88"/>
      <c r="BDD115" s="88"/>
      <c r="BDE115" s="88"/>
      <c r="BDF115" s="88"/>
      <c r="BDG115" s="88"/>
      <c r="BDH115" s="88"/>
      <c r="BDI115" s="88"/>
      <c r="BDJ115" s="88"/>
      <c r="BDK115" s="88"/>
      <c r="BDL115" s="88"/>
      <c r="BDM115" s="88"/>
      <c r="BDN115" s="88"/>
      <c r="BDO115" s="88"/>
      <c r="BDP115" s="88"/>
      <c r="BDQ115" s="88"/>
      <c r="BDR115" s="88"/>
      <c r="BDS115" s="88"/>
      <c r="BDT115" s="88"/>
      <c r="BDU115" s="88"/>
      <c r="BDV115" s="88"/>
      <c r="BDW115" s="88"/>
      <c r="BDX115" s="88"/>
      <c r="BDY115" s="88"/>
      <c r="BDZ115" s="88"/>
      <c r="BEA115" s="88"/>
      <c r="BEB115" s="88"/>
      <c r="BEC115" s="88"/>
      <c r="BED115" s="88"/>
      <c r="BEE115" s="88"/>
      <c r="BEF115" s="88"/>
      <c r="BEG115" s="88"/>
      <c r="BEH115" s="88"/>
      <c r="BEI115" s="88"/>
      <c r="BEJ115" s="88"/>
      <c r="BEK115" s="88"/>
      <c r="BEL115" s="88"/>
      <c r="BEM115" s="88"/>
      <c r="BEN115" s="88"/>
      <c r="BEO115" s="88"/>
      <c r="BEP115" s="88"/>
      <c r="BEQ115" s="88"/>
      <c r="BER115" s="88"/>
      <c r="BES115" s="88"/>
      <c r="BET115" s="88"/>
      <c r="BEU115" s="88"/>
      <c r="BEV115" s="88"/>
      <c r="BEW115" s="88"/>
      <c r="BEX115" s="88"/>
      <c r="BEY115" s="88"/>
      <c r="BEZ115" s="88"/>
      <c r="BFA115" s="88"/>
      <c r="BFB115" s="88"/>
      <c r="BFC115" s="88"/>
      <c r="BFD115" s="88"/>
      <c r="BFE115" s="88"/>
      <c r="BFF115" s="88"/>
      <c r="BFG115" s="88"/>
      <c r="BFH115" s="88"/>
      <c r="BFI115" s="88"/>
      <c r="BFJ115" s="88"/>
      <c r="BFK115" s="88"/>
      <c r="BFL115" s="88"/>
      <c r="BFM115" s="88"/>
      <c r="BFN115" s="88"/>
      <c r="BFO115" s="88"/>
      <c r="BFP115" s="88"/>
      <c r="BFQ115" s="88"/>
      <c r="BFR115" s="88"/>
      <c r="BFS115" s="88"/>
      <c r="BFT115" s="88"/>
      <c r="BFU115" s="88"/>
      <c r="BFV115" s="88"/>
      <c r="BFW115" s="88"/>
      <c r="BFX115" s="88"/>
      <c r="BFY115" s="88"/>
      <c r="BFZ115" s="88"/>
      <c r="BGA115" s="88"/>
      <c r="BGB115" s="88"/>
      <c r="BGC115" s="88"/>
      <c r="BGD115" s="88"/>
      <c r="BGE115" s="88"/>
      <c r="BGF115" s="88"/>
      <c r="BGG115" s="88"/>
      <c r="BGH115" s="88"/>
      <c r="BGI115" s="88"/>
      <c r="BGJ115" s="88"/>
      <c r="BGK115" s="88"/>
      <c r="BGL115" s="88"/>
      <c r="BGM115" s="88"/>
      <c r="BGN115" s="88"/>
      <c r="BGO115" s="88"/>
      <c r="BGP115" s="88"/>
      <c r="BGQ115" s="88"/>
      <c r="BGR115" s="88"/>
      <c r="BGS115" s="88"/>
      <c r="BGT115" s="88"/>
      <c r="BGU115" s="88"/>
      <c r="BGV115" s="88"/>
      <c r="BGW115" s="88"/>
      <c r="BGX115" s="88"/>
      <c r="BGY115" s="88"/>
      <c r="BGZ115" s="88"/>
      <c r="BHA115" s="88"/>
      <c r="BHB115" s="88"/>
      <c r="BHC115" s="88"/>
      <c r="BHD115" s="88"/>
      <c r="BHE115" s="88"/>
      <c r="BHF115" s="88"/>
      <c r="BHG115" s="88"/>
      <c r="BHH115" s="88"/>
      <c r="BHI115" s="88"/>
      <c r="BHJ115" s="88"/>
      <c r="BHK115" s="88"/>
      <c r="BHL115" s="88"/>
      <c r="BHM115" s="88"/>
      <c r="BHN115" s="88"/>
      <c r="BHO115" s="88"/>
      <c r="BHP115" s="88"/>
      <c r="BHQ115" s="88"/>
      <c r="BHR115" s="88"/>
      <c r="BHS115" s="88"/>
      <c r="BHT115" s="88"/>
      <c r="BHU115" s="88"/>
      <c r="BHV115" s="88"/>
      <c r="BHW115" s="88"/>
      <c r="BHX115" s="88"/>
      <c r="BHY115" s="88"/>
      <c r="BHZ115" s="88"/>
      <c r="BIA115" s="88"/>
      <c r="BIB115" s="88"/>
      <c r="BIC115" s="88"/>
      <c r="BID115" s="88"/>
      <c r="BIE115" s="88"/>
      <c r="BIF115" s="88"/>
      <c r="BIG115" s="88"/>
      <c r="BIH115" s="88"/>
      <c r="BII115" s="88"/>
      <c r="BIJ115" s="88"/>
      <c r="BIK115" s="88"/>
      <c r="BIL115" s="88"/>
      <c r="BIM115" s="88"/>
      <c r="BIN115" s="88"/>
      <c r="BIO115" s="88"/>
      <c r="BIP115" s="88"/>
      <c r="BIQ115" s="88"/>
      <c r="BIR115" s="88"/>
      <c r="BIS115" s="88"/>
      <c r="BIT115" s="88"/>
      <c r="BIU115" s="88"/>
      <c r="BIV115" s="88"/>
      <c r="BIW115" s="88"/>
      <c r="BIX115" s="88"/>
      <c r="BIY115" s="88"/>
      <c r="BIZ115" s="88"/>
      <c r="BJA115" s="88"/>
      <c r="BJB115" s="88"/>
      <c r="BJC115" s="88"/>
      <c r="BJD115" s="88"/>
      <c r="BJE115" s="88"/>
      <c r="BJF115" s="88"/>
      <c r="BJG115" s="88"/>
      <c r="BJH115" s="88"/>
      <c r="BJI115" s="88"/>
      <c r="BJJ115" s="88"/>
      <c r="BJK115" s="88"/>
      <c r="BJL115" s="88"/>
      <c r="BJM115" s="88"/>
      <c r="BJN115" s="88"/>
      <c r="BJO115" s="88"/>
      <c r="BJP115" s="88"/>
      <c r="BJQ115" s="88"/>
      <c r="BJR115" s="88"/>
      <c r="BJS115" s="88"/>
      <c r="BJT115" s="88"/>
      <c r="BJU115" s="88"/>
      <c r="BJV115" s="88"/>
      <c r="BJW115" s="88"/>
      <c r="BJX115" s="88"/>
      <c r="BJY115" s="88"/>
      <c r="BJZ115" s="88"/>
      <c r="BKA115" s="88"/>
      <c r="BKB115" s="88"/>
      <c r="BKC115" s="88"/>
      <c r="BKD115" s="88"/>
      <c r="BKE115" s="88"/>
      <c r="BKF115" s="88"/>
      <c r="BKG115" s="88"/>
      <c r="BKH115" s="88"/>
      <c r="BKI115" s="88"/>
      <c r="BKJ115" s="88"/>
      <c r="BKK115" s="88"/>
      <c r="BKL115" s="88"/>
      <c r="BKM115" s="88"/>
      <c r="BKN115" s="88"/>
      <c r="BKO115" s="88"/>
      <c r="BKP115" s="88"/>
      <c r="BKQ115" s="88"/>
      <c r="BKR115" s="88"/>
      <c r="BKS115" s="88"/>
      <c r="BKT115" s="88"/>
      <c r="BKU115" s="88"/>
      <c r="BKV115" s="88"/>
      <c r="BKW115" s="88"/>
      <c r="BKX115" s="88"/>
      <c r="BKY115" s="88"/>
      <c r="BKZ115" s="88"/>
      <c r="BLA115" s="88"/>
      <c r="BLB115" s="88"/>
      <c r="BLC115" s="88"/>
      <c r="BLD115" s="88"/>
      <c r="BLE115" s="88"/>
      <c r="BLF115" s="88"/>
      <c r="BLG115" s="88"/>
      <c r="BLH115" s="88"/>
      <c r="BLI115" s="88"/>
      <c r="BLJ115" s="88"/>
      <c r="BLK115" s="88"/>
      <c r="BLL115" s="88"/>
      <c r="BLM115" s="88"/>
      <c r="BLN115" s="88"/>
      <c r="BLO115" s="88"/>
      <c r="BLP115" s="88"/>
      <c r="BLQ115" s="88"/>
      <c r="BLR115" s="88"/>
      <c r="BLS115" s="88"/>
      <c r="BLT115" s="88"/>
      <c r="BLU115" s="88"/>
      <c r="BLV115" s="88"/>
      <c r="BLW115" s="88"/>
      <c r="BLX115" s="88"/>
      <c r="BLY115" s="88"/>
      <c r="BLZ115" s="88"/>
      <c r="BMA115" s="88"/>
      <c r="BMB115" s="88"/>
      <c r="BMC115" s="88"/>
      <c r="BMD115" s="88"/>
      <c r="BME115" s="88"/>
      <c r="BMF115" s="88"/>
      <c r="BMG115" s="88"/>
      <c r="BMH115" s="88"/>
      <c r="BMI115" s="88"/>
      <c r="BMJ115" s="88"/>
      <c r="BMK115" s="88"/>
      <c r="BML115" s="88"/>
      <c r="BMM115" s="88"/>
      <c r="BMN115" s="88"/>
      <c r="BMO115" s="88"/>
      <c r="BMP115" s="88"/>
      <c r="BMQ115" s="88"/>
      <c r="BMR115" s="88"/>
      <c r="BMS115" s="88"/>
      <c r="BMT115" s="88"/>
      <c r="BMU115" s="88"/>
      <c r="BMV115" s="88"/>
      <c r="BMW115" s="88"/>
      <c r="BMX115" s="88"/>
      <c r="BMY115" s="88"/>
      <c r="BMZ115" s="88"/>
      <c r="BNA115" s="88"/>
      <c r="BNB115" s="88"/>
      <c r="BNC115" s="88"/>
      <c r="BND115" s="88"/>
      <c r="BNE115" s="88"/>
      <c r="BNF115" s="88"/>
      <c r="BNG115" s="88"/>
      <c r="BNH115" s="88"/>
      <c r="BNI115" s="88"/>
      <c r="BNJ115" s="88"/>
      <c r="BNK115" s="88"/>
      <c r="BNL115" s="88"/>
      <c r="BNM115" s="88"/>
      <c r="BNN115" s="88"/>
      <c r="BNO115" s="88"/>
      <c r="BNP115" s="88"/>
      <c r="BNQ115" s="88"/>
      <c r="BNR115" s="88"/>
      <c r="BNS115" s="88"/>
      <c r="BNT115" s="88"/>
      <c r="BNU115" s="88"/>
      <c r="BNV115" s="88"/>
      <c r="BNW115" s="88"/>
      <c r="BNX115" s="88"/>
      <c r="BNY115" s="88"/>
      <c r="BNZ115" s="88"/>
      <c r="BOA115" s="88"/>
      <c r="BOB115" s="88"/>
      <c r="BOC115" s="88"/>
      <c r="BOD115" s="88"/>
      <c r="BOE115" s="88"/>
      <c r="BOF115" s="88"/>
      <c r="BOG115" s="88"/>
      <c r="BOH115" s="88"/>
      <c r="BOI115" s="88"/>
      <c r="BOJ115" s="88"/>
      <c r="BOK115" s="88"/>
      <c r="BOL115" s="88"/>
      <c r="BOM115" s="88"/>
      <c r="BON115" s="88"/>
      <c r="BOO115" s="88"/>
      <c r="BOP115" s="88"/>
      <c r="BOQ115" s="88"/>
      <c r="BOR115" s="88"/>
      <c r="BOS115" s="88"/>
      <c r="BOT115" s="88"/>
      <c r="BOU115" s="88"/>
      <c r="BOV115" s="88"/>
      <c r="BOW115" s="88"/>
      <c r="BOX115" s="88"/>
      <c r="BOY115" s="88"/>
      <c r="BOZ115" s="88"/>
      <c r="BPA115" s="88"/>
      <c r="BPB115" s="88"/>
      <c r="BPC115" s="88"/>
      <c r="BPD115" s="88"/>
      <c r="BPE115" s="88"/>
      <c r="BPF115" s="88"/>
      <c r="BPG115" s="88"/>
      <c r="BPH115" s="88"/>
      <c r="BPI115" s="88"/>
      <c r="BPJ115" s="88"/>
      <c r="BPK115" s="88"/>
      <c r="BPL115" s="88"/>
      <c r="BPM115" s="88"/>
      <c r="BPN115" s="88"/>
      <c r="BPO115" s="88"/>
      <c r="BPP115" s="88"/>
      <c r="BPQ115" s="88"/>
      <c r="BPR115" s="88"/>
      <c r="BPS115" s="88"/>
      <c r="BPT115" s="88"/>
      <c r="BPU115" s="88"/>
      <c r="BPV115" s="88"/>
      <c r="BPW115" s="88"/>
      <c r="BPX115" s="88"/>
      <c r="BPY115" s="88"/>
      <c r="BPZ115" s="88"/>
      <c r="BQA115" s="88"/>
      <c r="BQB115" s="88"/>
      <c r="BQC115" s="88"/>
      <c r="BQD115" s="88"/>
      <c r="BQE115" s="88"/>
      <c r="BQF115" s="88"/>
      <c r="BQG115" s="88"/>
      <c r="BQH115" s="88"/>
      <c r="BQI115" s="88"/>
      <c r="BQJ115" s="88"/>
      <c r="BQK115" s="88"/>
      <c r="BQL115" s="88"/>
      <c r="BQM115" s="88"/>
      <c r="BQN115" s="88"/>
      <c r="BQO115" s="88"/>
      <c r="BQP115" s="88"/>
      <c r="BQQ115" s="88"/>
      <c r="BQR115" s="88"/>
      <c r="BQS115" s="88"/>
      <c r="BQT115" s="88"/>
      <c r="BQU115" s="88"/>
      <c r="BQV115" s="88"/>
      <c r="BQW115" s="88"/>
      <c r="BQX115" s="88"/>
      <c r="BQY115" s="88"/>
      <c r="BQZ115" s="88"/>
      <c r="BRA115" s="88"/>
      <c r="BRB115" s="88"/>
      <c r="BRC115" s="88"/>
      <c r="BRD115" s="88"/>
      <c r="BRE115" s="88"/>
      <c r="BRF115" s="88"/>
      <c r="BRG115" s="88"/>
      <c r="BRH115" s="88"/>
      <c r="BRI115" s="88"/>
      <c r="BRJ115" s="88"/>
      <c r="BRK115" s="88"/>
      <c r="BRL115" s="88"/>
      <c r="BRM115" s="88"/>
      <c r="BRN115" s="88"/>
      <c r="BRO115" s="88"/>
      <c r="BRP115" s="88"/>
      <c r="BRQ115" s="88"/>
      <c r="BRR115" s="88"/>
      <c r="BRS115" s="88"/>
      <c r="BRT115" s="88"/>
      <c r="BRU115" s="88"/>
      <c r="BRV115" s="88"/>
      <c r="BRW115" s="88"/>
      <c r="BRX115" s="88"/>
      <c r="BRY115" s="88"/>
      <c r="BRZ115" s="88"/>
      <c r="BSA115" s="88"/>
      <c r="BSB115" s="88"/>
      <c r="BSC115" s="88"/>
      <c r="BSD115" s="88"/>
      <c r="BSE115" s="88"/>
      <c r="BSF115" s="88"/>
      <c r="BSG115" s="88"/>
      <c r="BSH115" s="88"/>
      <c r="BSI115" s="88"/>
      <c r="BSJ115" s="88"/>
      <c r="BSK115" s="88"/>
      <c r="BSL115" s="88"/>
      <c r="BSM115" s="88"/>
      <c r="BSN115" s="88"/>
      <c r="BSO115" s="88"/>
      <c r="BSP115" s="88"/>
      <c r="BSQ115" s="88"/>
      <c r="BSR115" s="88"/>
      <c r="BSS115" s="88"/>
      <c r="BST115" s="88"/>
      <c r="BSU115" s="88"/>
      <c r="BSV115" s="88"/>
      <c r="BSW115" s="88"/>
      <c r="BSX115" s="88"/>
      <c r="BSY115" s="88"/>
      <c r="BSZ115" s="88"/>
      <c r="BTA115" s="88"/>
      <c r="BTB115" s="88"/>
      <c r="BTC115" s="88"/>
      <c r="BTD115" s="88"/>
      <c r="BTE115" s="88"/>
      <c r="BTF115" s="88"/>
      <c r="BTG115" s="88"/>
      <c r="BTH115" s="88"/>
      <c r="BTI115" s="88"/>
      <c r="BTJ115" s="88"/>
      <c r="BTK115" s="88"/>
      <c r="BTL115" s="88"/>
      <c r="BTM115" s="88"/>
      <c r="BTN115" s="88"/>
      <c r="BTO115" s="88"/>
      <c r="BTP115" s="88"/>
      <c r="BTQ115" s="88"/>
      <c r="BTR115" s="88"/>
      <c r="BTS115" s="88"/>
      <c r="BTT115" s="88"/>
      <c r="BTU115" s="88"/>
      <c r="BTV115" s="88"/>
      <c r="BTW115" s="88"/>
      <c r="BTX115" s="88"/>
      <c r="BTY115" s="88"/>
      <c r="BTZ115" s="88"/>
      <c r="BUA115" s="88"/>
      <c r="BUB115" s="88"/>
      <c r="BUC115" s="88"/>
      <c r="BUD115" s="88"/>
      <c r="BUE115" s="88"/>
      <c r="BUF115" s="88"/>
      <c r="BUG115" s="88"/>
      <c r="BUH115" s="88"/>
      <c r="BUI115" s="88"/>
      <c r="BUJ115" s="88"/>
      <c r="BUK115" s="88"/>
      <c r="BUL115" s="88"/>
      <c r="BUM115" s="88"/>
      <c r="BUN115" s="88"/>
      <c r="BUO115" s="88"/>
      <c r="BUP115" s="88"/>
      <c r="BUQ115" s="88"/>
      <c r="BUR115" s="88"/>
      <c r="BUS115" s="88"/>
      <c r="BUT115" s="88"/>
      <c r="BUU115" s="88"/>
      <c r="BUV115" s="88"/>
      <c r="BUW115" s="88"/>
      <c r="BUX115" s="88"/>
      <c r="BUY115" s="88"/>
      <c r="BUZ115" s="88"/>
      <c r="BVA115" s="88"/>
      <c r="BVB115" s="88"/>
      <c r="BVC115" s="88"/>
      <c r="BVD115" s="88"/>
      <c r="BVE115" s="88"/>
      <c r="BVF115" s="88"/>
      <c r="BVG115" s="88"/>
      <c r="BVH115" s="88"/>
      <c r="BVI115" s="88"/>
      <c r="BVJ115" s="88"/>
      <c r="BVK115" s="88"/>
      <c r="BVL115" s="88"/>
      <c r="BVM115" s="88"/>
      <c r="BVN115" s="88"/>
      <c r="BVO115" s="88"/>
      <c r="BVP115" s="88"/>
      <c r="BVQ115" s="88"/>
      <c r="BVR115" s="88"/>
      <c r="BVS115" s="88"/>
      <c r="BVT115" s="88"/>
      <c r="BVU115" s="88"/>
      <c r="BVV115" s="88"/>
      <c r="BVW115" s="88"/>
      <c r="BVX115" s="88"/>
      <c r="BVY115" s="88"/>
      <c r="BVZ115" s="88"/>
      <c r="BWA115" s="88"/>
      <c r="BWB115" s="88"/>
      <c r="BWC115" s="88"/>
      <c r="BWD115" s="88"/>
      <c r="BWE115" s="88"/>
      <c r="BWF115" s="88"/>
      <c r="BWG115" s="88"/>
      <c r="BWH115" s="88"/>
      <c r="BWI115" s="88"/>
      <c r="BWJ115" s="88"/>
      <c r="BWK115" s="88"/>
      <c r="BWL115" s="88"/>
      <c r="BWM115" s="88"/>
      <c r="BWN115" s="88"/>
      <c r="BWO115" s="88"/>
      <c r="BWP115" s="88"/>
      <c r="BWQ115" s="88"/>
      <c r="BWR115" s="88"/>
      <c r="BWS115" s="88"/>
      <c r="BWT115" s="88"/>
      <c r="BWU115" s="88"/>
      <c r="BWV115" s="88"/>
      <c r="BWW115" s="88"/>
      <c r="BWX115" s="88"/>
      <c r="BWY115" s="88"/>
      <c r="BWZ115" s="88"/>
      <c r="BXA115" s="88"/>
      <c r="BXB115" s="88"/>
      <c r="BXC115" s="88"/>
      <c r="BXD115" s="88"/>
      <c r="BXE115" s="88"/>
      <c r="BXF115" s="88"/>
      <c r="BXG115" s="88"/>
      <c r="BXH115" s="88"/>
      <c r="BXI115" s="88"/>
      <c r="BXJ115" s="88"/>
      <c r="BXK115" s="88"/>
      <c r="BXL115" s="88"/>
      <c r="BXM115" s="88"/>
      <c r="BXN115" s="88"/>
      <c r="BXO115" s="88"/>
      <c r="BXP115" s="88"/>
      <c r="BXQ115" s="88"/>
      <c r="BXR115" s="88"/>
      <c r="BXS115" s="88"/>
      <c r="BXT115" s="88"/>
      <c r="BXU115" s="88"/>
      <c r="BXV115" s="88"/>
      <c r="BXW115" s="88"/>
      <c r="BXX115" s="88"/>
      <c r="BXY115" s="88"/>
      <c r="BXZ115" s="88"/>
      <c r="BYA115" s="88"/>
      <c r="BYB115" s="88"/>
      <c r="BYC115" s="88"/>
      <c r="BYD115" s="88"/>
      <c r="BYE115" s="88"/>
      <c r="BYF115" s="88"/>
      <c r="BYG115" s="88"/>
      <c r="BYH115" s="88"/>
      <c r="BYI115" s="88"/>
      <c r="BYJ115" s="88"/>
      <c r="BYK115" s="88"/>
      <c r="BYL115" s="88"/>
      <c r="BYM115" s="88"/>
      <c r="BYN115" s="88"/>
      <c r="BYO115" s="88"/>
      <c r="BYP115" s="88"/>
      <c r="BYQ115" s="88"/>
      <c r="BYR115" s="88"/>
      <c r="BYS115" s="88"/>
      <c r="BYT115" s="88"/>
      <c r="BYU115" s="88"/>
      <c r="BYV115" s="88"/>
      <c r="BYW115" s="88"/>
      <c r="BYX115" s="88"/>
      <c r="BYY115" s="88"/>
      <c r="BYZ115" s="88"/>
      <c r="BZA115" s="88"/>
      <c r="BZB115" s="88"/>
      <c r="BZC115" s="88"/>
      <c r="BZD115" s="88"/>
      <c r="BZE115" s="88"/>
      <c r="BZF115" s="88"/>
      <c r="BZG115" s="88"/>
      <c r="BZH115" s="88"/>
      <c r="BZI115" s="88"/>
      <c r="BZJ115" s="88"/>
      <c r="BZK115" s="88"/>
      <c r="BZL115" s="88"/>
      <c r="BZM115" s="88"/>
      <c r="BZN115" s="88"/>
      <c r="BZO115" s="88"/>
      <c r="BZP115" s="88"/>
      <c r="BZQ115" s="88"/>
      <c r="BZR115" s="88"/>
      <c r="BZS115" s="88"/>
      <c r="BZT115" s="88"/>
      <c r="BZU115" s="88"/>
      <c r="BZV115" s="88"/>
      <c r="BZW115" s="88"/>
      <c r="BZX115" s="88"/>
      <c r="BZY115" s="88"/>
      <c r="BZZ115" s="88"/>
      <c r="CAA115" s="88"/>
      <c r="CAB115" s="88"/>
      <c r="CAC115" s="88"/>
      <c r="CAD115" s="88"/>
      <c r="CAE115" s="88"/>
      <c r="CAF115" s="88"/>
      <c r="CAG115" s="88"/>
      <c r="CAH115" s="88"/>
      <c r="CAI115" s="88"/>
      <c r="CAJ115" s="88"/>
      <c r="CAK115" s="88"/>
      <c r="CAL115" s="88"/>
      <c r="CAM115" s="88"/>
      <c r="CAN115" s="88"/>
      <c r="CAO115" s="88"/>
      <c r="CAP115" s="88"/>
      <c r="CAQ115" s="88"/>
      <c r="CAR115" s="88"/>
      <c r="CAS115" s="88"/>
      <c r="CAT115" s="88"/>
      <c r="CAU115" s="88"/>
      <c r="CAV115" s="88"/>
      <c r="CAW115" s="88"/>
      <c r="CAX115" s="88"/>
      <c r="CAY115" s="88"/>
      <c r="CAZ115" s="88"/>
      <c r="CBA115" s="88"/>
      <c r="CBB115" s="88"/>
      <c r="CBC115" s="88"/>
      <c r="CBD115" s="88"/>
      <c r="CBE115" s="88"/>
      <c r="CBF115" s="88"/>
      <c r="CBG115" s="88"/>
      <c r="CBH115" s="88"/>
      <c r="CBI115" s="88"/>
      <c r="CBJ115" s="88"/>
      <c r="CBK115" s="88"/>
      <c r="CBL115" s="88"/>
      <c r="CBM115" s="88"/>
      <c r="CBN115" s="88"/>
      <c r="CBO115" s="88"/>
      <c r="CBP115" s="88"/>
      <c r="CBQ115" s="88"/>
      <c r="CBR115" s="88"/>
      <c r="CBS115" s="88"/>
      <c r="CBT115" s="88"/>
      <c r="CBU115" s="88"/>
      <c r="CBV115" s="88"/>
      <c r="CBW115" s="88"/>
      <c r="CBX115" s="88"/>
      <c r="CBY115" s="88"/>
      <c r="CBZ115" s="88"/>
      <c r="CCA115" s="88"/>
      <c r="CCB115" s="88"/>
      <c r="CCC115" s="88"/>
      <c r="CCD115" s="88"/>
      <c r="CCE115" s="88"/>
      <c r="CCF115" s="88"/>
      <c r="CCG115" s="88"/>
      <c r="CCH115" s="88"/>
      <c r="CCI115" s="88"/>
      <c r="CCJ115" s="88"/>
      <c r="CCK115" s="88"/>
      <c r="CCL115" s="88"/>
      <c r="CCM115" s="88"/>
      <c r="CCN115" s="88"/>
      <c r="CCO115" s="88"/>
      <c r="CCP115" s="88"/>
      <c r="CCQ115" s="88"/>
      <c r="CCR115" s="88"/>
      <c r="CCS115" s="88"/>
      <c r="CCT115" s="88"/>
      <c r="CCU115" s="88"/>
      <c r="CCV115" s="88"/>
      <c r="CCW115" s="88"/>
      <c r="CCX115" s="88"/>
      <c r="CCY115" s="88"/>
      <c r="CCZ115" s="88"/>
      <c r="CDA115" s="88"/>
      <c r="CDB115" s="88"/>
      <c r="CDC115" s="88"/>
      <c r="CDD115" s="88"/>
      <c r="CDE115" s="88"/>
      <c r="CDF115" s="88"/>
      <c r="CDG115" s="88"/>
      <c r="CDH115" s="88"/>
      <c r="CDI115" s="88"/>
      <c r="CDJ115" s="88"/>
      <c r="CDK115" s="88"/>
      <c r="CDL115" s="88"/>
      <c r="CDM115" s="88"/>
      <c r="CDN115" s="88"/>
      <c r="CDO115" s="88"/>
      <c r="CDP115" s="88"/>
      <c r="CDQ115" s="88"/>
      <c r="CDR115" s="88"/>
      <c r="CDS115" s="88"/>
      <c r="CDT115" s="88"/>
      <c r="CDU115" s="88"/>
      <c r="CDV115" s="88"/>
      <c r="CDW115" s="88"/>
      <c r="CDX115" s="88"/>
      <c r="CDY115" s="88"/>
      <c r="CDZ115" s="88"/>
      <c r="CEA115" s="88"/>
      <c r="CEB115" s="88"/>
      <c r="CEC115" s="88"/>
      <c r="CED115" s="88"/>
      <c r="CEE115" s="88"/>
      <c r="CEF115" s="88"/>
      <c r="CEG115" s="88"/>
      <c r="CEH115" s="88"/>
      <c r="CEI115" s="88"/>
      <c r="CEJ115" s="88"/>
      <c r="CEK115" s="88"/>
    </row>
    <row r="116" spans="1:2169" s="63" customFormat="1">
      <c r="A116" s="73" t="s">
        <v>804</v>
      </c>
      <c r="B116" s="73" t="s">
        <v>711</v>
      </c>
      <c r="C116" s="68" t="str">
        <f>IF('page 2'!$O$4="","",IF('page 2'!$O$4=Gestion!A116,1,0))</f>
        <v/>
      </c>
      <c r="D116" s="68" t="str">
        <f>IF('page 2'!$O$5="","",IF('page 2'!$O$5=Gestion!A116,1,0))</f>
        <v/>
      </c>
      <c r="E116" s="68" t="str">
        <f>IF('page 2'!$O$6="","",IF('page 2'!$O$6=Gestion!A116,1,0))</f>
        <v/>
      </c>
      <c r="F116" s="68" t="str">
        <f>IF('page 2'!$O$7="","",IF('page 2'!$O$7=Gestion!A116,1,0))</f>
        <v/>
      </c>
      <c r="G116" s="68" t="str">
        <f>IF('page 2'!$O$8="","",IF('page 2'!$O$8=Gestion!A116,1,0))</f>
        <v/>
      </c>
      <c r="H116" s="68" t="str">
        <f>IF('page 2'!$O$9="","",IF('page 2'!$O$9=Gestion!A116,1,0))</f>
        <v/>
      </c>
      <c r="I116" s="68" t="str">
        <f>IF('page 2'!$O$10="","",IF('page 2'!$O$10=Gestion!A116,1,0))</f>
        <v/>
      </c>
      <c r="J116" s="68" t="str">
        <f>IF('page 2'!$O$11="","",IF('page 2'!$O$11=Gestion!A116,1,0))</f>
        <v/>
      </c>
      <c r="K116" s="68" t="str">
        <f>IF('page 2'!$O$12="","",IF('page 2'!$O$12=Gestion!A116,1,0))</f>
        <v/>
      </c>
      <c r="L116" s="68" t="str">
        <f>IF('page 2'!$O$13="","",IF('page 2'!$O$13=Gestion!A116,1,0))</f>
        <v/>
      </c>
      <c r="M116" s="68" t="str">
        <f>IF('page 2'!$O$14="","",IF('page 2'!$O$14=Gestion!A116,1,0))</f>
        <v/>
      </c>
      <c r="N116" s="68" t="str">
        <f>IF('page 2'!$O$15="","",IF('page 2'!$O$15=Gestion!A116,1,0))</f>
        <v/>
      </c>
      <c r="O116" s="68" t="str">
        <f>IF('page 2'!$O$16="","",IF('page 2'!$O$16=Gestion!A116,1,0))</f>
        <v/>
      </c>
      <c r="P116" s="68" t="str">
        <f>IF('page 2'!$O$17="","",IF('page 2'!$O$17=Gestion!A116,1,0))</f>
        <v/>
      </c>
      <c r="Q116" s="68" t="str">
        <f>IF('page 2'!$O$18="","",IF('page 2'!$O$18=Gestion!A116,1,0))</f>
        <v/>
      </c>
      <c r="R116" s="68" t="str">
        <f>IF('page 2'!$O$19="","",IF('page 2'!$O$19=Gestion!A116,1,0))</f>
        <v/>
      </c>
      <c r="S116" s="68" t="str">
        <f>IF('page 2'!$O$20="","",IF('page 2'!$O$20=Gestion!A116,1,0))</f>
        <v/>
      </c>
      <c r="T116" s="68" t="str">
        <f>IF('page 2'!$O$25="","",IF('page 2'!$O$25=Gestion!A116,1,0))</f>
        <v/>
      </c>
      <c r="U116" s="68" t="str">
        <f>IF('page 2'!$O$26="","",IF('page 2'!$O$26=Gestion!A116,1,0))</f>
        <v/>
      </c>
      <c r="V116" s="68" t="str">
        <f>IF('page 2'!$O$27="","",IF('page 2'!$O$27=Gestion!A116,1,0))</f>
        <v/>
      </c>
      <c r="W116" s="722">
        <f t="shared" si="14"/>
        <v>0</v>
      </c>
      <c r="X116" s="714"/>
      <c r="Y116" s="68"/>
      <c r="Z116" s="68"/>
      <c r="AA116" s="68"/>
      <c r="AB116" s="68"/>
      <c r="AC116" s="68"/>
      <c r="AD116" s="68"/>
      <c r="AP116" s="130"/>
      <c r="AQ116" s="130"/>
      <c r="AR116" s="130"/>
      <c r="AS116" s="576"/>
      <c r="AT116" s="576"/>
      <c r="AU116" s="576"/>
      <c r="AV116" s="576"/>
      <c r="AW116" s="602"/>
      <c r="AX116" s="602"/>
      <c r="AY116" s="576"/>
      <c r="AZ116" s="576"/>
      <c r="BA116" s="576"/>
      <c r="BB116" s="576"/>
      <c r="BC116" s="576"/>
      <c r="BD116" s="602"/>
      <c r="BE116" s="602"/>
      <c r="BF116" s="602"/>
      <c r="BG116" s="602"/>
      <c r="BH116" s="602"/>
      <c r="BI116" s="602"/>
      <c r="BJ116" s="602"/>
      <c r="BK116" s="602"/>
      <c r="BL116" s="602"/>
      <c r="BM116" s="602"/>
      <c r="BN116" s="602"/>
      <c r="BO116" s="602"/>
      <c r="BP116" s="602"/>
      <c r="BQ116" s="602"/>
      <c r="BR116" s="602"/>
      <c r="BS116" s="576"/>
      <c r="BT116" s="576"/>
      <c r="BU116" s="576"/>
      <c r="BV116" s="576"/>
      <c r="BW116" s="602"/>
      <c r="BX116" s="602"/>
      <c r="BY116" s="602"/>
      <c r="BZ116" s="576"/>
      <c r="CA116" s="602"/>
      <c r="CB116" s="602"/>
      <c r="CC116" s="576"/>
      <c r="CD116" s="576"/>
      <c r="CE116" s="602"/>
      <c r="CF116" s="576"/>
      <c r="CG116" s="576"/>
      <c r="CH116" s="576"/>
      <c r="CI116" s="576"/>
      <c r="CJ116" s="576"/>
      <c r="CK116" s="602"/>
      <c r="CL116" s="602"/>
      <c r="CM116" s="576"/>
      <c r="CN116" s="602"/>
      <c r="CO116" s="602"/>
      <c r="CP116" s="602"/>
      <c r="CQ116" s="576"/>
      <c r="CR116" s="576"/>
      <c r="CS116" s="602"/>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c r="HF116" s="88"/>
      <c r="HG116" s="88"/>
      <c r="HH116" s="88"/>
      <c r="HI116" s="88"/>
      <c r="HJ116" s="88"/>
      <c r="HK116" s="88"/>
      <c r="HL116" s="88"/>
      <c r="HM116" s="88"/>
      <c r="HN116" s="88"/>
      <c r="HO116" s="88"/>
      <c r="HP116" s="88"/>
      <c r="HQ116" s="88"/>
      <c r="HR116" s="88"/>
      <c r="HS116" s="88"/>
      <c r="HT116" s="88"/>
      <c r="HU116" s="88"/>
      <c r="HV116" s="88"/>
      <c r="HW116" s="88"/>
      <c r="HX116" s="88"/>
      <c r="HY116" s="88"/>
      <c r="HZ116" s="88"/>
      <c r="IA116" s="88"/>
      <c r="IB116" s="88"/>
      <c r="IC116" s="88"/>
      <c r="ID116" s="88"/>
      <c r="IE116" s="88"/>
      <c r="IF116" s="88"/>
      <c r="IG116" s="88"/>
      <c r="IH116" s="88"/>
      <c r="II116" s="88"/>
      <c r="IJ116" s="88"/>
      <c r="IK116" s="88"/>
      <c r="IL116" s="88"/>
      <c r="IM116" s="88"/>
      <c r="IN116" s="88"/>
      <c r="IO116" s="88"/>
      <c r="IP116" s="88"/>
      <c r="IQ116" s="88"/>
      <c r="IR116" s="88"/>
      <c r="IS116" s="88"/>
      <c r="IT116" s="88"/>
      <c r="IU116" s="88"/>
      <c r="IV116" s="88"/>
      <c r="IW116" s="88"/>
      <c r="IX116" s="88"/>
      <c r="IY116" s="88"/>
      <c r="IZ116" s="88"/>
      <c r="JA116" s="88"/>
      <c r="JB116" s="88"/>
      <c r="JC116" s="88"/>
      <c r="JD116" s="88"/>
      <c r="JE116" s="88"/>
      <c r="JF116" s="88"/>
      <c r="JG116" s="88"/>
      <c r="JH116" s="88"/>
      <c r="JI116" s="88"/>
      <c r="JJ116" s="88"/>
      <c r="JK116" s="88"/>
      <c r="JL116" s="88"/>
      <c r="JM116" s="88"/>
      <c r="JN116" s="88"/>
      <c r="JO116" s="88"/>
      <c r="JP116" s="88"/>
      <c r="JQ116" s="88"/>
      <c r="JR116" s="88"/>
      <c r="JS116" s="88"/>
      <c r="JT116" s="88"/>
      <c r="JU116" s="88"/>
      <c r="JV116" s="88"/>
      <c r="JW116" s="88"/>
      <c r="JX116" s="88"/>
      <c r="JY116" s="88"/>
      <c r="JZ116" s="88"/>
      <c r="KA116" s="88"/>
      <c r="KB116" s="88"/>
      <c r="KC116" s="88"/>
      <c r="KD116" s="88"/>
      <c r="KE116" s="88"/>
      <c r="KF116" s="88"/>
      <c r="KG116" s="88"/>
      <c r="KH116" s="88"/>
      <c r="KI116" s="88"/>
      <c r="KJ116" s="88"/>
      <c r="KK116" s="88"/>
      <c r="KL116" s="88"/>
      <c r="KM116" s="88"/>
      <c r="KN116" s="88"/>
      <c r="KO116" s="88"/>
      <c r="KP116" s="88"/>
      <c r="KQ116" s="88"/>
      <c r="KR116" s="88"/>
      <c r="KS116" s="88"/>
      <c r="KT116" s="88"/>
      <c r="KU116" s="88"/>
      <c r="KV116" s="88"/>
      <c r="KW116" s="88"/>
      <c r="KX116" s="88"/>
      <c r="KY116" s="88"/>
      <c r="KZ116" s="88"/>
      <c r="LA116" s="88"/>
      <c r="LB116" s="88"/>
      <c r="LC116" s="88"/>
      <c r="LD116" s="88"/>
      <c r="LE116" s="88"/>
      <c r="LF116" s="88"/>
      <c r="LG116" s="88"/>
      <c r="LH116" s="88"/>
      <c r="LI116" s="88"/>
      <c r="LJ116" s="88"/>
      <c r="LK116" s="88"/>
      <c r="LL116" s="88"/>
      <c r="LM116" s="88"/>
      <c r="LN116" s="88"/>
      <c r="LO116" s="88"/>
      <c r="LP116" s="88"/>
      <c r="LQ116" s="88"/>
      <c r="LR116" s="88"/>
      <c r="LS116" s="88"/>
      <c r="LT116" s="88"/>
      <c r="LU116" s="88"/>
      <c r="LV116" s="88"/>
      <c r="LW116" s="88"/>
      <c r="LX116" s="88"/>
      <c r="LY116" s="88"/>
      <c r="LZ116" s="88"/>
      <c r="MA116" s="88"/>
      <c r="MB116" s="88"/>
      <c r="MC116" s="88"/>
      <c r="MD116" s="88"/>
      <c r="ME116" s="88"/>
      <c r="MF116" s="88"/>
      <c r="MG116" s="88"/>
      <c r="MH116" s="88"/>
      <c r="MI116" s="88"/>
      <c r="MJ116" s="88"/>
      <c r="MK116" s="88"/>
      <c r="ML116" s="88"/>
      <c r="MM116" s="88"/>
      <c r="MN116" s="88"/>
      <c r="MO116" s="88"/>
      <c r="MP116" s="88"/>
      <c r="MQ116" s="88"/>
      <c r="MR116" s="88"/>
      <c r="MS116" s="88"/>
      <c r="MT116" s="88"/>
      <c r="MU116" s="88"/>
      <c r="MV116" s="88"/>
      <c r="MW116" s="88"/>
      <c r="MX116" s="88"/>
      <c r="MY116" s="88"/>
      <c r="MZ116" s="88"/>
      <c r="NA116" s="88"/>
      <c r="NB116" s="88"/>
      <c r="NC116" s="88"/>
      <c r="ND116" s="88"/>
      <c r="NE116" s="88"/>
      <c r="NF116" s="88"/>
      <c r="NG116" s="88"/>
      <c r="NH116" s="88"/>
      <c r="NI116" s="88"/>
      <c r="NJ116" s="88"/>
      <c r="NK116" s="88"/>
      <c r="NL116" s="88"/>
      <c r="NM116" s="88"/>
      <c r="NN116" s="88"/>
      <c r="NO116" s="88"/>
      <c r="NP116" s="88"/>
      <c r="NQ116" s="88"/>
      <c r="NR116" s="88"/>
      <c r="NS116" s="88"/>
      <c r="NT116" s="88"/>
      <c r="NU116" s="88"/>
      <c r="NV116" s="88"/>
      <c r="NW116" s="88"/>
      <c r="NX116" s="88"/>
      <c r="NY116" s="88"/>
      <c r="NZ116" s="88"/>
      <c r="OA116" s="88"/>
      <c r="OB116" s="88"/>
      <c r="OC116" s="88"/>
      <c r="OD116" s="88"/>
      <c r="OE116" s="88"/>
      <c r="OF116" s="88"/>
      <c r="OG116" s="88"/>
      <c r="OH116" s="88"/>
      <c r="OI116" s="88"/>
      <c r="OJ116" s="88"/>
      <c r="OK116" s="88"/>
      <c r="OL116" s="88"/>
      <c r="OM116" s="88"/>
      <c r="ON116" s="88"/>
      <c r="OO116" s="88"/>
      <c r="OP116" s="88"/>
      <c r="OQ116" s="88"/>
      <c r="OR116" s="88"/>
      <c r="OS116" s="88"/>
      <c r="OT116" s="88"/>
      <c r="OU116" s="88"/>
      <c r="OV116" s="88"/>
      <c r="OW116" s="88"/>
      <c r="OX116" s="88"/>
      <c r="OY116" s="88"/>
      <c r="OZ116" s="88"/>
      <c r="PA116" s="88"/>
      <c r="PB116" s="88"/>
      <c r="PC116" s="88"/>
      <c r="PD116" s="88"/>
      <c r="PE116" s="88"/>
      <c r="PF116" s="88"/>
      <c r="PG116" s="88"/>
      <c r="PH116" s="88"/>
      <c r="PI116" s="88"/>
      <c r="PJ116" s="88"/>
      <c r="PK116" s="88"/>
      <c r="PL116" s="88"/>
      <c r="PM116" s="88"/>
      <c r="PN116" s="88"/>
      <c r="PO116" s="88"/>
      <c r="PP116" s="88"/>
      <c r="PQ116" s="88"/>
      <c r="PR116" s="88"/>
      <c r="PS116" s="88"/>
      <c r="PT116" s="88"/>
      <c r="PU116" s="88"/>
      <c r="PV116" s="88"/>
      <c r="PW116" s="88"/>
      <c r="PX116" s="88"/>
      <c r="PY116" s="88"/>
      <c r="PZ116" s="88"/>
      <c r="QA116" s="88"/>
      <c r="QB116" s="88"/>
      <c r="QC116" s="88"/>
      <c r="QD116" s="88"/>
      <c r="QE116" s="88"/>
      <c r="QF116" s="88"/>
      <c r="QG116" s="88"/>
      <c r="QH116" s="88"/>
      <c r="QI116" s="88"/>
      <c r="QJ116" s="88"/>
      <c r="QK116" s="88"/>
      <c r="QL116" s="88"/>
      <c r="QM116" s="88"/>
      <c r="QN116" s="88"/>
      <c r="QO116" s="88"/>
      <c r="QP116" s="88"/>
      <c r="QQ116" s="88"/>
      <c r="QR116" s="88"/>
      <c r="QS116" s="88"/>
      <c r="QT116" s="88"/>
      <c r="QU116" s="88"/>
      <c r="QV116" s="88"/>
      <c r="QW116" s="88"/>
      <c r="QX116" s="88"/>
      <c r="QY116" s="88"/>
      <c r="QZ116" s="88"/>
      <c r="RA116" s="88"/>
      <c r="RB116" s="88"/>
      <c r="RC116" s="88"/>
      <c r="RD116" s="88"/>
      <c r="RE116" s="88"/>
      <c r="RF116" s="88"/>
      <c r="RG116" s="88"/>
      <c r="RH116" s="88"/>
      <c r="RI116" s="88"/>
      <c r="RJ116" s="88"/>
      <c r="RK116" s="88"/>
      <c r="RL116" s="88"/>
      <c r="RM116" s="88"/>
      <c r="RN116" s="88"/>
      <c r="RO116" s="88"/>
      <c r="RP116" s="88"/>
      <c r="RQ116" s="88"/>
      <c r="RR116" s="88"/>
      <c r="RS116" s="88"/>
      <c r="RT116" s="88"/>
      <c r="RU116" s="88"/>
      <c r="RV116" s="88"/>
      <c r="RW116" s="88"/>
      <c r="RX116" s="88"/>
      <c r="RY116" s="88"/>
      <c r="RZ116" s="88"/>
      <c r="SA116" s="88"/>
      <c r="SB116" s="88"/>
      <c r="SC116" s="88"/>
      <c r="SD116" s="88"/>
      <c r="SE116" s="88"/>
      <c r="SF116" s="88"/>
      <c r="SG116" s="88"/>
      <c r="SH116" s="88"/>
      <c r="SI116" s="88"/>
      <c r="SJ116" s="88"/>
      <c r="SK116" s="88"/>
      <c r="SL116" s="88"/>
      <c r="SM116" s="88"/>
      <c r="SN116" s="88"/>
      <c r="SO116" s="88"/>
      <c r="SP116" s="88"/>
      <c r="SQ116" s="88"/>
      <c r="SR116" s="88"/>
      <c r="SS116" s="88"/>
      <c r="ST116" s="88"/>
      <c r="SU116" s="88"/>
      <c r="SV116" s="88"/>
      <c r="SW116" s="88"/>
      <c r="SX116" s="88"/>
      <c r="SY116" s="88"/>
      <c r="SZ116" s="88"/>
      <c r="TA116" s="88"/>
      <c r="TB116" s="88"/>
      <c r="TC116" s="88"/>
      <c r="TD116" s="88"/>
      <c r="TE116" s="88"/>
      <c r="TF116" s="88"/>
      <c r="TG116" s="88"/>
      <c r="TH116" s="88"/>
      <c r="TI116" s="88"/>
      <c r="TJ116" s="88"/>
      <c r="TK116" s="88"/>
      <c r="TL116" s="88"/>
      <c r="TM116" s="88"/>
      <c r="TN116" s="88"/>
      <c r="TO116" s="88"/>
      <c r="TP116" s="88"/>
      <c r="TQ116" s="88"/>
      <c r="TR116" s="88"/>
      <c r="TS116" s="88"/>
      <c r="TT116" s="88"/>
      <c r="TU116" s="88"/>
      <c r="TV116" s="88"/>
      <c r="TW116" s="88"/>
      <c r="TX116" s="88"/>
      <c r="TY116" s="88"/>
      <c r="TZ116" s="88"/>
      <c r="UA116" s="88"/>
      <c r="UB116" s="88"/>
      <c r="UC116" s="88"/>
      <c r="UD116" s="88"/>
      <c r="UE116" s="88"/>
      <c r="UF116" s="88"/>
      <c r="UG116" s="88"/>
      <c r="UH116" s="88"/>
      <c r="UI116" s="88"/>
      <c r="UJ116" s="88"/>
      <c r="UK116" s="88"/>
      <c r="UL116" s="88"/>
      <c r="UM116" s="88"/>
      <c r="UN116" s="88"/>
      <c r="UO116" s="88"/>
      <c r="UP116" s="88"/>
      <c r="UQ116" s="88"/>
      <c r="UR116" s="88"/>
      <c r="US116" s="88"/>
      <c r="UT116" s="88"/>
      <c r="UU116" s="88"/>
      <c r="UV116" s="88"/>
      <c r="UW116" s="88"/>
      <c r="UX116" s="88"/>
      <c r="UY116" s="88"/>
      <c r="UZ116" s="88"/>
      <c r="VA116" s="88"/>
      <c r="VB116" s="88"/>
      <c r="VC116" s="88"/>
      <c r="VD116" s="88"/>
      <c r="VE116" s="88"/>
      <c r="VF116" s="88"/>
      <c r="VG116" s="88"/>
      <c r="VH116" s="88"/>
      <c r="VI116" s="88"/>
      <c r="VJ116" s="88"/>
      <c r="VK116" s="88"/>
      <c r="VL116" s="88"/>
      <c r="VM116" s="88"/>
      <c r="VN116" s="88"/>
      <c r="VO116" s="88"/>
      <c r="VP116" s="88"/>
      <c r="VQ116" s="88"/>
      <c r="VR116" s="88"/>
      <c r="VS116" s="88"/>
      <c r="VT116" s="88"/>
      <c r="VU116" s="88"/>
      <c r="VV116" s="88"/>
      <c r="VW116" s="88"/>
      <c r="VX116" s="88"/>
      <c r="VY116" s="88"/>
      <c r="VZ116" s="88"/>
      <c r="WA116" s="88"/>
      <c r="WB116" s="88"/>
      <c r="WC116" s="88"/>
      <c r="WD116" s="88"/>
      <c r="WE116" s="88"/>
      <c r="WF116" s="88"/>
      <c r="WG116" s="88"/>
      <c r="WH116" s="88"/>
      <c r="WI116" s="88"/>
      <c r="WJ116" s="88"/>
      <c r="WK116" s="88"/>
      <c r="WL116" s="88"/>
      <c r="WM116" s="88"/>
      <c r="WN116" s="88"/>
      <c r="WO116" s="88"/>
      <c r="WP116" s="88"/>
      <c r="WQ116" s="88"/>
      <c r="WR116" s="88"/>
      <c r="WS116" s="88"/>
      <c r="WT116" s="88"/>
      <c r="WU116" s="88"/>
      <c r="WV116" s="88"/>
      <c r="WW116" s="88"/>
      <c r="WX116" s="88"/>
      <c r="WY116" s="88"/>
      <c r="WZ116" s="88"/>
      <c r="XA116" s="88"/>
      <c r="XB116" s="88"/>
      <c r="XC116" s="88"/>
      <c r="XD116" s="88"/>
      <c r="XE116" s="88"/>
      <c r="XF116" s="88"/>
      <c r="XG116" s="88"/>
      <c r="XH116" s="88"/>
      <c r="XI116" s="88"/>
      <c r="XJ116" s="88"/>
      <c r="XK116" s="88"/>
      <c r="XL116" s="88"/>
      <c r="XM116" s="88"/>
      <c r="XN116" s="88"/>
      <c r="XO116" s="88"/>
      <c r="XP116" s="88"/>
      <c r="XQ116" s="88"/>
      <c r="XR116" s="88"/>
      <c r="XS116" s="88"/>
      <c r="XT116" s="88"/>
      <c r="XU116" s="88"/>
      <c r="XV116" s="88"/>
      <c r="XW116" s="88"/>
      <c r="XX116" s="88"/>
      <c r="XY116" s="88"/>
      <c r="XZ116" s="88"/>
      <c r="YA116" s="88"/>
      <c r="YB116" s="88"/>
      <c r="YC116" s="88"/>
      <c r="YD116" s="88"/>
      <c r="YE116" s="88"/>
      <c r="YF116" s="88"/>
      <c r="YG116" s="88"/>
      <c r="YH116" s="88"/>
      <c r="YI116" s="88"/>
      <c r="YJ116" s="88"/>
      <c r="YK116" s="88"/>
      <c r="YL116" s="88"/>
      <c r="YM116" s="88"/>
      <c r="YN116" s="88"/>
      <c r="YO116" s="88"/>
      <c r="YP116" s="88"/>
      <c r="YQ116" s="88"/>
      <c r="YR116" s="88"/>
      <c r="YS116" s="88"/>
      <c r="YT116" s="88"/>
      <c r="YU116" s="88"/>
      <c r="YV116" s="88"/>
      <c r="YW116" s="88"/>
      <c r="YX116" s="88"/>
      <c r="YY116" s="88"/>
      <c r="YZ116" s="88"/>
      <c r="ZA116" s="88"/>
      <c r="ZB116" s="88"/>
      <c r="ZC116" s="88"/>
      <c r="ZD116" s="88"/>
      <c r="ZE116" s="88"/>
      <c r="ZF116" s="88"/>
      <c r="ZG116" s="88"/>
      <c r="ZH116" s="88"/>
      <c r="ZI116" s="88"/>
      <c r="ZJ116" s="88"/>
      <c r="ZK116" s="88"/>
      <c r="ZL116" s="88"/>
      <c r="ZM116" s="88"/>
      <c r="ZN116" s="88"/>
      <c r="ZO116" s="88"/>
      <c r="ZP116" s="88"/>
      <c r="ZQ116" s="88"/>
      <c r="ZR116" s="88"/>
      <c r="ZS116" s="88"/>
      <c r="ZT116" s="88"/>
      <c r="ZU116" s="88"/>
      <c r="ZV116" s="88"/>
      <c r="ZW116" s="88"/>
      <c r="ZX116" s="88"/>
      <c r="ZY116" s="88"/>
      <c r="ZZ116" s="88"/>
      <c r="AAA116" s="88"/>
      <c r="AAB116" s="88"/>
      <c r="AAC116" s="88"/>
      <c r="AAD116" s="88"/>
      <c r="AAE116" s="88"/>
      <c r="AAF116" s="88"/>
      <c r="AAG116" s="88"/>
      <c r="AAH116" s="88"/>
      <c r="AAI116" s="88"/>
      <c r="AAJ116" s="88"/>
      <c r="AAK116" s="88"/>
      <c r="AAL116" s="88"/>
      <c r="AAM116" s="88"/>
      <c r="AAN116" s="88"/>
      <c r="AAO116" s="88"/>
      <c r="AAP116" s="88"/>
      <c r="AAQ116" s="88"/>
      <c r="AAR116" s="88"/>
      <c r="AAS116" s="88"/>
      <c r="AAT116" s="88"/>
      <c r="AAU116" s="88"/>
      <c r="AAV116" s="88"/>
      <c r="AAW116" s="88"/>
      <c r="AAX116" s="88"/>
      <c r="AAY116" s="88"/>
      <c r="AAZ116" s="88"/>
      <c r="ABA116" s="88"/>
      <c r="ABB116" s="88"/>
      <c r="ABC116" s="88"/>
      <c r="ABD116" s="88"/>
      <c r="ABE116" s="88"/>
      <c r="ABF116" s="88"/>
      <c r="ABG116" s="88"/>
      <c r="ABH116" s="88"/>
      <c r="ABI116" s="88"/>
      <c r="ABJ116" s="88"/>
      <c r="ABK116" s="88"/>
      <c r="ABL116" s="88"/>
      <c r="ABM116" s="88"/>
      <c r="ABN116" s="88"/>
      <c r="ABO116" s="88"/>
      <c r="ABP116" s="88"/>
      <c r="ABQ116" s="88"/>
      <c r="ABR116" s="88"/>
      <c r="ABS116" s="88"/>
      <c r="ABT116" s="88"/>
      <c r="ABU116" s="88"/>
      <c r="ABV116" s="88"/>
      <c r="ABW116" s="88"/>
      <c r="ABX116" s="88"/>
      <c r="ABY116" s="88"/>
      <c r="ABZ116" s="88"/>
      <c r="ACA116" s="88"/>
      <c r="ACB116" s="88"/>
      <c r="ACC116" s="88"/>
      <c r="ACD116" s="88"/>
      <c r="ACE116" s="88"/>
      <c r="ACF116" s="88"/>
      <c r="ACG116" s="88"/>
      <c r="ACH116" s="88"/>
      <c r="ACI116" s="88"/>
      <c r="ACJ116" s="88"/>
      <c r="ACK116" s="88"/>
      <c r="ACL116" s="88"/>
      <c r="ACM116" s="88"/>
      <c r="ACN116" s="88"/>
      <c r="ACO116" s="88"/>
      <c r="ACP116" s="88"/>
      <c r="ACQ116" s="88"/>
      <c r="ACR116" s="88"/>
      <c r="ACS116" s="88"/>
      <c r="ACT116" s="88"/>
      <c r="ACU116" s="88"/>
      <c r="ACV116" s="88"/>
      <c r="ACW116" s="88"/>
      <c r="ACX116" s="88"/>
      <c r="ACY116" s="88"/>
      <c r="ACZ116" s="88"/>
      <c r="ADA116" s="88"/>
      <c r="ADB116" s="88"/>
      <c r="ADC116" s="88"/>
      <c r="ADD116" s="88"/>
      <c r="ADE116" s="88"/>
      <c r="ADF116" s="88"/>
      <c r="ADG116" s="88"/>
      <c r="ADH116" s="88"/>
      <c r="ADI116" s="88"/>
      <c r="ADJ116" s="88"/>
      <c r="ADK116" s="88"/>
      <c r="ADL116" s="88"/>
      <c r="ADM116" s="88"/>
      <c r="ADN116" s="88"/>
      <c r="ADO116" s="88"/>
      <c r="ADP116" s="88"/>
      <c r="ADQ116" s="88"/>
      <c r="ADR116" s="88"/>
      <c r="ADS116" s="88"/>
      <c r="ADT116" s="88"/>
      <c r="ADU116" s="88"/>
      <c r="ADV116" s="88"/>
      <c r="ADW116" s="88"/>
      <c r="ADX116" s="88"/>
      <c r="ADY116" s="88"/>
      <c r="ADZ116" s="88"/>
      <c r="AEA116" s="88"/>
      <c r="AEB116" s="88"/>
      <c r="AEC116" s="88"/>
      <c r="AED116" s="88"/>
      <c r="AEE116" s="88"/>
      <c r="AEF116" s="88"/>
      <c r="AEG116" s="88"/>
      <c r="AEH116" s="88"/>
      <c r="AEI116" s="88"/>
      <c r="AEJ116" s="88"/>
      <c r="AEK116" s="88"/>
      <c r="AEL116" s="88"/>
      <c r="AEM116" s="88"/>
      <c r="AEN116" s="88"/>
      <c r="AEO116" s="88"/>
      <c r="AEP116" s="88"/>
      <c r="AEQ116" s="88"/>
      <c r="AER116" s="88"/>
      <c r="AES116" s="88"/>
      <c r="AET116" s="88"/>
      <c r="AEU116" s="88"/>
      <c r="AEV116" s="88"/>
      <c r="AEW116" s="88"/>
      <c r="AEX116" s="88"/>
      <c r="AEY116" s="88"/>
      <c r="AEZ116" s="88"/>
      <c r="AFA116" s="88"/>
      <c r="AFB116" s="88"/>
      <c r="AFC116" s="88"/>
      <c r="AFD116" s="88"/>
      <c r="AFE116" s="88"/>
      <c r="AFF116" s="88"/>
      <c r="AFG116" s="88"/>
      <c r="AFH116" s="88"/>
      <c r="AFI116" s="88"/>
      <c r="AFJ116" s="88"/>
      <c r="AFK116" s="88"/>
      <c r="AFL116" s="88"/>
      <c r="AFM116" s="88"/>
      <c r="AFN116" s="88"/>
      <c r="AFO116" s="88"/>
      <c r="AFP116" s="88"/>
      <c r="AFQ116" s="88"/>
      <c r="AFR116" s="88"/>
      <c r="AFS116" s="88"/>
      <c r="AFT116" s="88"/>
      <c r="AFU116" s="88"/>
      <c r="AFV116" s="88"/>
      <c r="AFW116" s="88"/>
      <c r="AFX116" s="88"/>
      <c r="AFY116" s="88"/>
      <c r="AFZ116" s="88"/>
      <c r="AGA116" s="88"/>
      <c r="AGB116" s="88"/>
      <c r="AGC116" s="88"/>
      <c r="AGD116" s="88"/>
      <c r="AGE116" s="88"/>
      <c r="AGF116" s="88"/>
      <c r="AGG116" s="88"/>
      <c r="AGH116" s="88"/>
      <c r="AGI116" s="88"/>
      <c r="AGJ116" s="88"/>
      <c r="AGK116" s="88"/>
      <c r="AGL116" s="88"/>
      <c r="AGM116" s="88"/>
      <c r="AGN116" s="88"/>
      <c r="AGO116" s="88"/>
      <c r="AGP116" s="88"/>
      <c r="AGQ116" s="88"/>
      <c r="AGR116" s="88"/>
      <c r="AGS116" s="88"/>
      <c r="AGT116" s="88"/>
      <c r="AGU116" s="88"/>
      <c r="AGV116" s="88"/>
      <c r="AGW116" s="88"/>
      <c r="AGX116" s="88"/>
      <c r="AGY116" s="88"/>
      <c r="AGZ116" s="88"/>
      <c r="AHA116" s="88"/>
      <c r="AHB116" s="88"/>
      <c r="AHC116" s="88"/>
      <c r="AHD116" s="88"/>
      <c r="AHE116" s="88"/>
      <c r="AHF116" s="88"/>
      <c r="AHG116" s="88"/>
      <c r="AHH116" s="88"/>
      <c r="AHI116" s="88"/>
      <c r="AHJ116" s="88"/>
      <c r="AHK116" s="88"/>
      <c r="AHL116" s="88"/>
      <c r="AHM116" s="88"/>
      <c r="AHN116" s="88"/>
      <c r="AHO116" s="88"/>
      <c r="AHP116" s="88"/>
      <c r="AHQ116" s="88"/>
      <c r="AHR116" s="88"/>
      <c r="AHS116" s="88"/>
      <c r="AHT116" s="88"/>
      <c r="AHU116" s="88"/>
      <c r="AHV116" s="88"/>
      <c r="AHW116" s="88"/>
      <c r="AHX116" s="88"/>
      <c r="AHY116" s="88"/>
      <c r="AHZ116" s="88"/>
      <c r="AIA116" s="88"/>
      <c r="AIB116" s="88"/>
      <c r="AIC116" s="88"/>
      <c r="AID116" s="88"/>
      <c r="AIE116" s="88"/>
      <c r="AIF116" s="88"/>
      <c r="AIG116" s="88"/>
      <c r="AIH116" s="88"/>
      <c r="AII116" s="88"/>
      <c r="AIJ116" s="88"/>
      <c r="AIK116" s="88"/>
      <c r="AIL116" s="88"/>
      <c r="AIM116" s="88"/>
      <c r="AIN116" s="88"/>
      <c r="AIO116" s="88"/>
      <c r="AIP116" s="88"/>
      <c r="AIQ116" s="88"/>
      <c r="AIR116" s="88"/>
      <c r="AIS116" s="88"/>
      <c r="AIT116" s="88"/>
      <c r="AIU116" s="88"/>
      <c r="AIV116" s="88"/>
      <c r="AIW116" s="88"/>
      <c r="AIX116" s="88"/>
      <c r="AIY116" s="88"/>
      <c r="AIZ116" s="88"/>
      <c r="AJA116" s="88"/>
      <c r="AJB116" s="88"/>
      <c r="AJC116" s="88"/>
      <c r="AJD116" s="88"/>
      <c r="AJE116" s="88"/>
      <c r="AJF116" s="88"/>
      <c r="AJG116" s="88"/>
      <c r="AJH116" s="88"/>
      <c r="AJI116" s="88"/>
      <c r="AJJ116" s="88"/>
      <c r="AJK116" s="88"/>
      <c r="AJL116" s="88"/>
      <c r="AJM116" s="88"/>
      <c r="AJN116" s="88"/>
      <c r="AJO116" s="88"/>
      <c r="AJP116" s="88"/>
      <c r="AJQ116" s="88"/>
      <c r="AJR116" s="88"/>
      <c r="AJS116" s="88"/>
      <c r="AJT116" s="88"/>
      <c r="AJU116" s="88"/>
      <c r="AJV116" s="88"/>
      <c r="AJW116" s="88"/>
      <c r="AJX116" s="88"/>
      <c r="AJY116" s="88"/>
      <c r="AJZ116" s="88"/>
      <c r="AKA116" s="88"/>
      <c r="AKB116" s="88"/>
      <c r="AKC116" s="88"/>
      <c r="AKD116" s="88"/>
      <c r="AKE116" s="88"/>
      <c r="AKF116" s="88"/>
      <c r="AKG116" s="88"/>
      <c r="AKH116" s="88"/>
      <c r="AKI116" s="88"/>
      <c r="AKJ116" s="88"/>
      <c r="AKK116" s="88"/>
      <c r="AKL116" s="88"/>
      <c r="AKM116" s="88"/>
      <c r="AKN116" s="88"/>
      <c r="AKO116" s="88"/>
      <c r="AKP116" s="88"/>
      <c r="AKQ116" s="88"/>
      <c r="AKR116" s="88"/>
      <c r="AKS116" s="88"/>
      <c r="AKT116" s="88"/>
      <c r="AKU116" s="88"/>
      <c r="AKV116" s="88"/>
      <c r="AKW116" s="88"/>
      <c r="AKX116" s="88"/>
      <c r="AKY116" s="88"/>
      <c r="AKZ116" s="88"/>
      <c r="ALA116" s="88"/>
      <c r="ALB116" s="88"/>
      <c r="ALC116" s="88"/>
      <c r="ALD116" s="88"/>
      <c r="ALE116" s="88"/>
      <c r="ALF116" s="88"/>
      <c r="ALG116" s="88"/>
      <c r="ALH116" s="88"/>
      <c r="ALI116" s="88"/>
      <c r="ALJ116" s="88"/>
      <c r="ALK116" s="88"/>
      <c r="ALL116" s="88"/>
      <c r="ALM116" s="88"/>
      <c r="ALN116" s="88"/>
      <c r="ALO116" s="88"/>
      <c r="ALP116" s="88"/>
      <c r="ALQ116" s="88"/>
      <c r="ALR116" s="88"/>
      <c r="ALS116" s="88"/>
      <c r="ALT116" s="88"/>
      <c r="ALU116" s="88"/>
      <c r="ALV116" s="88"/>
      <c r="ALW116" s="88"/>
      <c r="ALX116" s="88"/>
      <c r="ALY116" s="88"/>
      <c r="ALZ116" s="88"/>
      <c r="AMA116" s="88"/>
      <c r="AMB116" s="88"/>
      <c r="AMC116" s="88"/>
      <c r="AMD116" s="88"/>
      <c r="AME116" s="88"/>
      <c r="AMF116" s="88"/>
      <c r="AMG116" s="88"/>
      <c r="AMH116" s="88"/>
      <c r="AMI116" s="88"/>
      <c r="AMJ116" s="88"/>
      <c r="AMK116" s="88"/>
      <c r="AML116" s="88"/>
      <c r="AMM116" s="88"/>
      <c r="AMN116" s="88"/>
      <c r="AMO116" s="88"/>
      <c r="AMP116" s="88"/>
      <c r="AMQ116" s="88"/>
      <c r="AMR116" s="88"/>
      <c r="AMS116" s="88"/>
      <c r="AMT116" s="88"/>
      <c r="AMU116" s="88"/>
      <c r="AMV116" s="88"/>
      <c r="AMW116" s="88"/>
      <c r="AMX116" s="88"/>
      <c r="AMY116" s="88"/>
      <c r="AMZ116" s="88"/>
      <c r="ANA116" s="88"/>
      <c r="ANB116" s="88"/>
      <c r="ANC116" s="88"/>
      <c r="AND116" s="88"/>
      <c r="ANE116" s="88"/>
      <c r="ANF116" s="88"/>
      <c r="ANG116" s="88"/>
      <c r="ANH116" s="88"/>
      <c r="ANI116" s="88"/>
      <c r="ANJ116" s="88"/>
      <c r="ANK116" s="88"/>
      <c r="ANL116" s="88"/>
      <c r="ANM116" s="88"/>
      <c r="ANN116" s="88"/>
      <c r="ANO116" s="88"/>
      <c r="ANP116" s="88"/>
      <c r="ANQ116" s="88"/>
      <c r="ANR116" s="88"/>
      <c r="ANS116" s="88"/>
      <c r="ANT116" s="88"/>
      <c r="ANU116" s="88"/>
      <c r="ANV116" s="88"/>
      <c r="ANW116" s="88"/>
      <c r="ANX116" s="88"/>
      <c r="ANY116" s="88"/>
      <c r="ANZ116" s="88"/>
      <c r="AOA116" s="88"/>
      <c r="AOB116" s="88"/>
      <c r="AOC116" s="88"/>
      <c r="AOD116" s="88"/>
      <c r="AOE116" s="88"/>
      <c r="AOF116" s="88"/>
      <c r="AOG116" s="88"/>
      <c r="AOH116" s="88"/>
      <c r="AOI116" s="88"/>
      <c r="AOJ116" s="88"/>
      <c r="AOK116" s="88"/>
      <c r="AOL116" s="88"/>
      <c r="AOM116" s="88"/>
      <c r="AON116" s="88"/>
      <c r="AOO116" s="88"/>
      <c r="AOP116" s="88"/>
      <c r="AOQ116" s="88"/>
      <c r="AOR116" s="88"/>
      <c r="AOS116" s="88"/>
      <c r="AOT116" s="88"/>
      <c r="AOU116" s="88"/>
      <c r="AOV116" s="88"/>
      <c r="AOW116" s="88"/>
      <c r="AOX116" s="88"/>
      <c r="AOY116" s="88"/>
      <c r="AOZ116" s="88"/>
      <c r="APA116" s="88"/>
      <c r="APB116" s="88"/>
      <c r="APC116" s="88"/>
      <c r="APD116" s="88"/>
      <c r="APE116" s="88"/>
      <c r="APF116" s="88"/>
      <c r="APG116" s="88"/>
      <c r="APH116" s="88"/>
      <c r="API116" s="88"/>
      <c r="APJ116" s="88"/>
      <c r="APK116" s="88"/>
      <c r="APL116" s="88"/>
      <c r="APM116" s="88"/>
      <c r="APN116" s="88"/>
      <c r="APO116" s="88"/>
      <c r="APP116" s="88"/>
      <c r="APQ116" s="88"/>
      <c r="APR116" s="88"/>
      <c r="APS116" s="88"/>
      <c r="APT116" s="88"/>
      <c r="APU116" s="88"/>
      <c r="APV116" s="88"/>
      <c r="APW116" s="88"/>
      <c r="APX116" s="88"/>
      <c r="APY116" s="88"/>
      <c r="APZ116" s="88"/>
      <c r="AQA116" s="88"/>
      <c r="AQB116" s="88"/>
      <c r="AQC116" s="88"/>
      <c r="AQD116" s="88"/>
      <c r="AQE116" s="88"/>
      <c r="AQF116" s="88"/>
      <c r="AQG116" s="88"/>
      <c r="AQH116" s="88"/>
      <c r="AQI116" s="88"/>
      <c r="AQJ116" s="88"/>
      <c r="AQK116" s="88"/>
      <c r="AQL116" s="88"/>
      <c r="AQM116" s="88"/>
      <c r="AQN116" s="88"/>
      <c r="AQO116" s="88"/>
      <c r="AQP116" s="88"/>
      <c r="AQQ116" s="88"/>
      <c r="AQR116" s="88"/>
      <c r="AQS116" s="88"/>
      <c r="AQT116" s="88"/>
      <c r="AQU116" s="88"/>
      <c r="AQV116" s="88"/>
      <c r="AQW116" s="88"/>
      <c r="AQX116" s="88"/>
      <c r="AQY116" s="88"/>
      <c r="AQZ116" s="88"/>
      <c r="ARA116" s="88"/>
      <c r="ARB116" s="88"/>
      <c r="ARC116" s="88"/>
      <c r="ARD116" s="88"/>
      <c r="ARE116" s="88"/>
      <c r="ARF116" s="88"/>
      <c r="ARG116" s="88"/>
      <c r="ARH116" s="88"/>
      <c r="ARI116" s="88"/>
      <c r="ARJ116" s="88"/>
      <c r="ARK116" s="88"/>
      <c r="ARL116" s="88"/>
      <c r="ARM116" s="88"/>
      <c r="ARN116" s="88"/>
      <c r="ARO116" s="88"/>
      <c r="ARP116" s="88"/>
      <c r="ARQ116" s="88"/>
      <c r="ARR116" s="88"/>
      <c r="ARS116" s="88"/>
      <c r="ART116" s="88"/>
      <c r="ARU116" s="88"/>
      <c r="ARV116" s="88"/>
      <c r="ARW116" s="88"/>
      <c r="ARX116" s="88"/>
      <c r="ARY116" s="88"/>
      <c r="ARZ116" s="88"/>
      <c r="ASA116" s="88"/>
      <c r="ASB116" s="88"/>
      <c r="ASC116" s="88"/>
      <c r="ASD116" s="88"/>
      <c r="ASE116" s="88"/>
      <c r="ASF116" s="88"/>
      <c r="ASG116" s="88"/>
      <c r="ASH116" s="88"/>
      <c r="ASI116" s="88"/>
      <c r="ASJ116" s="88"/>
      <c r="ASK116" s="88"/>
      <c r="ASL116" s="88"/>
      <c r="ASM116" s="88"/>
      <c r="ASN116" s="88"/>
      <c r="ASO116" s="88"/>
      <c r="ASP116" s="88"/>
      <c r="ASQ116" s="88"/>
      <c r="ASR116" s="88"/>
      <c r="ASS116" s="88"/>
      <c r="AST116" s="88"/>
      <c r="ASU116" s="88"/>
      <c r="ASV116" s="88"/>
      <c r="ASW116" s="88"/>
      <c r="ASX116" s="88"/>
      <c r="ASY116" s="88"/>
      <c r="ASZ116" s="88"/>
      <c r="ATA116" s="88"/>
      <c r="ATB116" s="88"/>
      <c r="ATC116" s="88"/>
      <c r="ATD116" s="88"/>
      <c r="ATE116" s="88"/>
      <c r="ATF116" s="88"/>
      <c r="ATG116" s="88"/>
      <c r="ATH116" s="88"/>
      <c r="ATI116" s="88"/>
      <c r="ATJ116" s="88"/>
      <c r="ATK116" s="88"/>
      <c r="ATL116" s="88"/>
      <c r="ATM116" s="88"/>
      <c r="ATN116" s="88"/>
      <c r="ATO116" s="88"/>
      <c r="ATP116" s="88"/>
      <c r="ATQ116" s="88"/>
      <c r="ATR116" s="88"/>
      <c r="ATS116" s="88"/>
      <c r="ATT116" s="88"/>
      <c r="ATU116" s="88"/>
      <c r="ATV116" s="88"/>
      <c r="ATW116" s="88"/>
      <c r="ATX116" s="88"/>
      <c r="ATY116" s="88"/>
      <c r="ATZ116" s="88"/>
      <c r="AUA116" s="88"/>
      <c r="AUB116" s="88"/>
      <c r="AUC116" s="88"/>
      <c r="AUD116" s="88"/>
      <c r="AUE116" s="88"/>
      <c r="AUF116" s="88"/>
      <c r="AUG116" s="88"/>
      <c r="AUH116" s="88"/>
      <c r="AUI116" s="88"/>
      <c r="AUJ116" s="88"/>
      <c r="AUK116" s="88"/>
      <c r="AUL116" s="88"/>
      <c r="AUM116" s="88"/>
      <c r="AUN116" s="88"/>
      <c r="AUO116" s="88"/>
      <c r="AUP116" s="88"/>
      <c r="AUQ116" s="88"/>
      <c r="AUR116" s="88"/>
      <c r="AUS116" s="88"/>
      <c r="AUT116" s="88"/>
      <c r="AUU116" s="88"/>
      <c r="AUV116" s="88"/>
      <c r="AUW116" s="88"/>
      <c r="AUX116" s="88"/>
      <c r="AUY116" s="88"/>
      <c r="AUZ116" s="88"/>
      <c r="AVA116" s="88"/>
      <c r="AVB116" s="88"/>
      <c r="AVC116" s="88"/>
      <c r="AVD116" s="88"/>
      <c r="AVE116" s="88"/>
      <c r="AVF116" s="88"/>
      <c r="AVG116" s="88"/>
      <c r="AVH116" s="88"/>
      <c r="AVI116" s="88"/>
      <c r="AVJ116" s="88"/>
      <c r="AVK116" s="88"/>
      <c r="AVL116" s="88"/>
      <c r="AVM116" s="88"/>
      <c r="AVN116" s="88"/>
      <c r="AVO116" s="88"/>
      <c r="AVP116" s="88"/>
      <c r="AVQ116" s="88"/>
      <c r="AVR116" s="88"/>
      <c r="AVS116" s="88"/>
      <c r="AVT116" s="88"/>
      <c r="AVU116" s="88"/>
      <c r="AVV116" s="88"/>
      <c r="AVW116" s="88"/>
      <c r="AVX116" s="88"/>
      <c r="AVY116" s="88"/>
      <c r="AVZ116" s="88"/>
      <c r="AWA116" s="88"/>
      <c r="AWB116" s="88"/>
      <c r="AWC116" s="88"/>
      <c r="AWD116" s="88"/>
      <c r="AWE116" s="88"/>
      <c r="AWF116" s="88"/>
      <c r="AWG116" s="88"/>
      <c r="AWH116" s="88"/>
      <c r="AWI116" s="88"/>
      <c r="AWJ116" s="88"/>
      <c r="AWK116" s="88"/>
      <c r="AWL116" s="88"/>
      <c r="AWM116" s="88"/>
      <c r="AWN116" s="88"/>
      <c r="AWO116" s="88"/>
      <c r="AWP116" s="88"/>
      <c r="AWQ116" s="88"/>
      <c r="AWR116" s="88"/>
      <c r="AWS116" s="88"/>
      <c r="AWT116" s="88"/>
      <c r="AWU116" s="88"/>
      <c r="AWV116" s="88"/>
      <c r="AWW116" s="88"/>
      <c r="AWX116" s="88"/>
      <c r="AWY116" s="88"/>
      <c r="AWZ116" s="88"/>
      <c r="AXA116" s="88"/>
      <c r="AXB116" s="88"/>
      <c r="AXC116" s="88"/>
      <c r="AXD116" s="88"/>
      <c r="AXE116" s="88"/>
      <c r="AXF116" s="88"/>
      <c r="AXG116" s="88"/>
      <c r="AXH116" s="88"/>
      <c r="AXI116" s="88"/>
      <c r="AXJ116" s="88"/>
      <c r="AXK116" s="88"/>
      <c r="AXL116" s="88"/>
      <c r="AXM116" s="88"/>
      <c r="AXN116" s="88"/>
      <c r="AXO116" s="88"/>
      <c r="AXP116" s="88"/>
      <c r="AXQ116" s="88"/>
      <c r="AXR116" s="88"/>
      <c r="AXS116" s="88"/>
      <c r="AXT116" s="88"/>
      <c r="AXU116" s="88"/>
      <c r="AXV116" s="88"/>
      <c r="AXW116" s="88"/>
      <c r="AXX116" s="88"/>
      <c r="AXY116" s="88"/>
      <c r="AXZ116" s="88"/>
      <c r="AYA116" s="88"/>
      <c r="AYB116" s="88"/>
      <c r="AYC116" s="88"/>
      <c r="AYD116" s="88"/>
      <c r="AYE116" s="88"/>
      <c r="AYF116" s="88"/>
      <c r="AYG116" s="88"/>
      <c r="AYH116" s="88"/>
      <c r="AYI116" s="88"/>
      <c r="AYJ116" s="88"/>
      <c r="AYK116" s="88"/>
      <c r="AYL116" s="88"/>
      <c r="AYM116" s="88"/>
      <c r="AYN116" s="88"/>
      <c r="AYO116" s="88"/>
      <c r="AYP116" s="88"/>
      <c r="AYQ116" s="88"/>
      <c r="AYR116" s="88"/>
      <c r="AYS116" s="88"/>
      <c r="AYT116" s="88"/>
      <c r="AYU116" s="88"/>
      <c r="AYV116" s="88"/>
      <c r="AYW116" s="88"/>
      <c r="AYX116" s="88"/>
      <c r="AYY116" s="88"/>
      <c r="AYZ116" s="88"/>
      <c r="AZA116" s="88"/>
      <c r="AZB116" s="88"/>
      <c r="AZC116" s="88"/>
      <c r="AZD116" s="88"/>
      <c r="AZE116" s="88"/>
      <c r="AZF116" s="88"/>
      <c r="AZG116" s="88"/>
      <c r="AZH116" s="88"/>
      <c r="AZI116" s="88"/>
      <c r="AZJ116" s="88"/>
      <c r="AZK116" s="88"/>
      <c r="AZL116" s="88"/>
      <c r="AZM116" s="88"/>
      <c r="AZN116" s="88"/>
      <c r="AZO116" s="88"/>
      <c r="AZP116" s="88"/>
      <c r="AZQ116" s="88"/>
      <c r="AZR116" s="88"/>
      <c r="AZS116" s="88"/>
      <c r="AZT116" s="88"/>
      <c r="AZU116" s="88"/>
      <c r="AZV116" s="88"/>
      <c r="AZW116" s="88"/>
      <c r="AZX116" s="88"/>
      <c r="AZY116" s="88"/>
      <c r="AZZ116" s="88"/>
      <c r="BAA116" s="88"/>
      <c r="BAB116" s="88"/>
      <c r="BAC116" s="88"/>
      <c r="BAD116" s="88"/>
      <c r="BAE116" s="88"/>
      <c r="BAF116" s="88"/>
      <c r="BAG116" s="88"/>
      <c r="BAH116" s="88"/>
      <c r="BAI116" s="88"/>
      <c r="BAJ116" s="88"/>
      <c r="BAK116" s="88"/>
      <c r="BAL116" s="88"/>
      <c r="BAM116" s="88"/>
      <c r="BAN116" s="88"/>
      <c r="BAO116" s="88"/>
      <c r="BAP116" s="88"/>
      <c r="BAQ116" s="88"/>
      <c r="BAR116" s="88"/>
      <c r="BAS116" s="88"/>
      <c r="BAT116" s="88"/>
      <c r="BAU116" s="88"/>
      <c r="BAV116" s="88"/>
      <c r="BAW116" s="88"/>
      <c r="BAX116" s="88"/>
      <c r="BAY116" s="88"/>
      <c r="BAZ116" s="88"/>
      <c r="BBA116" s="88"/>
      <c r="BBB116" s="88"/>
      <c r="BBC116" s="88"/>
      <c r="BBD116" s="88"/>
      <c r="BBE116" s="88"/>
      <c r="BBF116" s="88"/>
      <c r="BBG116" s="88"/>
      <c r="BBH116" s="88"/>
      <c r="BBI116" s="88"/>
      <c r="BBJ116" s="88"/>
      <c r="BBK116" s="88"/>
      <c r="BBL116" s="88"/>
      <c r="BBM116" s="88"/>
      <c r="BBN116" s="88"/>
      <c r="BBO116" s="88"/>
      <c r="BBP116" s="88"/>
      <c r="BBQ116" s="88"/>
      <c r="BBR116" s="88"/>
      <c r="BBS116" s="88"/>
      <c r="BBT116" s="88"/>
      <c r="BBU116" s="88"/>
      <c r="BBV116" s="88"/>
      <c r="BBW116" s="88"/>
      <c r="BBX116" s="88"/>
      <c r="BBY116" s="88"/>
      <c r="BBZ116" s="88"/>
      <c r="BCA116" s="88"/>
      <c r="BCB116" s="88"/>
      <c r="BCC116" s="88"/>
      <c r="BCD116" s="88"/>
      <c r="BCE116" s="88"/>
      <c r="BCF116" s="88"/>
      <c r="BCG116" s="88"/>
      <c r="BCH116" s="88"/>
      <c r="BCI116" s="88"/>
      <c r="BCJ116" s="88"/>
      <c r="BCK116" s="88"/>
      <c r="BCL116" s="88"/>
      <c r="BCM116" s="88"/>
      <c r="BCN116" s="88"/>
      <c r="BCO116" s="88"/>
      <c r="BCP116" s="88"/>
      <c r="BCQ116" s="88"/>
      <c r="BCR116" s="88"/>
      <c r="BCS116" s="88"/>
      <c r="BCT116" s="88"/>
      <c r="BCU116" s="88"/>
      <c r="BCV116" s="88"/>
      <c r="BCW116" s="88"/>
      <c r="BCX116" s="88"/>
      <c r="BCY116" s="88"/>
      <c r="BCZ116" s="88"/>
      <c r="BDA116" s="88"/>
      <c r="BDB116" s="88"/>
      <c r="BDC116" s="88"/>
      <c r="BDD116" s="88"/>
      <c r="BDE116" s="88"/>
      <c r="BDF116" s="88"/>
      <c r="BDG116" s="88"/>
      <c r="BDH116" s="88"/>
      <c r="BDI116" s="88"/>
      <c r="BDJ116" s="88"/>
      <c r="BDK116" s="88"/>
      <c r="BDL116" s="88"/>
      <c r="BDM116" s="88"/>
      <c r="BDN116" s="88"/>
      <c r="BDO116" s="88"/>
      <c r="BDP116" s="88"/>
      <c r="BDQ116" s="88"/>
      <c r="BDR116" s="88"/>
      <c r="BDS116" s="88"/>
      <c r="BDT116" s="88"/>
      <c r="BDU116" s="88"/>
      <c r="BDV116" s="88"/>
      <c r="BDW116" s="88"/>
      <c r="BDX116" s="88"/>
      <c r="BDY116" s="88"/>
      <c r="BDZ116" s="88"/>
      <c r="BEA116" s="88"/>
      <c r="BEB116" s="88"/>
      <c r="BEC116" s="88"/>
      <c r="BED116" s="88"/>
      <c r="BEE116" s="88"/>
      <c r="BEF116" s="88"/>
      <c r="BEG116" s="88"/>
      <c r="BEH116" s="88"/>
      <c r="BEI116" s="88"/>
      <c r="BEJ116" s="88"/>
      <c r="BEK116" s="88"/>
      <c r="BEL116" s="88"/>
      <c r="BEM116" s="88"/>
      <c r="BEN116" s="88"/>
      <c r="BEO116" s="88"/>
      <c r="BEP116" s="88"/>
      <c r="BEQ116" s="88"/>
      <c r="BER116" s="88"/>
      <c r="BES116" s="88"/>
      <c r="BET116" s="88"/>
      <c r="BEU116" s="88"/>
      <c r="BEV116" s="88"/>
      <c r="BEW116" s="88"/>
      <c r="BEX116" s="88"/>
      <c r="BEY116" s="88"/>
      <c r="BEZ116" s="88"/>
      <c r="BFA116" s="88"/>
      <c r="BFB116" s="88"/>
      <c r="BFC116" s="88"/>
      <c r="BFD116" s="88"/>
      <c r="BFE116" s="88"/>
      <c r="BFF116" s="88"/>
      <c r="BFG116" s="88"/>
      <c r="BFH116" s="88"/>
      <c r="BFI116" s="88"/>
      <c r="BFJ116" s="88"/>
      <c r="BFK116" s="88"/>
      <c r="BFL116" s="88"/>
      <c r="BFM116" s="88"/>
      <c r="BFN116" s="88"/>
      <c r="BFO116" s="88"/>
      <c r="BFP116" s="88"/>
      <c r="BFQ116" s="88"/>
      <c r="BFR116" s="88"/>
      <c r="BFS116" s="88"/>
      <c r="BFT116" s="88"/>
      <c r="BFU116" s="88"/>
      <c r="BFV116" s="88"/>
      <c r="BFW116" s="88"/>
      <c r="BFX116" s="88"/>
      <c r="BFY116" s="88"/>
      <c r="BFZ116" s="88"/>
      <c r="BGA116" s="88"/>
      <c r="BGB116" s="88"/>
      <c r="BGC116" s="88"/>
      <c r="BGD116" s="88"/>
      <c r="BGE116" s="88"/>
      <c r="BGF116" s="88"/>
      <c r="BGG116" s="88"/>
      <c r="BGH116" s="88"/>
      <c r="BGI116" s="88"/>
      <c r="BGJ116" s="88"/>
      <c r="BGK116" s="88"/>
      <c r="BGL116" s="88"/>
      <c r="BGM116" s="88"/>
      <c r="BGN116" s="88"/>
      <c r="BGO116" s="88"/>
      <c r="BGP116" s="88"/>
      <c r="BGQ116" s="88"/>
      <c r="BGR116" s="88"/>
      <c r="BGS116" s="88"/>
      <c r="BGT116" s="88"/>
      <c r="BGU116" s="88"/>
      <c r="BGV116" s="88"/>
      <c r="BGW116" s="88"/>
      <c r="BGX116" s="88"/>
      <c r="BGY116" s="88"/>
      <c r="BGZ116" s="88"/>
      <c r="BHA116" s="88"/>
      <c r="BHB116" s="88"/>
      <c r="BHC116" s="88"/>
      <c r="BHD116" s="88"/>
      <c r="BHE116" s="88"/>
      <c r="BHF116" s="88"/>
      <c r="BHG116" s="88"/>
      <c r="BHH116" s="88"/>
      <c r="BHI116" s="88"/>
      <c r="BHJ116" s="88"/>
      <c r="BHK116" s="88"/>
      <c r="BHL116" s="88"/>
      <c r="BHM116" s="88"/>
      <c r="BHN116" s="88"/>
      <c r="BHO116" s="88"/>
      <c r="BHP116" s="88"/>
      <c r="BHQ116" s="88"/>
      <c r="BHR116" s="88"/>
      <c r="BHS116" s="88"/>
      <c r="BHT116" s="88"/>
      <c r="BHU116" s="88"/>
      <c r="BHV116" s="88"/>
      <c r="BHW116" s="88"/>
      <c r="BHX116" s="88"/>
      <c r="BHY116" s="88"/>
      <c r="BHZ116" s="88"/>
      <c r="BIA116" s="88"/>
      <c r="BIB116" s="88"/>
      <c r="BIC116" s="88"/>
      <c r="BID116" s="88"/>
      <c r="BIE116" s="88"/>
      <c r="BIF116" s="88"/>
      <c r="BIG116" s="88"/>
      <c r="BIH116" s="88"/>
      <c r="BII116" s="88"/>
      <c r="BIJ116" s="88"/>
      <c r="BIK116" s="88"/>
      <c r="BIL116" s="88"/>
      <c r="BIM116" s="88"/>
      <c r="BIN116" s="88"/>
      <c r="BIO116" s="88"/>
      <c r="BIP116" s="88"/>
      <c r="BIQ116" s="88"/>
      <c r="BIR116" s="88"/>
      <c r="BIS116" s="88"/>
      <c r="BIT116" s="88"/>
      <c r="BIU116" s="88"/>
      <c r="BIV116" s="88"/>
      <c r="BIW116" s="88"/>
      <c r="BIX116" s="88"/>
      <c r="BIY116" s="88"/>
      <c r="BIZ116" s="88"/>
      <c r="BJA116" s="88"/>
      <c r="BJB116" s="88"/>
      <c r="BJC116" s="88"/>
      <c r="BJD116" s="88"/>
      <c r="BJE116" s="88"/>
      <c r="BJF116" s="88"/>
      <c r="BJG116" s="88"/>
      <c r="BJH116" s="88"/>
      <c r="BJI116" s="88"/>
      <c r="BJJ116" s="88"/>
      <c r="BJK116" s="88"/>
      <c r="BJL116" s="88"/>
      <c r="BJM116" s="88"/>
      <c r="BJN116" s="88"/>
      <c r="BJO116" s="88"/>
      <c r="BJP116" s="88"/>
      <c r="BJQ116" s="88"/>
      <c r="BJR116" s="88"/>
      <c r="BJS116" s="88"/>
      <c r="BJT116" s="88"/>
      <c r="BJU116" s="88"/>
      <c r="BJV116" s="88"/>
      <c r="BJW116" s="88"/>
      <c r="BJX116" s="88"/>
      <c r="BJY116" s="88"/>
      <c r="BJZ116" s="88"/>
      <c r="BKA116" s="88"/>
      <c r="BKB116" s="88"/>
      <c r="BKC116" s="88"/>
      <c r="BKD116" s="88"/>
      <c r="BKE116" s="88"/>
      <c r="BKF116" s="88"/>
      <c r="BKG116" s="88"/>
      <c r="BKH116" s="88"/>
      <c r="BKI116" s="88"/>
      <c r="BKJ116" s="88"/>
      <c r="BKK116" s="88"/>
      <c r="BKL116" s="88"/>
      <c r="BKM116" s="88"/>
      <c r="BKN116" s="88"/>
      <c r="BKO116" s="88"/>
      <c r="BKP116" s="88"/>
      <c r="BKQ116" s="88"/>
      <c r="BKR116" s="88"/>
      <c r="BKS116" s="88"/>
      <c r="BKT116" s="88"/>
      <c r="BKU116" s="88"/>
      <c r="BKV116" s="88"/>
      <c r="BKW116" s="88"/>
      <c r="BKX116" s="88"/>
      <c r="BKY116" s="88"/>
      <c r="BKZ116" s="88"/>
      <c r="BLA116" s="88"/>
      <c r="BLB116" s="88"/>
      <c r="BLC116" s="88"/>
      <c r="BLD116" s="88"/>
      <c r="BLE116" s="88"/>
      <c r="BLF116" s="88"/>
      <c r="BLG116" s="88"/>
      <c r="BLH116" s="88"/>
      <c r="BLI116" s="88"/>
      <c r="BLJ116" s="88"/>
      <c r="BLK116" s="88"/>
      <c r="BLL116" s="88"/>
      <c r="BLM116" s="88"/>
      <c r="BLN116" s="88"/>
      <c r="BLO116" s="88"/>
      <c r="BLP116" s="88"/>
      <c r="BLQ116" s="88"/>
      <c r="BLR116" s="88"/>
      <c r="BLS116" s="88"/>
      <c r="BLT116" s="88"/>
      <c r="BLU116" s="88"/>
      <c r="BLV116" s="88"/>
      <c r="BLW116" s="88"/>
      <c r="BLX116" s="88"/>
      <c r="BLY116" s="88"/>
      <c r="BLZ116" s="88"/>
      <c r="BMA116" s="88"/>
      <c r="BMB116" s="88"/>
      <c r="BMC116" s="88"/>
      <c r="BMD116" s="88"/>
      <c r="BME116" s="88"/>
      <c r="BMF116" s="88"/>
      <c r="BMG116" s="88"/>
      <c r="BMH116" s="88"/>
      <c r="BMI116" s="88"/>
      <c r="BMJ116" s="88"/>
      <c r="BMK116" s="88"/>
      <c r="BML116" s="88"/>
      <c r="BMM116" s="88"/>
      <c r="BMN116" s="88"/>
      <c r="BMO116" s="88"/>
      <c r="BMP116" s="88"/>
      <c r="BMQ116" s="88"/>
      <c r="BMR116" s="88"/>
      <c r="BMS116" s="88"/>
      <c r="BMT116" s="88"/>
      <c r="BMU116" s="88"/>
      <c r="BMV116" s="88"/>
      <c r="BMW116" s="88"/>
      <c r="BMX116" s="88"/>
      <c r="BMY116" s="88"/>
      <c r="BMZ116" s="88"/>
      <c r="BNA116" s="88"/>
      <c r="BNB116" s="88"/>
      <c r="BNC116" s="88"/>
      <c r="BND116" s="88"/>
      <c r="BNE116" s="88"/>
      <c r="BNF116" s="88"/>
      <c r="BNG116" s="88"/>
      <c r="BNH116" s="88"/>
      <c r="BNI116" s="88"/>
      <c r="BNJ116" s="88"/>
      <c r="BNK116" s="88"/>
      <c r="BNL116" s="88"/>
      <c r="BNM116" s="88"/>
      <c r="BNN116" s="88"/>
      <c r="BNO116" s="88"/>
      <c r="BNP116" s="88"/>
      <c r="BNQ116" s="88"/>
      <c r="BNR116" s="88"/>
      <c r="BNS116" s="88"/>
      <c r="BNT116" s="88"/>
      <c r="BNU116" s="88"/>
      <c r="BNV116" s="88"/>
      <c r="BNW116" s="88"/>
      <c r="BNX116" s="88"/>
      <c r="BNY116" s="88"/>
      <c r="BNZ116" s="88"/>
      <c r="BOA116" s="88"/>
      <c r="BOB116" s="88"/>
      <c r="BOC116" s="88"/>
      <c r="BOD116" s="88"/>
      <c r="BOE116" s="88"/>
      <c r="BOF116" s="88"/>
      <c r="BOG116" s="88"/>
      <c r="BOH116" s="88"/>
      <c r="BOI116" s="88"/>
      <c r="BOJ116" s="88"/>
      <c r="BOK116" s="88"/>
      <c r="BOL116" s="88"/>
      <c r="BOM116" s="88"/>
      <c r="BON116" s="88"/>
      <c r="BOO116" s="88"/>
      <c r="BOP116" s="88"/>
      <c r="BOQ116" s="88"/>
      <c r="BOR116" s="88"/>
      <c r="BOS116" s="88"/>
      <c r="BOT116" s="88"/>
      <c r="BOU116" s="88"/>
      <c r="BOV116" s="88"/>
      <c r="BOW116" s="88"/>
      <c r="BOX116" s="88"/>
      <c r="BOY116" s="88"/>
      <c r="BOZ116" s="88"/>
      <c r="BPA116" s="88"/>
      <c r="BPB116" s="88"/>
      <c r="BPC116" s="88"/>
      <c r="BPD116" s="88"/>
      <c r="BPE116" s="88"/>
      <c r="BPF116" s="88"/>
      <c r="BPG116" s="88"/>
      <c r="BPH116" s="88"/>
      <c r="BPI116" s="88"/>
      <c r="BPJ116" s="88"/>
      <c r="BPK116" s="88"/>
      <c r="BPL116" s="88"/>
      <c r="BPM116" s="88"/>
      <c r="BPN116" s="88"/>
      <c r="BPO116" s="88"/>
      <c r="BPP116" s="88"/>
      <c r="BPQ116" s="88"/>
      <c r="BPR116" s="88"/>
      <c r="BPS116" s="88"/>
      <c r="BPT116" s="88"/>
      <c r="BPU116" s="88"/>
      <c r="BPV116" s="88"/>
      <c r="BPW116" s="88"/>
      <c r="BPX116" s="88"/>
      <c r="BPY116" s="88"/>
      <c r="BPZ116" s="88"/>
      <c r="BQA116" s="88"/>
      <c r="BQB116" s="88"/>
      <c r="BQC116" s="88"/>
      <c r="BQD116" s="88"/>
      <c r="BQE116" s="88"/>
      <c r="BQF116" s="88"/>
      <c r="BQG116" s="88"/>
      <c r="BQH116" s="88"/>
      <c r="BQI116" s="88"/>
      <c r="BQJ116" s="88"/>
      <c r="BQK116" s="88"/>
      <c r="BQL116" s="88"/>
      <c r="BQM116" s="88"/>
      <c r="BQN116" s="88"/>
      <c r="BQO116" s="88"/>
      <c r="BQP116" s="88"/>
      <c r="BQQ116" s="88"/>
      <c r="BQR116" s="88"/>
      <c r="BQS116" s="88"/>
      <c r="BQT116" s="88"/>
      <c r="BQU116" s="88"/>
      <c r="BQV116" s="88"/>
      <c r="BQW116" s="88"/>
      <c r="BQX116" s="88"/>
      <c r="BQY116" s="88"/>
      <c r="BQZ116" s="88"/>
      <c r="BRA116" s="88"/>
      <c r="BRB116" s="88"/>
      <c r="BRC116" s="88"/>
      <c r="BRD116" s="88"/>
      <c r="BRE116" s="88"/>
      <c r="BRF116" s="88"/>
      <c r="BRG116" s="88"/>
      <c r="BRH116" s="88"/>
      <c r="BRI116" s="88"/>
      <c r="BRJ116" s="88"/>
      <c r="BRK116" s="88"/>
      <c r="BRL116" s="88"/>
      <c r="BRM116" s="88"/>
      <c r="BRN116" s="88"/>
      <c r="BRO116" s="88"/>
      <c r="BRP116" s="88"/>
      <c r="BRQ116" s="88"/>
      <c r="BRR116" s="88"/>
      <c r="BRS116" s="88"/>
      <c r="BRT116" s="88"/>
      <c r="BRU116" s="88"/>
      <c r="BRV116" s="88"/>
      <c r="BRW116" s="88"/>
      <c r="BRX116" s="88"/>
      <c r="BRY116" s="88"/>
      <c r="BRZ116" s="88"/>
      <c r="BSA116" s="88"/>
      <c r="BSB116" s="88"/>
      <c r="BSC116" s="88"/>
      <c r="BSD116" s="88"/>
      <c r="BSE116" s="88"/>
      <c r="BSF116" s="88"/>
      <c r="BSG116" s="88"/>
      <c r="BSH116" s="88"/>
      <c r="BSI116" s="88"/>
      <c r="BSJ116" s="88"/>
      <c r="BSK116" s="88"/>
      <c r="BSL116" s="88"/>
      <c r="BSM116" s="88"/>
      <c r="BSN116" s="88"/>
      <c r="BSO116" s="88"/>
      <c r="BSP116" s="88"/>
      <c r="BSQ116" s="88"/>
      <c r="BSR116" s="88"/>
      <c r="BSS116" s="88"/>
      <c r="BST116" s="88"/>
      <c r="BSU116" s="88"/>
      <c r="BSV116" s="88"/>
      <c r="BSW116" s="88"/>
      <c r="BSX116" s="88"/>
      <c r="BSY116" s="88"/>
      <c r="BSZ116" s="88"/>
      <c r="BTA116" s="88"/>
      <c r="BTB116" s="88"/>
      <c r="BTC116" s="88"/>
      <c r="BTD116" s="88"/>
      <c r="BTE116" s="88"/>
      <c r="BTF116" s="88"/>
      <c r="BTG116" s="88"/>
      <c r="BTH116" s="88"/>
      <c r="BTI116" s="88"/>
      <c r="BTJ116" s="88"/>
      <c r="BTK116" s="88"/>
      <c r="BTL116" s="88"/>
      <c r="BTM116" s="88"/>
      <c r="BTN116" s="88"/>
      <c r="BTO116" s="88"/>
      <c r="BTP116" s="88"/>
      <c r="BTQ116" s="88"/>
      <c r="BTR116" s="88"/>
      <c r="BTS116" s="88"/>
      <c r="BTT116" s="88"/>
      <c r="BTU116" s="88"/>
      <c r="BTV116" s="88"/>
      <c r="BTW116" s="88"/>
      <c r="BTX116" s="88"/>
      <c r="BTY116" s="88"/>
      <c r="BTZ116" s="88"/>
      <c r="BUA116" s="88"/>
      <c r="BUB116" s="88"/>
      <c r="BUC116" s="88"/>
      <c r="BUD116" s="88"/>
      <c r="BUE116" s="88"/>
      <c r="BUF116" s="88"/>
      <c r="BUG116" s="88"/>
      <c r="BUH116" s="88"/>
      <c r="BUI116" s="88"/>
      <c r="BUJ116" s="88"/>
      <c r="BUK116" s="88"/>
      <c r="BUL116" s="88"/>
      <c r="BUM116" s="88"/>
      <c r="BUN116" s="88"/>
      <c r="BUO116" s="88"/>
      <c r="BUP116" s="88"/>
      <c r="BUQ116" s="88"/>
      <c r="BUR116" s="88"/>
      <c r="BUS116" s="88"/>
      <c r="BUT116" s="88"/>
      <c r="BUU116" s="88"/>
      <c r="BUV116" s="88"/>
      <c r="BUW116" s="88"/>
      <c r="BUX116" s="88"/>
      <c r="BUY116" s="88"/>
      <c r="BUZ116" s="88"/>
      <c r="BVA116" s="88"/>
      <c r="BVB116" s="88"/>
      <c r="BVC116" s="88"/>
      <c r="BVD116" s="88"/>
      <c r="BVE116" s="88"/>
      <c r="BVF116" s="88"/>
      <c r="BVG116" s="88"/>
      <c r="BVH116" s="88"/>
      <c r="BVI116" s="88"/>
      <c r="BVJ116" s="88"/>
      <c r="BVK116" s="88"/>
      <c r="BVL116" s="88"/>
      <c r="BVM116" s="88"/>
      <c r="BVN116" s="88"/>
      <c r="BVO116" s="88"/>
      <c r="BVP116" s="88"/>
      <c r="BVQ116" s="88"/>
      <c r="BVR116" s="88"/>
      <c r="BVS116" s="88"/>
      <c r="BVT116" s="88"/>
      <c r="BVU116" s="88"/>
      <c r="BVV116" s="88"/>
      <c r="BVW116" s="88"/>
      <c r="BVX116" s="88"/>
      <c r="BVY116" s="88"/>
      <c r="BVZ116" s="88"/>
      <c r="BWA116" s="88"/>
      <c r="BWB116" s="88"/>
      <c r="BWC116" s="88"/>
      <c r="BWD116" s="88"/>
      <c r="BWE116" s="88"/>
      <c r="BWF116" s="88"/>
      <c r="BWG116" s="88"/>
      <c r="BWH116" s="88"/>
      <c r="BWI116" s="88"/>
      <c r="BWJ116" s="88"/>
      <c r="BWK116" s="88"/>
      <c r="BWL116" s="88"/>
      <c r="BWM116" s="88"/>
      <c r="BWN116" s="88"/>
      <c r="BWO116" s="88"/>
      <c r="BWP116" s="88"/>
      <c r="BWQ116" s="88"/>
      <c r="BWR116" s="88"/>
      <c r="BWS116" s="88"/>
      <c r="BWT116" s="88"/>
      <c r="BWU116" s="88"/>
      <c r="BWV116" s="88"/>
      <c r="BWW116" s="88"/>
      <c r="BWX116" s="88"/>
      <c r="BWY116" s="88"/>
      <c r="BWZ116" s="88"/>
      <c r="BXA116" s="88"/>
      <c r="BXB116" s="88"/>
      <c r="BXC116" s="88"/>
      <c r="BXD116" s="88"/>
      <c r="BXE116" s="88"/>
      <c r="BXF116" s="88"/>
      <c r="BXG116" s="88"/>
      <c r="BXH116" s="88"/>
      <c r="BXI116" s="88"/>
      <c r="BXJ116" s="88"/>
      <c r="BXK116" s="88"/>
      <c r="BXL116" s="88"/>
      <c r="BXM116" s="88"/>
      <c r="BXN116" s="88"/>
      <c r="BXO116" s="88"/>
      <c r="BXP116" s="88"/>
      <c r="BXQ116" s="88"/>
      <c r="BXR116" s="88"/>
      <c r="BXS116" s="88"/>
      <c r="BXT116" s="88"/>
      <c r="BXU116" s="88"/>
      <c r="BXV116" s="88"/>
      <c r="BXW116" s="88"/>
      <c r="BXX116" s="88"/>
      <c r="BXY116" s="88"/>
      <c r="BXZ116" s="88"/>
      <c r="BYA116" s="88"/>
      <c r="BYB116" s="88"/>
      <c r="BYC116" s="88"/>
      <c r="BYD116" s="88"/>
      <c r="BYE116" s="88"/>
      <c r="BYF116" s="88"/>
      <c r="BYG116" s="88"/>
      <c r="BYH116" s="88"/>
      <c r="BYI116" s="88"/>
      <c r="BYJ116" s="88"/>
      <c r="BYK116" s="88"/>
      <c r="BYL116" s="88"/>
      <c r="BYM116" s="88"/>
      <c r="BYN116" s="88"/>
      <c r="BYO116" s="88"/>
      <c r="BYP116" s="88"/>
      <c r="BYQ116" s="88"/>
      <c r="BYR116" s="88"/>
      <c r="BYS116" s="88"/>
      <c r="BYT116" s="88"/>
      <c r="BYU116" s="88"/>
      <c r="BYV116" s="88"/>
      <c r="BYW116" s="88"/>
      <c r="BYX116" s="88"/>
      <c r="BYY116" s="88"/>
      <c r="BYZ116" s="88"/>
      <c r="BZA116" s="88"/>
      <c r="BZB116" s="88"/>
      <c r="BZC116" s="88"/>
      <c r="BZD116" s="88"/>
      <c r="BZE116" s="88"/>
      <c r="BZF116" s="88"/>
      <c r="BZG116" s="88"/>
      <c r="BZH116" s="88"/>
      <c r="BZI116" s="88"/>
      <c r="BZJ116" s="88"/>
      <c r="BZK116" s="88"/>
      <c r="BZL116" s="88"/>
      <c r="BZM116" s="88"/>
      <c r="BZN116" s="88"/>
      <c r="BZO116" s="88"/>
      <c r="BZP116" s="88"/>
      <c r="BZQ116" s="88"/>
      <c r="BZR116" s="88"/>
      <c r="BZS116" s="88"/>
      <c r="BZT116" s="88"/>
      <c r="BZU116" s="88"/>
      <c r="BZV116" s="88"/>
      <c r="BZW116" s="88"/>
      <c r="BZX116" s="88"/>
      <c r="BZY116" s="88"/>
      <c r="BZZ116" s="88"/>
      <c r="CAA116" s="88"/>
      <c r="CAB116" s="88"/>
      <c r="CAC116" s="88"/>
      <c r="CAD116" s="88"/>
      <c r="CAE116" s="88"/>
      <c r="CAF116" s="88"/>
      <c r="CAG116" s="88"/>
      <c r="CAH116" s="88"/>
      <c r="CAI116" s="88"/>
      <c r="CAJ116" s="88"/>
      <c r="CAK116" s="88"/>
      <c r="CAL116" s="88"/>
      <c r="CAM116" s="88"/>
      <c r="CAN116" s="88"/>
      <c r="CAO116" s="88"/>
      <c r="CAP116" s="88"/>
      <c r="CAQ116" s="88"/>
      <c r="CAR116" s="88"/>
      <c r="CAS116" s="88"/>
      <c r="CAT116" s="88"/>
      <c r="CAU116" s="88"/>
      <c r="CAV116" s="88"/>
      <c r="CAW116" s="88"/>
      <c r="CAX116" s="88"/>
      <c r="CAY116" s="88"/>
      <c r="CAZ116" s="88"/>
      <c r="CBA116" s="88"/>
      <c r="CBB116" s="88"/>
      <c r="CBC116" s="88"/>
      <c r="CBD116" s="88"/>
      <c r="CBE116" s="88"/>
      <c r="CBF116" s="88"/>
      <c r="CBG116" s="88"/>
      <c r="CBH116" s="88"/>
      <c r="CBI116" s="88"/>
      <c r="CBJ116" s="88"/>
      <c r="CBK116" s="88"/>
      <c r="CBL116" s="88"/>
      <c r="CBM116" s="88"/>
      <c r="CBN116" s="88"/>
      <c r="CBO116" s="88"/>
      <c r="CBP116" s="88"/>
      <c r="CBQ116" s="88"/>
      <c r="CBR116" s="88"/>
      <c r="CBS116" s="88"/>
      <c r="CBT116" s="88"/>
      <c r="CBU116" s="88"/>
      <c r="CBV116" s="88"/>
      <c r="CBW116" s="88"/>
      <c r="CBX116" s="88"/>
      <c r="CBY116" s="88"/>
      <c r="CBZ116" s="88"/>
      <c r="CCA116" s="88"/>
      <c r="CCB116" s="88"/>
      <c r="CCC116" s="88"/>
      <c r="CCD116" s="88"/>
      <c r="CCE116" s="88"/>
      <c r="CCF116" s="88"/>
      <c r="CCG116" s="88"/>
      <c r="CCH116" s="88"/>
      <c r="CCI116" s="88"/>
      <c r="CCJ116" s="88"/>
      <c r="CCK116" s="88"/>
      <c r="CCL116" s="88"/>
      <c r="CCM116" s="88"/>
      <c r="CCN116" s="88"/>
      <c r="CCO116" s="88"/>
      <c r="CCP116" s="88"/>
      <c r="CCQ116" s="88"/>
      <c r="CCR116" s="88"/>
      <c r="CCS116" s="88"/>
      <c r="CCT116" s="88"/>
      <c r="CCU116" s="88"/>
      <c r="CCV116" s="88"/>
      <c r="CCW116" s="88"/>
      <c r="CCX116" s="88"/>
      <c r="CCY116" s="88"/>
      <c r="CCZ116" s="88"/>
      <c r="CDA116" s="88"/>
      <c r="CDB116" s="88"/>
      <c r="CDC116" s="88"/>
      <c r="CDD116" s="88"/>
      <c r="CDE116" s="88"/>
      <c r="CDF116" s="88"/>
      <c r="CDG116" s="88"/>
      <c r="CDH116" s="88"/>
      <c r="CDI116" s="88"/>
      <c r="CDJ116" s="88"/>
      <c r="CDK116" s="88"/>
      <c r="CDL116" s="88"/>
      <c r="CDM116" s="88"/>
      <c r="CDN116" s="88"/>
      <c r="CDO116" s="88"/>
      <c r="CDP116" s="88"/>
      <c r="CDQ116" s="88"/>
      <c r="CDR116" s="88"/>
      <c r="CDS116" s="88"/>
      <c r="CDT116" s="88"/>
      <c r="CDU116" s="88"/>
      <c r="CDV116" s="88"/>
      <c r="CDW116" s="88"/>
      <c r="CDX116" s="88"/>
      <c r="CDY116" s="88"/>
      <c r="CDZ116" s="88"/>
      <c r="CEA116" s="88"/>
      <c r="CEB116" s="88"/>
      <c r="CEC116" s="88"/>
      <c r="CED116" s="88"/>
      <c r="CEE116" s="88"/>
      <c r="CEF116" s="88"/>
      <c r="CEG116" s="88"/>
      <c r="CEH116" s="88"/>
      <c r="CEI116" s="88"/>
      <c r="CEJ116" s="88"/>
      <c r="CEK116" s="88"/>
    </row>
    <row r="117" spans="1:2169" s="63" customFormat="1">
      <c r="A117" s="73" t="s">
        <v>805</v>
      </c>
      <c r="B117" s="71" t="s">
        <v>712</v>
      </c>
      <c r="C117" s="68" t="str">
        <f>IF('page 2'!$O$4="","",IF('page 2'!$O$4=Gestion!A117,1,0))</f>
        <v/>
      </c>
      <c r="D117" s="68" t="str">
        <f>IF('page 2'!$O$5="","",IF('page 2'!$O$5=Gestion!A117,1,0))</f>
        <v/>
      </c>
      <c r="E117" s="68" t="str">
        <f>IF('page 2'!$O$6="","",IF('page 2'!$O$6=Gestion!A117,1,0))</f>
        <v/>
      </c>
      <c r="F117" s="68" t="str">
        <f>IF('page 2'!$O$7="","",IF('page 2'!$O$7=Gestion!A117,1,0))</f>
        <v/>
      </c>
      <c r="G117" s="68" t="str">
        <f>IF('page 2'!$O$8="","",IF('page 2'!$O$8=Gestion!A117,1,0))</f>
        <v/>
      </c>
      <c r="H117" s="68" t="str">
        <f>IF('page 2'!$O$9="","",IF('page 2'!$O$9=Gestion!A117,1,0))</f>
        <v/>
      </c>
      <c r="I117" s="68" t="str">
        <f>IF('page 2'!$O$10="","",IF('page 2'!$O$10=Gestion!A117,1,0))</f>
        <v/>
      </c>
      <c r="J117" s="68" t="str">
        <f>IF('page 2'!$O$11="","",IF('page 2'!$O$11=Gestion!A117,1,0))</f>
        <v/>
      </c>
      <c r="K117" s="68" t="str">
        <f>IF('page 2'!$O$12="","",IF('page 2'!$O$12=Gestion!A117,1,0))</f>
        <v/>
      </c>
      <c r="L117" s="68" t="str">
        <f>IF('page 2'!$O$13="","",IF('page 2'!$O$13=Gestion!A117,1,0))</f>
        <v/>
      </c>
      <c r="M117" s="68" t="str">
        <f>IF('page 2'!$O$14="","",IF('page 2'!$O$14=Gestion!A117,1,0))</f>
        <v/>
      </c>
      <c r="N117" s="68" t="str">
        <f>IF('page 2'!$O$15="","",IF('page 2'!$O$15=Gestion!A117,1,0))</f>
        <v/>
      </c>
      <c r="O117" s="68" t="str">
        <f>IF('page 2'!$O$16="","",IF('page 2'!$O$16=Gestion!A117,1,0))</f>
        <v/>
      </c>
      <c r="P117" s="68" t="str">
        <f>IF('page 2'!$O$17="","",IF('page 2'!$O$17=Gestion!A117,1,0))</f>
        <v/>
      </c>
      <c r="Q117" s="68" t="str">
        <f>IF('page 2'!$O$18="","",IF('page 2'!$O$18=Gestion!A117,1,0))</f>
        <v/>
      </c>
      <c r="R117" s="68" t="str">
        <f>IF('page 2'!$O$19="","",IF('page 2'!$O$19=Gestion!A117,1,0))</f>
        <v/>
      </c>
      <c r="S117" s="68" t="str">
        <f>IF('page 2'!$O$20="","",IF('page 2'!$O$20=Gestion!A117,1,0))</f>
        <v/>
      </c>
      <c r="T117" s="68" t="str">
        <f>IF('page 2'!$O$25="","",IF('page 2'!$O$25=Gestion!A117,1,0))</f>
        <v/>
      </c>
      <c r="U117" s="68" t="str">
        <f>IF('page 2'!$O$26="","",IF('page 2'!$O$26=Gestion!A117,1,0))</f>
        <v/>
      </c>
      <c r="V117" s="68" t="str">
        <f>IF('page 2'!$O$27="","",IF('page 2'!$O$27=Gestion!A117,1,0))</f>
        <v/>
      </c>
      <c r="W117" s="722">
        <f t="shared" si="14"/>
        <v>0</v>
      </c>
      <c r="X117" s="714"/>
      <c r="Y117" s="68"/>
      <c r="Z117" s="68"/>
      <c r="AA117" s="68"/>
      <c r="AB117" s="68"/>
      <c r="AC117" s="68"/>
      <c r="AD117" s="68"/>
      <c r="AP117" s="130"/>
      <c r="AQ117" s="130"/>
      <c r="AR117" s="130"/>
      <c r="AS117" s="576"/>
      <c r="AT117" s="576"/>
      <c r="AU117" s="576"/>
      <c r="AV117" s="576"/>
      <c r="AW117" s="602"/>
      <c r="AX117" s="602"/>
      <c r="AY117" s="576"/>
      <c r="AZ117" s="576"/>
      <c r="BA117" s="576"/>
      <c r="BB117" s="576"/>
      <c r="BC117" s="576"/>
      <c r="BD117" s="602"/>
      <c r="BE117" s="602"/>
      <c r="BF117" s="602"/>
      <c r="BG117" s="602"/>
      <c r="BH117" s="602"/>
      <c r="BI117" s="602"/>
      <c r="BJ117" s="602"/>
      <c r="BK117" s="602"/>
      <c r="BL117" s="602"/>
      <c r="BM117" s="602"/>
      <c r="BN117" s="602"/>
      <c r="BO117" s="602"/>
      <c r="BP117" s="602"/>
      <c r="BQ117" s="602"/>
      <c r="BR117" s="602"/>
      <c r="BS117" s="576"/>
      <c r="BT117" s="576"/>
      <c r="BU117" s="576"/>
      <c r="BV117" s="576"/>
      <c r="BW117" s="602"/>
      <c r="BX117" s="602"/>
      <c r="BY117" s="602"/>
      <c r="BZ117" s="576"/>
      <c r="CA117" s="602"/>
      <c r="CB117" s="602"/>
      <c r="CC117" s="576"/>
      <c r="CD117" s="576"/>
      <c r="CE117" s="602"/>
      <c r="CF117" s="576"/>
      <c r="CG117" s="576"/>
      <c r="CH117" s="576"/>
      <c r="CI117" s="576"/>
      <c r="CJ117" s="576"/>
      <c r="CK117" s="602"/>
      <c r="CL117" s="602"/>
      <c r="CM117" s="576"/>
      <c r="CN117" s="602"/>
      <c r="CO117" s="602"/>
      <c r="CP117" s="602"/>
      <c r="CQ117" s="576"/>
      <c r="CR117" s="576"/>
      <c r="CS117" s="602"/>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c r="HF117" s="88"/>
      <c r="HG117" s="88"/>
      <c r="HH117" s="88"/>
      <c r="HI117" s="88"/>
      <c r="HJ117" s="88"/>
      <c r="HK117" s="88"/>
      <c r="HL117" s="88"/>
      <c r="HM117" s="88"/>
      <c r="HN117" s="88"/>
      <c r="HO117" s="88"/>
      <c r="HP117" s="88"/>
      <c r="HQ117" s="88"/>
      <c r="HR117" s="88"/>
      <c r="HS117" s="88"/>
      <c r="HT117" s="88"/>
      <c r="HU117" s="88"/>
      <c r="HV117" s="88"/>
      <c r="HW117" s="88"/>
      <c r="HX117" s="88"/>
      <c r="HY117" s="88"/>
      <c r="HZ117" s="88"/>
      <c r="IA117" s="88"/>
      <c r="IB117" s="88"/>
      <c r="IC117" s="88"/>
      <c r="ID117" s="88"/>
      <c r="IE117" s="88"/>
      <c r="IF117" s="88"/>
      <c r="IG117" s="88"/>
      <c r="IH117" s="88"/>
      <c r="II117" s="88"/>
      <c r="IJ117" s="88"/>
      <c r="IK117" s="88"/>
      <c r="IL117" s="88"/>
      <c r="IM117" s="88"/>
      <c r="IN117" s="88"/>
      <c r="IO117" s="88"/>
      <c r="IP117" s="88"/>
      <c r="IQ117" s="88"/>
      <c r="IR117" s="88"/>
      <c r="IS117" s="88"/>
      <c r="IT117" s="88"/>
      <c r="IU117" s="88"/>
      <c r="IV117" s="88"/>
      <c r="IW117" s="88"/>
      <c r="IX117" s="88"/>
      <c r="IY117" s="88"/>
      <c r="IZ117" s="88"/>
      <c r="JA117" s="88"/>
      <c r="JB117" s="88"/>
      <c r="JC117" s="88"/>
      <c r="JD117" s="88"/>
      <c r="JE117" s="88"/>
      <c r="JF117" s="88"/>
      <c r="JG117" s="88"/>
      <c r="JH117" s="88"/>
      <c r="JI117" s="88"/>
      <c r="JJ117" s="88"/>
      <c r="JK117" s="88"/>
      <c r="JL117" s="88"/>
      <c r="JM117" s="88"/>
      <c r="JN117" s="88"/>
      <c r="JO117" s="88"/>
      <c r="JP117" s="88"/>
      <c r="JQ117" s="88"/>
      <c r="JR117" s="88"/>
      <c r="JS117" s="88"/>
      <c r="JT117" s="88"/>
      <c r="JU117" s="88"/>
      <c r="JV117" s="88"/>
      <c r="JW117" s="88"/>
      <c r="JX117" s="88"/>
      <c r="JY117" s="88"/>
      <c r="JZ117" s="88"/>
      <c r="KA117" s="88"/>
      <c r="KB117" s="88"/>
      <c r="KC117" s="88"/>
      <c r="KD117" s="88"/>
      <c r="KE117" s="88"/>
      <c r="KF117" s="88"/>
      <c r="KG117" s="88"/>
      <c r="KH117" s="88"/>
      <c r="KI117" s="88"/>
      <c r="KJ117" s="88"/>
      <c r="KK117" s="88"/>
      <c r="KL117" s="88"/>
      <c r="KM117" s="88"/>
      <c r="KN117" s="88"/>
      <c r="KO117" s="88"/>
      <c r="KP117" s="88"/>
      <c r="KQ117" s="88"/>
      <c r="KR117" s="88"/>
      <c r="KS117" s="88"/>
      <c r="KT117" s="88"/>
      <c r="KU117" s="88"/>
      <c r="KV117" s="88"/>
      <c r="KW117" s="88"/>
      <c r="KX117" s="88"/>
      <c r="KY117" s="88"/>
      <c r="KZ117" s="88"/>
      <c r="LA117" s="88"/>
      <c r="LB117" s="88"/>
      <c r="LC117" s="88"/>
      <c r="LD117" s="88"/>
      <c r="LE117" s="88"/>
      <c r="LF117" s="88"/>
      <c r="LG117" s="88"/>
      <c r="LH117" s="88"/>
      <c r="LI117" s="88"/>
      <c r="LJ117" s="88"/>
      <c r="LK117" s="88"/>
      <c r="LL117" s="88"/>
      <c r="LM117" s="88"/>
      <c r="LN117" s="88"/>
      <c r="LO117" s="88"/>
      <c r="LP117" s="88"/>
      <c r="LQ117" s="88"/>
      <c r="LR117" s="88"/>
      <c r="LS117" s="88"/>
      <c r="LT117" s="88"/>
      <c r="LU117" s="88"/>
      <c r="LV117" s="88"/>
      <c r="LW117" s="88"/>
      <c r="LX117" s="88"/>
      <c r="LY117" s="88"/>
      <c r="LZ117" s="88"/>
      <c r="MA117" s="88"/>
      <c r="MB117" s="88"/>
      <c r="MC117" s="88"/>
      <c r="MD117" s="88"/>
      <c r="ME117" s="88"/>
      <c r="MF117" s="88"/>
      <c r="MG117" s="88"/>
      <c r="MH117" s="88"/>
      <c r="MI117" s="88"/>
      <c r="MJ117" s="88"/>
      <c r="MK117" s="88"/>
      <c r="ML117" s="88"/>
      <c r="MM117" s="88"/>
      <c r="MN117" s="88"/>
      <c r="MO117" s="88"/>
      <c r="MP117" s="88"/>
      <c r="MQ117" s="88"/>
      <c r="MR117" s="88"/>
      <c r="MS117" s="88"/>
      <c r="MT117" s="88"/>
      <c r="MU117" s="88"/>
      <c r="MV117" s="88"/>
      <c r="MW117" s="88"/>
      <c r="MX117" s="88"/>
      <c r="MY117" s="88"/>
      <c r="MZ117" s="88"/>
      <c r="NA117" s="88"/>
      <c r="NB117" s="88"/>
      <c r="NC117" s="88"/>
      <c r="ND117" s="88"/>
      <c r="NE117" s="88"/>
      <c r="NF117" s="88"/>
      <c r="NG117" s="88"/>
      <c r="NH117" s="88"/>
      <c r="NI117" s="88"/>
      <c r="NJ117" s="88"/>
      <c r="NK117" s="88"/>
      <c r="NL117" s="88"/>
      <c r="NM117" s="88"/>
      <c r="NN117" s="88"/>
      <c r="NO117" s="88"/>
      <c r="NP117" s="88"/>
      <c r="NQ117" s="88"/>
      <c r="NR117" s="88"/>
      <c r="NS117" s="88"/>
      <c r="NT117" s="88"/>
      <c r="NU117" s="88"/>
      <c r="NV117" s="88"/>
      <c r="NW117" s="88"/>
      <c r="NX117" s="88"/>
      <c r="NY117" s="88"/>
      <c r="NZ117" s="88"/>
      <c r="OA117" s="88"/>
      <c r="OB117" s="88"/>
      <c r="OC117" s="88"/>
      <c r="OD117" s="88"/>
      <c r="OE117" s="88"/>
      <c r="OF117" s="88"/>
      <c r="OG117" s="88"/>
      <c r="OH117" s="88"/>
      <c r="OI117" s="88"/>
      <c r="OJ117" s="88"/>
      <c r="OK117" s="88"/>
      <c r="OL117" s="88"/>
      <c r="OM117" s="88"/>
      <c r="ON117" s="88"/>
      <c r="OO117" s="88"/>
      <c r="OP117" s="88"/>
      <c r="OQ117" s="88"/>
      <c r="OR117" s="88"/>
      <c r="OS117" s="88"/>
      <c r="OT117" s="88"/>
      <c r="OU117" s="88"/>
      <c r="OV117" s="88"/>
      <c r="OW117" s="88"/>
      <c r="OX117" s="88"/>
      <c r="OY117" s="88"/>
      <c r="OZ117" s="88"/>
      <c r="PA117" s="88"/>
      <c r="PB117" s="88"/>
      <c r="PC117" s="88"/>
      <c r="PD117" s="88"/>
      <c r="PE117" s="88"/>
      <c r="PF117" s="88"/>
      <c r="PG117" s="88"/>
      <c r="PH117" s="88"/>
      <c r="PI117" s="88"/>
      <c r="PJ117" s="88"/>
      <c r="PK117" s="88"/>
      <c r="PL117" s="88"/>
      <c r="PM117" s="88"/>
      <c r="PN117" s="88"/>
      <c r="PO117" s="88"/>
      <c r="PP117" s="88"/>
      <c r="PQ117" s="88"/>
      <c r="PR117" s="88"/>
      <c r="PS117" s="88"/>
      <c r="PT117" s="88"/>
      <c r="PU117" s="88"/>
      <c r="PV117" s="88"/>
      <c r="PW117" s="88"/>
      <c r="PX117" s="88"/>
      <c r="PY117" s="88"/>
      <c r="PZ117" s="88"/>
      <c r="QA117" s="88"/>
      <c r="QB117" s="88"/>
      <c r="QC117" s="88"/>
      <c r="QD117" s="88"/>
      <c r="QE117" s="88"/>
      <c r="QF117" s="88"/>
      <c r="QG117" s="88"/>
      <c r="QH117" s="88"/>
      <c r="QI117" s="88"/>
      <c r="QJ117" s="88"/>
      <c r="QK117" s="88"/>
      <c r="QL117" s="88"/>
      <c r="QM117" s="88"/>
      <c r="QN117" s="88"/>
      <c r="QO117" s="88"/>
      <c r="QP117" s="88"/>
      <c r="QQ117" s="88"/>
      <c r="QR117" s="88"/>
      <c r="QS117" s="88"/>
      <c r="QT117" s="88"/>
      <c r="QU117" s="88"/>
      <c r="QV117" s="88"/>
      <c r="QW117" s="88"/>
      <c r="QX117" s="88"/>
      <c r="QY117" s="88"/>
      <c r="QZ117" s="88"/>
      <c r="RA117" s="88"/>
      <c r="RB117" s="88"/>
      <c r="RC117" s="88"/>
      <c r="RD117" s="88"/>
      <c r="RE117" s="88"/>
      <c r="RF117" s="88"/>
      <c r="RG117" s="88"/>
      <c r="RH117" s="88"/>
      <c r="RI117" s="88"/>
      <c r="RJ117" s="88"/>
      <c r="RK117" s="88"/>
      <c r="RL117" s="88"/>
      <c r="RM117" s="88"/>
      <c r="RN117" s="88"/>
      <c r="RO117" s="88"/>
      <c r="RP117" s="88"/>
      <c r="RQ117" s="88"/>
      <c r="RR117" s="88"/>
      <c r="RS117" s="88"/>
      <c r="RT117" s="88"/>
      <c r="RU117" s="88"/>
      <c r="RV117" s="88"/>
      <c r="RW117" s="88"/>
      <c r="RX117" s="88"/>
      <c r="RY117" s="88"/>
      <c r="RZ117" s="88"/>
      <c r="SA117" s="88"/>
      <c r="SB117" s="88"/>
      <c r="SC117" s="88"/>
      <c r="SD117" s="88"/>
      <c r="SE117" s="88"/>
      <c r="SF117" s="88"/>
      <c r="SG117" s="88"/>
      <c r="SH117" s="88"/>
      <c r="SI117" s="88"/>
      <c r="SJ117" s="88"/>
      <c r="SK117" s="88"/>
      <c r="SL117" s="88"/>
      <c r="SM117" s="88"/>
      <c r="SN117" s="88"/>
      <c r="SO117" s="88"/>
      <c r="SP117" s="88"/>
      <c r="SQ117" s="88"/>
      <c r="SR117" s="88"/>
      <c r="SS117" s="88"/>
      <c r="ST117" s="88"/>
      <c r="SU117" s="88"/>
      <c r="SV117" s="88"/>
      <c r="SW117" s="88"/>
      <c r="SX117" s="88"/>
      <c r="SY117" s="88"/>
      <c r="SZ117" s="88"/>
      <c r="TA117" s="88"/>
      <c r="TB117" s="88"/>
      <c r="TC117" s="88"/>
      <c r="TD117" s="88"/>
      <c r="TE117" s="88"/>
      <c r="TF117" s="88"/>
      <c r="TG117" s="88"/>
      <c r="TH117" s="88"/>
      <c r="TI117" s="88"/>
      <c r="TJ117" s="88"/>
      <c r="TK117" s="88"/>
      <c r="TL117" s="88"/>
      <c r="TM117" s="88"/>
      <c r="TN117" s="88"/>
      <c r="TO117" s="88"/>
      <c r="TP117" s="88"/>
      <c r="TQ117" s="88"/>
      <c r="TR117" s="88"/>
      <c r="TS117" s="88"/>
      <c r="TT117" s="88"/>
      <c r="TU117" s="88"/>
      <c r="TV117" s="88"/>
      <c r="TW117" s="88"/>
      <c r="TX117" s="88"/>
      <c r="TY117" s="88"/>
      <c r="TZ117" s="88"/>
      <c r="UA117" s="88"/>
      <c r="UB117" s="88"/>
      <c r="UC117" s="88"/>
      <c r="UD117" s="88"/>
      <c r="UE117" s="88"/>
      <c r="UF117" s="88"/>
      <c r="UG117" s="88"/>
      <c r="UH117" s="88"/>
      <c r="UI117" s="88"/>
      <c r="UJ117" s="88"/>
      <c r="UK117" s="88"/>
      <c r="UL117" s="88"/>
      <c r="UM117" s="88"/>
      <c r="UN117" s="88"/>
      <c r="UO117" s="88"/>
      <c r="UP117" s="88"/>
      <c r="UQ117" s="88"/>
      <c r="UR117" s="88"/>
      <c r="US117" s="88"/>
      <c r="UT117" s="88"/>
      <c r="UU117" s="88"/>
      <c r="UV117" s="88"/>
      <c r="UW117" s="88"/>
      <c r="UX117" s="88"/>
      <c r="UY117" s="88"/>
      <c r="UZ117" s="88"/>
      <c r="VA117" s="88"/>
      <c r="VB117" s="88"/>
      <c r="VC117" s="88"/>
      <c r="VD117" s="88"/>
      <c r="VE117" s="88"/>
      <c r="VF117" s="88"/>
      <c r="VG117" s="88"/>
      <c r="VH117" s="88"/>
      <c r="VI117" s="88"/>
      <c r="VJ117" s="88"/>
      <c r="VK117" s="88"/>
      <c r="VL117" s="88"/>
      <c r="VM117" s="88"/>
      <c r="VN117" s="88"/>
      <c r="VO117" s="88"/>
      <c r="VP117" s="88"/>
      <c r="VQ117" s="88"/>
      <c r="VR117" s="88"/>
      <c r="VS117" s="88"/>
      <c r="VT117" s="88"/>
      <c r="VU117" s="88"/>
      <c r="VV117" s="88"/>
      <c r="VW117" s="88"/>
      <c r="VX117" s="88"/>
      <c r="VY117" s="88"/>
      <c r="VZ117" s="88"/>
      <c r="WA117" s="88"/>
      <c r="WB117" s="88"/>
      <c r="WC117" s="88"/>
      <c r="WD117" s="88"/>
      <c r="WE117" s="88"/>
      <c r="WF117" s="88"/>
      <c r="WG117" s="88"/>
      <c r="WH117" s="88"/>
      <c r="WI117" s="88"/>
      <c r="WJ117" s="88"/>
      <c r="WK117" s="88"/>
      <c r="WL117" s="88"/>
      <c r="WM117" s="88"/>
      <c r="WN117" s="88"/>
      <c r="WO117" s="88"/>
      <c r="WP117" s="88"/>
      <c r="WQ117" s="88"/>
      <c r="WR117" s="88"/>
      <c r="WS117" s="88"/>
      <c r="WT117" s="88"/>
      <c r="WU117" s="88"/>
      <c r="WV117" s="88"/>
      <c r="WW117" s="88"/>
      <c r="WX117" s="88"/>
      <c r="WY117" s="88"/>
      <c r="WZ117" s="88"/>
      <c r="XA117" s="88"/>
      <c r="XB117" s="88"/>
      <c r="XC117" s="88"/>
      <c r="XD117" s="88"/>
      <c r="XE117" s="88"/>
      <c r="XF117" s="88"/>
      <c r="XG117" s="88"/>
      <c r="XH117" s="88"/>
      <c r="XI117" s="88"/>
      <c r="XJ117" s="88"/>
      <c r="XK117" s="88"/>
      <c r="XL117" s="88"/>
      <c r="XM117" s="88"/>
      <c r="XN117" s="88"/>
      <c r="XO117" s="88"/>
      <c r="XP117" s="88"/>
      <c r="XQ117" s="88"/>
      <c r="XR117" s="88"/>
      <c r="XS117" s="88"/>
      <c r="XT117" s="88"/>
      <c r="XU117" s="88"/>
      <c r="XV117" s="88"/>
      <c r="XW117" s="88"/>
      <c r="XX117" s="88"/>
      <c r="XY117" s="88"/>
      <c r="XZ117" s="88"/>
      <c r="YA117" s="88"/>
      <c r="YB117" s="88"/>
      <c r="YC117" s="88"/>
      <c r="YD117" s="88"/>
      <c r="YE117" s="88"/>
      <c r="YF117" s="88"/>
      <c r="YG117" s="88"/>
      <c r="YH117" s="88"/>
      <c r="YI117" s="88"/>
      <c r="YJ117" s="88"/>
      <c r="YK117" s="88"/>
      <c r="YL117" s="88"/>
      <c r="YM117" s="88"/>
      <c r="YN117" s="88"/>
      <c r="YO117" s="88"/>
      <c r="YP117" s="88"/>
      <c r="YQ117" s="88"/>
      <c r="YR117" s="88"/>
      <c r="YS117" s="88"/>
      <c r="YT117" s="88"/>
      <c r="YU117" s="88"/>
      <c r="YV117" s="88"/>
      <c r="YW117" s="88"/>
      <c r="YX117" s="88"/>
      <c r="YY117" s="88"/>
      <c r="YZ117" s="88"/>
      <c r="ZA117" s="88"/>
      <c r="ZB117" s="88"/>
      <c r="ZC117" s="88"/>
      <c r="ZD117" s="88"/>
      <c r="ZE117" s="88"/>
      <c r="ZF117" s="88"/>
      <c r="ZG117" s="88"/>
      <c r="ZH117" s="88"/>
      <c r="ZI117" s="88"/>
      <c r="ZJ117" s="88"/>
      <c r="ZK117" s="88"/>
      <c r="ZL117" s="88"/>
      <c r="ZM117" s="88"/>
      <c r="ZN117" s="88"/>
      <c r="ZO117" s="88"/>
      <c r="ZP117" s="88"/>
      <c r="ZQ117" s="88"/>
      <c r="ZR117" s="88"/>
      <c r="ZS117" s="88"/>
      <c r="ZT117" s="88"/>
      <c r="ZU117" s="88"/>
      <c r="ZV117" s="88"/>
      <c r="ZW117" s="88"/>
      <c r="ZX117" s="88"/>
      <c r="ZY117" s="88"/>
      <c r="ZZ117" s="88"/>
      <c r="AAA117" s="88"/>
      <c r="AAB117" s="88"/>
      <c r="AAC117" s="88"/>
      <c r="AAD117" s="88"/>
      <c r="AAE117" s="88"/>
      <c r="AAF117" s="88"/>
      <c r="AAG117" s="88"/>
      <c r="AAH117" s="88"/>
      <c r="AAI117" s="88"/>
      <c r="AAJ117" s="88"/>
      <c r="AAK117" s="88"/>
      <c r="AAL117" s="88"/>
      <c r="AAM117" s="88"/>
      <c r="AAN117" s="88"/>
      <c r="AAO117" s="88"/>
      <c r="AAP117" s="88"/>
      <c r="AAQ117" s="88"/>
      <c r="AAR117" s="88"/>
      <c r="AAS117" s="88"/>
      <c r="AAT117" s="88"/>
      <c r="AAU117" s="88"/>
      <c r="AAV117" s="88"/>
      <c r="AAW117" s="88"/>
      <c r="AAX117" s="88"/>
      <c r="AAY117" s="88"/>
      <c r="AAZ117" s="88"/>
      <c r="ABA117" s="88"/>
      <c r="ABB117" s="88"/>
      <c r="ABC117" s="88"/>
      <c r="ABD117" s="88"/>
      <c r="ABE117" s="88"/>
      <c r="ABF117" s="88"/>
      <c r="ABG117" s="88"/>
      <c r="ABH117" s="88"/>
      <c r="ABI117" s="88"/>
      <c r="ABJ117" s="88"/>
      <c r="ABK117" s="88"/>
      <c r="ABL117" s="88"/>
      <c r="ABM117" s="88"/>
      <c r="ABN117" s="88"/>
      <c r="ABO117" s="88"/>
      <c r="ABP117" s="88"/>
      <c r="ABQ117" s="88"/>
      <c r="ABR117" s="88"/>
      <c r="ABS117" s="88"/>
      <c r="ABT117" s="88"/>
      <c r="ABU117" s="88"/>
      <c r="ABV117" s="88"/>
      <c r="ABW117" s="88"/>
      <c r="ABX117" s="88"/>
      <c r="ABY117" s="88"/>
      <c r="ABZ117" s="88"/>
      <c r="ACA117" s="88"/>
      <c r="ACB117" s="88"/>
      <c r="ACC117" s="88"/>
      <c r="ACD117" s="88"/>
      <c r="ACE117" s="88"/>
      <c r="ACF117" s="88"/>
      <c r="ACG117" s="88"/>
      <c r="ACH117" s="88"/>
      <c r="ACI117" s="88"/>
      <c r="ACJ117" s="88"/>
      <c r="ACK117" s="88"/>
      <c r="ACL117" s="88"/>
      <c r="ACM117" s="88"/>
      <c r="ACN117" s="88"/>
      <c r="ACO117" s="88"/>
      <c r="ACP117" s="88"/>
      <c r="ACQ117" s="88"/>
      <c r="ACR117" s="88"/>
      <c r="ACS117" s="88"/>
      <c r="ACT117" s="88"/>
      <c r="ACU117" s="88"/>
      <c r="ACV117" s="88"/>
      <c r="ACW117" s="88"/>
      <c r="ACX117" s="88"/>
      <c r="ACY117" s="88"/>
      <c r="ACZ117" s="88"/>
      <c r="ADA117" s="88"/>
      <c r="ADB117" s="88"/>
      <c r="ADC117" s="88"/>
      <c r="ADD117" s="88"/>
      <c r="ADE117" s="88"/>
      <c r="ADF117" s="88"/>
      <c r="ADG117" s="88"/>
      <c r="ADH117" s="88"/>
      <c r="ADI117" s="88"/>
      <c r="ADJ117" s="88"/>
      <c r="ADK117" s="88"/>
      <c r="ADL117" s="88"/>
      <c r="ADM117" s="88"/>
      <c r="ADN117" s="88"/>
      <c r="ADO117" s="88"/>
      <c r="ADP117" s="88"/>
      <c r="ADQ117" s="88"/>
      <c r="ADR117" s="88"/>
      <c r="ADS117" s="88"/>
      <c r="ADT117" s="88"/>
      <c r="ADU117" s="88"/>
      <c r="ADV117" s="88"/>
      <c r="ADW117" s="88"/>
      <c r="ADX117" s="88"/>
      <c r="ADY117" s="88"/>
      <c r="ADZ117" s="88"/>
      <c r="AEA117" s="88"/>
      <c r="AEB117" s="88"/>
      <c r="AEC117" s="88"/>
      <c r="AED117" s="88"/>
      <c r="AEE117" s="88"/>
      <c r="AEF117" s="88"/>
      <c r="AEG117" s="88"/>
      <c r="AEH117" s="88"/>
      <c r="AEI117" s="88"/>
      <c r="AEJ117" s="88"/>
      <c r="AEK117" s="88"/>
      <c r="AEL117" s="88"/>
      <c r="AEM117" s="88"/>
      <c r="AEN117" s="88"/>
      <c r="AEO117" s="88"/>
      <c r="AEP117" s="88"/>
      <c r="AEQ117" s="88"/>
      <c r="AER117" s="88"/>
      <c r="AES117" s="88"/>
      <c r="AET117" s="88"/>
      <c r="AEU117" s="88"/>
      <c r="AEV117" s="88"/>
      <c r="AEW117" s="88"/>
      <c r="AEX117" s="88"/>
      <c r="AEY117" s="88"/>
      <c r="AEZ117" s="88"/>
      <c r="AFA117" s="88"/>
      <c r="AFB117" s="88"/>
      <c r="AFC117" s="88"/>
      <c r="AFD117" s="88"/>
      <c r="AFE117" s="88"/>
      <c r="AFF117" s="88"/>
      <c r="AFG117" s="88"/>
      <c r="AFH117" s="88"/>
      <c r="AFI117" s="88"/>
      <c r="AFJ117" s="88"/>
      <c r="AFK117" s="88"/>
      <c r="AFL117" s="88"/>
      <c r="AFM117" s="88"/>
      <c r="AFN117" s="88"/>
      <c r="AFO117" s="88"/>
      <c r="AFP117" s="88"/>
      <c r="AFQ117" s="88"/>
      <c r="AFR117" s="88"/>
      <c r="AFS117" s="88"/>
      <c r="AFT117" s="88"/>
      <c r="AFU117" s="88"/>
      <c r="AFV117" s="88"/>
      <c r="AFW117" s="88"/>
      <c r="AFX117" s="88"/>
      <c r="AFY117" s="88"/>
      <c r="AFZ117" s="88"/>
      <c r="AGA117" s="88"/>
      <c r="AGB117" s="88"/>
      <c r="AGC117" s="88"/>
      <c r="AGD117" s="88"/>
      <c r="AGE117" s="88"/>
      <c r="AGF117" s="88"/>
      <c r="AGG117" s="88"/>
      <c r="AGH117" s="88"/>
      <c r="AGI117" s="88"/>
      <c r="AGJ117" s="88"/>
      <c r="AGK117" s="88"/>
      <c r="AGL117" s="88"/>
      <c r="AGM117" s="88"/>
      <c r="AGN117" s="88"/>
      <c r="AGO117" s="88"/>
      <c r="AGP117" s="88"/>
      <c r="AGQ117" s="88"/>
      <c r="AGR117" s="88"/>
      <c r="AGS117" s="88"/>
      <c r="AGT117" s="88"/>
      <c r="AGU117" s="88"/>
      <c r="AGV117" s="88"/>
      <c r="AGW117" s="88"/>
      <c r="AGX117" s="88"/>
      <c r="AGY117" s="88"/>
      <c r="AGZ117" s="88"/>
      <c r="AHA117" s="88"/>
      <c r="AHB117" s="88"/>
      <c r="AHC117" s="88"/>
      <c r="AHD117" s="88"/>
      <c r="AHE117" s="88"/>
      <c r="AHF117" s="88"/>
      <c r="AHG117" s="88"/>
      <c r="AHH117" s="88"/>
      <c r="AHI117" s="88"/>
      <c r="AHJ117" s="88"/>
      <c r="AHK117" s="88"/>
      <c r="AHL117" s="88"/>
      <c r="AHM117" s="88"/>
      <c r="AHN117" s="88"/>
      <c r="AHO117" s="88"/>
      <c r="AHP117" s="88"/>
      <c r="AHQ117" s="88"/>
      <c r="AHR117" s="88"/>
      <c r="AHS117" s="88"/>
      <c r="AHT117" s="88"/>
      <c r="AHU117" s="88"/>
      <c r="AHV117" s="88"/>
      <c r="AHW117" s="88"/>
      <c r="AHX117" s="88"/>
      <c r="AHY117" s="88"/>
      <c r="AHZ117" s="88"/>
      <c r="AIA117" s="88"/>
      <c r="AIB117" s="88"/>
      <c r="AIC117" s="88"/>
      <c r="AID117" s="88"/>
      <c r="AIE117" s="88"/>
      <c r="AIF117" s="88"/>
      <c r="AIG117" s="88"/>
      <c r="AIH117" s="88"/>
      <c r="AII117" s="88"/>
      <c r="AIJ117" s="88"/>
      <c r="AIK117" s="88"/>
      <c r="AIL117" s="88"/>
      <c r="AIM117" s="88"/>
      <c r="AIN117" s="88"/>
      <c r="AIO117" s="88"/>
      <c r="AIP117" s="88"/>
      <c r="AIQ117" s="88"/>
      <c r="AIR117" s="88"/>
      <c r="AIS117" s="88"/>
      <c r="AIT117" s="88"/>
      <c r="AIU117" s="88"/>
      <c r="AIV117" s="88"/>
      <c r="AIW117" s="88"/>
      <c r="AIX117" s="88"/>
      <c r="AIY117" s="88"/>
      <c r="AIZ117" s="88"/>
      <c r="AJA117" s="88"/>
      <c r="AJB117" s="88"/>
      <c r="AJC117" s="88"/>
      <c r="AJD117" s="88"/>
      <c r="AJE117" s="88"/>
      <c r="AJF117" s="88"/>
      <c r="AJG117" s="88"/>
      <c r="AJH117" s="88"/>
      <c r="AJI117" s="88"/>
      <c r="AJJ117" s="88"/>
      <c r="AJK117" s="88"/>
      <c r="AJL117" s="88"/>
      <c r="AJM117" s="88"/>
      <c r="AJN117" s="88"/>
      <c r="AJO117" s="88"/>
      <c r="AJP117" s="88"/>
      <c r="AJQ117" s="88"/>
      <c r="AJR117" s="88"/>
      <c r="AJS117" s="88"/>
      <c r="AJT117" s="88"/>
      <c r="AJU117" s="88"/>
      <c r="AJV117" s="88"/>
      <c r="AJW117" s="88"/>
      <c r="AJX117" s="88"/>
      <c r="AJY117" s="88"/>
      <c r="AJZ117" s="88"/>
      <c r="AKA117" s="88"/>
      <c r="AKB117" s="88"/>
      <c r="AKC117" s="88"/>
      <c r="AKD117" s="88"/>
      <c r="AKE117" s="88"/>
      <c r="AKF117" s="88"/>
      <c r="AKG117" s="88"/>
      <c r="AKH117" s="88"/>
      <c r="AKI117" s="88"/>
      <c r="AKJ117" s="88"/>
      <c r="AKK117" s="88"/>
      <c r="AKL117" s="88"/>
      <c r="AKM117" s="88"/>
      <c r="AKN117" s="88"/>
      <c r="AKO117" s="88"/>
      <c r="AKP117" s="88"/>
      <c r="AKQ117" s="88"/>
      <c r="AKR117" s="88"/>
      <c r="AKS117" s="88"/>
      <c r="AKT117" s="88"/>
      <c r="AKU117" s="88"/>
      <c r="AKV117" s="88"/>
      <c r="AKW117" s="88"/>
      <c r="AKX117" s="88"/>
      <c r="AKY117" s="88"/>
      <c r="AKZ117" s="88"/>
      <c r="ALA117" s="88"/>
      <c r="ALB117" s="88"/>
      <c r="ALC117" s="88"/>
      <c r="ALD117" s="88"/>
      <c r="ALE117" s="88"/>
      <c r="ALF117" s="88"/>
      <c r="ALG117" s="88"/>
      <c r="ALH117" s="88"/>
      <c r="ALI117" s="88"/>
      <c r="ALJ117" s="88"/>
      <c r="ALK117" s="88"/>
      <c r="ALL117" s="88"/>
      <c r="ALM117" s="88"/>
      <c r="ALN117" s="88"/>
      <c r="ALO117" s="88"/>
      <c r="ALP117" s="88"/>
      <c r="ALQ117" s="88"/>
      <c r="ALR117" s="88"/>
      <c r="ALS117" s="88"/>
      <c r="ALT117" s="88"/>
      <c r="ALU117" s="88"/>
      <c r="ALV117" s="88"/>
      <c r="ALW117" s="88"/>
      <c r="ALX117" s="88"/>
      <c r="ALY117" s="88"/>
      <c r="ALZ117" s="88"/>
      <c r="AMA117" s="88"/>
      <c r="AMB117" s="88"/>
      <c r="AMC117" s="88"/>
      <c r="AMD117" s="88"/>
      <c r="AME117" s="88"/>
      <c r="AMF117" s="88"/>
      <c r="AMG117" s="88"/>
      <c r="AMH117" s="88"/>
      <c r="AMI117" s="88"/>
      <c r="AMJ117" s="88"/>
      <c r="AMK117" s="88"/>
      <c r="AML117" s="88"/>
      <c r="AMM117" s="88"/>
      <c r="AMN117" s="88"/>
      <c r="AMO117" s="88"/>
      <c r="AMP117" s="88"/>
      <c r="AMQ117" s="88"/>
      <c r="AMR117" s="88"/>
      <c r="AMS117" s="88"/>
      <c r="AMT117" s="88"/>
      <c r="AMU117" s="88"/>
      <c r="AMV117" s="88"/>
      <c r="AMW117" s="88"/>
      <c r="AMX117" s="88"/>
      <c r="AMY117" s="88"/>
      <c r="AMZ117" s="88"/>
      <c r="ANA117" s="88"/>
      <c r="ANB117" s="88"/>
      <c r="ANC117" s="88"/>
      <c r="AND117" s="88"/>
      <c r="ANE117" s="88"/>
      <c r="ANF117" s="88"/>
      <c r="ANG117" s="88"/>
      <c r="ANH117" s="88"/>
      <c r="ANI117" s="88"/>
      <c r="ANJ117" s="88"/>
      <c r="ANK117" s="88"/>
      <c r="ANL117" s="88"/>
      <c r="ANM117" s="88"/>
      <c r="ANN117" s="88"/>
      <c r="ANO117" s="88"/>
      <c r="ANP117" s="88"/>
      <c r="ANQ117" s="88"/>
      <c r="ANR117" s="88"/>
      <c r="ANS117" s="88"/>
      <c r="ANT117" s="88"/>
      <c r="ANU117" s="88"/>
      <c r="ANV117" s="88"/>
      <c r="ANW117" s="88"/>
      <c r="ANX117" s="88"/>
      <c r="ANY117" s="88"/>
      <c r="ANZ117" s="88"/>
      <c r="AOA117" s="88"/>
      <c r="AOB117" s="88"/>
      <c r="AOC117" s="88"/>
      <c r="AOD117" s="88"/>
      <c r="AOE117" s="88"/>
      <c r="AOF117" s="88"/>
      <c r="AOG117" s="88"/>
      <c r="AOH117" s="88"/>
      <c r="AOI117" s="88"/>
      <c r="AOJ117" s="88"/>
      <c r="AOK117" s="88"/>
      <c r="AOL117" s="88"/>
      <c r="AOM117" s="88"/>
      <c r="AON117" s="88"/>
      <c r="AOO117" s="88"/>
      <c r="AOP117" s="88"/>
      <c r="AOQ117" s="88"/>
      <c r="AOR117" s="88"/>
      <c r="AOS117" s="88"/>
      <c r="AOT117" s="88"/>
      <c r="AOU117" s="88"/>
      <c r="AOV117" s="88"/>
      <c r="AOW117" s="88"/>
      <c r="AOX117" s="88"/>
      <c r="AOY117" s="88"/>
      <c r="AOZ117" s="88"/>
      <c r="APA117" s="88"/>
      <c r="APB117" s="88"/>
      <c r="APC117" s="88"/>
      <c r="APD117" s="88"/>
      <c r="APE117" s="88"/>
      <c r="APF117" s="88"/>
      <c r="APG117" s="88"/>
      <c r="APH117" s="88"/>
      <c r="API117" s="88"/>
      <c r="APJ117" s="88"/>
      <c r="APK117" s="88"/>
      <c r="APL117" s="88"/>
      <c r="APM117" s="88"/>
      <c r="APN117" s="88"/>
      <c r="APO117" s="88"/>
      <c r="APP117" s="88"/>
      <c r="APQ117" s="88"/>
      <c r="APR117" s="88"/>
      <c r="APS117" s="88"/>
      <c r="APT117" s="88"/>
      <c r="APU117" s="88"/>
      <c r="APV117" s="88"/>
      <c r="APW117" s="88"/>
      <c r="APX117" s="88"/>
      <c r="APY117" s="88"/>
      <c r="APZ117" s="88"/>
      <c r="AQA117" s="88"/>
      <c r="AQB117" s="88"/>
      <c r="AQC117" s="88"/>
      <c r="AQD117" s="88"/>
      <c r="AQE117" s="88"/>
      <c r="AQF117" s="88"/>
      <c r="AQG117" s="88"/>
      <c r="AQH117" s="88"/>
      <c r="AQI117" s="88"/>
      <c r="AQJ117" s="88"/>
      <c r="AQK117" s="88"/>
      <c r="AQL117" s="88"/>
      <c r="AQM117" s="88"/>
      <c r="AQN117" s="88"/>
      <c r="AQO117" s="88"/>
      <c r="AQP117" s="88"/>
      <c r="AQQ117" s="88"/>
      <c r="AQR117" s="88"/>
      <c r="AQS117" s="88"/>
      <c r="AQT117" s="88"/>
      <c r="AQU117" s="88"/>
      <c r="AQV117" s="88"/>
      <c r="AQW117" s="88"/>
      <c r="AQX117" s="88"/>
      <c r="AQY117" s="88"/>
      <c r="AQZ117" s="88"/>
      <c r="ARA117" s="88"/>
      <c r="ARB117" s="88"/>
      <c r="ARC117" s="88"/>
      <c r="ARD117" s="88"/>
      <c r="ARE117" s="88"/>
      <c r="ARF117" s="88"/>
      <c r="ARG117" s="88"/>
      <c r="ARH117" s="88"/>
      <c r="ARI117" s="88"/>
      <c r="ARJ117" s="88"/>
      <c r="ARK117" s="88"/>
      <c r="ARL117" s="88"/>
      <c r="ARM117" s="88"/>
      <c r="ARN117" s="88"/>
      <c r="ARO117" s="88"/>
      <c r="ARP117" s="88"/>
      <c r="ARQ117" s="88"/>
      <c r="ARR117" s="88"/>
      <c r="ARS117" s="88"/>
      <c r="ART117" s="88"/>
      <c r="ARU117" s="88"/>
      <c r="ARV117" s="88"/>
      <c r="ARW117" s="88"/>
      <c r="ARX117" s="88"/>
      <c r="ARY117" s="88"/>
      <c r="ARZ117" s="88"/>
      <c r="ASA117" s="88"/>
      <c r="ASB117" s="88"/>
      <c r="ASC117" s="88"/>
      <c r="ASD117" s="88"/>
      <c r="ASE117" s="88"/>
      <c r="ASF117" s="88"/>
      <c r="ASG117" s="88"/>
      <c r="ASH117" s="88"/>
      <c r="ASI117" s="88"/>
      <c r="ASJ117" s="88"/>
      <c r="ASK117" s="88"/>
      <c r="ASL117" s="88"/>
      <c r="ASM117" s="88"/>
      <c r="ASN117" s="88"/>
      <c r="ASO117" s="88"/>
      <c r="ASP117" s="88"/>
      <c r="ASQ117" s="88"/>
      <c r="ASR117" s="88"/>
      <c r="ASS117" s="88"/>
      <c r="AST117" s="88"/>
      <c r="ASU117" s="88"/>
      <c r="ASV117" s="88"/>
      <c r="ASW117" s="88"/>
      <c r="ASX117" s="88"/>
      <c r="ASY117" s="88"/>
      <c r="ASZ117" s="88"/>
      <c r="ATA117" s="88"/>
      <c r="ATB117" s="88"/>
      <c r="ATC117" s="88"/>
      <c r="ATD117" s="88"/>
      <c r="ATE117" s="88"/>
      <c r="ATF117" s="88"/>
      <c r="ATG117" s="88"/>
      <c r="ATH117" s="88"/>
      <c r="ATI117" s="88"/>
      <c r="ATJ117" s="88"/>
      <c r="ATK117" s="88"/>
      <c r="ATL117" s="88"/>
      <c r="ATM117" s="88"/>
      <c r="ATN117" s="88"/>
      <c r="ATO117" s="88"/>
      <c r="ATP117" s="88"/>
      <c r="ATQ117" s="88"/>
      <c r="ATR117" s="88"/>
      <c r="ATS117" s="88"/>
      <c r="ATT117" s="88"/>
      <c r="ATU117" s="88"/>
      <c r="ATV117" s="88"/>
      <c r="ATW117" s="88"/>
      <c r="ATX117" s="88"/>
      <c r="ATY117" s="88"/>
      <c r="ATZ117" s="88"/>
      <c r="AUA117" s="88"/>
      <c r="AUB117" s="88"/>
      <c r="AUC117" s="88"/>
      <c r="AUD117" s="88"/>
      <c r="AUE117" s="88"/>
      <c r="AUF117" s="88"/>
      <c r="AUG117" s="88"/>
      <c r="AUH117" s="88"/>
      <c r="AUI117" s="88"/>
      <c r="AUJ117" s="88"/>
      <c r="AUK117" s="88"/>
      <c r="AUL117" s="88"/>
      <c r="AUM117" s="88"/>
      <c r="AUN117" s="88"/>
      <c r="AUO117" s="88"/>
      <c r="AUP117" s="88"/>
      <c r="AUQ117" s="88"/>
      <c r="AUR117" s="88"/>
      <c r="AUS117" s="88"/>
      <c r="AUT117" s="88"/>
      <c r="AUU117" s="88"/>
      <c r="AUV117" s="88"/>
      <c r="AUW117" s="88"/>
      <c r="AUX117" s="88"/>
      <c r="AUY117" s="88"/>
      <c r="AUZ117" s="88"/>
      <c r="AVA117" s="88"/>
      <c r="AVB117" s="88"/>
      <c r="AVC117" s="88"/>
      <c r="AVD117" s="88"/>
      <c r="AVE117" s="88"/>
      <c r="AVF117" s="88"/>
      <c r="AVG117" s="88"/>
      <c r="AVH117" s="88"/>
      <c r="AVI117" s="88"/>
      <c r="AVJ117" s="88"/>
      <c r="AVK117" s="88"/>
      <c r="AVL117" s="88"/>
      <c r="AVM117" s="88"/>
      <c r="AVN117" s="88"/>
      <c r="AVO117" s="88"/>
      <c r="AVP117" s="88"/>
      <c r="AVQ117" s="88"/>
      <c r="AVR117" s="88"/>
      <c r="AVS117" s="88"/>
      <c r="AVT117" s="88"/>
      <c r="AVU117" s="88"/>
      <c r="AVV117" s="88"/>
      <c r="AVW117" s="88"/>
      <c r="AVX117" s="88"/>
      <c r="AVY117" s="88"/>
      <c r="AVZ117" s="88"/>
      <c r="AWA117" s="88"/>
      <c r="AWB117" s="88"/>
      <c r="AWC117" s="88"/>
      <c r="AWD117" s="88"/>
      <c r="AWE117" s="88"/>
      <c r="AWF117" s="88"/>
      <c r="AWG117" s="88"/>
      <c r="AWH117" s="88"/>
      <c r="AWI117" s="88"/>
      <c r="AWJ117" s="88"/>
      <c r="AWK117" s="88"/>
      <c r="AWL117" s="88"/>
      <c r="AWM117" s="88"/>
      <c r="AWN117" s="88"/>
      <c r="AWO117" s="88"/>
      <c r="AWP117" s="88"/>
      <c r="AWQ117" s="88"/>
      <c r="AWR117" s="88"/>
      <c r="AWS117" s="88"/>
      <c r="AWT117" s="88"/>
      <c r="AWU117" s="88"/>
      <c r="AWV117" s="88"/>
      <c r="AWW117" s="88"/>
      <c r="AWX117" s="88"/>
      <c r="AWY117" s="88"/>
      <c r="AWZ117" s="88"/>
      <c r="AXA117" s="88"/>
      <c r="AXB117" s="88"/>
      <c r="AXC117" s="88"/>
      <c r="AXD117" s="88"/>
      <c r="AXE117" s="88"/>
      <c r="AXF117" s="88"/>
      <c r="AXG117" s="88"/>
      <c r="AXH117" s="88"/>
      <c r="AXI117" s="88"/>
      <c r="AXJ117" s="88"/>
      <c r="AXK117" s="88"/>
      <c r="AXL117" s="88"/>
      <c r="AXM117" s="88"/>
      <c r="AXN117" s="88"/>
      <c r="AXO117" s="88"/>
      <c r="AXP117" s="88"/>
      <c r="AXQ117" s="88"/>
      <c r="AXR117" s="88"/>
      <c r="AXS117" s="88"/>
      <c r="AXT117" s="88"/>
      <c r="AXU117" s="88"/>
      <c r="AXV117" s="88"/>
      <c r="AXW117" s="88"/>
      <c r="AXX117" s="88"/>
      <c r="AXY117" s="88"/>
      <c r="AXZ117" s="88"/>
      <c r="AYA117" s="88"/>
      <c r="AYB117" s="88"/>
      <c r="AYC117" s="88"/>
      <c r="AYD117" s="88"/>
      <c r="AYE117" s="88"/>
      <c r="AYF117" s="88"/>
      <c r="AYG117" s="88"/>
      <c r="AYH117" s="88"/>
      <c r="AYI117" s="88"/>
      <c r="AYJ117" s="88"/>
      <c r="AYK117" s="88"/>
      <c r="AYL117" s="88"/>
      <c r="AYM117" s="88"/>
      <c r="AYN117" s="88"/>
      <c r="AYO117" s="88"/>
      <c r="AYP117" s="88"/>
      <c r="AYQ117" s="88"/>
      <c r="AYR117" s="88"/>
      <c r="AYS117" s="88"/>
      <c r="AYT117" s="88"/>
      <c r="AYU117" s="88"/>
      <c r="AYV117" s="88"/>
      <c r="AYW117" s="88"/>
      <c r="AYX117" s="88"/>
      <c r="AYY117" s="88"/>
      <c r="AYZ117" s="88"/>
      <c r="AZA117" s="88"/>
      <c r="AZB117" s="88"/>
      <c r="AZC117" s="88"/>
      <c r="AZD117" s="88"/>
      <c r="AZE117" s="88"/>
      <c r="AZF117" s="88"/>
      <c r="AZG117" s="88"/>
      <c r="AZH117" s="88"/>
      <c r="AZI117" s="88"/>
      <c r="AZJ117" s="88"/>
      <c r="AZK117" s="88"/>
      <c r="AZL117" s="88"/>
      <c r="AZM117" s="88"/>
      <c r="AZN117" s="88"/>
      <c r="AZO117" s="88"/>
      <c r="AZP117" s="88"/>
      <c r="AZQ117" s="88"/>
      <c r="AZR117" s="88"/>
      <c r="AZS117" s="88"/>
      <c r="AZT117" s="88"/>
      <c r="AZU117" s="88"/>
      <c r="AZV117" s="88"/>
      <c r="AZW117" s="88"/>
      <c r="AZX117" s="88"/>
      <c r="AZY117" s="88"/>
      <c r="AZZ117" s="88"/>
      <c r="BAA117" s="88"/>
      <c r="BAB117" s="88"/>
      <c r="BAC117" s="88"/>
      <c r="BAD117" s="88"/>
      <c r="BAE117" s="88"/>
      <c r="BAF117" s="88"/>
      <c r="BAG117" s="88"/>
      <c r="BAH117" s="88"/>
      <c r="BAI117" s="88"/>
      <c r="BAJ117" s="88"/>
      <c r="BAK117" s="88"/>
      <c r="BAL117" s="88"/>
      <c r="BAM117" s="88"/>
      <c r="BAN117" s="88"/>
      <c r="BAO117" s="88"/>
      <c r="BAP117" s="88"/>
      <c r="BAQ117" s="88"/>
      <c r="BAR117" s="88"/>
      <c r="BAS117" s="88"/>
      <c r="BAT117" s="88"/>
      <c r="BAU117" s="88"/>
      <c r="BAV117" s="88"/>
      <c r="BAW117" s="88"/>
      <c r="BAX117" s="88"/>
      <c r="BAY117" s="88"/>
      <c r="BAZ117" s="88"/>
      <c r="BBA117" s="88"/>
      <c r="BBB117" s="88"/>
      <c r="BBC117" s="88"/>
      <c r="BBD117" s="88"/>
      <c r="BBE117" s="88"/>
      <c r="BBF117" s="88"/>
      <c r="BBG117" s="88"/>
      <c r="BBH117" s="88"/>
      <c r="BBI117" s="88"/>
      <c r="BBJ117" s="88"/>
      <c r="BBK117" s="88"/>
      <c r="BBL117" s="88"/>
      <c r="BBM117" s="88"/>
      <c r="BBN117" s="88"/>
      <c r="BBO117" s="88"/>
      <c r="BBP117" s="88"/>
      <c r="BBQ117" s="88"/>
      <c r="BBR117" s="88"/>
      <c r="BBS117" s="88"/>
      <c r="BBT117" s="88"/>
      <c r="BBU117" s="88"/>
      <c r="BBV117" s="88"/>
      <c r="BBW117" s="88"/>
      <c r="BBX117" s="88"/>
      <c r="BBY117" s="88"/>
      <c r="BBZ117" s="88"/>
      <c r="BCA117" s="88"/>
      <c r="BCB117" s="88"/>
      <c r="BCC117" s="88"/>
      <c r="BCD117" s="88"/>
      <c r="BCE117" s="88"/>
      <c r="BCF117" s="88"/>
      <c r="BCG117" s="88"/>
      <c r="BCH117" s="88"/>
      <c r="BCI117" s="88"/>
      <c r="BCJ117" s="88"/>
      <c r="BCK117" s="88"/>
      <c r="BCL117" s="88"/>
      <c r="BCM117" s="88"/>
      <c r="BCN117" s="88"/>
      <c r="BCO117" s="88"/>
      <c r="BCP117" s="88"/>
      <c r="BCQ117" s="88"/>
      <c r="BCR117" s="88"/>
      <c r="BCS117" s="88"/>
      <c r="BCT117" s="88"/>
      <c r="BCU117" s="88"/>
      <c r="BCV117" s="88"/>
      <c r="BCW117" s="88"/>
      <c r="BCX117" s="88"/>
      <c r="BCY117" s="88"/>
      <c r="BCZ117" s="88"/>
      <c r="BDA117" s="88"/>
      <c r="BDB117" s="88"/>
      <c r="BDC117" s="88"/>
      <c r="BDD117" s="88"/>
      <c r="BDE117" s="88"/>
      <c r="BDF117" s="88"/>
      <c r="BDG117" s="88"/>
      <c r="BDH117" s="88"/>
      <c r="BDI117" s="88"/>
      <c r="BDJ117" s="88"/>
      <c r="BDK117" s="88"/>
      <c r="BDL117" s="88"/>
      <c r="BDM117" s="88"/>
      <c r="BDN117" s="88"/>
      <c r="BDO117" s="88"/>
      <c r="BDP117" s="88"/>
      <c r="BDQ117" s="88"/>
      <c r="BDR117" s="88"/>
      <c r="BDS117" s="88"/>
      <c r="BDT117" s="88"/>
      <c r="BDU117" s="88"/>
      <c r="BDV117" s="88"/>
      <c r="BDW117" s="88"/>
      <c r="BDX117" s="88"/>
      <c r="BDY117" s="88"/>
      <c r="BDZ117" s="88"/>
      <c r="BEA117" s="88"/>
      <c r="BEB117" s="88"/>
      <c r="BEC117" s="88"/>
      <c r="BED117" s="88"/>
      <c r="BEE117" s="88"/>
      <c r="BEF117" s="88"/>
      <c r="BEG117" s="88"/>
      <c r="BEH117" s="88"/>
      <c r="BEI117" s="88"/>
      <c r="BEJ117" s="88"/>
      <c r="BEK117" s="88"/>
      <c r="BEL117" s="88"/>
      <c r="BEM117" s="88"/>
      <c r="BEN117" s="88"/>
      <c r="BEO117" s="88"/>
      <c r="BEP117" s="88"/>
      <c r="BEQ117" s="88"/>
      <c r="BER117" s="88"/>
      <c r="BES117" s="88"/>
      <c r="BET117" s="88"/>
      <c r="BEU117" s="88"/>
      <c r="BEV117" s="88"/>
      <c r="BEW117" s="88"/>
      <c r="BEX117" s="88"/>
      <c r="BEY117" s="88"/>
      <c r="BEZ117" s="88"/>
      <c r="BFA117" s="88"/>
      <c r="BFB117" s="88"/>
      <c r="BFC117" s="88"/>
      <c r="BFD117" s="88"/>
      <c r="BFE117" s="88"/>
      <c r="BFF117" s="88"/>
      <c r="BFG117" s="88"/>
      <c r="BFH117" s="88"/>
      <c r="BFI117" s="88"/>
      <c r="BFJ117" s="88"/>
      <c r="BFK117" s="88"/>
      <c r="BFL117" s="88"/>
      <c r="BFM117" s="88"/>
      <c r="BFN117" s="88"/>
      <c r="BFO117" s="88"/>
      <c r="BFP117" s="88"/>
      <c r="BFQ117" s="88"/>
      <c r="BFR117" s="88"/>
      <c r="BFS117" s="88"/>
      <c r="BFT117" s="88"/>
      <c r="BFU117" s="88"/>
      <c r="BFV117" s="88"/>
      <c r="BFW117" s="88"/>
      <c r="BFX117" s="88"/>
      <c r="BFY117" s="88"/>
      <c r="BFZ117" s="88"/>
      <c r="BGA117" s="88"/>
      <c r="BGB117" s="88"/>
      <c r="BGC117" s="88"/>
      <c r="BGD117" s="88"/>
      <c r="BGE117" s="88"/>
      <c r="BGF117" s="88"/>
      <c r="BGG117" s="88"/>
      <c r="BGH117" s="88"/>
      <c r="BGI117" s="88"/>
      <c r="BGJ117" s="88"/>
      <c r="BGK117" s="88"/>
      <c r="BGL117" s="88"/>
      <c r="BGM117" s="88"/>
      <c r="BGN117" s="88"/>
      <c r="BGO117" s="88"/>
      <c r="BGP117" s="88"/>
      <c r="BGQ117" s="88"/>
      <c r="BGR117" s="88"/>
      <c r="BGS117" s="88"/>
      <c r="BGT117" s="88"/>
      <c r="BGU117" s="88"/>
      <c r="BGV117" s="88"/>
      <c r="BGW117" s="88"/>
      <c r="BGX117" s="88"/>
      <c r="BGY117" s="88"/>
      <c r="BGZ117" s="88"/>
      <c r="BHA117" s="88"/>
      <c r="BHB117" s="88"/>
      <c r="BHC117" s="88"/>
      <c r="BHD117" s="88"/>
      <c r="BHE117" s="88"/>
      <c r="BHF117" s="88"/>
      <c r="BHG117" s="88"/>
      <c r="BHH117" s="88"/>
      <c r="BHI117" s="88"/>
      <c r="BHJ117" s="88"/>
      <c r="BHK117" s="88"/>
      <c r="BHL117" s="88"/>
      <c r="BHM117" s="88"/>
      <c r="BHN117" s="88"/>
      <c r="BHO117" s="88"/>
      <c r="BHP117" s="88"/>
      <c r="BHQ117" s="88"/>
      <c r="BHR117" s="88"/>
      <c r="BHS117" s="88"/>
      <c r="BHT117" s="88"/>
      <c r="BHU117" s="88"/>
      <c r="BHV117" s="88"/>
      <c r="BHW117" s="88"/>
      <c r="BHX117" s="88"/>
      <c r="BHY117" s="88"/>
      <c r="BHZ117" s="88"/>
      <c r="BIA117" s="88"/>
      <c r="BIB117" s="88"/>
      <c r="BIC117" s="88"/>
      <c r="BID117" s="88"/>
      <c r="BIE117" s="88"/>
      <c r="BIF117" s="88"/>
      <c r="BIG117" s="88"/>
      <c r="BIH117" s="88"/>
      <c r="BII117" s="88"/>
      <c r="BIJ117" s="88"/>
      <c r="BIK117" s="88"/>
      <c r="BIL117" s="88"/>
      <c r="BIM117" s="88"/>
      <c r="BIN117" s="88"/>
      <c r="BIO117" s="88"/>
      <c r="BIP117" s="88"/>
      <c r="BIQ117" s="88"/>
      <c r="BIR117" s="88"/>
      <c r="BIS117" s="88"/>
      <c r="BIT117" s="88"/>
      <c r="BIU117" s="88"/>
      <c r="BIV117" s="88"/>
      <c r="BIW117" s="88"/>
      <c r="BIX117" s="88"/>
      <c r="BIY117" s="88"/>
      <c r="BIZ117" s="88"/>
      <c r="BJA117" s="88"/>
      <c r="BJB117" s="88"/>
      <c r="BJC117" s="88"/>
      <c r="BJD117" s="88"/>
      <c r="BJE117" s="88"/>
      <c r="BJF117" s="88"/>
      <c r="BJG117" s="88"/>
      <c r="BJH117" s="88"/>
      <c r="BJI117" s="88"/>
      <c r="BJJ117" s="88"/>
      <c r="BJK117" s="88"/>
      <c r="BJL117" s="88"/>
      <c r="BJM117" s="88"/>
      <c r="BJN117" s="88"/>
      <c r="BJO117" s="88"/>
      <c r="BJP117" s="88"/>
      <c r="BJQ117" s="88"/>
      <c r="BJR117" s="88"/>
      <c r="BJS117" s="88"/>
      <c r="BJT117" s="88"/>
      <c r="BJU117" s="88"/>
      <c r="BJV117" s="88"/>
      <c r="BJW117" s="88"/>
      <c r="BJX117" s="88"/>
      <c r="BJY117" s="88"/>
      <c r="BJZ117" s="88"/>
      <c r="BKA117" s="88"/>
      <c r="BKB117" s="88"/>
      <c r="BKC117" s="88"/>
      <c r="BKD117" s="88"/>
      <c r="BKE117" s="88"/>
      <c r="BKF117" s="88"/>
      <c r="BKG117" s="88"/>
      <c r="BKH117" s="88"/>
      <c r="BKI117" s="88"/>
      <c r="BKJ117" s="88"/>
      <c r="BKK117" s="88"/>
      <c r="BKL117" s="88"/>
      <c r="BKM117" s="88"/>
      <c r="BKN117" s="88"/>
      <c r="BKO117" s="88"/>
      <c r="BKP117" s="88"/>
      <c r="BKQ117" s="88"/>
      <c r="BKR117" s="88"/>
      <c r="BKS117" s="88"/>
      <c r="BKT117" s="88"/>
      <c r="BKU117" s="88"/>
      <c r="BKV117" s="88"/>
      <c r="BKW117" s="88"/>
      <c r="BKX117" s="88"/>
      <c r="BKY117" s="88"/>
      <c r="BKZ117" s="88"/>
      <c r="BLA117" s="88"/>
      <c r="BLB117" s="88"/>
      <c r="BLC117" s="88"/>
      <c r="BLD117" s="88"/>
      <c r="BLE117" s="88"/>
      <c r="BLF117" s="88"/>
      <c r="BLG117" s="88"/>
      <c r="BLH117" s="88"/>
      <c r="BLI117" s="88"/>
      <c r="BLJ117" s="88"/>
      <c r="BLK117" s="88"/>
      <c r="BLL117" s="88"/>
      <c r="BLM117" s="88"/>
      <c r="BLN117" s="88"/>
      <c r="BLO117" s="88"/>
      <c r="BLP117" s="88"/>
      <c r="BLQ117" s="88"/>
      <c r="BLR117" s="88"/>
      <c r="BLS117" s="88"/>
      <c r="BLT117" s="88"/>
      <c r="BLU117" s="88"/>
      <c r="BLV117" s="88"/>
      <c r="BLW117" s="88"/>
      <c r="BLX117" s="88"/>
      <c r="BLY117" s="88"/>
      <c r="BLZ117" s="88"/>
      <c r="BMA117" s="88"/>
      <c r="BMB117" s="88"/>
      <c r="BMC117" s="88"/>
      <c r="BMD117" s="88"/>
      <c r="BME117" s="88"/>
      <c r="BMF117" s="88"/>
      <c r="BMG117" s="88"/>
      <c r="BMH117" s="88"/>
      <c r="BMI117" s="88"/>
      <c r="BMJ117" s="88"/>
      <c r="BMK117" s="88"/>
      <c r="BML117" s="88"/>
      <c r="BMM117" s="88"/>
      <c r="BMN117" s="88"/>
      <c r="BMO117" s="88"/>
      <c r="BMP117" s="88"/>
      <c r="BMQ117" s="88"/>
      <c r="BMR117" s="88"/>
      <c r="BMS117" s="88"/>
      <c r="BMT117" s="88"/>
      <c r="BMU117" s="88"/>
      <c r="BMV117" s="88"/>
      <c r="BMW117" s="88"/>
      <c r="BMX117" s="88"/>
      <c r="BMY117" s="88"/>
      <c r="BMZ117" s="88"/>
      <c r="BNA117" s="88"/>
      <c r="BNB117" s="88"/>
      <c r="BNC117" s="88"/>
      <c r="BND117" s="88"/>
      <c r="BNE117" s="88"/>
      <c r="BNF117" s="88"/>
      <c r="BNG117" s="88"/>
      <c r="BNH117" s="88"/>
      <c r="BNI117" s="88"/>
      <c r="BNJ117" s="88"/>
      <c r="BNK117" s="88"/>
      <c r="BNL117" s="88"/>
      <c r="BNM117" s="88"/>
      <c r="BNN117" s="88"/>
      <c r="BNO117" s="88"/>
      <c r="BNP117" s="88"/>
      <c r="BNQ117" s="88"/>
      <c r="BNR117" s="88"/>
      <c r="BNS117" s="88"/>
      <c r="BNT117" s="88"/>
      <c r="BNU117" s="88"/>
      <c r="BNV117" s="88"/>
      <c r="BNW117" s="88"/>
      <c r="BNX117" s="88"/>
      <c r="BNY117" s="88"/>
      <c r="BNZ117" s="88"/>
      <c r="BOA117" s="88"/>
      <c r="BOB117" s="88"/>
      <c r="BOC117" s="88"/>
      <c r="BOD117" s="88"/>
      <c r="BOE117" s="88"/>
      <c r="BOF117" s="88"/>
      <c r="BOG117" s="88"/>
      <c r="BOH117" s="88"/>
      <c r="BOI117" s="88"/>
      <c r="BOJ117" s="88"/>
      <c r="BOK117" s="88"/>
      <c r="BOL117" s="88"/>
      <c r="BOM117" s="88"/>
      <c r="BON117" s="88"/>
      <c r="BOO117" s="88"/>
      <c r="BOP117" s="88"/>
      <c r="BOQ117" s="88"/>
      <c r="BOR117" s="88"/>
      <c r="BOS117" s="88"/>
      <c r="BOT117" s="88"/>
      <c r="BOU117" s="88"/>
      <c r="BOV117" s="88"/>
      <c r="BOW117" s="88"/>
      <c r="BOX117" s="88"/>
      <c r="BOY117" s="88"/>
      <c r="BOZ117" s="88"/>
      <c r="BPA117" s="88"/>
      <c r="BPB117" s="88"/>
      <c r="BPC117" s="88"/>
      <c r="BPD117" s="88"/>
      <c r="BPE117" s="88"/>
      <c r="BPF117" s="88"/>
      <c r="BPG117" s="88"/>
      <c r="BPH117" s="88"/>
      <c r="BPI117" s="88"/>
      <c r="BPJ117" s="88"/>
      <c r="BPK117" s="88"/>
      <c r="BPL117" s="88"/>
      <c r="BPM117" s="88"/>
      <c r="BPN117" s="88"/>
      <c r="BPO117" s="88"/>
      <c r="BPP117" s="88"/>
      <c r="BPQ117" s="88"/>
      <c r="BPR117" s="88"/>
      <c r="BPS117" s="88"/>
      <c r="BPT117" s="88"/>
      <c r="BPU117" s="88"/>
      <c r="BPV117" s="88"/>
      <c r="BPW117" s="88"/>
      <c r="BPX117" s="88"/>
      <c r="BPY117" s="88"/>
      <c r="BPZ117" s="88"/>
      <c r="BQA117" s="88"/>
      <c r="BQB117" s="88"/>
      <c r="BQC117" s="88"/>
      <c r="BQD117" s="88"/>
      <c r="BQE117" s="88"/>
      <c r="BQF117" s="88"/>
      <c r="BQG117" s="88"/>
      <c r="BQH117" s="88"/>
      <c r="BQI117" s="88"/>
      <c r="BQJ117" s="88"/>
      <c r="BQK117" s="88"/>
      <c r="BQL117" s="88"/>
      <c r="BQM117" s="88"/>
      <c r="BQN117" s="88"/>
      <c r="BQO117" s="88"/>
      <c r="BQP117" s="88"/>
      <c r="BQQ117" s="88"/>
      <c r="BQR117" s="88"/>
      <c r="BQS117" s="88"/>
      <c r="BQT117" s="88"/>
      <c r="BQU117" s="88"/>
      <c r="BQV117" s="88"/>
      <c r="BQW117" s="88"/>
      <c r="BQX117" s="88"/>
      <c r="BQY117" s="88"/>
      <c r="BQZ117" s="88"/>
      <c r="BRA117" s="88"/>
      <c r="BRB117" s="88"/>
      <c r="BRC117" s="88"/>
      <c r="BRD117" s="88"/>
      <c r="BRE117" s="88"/>
      <c r="BRF117" s="88"/>
      <c r="BRG117" s="88"/>
      <c r="BRH117" s="88"/>
      <c r="BRI117" s="88"/>
      <c r="BRJ117" s="88"/>
      <c r="BRK117" s="88"/>
      <c r="BRL117" s="88"/>
      <c r="BRM117" s="88"/>
      <c r="BRN117" s="88"/>
      <c r="BRO117" s="88"/>
      <c r="BRP117" s="88"/>
      <c r="BRQ117" s="88"/>
      <c r="BRR117" s="88"/>
      <c r="BRS117" s="88"/>
      <c r="BRT117" s="88"/>
      <c r="BRU117" s="88"/>
      <c r="BRV117" s="88"/>
      <c r="BRW117" s="88"/>
      <c r="BRX117" s="88"/>
      <c r="BRY117" s="88"/>
      <c r="BRZ117" s="88"/>
      <c r="BSA117" s="88"/>
      <c r="BSB117" s="88"/>
      <c r="BSC117" s="88"/>
      <c r="BSD117" s="88"/>
      <c r="BSE117" s="88"/>
      <c r="BSF117" s="88"/>
      <c r="BSG117" s="88"/>
      <c r="BSH117" s="88"/>
      <c r="BSI117" s="88"/>
      <c r="BSJ117" s="88"/>
      <c r="BSK117" s="88"/>
      <c r="BSL117" s="88"/>
      <c r="BSM117" s="88"/>
      <c r="BSN117" s="88"/>
      <c r="BSO117" s="88"/>
      <c r="BSP117" s="88"/>
      <c r="BSQ117" s="88"/>
      <c r="BSR117" s="88"/>
      <c r="BSS117" s="88"/>
      <c r="BST117" s="88"/>
      <c r="BSU117" s="88"/>
      <c r="BSV117" s="88"/>
      <c r="BSW117" s="88"/>
      <c r="BSX117" s="88"/>
      <c r="BSY117" s="88"/>
      <c r="BSZ117" s="88"/>
      <c r="BTA117" s="88"/>
      <c r="BTB117" s="88"/>
      <c r="BTC117" s="88"/>
      <c r="BTD117" s="88"/>
      <c r="BTE117" s="88"/>
      <c r="BTF117" s="88"/>
      <c r="BTG117" s="88"/>
      <c r="BTH117" s="88"/>
      <c r="BTI117" s="88"/>
      <c r="BTJ117" s="88"/>
      <c r="BTK117" s="88"/>
      <c r="BTL117" s="88"/>
      <c r="BTM117" s="88"/>
      <c r="BTN117" s="88"/>
      <c r="BTO117" s="88"/>
      <c r="BTP117" s="88"/>
      <c r="BTQ117" s="88"/>
      <c r="BTR117" s="88"/>
      <c r="BTS117" s="88"/>
      <c r="BTT117" s="88"/>
      <c r="BTU117" s="88"/>
      <c r="BTV117" s="88"/>
      <c r="BTW117" s="88"/>
      <c r="BTX117" s="88"/>
      <c r="BTY117" s="88"/>
      <c r="BTZ117" s="88"/>
      <c r="BUA117" s="88"/>
      <c r="BUB117" s="88"/>
      <c r="BUC117" s="88"/>
      <c r="BUD117" s="88"/>
      <c r="BUE117" s="88"/>
      <c r="BUF117" s="88"/>
      <c r="BUG117" s="88"/>
      <c r="BUH117" s="88"/>
      <c r="BUI117" s="88"/>
      <c r="BUJ117" s="88"/>
      <c r="BUK117" s="88"/>
      <c r="BUL117" s="88"/>
      <c r="BUM117" s="88"/>
      <c r="BUN117" s="88"/>
      <c r="BUO117" s="88"/>
      <c r="BUP117" s="88"/>
      <c r="BUQ117" s="88"/>
      <c r="BUR117" s="88"/>
      <c r="BUS117" s="88"/>
      <c r="BUT117" s="88"/>
      <c r="BUU117" s="88"/>
      <c r="BUV117" s="88"/>
      <c r="BUW117" s="88"/>
      <c r="BUX117" s="88"/>
      <c r="BUY117" s="88"/>
      <c r="BUZ117" s="88"/>
      <c r="BVA117" s="88"/>
      <c r="BVB117" s="88"/>
      <c r="BVC117" s="88"/>
      <c r="BVD117" s="88"/>
      <c r="BVE117" s="88"/>
      <c r="BVF117" s="88"/>
      <c r="BVG117" s="88"/>
      <c r="BVH117" s="88"/>
      <c r="BVI117" s="88"/>
      <c r="BVJ117" s="88"/>
      <c r="BVK117" s="88"/>
      <c r="BVL117" s="88"/>
      <c r="BVM117" s="88"/>
      <c r="BVN117" s="88"/>
      <c r="BVO117" s="88"/>
      <c r="BVP117" s="88"/>
      <c r="BVQ117" s="88"/>
      <c r="BVR117" s="88"/>
      <c r="BVS117" s="88"/>
      <c r="BVT117" s="88"/>
      <c r="BVU117" s="88"/>
      <c r="BVV117" s="88"/>
      <c r="BVW117" s="88"/>
      <c r="BVX117" s="88"/>
      <c r="BVY117" s="88"/>
      <c r="BVZ117" s="88"/>
      <c r="BWA117" s="88"/>
      <c r="BWB117" s="88"/>
      <c r="BWC117" s="88"/>
      <c r="BWD117" s="88"/>
      <c r="BWE117" s="88"/>
      <c r="BWF117" s="88"/>
      <c r="BWG117" s="88"/>
      <c r="BWH117" s="88"/>
      <c r="BWI117" s="88"/>
      <c r="BWJ117" s="88"/>
      <c r="BWK117" s="88"/>
      <c r="BWL117" s="88"/>
      <c r="BWM117" s="88"/>
      <c r="BWN117" s="88"/>
      <c r="BWO117" s="88"/>
      <c r="BWP117" s="88"/>
      <c r="BWQ117" s="88"/>
      <c r="BWR117" s="88"/>
      <c r="BWS117" s="88"/>
      <c r="BWT117" s="88"/>
      <c r="BWU117" s="88"/>
      <c r="BWV117" s="88"/>
      <c r="BWW117" s="88"/>
      <c r="BWX117" s="88"/>
      <c r="BWY117" s="88"/>
      <c r="BWZ117" s="88"/>
      <c r="BXA117" s="88"/>
      <c r="BXB117" s="88"/>
      <c r="BXC117" s="88"/>
      <c r="BXD117" s="88"/>
      <c r="BXE117" s="88"/>
      <c r="BXF117" s="88"/>
      <c r="BXG117" s="88"/>
      <c r="BXH117" s="88"/>
      <c r="BXI117" s="88"/>
      <c r="BXJ117" s="88"/>
      <c r="BXK117" s="88"/>
      <c r="BXL117" s="88"/>
      <c r="BXM117" s="88"/>
      <c r="BXN117" s="88"/>
      <c r="BXO117" s="88"/>
      <c r="BXP117" s="88"/>
      <c r="BXQ117" s="88"/>
      <c r="BXR117" s="88"/>
      <c r="BXS117" s="88"/>
      <c r="BXT117" s="88"/>
      <c r="BXU117" s="88"/>
      <c r="BXV117" s="88"/>
      <c r="BXW117" s="88"/>
      <c r="BXX117" s="88"/>
      <c r="BXY117" s="88"/>
      <c r="BXZ117" s="88"/>
      <c r="BYA117" s="88"/>
      <c r="BYB117" s="88"/>
      <c r="BYC117" s="88"/>
      <c r="BYD117" s="88"/>
      <c r="BYE117" s="88"/>
      <c r="BYF117" s="88"/>
      <c r="BYG117" s="88"/>
      <c r="BYH117" s="88"/>
      <c r="BYI117" s="88"/>
      <c r="BYJ117" s="88"/>
      <c r="BYK117" s="88"/>
      <c r="BYL117" s="88"/>
      <c r="BYM117" s="88"/>
      <c r="BYN117" s="88"/>
      <c r="BYO117" s="88"/>
      <c r="BYP117" s="88"/>
      <c r="BYQ117" s="88"/>
      <c r="BYR117" s="88"/>
      <c r="BYS117" s="88"/>
      <c r="BYT117" s="88"/>
      <c r="BYU117" s="88"/>
      <c r="BYV117" s="88"/>
      <c r="BYW117" s="88"/>
      <c r="BYX117" s="88"/>
      <c r="BYY117" s="88"/>
      <c r="BYZ117" s="88"/>
      <c r="BZA117" s="88"/>
      <c r="BZB117" s="88"/>
      <c r="BZC117" s="88"/>
      <c r="BZD117" s="88"/>
      <c r="BZE117" s="88"/>
      <c r="BZF117" s="88"/>
      <c r="BZG117" s="88"/>
      <c r="BZH117" s="88"/>
      <c r="BZI117" s="88"/>
      <c r="BZJ117" s="88"/>
      <c r="BZK117" s="88"/>
      <c r="BZL117" s="88"/>
      <c r="BZM117" s="88"/>
      <c r="BZN117" s="88"/>
      <c r="BZO117" s="88"/>
      <c r="BZP117" s="88"/>
      <c r="BZQ117" s="88"/>
      <c r="BZR117" s="88"/>
      <c r="BZS117" s="88"/>
      <c r="BZT117" s="88"/>
      <c r="BZU117" s="88"/>
      <c r="BZV117" s="88"/>
      <c r="BZW117" s="88"/>
      <c r="BZX117" s="88"/>
      <c r="BZY117" s="88"/>
      <c r="BZZ117" s="88"/>
      <c r="CAA117" s="88"/>
      <c r="CAB117" s="88"/>
      <c r="CAC117" s="88"/>
      <c r="CAD117" s="88"/>
      <c r="CAE117" s="88"/>
      <c r="CAF117" s="88"/>
      <c r="CAG117" s="88"/>
      <c r="CAH117" s="88"/>
      <c r="CAI117" s="88"/>
      <c r="CAJ117" s="88"/>
      <c r="CAK117" s="88"/>
      <c r="CAL117" s="88"/>
      <c r="CAM117" s="88"/>
      <c r="CAN117" s="88"/>
      <c r="CAO117" s="88"/>
      <c r="CAP117" s="88"/>
      <c r="CAQ117" s="88"/>
      <c r="CAR117" s="88"/>
      <c r="CAS117" s="88"/>
      <c r="CAT117" s="88"/>
      <c r="CAU117" s="88"/>
      <c r="CAV117" s="88"/>
      <c r="CAW117" s="88"/>
      <c r="CAX117" s="88"/>
      <c r="CAY117" s="88"/>
      <c r="CAZ117" s="88"/>
      <c r="CBA117" s="88"/>
      <c r="CBB117" s="88"/>
      <c r="CBC117" s="88"/>
      <c r="CBD117" s="88"/>
      <c r="CBE117" s="88"/>
      <c r="CBF117" s="88"/>
      <c r="CBG117" s="88"/>
      <c r="CBH117" s="88"/>
      <c r="CBI117" s="88"/>
      <c r="CBJ117" s="88"/>
      <c r="CBK117" s="88"/>
      <c r="CBL117" s="88"/>
      <c r="CBM117" s="88"/>
      <c r="CBN117" s="88"/>
      <c r="CBO117" s="88"/>
      <c r="CBP117" s="88"/>
      <c r="CBQ117" s="88"/>
      <c r="CBR117" s="88"/>
      <c r="CBS117" s="88"/>
      <c r="CBT117" s="88"/>
      <c r="CBU117" s="88"/>
      <c r="CBV117" s="88"/>
      <c r="CBW117" s="88"/>
      <c r="CBX117" s="88"/>
      <c r="CBY117" s="88"/>
      <c r="CBZ117" s="88"/>
      <c r="CCA117" s="88"/>
      <c r="CCB117" s="88"/>
      <c r="CCC117" s="88"/>
      <c r="CCD117" s="88"/>
      <c r="CCE117" s="88"/>
      <c r="CCF117" s="88"/>
      <c r="CCG117" s="88"/>
      <c r="CCH117" s="88"/>
      <c r="CCI117" s="88"/>
      <c r="CCJ117" s="88"/>
      <c r="CCK117" s="88"/>
      <c r="CCL117" s="88"/>
      <c r="CCM117" s="88"/>
      <c r="CCN117" s="88"/>
      <c r="CCO117" s="88"/>
      <c r="CCP117" s="88"/>
      <c r="CCQ117" s="88"/>
      <c r="CCR117" s="88"/>
      <c r="CCS117" s="88"/>
      <c r="CCT117" s="88"/>
      <c r="CCU117" s="88"/>
      <c r="CCV117" s="88"/>
      <c r="CCW117" s="88"/>
      <c r="CCX117" s="88"/>
      <c r="CCY117" s="88"/>
      <c r="CCZ117" s="88"/>
      <c r="CDA117" s="88"/>
      <c r="CDB117" s="88"/>
      <c r="CDC117" s="88"/>
      <c r="CDD117" s="88"/>
      <c r="CDE117" s="88"/>
      <c r="CDF117" s="88"/>
      <c r="CDG117" s="88"/>
      <c r="CDH117" s="88"/>
      <c r="CDI117" s="88"/>
      <c r="CDJ117" s="88"/>
      <c r="CDK117" s="88"/>
      <c r="CDL117" s="88"/>
      <c r="CDM117" s="88"/>
      <c r="CDN117" s="88"/>
      <c r="CDO117" s="88"/>
      <c r="CDP117" s="88"/>
      <c r="CDQ117" s="88"/>
      <c r="CDR117" s="88"/>
      <c r="CDS117" s="88"/>
      <c r="CDT117" s="88"/>
      <c r="CDU117" s="88"/>
      <c r="CDV117" s="88"/>
      <c r="CDW117" s="88"/>
      <c r="CDX117" s="88"/>
      <c r="CDY117" s="88"/>
      <c r="CDZ117" s="88"/>
      <c r="CEA117" s="88"/>
      <c r="CEB117" s="88"/>
      <c r="CEC117" s="88"/>
      <c r="CED117" s="88"/>
      <c r="CEE117" s="88"/>
      <c r="CEF117" s="88"/>
      <c r="CEG117" s="88"/>
      <c r="CEH117" s="88"/>
      <c r="CEI117" s="88"/>
      <c r="CEJ117" s="88"/>
      <c r="CEK117" s="88"/>
    </row>
    <row r="118" spans="1:2169" s="63" customFormat="1">
      <c r="A118" s="73" t="s">
        <v>806</v>
      </c>
      <c r="B118" s="71" t="s">
        <v>713</v>
      </c>
      <c r="C118" s="68" t="str">
        <f>IF('page 2'!$O$4="","",IF('page 2'!$O$4=Gestion!A118,1,0))</f>
        <v/>
      </c>
      <c r="D118" s="68" t="str">
        <f>IF('page 2'!$O$5="","",IF('page 2'!$O$5=Gestion!A118,1,0))</f>
        <v/>
      </c>
      <c r="E118" s="68" t="str">
        <f>IF('page 2'!$O$6="","",IF('page 2'!$O$6=Gestion!A118,1,0))</f>
        <v/>
      </c>
      <c r="F118" s="68" t="str">
        <f>IF('page 2'!$O$7="","",IF('page 2'!$O$7=Gestion!A118,1,0))</f>
        <v/>
      </c>
      <c r="G118" s="68" t="str">
        <f>IF('page 2'!$O$8="","",IF('page 2'!$O$8=Gestion!A118,1,0))</f>
        <v/>
      </c>
      <c r="H118" s="68" t="str">
        <f>IF('page 2'!$O$9="","",IF('page 2'!$O$9=Gestion!A118,1,0))</f>
        <v/>
      </c>
      <c r="I118" s="68" t="str">
        <f>IF('page 2'!$O$10="","",IF('page 2'!$O$10=Gestion!A118,1,0))</f>
        <v/>
      </c>
      <c r="J118" s="68" t="str">
        <f>IF('page 2'!$O$11="","",IF('page 2'!$O$11=Gestion!A118,1,0))</f>
        <v/>
      </c>
      <c r="K118" s="68" t="str">
        <f>IF('page 2'!$O$12="","",IF('page 2'!$O$12=Gestion!A118,1,0))</f>
        <v/>
      </c>
      <c r="L118" s="68" t="str">
        <f>IF('page 2'!$O$13="","",IF('page 2'!$O$13=Gestion!A118,1,0))</f>
        <v/>
      </c>
      <c r="M118" s="68" t="str">
        <f>IF('page 2'!$O$14="","",IF('page 2'!$O$14=Gestion!A118,1,0))</f>
        <v/>
      </c>
      <c r="N118" s="68" t="str">
        <f>IF('page 2'!$O$15="","",IF('page 2'!$O$15=Gestion!A118,1,0))</f>
        <v/>
      </c>
      <c r="O118" s="68" t="str">
        <f>IF('page 2'!$O$16="","",IF('page 2'!$O$16=Gestion!A118,1,0))</f>
        <v/>
      </c>
      <c r="P118" s="68" t="str">
        <f>IF('page 2'!$O$17="","",IF('page 2'!$O$17=Gestion!A118,1,0))</f>
        <v/>
      </c>
      <c r="Q118" s="68" t="str">
        <f>IF('page 2'!$O$18="","",IF('page 2'!$O$18=Gestion!A118,1,0))</f>
        <v/>
      </c>
      <c r="R118" s="68" t="str">
        <f>IF('page 2'!$O$19="","",IF('page 2'!$O$19=Gestion!A118,1,0))</f>
        <v/>
      </c>
      <c r="S118" s="68" t="str">
        <f>IF('page 2'!$O$20="","",IF('page 2'!$O$20=Gestion!A118,1,0))</f>
        <v/>
      </c>
      <c r="T118" s="68" t="str">
        <f>IF('page 2'!$O$25="","",IF('page 2'!$O$25=Gestion!A118,1,0))</f>
        <v/>
      </c>
      <c r="U118" s="68" t="str">
        <f>IF('page 2'!$O$26="","",IF('page 2'!$O$26=Gestion!A118,1,0))</f>
        <v/>
      </c>
      <c r="V118" s="68" t="str">
        <f>IF('page 2'!$O$27="","",IF('page 2'!$O$27=Gestion!A118,1,0))</f>
        <v/>
      </c>
      <c r="W118" s="722">
        <f t="shared" si="14"/>
        <v>0</v>
      </c>
      <c r="X118" s="714"/>
      <c r="Y118" s="68"/>
      <c r="Z118" s="68"/>
      <c r="AA118" s="68"/>
      <c r="AB118" s="68"/>
      <c r="AC118" s="68"/>
      <c r="AD118" s="68"/>
      <c r="AP118" s="130"/>
      <c r="AQ118" s="130"/>
      <c r="AR118" s="130"/>
      <c r="AS118" s="576"/>
      <c r="AT118" s="576"/>
      <c r="AU118" s="576"/>
      <c r="AV118" s="576"/>
      <c r="AW118" s="602"/>
      <c r="AX118" s="602"/>
      <c r="AY118" s="576"/>
      <c r="AZ118" s="576"/>
      <c r="BA118" s="576"/>
      <c r="BB118" s="576"/>
      <c r="BC118" s="576"/>
      <c r="BD118" s="602"/>
      <c r="BE118" s="602"/>
      <c r="BF118" s="602"/>
      <c r="BG118" s="602"/>
      <c r="BH118" s="602"/>
      <c r="BI118" s="602"/>
      <c r="BJ118" s="602"/>
      <c r="BK118" s="602"/>
      <c r="BL118" s="602"/>
      <c r="BM118" s="602"/>
      <c r="BN118" s="602"/>
      <c r="BO118" s="602"/>
      <c r="BP118" s="602"/>
      <c r="BQ118" s="602"/>
      <c r="BR118" s="602"/>
      <c r="BS118" s="576"/>
      <c r="BT118" s="576"/>
      <c r="BU118" s="576"/>
      <c r="BV118" s="576"/>
      <c r="BW118" s="602"/>
      <c r="BX118" s="602"/>
      <c r="BY118" s="602"/>
      <c r="BZ118" s="576"/>
      <c r="CA118" s="602"/>
      <c r="CB118" s="602"/>
      <c r="CC118" s="576"/>
      <c r="CD118" s="576"/>
      <c r="CE118" s="602"/>
      <c r="CF118" s="576"/>
      <c r="CG118" s="576"/>
      <c r="CH118" s="576"/>
      <c r="CI118" s="576"/>
      <c r="CJ118" s="576"/>
      <c r="CK118" s="602"/>
      <c r="CL118" s="602"/>
      <c r="CM118" s="576"/>
      <c r="CN118" s="602"/>
      <c r="CO118" s="602"/>
      <c r="CP118" s="602"/>
      <c r="CQ118" s="576"/>
      <c r="CR118" s="576"/>
      <c r="CS118" s="602"/>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c r="HF118" s="88"/>
      <c r="HG118" s="88"/>
      <c r="HH118" s="88"/>
      <c r="HI118" s="88"/>
      <c r="HJ118" s="88"/>
      <c r="HK118" s="88"/>
      <c r="HL118" s="88"/>
      <c r="HM118" s="88"/>
      <c r="HN118" s="88"/>
      <c r="HO118" s="88"/>
      <c r="HP118" s="88"/>
      <c r="HQ118" s="88"/>
      <c r="HR118" s="88"/>
      <c r="HS118" s="88"/>
      <c r="HT118" s="88"/>
      <c r="HU118" s="88"/>
      <c r="HV118" s="88"/>
      <c r="HW118" s="88"/>
      <c r="HX118" s="88"/>
      <c r="HY118" s="88"/>
      <c r="HZ118" s="88"/>
      <c r="IA118" s="88"/>
      <c r="IB118" s="88"/>
      <c r="IC118" s="88"/>
      <c r="ID118" s="88"/>
      <c r="IE118" s="88"/>
      <c r="IF118" s="88"/>
      <c r="IG118" s="88"/>
      <c r="IH118" s="88"/>
      <c r="II118" s="88"/>
      <c r="IJ118" s="88"/>
      <c r="IK118" s="88"/>
      <c r="IL118" s="88"/>
      <c r="IM118" s="88"/>
      <c r="IN118" s="88"/>
      <c r="IO118" s="88"/>
      <c r="IP118" s="88"/>
      <c r="IQ118" s="88"/>
      <c r="IR118" s="88"/>
      <c r="IS118" s="88"/>
      <c r="IT118" s="88"/>
      <c r="IU118" s="88"/>
      <c r="IV118" s="88"/>
      <c r="IW118" s="88"/>
      <c r="IX118" s="88"/>
      <c r="IY118" s="88"/>
      <c r="IZ118" s="88"/>
      <c r="JA118" s="88"/>
      <c r="JB118" s="88"/>
      <c r="JC118" s="88"/>
      <c r="JD118" s="88"/>
      <c r="JE118" s="88"/>
      <c r="JF118" s="88"/>
      <c r="JG118" s="88"/>
      <c r="JH118" s="88"/>
      <c r="JI118" s="88"/>
      <c r="JJ118" s="88"/>
      <c r="JK118" s="88"/>
      <c r="JL118" s="88"/>
      <c r="JM118" s="88"/>
      <c r="JN118" s="88"/>
      <c r="JO118" s="88"/>
      <c r="JP118" s="88"/>
      <c r="JQ118" s="88"/>
      <c r="JR118" s="88"/>
      <c r="JS118" s="88"/>
      <c r="JT118" s="88"/>
      <c r="JU118" s="88"/>
      <c r="JV118" s="88"/>
      <c r="JW118" s="88"/>
      <c r="JX118" s="88"/>
      <c r="JY118" s="88"/>
      <c r="JZ118" s="88"/>
      <c r="KA118" s="88"/>
      <c r="KB118" s="88"/>
      <c r="KC118" s="88"/>
      <c r="KD118" s="88"/>
      <c r="KE118" s="88"/>
      <c r="KF118" s="88"/>
      <c r="KG118" s="88"/>
      <c r="KH118" s="88"/>
      <c r="KI118" s="88"/>
      <c r="KJ118" s="88"/>
      <c r="KK118" s="88"/>
      <c r="KL118" s="88"/>
      <c r="KM118" s="88"/>
      <c r="KN118" s="88"/>
      <c r="KO118" s="88"/>
      <c r="KP118" s="88"/>
      <c r="KQ118" s="88"/>
      <c r="KR118" s="88"/>
      <c r="KS118" s="88"/>
      <c r="KT118" s="88"/>
      <c r="KU118" s="88"/>
      <c r="KV118" s="88"/>
      <c r="KW118" s="88"/>
      <c r="KX118" s="88"/>
      <c r="KY118" s="88"/>
      <c r="KZ118" s="88"/>
      <c r="LA118" s="88"/>
      <c r="LB118" s="88"/>
      <c r="LC118" s="88"/>
      <c r="LD118" s="88"/>
      <c r="LE118" s="88"/>
      <c r="LF118" s="88"/>
      <c r="LG118" s="88"/>
      <c r="LH118" s="88"/>
      <c r="LI118" s="88"/>
      <c r="LJ118" s="88"/>
      <c r="LK118" s="88"/>
      <c r="LL118" s="88"/>
      <c r="LM118" s="88"/>
      <c r="LN118" s="88"/>
      <c r="LO118" s="88"/>
      <c r="LP118" s="88"/>
      <c r="LQ118" s="88"/>
      <c r="LR118" s="88"/>
      <c r="LS118" s="88"/>
      <c r="LT118" s="88"/>
      <c r="LU118" s="88"/>
      <c r="LV118" s="88"/>
      <c r="LW118" s="88"/>
      <c r="LX118" s="88"/>
      <c r="LY118" s="88"/>
      <c r="LZ118" s="88"/>
      <c r="MA118" s="88"/>
      <c r="MB118" s="88"/>
      <c r="MC118" s="88"/>
      <c r="MD118" s="88"/>
      <c r="ME118" s="88"/>
      <c r="MF118" s="88"/>
      <c r="MG118" s="88"/>
      <c r="MH118" s="88"/>
      <c r="MI118" s="88"/>
      <c r="MJ118" s="88"/>
      <c r="MK118" s="88"/>
      <c r="ML118" s="88"/>
      <c r="MM118" s="88"/>
      <c r="MN118" s="88"/>
      <c r="MO118" s="88"/>
      <c r="MP118" s="88"/>
      <c r="MQ118" s="88"/>
      <c r="MR118" s="88"/>
      <c r="MS118" s="88"/>
      <c r="MT118" s="88"/>
      <c r="MU118" s="88"/>
      <c r="MV118" s="88"/>
      <c r="MW118" s="88"/>
      <c r="MX118" s="88"/>
      <c r="MY118" s="88"/>
      <c r="MZ118" s="88"/>
      <c r="NA118" s="88"/>
      <c r="NB118" s="88"/>
      <c r="NC118" s="88"/>
      <c r="ND118" s="88"/>
      <c r="NE118" s="88"/>
      <c r="NF118" s="88"/>
      <c r="NG118" s="88"/>
      <c r="NH118" s="88"/>
      <c r="NI118" s="88"/>
      <c r="NJ118" s="88"/>
      <c r="NK118" s="88"/>
      <c r="NL118" s="88"/>
      <c r="NM118" s="88"/>
      <c r="NN118" s="88"/>
      <c r="NO118" s="88"/>
      <c r="NP118" s="88"/>
      <c r="NQ118" s="88"/>
      <c r="NR118" s="88"/>
      <c r="NS118" s="88"/>
      <c r="NT118" s="88"/>
      <c r="NU118" s="88"/>
      <c r="NV118" s="88"/>
      <c r="NW118" s="88"/>
      <c r="NX118" s="88"/>
      <c r="NY118" s="88"/>
      <c r="NZ118" s="88"/>
      <c r="OA118" s="88"/>
      <c r="OB118" s="88"/>
      <c r="OC118" s="88"/>
      <c r="OD118" s="88"/>
      <c r="OE118" s="88"/>
      <c r="OF118" s="88"/>
      <c r="OG118" s="88"/>
      <c r="OH118" s="88"/>
      <c r="OI118" s="88"/>
      <c r="OJ118" s="88"/>
      <c r="OK118" s="88"/>
      <c r="OL118" s="88"/>
      <c r="OM118" s="88"/>
      <c r="ON118" s="88"/>
      <c r="OO118" s="88"/>
      <c r="OP118" s="88"/>
      <c r="OQ118" s="88"/>
      <c r="OR118" s="88"/>
      <c r="OS118" s="88"/>
      <c r="OT118" s="88"/>
      <c r="OU118" s="88"/>
      <c r="OV118" s="88"/>
      <c r="OW118" s="88"/>
      <c r="OX118" s="88"/>
      <c r="OY118" s="88"/>
      <c r="OZ118" s="88"/>
      <c r="PA118" s="88"/>
      <c r="PB118" s="88"/>
      <c r="PC118" s="88"/>
      <c r="PD118" s="88"/>
      <c r="PE118" s="88"/>
      <c r="PF118" s="88"/>
      <c r="PG118" s="88"/>
      <c r="PH118" s="88"/>
      <c r="PI118" s="88"/>
      <c r="PJ118" s="88"/>
      <c r="PK118" s="88"/>
      <c r="PL118" s="88"/>
      <c r="PM118" s="88"/>
      <c r="PN118" s="88"/>
      <c r="PO118" s="88"/>
      <c r="PP118" s="88"/>
      <c r="PQ118" s="88"/>
      <c r="PR118" s="88"/>
      <c r="PS118" s="88"/>
      <c r="PT118" s="88"/>
      <c r="PU118" s="88"/>
      <c r="PV118" s="88"/>
      <c r="PW118" s="88"/>
      <c r="PX118" s="88"/>
      <c r="PY118" s="88"/>
      <c r="PZ118" s="88"/>
      <c r="QA118" s="88"/>
      <c r="QB118" s="88"/>
      <c r="QC118" s="88"/>
      <c r="QD118" s="88"/>
      <c r="QE118" s="88"/>
      <c r="QF118" s="88"/>
      <c r="QG118" s="88"/>
      <c r="QH118" s="88"/>
      <c r="QI118" s="88"/>
      <c r="QJ118" s="88"/>
      <c r="QK118" s="88"/>
      <c r="QL118" s="88"/>
      <c r="QM118" s="88"/>
      <c r="QN118" s="88"/>
      <c r="QO118" s="88"/>
      <c r="QP118" s="88"/>
      <c r="QQ118" s="88"/>
      <c r="QR118" s="88"/>
      <c r="QS118" s="88"/>
      <c r="QT118" s="88"/>
      <c r="QU118" s="88"/>
      <c r="QV118" s="88"/>
      <c r="QW118" s="88"/>
      <c r="QX118" s="88"/>
      <c r="QY118" s="88"/>
      <c r="QZ118" s="88"/>
      <c r="RA118" s="88"/>
      <c r="RB118" s="88"/>
      <c r="RC118" s="88"/>
      <c r="RD118" s="88"/>
      <c r="RE118" s="88"/>
      <c r="RF118" s="88"/>
      <c r="RG118" s="88"/>
      <c r="RH118" s="88"/>
      <c r="RI118" s="88"/>
      <c r="RJ118" s="88"/>
      <c r="RK118" s="88"/>
      <c r="RL118" s="88"/>
      <c r="RM118" s="88"/>
      <c r="RN118" s="88"/>
      <c r="RO118" s="88"/>
      <c r="RP118" s="88"/>
      <c r="RQ118" s="88"/>
      <c r="RR118" s="88"/>
      <c r="RS118" s="88"/>
      <c r="RT118" s="88"/>
      <c r="RU118" s="88"/>
      <c r="RV118" s="88"/>
      <c r="RW118" s="88"/>
      <c r="RX118" s="88"/>
      <c r="RY118" s="88"/>
      <c r="RZ118" s="88"/>
      <c r="SA118" s="88"/>
      <c r="SB118" s="88"/>
      <c r="SC118" s="88"/>
      <c r="SD118" s="88"/>
      <c r="SE118" s="88"/>
      <c r="SF118" s="88"/>
      <c r="SG118" s="88"/>
      <c r="SH118" s="88"/>
      <c r="SI118" s="88"/>
      <c r="SJ118" s="88"/>
      <c r="SK118" s="88"/>
      <c r="SL118" s="88"/>
      <c r="SM118" s="88"/>
      <c r="SN118" s="88"/>
      <c r="SO118" s="88"/>
      <c r="SP118" s="88"/>
      <c r="SQ118" s="88"/>
      <c r="SR118" s="88"/>
      <c r="SS118" s="88"/>
      <c r="ST118" s="88"/>
      <c r="SU118" s="88"/>
      <c r="SV118" s="88"/>
      <c r="SW118" s="88"/>
      <c r="SX118" s="88"/>
      <c r="SY118" s="88"/>
      <c r="SZ118" s="88"/>
      <c r="TA118" s="88"/>
      <c r="TB118" s="88"/>
      <c r="TC118" s="88"/>
      <c r="TD118" s="88"/>
      <c r="TE118" s="88"/>
      <c r="TF118" s="88"/>
      <c r="TG118" s="88"/>
      <c r="TH118" s="88"/>
      <c r="TI118" s="88"/>
      <c r="TJ118" s="88"/>
      <c r="TK118" s="88"/>
      <c r="TL118" s="88"/>
      <c r="TM118" s="88"/>
      <c r="TN118" s="88"/>
      <c r="TO118" s="88"/>
      <c r="TP118" s="88"/>
      <c r="TQ118" s="88"/>
      <c r="TR118" s="88"/>
      <c r="TS118" s="88"/>
      <c r="TT118" s="88"/>
      <c r="TU118" s="88"/>
      <c r="TV118" s="88"/>
      <c r="TW118" s="88"/>
      <c r="TX118" s="88"/>
      <c r="TY118" s="88"/>
      <c r="TZ118" s="88"/>
      <c r="UA118" s="88"/>
      <c r="UB118" s="88"/>
      <c r="UC118" s="88"/>
      <c r="UD118" s="88"/>
      <c r="UE118" s="88"/>
      <c r="UF118" s="88"/>
      <c r="UG118" s="88"/>
      <c r="UH118" s="88"/>
      <c r="UI118" s="88"/>
      <c r="UJ118" s="88"/>
      <c r="UK118" s="88"/>
      <c r="UL118" s="88"/>
      <c r="UM118" s="88"/>
      <c r="UN118" s="88"/>
      <c r="UO118" s="88"/>
      <c r="UP118" s="88"/>
      <c r="UQ118" s="88"/>
      <c r="UR118" s="88"/>
      <c r="US118" s="88"/>
      <c r="UT118" s="88"/>
      <c r="UU118" s="88"/>
      <c r="UV118" s="88"/>
      <c r="UW118" s="88"/>
      <c r="UX118" s="88"/>
      <c r="UY118" s="88"/>
      <c r="UZ118" s="88"/>
      <c r="VA118" s="88"/>
      <c r="VB118" s="88"/>
      <c r="VC118" s="88"/>
      <c r="VD118" s="88"/>
      <c r="VE118" s="88"/>
      <c r="VF118" s="88"/>
      <c r="VG118" s="88"/>
      <c r="VH118" s="88"/>
      <c r="VI118" s="88"/>
      <c r="VJ118" s="88"/>
      <c r="VK118" s="88"/>
      <c r="VL118" s="88"/>
      <c r="VM118" s="88"/>
      <c r="VN118" s="88"/>
      <c r="VO118" s="88"/>
      <c r="VP118" s="88"/>
      <c r="VQ118" s="88"/>
      <c r="VR118" s="88"/>
      <c r="VS118" s="88"/>
      <c r="VT118" s="88"/>
      <c r="VU118" s="88"/>
      <c r="VV118" s="88"/>
      <c r="VW118" s="88"/>
      <c r="VX118" s="88"/>
      <c r="VY118" s="88"/>
      <c r="VZ118" s="88"/>
      <c r="WA118" s="88"/>
      <c r="WB118" s="88"/>
      <c r="WC118" s="88"/>
      <c r="WD118" s="88"/>
      <c r="WE118" s="88"/>
      <c r="WF118" s="88"/>
      <c r="WG118" s="88"/>
      <c r="WH118" s="88"/>
      <c r="WI118" s="88"/>
      <c r="WJ118" s="88"/>
      <c r="WK118" s="88"/>
      <c r="WL118" s="88"/>
      <c r="WM118" s="88"/>
      <c r="WN118" s="88"/>
      <c r="WO118" s="88"/>
      <c r="WP118" s="88"/>
      <c r="WQ118" s="88"/>
      <c r="WR118" s="88"/>
      <c r="WS118" s="88"/>
      <c r="WT118" s="88"/>
      <c r="WU118" s="88"/>
      <c r="WV118" s="88"/>
      <c r="WW118" s="88"/>
      <c r="WX118" s="88"/>
      <c r="WY118" s="88"/>
      <c r="WZ118" s="88"/>
      <c r="XA118" s="88"/>
      <c r="XB118" s="88"/>
      <c r="XC118" s="88"/>
      <c r="XD118" s="88"/>
      <c r="XE118" s="88"/>
      <c r="XF118" s="88"/>
      <c r="XG118" s="88"/>
      <c r="XH118" s="88"/>
      <c r="XI118" s="88"/>
      <c r="XJ118" s="88"/>
      <c r="XK118" s="88"/>
      <c r="XL118" s="88"/>
      <c r="XM118" s="88"/>
      <c r="XN118" s="88"/>
      <c r="XO118" s="88"/>
      <c r="XP118" s="88"/>
      <c r="XQ118" s="88"/>
      <c r="XR118" s="88"/>
      <c r="XS118" s="88"/>
      <c r="XT118" s="88"/>
      <c r="XU118" s="88"/>
      <c r="XV118" s="88"/>
      <c r="XW118" s="88"/>
      <c r="XX118" s="88"/>
      <c r="XY118" s="88"/>
      <c r="XZ118" s="88"/>
      <c r="YA118" s="88"/>
      <c r="YB118" s="88"/>
      <c r="YC118" s="88"/>
      <c r="YD118" s="88"/>
      <c r="YE118" s="88"/>
      <c r="YF118" s="88"/>
      <c r="YG118" s="88"/>
      <c r="YH118" s="88"/>
      <c r="YI118" s="88"/>
      <c r="YJ118" s="88"/>
      <c r="YK118" s="88"/>
      <c r="YL118" s="88"/>
      <c r="YM118" s="88"/>
      <c r="YN118" s="88"/>
      <c r="YO118" s="88"/>
      <c r="YP118" s="88"/>
      <c r="YQ118" s="88"/>
      <c r="YR118" s="88"/>
      <c r="YS118" s="88"/>
      <c r="YT118" s="88"/>
      <c r="YU118" s="88"/>
      <c r="YV118" s="88"/>
      <c r="YW118" s="88"/>
      <c r="YX118" s="88"/>
      <c r="YY118" s="88"/>
      <c r="YZ118" s="88"/>
      <c r="ZA118" s="88"/>
      <c r="ZB118" s="88"/>
      <c r="ZC118" s="88"/>
      <c r="ZD118" s="88"/>
      <c r="ZE118" s="88"/>
      <c r="ZF118" s="88"/>
      <c r="ZG118" s="88"/>
      <c r="ZH118" s="88"/>
      <c r="ZI118" s="88"/>
      <c r="ZJ118" s="88"/>
      <c r="ZK118" s="88"/>
      <c r="ZL118" s="88"/>
      <c r="ZM118" s="88"/>
      <c r="ZN118" s="88"/>
      <c r="ZO118" s="88"/>
      <c r="ZP118" s="88"/>
      <c r="ZQ118" s="88"/>
      <c r="ZR118" s="88"/>
      <c r="ZS118" s="88"/>
      <c r="ZT118" s="88"/>
      <c r="ZU118" s="88"/>
      <c r="ZV118" s="88"/>
      <c r="ZW118" s="88"/>
      <c r="ZX118" s="88"/>
      <c r="ZY118" s="88"/>
      <c r="ZZ118" s="88"/>
      <c r="AAA118" s="88"/>
      <c r="AAB118" s="88"/>
      <c r="AAC118" s="88"/>
      <c r="AAD118" s="88"/>
      <c r="AAE118" s="88"/>
      <c r="AAF118" s="88"/>
      <c r="AAG118" s="88"/>
      <c r="AAH118" s="88"/>
      <c r="AAI118" s="88"/>
      <c r="AAJ118" s="88"/>
      <c r="AAK118" s="88"/>
      <c r="AAL118" s="88"/>
      <c r="AAM118" s="88"/>
      <c r="AAN118" s="88"/>
      <c r="AAO118" s="88"/>
      <c r="AAP118" s="88"/>
      <c r="AAQ118" s="88"/>
      <c r="AAR118" s="88"/>
      <c r="AAS118" s="88"/>
      <c r="AAT118" s="88"/>
      <c r="AAU118" s="88"/>
      <c r="AAV118" s="88"/>
      <c r="AAW118" s="88"/>
      <c r="AAX118" s="88"/>
      <c r="AAY118" s="88"/>
      <c r="AAZ118" s="88"/>
      <c r="ABA118" s="88"/>
      <c r="ABB118" s="88"/>
      <c r="ABC118" s="88"/>
      <c r="ABD118" s="88"/>
      <c r="ABE118" s="88"/>
      <c r="ABF118" s="88"/>
      <c r="ABG118" s="88"/>
      <c r="ABH118" s="88"/>
      <c r="ABI118" s="88"/>
      <c r="ABJ118" s="88"/>
      <c r="ABK118" s="88"/>
      <c r="ABL118" s="88"/>
      <c r="ABM118" s="88"/>
      <c r="ABN118" s="88"/>
      <c r="ABO118" s="88"/>
      <c r="ABP118" s="88"/>
      <c r="ABQ118" s="88"/>
      <c r="ABR118" s="88"/>
      <c r="ABS118" s="88"/>
      <c r="ABT118" s="88"/>
      <c r="ABU118" s="88"/>
      <c r="ABV118" s="88"/>
      <c r="ABW118" s="88"/>
      <c r="ABX118" s="88"/>
      <c r="ABY118" s="88"/>
      <c r="ABZ118" s="88"/>
      <c r="ACA118" s="88"/>
      <c r="ACB118" s="88"/>
      <c r="ACC118" s="88"/>
      <c r="ACD118" s="88"/>
      <c r="ACE118" s="88"/>
      <c r="ACF118" s="88"/>
      <c r="ACG118" s="88"/>
      <c r="ACH118" s="88"/>
      <c r="ACI118" s="88"/>
      <c r="ACJ118" s="88"/>
      <c r="ACK118" s="88"/>
      <c r="ACL118" s="88"/>
      <c r="ACM118" s="88"/>
      <c r="ACN118" s="88"/>
      <c r="ACO118" s="88"/>
      <c r="ACP118" s="88"/>
      <c r="ACQ118" s="88"/>
      <c r="ACR118" s="88"/>
      <c r="ACS118" s="88"/>
      <c r="ACT118" s="88"/>
      <c r="ACU118" s="88"/>
      <c r="ACV118" s="88"/>
      <c r="ACW118" s="88"/>
      <c r="ACX118" s="88"/>
      <c r="ACY118" s="88"/>
      <c r="ACZ118" s="88"/>
      <c r="ADA118" s="88"/>
      <c r="ADB118" s="88"/>
      <c r="ADC118" s="88"/>
      <c r="ADD118" s="88"/>
      <c r="ADE118" s="88"/>
      <c r="ADF118" s="88"/>
      <c r="ADG118" s="88"/>
      <c r="ADH118" s="88"/>
      <c r="ADI118" s="88"/>
      <c r="ADJ118" s="88"/>
      <c r="ADK118" s="88"/>
      <c r="ADL118" s="88"/>
      <c r="ADM118" s="88"/>
      <c r="ADN118" s="88"/>
      <c r="ADO118" s="88"/>
      <c r="ADP118" s="88"/>
      <c r="ADQ118" s="88"/>
      <c r="ADR118" s="88"/>
      <c r="ADS118" s="88"/>
      <c r="ADT118" s="88"/>
      <c r="ADU118" s="88"/>
      <c r="ADV118" s="88"/>
      <c r="ADW118" s="88"/>
      <c r="ADX118" s="88"/>
      <c r="ADY118" s="88"/>
      <c r="ADZ118" s="88"/>
      <c r="AEA118" s="88"/>
      <c r="AEB118" s="88"/>
      <c r="AEC118" s="88"/>
      <c r="AED118" s="88"/>
      <c r="AEE118" s="88"/>
      <c r="AEF118" s="88"/>
      <c r="AEG118" s="88"/>
      <c r="AEH118" s="88"/>
      <c r="AEI118" s="88"/>
      <c r="AEJ118" s="88"/>
      <c r="AEK118" s="88"/>
      <c r="AEL118" s="88"/>
      <c r="AEM118" s="88"/>
      <c r="AEN118" s="88"/>
      <c r="AEO118" s="88"/>
      <c r="AEP118" s="88"/>
      <c r="AEQ118" s="88"/>
      <c r="AER118" s="88"/>
      <c r="AES118" s="88"/>
      <c r="AET118" s="88"/>
      <c r="AEU118" s="88"/>
      <c r="AEV118" s="88"/>
      <c r="AEW118" s="88"/>
      <c r="AEX118" s="88"/>
      <c r="AEY118" s="88"/>
      <c r="AEZ118" s="88"/>
      <c r="AFA118" s="88"/>
      <c r="AFB118" s="88"/>
      <c r="AFC118" s="88"/>
      <c r="AFD118" s="88"/>
      <c r="AFE118" s="88"/>
      <c r="AFF118" s="88"/>
      <c r="AFG118" s="88"/>
      <c r="AFH118" s="88"/>
      <c r="AFI118" s="88"/>
      <c r="AFJ118" s="88"/>
      <c r="AFK118" s="88"/>
      <c r="AFL118" s="88"/>
      <c r="AFM118" s="88"/>
      <c r="AFN118" s="88"/>
      <c r="AFO118" s="88"/>
      <c r="AFP118" s="88"/>
      <c r="AFQ118" s="88"/>
      <c r="AFR118" s="88"/>
      <c r="AFS118" s="88"/>
      <c r="AFT118" s="88"/>
      <c r="AFU118" s="88"/>
      <c r="AFV118" s="88"/>
      <c r="AFW118" s="88"/>
      <c r="AFX118" s="88"/>
      <c r="AFY118" s="88"/>
      <c r="AFZ118" s="88"/>
      <c r="AGA118" s="88"/>
      <c r="AGB118" s="88"/>
      <c r="AGC118" s="88"/>
      <c r="AGD118" s="88"/>
      <c r="AGE118" s="88"/>
      <c r="AGF118" s="88"/>
      <c r="AGG118" s="88"/>
      <c r="AGH118" s="88"/>
      <c r="AGI118" s="88"/>
      <c r="AGJ118" s="88"/>
      <c r="AGK118" s="88"/>
      <c r="AGL118" s="88"/>
      <c r="AGM118" s="88"/>
      <c r="AGN118" s="88"/>
      <c r="AGO118" s="88"/>
      <c r="AGP118" s="88"/>
      <c r="AGQ118" s="88"/>
      <c r="AGR118" s="88"/>
      <c r="AGS118" s="88"/>
      <c r="AGT118" s="88"/>
      <c r="AGU118" s="88"/>
      <c r="AGV118" s="88"/>
      <c r="AGW118" s="88"/>
      <c r="AGX118" s="88"/>
      <c r="AGY118" s="88"/>
      <c r="AGZ118" s="88"/>
      <c r="AHA118" s="88"/>
      <c r="AHB118" s="88"/>
      <c r="AHC118" s="88"/>
      <c r="AHD118" s="88"/>
      <c r="AHE118" s="88"/>
      <c r="AHF118" s="88"/>
      <c r="AHG118" s="88"/>
      <c r="AHH118" s="88"/>
      <c r="AHI118" s="88"/>
      <c r="AHJ118" s="88"/>
      <c r="AHK118" s="88"/>
      <c r="AHL118" s="88"/>
      <c r="AHM118" s="88"/>
      <c r="AHN118" s="88"/>
      <c r="AHO118" s="88"/>
      <c r="AHP118" s="88"/>
      <c r="AHQ118" s="88"/>
      <c r="AHR118" s="88"/>
      <c r="AHS118" s="88"/>
      <c r="AHT118" s="88"/>
      <c r="AHU118" s="88"/>
      <c r="AHV118" s="88"/>
      <c r="AHW118" s="88"/>
      <c r="AHX118" s="88"/>
      <c r="AHY118" s="88"/>
      <c r="AHZ118" s="88"/>
      <c r="AIA118" s="88"/>
      <c r="AIB118" s="88"/>
      <c r="AIC118" s="88"/>
      <c r="AID118" s="88"/>
      <c r="AIE118" s="88"/>
      <c r="AIF118" s="88"/>
      <c r="AIG118" s="88"/>
      <c r="AIH118" s="88"/>
      <c r="AII118" s="88"/>
      <c r="AIJ118" s="88"/>
      <c r="AIK118" s="88"/>
      <c r="AIL118" s="88"/>
      <c r="AIM118" s="88"/>
      <c r="AIN118" s="88"/>
      <c r="AIO118" s="88"/>
      <c r="AIP118" s="88"/>
      <c r="AIQ118" s="88"/>
      <c r="AIR118" s="88"/>
      <c r="AIS118" s="88"/>
      <c r="AIT118" s="88"/>
      <c r="AIU118" s="88"/>
      <c r="AIV118" s="88"/>
      <c r="AIW118" s="88"/>
      <c r="AIX118" s="88"/>
      <c r="AIY118" s="88"/>
      <c r="AIZ118" s="88"/>
      <c r="AJA118" s="88"/>
      <c r="AJB118" s="88"/>
      <c r="AJC118" s="88"/>
      <c r="AJD118" s="88"/>
      <c r="AJE118" s="88"/>
      <c r="AJF118" s="88"/>
      <c r="AJG118" s="88"/>
      <c r="AJH118" s="88"/>
      <c r="AJI118" s="88"/>
      <c r="AJJ118" s="88"/>
      <c r="AJK118" s="88"/>
      <c r="AJL118" s="88"/>
      <c r="AJM118" s="88"/>
      <c r="AJN118" s="88"/>
      <c r="AJO118" s="88"/>
      <c r="AJP118" s="88"/>
      <c r="AJQ118" s="88"/>
      <c r="AJR118" s="88"/>
      <c r="AJS118" s="88"/>
      <c r="AJT118" s="88"/>
      <c r="AJU118" s="88"/>
      <c r="AJV118" s="88"/>
      <c r="AJW118" s="88"/>
      <c r="AJX118" s="88"/>
      <c r="AJY118" s="88"/>
      <c r="AJZ118" s="88"/>
      <c r="AKA118" s="88"/>
      <c r="AKB118" s="88"/>
      <c r="AKC118" s="88"/>
      <c r="AKD118" s="88"/>
      <c r="AKE118" s="88"/>
      <c r="AKF118" s="88"/>
      <c r="AKG118" s="88"/>
      <c r="AKH118" s="88"/>
      <c r="AKI118" s="88"/>
      <c r="AKJ118" s="88"/>
      <c r="AKK118" s="88"/>
      <c r="AKL118" s="88"/>
      <c r="AKM118" s="88"/>
      <c r="AKN118" s="88"/>
      <c r="AKO118" s="88"/>
      <c r="AKP118" s="88"/>
      <c r="AKQ118" s="88"/>
      <c r="AKR118" s="88"/>
      <c r="AKS118" s="88"/>
      <c r="AKT118" s="88"/>
      <c r="AKU118" s="88"/>
      <c r="AKV118" s="88"/>
      <c r="AKW118" s="88"/>
      <c r="AKX118" s="88"/>
      <c r="AKY118" s="88"/>
      <c r="AKZ118" s="88"/>
      <c r="ALA118" s="88"/>
      <c r="ALB118" s="88"/>
      <c r="ALC118" s="88"/>
      <c r="ALD118" s="88"/>
      <c r="ALE118" s="88"/>
      <c r="ALF118" s="88"/>
      <c r="ALG118" s="88"/>
      <c r="ALH118" s="88"/>
      <c r="ALI118" s="88"/>
      <c r="ALJ118" s="88"/>
      <c r="ALK118" s="88"/>
      <c r="ALL118" s="88"/>
      <c r="ALM118" s="88"/>
      <c r="ALN118" s="88"/>
      <c r="ALO118" s="88"/>
      <c r="ALP118" s="88"/>
      <c r="ALQ118" s="88"/>
      <c r="ALR118" s="88"/>
      <c r="ALS118" s="88"/>
      <c r="ALT118" s="88"/>
      <c r="ALU118" s="88"/>
      <c r="ALV118" s="88"/>
      <c r="ALW118" s="88"/>
      <c r="ALX118" s="88"/>
      <c r="ALY118" s="88"/>
      <c r="ALZ118" s="88"/>
      <c r="AMA118" s="88"/>
      <c r="AMB118" s="88"/>
      <c r="AMC118" s="88"/>
      <c r="AMD118" s="88"/>
      <c r="AME118" s="88"/>
      <c r="AMF118" s="88"/>
      <c r="AMG118" s="88"/>
      <c r="AMH118" s="88"/>
      <c r="AMI118" s="88"/>
      <c r="AMJ118" s="88"/>
      <c r="AMK118" s="88"/>
      <c r="AML118" s="88"/>
      <c r="AMM118" s="88"/>
      <c r="AMN118" s="88"/>
      <c r="AMO118" s="88"/>
      <c r="AMP118" s="88"/>
      <c r="AMQ118" s="88"/>
      <c r="AMR118" s="88"/>
      <c r="AMS118" s="88"/>
      <c r="AMT118" s="88"/>
      <c r="AMU118" s="88"/>
      <c r="AMV118" s="88"/>
      <c r="AMW118" s="88"/>
      <c r="AMX118" s="88"/>
      <c r="AMY118" s="88"/>
      <c r="AMZ118" s="88"/>
      <c r="ANA118" s="88"/>
      <c r="ANB118" s="88"/>
      <c r="ANC118" s="88"/>
      <c r="AND118" s="88"/>
      <c r="ANE118" s="88"/>
      <c r="ANF118" s="88"/>
      <c r="ANG118" s="88"/>
      <c r="ANH118" s="88"/>
      <c r="ANI118" s="88"/>
      <c r="ANJ118" s="88"/>
      <c r="ANK118" s="88"/>
      <c r="ANL118" s="88"/>
      <c r="ANM118" s="88"/>
      <c r="ANN118" s="88"/>
      <c r="ANO118" s="88"/>
      <c r="ANP118" s="88"/>
      <c r="ANQ118" s="88"/>
      <c r="ANR118" s="88"/>
      <c r="ANS118" s="88"/>
      <c r="ANT118" s="88"/>
      <c r="ANU118" s="88"/>
      <c r="ANV118" s="88"/>
      <c r="ANW118" s="88"/>
      <c r="ANX118" s="88"/>
      <c r="ANY118" s="88"/>
      <c r="ANZ118" s="88"/>
      <c r="AOA118" s="88"/>
      <c r="AOB118" s="88"/>
      <c r="AOC118" s="88"/>
      <c r="AOD118" s="88"/>
      <c r="AOE118" s="88"/>
      <c r="AOF118" s="88"/>
      <c r="AOG118" s="88"/>
      <c r="AOH118" s="88"/>
      <c r="AOI118" s="88"/>
      <c r="AOJ118" s="88"/>
      <c r="AOK118" s="88"/>
      <c r="AOL118" s="88"/>
      <c r="AOM118" s="88"/>
      <c r="AON118" s="88"/>
      <c r="AOO118" s="88"/>
      <c r="AOP118" s="88"/>
      <c r="AOQ118" s="88"/>
      <c r="AOR118" s="88"/>
      <c r="AOS118" s="88"/>
      <c r="AOT118" s="88"/>
      <c r="AOU118" s="88"/>
      <c r="AOV118" s="88"/>
      <c r="AOW118" s="88"/>
      <c r="AOX118" s="88"/>
      <c r="AOY118" s="88"/>
      <c r="AOZ118" s="88"/>
      <c r="APA118" s="88"/>
      <c r="APB118" s="88"/>
      <c r="APC118" s="88"/>
      <c r="APD118" s="88"/>
      <c r="APE118" s="88"/>
      <c r="APF118" s="88"/>
      <c r="APG118" s="88"/>
      <c r="APH118" s="88"/>
      <c r="API118" s="88"/>
      <c r="APJ118" s="88"/>
      <c r="APK118" s="88"/>
      <c r="APL118" s="88"/>
      <c r="APM118" s="88"/>
      <c r="APN118" s="88"/>
      <c r="APO118" s="88"/>
      <c r="APP118" s="88"/>
      <c r="APQ118" s="88"/>
      <c r="APR118" s="88"/>
      <c r="APS118" s="88"/>
      <c r="APT118" s="88"/>
      <c r="APU118" s="88"/>
      <c r="APV118" s="88"/>
      <c r="APW118" s="88"/>
      <c r="APX118" s="88"/>
      <c r="APY118" s="88"/>
      <c r="APZ118" s="88"/>
      <c r="AQA118" s="88"/>
      <c r="AQB118" s="88"/>
      <c r="AQC118" s="88"/>
      <c r="AQD118" s="88"/>
      <c r="AQE118" s="88"/>
      <c r="AQF118" s="88"/>
      <c r="AQG118" s="88"/>
      <c r="AQH118" s="88"/>
      <c r="AQI118" s="88"/>
      <c r="AQJ118" s="88"/>
      <c r="AQK118" s="88"/>
      <c r="AQL118" s="88"/>
      <c r="AQM118" s="88"/>
      <c r="AQN118" s="88"/>
      <c r="AQO118" s="88"/>
      <c r="AQP118" s="88"/>
      <c r="AQQ118" s="88"/>
      <c r="AQR118" s="88"/>
      <c r="AQS118" s="88"/>
      <c r="AQT118" s="88"/>
      <c r="AQU118" s="88"/>
      <c r="AQV118" s="88"/>
      <c r="AQW118" s="88"/>
      <c r="AQX118" s="88"/>
      <c r="AQY118" s="88"/>
      <c r="AQZ118" s="88"/>
      <c r="ARA118" s="88"/>
      <c r="ARB118" s="88"/>
      <c r="ARC118" s="88"/>
      <c r="ARD118" s="88"/>
      <c r="ARE118" s="88"/>
      <c r="ARF118" s="88"/>
      <c r="ARG118" s="88"/>
      <c r="ARH118" s="88"/>
      <c r="ARI118" s="88"/>
      <c r="ARJ118" s="88"/>
      <c r="ARK118" s="88"/>
      <c r="ARL118" s="88"/>
      <c r="ARM118" s="88"/>
      <c r="ARN118" s="88"/>
      <c r="ARO118" s="88"/>
      <c r="ARP118" s="88"/>
      <c r="ARQ118" s="88"/>
      <c r="ARR118" s="88"/>
      <c r="ARS118" s="88"/>
      <c r="ART118" s="88"/>
      <c r="ARU118" s="88"/>
      <c r="ARV118" s="88"/>
      <c r="ARW118" s="88"/>
      <c r="ARX118" s="88"/>
      <c r="ARY118" s="88"/>
      <c r="ARZ118" s="88"/>
      <c r="ASA118" s="88"/>
      <c r="ASB118" s="88"/>
      <c r="ASC118" s="88"/>
      <c r="ASD118" s="88"/>
      <c r="ASE118" s="88"/>
      <c r="ASF118" s="88"/>
      <c r="ASG118" s="88"/>
      <c r="ASH118" s="88"/>
      <c r="ASI118" s="88"/>
      <c r="ASJ118" s="88"/>
      <c r="ASK118" s="88"/>
      <c r="ASL118" s="88"/>
      <c r="ASM118" s="88"/>
      <c r="ASN118" s="88"/>
      <c r="ASO118" s="88"/>
      <c r="ASP118" s="88"/>
      <c r="ASQ118" s="88"/>
      <c r="ASR118" s="88"/>
      <c r="ASS118" s="88"/>
      <c r="AST118" s="88"/>
      <c r="ASU118" s="88"/>
      <c r="ASV118" s="88"/>
      <c r="ASW118" s="88"/>
      <c r="ASX118" s="88"/>
      <c r="ASY118" s="88"/>
      <c r="ASZ118" s="88"/>
      <c r="ATA118" s="88"/>
      <c r="ATB118" s="88"/>
      <c r="ATC118" s="88"/>
      <c r="ATD118" s="88"/>
      <c r="ATE118" s="88"/>
      <c r="ATF118" s="88"/>
      <c r="ATG118" s="88"/>
      <c r="ATH118" s="88"/>
      <c r="ATI118" s="88"/>
      <c r="ATJ118" s="88"/>
      <c r="ATK118" s="88"/>
      <c r="ATL118" s="88"/>
      <c r="ATM118" s="88"/>
      <c r="ATN118" s="88"/>
      <c r="ATO118" s="88"/>
      <c r="ATP118" s="88"/>
      <c r="ATQ118" s="88"/>
      <c r="ATR118" s="88"/>
      <c r="ATS118" s="88"/>
      <c r="ATT118" s="88"/>
      <c r="ATU118" s="88"/>
      <c r="ATV118" s="88"/>
      <c r="ATW118" s="88"/>
      <c r="ATX118" s="88"/>
      <c r="ATY118" s="88"/>
      <c r="ATZ118" s="88"/>
      <c r="AUA118" s="88"/>
      <c r="AUB118" s="88"/>
      <c r="AUC118" s="88"/>
      <c r="AUD118" s="88"/>
      <c r="AUE118" s="88"/>
      <c r="AUF118" s="88"/>
      <c r="AUG118" s="88"/>
      <c r="AUH118" s="88"/>
      <c r="AUI118" s="88"/>
      <c r="AUJ118" s="88"/>
      <c r="AUK118" s="88"/>
      <c r="AUL118" s="88"/>
      <c r="AUM118" s="88"/>
      <c r="AUN118" s="88"/>
      <c r="AUO118" s="88"/>
      <c r="AUP118" s="88"/>
      <c r="AUQ118" s="88"/>
      <c r="AUR118" s="88"/>
      <c r="AUS118" s="88"/>
      <c r="AUT118" s="88"/>
      <c r="AUU118" s="88"/>
      <c r="AUV118" s="88"/>
      <c r="AUW118" s="88"/>
      <c r="AUX118" s="88"/>
      <c r="AUY118" s="88"/>
      <c r="AUZ118" s="88"/>
      <c r="AVA118" s="88"/>
      <c r="AVB118" s="88"/>
      <c r="AVC118" s="88"/>
      <c r="AVD118" s="88"/>
      <c r="AVE118" s="88"/>
      <c r="AVF118" s="88"/>
      <c r="AVG118" s="88"/>
      <c r="AVH118" s="88"/>
      <c r="AVI118" s="88"/>
      <c r="AVJ118" s="88"/>
      <c r="AVK118" s="88"/>
      <c r="AVL118" s="88"/>
      <c r="AVM118" s="88"/>
      <c r="AVN118" s="88"/>
      <c r="AVO118" s="88"/>
      <c r="AVP118" s="88"/>
      <c r="AVQ118" s="88"/>
      <c r="AVR118" s="88"/>
      <c r="AVS118" s="88"/>
      <c r="AVT118" s="88"/>
      <c r="AVU118" s="88"/>
      <c r="AVV118" s="88"/>
      <c r="AVW118" s="88"/>
      <c r="AVX118" s="88"/>
      <c r="AVY118" s="88"/>
      <c r="AVZ118" s="88"/>
      <c r="AWA118" s="88"/>
      <c r="AWB118" s="88"/>
      <c r="AWC118" s="88"/>
      <c r="AWD118" s="88"/>
      <c r="AWE118" s="88"/>
      <c r="AWF118" s="88"/>
      <c r="AWG118" s="88"/>
      <c r="AWH118" s="88"/>
      <c r="AWI118" s="88"/>
      <c r="AWJ118" s="88"/>
      <c r="AWK118" s="88"/>
      <c r="AWL118" s="88"/>
      <c r="AWM118" s="88"/>
      <c r="AWN118" s="88"/>
      <c r="AWO118" s="88"/>
      <c r="AWP118" s="88"/>
      <c r="AWQ118" s="88"/>
      <c r="AWR118" s="88"/>
      <c r="AWS118" s="88"/>
      <c r="AWT118" s="88"/>
      <c r="AWU118" s="88"/>
      <c r="AWV118" s="88"/>
      <c r="AWW118" s="88"/>
      <c r="AWX118" s="88"/>
      <c r="AWY118" s="88"/>
      <c r="AWZ118" s="88"/>
      <c r="AXA118" s="88"/>
      <c r="AXB118" s="88"/>
      <c r="AXC118" s="88"/>
      <c r="AXD118" s="88"/>
      <c r="AXE118" s="88"/>
      <c r="AXF118" s="88"/>
      <c r="AXG118" s="88"/>
      <c r="AXH118" s="88"/>
      <c r="AXI118" s="88"/>
      <c r="AXJ118" s="88"/>
      <c r="AXK118" s="88"/>
      <c r="AXL118" s="88"/>
      <c r="AXM118" s="88"/>
      <c r="AXN118" s="88"/>
      <c r="AXO118" s="88"/>
      <c r="AXP118" s="88"/>
      <c r="AXQ118" s="88"/>
      <c r="AXR118" s="88"/>
      <c r="AXS118" s="88"/>
      <c r="AXT118" s="88"/>
      <c r="AXU118" s="88"/>
      <c r="AXV118" s="88"/>
      <c r="AXW118" s="88"/>
      <c r="AXX118" s="88"/>
      <c r="AXY118" s="88"/>
      <c r="AXZ118" s="88"/>
      <c r="AYA118" s="88"/>
      <c r="AYB118" s="88"/>
      <c r="AYC118" s="88"/>
      <c r="AYD118" s="88"/>
      <c r="AYE118" s="88"/>
      <c r="AYF118" s="88"/>
      <c r="AYG118" s="88"/>
      <c r="AYH118" s="88"/>
      <c r="AYI118" s="88"/>
      <c r="AYJ118" s="88"/>
      <c r="AYK118" s="88"/>
      <c r="AYL118" s="88"/>
      <c r="AYM118" s="88"/>
      <c r="AYN118" s="88"/>
      <c r="AYO118" s="88"/>
      <c r="AYP118" s="88"/>
      <c r="AYQ118" s="88"/>
      <c r="AYR118" s="88"/>
      <c r="AYS118" s="88"/>
      <c r="AYT118" s="88"/>
      <c r="AYU118" s="88"/>
      <c r="AYV118" s="88"/>
      <c r="AYW118" s="88"/>
      <c r="AYX118" s="88"/>
      <c r="AYY118" s="88"/>
      <c r="AYZ118" s="88"/>
      <c r="AZA118" s="88"/>
      <c r="AZB118" s="88"/>
      <c r="AZC118" s="88"/>
      <c r="AZD118" s="88"/>
      <c r="AZE118" s="88"/>
      <c r="AZF118" s="88"/>
      <c r="AZG118" s="88"/>
      <c r="AZH118" s="88"/>
      <c r="AZI118" s="88"/>
      <c r="AZJ118" s="88"/>
      <c r="AZK118" s="88"/>
      <c r="AZL118" s="88"/>
      <c r="AZM118" s="88"/>
      <c r="AZN118" s="88"/>
      <c r="AZO118" s="88"/>
      <c r="AZP118" s="88"/>
      <c r="AZQ118" s="88"/>
      <c r="AZR118" s="88"/>
      <c r="AZS118" s="88"/>
      <c r="AZT118" s="88"/>
      <c r="AZU118" s="88"/>
      <c r="AZV118" s="88"/>
      <c r="AZW118" s="88"/>
      <c r="AZX118" s="88"/>
      <c r="AZY118" s="88"/>
      <c r="AZZ118" s="88"/>
      <c r="BAA118" s="88"/>
      <c r="BAB118" s="88"/>
      <c r="BAC118" s="88"/>
      <c r="BAD118" s="88"/>
      <c r="BAE118" s="88"/>
      <c r="BAF118" s="88"/>
      <c r="BAG118" s="88"/>
      <c r="BAH118" s="88"/>
      <c r="BAI118" s="88"/>
      <c r="BAJ118" s="88"/>
      <c r="BAK118" s="88"/>
      <c r="BAL118" s="88"/>
      <c r="BAM118" s="88"/>
      <c r="BAN118" s="88"/>
      <c r="BAO118" s="88"/>
      <c r="BAP118" s="88"/>
      <c r="BAQ118" s="88"/>
      <c r="BAR118" s="88"/>
      <c r="BAS118" s="88"/>
      <c r="BAT118" s="88"/>
      <c r="BAU118" s="88"/>
      <c r="BAV118" s="88"/>
      <c r="BAW118" s="88"/>
      <c r="BAX118" s="88"/>
      <c r="BAY118" s="88"/>
      <c r="BAZ118" s="88"/>
      <c r="BBA118" s="88"/>
      <c r="BBB118" s="88"/>
      <c r="BBC118" s="88"/>
      <c r="BBD118" s="88"/>
      <c r="BBE118" s="88"/>
      <c r="BBF118" s="88"/>
      <c r="BBG118" s="88"/>
      <c r="BBH118" s="88"/>
      <c r="BBI118" s="88"/>
      <c r="BBJ118" s="88"/>
      <c r="BBK118" s="88"/>
      <c r="BBL118" s="88"/>
      <c r="BBM118" s="88"/>
      <c r="BBN118" s="88"/>
      <c r="BBO118" s="88"/>
      <c r="BBP118" s="88"/>
      <c r="BBQ118" s="88"/>
      <c r="BBR118" s="88"/>
      <c r="BBS118" s="88"/>
      <c r="BBT118" s="88"/>
      <c r="BBU118" s="88"/>
      <c r="BBV118" s="88"/>
      <c r="BBW118" s="88"/>
      <c r="BBX118" s="88"/>
      <c r="BBY118" s="88"/>
      <c r="BBZ118" s="88"/>
      <c r="BCA118" s="88"/>
      <c r="BCB118" s="88"/>
      <c r="BCC118" s="88"/>
      <c r="BCD118" s="88"/>
      <c r="BCE118" s="88"/>
      <c r="BCF118" s="88"/>
      <c r="BCG118" s="88"/>
      <c r="BCH118" s="88"/>
      <c r="BCI118" s="88"/>
      <c r="BCJ118" s="88"/>
      <c r="BCK118" s="88"/>
      <c r="BCL118" s="88"/>
      <c r="BCM118" s="88"/>
      <c r="BCN118" s="88"/>
      <c r="BCO118" s="88"/>
      <c r="BCP118" s="88"/>
      <c r="BCQ118" s="88"/>
      <c r="BCR118" s="88"/>
      <c r="BCS118" s="88"/>
      <c r="BCT118" s="88"/>
      <c r="BCU118" s="88"/>
      <c r="BCV118" s="88"/>
      <c r="BCW118" s="88"/>
      <c r="BCX118" s="88"/>
      <c r="BCY118" s="88"/>
      <c r="BCZ118" s="88"/>
      <c r="BDA118" s="88"/>
      <c r="BDB118" s="88"/>
      <c r="BDC118" s="88"/>
      <c r="BDD118" s="88"/>
      <c r="BDE118" s="88"/>
      <c r="BDF118" s="88"/>
      <c r="BDG118" s="88"/>
      <c r="BDH118" s="88"/>
      <c r="BDI118" s="88"/>
      <c r="BDJ118" s="88"/>
      <c r="BDK118" s="88"/>
      <c r="BDL118" s="88"/>
      <c r="BDM118" s="88"/>
      <c r="BDN118" s="88"/>
      <c r="BDO118" s="88"/>
      <c r="BDP118" s="88"/>
      <c r="BDQ118" s="88"/>
      <c r="BDR118" s="88"/>
      <c r="BDS118" s="88"/>
      <c r="BDT118" s="88"/>
      <c r="BDU118" s="88"/>
      <c r="BDV118" s="88"/>
      <c r="BDW118" s="88"/>
      <c r="BDX118" s="88"/>
      <c r="BDY118" s="88"/>
      <c r="BDZ118" s="88"/>
      <c r="BEA118" s="88"/>
      <c r="BEB118" s="88"/>
      <c r="BEC118" s="88"/>
      <c r="BED118" s="88"/>
      <c r="BEE118" s="88"/>
      <c r="BEF118" s="88"/>
      <c r="BEG118" s="88"/>
      <c r="BEH118" s="88"/>
      <c r="BEI118" s="88"/>
      <c r="BEJ118" s="88"/>
      <c r="BEK118" s="88"/>
      <c r="BEL118" s="88"/>
      <c r="BEM118" s="88"/>
      <c r="BEN118" s="88"/>
      <c r="BEO118" s="88"/>
      <c r="BEP118" s="88"/>
      <c r="BEQ118" s="88"/>
      <c r="BER118" s="88"/>
      <c r="BES118" s="88"/>
      <c r="BET118" s="88"/>
      <c r="BEU118" s="88"/>
      <c r="BEV118" s="88"/>
      <c r="BEW118" s="88"/>
      <c r="BEX118" s="88"/>
      <c r="BEY118" s="88"/>
      <c r="BEZ118" s="88"/>
      <c r="BFA118" s="88"/>
      <c r="BFB118" s="88"/>
      <c r="BFC118" s="88"/>
      <c r="BFD118" s="88"/>
      <c r="BFE118" s="88"/>
      <c r="BFF118" s="88"/>
      <c r="BFG118" s="88"/>
      <c r="BFH118" s="88"/>
      <c r="BFI118" s="88"/>
      <c r="BFJ118" s="88"/>
      <c r="BFK118" s="88"/>
      <c r="BFL118" s="88"/>
      <c r="BFM118" s="88"/>
      <c r="BFN118" s="88"/>
      <c r="BFO118" s="88"/>
      <c r="BFP118" s="88"/>
      <c r="BFQ118" s="88"/>
      <c r="BFR118" s="88"/>
      <c r="BFS118" s="88"/>
      <c r="BFT118" s="88"/>
      <c r="BFU118" s="88"/>
      <c r="BFV118" s="88"/>
      <c r="BFW118" s="88"/>
      <c r="BFX118" s="88"/>
      <c r="BFY118" s="88"/>
      <c r="BFZ118" s="88"/>
      <c r="BGA118" s="88"/>
      <c r="BGB118" s="88"/>
      <c r="BGC118" s="88"/>
      <c r="BGD118" s="88"/>
      <c r="BGE118" s="88"/>
      <c r="BGF118" s="88"/>
      <c r="BGG118" s="88"/>
      <c r="BGH118" s="88"/>
      <c r="BGI118" s="88"/>
      <c r="BGJ118" s="88"/>
      <c r="BGK118" s="88"/>
      <c r="BGL118" s="88"/>
      <c r="BGM118" s="88"/>
      <c r="BGN118" s="88"/>
      <c r="BGO118" s="88"/>
      <c r="BGP118" s="88"/>
      <c r="BGQ118" s="88"/>
      <c r="BGR118" s="88"/>
      <c r="BGS118" s="88"/>
      <c r="BGT118" s="88"/>
      <c r="BGU118" s="88"/>
      <c r="BGV118" s="88"/>
      <c r="BGW118" s="88"/>
      <c r="BGX118" s="88"/>
      <c r="BGY118" s="88"/>
      <c r="BGZ118" s="88"/>
      <c r="BHA118" s="88"/>
      <c r="BHB118" s="88"/>
      <c r="BHC118" s="88"/>
      <c r="BHD118" s="88"/>
      <c r="BHE118" s="88"/>
      <c r="BHF118" s="88"/>
      <c r="BHG118" s="88"/>
      <c r="BHH118" s="88"/>
      <c r="BHI118" s="88"/>
      <c r="BHJ118" s="88"/>
      <c r="BHK118" s="88"/>
      <c r="BHL118" s="88"/>
      <c r="BHM118" s="88"/>
      <c r="BHN118" s="88"/>
      <c r="BHO118" s="88"/>
      <c r="BHP118" s="88"/>
      <c r="BHQ118" s="88"/>
      <c r="BHR118" s="88"/>
      <c r="BHS118" s="88"/>
      <c r="BHT118" s="88"/>
      <c r="BHU118" s="88"/>
      <c r="BHV118" s="88"/>
      <c r="BHW118" s="88"/>
      <c r="BHX118" s="88"/>
      <c r="BHY118" s="88"/>
      <c r="BHZ118" s="88"/>
      <c r="BIA118" s="88"/>
      <c r="BIB118" s="88"/>
      <c r="BIC118" s="88"/>
      <c r="BID118" s="88"/>
      <c r="BIE118" s="88"/>
      <c r="BIF118" s="88"/>
      <c r="BIG118" s="88"/>
      <c r="BIH118" s="88"/>
      <c r="BII118" s="88"/>
      <c r="BIJ118" s="88"/>
      <c r="BIK118" s="88"/>
      <c r="BIL118" s="88"/>
      <c r="BIM118" s="88"/>
      <c r="BIN118" s="88"/>
      <c r="BIO118" s="88"/>
      <c r="BIP118" s="88"/>
      <c r="BIQ118" s="88"/>
      <c r="BIR118" s="88"/>
      <c r="BIS118" s="88"/>
      <c r="BIT118" s="88"/>
      <c r="BIU118" s="88"/>
      <c r="BIV118" s="88"/>
      <c r="BIW118" s="88"/>
      <c r="BIX118" s="88"/>
      <c r="BIY118" s="88"/>
      <c r="BIZ118" s="88"/>
      <c r="BJA118" s="88"/>
      <c r="BJB118" s="88"/>
      <c r="BJC118" s="88"/>
      <c r="BJD118" s="88"/>
      <c r="BJE118" s="88"/>
      <c r="BJF118" s="88"/>
      <c r="BJG118" s="88"/>
      <c r="BJH118" s="88"/>
      <c r="BJI118" s="88"/>
      <c r="BJJ118" s="88"/>
      <c r="BJK118" s="88"/>
      <c r="BJL118" s="88"/>
      <c r="BJM118" s="88"/>
      <c r="BJN118" s="88"/>
      <c r="BJO118" s="88"/>
      <c r="BJP118" s="88"/>
      <c r="BJQ118" s="88"/>
      <c r="BJR118" s="88"/>
      <c r="BJS118" s="88"/>
      <c r="BJT118" s="88"/>
      <c r="BJU118" s="88"/>
      <c r="BJV118" s="88"/>
      <c r="BJW118" s="88"/>
      <c r="BJX118" s="88"/>
      <c r="BJY118" s="88"/>
      <c r="BJZ118" s="88"/>
      <c r="BKA118" s="88"/>
      <c r="BKB118" s="88"/>
      <c r="BKC118" s="88"/>
      <c r="BKD118" s="88"/>
      <c r="BKE118" s="88"/>
      <c r="BKF118" s="88"/>
      <c r="BKG118" s="88"/>
      <c r="BKH118" s="88"/>
      <c r="BKI118" s="88"/>
      <c r="BKJ118" s="88"/>
      <c r="BKK118" s="88"/>
      <c r="BKL118" s="88"/>
      <c r="BKM118" s="88"/>
      <c r="BKN118" s="88"/>
      <c r="BKO118" s="88"/>
      <c r="BKP118" s="88"/>
      <c r="BKQ118" s="88"/>
      <c r="BKR118" s="88"/>
      <c r="BKS118" s="88"/>
      <c r="BKT118" s="88"/>
      <c r="BKU118" s="88"/>
      <c r="BKV118" s="88"/>
      <c r="BKW118" s="88"/>
      <c r="BKX118" s="88"/>
      <c r="BKY118" s="88"/>
      <c r="BKZ118" s="88"/>
      <c r="BLA118" s="88"/>
      <c r="BLB118" s="88"/>
      <c r="BLC118" s="88"/>
      <c r="BLD118" s="88"/>
      <c r="BLE118" s="88"/>
      <c r="BLF118" s="88"/>
      <c r="BLG118" s="88"/>
      <c r="BLH118" s="88"/>
      <c r="BLI118" s="88"/>
      <c r="BLJ118" s="88"/>
      <c r="BLK118" s="88"/>
      <c r="BLL118" s="88"/>
      <c r="BLM118" s="88"/>
      <c r="BLN118" s="88"/>
      <c r="BLO118" s="88"/>
      <c r="BLP118" s="88"/>
      <c r="BLQ118" s="88"/>
      <c r="BLR118" s="88"/>
      <c r="BLS118" s="88"/>
      <c r="BLT118" s="88"/>
      <c r="BLU118" s="88"/>
      <c r="BLV118" s="88"/>
      <c r="BLW118" s="88"/>
      <c r="BLX118" s="88"/>
      <c r="BLY118" s="88"/>
      <c r="BLZ118" s="88"/>
      <c r="BMA118" s="88"/>
      <c r="BMB118" s="88"/>
      <c r="BMC118" s="88"/>
      <c r="BMD118" s="88"/>
      <c r="BME118" s="88"/>
      <c r="BMF118" s="88"/>
      <c r="BMG118" s="88"/>
      <c r="BMH118" s="88"/>
      <c r="BMI118" s="88"/>
      <c r="BMJ118" s="88"/>
      <c r="BMK118" s="88"/>
      <c r="BML118" s="88"/>
      <c r="BMM118" s="88"/>
      <c r="BMN118" s="88"/>
      <c r="BMO118" s="88"/>
      <c r="BMP118" s="88"/>
      <c r="BMQ118" s="88"/>
      <c r="BMR118" s="88"/>
      <c r="BMS118" s="88"/>
      <c r="BMT118" s="88"/>
      <c r="BMU118" s="88"/>
      <c r="BMV118" s="88"/>
      <c r="BMW118" s="88"/>
      <c r="BMX118" s="88"/>
      <c r="BMY118" s="88"/>
      <c r="BMZ118" s="88"/>
      <c r="BNA118" s="88"/>
      <c r="BNB118" s="88"/>
      <c r="BNC118" s="88"/>
      <c r="BND118" s="88"/>
      <c r="BNE118" s="88"/>
      <c r="BNF118" s="88"/>
      <c r="BNG118" s="88"/>
      <c r="BNH118" s="88"/>
      <c r="BNI118" s="88"/>
      <c r="BNJ118" s="88"/>
      <c r="BNK118" s="88"/>
      <c r="BNL118" s="88"/>
      <c r="BNM118" s="88"/>
      <c r="BNN118" s="88"/>
      <c r="BNO118" s="88"/>
      <c r="BNP118" s="88"/>
      <c r="BNQ118" s="88"/>
      <c r="BNR118" s="88"/>
      <c r="BNS118" s="88"/>
      <c r="BNT118" s="88"/>
      <c r="BNU118" s="88"/>
      <c r="BNV118" s="88"/>
      <c r="BNW118" s="88"/>
      <c r="BNX118" s="88"/>
      <c r="BNY118" s="88"/>
      <c r="BNZ118" s="88"/>
      <c r="BOA118" s="88"/>
      <c r="BOB118" s="88"/>
      <c r="BOC118" s="88"/>
      <c r="BOD118" s="88"/>
      <c r="BOE118" s="88"/>
      <c r="BOF118" s="88"/>
      <c r="BOG118" s="88"/>
      <c r="BOH118" s="88"/>
      <c r="BOI118" s="88"/>
      <c r="BOJ118" s="88"/>
      <c r="BOK118" s="88"/>
      <c r="BOL118" s="88"/>
      <c r="BOM118" s="88"/>
      <c r="BON118" s="88"/>
      <c r="BOO118" s="88"/>
      <c r="BOP118" s="88"/>
      <c r="BOQ118" s="88"/>
      <c r="BOR118" s="88"/>
      <c r="BOS118" s="88"/>
      <c r="BOT118" s="88"/>
      <c r="BOU118" s="88"/>
      <c r="BOV118" s="88"/>
      <c r="BOW118" s="88"/>
      <c r="BOX118" s="88"/>
      <c r="BOY118" s="88"/>
      <c r="BOZ118" s="88"/>
      <c r="BPA118" s="88"/>
      <c r="BPB118" s="88"/>
      <c r="BPC118" s="88"/>
      <c r="BPD118" s="88"/>
      <c r="BPE118" s="88"/>
      <c r="BPF118" s="88"/>
      <c r="BPG118" s="88"/>
      <c r="BPH118" s="88"/>
      <c r="BPI118" s="88"/>
      <c r="BPJ118" s="88"/>
      <c r="BPK118" s="88"/>
      <c r="BPL118" s="88"/>
      <c r="BPM118" s="88"/>
      <c r="BPN118" s="88"/>
      <c r="BPO118" s="88"/>
      <c r="BPP118" s="88"/>
      <c r="BPQ118" s="88"/>
      <c r="BPR118" s="88"/>
      <c r="BPS118" s="88"/>
      <c r="BPT118" s="88"/>
      <c r="BPU118" s="88"/>
      <c r="BPV118" s="88"/>
      <c r="BPW118" s="88"/>
      <c r="BPX118" s="88"/>
      <c r="BPY118" s="88"/>
      <c r="BPZ118" s="88"/>
      <c r="BQA118" s="88"/>
      <c r="BQB118" s="88"/>
      <c r="BQC118" s="88"/>
      <c r="BQD118" s="88"/>
      <c r="BQE118" s="88"/>
      <c r="BQF118" s="88"/>
      <c r="BQG118" s="88"/>
      <c r="BQH118" s="88"/>
      <c r="BQI118" s="88"/>
      <c r="BQJ118" s="88"/>
      <c r="BQK118" s="88"/>
      <c r="BQL118" s="88"/>
      <c r="BQM118" s="88"/>
      <c r="BQN118" s="88"/>
      <c r="BQO118" s="88"/>
      <c r="BQP118" s="88"/>
      <c r="BQQ118" s="88"/>
      <c r="BQR118" s="88"/>
      <c r="BQS118" s="88"/>
      <c r="BQT118" s="88"/>
      <c r="BQU118" s="88"/>
      <c r="BQV118" s="88"/>
      <c r="BQW118" s="88"/>
      <c r="BQX118" s="88"/>
      <c r="BQY118" s="88"/>
      <c r="BQZ118" s="88"/>
      <c r="BRA118" s="88"/>
      <c r="BRB118" s="88"/>
      <c r="BRC118" s="88"/>
      <c r="BRD118" s="88"/>
      <c r="BRE118" s="88"/>
      <c r="BRF118" s="88"/>
      <c r="BRG118" s="88"/>
      <c r="BRH118" s="88"/>
      <c r="BRI118" s="88"/>
      <c r="BRJ118" s="88"/>
      <c r="BRK118" s="88"/>
      <c r="BRL118" s="88"/>
      <c r="BRM118" s="88"/>
      <c r="BRN118" s="88"/>
      <c r="BRO118" s="88"/>
      <c r="BRP118" s="88"/>
      <c r="BRQ118" s="88"/>
      <c r="BRR118" s="88"/>
      <c r="BRS118" s="88"/>
      <c r="BRT118" s="88"/>
      <c r="BRU118" s="88"/>
      <c r="BRV118" s="88"/>
      <c r="BRW118" s="88"/>
      <c r="BRX118" s="88"/>
      <c r="BRY118" s="88"/>
      <c r="BRZ118" s="88"/>
      <c r="BSA118" s="88"/>
      <c r="BSB118" s="88"/>
      <c r="BSC118" s="88"/>
      <c r="BSD118" s="88"/>
      <c r="BSE118" s="88"/>
      <c r="BSF118" s="88"/>
      <c r="BSG118" s="88"/>
      <c r="BSH118" s="88"/>
      <c r="BSI118" s="88"/>
      <c r="BSJ118" s="88"/>
      <c r="BSK118" s="88"/>
      <c r="BSL118" s="88"/>
      <c r="BSM118" s="88"/>
      <c r="BSN118" s="88"/>
      <c r="BSO118" s="88"/>
      <c r="BSP118" s="88"/>
      <c r="BSQ118" s="88"/>
      <c r="BSR118" s="88"/>
      <c r="BSS118" s="88"/>
      <c r="BST118" s="88"/>
      <c r="BSU118" s="88"/>
      <c r="BSV118" s="88"/>
      <c r="BSW118" s="88"/>
      <c r="BSX118" s="88"/>
      <c r="BSY118" s="88"/>
      <c r="BSZ118" s="88"/>
      <c r="BTA118" s="88"/>
      <c r="BTB118" s="88"/>
      <c r="BTC118" s="88"/>
      <c r="BTD118" s="88"/>
      <c r="BTE118" s="88"/>
      <c r="BTF118" s="88"/>
      <c r="BTG118" s="88"/>
      <c r="BTH118" s="88"/>
      <c r="BTI118" s="88"/>
      <c r="BTJ118" s="88"/>
      <c r="BTK118" s="88"/>
      <c r="BTL118" s="88"/>
      <c r="BTM118" s="88"/>
      <c r="BTN118" s="88"/>
      <c r="BTO118" s="88"/>
      <c r="BTP118" s="88"/>
      <c r="BTQ118" s="88"/>
      <c r="BTR118" s="88"/>
      <c r="BTS118" s="88"/>
      <c r="BTT118" s="88"/>
      <c r="BTU118" s="88"/>
      <c r="BTV118" s="88"/>
      <c r="BTW118" s="88"/>
      <c r="BTX118" s="88"/>
      <c r="BTY118" s="88"/>
      <c r="BTZ118" s="88"/>
      <c r="BUA118" s="88"/>
      <c r="BUB118" s="88"/>
      <c r="BUC118" s="88"/>
      <c r="BUD118" s="88"/>
      <c r="BUE118" s="88"/>
      <c r="BUF118" s="88"/>
      <c r="BUG118" s="88"/>
      <c r="BUH118" s="88"/>
      <c r="BUI118" s="88"/>
      <c r="BUJ118" s="88"/>
      <c r="BUK118" s="88"/>
      <c r="BUL118" s="88"/>
      <c r="BUM118" s="88"/>
      <c r="BUN118" s="88"/>
      <c r="BUO118" s="88"/>
      <c r="BUP118" s="88"/>
      <c r="BUQ118" s="88"/>
      <c r="BUR118" s="88"/>
      <c r="BUS118" s="88"/>
      <c r="BUT118" s="88"/>
      <c r="BUU118" s="88"/>
      <c r="BUV118" s="88"/>
      <c r="BUW118" s="88"/>
      <c r="BUX118" s="88"/>
      <c r="BUY118" s="88"/>
      <c r="BUZ118" s="88"/>
      <c r="BVA118" s="88"/>
      <c r="BVB118" s="88"/>
      <c r="BVC118" s="88"/>
      <c r="BVD118" s="88"/>
      <c r="BVE118" s="88"/>
      <c r="BVF118" s="88"/>
      <c r="BVG118" s="88"/>
      <c r="BVH118" s="88"/>
      <c r="BVI118" s="88"/>
      <c r="BVJ118" s="88"/>
      <c r="BVK118" s="88"/>
      <c r="BVL118" s="88"/>
      <c r="BVM118" s="88"/>
      <c r="BVN118" s="88"/>
      <c r="BVO118" s="88"/>
      <c r="BVP118" s="88"/>
      <c r="BVQ118" s="88"/>
      <c r="BVR118" s="88"/>
      <c r="BVS118" s="88"/>
      <c r="BVT118" s="88"/>
      <c r="BVU118" s="88"/>
      <c r="BVV118" s="88"/>
      <c r="BVW118" s="88"/>
      <c r="BVX118" s="88"/>
      <c r="BVY118" s="88"/>
      <c r="BVZ118" s="88"/>
      <c r="BWA118" s="88"/>
      <c r="BWB118" s="88"/>
      <c r="BWC118" s="88"/>
      <c r="BWD118" s="88"/>
      <c r="BWE118" s="88"/>
      <c r="BWF118" s="88"/>
      <c r="BWG118" s="88"/>
      <c r="BWH118" s="88"/>
      <c r="BWI118" s="88"/>
      <c r="BWJ118" s="88"/>
      <c r="BWK118" s="88"/>
      <c r="BWL118" s="88"/>
      <c r="BWM118" s="88"/>
      <c r="BWN118" s="88"/>
      <c r="BWO118" s="88"/>
      <c r="BWP118" s="88"/>
      <c r="BWQ118" s="88"/>
      <c r="BWR118" s="88"/>
      <c r="BWS118" s="88"/>
      <c r="BWT118" s="88"/>
      <c r="BWU118" s="88"/>
      <c r="BWV118" s="88"/>
      <c r="BWW118" s="88"/>
      <c r="BWX118" s="88"/>
      <c r="BWY118" s="88"/>
      <c r="BWZ118" s="88"/>
      <c r="BXA118" s="88"/>
      <c r="BXB118" s="88"/>
      <c r="BXC118" s="88"/>
      <c r="BXD118" s="88"/>
      <c r="BXE118" s="88"/>
      <c r="BXF118" s="88"/>
      <c r="BXG118" s="88"/>
      <c r="BXH118" s="88"/>
      <c r="BXI118" s="88"/>
      <c r="BXJ118" s="88"/>
      <c r="BXK118" s="88"/>
      <c r="BXL118" s="88"/>
      <c r="BXM118" s="88"/>
      <c r="BXN118" s="88"/>
      <c r="BXO118" s="88"/>
      <c r="BXP118" s="88"/>
      <c r="BXQ118" s="88"/>
      <c r="BXR118" s="88"/>
      <c r="BXS118" s="88"/>
      <c r="BXT118" s="88"/>
      <c r="BXU118" s="88"/>
      <c r="BXV118" s="88"/>
      <c r="BXW118" s="88"/>
      <c r="BXX118" s="88"/>
      <c r="BXY118" s="88"/>
      <c r="BXZ118" s="88"/>
      <c r="BYA118" s="88"/>
      <c r="BYB118" s="88"/>
      <c r="BYC118" s="88"/>
      <c r="BYD118" s="88"/>
      <c r="BYE118" s="88"/>
      <c r="BYF118" s="88"/>
      <c r="BYG118" s="88"/>
      <c r="BYH118" s="88"/>
      <c r="BYI118" s="88"/>
      <c r="BYJ118" s="88"/>
      <c r="BYK118" s="88"/>
      <c r="BYL118" s="88"/>
      <c r="BYM118" s="88"/>
      <c r="BYN118" s="88"/>
      <c r="BYO118" s="88"/>
      <c r="BYP118" s="88"/>
      <c r="BYQ118" s="88"/>
      <c r="BYR118" s="88"/>
      <c r="BYS118" s="88"/>
      <c r="BYT118" s="88"/>
      <c r="BYU118" s="88"/>
      <c r="BYV118" s="88"/>
      <c r="BYW118" s="88"/>
      <c r="BYX118" s="88"/>
      <c r="BYY118" s="88"/>
      <c r="BYZ118" s="88"/>
      <c r="BZA118" s="88"/>
      <c r="BZB118" s="88"/>
      <c r="BZC118" s="88"/>
      <c r="BZD118" s="88"/>
      <c r="BZE118" s="88"/>
      <c r="BZF118" s="88"/>
      <c r="BZG118" s="88"/>
      <c r="BZH118" s="88"/>
      <c r="BZI118" s="88"/>
      <c r="BZJ118" s="88"/>
      <c r="BZK118" s="88"/>
      <c r="BZL118" s="88"/>
      <c r="BZM118" s="88"/>
      <c r="BZN118" s="88"/>
      <c r="BZO118" s="88"/>
      <c r="BZP118" s="88"/>
      <c r="BZQ118" s="88"/>
      <c r="BZR118" s="88"/>
      <c r="BZS118" s="88"/>
      <c r="BZT118" s="88"/>
      <c r="BZU118" s="88"/>
      <c r="BZV118" s="88"/>
      <c r="BZW118" s="88"/>
      <c r="BZX118" s="88"/>
      <c r="BZY118" s="88"/>
      <c r="BZZ118" s="88"/>
      <c r="CAA118" s="88"/>
      <c r="CAB118" s="88"/>
      <c r="CAC118" s="88"/>
      <c r="CAD118" s="88"/>
      <c r="CAE118" s="88"/>
      <c r="CAF118" s="88"/>
      <c r="CAG118" s="88"/>
      <c r="CAH118" s="88"/>
      <c r="CAI118" s="88"/>
      <c r="CAJ118" s="88"/>
      <c r="CAK118" s="88"/>
      <c r="CAL118" s="88"/>
      <c r="CAM118" s="88"/>
      <c r="CAN118" s="88"/>
      <c r="CAO118" s="88"/>
      <c r="CAP118" s="88"/>
      <c r="CAQ118" s="88"/>
      <c r="CAR118" s="88"/>
      <c r="CAS118" s="88"/>
      <c r="CAT118" s="88"/>
      <c r="CAU118" s="88"/>
      <c r="CAV118" s="88"/>
      <c r="CAW118" s="88"/>
      <c r="CAX118" s="88"/>
      <c r="CAY118" s="88"/>
      <c r="CAZ118" s="88"/>
      <c r="CBA118" s="88"/>
      <c r="CBB118" s="88"/>
      <c r="CBC118" s="88"/>
      <c r="CBD118" s="88"/>
      <c r="CBE118" s="88"/>
      <c r="CBF118" s="88"/>
      <c r="CBG118" s="88"/>
      <c r="CBH118" s="88"/>
      <c r="CBI118" s="88"/>
      <c r="CBJ118" s="88"/>
      <c r="CBK118" s="88"/>
      <c r="CBL118" s="88"/>
      <c r="CBM118" s="88"/>
      <c r="CBN118" s="88"/>
      <c r="CBO118" s="88"/>
      <c r="CBP118" s="88"/>
      <c r="CBQ118" s="88"/>
      <c r="CBR118" s="88"/>
      <c r="CBS118" s="88"/>
      <c r="CBT118" s="88"/>
      <c r="CBU118" s="88"/>
      <c r="CBV118" s="88"/>
      <c r="CBW118" s="88"/>
      <c r="CBX118" s="88"/>
      <c r="CBY118" s="88"/>
      <c r="CBZ118" s="88"/>
      <c r="CCA118" s="88"/>
      <c r="CCB118" s="88"/>
      <c r="CCC118" s="88"/>
      <c r="CCD118" s="88"/>
      <c r="CCE118" s="88"/>
      <c r="CCF118" s="88"/>
      <c r="CCG118" s="88"/>
      <c r="CCH118" s="88"/>
      <c r="CCI118" s="88"/>
      <c r="CCJ118" s="88"/>
      <c r="CCK118" s="88"/>
      <c r="CCL118" s="88"/>
      <c r="CCM118" s="88"/>
      <c r="CCN118" s="88"/>
      <c r="CCO118" s="88"/>
      <c r="CCP118" s="88"/>
      <c r="CCQ118" s="88"/>
      <c r="CCR118" s="88"/>
      <c r="CCS118" s="88"/>
      <c r="CCT118" s="88"/>
      <c r="CCU118" s="88"/>
      <c r="CCV118" s="88"/>
      <c r="CCW118" s="88"/>
      <c r="CCX118" s="88"/>
      <c r="CCY118" s="88"/>
      <c r="CCZ118" s="88"/>
      <c r="CDA118" s="88"/>
      <c r="CDB118" s="88"/>
      <c r="CDC118" s="88"/>
      <c r="CDD118" s="88"/>
      <c r="CDE118" s="88"/>
      <c r="CDF118" s="88"/>
      <c r="CDG118" s="88"/>
      <c r="CDH118" s="88"/>
      <c r="CDI118" s="88"/>
      <c r="CDJ118" s="88"/>
      <c r="CDK118" s="88"/>
      <c r="CDL118" s="88"/>
      <c r="CDM118" s="88"/>
      <c r="CDN118" s="88"/>
      <c r="CDO118" s="88"/>
      <c r="CDP118" s="88"/>
      <c r="CDQ118" s="88"/>
      <c r="CDR118" s="88"/>
      <c r="CDS118" s="88"/>
      <c r="CDT118" s="88"/>
      <c r="CDU118" s="88"/>
      <c r="CDV118" s="88"/>
      <c r="CDW118" s="88"/>
      <c r="CDX118" s="88"/>
      <c r="CDY118" s="88"/>
      <c r="CDZ118" s="88"/>
      <c r="CEA118" s="88"/>
      <c r="CEB118" s="88"/>
      <c r="CEC118" s="88"/>
      <c r="CED118" s="88"/>
      <c r="CEE118" s="88"/>
      <c r="CEF118" s="88"/>
      <c r="CEG118" s="88"/>
      <c r="CEH118" s="88"/>
      <c r="CEI118" s="88"/>
      <c r="CEJ118" s="88"/>
      <c r="CEK118" s="88"/>
    </row>
    <row r="119" spans="1:2169" s="63" customFormat="1">
      <c r="A119" s="73" t="s">
        <v>13257</v>
      </c>
      <c r="B119" s="71" t="s">
        <v>13259</v>
      </c>
      <c r="C119" s="68" t="str">
        <f>IF('page 2'!$O$4="","",IF('page 2'!$O$4=Gestion!A119,1,0))</f>
        <v/>
      </c>
      <c r="D119" s="68" t="str">
        <f>IF('page 2'!$O$5="","",IF('page 2'!$O$5=Gestion!A119,1,0))</f>
        <v/>
      </c>
      <c r="E119" s="68" t="str">
        <f>IF('page 2'!$O$6="","",IF('page 2'!$O$6=Gestion!A119,1,0))</f>
        <v/>
      </c>
      <c r="F119" s="68" t="str">
        <f>IF('page 2'!$O$7="","",IF('page 2'!$O$7=Gestion!A119,1,0))</f>
        <v/>
      </c>
      <c r="G119" s="68" t="str">
        <f>IF('page 2'!$O$8="","",IF('page 2'!$O$8=Gestion!A119,1,0))</f>
        <v/>
      </c>
      <c r="H119" s="68" t="str">
        <f>IF('page 2'!$O$9="","",IF('page 2'!$O$9=Gestion!A119,1,0))</f>
        <v/>
      </c>
      <c r="I119" s="68" t="str">
        <f>IF('page 2'!$O$10="","",IF('page 2'!$O$10=Gestion!A119,1,0))</f>
        <v/>
      </c>
      <c r="J119" s="68" t="str">
        <f>IF('page 2'!$O$11="","",IF('page 2'!$O$11=Gestion!A119,1,0))</f>
        <v/>
      </c>
      <c r="K119" s="68" t="str">
        <f>IF('page 2'!$O$12="","",IF('page 2'!$O$12=Gestion!A119,1,0))</f>
        <v/>
      </c>
      <c r="L119" s="68" t="str">
        <f>IF('page 2'!$O$13="","",IF('page 2'!$O$13=Gestion!A119,1,0))</f>
        <v/>
      </c>
      <c r="M119" s="68" t="str">
        <f>IF('page 2'!$O$14="","",IF('page 2'!$O$14=Gestion!A119,1,0))</f>
        <v/>
      </c>
      <c r="N119" s="68" t="str">
        <f>IF('page 2'!$O$15="","",IF('page 2'!$O$15=Gestion!A119,1,0))</f>
        <v/>
      </c>
      <c r="O119" s="68" t="str">
        <f>IF('page 2'!$O$16="","",IF('page 2'!$O$16=Gestion!A119,1,0))</f>
        <v/>
      </c>
      <c r="P119" s="68" t="str">
        <f>IF('page 2'!$O$17="","",IF('page 2'!$O$17=Gestion!A119,1,0))</f>
        <v/>
      </c>
      <c r="Q119" s="68" t="str">
        <f>IF('page 2'!$O$18="","",IF('page 2'!$O$18=Gestion!A119,1,0))</f>
        <v/>
      </c>
      <c r="R119" s="68" t="str">
        <f>IF('page 2'!$O$19="","",IF('page 2'!$O$19=Gestion!A119,1,0))</f>
        <v/>
      </c>
      <c r="S119" s="68" t="str">
        <f>IF('page 2'!$O$20="","",IF('page 2'!$O$20=Gestion!A119,1,0))</f>
        <v/>
      </c>
      <c r="T119" s="68" t="str">
        <f>IF('page 2'!$O$25="","",IF('page 2'!$O$25=Gestion!A119,1,0))</f>
        <v/>
      </c>
      <c r="U119" s="68" t="str">
        <f>IF('page 2'!$O$26="","",IF('page 2'!$O$26=Gestion!A119,1,0))</f>
        <v/>
      </c>
      <c r="V119" s="68" t="str">
        <f>IF('page 2'!$O$27="","",IF('page 2'!$O$27=Gestion!A119,1,0))</f>
        <v/>
      </c>
      <c r="W119" s="722">
        <f t="shared" ref="W119" si="18">SUM(C119:V119)</f>
        <v>0</v>
      </c>
      <c r="X119" s="714"/>
      <c r="Y119" s="68"/>
      <c r="Z119" s="68"/>
      <c r="AA119" s="68"/>
      <c r="AB119" s="68"/>
      <c r="AC119" s="68"/>
      <c r="AD119" s="68"/>
      <c r="AP119" s="130"/>
      <c r="AQ119" s="130"/>
      <c r="AR119" s="130"/>
      <c r="AS119" s="576"/>
      <c r="AT119" s="576"/>
      <c r="AU119" s="576"/>
      <c r="AV119" s="576"/>
      <c r="AW119" s="602"/>
      <c r="AX119" s="602"/>
      <c r="AY119" s="576"/>
      <c r="AZ119" s="576"/>
      <c r="BA119" s="576"/>
      <c r="BB119" s="576"/>
      <c r="BC119" s="576"/>
      <c r="BD119" s="602"/>
      <c r="BE119" s="602"/>
      <c r="BF119" s="602"/>
      <c r="BG119" s="602"/>
      <c r="BH119" s="602"/>
      <c r="BI119" s="602"/>
      <c r="BJ119" s="602"/>
      <c r="BK119" s="602"/>
      <c r="BL119" s="602"/>
      <c r="BM119" s="602"/>
      <c r="BN119" s="602"/>
      <c r="BO119" s="602"/>
      <c r="BP119" s="602"/>
      <c r="BQ119" s="602"/>
      <c r="BR119" s="602"/>
      <c r="BS119" s="576"/>
      <c r="BT119" s="576"/>
      <c r="BU119" s="576"/>
      <c r="BV119" s="576"/>
      <c r="BW119" s="602"/>
      <c r="BX119" s="602"/>
      <c r="BY119" s="602"/>
      <c r="BZ119" s="576"/>
      <c r="CA119" s="602"/>
      <c r="CB119" s="602"/>
      <c r="CC119" s="576"/>
      <c r="CD119" s="576"/>
      <c r="CE119" s="602"/>
      <c r="CF119" s="576"/>
      <c r="CG119" s="576"/>
      <c r="CH119" s="576"/>
      <c r="CI119" s="576"/>
      <c r="CJ119" s="576"/>
      <c r="CK119" s="602"/>
      <c r="CL119" s="602"/>
      <c r="CM119" s="576"/>
      <c r="CN119" s="602"/>
      <c r="CO119" s="602"/>
      <c r="CP119" s="602"/>
      <c r="CQ119" s="576"/>
      <c r="CR119" s="576"/>
      <c r="CS119" s="602"/>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8"/>
      <c r="HN119" s="88"/>
      <c r="HO119" s="88"/>
      <c r="HP119" s="88"/>
      <c r="HQ119" s="88"/>
      <c r="HR119" s="88"/>
      <c r="HS119" s="88"/>
      <c r="HT119" s="88"/>
      <c r="HU119" s="88"/>
      <c r="HV119" s="88"/>
      <c r="HW119" s="88"/>
      <c r="HX119" s="88"/>
      <c r="HY119" s="88"/>
      <c r="HZ119" s="88"/>
      <c r="IA119" s="88"/>
      <c r="IB119" s="88"/>
      <c r="IC119" s="88"/>
      <c r="ID119" s="88"/>
      <c r="IE119" s="88"/>
      <c r="IF119" s="88"/>
      <c r="IG119" s="88"/>
      <c r="IH119" s="88"/>
      <c r="II119" s="88"/>
      <c r="IJ119" s="88"/>
      <c r="IK119" s="88"/>
      <c r="IL119" s="88"/>
      <c r="IM119" s="88"/>
      <c r="IN119" s="88"/>
      <c r="IO119" s="88"/>
      <c r="IP119" s="88"/>
      <c r="IQ119" s="88"/>
      <c r="IR119" s="88"/>
      <c r="IS119" s="88"/>
      <c r="IT119" s="88"/>
      <c r="IU119" s="88"/>
      <c r="IV119" s="88"/>
      <c r="IW119" s="88"/>
      <c r="IX119" s="88"/>
      <c r="IY119" s="88"/>
      <c r="IZ119" s="88"/>
      <c r="JA119" s="88"/>
      <c r="JB119" s="88"/>
      <c r="JC119" s="88"/>
      <c r="JD119" s="88"/>
      <c r="JE119" s="88"/>
      <c r="JF119" s="88"/>
      <c r="JG119" s="88"/>
      <c r="JH119" s="88"/>
      <c r="JI119" s="88"/>
      <c r="JJ119" s="88"/>
      <c r="JK119" s="88"/>
      <c r="JL119" s="88"/>
      <c r="JM119" s="88"/>
      <c r="JN119" s="88"/>
      <c r="JO119" s="88"/>
      <c r="JP119" s="88"/>
      <c r="JQ119" s="88"/>
      <c r="JR119" s="88"/>
      <c r="JS119" s="88"/>
      <c r="JT119" s="88"/>
      <c r="JU119" s="88"/>
      <c r="JV119" s="88"/>
      <c r="JW119" s="88"/>
      <c r="JX119" s="88"/>
      <c r="JY119" s="88"/>
      <c r="JZ119" s="88"/>
      <c r="KA119" s="88"/>
      <c r="KB119" s="88"/>
      <c r="KC119" s="88"/>
      <c r="KD119" s="88"/>
      <c r="KE119" s="88"/>
      <c r="KF119" s="88"/>
      <c r="KG119" s="88"/>
      <c r="KH119" s="88"/>
      <c r="KI119" s="88"/>
      <c r="KJ119" s="88"/>
      <c r="KK119" s="88"/>
      <c r="KL119" s="88"/>
      <c r="KM119" s="88"/>
      <c r="KN119" s="88"/>
      <c r="KO119" s="88"/>
      <c r="KP119" s="88"/>
      <c r="KQ119" s="88"/>
      <c r="KR119" s="88"/>
      <c r="KS119" s="88"/>
      <c r="KT119" s="88"/>
      <c r="KU119" s="88"/>
      <c r="KV119" s="88"/>
      <c r="KW119" s="88"/>
      <c r="KX119" s="88"/>
      <c r="KY119" s="88"/>
      <c r="KZ119" s="88"/>
      <c r="LA119" s="88"/>
      <c r="LB119" s="88"/>
      <c r="LC119" s="88"/>
      <c r="LD119" s="88"/>
      <c r="LE119" s="88"/>
      <c r="LF119" s="88"/>
      <c r="LG119" s="88"/>
      <c r="LH119" s="88"/>
      <c r="LI119" s="88"/>
      <c r="LJ119" s="88"/>
      <c r="LK119" s="88"/>
      <c r="LL119" s="88"/>
      <c r="LM119" s="88"/>
      <c r="LN119" s="88"/>
      <c r="LO119" s="88"/>
      <c r="LP119" s="88"/>
      <c r="LQ119" s="88"/>
      <c r="LR119" s="88"/>
      <c r="LS119" s="88"/>
      <c r="LT119" s="88"/>
      <c r="LU119" s="88"/>
      <c r="LV119" s="88"/>
      <c r="LW119" s="88"/>
      <c r="LX119" s="88"/>
      <c r="LY119" s="88"/>
      <c r="LZ119" s="88"/>
      <c r="MA119" s="88"/>
      <c r="MB119" s="88"/>
      <c r="MC119" s="88"/>
      <c r="MD119" s="88"/>
      <c r="ME119" s="88"/>
      <c r="MF119" s="88"/>
      <c r="MG119" s="88"/>
      <c r="MH119" s="88"/>
      <c r="MI119" s="88"/>
      <c r="MJ119" s="88"/>
      <c r="MK119" s="88"/>
      <c r="ML119" s="88"/>
      <c r="MM119" s="88"/>
      <c r="MN119" s="88"/>
      <c r="MO119" s="88"/>
      <c r="MP119" s="88"/>
      <c r="MQ119" s="88"/>
      <c r="MR119" s="88"/>
      <c r="MS119" s="88"/>
      <c r="MT119" s="88"/>
      <c r="MU119" s="88"/>
      <c r="MV119" s="88"/>
      <c r="MW119" s="88"/>
      <c r="MX119" s="88"/>
      <c r="MY119" s="88"/>
      <c r="MZ119" s="88"/>
      <c r="NA119" s="88"/>
      <c r="NB119" s="88"/>
      <c r="NC119" s="88"/>
      <c r="ND119" s="88"/>
      <c r="NE119" s="88"/>
      <c r="NF119" s="88"/>
      <c r="NG119" s="88"/>
      <c r="NH119" s="88"/>
      <c r="NI119" s="88"/>
      <c r="NJ119" s="88"/>
      <c r="NK119" s="88"/>
      <c r="NL119" s="88"/>
      <c r="NM119" s="88"/>
      <c r="NN119" s="88"/>
      <c r="NO119" s="88"/>
      <c r="NP119" s="88"/>
      <c r="NQ119" s="88"/>
      <c r="NR119" s="88"/>
      <c r="NS119" s="88"/>
      <c r="NT119" s="88"/>
      <c r="NU119" s="88"/>
      <c r="NV119" s="88"/>
      <c r="NW119" s="88"/>
      <c r="NX119" s="88"/>
      <c r="NY119" s="88"/>
      <c r="NZ119" s="88"/>
      <c r="OA119" s="88"/>
      <c r="OB119" s="88"/>
      <c r="OC119" s="88"/>
      <c r="OD119" s="88"/>
      <c r="OE119" s="88"/>
      <c r="OF119" s="88"/>
      <c r="OG119" s="88"/>
      <c r="OH119" s="88"/>
      <c r="OI119" s="88"/>
      <c r="OJ119" s="88"/>
      <c r="OK119" s="88"/>
      <c r="OL119" s="88"/>
      <c r="OM119" s="88"/>
      <c r="ON119" s="88"/>
      <c r="OO119" s="88"/>
      <c r="OP119" s="88"/>
      <c r="OQ119" s="88"/>
      <c r="OR119" s="88"/>
      <c r="OS119" s="88"/>
      <c r="OT119" s="88"/>
      <c r="OU119" s="88"/>
      <c r="OV119" s="88"/>
      <c r="OW119" s="88"/>
      <c r="OX119" s="88"/>
      <c r="OY119" s="88"/>
      <c r="OZ119" s="88"/>
      <c r="PA119" s="88"/>
      <c r="PB119" s="88"/>
      <c r="PC119" s="88"/>
      <c r="PD119" s="88"/>
      <c r="PE119" s="88"/>
      <c r="PF119" s="88"/>
      <c r="PG119" s="88"/>
      <c r="PH119" s="88"/>
      <c r="PI119" s="88"/>
      <c r="PJ119" s="88"/>
      <c r="PK119" s="88"/>
      <c r="PL119" s="88"/>
      <c r="PM119" s="88"/>
      <c r="PN119" s="88"/>
      <c r="PO119" s="88"/>
      <c r="PP119" s="88"/>
      <c r="PQ119" s="88"/>
      <c r="PR119" s="88"/>
      <c r="PS119" s="88"/>
      <c r="PT119" s="88"/>
      <c r="PU119" s="88"/>
      <c r="PV119" s="88"/>
      <c r="PW119" s="88"/>
      <c r="PX119" s="88"/>
      <c r="PY119" s="88"/>
      <c r="PZ119" s="88"/>
      <c r="QA119" s="88"/>
      <c r="QB119" s="88"/>
      <c r="QC119" s="88"/>
      <c r="QD119" s="88"/>
      <c r="QE119" s="88"/>
      <c r="QF119" s="88"/>
      <c r="QG119" s="88"/>
      <c r="QH119" s="88"/>
      <c r="QI119" s="88"/>
      <c r="QJ119" s="88"/>
      <c r="QK119" s="88"/>
      <c r="QL119" s="88"/>
      <c r="QM119" s="88"/>
      <c r="QN119" s="88"/>
      <c r="QO119" s="88"/>
      <c r="QP119" s="88"/>
      <c r="QQ119" s="88"/>
      <c r="QR119" s="88"/>
      <c r="QS119" s="88"/>
      <c r="QT119" s="88"/>
      <c r="QU119" s="88"/>
      <c r="QV119" s="88"/>
      <c r="QW119" s="88"/>
      <c r="QX119" s="88"/>
      <c r="QY119" s="88"/>
      <c r="QZ119" s="88"/>
      <c r="RA119" s="88"/>
      <c r="RB119" s="88"/>
      <c r="RC119" s="88"/>
      <c r="RD119" s="88"/>
      <c r="RE119" s="88"/>
      <c r="RF119" s="88"/>
      <c r="RG119" s="88"/>
      <c r="RH119" s="88"/>
      <c r="RI119" s="88"/>
      <c r="RJ119" s="88"/>
      <c r="RK119" s="88"/>
      <c r="RL119" s="88"/>
      <c r="RM119" s="88"/>
      <c r="RN119" s="88"/>
      <c r="RO119" s="88"/>
      <c r="RP119" s="88"/>
      <c r="RQ119" s="88"/>
      <c r="RR119" s="88"/>
      <c r="RS119" s="88"/>
      <c r="RT119" s="88"/>
      <c r="RU119" s="88"/>
      <c r="RV119" s="88"/>
      <c r="RW119" s="88"/>
      <c r="RX119" s="88"/>
      <c r="RY119" s="88"/>
      <c r="RZ119" s="88"/>
      <c r="SA119" s="88"/>
      <c r="SB119" s="88"/>
      <c r="SC119" s="88"/>
      <c r="SD119" s="88"/>
      <c r="SE119" s="88"/>
      <c r="SF119" s="88"/>
      <c r="SG119" s="88"/>
      <c r="SH119" s="88"/>
      <c r="SI119" s="88"/>
      <c r="SJ119" s="88"/>
      <c r="SK119" s="88"/>
      <c r="SL119" s="88"/>
      <c r="SM119" s="88"/>
      <c r="SN119" s="88"/>
      <c r="SO119" s="88"/>
      <c r="SP119" s="88"/>
      <c r="SQ119" s="88"/>
      <c r="SR119" s="88"/>
      <c r="SS119" s="88"/>
      <c r="ST119" s="88"/>
      <c r="SU119" s="88"/>
      <c r="SV119" s="88"/>
      <c r="SW119" s="88"/>
      <c r="SX119" s="88"/>
      <c r="SY119" s="88"/>
      <c r="SZ119" s="88"/>
      <c r="TA119" s="88"/>
      <c r="TB119" s="88"/>
      <c r="TC119" s="88"/>
      <c r="TD119" s="88"/>
      <c r="TE119" s="88"/>
      <c r="TF119" s="88"/>
      <c r="TG119" s="88"/>
      <c r="TH119" s="88"/>
      <c r="TI119" s="88"/>
      <c r="TJ119" s="88"/>
      <c r="TK119" s="88"/>
      <c r="TL119" s="88"/>
      <c r="TM119" s="88"/>
      <c r="TN119" s="88"/>
      <c r="TO119" s="88"/>
      <c r="TP119" s="88"/>
      <c r="TQ119" s="88"/>
      <c r="TR119" s="88"/>
      <c r="TS119" s="88"/>
      <c r="TT119" s="88"/>
      <c r="TU119" s="88"/>
      <c r="TV119" s="88"/>
      <c r="TW119" s="88"/>
      <c r="TX119" s="88"/>
      <c r="TY119" s="88"/>
      <c r="TZ119" s="88"/>
      <c r="UA119" s="88"/>
      <c r="UB119" s="88"/>
      <c r="UC119" s="88"/>
      <c r="UD119" s="88"/>
      <c r="UE119" s="88"/>
      <c r="UF119" s="88"/>
      <c r="UG119" s="88"/>
      <c r="UH119" s="88"/>
      <c r="UI119" s="88"/>
      <c r="UJ119" s="88"/>
      <c r="UK119" s="88"/>
      <c r="UL119" s="88"/>
      <c r="UM119" s="88"/>
      <c r="UN119" s="88"/>
      <c r="UO119" s="88"/>
      <c r="UP119" s="88"/>
      <c r="UQ119" s="88"/>
      <c r="UR119" s="88"/>
      <c r="US119" s="88"/>
      <c r="UT119" s="88"/>
      <c r="UU119" s="88"/>
      <c r="UV119" s="88"/>
      <c r="UW119" s="88"/>
      <c r="UX119" s="88"/>
      <c r="UY119" s="88"/>
      <c r="UZ119" s="88"/>
      <c r="VA119" s="88"/>
      <c r="VB119" s="88"/>
      <c r="VC119" s="88"/>
      <c r="VD119" s="88"/>
      <c r="VE119" s="88"/>
      <c r="VF119" s="88"/>
      <c r="VG119" s="88"/>
      <c r="VH119" s="88"/>
      <c r="VI119" s="88"/>
      <c r="VJ119" s="88"/>
      <c r="VK119" s="88"/>
      <c r="VL119" s="88"/>
      <c r="VM119" s="88"/>
      <c r="VN119" s="88"/>
      <c r="VO119" s="88"/>
      <c r="VP119" s="88"/>
      <c r="VQ119" s="88"/>
      <c r="VR119" s="88"/>
      <c r="VS119" s="88"/>
      <c r="VT119" s="88"/>
      <c r="VU119" s="88"/>
      <c r="VV119" s="88"/>
      <c r="VW119" s="88"/>
      <c r="VX119" s="88"/>
      <c r="VY119" s="88"/>
      <c r="VZ119" s="88"/>
      <c r="WA119" s="88"/>
      <c r="WB119" s="88"/>
      <c r="WC119" s="88"/>
      <c r="WD119" s="88"/>
      <c r="WE119" s="88"/>
      <c r="WF119" s="88"/>
      <c r="WG119" s="88"/>
      <c r="WH119" s="88"/>
      <c r="WI119" s="88"/>
      <c r="WJ119" s="88"/>
      <c r="WK119" s="88"/>
      <c r="WL119" s="88"/>
      <c r="WM119" s="88"/>
      <c r="WN119" s="88"/>
      <c r="WO119" s="88"/>
      <c r="WP119" s="88"/>
      <c r="WQ119" s="88"/>
      <c r="WR119" s="88"/>
      <c r="WS119" s="88"/>
      <c r="WT119" s="88"/>
      <c r="WU119" s="88"/>
      <c r="WV119" s="88"/>
      <c r="WW119" s="88"/>
      <c r="WX119" s="88"/>
      <c r="WY119" s="88"/>
      <c r="WZ119" s="88"/>
      <c r="XA119" s="88"/>
      <c r="XB119" s="88"/>
      <c r="XC119" s="88"/>
      <c r="XD119" s="88"/>
      <c r="XE119" s="88"/>
      <c r="XF119" s="88"/>
      <c r="XG119" s="88"/>
      <c r="XH119" s="88"/>
      <c r="XI119" s="88"/>
      <c r="XJ119" s="88"/>
      <c r="XK119" s="88"/>
      <c r="XL119" s="88"/>
      <c r="XM119" s="88"/>
      <c r="XN119" s="88"/>
      <c r="XO119" s="88"/>
      <c r="XP119" s="88"/>
      <c r="XQ119" s="88"/>
      <c r="XR119" s="88"/>
      <c r="XS119" s="88"/>
      <c r="XT119" s="88"/>
      <c r="XU119" s="88"/>
      <c r="XV119" s="88"/>
      <c r="XW119" s="88"/>
      <c r="XX119" s="88"/>
      <c r="XY119" s="88"/>
      <c r="XZ119" s="88"/>
      <c r="YA119" s="88"/>
      <c r="YB119" s="88"/>
      <c r="YC119" s="88"/>
      <c r="YD119" s="88"/>
      <c r="YE119" s="88"/>
      <c r="YF119" s="88"/>
      <c r="YG119" s="88"/>
      <c r="YH119" s="88"/>
      <c r="YI119" s="88"/>
      <c r="YJ119" s="88"/>
      <c r="YK119" s="88"/>
      <c r="YL119" s="88"/>
      <c r="YM119" s="88"/>
      <c r="YN119" s="88"/>
      <c r="YO119" s="88"/>
      <c r="YP119" s="88"/>
      <c r="YQ119" s="88"/>
      <c r="YR119" s="88"/>
      <c r="YS119" s="88"/>
      <c r="YT119" s="88"/>
      <c r="YU119" s="88"/>
      <c r="YV119" s="88"/>
      <c r="YW119" s="88"/>
      <c r="YX119" s="88"/>
      <c r="YY119" s="88"/>
      <c r="YZ119" s="88"/>
      <c r="ZA119" s="88"/>
      <c r="ZB119" s="88"/>
      <c r="ZC119" s="88"/>
      <c r="ZD119" s="88"/>
      <c r="ZE119" s="88"/>
      <c r="ZF119" s="88"/>
      <c r="ZG119" s="88"/>
      <c r="ZH119" s="88"/>
      <c r="ZI119" s="88"/>
      <c r="ZJ119" s="88"/>
      <c r="ZK119" s="88"/>
      <c r="ZL119" s="88"/>
      <c r="ZM119" s="88"/>
      <c r="ZN119" s="88"/>
      <c r="ZO119" s="88"/>
      <c r="ZP119" s="88"/>
      <c r="ZQ119" s="88"/>
      <c r="ZR119" s="88"/>
      <c r="ZS119" s="88"/>
      <c r="ZT119" s="88"/>
      <c r="ZU119" s="88"/>
      <c r="ZV119" s="88"/>
      <c r="ZW119" s="88"/>
      <c r="ZX119" s="88"/>
      <c r="ZY119" s="88"/>
      <c r="ZZ119" s="88"/>
      <c r="AAA119" s="88"/>
      <c r="AAB119" s="88"/>
      <c r="AAC119" s="88"/>
      <c r="AAD119" s="88"/>
      <c r="AAE119" s="88"/>
      <c r="AAF119" s="88"/>
      <c r="AAG119" s="88"/>
      <c r="AAH119" s="88"/>
      <c r="AAI119" s="88"/>
      <c r="AAJ119" s="88"/>
      <c r="AAK119" s="88"/>
      <c r="AAL119" s="88"/>
      <c r="AAM119" s="88"/>
      <c r="AAN119" s="88"/>
      <c r="AAO119" s="88"/>
      <c r="AAP119" s="88"/>
      <c r="AAQ119" s="88"/>
      <c r="AAR119" s="88"/>
      <c r="AAS119" s="88"/>
      <c r="AAT119" s="88"/>
      <c r="AAU119" s="88"/>
      <c r="AAV119" s="88"/>
      <c r="AAW119" s="88"/>
      <c r="AAX119" s="88"/>
      <c r="AAY119" s="88"/>
      <c r="AAZ119" s="88"/>
      <c r="ABA119" s="88"/>
      <c r="ABB119" s="88"/>
      <c r="ABC119" s="88"/>
      <c r="ABD119" s="88"/>
      <c r="ABE119" s="88"/>
      <c r="ABF119" s="88"/>
      <c r="ABG119" s="88"/>
      <c r="ABH119" s="88"/>
      <c r="ABI119" s="88"/>
      <c r="ABJ119" s="88"/>
      <c r="ABK119" s="88"/>
      <c r="ABL119" s="88"/>
      <c r="ABM119" s="88"/>
      <c r="ABN119" s="88"/>
      <c r="ABO119" s="88"/>
      <c r="ABP119" s="88"/>
      <c r="ABQ119" s="88"/>
      <c r="ABR119" s="88"/>
      <c r="ABS119" s="88"/>
      <c r="ABT119" s="88"/>
      <c r="ABU119" s="88"/>
      <c r="ABV119" s="88"/>
      <c r="ABW119" s="88"/>
      <c r="ABX119" s="88"/>
      <c r="ABY119" s="88"/>
      <c r="ABZ119" s="88"/>
      <c r="ACA119" s="88"/>
      <c r="ACB119" s="88"/>
      <c r="ACC119" s="88"/>
      <c r="ACD119" s="88"/>
      <c r="ACE119" s="88"/>
      <c r="ACF119" s="88"/>
      <c r="ACG119" s="88"/>
      <c r="ACH119" s="88"/>
      <c r="ACI119" s="88"/>
      <c r="ACJ119" s="88"/>
      <c r="ACK119" s="88"/>
      <c r="ACL119" s="88"/>
      <c r="ACM119" s="88"/>
      <c r="ACN119" s="88"/>
      <c r="ACO119" s="88"/>
      <c r="ACP119" s="88"/>
      <c r="ACQ119" s="88"/>
      <c r="ACR119" s="88"/>
      <c r="ACS119" s="88"/>
      <c r="ACT119" s="88"/>
      <c r="ACU119" s="88"/>
      <c r="ACV119" s="88"/>
      <c r="ACW119" s="88"/>
      <c r="ACX119" s="88"/>
      <c r="ACY119" s="88"/>
      <c r="ACZ119" s="88"/>
      <c r="ADA119" s="88"/>
      <c r="ADB119" s="88"/>
      <c r="ADC119" s="88"/>
      <c r="ADD119" s="88"/>
      <c r="ADE119" s="88"/>
      <c r="ADF119" s="88"/>
      <c r="ADG119" s="88"/>
      <c r="ADH119" s="88"/>
      <c r="ADI119" s="88"/>
      <c r="ADJ119" s="88"/>
      <c r="ADK119" s="88"/>
      <c r="ADL119" s="88"/>
      <c r="ADM119" s="88"/>
      <c r="ADN119" s="88"/>
      <c r="ADO119" s="88"/>
      <c r="ADP119" s="88"/>
      <c r="ADQ119" s="88"/>
      <c r="ADR119" s="88"/>
      <c r="ADS119" s="88"/>
      <c r="ADT119" s="88"/>
      <c r="ADU119" s="88"/>
      <c r="ADV119" s="88"/>
      <c r="ADW119" s="88"/>
      <c r="ADX119" s="88"/>
      <c r="ADY119" s="88"/>
      <c r="ADZ119" s="88"/>
      <c r="AEA119" s="88"/>
      <c r="AEB119" s="88"/>
      <c r="AEC119" s="88"/>
      <c r="AED119" s="88"/>
      <c r="AEE119" s="88"/>
      <c r="AEF119" s="88"/>
      <c r="AEG119" s="88"/>
      <c r="AEH119" s="88"/>
      <c r="AEI119" s="88"/>
      <c r="AEJ119" s="88"/>
      <c r="AEK119" s="88"/>
      <c r="AEL119" s="88"/>
      <c r="AEM119" s="88"/>
      <c r="AEN119" s="88"/>
      <c r="AEO119" s="88"/>
      <c r="AEP119" s="88"/>
      <c r="AEQ119" s="88"/>
      <c r="AER119" s="88"/>
      <c r="AES119" s="88"/>
      <c r="AET119" s="88"/>
      <c r="AEU119" s="88"/>
      <c r="AEV119" s="88"/>
      <c r="AEW119" s="88"/>
      <c r="AEX119" s="88"/>
      <c r="AEY119" s="88"/>
      <c r="AEZ119" s="88"/>
      <c r="AFA119" s="88"/>
      <c r="AFB119" s="88"/>
      <c r="AFC119" s="88"/>
      <c r="AFD119" s="88"/>
      <c r="AFE119" s="88"/>
      <c r="AFF119" s="88"/>
      <c r="AFG119" s="88"/>
      <c r="AFH119" s="88"/>
      <c r="AFI119" s="88"/>
      <c r="AFJ119" s="88"/>
      <c r="AFK119" s="88"/>
      <c r="AFL119" s="88"/>
      <c r="AFM119" s="88"/>
      <c r="AFN119" s="88"/>
      <c r="AFO119" s="88"/>
      <c r="AFP119" s="88"/>
      <c r="AFQ119" s="88"/>
      <c r="AFR119" s="88"/>
      <c r="AFS119" s="88"/>
      <c r="AFT119" s="88"/>
      <c r="AFU119" s="88"/>
      <c r="AFV119" s="88"/>
      <c r="AFW119" s="88"/>
      <c r="AFX119" s="88"/>
      <c r="AFY119" s="88"/>
      <c r="AFZ119" s="88"/>
      <c r="AGA119" s="88"/>
      <c r="AGB119" s="88"/>
      <c r="AGC119" s="88"/>
      <c r="AGD119" s="88"/>
      <c r="AGE119" s="88"/>
      <c r="AGF119" s="88"/>
      <c r="AGG119" s="88"/>
      <c r="AGH119" s="88"/>
      <c r="AGI119" s="88"/>
      <c r="AGJ119" s="88"/>
      <c r="AGK119" s="88"/>
      <c r="AGL119" s="88"/>
      <c r="AGM119" s="88"/>
      <c r="AGN119" s="88"/>
      <c r="AGO119" s="88"/>
      <c r="AGP119" s="88"/>
      <c r="AGQ119" s="88"/>
      <c r="AGR119" s="88"/>
      <c r="AGS119" s="88"/>
      <c r="AGT119" s="88"/>
      <c r="AGU119" s="88"/>
      <c r="AGV119" s="88"/>
      <c r="AGW119" s="88"/>
      <c r="AGX119" s="88"/>
      <c r="AGY119" s="88"/>
      <c r="AGZ119" s="88"/>
      <c r="AHA119" s="88"/>
      <c r="AHB119" s="88"/>
      <c r="AHC119" s="88"/>
      <c r="AHD119" s="88"/>
      <c r="AHE119" s="88"/>
      <c r="AHF119" s="88"/>
      <c r="AHG119" s="88"/>
      <c r="AHH119" s="88"/>
      <c r="AHI119" s="88"/>
      <c r="AHJ119" s="88"/>
      <c r="AHK119" s="88"/>
      <c r="AHL119" s="88"/>
      <c r="AHM119" s="88"/>
      <c r="AHN119" s="88"/>
      <c r="AHO119" s="88"/>
      <c r="AHP119" s="88"/>
      <c r="AHQ119" s="88"/>
      <c r="AHR119" s="88"/>
      <c r="AHS119" s="88"/>
      <c r="AHT119" s="88"/>
      <c r="AHU119" s="88"/>
      <c r="AHV119" s="88"/>
      <c r="AHW119" s="88"/>
      <c r="AHX119" s="88"/>
      <c r="AHY119" s="88"/>
      <c r="AHZ119" s="88"/>
      <c r="AIA119" s="88"/>
      <c r="AIB119" s="88"/>
      <c r="AIC119" s="88"/>
      <c r="AID119" s="88"/>
      <c r="AIE119" s="88"/>
      <c r="AIF119" s="88"/>
      <c r="AIG119" s="88"/>
      <c r="AIH119" s="88"/>
      <c r="AII119" s="88"/>
      <c r="AIJ119" s="88"/>
      <c r="AIK119" s="88"/>
      <c r="AIL119" s="88"/>
      <c r="AIM119" s="88"/>
      <c r="AIN119" s="88"/>
      <c r="AIO119" s="88"/>
      <c r="AIP119" s="88"/>
      <c r="AIQ119" s="88"/>
      <c r="AIR119" s="88"/>
      <c r="AIS119" s="88"/>
      <c r="AIT119" s="88"/>
      <c r="AIU119" s="88"/>
      <c r="AIV119" s="88"/>
      <c r="AIW119" s="88"/>
      <c r="AIX119" s="88"/>
      <c r="AIY119" s="88"/>
      <c r="AIZ119" s="88"/>
      <c r="AJA119" s="88"/>
      <c r="AJB119" s="88"/>
      <c r="AJC119" s="88"/>
      <c r="AJD119" s="88"/>
      <c r="AJE119" s="88"/>
      <c r="AJF119" s="88"/>
      <c r="AJG119" s="88"/>
      <c r="AJH119" s="88"/>
      <c r="AJI119" s="88"/>
      <c r="AJJ119" s="88"/>
      <c r="AJK119" s="88"/>
      <c r="AJL119" s="88"/>
      <c r="AJM119" s="88"/>
      <c r="AJN119" s="88"/>
      <c r="AJO119" s="88"/>
      <c r="AJP119" s="88"/>
      <c r="AJQ119" s="88"/>
      <c r="AJR119" s="88"/>
      <c r="AJS119" s="88"/>
      <c r="AJT119" s="88"/>
      <c r="AJU119" s="88"/>
      <c r="AJV119" s="88"/>
      <c r="AJW119" s="88"/>
      <c r="AJX119" s="88"/>
      <c r="AJY119" s="88"/>
      <c r="AJZ119" s="88"/>
      <c r="AKA119" s="88"/>
      <c r="AKB119" s="88"/>
      <c r="AKC119" s="88"/>
      <c r="AKD119" s="88"/>
      <c r="AKE119" s="88"/>
      <c r="AKF119" s="88"/>
      <c r="AKG119" s="88"/>
      <c r="AKH119" s="88"/>
      <c r="AKI119" s="88"/>
      <c r="AKJ119" s="88"/>
      <c r="AKK119" s="88"/>
      <c r="AKL119" s="88"/>
      <c r="AKM119" s="88"/>
      <c r="AKN119" s="88"/>
      <c r="AKO119" s="88"/>
      <c r="AKP119" s="88"/>
      <c r="AKQ119" s="88"/>
      <c r="AKR119" s="88"/>
      <c r="AKS119" s="88"/>
      <c r="AKT119" s="88"/>
      <c r="AKU119" s="88"/>
      <c r="AKV119" s="88"/>
      <c r="AKW119" s="88"/>
      <c r="AKX119" s="88"/>
      <c r="AKY119" s="88"/>
      <c r="AKZ119" s="88"/>
      <c r="ALA119" s="88"/>
      <c r="ALB119" s="88"/>
      <c r="ALC119" s="88"/>
      <c r="ALD119" s="88"/>
      <c r="ALE119" s="88"/>
      <c r="ALF119" s="88"/>
      <c r="ALG119" s="88"/>
      <c r="ALH119" s="88"/>
      <c r="ALI119" s="88"/>
      <c r="ALJ119" s="88"/>
      <c r="ALK119" s="88"/>
      <c r="ALL119" s="88"/>
      <c r="ALM119" s="88"/>
      <c r="ALN119" s="88"/>
      <c r="ALO119" s="88"/>
      <c r="ALP119" s="88"/>
      <c r="ALQ119" s="88"/>
      <c r="ALR119" s="88"/>
      <c r="ALS119" s="88"/>
      <c r="ALT119" s="88"/>
      <c r="ALU119" s="88"/>
      <c r="ALV119" s="88"/>
      <c r="ALW119" s="88"/>
      <c r="ALX119" s="88"/>
      <c r="ALY119" s="88"/>
      <c r="ALZ119" s="88"/>
      <c r="AMA119" s="88"/>
      <c r="AMB119" s="88"/>
      <c r="AMC119" s="88"/>
      <c r="AMD119" s="88"/>
      <c r="AME119" s="88"/>
      <c r="AMF119" s="88"/>
      <c r="AMG119" s="88"/>
      <c r="AMH119" s="88"/>
      <c r="AMI119" s="88"/>
      <c r="AMJ119" s="88"/>
      <c r="AMK119" s="88"/>
      <c r="AML119" s="88"/>
      <c r="AMM119" s="88"/>
      <c r="AMN119" s="88"/>
      <c r="AMO119" s="88"/>
      <c r="AMP119" s="88"/>
      <c r="AMQ119" s="88"/>
      <c r="AMR119" s="88"/>
      <c r="AMS119" s="88"/>
      <c r="AMT119" s="88"/>
      <c r="AMU119" s="88"/>
      <c r="AMV119" s="88"/>
      <c r="AMW119" s="88"/>
      <c r="AMX119" s="88"/>
      <c r="AMY119" s="88"/>
      <c r="AMZ119" s="88"/>
      <c r="ANA119" s="88"/>
      <c r="ANB119" s="88"/>
      <c r="ANC119" s="88"/>
      <c r="AND119" s="88"/>
      <c r="ANE119" s="88"/>
      <c r="ANF119" s="88"/>
      <c r="ANG119" s="88"/>
      <c r="ANH119" s="88"/>
      <c r="ANI119" s="88"/>
      <c r="ANJ119" s="88"/>
      <c r="ANK119" s="88"/>
      <c r="ANL119" s="88"/>
      <c r="ANM119" s="88"/>
      <c r="ANN119" s="88"/>
      <c r="ANO119" s="88"/>
      <c r="ANP119" s="88"/>
      <c r="ANQ119" s="88"/>
      <c r="ANR119" s="88"/>
      <c r="ANS119" s="88"/>
      <c r="ANT119" s="88"/>
      <c r="ANU119" s="88"/>
      <c r="ANV119" s="88"/>
      <c r="ANW119" s="88"/>
      <c r="ANX119" s="88"/>
      <c r="ANY119" s="88"/>
      <c r="ANZ119" s="88"/>
      <c r="AOA119" s="88"/>
      <c r="AOB119" s="88"/>
      <c r="AOC119" s="88"/>
      <c r="AOD119" s="88"/>
      <c r="AOE119" s="88"/>
      <c r="AOF119" s="88"/>
      <c r="AOG119" s="88"/>
      <c r="AOH119" s="88"/>
      <c r="AOI119" s="88"/>
      <c r="AOJ119" s="88"/>
      <c r="AOK119" s="88"/>
      <c r="AOL119" s="88"/>
      <c r="AOM119" s="88"/>
      <c r="AON119" s="88"/>
      <c r="AOO119" s="88"/>
      <c r="AOP119" s="88"/>
      <c r="AOQ119" s="88"/>
      <c r="AOR119" s="88"/>
      <c r="AOS119" s="88"/>
      <c r="AOT119" s="88"/>
      <c r="AOU119" s="88"/>
      <c r="AOV119" s="88"/>
      <c r="AOW119" s="88"/>
      <c r="AOX119" s="88"/>
      <c r="AOY119" s="88"/>
      <c r="AOZ119" s="88"/>
      <c r="APA119" s="88"/>
      <c r="APB119" s="88"/>
      <c r="APC119" s="88"/>
      <c r="APD119" s="88"/>
      <c r="APE119" s="88"/>
      <c r="APF119" s="88"/>
      <c r="APG119" s="88"/>
      <c r="APH119" s="88"/>
      <c r="API119" s="88"/>
      <c r="APJ119" s="88"/>
      <c r="APK119" s="88"/>
      <c r="APL119" s="88"/>
      <c r="APM119" s="88"/>
      <c r="APN119" s="88"/>
      <c r="APO119" s="88"/>
      <c r="APP119" s="88"/>
      <c r="APQ119" s="88"/>
      <c r="APR119" s="88"/>
      <c r="APS119" s="88"/>
      <c r="APT119" s="88"/>
      <c r="APU119" s="88"/>
      <c r="APV119" s="88"/>
      <c r="APW119" s="88"/>
      <c r="APX119" s="88"/>
      <c r="APY119" s="88"/>
      <c r="APZ119" s="88"/>
      <c r="AQA119" s="88"/>
      <c r="AQB119" s="88"/>
      <c r="AQC119" s="88"/>
      <c r="AQD119" s="88"/>
      <c r="AQE119" s="88"/>
      <c r="AQF119" s="88"/>
      <c r="AQG119" s="88"/>
      <c r="AQH119" s="88"/>
      <c r="AQI119" s="88"/>
      <c r="AQJ119" s="88"/>
      <c r="AQK119" s="88"/>
      <c r="AQL119" s="88"/>
      <c r="AQM119" s="88"/>
      <c r="AQN119" s="88"/>
      <c r="AQO119" s="88"/>
      <c r="AQP119" s="88"/>
      <c r="AQQ119" s="88"/>
      <c r="AQR119" s="88"/>
      <c r="AQS119" s="88"/>
      <c r="AQT119" s="88"/>
      <c r="AQU119" s="88"/>
      <c r="AQV119" s="88"/>
      <c r="AQW119" s="88"/>
      <c r="AQX119" s="88"/>
      <c r="AQY119" s="88"/>
      <c r="AQZ119" s="88"/>
      <c r="ARA119" s="88"/>
      <c r="ARB119" s="88"/>
      <c r="ARC119" s="88"/>
      <c r="ARD119" s="88"/>
      <c r="ARE119" s="88"/>
      <c r="ARF119" s="88"/>
      <c r="ARG119" s="88"/>
      <c r="ARH119" s="88"/>
      <c r="ARI119" s="88"/>
      <c r="ARJ119" s="88"/>
      <c r="ARK119" s="88"/>
      <c r="ARL119" s="88"/>
      <c r="ARM119" s="88"/>
      <c r="ARN119" s="88"/>
      <c r="ARO119" s="88"/>
      <c r="ARP119" s="88"/>
      <c r="ARQ119" s="88"/>
      <c r="ARR119" s="88"/>
      <c r="ARS119" s="88"/>
      <c r="ART119" s="88"/>
      <c r="ARU119" s="88"/>
      <c r="ARV119" s="88"/>
      <c r="ARW119" s="88"/>
      <c r="ARX119" s="88"/>
      <c r="ARY119" s="88"/>
      <c r="ARZ119" s="88"/>
      <c r="ASA119" s="88"/>
      <c r="ASB119" s="88"/>
      <c r="ASC119" s="88"/>
      <c r="ASD119" s="88"/>
      <c r="ASE119" s="88"/>
      <c r="ASF119" s="88"/>
      <c r="ASG119" s="88"/>
      <c r="ASH119" s="88"/>
      <c r="ASI119" s="88"/>
      <c r="ASJ119" s="88"/>
      <c r="ASK119" s="88"/>
      <c r="ASL119" s="88"/>
      <c r="ASM119" s="88"/>
      <c r="ASN119" s="88"/>
      <c r="ASO119" s="88"/>
      <c r="ASP119" s="88"/>
      <c r="ASQ119" s="88"/>
      <c r="ASR119" s="88"/>
      <c r="ASS119" s="88"/>
      <c r="AST119" s="88"/>
      <c r="ASU119" s="88"/>
      <c r="ASV119" s="88"/>
      <c r="ASW119" s="88"/>
      <c r="ASX119" s="88"/>
      <c r="ASY119" s="88"/>
      <c r="ASZ119" s="88"/>
      <c r="ATA119" s="88"/>
      <c r="ATB119" s="88"/>
      <c r="ATC119" s="88"/>
      <c r="ATD119" s="88"/>
      <c r="ATE119" s="88"/>
      <c r="ATF119" s="88"/>
      <c r="ATG119" s="88"/>
      <c r="ATH119" s="88"/>
      <c r="ATI119" s="88"/>
      <c r="ATJ119" s="88"/>
      <c r="ATK119" s="88"/>
      <c r="ATL119" s="88"/>
      <c r="ATM119" s="88"/>
      <c r="ATN119" s="88"/>
      <c r="ATO119" s="88"/>
      <c r="ATP119" s="88"/>
      <c r="ATQ119" s="88"/>
      <c r="ATR119" s="88"/>
      <c r="ATS119" s="88"/>
      <c r="ATT119" s="88"/>
      <c r="ATU119" s="88"/>
      <c r="ATV119" s="88"/>
      <c r="ATW119" s="88"/>
      <c r="ATX119" s="88"/>
      <c r="ATY119" s="88"/>
      <c r="ATZ119" s="88"/>
      <c r="AUA119" s="88"/>
      <c r="AUB119" s="88"/>
      <c r="AUC119" s="88"/>
      <c r="AUD119" s="88"/>
      <c r="AUE119" s="88"/>
      <c r="AUF119" s="88"/>
      <c r="AUG119" s="88"/>
      <c r="AUH119" s="88"/>
      <c r="AUI119" s="88"/>
      <c r="AUJ119" s="88"/>
      <c r="AUK119" s="88"/>
      <c r="AUL119" s="88"/>
      <c r="AUM119" s="88"/>
      <c r="AUN119" s="88"/>
      <c r="AUO119" s="88"/>
      <c r="AUP119" s="88"/>
      <c r="AUQ119" s="88"/>
      <c r="AUR119" s="88"/>
      <c r="AUS119" s="88"/>
      <c r="AUT119" s="88"/>
      <c r="AUU119" s="88"/>
      <c r="AUV119" s="88"/>
      <c r="AUW119" s="88"/>
      <c r="AUX119" s="88"/>
      <c r="AUY119" s="88"/>
      <c r="AUZ119" s="88"/>
      <c r="AVA119" s="88"/>
      <c r="AVB119" s="88"/>
      <c r="AVC119" s="88"/>
      <c r="AVD119" s="88"/>
      <c r="AVE119" s="88"/>
      <c r="AVF119" s="88"/>
      <c r="AVG119" s="88"/>
      <c r="AVH119" s="88"/>
      <c r="AVI119" s="88"/>
      <c r="AVJ119" s="88"/>
      <c r="AVK119" s="88"/>
      <c r="AVL119" s="88"/>
      <c r="AVM119" s="88"/>
      <c r="AVN119" s="88"/>
      <c r="AVO119" s="88"/>
      <c r="AVP119" s="88"/>
      <c r="AVQ119" s="88"/>
      <c r="AVR119" s="88"/>
      <c r="AVS119" s="88"/>
      <c r="AVT119" s="88"/>
      <c r="AVU119" s="88"/>
      <c r="AVV119" s="88"/>
      <c r="AVW119" s="88"/>
      <c r="AVX119" s="88"/>
      <c r="AVY119" s="88"/>
      <c r="AVZ119" s="88"/>
      <c r="AWA119" s="88"/>
      <c r="AWB119" s="88"/>
      <c r="AWC119" s="88"/>
      <c r="AWD119" s="88"/>
      <c r="AWE119" s="88"/>
      <c r="AWF119" s="88"/>
      <c r="AWG119" s="88"/>
      <c r="AWH119" s="88"/>
      <c r="AWI119" s="88"/>
      <c r="AWJ119" s="88"/>
      <c r="AWK119" s="88"/>
      <c r="AWL119" s="88"/>
      <c r="AWM119" s="88"/>
      <c r="AWN119" s="88"/>
      <c r="AWO119" s="88"/>
      <c r="AWP119" s="88"/>
      <c r="AWQ119" s="88"/>
      <c r="AWR119" s="88"/>
      <c r="AWS119" s="88"/>
      <c r="AWT119" s="88"/>
      <c r="AWU119" s="88"/>
      <c r="AWV119" s="88"/>
      <c r="AWW119" s="88"/>
      <c r="AWX119" s="88"/>
      <c r="AWY119" s="88"/>
      <c r="AWZ119" s="88"/>
      <c r="AXA119" s="88"/>
      <c r="AXB119" s="88"/>
      <c r="AXC119" s="88"/>
      <c r="AXD119" s="88"/>
      <c r="AXE119" s="88"/>
      <c r="AXF119" s="88"/>
      <c r="AXG119" s="88"/>
      <c r="AXH119" s="88"/>
      <c r="AXI119" s="88"/>
      <c r="AXJ119" s="88"/>
      <c r="AXK119" s="88"/>
      <c r="AXL119" s="88"/>
      <c r="AXM119" s="88"/>
      <c r="AXN119" s="88"/>
      <c r="AXO119" s="88"/>
      <c r="AXP119" s="88"/>
      <c r="AXQ119" s="88"/>
      <c r="AXR119" s="88"/>
      <c r="AXS119" s="88"/>
      <c r="AXT119" s="88"/>
      <c r="AXU119" s="88"/>
      <c r="AXV119" s="88"/>
      <c r="AXW119" s="88"/>
      <c r="AXX119" s="88"/>
      <c r="AXY119" s="88"/>
      <c r="AXZ119" s="88"/>
      <c r="AYA119" s="88"/>
      <c r="AYB119" s="88"/>
      <c r="AYC119" s="88"/>
      <c r="AYD119" s="88"/>
      <c r="AYE119" s="88"/>
      <c r="AYF119" s="88"/>
      <c r="AYG119" s="88"/>
      <c r="AYH119" s="88"/>
      <c r="AYI119" s="88"/>
      <c r="AYJ119" s="88"/>
      <c r="AYK119" s="88"/>
      <c r="AYL119" s="88"/>
      <c r="AYM119" s="88"/>
      <c r="AYN119" s="88"/>
      <c r="AYO119" s="88"/>
      <c r="AYP119" s="88"/>
      <c r="AYQ119" s="88"/>
      <c r="AYR119" s="88"/>
      <c r="AYS119" s="88"/>
      <c r="AYT119" s="88"/>
      <c r="AYU119" s="88"/>
      <c r="AYV119" s="88"/>
      <c r="AYW119" s="88"/>
      <c r="AYX119" s="88"/>
      <c r="AYY119" s="88"/>
      <c r="AYZ119" s="88"/>
      <c r="AZA119" s="88"/>
      <c r="AZB119" s="88"/>
      <c r="AZC119" s="88"/>
      <c r="AZD119" s="88"/>
      <c r="AZE119" s="88"/>
      <c r="AZF119" s="88"/>
      <c r="AZG119" s="88"/>
      <c r="AZH119" s="88"/>
      <c r="AZI119" s="88"/>
      <c r="AZJ119" s="88"/>
      <c r="AZK119" s="88"/>
      <c r="AZL119" s="88"/>
      <c r="AZM119" s="88"/>
      <c r="AZN119" s="88"/>
      <c r="AZO119" s="88"/>
      <c r="AZP119" s="88"/>
      <c r="AZQ119" s="88"/>
      <c r="AZR119" s="88"/>
      <c r="AZS119" s="88"/>
      <c r="AZT119" s="88"/>
      <c r="AZU119" s="88"/>
      <c r="AZV119" s="88"/>
      <c r="AZW119" s="88"/>
      <c r="AZX119" s="88"/>
      <c r="AZY119" s="88"/>
      <c r="AZZ119" s="88"/>
      <c r="BAA119" s="88"/>
      <c r="BAB119" s="88"/>
      <c r="BAC119" s="88"/>
      <c r="BAD119" s="88"/>
      <c r="BAE119" s="88"/>
      <c r="BAF119" s="88"/>
      <c r="BAG119" s="88"/>
      <c r="BAH119" s="88"/>
      <c r="BAI119" s="88"/>
      <c r="BAJ119" s="88"/>
      <c r="BAK119" s="88"/>
      <c r="BAL119" s="88"/>
      <c r="BAM119" s="88"/>
      <c r="BAN119" s="88"/>
      <c r="BAO119" s="88"/>
      <c r="BAP119" s="88"/>
      <c r="BAQ119" s="88"/>
      <c r="BAR119" s="88"/>
      <c r="BAS119" s="88"/>
      <c r="BAT119" s="88"/>
      <c r="BAU119" s="88"/>
      <c r="BAV119" s="88"/>
      <c r="BAW119" s="88"/>
      <c r="BAX119" s="88"/>
      <c r="BAY119" s="88"/>
      <c r="BAZ119" s="88"/>
      <c r="BBA119" s="88"/>
      <c r="BBB119" s="88"/>
      <c r="BBC119" s="88"/>
      <c r="BBD119" s="88"/>
      <c r="BBE119" s="88"/>
      <c r="BBF119" s="88"/>
      <c r="BBG119" s="88"/>
      <c r="BBH119" s="88"/>
      <c r="BBI119" s="88"/>
      <c r="BBJ119" s="88"/>
      <c r="BBK119" s="88"/>
      <c r="BBL119" s="88"/>
      <c r="BBM119" s="88"/>
      <c r="BBN119" s="88"/>
      <c r="BBO119" s="88"/>
      <c r="BBP119" s="88"/>
      <c r="BBQ119" s="88"/>
      <c r="BBR119" s="88"/>
      <c r="BBS119" s="88"/>
      <c r="BBT119" s="88"/>
      <c r="BBU119" s="88"/>
      <c r="BBV119" s="88"/>
      <c r="BBW119" s="88"/>
      <c r="BBX119" s="88"/>
      <c r="BBY119" s="88"/>
      <c r="BBZ119" s="88"/>
      <c r="BCA119" s="88"/>
      <c r="BCB119" s="88"/>
      <c r="BCC119" s="88"/>
      <c r="BCD119" s="88"/>
      <c r="BCE119" s="88"/>
      <c r="BCF119" s="88"/>
      <c r="BCG119" s="88"/>
      <c r="BCH119" s="88"/>
      <c r="BCI119" s="88"/>
      <c r="BCJ119" s="88"/>
      <c r="BCK119" s="88"/>
      <c r="BCL119" s="88"/>
      <c r="BCM119" s="88"/>
      <c r="BCN119" s="88"/>
      <c r="BCO119" s="88"/>
      <c r="BCP119" s="88"/>
      <c r="BCQ119" s="88"/>
      <c r="BCR119" s="88"/>
      <c r="BCS119" s="88"/>
      <c r="BCT119" s="88"/>
      <c r="BCU119" s="88"/>
      <c r="BCV119" s="88"/>
      <c r="BCW119" s="88"/>
      <c r="BCX119" s="88"/>
      <c r="BCY119" s="88"/>
      <c r="BCZ119" s="88"/>
      <c r="BDA119" s="88"/>
      <c r="BDB119" s="88"/>
      <c r="BDC119" s="88"/>
      <c r="BDD119" s="88"/>
      <c r="BDE119" s="88"/>
      <c r="BDF119" s="88"/>
      <c r="BDG119" s="88"/>
      <c r="BDH119" s="88"/>
      <c r="BDI119" s="88"/>
      <c r="BDJ119" s="88"/>
      <c r="BDK119" s="88"/>
      <c r="BDL119" s="88"/>
      <c r="BDM119" s="88"/>
      <c r="BDN119" s="88"/>
      <c r="BDO119" s="88"/>
      <c r="BDP119" s="88"/>
      <c r="BDQ119" s="88"/>
      <c r="BDR119" s="88"/>
      <c r="BDS119" s="88"/>
      <c r="BDT119" s="88"/>
      <c r="BDU119" s="88"/>
      <c r="BDV119" s="88"/>
      <c r="BDW119" s="88"/>
      <c r="BDX119" s="88"/>
      <c r="BDY119" s="88"/>
      <c r="BDZ119" s="88"/>
      <c r="BEA119" s="88"/>
      <c r="BEB119" s="88"/>
      <c r="BEC119" s="88"/>
      <c r="BED119" s="88"/>
      <c r="BEE119" s="88"/>
      <c r="BEF119" s="88"/>
      <c r="BEG119" s="88"/>
      <c r="BEH119" s="88"/>
      <c r="BEI119" s="88"/>
      <c r="BEJ119" s="88"/>
      <c r="BEK119" s="88"/>
      <c r="BEL119" s="88"/>
      <c r="BEM119" s="88"/>
      <c r="BEN119" s="88"/>
      <c r="BEO119" s="88"/>
      <c r="BEP119" s="88"/>
      <c r="BEQ119" s="88"/>
      <c r="BER119" s="88"/>
      <c r="BES119" s="88"/>
      <c r="BET119" s="88"/>
      <c r="BEU119" s="88"/>
      <c r="BEV119" s="88"/>
      <c r="BEW119" s="88"/>
      <c r="BEX119" s="88"/>
      <c r="BEY119" s="88"/>
      <c r="BEZ119" s="88"/>
      <c r="BFA119" s="88"/>
      <c r="BFB119" s="88"/>
      <c r="BFC119" s="88"/>
      <c r="BFD119" s="88"/>
      <c r="BFE119" s="88"/>
      <c r="BFF119" s="88"/>
      <c r="BFG119" s="88"/>
      <c r="BFH119" s="88"/>
      <c r="BFI119" s="88"/>
      <c r="BFJ119" s="88"/>
      <c r="BFK119" s="88"/>
      <c r="BFL119" s="88"/>
      <c r="BFM119" s="88"/>
      <c r="BFN119" s="88"/>
      <c r="BFO119" s="88"/>
      <c r="BFP119" s="88"/>
      <c r="BFQ119" s="88"/>
      <c r="BFR119" s="88"/>
      <c r="BFS119" s="88"/>
      <c r="BFT119" s="88"/>
      <c r="BFU119" s="88"/>
      <c r="BFV119" s="88"/>
      <c r="BFW119" s="88"/>
      <c r="BFX119" s="88"/>
      <c r="BFY119" s="88"/>
      <c r="BFZ119" s="88"/>
      <c r="BGA119" s="88"/>
      <c r="BGB119" s="88"/>
      <c r="BGC119" s="88"/>
      <c r="BGD119" s="88"/>
      <c r="BGE119" s="88"/>
      <c r="BGF119" s="88"/>
      <c r="BGG119" s="88"/>
      <c r="BGH119" s="88"/>
      <c r="BGI119" s="88"/>
      <c r="BGJ119" s="88"/>
      <c r="BGK119" s="88"/>
      <c r="BGL119" s="88"/>
      <c r="BGM119" s="88"/>
      <c r="BGN119" s="88"/>
      <c r="BGO119" s="88"/>
      <c r="BGP119" s="88"/>
      <c r="BGQ119" s="88"/>
      <c r="BGR119" s="88"/>
      <c r="BGS119" s="88"/>
      <c r="BGT119" s="88"/>
      <c r="BGU119" s="88"/>
      <c r="BGV119" s="88"/>
      <c r="BGW119" s="88"/>
      <c r="BGX119" s="88"/>
      <c r="BGY119" s="88"/>
      <c r="BGZ119" s="88"/>
      <c r="BHA119" s="88"/>
      <c r="BHB119" s="88"/>
      <c r="BHC119" s="88"/>
      <c r="BHD119" s="88"/>
      <c r="BHE119" s="88"/>
      <c r="BHF119" s="88"/>
      <c r="BHG119" s="88"/>
      <c r="BHH119" s="88"/>
      <c r="BHI119" s="88"/>
      <c r="BHJ119" s="88"/>
      <c r="BHK119" s="88"/>
      <c r="BHL119" s="88"/>
      <c r="BHM119" s="88"/>
      <c r="BHN119" s="88"/>
      <c r="BHO119" s="88"/>
      <c r="BHP119" s="88"/>
      <c r="BHQ119" s="88"/>
      <c r="BHR119" s="88"/>
      <c r="BHS119" s="88"/>
      <c r="BHT119" s="88"/>
      <c r="BHU119" s="88"/>
      <c r="BHV119" s="88"/>
      <c r="BHW119" s="88"/>
      <c r="BHX119" s="88"/>
      <c r="BHY119" s="88"/>
      <c r="BHZ119" s="88"/>
      <c r="BIA119" s="88"/>
      <c r="BIB119" s="88"/>
      <c r="BIC119" s="88"/>
      <c r="BID119" s="88"/>
      <c r="BIE119" s="88"/>
      <c r="BIF119" s="88"/>
      <c r="BIG119" s="88"/>
      <c r="BIH119" s="88"/>
      <c r="BII119" s="88"/>
      <c r="BIJ119" s="88"/>
      <c r="BIK119" s="88"/>
      <c r="BIL119" s="88"/>
      <c r="BIM119" s="88"/>
      <c r="BIN119" s="88"/>
      <c r="BIO119" s="88"/>
      <c r="BIP119" s="88"/>
      <c r="BIQ119" s="88"/>
      <c r="BIR119" s="88"/>
      <c r="BIS119" s="88"/>
      <c r="BIT119" s="88"/>
      <c r="BIU119" s="88"/>
      <c r="BIV119" s="88"/>
      <c r="BIW119" s="88"/>
      <c r="BIX119" s="88"/>
      <c r="BIY119" s="88"/>
      <c r="BIZ119" s="88"/>
      <c r="BJA119" s="88"/>
      <c r="BJB119" s="88"/>
      <c r="BJC119" s="88"/>
      <c r="BJD119" s="88"/>
      <c r="BJE119" s="88"/>
      <c r="BJF119" s="88"/>
      <c r="BJG119" s="88"/>
      <c r="BJH119" s="88"/>
      <c r="BJI119" s="88"/>
      <c r="BJJ119" s="88"/>
      <c r="BJK119" s="88"/>
      <c r="BJL119" s="88"/>
      <c r="BJM119" s="88"/>
      <c r="BJN119" s="88"/>
      <c r="BJO119" s="88"/>
      <c r="BJP119" s="88"/>
      <c r="BJQ119" s="88"/>
      <c r="BJR119" s="88"/>
      <c r="BJS119" s="88"/>
      <c r="BJT119" s="88"/>
      <c r="BJU119" s="88"/>
      <c r="BJV119" s="88"/>
      <c r="BJW119" s="88"/>
      <c r="BJX119" s="88"/>
      <c r="BJY119" s="88"/>
      <c r="BJZ119" s="88"/>
      <c r="BKA119" s="88"/>
      <c r="BKB119" s="88"/>
      <c r="BKC119" s="88"/>
      <c r="BKD119" s="88"/>
      <c r="BKE119" s="88"/>
      <c r="BKF119" s="88"/>
      <c r="BKG119" s="88"/>
      <c r="BKH119" s="88"/>
      <c r="BKI119" s="88"/>
      <c r="BKJ119" s="88"/>
      <c r="BKK119" s="88"/>
      <c r="BKL119" s="88"/>
      <c r="BKM119" s="88"/>
      <c r="BKN119" s="88"/>
      <c r="BKO119" s="88"/>
      <c r="BKP119" s="88"/>
      <c r="BKQ119" s="88"/>
      <c r="BKR119" s="88"/>
      <c r="BKS119" s="88"/>
      <c r="BKT119" s="88"/>
      <c r="BKU119" s="88"/>
      <c r="BKV119" s="88"/>
      <c r="BKW119" s="88"/>
      <c r="BKX119" s="88"/>
      <c r="BKY119" s="88"/>
      <c r="BKZ119" s="88"/>
      <c r="BLA119" s="88"/>
      <c r="BLB119" s="88"/>
      <c r="BLC119" s="88"/>
      <c r="BLD119" s="88"/>
      <c r="BLE119" s="88"/>
      <c r="BLF119" s="88"/>
      <c r="BLG119" s="88"/>
      <c r="BLH119" s="88"/>
      <c r="BLI119" s="88"/>
      <c r="BLJ119" s="88"/>
      <c r="BLK119" s="88"/>
      <c r="BLL119" s="88"/>
      <c r="BLM119" s="88"/>
      <c r="BLN119" s="88"/>
      <c r="BLO119" s="88"/>
      <c r="BLP119" s="88"/>
      <c r="BLQ119" s="88"/>
      <c r="BLR119" s="88"/>
      <c r="BLS119" s="88"/>
      <c r="BLT119" s="88"/>
      <c r="BLU119" s="88"/>
      <c r="BLV119" s="88"/>
      <c r="BLW119" s="88"/>
      <c r="BLX119" s="88"/>
      <c r="BLY119" s="88"/>
      <c r="BLZ119" s="88"/>
      <c r="BMA119" s="88"/>
      <c r="BMB119" s="88"/>
      <c r="BMC119" s="88"/>
      <c r="BMD119" s="88"/>
      <c r="BME119" s="88"/>
      <c r="BMF119" s="88"/>
      <c r="BMG119" s="88"/>
      <c r="BMH119" s="88"/>
      <c r="BMI119" s="88"/>
      <c r="BMJ119" s="88"/>
      <c r="BMK119" s="88"/>
      <c r="BML119" s="88"/>
      <c r="BMM119" s="88"/>
      <c r="BMN119" s="88"/>
      <c r="BMO119" s="88"/>
      <c r="BMP119" s="88"/>
      <c r="BMQ119" s="88"/>
      <c r="BMR119" s="88"/>
      <c r="BMS119" s="88"/>
      <c r="BMT119" s="88"/>
      <c r="BMU119" s="88"/>
      <c r="BMV119" s="88"/>
      <c r="BMW119" s="88"/>
      <c r="BMX119" s="88"/>
      <c r="BMY119" s="88"/>
      <c r="BMZ119" s="88"/>
      <c r="BNA119" s="88"/>
      <c r="BNB119" s="88"/>
      <c r="BNC119" s="88"/>
      <c r="BND119" s="88"/>
      <c r="BNE119" s="88"/>
      <c r="BNF119" s="88"/>
      <c r="BNG119" s="88"/>
      <c r="BNH119" s="88"/>
      <c r="BNI119" s="88"/>
      <c r="BNJ119" s="88"/>
      <c r="BNK119" s="88"/>
      <c r="BNL119" s="88"/>
      <c r="BNM119" s="88"/>
      <c r="BNN119" s="88"/>
      <c r="BNO119" s="88"/>
      <c r="BNP119" s="88"/>
      <c r="BNQ119" s="88"/>
      <c r="BNR119" s="88"/>
      <c r="BNS119" s="88"/>
      <c r="BNT119" s="88"/>
      <c r="BNU119" s="88"/>
      <c r="BNV119" s="88"/>
      <c r="BNW119" s="88"/>
      <c r="BNX119" s="88"/>
      <c r="BNY119" s="88"/>
      <c r="BNZ119" s="88"/>
      <c r="BOA119" s="88"/>
      <c r="BOB119" s="88"/>
      <c r="BOC119" s="88"/>
      <c r="BOD119" s="88"/>
      <c r="BOE119" s="88"/>
      <c r="BOF119" s="88"/>
      <c r="BOG119" s="88"/>
      <c r="BOH119" s="88"/>
      <c r="BOI119" s="88"/>
      <c r="BOJ119" s="88"/>
      <c r="BOK119" s="88"/>
      <c r="BOL119" s="88"/>
      <c r="BOM119" s="88"/>
      <c r="BON119" s="88"/>
      <c r="BOO119" s="88"/>
      <c r="BOP119" s="88"/>
      <c r="BOQ119" s="88"/>
      <c r="BOR119" s="88"/>
      <c r="BOS119" s="88"/>
      <c r="BOT119" s="88"/>
      <c r="BOU119" s="88"/>
      <c r="BOV119" s="88"/>
      <c r="BOW119" s="88"/>
      <c r="BOX119" s="88"/>
      <c r="BOY119" s="88"/>
      <c r="BOZ119" s="88"/>
      <c r="BPA119" s="88"/>
      <c r="BPB119" s="88"/>
      <c r="BPC119" s="88"/>
      <c r="BPD119" s="88"/>
      <c r="BPE119" s="88"/>
      <c r="BPF119" s="88"/>
      <c r="BPG119" s="88"/>
      <c r="BPH119" s="88"/>
      <c r="BPI119" s="88"/>
      <c r="BPJ119" s="88"/>
      <c r="BPK119" s="88"/>
      <c r="BPL119" s="88"/>
      <c r="BPM119" s="88"/>
      <c r="BPN119" s="88"/>
      <c r="BPO119" s="88"/>
      <c r="BPP119" s="88"/>
      <c r="BPQ119" s="88"/>
      <c r="BPR119" s="88"/>
      <c r="BPS119" s="88"/>
      <c r="BPT119" s="88"/>
      <c r="BPU119" s="88"/>
      <c r="BPV119" s="88"/>
      <c r="BPW119" s="88"/>
      <c r="BPX119" s="88"/>
      <c r="BPY119" s="88"/>
      <c r="BPZ119" s="88"/>
      <c r="BQA119" s="88"/>
      <c r="BQB119" s="88"/>
      <c r="BQC119" s="88"/>
      <c r="BQD119" s="88"/>
      <c r="BQE119" s="88"/>
      <c r="BQF119" s="88"/>
      <c r="BQG119" s="88"/>
      <c r="BQH119" s="88"/>
      <c r="BQI119" s="88"/>
      <c r="BQJ119" s="88"/>
      <c r="BQK119" s="88"/>
      <c r="BQL119" s="88"/>
      <c r="BQM119" s="88"/>
      <c r="BQN119" s="88"/>
      <c r="BQO119" s="88"/>
      <c r="BQP119" s="88"/>
      <c r="BQQ119" s="88"/>
      <c r="BQR119" s="88"/>
      <c r="BQS119" s="88"/>
      <c r="BQT119" s="88"/>
      <c r="BQU119" s="88"/>
      <c r="BQV119" s="88"/>
      <c r="BQW119" s="88"/>
      <c r="BQX119" s="88"/>
      <c r="BQY119" s="88"/>
      <c r="BQZ119" s="88"/>
      <c r="BRA119" s="88"/>
      <c r="BRB119" s="88"/>
      <c r="BRC119" s="88"/>
      <c r="BRD119" s="88"/>
      <c r="BRE119" s="88"/>
      <c r="BRF119" s="88"/>
      <c r="BRG119" s="88"/>
      <c r="BRH119" s="88"/>
      <c r="BRI119" s="88"/>
      <c r="BRJ119" s="88"/>
      <c r="BRK119" s="88"/>
      <c r="BRL119" s="88"/>
      <c r="BRM119" s="88"/>
      <c r="BRN119" s="88"/>
      <c r="BRO119" s="88"/>
      <c r="BRP119" s="88"/>
      <c r="BRQ119" s="88"/>
      <c r="BRR119" s="88"/>
      <c r="BRS119" s="88"/>
      <c r="BRT119" s="88"/>
      <c r="BRU119" s="88"/>
      <c r="BRV119" s="88"/>
      <c r="BRW119" s="88"/>
      <c r="BRX119" s="88"/>
      <c r="BRY119" s="88"/>
      <c r="BRZ119" s="88"/>
      <c r="BSA119" s="88"/>
      <c r="BSB119" s="88"/>
      <c r="BSC119" s="88"/>
      <c r="BSD119" s="88"/>
      <c r="BSE119" s="88"/>
      <c r="BSF119" s="88"/>
      <c r="BSG119" s="88"/>
      <c r="BSH119" s="88"/>
      <c r="BSI119" s="88"/>
      <c r="BSJ119" s="88"/>
      <c r="BSK119" s="88"/>
      <c r="BSL119" s="88"/>
      <c r="BSM119" s="88"/>
      <c r="BSN119" s="88"/>
      <c r="BSO119" s="88"/>
      <c r="BSP119" s="88"/>
      <c r="BSQ119" s="88"/>
      <c r="BSR119" s="88"/>
      <c r="BSS119" s="88"/>
      <c r="BST119" s="88"/>
      <c r="BSU119" s="88"/>
      <c r="BSV119" s="88"/>
      <c r="BSW119" s="88"/>
      <c r="BSX119" s="88"/>
      <c r="BSY119" s="88"/>
      <c r="BSZ119" s="88"/>
      <c r="BTA119" s="88"/>
      <c r="BTB119" s="88"/>
      <c r="BTC119" s="88"/>
      <c r="BTD119" s="88"/>
      <c r="BTE119" s="88"/>
      <c r="BTF119" s="88"/>
      <c r="BTG119" s="88"/>
      <c r="BTH119" s="88"/>
      <c r="BTI119" s="88"/>
      <c r="BTJ119" s="88"/>
      <c r="BTK119" s="88"/>
      <c r="BTL119" s="88"/>
      <c r="BTM119" s="88"/>
      <c r="BTN119" s="88"/>
      <c r="BTO119" s="88"/>
      <c r="BTP119" s="88"/>
      <c r="BTQ119" s="88"/>
      <c r="BTR119" s="88"/>
      <c r="BTS119" s="88"/>
      <c r="BTT119" s="88"/>
      <c r="BTU119" s="88"/>
      <c r="BTV119" s="88"/>
      <c r="BTW119" s="88"/>
      <c r="BTX119" s="88"/>
      <c r="BTY119" s="88"/>
      <c r="BTZ119" s="88"/>
      <c r="BUA119" s="88"/>
      <c r="BUB119" s="88"/>
      <c r="BUC119" s="88"/>
      <c r="BUD119" s="88"/>
      <c r="BUE119" s="88"/>
      <c r="BUF119" s="88"/>
      <c r="BUG119" s="88"/>
      <c r="BUH119" s="88"/>
      <c r="BUI119" s="88"/>
      <c r="BUJ119" s="88"/>
      <c r="BUK119" s="88"/>
      <c r="BUL119" s="88"/>
      <c r="BUM119" s="88"/>
      <c r="BUN119" s="88"/>
      <c r="BUO119" s="88"/>
      <c r="BUP119" s="88"/>
      <c r="BUQ119" s="88"/>
      <c r="BUR119" s="88"/>
      <c r="BUS119" s="88"/>
      <c r="BUT119" s="88"/>
      <c r="BUU119" s="88"/>
      <c r="BUV119" s="88"/>
      <c r="BUW119" s="88"/>
      <c r="BUX119" s="88"/>
      <c r="BUY119" s="88"/>
      <c r="BUZ119" s="88"/>
      <c r="BVA119" s="88"/>
      <c r="BVB119" s="88"/>
      <c r="BVC119" s="88"/>
      <c r="BVD119" s="88"/>
      <c r="BVE119" s="88"/>
      <c r="BVF119" s="88"/>
      <c r="BVG119" s="88"/>
      <c r="BVH119" s="88"/>
      <c r="BVI119" s="88"/>
      <c r="BVJ119" s="88"/>
      <c r="BVK119" s="88"/>
      <c r="BVL119" s="88"/>
      <c r="BVM119" s="88"/>
      <c r="BVN119" s="88"/>
      <c r="BVO119" s="88"/>
      <c r="BVP119" s="88"/>
      <c r="BVQ119" s="88"/>
      <c r="BVR119" s="88"/>
      <c r="BVS119" s="88"/>
      <c r="BVT119" s="88"/>
      <c r="BVU119" s="88"/>
      <c r="BVV119" s="88"/>
      <c r="BVW119" s="88"/>
      <c r="BVX119" s="88"/>
      <c r="BVY119" s="88"/>
      <c r="BVZ119" s="88"/>
      <c r="BWA119" s="88"/>
      <c r="BWB119" s="88"/>
      <c r="BWC119" s="88"/>
      <c r="BWD119" s="88"/>
      <c r="BWE119" s="88"/>
      <c r="BWF119" s="88"/>
      <c r="BWG119" s="88"/>
      <c r="BWH119" s="88"/>
      <c r="BWI119" s="88"/>
      <c r="BWJ119" s="88"/>
      <c r="BWK119" s="88"/>
      <c r="BWL119" s="88"/>
      <c r="BWM119" s="88"/>
      <c r="BWN119" s="88"/>
      <c r="BWO119" s="88"/>
      <c r="BWP119" s="88"/>
      <c r="BWQ119" s="88"/>
      <c r="BWR119" s="88"/>
      <c r="BWS119" s="88"/>
      <c r="BWT119" s="88"/>
      <c r="BWU119" s="88"/>
      <c r="BWV119" s="88"/>
      <c r="BWW119" s="88"/>
      <c r="BWX119" s="88"/>
      <c r="BWY119" s="88"/>
      <c r="BWZ119" s="88"/>
      <c r="BXA119" s="88"/>
      <c r="BXB119" s="88"/>
      <c r="BXC119" s="88"/>
      <c r="BXD119" s="88"/>
      <c r="BXE119" s="88"/>
      <c r="BXF119" s="88"/>
      <c r="BXG119" s="88"/>
      <c r="BXH119" s="88"/>
      <c r="BXI119" s="88"/>
      <c r="BXJ119" s="88"/>
      <c r="BXK119" s="88"/>
      <c r="BXL119" s="88"/>
      <c r="BXM119" s="88"/>
      <c r="BXN119" s="88"/>
      <c r="BXO119" s="88"/>
      <c r="BXP119" s="88"/>
      <c r="BXQ119" s="88"/>
      <c r="BXR119" s="88"/>
      <c r="BXS119" s="88"/>
      <c r="BXT119" s="88"/>
      <c r="BXU119" s="88"/>
      <c r="BXV119" s="88"/>
      <c r="BXW119" s="88"/>
      <c r="BXX119" s="88"/>
      <c r="BXY119" s="88"/>
      <c r="BXZ119" s="88"/>
      <c r="BYA119" s="88"/>
      <c r="BYB119" s="88"/>
      <c r="BYC119" s="88"/>
      <c r="BYD119" s="88"/>
      <c r="BYE119" s="88"/>
      <c r="BYF119" s="88"/>
      <c r="BYG119" s="88"/>
      <c r="BYH119" s="88"/>
      <c r="BYI119" s="88"/>
      <c r="BYJ119" s="88"/>
      <c r="BYK119" s="88"/>
      <c r="BYL119" s="88"/>
      <c r="BYM119" s="88"/>
      <c r="BYN119" s="88"/>
      <c r="BYO119" s="88"/>
      <c r="BYP119" s="88"/>
      <c r="BYQ119" s="88"/>
      <c r="BYR119" s="88"/>
      <c r="BYS119" s="88"/>
      <c r="BYT119" s="88"/>
      <c r="BYU119" s="88"/>
      <c r="BYV119" s="88"/>
      <c r="BYW119" s="88"/>
      <c r="BYX119" s="88"/>
      <c r="BYY119" s="88"/>
      <c r="BYZ119" s="88"/>
      <c r="BZA119" s="88"/>
      <c r="BZB119" s="88"/>
      <c r="BZC119" s="88"/>
      <c r="BZD119" s="88"/>
      <c r="BZE119" s="88"/>
      <c r="BZF119" s="88"/>
      <c r="BZG119" s="88"/>
      <c r="BZH119" s="88"/>
      <c r="BZI119" s="88"/>
      <c r="BZJ119" s="88"/>
      <c r="BZK119" s="88"/>
      <c r="BZL119" s="88"/>
      <c r="BZM119" s="88"/>
      <c r="BZN119" s="88"/>
      <c r="BZO119" s="88"/>
      <c r="BZP119" s="88"/>
      <c r="BZQ119" s="88"/>
      <c r="BZR119" s="88"/>
      <c r="BZS119" s="88"/>
      <c r="BZT119" s="88"/>
      <c r="BZU119" s="88"/>
      <c r="BZV119" s="88"/>
      <c r="BZW119" s="88"/>
      <c r="BZX119" s="88"/>
      <c r="BZY119" s="88"/>
      <c r="BZZ119" s="88"/>
      <c r="CAA119" s="88"/>
      <c r="CAB119" s="88"/>
      <c r="CAC119" s="88"/>
      <c r="CAD119" s="88"/>
      <c r="CAE119" s="88"/>
      <c r="CAF119" s="88"/>
      <c r="CAG119" s="88"/>
      <c r="CAH119" s="88"/>
      <c r="CAI119" s="88"/>
      <c r="CAJ119" s="88"/>
      <c r="CAK119" s="88"/>
      <c r="CAL119" s="88"/>
      <c r="CAM119" s="88"/>
      <c r="CAN119" s="88"/>
      <c r="CAO119" s="88"/>
      <c r="CAP119" s="88"/>
      <c r="CAQ119" s="88"/>
      <c r="CAR119" s="88"/>
      <c r="CAS119" s="88"/>
      <c r="CAT119" s="88"/>
      <c r="CAU119" s="88"/>
      <c r="CAV119" s="88"/>
      <c r="CAW119" s="88"/>
      <c r="CAX119" s="88"/>
      <c r="CAY119" s="88"/>
      <c r="CAZ119" s="88"/>
      <c r="CBA119" s="88"/>
      <c r="CBB119" s="88"/>
      <c r="CBC119" s="88"/>
      <c r="CBD119" s="88"/>
      <c r="CBE119" s="88"/>
      <c r="CBF119" s="88"/>
      <c r="CBG119" s="88"/>
      <c r="CBH119" s="88"/>
      <c r="CBI119" s="88"/>
      <c r="CBJ119" s="88"/>
      <c r="CBK119" s="88"/>
      <c r="CBL119" s="88"/>
      <c r="CBM119" s="88"/>
      <c r="CBN119" s="88"/>
      <c r="CBO119" s="88"/>
      <c r="CBP119" s="88"/>
      <c r="CBQ119" s="88"/>
      <c r="CBR119" s="88"/>
      <c r="CBS119" s="88"/>
      <c r="CBT119" s="88"/>
      <c r="CBU119" s="88"/>
      <c r="CBV119" s="88"/>
      <c r="CBW119" s="88"/>
      <c r="CBX119" s="88"/>
      <c r="CBY119" s="88"/>
      <c r="CBZ119" s="88"/>
      <c r="CCA119" s="88"/>
      <c r="CCB119" s="88"/>
      <c r="CCC119" s="88"/>
      <c r="CCD119" s="88"/>
      <c r="CCE119" s="88"/>
      <c r="CCF119" s="88"/>
      <c r="CCG119" s="88"/>
      <c r="CCH119" s="88"/>
      <c r="CCI119" s="88"/>
      <c r="CCJ119" s="88"/>
      <c r="CCK119" s="88"/>
      <c r="CCL119" s="88"/>
      <c r="CCM119" s="88"/>
      <c r="CCN119" s="88"/>
      <c r="CCO119" s="88"/>
      <c r="CCP119" s="88"/>
      <c r="CCQ119" s="88"/>
      <c r="CCR119" s="88"/>
      <c r="CCS119" s="88"/>
      <c r="CCT119" s="88"/>
      <c r="CCU119" s="88"/>
      <c r="CCV119" s="88"/>
      <c r="CCW119" s="88"/>
      <c r="CCX119" s="88"/>
      <c r="CCY119" s="88"/>
      <c r="CCZ119" s="88"/>
      <c r="CDA119" s="88"/>
      <c r="CDB119" s="88"/>
      <c r="CDC119" s="88"/>
      <c r="CDD119" s="88"/>
      <c r="CDE119" s="88"/>
      <c r="CDF119" s="88"/>
      <c r="CDG119" s="88"/>
      <c r="CDH119" s="88"/>
      <c r="CDI119" s="88"/>
      <c r="CDJ119" s="88"/>
      <c r="CDK119" s="88"/>
      <c r="CDL119" s="88"/>
      <c r="CDM119" s="88"/>
      <c r="CDN119" s="88"/>
      <c r="CDO119" s="88"/>
      <c r="CDP119" s="88"/>
      <c r="CDQ119" s="88"/>
      <c r="CDR119" s="88"/>
      <c r="CDS119" s="88"/>
      <c r="CDT119" s="88"/>
      <c r="CDU119" s="88"/>
      <c r="CDV119" s="88"/>
      <c r="CDW119" s="88"/>
      <c r="CDX119" s="88"/>
      <c r="CDY119" s="88"/>
      <c r="CDZ119" s="88"/>
      <c r="CEA119" s="88"/>
      <c r="CEB119" s="88"/>
      <c r="CEC119" s="88"/>
      <c r="CED119" s="88"/>
      <c r="CEE119" s="88"/>
      <c r="CEF119" s="88"/>
      <c r="CEG119" s="88"/>
      <c r="CEH119" s="88"/>
      <c r="CEI119" s="88"/>
      <c r="CEJ119" s="88"/>
      <c r="CEK119" s="88"/>
    </row>
    <row r="120" spans="1:2169" s="51" customFormat="1">
      <c r="A120" s="72" t="s">
        <v>807</v>
      </c>
      <c r="B120" s="72" t="s">
        <v>714</v>
      </c>
      <c r="C120" s="69" t="str">
        <f>IF('page 2'!$O$4="","",IF('page 2'!$O$4=Gestion!A120,1,0))</f>
        <v/>
      </c>
      <c r="D120" s="69" t="str">
        <f>IF('page 2'!$O$5="","",IF('page 2'!$O$5=Gestion!A120,1,0))</f>
        <v/>
      </c>
      <c r="E120" s="69" t="str">
        <f>IF('page 2'!$O$6="","",IF('page 2'!$O$6=Gestion!A120,1,0))</f>
        <v/>
      </c>
      <c r="F120" s="69" t="str">
        <f>IF('page 2'!$O$7="","",IF('page 2'!$O$7=Gestion!A120,1,0))</f>
        <v/>
      </c>
      <c r="G120" s="69" t="str">
        <f>IF('page 2'!$O$8="","",IF('page 2'!$O$8=Gestion!A120,1,0))</f>
        <v/>
      </c>
      <c r="H120" s="69" t="str">
        <f>IF('page 2'!$O$9="","",IF('page 2'!$O$9=Gestion!A120,1,0))</f>
        <v/>
      </c>
      <c r="I120" s="69" t="str">
        <f>IF('page 2'!$O$10="","",IF('page 2'!$O$10=Gestion!A120,1,0))</f>
        <v/>
      </c>
      <c r="J120" s="69" t="str">
        <f>IF('page 2'!$O$11="","",IF('page 2'!$O$11=Gestion!A120,1,0))</f>
        <v/>
      </c>
      <c r="K120" s="69" t="str">
        <f>IF('page 2'!$O$12="","",IF('page 2'!$O$12=Gestion!A120,1,0))</f>
        <v/>
      </c>
      <c r="L120" s="69" t="str">
        <f>IF('page 2'!$O$13="","",IF('page 2'!$O$13=Gestion!A120,1,0))</f>
        <v/>
      </c>
      <c r="M120" s="69" t="str">
        <f>IF('page 2'!$O$14="","",IF('page 2'!$O$14=Gestion!A120,1,0))</f>
        <v/>
      </c>
      <c r="N120" s="69" t="str">
        <f>IF('page 2'!$O$15="","",IF('page 2'!$O$15=Gestion!A120,1,0))</f>
        <v/>
      </c>
      <c r="O120" s="69" t="str">
        <f>IF('page 2'!$O$16="","",IF('page 2'!$O$16=Gestion!A120,1,0))</f>
        <v/>
      </c>
      <c r="P120" s="69" t="str">
        <f>IF('page 2'!$O$17="","",IF('page 2'!$O$17=Gestion!A120,1,0))</f>
        <v/>
      </c>
      <c r="Q120" s="69" t="str">
        <f>IF('page 2'!$O$18="","",IF('page 2'!$O$18=Gestion!A120,1,0))</f>
        <v/>
      </c>
      <c r="R120" s="69" t="str">
        <f>IF('page 2'!$O$19="","",IF('page 2'!$O$19=Gestion!A120,1,0))</f>
        <v/>
      </c>
      <c r="S120" s="69" t="str">
        <f>IF('page 2'!$O$20="","",IF('page 2'!$O$20=Gestion!A120,1,0))</f>
        <v/>
      </c>
      <c r="T120" s="69" t="str">
        <f>IF('page 2'!$O$25="","",IF('page 2'!$O$25=Gestion!A120,1,0))</f>
        <v/>
      </c>
      <c r="U120" s="69" t="str">
        <f>IF('page 2'!$O$26="","",IF('page 2'!$O$26=Gestion!A120,1,0))</f>
        <v/>
      </c>
      <c r="V120" s="69" t="str">
        <f>IF('page 2'!$O$27="","",IF('page 2'!$O$27=Gestion!A120,1,0))</f>
        <v/>
      </c>
      <c r="W120" s="723">
        <f t="shared" si="14"/>
        <v>0</v>
      </c>
      <c r="X120" s="713"/>
      <c r="Y120" s="69"/>
      <c r="Z120" s="69"/>
      <c r="AA120" s="69"/>
      <c r="AB120" s="542"/>
      <c r="AC120" s="542"/>
      <c r="AD120" s="542"/>
      <c r="AE120" s="88"/>
      <c r="AP120" s="130"/>
      <c r="AQ120" s="130"/>
      <c r="AR120" s="130"/>
      <c r="AS120" s="602"/>
      <c r="AT120" s="602"/>
      <c r="AU120" s="602"/>
      <c r="AV120" s="602"/>
      <c r="AW120" s="602"/>
      <c r="AX120" s="602"/>
      <c r="AY120" s="602"/>
      <c r="AZ120" s="602"/>
      <c r="BA120" s="602"/>
      <c r="BB120" s="602"/>
      <c r="BC120" s="602"/>
      <c r="BD120" s="602"/>
      <c r="BE120" s="602"/>
      <c r="BF120" s="602"/>
      <c r="BG120" s="602"/>
      <c r="BH120" s="602"/>
      <c r="BI120" s="602"/>
      <c r="BJ120" s="602"/>
      <c r="BK120" s="602"/>
      <c r="BL120" s="602"/>
      <c r="BM120" s="602"/>
      <c r="BN120" s="602"/>
      <c r="BO120" s="602"/>
      <c r="BP120" s="602"/>
      <c r="BQ120" s="602"/>
      <c r="BR120" s="602"/>
      <c r="BS120" s="602"/>
      <c r="BT120" s="602"/>
      <c r="BU120" s="602"/>
      <c r="BV120" s="602"/>
      <c r="BW120" s="602"/>
      <c r="BX120" s="602"/>
      <c r="BY120" s="602"/>
      <c r="BZ120" s="602"/>
      <c r="CA120" s="602"/>
      <c r="CB120" s="602"/>
      <c r="CC120" s="602"/>
      <c r="CD120" s="602"/>
      <c r="CE120" s="602"/>
      <c r="CF120" s="602"/>
      <c r="CG120" s="602"/>
      <c r="CH120" s="602"/>
      <c r="CI120" s="602"/>
      <c r="CJ120" s="602"/>
      <c r="CK120" s="602"/>
      <c r="CL120" s="602"/>
      <c r="CM120" s="602"/>
      <c r="CN120" s="602"/>
      <c r="CO120" s="602"/>
      <c r="CP120" s="602"/>
      <c r="CQ120" s="602"/>
      <c r="CR120" s="602"/>
      <c r="CS120" s="602"/>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c r="HF120" s="88"/>
      <c r="HG120" s="88"/>
      <c r="HH120" s="88"/>
      <c r="HI120" s="88"/>
      <c r="HJ120" s="88"/>
      <c r="HK120" s="88"/>
      <c r="HL120" s="88"/>
      <c r="HM120" s="88"/>
      <c r="HN120" s="88"/>
      <c r="HO120" s="88"/>
      <c r="HP120" s="88"/>
      <c r="HQ120" s="88"/>
      <c r="HR120" s="88"/>
      <c r="HS120" s="88"/>
      <c r="HT120" s="88"/>
      <c r="HU120" s="88"/>
      <c r="HV120" s="88"/>
      <c r="HW120" s="88"/>
      <c r="HX120" s="88"/>
      <c r="HY120" s="88"/>
      <c r="HZ120" s="88"/>
      <c r="IA120" s="88"/>
      <c r="IB120" s="88"/>
      <c r="IC120" s="88"/>
      <c r="ID120" s="88"/>
      <c r="IE120" s="88"/>
      <c r="IF120" s="88"/>
      <c r="IG120" s="88"/>
      <c r="IH120" s="88"/>
      <c r="II120" s="88"/>
      <c r="IJ120" s="88"/>
      <c r="IK120" s="88"/>
      <c r="IL120" s="88"/>
      <c r="IM120" s="88"/>
      <c r="IN120" s="88"/>
      <c r="IO120" s="88"/>
      <c r="IP120" s="88"/>
      <c r="IQ120" s="88"/>
      <c r="IR120" s="88"/>
      <c r="IS120" s="88"/>
      <c r="IT120" s="88"/>
      <c r="IU120" s="88"/>
      <c r="IV120" s="88"/>
      <c r="IW120" s="88"/>
      <c r="IX120" s="88"/>
      <c r="IY120" s="88"/>
      <c r="IZ120" s="88"/>
      <c r="JA120" s="88"/>
      <c r="JB120" s="88"/>
      <c r="JC120" s="88"/>
      <c r="JD120" s="88"/>
      <c r="JE120" s="88"/>
      <c r="JF120" s="88"/>
      <c r="JG120" s="88"/>
      <c r="JH120" s="88"/>
      <c r="JI120" s="88"/>
      <c r="JJ120" s="88"/>
      <c r="JK120" s="88"/>
      <c r="JL120" s="88"/>
      <c r="JM120" s="88"/>
      <c r="JN120" s="88"/>
      <c r="JO120" s="88"/>
      <c r="JP120" s="88"/>
      <c r="JQ120" s="88"/>
      <c r="JR120" s="88"/>
      <c r="JS120" s="88"/>
      <c r="JT120" s="88"/>
      <c r="JU120" s="88"/>
      <c r="JV120" s="88"/>
      <c r="JW120" s="88"/>
      <c r="JX120" s="88"/>
      <c r="JY120" s="88"/>
      <c r="JZ120" s="88"/>
      <c r="KA120" s="88"/>
      <c r="KB120" s="88"/>
      <c r="KC120" s="88"/>
      <c r="KD120" s="88"/>
      <c r="KE120" s="88"/>
      <c r="KF120" s="88"/>
      <c r="KG120" s="88"/>
      <c r="KH120" s="88"/>
      <c r="KI120" s="88"/>
      <c r="KJ120" s="88"/>
      <c r="KK120" s="88"/>
      <c r="KL120" s="88"/>
      <c r="KM120" s="88"/>
      <c r="KN120" s="88"/>
      <c r="KO120" s="88"/>
      <c r="KP120" s="88"/>
      <c r="KQ120" s="88"/>
      <c r="KR120" s="88"/>
      <c r="KS120" s="88"/>
      <c r="KT120" s="88"/>
      <c r="KU120" s="88"/>
      <c r="KV120" s="88"/>
      <c r="KW120" s="88"/>
      <c r="KX120" s="88"/>
      <c r="KY120" s="88"/>
      <c r="KZ120" s="88"/>
      <c r="LA120" s="88"/>
      <c r="LB120" s="88"/>
      <c r="LC120" s="88"/>
      <c r="LD120" s="88"/>
      <c r="LE120" s="88"/>
      <c r="LF120" s="88"/>
      <c r="LG120" s="88"/>
      <c r="LH120" s="88"/>
      <c r="LI120" s="88"/>
      <c r="LJ120" s="88"/>
      <c r="LK120" s="88"/>
      <c r="LL120" s="88"/>
      <c r="LM120" s="88"/>
      <c r="LN120" s="88"/>
      <c r="LO120" s="88"/>
      <c r="LP120" s="88"/>
      <c r="LQ120" s="88"/>
      <c r="LR120" s="88"/>
      <c r="LS120" s="88"/>
      <c r="LT120" s="88"/>
      <c r="LU120" s="88"/>
      <c r="LV120" s="88"/>
      <c r="LW120" s="88"/>
      <c r="LX120" s="88"/>
      <c r="LY120" s="88"/>
      <c r="LZ120" s="88"/>
      <c r="MA120" s="88"/>
      <c r="MB120" s="88"/>
      <c r="MC120" s="88"/>
      <c r="MD120" s="88"/>
      <c r="ME120" s="88"/>
      <c r="MF120" s="88"/>
      <c r="MG120" s="88"/>
      <c r="MH120" s="88"/>
      <c r="MI120" s="88"/>
      <c r="MJ120" s="88"/>
      <c r="MK120" s="88"/>
      <c r="ML120" s="88"/>
      <c r="MM120" s="88"/>
      <c r="MN120" s="88"/>
      <c r="MO120" s="88"/>
      <c r="MP120" s="88"/>
      <c r="MQ120" s="88"/>
      <c r="MR120" s="88"/>
      <c r="MS120" s="88"/>
      <c r="MT120" s="88"/>
      <c r="MU120" s="88"/>
      <c r="MV120" s="88"/>
      <c r="MW120" s="88"/>
      <c r="MX120" s="88"/>
      <c r="MY120" s="88"/>
      <c r="MZ120" s="88"/>
      <c r="NA120" s="88"/>
      <c r="NB120" s="88"/>
      <c r="NC120" s="88"/>
      <c r="ND120" s="88"/>
      <c r="NE120" s="88"/>
      <c r="NF120" s="88"/>
      <c r="NG120" s="88"/>
      <c r="NH120" s="88"/>
      <c r="NI120" s="88"/>
      <c r="NJ120" s="88"/>
      <c r="NK120" s="88"/>
      <c r="NL120" s="88"/>
      <c r="NM120" s="88"/>
      <c r="NN120" s="88"/>
      <c r="NO120" s="88"/>
      <c r="NP120" s="88"/>
      <c r="NQ120" s="88"/>
      <c r="NR120" s="88"/>
      <c r="NS120" s="88"/>
      <c r="NT120" s="88"/>
      <c r="NU120" s="88"/>
      <c r="NV120" s="88"/>
      <c r="NW120" s="88"/>
      <c r="NX120" s="88"/>
      <c r="NY120" s="88"/>
      <c r="NZ120" s="88"/>
      <c r="OA120" s="88"/>
      <c r="OB120" s="88"/>
      <c r="OC120" s="88"/>
      <c r="OD120" s="88"/>
      <c r="OE120" s="88"/>
      <c r="OF120" s="88"/>
      <c r="OG120" s="88"/>
      <c r="OH120" s="88"/>
      <c r="OI120" s="88"/>
      <c r="OJ120" s="88"/>
      <c r="OK120" s="88"/>
      <c r="OL120" s="88"/>
      <c r="OM120" s="88"/>
      <c r="ON120" s="88"/>
      <c r="OO120" s="88"/>
      <c r="OP120" s="88"/>
      <c r="OQ120" s="88"/>
      <c r="OR120" s="88"/>
      <c r="OS120" s="88"/>
      <c r="OT120" s="88"/>
      <c r="OU120" s="88"/>
      <c r="OV120" s="88"/>
      <c r="OW120" s="88"/>
      <c r="OX120" s="88"/>
      <c r="OY120" s="88"/>
      <c r="OZ120" s="88"/>
      <c r="PA120" s="88"/>
      <c r="PB120" s="88"/>
      <c r="PC120" s="88"/>
      <c r="PD120" s="88"/>
      <c r="PE120" s="88"/>
      <c r="PF120" s="88"/>
      <c r="PG120" s="88"/>
      <c r="PH120" s="88"/>
      <c r="PI120" s="88"/>
      <c r="PJ120" s="88"/>
      <c r="PK120" s="88"/>
      <c r="PL120" s="88"/>
      <c r="PM120" s="88"/>
      <c r="PN120" s="88"/>
      <c r="PO120" s="88"/>
      <c r="PP120" s="88"/>
      <c r="PQ120" s="88"/>
      <c r="PR120" s="88"/>
      <c r="PS120" s="88"/>
      <c r="PT120" s="88"/>
      <c r="PU120" s="88"/>
      <c r="PV120" s="88"/>
      <c r="PW120" s="88"/>
      <c r="PX120" s="88"/>
      <c r="PY120" s="88"/>
      <c r="PZ120" s="88"/>
      <c r="QA120" s="88"/>
      <c r="QB120" s="88"/>
      <c r="QC120" s="88"/>
      <c r="QD120" s="88"/>
      <c r="QE120" s="88"/>
      <c r="QF120" s="88"/>
      <c r="QG120" s="88"/>
      <c r="QH120" s="88"/>
      <c r="QI120" s="88"/>
      <c r="QJ120" s="88"/>
      <c r="QK120" s="88"/>
      <c r="QL120" s="88"/>
      <c r="QM120" s="88"/>
      <c r="QN120" s="88"/>
      <c r="QO120" s="88"/>
      <c r="QP120" s="88"/>
      <c r="QQ120" s="88"/>
      <c r="QR120" s="88"/>
      <c r="QS120" s="88"/>
      <c r="QT120" s="88"/>
      <c r="QU120" s="88"/>
      <c r="QV120" s="88"/>
      <c r="QW120" s="88"/>
      <c r="QX120" s="88"/>
      <c r="QY120" s="88"/>
      <c r="QZ120" s="88"/>
      <c r="RA120" s="88"/>
      <c r="RB120" s="88"/>
      <c r="RC120" s="88"/>
      <c r="RD120" s="88"/>
      <c r="RE120" s="88"/>
      <c r="RF120" s="88"/>
      <c r="RG120" s="88"/>
      <c r="RH120" s="88"/>
      <c r="RI120" s="88"/>
      <c r="RJ120" s="88"/>
      <c r="RK120" s="88"/>
      <c r="RL120" s="88"/>
      <c r="RM120" s="88"/>
      <c r="RN120" s="88"/>
      <c r="RO120" s="88"/>
      <c r="RP120" s="88"/>
      <c r="RQ120" s="88"/>
      <c r="RR120" s="88"/>
      <c r="RS120" s="88"/>
      <c r="RT120" s="88"/>
      <c r="RU120" s="88"/>
      <c r="RV120" s="88"/>
      <c r="RW120" s="88"/>
      <c r="RX120" s="88"/>
      <c r="RY120" s="88"/>
      <c r="RZ120" s="88"/>
      <c r="SA120" s="88"/>
      <c r="SB120" s="88"/>
      <c r="SC120" s="88"/>
      <c r="SD120" s="88"/>
      <c r="SE120" s="88"/>
      <c r="SF120" s="88"/>
      <c r="SG120" s="88"/>
      <c r="SH120" s="88"/>
      <c r="SI120" s="88"/>
      <c r="SJ120" s="88"/>
      <c r="SK120" s="88"/>
      <c r="SL120" s="88"/>
      <c r="SM120" s="88"/>
      <c r="SN120" s="88"/>
      <c r="SO120" s="88"/>
      <c r="SP120" s="88"/>
      <c r="SQ120" s="88"/>
      <c r="SR120" s="88"/>
      <c r="SS120" s="88"/>
      <c r="ST120" s="88"/>
      <c r="SU120" s="88"/>
      <c r="SV120" s="88"/>
      <c r="SW120" s="88"/>
      <c r="SX120" s="88"/>
      <c r="SY120" s="88"/>
      <c r="SZ120" s="88"/>
      <c r="TA120" s="88"/>
      <c r="TB120" s="88"/>
      <c r="TC120" s="88"/>
      <c r="TD120" s="88"/>
      <c r="TE120" s="88"/>
      <c r="TF120" s="88"/>
      <c r="TG120" s="88"/>
      <c r="TH120" s="88"/>
      <c r="TI120" s="88"/>
      <c r="TJ120" s="88"/>
      <c r="TK120" s="88"/>
      <c r="TL120" s="88"/>
      <c r="TM120" s="88"/>
      <c r="TN120" s="88"/>
      <c r="TO120" s="88"/>
      <c r="TP120" s="88"/>
      <c r="TQ120" s="88"/>
      <c r="TR120" s="88"/>
      <c r="TS120" s="88"/>
      <c r="TT120" s="88"/>
      <c r="TU120" s="88"/>
      <c r="TV120" s="88"/>
      <c r="TW120" s="88"/>
      <c r="TX120" s="88"/>
      <c r="TY120" s="88"/>
      <c r="TZ120" s="88"/>
      <c r="UA120" s="88"/>
      <c r="UB120" s="88"/>
      <c r="UC120" s="88"/>
      <c r="UD120" s="88"/>
      <c r="UE120" s="88"/>
      <c r="UF120" s="88"/>
      <c r="UG120" s="88"/>
      <c r="UH120" s="88"/>
      <c r="UI120" s="88"/>
      <c r="UJ120" s="88"/>
      <c r="UK120" s="88"/>
      <c r="UL120" s="88"/>
      <c r="UM120" s="88"/>
      <c r="UN120" s="88"/>
      <c r="UO120" s="88"/>
      <c r="UP120" s="88"/>
      <c r="UQ120" s="88"/>
      <c r="UR120" s="88"/>
      <c r="US120" s="88"/>
      <c r="UT120" s="88"/>
      <c r="UU120" s="88"/>
      <c r="UV120" s="88"/>
      <c r="UW120" s="88"/>
      <c r="UX120" s="88"/>
      <c r="UY120" s="88"/>
      <c r="UZ120" s="88"/>
      <c r="VA120" s="88"/>
      <c r="VB120" s="88"/>
      <c r="VC120" s="88"/>
      <c r="VD120" s="88"/>
      <c r="VE120" s="88"/>
      <c r="VF120" s="88"/>
      <c r="VG120" s="88"/>
      <c r="VH120" s="88"/>
      <c r="VI120" s="88"/>
      <c r="VJ120" s="88"/>
      <c r="VK120" s="88"/>
      <c r="VL120" s="88"/>
      <c r="VM120" s="88"/>
      <c r="VN120" s="88"/>
      <c r="VO120" s="88"/>
      <c r="VP120" s="88"/>
      <c r="VQ120" s="88"/>
      <c r="VR120" s="88"/>
      <c r="VS120" s="88"/>
      <c r="VT120" s="88"/>
      <c r="VU120" s="88"/>
      <c r="VV120" s="88"/>
      <c r="VW120" s="88"/>
      <c r="VX120" s="88"/>
      <c r="VY120" s="88"/>
      <c r="VZ120" s="88"/>
      <c r="WA120" s="88"/>
      <c r="WB120" s="88"/>
      <c r="WC120" s="88"/>
      <c r="WD120" s="88"/>
      <c r="WE120" s="88"/>
      <c r="WF120" s="88"/>
      <c r="WG120" s="88"/>
      <c r="WH120" s="88"/>
      <c r="WI120" s="88"/>
      <c r="WJ120" s="88"/>
      <c r="WK120" s="88"/>
      <c r="WL120" s="88"/>
      <c r="WM120" s="88"/>
      <c r="WN120" s="88"/>
      <c r="WO120" s="88"/>
      <c r="WP120" s="88"/>
      <c r="WQ120" s="88"/>
      <c r="WR120" s="88"/>
      <c r="WS120" s="88"/>
      <c r="WT120" s="88"/>
      <c r="WU120" s="88"/>
      <c r="WV120" s="88"/>
      <c r="WW120" s="88"/>
      <c r="WX120" s="88"/>
      <c r="WY120" s="88"/>
      <c r="WZ120" s="88"/>
      <c r="XA120" s="88"/>
      <c r="XB120" s="88"/>
      <c r="XC120" s="88"/>
      <c r="XD120" s="88"/>
      <c r="XE120" s="88"/>
      <c r="XF120" s="88"/>
      <c r="XG120" s="88"/>
      <c r="XH120" s="88"/>
      <c r="XI120" s="88"/>
      <c r="XJ120" s="88"/>
      <c r="XK120" s="88"/>
      <c r="XL120" s="88"/>
      <c r="XM120" s="88"/>
      <c r="XN120" s="88"/>
      <c r="XO120" s="88"/>
      <c r="XP120" s="88"/>
      <c r="XQ120" s="88"/>
      <c r="XR120" s="88"/>
      <c r="XS120" s="88"/>
      <c r="XT120" s="88"/>
      <c r="XU120" s="88"/>
      <c r="XV120" s="88"/>
      <c r="XW120" s="88"/>
      <c r="XX120" s="88"/>
      <c r="XY120" s="88"/>
      <c r="XZ120" s="88"/>
      <c r="YA120" s="88"/>
      <c r="YB120" s="88"/>
      <c r="YC120" s="88"/>
      <c r="YD120" s="88"/>
      <c r="YE120" s="88"/>
      <c r="YF120" s="88"/>
      <c r="YG120" s="88"/>
      <c r="YH120" s="88"/>
      <c r="YI120" s="88"/>
      <c r="YJ120" s="88"/>
      <c r="YK120" s="88"/>
      <c r="YL120" s="88"/>
      <c r="YM120" s="88"/>
      <c r="YN120" s="88"/>
      <c r="YO120" s="88"/>
      <c r="YP120" s="88"/>
      <c r="YQ120" s="88"/>
      <c r="YR120" s="88"/>
      <c r="YS120" s="88"/>
      <c r="YT120" s="88"/>
      <c r="YU120" s="88"/>
      <c r="YV120" s="88"/>
      <c r="YW120" s="88"/>
      <c r="YX120" s="88"/>
      <c r="YY120" s="88"/>
      <c r="YZ120" s="88"/>
      <c r="ZA120" s="88"/>
      <c r="ZB120" s="88"/>
      <c r="ZC120" s="88"/>
      <c r="ZD120" s="88"/>
      <c r="ZE120" s="88"/>
      <c r="ZF120" s="88"/>
      <c r="ZG120" s="88"/>
      <c r="ZH120" s="88"/>
      <c r="ZI120" s="88"/>
      <c r="ZJ120" s="88"/>
      <c r="ZK120" s="88"/>
      <c r="ZL120" s="88"/>
      <c r="ZM120" s="88"/>
      <c r="ZN120" s="88"/>
      <c r="ZO120" s="88"/>
      <c r="ZP120" s="88"/>
      <c r="ZQ120" s="88"/>
      <c r="ZR120" s="88"/>
      <c r="ZS120" s="88"/>
      <c r="ZT120" s="88"/>
      <c r="ZU120" s="88"/>
      <c r="ZV120" s="88"/>
      <c r="ZW120" s="88"/>
      <c r="ZX120" s="88"/>
      <c r="ZY120" s="88"/>
      <c r="ZZ120" s="88"/>
      <c r="AAA120" s="88"/>
      <c r="AAB120" s="88"/>
      <c r="AAC120" s="88"/>
      <c r="AAD120" s="88"/>
      <c r="AAE120" s="88"/>
      <c r="AAF120" s="88"/>
      <c r="AAG120" s="88"/>
      <c r="AAH120" s="88"/>
      <c r="AAI120" s="88"/>
      <c r="AAJ120" s="88"/>
      <c r="AAK120" s="88"/>
      <c r="AAL120" s="88"/>
      <c r="AAM120" s="88"/>
      <c r="AAN120" s="88"/>
      <c r="AAO120" s="88"/>
      <c r="AAP120" s="88"/>
      <c r="AAQ120" s="88"/>
      <c r="AAR120" s="88"/>
      <c r="AAS120" s="88"/>
      <c r="AAT120" s="88"/>
      <c r="AAU120" s="88"/>
      <c r="AAV120" s="88"/>
      <c r="AAW120" s="88"/>
      <c r="AAX120" s="88"/>
      <c r="AAY120" s="88"/>
      <c r="AAZ120" s="88"/>
      <c r="ABA120" s="88"/>
      <c r="ABB120" s="88"/>
      <c r="ABC120" s="88"/>
      <c r="ABD120" s="88"/>
      <c r="ABE120" s="88"/>
      <c r="ABF120" s="88"/>
      <c r="ABG120" s="88"/>
      <c r="ABH120" s="88"/>
      <c r="ABI120" s="88"/>
      <c r="ABJ120" s="88"/>
      <c r="ABK120" s="88"/>
      <c r="ABL120" s="88"/>
      <c r="ABM120" s="88"/>
      <c r="ABN120" s="88"/>
      <c r="ABO120" s="88"/>
      <c r="ABP120" s="88"/>
      <c r="ABQ120" s="88"/>
      <c r="ABR120" s="88"/>
      <c r="ABS120" s="88"/>
      <c r="ABT120" s="88"/>
      <c r="ABU120" s="88"/>
      <c r="ABV120" s="88"/>
      <c r="ABW120" s="88"/>
      <c r="ABX120" s="88"/>
      <c r="ABY120" s="88"/>
      <c r="ABZ120" s="88"/>
      <c r="ACA120" s="88"/>
      <c r="ACB120" s="88"/>
      <c r="ACC120" s="88"/>
      <c r="ACD120" s="88"/>
      <c r="ACE120" s="88"/>
      <c r="ACF120" s="88"/>
      <c r="ACG120" s="88"/>
      <c r="ACH120" s="88"/>
      <c r="ACI120" s="88"/>
      <c r="ACJ120" s="88"/>
      <c r="ACK120" s="88"/>
      <c r="ACL120" s="88"/>
      <c r="ACM120" s="88"/>
      <c r="ACN120" s="88"/>
      <c r="ACO120" s="88"/>
      <c r="ACP120" s="88"/>
      <c r="ACQ120" s="88"/>
      <c r="ACR120" s="88"/>
      <c r="ACS120" s="88"/>
      <c r="ACT120" s="88"/>
      <c r="ACU120" s="88"/>
      <c r="ACV120" s="88"/>
      <c r="ACW120" s="88"/>
      <c r="ACX120" s="88"/>
      <c r="ACY120" s="88"/>
      <c r="ACZ120" s="88"/>
      <c r="ADA120" s="88"/>
      <c r="ADB120" s="88"/>
      <c r="ADC120" s="88"/>
      <c r="ADD120" s="88"/>
      <c r="ADE120" s="88"/>
      <c r="ADF120" s="88"/>
      <c r="ADG120" s="88"/>
      <c r="ADH120" s="88"/>
      <c r="ADI120" s="88"/>
      <c r="ADJ120" s="88"/>
      <c r="ADK120" s="88"/>
      <c r="ADL120" s="88"/>
      <c r="ADM120" s="88"/>
      <c r="ADN120" s="88"/>
      <c r="ADO120" s="88"/>
      <c r="ADP120" s="88"/>
      <c r="ADQ120" s="88"/>
      <c r="ADR120" s="88"/>
      <c r="ADS120" s="88"/>
      <c r="ADT120" s="88"/>
      <c r="ADU120" s="88"/>
      <c r="ADV120" s="88"/>
      <c r="ADW120" s="88"/>
      <c r="ADX120" s="88"/>
      <c r="ADY120" s="88"/>
      <c r="ADZ120" s="88"/>
      <c r="AEA120" s="88"/>
      <c r="AEB120" s="88"/>
      <c r="AEC120" s="88"/>
      <c r="AED120" s="88"/>
      <c r="AEE120" s="88"/>
      <c r="AEF120" s="88"/>
      <c r="AEG120" s="88"/>
      <c r="AEH120" s="88"/>
      <c r="AEI120" s="88"/>
      <c r="AEJ120" s="88"/>
      <c r="AEK120" s="88"/>
      <c r="AEL120" s="88"/>
      <c r="AEM120" s="88"/>
      <c r="AEN120" s="88"/>
      <c r="AEO120" s="88"/>
      <c r="AEP120" s="88"/>
      <c r="AEQ120" s="88"/>
      <c r="AER120" s="88"/>
      <c r="AES120" s="88"/>
      <c r="AET120" s="88"/>
      <c r="AEU120" s="88"/>
      <c r="AEV120" s="88"/>
      <c r="AEW120" s="88"/>
      <c r="AEX120" s="88"/>
      <c r="AEY120" s="88"/>
      <c r="AEZ120" s="88"/>
      <c r="AFA120" s="88"/>
      <c r="AFB120" s="88"/>
      <c r="AFC120" s="88"/>
      <c r="AFD120" s="88"/>
      <c r="AFE120" s="88"/>
      <c r="AFF120" s="88"/>
      <c r="AFG120" s="88"/>
      <c r="AFH120" s="88"/>
      <c r="AFI120" s="88"/>
      <c r="AFJ120" s="88"/>
      <c r="AFK120" s="88"/>
      <c r="AFL120" s="88"/>
      <c r="AFM120" s="88"/>
      <c r="AFN120" s="88"/>
      <c r="AFO120" s="88"/>
      <c r="AFP120" s="88"/>
      <c r="AFQ120" s="88"/>
      <c r="AFR120" s="88"/>
      <c r="AFS120" s="88"/>
      <c r="AFT120" s="88"/>
      <c r="AFU120" s="88"/>
      <c r="AFV120" s="88"/>
      <c r="AFW120" s="88"/>
      <c r="AFX120" s="88"/>
      <c r="AFY120" s="88"/>
      <c r="AFZ120" s="88"/>
      <c r="AGA120" s="88"/>
      <c r="AGB120" s="88"/>
      <c r="AGC120" s="88"/>
      <c r="AGD120" s="88"/>
      <c r="AGE120" s="88"/>
      <c r="AGF120" s="88"/>
      <c r="AGG120" s="88"/>
      <c r="AGH120" s="88"/>
      <c r="AGI120" s="88"/>
      <c r="AGJ120" s="88"/>
      <c r="AGK120" s="88"/>
      <c r="AGL120" s="88"/>
      <c r="AGM120" s="88"/>
      <c r="AGN120" s="88"/>
      <c r="AGO120" s="88"/>
      <c r="AGP120" s="88"/>
      <c r="AGQ120" s="88"/>
      <c r="AGR120" s="88"/>
      <c r="AGS120" s="88"/>
      <c r="AGT120" s="88"/>
      <c r="AGU120" s="88"/>
      <c r="AGV120" s="88"/>
      <c r="AGW120" s="88"/>
      <c r="AGX120" s="88"/>
      <c r="AGY120" s="88"/>
      <c r="AGZ120" s="88"/>
      <c r="AHA120" s="88"/>
      <c r="AHB120" s="88"/>
      <c r="AHC120" s="88"/>
      <c r="AHD120" s="88"/>
      <c r="AHE120" s="88"/>
      <c r="AHF120" s="88"/>
      <c r="AHG120" s="88"/>
      <c r="AHH120" s="88"/>
      <c r="AHI120" s="88"/>
      <c r="AHJ120" s="88"/>
      <c r="AHK120" s="88"/>
      <c r="AHL120" s="88"/>
      <c r="AHM120" s="88"/>
      <c r="AHN120" s="88"/>
      <c r="AHO120" s="88"/>
      <c r="AHP120" s="88"/>
      <c r="AHQ120" s="88"/>
      <c r="AHR120" s="88"/>
      <c r="AHS120" s="88"/>
      <c r="AHT120" s="88"/>
      <c r="AHU120" s="88"/>
      <c r="AHV120" s="88"/>
      <c r="AHW120" s="88"/>
      <c r="AHX120" s="88"/>
      <c r="AHY120" s="88"/>
      <c r="AHZ120" s="88"/>
      <c r="AIA120" s="88"/>
      <c r="AIB120" s="88"/>
      <c r="AIC120" s="88"/>
      <c r="AID120" s="88"/>
      <c r="AIE120" s="88"/>
      <c r="AIF120" s="88"/>
      <c r="AIG120" s="88"/>
      <c r="AIH120" s="88"/>
      <c r="AII120" s="88"/>
      <c r="AIJ120" s="88"/>
      <c r="AIK120" s="88"/>
      <c r="AIL120" s="88"/>
      <c r="AIM120" s="88"/>
      <c r="AIN120" s="88"/>
      <c r="AIO120" s="88"/>
      <c r="AIP120" s="88"/>
      <c r="AIQ120" s="88"/>
      <c r="AIR120" s="88"/>
      <c r="AIS120" s="88"/>
      <c r="AIT120" s="88"/>
      <c r="AIU120" s="88"/>
      <c r="AIV120" s="88"/>
      <c r="AIW120" s="88"/>
      <c r="AIX120" s="88"/>
      <c r="AIY120" s="88"/>
      <c r="AIZ120" s="88"/>
      <c r="AJA120" s="88"/>
      <c r="AJB120" s="88"/>
      <c r="AJC120" s="88"/>
      <c r="AJD120" s="88"/>
      <c r="AJE120" s="88"/>
      <c r="AJF120" s="88"/>
      <c r="AJG120" s="88"/>
      <c r="AJH120" s="88"/>
      <c r="AJI120" s="88"/>
      <c r="AJJ120" s="88"/>
      <c r="AJK120" s="88"/>
      <c r="AJL120" s="88"/>
      <c r="AJM120" s="88"/>
      <c r="AJN120" s="88"/>
      <c r="AJO120" s="88"/>
      <c r="AJP120" s="88"/>
      <c r="AJQ120" s="88"/>
      <c r="AJR120" s="88"/>
      <c r="AJS120" s="88"/>
      <c r="AJT120" s="88"/>
      <c r="AJU120" s="88"/>
      <c r="AJV120" s="88"/>
      <c r="AJW120" s="88"/>
      <c r="AJX120" s="88"/>
      <c r="AJY120" s="88"/>
      <c r="AJZ120" s="88"/>
      <c r="AKA120" s="88"/>
      <c r="AKB120" s="88"/>
      <c r="AKC120" s="88"/>
      <c r="AKD120" s="88"/>
      <c r="AKE120" s="88"/>
      <c r="AKF120" s="88"/>
      <c r="AKG120" s="88"/>
      <c r="AKH120" s="88"/>
      <c r="AKI120" s="88"/>
      <c r="AKJ120" s="88"/>
      <c r="AKK120" s="88"/>
      <c r="AKL120" s="88"/>
      <c r="AKM120" s="88"/>
      <c r="AKN120" s="88"/>
      <c r="AKO120" s="88"/>
      <c r="AKP120" s="88"/>
      <c r="AKQ120" s="88"/>
      <c r="AKR120" s="88"/>
      <c r="AKS120" s="88"/>
      <c r="AKT120" s="88"/>
      <c r="AKU120" s="88"/>
      <c r="AKV120" s="88"/>
      <c r="AKW120" s="88"/>
      <c r="AKX120" s="88"/>
      <c r="AKY120" s="88"/>
      <c r="AKZ120" s="88"/>
      <c r="ALA120" s="88"/>
      <c r="ALB120" s="88"/>
      <c r="ALC120" s="88"/>
      <c r="ALD120" s="88"/>
      <c r="ALE120" s="88"/>
      <c r="ALF120" s="88"/>
      <c r="ALG120" s="88"/>
      <c r="ALH120" s="88"/>
      <c r="ALI120" s="88"/>
      <c r="ALJ120" s="88"/>
      <c r="ALK120" s="88"/>
      <c r="ALL120" s="88"/>
      <c r="ALM120" s="88"/>
      <c r="ALN120" s="88"/>
      <c r="ALO120" s="88"/>
      <c r="ALP120" s="88"/>
      <c r="ALQ120" s="88"/>
      <c r="ALR120" s="88"/>
      <c r="ALS120" s="88"/>
      <c r="ALT120" s="88"/>
      <c r="ALU120" s="88"/>
      <c r="ALV120" s="88"/>
      <c r="ALW120" s="88"/>
      <c r="ALX120" s="88"/>
      <c r="ALY120" s="88"/>
      <c r="ALZ120" s="88"/>
      <c r="AMA120" s="88"/>
      <c r="AMB120" s="88"/>
      <c r="AMC120" s="88"/>
      <c r="AMD120" s="88"/>
      <c r="AME120" s="88"/>
      <c r="AMF120" s="88"/>
      <c r="AMG120" s="88"/>
      <c r="AMH120" s="88"/>
      <c r="AMI120" s="88"/>
      <c r="AMJ120" s="88"/>
      <c r="AMK120" s="88"/>
      <c r="AML120" s="88"/>
      <c r="AMM120" s="88"/>
      <c r="AMN120" s="88"/>
      <c r="AMO120" s="88"/>
      <c r="AMP120" s="88"/>
      <c r="AMQ120" s="88"/>
      <c r="AMR120" s="88"/>
      <c r="AMS120" s="88"/>
      <c r="AMT120" s="88"/>
      <c r="AMU120" s="88"/>
      <c r="AMV120" s="88"/>
      <c r="AMW120" s="88"/>
      <c r="AMX120" s="88"/>
      <c r="AMY120" s="88"/>
      <c r="AMZ120" s="88"/>
      <c r="ANA120" s="88"/>
      <c r="ANB120" s="88"/>
      <c r="ANC120" s="88"/>
      <c r="AND120" s="88"/>
      <c r="ANE120" s="88"/>
      <c r="ANF120" s="88"/>
      <c r="ANG120" s="88"/>
      <c r="ANH120" s="88"/>
      <c r="ANI120" s="88"/>
      <c r="ANJ120" s="88"/>
      <c r="ANK120" s="88"/>
      <c r="ANL120" s="88"/>
      <c r="ANM120" s="88"/>
      <c r="ANN120" s="88"/>
      <c r="ANO120" s="88"/>
      <c r="ANP120" s="88"/>
      <c r="ANQ120" s="88"/>
      <c r="ANR120" s="88"/>
      <c r="ANS120" s="88"/>
      <c r="ANT120" s="88"/>
      <c r="ANU120" s="88"/>
      <c r="ANV120" s="88"/>
      <c r="ANW120" s="88"/>
      <c r="ANX120" s="88"/>
      <c r="ANY120" s="88"/>
      <c r="ANZ120" s="88"/>
      <c r="AOA120" s="88"/>
      <c r="AOB120" s="88"/>
      <c r="AOC120" s="88"/>
      <c r="AOD120" s="88"/>
      <c r="AOE120" s="88"/>
      <c r="AOF120" s="88"/>
      <c r="AOG120" s="88"/>
      <c r="AOH120" s="88"/>
      <c r="AOI120" s="88"/>
      <c r="AOJ120" s="88"/>
      <c r="AOK120" s="88"/>
      <c r="AOL120" s="88"/>
      <c r="AOM120" s="88"/>
      <c r="AON120" s="88"/>
      <c r="AOO120" s="88"/>
      <c r="AOP120" s="88"/>
      <c r="AOQ120" s="88"/>
      <c r="AOR120" s="88"/>
      <c r="AOS120" s="88"/>
      <c r="AOT120" s="88"/>
      <c r="AOU120" s="88"/>
      <c r="AOV120" s="88"/>
      <c r="AOW120" s="88"/>
      <c r="AOX120" s="88"/>
      <c r="AOY120" s="88"/>
      <c r="AOZ120" s="88"/>
      <c r="APA120" s="88"/>
      <c r="APB120" s="88"/>
      <c r="APC120" s="88"/>
      <c r="APD120" s="88"/>
      <c r="APE120" s="88"/>
      <c r="APF120" s="88"/>
      <c r="APG120" s="88"/>
      <c r="APH120" s="88"/>
      <c r="API120" s="88"/>
      <c r="APJ120" s="88"/>
      <c r="APK120" s="88"/>
      <c r="APL120" s="88"/>
      <c r="APM120" s="88"/>
      <c r="APN120" s="88"/>
      <c r="APO120" s="88"/>
      <c r="APP120" s="88"/>
      <c r="APQ120" s="88"/>
      <c r="APR120" s="88"/>
      <c r="APS120" s="88"/>
      <c r="APT120" s="88"/>
      <c r="APU120" s="88"/>
      <c r="APV120" s="88"/>
      <c r="APW120" s="88"/>
      <c r="APX120" s="88"/>
      <c r="APY120" s="88"/>
      <c r="APZ120" s="88"/>
      <c r="AQA120" s="88"/>
      <c r="AQB120" s="88"/>
      <c r="AQC120" s="88"/>
      <c r="AQD120" s="88"/>
      <c r="AQE120" s="88"/>
      <c r="AQF120" s="88"/>
      <c r="AQG120" s="88"/>
      <c r="AQH120" s="88"/>
      <c r="AQI120" s="88"/>
      <c r="AQJ120" s="88"/>
      <c r="AQK120" s="88"/>
      <c r="AQL120" s="88"/>
      <c r="AQM120" s="88"/>
      <c r="AQN120" s="88"/>
      <c r="AQO120" s="88"/>
      <c r="AQP120" s="88"/>
      <c r="AQQ120" s="88"/>
      <c r="AQR120" s="88"/>
      <c r="AQS120" s="88"/>
      <c r="AQT120" s="88"/>
      <c r="AQU120" s="88"/>
      <c r="AQV120" s="88"/>
      <c r="AQW120" s="88"/>
      <c r="AQX120" s="88"/>
      <c r="AQY120" s="88"/>
      <c r="AQZ120" s="88"/>
      <c r="ARA120" s="88"/>
      <c r="ARB120" s="88"/>
      <c r="ARC120" s="88"/>
      <c r="ARD120" s="88"/>
      <c r="ARE120" s="88"/>
      <c r="ARF120" s="88"/>
      <c r="ARG120" s="88"/>
      <c r="ARH120" s="88"/>
      <c r="ARI120" s="88"/>
      <c r="ARJ120" s="88"/>
      <c r="ARK120" s="88"/>
      <c r="ARL120" s="88"/>
      <c r="ARM120" s="88"/>
      <c r="ARN120" s="88"/>
      <c r="ARO120" s="88"/>
      <c r="ARP120" s="88"/>
      <c r="ARQ120" s="88"/>
      <c r="ARR120" s="88"/>
      <c r="ARS120" s="88"/>
      <c r="ART120" s="88"/>
      <c r="ARU120" s="88"/>
      <c r="ARV120" s="88"/>
      <c r="ARW120" s="88"/>
      <c r="ARX120" s="88"/>
      <c r="ARY120" s="88"/>
      <c r="ARZ120" s="88"/>
      <c r="ASA120" s="88"/>
      <c r="ASB120" s="88"/>
      <c r="ASC120" s="88"/>
      <c r="ASD120" s="88"/>
      <c r="ASE120" s="88"/>
      <c r="ASF120" s="88"/>
      <c r="ASG120" s="88"/>
      <c r="ASH120" s="88"/>
      <c r="ASI120" s="88"/>
      <c r="ASJ120" s="88"/>
      <c r="ASK120" s="88"/>
      <c r="ASL120" s="88"/>
      <c r="ASM120" s="88"/>
      <c r="ASN120" s="88"/>
      <c r="ASO120" s="88"/>
      <c r="ASP120" s="88"/>
      <c r="ASQ120" s="88"/>
      <c r="ASR120" s="88"/>
      <c r="ASS120" s="88"/>
      <c r="AST120" s="88"/>
      <c r="ASU120" s="88"/>
      <c r="ASV120" s="88"/>
      <c r="ASW120" s="88"/>
      <c r="ASX120" s="88"/>
      <c r="ASY120" s="88"/>
      <c r="ASZ120" s="88"/>
      <c r="ATA120" s="88"/>
      <c r="ATB120" s="88"/>
      <c r="ATC120" s="88"/>
      <c r="ATD120" s="88"/>
      <c r="ATE120" s="88"/>
      <c r="ATF120" s="88"/>
      <c r="ATG120" s="88"/>
      <c r="ATH120" s="88"/>
      <c r="ATI120" s="88"/>
      <c r="ATJ120" s="88"/>
      <c r="ATK120" s="88"/>
      <c r="ATL120" s="88"/>
      <c r="ATM120" s="88"/>
      <c r="ATN120" s="88"/>
      <c r="ATO120" s="88"/>
      <c r="ATP120" s="88"/>
      <c r="ATQ120" s="88"/>
      <c r="ATR120" s="88"/>
      <c r="ATS120" s="88"/>
      <c r="ATT120" s="88"/>
      <c r="ATU120" s="88"/>
      <c r="ATV120" s="88"/>
      <c r="ATW120" s="88"/>
      <c r="ATX120" s="88"/>
      <c r="ATY120" s="88"/>
      <c r="ATZ120" s="88"/>
      <c r="AUA120" s="88"/>
      <c r="AUB120" s="88"/>
      <c r="AUC120" s="88"/>
      <c r="AUD120" s="88"/>
      <c r="AUE120" s="88"/>
      <c r="AUF120" s="88"/>
      <c r="AUG120" s="88"/>
      <c r="AUH120" s="88"/>
      <c r="AUI120" s="88"/>
      <c r="AUJ120" s="88"/>
      <c r="AUK120" s="88"/>
      <c r="AUL120" s="88"/>
      <c r="AUM120" s="88"/>
      <c r="AUN120" s="88"/>
      <c r="AUO120" s="88"/>
      <c r="AUP120" s="88"/>
      <c r="AUQ120" s="88"/>
      <c r="AUR120" s="88"/>
      <c r="AUS120" s="88"/>
      <c r="AUT120" s="88"/>
      <c r="AUU120" s="88"/>
      <c r="AUV120" s="88"/>
      <c r="AUW120" s="88"/>
      <c r="AUX120" s="88"/>
      <c r="AUY120" s="88"/>
      <c r="AUZ120" s="88"/>
      <c r="AVA120" s="88"/>
      <c r="AVB120" s="88"/>
      <c r="AVC120" s="88"/>
      <c r="AVD120" s="88"/>
      <c r="AVE120" s="88"/>
      <c r="AVF120" s="88"/>
      <c r="AVG120" s="88"/>
      <c r="AVH120" s="88"/>
      <c r="AVI120" s="88"/>
      <c r="AVJ120" s="88"/>
      <c r="AVK120" s="88"/>
      <c r="AVL120" s="88"/>
      <c r="AVM120" s="88"/>
      <c r="AVN120" s="88"/>
      <c r="AVO120" s="88"/>
      <c r="AVP120" s="88"/>
      <c r="AVQ120" s="88"/>
      <c r="AVR120" s="88"/>
      <c r="AVS120" s="88"/>
      <c r="AVT120" s="88"/>
      <c r="AVU120" s="88"/>
      <c r="AVV120" s="88"/>
      <c r="AVW120" s="88"/>
      <c r="AVX120" s="88"/>
      <c r="AVY120" s="88"/>
      <c r="AVZ120" s="88"/>
      <c r="AWA120" s="88"/>
      <c r="AWB120" s="88"/>
      <c r="AWC120" s="88"/>
      <c r="AWD120" s="88"/>
      <c r="AWE120" s="88"/>
      <c r="AWF120" s="88"/>
      <c r="AWG120" s="88"/>
      <c r="AWH120" s="88"/>
      <c r="AWI120" s="88"/>
      <c r="AWJ120" s="88"/>
      <c r="AWK120" s="88"/>
      <c r="AWL120" s="88"/>
      <c r="AWM120" s="88"/>
      <c r="AWN120" s="88"/>
      <c r="AWO120" s="88"/>
      <c r="AWP120" s="88"/>
      <c r="AWQ120" s="88"/>
      <c r="AWR120" s="88"/>
      <c r="AWS120" s="88"/>
      <c r="AWT120" s="88"/>
      <c r="AWU120" s="88"/>
      <c r="AWV120" s="88"/>
      <c r="AWW120" s="88"/>
      <c r="AWX120" s="88"/>
      <c r="AWY120" s="88"/>
      <c r="AWZ120" s="88"/>
      <c r="AXA120" s="88"/>
      <c r="AXB120" s="88"/>
      <c r="AXC120" s="88"/>
      <c r="AXD120" s="88"/>
      <c r="AXE120" s="88"/>
      <c r="AXF120" s="88"/>
      <c r="AXG120" s="88"/>
      <c r="AXH120" s="88"/>
      <c r="AXI120" s="88"/>
      <c r="AXJ120" s="88"/>
      <c r="AXK120" s="88"/>
      <c r="AXL120" s="88"/>
      <c r="AXM120" s="88"/>
      <c r="AXN120" s="88"/>
      <c r="AXO120" s="88"/>
      <c r="AXP120" s="88"/>
      <c r="AXQ120" s="88"/>
      <c r="AXR120" s="88"/>
      <c r="AXS120" s="88"/>
      <c r="AXT120" s="88"/>
      <c r="AXU120" s="88"/>
      <c r="AXV120" s="88"/>
      <c r="AXW120" s="88"/>
      <c r="AXX120" s="88"/>
      <c r="AXY120" s="88"/>
      <c r="AXZ120" s="88"/>
      <c r="AYA120" s="88"/>
      <c r="AYB120" s="88"/>
      <c r="AYC120" s="88"/>
      <c r="AYD120" s="88"/>
      <c r="AYE120" s="88"/>
      <c r="AYF120" s="88"/>
      <c r="AYG120" s="88"/>
      <c r="AYH120" s="88"/>
      <c r="AYI120" s="88"/>
      <c r="AYJ120" s="88"/>
      <c r="AYK120" s="88"/>
      <c r="AYL120" s="88"/>
      <c r="AYM120" s="88"/>
      <c r="AYN120" s="88"/>
      <c r="AYO120" s="88"/>
      <c r="AYP120" s="88"/>
      <c r="AYQ120" s="88"/>
      <c r="AYR120" s="88"/>
      <c r="AYS120" s="88"/>
      <c r="AYT120" s="88"/>
      <c r="AYU120" s="88"/>
      <c r="AYV120" s="88"/>
      <c r="AYW120" s="88"/>
      <c r="AYX120" s="88"/>
      <c r="AYY120" s="88"/>
      <c r="AYZ120" s="88"/>
      <c r="AZA120" s="88"/>
      <c r="AZB120" s="88"/>
      <c r="AZC120" s="88"/>
      <c r="AZD120" s="88"/>
      <c r="AZE120" s="88"/>
      <c r="AZF120" s="88"/>
      <c r="AZG120" s="88"/>
      <c r="AZH120" s="88"/>
      <c r="AZI120" s="88"/>
      <c r="AZJ120" s="88"/>
      <c r="AZK120" s="88"/>
      <c r="AZL120" s="88"/>
      <c r="AZM120" s="88"/>
      <c r="AZN120" s="88"/>
      <c r="AZO120" s="88"/>
      <c r="AZP120" s="88"/>
      <c r="AZQ120" s="88"/>
      <c r="AZR120" s="88"/>
      <c r="AZS120" s="88"/>
      <c r="AZT120" s="88"/>
      <c r="AZU120" s="88"/>
      <c r="AZV120" s="88"/>
      <c r="AZW120" s="88"/>
      <c r="AZX120" s="88"/>
      <c r="AZY120" s="88"/>
      <c r="AZZ120" s="88"/>
      <c r="BAA120" s="88"/>
      <c r="BAB120" s="88"/>
      <c r="BAC120" s="88"/>
      <c r="BAD120" s="88"/>
      <c r="BAE120" s="88"/>
      <c r="BAF120" s="88"/>
      <c r="BAG120" s="88"/>
      <c r="BAH120" s="88"/>
      <c r="BAI120" s="88"/>
      <c r="BAJ120" s="88"/>
      <c r="BAK120" s="88"/>
      <c r="BAL120" s="88"/>
      <c r="BAM120" s="88"/>
      <c r="BAN120" s="88"/>
      <c r="BAO120" s="88"/>
      <c r="BAP120" s="88"/>
      <c r="BAQ120" s="88"/>
      <c r="BAR120" s="88"/>
      <c r="BAS120" s="88"/>
      <c r="BAT120" s="88"/>
      <c r="BAU120" s="88"/>
      <c r="BAV120" s="88"/>
      <c r="BAW120" s="88"/>
      <c r="BAX120" s="88"/>
      <c r="BAY120" s="88"/>
      <c r="BAZ120" s="88"/>
      <c r="BBA120" s="88"/>
      <c r="BBB120" s="88"/>
      <c r="BBC120" s="88"/>
      <c r="BBD120" s="88"/>
      <c r="BBE120" s="88"/>
      <c r="BBF120" s="88"/>
      <c r="BBG120" s="88"/>
      <c r="BBH120" s="88"/>
      <c r="BBI120" s="88"/>
      <c r="BBJ120" s="88"/>
      <c r="BBK120" s="88"/>
      <c r="BBL120" s="88"/>
      <c r="BBM120" s="88"/>
      <c r="BBN120" s="88"/>
      <c r="BBO120" s="88"/>
      <c r="BBP120" s="88"/>
      <c r="BBQ120" s="88"/>
      <c r="BBR120" s="88"/>
      <c r="BBS120" s="88"/>
      <c r="BBT120" s="88"/>
      <c r="BBU120" s="88"/>
      <c r="BBV120" s="88"/>
      <c r="BBW120" s="88"/>
      <c r="BBX120" s="88"/>
      <c r="BBY120" s="88"/>
      <c r="BBZ120" s="88"/>
      <c r="BCA120" s="88"/>
      <c r="BCB120" s="88"/>
      <c r="BCC120" s="88"/>
      <c r="BCD120" s="88"/>
      <c r="BCE120" s="88"/>
      <c r="BCF120" s="88"/>
      <c r="BCG120" s="88"/>
      <c r="BCH120" s="88"/>
      <c r="BCI120" s="88"/>
      <c r="BCJ120" s="88"/>
      <c r="BCK120" s="88"/>
      <c r="BCL120" s="88"/>
      <c r="BCM120" s="88"/>
      <c r="BCN120" s="88"/>
      <c r="BCO120" s="88"/>
      <c r="BCP120" s="88"/>
      <c r="BCQ120" s="88"/>
      <c r="BCR120" s="88"/>
      <c r="BCS120" s="88"/>
      <c r="BCT120" s="88"/>
      <c r="BCU120" s="88"/>
      <c r="BCV120" s="88"/>
      <c r="BCW120" s="88"/>
      <c r="BCX120" s="88"/>
      <c r="BCY120" s="88"/>
      <c r="BCZ120" s="88"/>
      <c r="BDA120" s="88"/>
      <c r="BDB120" s="88"/>
      <c r="BDC120" s="88"/>
      <c r="BDD120" s="88"/>
      <c r="BDE120" s="88"/>
      <c r="BDF120" s="88"/>
      <c r="BDG120" s="88"/>
      <c r="BDH120" s="88"/>
      <c r="BDI120" s="88"/>
      <c r="BDJ120" s="88"/>
      <c r="BDK120" s="88"/>
      <c r="BDL120" s="88"/>
      <c r="BDM120" s="88"/>
      <c r="BDN120" s="88"/>
      <c r="BDO120" s="88"/>
      <c r="BDP120" s="88"/>
      <c r="BDQ120" s="88"/>
      <c r="BDR120" s="88"/>
      <c r="BDS120" s="88"/>
      <c r="BDT120" s="88"/>
      <c r="BDU120" s="88"/>
      <c r="BDV120" s="88"/>
      <c r="BDW120" s="88"/>
      <c r="BDX120" s="88"/>
      <c r="BDY120" s="88"/>
      <c r="BDZ120" s="88"/>
      <c r="BEA120" s="88"/>
      <c r="BEB120" s="88"/>
      <c r="BEC120" s="88"/>
      <c r="BED120" s="88"/>
      <c r="BEE120" s="88"/>
      <c r="BEF120" s="88"/>
      <c r="BEG120" s="88"/>
      <c r="BEH120" s="88"/>
      <c r="BEI120" s="88"/>
      <c r="BEJ120" s="88"/>
      <c r="BEK120" s="88"/>
      <c r="BEL120" s="88"/>
      <c r="BEM120" s="88"/>
      <c r="BEN120" s="88"/>
      <c r="BEO120" s="88"/>
      <c r="BEP120" s="88"/>
      <c r="BEQ120" s="88"/>
      <c r="BER120" s="88"/>
      <c r="BES120" s="88"/>
      <c r="BET120" s="88"/>
      <c r="BEU120" s="88"/>
      <c r="BEV120" s="88"/>
      <c r="BEW120" s="88"/>
      <c r="BEX120" s="88"/>
      <c r="BEY120" s="88"/>
      <c r="BEZ120" s="88"/>
      <c r="BFA120" s="88"/>
      <c r="BFB120" s="88"/>
      <c r="BFC120" s="88"/>
      <c r="BFD120" s="88"/>
      <c r="BFE120" s="88"/>
      <c r="BFF120" s="88"/>
      <c r="BFG120" s="88"/>
      <c r="BFH120" s="88"/>
      <c r="BFI120" s="88"/>
      <c r="BFJ120" s="88"/>
      <c r="BFK120" s="88"/>
      <c r="BFL120" s="88"/>
      <c r="BFM120" s="88"/>
      <c r="BFN120" s="88"/>
      <c r="BFO120" s="88"/>
      <c r="BFP120" s="88"/>
      <c r="BFQ120" s="88"/>
      <c r="BFR120" s="88"/>
      <c r="BFS120" s="88"/>
      <c r="BFT120" s="88"/>
      <c r="BFU120" s="88"/>
      <c r="BFV120" s="88"/>
      <c r="BFW120" s="88"/>
      <c r="BFX120" s="88"/>
      <c r="BFY120" s="88"/>
      <c r="BFZ120" s="88"/>
      <c r="BGA120" s="88"/>
      <c r="BGB120" s="88"/>
      <c r="BGC120" s="88"/>
      <c r="BGD120" s="88"/>
      <c r="BGE120" s="88"/>
      <c r="BGF120" s="88"/>
      <c r="BGG120" s="88"/>
      <c r="BGH120" s="88"/>
      <c r="BGI120" s="88"/>
      <c r="BGJ120" s="88"/>
      <c r="BGK120" s="88"/>
      <c r="BGL120" s="88"/>
      <c r="BGM120" s="88"/>
      <c r="BGN120" s="88"/>
      <c r="BGO120" s="88"/>
      <c r="BGP120" s="88"/>
      <c r="BGQ120" s="88"/>
      <c r="BGR120" s="88"/>
      <c r="BGS120" s="88"/>
      <c r="BGT120" s="88"/>
      <c r="BGU120" s="88"/>
      <c r="BGV120" s="88"/>
      <c r="BGW120" s="88"/>
      <c r="BGX120" s="88"/>
      <c r="BGY120" s="88"/>
      <c r="BGZ120" s="88"/>
      <c r="BHA120" s="88"/>
      <c r="BHB120" s="88"/>
      <c r="BHC120" s="88"/>
      <c r="BHD120" s="88"/>
      <c r="BHE120" s="88"/>
      <c r="BHF120" s="88"/>
      <c r="BHG120" s="88"/>
      <c r="BHH120" s="88"/>
      <c r="BHI120" s="88"/>
      <c r="BHJ120" s="88"/>
      <c r="BHK120" s="88"/>
      <c r="BHL120" s="88"/>
      <c r="BHM120" s="88"/>
      <c r="BHN120" s="88"/>
      <c r="BHO120" s="88"/>
      <c r="BHP120" s="88"/>
      <c r="BHQ120" s="88"/>
      <c r="BHR120" s="88"/>
      <c r="BHS120" s="88"/>
      <c r="BHT120" s="88"/>
      <c r="BHU120" s="88"/>
      <c r="BHV120" s="88"/>
      <c r="BHW120" s="88"/>
      <c r="BHX120" s="88"/>
      <c r="BHY120" s="88"/>
      <c r="BHZ120" s="88"/>
      <c r="BIA120" s="88"/>
      <c r="BIB120" s="88"/>
      <c r="BIC120" s="88"/>
      <c r="BID120" s="88"/>
      <c r="BIE120" s="88"/>
      <c r="BIF120" s="88"/>
      <c r="BIG120" s="88"/>
      <c r="BIH120" s="88"/>
      <c r="BII120" s="88"/>
      <c r="BIJ120" s="88"/>
      <c r="BIK120" s="88"/>
      <c r="BIL120" s="88"/>
      <c r="BIM120" s="88"/>
      <c r="BIN120" s="88"/>
      <c r="BIO120" s="88"/>
      <c r="BIP120" s="88"/>
      <c r="BIQ120" s="88"/>
      <c r="BIR120" s="88"/>
      <c r="BIS120" s="88"/>
      <c r="BIT120" s="88"/>
      <c r="BIU120" s="88"/>
      <c r="BIV120" s="88"/>
      <c r="BIW120" s="88"/>
      <c r="BIX120" s="88"/>
      <c r="BIY120" s="88"/>
      <c r="BIZ120" s="88"/>
      <c r="BJA120" s="88"/>
      <c r="BJB120" s="88"/>
      <c r="BJC120" s="88"/>
      <c r="BJD120" s="88"/>
      <c r="BJE120" s="88"/>
      <c r="BJF120" s="88"/>
      <c r="BJG120" s="88"/>
      <c r="BJH120" s="88"/>
      <c r="BJI120" s="88"/>
      <c r="BJJ120" s="88"/>
      <c r="BJK120" s="88"/>
      <c r="BJL120" s="88"/>
      <c r="BJM120" s="88"/>
      <c r="BJN120" s="88"/>
      <c r="BJO120" s="88"/>
      <c r="BJP120" s="88"/>
      <c r="BJQ120" s="88"/>
      <c r="BJR120" s="88"/>
      <c r="BJS120" s="88"/>
      <c r="BJT120" s="88"/>
      <c r="BJU120" s="88"/>
      <c r="BJV120" s="88"/>
      <c r="BJW120" s="88"/>
      <c r="BJX120" s="88"/>
      <c r="BJY120" s="88"/>
      <c r="BJZ120" s="88"/>
      <c r="BKA120" s="88"/>
      <c r="BKB120" s="88"/>
      <c r="BKC120" s="88"/>
      <c r="BKD120" s="88"/>
      <c r="BKE120" s="88"/>
      <c r="BKF120" s="88"/>
      <c r="BKG120" s="88"/>
      <c r="BKH120" s="88"/>
      <c r="BKI120" s="88"/>
      <c r="BKJ120" s="88"/>
      <c r="BKK120" s="88"/>
      <c r="BKL120" s="88"/>
      <c r="BKM120" s="88"/>
      <c r="BKN120" s="88"/>
      <c r="BKO120" s="88"/>
      <c r="BKP120" s="88"/>
      <c r="BKQ120" s="88"/>
      <c r="BKR120" s="88"/>
      <c r="BKS120" s="88"/>
      <c r="BKT120" s="88"/>
      <c r="BKU120" s="88"/>
      <c r="BKV120" s="88"/>
      <c r="BKW120" s="88"/>
      <c r="BKX120" s="88"/>
      <c r="BKY120" s="88"/>
      <c r="BKZ120" s="88"/>
      <c r="BLA120" s="88"/>
      <c r="BLB120" s="88"/>
      <c r="BLC120" s="88"/>
      <c r="BLD120" s="88"/>
      <c r="BLE120" s="88"/>
      <c r="BLF120" s="88"/>
      <c r="BLG120" s="88"/>
      <c r="BLH120" s="88"/>
      <c r="BLI120" s="88"/>
      <c r="BLJ120" s="88"/>
      <c r="BLK120" s="88"/>
      <c r="BLL120" s="88"/>
      <c r="BLM120" s="88"/>
      <c r="BLN120" s="88"/>
      <c r="BLO120" s="88"/>
      <c r="BLP120" s="88"/>
      <c r="BLQ120" s="88"/>
      <c r="BLR120" s="88"/>
      <c r="BLS120" s="88"/>
      <c r="BLT120" s="88"/>
      <c r="BLU120" s="88"/>
      <c r="BLV120" s="88"/>
      <c r="BLW120" s="88"/>
      <c r="BLX120" s="88"/>
      <c r="BLY120" s="88"/>
      <c r="BLZ120" s="88"/>
      <c r="BMA120" s="88"/>
      <c r="BMB120" s="88"/>
      <c r="BMC120" s="88"/>
      <c r="BMD120" s="88"/>
      <c r="BME120" s="88"/>
      <c r="BMF120" s="88"/>
      <c r="BMG120" s="88"/>
      <c r="BMH120" s="88"/>
      <c r="BMI120" s="88"/>
      <c r="BMJ120" s="88"/>
      <c r="BMK120" s="88"/>
      <c r="BML120" s="88"/>
      <c r="BMM120" s="88"/>
      <c r="BMN120" s="88"/>
      <c r="BMO120" s="88"/>
      <c r="BMP120" s="88"/>
      <c r="BMQ120" s="88"/>
      <c r="BMR120" s="88"/>
      <c r="BMS120" s="88"/>
      <c r="BMT120" s="88"/>
      <c r="BMU120" s="88"/>
      <c r="BMV120" s="88"/>
      <c r="BMW120" s="88"/>
      <c r="BMX120" s="88"/>
      <c r="BMY120" s="88"/>
      <c r="BMZ120" s="88"/>
      <c r="BNA120" s="88"/>
      <c r="BNB120" s="88"/>
      <c r="BNC120" s="88"/>
      <c r="BND120" s="88"/>
      <c r="BNE120" s="88"/>
      <c r="BNF120" s="88"/>
      <c r="BNG120" s="88"/>
      <c r="BNH120" s="88"/>
      <c r="BNI120" s="88"/>
      <c r="BNJ120" s="88"/>
      <c r="BNK120" s="88"/>
      <c r="BNL120" s="88"/>
      <c r="BNM120" s="88"/>
      <c r="BNN120" s="88"/>
      <c r="BNO120" s="88"/>
      <c r="BNP120" s="88"/>
      <c r="BNQ120" s="88"/>
      <c r="BNR120" s="88"/>
      <c r="BNS120" s="88"/>
      <c r="BNT120" s="88"/>
      <c r="BNU120" s="88"/>
      <c r="BNV120" s="88"/>
      <c r="BNW120" s="88"/>
      <c r="BNX120" s="88"/>
      <c r="BNY120" s="88"/>
      <c r="BNZ120" s="88"/>
      <c r="BOA120" s="88"/>
      <c r="BOB120" s="88"/>
      <c r="BOC120" s="88"/>
      <c r="BOD120" s="88"/>
      <c r="BOE120" s="88"/>
      <c r="BOF120" s="88"/>
      <c r="BOG120" s="88"/>
      <c r="BOH120" s="88"/>
      <c r="BOI120" s="88"/>
      <c r="BOJ120" s="88"/>
      <c r="BOK120" s="88"/>
      <c r="BOL120" s="88"/>
      <c r="BOM120" s="88"/>
      <c r="BON120" s="88"/>
      <c r="BOO120" s="88"/>
      <c r="BOP120" s="88"/>
      <c r="BOQ120" s="88"/>
      <c r="BOR120" s="88"/>
      <c r="BOS120" s="88"/>
      <c r="BOT120" s="88"/>
      <c r="BOU120" s="88"/>
      <c r="BOV120" s="88"/>
      <c r="BOW120" s="88"/>
      <c r="BOX120" s="88"/>
      <c r="BOY120" s="88"/>
      <c r="BOZ120" s="88"/>
      <c r="BPA120" s="88"/>
      <c r="BPB120" s="88"/>
      <c r="BPC120" s="88"/>
      <c r="BPD120" s="88"/>
      <c r="BPE120" s="88"/>
      <c r="BPF120" s="88"/>
      <c r="BPG120" s="88"/>
      <c r="BPH120" s="88"/>
      <c r="BPI120" s="88"/>
      <c r="BPJ120" s="88"/>
      <c r="BPK120" s="88"/>
      <c r="BPL120" s="88"/>
      <c r="BPM120" s="88"/>
      <c r="BPN120" s="88"/>
      <c r="BPO120" s="88"/>
      <c r="BPP120" s="88"/>
      <c r="BPQ120" s="88"/>
      <c r="BPR120" s="88"/>
      <c r="BPS120" s="88"/>
      <c r="BPT120" s="88"/>
      <c r="BPU120" s="88"/>
      <c r="BPV120" s="88"/>
      <c r="BPW120" s="88"/>
      <c r="BPX120" s="88"/>
      <c r="BPY120" s="88"/>
      <c r="BPZ120" s="88"/>
      <c r="BQA120" s="88"/>
      <c r="BQB120" s="88"/>
      <c r="BQC120" s="88"/>
      <c r="BQD120" s="88"/>
      <c r="BQE120" s="88"/>
      <c r="BQF120" s="88"/>
      <c r="BQG120" s="88"/>
      <c r="BQH120" s="88"/>
      <c r="BQI120" s="88"/>
      <c r="BQJ120" s="88"/>
      <c r="BQK120" s="88"/>
      <c r="BQL120" s="88"/>
      <c r="BQM120" s="88"/>
      <c r="BQN120" s="88"/>
      <c r="BQO120" s="88"/>
      <c r="BQP120" s="88"/>
      <c r="BQQ120" s="88"/>
      <c r="BQR120" s="88"/>
      <c r="BQS120" s="88"/>
      <c r="BQT120" s="88"/>
      <c r="BQU120" s="88"/>
      <c r="BQV120" s="88"/>
      <c r="BQW120" s="88"/>
      <c r="BQX120" s="88"/>
      <c r="BQY120" s="88"/>
      <c r="BQZ120" s="88"/>
      <c r="BRA120" s="88"/>
      <c r="BRB120" s="88"/>
      <c r="BRC120" s="88"/>
      <c r="BRD120" s="88"/>
      <c r="BRE120" s="88"/>
      <c r="BRF120" s="88"/>
      <c r="BRG120" s="88"/>
      <c r="BRH120" s="88"/>
      <c r="BRI120" s="88"/>
      <c r="BRJ120" s="88"/>
      <c r="BRK120" s="88"/>
      <c r="BRL120" s="88"/>
      <c r="BRM120" s="88"/>
      <c r="BRN120" s="88"/>
      <c r="BRO120" s="88"/>
      <c r="BRP120" s="88"/>
      <c r="BRQ120" s="88"/>
      <c r="BRR120" s="88"/>
      <c r="BRS120" s="88"/>
      <c r="BRT120" s="88"/>
      <c r="BRU120" s="88"/>
      <c r="BRV120" s="88"/>
      <c r="BRW120" s="88"/>
      <c r="BRX120" s="88"/>
      <c r="BRY120" s="88"/>
      <c r="BRZ120" s="88"/>
      <c r="BSA120" s="88"/>
      <c r="BSB120" s="88"/>
      <c r="BSC120" s="88"/>
      <c r="BSD120" s="88"/>
      <c r="BSE120" s="88"/>
      <c r="BSF120" s="88"/>
      <c r="BSG120" s="88"/>
      <c r="BSH120" s="88"/>
      <c r="BSI120" s="88"/>
      <c r="BSJ120" s="88"/>
      <c r="BSK120" s="88"/>
      <c r="BSL120" s="88"/>
      <c r="BSM120" s="88"/>
      <c r="BSN120" s="88"/>
      <c r="BSO120" s="88"/>
      <c r="BSP120" s="88"/>
      <c r="BSQ120" s="88"/>
      <c r="BSR120" s="88"/>
      <c r="BSS120" s="88"/>
      <c r="BST120" s="88"/>
      <c r="BSU120" s="88"/>
      <c r="BSV120" s="88"/>
      <c r="BSW120" s="88"/>
      <c r="BSX120" s="88"/>
      <c r="BSY120" s="88"/>
      <c r="BSZ120" s="88"/>
      <c r="BTA120" s="88"/>
      <c r="BTB120" s="88"/>
      <c r="BTC120" s="88"/>
      <c r="BTD120" s="88"/>
      <c r="BTE120" s="88"/>
      <c r="BTF120" s="88"/>
      <c r="BTG120" s="88"/>
      <c r="BTH120" s="88"/>
      <c r="BTI120" s="88"/>
      <c r="BTJ120" s="88"/>
      <c r="BTK120" s="88"/>
      <c r="BTL120" s="88"/>
      <c r="BTM120" s="88"/>
      <c r="BTN120" s="88"/>
      <c r="BTO120" s="88"/>
      <c r="BTP120" s="88"/>
      <c r="BTQ120" s="88"/>
      <c r="BTR120" s="88"/>
      <c r="BTS120" s="88"/>
      <c r="BTT120" s="88"/>
      <c r="BTU120" s="88"/>
      <c r="BTV120" s="88"/>
      <c r="BTW120" s="88"/>
      <c r="BTX120" s="88"/>
      <c r="BTY120" s="88"/>
      <c r="BTZ120" s="88"/>
      <c r="BUA120" s="88"/>
      <c r="BUB120" s="88"/>
      <c r="BUC120" s="88"/>
      <c r="BUD120" s="88"/>
      <c r="BUE120" s="88"/>
      <c r="BUF120" s="88"/>
      <c r="BUG120" s="88"/>
      <c r="BUH120" s="88"/>
      <c r="BUI120" s="88"/>
      <c r="BUJ120" s="88"/>
      <c r="BUK120" s="88"/>
      <c r="BUL120" s="88"/>
      <c r="BUM120" s="88"/>
      <c r="BUN120" s="88"/>
      <c r="BUO120" s="88"/>
      <c r="BUP120" s="88"/>
      <c r="BUQ120" s="88"/>
      <c r="BUR120" s="88"/>
      <c r="BUS120" s="88"/>
      <c r="BUT120" s="88"/>
      <c r="BUU120" s="88"/>
      <c r="BUV120" s="88"/>
      <c r="BUW120" s="88"/>
      <c r="BUX120" s="88"/>
      <c r="BUY120" s="88"/>
      <c r="BUZ120" s="88"/>
      <c r="BVA120" s="88"/>
      <c r="BVB120" s="88"/>
      <c r="BVC120" s="88"/>
      <c r="BVD120" s="88"/>
      <c r="BVE120" s="88"/>
      <c r="BVF120" s="88"/>
      <c r="BVG120" s="88"/>
      <c r="BVH120" s="88"/>
      <c r="BVI120" s="88"/>
      <c r="BVJ120" s="88"/>
      <c r="BVK120" s="88"/>
      <c r="BVL120" s="88"/>
      <c r="BVM120" s="88"/>
      <c r="BVN120" s="88"/>
      <c r="BVO120" s="88"/>
      <c r="BVP120" s="88"/>
      <c r="BVQ120" s="88"/>
      <c r="BVR120" s="88"/>
      <c r="BVS120" s="88"/>
      <c r="BVT120" s="88"/>
      <c r="BVU120" s="88"/>
      <c r="BVV120" s="88"/>
      <c r="BVW120" s="88"/>
      <c r="BVX120" s="88"/>
      <c r="BVY120" s="88"/>
      <c r="BVZ120" s="88"/>
      <c r="BWA120" s="88"/>
      <c r="BWB120" s="88"/>
      <c r="BWC120" s="88"/>
      <c r="BWD120" s="88"/>
      <c r="BWE120" s="88"/>
      <c r="BWF120" s="88"/>
      <c r="BWG120" s="88"/>
      <c r="BWH120" s="88"/>
      <c r="BWI120" s="88"/>
      <c r="BWJ120" s="88"/>
      <c r="BWK120" s="88"/>
      <c r="BWL120" s="88"/>
      <c r="BWM120" s="88"/>
      <c r="BWN120" s="88"/>
      <c r="BWO120" s="88"/>
      <c r="BWP120" s="88"/>
      <c r="BWQ120" s="88"/>
      <c r="BWR120" s="88"/>
      <c r="BWS120" s="88"/>
      <c r="BWT120" s="88"/>
      <c r="BWU120" s="88"/>
      <c r="BWV120" s="88"/>
      <c r="BWW120" s="88"/>
      <c r="BWX120" s="88"/>
      <c r="BWY120" s="88"/>
      <c r="BWZ120" s="88"/>
      <c r="BXA120" s="88"/>
      <c r="BXB120" s="88"/>
      <c r="BXC120" s="88"/>
      <c r="BXD120" s="88"/>
      <c r="BXE120" s="88"/>
      <c r="BXF120" s="88"/>
      <c r="BXG120" s="88"/>
      <c r="BXH120" s="88"/>
      <c r="BXI120" s="88"/>
      <c r="BXJ120" s="88"/>
      <c r="BXK120" s="88"/>
      <c r="BXL120" s="88"/>
      <c r="BXM120" s="88"/>
      <c r="BXN120" s="88"/>
      <c r="BXO120" s="88"/>
      <c r="BXP120" s="88"/>
      <c r="BXQ120" s="88"/>
      <c r="BXR120" s="88"/>
      <c r="BXS120" s="88"/>
      <c r="BXT120" s="88"/>
      <c r="BXU120" s="88"/>
      <c r="BXV120" s="88"/>
      <c r="BXW120" s="88"/>
      <c r="BXX120" s="88"/>
      <c r="BXY120" s="88"/>
      <c r="BXZ120" s="88"/>
      <c r="BYA120" s="88"/>
      <c r="BYB120" s="88"/>
      <c r="BYC120" s="88"/>
      <c r="BYD120" s="88"/>
      <c r="BYE120" s="88"/>
      <c r="BYF120" s="88"/>
      <c r="BYG120" s="88"/>
      <c r="BYH120" s="88"/>
      <c r="BYI120" s="88"/>
      <c r="BYJ120" s="88"/>
      <c r="BYK120" s="88"/>
      <c r="BYL120" s="88"/>
      <c r="BYM120" s="88"/>
      <c r="BYN120" s="88"/>
      <c r="BYO120" s="88"/>
      <c r="BYP120" s="88"/>
      <c r="BYQ120" s="88"/>
      <c r="BYR120" s="88"/>
      <c r="BYS120" s="88"/>
      <c r="BYT120" s="88"/>
      <c r="BYU120" s="88"/>
      <c r="BYV120" s="88"/>
      <c r="BYW120" s="88"/>
      <c r="BYX120" s="88"/>
      <c r="BYY120" s="88"/>
      <c r="BYZ120" s="88"/>
      <c r="BZA120" s="88"/>
      <c r="BZB120" s="88"/>
      <c r="BZC120" s="88"/>
      <c r="BZD120" s="88"/>
      <c r="BZE120" s="88"/>
      <c r="BZF120" s="88"/>
      <c r="BZG120" s="88"/>
      <c r="BZH120" s="88"/>
      <c r="BZI120" s="88"/>
      <c r="BZJ120" s="88"/>
      <c r="BZK120" s="88"/>
      <c r="BZL120" s="88"/>
      <c r="BZM120" s="88"/>
      <c r="BZN120" s="88"/>
      <c r="BZO120" s="88"/>
      <c r="BZP120" s="88"/>
      <c r="BZQ120" s="88"/>
      <c r="BZR120" s="88"/>
      <c r="BZS120" s="88"/>
      <c r="BZT120" s="88"/>
      <c r="BZU120" s="88"/>
      <c r="BZV120" s="88"/>
      <c r="BZW120" s="88"/>
      <c r="BZX120" s="88"/>
      <c r="BZY120" s="88"/>
      <c r="BZZ120" s="88"/>
      <c r="CAA120" s="88"/>
      <c r="CAB120" s="88"/>
      <c r="CAC120" s="88"/>
      <c r="CAD120" s="88"/>
      <c r="CAE120" s="88"/>
      <c r="CAF120" s="88"/>
      <c r="CAG120" s="88"/>
      <c r="CAH120" s="88"/>
      <c r="CAI120" s="88"/>
      <c r="CAJ120" s="88"/>
      <c r="CAK120" s="88"/>
      <c r="CAL120" s="88"/>
      <c r="CAM120" s="88"/>
      <c r="CAN120" s="88"/>
      <c r="CAO120" s="88"/>
      <c r="CAP120" s="88"/>
      <c r="CAQ120" s="88"/>
      <c r="CAR120" s="88"/>
      <c r="CAS120" s="88"/>
      <c r="CAT120" s="88"/>
      <c r="CAU120" s="88"/>
      <c r="CAV120" s="88"/>
      <c r="CAW120" s="88"/>
      <c r="CAX120" s="88"/>
      <c r="CAY120" s="88"/>
      <c r="CAZ120" s="88"/>
      <c r="CBA120" s="88"/>
      <c r="CBB120" s="88"/>
      <c r="CBC120" s="88"/>
      <c r="CBD120" s="88"/>
      <c r="CBE120" s="88"/>
      <c r="CBF120" s="88"/>
      <c r="CBG120" s="88"/>
      <c r="CBH120" s="88"/>
      <c r="CBI120" s="88"/>
      <c r="CBJ120" s="88"/>
      <c r="CBK120" s="88"/>
      <c r="CBL120" s="88"/>
      <c r="CBM120" s="88"/>
      <c r="CBN120" s="88"/>
      <c r="CBO120" s="88"/>
      <c r="CBP120" s="88"/>
      <c r="CBQ120" s="88"/>
      <c r="CBR120" s="88"/>
      <c r="CBS120" s="88"/>
      <c r="CBT120" s="88"/>
      <c r="CBU120" s="88"/>
      <c r="CBV120" s="88"/>
      <c r="CBW120" s="88"/>
      <c r="CBX120" s="88"/>
      <c r="CBY120" s="88"/>
      <c r="CBZ120" s="88"/>
      <c r="CCA120" s="88"/>
      <c r="CCB120" s="88"/>
      <c r="CCC120" s="88"/>
      <c r="CCD120" s="88"/>
      <c r="CCE120" s="88"/>
      <c r="CCF120" s="88"/>
      <c r="CCG120" s="88"/>
      <c r="CCH120" s="88"/>
      <c r="CCI120" s="88"/>
      <c r="CCJ120" s="88"/>
      <c r="CCK120" s="88"/>
      <c r="CCL120" s="88"/>
      <c r="CCM120" s="88"/>
      <c r="CCN120" s="88"/>
      <c r="CCO120" s="88"/>
      <c r="CCP120" s="88"/>
      <c r="CCQ120" s="88"/>
      <c r="CCR120" s="88"/>
      <c r="CCS120" s="88"/>
      <c r="CCT120" s="88"/>
      <c r="CCU120" s="88"/>
      <c r="CCV120" s="88"/>
      <c r="CCW120" s="88"/>
      <c r="CCX120" s="88"/>
      <c r="CCY120" s="88"/>
      <c r="CCZ120" s="88"/>
      <c r="CDA120" s="88"/>
      <c r="CDB120" s="88"/>
      <c r="CDC120" s="88"/>
      <c r="CDD120" s="88"/>
      <c r="CDE120" s="88"/>
      <c r="CDF120" s="88"/>
      <c r="CDG120" s="88"/>
      <c r="CDH120" s="88"/>
      <c r="CDI120" s="88"/>
      <c r="CDJ120" s="88"/>
      <c r="CDK120" s="88"/>
      <c r="CDL120" s="88"/>
      <c r="CDM120" s="88"/>
      <c r="CDN120" s="88"/>
      <c r="CDO120" s="88"/>
      <c r="CDP120" s="88"/>
      <c r="CDQ120" s="88"/>
      <c r="CDR120" s="88"/>
      <c r="CDS120" s="88"/>
      <c r="CDT120" s="88"/>
      <c r="CDU120" s="88"/>
      <c r="CDV120" s="88"/>
      <c r="CDW120" s="88"/>
      <c r="CDX120" s="88"/>
      <c r="CDY120" s="88"/>
      <c r="CDZ120" s="88"/>
      <c r="CEA120" s="88"/>
      <c r="CEB120" s="88"/>
      <c r="CEC120" s="88"/>
      <c r="CED120" s="88"/>
      <c r="CEE120" s="88"/>
      <c r="CEF120" s="88"/>
      <c r="CEG120" s="88"/>
      <c r="CEH120" s="88"/>
      <c r="CEI120" s="88"/>
      <c r="CEJ120" s="88"/>
      <c r="CEK120" s="88"/>
    </row>
    <row r="121" spans="1:2169" s="63" customFormat="1">
      <c r="A121" s="73" t="s">
        <v>808</v>
      </c>
      <c r="B121" s="71" t="s">
        <v>715</v>
      </c>
      <c r="C121" s="68" t="str">
        <f>IF('page 2'!$O$4="","",IF('page 2'!$O$4=Gestion!A121,1,0))</f>
        <v/>
      </c>
      <c r="D121" s="68" t="str">
        <f>IF('page 2'!$O$5="","",IF('page 2'!$O$5=Gestion!A121,1,0))</f>
        <v/>
      </c>
      <c r="E121" s="68" t="str">
        <f>IF('page 2'!$O$6="","",IF('page 2'!$O$6=Gestion!A121,1,0))</f>
        <v/>
      </c>
      <c r="F121" s="68" t="str">
        <f>IF('page 2'!$O$7="","",IF('page 2'!$O$7=Gestion!A121,1,0))</f>
        <v/>
      </c>
      <c r="G121" s="68" t="str">
        <f>IF('page 2'!$O$8="","",IF('page 2'!$O$8=Gestion!A121,1,0))</f>
        <v/>
      </c>
      <c r="H121" s="68" t="str">
        <f>IF('page 2'!$O$9="","",IF('page 2'!$O$9=Gestion!A121,1,0))</f>
        <v/>
      </c>
      <c r="I121" s="68" t="str">
        <f>IF('page 2'!$O$10="","",IF('page 2'!$O$10=Gestion!A121,1,0))</f>
        <v/>
      </c>
      <c r="J121" s="68" t="str">
        <f>IF('page 2'!$O$11="","",IF('page 2'!$O$11=Gestion!A121,1,0))</f>
        <v/>
      </c>
      <c r="K121" s="68" t="str">
        <f>IF('page 2'!$O$12="","",IF('page 2'!$O$12=Gestion!A121,1,0))</f>
        <v/>
      </c>
      <c r="L121" s="68" t="str">
        <f>IF('page 2'!$O$13="","",IF('page 2'!$O$13=Gestion!A121,1,0))</f>
        <v/>
      </c>
      <c r="M121" s="68" t="str">
        <f>IF('page 2'!$O$14="","",IF('page 2'!$O$14=Gestion!A121,1,0))</f>
        <v/>
      </c>
      <c r="N121" s="68" t="str">
        <f>IF('page 2'!$O$15="","",IF('page 2'!$O$15=Gestion!A121,1,0))</f>
        <v/>
      </c>
      <c r="O121" s="68" t="str">
        <f>IF('page 2'!$O$16="","",IF('page 2'!$O$16=Gestion!A121,1,0))</f>
        <v/>
      </c>
      <c r="P121" s="68" t="str">
        <f>IF('page 2'!$O$17="","",IF('page 2'!$O$17=Gestion!A121,1,0))</f>
        <v/>
      </c>
      <c r="Q121" s="68" t="str">
        <f>IF('page 2'!$O$18="","",IF('page 2'!$O$18=Gestion!A121,1,0))</f>
        <v/>
      </c>
      <c r="R121" s="68" t="str">
        <f>IF('page 2'!$O$19="","",IF('page 2'!$O$19=Gestion!A121,1,0))</f>
        <v/>
      </c>
      <c r="S121" s="68" t="str">
        <f>IF('page 2'!$O$20="","",IF('page 2'!$O$20=Gestion!A121,1,0))</f>
        <v/>
      </c>
      <c r="T121" s="68" t="str">
        <f>IF('page 2'!$O$25="","",IF('page 2'!$O$25=Gestion!A121,1,0))</f>
        <v/>
      </c>
      <c r="U121" s="68" t="str">
        <f>IF('page 2'!$O$26="","",IF('page 2'!$O$26=Gestion!A121,1,0))</f>
        <v/>
      </c>
      <c r="V121" s="68" t="str">
        <f>IF('page 2'!$O$27="","",IF('page 2'!$O$27=Gestion!A121,1,0))</f>
        <v/>
      </c>
      <c r="W121" s="722">
        <f t="shared" si="14"/>
        <v>0</v>
      </c>
      <c r="X121" s="714"/>
      <c r="Y121" s="68"/>
      <c r="Z121" s="68"/>
      <c r="AA121" s="68"/>
      <c r="AB121" s="68"/>
      <c r="AC121" s="68"/>
      <c r="AD121" s="68"/>
      <c r="AP121" s="130"/>
      <c r="AQ121" s="130"/>
      <c r="AR121" s="130"/>
      <c r="AS121" s="576"/>
      <c r="AT121" s="576"/>
      <c r="AU121" s="576"/>
      <c r="AV121" s="576"/>
      <c r="AW121" s="602"/>
      <c r="AX121" s="602"/>
      <c r="AY121" s="576"/>
      <c r="AZ121" s="576"/>
      <c r="BA121" s="576"/>
      <c r="BB121" s="576"/>
      <c r="BC121" s="576"/>
      <c r="BD121" s="602"/>
      <c r="BE121" s="602"/>
      <c r="BF121" s="602"/>
      <c r="BG121" s="602"/>
      <c r="BH121" s="602"/>
      <c r="BI121" s="602"/>
      <c r="BJ121" s="602"/>
      <c r="BK121" s="602"/>
      <c r="BL121" s="602"/>
      <c r="BM121" s="602"/>
      <c r="BN121" s="602"/>
      <c r="BO121" s="602"/>
      <c r="BP121" s="602"/>
      <c r="BQ121" s="602"/>
      <c r="BR121" s="602"/>
      <c r="BS121" s="576"/>
      <c r="BT121" s="576"/>
      <c r="BU121" s="576"/>
      <c r="BV121" s="576"/>
      <c r="BW121" s="602"/>
      <c r="BX121" s="602"/>
      <c r="BY121" s="602"/>
      <c r="BZ121" s="576"/>
      <c r="CA121" s="602"/>
      <c r="CB121" s="602"/>
      <c r="CC121" s="576"/>
      <c r="CD121" s="576"/>
      <c r="CE121" s="602"/>
      <c r="CF121" s="576"/>
      <c r="CG121" s="576"/>
      <c r="CH121" s="576"/>
      <c r="CI121" s="576"/>
      <c r="CJ121" s="576"/>
      <c r="CK121" s="602"/>
      <c r="CL121" s="602"/>
      <c r="CM121" s="576"/>
      <c r="CN121" s="602"/>
      <c r="CO121" s="602"/>
      <c r="CP121" s="602"/>
      <c r="CQ121" s="576"/>
      <c r="CR121" s="576"/>
      <c r="CS121" s="602"/>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c r="HF121" s="88"/>
      <c r="HG121" s="88"/>
      <c r="HH121" s="88"/>
      <c r="HI121" s="88"/>
      <c r="HJ121" s="88"/>
      <c r="HK121" s="88"/>
      <c r="HL121" s="88"/>
      <c r="HM121" s="88"/>
      <c r="HN121" s="88"/>
      <c r="HO121" s="88"/>
      <c r="HP121" s="88"/>
      <c r="HQ121" s="88"/>
      <c r="HR121" s="88"/>
      <c r="HS121" s="88"/>
      <c r="HT121" s="88"/>
      <c r="HU121" s="88"/>
      <c r="HV121" s="88"/>
      <c r="HW121" s="88"/>
      <c r="HX121" s="88"/>
      <c r="HY121" s="88"/>
      <c r="HZ121" s="88"/>
      <c r="IA121" s="88"/>
      <c r="IB121" s="88"/>
      <c r="IC121" s="88"/>
      <c r="ID121" s="88"/>
      <c r="IE121" s="88"/>
      <c r="IF121" s="88"/>
      <c r="IG121" s="88"/>
      <c r="IH121" s="88"/>
      <c r="II121" s="88"/>
      <c r="IJ121" s="88"/>
      <c r="IK121" s="88"/>
      <c r="IL121" s="88"/>
      <c r="IM121" s="88"/>
      <c r="IN121" s="88"/>
      <c r="IO121" s="88"/>
      <c r="IP121" s="88"/>
      <c r="IQ121" s="88"/>
      <c r="IR121" s="88"/>
      <c r="IS121" s="88"/>
      <c r="IT121" s="88"/>
      <c r="IU121" s="88"/>
      <c r="IV121" s="88"/>
      <c r="IW121" s="88"/>
      <c r="IX121" s="88"/>
      <c r="IY121" s="88"/>
      <c r="IZ121" s="88"/>
      <c r="JA121" s="88"/>
      <c r="JB121" s="88"/>
      <c r="JC121" s="88"/>
      <c r="JD121" s="88"/>
      <c r="JE121" s="88"/>
      <c r="JF121" s="88"/>
      <c r="JG121" s="88"/>
      <c r="JH121" s="88"/>
      <c r="JI121" s="88"/>
      <c r="JJ121" s="88"/>
      <c r="JK121" s="88"/>
      <c r="JL121" s="88"/>
      <c r="JM121" s="88"/>
      <c r="JN121" s="88"/>
      <c r="JO121" s="88"/>
      <c r="JP121" s="88"/>
      <c r="JQ121" s="88"/>
      <c r="JR121" s="88"/>
      <c r="JS121" s="88"/>
      <c r="JT121" s="88"/>
      <c r="JU121" s="88"/>
      <c r="JV121" s="88"/>
      <c r="JW121" s="88"/>
      <c r="JX121" s="88"/>
      <c r="JY121" s="88"/>
      <c r="JZ121" s="88"/>
      <c r="KA121" s="88"/>
      <c r="KB121" s="88"/>
      <c r="KC121" s="88"/>
      <c r="KD121" s="88"/>
      <c r="KE121" s="88"/>
      <c r="KF121" s="88"/>
      <c r="KG121" s="88"/>
      <c r="KH121" s="88"/>
      <c r="KI121" s="88"/>
      <c r="KJ121" s="88"/>
      <c r="KK121" s="88"/>
      <c r="KL121" s="88"/>
      <c r="KM121" s="88"/>
      <c r="KN121" s="88"/>
      <c r="KO121" s="88"/>
      <c r="KP121" s="88"/>
      <c r="KQ121" s="88"/>
      <c r="KR121" s="88"/>
      <c r="KS121" s="88"/>
      <c r="KT121" s="88"/>
      <c r="KU121" s="88"/>
      <c r="KV121" s="88"/>
      <c r="KW121" s="88"/>
      <c r="KX121" s="88"/>
      <c r="KY121" s="88"/>
      <c r="KZ121" s="88"/>
      <c r="LA121" s="88"/>
      <c r="LB121" s="88"/>
      <c r="LC121" s="88"/>
      <c r="LD121" s="88"/>
      <c r="LE121" s="88"/>
      <c r="LF121" s="88"/>
      <c r="LG121" s="88"/>
      <c r="LH121" s="88"/>
      <c r="LI121" s="88"/>
      <c r="LJ121" s="88"/>
      <c r="LK121" s="88"/>
      <c r="LL121" s="88"/>
      <c r="LM121" s="88"/>
      <c r="LN121" s="88"/>
      <c r="LO121" s="88"/>
      <c r="LP121" s="88"/>
      <c r="LQ121" s="88"/>
      <c r="LR121" s="88"/>
      <c r="LS121" s="88"/>
      <c r="LT121" s="88"/>
      <c r="LU121" s="88"/>
      <c r="LV121" s="88"/>
      <c r="LW121" s="88"/>
      <c r="LX121" s="88"/>
      <c r="LY121" s="88"/>
      <c r="LZ121" s="88"/>
      <c r="MA121" s="88"/>
      <c r="MB121" s="88"/>
      <c r="MC121" s="88"/>
      <c r="MD121" s="88"/>
      <c r="ME121" s="88"/>
      <c r="MF121" s="88"/>
      <c r="MG121" s="88"/>
      <c r="MH121" s="88"/>
      <c r="MI121" s="88"/>
      <c r="MJ121" s="88"/>
      <c r="MK121" s="88"/>
      <c r="ML121" s="88"/>
      <c r="MM121" s="88"/>
      <c r="MN121" s="88"/>
      <c r="MO121" s="88"/>
      <c r="MP121" s="88"/>
      <c r="MQ121" s="88"/>
      <c r="MR121" s="88"/>
      <c r="MS121" s="88"/>
      <c r="MT121" s="88"/>
      <c r="MU121" s="88"/>
      <c r="MV121" s="88"/>
      <c r="MW121" s="88"/>
      <c r="MX121" s="88"/>
      <c r="MY121" s="88"/>
      <c r="MZ121" s="88"/>
      <c r="NA121" s="88"/>
      <c r="NB121" s="88"/>
      <c r="NC121" s="88"/>
      <c r="ND121" s="88"/>
      <c r="NE121" s="88"/>
      <c r="NF121" s="88"/>
      <c r="NG121" s="88"/>
      <c r="NH121" s="88"/>
      <c r="NI121" s="88"/>
      <c r="NJ121" s="88"/>
      <c r="NK121" s="88"/>
      <c r="NL121" s="88"/>
      <c r="NM121" s="88"/>
      <c r="NN121" s="88"/>
      <c r="NO121" s="88"/>
      <c r="NP121" s="88"/>
      <c r="NQ121" s="88"/>
      <c r="NR121" s="88"/>
      <c r="NS121" s="88"/>
      <c r="NT121" s="88"/>
      <c r="NU121" s="88"/>
      <c r="NV121" s="88"/>
      <c r="NW121" s="88"/>
      <c r="NX121" s="88"/>
      <c r="NY121" s="88"/>
      <c r="NZ121" s="88"/>
      <c r="OA121" s="88"/>
      <c r="OB121" s="88"/>
      <c r="OC121" s="88"/>
      <c r="OD121" s="88"/>
      <c r="OE121" s="88"/>
      <c r="OF121" s="88"/>
      <c r="OG121" s="88"/>
      <c r="OH121" s="88"/>
      <c r="OI121" s="88"/>
      <c r="OJ121" s="88"/>
      <c r="OK121" s="88"/>
      <c r="OL121" s="88"/>
      <c r="OM121" s="88"/>
      <c r="ON121" s="88"/>
      <c r="OO121" s="88"/>
      <c r="OP121" s="88"/>
      <c r="OQ121" s="88"/>
      <c r="OR121" s="88"/>
      <c r="OS121" s="88"/>
      <c r="OT121" s="88"/>
      <c r="OU121" s="88"/>
      <c r="OV121" s="88"/>
      <c r="OW121" s="88"/>
      <c r="OX121" s="88"/>
      <c r="OY121" s="88"/>
      <c r="OZ121" s="88"/>
      <c r="PA121" s="88"/>
      <c r="PB121" s="88"/>
      <c r="PC121" s="88"/>
      <c r="PD121" s="88"/>
      <c r="PE121" s="88"/>
      <c r="PF121" s="88"/>
      <c r="PG121" s="88"/>
      <c r="PH121" s="88"/>
      <c r="PI121" s="88"/>
      <c r="PJ121" s="88"/>
      <c r="PK121" s="88"/>
      <c r="PL121" s="88"/>
      <c r="PM121" s="88"/>
      <c r="PN121" s="88"/>
      <c r="PO121" s="88"/>
      <c r="PP121" s="88"/>
      <c r="PQ121" s="88"/>
      <c r="PR121" s="88"/>
      <c r="PS121" s="88"/>
      <c r="PT121" s="88"/>
      <c r="PU121" s="88"/>
      <c r="PV121" s="88"/>
      <c r="PW121" s="88"/>
      <c r="PX121" s="88"/>
      <c r="PY121" s="88"/>
      <c r="PZ121" s="88"/>
      <c r="QA121" s="88"/>
      <c r="QB121" s="88"/>
      <c r="QC121" s="88"/>
      <c r="QD121" s="88"/>
      <c r="QE121" s="88"/>
      <c r="QF121" s="88"/>
      <c r="QG121" s="88"/>
      <c r="QH121" s="88"/>
      <c r="QI121" s="88"/>
      <c r="QJ121" s="88"/>
      <c r="QK121" s="88"/>
      <c r="QL121" s="88"/>
      <c r="QM121" s="88"/>
      <c r="QN121" s="88"/>
      <c r="QO121" s="88"/>
      <c r="QP121" s="88"/>
      <c r="QQ121" s="88"/>
      <c r="QR121" s="88"/>
      <c r="QS121" s="88"/>
      <c r="QT121" s="88"/>
      <c r="QU121" s="88"/>
      <c r="QV121" s="88"/>
      <c r="QW121" s="88"/>
      <c r="QX121" s="88"/>
      <c r="QY121" s="88"/>
      <c r="QZ121" s="88"/>
      <c r="RA121" s="88"/>
      <c r="RB121" s="88"/>
      <c r="RC121" s="88"/>
      <c r="RD121" s="88"/>
      <c r="RE121" s="88"/>
      <c r="RF121" s="88"/>
      <c r="RG121" s="88"/>
      <c r="RH121" s="88"/>
      <c r="RI121" s="88"/>
      <c r="RJ121" s="88"/>
      <c r="RK121" s="88"/>
      <c r="RL121" s="88"/>
      <c r="RM121" s="88"/>
      <c r="RN121" s="88"/>
      <c r="RO121" s="88"/>
      <c r="RP121" s="88"/>
      <c r="RQ121" s="88"/>
      <c r="RR121" s="88"/>
      <c r="RS121" s="88"/>
      <c r="RT121" s="88"/>
      <c r="RU121" s="88"/>
      <c r="RV121" s="88"/>
      <c r="RW121" s="88"/>
      <c r="RX121" s="88"/>
      <c r="RY121" s="88"/>
      <c r="RZ121" s="88"/>
      <c r="SA121" s="88"/>
      <c r="SB121" s="88"/>
      <c r="SC121" s="88"/>
      <c r="SD121" s="88"/>
      <c r="SE121" s="88"/>
      <c r="SF121" s="88"/>
      <c r="SG121" s="88"/>
      <c r="SH121" s="88"/>
      <c r="SI121" s="88"/>
      <c r="SJ121" s="88"/>
      <c r="SK121" s="88"/>
      <c r="SL121" s="88"/>
      <c r="SM121" s="88"/>
      <c r="SN121" s="88"/>
      <c r="SO121" s="88"/>
      <c r="SP121" s="88"/>
      <c r="SQ121" s="88"/>
      <c r="SR121" s="88"/>
      <c r="SS121" s="88"/>
      <c r="ST121" s="88"/>
      <c r="SU121" s="88"/>
      <c r="SV121" s="88"/>
      <c r="SW121" s="88"/>
      <c r="SX121" s="88"/>
      <c r="SY121" s="88"/>
      <c r="SZ121" s="88"/>
      <c r="TA121" s="88"/>
      <c r="TB121" s="88"/>
      <c r="TC121" s="88"/>
      <c r="TD121" s="88"/>
      <c r="TE121" s="88"/>
      <c r="TF121" s="88"/>
      <c r="TG121" s="88"/>
      <c r="TH121" s="88"/>
      <c r="TI121" s="88"/>
      <c r="TJ121" s="88"/>
      <c r="TK121" s="88"/>
      <c r="TL121" s="88"/>
      <c r="TM121" s="88"/>
      <c r="TN121" s="88"/>
      <c r="TO121" s="88"/>
      <c r="TP121" s="88"/>
      <c r="TQ121" s="88"/>
      <c r="TR121" s="88"/>
      <c r="TS121" s="88"/>
      <c r="TT121" s="88"/>
      <c r="TU121" s="88"/>
      <c r="TV121" s="88"/>
      <c r="TW121" s="88"/>
      <c r="TX121" s="88"/>
      <c r="TY121" s="88"/>
      <c r="TZ121" s="88"/>
      <c r="UA121" s="88"/>
      <c r="UB121" s="88"/>
      <c r="UC121" s="88"/>
      <c r="UD121" s="88"/>
      <c r="UE121" s="88"/>
      <c r="UF121" s="88"/>
      <c r="UG121" s="88"/>
      <c r="UH121" s="88"/>
      <c r="UI121" s="88"/>
      <c r="UJ121" s="88"/>
      <c r="UK121" s="88"/>
      <c r="UL121" s="88"/>
      <c r="UM121" s="88"/>
      <c r="UN121" s="88"/>
      <c r="UO121" s="88"/>
      <c r="UP121" s="88"/>
      <c r="UQ121" s="88"/>
      <c r="UR121" s="88"/>
      <c r="US121" s="88"/>
      <c r="UT121" s="88"/>
      <c r="UU121" s="88"/>
      <c r="UV121" s="88"/>
      <c r="UW121" s="88"/>
      <c r="UX121" s="88"/>
      <c r="UY121" s="88"/>
      <c r="UZ121" s="88"/>
      <c r="VA121" s="88"/>
      <c r="VB121" s="88"/>
      <c r="VC121" s="88"/>
      <c r="VD121" s="88"/>
      <c r="VE121" s="88"/>
      <c r="VF121" s="88"/>
      <c r="VG121" s="88"/>
      <c r="VH121" s="88"/>
      <c r="VI121" s="88"/>
      <c r="VJ121" s="88"/>
      <c r="VK121" s="88"/>
      <c r="VL121" s="88"/>
      <c r="VM121" s="88"/>
      <c r="VN121" s="88"/>
      <c r="VO121" s="88"/>
      <c r="VP121" s="88"/>
      <c r="VQ121" s="88"/>
      <c r="VR121" s="88"/>
      <c r="VS121" s="88"/>
      <c r="VT121" s="88"/>
      <c r="VU121" s="88"/>
      <c r="VV121" s="88"/>
      <c r="VW121" s="88"/>
      <c r="VX121" s="88"/>
      <c r="VY121" s="88"/>
      <c r="VZ121" s="88"/>
      <c r="WA121" s="88"/>
      <c r="WB121" s="88"/>
      <c r="WC121" s="88"/>
      <c r="WD121" s="88"/>
      <c r="WE121" s="88"/>
      <c r="WF121" s="88"/>
      <c r="WG121" s="88"/>
      <c r="WH121" s="88"/>
      <c r="WI121" s="88"/>
      <c r="WJ121" s="88"/>
      <c r="WK121" s="88"/>
      <c r="WL121" s="88"/>
      <c r="WM121" s="88"/>
      <c r="WN121" s="88"/>
      <c r="WO121" s="88"/>
      <c r="WP121" s="88"/>
      <c r="WQ121" s="88"/>
      <c r="WR121" s="88"/>
      <c r="WS121" s="88"/>
      <c r="WT121" s="88"/>
      <c r="WU121" s="88"/>
      <c r="WV121" s="88"/>
      <c r="WW121" s="88"/>
      <c r="WX121" s="88"/>
      <c r="WY121" s="88"/>
      <c r="WZ121" s="88"/>
      <c r="XA121" s="88"/>
      <c r="XB121" s="88"/>
      <c r="XC121" s="88"/>
      <c r="XD121" s="88"/>
      <c r="XE121" s="88"/>
      <c r="XF121" s="88"/>
      <c r="XG121" s="88"/>
      <c r="XH121" s="88"/>
      <c r="XI121" s="88"/>
      <c r="XJ121" s="88"/>
      <c r="XK121" s="88"/>
      <c r="XL121" s="88"/>
      <c r="XM121" s="88"/>
      <c r="XN121" s="88"/>
      <c r="XO121" s="88"/>
      <c r="XP121" s="88"/>
      <c r="XQ121" s="88"/>
      <c r="XR121" s="88"/>
      <c r="XS121" s="88"/>
      <c r="XT121" s="88"/>
      <c r="XU121" s="88"/>
      <c r="XV121" s="88"/>
      <c r="XW121" s="88"/>
      <c r="XX121" s="88"/>
      <c r="XY121" s="88"/>
      <c r="XZ121" s="88"/>
      <c r="YA121" s="88"/>
      <c r="YB121" s="88"/>
      <c r="YC121" s="88"/>
      <c r="YD121" s="88"/>
      <c r="YE121" s="88"/>
      <c r="YF121" s="88"/>
      <c r="YG121" s="88"/>
      <c r="YH121" s="88"/>
      <c r="YI121" s="88"/>
      <c r="YJ121" s="88"/>
      <c r="YK121" s="88"/>
      <c r="YL121" s="88"/>
      <c r="YM121" s="88"/>
      <c r="YN121" s="88"/>
      <c r="YO121" s="88"/>
      <c r="YP121" s="88"/>
      <c r="YQ121" s="88"/>
      <c r="YR121" s="88"/>
      <c r="YS121" s="88"/>
      <c r="YT121" s="88"/>
      <c r="YU121" s="88"/>
      <c r="YV121" s="88"/>
      <c r="YW121" s="88"/>
      <c r="YX121" s="88"/>
      <c r="YY121" s="88"/>
      <c r="YZ121" s="88"/>
      <c r="ZA121" s="88"/>
      <c r="ZB121" s="88"/>
      <c r="ZC121" s="88"/>
      <c r="ZD121" s="88"/>
      <c r="ZE121" s="88"/>
      <c r="ZF121" s="88"/>
      <c r="ZG121" s="88"/>
      <c r="ZH121" s="88"/>
      <c r="ZI121" s="88"/>
      <c r="ZJ121" s="88"/>
      <c r="ZK121" s="88"/>
      <c r="ZL121" s="88"/>
      <c r="ZM121" s="88"/>
      <c r="ZN121" s="88"/>
      <c r="ZO121" s="88"/>
      <c r="ZP121" s="88"/>
      <c r="ZQ121" s="88"/>
      <c r="ZR121" s="88"/>
      <c r="ZS121" s="88"/>
      <c r="ZT121" s="88"/>
      <c r="ZU121" s="88"/>
      <c r="ZV121" s="88"/>
      <c r="ZW121" s="88"/>
      <c r="ZX121" s="88"/>
      <c r="ZY121" s="88"/>
      <c r="ZZ121" s="88"/>
      <c r="AAA121" s="88"/>
      <c r="AAB121" s="88"/>
      <c r="AAC121" s="88"/>
      <c r="AAD121" s="88"/>
      <c r="AAE121" s="88"/>
      <c r="AAF121" s="88"/>
      <c r="AAG121" s="88"/>
      <c r="AAH121" s="88"/>
      <c r="AAI121" s="88"/>
      <c r="AAJ121" s="88"/>
      <c r="AAK121" s="88"/>
      <c r="AAL121" s="88"/>
      <c r="AAM121" s="88"/>
      <c r="AAN121" s="88"/>
      <c r="AAO121" s="88"/>
      <c r="AAP121" s="88"/>
      <c r="AAQ121" s="88"/>
      <c r="AAR121" s="88"/>
      <c r="AAS121" s="88"/>
      <c r="AAT121" s="88"/>
      <c r="AAU121" s="88"/>
      <c r="AAV121" s="88"/>
      <c r="AAW121" s="88"/>
      <c r="AAX121" s="88"/>
      <c r="AAY121" s="88"/>
      <c r="AAZ121" s="88"/>
      <c r="ABA121" s="88"/>
      <c r="ABB121" s="88"/>
      <c r="ABC121" s="88"/>
      <c r="ABD121" s="88"/>
      <c r="ABE121" s="88"/>
      <c r="ABF121" s="88"/>
      <c r="ABG121" s="88"/>
      <c r="ABH121" s="88"/>
      <c r="ABI121" s="88"/>
      <c r="ABJ121" s="88"/>
      <c r="ABK121" s="88"/>
      <c r="ABL121" s="88"/>
      <c r="ABM121" s="88"/>
      <c r="ABN121" s="88"/>
      <c r="ABO121" s="88"/>
      <c r="ABP121" s="88"/>
      <c r="ABQ121" s="88"/>
      <c r="ABR121" s="88"/>
      <c r="ABS121" s="88"/>
      <c r="ABT121" s="88"/>
      <c r="ABU121" s="88"/>
      <c r="ABV121" s="88"/>
      <c r="ABW121" s="88"/>
      <c r="ABX121" s="88"/>
      <c r="ABY121" s="88"/>
      <c r="ABZ121" s="88"/>
      <c r="ACA121" s="88"/>
      <c r="ACB121" s="88"/>
      <c r="ACC121" s="88"/>
      <c r="ACD121" s="88"/>
      <c r="ACE121" s="88"/>
      <c r="ACF121" s="88"/>
      <c r="ACG121" s="88"/>
      <c r="ACH121" s="88"/>
      <c r="ACI121" s="88"/>
      <c r="ACJ121" s="88"/>
      <c r="ACK121" s="88"/>
      <c r="ACL121" s="88"/>
      <c r="ACM121" s="88"/>
      <c r="ACN121" s="88"/>
      <c r="ACO121" s="88"/>
      <c r="ACP121" s="88"/>
      <c r="ACQ121" s="88"/>
      <c r="ACR121" s="88"/>
      <c r="ACS121" s="88"/>
      <c r="ACT121" s="88"/>
      <c r="ACU121" s="88"/>
      <c r="ACV121" s="88"/>
      <c r="ACW121" s="88"/>
      <c r="ACX121" s="88"/>
      <c r="ACY121" s="88"/>
      <c r="ACZ121" s="88"/>
      <c r="ADA121" s="88"/>
      <c r="ADB121" s="88"/>
      <c r="ADC121" s="88"/>
      <c r="ADD121" s="88"/>
      <c r="ADE121" s="88"/>
      <c r="ADF121" s="88"/>
      <c r="ADG121" s="88"/>
      <c r="ADH121" s="88"/>
      <c r="ADI121" s="88"/>
      <c r="ADJ121" s="88"/>
      <c r="ADK121" s="88"/>
      <c r="ADL121" s="88"/>
      <c r="ADM121" s="88"/>
      <c r="ADN121" s="88"/>
      <c r="ADO121" s="88"/>
      <c r="ADP121" s="88"/>
      <c r="ADQ121" s="88"/>
      <c r="ADR121" s="88"/>
      <c r="ADS121" s="88"/>
      <c r="ADT121" s="88"/>
      <c r="ADU121" s="88"/>
      <c r="ADV121" s="88"/>
      <c r="ADW121" s="88"/>
      <c r="ADX121" s="88"/>
      <c r="ADY121" s="88"/>
      <c r="ADZ121" s="88"/>
      <c r="AEA121" s="88"/>
      <c r="AEB121" s="88"/>
      <c r="AEC121" s="88"/>
      <c r="AED121" s="88"/>
      <c r="AEE121" s="88"/>
      <c r="AEF121" s="88"/>
      <c r="AEG121" s="88"/>
      <c r="AEH121" s="88"/>
      <c r="AEI121" s="88"/>
      <c r="AEJ121" s="88"/>
      <c r="AEK121" s="88"/>
      <c r="AEL121" s="88"/>
      <c r="AEM121" s="88"/>
      <c r="AEN121" s="88"/>
      <c r="AEO121" s="88"/>
      <c r="AEP121" s="88"/>
      <c r="AEQ121" s="88"/>
      <c r="AER121" s="88"/>
      <c r="AES121" s="88"/>
      <c r="AET121" s="88"/>
      <c r="AEU121" s="88"/>
      <c r="AEV121" s="88"/>
      <c r="AEW121" s="88"/>
      <c r="AEX121" s="88"/>
      <c r="AEY121" s="88"/>
      <c r="AEZ121" s="88"/>
      <c r="AFA121" s="88"/>
      <c r="AFB121" s="88"/>
      <c r="AFC121" s="88"/>
      <c r="AFD121" s="88"/>
      <c r="AFE121" s="88"/>
      <c r="AFF121" s="88"/>
      <c r="AFG121" s="88"/>
      <c r="AFH121" s="88"/>
      <c r="AFI121" s="88"/>
      <c r="AFJ121" s="88"/>
      <c r="AFK121" s="88"/>
      <c r="AFL121" s="88"/>
      <c r="AFM121" s="88"/>
      <c r="AFN121" s="88"/>
      <c r="AFO121" s="88"/>
      <c r="AFP121" s="88"/>
      <c r="AFQ121" s="88"/>
      <c r="AFR121" s="88"/>
      <c r="AFS121" s="88"/>
      <c r="AFT121" s="88"/>
      <c r="AFU121" s="88"/>
      <c r="AFV121" s="88"/>
      <c r="AFW121" s="88"/>
      <c r="AFX121" s="88"/>
      <c r="AFY121" s="88"/>
      <c r="AFZ121" s="88"/>
      <c r="AGA121" s="88"/>
      <c r="AGB121" s="88"/>
      <c r="AGC121" s="88"/>
      <c r="AGD121" s="88"/>
      <c r="AGE121" s="88"/>
      <c r="AGF121" s="88"/>
      <c r="AGG121" s="88"/>
      <c r="AGH121" s="88"/>
      <c r="AGI121" s="88"/>
      <c r="AGJ121" s="88"/>
      <c r="AGK121" s="88"/>
      <c r="AGL121" s="88"/>
      <c r="AGM121" s="88"/>
      <c r="AGN121" s="88"/>
      <c r="AGO121" s="88"/>
      <c r="AGP121" s="88"/>
      <c r="AGQ121" s="88"/>
      <c r="AGR121" s="88"/>
      <c r="AGS121" s="88"/>
      <c r="AGT121" s="88"/>
      <c r="AGU121" s="88"/>
      <c r="AGV121" s="88"/>
      <c r="AGW121" s="88"/>
      <c r="AGX121" s="88"/>
      <c r="AGY121" s="88"/>
      <c r="AGZ121" s="88"/>
      <c r="AHA121" s="88"/>
      <c r="AHB121" s="88"/>
      <c r="AHC121" s="88"/>
      <c r="AHD121" s="88"/>
      <c r="AHE121" s="88"/>
      <c r="AHF121" s="88"/>
      <c r="AHG121" s="88"/>
      <c r="AHH121" s="88"/>
      <c r="AHI121" s="88"/>
      <c r="AHJ121" s="88"/>
      <c r="AHK121" s="88"/>
      <c r="AHL121" s="88"/>
      <c r="AHM121" s="88"/>
      <c r="AHN121" s="88"/>
      <c r="AHO121" s="88"/>
      <c r="AHP121" s="88"/>
      <c r="AHQ121" s="88"/>
      <c r="AHR121" s="88"/>
      <c r="AHS121" s="88"/>
      <c r="AHT121" s="88"/>
      <c r="AHU121" s="88"/>
      <c r="AHV121" s="88"/>
      <c r="AHW121" s="88"/>
      <c r="AHX121" s="88"/>
      <c r="AHY121" s="88"/>
      <c r="AHZ121" s="88"/>
      <c r="AIA121" s="88"/>
      <c r="AIB121" s="88"/>
      <c r="AIC121" s="88"/>
      <c r="AID121" s="88"/>
      <c r="AIE121" s="88"/>
      <c r="AIF121" s="88"/>
      <c r="AIG121" s="88"/>
      <c r="AIH121" s="88"/>
      <c r="AII121" s="88"/>
      <c r="AIJ121" s="88"/>
      <c r="AIK121" s="88"/>
      <c r="AIL121" s="88"/>
      <c r="AIM121" s="88"/>
      <c r="AIN121" s="88"/>
      <c r="AIO121" s="88"/>
      <c r="AIP121" s="88"/>
      <c r="AIQ121" s="88"/>
      <c r="AIR121" s="88"/>
      <c r="AIS121" s="88"/>
      <c r="AIT121" s="88"/>
      <c r="AIU121" s="88"/>
      <c r="AIV121" s="88"/>
      <c r="AIW121" s="88"/>
      <c r="AIX121" s="88"/>
      <c r="AIY121" s="88"/>
      <c r="AIZ121" s="88"/>
      <c r="AJA121" s="88"/>
      <c r="AJB121" s="88"/>
      <c r="AJC121" s="88"/>
      <c r="AJD121" s="88"/>
      <c r="AJE121" s="88"/>
      <c r="AJF121" s="88"/>
      <c r="AJG121" s="88"/>
      <c r="AJH121" s="88"/>
      <c r="AJI121" s="88"/>
      <c r="AJJ121" s="88"/>
      <c r="AJK121" s="88"/>
      <c r="AJL121" s="88"/>
      <c r="AJM121" s="88"/>
      <c r="AJN121" s="88"/>
      <c r="AJO121" s="88"/>
      <c r="AJP121" s="88"/>
      <c r="AJQ121" s="88"/>
      <c r="AJR121" s="88"/>
      <c r="AJS121" s="88"/>
      <c r="AJT121" s="88"/>
      <c r="AJU121" s="88"/>
      <c r="AJV121" s="88"/>
      <c r="AJW121" s="88"/>
      <c r="AJX121" s="88"/>
      <c r="AJY121" s="88"/>
      <c r="AJZ121" s="88"/>
      <c r="AKA121" s="88"/>
      <c r="AKB121" s="88"/>
      <c r="AKC121" s="88"/>
      <c r="AKD121" s="88"/>
      <c r="AKE121" s="88"/>
      <c r="AKF121" s="88"/>
      <c r="AKG121" s="88"/>
      <c r="AKH121" s="88"/>
      <c r="AKI121" s="88"/>
      <c r="AKJ121" s="88"/>
      <c r="AKK121" s="88"/>
      <c r="AKL121" s="88"/>
      <c r="AKM121" s="88"/>
      <c r="AKN121" s="88"/>
      <c r="AKO121" s="88"/>
      <c r="AKP121" s="88"/>
      <c r="AKQ121" s="88"/>
      <c r="AKR121" s="88"/>
      <c r="AKS121" s="88"/>
      <c r="AKT121" s="88"/>
      <c r="AKU121" s="88"/>
      <c r="AKV121" s="88"/>
      <c r="AKW121" s="88"/>
      <c r="AKX121" s="88"/>
      <c r="AKY121" s="88"/>
      <c r="AKZ121" s="88"/>
      <c r="ALA121" s="88"/>
      <c r="ALB121" s="88"/>
      <c r="ALC121" s="88"/>
      <c r="ALD121" s="88"/>
      <c r="ALE121" s="88"/>
      <c r="ALF121" s="88"/>
      <c r="ALG121" s="88"/>
      <c r="ALH121" s="88"/>
      <c r="ALI121" s="88"/>
      <c r="ALJ121" s="88"/>
      <c r="ALK121" s="88"/>
      <c r="ALL121" s="88"/>
      <c r="ALM121" s="88"/>
      <c r="ALN121" s="88"/>
      <c r="ALO121" s="88"/>
      <c r="ALP121" s="88"/>
      <c r="ALQ121" s="88"/>
      <c r="ALR121" s="88"/>
      <c r="ALS121" s="88"/>
      <c r="ALT121" s="88"/>
      <c r="ALU121" s="88"/>
      <c r="ALV121" s="88"/>
      <c r="ALW121" s="88"/>
      <c r="ALX121" s="88"/>
      <c r="ALY121" s="88"/>
      <c r="ALZ121" s="88"/>
      <c r="AMA121" s="88"/>
      <c r="AMB121" s="88"/>
      <c r="AMC121" s="88"/>
      <c r="AMD121" s="88"/>
      <c r="AME121" s="88"/>
      <c r="AMF121" s="88"/>
      <c r="AMG121" s="88"/>
      <c r="AMH121" s="88"/>
      <c r="AMI121" s="88"/>
      <c r="AMJ121" s="88"/>
      <c r="AMK121" s="88"/>
      <c r="AML121" s="88"/>
      <c r="AMM121" s="88"/>
      <c r="AMN121" s="88"/>
      <c r="AMO121" s="88"/>
      <c r="AMP121" s="88"/>
      <c r="AMQ121" s="88"/>
      <c r="AMR121" s="88"/>
      <c r="AMS121" s="88"/>
      <c r="AMT121" s="88"/>
      <c r="AMU121" s="88"/>
      <c r="AMV121" s="88"/>
      <c r="AMW121" s="88"/>
      <c r="AMX121" s="88"/>
      <c r="AMY121" s="88"/>
      <c r="AMZ121" s="88"/>
      <c r="ANA121" s="88"/>
      <c r="ANB121" s="88"/>
      <c r="ANC121" s="88"/>
      <c r="AND121" s="88"/>
      <c r="ANE121" s="88"/>
      <c r="ANF121" s="88"/>
      <c r="ANG121" s="88"/>
      <c r="ANH121" s="88"/>
      <c r="ANI121" s="88"/>
      <c r="ANJ121" s="88"/>
      <c r="ANK121" s="88"/>
      <c r="ANL121" s="88"/>
      <c r="ANM121" s="88"/>
      <c r="ANN121" s="88"/>
      <c r="ANO121" s="88"/>
      <c r="ANP121" s="88"/>
      <c r="ANQ121" s="88"/>
      <c r="ANR121" s="88"/>
      <c r="ANS121" s="88"/>
      <c r="ANT121" s="88"/>
      <c r="ANU121" s="88"/>
      <c r="ANV121" s="88"/>
      <c r="ANW121" s="88"/>
      <c r="ANX121" s="88"/>
      <c r="ANY121" s="88"/>
      <c r="ANZ121" s="88"/>
      <c r="AOA121" s="88"/>
      <c r="AOB121" s="88"/>
      <c r="AOC121" s="88"/>
      <c r="AOD121" s="88"/>
      <c r="AOE121" s="88"/>
      <c r="AOF121" s="88"/>
      <c r="AOG121" s="88"/>
      <c r="AOH121" s="88"/>
      <c r="AOI121" s="88"/>
      <c r="AOJ121" s="88"/>
      <c r="AOK121" s="88"/>
      <c r="AOL121" s="88"/>
      <c r="AOM121" s="88"/>
      <c r="AON121" s="88"/>
      <c r="AOO121" s="88"/>
      <c r="AOP121" s="88"/>
      <c r="AOQ121" s="88"/>
      <c r="AOR121" s="88"/>
      <c r="AOS121" s="88"/>
      <c r="AOT121" s="88"/>
      <c r="AOU121" s="88"/>
      <c r="AOV121" s="88"/>
      <c r="AOW121" s="88"/>
      <c r="AOX121" s="88"/>
      <c r="AOY121" s="88"/>
      <c r="AOZ121" s="88"/>
      <c r="APA121" s="88"/>
      <c r="APB121" s="88"/>
      <c r="APC121" s="88"/>
      <c r="APD121" s="88"/>
      <c r="APE121" s="88"/>
      <c r="APF121" s="88"/>
      <c r="APG121" s="88"/>
      <c r="APH121" s="88"/>
      <c r="API121" s="88"/>
      <c r="APJ121" s="88"/>
      <c r="APK121" s="88"/>
      <c r="APL121" s="88"/>
      <c r="APM121" s="88"/>
      <c r="APN121" s="88"/>
      <c r="APO121" s="88"/>
      <c r="APP121" s="88"/>
      <c r="APQ121" s="88"/>
      <c r="APR121" s="88"/>
      <c r="APS121" s="88"/>
      <c r="APT121" s="88"/>
      <c r="APU121" s="88"/>
      <c r="APV121" s="88"/>
      <c r="APW121" s="88"/>
      <c r="APX121" s="88"/>
      <c r="APY121" s="88"/>
      <c r="APZ121" s="88"/>
      <c r="AQA121" s="88"/>
      <c r="AQB121" s="88"/>
      <c r="AQC121" s="88"/>
      <c r="AQD121" s="88"/>
      <c r="AQE121" s="88"/>
      <c r="AQF121" s="88"/>
      <c r="AQG121" s="88"/>
      <c r="AQH121" s="88"/>
      <c r="AQI121" s="88"/>
      <c r="AQJ121" s="88"/>
      <c r="AQK121" s="88"/>
      <c r="AQL121" s="88"/>
      <c r="AQM121" s="88"/>
      <c r="AQN121" s="88"/>
      <c r="AQO121" s="88"/>
      <c r="AQP121" s="88"/>
      <c r="AQQ121" s="88"/>
      <c r="AQR121" s="88"/>
      <c r="AQS121" s="88"/>
      <c r="AQT121" s="88"/>
      <c r="AQU121" s="88"/>
      <c r="AQV121" s="88"/>
      <c r="AQW121" s="88"/>
      <c r="AQX121" s="88"/>
      <c r="AQY121" s="88"/>
      <c r="AQZ121" s="88"/>
      <c r="ARA121" s="88"/>
      <c r="ARB121" s="88"/>
      <c r="ARC121" s="88"/>
      <c r="ARD121" s="88"/>
      <c r="ARE121" s="88"/>
      <c r="ARF121" s="88"/>
      <c r="ARG121" s="88"/>
      <c r="ARH121" s="88"/>
      <c r="ARI121" s="88"/>
      <c r="ARJ121" s="88"/>
      <c r="ARK121" s="88"/>
      <c r="ARL121" s="88"/>
      <c r="ARM121" s="88"/>
      <c r="ARN121" s="88"/>
      <c r="ARO121" s="88"/>
      <c r="ARP121" s="88"/>
      <c r="ARQ121" s="88"/>
      <c r="ARR121" s="88"/>
      <c r="ARS121" s="88"/>
      <c r="ART121" s="88"/>
      <c r="ARU121" s="88"/>
      <c r="ARV121" s="88"/>
      <c r="ARW121" s="88"/>
      <c r="ARX121" s="88"/>
      <c r="ARY121" s="88"/>
      <c r="ARZ121" s="88"/>
      <c r="ASA121" s="88"/>
      <c r="ASB121" s="88"/>
      <c r="ASC121" s="88"/>
      <c r="ASD121" s="88"/>
      <c r="ASE121" s="88"/>
      <c r="ASF121" s="88"/>
      <c r="ASG121" s="88"/>
      <c r="ASH121" s="88"/>
      <c r="ASI121" s="88"/>
      <c r="ASJ121" s="88"/>
      <c r="ASK121" s="88"/>
      <c r="ASL121" s="88"/>
      <c r="ASM121" s="88"/>
      <c r="ASN121" s="88"/>
      <c r="ASO121" s="88"/>
      <c r="ASP121" s="88"/>
      <c r="ASQ121" s="88"/>
      <c r="ASR121" s="88"/>
      <c r="ASS121" s="88"/>
      <c r="AST121" s="88"/>
      <c r="ASU121" s="88"/>
      <c r="ASV121" s="88"/>
      <c r="ASW121" s="88"/>
      <c r="ASX121" s="88"/>
      <c r="ASY121" s="88"/>
      <c r="ASZ121" s="88"/>
      <c r="ATA121" s="88"/>
      <c r="ATB121" s="88"/>
      <c r="ATC121" s="88"/>
      <c r="ATD121" s="88"/>
      <c r="ATE121" s="88"/>
      <c r="ATF121" s="88"/>
      <c r="ATG121" s="88"/>
      <c r="ATH121" s="88"/>
      <c r="ATI121" s="88"/>
      <c r="ATJ121" s="88"/>
      <c r="ATK121" s="88"/>
      <c r="ATL121" s="88"/>
      <c r="ATM121" s="88"/>
      <c r="ATN121" s="88"/>
      <c r="ATO121" s="88"/>
      <c r="ATP121" s="88"/>
      <c r="ATQ121" s="88"/>
      <c r="ATR121" s="88"/>
      <c r="ATS121" s="88"/>
      <c r="ATT121" s="88"/>
      <c r="ATU121" s="88"/>
      <c r="ATV121" s="88"/>
      <c r="ATW121" s="88"/>
      <c r="ATX121" s="88"/>
      <c r="ATY121" s="88"/>
      <c r="ATZ121" s="88"/>
      <c r="AUA121" s="88"/>
      <c r="AUB121" s="88"/>
      <c r="AUC121" s="88"/>
      <c r="AUD121" s="88"/>
      <c r="AUE121" s="88"/>
      <c r="AUF121" s="88"/>
      <c r="AUG121" s="88"/>
      <c r="AUH121" s="88"/>
      <c r="AUI121" s="88"/>
      <c r="AUJ121" s="88"/>
      <c r="AUK121" s="88"/>
      <c r="AUL121" s="88"/>
      <c r="AUM121" s="88"/>
      <c r="AUN121" s="88"/>
      <c r="AUO121" s="88"/>
      <c r="AUP121" s="88"/>
      <c r="AUQ121" s="88"/>
      <c r="AUR121" s="88"/>
      <c r="AUS121" s="88"/>
      <c r="AUT121" s="88"/>
      <c r="AUU121" s="88"/>
      <c r="AUV121" s="88"/>
      <c r="AUW121" s="88"/>
      <c r="AUX121" s="88"/>
      <c r="AUY121" s="88"/>
      <c r="AUZ121" s="88"/>
      <c r="AVA121" s="88"/>
      <c r="AVB121" s="88"/>
      <c r="AVC121" s="88"/>
      <c r="AVD121" s="88"/>
      <c r="AVE121" s="88"/>
      <c r="AVF121" s="88"/>
      <c r="AVG121" s="88"/>
      <c r="AVH121" s="88"/>
      <c r="AVI121" s="88"/>
      <c r="AVJ121" s="88"/>
      <c r="AVK121" s="88"/>
      <c r="AVL121" s="88"/>
      <c r="AVM121" s="88"/>
      <c r="AVN121" s="88"/>
      <c r="AVO121" s="88"/>
      <c r="AVP121" s="88"/>
      <c r="AVQ121" s="88"/>
      <c r="AVR121" s="88"/>
      <c r="AVS121" s="88"/>
      <c r="AVT121" s="88"/>
      <c r="AVU121" s="88"/>
      <c r="AVV121" s="88"/>
      <c r="AVW121" s="88"/>
      <c r="AVX121" s="88"/>
      <c r="AVY121" s="88"/>
      <c r="AVZ121" s="88"/>
      <c r="AWA121" s="88"/>
      <c r="AWB121" s="88"/>
      <c r="AWC121" s="88"/>
      <c r="AWD121" s="88"/>
      <c r="AWE121" s="88"/>
      <c r="AWF121" s="88"/>
      <c r="AWG121" s="88"/>
      <c r="AWH121" s="88"/>
      <c r="AWI121" s="88"/>
      <c r="AWJ121" s="88"/>
      <c r="AWK121" s="88"/>
      <c r="AWL121" s="88"/>
      <c r="AWM121" s="88"/>
      <c r="AWN121" s="88"/>
      <c r="AWO121" s="88"/>
      <c r="AWP121" s="88"/>
      <c r="AWQ121" s="88"/>
      <c r="AWR121" s="88"/>
      <c r="AWS121" s="88"/>
      <c r="AWT121" s="88"/>
      <c r="AWU121" s="88"/>
      <c r="AWV121" s="88"/>
      <c r="AWW121" s="88"/>
      <c r="AWX121" s="88"/>
      <c r="AWY121" s="88"/>
      <c r="AWZ121" s="88"/>
      <c r="AXA121" s="88"/>
      <c r="AXB121" s="88"/>
      <c r="AXC121" s="88"/>
      <c r="AXD121" s="88"/>
      <c r="AXE121" s="88"/>
      <c r="AXF121" s="88"/>
      <c r="AXG121" s="88"/>
      <c r="AXH121" s="88"/>
      <c r="AXI121" s="88"/>
      <c r="AXJ121" s="88"/>
      <c r="AXK121" s="88"/>
      <c r="AXL121" s="88"/>
      <c r="AXM121" s="88"/>
      <c r="AXN121" s="88"/>
      <c r="AXO121" s="88"/>
      <c r="AXP121" s="88"/>
      <c r="AXQ121" s="88"/>
      <c r="AXR121" s="88"/>
      <c r="AXS121" s="88"/>
      <c r="AXT121" s="88"/>
      <c r="AXU121" s="88"/>
      <c r="AXV121" s="88"/>
      <c r="AXW121" s="88"/>
      <c r="AXX121" s="88"/>
      <c r="AXY121" s="88"/>
      <c r="AXZ121" s="88"/>
      <c r="AYA121" s="88"/>
      <c r="AYB121" s="88"/>
      <c r="AYC121" s="88"/>
      <c r="AYD121" s="88"/>
      <c r="AYE121" s="88"/>
      <c r="AYF121" s="88"/>
      <c r="AYG121" s="88"/>
      <c r="AYH121" s="88"/>
      <c r="AYI121" s="88"/>
      <c r="AYJ121" s="88"/>
      <c r="AYK121" s="88"/>
      <c r="AYL121" s="88"/>
      <c r="AYM121" s="88"/>
      <c r="AYN121" s="88"/>
      <c r="AYO121" s="88"/>
      <c r="AYP121" s="88"/>
      <c r="AYQ121" s="88"/>
      <c r="AYR121" s="88"/>
      <c r="AYS121" s="88"/>
      <c r="AYT121" s="88"/>
      <c r="AYU121" s="88"/>
      <c r="AYV121" s="88"/>
      <c r="AYW121" s="88"/>
      <c r="AYX121" s="88"/>
      <c r="AYY121" s="88"/>
      <c r="AYZ121" s="88"/>
      <c r="AZA121" s="88"/>
      <c r="AZB121" s="88"/>
      <c r="AZC121" s="88"/>
      <c r="AZD121" s="88"/>
      <c r="AZE121" s="88"/>
      <c r="AZF121" s="88"/>
      <c r="AZG121" s="88"/>
      <c r="AZH121" s="88"/>
      <c r="AZI121" s="88"/>
      <c r="AZJ121" s="88"/>
      <c r="AZK121" s="88"/>
      <c r="AZL121" s="88"/>
      <c r="AZM121" s="88"/>
      <c r="AZN121" s="88"/>
      <c r="AZO121" s="88"/>
      <c r="AZP121" s="88"/>
      <c r="AZQ121" s="88"/>
      <c r="AZR121" s="88"/>
      <c r="AZS121" s="88"/>
      <c r="AZT121" s="88"/>
      <c r="AZU121" s="88"/>
      <c r="AZV121" s="88"/>
      <c r="AZW121" s="88"/>
      <c r="AZX121" s="88"/>
      <c r="AZY121" s="88"/>
      <c r="AZZ121" s="88"/>
      <c r="BAA121" s="88"/>
      <c r="BAB121" s="88"/>
      <c r="BAC121" s="88"/>
      <c r="BAD121" s="88"/>
      <c r="BAE121" s="88"/>
      <c r="BAF121" s="88"/>
      <c r="BAG121" s="88"/>
      <c r="BAH121" s="88"/>
      <c r="BAI121" s="88"/>
      <c r="BAJ121" s="88"/>
      <c r="BAK121" s="88"/>
      <c r="BAL121" s="88"/>
      <c r="BAM121" s="88"/>
      <c r="BAN121" s="88"/>
      <c r="BAO121" s="88"/>
      <c r="BAP121" s="88"/>
      <c r="BAQ121" s="88"/>
      <c r="BAR121" s="88"/>
      <c r="BAS121" s="88"/>
      <c r="BAT121" s="88"/>
      <c r="BAU121" s="88"/>
      <c r="BAV121" s="88"/>
      <c r="BAW121" s="88"/>
      <c r="BAX121" s="88"/>
      <c r="BAY121" s="88"/>
      <c r="BAZ121" s="88"/>
      <c r="BBA121" s="88"/>
      <c r="BBB121" s="88"/>
      <c r="BBC121" s="88"/>
      <c r="BBD121" s="88"/>
      <c r="BBE121" s="88"/>
      <c r="BBF121" s="88"/>
      <c r="BBG121" s="88"/>
      <c r="BBH121" s="88"/>
      <c r="BBI121" s="88"/>
      <c r="BBJ121" s="88"/>
      <c r="BBK121" s="88"/>
      <c r="BBL121" s="88"/>
      <c r="BBM121" s="88"/>
      <c r="BBN121" s="88"/>
      <c r="BBO121" s="88"/>
      <c r="BBP121" s="88"/>
      <c r="BBQ121" s="88"/>
      <c r="BBR121" s="88"/>
      <c r="BBS121" s="88"/>
      <c r="BBT121" s="88"/>
      <c r="BBU121" s="88"/>
      <c r="BBV121" s="88"/>
      <c r="BBW121" s="88"/>
      <c r="BBX121" s="88"/>
      <c r="BBY121" s="88"/>
      <c r="BBZ121" s="88"/>
      <c r="BCA121" s="88"/>
      <c r="BCB121" s="88"/>
      <c r="BCC121" s="88"/>
      <c r="BCD121" s="88"/>
      <c r="BCE121" s="88"/>
      <c r="BCF121" s="88"/>
      <c r="BCG121" s="88"/>
      <c r="BCH121" s="88"/>
      <c r="BCI121" s="88"/>
      <c r="BCJ121" s="88"/>
      <c r="BCK121" s="88"/>
      <c r="BCL121" s="88"/>
      <c r="BCM121" s="88"/>
      <c r="BCN121" s="88"/>
      <c r="BCO121" s="88"/>
      <c r="BCP121" s="88"/>
      <c r="BCQ121" s="88"/>
      <c r="BCR121" s="88"/>
      <c r="BCS121" s="88"/>
      <c r="BCT121" s="88"/>
      <c r="BCU121" s="88"/>
      <c r="BCV121" s="88"/>
      <c r="BCW121" s="88"/>
      <c r="BCX121" s="88"/>
      <c r="BCY121" s="88"/>
      <c r="BCZ121" s="88"/>
      <c r="BDA121" s="88"/>
      <c r="BDB121" s="88"/>
      <c r="BDC121" s="88"/>
      <c r="BDD121" s="88"/>
      <c r="BDE121" s="88"/>
      <c r="BDF121" s="88"/>
      <c r="BDG121" s="88"/>
      <c r="BDH121" s="88"/>
      <c r="BDI121" s="88"/>
      <c r="BDJ121" s="88"/>
      <c r="BDK121" s="88"/>
      <c r="BDL121" s="88"/>
      <c r="BDM121" s="88"/>
      <c r="BDN121" s="88"/>
      <c r="BDO121" s="88"/>
      <c r="BDP121" s="88"/>
      <c r="BDQ121" s="88"/>
      <c r="BDR121" s="88"/>
      <c r="BDS121" s="88"/>
      <c r="BDT121" s="88"/>
      <c r="BDU121" s="88"/>
      <c r="BDV121" s="88"/>
      <c r="BDW121" s="88"/>
      <c r="BDX121" s="88"/>
      <c r="BDY121" s="88"/>
      <c r="BDZ121" s="88"/>
      <c r="BEA121" s="88"/>
      <c r="BEB121" s="88"/>
      <c r="BEC121" s="88"/>
      <c r="BED121" s="88"/>
      <c r="BEE121" s="88"/>
      <c r="BEF121" s="88"/>
      <c r="BEG121" s="88"/>
      <c r="BEH121" s="88"/>
      <c r="BEI121" s="88"/>
      <c r="BEJ121" s="88"/>
      <c r="BEK121" s="88"/>
      <c r="BEL121" s="88"/>
      <c r="BEM121" s="88"/>
      <c r="BEN121" s="88"/>
      <c r="BEO121" s="88"/>
      <c r="BEP121" s="88"/>
      <c r="BEQ121" s="88"/>
      <c r="BER121" s="88"/>
      <c r="BES121" s="88"/>
      <c r="BET121" s="88"/>
      <c r="BEU121" s="88"/>
      <c r="BEV121" s="88"/>
      <c r="BEW121" s="88"/>
      <c r="BEX121" s="88"/>
      <c r="BEY121" s="88"/>
      <c r="BEZ121" s="88"/>
      <c r="BFA121" s="88"/>
      <c r="BFB121" s="88"/>
      <c r="BFC121" s="88"/>
      <c r="BFD121" s="88"/>
      <c r="BFE121" s="88"/>
      <c r="BFF121" s="88"/>
      <c r="BFG121" s="88"/>
      <c r="BFH121" s="88"/>
      <c r="BFI121" s="88"/>
      <c r="BFJ121" s="88"/>
      <c r="BFK121" s="88"/>
      <c r="BFL121" s="88"/>
      <c r="BFM121" s="88"/>
      <c r="BFN121" s="88"/>
      <c r="BFO121" s="88"/>
      <c r="BFP121" s="88"/>
      <c r="BFQ121" s="88"/>
      <c r="BFR121" s="88"/>
      <c r="BFS121" s="88"/>
      <c r="BFT121" s="88"/>
      <c r="BFU121" s="88"/>
      <c r="BFV121" s="88"/>
      <c r="BFW121" s="88"/>
      <c r="BFX121" s="88"/>
      <c r="BFY121" s="88"/>
      <c r="BFZ121" s="88"/>
      <c r="BGA121" s="88"/>
      <c r="BGB121" s="88"/>
      <c r="BGC121" s="88"/>
      <c r="BGD121" s="88"/>
      <c r="BGE121" s="88"/>
      <c r="BGF121" s="88"/>
      <c r="BGG121" s="88"/>
      <c r="BGH121" s="88"/>
      <c r="BGI121" s="88"/>
      <c r="BGJ121" s="88"/>
      <c r="BGK121" s="88"/>
      <c r="BGL121" s="88"/>
      <c r="BGM121" s="88"/>
      <c r="BGN121" s="88"/>
      <c r="BGO121" s="88"/>
      <c r="BGP121" s="88"/>
      <c r="BGQ121" s="88"/>
      <c r="BGR121" s="88"/>
      <c r="BGS121" s="88"/>
      <c r="BGT121" s="88"/>
      <c r="BGU121" s="88"/>
      <c r="BGV121" s="88"/>
      <c r="BGW121" s="88"/>
      <c r="BGX121" s="88"/>
      <c r="BGY121" s="88"/>
      <c r="BGZ121" s="88"/>
      <c r="BHA121" s="88"/>
      <c r="BHB121" s="88"/>
      <c r="BHC121" s="88"/>
      <c r="BHD121" s="88"/>
      <c r="BHE121" s="88"/>
      <c r="BHF121" s="88"/>
      <c r="BHG121" s="88"/>
      <c r="BHH121" s="88"/>
      <c r="BHI121" s="88"/>
      <c r="BHJ121" s="88"/>
      <c r="BHK121" s="88"/>
      <c r="BHL121" s="88"/>
      <c r="BHM121" s="88"/>
      <c r="BHN121" s="88"/>
      <c r="BHO121" s="88"/>
      <c r="BHP121" s="88"/>
      <c r="BHQ121" s="88"/>
      <c r="BHR121" s="88"/>
      <c r="BHS121" s="88"/>
      <c r="BHT121" s="88"/>
      <c r="BHU121" s="88"/>
      <c r="BHV121" s="88"/>
      <c r="BHW121" s="88"/>
      <c r="BHX121" s="88"/>
      <c r="BHY121" s="88"/>
      <c r="BHZ121" s="88"/>
      <c r="BIA121" s="88"/>
      <c r="BIB121" s="88"/>
      <c r="BIC121" s="88"/>
      <c r="BID121" s="88"/>
      <c r="BIE121" s="88"/>
      <c r="BIF121" s="88"/>
      <c r="BIG121" s="88"/>
      <c r="BIH121" s="88"/>
      <c r="BII121" s="88"/>
      <c r="BIJ121" s="88"/>
      <c r="BIK121" s="88"/>
      <c r="BIL121" s="88"/>
      <c r="BIM121" s="88"/>
      <c r="BIN121" s="88"/>
      <c r="BIO121" s="88"/>
      <c r="BIP121" s="88"/>
      <c r="BIQ121" s="88"/>
      <c r="BIR121" s="88"/>
      <c r="BIS121" s="88"/>
      <c r="BIT121" s="88"/>
      <c r="BIU121" s="88"/>
      <c r="BIV121" s="88"/>
      <c r="BIW121" s="88"/>
      <c r="BIX121" s="88"/>
      <c r="BIY121" s="88"/>
      <c r="BIZ121" s="88"/>
      <c r="BJA121" s="88"/>
      <c r="BJB121" s="88"/>
      <c r="BJC121" s="88"/>
      <c r="BJD121" s="88"/>
      <c r="BJE121" s="88"/>
      <c r="BJF121" s="88"/>
      <c r="BJG121" s="88"/>
      <c r="BJH121" s="88"/>
      <c r="BJI121" s="88"/>
      <c r="BJJ121" s="88"/>
      <c r="BJK121" s="88"/>
      <c r="BJL121" s="88"/>
      <c r="BJM121" s="88"/>
      <c r="BJN121" s="88"/>
      <c r="BJO121" s="88"/>
      <c r="BJP121" s="88"/>
      <c r="BJQ121" s="88"/>
      <c r="BJR121" s="88"/>
      <c r="BJS121" s="88"/>
      <c r="BJT121" s="88"/>
      <c r="BJU121" s="88"/>
      <c r="BJV121" s="88"/>
      <c r="BJW121" s="88"/>
      <c r="BJX121" s="88"/>
      <c r="BJY121" s="88"/>
      <c r="BJZ121" s="88"/>
      <c r="BKA121" s="88"/>
      <c r="BKB121" s="88"/>
      <c r="BKC121" s="88"/>
      <c r="BKD121" s="88"/>
      <c r="BKE121" s="88"/>
      <c r="BKF121" s="88"/>
      <c r="BKG121" s="88"/>
      <c r="BKH121" s="88"/>
      <c r="BKI121" s="88"/>
      <c r="BKJ121" s="88"/>
      <c r="BKK121" s="88"/>
      <c r="BKL121" s="88"/>
      <c r="BKM121" s="88"/>
      <c r="BKN121" s="88"/>
      <c r="BKO121" s="88"/>
      <c r="BKP121" s="88"/>
      <c r="BKQ121" s="88"/>
      <c r="BKR121" s="88"/>
      <c r="BKS121" s="88"/>
      <c r="BKT121" s="88"/>
      <c r="BKU121" s="88"/>
      <c r="BKV121" s="88"/>
      <c r="BKW121" s="88"/>
      <c r="BKX121" s="88"/>
      <c r="BKY121" s="88"/>
      <c r="BKZ121" s="88"/>
      <c r="BLA121" s="88"/>
      <c r="BLB121" s="88"/>
      <c r="BLC121" s="88"/>
      <c r="BLD121" s="88"/>
      <c r="BLE121" s="88"/>
      <c r="BLF121" s="88"/>
      <c r="BLG121" s="88"/>
      <c r="BLH121" s="88"/>
      <c r="BLI121" s="88"/>
      <c r="BLJ121" s="88"/>
      <c r="BLK121" s="88"/>
      <c r="BLL121" s="88"/>
      <c r="BLM121" s="88"/>
      <c r="BLN121" s="88"/>
      <c r="BLO121" s="88"/>
      <c r="BLP121" s="88"/>
      <c r="BLQ121" s="88"/>
      <c r="BLR121" s="88"/>
      <c r="BLS121" s="88"/>
      <c r="BLT121" s="88"/>
      <c r="BLU121" s="88"/>
      <c r="BLV121" s="88"/>
      <c r="BLW121" s="88"/>
      <c r="BLX121" s="88"/>
      <c r="BLY121" s="88"/>
      <c r="BLZ121" s="88"/>
      <c r="BMA121" s="88"/>
      <c r="BMB121" s="88"/>
      <c r="BMC121" s="88"/>
      <c r="BMD121" s="88"/>
      <c r="BME121" s="88"/>
      <c r="BMF121" s="88"/>
      <c r="BMG121" s="88"/>
      <c r="BMH121" s="88"/>
      <c r="BMI121" s="88"/>
      <c r="BMJ121" s="88"/>
      <c r="BMK121" s="88"/>
      <c r="BML121" s="88"/>
      <c r="BMM121" s="88"/>
      <c r="BMN121" s="88"/>
      <c r="BMO121" s="88"/>
      <c r="BMP121" s="88"/>
      <c r="BMQ121" s="88"/>
      <c r="BMR121" s="88"/>
      <c r="BMS121" s="88"/>
      <c r="BMT121" s="88"/>
      <c r="BMU121" s="88"/>
      <c r="BMV121" s="88"/>
      <c r="BMW121" s="88"/>
      <c r="BMX121" s="88"/>
      <c r="BMY121" s="88"/>
      <c r="BMZ121" s="88"/>
      <c r="BNA121" s="88"/>
      <c r="BNB121" s="88"/>
      <c r="BNC121" s="88"/>
      <c r="BND121" s="88"/>
      <c r="BNE121" s="88"/>
      <c r="BNF121" s="88"/>
      <c r="BNG121" s="88"/>
      <c r="BNH121" s="88"/>
      <c r="BNI121" s="88"/>
      <c r="BNJ121" s="88"/>
      <c r="BNK121" s="88"/>
      <c r="BNL121" s="88"/>
      <c r="BNM121" s="88"/>
      <c r="BNN121" s="88"/>
      <c r="BNO121" s="88"/>
      <c r="BNP121" s="88"/>
      <c r="BNQ121" s="88"/>
      <c r="BNR121" s="88"/>
      <c r="BNS121" s="88"/>
      <c r="BNT121" s="88"/>
      <c r="BNU121" s="88"/>
      <c r="BNV121" s="88"/>
      <c r="BNW121" s="88"/>
      <c r="BNX121" s="88"/>
      <c r="BNY121" s="88"/>
      <c r="BNZ121" s="88"/>
      <c r="BOA121" s="88"/>
      <c r="BOB121" s="88"/>
      <c r="BOC121" s="88"/>
      <c r="BOD121" s="88"/>
      <c r="BOE121" s="88"/>
      <c r="BOF121" s="88"/>
      <c r="BOG121" s="88"/>
      <c r="BOH121" s="88"/>
      <c r="BOI121" s="88"/>
      <c r="BOJ121" s="88"/>
      <c r="BOK121" s="88"/>
      <c r="BOL121" s="88"/>
      <c r="BOM121" s="88"/>
      <c r="BON121" s="88"/>
      <c r="BOO121" s="88"/>
      <c r="BOP121" s="88"/>
      <c r="BOQ121" s="88"/>
      <c r="BOR121" s="88"/>
      <c r="BOS121" s="88"/>
      <c r="BOT121" s="88"/>
      <c r="BOU121" s="88"/>
      <c r="BOV121" s="88"/>
      <c r="BOW121" s="88"/>
      <c r="BOX121" s="88"/>
      <c r="BOY121" s="88"/>
      <c r="BOZ121" s="88"/>
      <c r="BPA121" s="88"/>
      <c r="BPB121" s="88"/>
      <c r="BPC121" s="88"/>
      <c r="BPD121" s="88"/>
      <c r="BPE121" s="88"/>
      <c r="BPF121" s="88"/>
      <c r="BPG121" s="88"/>
      <c r="BPH121" s="88"/>
      <c r="BPI121" s="88"/>
      <c r="BPJ121" s="88"/>
      <c r="BPK121" s="88"/>
      <c r="BPL121" s="88"/>
      <c r="BPM121" s="88"/>
      <c r="BPN121" s="88"/>
      <c r="BPO121" s="88"/>
      <c r="BPP121" s="88"/>
      <c r="BPQ121" s="88"/>
      <c r="BPR121" s="88"/>
      <c r="BPS121" s="88"/>
      <c r="BPT121" s="88"/>
      <c r="BPU121" s="88"/>
      <c r="BPV121" s="88"/>
      <c r="BPW121" s="88"/>
      <c r="BPX121" s="88"/>
      <c r="BPY121" s="88"/>
      <c r="BPZ121" s="88"/>
      <c r="BQA121" s="88"/>
      <c r="BQB121" s="88"/>
      <c r="BQC121" s="88"/>
      <c r="BQD121" s="88"/>
      <c r="BQE121" s="88"/>
      <c r="BQF121" s="88"/>
      <c r="BQG121" s="88"/>
      <c r="BQH121" s="88"/>
      <c r="BQI121" s="88"/>
      <c r="BQJ121" s="88"/>
      <c r="BQK121" s="88"/>
      <c r="BQL121" s="88"/>
      <c r="BQM121" s="88"/>
      <c r="BQN121" s="88"/>
      <c r="BQO121" s="88"/>
      <c r="BQP121" s="88"/>
      <c r="BQQ121" s="88"/>
      <c r="BQR121" s="88"/>
      <c r="BQS121" s="88"/>
      <c r="BQT121" s="88"/>
      <c r="BQU121" s="88"/>
      <c r="BQV121" s="88"/>
      <c r="BQW121" s="88"/>
      <c r="BQX121" s="88"/>
      <c r="BQY121" s="88"/>
      <c r="BQZ121" s="88"/>
      <c r="BRA121" s="88"/>
      <c r="BRB121" s="88"/>
      <c r="BRC121" s="88"/>
      <c r="BRD121" s="88"/>
      <c r="BRE121" s="88"/>
      <c r="BRF121" s="88"/>
      <c r="BRG121" s="88"/>
      <c r="BRH121" s="88"/>
      <c r="BRI121" s="88"/>
      <c r="BRJ121" s="88"/>
      <c r="BRK121" s="88"/>
      <c r="BRL121" s="88"/>
      <c r="BRM121" s="88"/>
      <c r="BRN121" s="88"/>
      <c r="BRO121" s="88"/>
      <c r="BRP121" s="88"/>
      <c r="BRQ121" s="88"/>
      <c r="BRR121" s="88"/>
      <c r="BRS121" s="88"/>
      <c r="BRT121" s="88"/>
      <c r="BRU121" s="88"/>
      <c r="BRV121" s="88"/>
      <c r="BRW121" s="88"/>
      <c r="BRX121" s="88"/>
      <c r="BRY121" s="88"/>
      <c r="BRZ121" s="88"/>
      <c r="BSA121" s="88"/>
      <c r="BSB121" s="88"/>
      <c r="BSC121" s="88"/>
      <c r="BSD121" s="88"/>
      <c r="BSE121" s="88"/>
      <c r="BSF121" s="88"/>
      <c r="BSG121" s="88"/>
      <c r="BSH121" s="88"/>
      <c r="BSI121" s="88"/>
      <c r="BSJ121" s="88"/>
      <c r="BSK121" s="88"/>
      <c r="BSL121" s="88"/>
      <c r="BSM121" s="88"/>
      <c r="BSN121" s="88"/>
      <c r="BSO121" s="88"/>
      <c r="BSP121" s="88"/>
      <c r="BSQ121" s="88"/>
      <c r="BSR121" s="88"/>
      <c r="BSS121" s="88"/>
      <c r="BST121" s="88"/>
      <c r="BSU121" s="88"/>
      <c r="BSV121" s="88"/>
      <c r="BSW121" s="88"/>
      <c r="BSX121" s="88"/>
      <c r="BSY121" s="88"/>
      <c r="BSZ121" s="88"/>
      <c r="BTA121" s="88"/>
      <c r="BTB121" s="88"/>
      <c r="BTC121" s="88"/>
      <c r="BTD121" s="88"/>
      <c r="BTE121" s="88"/>
      <c r="BTF121" s="88"/>
      <c r="BTG121" s="88"/>
      <c r="BTH121" s="88"/>
      <c r="BTI121" s="88"/>
      <c r="BTJ121" s="88"/>
      <c r="BTK121" s="88"/>
      <c r="BTL121" s="88"/>
      <c r="BTM121" s="88"/>
      <c r="BTN121" s="88"/>
      <c r="BTO121" s="88"/>
      <c r="BTP121" s="88"/>
      <c r="BTQ121" s="88"/>
      <c r="BTR121" s="88"/>
      <c r="BTS121" s="88"/>
      <c r="BTT121" s="88"/>
      <c r="BTU121" s="88"/>
      <c r="BTV121" s="88"/>
      <c r="BTW121" s="88"/>
      <c r="BTX121" s="88"/>
      <c r="BTY121" s="88"/>
      <c r="BTZ121" s="88"/>
      <c r="BUA121" s="88"/>
      <c r="BUB121" s="88"/>
      <c r="BUC121" s="88"/>
      <c r="BUD121" s="88"/>
      <c r="BUE121" s="88"/>
      <c r="BUF121" s="88"/>
      <c r="BUG121" s="88"/>
      <c r="BUH121" s="88"/>
      <c r="BUI121" s="88"/>
      <c r="BUJ121" s="88"/>
      <c r="BUK121" s="88"/>
      <c r="BUL121" s="88"/>
      <c r="BUM121" s="88"/>
      <c r="BUN121" s="88"/>
      <c r="BUO121" s="88"/>
      <c r="BUP121" s="88"/>
      <c r="BUQ121" s="88"/>
      <c r="BUR121" s="88"/>
      <c r="BUS121" s="88"/>
      <c r="BUT121" s="88"/>
      <c r="BUU121" s="88"/>
      <c r="BUV121" s="88"/>
      <c r="BUW121" s="88"/>
      <c r="BUX121" s="88"/>
      <c r="BUY121" s="88"/>
      <c r="BUZ121" s="88"/>
      <c r="BVA121" s="88"/>
      <c r="BVB121" s="88"/>
      <c r="BVC121" s="88"/>
      <c r="BVD121" s="88"/>
      <c r="BVE121" s="88"/>
      <c r="BVF121" s="88"/>
      <c r="BVG121" s="88"/>
      <c r="BVH121" s="88"/>
      <c r="BVI121" s="88"/>
      <c r="BVJ121" s="88"/>
      <c r="BVK121" s="88"/>
      <c r="BVL121" s="88"/>
      <c r="BVM121" s="88"/>
      <c r="BVN121" s="88"/>
      <c r="BVO121" s="88"/>
      <c r="BVP121" s="88"/>
      <c r="BVQ121" s="88"/>
      <c r="BVR121" s="88"/>
      <c r="BVS121" s="88"/>
      <c r="BVT121" s="88"/>
      <c r="BVU121" s="88"/>
      <c r="BVV121" s="88"/>
      <c r="BVW121" s="88"/>
      <c r="BVX121" s="88"/>
      <c r="BVY121" s="88"/>
      <c r="BVZ121" s="88"/>
      <c r="BWA121" s="88"/>
      <c r="BWB121" s="88"/>
      <c r="BWC121" s="88"/>
      <c r="BWD121" s="88"/>
      <c r="BWE121" s="88"/>
      <c r="BWF121" s="88"/>
      <c r="BWG121" s="88"/>
      <c r="BWH121" s="88"/>
      <c r="BWI121" s="88"/>
      <c r="BWJ121" s="88"/>
      <c r="BWK121" s="88"/>
      <c r="BWL121" s="88"/>
      <c r="BWM121" s="88"/>
      <c r="BWN121" s="88"/>
      <c r="BWO121" s="88"/>
      <c r="BWP121" s="88"/>
      <c r="BWQ121" s="88"/>
      <c r="BWR121" s="88"/>
      <c r="BWS121" s="88"/>
      <c r="BWT121" s="88"/>
      <c r="BWU121" s="88"/>
      <c r="BWV121" s="88"/>
      <c r="BWW121" s="88"/>
      <c r="BWX121" s="88"/>
      <c r="BWY121" s="88"/>
      <c r="BWZ121" s="88"/>
      <c r="BXA121" s="88"/>
      <c r="BXB121" s="88"/>
      <c r="BXC121" s="88"/>
      <c r="BXD121" s="88"/>
      <c r="BXE121" s="88"/>
      <c r="BXF121" s="88"/>
      <c r="BXG121" s="88"/>
      <c r="BXH121" s="88"/>
      <c r="BXI121" s="88"/>
      <c r="BXJ121" s="88"/>
      <c r="BXK121" s="88"/>
      <c r="BXL121" s="88"/>
      <c r="BXM121" s="88"/>
      <c r="BXN121" s="88"/>
      <c r="BXO121" s="88"/>
      <c r="BXP121" s="88"/>
      <c r="BXQ121" s="88"/>
      <c r="BXR121" s="88"/>
      <c r="BXS121" s="88"/>
      <c r="BXT121" s="88"/>
      <c r="BXU121" s="88"/>
      <c r="BXV121" s="88"/>
      <c r="BXW121" s="88"/>
      <c r="BXX121" s="88"/>
      <c r="BXY121" s="88"/>
      <c r="BXZ121" s="88"/>
      <c r="BYA121" s="88"/>
      <c r="BYB121" s="88"/>
      <c r="BYC121" s="88"/>
      <c r="BYD121" s="88"/>
      <c r="BYE121" s="88"/>
      <c r="BYF121" s="88"/>
      <c r="BYG121" s="88"/>
      <c r="BYH121" s="88"/>
      <c r="BYI121" s="88"/>
      <c r="BYJ121" s="88"/>
      <c r="BYK121" s="88"/>
      <c r="BYL121" s="88"/>
      <c r="BYM121" s="88"/>
      <c r="BYN121" s="88"/>
      <c r="BYO121" s="88"/>
      <c r="BYP121" s="88"/>
      <c r="BYQ121" s="88"/>
      <c r="BYR121" s="88"/>
      <c r="BYS121" s="88"/>
      <c r="BYT121" s="88"/>
      <c r="BYU121" s="88"/>
      <c r="BYV121" s="88"/>
      <c r="BYW121" s="88"/>
      <c r="BYX121" s="88"/>
      <c r="BYY121" s="88"/>
      <c r="BYZ121" s="88"/>
      <c r="BZA121" s="88"/>
      <c r="BZB121" s="88"/>
      <c r="BZC121" s="88"/>
      <c r="BZD121" s="88"/>
      <c r="BZE121" s="88"/>
      <c r="BZF121" s="88"/>
      <c r="BZG121" s="88"/>
      <c r="BZH121" s="88"/>
      <c r="BZI121" s="88"/>
      <c r="BZJ121" s="88"/>
      <c r="BZK121" s="88"/>
      <c r="BZL121" s="88"/>
      <c r="BZM121" s="88"/>
      <c r="BZN121" s="88"/>
      <c r="BZO121" s="88"/>
      <c r="BZP121" s="88"/>
      <c r="BZQ121" s="88"/>
      <c r="BZR121" s="88"/>
      <c r="BZS121" s="88"/>
      <c r="BZT121" s="88"/>
      <c r="BZU121" s="88"/>
      <c r="BZV121" s="88"/>
      <c r="BZW121" s="88"/>
      <c r="BZX121" s="88"/>
      <c r="BZY121" s="88"/>
      <c r="BZZ121" s="88"/>
      <c r="CAA121" s="88"/>
      <c r="CAB121" s="88"/>
      <c r="CAC121" s="88"/>
      <c r="CAD121" s="88"/>
      <c r="CAE121" s="88"/>
      <c r="CAF121" s="88"/>
      <c r="CAG121" s="88"/>
      <c r="CAH121" s="88"/>
      <c r="CAI121" s="88"/>
      <c r="CAJ121" s="88"/>
      <c r="CAK121" s="88"/>
      <c r="CAL121" s="88"/>
      <c r="CAM121" s="88"/>
      <c r="CAN121" s="88"/>
      <c r="CAO121" s="88"/>
      <c r="CAP121" s="88"/>
      <c r="CAQ121" s="88"/>
      <c r="CAR121" s="88"/>
      <c r="CAS121" s="88"/>
      <c r="CAT121" s="88"/>
      <c r="CAU121" s="88"/>
      <c r="CAV121" s="88"/>
      <c r="CAW121" s="88"/>
      <c r="CAX121" s="88"/>
      <c r="CAY121" s="88"/>
      <c r="CAZ121" s="88"/>
      <c r="CBA121" s="88"/>
      <c r="CBB121" s="88"/>
      <c r="CBC121" s="88"/>
      <c r="CBD121" s="88"/>
      <c r="CBE121" s="88"/>
      <c r="CBF121" s="88"/>
      <c r="CBG121" s="88"/>
      <c r="CBH121" s="88"/>
      <c r="CBI121" s="88"/>
      <c r="CBJ121" s="88"/>
      <c r="CBK121" s="88"/>
      <c r="CBL121" s="88"/>
      <c r="CBM121" s="88"/>
      <c r="CBN121" s="88"/>
      <c r="CBO121" s="88"/>
      <c r="CBP121" s="88"/>
      <c r="CBQ121" s="88"/>
      <c r="CBR121" s="88"/>
      <c r="CBS121" s="88"/>
      <c r="CBT121" s="88"/>
      <c r="CBU121" s="88"/>
      <c r="CBV121" s="88"/>
      <c r="CBW121" s="88"/>
      <c r="CBX121" s="88"/>
      <c r="CBY121" s="88"/>
      <c r="CBZ121" s="88"/>
      <c r="CCA121" s="88"/>
      <c r="CCB121" s="88"/>
      <c r="CCC121" s="88"/>
      <c r="CCD121" s="88"/>
      <c r="CCE121" s="88"/>
      <c r="CCF121" s="88"/>
      <c r="CCG121" s="88"/>
      <c r="CCH121" s="88"/>
      <c r="CCI121" s="88"/>
      <c r="CCJ121" s="88"/>
      <c r="CCK121" s="88"/>
      <c r="CCL121" s="88"/>
      <c r="CCM121" s="88"/>
      <c r="CCN121" s="88"/>
      <c r="CCO121" s="88"/>
      <c r="CCP121" s="88"/>
      <c r="CCQ121" s="88"/>
      <c r="CCR121" s="88"/>
      <c r="CCS121" s="88"/>
      <c r="CCT121" s="88"/>
      <c r="CCU121" s="88"/>
      <c r="CCV121" s="88"/>
      <c r="CCW121" s="88"/>
      <c r="CCX121" s="88"/>
      <c r="CCY121" s="88"/>
      <c r="CCZ121" s="88"/>
      <c r="CDA121" s="88"/>
      <c r="CDB121" s="88"/>
      <c r="CDC121" s="88"/>
      <c r="CDD121" s="88"/>
      <c r="CDE121" s="88"/>
      <c r="CDF121" s="88"/>
      <c r="CDG121" s="88"/>
      <c r="CDH121" s="88"/>
      <c r="CDI121" s="88"/>
      <c r="CDJ121" s="88"/>
      <c r="CDK121" s="88"/>
      <c r="CDL121" s="88"/>
      <c r="CDM121" s="88"/>
      <c r="CDN121" s="88"/>
      <c r="CDO121" s="88"/>
      <c r="CDP121" s="88"/>
      <c r="CDQ121" s="88"/>
      <c r="CDR121" s="88"/>
      <c r="CDS121" s="88"/>
      <c r="CDT121" s="88"/>
      <c r="CDU121" s="88"/>
      <c r="CDV121" s="88"/>
      <c r="CDW121" s="88"/>
      <c r="CDX121" s="88"/>
      <c r="CDY121" s="88"/>
      <c r="CDZ121" s="88"/>
      <c r="CEA121" s="88"/>
      <c r="CEB121" s="88"/>
      <c r="CEC121" s="88"/>
      <c r="CED121" s="88"/>
      <c r="CEE121" s="88"/>
      <c r="CEF121" s="88"/>
      <c r="CEG121" s="88"/>
      <c r="CEH121" s="88"/>
      <c r="CEI121" s="88"/>
      <c r="CEJ121" s="88"/>
      <c r="CEK121" s="88"/>
    </row>
    <row r="122" spans="1:2169" s="63" customFormat="1">
      <c r="A122" s="73" t="s">
        <v>809</v>
      </c>
      <c r="B122" s="73" t="s">
        <v>711</v>
      </c>
      <c r="C122" s="68" t="str">
        <f>IF('page 2'!$O$4="","",IF('page 2'!$O$4=Gestion!A122,1,0))</f>
        <v/>
      </c>
      <c r="D122" s="68" t="str">
        <f>IF('page 2'!$O$5="","",IF('page 2'!$O$5=Gestion!A122,1,0))</f>
        <v/>
      </c>
      <c r="E122" s="68" t="str">
        <f>IF('page 2'!$O$6="","",IF('page 2'!$O$6=Gestion!A122,1,0))</f>
        <v/>
      </c>
      <c r="F122" s="68" t="str">
        <f>IF('page 2'!$O$7="","",IF('page 2'!$O$7=Gestion!A122,1,0))</f>
        <v/>
      </c>
      <c r="G122" s="68" t="str">
        <f>IF('page 2'!$O$8="","",IF('page 2'!$O$8=Gestion!A122,1,0))</f>
        <v/>
      </c>
      <c r="H122" s="68" t="str">
        <f>IF('page 2'!$O$9="","",IF('page 2'!$O$9=Gestion!A122,1,0))</f>
        <v/>
      </c>
      <c r="I122" s="68" t="str">
        <f>IF('page 2'!$O$10="","",IF('page 2'!$O$10=Gestion!A122,1,0))</f>
        <v/>
      </c>
      <c r="J122" s="68" t="str">
        <f>IF('page 2'!$O$11="","",IF('page 2'!$O$11=Gestion!A122,1,0))</f>
        <v/>
      </c>
      <c r="K122" s="68" t="str">
        <f>IF('page 2'!$O$12="","",IF('page 2'!$O$12=Gestion!A122,1,0))</f>
        <v/>
      </c>
      <c r="L122" s="68" t="str">
        <f>IF('page 2'!$O$13="","",IF('page 2'!$O$13=Gestion!A122,1,0))</f>
        <v/>
      </c>
      <c r="M122" s="68" t="str">
        <f>IF('page 2'!$O$14="","",IF('page 2'!$O$14=Gestion!A122,1,0))</f>
        <v/>
      </c>
      <c r="N122" s="68" t="str">
        <f>IF('page 2'!$O$15="","",IF('page 2'!$O$15=Gestion!A122,1,0))</f>
        <v/>
      </c>
      <c r="O122" s="68" t="str">
        <f>IF('page 2'!$O$16="","",IF('page 2'!$O$16=Gestion!A122,1,0))</f>
        <v/>
      </c>
      <c r="P122" s="68" t="str">
        <f>IF('page 2'!$O$17="","",IF('page 2'!$O$17=Gestion!A122,1,0))</f>
        <v/>
      </c>
      <c r="Q122" s="68" t="str">
        <f>IF('page 2'!$O$18="","",IF('page 2'!$O$18=Gestion!A122,1,0))</f>
        <v/>
      </c>
      <c r="R122" s="68" t="str">
        <f>IF('page 2'!$O$19="","",IF('page 2'!$O$19=Gestion!A122,1,0))</f>
        <v/>
      </c>
      <c r="S122" s="68" t="str">
        <f>IF('page 2'!$O$20="","",IF('page 2'!$O$20=Gestion!A122,1,0))</f>
        <v/>
      </c>
      <c r="T122" s="68" t="str">
        <f>IF('page 2'!$O$25="","",IF('page 2'!$O$25=Gestion!A122,1,0))</f>
        <v/>
      </c>
      <c r="U122" s="68" t="str">
        <f>IF('page 2'!$O$26="","",IF('page 2'!$O$26=Gestion!A122,1,0))</f>
        <v/>
      </c>
      <c r="V122" s="68" t="str">
        <f>IF('page 2'!$O$27="","",IF('page 2'!$O$27=Gestion!A122,1,0))</f>
        <v/>
      </c>
      <c r="W122" s="722">
        <f t="shared" si="14"/>
        <v>0</v>
      </c>
      <c r="X122" s="714"/>
      <c r="Y122" s="68"/>
      <c r="Z122" s="68"/>
      <c r="AA122" s="68"/>
      <c r="AB122" s="68"/>
      <c r="AC122" s="68"/>
      <c r="AD122" s="68"/>
      <c r="AP122" s="130"/>
      <c r="AQ122" s="130"/>
      <c r="AR122" s="130"/>
      <c r="AS122" s="576"/>
      <c r="AT122" s="576"/>
      <c r="AU122" s="576"/>
      <c r="AV122" s="576"/>
      <c r="AW122" s="602"/>
      <c r="AX122" s="602"/>
      <c r="AY122" s="576"/>
      <c r="AZ122" s="576"/>
      <c r="BA122" s="576"/>
      <c r="BB122" s="576"/>
      <c r="BC122" s="576"/>
      <c r="BD122" s="602"/>
      <c r="BE122" s="602"/>
      <c r="BF122" s="602"/>
      <c r="BG122" s="602"/>
      <c r="BH122" s="602"/>
      <c r="BI122" s="602"/>
      <c r="BJ122" s="602"/>
      <c r="BK122" s="602"/>
      <c r="BL122" s="602"/>
      <c r="BM122" s="602"/>
      <c r="BN122" s="602"/>
      <c r="BO122" s="602"/>
      <c r="BP122" s="602"/>
      <c r="BQ122" s="602"/>
      <c r="BR122" s="602"/>
      <c r="BS122" s="576"/>
      <c r="BT122" s="576"/>
      <c r="BU122" s="576"/>
      <c r="BV122" s="576"/>
      <c r="BW122" s="602"/>
      <c r="BX122" s="602"/>
      <c r="BY122" s="602"/>
      <c r="BZ122" s="576"/>
      <c r="CA122" s="602"/>
      <c r="CB122" s="602"/>
      <c r="CC122" s="576"/>
      <c r="CD122" s="576"/>
      <c r="CE122" s="602"/>
      <c r="CF122" s="576"/>
      <c r="CG122" s="576"/>
      <c r="CH122" s="576"/>
      <c r="CI122" s="576"/>
      <c r="CJ122" s="576"/>
      <c r="CK122" s="602"/>
      <c r="CL122" s="602"/>
      <c r="CM122" s="576"/>
      <c r="CN122" s="602"/>
      <c r="CO122" s="602"/>
      <c r="CP122" s="602"/>
      <c r="CQ122" s="576"/>
      <c r="CR122" s="576"/>
      <c r="CS122" s="602"/>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c r="HP122" s="88"/>
      <c r="HQ122" s="88"/>
      <c r="HR122" s="88"/>
      <c r="HS122" s="88"/>
      <c r="HT122" s="88"/>
      <c r="HU122" s="88"/>
      <c r="HV122" s="88"/>
      <c r="HW122" s="88"/>
      <c r="HX122" s="88"/>
      <c r="HY122" s="88"/>
      <c r="HZ122" s="88"/>
      <c r="IA122" s="88"/>
      <c r="IB122" s="88"/>
      <c r="IC122" s="88"/>
      <c r="ID122" s="88"/>
      <c r="IE122" s="88"/>
      <c r="IF122" s="88"/>
      <c r="IG122" s="88"/>
      <c r="IH122" s="88"/>
      <c r="II122" s="88"/>
      <c r="IJ122" s="88"/>
      <c r="IK122" s="88"/>
      <c r="IL122" s="88"/>
      <c r="IM122" s="88"/>
      <c r="IN122" s="88"/>
      <c r="IO122" s="88"/>
      <c r="IP122" s="88"/>
      <c r="IQ122" s="88"/>
      <c r="IR122" s="88"/>
      <c r="IS122" s="88"/>
      <c r="IT122" s="88"/>
      <c r="IU122" s="88"/>
      <c r="IV122" s="88"/>
      <c r="IW122" s="88"/>
      <c r="IX122" s="88"/>
      <c r="IY122" s="88"/>
      <c r="IZ122" s="88"/>
      <c r="JA122" s="88"/>
      <c r="JB122" s="88"/>
      <c r="JC122" s="88"/>
      <c r="JD122" s="88"/>
      <c r="JE122" s="88"/>
      <c r="JF122" s="88"/>
      <c r="JG122" s="88"/>
      <c r="JH122" s="88"/>
      <c r="JI122" s="88"/>
      <c r="JJ122" s="88"/>
      <c r="JK122" s="88"/>
      <c r="JL122" s="88"/>
      <c r="JM122" s="88"/>
      <c r="JN122" s="88"/>
      <c r="JO122" s="88"/>
      <c r="JP122" s="88"/>
      <c r="JQ122" s="88"/>
      <c r="JR122" s="88"/>
      <c r="JS122" s="88"/>
      <c r="JT122" s="88"/>
      <c r="JU122" s="88"/>
      <c r="JV122" s="88"/>
      <c r="JW122" s="88"/>
      <c r="JX122" s="88"/>
      <c r="JY122" s="88"/>
      <c r="JZ122" s="88"/>
      <c r="KA122" s="88"/>
      <c r="KB122" s="88"/>
      <c r="KC122" s="88"/>
      <c r="KD122" s="88"/>
      <c r="KE122" s="88"/>
      <c r="KF122" s="88"/>
      <c r="KG122" s="88"/>
      <c r="KH122" s="88"/>
      <c r="KI122" s="88"/>
      <c r="KJ122" s="88"/>
      <c r="KK122" s="88"/>
      <c r="KL122" s="88"/>
      <c r="KM122" s="88"/>
      <c r="KN122" s="88"/>
      <c r="KO122" s="88"/>
      <c r="KP122" s="88"/>
      <c r="KQ122" s="88"/>
      <c r="KR122" s="88"/>
      <c r="KS122" s="88"/>
      <c r="KT122" s="88"/>
      <c r="KU122" s="88"/>
      <c r="KV122" s="88"/>
      <c r="KW122" s="88"/>
      <c r="KX122" s="88"/>
      <c r="KY122" s="88"/>
      <c r="KZ122" s="88"/>
      <c r="LA122" s="88"/>
      <c r="LB122" s="88"/>
      <c r="LC122" s="88"/>
      <c r="LD122" s="88"/>
      <c r="LE122" s="88"/>
      <c r="LF122" s="88"/>
      <c r="LG122" s="88"/>
      <c r="LH122" s="88"/>
      <c r="LI122" s="88"/>
      <c r="LJ122" s="88"/>
      <c r="LK122" s="88"/>
      <c r="LL122" s="88"/>
      <c r="LM122" s="88"/>
      <c r="LN122" s="88"/>
      <c r="LO122" s="88"/>
      <c r="LP122" s="88"/>
      <c r="LQ122" s="88"/>
      <c r="LR122" s="88"/>
      <c r="LS122" s="88"/>
      <c r="LT122" s="88"/>
      <c r="LU122" s="88"/>
      <c r="LV122" s="88"/>
      <c r="LW122" s="88"/>
      <c r="LX122" s="88"/>
      <c r="LY122" s="88"/>
      <c r="LZ122" s="88"/>
      <c r="MA122" s="88"/>
      <c r="MB122" s="88"/>
      <c r="MC122" s="88"/>
      <c r="MD122" s="88"/>
      <c r="ME122" s="88"/>
      <c r="MF122" s="88"/>
      <c r="MG122" s="88"/>
      <c r="MH122" s="88"/>
      <c r="MI122" s="88"/>
      <c r="MJ122" s="88"/>
      <c r="MK122" s="88"/>
      <c r="ML122" s="88"/>
      <c r="MM122" s="88"/>
      <c r="MN122" s="88"/>
      <c r="MO122" s="88"/>
      <c r="MP122" s="88"/>
      <c r="MQ122" s="88"/>
      <c r="MR122" s="88"/>
      <c r="MS122" s="88"/>
      <c r="MT122" s="88"/>
      <c r="MU122" s="88"/>
      <c r="MV122" s="88"/>
      <c r="MW122" s="88"/>
      <c r="MX122" s="88"/>
      <c r="MY122" s="88"/>
      <c r="MZ122" s="88"/>
      <c r="NA122" s="88"/>
      <c r="NB122" s="88"/>
      <c r="NC122" s="88"/>
      <c r="ND122" s="88"/>
      <c r="NE122" s="88"/>
      <c r="NF122" s="88"/>
      <c r="NG122" s="88"/>
      <c r="NH122" s="88"/>
      <c r="NI122" s="88"/>
      <c r="NJ122" s="88"/>
      <c r="NK122" s="88"/>
      <c r="NL122" s="88"/>
      <c r="NM122" s="88"/>
      <c r="NN122" s="88"/>
      <c r="NO122" s="88"/>
      <c r="NP122" s="88"/>
      <c r="NQ122" s="88"/>
      <c r="NR122" s="88"/>
      <c r="NS122" s="88"/>
      <c r="NT122" s="88"/>
      <c r="NU122" s="88"/>
      <c r="NV122" s="88"/>
      <c r="NW122" s="88"/>
      <c r="NX122" s="88"/>
      <c r="NY122" s="88"/>
      <c r="NZ122" s="88"/>
      <c r="OA122" s="88"/>
      <c r="OB122" s="88"/>
      <c r="OC122" s="88"/>
      <c r="OD122" s="88"/>
      <c r="OE122" s="88"/>
      <c r="OF122" s="88"/>
      <c r="OG122" s="88"/>
      <c r="OH122" s="88"/>
      <c r="OI122" s="88"/>
      <c r="OJ122" s="88"/>
      <c r="OK122" s="88"/>
      <c r="OL122" s="88"/>
      <c r="OM122" s="88"/>
      <c r="ON122" s="88"/>
      <c r="OO122" s="88"/>
      <c r="OP122" s="88"/>
      <c r="OQ122" s="88"/>
      <c r="OR122" s="88"/>
      <c r="OS122" s="88"/>
      <c r="OT122" s="88"/>
      <c r="OU122" s="88"/>
      <c r="OV122" s="88"/>
      <c r="OW122" s="88"/>
      <c r="OX122" s="88"/>
      <c r="OY122" s="88"/>
      <c r="OZ122" s="88"/>
      <c r="PA122" s="88"/>
      <c r="PB122" s="88"/>
      <c r="PC122" s="88"/>
      <c r="PD122" s="88"/>
      <c r="PE122" s="88"/>
      <c r="PF122" s="88"/>
      <c r="PG122" s="88"/>
      <c r="PH122" s="88"/>
      <c r="PI122" s="88"/>
      <c r="PJ122" s="88"/>
      <c r="PK122" s="88"/>
      <c r="PL122" s="88"/>
      <c r="PM122" s="88"/>
      <c r="PN122" s="88"/>
      <c r="PO122" s="88"/>
      <c r="PP122" s="88"/>
      <c r="PQ122" s="88"/>
      <c r="PR122" s="88"/>
      <c r="PS122" s="88"/>
      <c r="PT122" s="88"/>
      <c r="PU122" s="88"/>
      <c r="PV122" s="88"/>
      <c r="PW122" s="88"/>
      <c r="PX122" s="88"/>
      <c r="PY122" s="88"/>
      <c r="PZ122" s="88"/>
      <c r="QA122" s="88"/>
      <c r="QB122" s="88"/>
      <c r="QC122" s="88"/>
      <c r="QD122" s="88"/>
      <c r="QE122" s="88"/>
      <c r="QF122" s="88"/>
      <c r="QG122" s="88"/>
      <c r="QH122" s="88"/>
      <c r="QI122" s="88"/>
      <c r="QJ122" s="88"/>
      <c r="QK122" s="88"/>
      <c r="QL122" s="88"/>
      <c r="QM122" s="88"/>
      <c r="QN122" s="88"/>
      <c r="QO122" s="88"/>
      <c r="QP122" s="88"/>
      <c r="QQ122" s="88"/>
      <c r="QR122" s="88"/>
      <c r="QS122" s="88"/>
      <c r="QT122" s="88"/>
      <c r="QU122" s="88"/>
      <c r="QV122" s="88"/>
      <c r="QW122" s="88"/>
      <c r="QX122" s="88"/>
      <c r="QY122" s="88"/>
      <c r="QZ122" s="88"/>
      <c r="RA122" s="88"/>
      <c r="RB122" s="88"/>
      <c r="RC122" s="88"/>
      <c r="RD122" s="88"/>
      <c r="RE122" s="88"/>
      <c r="RF122" s="88"/>
      <c r="RG122" s="88"/>
      <c r="RH122" s="88"/>
      <c r="RI122" s="88"/>
      <c r="RJ122" s="88"/>
      <c r="RK122" s="88"/>
      <c r="RL122" s="88"/>
      <c r="RM122" s="88"/>
      <c r="RN122" s="88"/>
      <c r="RO122" s="88"/>
      <c r="RP122" s="88"/>
      <c r="RQ122" s="88"/>
      <c r="RR122" s="88"/>
      <c r="RS122" s="88"/>
      <c r="RT122" s="88"/>
      <c r="RU122" s="88"/>
      <c r="RV122" s="88"/>
      <c r="RW122" s="88"/>
      <c r="RX122" s="88"/>
      <c r="RY122" s="88"/>
      <c r="RZ122" s="88"/>
      <c r="SA122" s="88"/>
      <c r="SB122" s="88"/>
      <c r="SC122" s="88"/>
      <c r="SD122" s="88"/>
      <c r="SE122" s="88"/>
      <c r="SF122" s="88"/>
      <c r="SG122" s="88"/>
      <c r="SH122" s="88"/>
      <c r="SI122" s="88"/>
      <c r="SJ122" s="88"/>
      <c r="SK122" s="88"/>
      <c r="SL122" s="88"/>
      <c r="SM122" s="88"/>
      <c r="SN122" s="88"/>
      <c r="SO122" s="88"/>
      <c r="SP122" s="88"/>
      <c r="SQ122" s="88"/>
      <c r="SR122" s="88"/>
      <c r="SS122" s="88"/>
      <c r="ST122" s="88"/>
      <c r="SU122" s="88"/>
      <c r="SV122" s="88"/>
      <c r="SW122" s="88"/>
      <c r="SX122" s="88"/>
      <c r="SY122" s="88"/>
      <c r="SZ122" s="88"/>
      <c r="TA122" s="88"/>
      <c r="TB122" s="88"/>
      <c r="TC122" s="88"/>
      <c r="TD122" s="88"/>
      <c r="TE122" s="88"/>
      <c r="TF122" s="88"/>
      <c r="TG122" s="88"/>
      <c r="TH122" s="88"/>
      <c r="TI122" s="88"/>
      <c r="TJ122" s="88"/>
      <c r="TK122" s="88"/>
      <c r="TL122" s="88"/>
      <c r="TM122" s="88"/>
      <c r="TN122" s="88"/>
      <c r="TO122" s="88"/>
      <c r="TP122" s="88"/>
      <c r="TQ122" s="88"/>
      <c r="TR122" s="88"/>
      <c r="TS122" s="88"/>
      <c r="TT122" s="88"/>
      <c r="TU122" s="88"/>
      <c r="TV122" s="88"/>
      <c r="TW122" s="88"/>
      <c r="TX122" s="88"/>
      <c r="TY122" s="88"/>
      <c r="TZ122" s="88"/>
      <c r="UA122" s="88"/>
      <c r="UB122" s="88"/>
      <c r="UC122" s="88"/>
      <c r="UD122" s="88"/>
      <c r="UE122" s="88"/>
      <c r="UF122" s="88"/>
      <c r="UG122" s="88"/>
      <c r="UH122" s="88"/>
      <c r="UI122" s="88"/>
      <c r="UJ122" s="88"/>
      <c r="UK122" s="88"/>
      <c r="UL122" s="88"/>
      <c r="UM122" s="88"/>
      <c r="UN122" s="88"/>
      <c r="UO122" s="88"/>
      <c r="UP122" s="88"/>
      <c r="UQ122" s="88"/>
      <c r="UR122" s="88"/>
      <c r="US122" s="88"/>
      <c r="UT122" s="88"/>
      <c r="UU122" s="88"/>
      <c r="UV122" s="88"/>
      <c r="UW122" s="88"/>
      <c r="UX122" s="88"/>
      <c r="UY122" s="88"/>
      <c r="UZ122" s="88"/>
      <c r="VA122" s="88"/>
      <c r="VB122" s="88"/>
      <c r="VC122" s="88"/>
      <c r="VD122" s="88"/>
      <c r="VE122" s="88"/>
      <c r="VF122" s="88"/>
      <c r="VG122" s="88"/>
      <c r="VH122" s="88"/>
      <c r="VI122" s="88"/>
      <c r="VJ122" s="88"/>
      <c r="VK122" s="88"/>
      <c r="VL122" s="88"/>
      <c r="VM122" s="88"/>
      <c r="VN122" s="88"/>
      <c r="VO122" s="88"/>
      <c r="VP122" s="88"/>
      <c r="VQ122" s="88"/>
      <c r="VR122" s="88"/>
      <c r="VS122" s="88"/>
      <c r="VT122" s="88"/>
      <c r="VU122" s="88"/>
      <c r="VV122" s="88"/>
      <c r="VW122" s="88"/>
      <c r="VX122" s="88"/>
      <c r="VY122" s="88"/>
      <c r="VZ122" s="88"/>
      <c r="WA122" s="88"/>
      <c r="WB122" s="88"/>
      <c r="WC122" s="88"/>
      <c r="WD122" s="88"/>
      <c r="WE122" s="88"/>
      <c r="WF122" s="88"/>
      <c r="WG122" s="88"/>
      <c r="WH122" s="88"/>
      <c r="WI122" s="88"/>
      <c r="WJ122" s="88"/>
      <c r="WK122" s="88"/>
      <c r="WL122" s="88"/>
      <c r="WM122" s="88"/>
      <c r="WN122" s="88"/>
      <c r="WO122" s="88"/>
      <c r="WP122" s="88"/>
      <c r="WQ122" s="88"/>
      <c r="WR122" s="88"/>
      <c r="WS122" s="88"/>
      <c r="WT122" s="88"/>
      <c r="WU122" s="88"/>
      <c r="WV122" s="88"/>
      <c r="WW122" s="88"/>
      <c r="WX122" s="88"/>
      <c r="WY122" s="88"/>
      <c r="WZ122" s="88"/>
      <c r="XA122" s="88"/>
      <c r="XB122" s="88"/>
      <c r="XC122" s="88"/>
      <c r="XD122" s="88"/>
      <c r="XE122" s="88"/>
      <c r="XF122" s="88"/>
      <c r="XG122" s="88"/>
      <c r="XH122" s="88"/>
      <c r="XI122" s="88"/>
      <c r="XJ122" s="88"/>
      <c r="XK122" s="88"/>
      <c r="XL122" s="88"/>
      <c r="XM122" s="88"/>
      <c r="XN122" s="88"/>
      <c r="XO122" s="88"/>
      <c r="XP122" s="88"/>
      <c r="XQ122" s="88"/>
      <c r="XR122" s="88"/>
      <c r="XS122" s="88"/>
      <c r="XT122" s="88"/>
      <c r="XU122" s="88"/>
      <c r="XV122" s="88"/>
      <c r="XW122" s="88"/>
      <c r="XX122" s="88"/>
      <c r="XY122" s="88"/>
      <c r="XZ122" s="88"/>
      <c r="YA122" s="88"/>
      <c r="YB122" s="88"/>
      <c r="YC122" s="88"/>
      <c r="YD122" s="88"/>
      <c r="YE122" s="88"/>
      <c r="YF122" s="88"/>
      <c r="YG122" s="88"/>
      <c r="YH122" s="88"/>
      <c r="YI122" s="88"/>
      <c r="YJ122" s="88"/>
      <c r="YK122" s="88"/>
      <c r="YL122" s="88"/>
      <c r="YM122" s="88"/>
      <c r="YN122" s="88"/>
      <c r="YO122" s="88"/>
      <c r="YP122" s="88"/>
      <c r="YQ122" s="88"/>
      <c r="YR122" s="88"/>
      <c r="YS122" s="88"/>
      <c r="YT122" s="88"/>
      <c r="YU122" s="88"/>
      <c r="YV122" s="88"/>
      <c r="YW122" s="88"/>
      <c r="YX122" s="88"/>
      <c r="YY122" s="88"/>
      <c r="YZ122" s="88"/>
      <c r="ZA122" s="88"/>
      <c r="ZB122" s="88"/>
      <c r="ZC122" s="88"/>
      <c r="ZD122" s="88"/>
      <c r="ZE122" s="88"/>
      <c r="ZF122" s="88"/>
      <c r="ZG122" s="88"/>
      <c r="ZH122" s="88"/>
      <c r="ZI122" s="88"/>
      <c r="ZJ122" s="88"/>
      <c r="ZK122" s="88"/>
      <c r="ZL122" s="88"/>
      <c r="ZM122" s="88"/>
      <c r="ZN122" s="88"/>
      <c r="ZO122" s="88"/>
      <c r="ZP122" s="88"/>
      <c r="ZQ122" s="88"/>
      <c r="ZR122" s="88"/>
      <c r="ZS122" s="88"/>
      <c r="ZT122" s="88"/>
      <c r="ZU122" s="88"/>
      <c r="ZV122" s="88"/>
      <c r="ZW122" s="88"/>
      <c r="ZX122" s="88"/>
      <c r="ZY122" s="88"/>
      <c r="ZZ122" s="88"/>
      <c r="AAA122" s="88"/>
      <c r="AAB122" s="88"/>
      <c r="AAC122" s="88"/>
      <c r="AAD122" s="88"/>
      <c r="AAE122" s="88"/>
      <c r="AAF122" s="88"/>
      <c r="AAG122" s="88"/>
      <c r="AAH122" s="88"/>
      <c r="AAI122" s="88"/>
      <c r="AAJ122" s="88"/>
      <c r="AAK122" s="88"/>
      <c r="AAL122" s="88"/>
      <c r="AAM122" s="88"/>
      <c r="AAN122" s="88"/>
      <c r="AAO122" s="88"/>
      <c r="AAP122" s="88"/>
      <c r="AAQ122" s="88"/>
      <c r="AAR122" s="88"/>
      <c r="AAS122" s="88"/>
      <c r="AAT122" s="88"/>
      <c r="AAU122" s="88"/>
      <c r="AAV122" s="88"/>
      <c r="AAW122" s="88"/>
      <c r="AAX122" s="88"/>
      <c r="AAY122" s="88"/>
      <c r="AAZ122" s="88"/>
      <c r="ABA122" s="88"/>
      <c r="ABB122" s="88"/>
      <c r="ABC122" s="88"/>
      <c r="ABD122" s="88"/>
      <c r="ABE122" s="88"/>
      <c r="ABF122" s="88"/>
      <c r="ABG122" s="88"/>
      <c r="ABH122" s="88"/>
      <c r="ABI122" s="88"/>
      <c r="ABJ122" s="88"/>
      <c r="ABK122" s="88"/>
      <c r="ABL122" s="88"/>
      <c r="ABM122" s="88"/>
      <c r="ABN122" s="88"/>
      <c r="ABO122" s="88"/>
      <c r="ABP122" s="88"/>
      <c r="ABQ122" s="88"/>
      <c r="ABR122" s="88"/>
      <c r="ABS122" s="88"/>
      <c r="ABT122" s="88"/>
      <c r="ABU122" s="88"/>
      <c r="ABV122" s="88"/>
      <c r="ABW122" s="88"/>
      <c r="ABX122" s="88"/>
      <c r="ABY122" s="88"/>
      <c r="ABZ122" s="88"/>
      <c r="ACA122" s="88"/>
      <c r="ACB122" s="88"/>
      <c r="ACC122" s="88"/>
      <c r="ACD122" s="88"/>
      <c r="ACE122" s="88"/>
      <c r="ACF122" s="88"/>
      <c r="ACG122" s="88"/>
      <c r="ACH122" s="88"/>
      <c r="ACI122" s="88"/>
      <c r="ACJ122" s="88"/>
      <c r="ACK122" s="88"/>
      <c r="ACL122" s="88"/>
      <c r="ACM122" s="88"/>
      <c r="ACN122" s="88"/>
      <c r="ACO122" s="88"/>
      <c r="ACP122" s="88"/>
      <c r="ACQ122" s="88"/>
      <c r="ACR122" s="88"/>
      <c r="ACS122" s="88"/>
      <c r="ACT122" s="88"/>
      <c r="ACU122" s="88"/>
      <c r="ACV122" s="88"/>
      <c r="ACW122" s="88"/>
      <c r="ACX122" s="88"/>
      <c r="ACY122" s="88"/>
      <c r="ACZ122" s="88"/>
      <c r="ADA122" s="88"/>
      <c r="ADB122" s="88"/>
      <c r="ADC122" s="88"/>
      <c r="ADD122" s="88"/>
      <c r="ADE122" s="88"/>
      <c r="ADF122" s="88"/>
      <c r="ADG122" s="88"/>
      <c r="ADH122" s="88"/>
      <c r="ADI122" s="88"/>
      <c r="ADJ122" s="88"/>
      <c r="ADK122" s="88"/>
      <c r="ADL122" s="88"/>
      <c r="ADM122" s="88"/>
      <c r="ADN122" s="88"/>
      <c r="ADO122" s="88"/>
      <c r="ADP122" s="88"/>
      <c r="ADQ122" s="88"/>
      <c r="ADR122" s="88"/>
      <c r="ADS122" s="88"/>
      <c r="ADT122" s="88"/>
      <c r="ADU122" s="88"/>
      <c r="ADV122" s="88"/>
      <c r="ADW122" s="88"/>
      <c r="ADX122" s="88"/>
      <c r="ADY122" s="88"/>
      <c r="ADZ122" s="88"/>
      <c r="AEA122" s="88"/>
      <c r="AEB122" s="88"/>
      <c r="AEC122" s="88"/>
      <c r="AED122" s="88"/>
      <c r="AEE122" s="88"/>
      <c r="AEF122" s="88"/>
      <c r="AEG122" s="88"/>
      <c r="AEH122" s="88"/>
      <c r="AEI122" s="88"/>
      <c r="AEJ122" s="88"/>
      <c r="AEK122" s="88"/>
      <c r="AEL122" s="88"/>
      <c r="AEM122" s="88"/>
      <c r="AEN122" s="88"/>
      <c r="AEO122" s="88"/>
      <c r="AEP122" s="88"/>
      <c r="AEQ122" s="88"/>
      <c r="AER122" s="88"/>
      <c r="AES122" s="88"/>
      <c r="AET122" s="88"/>
      <c r="AEU122" s="88"/>
      <c r="AEV122" s="88"/>
      <c r="AEW122" s="88"/>
      <c r="AEX122" s="88"/>
      <c r="AEY122" s="88"/>
      <c r="AEZ122" s="88"/>
      <c r="AFA122" s="88"/>
      <c r="AFB122" s="88"/>
      <c r="AFC122" s="88"/>
      <c r="AFD122" s="88"/>
      <c r="AFE122" s="88"/>
      <c r="AFF122" s="88"/>
      <c r="AFG122" s="88"/>
      <c r="AFH122" s="88"/>
      <c r="AFI122" s="88"/>
      <c r="AFJ122" s="88"/>
      <c r="AFK122" s="88"/>
      <c r="AFL122" s="88"/>
      <c r="AFM122" s="88"/>
      <c r="AFN122" s="88"/>
      <c r="AFO122" s="88"/>
      <c r="AFP122" s="88"/>
      <c r="AFQ122" s="88"/>
      <c r="AFR122" s="88"/>
      <c r="AFS122" s="88"/>
      <c r="AFT122" s="88"/>
      <c r="AFU122" s="88"/>
      <c r="AFV122" s="88"/>
      <c r="AFW122" s="88"/>
      <c r="AFX122" s="88"/>
      <c r="AFY122" s="88"/>
      <c r="AFZ122" s="88"/>
      <c r="AGA122" s="88"/>
      <c r="AGB122" s="88"/>
      <c r="AGC122" s="88"/>
      <c r="AGD122" s="88"/>
      <c r="AGE122" s="88"/>
      <c r="AGF122" s="88"/>
      <c r="AGG122" s="88"/>
      <c r="AGH122" s="88"/>
      <c r="AGI122" s="88"/>
      <c r="AGJ122" s="88"/>
      <c r="AGK122" s="88"/>
      <c r="AGL122" s="88"/>
      <c r="AGM122" s="88"/>
      <c r="AGN122" s="88"/>
      <c r="AGO122" s="88"/>
      <c r="AGP122" s="88"/>
      <c r="AGQ122" s="88"/>
      <c r="AGR122" s="88"/>
      <c r="AGS122" s="88"/>
      <c r="AGT122" s="88"/>
      <c r="AGU122" s="88"/>
      <c r="AGV122" s="88"/>
      <c r="AGW122" s="88"/>
      <c r="AGX122" s="88"/>
      <c r="AGY122" s="88"/>
      <c r="AGZ122" s="88"/>
      <c r="AHA122" s="88"/>
      <c r="AHB122" s="88"/>
      <c r="AHC122" s="88"/>
      <c r="AHD122" s="88"/>
      <c r="AHE122" s="88"/>
      <c r="AHF122" s="88"/>
      <c r="AHG122" s="88"/>
      <c r="AHH122" s="88"/>
      <c r="AHI122" s="88"/>
      <c r="AHJ122" s="88"/>
      <c r="AHK122" s="88"/>
      <c r="AHL122" s="88"/>
      <c r="AHM122" s="88"/>
      <c r="AHN122" s="88"/>
      <c r="AHO122" s="88"/>
      <c r="AHP122" s="88"/>
      <c r="AHQ122" s="88"/>
      <c r="AHR122" s="88"/>
      <c r="AHS122" s="88"/>
      <c r="AHT122" s="88"/>
      <c r="AHU122" s="88"/>
      <c r="AHV122" s="88"/>
      <c r="AHW122" s="88"/>
      <c r="AHX122" s="88"/>
      <c r="AHY122" s="88"/>
      <c r="AHZ122" s="88"/>
      <c r="AIA122" s="88"/>
      <c r="AIB122" s="88"/>
      <c r="AIC122" s="88"/>
      <c r="AID122" s="88"/>
      <c r="AIE122" s="88"/>
      <c r="AIF122" s="88"/>
      <c r="AIG122" s="88"/>
      <c r="AIH122" s="88"/>
      <c r="AII122" s="88"/>
      <c r="AIJ122" s="88"/>
      <c r="AIK122" s="88"/>
      <c r="AIL122" s="88"/>
      <c r="AIM122" s="88"/>
      <c r="AIN122" s="88"/>
      <c r="AIO122" s="88"/>
      <c r="AIP122" s="88"/>
      <c r="AIQ122" s="88"/>
      <c r="AIR122" s="88"/>
      <c r="AIS122" s="88"/>
      <c r="AIT122" s="88"/>
      <c r="AIU122" s="88"/>
      <c r="AIV122" s="88"/>
      <c r="AIW122" s="88"/>
      <c r="AIX122" s="88"/>
      <c r="AIY122" s="88"/>
      <c r="AIZ122" s="88"/>
      <c r="AJA122" s="88"/>
      <c r="AJB122" s="88"/>
      <c r="AJC122" s="88"/>
      <c r="AJD122" s="88"/>
      <c r="AJE122" s="88"/>
      <c r="AJF122" s="88"/>
      <c r="AJG122" s="88"/>
      <c r="AJH122" s="88"/>
      <c r="AJI122" s="88"/>
      <c r="AJJ122" s="88"/>
      <c r="AJK122" s="88"/>
      <c r="AJL122" s="88"/>
      <c r="AJM122" s="88"/>
      <c r="AJN122" s="88"/>
      <c r="AJO122" s="88"/>
      <c r="AJP122" s="88"/>
      <c r="AJQ122" s="88"/>
      <c r="AJR122" s="88"/>
      <c r="AJS122" s="88"/>
      <c r="AJT122" s="88"/>
      <c r="AJU122" s="88"/>
      <c r="AJV122" s="88"/>
      <c r="AJW122" s="88"/>
      <c r="AJX122" s="88"/>
      <c r="AJY122" s="88"/>
      <c r="AJZ122" s="88"/>
      <c r="AKA122" s="88"/>
      <c r="AKB122" s="88"/>
      <c r="AKC122" s="88"/>
      <c r="AKD122" s="88"/>
      <c r="AKE122" s="88"/>
      <c r="AKF122" s="88"/>
      <c r="AKG122" s="88"/>
      <c r="AKH122" s="88"/>
      <c r="AKI122" s="88"/>
      <c r="AKJ122" s="88"/>
      <c r="AKK122" s="88"/>
      <c r="AKL122" s="88"/>
      <c r="AKM122" s="88"/>
      <c r="AKN122" s="88"/>
      <c r="AKO122" s="88"/>
      <c r="AKP122" s="88"/>
      <c r="AKQ122" s="88"/>
      <c r="AKR122" s="88"/>
      <c r="AKS122" s="88"/>
      <c r="AKT122" s="88"/>
      <c r="AKU122" s="88"/>
      <c r="AKV122" s="88"/>
      <c r="AKW122" s="88"/>
      <c r="AKX122" s="88"/>
      <c r="AKY122" s="88"/>
      <c r="AKZ122" s="88"/>
      <c r="ALA122" s="88"/>
      <c r="ALB122" s="88"/>
      <c r="ALC122" s="88"/>
      <c r="ALD122" s="88"/>
      <c r="ALE122" s="88"/>
      <c r="ALF122" s="88"/>
      <c r="ALG122" s="88"/>
      <c r="ALH122" s="88"/>
      <c r="ALI122" s="88"/>
      <c r="ALJ122" s="88"/>
      <c r="ALK122" s="88"/>
      <c r="ALL122" s="88"/>
      <c r="ALM122" s="88"/>
      <c r="ALN122" s="88"/>
      <c r="ALO122" s="88"/>
      <c r="ALP122" s="88"/>
      <c r="ALQ122" s="88"/>
      <c r="ALR122" s="88"/>
      <c r="ALS122" s="88"/>
      <c r="ALT122" s="88"/>
      <c r="ALU122" s="88"/>
      <c r="ALV122" s="88"/>
      <c r="ALW122" s="88"/>
      <c r="ALX122" s="88"/>
      <c r="ALY122" s="88"/>
      <c r="ALZ122" s="88"/>
      <c r="AMA122" s="88"/>
      <c r="AMB122" s="88"/>
      <c r="AMC122" s="88"/>
      <c r="AMD122" s="88"/>
      <c r="AME122" s="88"/>
      <c r="AMF122" s="88"/>
      <c r="AMG122" s="88"/>
      <c r="AMH122" s="88"/>
      <c r="AMI122" s="88"/>
      <c r="AMJ122" s="88"/>
      <c r="AMK122" s="88"/>
      <c r="AML122" s="88"/>
      <c r="AMM122" s="88"/>
      <c r="AMN122" s="88"/>
      <c r="AMO122" s="88"/>
      <c r="AMP122" s="88"/>
      <c r="AMQ122" s="88"/>
      <c r="AMR122" s="88"/>
      <c r="AMS122" s="88"/>
      <c r="AMT122" s="88"/>
      <c r="AMU122" s="88"/>
      <c r="AMV122" s="88"/>
      <c r="AMW122" s="88"/>
      <c r="AMX122" s="88"/>
      <c r="AMY122" s="88"/>
      <c r="AMZ122" s="88"/>
      <c r="ANA122" s="88"/>
      <c r="ANB122" s="88"/>
      <c r="ANC122" s="88"/>
      <c r="AND122" s="88"/>
      <c r="ANE122" s="88"/>
      <c r="ANF122" s="88"/>
      <c r="ANG122" s="88"/>
      <c r="ANH122" s="88"/>
      <c r="ANI122" s="88"/>
      <c r="ANJ122" s="88"/>
      <c r="ANK122" s="88"/>
      <c r="ANL122" s="88"/>
      <c r="ANM122" s="88"/>
      <c r="ANN122" s="88"/>
      <c r="ANO122" s="88"/>
      <c r="ANP122" s="88"/>
      <c r="ANQ122" s="88"/>
      <c r="ANR122" s="88"/>
      <c r="ANS122" s="88"/>
      <c r="ANT122" s="88"/>
      <c r="ANU122" s="88"/>
      <c r="ANV122" s="88"/>
      <c r="ANW122" s="88"/>
      <c r="ANX122" s="88"/>
      <c r="ANY122" s="88"/>
      <c r="ANZ122" s="88"/>
      <c r="AOA122" s="88"/>
      <c r="AOB122" s="88"/>
      <c r="AOC122" s="88"/>
      <c r="AOD122" s="88"/>
      <c r="AOE122" s="88"/>
      <c r="AOF122" s="88"/>
      <c r="AOG122" s="88"/>
      <c r="AOH122" s="88"/>
      <c r="AOI122" s="88"/>
      <c r="AOJ122" s="88"/>
      <c r="AOK122" s="88"/>
      <c r="AOL122" s="88"/>
      <c r="AOM122" s="88"/>
      <c r="AON122" s="88"/>
      <c r="AOO122" s="88"/>
      <c r="AOP122" s="88"/>
      <c r="AOQ122" s="88"/>
      <c r="AOR122" s="88"/>
      <c r="AOS122" s="88"/>
      <c r="AOT122" s="88"/>
      <c r="AOU122" s="88"/>
      <c r="AOV122" s="88"/>
      <c r="AOW122" s="88"/>
      <c r="AOX122" s="88"/>
      <c r="AOY122" s="88"/>
      <c r="AOZ122" s="88"/>
      <c r="APA122" s="88"/>
      <c r="APB122" s="88"/>
      <c r="APC122" s="88"/>
      <c r="APD122" s="88"/>
      <c r="APE122" s="88"/>
      <c r="APF122" s="88"/>
      <c r="APG122" s="88"/>
      <c r="APH122" s="88"/>
      <c r="API122" s="88"/>
      <c r="APJ122" s="88"/>
      <c r="APK122" s="88"/>
      <c r="APL122" s="88"/>
      <c r="APM122" s="88"/>
      <c r="APN122" s="88"/>
      <c r="APO122" s="88"/>
      <c r="APP122" s="88"/>
      <c r="APQ122" s="88"/>
      <c r="APR122" s="88"/>
      <c r="APS122" s="88"/>
      <c r="APT122" s="88"/>
      <c r="APU122" s="88"/>
      <c r="APV122" s="88"/>
      <c r="APW122" s="88"/>
      <c r="APX122" s="88"/>
      <c r="APY122" s="88"/>
      <c r="APZ122" s="88"/>
      <c r="AQA122" s="88"/>
      <c r="AQB122" s="88"/>
      <c r="AQC122" s="88"/>
      <c r="AQD122" s="88"/>
      <c r="AQE122" s="88"/>
      <c r="AQF122" s="88"/>
      <c r="AQG122" s="88"/>
      <c r="AQH122" s="88"/>
      <c r="AQI122" s="88"/>
      <c r="AQJ122" s="88"/>
      <c r="AQK122" s="88"/>
      <c r="AQL122" s="88"/>
      <c r="AQM122" s="88"/>
      <c r="AQN122" s="88"/>
      <c r="AQO122" s="88"/>
      <c r="AQP122" s="88"/>
      <c r="AQQ122" s="88"/>
      <c r="AQR122" s="88"/>
      <c r="AQS122" s="88"/>
      <c r="AQT122" s="88"/>
      <c r="AQU122" s="88"/>
      <c r="AQV122" s="88"/>
      <c r="AQW122" s="88"/>
      <c r="AQX122" s="88"/>
      <c r="AQY122" s="88"/>
      <c r="AQZ122" s="88"/>
      <c r="ARA122" s="88"/>
      <c r="ARB122" s="88"/>
      <c r="ARC122" s="88"/>
      <c r="ARD122" s="88"/>
      <c r="ARE122" s="88"/>
      <c r="ARF122" s="88"/>
      <c r="ARG122" s="88"/>
      <c r="ARH122" s="88"/>
      <c r="ARI122" s="88"/>
      <c r="ARJ122" s="88"/>
      <c r="ARK122" s="88"/>
      <c r="ARL122" s="88"/>
      <c r="ARM122" s="88"/>
      <c r="ARN122" s="88"/>
      <c r="ARO122" s="88"/>
      <c r="ARP122" s="88"/>
      <c r="ARQ122" s="88"/>
      <c r="ARR122" s="88"/>
      <c r="ARS122" s="88"/>
      <c r="ART122" s="88"/>
      <c r="ARU122" s="88"/>
      <c r="ARV122" s="88"/>
      <c r="ARW122" s="88"/>
      <c r="ARX122" s="88"/>
      <c r="ARY122" s="88"/>
      <c r="ARZ122" s="88"/>
      <c r="ASA122" s="88"/>
      <c r="ASB122" s="88"/>
      <c r="ASC122" s="88"/>
      <c r="ASD122" s="88"/>
      <c r="ASE122" s="88"/>
      <c r="ASF122" s="88"/>
      <c r="ASG122" s="88"/>
      <c r="ASH122" s="88"/>
      <c r="ASI122" s="88"/>
      <c r="ASJ122" s="88"/>
      <c r="ASK122" s="88"/>
      <c r="ASL122" s="88"/>
      <c r="ASM122" s="88"/>
      <c r="ASN122" s="88"/>
      <c r="ASO122" s="88"/>
      <c r="ASP122" s="88"/>
      <c r="ASQ122" s="88"/>
      <c r="ASR122" s="88"/>
      <c r="ASS122" s="88"/>
      <c r="AST122" s="88"/>
      <c r="ASU122" s="88"/>
      <c r="ASV122" s="88"/>
      <c r="ASW122" s="88"/>
      <c r="ASX122" s="88"/>
      <c r="ASY122" s="88"/>
      <c r="ASZ122" s="88"/>
      <c r="ATA122" s="88"/>
      <c r="ATB122" s="88"/>
      <c r="ATC122" s="88"/>
      <c r="ATD122" s="88"/>
      <c r="ATE122" s="88"/>
      <c r="ATF122" s="88"/>
      <c r="ATG122" s="88"/>
      <c r="ATH122" s="88"/>
      <c r="ATI122" s="88"/>
      <c r="ATJ122" s="88"/>
      <c r="ATK122" s="88"/>
      <c r="ATL122" s="88"/>
      <c r="ATM122" s="88"/>
      <c r="ATN122" s="88"/>
      <c r="ATO122" s="88"/>
      <c r="ATP122" s="88"/>
      <c r="ATQ122" s="88"/>
      <c r="ATR122" s="88"/>
      <c r="ATS122" s="88"/>
      <c r="ATT122" s="88"/>
      <c r="ATU122" s="88"/>
      <c r="ATV122" s="88"/>
      <c r="ATW122" s="88"/>
      <c r="ATX122" s="88"/>
      <c r="ATY122" s="88"/>
      <c r="ATZ122" s="88"/>
      <c r="AUA122" s="88"/>
      <c r="AUB122" s="88"/>
      <c r="AUC122" s="88"/>
      <c r="AUD122" s="88"/>
      <c r="AUE122" s="88"/>
      <c r="AUF122" s="88"/>
      <c r="AUG122" s="88"/>
      <c r="AUH122" s="88"/>
      <c r="AUI122" s="88"/>
      <c r="AUJ122" s="88"/>
      <c r="AUK122" s="88"/>
      <c r="AUL122" s="88"/>
      <c r="AUM122" s="88"/>
      <c r="AUN122" s="88"/>
      <c r="AUO122" s="88"/>
      <c r="AUP122" s="88"/>
      <c r="AUQ122" s="88"/>
      <c r="AUR122" s="88"/>
      <c r="AUS122" s="88"/>
      <c r="AUT122" s="88"/>
      <c r="AUU122" s="88"/>
      <c r="AUV122" s="88"/>
      <c r="AUW122" s="88"/>
      <c r="AUX122" s="88"/>
      <c r="AUY122" s="88"/>
      <c r="AUZ122" s="88"/>
      <c r="AVA122" s="88"/>
      <c r="AVB122" s="88"/>
      <c r="AVC122" s="88"/>
      <c r="AVD122" s="88"/>
      <c r="AVE122" s="88"/>
      <c r="AVF122" s="88"/>
      <c r="AVG122" s="88"/>
      <c r="AVH122" s="88"/>
      <c r="AVI122" s="88"/>
      <c r="AVJ122" s="88"/>
      <c r="AVK122" s="88"/>
      <c r="AVL122" s="88"/>
      <c r="AVM122" s="88"/>
      <c r="AVN122" s="88"/>
      <c r="AVO122" s="88"/>
      <c r="AVP122" s="88"/>
      <c r="AVQ122" s="88"/>
      <c r="AVR122" s="88"/>
      <c r="AVS122" s="88"/>
      <c r="AVT122" s="88"/>
      <c r="AVU122" s="88"/>
      <c r="AVV122" s="88"/>
      <c r="AVW122" s="88"/>
      <c r="AVX122" s="88"/>
      <c r="AVY122" s="88"/>
      <c r="AVZ122" s="88"/>
      <c r="AWA122" s="88"/>
      <c r="AWB122" s="88"/>
      <c r="AWC122" s="88"/>
      <c r="AWD122" s="88"/>
      <c r="AWE122" s="88"/>
      <c r="AWF122" s="88"/>
      <c r="AWG122" s="88"/>
      <c r="AWH122" s="88"/>
      <c r="AWI122" s="88"/>
      <c r="AWJ122" s="88"/>
      <c r="AWK122" s="88"/>
      <c r="AWL122" s="88"/>
      <c r="AWM122" s="88"/>
      <c r="AWN122" s="88"/>
      <c r="AWO122" s="88"/>
      <c r="AWP122" s="88"/>
      <c r="AWQ122" s="88"/>
      <c r="AWR122" s="88"/>
      <c r="AWS122" s="88"/>
      <c r="AWT122" s="88"/>
      <c r="AWU122" s="88"/>
      <c r="AWV122" s="88"/>
      <c r="AWW122" s="88"/>
      <c r="AWX122" s="88"/>
      <c r="AWY122" s="88"/>
      <c r="AWZ122" s="88"/>
      <c r="AXA122" s="88"/>
      <c r="AXB122" s="88"/>
      <c r="AXC122" s="88"/>
      <c r="AXD122" s="88"/>
      <c r="AXE122" s="88"/>
      <c r="AXF122" s="88"/>
      <c r="AXG122" s="88"/>
      <c r="AXH122" s="88"/>
      <c r="AXI122" s="88"/>
      <c r="AXJ122" s="88"/>
      <c r="AXK122" s="88"/>
      <c r="AXL122" s="88"/>
      <c r="AXM122" s="88"/>
      <c r="AXN122" s="88"/>
      <c r="AXO122" s="88"/>
      <c r="AXP122" s="88"/>
      <c r="AXQ122" s="88"/>
      <c r="AXR122" s="88"/>
      <c r="AXS122" s="88"/>
      <c r="AXT122" s="88"/>
      <c r="AXU122" s="88"/>
      <c r="AXV122" s="88"/>
      <c r="AXW122" s="88"/>
      <c r="AXX122" s="88"/>
      <c r="AXY122" s="88"/>
      <c r="AXZ122" s="88"/>
      <c r="AYA122" s="88"/>
      <c r="AYB122" s="88"/>
      <c r="AYC122" s="88"/>
      <c r="AYD122" s="88"/>
      <c r="AYE122" s="88"/>
      <c r="AYF122" s="88"/>
      <c r="AYG122" s="88"/>
      <c r="AYH122" s="88"/>
      <c r="AYI122" s="88"/>
      <c r="AYJ122" s="88"/>
      <c r="AYK122" s="88"/>
      <c r="AYL122" s="88"/>
      <c r="AYM122" s="88"/>
      <c r="AYN122" s="88"/>
      <c r="AYO122" s="88"/>
      <c r="AYP122" s="88"/>
      <c r="AYQ122" s="88"/>
      <c r="AYR122" s="88"/>
      <c r="AYS122" s="88"/>
      <c r="AYT122" s="88"/>
      <c r="AYU122" s="88"/>
      <c r="AYV122" s="88"/>
      <c r="AYW122" s="88"/>
      <c r="AYX122" s="88"/>
      <c r="AYY122" s="88"/>
      <c r="AYZ122" s="88"/>
      <c r="AZA122" s="88"/>
      <c r="AZB122" s="88"/>
      <c r="AZC122" s="88"/>
      <c r="AZD122" s="88"/>
      <c r="AZE122" s="88"/>
      <c r="AZF122" s="88"/>
      <c r="AZG122" s="88"/>
      <c r="AZH122" s="88"/>
      <c r="AZI122" s="88"/>
      <c r="AZJ122" s="88"/>
      <c r="AZK122" s="88"/>
      <c r="AZL122" s="88"/>
      <c r="AZM122" s="88"/>
      <c r="AZN122" s="88"/>
      <c r="AZO122" s="88"/>
      <c r="AZP122" s="88"/>
      <c r="AZQ122" s="88"/>
      <c r="AZR122" s="88"/>
      <c r="AZS122" s="88"/>
      <c r="AZT122" s="88"/>
      <c r="AZU122" s="88"/>
      <c r="AZV122" s="88"/>
      <c r="AZW122" s="88"/>
      <c r="AZX122" s="88"/>
      <c r="AZY122" s="88"/>
      <c r="AZZ122" s="88"/>
      <c r="BAA122" s="88"/>
      <c r="BAB122" s="88"/>
      <c r="BAC122" s="88"/>
      <c r="BAD122" s="88"/>
      <c r="BAE122" s="88"/>
      <c r="BAF122" s="88"/>
      <c r="BAG122" s="88"/>
      <c r="BAH122" s="88"/>
      <c r="BAI122" s="88"/>
      <c r="BAJ122" s="88"/>
      <c r="BAK122" s="88"/>
      <c r="BAL122" s="88"/>
      <c r="BAM122" s="88"/>
      <c r="BAN122" s="88"/>
      <c r="BAO122" s="88"/>
      <c r="BAP122" s="88"/>
      <c r="BAQ122" s="88"/>
      <c r="BAR122" s="88"/>
      <c r="BAS122" s="88"/>
      <c r="BAT122" s="88"/>
      <c r="BAU122" s="88"/>
      <c r="BAV122" s="88"/>
      <c r="BAW122" s="88"/>
      <c r="BAX122" s="88"/>
      <c r="BAY122" s="88"/>
      <c r="BAZ122" s="88"/>
      <c r="BBA122" s="88"/>
      <c r="BBB122" s="88"/>
      <c r="BBC122" s="88"/>
      <c r="BBD122" s="88"/>
      <c r="BBE122" s="88"/>
      <c r="BBF122" s="88"/>
      <c r="BBG122" s="88"/>
      <c r="BBH122" s="88"/>
      <c r="BBI122" s="88"/>
      <c r="BBJ122" s="88"/>
      <c r="BBK122" s="88"/>
      <c r="BBL122" s="88"/>
      <c r="BBM122" s="88"/>
      <c r="BBN122" s="88"/>
      <c r="BBO122" s="88"/>
      <c r="BBP122" s="88"/>
      <c r="BBQ122" s="88"/>
      <c r="BBR122" s="88"/>
      <c r="BBS122" s="88"/>
      <c r="BBT122" s="88"/>
      <c r="BBU122" s="88"/>
      <c r="BBV122" s="88"/>
      <c r="BBW122" s="88"/>
      <c r="BBX122" s="88"/>
      <c r="BBY122" s="88"/>
      <c r="BBZ122" s="88"/>
      <c r="BCA122" s="88"/>
      <c r="BCB122" s="88"/>
      <c r="BCC122" s="88"/>
      <c r="BCD122" s="88"/>
      <c r="BCE122" s="88"/>
      <c r="BCF122" s="88"/>
      <c r="BCG122" s="88"/>
      <c r="BCH122" s="88"/>
      <c r="BCI122" s="88"/>
      <c r="BCJ122" s="88"/>
      <c r="BCK122" s="88"/>
      <c r="BCL122" s="88"/>
      <c r="BCM122" s="88"/>
      <c r="BCN122" s="88"/>
      <c r="BCO122" s="88"/>
      <c r="BCP122" s="88"/>
      <c r="BCQ122" s="88"/>
      <c r="BCR122" s="88"/>
      <c r="BCS122" s="88"/>
      <c r="BCT122" s="88"/>
      <c r="BCU122" s="88"/>
      <c r="BCV122" s="88"/>
      <c r="BCW122" s="88"/>
      <c r="BCX122" s="88"/>
      <c r="BCY122" s="88"/>
      <c r="BCZ122" s="88"/>
      <c r="BDA122" s="88"/>
      <c r="BDB122" s="88"/>
      <c r="BDC122" s="88"/>
      <c r="BDD122" s="88"/>
      <c r="BDE122" s="88"/>
      <c r="BDF122" s="88"/>
      <c r="BDG122" s="88"/>
      <c r="BDH122" s="88"/>
      <c r="BDI122" s="88"/>
      <c r="BDJ122" s="88"/>
      <c r="BDK122" s="88"/>
      <c r="BDL122" s="88"/>
      <c r="BDM122" s="88"/>
      <c r="BDN122" s="88"/>
      <c r="BDO122" s="88"/>
      <c r="BDP122" s="88"/>
      <c r="BDQ122" s="88"/>
      <c r="BDR122" s="88"/>
      <c r="BDS122" s="88"/>
      <c r="BDT122" s="88"/>
      <c r="BDU122" s="88"/>
      <c r="BDV122" s="88"/>
      <c r="BDW122" s="88"/>
      <c r="BDX122" s="88"/>
      <c r="BDY122" s="88"/>
      <c r="BDZ122" s="88"/>
      <c r="BEA122" s="88"/>
      <c r="BEB122" s="88"/>
      <c r="BEC122" s="88"/>
      <c r="BED122" s="88"/>
      <c r="BEE122" s="88"/>
      <c r="BEF122" s="88"/>
      <c r="BEG122" s="88"/>
      <c r="BEH122" s="88"/>
      <c r="BEI122" s="88"/>
      <c r="BEJ122" s="88"/>
      <c r="BEK122" s="88"/>
      <c r="BEL122" s="88"/>
      <c r="BEM122" s="88"/>
      <c r="BEN122" s="88"/>
      <c r="BEO122" s="88"/>
      <c r="BEP122" s="88"/>
      <c r="BEQ122" s="88"/>
      <c r="BER122" s="88"/>
      <c r="BES122" s="88"/>
      <c r="BET122" s="88"/>
      <c r="BEU122" s="88"/>
      <c r="BEV122" s="88"/>
      <c r="BEW122" s="88"/>
      <c r="BEX122" s="88"/>
      <c r="BEY122" s="88"/>
      <c r="BEZ122" s="88"/>
      <c r="BFA122" s="88"/>
      <c r="BFB122" s="88"/>
      <c r="BFC122" s="88"/>
      <c r="BFD122" s="88"/>
      <c r="BFE122" s="88"/>
      <c r="BFF122" s="88"/>
      <c r="BFG122" s="88"/>
      <c r="BFH122" s="88"/>
      <c r="BFI122" s="88"/>
      <c r="BFJ122" s="88"/>
      <c r="BFK122" s="88"/>
      <c r="BFL122" s="88"/>
      <c r="BFM122" s="88"/>
      <c r="BFN122" s="88"/>
      <c r="BFO122" s="88"/>
      <c r="BFP122" s="88"/>
      <c r="BFQ122" s="88"/>
      <c r="BFR122" s="88"/>
      <c r="BFS122" s="88"/>
      <c r="BFT122" s="88"/>
      <c r="BFU122" s="88"/>
      <c r="BFV122" s="88"/>
      <c r="BFW122" s="88"/>
      <c r="BFX122" s="88"/>
      <c r="BFY122" s="88"/>
      <c r="BFZ122" s="88"/>
      <c r="BGA122" s="88"/>
      <c r="BGB122" s="88"/>
      <c r="BGC122" s="88"/>
      <c r="BGD122" s="88"/>
      <c r="BGE122" s="88"/>
      <c r="BGF122" s="88"/>
      <c r="BGG122" s="88"/>
      <c r="BGH122" s="88"/>
      <c r="BGI122" s="88"/>
      <c r="BGJ122" s="88"/>
      <c r="BGK122" s="88"/>
      <c r="BGL122" s="88"/>
      <c r="BGM122" s="88"/>
      <c r="BGN122" s="88"/>
      <c r="BGO122" s="88"/>
      <c r="BGP122" s="88"/>
      <c r="BGQ122" s="88"/>
      <c r="BGR122" s="88"/>
      <c r="BGS122" s="88"/>
      <c r="BGT122" s="88"/>
      <c r="BGU122" s="88"/>
      <c r="BGV122" s="88"/>
      <c r="BGW122" s="88"/>
      <c r="BGX122" s="88"/>
      <c r="BGY122" s="88"/>
      <c r="BGZ122" s="88"/>
      <c r="BHA122" s="88"/>
      <c r="BHB122" s="88"/>
      <c r="BHC122" s="88"/>
      <c r="BHD122" s="88"/>
      <c r="BHE122" s="88"/>
      <c r="BHF122" s="88"/>
      <c r="BHG122" s="88"/>
      <c r="BHH122" s="88"/>
      <c r="BHI122" s="88"/>
      <c r="BHJ122" s="88"/>
      <c r="BHK122" s="88"/>
      <c r="BHL122" s="88"/>
      <c r="BHM122" s="88"/>
      <c r="BHN122" s="88"/>
      <c r="BHO122" s="88"/>
      <c r="BHP122" s="88"/>
      <c r="BHQ122" s="88"/>
      <c r="BHR122" s="88"/>
      <c r="BHS122" s="88"/>
      <c r="BHT122" s="88"/>
      <c r="BHU122" s="88"/>
      <c r="BHV122" s="88"/>
      <c r="BHW122" s="88"/>
      <c r="BHX122" s="88"/>
      <c r="BHY122" s="88"/>
      <c r="BHZ122" s="88"/>
      <c r="BIA122" s="88"/>
      <c r="BIB122" s="88"/>
      <c r="BIC122" s="88"/>
      <c r="BID122" s="88"/>
      <c r="BIE122" s="88"/>
      <c r="BIF122" s="88"/>
      <c r="BIG122" s="88"/>
      <c r="BIH122" s="88"/>
      <c r="BII122" s="88"/>
      <c r="BIJ122" s="88"/>
      <c r="BIK122" s="88"/>
      <c r="BIL122" s="88"/>
      <c r="BIM122" s="88"/>
      <c r="BIN122" s="88"/>
      <c r="BIO122" s="88"/>
      <c r="BIP122" s="88"/>
      <c r="BIQ122" s="88"/>
      <c r="BIR122" s="88"/>
      <c r="BIS122" s="88"/>
      <c r="BIT122" s="88"/>
      <c r="BIU122" s="88"/>
      <c r="BIV122" s="88"/>
      <c r="BIW122" s="88"/>
      <c r="BIX122" s="88"/>
      <c r="BIY122" s="88"/>
      <c r="BIZ122" s="88"/>
      <c r="BJA122" s="88"/>
      <c r="BJB122" s="88"/>
      <c r="BJC122" s="88"/>
      <c r="BJD122" s="88"/>
      <c r="BJE122" s="88"/>
      <c r="BJF122" s="88"/>
      <c r="BJG122" s="88"/>
      <c r="BJH122" s="88"/>
      <c r="BJI122" s="88"/>
      <c r="BJJ122" s="88"/>
      <c r="BJK122" s="88"/>
      <c r="BJL122" s="88"/>
      <c r="BJM122" s="88"/>
      <c r="BJN122" s="88"/>
      <c r="BJO122" s="88"/>
      <c r="BJP122" s="88"/>
      <c r="BJQ122" s="88"/>
      <c r="BJR122" s="88"/>
      <c r="BJS122" s="88"/>
      <c r="BJT122" s="88"/>
      <c r="BJU122" s="88"/>
      <c r="BJV122" s="88"/>
      <c r="BJW122" s="88"/>
      <c r="BJX122" s="88"/>
      <c r="BJY122" s="88"/>
      <c r="BJZ122" s="88"/>
      <c r="BKA122" s="88"/>
      <c r="BKB122" s="88"/>
      <c r="BKC122" s="88"/>
      <c r="BKD122" s="88"/>
      <c r="BKE122" s="88"/>
      <c r="BKF122" s="88"/>
      <c r="BKG122" s="88"/>
      <c r="BKH122" s="88"/>
      <c r="BKI122" s="88"/>
      <c r="BKJ122" s="88"/>
      <c r="BKK122" s="88"/>
      <c r="BKL122" s="88"/>
      <c r="BKM122" s="88"/>
      <c r="BKN122" s="88"/>
      <c r="BKO122" s="88"/>
      <c r="BKP122" s="88"/>
      <c r="BKQ122" s="88"/>
      <c r="BKR122" s="88"/>
      <c r="BKS122" s="88"/>
      <c r="BKT122" s="88"/>
      <c r="BKU122" s="88"/>
      <c r="BKV122" s="88"/>
      <c r="BKW122" s="88"/>
      <c r="BKX122" s="88"/>
      <c r="BKY122" s="88"/>
      <c r="BKZ122" s="88"/>
      <c r="BLA122" s="88"/>
      <c r="BLB122" s="88"/>
      <c r="BLC122" s="88"/>
      <c r="BLD122" s="88"/>
      <c r="BLE122" s="88"/>
      <c r="BLF122" s="88"/>
      <c r="BLG122" s="88"/>
      <c r="BLH122" s="88"/>
      <c r="BLI122" s="88"/>
      <c r="BLJ122" s="88"/>
      <c r="BLK122" s="88"/>
      <c r="BLL122" s="88"/>
      <c r="BLM122" s="88"/>
      <c r="BLN122" s="88"/>
      <c r="BLO122" s="88"/>
      <c r="BLP122" s="88"/>
      <c r="BLQ122" s="88"/>
      <c r="BLR122" s="88"/>
      <c r="BLS122" s="88"/>
      <c r="BLT122" s="88"/>
      <c r="BLU122" s="88"/>
      <c r="BLV122" s="88"/>
      <c r="BLW122" s="88"/>
      <c r="BLX122" s="88"/>
      <c r="BLY122" s="88"/>
      <c r="BLZ122" s="88"/>
      <c r="BMA122" s="88"/>
      <c r="BMB122" s="88"/>
      <c r="BMC122" s="88"/>
      <c r="BMD122" s="88"/>
      <c r="BME122" s="88"/>
      <c r="BMF122" s="88"/>
      <c r="BMG122" s="88"/>
      <c r="BMH122" s="88"/>
      <c r="BMI122" s="88"/>
      <c r="BMJ122" s="88"/>
      <c r="BMK122" s="88"/>
      <c r="BML122" s="88"/>
      <c r="BMM122" s="88"/>
      <c r="BMN122" s="88"/>
      <c r="BMO122" s="88"/>
      <c r="BMP122" s="88"/>
      <c r="BMQ122" s="88"/>
      <c r="BMR122" s="88"/>
      <c r="BMS122" s="88"/>
      <c r="BMT122" s="88"/>
      <c r="BMU122" s="88"/>
      <c r="BMV122" s="88"/>
      <c r="BMW122" s="88"/>
      <c r="BMX122" s="88"/>
      <c r="BMY122" s="88"/>
      <c r="BMZ122" s="88"/>
      <c r="BNA122" s="88"/>
      <c r="BNB122" s="88"/>
      <c r="BNC122" s="88"/>
      <c r="BND122" s="88"/>
      <c r="BNE122" s="88"/>
      <c r="BNF122" s="88"/>
      <c r="BNG122" s="88"/>
      <c r="BNH122" s="88"/>
      <c r="BNI122" s="88"/>
      <c r="BNJ122" s="88"/>
      <c r="BNK122" s="88"/>
      <c r="BNL122" s="88"/>
      <c r="BNM122" s="88"/>
      <c r="BNN122" s="88"/>
      <c r="BNO122" s="88"/>
      <c r="BNP122" s="88"/>
      <c r="BNQ122" s="88"/>
      <c r="BNR122" s="88"/>
      <c r="BNS122" s="88"/>
      <c r="BNT122" s="88"/>
      <c r="BNU122" s="88"/>
      <c r="BNV122" s="88"/>
      <c r="BNW122" s="88"/>
      <c r="BNX122" s="88"/>
      <c r="BNY122" s="88"/>
      <c r="BNZ122" s="88"/>
      <c r="BOA122" s="88"/>
      <c r="BOB122" s="88"/>
      <c r="BOC122" s="88"/>
      <c r="BOD122" s="88"/>
      <c r="BOE122" s="88"/>
      <c r="BOF122" s="88"/>
      <c r="BOG122" s="88"/>
      <c r="BOH122" s="88"/>
      <c r="BOI122" s="88"/>
      <c r="BOJ122" s="88"/>
      <c r="BOK122" s="88"/>
      <c r="BOL122" s="88"/>
      <c r="BOM122" s="88"/>
      <c r="BON122" s="88"/>
      <c r="BOO122" s="88"/>
      <c r="BOP122" s="88"/>
      <c r="BOQ122" s="88"/>
      <c r="BOR122" s="88"/>
      <c r="BOS122" s="88"/>
      <c r="BOT122" s="88"/>
      <c r="BOU122" s="88"/>
      <c r="BOV122" s="88"/>
      <c r="BOW122" s="88"/>
      <c r="BOX122" s="88"/>
      <c r="BOY122" s="88"/>
      <c r="BOZ122" s="88"/>
      <c r="BPA122" s="88"/>
      <c r="BPB122" s="88"/>
      <c r="BPC122" s="88"/>
      <c r="BPD122" s="88"/>
      <c r="BPE122" s="88"/>
      <c r="BPF122" s="88"/>
      <c r="BPG122" s="88"/>
      <c r="BPH122" s="88"/>
      <c r="BPI122" s="88"/>
      <c r="BPJ122" s="88"/>
      <c r="BPK122" s="88"/>
      <c r="BPL122" s="88"/>
      <c r="BPM122" s="88"/>
      <c r="BPN122" s="88"/>
      <c r="BPO122" s="88"/>
      <c r="BPP122" s="88"/>
      <c r="BPQ122" s="88"/>
      <c r="BPR122" s="88"/>
      <c r="BPS122" s="88"/>
      <c r="BPT122" s="88"/>
      <c r="BPU122" s="88"/>
      <c r="BPV122" s="88"/>
      <c r="BPW122" s="88"/>
      <c r="BPX122" s="88"/>
      <c r="BPY122" s="88"/>
      <c r="BPZ122" s="88"/>
      <c r="BQA122" s="88"/>
      <c r="BQB122" s="88"/>
      <c r="BQC122" s="88"/>
      <c r="BQD122" s="88"/>
      <c r="BQE122" s="88"/>
      <c r="BQF122" s="88"/>
      <c r="BQG122" s="88"/>
      <c r="BQH122" s="88"/>
      <c r="BQI122" s="88"/>
      <c r="BQJ122" s="88"/>
      <c r="BQK122" s="88"/>
      <c r="BQL122" s="88"/>
      <c r="BQM122" s="88"/>
      <c r="BQN122" s="88"/>
      <c r="BQO122" s="88"/>
      <c r="BQP122" s="88"/>
      <c r="BQQ122" s="88"/>
      <c r="BQR122" s="88"/>
      <c r="BQS122" s="88"/>
      <c r="BQT122" s="88"/>
      <c r="BQU122" s="88"/>
      <c r="BQV122" s="88"/>
      <c r="BQW122" s="88"/>
      <c r="BQX122" s="88"/>
      <c r="BQY122" s="88"/>
      <c r="BQZ122" s="88"/>
      <c r="BRA122" s="88"/>
      <c r="BRB122" s="88"/>
      <c r="BRC122" s="88"/>
      <c r="BRD122" s="88"/>
      <c r="BRE122" s="88"/>
      <c r="BRF122" s="88"/>
      <c r="BRG122" s="88"/>
      <c r="BRH122" s="88"/>
      <c r="BRI122" s="88"/>
      <c r="BRJ122" s="88"/>
      <c r="BRK122" s="88"/>
      <c r="BRL122" s="88"/>
      <c r="BRM122" s="88"/>
      <c r="BRN122" s="88"/>
      <c r="BRO122" s="88"/>
      <c r="BRP122" s="88"/>
      <c r="BRQ122" s="88"/>
      <c r="BRR122" s="88"/>
      <c r="BRS122" s="88"/>
      <c r="BRT122" s="88"/>
      <c r="BRU122" s="88"/>
      <c r="BRV122" s="88"/>
      <c r="BRW122" s="88"/>
      <c r="BRX122" s="88"/>
      <c r="BRY122" s="88"/>
      <c r="BRZ122" s="88"/>
      <c r="BSA122" s="88"/>
      <c r="BSB122" s="88"/>
      <c r="BSC122" s="88"/>
      <c r="BSD122" s="88"/>
      <c r="BSE122" s="88"/>
      <c r="BSF122" s="88"/>
      <c r="BSG122" s="88"/>
      <c r="BSH122" s="88"/>
      <c r="BSI122" s="88"/>
      <c r="BSJ122" s="88"/>
      <c r="BSK122" s="88"/>
      <c r="BSL122" s="88"/>
      <c r="BSM122" s="88"/>
      <c r="BSN122" s="88"/>
      <c r="BSO122" s="88"/>
      <c r="BSP122" s="88"/>
      <c r="BSQ122" s="88"/>
      <c r="BSR122" s="88"/>
      <c r="BSS122" s="88"/>
      <c r="BST122" s="88"/>
      <c r="BSU122" s="88"/>
      <c r="BSV122" s="88"/>
      <c r="BSW122" s="88"/>
      <c r="BSX122" s="88"/>
      <c r="BSY122" s="88"/>
      <c r="BSZ122" s="88"/>
      <c r="BTA122" s="88"/>
      <c r="BTB122" s="88"/>
      <c r="BTC122" s="88"/>
      <c r="BTD122" s="88"/>
      <c r="BTE122" s="88"/>
      <c r="BTF122" s="88"/>
      <c r="BTG122" s="88"/>
      <c r="BTH122" s="88"/>
      <c r="BTI122" s="88"/>
      <c r="BTJ122" s="88"/>
      <c r="BTK122" s="88"/>
      <c r="BTL122" s="88"/>
      <c r="BTM122" s="88"/>
      <c r="BTN122" s="88"/>
      <c r="BTO122" s="88"/>
      <c r="BTP122" s="88"/>
      <c r="BTQ122" s="88"/>
      <c r="BTR122" s="88"/>
      <c r="BTS122" s="88"/>
      <c r="BTT122" s="88"/>
      <c r="BTU122" s="88"/>
      <c r="BTV122" s="88"/>
      <c r="BTW122" s="88"/>
      <c r="BTX122" s="88"/>
      <c r="BTY122" s="88"/>
      <c r="BTZ122" s="88"/>
      <c r="BUA122" s="88"/>
      <c r="BUB122" s="88"/>
      <c r="BUC122" s="88"/>
      <c r="BUD122" s="88"/>
      <c r="BUE122" s="88"/>
      <c r="BUF122" s="88"/>
      <c r="BUG122" s="88"/>
      <c r="BUH122" s="88"/>
      <c r="BUI122" s="88"/>
      <c r="BUJ122" s="88"/>
      <c r="BUK122" s="88"/>
      <c r="BUL122" s="88"/>
      <c r="BUM122" s="88"/>
      <c r="BUN122" s="88"/>
      <c r="BUO122" s="88"/>
      <c r="BUP122" s="88"/>
      <c r="BUQ122" s="88"/>
      <c r="BUR122" s="88"/>
      <c r="BUS122" s="88"/>
      <c r="BUT122" s="88"/>
      <c r="BUU122" s="88"/>
      <c r="BUV122" s="88"/>
      <c r="BUW122" s="88"/>
      <c r="BUX122" s="88"/>
      <c r="BUY122" s="88"/>
      <c r="BUZ122" s="88"/>
      <c r="BVA122" s="88"/>
      <c r="BVB122" s="88"/>
      <c r="BVC122" s="88"/>
      <c r="BVD122" s="88"/>
      <c r="BVE122" s="88"/>
      <c r="BVF122" s="88"/>
      <c r="BVG122" s="88"/>
      <c r="BVH122" s="88"/>
      <c r="BVI122" s="88"/>
      <c r="BVJ122" s="88"/>
      <c r="BVK122" s="88"/>
      <c r="BVL122" s="88"/>
      <c r="BVM122" s="88"/>
      <c r="BVN122" s="88"/>
      <c r="BVO122" s="88"/>
      <c r="BVP122" s="88"/>
      <c r="BVQ122" s="88"/>
      <c r="BVR122" s="88"/>
      <c r="BVS122" s="88"/>
      <c r="BVT122" s="88"/>
      <c r="BVU122" s="88"/>
      <c r="BVV122" s="88"/>
      <c r="BVW122" s="88"/>
      <c r="BVX122" s="88"/>
      <c r="BVY122" s="88"/>
      <c r="BVZ122" s="88"/>
      <c r="BWA122" s="88"/>
      <c r="BWB122" s="88"/>
      <c r="BWC122" s="88"/>
      <c r="BWD122" s="88"/>
      <c r="BWE122" s="88"/>
      <c r="BWF122" s="88"/>
      <c r="BWG122" s="88"/>
      <c r="BWH122" s="88"/>
      <c r="BWI122" s="88"/>
      <c r="BWJ122" s="88"/>
      <c r="BWK122" s="88"/>
      <c r="BWL122" s="88"/>
      <c r="BWM122" s="88"/>
      <c r="BWN122" s="88"/>
      <c r="BWO122" s="88"/>
      <c r="BWP122" s="88"/>
      <c r="BWQ122" s="88"/>
      <c r="BWR122" s="88"/>
      <c r="BWS122" s="88"/>
      <c r="BWT122" s="88"/>
      <c r="BWU122" s="88"/>
      <c r="BWV122" s="88"/>
      <c r="BWW122" s="88"/>
      <c r="BWX122" s="88"/>
      <c r="BWY122" s="88"/>
      <c r="BWZ122" s="88"/>
      <c r="BXA122" s="88"/>
      <c r="BXB122" s="88"/>
      <c r="BXC122" s="88"/>
      <c r="BXD122" s="88"/>
      <c r="BXE122" s="88"/>
      <c r="BXF122" s="88"/>
      <c r="BXG122" s="88"/>
      <c r="BXH122" s="88"/>
      <c r="BXI122" s="88"/>
      <c r="BXJ122" s="88"/>
      <c r="BXK122" s="88"/>
      <c r="BXL122" s="88"/>
      <c r="BXM122" s="88"/>
      <c r="BXN122" s="88"/>
      <c r="BXO122" s="88"/>
      <c r="BXP122" s="88"/>
      <c r="BXQ122" s="88"/>
      <c r="BXR122" s="88"/>
      <c r="BXS122" s="88"/>
      <c r="BXT122" s="88"/>
      <c r="BXU122" s="88"/>
      <c r="BXV122" s="88"/>
      <c r="BXW122" s="88"/>
      <c r="BXX122" s="88"/>
      <c r="BXY122" s="88"/>
      <c r="BXZ122" s="88"/>
      <c r="BYA122" s="88"/>
      <c r="BYB122" s="88"/>
      <c r="BYC122" s="88"/>
      <c r="BYD122" s="88"/>
      <c r="BYE122" s="88"/>
      <c r="BYF122" s="88"/>
      <c r="BYG122" s="88"/>
      <c r="BYH122" s="88"/>
      <c r="BYI122" s="88"/>
      <c r="BYJ122" s="88"/>
      <c r="BYK122" s="88"/>
      <c r="BYL122" s="88"/>
      <c r="BYM122" s="88"/>
      <c r="BYN122" s="88"/>
      <c r="BYO122" s="88"/>
      <c r="BYP122" s="88"/>
      <c r="BYQ122" s="88"/>
      <c r="BYR122" s="88"/>
      <c r="BYS122" s="88"/>
      <c r="BYT122" s="88"/>
      <c r="BYU122" s="88"/>
      <c r="BYV122" s="88"/>
      <c r="BYW122" s="88"/>
      <c r="BYX122" s="88"/>
      <c r="BYY122" s="88"/>
      <c r="BYZ122" s="88"/>
      <c r="BZA122" s="88"/>
      <c r="BZB122" s="88"/>
      <c r="BZC122" s="88"/>
      <c r="BZD122" s="88"/>
      <c r="BZE122" s="88"/>
      <c r="BZF122" s="88"/>
      <c r="BZG122" s="88"/>
      <c r="BZH122" s="88"/>
      <c r="BZI122" s="88"/>
      <c r="BZJ122" s="88"/>
      <c r="BZK122" s="88"/>
      <c r="BZL122" s="88"/>
      <c r="BZM122" s="88"/>
      <c r="BZN122" s="88"/>
      <c r="BZO122" s="88"/>
      <c r="BZP122" s="88"/>
      <c r="BZQ122" s="88"/>
      <c r="BZR122" s="88"/>
      <c r="BZS122" s="88"/>
      <c r="BZT122" s="88"/>
      <c r="BZU122" s="88"/>
      <c r="BZV122" s="88"/>
      <c r="BZW122" s="88"/>
      <c r="BZX122" s="88"/>
      <c r="BZY122" s="88"/>
      <c r="BZZ122" s="88"/>
      <c r="CAA122" s="88"/>
      <c r="CAB122" s="88"/>
      <c r="CAC122" s="88"/>
      <c r="CAD122" s="88"/>
      <c r="CAE122" s="88"/>
      <c r="CAF122" s="88"/>
      <c r="CAG122" s="88"/>
      <c r="CAH122" s="88"/>
      <c r="CAI122" s="88"/>
      <c r="CAJ122" s="88"/>
      <c r="CAK122" s="88"/>
      <c r="CAL122" s="88"/>
      <c r="CAM122" s="88"/>
      <c r="CAN122" s="88"/>
      <c r="CAO122" s="88"/>
      <c r="CAP122" s="88"/>
      <c r="CAQ122" s="88"/>
      <c r="CAR122" s="88"/>
      <c r="CAS122" s="88"/>
      <c r="CAT122" s="88"/>
      <c r="CAU122" s="88"/>
      <c r="CAV122" s="88"/>
      <c r="CAW122" s="88"/>
      <c r="CAX122" s="88"/>
      <c r="CAY122" s="88"/>
      <c r="CAZ122" s="88"/>
      <c r="CBA122" s="88"/>
      <c r="CBB122" s="88"/>
      <c r="CBC122" s="88"/>
      <c r="CBD122" s="88"/>
      <c r="CBE122" s="88"/>
      <c r="CBF122" s="88"/>
      <c r="CBG122" s="88"/>
      <c r="CBH122" s="88"/>
      <c r="CBI122" s="88"/>
      <c r="CBJ122" s="88"/>
      <c r="CBK122" s="88"/>
      <c r="CBL122" s="88"/>
      <c r="CBM122" s="88"/>
      <c r="CBN122" s="88"/>
      <c r="CBO122" s="88"/>
      <c r="CBP122" s="88"/>
      <c r="CBQ122" s="88"/>
      <c r="CBR122" s="88"/>
      <c r="CBS122" s="88"/>
      <c r="CBT122" s="88"/>
      <c r="CBU122" s="88"/>
      <c r="CBV122" s="88"/>
      <c r="CBW122" s="88"/>
      <c r="CBX122" s="88"/>
      <c r="CBY122" s="88"/>
      <c r="CBZ122" s="88"/>
      <c r="CCA122" s="88"/>
      <c r="CCB122" s="88"/>
      <c r="CCC122" s="88"/>
      <c r="CCD122" s="88"/>
      <c r="CCE122" s="88"/>
      <c r="CCF122" s="88"/>
      <c r="CCG122" s="88"/>
      <c r="CCH122" s="88"/>
      <c r="CCI122" s="88"/>
      <c r="CCJ122" s="88"/>
      <c r="CCK122" s="88"/>
      <c r="CCL122" s="88"/>
      <c r="CCM122" s="88"/>
      <c r="CCN122" s="88"/>
      <c r="CCO122" s="88"/>
      <c r="CCP122" s="88"/>
      <c r="CCQ122" s="88"/>
      <c r="CCR122" s="88"/>
      <c r="CCS122" s="88"/>
      <c r="CCT122" s="88"/>
      <c r="CCU122" s="88"/>
      <c r="CCV122" s="88"/>
      <c r="CCW122" s="88"/>
      <c r="CCX122" s="88"/>
      <c r="CCY122" s="88"/>
      <c r="CCZ122" s="88"/>
      <c r="CDA122" s="88"/>
      <c r="CDB122" s="88"/>
      <c r="CDC122" s="88"/>
      <c r="CDD122" s="88"/>
      <c r="CDE122" s="88"/>
      <c r="CDF122" s="88"/>
      <c r="CDG122" s="88"/>
      <c r="CDH122" s="88"/>
      <c r="CDI122" s="88"/>
      <c r="CDJ122" s="88"/>
      <c r="CDK122" s="88"/>
      <c r="CDL122" s="88"/>
      <c r="CDM122" s="88"/>
      <c r="CDN122" s="88"/>
      <c r="CDO122" s="88"/>
      <c r="CDP122" s="88"/>
      <c r="CDQ122" s="88"/>
      <c r="CDR122" s="88"/>
      <c r="CDS122" s="88"/>
      <c r="CDT122" s="88"/>
      <c r="CDU122" s="88"/>
      <c r="CDV122" s="88"/>
      <c r="CDW122" s="88"/>
      <c r="CDX122" s="88"/>
      <c r="CDY122" s="88"/>
      <c r="CDZ122" s="88"/>
      <c r="CEA122" s="88"/>
      <c r="CEB122" s="88"/>
      <c r="CEC122" s="88"/>
      <c r="CED122" s="88"/>
      <c r="CEE122" s="88"/>
      <c r="CEF122" s="88"/>
      <c r="CEG122" s="88"/>
      <c r="CEH122" s="88"/>
      <c r="CEI122" s="88"/>
      <c r="CEJ122" s="88"/>
      <c r="CEK122" s="88"/>
    </row>
    <row r="123" spans="1:2169" s="88" customFormat="1">
      <c r="A123" s="88" t="s">
        <v>2667</v>
      </c>
      <c r="B123" s="452" t="s">
        <v>2668</v>
      </c>
      <c r="C123" s="542" t="str">
        <f>IF('page 2'!$O$4="","",IF('page 2'!$O$4=Gestion!A123,1,0))</f>
        <v/>
      </c>
      <c r="D123" s="542" t="str">
        <f>IF('page 2'!$O$5="","",IF('page 2'!$O$5=Gestion!A123,1,0))</f>
        <v/>
      </c>
      <c r="E123" s="542" t="str">
        <f>IF('page 2'!$O$6="","",IF('page 2'!$O$6=Gestion!A123,1,0))</f>
        <v/>
      </c>
      <c r="F123" s="542" t="str">
        <f>IF('page 2'!$O$7="","",IF('page 2'!$O$7=Gestion!A123,1,0))</f>
        <v/>
      </c>
      <c r="G123" s="542" t="str">
        <f>IF('page 2'!$O$8="","",IF('page 2'!$O$8=Gestion!A123,1,0))</f>
        <v/>
      </c>
      <c r="H123" s="542" t="str">
        <f>IF('page 2'!$O$9="","",IF('page 2'!$O$9=Gestion!A123,1,0))</f>
        <v/>
      </c>
      <c r="I123" s="542" t="str">
        <f>IF('page 2'!$O$10="","",IF('page 2'!$O$10=Gestion!A123,1,0))</f>
        <v/>
      </c>
      <c r="J123" s="542" t="str">
        <f>IF('page 2'!$O$11="","",IF('page 2'!$O$11=Gestion!A123,1,0))</f>
        <v/>
      </c>
      <c r="K123" s="542" t="str">
        <f>IF('page 2'!$O$12="","",IF('page 2'!$O$12=Gestion!A123,1,0))</f>
        <v/>
      </c>
      <c r="L123" s="542" t="str">
        <f>IF('page 2'!$O$13="","",IF('page 2'!$O$13=Gestion!A123,1,0))</f>
        <v/>
      </c>
      <c r="M123" s="542" t="str">
        <f>IF('page 2'!$O$14="","",IF('page 2'!$O$14=Gestion!A123,1,0))</f>
        <v/>
      </c>
      <c r="N123" s="542" t="str">
        <f>IF('page 2'!$O$15="","",IF('page 2'!$O$15=Gestion!A123,1,0))</f>
        <v/>
      </c>
      <c r="O123" s="542" t="str">
        <f>IF('page 2'!$O$16="","",IF('page 2'!$O$16=Gestion!A123,1,0))</f>
        <v/>
      </c>
      <c r="P123" s="542" t="str">
        <f>IF('page 2'!$O$17="","",IF('page 2'!$O$17=Gestion!A123,1,0))</f>
        <v/>
      </c>
      <c r="Q123" s="542" t="str">
        <f>IF('page 2'!$O$18="","",IF('page 2'!$O$18=Gestion!A123,1,0))</f>
        <v/>
      </c>
      <c r="R123" s="542" t="str">
        <f>IF('page 2'!$O$19="","",IF('page 2'!$O$19=Gestion!A123,1,0))</f>
        <v/>
      </c>
      <c r="S123" s="542" t="str">
        <f>IF('page 2'!$O$20="","",IF('page 2'!$O$20=Gestion!A123,1,0))</f>
        <v/>
      </c>
      <c r="T123" s="542" t="str">
        <f>IF('page 2'!$O$25="","",IF('page 2'!$O$25=Gestion!A123,1,0))</f>
        <v/>
      </c>
      <c r="U123" s="542" t="str">
        <f>IF('page 2'!$O$26="","",IF('page 2'!$O$26=Gestion!A123,1,0))</f>
        <v/>
      </c>
      <c r="V123" s="542" t="str">
        <f>IF('page 2'!$O$27="","",IF('page 2'!$O$27=Gestion!A123,1,0))</f>
        <v/>
      </c>
      <c r="W123" s="724">
        <f t="shared" ref="W123" si="19">SUM(C123:V123)</f>
        <v>0</v>
      </c>
      <c r="X123" s="715"/>
      <c r="Y123" s="69"/>
      <c r="Z123" s="69"/>
      <c r="AA123" s="69"/>
      <c r="AB123" s="542"/>
      <c r="AC123" s="542"/>
      <c r="AD123" s="542"/>
      <c r="AP123" s="469"/>
      <c r="AQ123" s="469"/>
      <c r="AR123" s="469"/>
      <c r="AS123" s="602"/>
      <c r="AT123" s="602"/>
      <c r="AU123" s="602"/>
      <c r="AV123" s="602"/>
      <c r="AW123" s="602"/>
      <c r="AX123" s="602"/>
      <c r="AY123" s="602"/>
      <c r="AZ123" s="602"/>
      <c r="BA123" s="602"/>
      <c r="BB123" s="602"/>
      <c r="BC123" s="602"/>
      <c r="BD123" s="602"/>
      <c r="BE123" s="602"/>
      <c r="BF123" s="602"/>
      <c r="BG123" s="602"/>
      <c r="BH123" s="602"/>
      <c r="BI123" s="602"/>
      <c r="BJ123" s="602"/>
      <c r="BK123" s="602"/>
      <c r="BL123" s="602"/>
      <c r="BM123" s="602"/>
      <c r="BN123" s="602"/>
      <c r="BO123" s="602"/>
      <c r="BP123" s="602"/>
      <c r="BQ123" s="602"/>
      <c r="BR123" s="602"/>
      <c r="BS123" s="602"/>
      <c r="BT123" s="602"/>
      <c r="BU123" s="602"/>
      <c r="BV123" s="602"/>
      <c r="BW123" s="602"/>
      <c r="BX123" s="602"/>
      <c r="BY123" s="602"/>
      <c r="BZ123" s="602"/>
      <c r="CA123" s="602"/>
      <c r="CB123" s="602"/>
      <c r="CC123" s="602"/>
      <c r="CD123" s="602"/>
      <c r="CE123" s="602"/>
      <c r="CF123" s="602"/>
      <c r="CG123" s="602"/>
      <c r="CH123" s="602"/>
      <c r="CI123" s="602"/>
      <c r="CJ123" s="602"/>
      <c r="CK123" s="602"/>
      <c r="CL123" s="602"/>
      <c r="CM123" s="602"/>
      <c r="CN123" s="602"/>
      <c r="CO123" s="602"/>
      <c r="CP123" s="602"/>
      <c r="CQ123" s="602"/>
      <c r="CR123" s="602"/>
      <c r="CS123" s="602"/>
    </row>
    <row r="124" spans="1:2169" s="63" customFormat="1">
      <c r="A124" s="73" t="s">
        <v>810</v>
      </c>
      <c r="B124" s="73" t="s">
        <v>716</v>
      </c>
      <c r="C124" s="68" t="str">
        <f>IF('page 2'!$O$4="","",IF('page 2'!$O$4=Gestion!A124,1,0))</f>
        <v/>
      </c>
      <c r="D124" s="68" t="str">
        <f>IF('page 2'!$O$5="","",IF('page 2'!$O$5=Gestion!A124,1,0))</f>
        <v/>
      </c>
      <c r="E124" s="68" t="str">
        <f>IF('page 2'!$O$6="","",IF('page 2'!$O$6=Gestion!A124,1,0))</f>
        <v/>
      </c>
      <c r="F124" s="68" t="str">
        <f>IF('page 2'!$O$7="","",IF('page 2'!$O$7=Gestion!A124,1,0))</f>
        <v/>
      </c>
      <c r="G124" s="68" t="str">
        <f>IF('page 2'!$O$8="","",IF('page 2'!$O$8=Gestion!A124,1,0))</f>
        <v/>
      </c>
      <c r="H124" s="68" t="str">
        <f>IF('page 2'!$O$9="","",IF('page 2'!$O$9=Gestion!A124,1,0))</f>
        <v/>
      </c>
      <c r="I124" s="68" t="str">
        <f>IF('page 2'!$O$10="","",IF('page 2'!$O$10=Gestion!A124,1,0))</f>
        <v/>
      </c>
      <c r="J124" s="68" t="str">
        <f>IF('page 2'!$O$11="","",IF('page 2'!$O$11=Gestion!A124,1,0))</f>
        <v/>
      </c>
      <c r="K124" s="68" t="str">
        <f>IF('page 2'!$O$12="","",IF('page 2'!$O$12=Gestion!A124,1,0))</f>
        <v/>
      </c>
      <c r="L124" s="68" t="str">
        <f>IF('page 2'!$O$13="","",IF('page 2'!$O$13=Gestion!A124,1,0))</f>
        <v/>
      </c>
      <c r="M124" s="68" t="str">
        <f>IF('page 2'!$O$14="","",IF('page 2'!$O$14=Gestion!A124,1,0))</f>
        <v/>
      </c>
      <c r="N124" s="68" t="str">
        <f>IF('page 2'!$O$15="","",IF('page 2'!$O$15=Gestion!A124,1,0))</f>
        <v/>
      </c>
      <c r="O124" s="68" t="str">
        <f>IF('page 2'!$O$16="","",IF('page 2'!$O$16=Gestion!A124,1,0))</f>
        <v/>
      </c>
      <c r="P124" s="68" t="str">
        <f>IF('page 2'!$O$17="","",IF('page 2'!$O$17=Gestion!A124,1,0))</f>
        <v/>
      </c>
      <c r="Q124" s="68" t="str">
        <f>IF('page 2'!$O$18="","",IF('page 2'!$O$18=Gestion!A124,1,0))</f>
        <v/>
      </c>
      <c r="R124" s="68" t="str">
        <f>IF('page 2'!$O$19="","",IF('page 2'!$O$19=Gestion!A124,1,0))</f>
        <v/>
      </c>
      <c r="S124" s="68" t="str">
        <f>IF('page 2'!$O$20="","",IF('page 2'!$O$20=Gestion!A124,1,0))</f>
        <v/>
      </c>
      <c r="T124" s="68" t="str">
        <f>IF('page 2'!$O$25="","",IF('page 2'!$O$25=Gestion!A124,1,0))</f>
        <v/>
      </c>
      <c r="U124" s="68" t="str">
        <f>IF('page 2'!$O$26="","",IF('page 2'!$O$26=Gestion!A124,1,0))</f>
        <v/>
      </c>
      <c r="V124" s="68" t="str">
        <f>IF('page 2'!$O$27="","",IF('page 2'!$O$27=Gestion!A124,1,0))</f>
        <v/>
      </c>
      <c r="W124" s="722">
        <f t="shared" si="14"/>
        <v>0</v>
      </c>
      <c r="X124" s="714"/>
      <c r="Y124" s="68"/>
      <c r="Z124" s="68"/>
      <c r="AA124" s="68"/>
      <c r="AB124" s="68"/>
      <c r="AC124" s="68"/>
      <c r="AD124" s="68"/>
      <c r="AP124" s="130"/>
      <c r="AQ124" s="130"/>
      <c r="AR124" s="130"/>
      <c r="AS124" s="576"/>
      <c r="AT124" s="576"/>
      <c r="AU124" s="576"/>
      <c r="AV124" s="576"/>
      <c r="AW124" s="602"/>
      <c r="AX124" s="602"/>
      <c r="AY124" s="576"/>
      <c r="AZ124" s="576"/>
      <c r="BA124" s="576"/>
      <c r="BB124" s="576"/>
      <c r="BC124" s="576"/>
      <c r="BD124" s="602"/>
      <c r="BE124" s="602"/>
      <c r="BF124" s="602"/>
      <c r="BG124" s="602"/>
      <c r="BH124" s="602"/>
      <c r="BI124" s="602"/>
      <c r="BJ124" s="602"/>
      <c r="BK124" s="602"/>
      <c r="BL124" s="602"/>
      <c r="BM124" s="602"/>
      <c r="BN124" s="602"/>
      <c r="BO124" s="602"/>
      <c r="BP124" s="602"/>
      <c r="BQ124" s="602"/>
      <c r="BR124" s="602"/>
      <c r="BS124" s="576"/>
      <c r="BT124" s="576"/>
      <c r="BU124" s="576"/>
      <c r="BV124" s="576"/>
      <c r="BW124" s="602"/>
      <c r="BX124" s="602"/>
      <c r="BY124" s="602"/>
      <c r="BZ124" s="576"/>
      <c r="CA124" s="602"/>
      <c r="CB124" s="602"/>
      <c r="CC124" s="576"/>
      <c r="CD124" s="576"/>
      <c r="CE124" s="602"/>
      <c r="CF124" s="576"/>
      <c r="CG124" s="576"/>
      <c r="CH124" s="576"/>
      <c r="CI124" s="576"/>
      <c r="CJ124" s="576"/>
      <c r="CK124" s="602"/>
      <c r="CL124" s="602"/>
      <c r="CM124" s="576"/>
      <c r="CN124" s="602"/>
      <c r="CO124" s="602"/>
      <c r="CP124" s="602"/>
      <c r="CQ124" s="576"/>
      <c r="CR124" s="576"/>
      <c r="CS124" s="602"/>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c r="HF124" s="88"/>
      <c r="HG124" s="88"/>
      <c r="HH124" s="88"/>
      <c r="HI124" s="88"/>
      <c r="HJ124" s="88"/>
      <c r="HK124" s="88"/>
      <c r="HL124" s="88"/>
      <c r="HM124" s="88"/>
      <c r="HN124" s="88"/>
      <c r="HO124" s="88"/>
      <c r="HP124" s="88"/>
      <c r="HQ124" s="88"/>
      <c r="HR124" s="88"/>
      <c r="HS124" s="88"/>
      <c r="HT124" s="88"/>
      <c r="HU124" s="88"/>
      <c r="HV124" s="88"/>
      <c r="HW124" s="88"/>
      <c r="HX124" s="88"/>
      <c r="HY124" s="88"/>
      <c r="HZ124" s="88"/>
      <c r="IA124" s="88"/>
      <c r="IB124" s="88"/>
      <c r="IC124" s="88"/>
      <c r="ID124" s="88"/>
      <c r="IE124" s="88"/>
      <c r="IF124" s="88"/>
      <c r="IG124" s="88"/>
      <c r="IH124" s="88"/>
      <c r="II124" s="88"/>
      <c r="IJ124" s="88"/>
      <c r="IK124" s="88"/>
      <c r="IL124" s="88"/>
      <c r="IM124" s="88"/>
      <c r="IN124" s="88"/>
      <c r="IO124" s="88"/>
      <c r="IP124" s="88"/>
      <c r="IQ124" s="88"/>
      <c r="IR124" s="88"/>
      <c r="IS124" s="88"/>
      <c r="IT124" s="88"/>
      <c r="IU124" s="88"/>
      <c r="IV124" s="88"/>
      <c r="IW124" s="88"/>
      <c r="IX124" s="88"/>
      <c r="IY124" s="88"/>
      <c r="IZ124" s="88"/>
      <c r="JA124" s="88"/>
      <c r="JB124" s="88"/>
      <c r="JC124" s="88"/>
      <c r="JD124" s="88"/>
      <c r="JE124" s="88"/>
      <c r="JF124" s="88"/>
      <c r="JG124" s="88"/>
      <c r="JH124" s="88"/>
      <c r="JI124" s="88"/>
      <c r="JJ124" s="88"/>
      <c r="JK124" s="88"/>
      <c r="JL124" s="88"/>
      <c r="JM124" s="88"/>
      <c r="JN124" s="88"/>
      <c r="JO124" s="88"/>
      <c r="JP124" s="88"/>
      <c r="JQ124" s="88"/>
      <c r="JR124" s="88"/>
      <c r="JS124" s="88"/>
      <c r="JT124" s="88"/>
      <c r="JU124" s="88"/>
      <c r="JV124" s="88"/>
      <c r="JW124" s="88"/>
      <c r="JX124" s="88"/>
      <c r="JY124" s="88"/>
      <c r="JZ124" s="88"/>
      <c r="KA124" s="88"/>
      <c r="KB124" s="88"/>
      <c r="KC124" s="88"/>
      <c r="KD124" s="88"/>
      <c r="KE124" s="88"/>
      <c r="KF124" s="88"/>
      <c r="KG124" s="88"/>
      <c r="KH124" s="88"/>
      <c r="KI124" s="88"/>
      <c r="KJ124" s="88"/>
      <c r="KK124" s="88"/>
      <c r="KL124" s="88"/>
      <c r="KM124" s="88"/>
      <c r="KN124" s="88"/>
      <c r="KO124" s="88"/>
      <c r="KP124" s="88"/>
      <c r="KQ124" s="88"/>
      <c r="KR124" s="88"/>
      <c r="KS124" s="88"/>
      <c r="KT124" s="88"/>
      <c r="KU124" s="88"/>
      <c r="KV124" s="88"/>
      <c r="KW124" s="88"/>
      <c r="KX124" s="88"/>
      <c r="KY124" s="88"/>
      <c r="KZ124" s="88"/>
      <c r="LA124" s="88"/>
      <c r="LB124" s="88"/>
      <c r="LC124" s="88"/>
      <c r="LD124" s="88"/>
      <c r="LE124" s="88"/>
      <c r="LF124" s="88"/>
      <c r="LG124" s="88"/>
      <c r="LH124" s="88"/>
      <c r="LI124" s="88"/>
      <c r="LJ124" s="88"/>
      <c r="LK124" s="88"/>
      <c r="LL124" s="88"/>
      <c r="LM124" s="88"/>
      <c r="LN124" s="88"/>
      <c r="LO124" s="88"/>
      <c r="LP124" s="88"/>
      <c r="LQ124" s="88"/>
      <c r="LR124" s="88"/>
      <c r="LS124" s="88"/>
      <c r="LT124" s="88"/>
      <c r="LU124" s="88"/>
      <c r="LV124" s="88"/>
      <c r="LW124" s="88"/>
      <c r="LX124" s="88"/>
      <c r="LY124" s="88"/>
      <c r="LZ124" s="88"/>
      <c r="MA124" s="88"/>
      <c r="MB124" s="88"/>
      <c r="MC124" s="88"/>
      <c r="MD124" s="88"/>
      <c r="ME124" s="88"/>
      <c r="MF124" s="88"/>
      <c r="MG124" s="88"/>
      <c r="MH124" s="88"/>
      <c r="MI124" s="88"/>
      <c r="MJ124" s="88"/>
      <c r="MK124" s="88"/>
      <c r="ML124" s="88"/>
      <c r="MM124" s="88"/>
      <c r="MN124" s="88"/>
      <c r="MO124" s="88"/>
      <c r="MP124" s="88"/>
      <c r="MQ124" s="88"/>
      <c r="MR124" s="88"/>
      <c r="MS124" s="88"/>
      <c r="MT124" s="88"/>
      <c r="MU124" s="88"/>
      <c r="MV124" s="88"/>
      <c r="MW124" s="88"/>
      <c r="MX124" s="88"/>
      <c r="MY124" s="88"/>
      <c r="MZ124" s="88"/>
      <c r="NA124" s="88"/>
      <c r="NB124" s="88"/>
      <c r="NC124" s="88"/>
      <c r="ND124" s="88"/>
      <c r="NE124" s="88"/>
      <c r="NF124" s="88"/>
      <c r="NG124" s="88"/>
      <c r="NH124" s="88"/>
      <c r="NI124" s="88"/>
      <c r="NJ124" s="88"/>
      <c r="NK124" s="88"/>
      <c r="NL124" s="88"/>
      <c r="NM124" s="88"/>
      <c r="NN124" s="88"/>
      <c r="NO124" s="88"/>
      <c r="NP124" s="88"/>
      <c r="NQ124" s="88"/>
      <c r="NR124" s="88"/>
      <c r="NS124" s="88"/>
      <c r="NT124" s="88"/>
      <c r="NU124" s="88"/>
      <c r="NV124" s="88"/>
      <c r="NW124" s="88"/>
      <c r="NX124" s="88"/>
      <c r="NY124" s="88"/>
      <c r="NZ124" s="88"/>
      <c r="OA124" s="88"/>
      <c r="OB124" s="88"/>
      <c r="OC124" s="88"/>
      <c r="OD124" s="88"/>
      <c r="OE124" s="88"/>
      <c r="OF124" s="88"/>
      <c r="OG124" s="88"/>
      <c r="OH124" s="88"/>
      <c r="OI124" s="88"/>
      <c r="OJ124" s="88"/>
      <c r="OK124" s="88"/>
      <c r="OL124" s="88"/>
      <c r="OM124" s="88"/>
      <c r="ON124" s="88"/>
      <c r="OO124" s="88"/>
      <c r="OP124" s="88"/>
      <c r="OQ124" s="88"/>
      <c r="OR124" s="88"/>
      <c r="OS124" s="88"/>
      <c r="OT124" s="88"/>
      <c r="OU124" s="88"/>
      <c r="OV124" s="88"/>
      <c r="OW124" s="88"/>
      <c r="OX124" s="88"/>
      <c r="OY124" s="88"/>
      <c r="OZ124" s="88"/>
      <c r="PA124" s="88"/>
      <c r="PB124" s="88"/>
      <c r="PC124" s="88"/>
      <c r="PD124" s="88"/>
      <c r="PE124" s="88"/>
      <c r="PF124" s="88"/>
      <c r="PG124" s="88"/>
      <c r="PH124" s="88"/>
      <c r="PI124" s="88"/>
      <c r="PJ124" s="88"/>
      <c r="PK124" s="88"/>
      <c r="PL124" s="88"/>
      <c r="PM124" s="88"/>
      <c r="PN124" s="88"/>
      <c r="PO124" s="88"/>
      <c r="PP124" s="88"/>
      <c r="PQ124" s="88"/>
      <c r="PR124" s="88"/>
      <c r="PS124" s="88"/>
      <c r="PT124" s="88"/>
      <c r="PU124" s="88"/>
      <c r="PV124" s="88"/>
      <c r="PW124" s="88"/>
      <c r="PX124" s="88"/>
      <c r="PY124" s="88"/>
      <c r="PZ124" s="88"/>
      <c r="QA124" s="88"/>
      <c r="QB124" s="88"/>
      <c r="QC124" s="88"/>
      <c r="QD124" s="88"/>
      <c r="QE124" s="88"/>
      <c r="QF124" s="88"/>
      <c r="QG124" s="88"/>
      <c r="QH124" s="88"/>
      <c r="QI124" s="88"/>
      <c r="QJ124" s="88"/>
      <c r="QK124" s="88"/>
      <c r="QL124" s="88"/>
      <c r="QM124" s="88"/>
      <c r="QN124" s="88"/>
      <c r="QO124" s="88"/>
      <c r="QP124" s="88"/>
      <c r="QQ124" s="88"/>
      <c r="QR124" s="88"/>
      <c r="QS124" s="88"/>
      <c r="QT124" s="88"/>
      <c r="QU124" s="88"/>
      <c r="QV124" s="88"/>
      <c r="QW124" s="88"/>
      <c r="QX124" s="88"/>
      <c r="QY124" s="88"/>
      <c r="QZ124" s="88"/>
      <c r="RA124" s="88"/>
      <c r="RB124" s="88"/>
      <c r="RC124" s="88"/>
      <c r="RD124" s="88"/>
      <c r="RE124" s="88"/>
      <c r="RF124" s="88"/>
      <c r="RG124" s="88"/>
      <c r="RH124" s="88"/>
      <c r="RI124" s="88"/>
      <c r="RJ124" s="88"/>
      <c r="RK124" s="88"/>
      <c r="RL124" s="88"/>
      <c r="RM124" s="88"/>
      <c r="RN124" s="88"/>
      <c r="RO124" s="88"/>
      <c r="RP124" s="88"/>
      <c r="RQ124" s="88"/>
      <c r="RR124" s="88"/>
      <c r="RS124" s="88"/>
      <c r="RT124" s="88"/>
      <c r="RU124" s="88"/>
      <c r="RV124" s="88"/>
      <c r="RW124" s="88"/>
      <c r="RX124" s="88"/>
      <c r="RY124" s="88"/>
      <c r="RZ124" s="88"/>
      <c r="SA124" s="88"/>
      <c r="SB124" s="88"/>
      <c r="SC124" s="88"/>
      <c r="SD124" s="88"/>
      <c r="SE124" s="88"/>
      <c r="SF124" s="88"/>
      <c r="SG124" s="88"/>
      <c r="SH124" s="88"/>
      <c r="SI124" s="88"/>
      <c r="SJ124" s="88"/>
      <c r="SK124" s="88"/>
      <c r="SL124" s="88"/>
      <c r="SM124" s="88"/>
      <c r="SN124" s="88"/>
      <c r="SO124" s="88"/>
      <c r="SP124" s="88"/>
      <c r="SQ124" s="88"/>
      <c r="SR124" s="88"/>
      <c r="SS124" s="88"/>
      <c r="ST124" s="88"/>
      <c r="SU124" s="88"/>
      <c r="SV124" s="88"/>
      <c r="SW124" s="88"/>
      <c r="SX124" s="88"/>
      <c r="SY124" s="88"/>
      <c r="SZ124" s="88"/>
      <c r="TA124" s="88"/>
      <c r="TB124" s="88"/>
      <c r="TC124" s="88"/>
      <c r="TD124" s="88"/>
      <c r="TE124" s="88"/>
      <c r="TF124" s="88"/>
      <c r="TG124" s="88"/>
      <c r="TH124" s="88"/>
      <c r="TI124" s="88"/>
      <c r="TJ124" s="88"/>
      <c r="TK124" s="88"/>
      <c r="TL124" s="88"/>
      <c r="TM124" s="88"/>
      <c r="TN124" s="88"/>
      <c r="TO124" s="88"/>
      <c r="TP124" s="88"/>
      <c r="TQ124" s="88"/>
      <c r="TR124" s="88"/>
      <c r="TS124" s="88"/>
      <c r="TT124" s="88"/>
      <c r="TU124" s="88"/>
      <c r="TV124" s="88"/>
      <c r="TW124" s="88"/>
      <c r="TX124" s="88"/>
      <c r="TY124" s="88"/>
      <c r="TZ124" s="88"/>
      <c r="UA124" s="88"/>
      <c r="UB124" s="88"/>
      <c r="UC124" s="88"/>
      <c r="UD124" s="88"/>
      <c r="UE124" s="88"/>
      <c r="UF124" s="88"/>
      <c r="UG124" s="88"/>
      <c r="UH124" s="88"/>
      <c r="UI124" s="88"/>
      <c r="UJ124" s="88"/>
      <c r="UK124" s="88"/>
      <c r="UL124" s="88"/>
      <c r="UM124" s="88"/>
      <c r="UN124" s="88"/>
      <c r="UO124" s="88"/>
      <c r="UP124" s="88"/>
      <c r="UQ124" s="88"/>
      <c r="UR124" s="88"/>
      <c r="US124" s="88"/>
      <c r="UT124" s="88"/>
      <c r="UU124" s="88"/>
      <c r="UV124" s="88"/>
      <c r="UW124" s="88"/>
      <c r="UX124" s="88"/>
      <c r="UY124" s="88"/>
      <c r="UZ124" s="88"/>
      <c r="VA124" s="88"/>
      <c r="VB124" s="88"/>
      <c r="VC124" s="88"/>
      <c r="VD124" s="88"/>
      <c r="VE124" s="88"/>
      <c r="VF124" s="88"/>
      <c r="VG124" s="88"/>
      <c r="VH124" s="88"/>
      <c r="VI124" s="88"/>
      <c r="VJ124" s="88"/>
      <c r="VK124" s="88"/>
      <c r="VL124" s="88"/>
      <c r="VM124" s="88"/>
      <c r="VN124" s="88"/>
      <c r="VO124" s="88"/>
      <c r="VP124" s="88"/>
      <c r="VQ124" s="88"/>
      <c r="VR124" s="88"/>
      <c r="VS124" s="88"/>
      <c r="VT124" s="88"/>
      <c r="VU124" s="88"/>
      <c r="VV124" s="88"/>
      <c r="VW124" s="88"/>
      <c r="VX124" s="88"/>
      <c r="VY124" s="88"/>
      <c r="VZ124" s="88"/>
      <c r="WA124" s="88"/>
      <c r="WB124" s="88"/>
      <c r="WC124" s="88"/>
      <c r="WD124" s="88"/>
      <c r="WE124" s="88"/>
      <c r="WF124" s="88"/>
      <c r="WG124" s="88"/>
      <c r="WH124" s="88"/>
      <c r="WI124" s="88"/>
      <c r="WJ124" s="88"/>
      <c r="WK124" s="88"/>
      <c r="WL124" s="88"/>
      <c r="WM124" s="88"/>
      <c r="WN124" s="88"/>
      <c r="WO124" s="88"/>
      <c r="WP124" s="88"/>
      <c r="WQ124" s="88"/>
      <c r="WR124" s="88"/>
      <c r="WS124" s="88"/>
      <c r="WT124" s="88"/>
      <c r="WU124" s="88"/>
      <c r="WV124" s="88"/>
      <c r="WW124" s="88"/>
      <c r="WX124" s="88"/>
      <c r="WY124" s="88"/>
      <c r="WZ124" s="88"/>
      <c r="XA124" s="88"/>
      <c r="XB124" s="88"/>
      <c r="XC124" s="88"/>
      <c r="XD124" s="88"/>
      <c r="XE124" s="88"/>
      <c r="XF124" s="88"/>
      <c r="XG124" s="88"/>
      <c r="XH124" s="88"/>
      <c r="XI124" s="88"/>
      <c r="XJ124" s="88"/>
      <c r="XK124" s="88"/>
      <c r="XL124" s="88"/>
      <c r="XM124" s="88"/>
      <c r="XN124" s="88"/>
      <c r="XO124" s="88"/>
      <c r="XP124" s="88"/>
      <c r="XQ124" s="88"/>
      <c r="XR124" s="88"/>
      <c r="XS124" s="88"/>
      <c r="XT124" s="88"/>
      <c r="XU124" s="88"/>
      <c r="XV124" s="88"/>
      <c r="XW124" s="88"/>
      <c r="XX124" s="88"/>
      <c r="XY124" s="88"/>
      <c r="XZ124" s="88"/>
      <c r="YA124" s="88"/>
      <c r="YB124" s="88"/>
      <c r="YC124" s="88"/>
      <c r="YD124" s="88"/>
      <c r="YE124" s="88"/>
      <c r="YF124" s="88"/>
      <c r="YG124" s="88"/>
      <c r="YH124" s="88"/>
      <c r="YI124" s="88"/>
      <c r="YJ124" s="88"/>
      <c r="YK124" s="88"/>
      <c r="YL124" s="88"/>
      <c r="YM124" s="88"/>
      <c r="YN124" s="88"/>
      <c r="YO124" s="88"/>
      <c r="YP124" s="88"/>
      <c r="YQ124" s="88"/>
      <c r="YR124" s="88"/>
      <c r="YS124" s="88"/>
      <c r="YT124" s="88"/>
      <c r="YU124" s="88"/>
      <c r="YV124" s="88"/>
      <c r="YW124" s="88"/>
      <c r="YX124" s="88"/>
      <c r="YY124" s="88"/>
      <c r="YZ124" s="88"/>
      <c r="ZA124" s="88"/>
      <c r="ZB124" s="88"/>
      <c r="ZC124" s="88"/>
      <c r="ZD124" s="88"/>
      <c r="ZE124" s="88"/>
      <c r="ZF124" s="88"/>
      <c r="ZG124" s="88"/>
      <c r="ZH124" s="88"/>
      <c r="ZI124" s="88"/>
      <c r="ZJ124" s="88"/>
      <c r="ZK124" s="88"/>
      <c r="ZL124" s="88"/>
      <c r="ZM124" s="88"/>
      <c r="ZN124" s="88"/>
      <c r="ZO124" s="88"/>
      <c r="ZP124" s="88"/>
      <c r="ZQ124" s="88"/>
      <c r="ZR124" s="88"/>
      <c r="ZS124" s="88"/>
      <c r="ZT124" s="88"/>
      <c r="ZU124" s="88"/>
      <c r="ZV124" s="88"/>
      <c r="ZW124" s="88"/>
      <c r="ZX124" s="88"/>
      <c r="ZY124" s="88"/>
      <c r="ZZ124" s="88"/>
      <c r="AAA124" s="88"/>
      <c r="AAB124" s="88"/>
      <c r="AAC124" s="88"/>
      <c r="AAD124" s="88"/>
      <c r="AAE124" s="88"/>
      <c r="AAF124" s="88"/>
      <c r="AAG124" s="88"/>
      <c r="AAH124" s="88"/>
      <c r="AAI124" s="88"/>
      <c r="AAJ124" s="88"/>
      <c r="AAK124" s="88"/>
      <c r="AAL124" s="88"/>
      <c r="AAM124" s="88"/>
      <c r="AAN124" s="88"/>
      <c r="AAO124" s="88"/>
      <c r="AAP124" s="88"/>
      <c r="AAQ124" s="88"/>
      <c r="AAR124" s="88"/>
      <c r="AAS124" s="88"/>
      <c r="AAT124" s="88"/>
      <c r="AAU124" s="88"/>
      <c r="AAV124" s="88"/>
      <c r="AAW124" s="88"/>
      <c r="AAX124" s="88"/>
      <c r="AAY124" s="88"/>
      <c r="AAZ124" s="88"/>
      <c r="ABA124" s="88"/>
      <c r="ABB124" s="88"/>
      <c r="ABC124" s="88"/>
      <c r="ABD124" s="88"/>
      <c r="ABE124" s="88"/>
      <c r="ABF124" s="88"/>
      <c r="ABG124" s="88"/>
      <c r="ABH124" s="88"/>
      <c r="ABI124" s="88"/>
      <c r="ABJ124" s="88"/>
      <c r="ABK124" s="88"/>
      <c r="ABL124" s="88"/>
      <c r="ABM124" s="88"/>
      <c r="ABN124" s="88"/>
      <c r="ABO124" s="88"/>
      <c r="ABP124" s="88"/>
      <c r="ABQ124" s="88"/>
      <c r="ABR124" s="88"/>
      <c r="ABS124" s="88"/>
      <c r="ABT124" s="88"/>
      <c r="ABU124" s="88"/>
      <c r="ABV124" s="88"/>
      <c r="ABW124" s="88"/>
      <c r="ABX124" s="88"/>
      <c r="ABY124" s="88"/>
      <c r="ABZ124" s="88"/>
      <c r="ACA124" s="88"/>
      <c r="ACB124" s="88"/>
      <c r="ACC124" s="88"/>
      <c r="ACD124" s="88"/>
      <c r="ACE124" s="88"/>
      <c r="ACF124" s="88"/>
      <c r="ACG124" s="88"/>
      <c r="ACH124" s="88"/>
      <c r="ACI124" s="88"/>
      <c r="ACJ124" s="88"/>
      <c r="ACK124" s="88"/>
      <c r="ACL124" s="88"/>
      <c r="ACM124" s="88"/>
      <c r="ACN124" s="88"/>
      <c r="ACO124" s="88"/>
      <c r="ACP124" s="88"/>
      <c r="ACQ124" s="88"/>
      <c r="ACR124" s="88"/>
      <c r="ACS124" s="88"/>
      <c r="ACT124" s="88"/>
      <c r="ACU124" s="88"/>
      <c r="ACV124" s="88"/>
      <c r="ACW124" s="88"/>
      <c r="ACX124" s="88"/>
      <c r="ACY124" s="88"/>
      <c r="ACZ124" s="88"/>
      <c r="ADA124" s="88"/>
      <c r="ADB124" s="88"/>
      <c r="ADC124" s="88"/>
      <c r="ADD124" s="88"/>
      <c r="ADE124" s="88"/>
      <c r="ADF124" s="88"/>
      <c r="ADG124" s="88"/>
      <c r="ADH124" s="88"/>
      <c r="ADI124" s="88"/>
      <c r="ADJ124" s="88"/>
      <c r="ADK124" s="88"/>
      <c r="ADL124" s="88"/>
      <c r="ADM124" s="88"/>
      <c r="ADN124" s="88"/>
      <c r="ADO124" s="88"/>
      <c r="ADP124" s="88"/>
      <c r="ADQ124" s="88"/>
      <c r="ADR124" s="88"/>
      <c r="ADS124" s="88"/>
      <c r="ADT124" s="88"/>
      <c r="ADU124" s="88"/>
      <c r="ADV124" s="88"/>
      <c r="ADW124" s="88"/>
      <c r="ADX124" s="88"/>
      <c r="ADY124" s="88"/>
      <c r="ADZ124" s="88"/>
      <c r="AEA124" s="88"/>
      <c r="AEB124" s="88"/>
      <c r="AEC124" s="88"/>
      <c r="AED124" s="88"/>
      <c r="AEE124" s="88"/>
      <c r="AEF124" s="88"/>
      <c r="AEG124" s="88"/>
      <c r="AEH124" s="88"/>
      <c r="AEI124" s="88"/>
      <c r="AEJ124" s="88"/>
      <c r="AEK124" s="88"/>
      <c r="AEL124" s="88"/>
      <c r="AEM124" s="88"/>
      <c r="AEN124" s="88"/>
      <c r="AEO124" s="88"/>
      <c r="AEP124" s="88"/>
      <c r="AEQ124" s="88"/>
      <c r="AER124" s="88"/>
      <c r="AES124" s="88"/>
      <c r="AET124" s="88"/>
      <c r="AEU124" s="88"/>
      <c r="AEV124" s="88"/>
      <c r="AEW124" s="88"/>
      <c r="AEX124" s="88"/>
      <c r="AEY124" s="88"/>
      <c r="AEZ124" s="88"/>
      <c r="AFA124" s="88"/>
      <c r="AFB124" s="88"/>
      <c r="AFC124" s="88"/>
      <c r="AFD124" s="88"/>
      <c r="AFE124" s="88"/>
      <c r="AFF124" s="88"/>
      <c r="AFG124" s="88"/>
      <c r="AFH124" s="88"/>
      <c r="AFI124" s="88"/>
      <c r="AFJ124" s="88"/>
      <c r="AFK124" s="88"/>
      <c r="AFL124" s="88"/>
      <c r="AFM124" s="88"/>
      <c r="AFN124" s="88"/>
      <c r="AFO124" s="88"/>
      <c r="AFP124" s="88"/>
      <c r="AFQ124" s="88"/>
      <c r="AFR124" s="88"/>
      <c r="AFS124" s="88"/>
      <c r="AFT124" s="88"/>
      <c r="AFU124" s="88"/>
      <c r="AFV124" s="88"/>
      <c r="AFW124" s="88"/>
      <c r="AFX124" s="88"/>
      <c r="AFY124" s="88"/>
      <c r="AFZ124" s="88"/>
      <c r="AGA124" s="88"/>
      <c r="AGB124" s="88"/>
      <c r="AGC124" s="88"/>
      <c r="AGD124" s="88"/>
      <c r="AGE124" s="88"/>
      <c r="AGF124" s="88"/>
      <c r="AGG124" s="88"/>
      <c r="AGH124" s="88"/>
      <c r="AGI124" s="88"/>
      <c r="AGJ124" s="88"/>
      <c r="AGK124" s="88"/>
      <c r="AGL124" s="88"/>
      <c r="AGM124" s="88"/>
      <c r="AGN124" s="88"/>
      <c r="AGO124" s="88"/>
      <c r="AGP124" s="88"/>
      <c r="AGQ124" s="88"/>
      <c r="AGR124" s="88"/>
      <c r="AGS124" s="88"/>
      <c r="AGT124" s="88"/>
      <c r="AGU124" s="88"/>
      <c r="AGV124" s="88"/>
      <c r="AGW124" s="88"/>
      <c r="AGX124" s="88"/>
      <c r="AGY124" s="88"/>
      <c r="AGZ124" s="88"/>
      <c r="AHA124" s="88"/>
      <c r="AHB124" s="88"/>
      <c r="AHC124" s="88"/>
      <c r="AHD124" s="88"/>
      <c r="AHE124" s="88"/>
      <c r="AHF124" s="88"/>
      <c r="AHG124" s="88"/>
      <c r="AHH124" s="88"/>
      <c r="AHI124" s="88"/>
      <c r="AHJ124" s="88"/>
      <c r="AHK124" s="88"/>
      <c r="AHL124" s="88"/>
      <c r="AHM124" s="88"/>
      <c r="AHN124" s="88"/>
      <c r="AHO124" s="88"/>
      <c r="AHP124" s="88"/>
      <c r="AHQ124" s="88"/>
      <c r="AHR124" s="88"/>
      <c r="AHS124" s="88"/>
      <c r="AHT124" s="88"/>
      <c r="AHU124" s="88"/>
      <c r="AHV124" s="88"/>
      <c r="AHW124" s="88"/>
      <c r="AHX124" s="88"/>
      <c r="AHY124" s="88"/>
      <c r="AHZ124" s="88"/>
      <c r="AIA124" s="88"/>
      <c r="AIB124" s="88"/>
      <c r="AIC124" s="88"/>
      <c r="AID124" s="88"/>
      <c r="AIE124" s="88"/>
      <c r="AIF124" s="88"/>
      <c r="AIG124" s="88"/>
      <c r="AIH124" s="88"/>
      <c r="AII124" s="88"/>
      <c r="AIJ124" s="88"/>
      <c r="AIK124" s="88"/>
      <c r="AIL124" s="88"/>
      <c r="AIM124" s="88"/>
      <c r="AIN124" s="88"/>
      <c r="AIO124" s="88"/>
      <c r="AIP124" s="88"/>
      <c r="AIQ124" s="88"/>
      <c r="AIR124" s="88"/>
      <c r="AIS124" s="88"/>
      <c r="AIT124" s="88"/>
      <c r="AIU124" s="88"/>
      <c r="AIV124" s="88"/>
      <c r="AIW124" s="88"/>
      <c r="AIX124" s="88"/>
      <c r="AIY124" s="88"/>
      <c r="AIZ124" s="88"/>
      <c r="AJA124" s="88"/>
      <c r="AJB124" s="88"/>
      <c r="AJC124" s="88"/>
      <c r="AJD124" s="88"/>
      <c r="AJE124" s="88"/>
      <c r="AJF124" s="88"/>
      <c r="AJG124" s="88"/>
      <c r="AJH124" s="88"/>
      <c r="AJI124" s="88"/>
      <c r="AJJ124" s="88"/>
      <c r="AJK124" s="88"/>
      <c r="AJL124" s="88"/>
      <c r="AJM124" s="88"/>
      <c r="AJN124" s="88"/>
      <c r="AJO124" s="88"/>
      <c r="AJP124" s="88"/>
      <c r="AJQ124" s="88"/>
      <c r="AJR124" s="88"/>
      <c r="AJS124" s="88"/>
      <c r="AJT124" s="88"/>
      <c r="AJU124" s="88"/>
      <c r="AJV124" s="88"/>
      <c r="AJW124" s="88"/>
      <c r="AJX124" s="88"/>
      <c r="AJY124" s="88"/>
      <c r="AJZ124" s="88"/>
      <c r="AKA124" s="88"/>
      <c r="AKB124" s="88"/>
      <c r="AKC124" s="88"/>
      <c r="AKD124" s="88"/>
      <c r="AKE124" s="88"/>
      <c r="AKF124" s="88"/>
      <c r="AKG124" s="88"/>
      <c r="AKH124" s="88"/>
      <c r="AKI124" s="88"/>
      <c r="AKJ124" s="88"/>
      <c r="AKK124" s="88"/>
      <c r="AKL124" s="88"/>
      <c r="AKM124" s="88"/>
      <c r="AKN124" s="88"/>
      <c r="AKO124" s="88"/>
      <c r="AKP124" s="88"/>
      <c r="AKQ124" s="88"/>
      <c r="AKR124" s="88"/>
      <c r="AKS124" s="88"/>
      <c r="AKT124" s="88"/>
      <c r="AKU124" s="88"/>
      <c r="AKV124" s="88"/>
      <c r="AKW124" s="88"/>
      <c r="AKX124" s="88"/>
      <c r="AKY124" s="88"/>
      <c r="AKZ124" s="88"/>
      <c r="ALA124" s="88"/>
      <c r="ALB124" s="88"/>
      <c r="ALC124" s="88"/>
      <c r="ALD124" s="88"/>
      <c r="ALE124" s="88"/>
      <c r="ALF124" s="88"/>
      <c r="ALG124" s="88"/>
      <c r="ALH124" s="88"/>
      <c r="ALI124" s="88"/>
      <c r="ALJ124" s="88"/>
      <c r="ALK124" s="88"/>
      <c r="ALL124" s="88"/>
      <c r="ALM124" s="88"/>
      <c r="ALN124" s="88"/>
      <c r="ALO124" s="88"/>
      <c r="ALP124" s="88"/>
      <c r="ALQ124" s="88"/>
      <c r="ALR124" s="88"/>
      <c r="ALS124" s="88"/>
      <c r="ALT124" s="88"/>
      <c r="ALU124" s="88"/>
      <c r="ALV124" s="88"/>
      <c r="ALW124" s="88"/>
      <c r="ALX124" s="88"/>
      <c r="ALY124" s="88"/>
      <c r="ALZ124" s="88"/>
      <c r="AMA124" s="88"/>
      <c r="AMB124" s="88"/>
      <c r="AMC124" s="88"/>
      <c r="AMD124" s="88"/>
      <c r="AME124" s="88"/>
      <c r="AMF124" s="88"/>
      <c r="AMG124" s="88"/>
      <c r="AMH124" s="88"/>
      <c r="AMI124" s="88"/>
      <c r="AMJ124" s="88"/>
      <c r="AMK124" s="88"/>
      <c r="AML124" s="88"/>
      <c r="AMM124" s="88"/>
      <c r="AMN124" s="88"/>
      <c r="AMO124" s="88"/>
      <c r="AMP124" s="88"/>
      <c r="AMQ124" s="88"/>
      <c r="AMR124" s="88"/>
      <c r="AMS124" s="88"/>
      <c r="AMT124" s="88"/>
      <c r="AMU124" s="88"/>
      <c r="AMV124" s="88"/>
      <c r="AMW124" s="88"/>
      <c r="AMX124" s="88"/>
      <c r="AMY124" s="88"/>
      <c r="AMZ124" s="88"/>
      <c r="ANA124" s="88"/>
      <c r="ANB124" s="88"/>
      <c r="ANC124" s="88"/>
      <c r="AND124" s="88"/>
      <c r="ANE124" s="88"/>
      <c r="ANF124" s="88"/>
      <c r="ANG124" s="88"/>
      <c r="ANH124" s="88"/>
      <c r="ANI124" s="88"/>
      <c r="ANJ124" s="88"/>
      <c r="ANK124" s="88"/>
      <c r="ANL124" s="88"/>
      <c r="ANM124" s="88"/>
      <c r="ANN124" s="88"/>
      <c r="ANO124" s="88"/>
      <c r="ANP124" s="88"/>
      <c r="ANQ124" s="88"/>
      <c r="ANR124" s="88"/>
      <c r="ANS124" s="88"/>
      <c r="ANT124" s="88"/>
      <c r="ANU124" s="88"/>
      <c r="ANV124" s="88"/>
      <c r="ANW124" s="88"/>
      <c r="ANX124" s="88"/>
      <c r="ANY124" s="88"/>
      <c r="ANZ124" s="88"/>
      <c r="AOA124" s="88"/>
      <c r="AOB124" s="88"/>
      <c r="AOC124" s="88"/>
      <c r="AOD124" s="88"/>
      <c r="AOE124" s="88"/>
      <c r="AOF124" s="88"/>
      <c r="AOG124" s="88"/>
      <c r="AOH124" s="88"/>
      <c r="AOI124" s="88"/>
      <c r="AOJ124" s="88"/>
      <c r="AOK124" s="88"/>
      <c r="AOL124" s="88"/>
      <c r="AOM124" s="88"/>
      <c r="AON124" s="88"/>
      <c r="AOO124" s="88"/>
      <c r="AOP124" s="88"/>
      <c r="AOQ124" s="88"/>
      <c r="AOR124" s="88"/>
      <c r="AOS124" s="88"/>
      <c r="AOT124" s="88"/>
      <c r="AOU124" s="88"/>
      <c r="AOV124" s="88"/>
      <c r="AOW124" s="88"/>
      <c r="AOX124" s="88"/>
      <c r="AOY124" s="88"/>
      <c r="AOZ124" s="88"/>
      <c r="APA124" s="88"/>
      <c r="APB124" s="88"/>
      <c r="APC124" s="88"/>
      <c r="APD124" s="88"/>
      <c r="APE124" s="88"/>
      <c r="APF124" s="88"/>
      <c r="APG124" s="88"/>
      <c r="APH124" s="88"/>
      <c r="API124" s="88"/>
      <c r="APJ124" s="88"/>
      <c r="APK124" s="88"/>
      <c r="APL124" s="88"/>
      <c r="APM124" s="88"/>
      <c r="APN124" s="88"/>
      <c r="APO124" s="88"/>
      <c r="APP124" s="88"/>
      <c r="APQ124" s="88"/>
      <c r="APR124" s="88"/>
      <c r="APS124" s="88"/>
      <c r="APT124" s="88"/>
      <c r="APU124" s="88"/>
      <c r="APV124" s="88"/>
      <c r="APW124" s="88"/>
      <c r="APX124" s="88"/>
      <c r="APY124" s="88"/>
      <c r="APZ124" s="88"/>
      <c r="AQA124" s="88"/>
      <c r="AQB124" s="88"/>
      <c r="AQC124" s="88"/>
      <c r="AQD124" s="88"/>
      <c r="AQE124" s="88"/>
      <c r="AQF124" s="88"/>
      <c r="AQG124" s="88"/>
      <c r="AQH124" s="88"/>
      <c r="AQI124" s="88"/>
      <c r="AQJ124" s="88"/>
      <c r="AQK124" s="88"/>
      <c r="AQL124" s="88"/>
      <c r="AQM124" s="88"/>
      <c r="AQN124" s="88"/>
      <c r="AQO124" s="88"/>
      <c r="AQP124" s="88"/>
      <c r="AQQ124" s="88"/>
      <c r="AQR124" s="88"/>
      <c r="AQS124" s="88"/>
      <c r="AQT124" s="88"/>
      <c r="AQU124" s="88"/>
      <c r="AQV124" s="88"/>
      <c r="AQW124" s="88"/>
      <c r="AQX124" s="88"/>
      <c r="AQY124" s="88"/>
      <c r="AQZ124" s="88"/>
      <c r="ARA124" s="88"/>
      <c r="ARB124" s="88"/>
      <c r="ARC124" s="88"/>
      <c r="ARD124" s="88"/>
      <c r="ARE124" s="88"/>
      <c r="ARF124" s="88"/>
      <c r="ARG124" s="88"/>
      <c r="ARH124" s="88"/>
      <c r="ARI124" s="88"/>
      <c r="ARJ124" s="88"/>
      <c r="ARK124" s="88"/>
      <c r="ARL124" s="88"/>
      <c r="ARM124" s="88"/>
      <c r="ARN124" s="88"/>
      <c r="ARO124" s="88"/>
      <c r="ARP124" s="88"/>
      <c r="ARQ124" s="88"/>
      <c r="ARR124" s="88"/>
      <c r="ARS124" s="88"/>
      <c r="ART124" s="88"/>
      <c r="ARU124" s="88"/>
      <c r="ARV124" s="88"/>
      <c r="ARW124" s="88"/>
      <c r="ARX124" s="88"/>
      <c r="ARY124" s="88"/>
      <c r="ARZ124" s="88"/>
      <c r="ASA124" s="88"/>
      <c r="ASB124" s="88"/>
      <c r="ASC124" s="88"/>
      <c r="ASD124" s="88"/>
      <c r="ASE124" s="88"/>
      <c r="ASF124" s="88"/>
      <c r="ASG124" s="88"/>
      <c r="ASH124" s="88"/>
      <c r="ASI124" s="88"/>
      <c r="ASJ124" s="88"/>
      <c r="ASK124" s="88"/>
      <c r="ASL124" s="88"/>
      <c r="ASM124" s="88"/>
      <c r="ASN124" s="88"/>
      <c r="ASO124" s="88"/>
      <c r="ASP124" s="88"/>
      <c r="ASQ124" s="88"/>
      <c r="ASR124" s="88"/>
      <c r="ASS124" s="88"/>
      <c r="AST124" s="88"/>
      <c r="ASU124" s="88"/>
      <c r="ASV124" s="88"/>
      <c r="ASW124" s="88"/>
      <c r="ASX124" s="88"/>
      <c r="ASY124" s="88"/>
      <c r="ASZ124" s="88"/>
      <c r="ATA124" s="88"/>
      <c r="ATB124" s="88"/>
      <c r="ATC124" s="88"/>
      <c r="ATD124" s="88"/>
      <c r="ATE124" s="88"/>
      <c r="ATF124" s="88"/>
      <c r="ATG124" s="88"/>
      <c r="ATH124" s="88"/>
      <c r="ATI124" s="88"/>
      <c r="ATJ124" s="88"/>
      <c r="ATK124" s="88"/>
      <c r="ATL124" s="88"/>
      <c r="ATM124" s="88"/>
      <c r="ATN124" s="88"/>
      <c r="ATO124" s="88"/>
      <c r="ATP124" s="88"/>
      <c r="ATQ124" s="88"/>
      <c r="ATR124" s="88"/>
      <c r="ATS124" s="88"/>
      <c r="ATT124" s="88"/>
      <c r="ATU124" s="88"/>
      <c r="ATV124" s="88"/>
      <c r="ATW124" s="88"/>
      <c r="ATX124" s="88"/>
      <c r="ATY124" s="88"/>
      <c r="ATZ124" s="88"/>
      <c r="AUA124" s="88"/>
      <c r="AUB124" s="88"/>
      <c r="AUC124" s="88"/>
      <c r="AUD124" s="88"/>
      <c r="AUE124" s="88"/>
      <c r="AUF124" s="88"/>
      <c r="AUG124" s="88"/>
      <c r="AUH124" s="88"/>
      <c r="AUI124" s="88"/>
      <c r="AUJ124" s="88"/>
      <c r="AUK124" s="88"/>
      <c r="AUL124" s="88"/>
      <c r="AUM124" s="88"/>
      <c r="AUN124" s="88"/>
      <c r="AUO124" s="88"/>
      <c r="AUP124" s="88"/>
      <c r="AUQ124" s="88"/>
      <c r="AUR124" s="88"/>
      <c r="AUS124" s="88"/>
      <c r="AUT124" s="88"/>
      <c r="AUU124" s="88"/>
      <c r="AUV124" s="88"/>
      <c r="AUW124" s="88"/>
      <c r="AUX124" s="88"/>
      <c r="AUY124" s="88"/>
      <c r="AUZ124" s="88"/>
      <c r="AVA124" s="88"/>
      <c r="AVB124" s="88"/>
      <c r="AVC124" s="88"/>
      <c r="AVD124" s="88"/>
      <c r="AVE124" s="88"/>
      <c r="AVF124" s="88"/>
      <c r="AVG124" s="88"/>
      <c r="AVH124" s="88"/>
      <c r="AVI124" s="88"/>
      <c r="AVJ124" s="88"/>
      <c r="AVK124" s="88"/>
      <c r="AVL124" s="88"/>
      <c r="AVM124" s="88"/>
      <c r="AVN124" s="88"/>
      <c r="AVO124" s="88"/>
      <c r="AVP124" s="88"/>
      <c r="AVQ124" s="88"/>
      <c r="AVR124" s="88"/>
      <c r="AVS124" s="88"/>
      <c r="AVT124" s="88"/>
      <c r="AVU124" s="88"/>
      <c r="AVV124" s="88"/>
      <c r="AVW124" s="88"/>
      <c r="AVX124" s="88"/>
      <c r="AVY124" s="88"/>
      <c r="AVZ124" s="88"/>
      <c r="AWA124" s="88"/>
      <c r="AWB124" s="88"/>
      <c r="AWC124" s="88"/>
      <c r="AWD124" s="88"/>
      <c r="AWE124" s="88"/>
      <c r="AWF124" s="88"/>
      <c r="AWG124" s="88"/>
      <c r="AWH124" s="88"/>
      <c r="AWI124" s="88"/>
      <c r="AWJ124" s="88"/>
      <c r="AWK124" s="88"/>
      <c r="AWL124" s="88"/>
      <c r="AWM124" s="88"/>
      <c r="AWN124" s="88"/>
      <c r="AWO124" s="88"/>
      <c r="AWP124" s="88"/>
      <c r="AWQ124" s="88"/>
      <c r="AWR124" s="88"/>
      <c r="AWS124" s="88"/>
      <c r="AWT124" s="88"/>
      <c r="AWU124" s="88"/>
      <c r="AWV124" s="88"/>
      <c r="AWW124" s="88"/>
      <c r="AWX124" s="88"/>
      <c r="AWY124" s="88"/>
      <c r="AWZ124" s="88"/>
      <c r="AXA124" s="88"/>
      <c r="AXB124" s="88"/>
      <c r="AXC124" s="88"/>
      <c r="AXD124" s="88"/>
      <c r="AXE124" s="88"/>
      <c r="AXF124" s="88"/>
      <c r="AXG124" s="88"/>
      <c r="AXH124" s="88"/>
      <c r="AXI124" s="88"/>
      <c r="AXJ124" s="88"/>
      <c r="AXK124" s="88"/>
      <c r="AXL124" s="88"/>
      <c r="AXM124" s="88"/>
      <c r="AXN124" s="88"/>
      <c r="AXO124" s="88"/>
      <c r="AXP124" s="88"/>
      <c r="AXQ124" s="88"/>
      <c r="AXR124" s="88"/>
      <c r="AXS124" s="88"/>
      <c r="AXT124" s="88"/>
      <c r="AXU124" s="88"/>
      <c r="AXV124" s="88"/>
      <c r="AXW124" s="88"/>
      <c r="AXX124" s="88"/>
      <c r="AXY124" s="88"/>
      <c r="AXZ124" s="88"/>
      <c r="AYA124" s="88"/>
      <c r="AYB124" s="88"/>
      <c r="AYC124" s="88"/>
      <c r="AYD124" s="88"/>
      <c r="AYE124" s="88"/>
      <c r="AYF124" s="88"/>
      <c r="AYG124" s="88"/>
      <c r="AYH124" s="88"/>
      <c r="AYI124" s="88"/>
      <c r="AYJ124" s="88"/>
      <c r="AYK124" s="88"/>
      <c r="AYL124" s="88"/>
      <c r="AYM124" s="88"/>
      <c r="AYN124" s="88"/>
      <c r="AYO124" s="88"/>
      <c r="AYP124" s="88"/>
      <c r="AYQ124" s="88"/>
      <c r="AYR124" s="88"/>
      <c r="AYS124" s="88"/>
      <c r="AYT124" s="88"/>
      <c r="AYU124" s="88"/>
      <c r="AYV124" s="88"/>
      <c r="AYW124" s="88"/>
      <c r="AYX124" s="88"/>
      <c r="AYY124" s="88"/>
      <c r="AYZ124" s="88"/>
      <c r="AZA124" s="88"/>
      <c r="AZB124" s="88"/>
      <c r="AZC124" s="88"/>
      <c r="AZD124" s="88"/>
      <c r="AZE124" s="88"/>
      <c r="AZF124" s="88"/>
      <c r="AZG124" s="88"/>
      <c r="AZH124" s="88"/>
      <c r="AZI124" s="88"/>
      <c r="AZJ124" s="88"/>
      <c r="AZK124" s="88"/>
      <c r="AZL124" s="88"/>
      <c r="AZM124" s="88"/>
      <c r="AZN124" s="88"/>
      <c r="AZO124" s="88"/>
      <c r="AZP124" s="88"/>
      <c r="AZQ124" s="88"/>
      <c r="AZR124" s="88"/>
      <c r="AZS124" s="88"/>
      <c r="AZT124" s="88"/>
      <c r="AZU124" s="88"/>
      <c r="AZV124" s="88"/>
      <c r="AZW124" s="88"/>
      <c r="AZX124" s="88"/>
      <c r="AZY124" s="88"/>
      <c r="AZZ124" s="88"/>
      <c r="BAA124" s="88"/>
      <c r="BAB124" s="88"/>
      <c r="BAC124" s="88"/>
      <c r="BAD124" s="88"/>
      <c r="BAE124" s="88"/>
      <c r="BAF124" s="88"/>
      <c r="BAG124" s="88"/>
      <c r="BAH124" s="88"/>
      <c r="BAI124" s="88"/>
      <c r="BAJ124" s="88"/>
      <c r="BAK124" s="88"/>
      <c r="BAL124" s="88"/>
      <c r="BAM124" s="88"/>
      <c r="BAN124" s="88"/>
      <c r="BAO124" s="88"/>
      <c r="BAP124" s="88"/>
      <c r="BAQ124" s="88"/>
      <c r="BAR124" s="88"/>
      <c r="BAS124" s="88"/>
      <c r="BAT124" s="88"/>
      <c r="BAU124" s="88"/>
      <c r="BAV124" s="88"/>
      <c r="BAW124" s="88"/>
      <c r="BAX124" s="88"/>
      <c r="BAY124" s="88"/>
      <c r="BAZ124" s="88"/>
      <c r="BBA124" s="88"/>
      <c r="BBB124" s="88"/>
      <c r="BBC124" s="88"/>
      <c r="BBD124" s="88"/>
      <c r="BBE124" s="88"/>
      <c r="BBF124" s="88"/>
      <c r="BBG124" s="88"/>
      <c r="BBH124" s="88"/>
      <c r="BBI124" s="88"/>
      <c r="BBJ124" s="88"/>
      <c r="BBK124" s="88"/>
      <c r="BBL124" s="88"/>
      <c r="BBM124" s="88"/>
      <c r="BBN124" s="88"/>
      <c r="BBO124" s="88"/>
      <c r="BBP124" s="88"/>
      <c r="BBQ124" s="88"/>
      <c r="BBR124" s="88"/>
      <c r="BBS124" s="88"/>
      <c r="BBT124" s="88"/>
      <c r="BBU124" s="88"/>
      <c r="BBV124" s="88"/>
      <c r="BBW124" s="88"/>
      <c r="BBX124" s="88"/>
      <c r="BBY124" s="88"/>
      <c r="BBZ124" s="88"/>
      <c r="BCA124" s="88"/>
      <c r="BCB124" s="88"/>
      <c r="BCC124" s="88"/>
      <c r="BCD124" s="88"/>
      <c r="BCE124" s="88"/>
      <c r="BCF124" s="88"/>
      <c r="BCG124" s="88"/>
      <c r="BCH124" s="88"/>
      <c r="BCI124" s="88"/>
      <c r="BCJ124" s="88"/>
      <c r="BCK124" s="88"/>
      <c r="BCL124" s="88"/>
      <c r="BCM124" s="88"/>
      <c r="BCN124" s="88"/>
      <c r="BCO124" s="88"/>
      <c r="BCP124" s="88"/>
      <c r="BCQ124" s="88"/>
      <c r="BCR124" s="88"/>
      <c r="BCS124" s="88"/>
      <c r="BCT124" s="88"/>
      <c r="BCU124" s="88"/>
      <c r="BCV124" s="88"/>
      <c r="BCW124" s="88"/>
      <c r="BCX124" s="88"/>
      <c r="BCY124" s="88"/>
      <c r="BCZ124" s="88"/>
      <c r="BDA124" s="88"/>
      <c r="BDB124" s="88"/>
      <c r="BDC124" s="88"/>
      <c r="BDD124" s="88"/>
      <c r="BDE124" s="88"/>
      <c r="BDF124" s="88"/>
      <c r="BDG124" s="88"/>
      <c r="BDH124" s="88"/>
      <c r="BDI124" s="88"/>
      <c r="BDJ124" s="88"/>
      <c r="BDK124" s="88"/>
      <c r="BDL124" s="88"/>
      <c r="BDM124" s="88"/>
      <c r="BDN124" s="88"/>
      <c r="BDO124" s="88"/>
      <c r="BDP124" s="88"/>
      <c r="BDQ124" s="88"/>
      <c r="BDR124" s="88"/>
      <c r="BDS124" s="88"/>
      <c r="BDT124" s="88"/>
      <c r="BDU124" s="88"/>
      <c r="BDV124" s="88"/>
      <c r="BDW124" s="88"/>
      <c r="BDX124" s="88"/>
      <c r="BDY124" s="88"/>
      <c r="BDZ124" s="88"/>
      <c r="BEA124" s="88"/>
      <c r="BEB124" s="88"/>
      <c r="BEC124" s="88"/>
      <c r="BED124" s="88"/>
      <c r="BEE124" s="88"/>
      <c r="BEF124" s="88"/>
      <c r="BEG124" s="88"/>
      <c r="BEH124" s="88"/>
      <c r="BEI124" s="88"/>
      <c r="BEJ124" s="88"/>
      <c r="BEK124" s="88"/>
      <c r="BEL124" s="88"/>
      <c r="BEM124" s="88"/>
      <c r="BEN124" s="88"/>
      <c r="BEO124" s="88"/>
      <c r="BEP124" s="88"/>
      <c r="BEQ124" s="88"/>
      <c r="BER124" s="88"/>
      <c r="BES124" s="88"/>
      <c r="BET124" s="88"/>
      <c r="BEU124" s="88"/>
      <c r="BEV124" s="88"/>
      <c r="BEW124" s="88"/>
      <c r="BEX124" s="88"/>
      <c r="BEY124" s="88"/>
      <c r="BEZ124" s="88"/>
      <c r="BFA124" s="88"/>
      <c r="BFB124" s="88"/>
      <c r="BFC124" s="88"/>
      <c r="BFD124" s="88"/>
      <c r="BFE124" s="88"/>
      <c r="BFF124" s="88"/>
      <c r="BFG124" s="88"/>
      <c r="BFH124" s="88"/>
      <c r="BFI124" s="88"/>
      <c r="BFJ124" s="88"/>
      <c r="BFK124" s="88"/>
      <c r="BFL124" s="88"/>
      <c r="BFM124" s="88"/>
      <c r="BFN124" s="88"/>
      <c r="BFO124" s="88"/>
      <c r="BFP124" s="88"/>
      <c r="BFQ124" s="88"/>
      <c r="BFR124" s="88"/>
      <c r="BFS124" s="88"/>
      <c r="BFT124" s="88"/>
      <c r="BFU124" s="88"/>
      <c r="BFV124" s="88"/>
      <c r="BFW124" s="88"/>
      <c r="BFX124" s="88"/>
      <c r="BFY124" s="88"/>
      <c r="BFZ124" s="88"/>
      <c r="BGA124" s="88"/>
      <c r="BGB124" s="88"/>
      <c r="BGC124" s="88"/>
      <c r="BGD124" s="88"/>
      <c r="BGE124" s="88"/>
      <c r="BGF124" s="88"/>
      <c r="BGG124" s="88"/>
      <c r="BGH124" s="88"/>
      <c r="BGI124" s="88"/>
      <c r="BGJ124" s="88"/>
      <c r="BGK124" s="88"/>
      <c r="BGL124" s="88"/>
      <c r="BGM124" s="88"/>
      <c r="BGN124" s="88"/>
      <c r="BGO124" s="88"/>
      <c r="BGP124" s="88"/>
      <c r="BGQ124" s="88"/>
      <c r="BGR124" s="88"/>
      <c r="BGS124" s="88"/>
      <c r="BGT124" s="88"/>
      <c r="BGU124" s="88"/>
      <c r="BGV124" s="88"/>
      <c r="BGW124" s="88"/>
      <c r="BGX124" s="88"/>
      <c r="BGY124" s="88"/>
      <c r="BGZ124" s="88"/>
      <c r="BHA124" s="88"/>
      <c r="BHB124" s="88"/>
      <c r="BHC124" s="88"/>
      <c r="BHD124" s="88"/>
      <c r="BHE124" s="88"/>
      <c r="BHF124" s="88"/>
      <c r="BHG124" s="88"/>
      <c r="BHH124" s="88"/>
      <c r="BHI124" s="88"/>
      <c r="BHJ124" s="88"/>
      <c r="BHK124" s="88"/>
      <c r="BHL124" s="88"/>
      <c r="BHM124" s="88"/>
      <c r="BHN124" s="88"/>
      <c r="BHO124" s="88"/>
      <c r="BHP124" s="88"/>
      <c r="BHQ124" s="88"/>
      <c r="BHR124" s="88"/>
      <c r="BHS124" s="88"/>
      <c r="BHT124" s="88"/>
      <c r="BHU124" s="88"/>
      <c r="BHV124" s="88"/>
      <c r="BHW124" s="88"/>
      <c r="BHX124" s="88"/>
      <c r="BHY124" s="88"/>
      <c r="BHZ124" s="88"/>
      <c r="BIA124" s="88"/>
      <c r="BIB124" s="88"/>
      <c r="BIC124" s="88"/>
      <c r="BID124" s="88"/>
      <c r="BIE124" s="88"/>
      <c r="BIF124" s="88"/>
      <c r="BIG124" s="88"/>
      <c r="BIH124" s="88"/>
      <c r="BII124" s="88"/>
      <c r="BIJ124" s="88"/>
      <c r="BIK124" s="88"/>
      <c r="BIL124" s="88"/>
      <c r="BIM124" s="88"/>
      <c r="BIN124" s="88"/>
      <c r="BIO124" s="88"/>
      <c r="BIP124" s="88"/>
      <c r="BIQ124" s="88"/>
      <c r="BIR124" s="88"/>
      <c r="BIS124" s="88"/>
      <c r="BIT124" s="88"/>
      <c r="BIU124" s="88"/>
      <c r="BIV124" s="88"/>
      <c r="BIW124" s="88"/>
      <c r="BIX124" s="88"/>
      <c r="BIY124" s="88"/>
      <c r="BIZ124" s="88"/>
      <c r="BJA124" s="88"/>
      <c r="BJB124" s="88"/>
      <c r="BJC124" s="88"/>
      <c r="BJD124" s="88"/>
      <c r="BJE124" s="88"/>
      <c r="BJF124" s="88"/>
      <c r="BJG124" s="88"/>
      <c r="BJH124" s="88"/>
      <c r="BJI124" s="88"/>
      <c r="BJJ124" s="88"/>
      <c r="BJK124" s="88"/>
      <c r="BJL124" s="88"/>
      <c r="BJM124" s="88"/>
      <c r="BJN124" s="88"/>
      <c r="BJO124" s="88"/>
      <c r="BJP124" s="88"/>
      <c r="BJQ124" s="88"/>
      <c r="BJR124" s="88"/>
      <c r="BJS124" s="88"/>
      <c r="BJT124" s="88"/>
      <c r="BJU124" s="88"/>
      <c r="BJV124" s="88"/>
      <c r="BJW124" s="88"/>
      <c r="BJX124" s="88"/>
      <c r="BJY124" s="88"/>
      <c r="BJZ124" s="88"/>
      <c r="BKA124" s="88"/>
      <c r="BKB124" s="88"/>
      <c r="BKC124" s="88"/>
      <c r="BKD124" s="88"/>
      <c r="BKE124" s="88"/>
      <c r="BKF124" s="88"/>
      <c r="BKG124" s="88"/>
      <c r="BKH124" s="88"/>
      <c r="BKI124" s="88"/>
      <c r="BKJ124" s="88"/>
      <c r="BKK124" s="88"/>
      <c r="BKL124" s="88"/>
      <c r="BKM124" s="88"/>
      <c r="BKN124" s="88"/>
      <c r="BKO124" s="88"/>
      <c r="BKP124" s="88"/>
      <c r="BKQ124" s="88"/>
      <c r="BKR124" s="88"/>
      <c r="BKS124" s="88"/>
      <c r="BKT124" s="88"/>
      <c r="BKU124" s="88"/>
      <c r="BKV124" s="88"/>
      <c r="BKW124" s="88"/>
      <c r="BKX124" s="88"/>
      <c r="BKY124" s="88"/>
      <c r="BKZ124" s="88"/>
      <c r="BLA124" s="88"/>
      <c r="BLB124" s="88"/>
      <c r="BLC124" s="88"/>
      <c r="BLD124" s="88"/>
      <c r="BLE124" s="88"/>
      <c r="BLF124" s="88"/>
      <c r="BLG124" s="88"/>
      <c r="BLH124" s="88"/>
      <c r="BLI124" s="88"/>
      <c r="BLJ124" s="88"/>
      <c r="BLK124" s="88"/>
      <c r="BLL124" s="88"/>
      <c r="BLM124" s="88"/>
      <c r="BLN124" s="88"/>
      <c r="BLO124" s="88"/>
      <c r="BLP124" s="88"/>
      <c r="BLQ124" s="88"/>
      <c r="BLR124" s="88"/>
      <c r="BLS124" s="88"/>
      <c r="BLT124" s="88"/>
      <c r="BLU124" s="88"/>
      <c r="BLV124" s="88"/>
      <c r="BLW124" s="88"/>
      <c r="BLX124" s="88"/>
      <c r="BLY124" s="88"/>
      <c r="BLZ124" s="88"/>
      <c r="BMA124" s="88"/>
      <c r="BMB124" s="88"/>
      <c r="BMC124" s="88"/>
      <c r="BMD124" s="88"/>
      <c r="BME124" s="88"/>
      <c r="BMF124" s="88"/>
      <c r="BMG124" s="88"/>
      <c r="BMH124" s="88"/>
      <c r="BMI124" s="88"/>
      <c r="BMJ124" s="88"/>
      <c r="BMK124" s="88"/>
      <c r="BML124" s="88"/>
      <c r="BMM124" s="88"/>
      <c r="BMN124" s="88"/>
      <c r="BMO124" s="88"/>
      <c r="BMP124" s="88"/>
      <c r="BMQ124" s="88"/>
      <c r="BMR124" s="88"/>
      <c r="BMS124" s="88"/>
      <c r="BMT124" s="88"/>
      <c r="BMU124" s="88"/>
      <c r="BMV124" s="88"/>
      <c r="BMW124" s="88"/>
      <c r="BMX124" s="88"/>
      <c r="BMY124" s="88"/>
      <c r="BMZ124" s="88"/>
      <c r="BNA124" s="88"/>
      <c r="BNB124" s="88"/>
      <c r="BNC124" s="88"/>
      <c r="BND124" s="88"/>
      <c r="BNE124" s="88"/>
      <c r="BNF124" s="88"/>
      <c r="BNG124" s="88"/>
      <c r="BNH124" s="88"/>
      <c r="BNI124" s="88"/>
      <c r="BNJ124" s="88"/>
      <c r="BNK124" s="88"/>
      <c r="BNL124" s="88"/>
      <c r="BNM124" s="88"/>
      <c r="BNN124" s="88"/>
      <c r="BNO124" s="88"/>
      <c r="BNP124" s="88"/>
      <c r="BNQ124" s="88"/>
      <c r="BNR124" s="88"/>
      <c r="BNS124" s="88"/>
      <c r="BNT124" s="88"/>
      <c r="BNU124" s="88"/>
      <c r="BNV124" s="88"/>
      <c r="BNW124" s="88"/>
      <c r="BNX124" s="88"/>
      <c r="BNY124" s="88"/>
      <c r="BNZ124" s="88"/>
      <c r="BOA124" s="88"/>
      <c r="BOB124" s="88"/>
      <c r="BOC124" s="88"/>
      <c r="BOD124" s="88"/>
      <c r="BOE124" s="88"/>
      <c r="BOF124" s="88"/>
      <c r="BOG124" s="88"/>
      <c r="BOH124" s="88"/>
      <c r="BOI124" s="88"/>
      <c r="BOJ124" s="88"/>
      <c r="BOK124" s="88"/>
      <c r="BOL124" s="88"/>
      <c r="BOM124" s="88"/>
      <c r="BON124" s="88"/>
      <c r="BOO124" s="88"/>
      <c r="BOP124" s="88"/>
      <c r="BOQ124" s="88"/>
      <c r="BOR124" s="88"/>
      <c r="BOS124" s="88"/>
      <c r="BOT124" s="88"/>
      <c r="BOU124" s="88"/>
      <c r="BOV124" s="88"/>
      <c r="BOW124" s="88"/>
      <c r="BOX124" s="88"/>
      <c r="BOY124" s="88"/>
      <c r="BOZ124" s="88"/>
      <c r="BPA124" s="88"/>
      <c r="BPB124" s="88"/>
      <c r="BPC124" s="88"/>
      <c r="BPD124" s="88"/>
      <c r="BPE124" s="88"/>
      <c r="BPF124" s="88"/>
      <c r="BPG124" s="88"/>
      <c r="BPH124" s="88"/>
      <c r="BPI124" s="88"/>
      <c r="BPJ124" s="88"/>
      <c r="BPK124" s="88"/>
      <c r="BPL124" s="88"/>
      <c r="BPM124" s="88"/>
      <c r="BPN124" s="88"/>
      <c r="BPO124" s="88"/>
      <c r="BPP124" s="88"/>
      <c r="BPQ124" s="88"/>
      <c r="BPR124" s="88"/>
      <c r="BPS124" s="88"/>
      <c r="BPT124" s="88"/>
      <c r="BPU124" s="88"/>
      <c r="BPV124" s="88"/>
      <c r="BPW124" s="88"/>
      <c r="BPX124" s="88"/>
      <c r="BPY124" s="88"/>
      <c r="BPZ124" s="88"/>
      <c r="BQA124" s="88"/>
      <c r="BQB124" s="88"/>
      <c r="BQC124" s="88"/>
      <c r="BQD124" s="88"/>
      <c r="BQE124" s="88"/>
      <c r="BQF124" s="88"/>
      <c r="BQG124" s="88"/>
      <c r="BQH124" s="88"/>
      <c r="BQI124" s="88"/>
      <c r="BQJ124" s="88"/>
      <c r="BQK124" s="88"/>
      <c r="BQL124" s="88"/>
      <c r="BQM124" s="88"/>
      <c r="BQN124" s="88"/>
      <c r="BQO124" s="88"/>
      <c r="BQP124" s="88"/>
      <c r="BQQ124" s="88"/>
      <c r="BQR124" s="88"/>
      <c r="BQS124" s="88"/>
      <c r="BQT124" s="88"/>
      <c r="BQU124" s="88"/>
      <c r="BQV124" s="88"/>
      <c r="BQW124" s="88"/>
      <c r="BQX124" s="88"/>
      <c r="BQY124" s="88"/>
      <c r="BQZ124" s="88"/>
      <c r="BRA124" s="88"/>
      <c r="BRB124" s="88"/>
      <c r="BRC124" s="88"/>
      <c r="BRD124" s="88"/>
      <c r="BRE124" s="88"/>
      <c r="BRF124" s="88"/>
      <c r="BRG124" s="88"/>
      <c r="BRH124" s="88"/>
      <c r="BRI124" s="88"/>
      <c r="BRJ124" s="88"/>
      <c r="BRK124" s="88"/>
      <c r="BRL124" s="88"/>
      <c r="BRM124" s="88"/>
      <c r="BRN124" s="88"/>
      <c r="BRO124" s="88"/>
      <c r="BRP124" s="88"/>
      <c r="BRQ124" s="88"/>
      <c r="BRR124" s="88"/>
      <c r="BRS124" s="88"/>
      <c r="BRT124" s="88"/>
      <c r="BRU124" s="88"/>
      <c r="BRV124" s="88"/>
      <c r="BRW124" s="88"/>
      <c r="BRX124" s="88"/>
      <c r="BRY124" s="88"/>
      <c r="BRZ124" s="88"/>
      <c r="BSA124" s="88"/>
      <c r="BSB124" s="88"/>
      <c r="BSC124" s="88"/>
      <c r="BSD124" s="88"/>
      <c r="BSE124" s="88"/>
      <c r="BSF124" s="88"/>
      <c r="BSG124" s="88"/>
      <c r="BSH124" s="88"/>
      <c r="BSI124" s="88"/>
      <c r="BSJ124" s="88"/>
      <c r="BSK124" s="88"/>
      <c r="BSL124" s="88"/>
      <c r="BSM124" s="88"/>
      <c r="BSN124" s="88"/>
      <c r="BSO124" s="88"/>
      <c r="BSP124" s="88"/>
      <c r="BSQ124" s="88"/>
      <c r="BSR124" s="88"/>
      <c r="BSS124" s="88"/>
      <c r="BST124" s="88"/>
      <c r="BSU124" s="88"/>
      <c r="BSV124" s="88"/>
      <c r="BSW124" s="88"/>
      <c r="BSX124" s="88"/>
      <c r="BSY124" s="88"/>
      <c r="BSZ124" s="88"/>
      <c r="BTA124" s="88"/>
      <c r="BTB124" s="88"/>
      <c r="BTC124" s="88"/>
      <c r="BTD124" s="88"/>
      <c r="BTE124" s="88"/>
      <c r="BTF124" s="88"/>
      <c r="BTG124" s="88"/>
      <c r="BTH124" s="88"/>
      <c r="BTI124" s="88"/>
      <c r="BTJ124" s="88"/>
      <c r="BTK124" s="88"/>
      <c r="BTL124" s="88"/>
      <c r="BTM124" s="88"/>
      <c r="BTN124" s="88"/>
      <c r="BTO124" s="88"/>
      <c r="BTP124" s="88"/>
      <c r="BTQ124" s="88"/>
      <c r="BTR124" s="88"/>
      <c r="BTS124" s="88"/>
      <c r="BTT124" s="88"/>
      <c r="BTU124" s="88"/>
      <c r="BTV124" s="88"/>
      <c r="BTW124" s="88"/>
      <c r="BTX124" s="88"/>
      <c r="BTY124" s="88"/>
      <c r="BTZ124" s="88"/>
      <c r="BUA124" s="88"/>
      <c r="BUB124" s="88"/>
      <c r="BUC124" s="88"/>
      <c r="BUD124" s="88"/>
      <c r="BUE124" s="88"/>
      <c r="BUF124" s="88"/>
      <c r="BUG124" s="88"/>
      <c r="BUH124" s="88"/>
      <c r="BUI124" s="88"/>
      <c r="BUJ124" s="88"/>
      <c r="BUK124" s="88"/>
      <c r="BUL124" s="88"/>
      <c r="BUM124" s="88"/>
      <c r="BUN124" s="88"/>
      <c r="BUO124" s="88"/>
      <c r="BUP124" s="88"/>
      <c r="BUQ124" s="88"/>
      <c r="BUR124" s="88"/>
      <c r="BUS124" s="88"/>
      <c r="BUT124" s="88"/>
      <c r="BUU124" s="88"/>
      <c r="BUV124" s="88"/>
      <c r="BUW124" s="88"/>
      <c r="BUX124" s="88"/>
      <c r="BUY124" s="88"/>
      <c r="BUZ124" s="88"/>
      <c r="BVA124" s="88"/>
      <c r="BVB124" s="88"/>
      <c r="BVC124" s="88"/>
      <c r="BVD124" s="88"/>
      <c r="BVE124" s="88"/>
      <c r="BVF124" s="88"/>
      <c r="BVG124" s="88"/>
      <c r="BVH124" s="88"/>
      <c r="BVI124" s="88"/>
      <c r="BVJ124" s="88"/>
      <c r="BVK124" s="88"/>
      <c r="BVL124" s="88"/>
      <c r="BVM124" s="88"/>
      <c r="BVN124" s="88"/>
      <c r="BVO124" s="88"/>
      <c r="BVP124" s="88"/>
      <c r="BVQ124" s="88"/>
      <c r="BVR124" s="88"/>
      <c r="BVS124" s="88"/>
      <c r="BVT124" s="88"/>
      <c r="BVU124" s="88"/>
      <c r="BVV124" s="88"/>
      <c r="BVW124" s="88"/>
      <c r="BVX124" s="88"/>
      <c r="BVY124" s="88"/>
      <c r="BVZ124" s="88"/>
      <c r="BWA124" s="88"/>
      <c r="BWB124" s="88"/>
      <c r="BWC124" s="88"/>
      <c r="BWD124" s="88"/>
      <c r="BWE124" s="88"/>
      <c r="BWF124" s="88"/>
      <c r="BWG124" s="88"/>
      <c r="BWH124" s="88"/>
      <c r="BWI124" s="88"/>
      <c r="BWJ124" s="88"/>
      <c r="BWK124" s="88"/>
      <c r="BWL124" s="88"/>
      <c r="BWM124" s="88"/>
      <c r="BWN124" s="88"/>
      <c r="BWO124" s="88"/>
      <c r="BWP124" s="88"/>
      <c r="BWQ124" s="88"/>
      <c r="BWR124" s="88"/>
      <c r="BWS124" s="88"/>
      <c r="BWT124" s="88"/>
      <c r="BWU124" s="88"/>
      <c r="BWV124" s="88"/>
      <c r="BWW124" s="88"/>
      <c r="BWX124" s="88"/>
      <c r="BWY124" s="88"/>
      <c r="BWZ124" s="88"/>
      <c r="BXA124" s="88"/>
      <c r="BXB124" s="88"/>
      <c r="BXC124" s="88"/>
      <c r="BXD124" s="88"/>
      <c r="BXE124" s="88"/>
      <c r="BXF124" s="88"/>
      <c r="BXG124" s="88"/>
      <c r="BXH124" s="88"/>
      <c r="BXI124" s="88"/>
      <c r="BXJ124" s="88"/>
      <c r="BXK124" s="88"/>
      <c r="BXL124" s="88"/>
      <c r="BXM124" s="88"/>
      <c r="BXN124" s="88"/>
      <c r="BXO124" s="88"/>
      <c r="BXP124" s="88"/>
      <c r="BXQ124" s="88"/>
      <c r="BXR124" s="88"/>
      <c r="BXS124" s="88"/>
      <c r="BXT124" s="88"/>
      <c r="BXU124" s="88"/>
      <c r="BXV124" s="88"/>
      <c r="BXW124" s="88"/>
      <c r="BXX124" s="88"/>
      <c r="BXY124" s="88"/>
      <c r="BXZ124" s="88"/>
      <c r="BYA124" s="88"/>
      <c r="BYB124" s="88"/>
      <c r="BYC124" s="88"/>
      <c r="BYD124" s="88"/>
      <c r="BYE124" s="88"/>
      <c r="BYF124" s="88"/>
      <c r="BYG124" s="88"/>
      <c r="BYH124" s="88"/>
      <c r="BYI124" s="88"/>
      <c r="BYJ124" s="88"/>
      <c r="BYK124" s="88"/>
      <c r="BYL124" s="88"/>
      <c r="BYM124" s="88"/>
      <c r="BYN124" s="88"/>
      <c r="BYO124" s="88"/>
      <c r="BYP124" s="88"/>
      <c r="BYQ124" s="88"/>
      <c r="BYR124" s="88"/>
      <c r="BYS124" s="88"/>
      <c r="BYT124" s="88"/>
      <c r="BYU124" s="88"/>
      <c r="BYV124" s="88"/>
      <c r="BYW124" s="88"/>
      <c r="BYX124" s="88"/>
      <c r="BYY124" s="88"/>
      <c r="BYZ124" s="88"/>
      <c r="BZA124" s="88"/>
      <c r="BZB124" s="88"/>
      <c r="BZC124" s="88"/>
      <c r="BZD124" s="88"/>
      <c r="BZE124" s="88"/>
      <c r="BZF124" s="88"/>
      <c r="BZG124" s="88"/>
      <c r="BZH124" s="88"/>
      <c r="BZI124" s="88"/>
      <c r="BZJ124" s="88"/>
      <c r="BZK124" s="88"/>
      <c r="BZL124" s="88"/>
      <c r="BZM124" s="88"/>
      <c r="BZN124" s="88"/>
      <c r="BZO124" s="88"/>
      <c r="BZP124" s="88"/>
      <c r="BZQ124" s="88"/>
      <c r="BZR124" s="88"/>
      <c r="BZS124" s="88"/>
      <c r="BZT124" s="88"/>
      <c r="BZU124" s="88"/>
      <c r="BZV124" s="88"/>
      <c r="BZW124" s="88"/>
      <c r="BZX124" s="88"/>
      <c r="BZY124" s="88"/>
      <c r="BZZ124" s="88"/>
      <c r="CAA124" s="88"/>
      <c r="CAB124" s="88"/>
      <c r="CAC124" s="88"/>
      <c r="CAD124" s="88"/>
      <c r="CAE124" s="88"/>
      <c r="CAF124" s="88"/>
      <c r="CAG124" s="88"/>
      <c r="CAH124" s="88"/>
      <c r="CAI124" s="88"/>
      <c r="CAJ124" s="88"/>
      <c r="CAK124" s="88"/>
      <c r="CAL124" s="88"/>
      <c r="CAM124" s="88"/>
      <c r="CAN124" s="88"/>
      <c r="CAO124" s="88"/>
      <c r="CAP124" s="88"/>
      <c r="CAQ124" s="88"/>
      <c r="CAR124" s="88"/>
      <c r="CAS124" s="88"/>
      <c r="CAT124" s="88"/>
      <c r="CAU124" s="88"/>
      <c r="CAV124" s="88"/>
      <c r="CAW124" s="88"/>
      <c r="CAX124" s="88"/>
      <c r="CAY124" s="88"/>
      <c r="CAZ124" s="88"/>
      <c r="CBA124" s="88"/>
      <c r="CBB124" s="88"/>
      <c r="CBC124" s="88"/>
      <c r="CBD124" s="88"/>
      <c r="CBE124" s="88"/>
      <c r="CBF124" s="88"/>
      <c r="CBG124" s="88"/>
      <c r="CBH124" s="88"/>
      <c r="CBI124" s="88"/>
      <c r="CBJ124" s="88"/>
      <c r="CBK124" s="88"/>
      <c r="CBL124" s="88"/>
      <c r="CBM124" s="88"/>
      <c r="CBN124" s="88"/>
      <c r="CBO124" s="88"/>
      <c r="CBP124" s="88"/>
      <c r="CBQ124" s="88"/>
      <c r="CBR124" s="88"/>
      <c r="CBS124" s="88"/>
      <c r="CBT124" s="88"/>
      <c r="CBU124" s="88"/>
      <c r="CBV124" s="88"/>
      <c r="CBW124" s="88"/>
      <c r="CBX124" s="88"/>
      <c r="CBY124" s="88"/>
      <c r="CBZ124" s="88"/>
      <c r="CCA124" s="88"/>
      <c r="CCB124" s="88"/>
      <c r="CCC124" s="88"/>
      <c r="CCD124" s="88"/>
      <c r="CCE124" s="88"/>
      <c r="CCF124" s="88"/>
      <c r="CCG124" s="88"/>
      <c r="CCH124" s="88"/>
      <c r="CCI124" s="88"/>
      <c r="CCJ124" s="88"/>
      <c r="CCK124" s="88"/>
      <c r="CCL124" s="88"/>
      <c r="CCM124" s="88"/>
      <c r="CCN124" s="88"/>
      <c r="CCO124" s="88"/>
      <c r="CCP124" s="88"/>
      <c r="CCQ124" s="88"/>
      <c r="CCR124" s="88"/>
      <c r="CCS124" s="88"/>
      <c r="CCT124" s="88"/>
      <c r="CCU124" s="88"/>
      <c r="CCV124" s="88"/>
      <c r="CCW124" s="88"/>
      <c r="CCX124" s="88"/>
      <c r="CCY124" s="88"/>
      <c r="CCZ124" s="88"/>
      <c r="CDA124" s="88"/>
      <c r="CDB124" s="88"/>
      <c r="CDC124" s="88"/>
      <c r="CDD124" s="88"/>
      <c r="CDE124" s="88"/>
      <c r="CDF124" s="88"/>
      <c r="CDG124" s="88"/>
      <c r="CDH124" s="88"/>
      <c r="CDI124" s="88"/>
      <c r="CDJ124" s="88"/>
      <c r="CDK124" s="88"/>
      <c r="CDL124" s="88"/>
      <c r="CDM124" s="88"/>
      <c r="CDN124" s="88"/>
      <c r="CDO124" s="88"/>
      <c r="CDP124" s="88"/>
      <c r="CDQ124" s="88"/>
      <c r="CDR124" s="88"/>
      <c r="CDS124" s="88"/>
      <c r="CDT124" s="88"/>
      <c r="CDU124" s="88"/>
      <c r="CDV124" s="88"/>
      <c r="CDW124" s="88"/>
      <c r="CDX124" s="88"/>
      <c r="CDY124" s="88"/>
      <c r="CDZ124" s="88"/>
      <c r="CEA124" s="88"/>
      <c r="CEB124" s="88"/>
      <c r="CEC124" s="88"/>
      <c r="CED124" s="88"/>
      <c r="CEE124" s="88"/>
      <c r="CEF124" s="88"/>
      <c r="CEG124" s="88"/>
      <c r="CEH124" s="88"/>
      <c r="CEI124" s="88"/>
      <c r="CEJ124" s="88"/>
      <c r="CEK124" s="88"/>
    </row>
    <row r="125" spans="1:2169" s="63" customFormat="1">
      <c r="A125" s="73" t="s">
        <v>811</v>
      </c>
      <c r="B125" s="71" t="s">
        <v>1258</v>
      </c>
      <c r="C125" s="68" t="str">
        <f>IF('page 2'!$O$4="","",IF('page 2'!$O$4=Gestion!A125,1,0))</f>
        <v/>
      </c>
      <c r="D125" s="68" t="str">
        <f>IF('page 2'!$O$5="","",IF('page 2'!$O$5=Gestion!A125,1,0))</f>
        <v/>
      </c>
      <c r="E125" s="68" t="str">
        <f>IF('page 2'!$O$6="","",IF('page 2'!$O$6=Gestion!A125,1,0))</f>
        <v/>
      </c>
      <c r="F125" s="68" t="str">
        <f>IF('page 2'!$O$7="","",IF('page 2'!$O$7=Gestion!A125,1,0))</f>
        <v/>
      </c>
      <c r="G125" s="68" t="str">
        <f>IF('page 2'!$O$8="","",IF('page 2'!$O$8=Gestion!A125,1,0))</f>
        <v/>
      </c>
      <c r="H125" s="68" t="str">
        <f>IF('page 2'!$O$9="","",IF('page 2'!$O$9=Gestion!A125,1,0))</f>
        <v/>
      </c>
      <c r="I125" s="68" t="str">
        <f>IF('page 2'!$O$10="","",IF('page 2'!$O$10=Gestion!A125,1,0))</f>
        <v/>
      </c>
      <c r="J125" s="68" t="str">
        <f>IF('page 2'!$O$11="","",IF('page 2'!$O$11=Gestion!A125,1,0))</f>
        <v/>
      </c>
      <c r="K125" s="68" t="str">
        <f>IF('page 2'!$O$12="","",IF('page 2'!$O$12=Gestion!A125,1,0))</f>
        <v/>
      </c>
      <c r="L125" s="68" t="str">
        <f>IF('page 2'!$O$13="","",IF('page 2'!$O$13=Gestion!A125,1,0))</f>
        <v/>
      </c>
      <c r="M125" s="68" t="str">
        <f>IF('page 2'!$O$14="","",IF('page 2'!$O$14=Gestion!A125,1,0))</f>
        <v/>
      </c>
      <c r="N125" s="68" t="str">
        <f>IF('page 2'!$O$15="","",IF('page 2'!$O$15=Gestion!A125,1,0))</f>
        <v/>
      </c>
      <c r="O125" s="68" t="str">
        <f>IF('page 2'!$O$16="","",IF('page 2'!$O$16=Gestion!A125,1,0))</f>
        <v/>
      </c>
      <c r="P125" s="68" t="str">
        <f>IF('page 2'!$O$17="","",IF('page 2'!$O$17=Gestion!A125,1,0))</f>
        <v/>
      </c>
      <c r="Q125" s="68" t="str">
        <f>IF('page 2'!$O$18="","",IF('page 2'!$O$18=Gestion!A125,1,0))</f>
        <v/>
      </c>
      <c r="R125" s="68" t="str">
        <f>IF('page 2'!$O$19="","",IF('page 2'!$O$19=Gestion!A125,1,0))</f>
        <v/>
      </c>
      <c r="S125" s="68" t="str">
        <f>IF('page 2'!$O$20="","",IF('page 2'!$O$20=Gestion!A125,1,0))</f>
        <v/>
      </c>
      <c r="T125" s="68" t="str">
        <f>IF('page 2'!$O$25="","",IF('page 2'!$O$25=Gestion!A125,1,0))</f>
        <v/>
      </c>
      <c r="U125" s="68" t="str">
        <f>IF('page 2'!$O$26="","",IF('page 2'!$O$26=Gestion!A125,1,0))</f>
        <v/>
      </c>
      <c r="V125" s="68" t="str">
        <f>IF('page 2'!$O$27="","",IF('page 2'!$O$27=Gestion!A125,1,0))</f>
        <v/>
      </c>
      <c r="W125" s="722">
        <f t="shared" si="14"/>
        <v>0</v>
      </c>
      <c r="X125" s="714"/>
      <c r="Y125" s="68"/>
      <c r="Z125" s="68"/>
      <c r="AA125" s="68"/>
      <c r="AB125" s="68"/>
      <c r="AC125" s="68"/>
      <c r="AD125" s="68"/>
      <c r="AP125" s="130"/>
      <c r="AQ125" s="130"/>
      <c r="AR125" s="130"/>
      <c r="AS125" s="576"/>
      <c r="AT125" s="576"/>
      <c r="AU125" s="576"/>
      <c r="AV125" s="576"/>
      <c r="AW125" s="602"/>
      <c r="AX125" s="602"/>
      <c r="AY125" s="576"/>
      <c r="AZ125" s="576"/>
      <c r="BA125" s="576"/>
      <c r="BB125" s="576"/>
      <c r="BC125" s="576"/>
      <c r="BD125" s="602"/>
      <c r="BE125" s="602"/>
      <c r="BF125" s="602"/>
      <c r="BG125" s="602"/>
      <c r="BH125" s="602"/>
      <c r="BI125" s="602"/>
      <c r="BJ125" s="602"/>
      <c r="BK125" s="602"/>
      <c r="BL125" s="602"/>
      <c r="BM125" s="602"/>
      <c r="BN125" s="602"/>
      <c r="BO125" s="602"/>
      <c r="BP125" s="602"/>
      <c r="BQ125" s="602"/>
      <c r="BR125" s="602"/>
      <c r="BS125" s="576"/>
      <c r="BT125" s="576"/>
      <c r="BU125" s="576"/>
      <c r="BV125" s="576"/>
      <c r="BW125" s="602"/>
      <c r="BX125" s="602"/>
      <c r="BY125" s="602"/>
      <c r="BZ125" s="576"/>
      <c r="CA125" s="602"/>
      <c r="CB125" s="602"/>
      <c r="CC125" s="576"/>
      <c r="CD125" s="576"/>
      <c r="CE125" s="602"/>
      <c r="CF125" s="576"/>
      <c r="CG125" s="576"/>
      <c r="CH125" s="576"/>
      <c r="CI125" s="576"/>
      <c r="CJ125" s="576"/>
      <c r="CK125" s="602"/>
      <c r="CL125" s="602"/>
      <c r="CM125" s="576"/>
      <c r="CN125" s="602"/>
      <c r="CO125" s="602"/>
      <c r="CP125" s="602"/>
      <c r="CQ125" s="576"/>
      <c r="CR125" s="576"/>
      <c r="CS125" s="602"/>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c r="HP125" s="88"/>
      <c r="HQ125" s="88"/>
      <c r="HR125" s="88"/>
      <c r="HS125" s="88"/>
      <c r="HT125" s="88"/>
      <c r="HU125" s="88"/>
      <c r="HV125" s="88"/>
      <c r="HW125" s="88"/>
      <c r="HX125" s="88"/>
      <c r="HY125" s="88"/>
      <c r="HZ125" s="88"/>
      <c r="IA125" s="88"/>
      <c r="IB125" s="88"/>
      <c r="IC125" s="88"/>
      <c r="ID125" s="88"/>
      <c r="IE125" s="88"/>
      <c r="IF125" s="88"/>
      <c r="IG125" s="88"/>
      <c r="IH125" s="88"/>
      <c r="II125" s="88"/>
      <c r="IJ125" s="88"/>
      <c r="IK125" s="88"/>
      <c r="IL125" s="88"/>
      <c r="IM125" s="88"/>
      <c r="IN125" s="88"/>
      <c r="IO125" s="88"/>
      <c r="IP125" s="88"/>
      <c r="IQ125" s="88"/>
      <c r="IR125" s="88"/>
      <c r="IS125" s="88"/>
      <c r="IT125" s="88"/>
      <c r="IU125" s="88"/>
      <c r="IV125" s="88"/>
      <c r="IW125" s="88"/>
      <c r="IX125" s="88"/>
      <c r="IY125" s="88"/>
      <c r="IZ125" s="88"/>
      <c r="JA125" s="88"/>
      <c r="JB125" s="88"/>
      <c r="JC125" s="88"/>
      <c r="JD125" s="88"/>
      <c r="JE125" s="88"/>
      <c r="JF125" s="88"/>
      <c r="JG125" s="88"/>
      <c r="JH125" s="88"/>
      <c r="JI125" s="88"/>
      <c r="JJ125" s="88"/>
      <c r="JK125" s="88"/>
      <c r="JL125" s="88"/>
      <c r="JM125" s="88"/>
      <c r="JN125" s="88"/>
      <c r="JO125" s="88"/>
      <c r="JP125" s="88"/>
      <c r="JQ125" s="88"/>
      <c r="JR125" s="88"/>
      <c r="JS125" s="88"/>
      <c r="JT125" s="88"/>
      <c r="JU125" s="88"/>
      <c r="JV125" s="88"/>
      <c r="JW125" s="88"/>
      <c r="JX125" s="88"/>
      <c r="JY125" s="88"/>
      <c r="JZ125" s="88"/>
      <c r="KA125" s="88"/>
      <c r="KB125" s="88"/>
      <c r="KC125" s="88"/>
      <c r="KD125" s="88"/>
      <c r="KE125" s="88"/>
      <c r="KF125" s="88"/>
      <c r="KG125" s="88"/>
      <c r="KH125" s="88"/>
      <c r="KI125" s="88"/>
      <c r="KJ125" s="88"/>
      <c r="KK125" s="88"/>
      <c r="KL125" s="88"/>
      <c r="KM125" s="88"/>
      <c r="KN125" s="88"/>
      <c r="KO125" s="88"/>
      <c r="KP125" s="88"/>
      <c r="KQ125" s="88"/>
      <c r="KR125" s="88"/>
      <c r="KS125" s="88"/>
      <c r="KT125" s="88"/>
      <c r="KU125" s="88"/>
      <c r="KV125" s="88"/>
      <c r="KW125" s="88"/>
      <c r="KX125" s="88"/>
      <c r="KY125" s="88"/>
      <c r="KZ125" s="88"/>
      <c r="LA125" s="88"/>
      <c r="LB125" s="88"/>
      <c r="LC125" s="88"/>
      <c r="LD125" s="88"/>
      <c r="LE125" s="88"/>
      <c r="LF125" s="88"/>
      <c r="LG125" s="88"/>
      <c r="LH125" s="88"/>
      <c r="LI125" s="88"/>
      <c r="LJ125" s="88"/>
      <c r="LK125" s="88"/>
      <c r="LL125" s="88"/>
      <c r="LM125" s="88"/>
      <c r="LN125" s="88"/>
      <c r="LO125" s="88"/>
      <c r="LP125" s="88"/>
      <c r="LQ125" s="88"/>
      <c r="LR125" s="88"/>
      <c r="LS125" s="88"/>
      <c r="LT125" s="88"/>
      <c r="LU125" s="88"/>
      <c r="LV125" s="88"/>
      <c r="LW125" s="88"/>
      <c r="LX125" s="88"/>
      <c r="LY125" s="88"/>
      <c r="LZ125" s="88"/>
      <c r="MA125" s="88"/>
      <c r="MB125" s="88"/>
      <c r="MC125" s="88"/>
      <c r="MD125" s="88"/>
      <c r="ME125" s="88"/>
      <c r="MF125" s="88"/>
      <c r="MG125" s="88"/>
      <c r="MH125" s="88"/>
      <c r="MI125" s="88"/>
      <c r="MJ125" s="88"/>
      <c r="MK125" s="88"/>
      <c r="ML125" s="88"/>
      <c r="MM125" s="88"/>
      <c r="MN125" s="88"/>
      <c r="MO125" s="88"/>
      <c r="MP125" s="88"/>
      <c r="MQ125" s="88"/>
      <c r="MR125" s="88"/>
      <c r="MS125" s="88"/>
      <c r="MT125" s="88"/>
      <c r="MU125" s="88"/>
      <c r="MV125" s="88"/>
      <c r="MW125" s="88"/>
      <c r="MX125" s="88"/>
      <c r="MY125" s="88"/>
      <c r="MZ125" s="88"/>
      <c r="NA125" s="88"/>
      <c r="NB125" s="88"/>
      <c r="NC125" s="88"/>
      <c r="ND125" s="88"/>
      <c r="NE125" s="88"/>
      <c r="NF125" s="88"/>
      <c r="NG125" s="88"/>
      <c r="NH125" s="88"/>
      <c r="NI125" s="88"/>
      <c r="NJ125" s="88"/>
      <c r="NK125" s="88"/>
      <c r="NL125" s="88"/>
      <c r="NM125" s="88"/>
      <c r="NN125" s="88"/>
      <c r="NO125" s="88"/>
      <c r="NP125" s="88"/>
      <c r="NQ125" s="88"/>
      <c r="NR125" s="88"/>
      <c r="NS125" s="88"/>
      <c r="NT125" s="88"/>
      <c r="NU125" s="88"/>
      <c r="NV125" s="88"/>
      <c r="NW125" s="88"/>
      <c r="NX125" s="88"/>
      <c r="NY125" s="88"/>
      <c r="NZ125" s="88"/>
      <c r="OA125" s="88"/>
      <c r="OB125" s="88"/>
      <c r="OC125" s="88"/>
      <c r="OD125" s="88"/>
      <c r="OE125" s="88"/>
      <c r="OF125" s="88"/>
      <c r="OG125" s="88"/>
      <c r="OH125" s="88"/>
      <c r="OI125" s="88"/>
      <c r="OJ125" s="88"/>
      <c r="OK125" s="88"/>
      <c r="OL125" s="88"/>
      <c r="OM125" s="88"/>
      <c r="ON125" s="88"/>
      <c r="OO125" s="88"/>
      <c r="OP125" s="88"/>
      <c r="OQ125" s="88"/>
      <c r="OR125" s="88"/>
      <c r="OS125" s="88"/>
      <c r="OT125" s="88"/>
      <c r="OU125" s="88"/>
      <c r="OV125" s="88"/>
      <c r="OW125" s="88"/>
      <c r="OX125" s="88"/>
      <c r="OY125" s="88"/>
      <c r="OZ125" s="88"/>
      <c r="PA125" s="88"/>
      <c r="PB125" s="88"/>
      <c r="PC125" s="88"/>
      <c r="PD125" s="88"/>
      <c r="PE125" s="88"/>
      <c r="PF125" s="88"/>
      <c r="PG125" s="88"/>
      <c r="PH125" s="88"/>
      <c r="PI125" s="88"/>
      <c r="PJ125" s="88"/>
      <c r="PK125" s="88"/>
      <c r="PL125" s="88"/>
      <c r="PM125" s="88"/>
      <c r="PN125" s="88"/>
      <c r="PO125" s="88"/>
      <c r="PP125" s="88"/>
      <c r="PQ125" s="88"/>
      <c r="PR125" s="88"/>
      <c r="PS125" s="88"/>
      <c r="PT125" s="88"/>
      <c r="PU125" s="88"/>
      <c r="PV125" s="88"/>
      <c r="PW125" s="88"/>
      <c r="PX125" s="88"/>
      <c r="PY125" s="88"/>
      <c r="PZ125" s="88"/>
      <c r="QA125" s="88"/>
      <c r="QB125" s="88"/>
      <c r="QC125" s="88"/>
      <c r="QD125" s="88"/>
      <c r="QE125" s="88"/>
      <c r="QF125" s="88"/>
      <c r="QG125" s="88"/>
      <c r="QH125" s="88"/>
      <c r="QI125" s="88"/>
      <c r="QJ125" s="88"/>
      <c r="QK125" s="88"/>
      <c r="QL125" s="88"/>
      <c r="QM125" s="88"/>
      <c r="QN125" s="88"/>
      <c r="QO125" s="88"/>
      <c r="QP125" s="88"/>
      <c r="QQ125" s="88"/>
      <c r="QR125" s="88"/>
      <c r="QS125" s="88"/>
      <c r="QT125" s="88"/>
      <c r="QU125" s="88"/>
      <c r="QV125" s="88"/>
      <c r="QW125" s="88"/>
      <c r="QX125" s="88"/>
      <c r="QY125" s="88"/>
      <c r="QZ125" s="88"/>
      <c r="RA125" s="88"/>
      <c r="RB125" s="88"/>
      <c r="RC125" s="88"/>
      <c r="RD125" s="88"/>
      <c r="RE125" s="88"/>
      <c r="RF125" s="88"/>
      <c r="RG125" s="88"/>
      <c r="RH125" s="88"/>
      <c r="RI125" s="88"/>
      <c r="RJ125" s="88"/>
      <c r="RK125" s="88"/>
      <c r="RL125" s="88"/>
      <c r="RM125" s="88"/>
      <c r="RN125" s="88"/>
      <c r="RO125" s="88"/>
      <c r="RP125" s="88"/>
      <c r="RQ125" s="88"/>
      <c r="RR125" s="88"/>
      <c r="RS125" s="88"/>
      <c r="RT125" s="88"/>
      <c r="RU125" s="88"/>
      <c r="RV125" s="88"/>
      <c r="RW125" s="88"/>
      <c r="RX125" s="88"/>
      <c r="RY125" s="88"/>
      <c r="RZ125" s="88"/>
      <c r="SA125" s="88"/>
      <c r="SB125" s="88"/>
      <c r="SC125" s="88"/>
      <c r="SD125" s="88"/>
      <c r="SE125" s="88"/>
      <c r="SF125" s="88"/>
      <c r="SG125" s="88"/>
      <c r="SH125" s="88"/>
      <c r="SI125" s="88"/>
      <c r="SJ125" s="88"/>
      <c r="SK125" s="88"/>
      <c r="SL125" s="88"/>
      <c r="SM125" s="88"/>
      <c r="SN125" s="88"/>
      <c r="SO125" s="88"/>
      <c r="SP125" s="88"/>
      <c r="SQ125" s="88"/>
      <c r="SR125" s="88"/>
      <c r="SS125" s="88"/>
      <c r="ST125" s="88"/>
      <c r="SU125" s="88"/>
      <c r="SV125" s="88"/>
      <c r="SW125" s="88"/>
      <c r="SX125" s="88"/>
      <c r="SY125" s="88"/>
      <c r="SZ125" s="88"/>
      <c r="TA125" s="88"/>
      <c r="TB125" s="88"/>
      <c r="TC125" s="88"/>
      <c r="TD125" s="88"/>
      <c r="TE125" s="88"/>
      <c r="TF125" s="88"/>
      <c r="TG125" s="88"/>
      <c r="TH125" s="88"/>
      <c r="TI125" s="88"/>
      <c r="TJ125" s="88"/>
      <c r="TK125" s="88"/>
      <c r="TL125" s="88"/>
      <c r="TM125" s="88"/>
      <c r="TN125" s="88"/>
      <c r="TO125" s="88"/>
      <c r="TP125" s="88"/>
      <c r="TQ125" s="88"/>
      <c r="TR125" s="88"/>
      <c r="TS125" s="88"/>
      <c r="TT125" s="88"/>
      <c r="TU125" s="88"/>
      <c r="TV125" s="88"/>
      <c r="TW125" s="88"/>
      <c r="TX125" s="88"/>
      <c r="TY125" s="88"/>
      <c r="TZ125" s="88"/>
      <c r="UA125" s="88"/>
      <c r="UB125" s="88"/>
      <c r="UC125" s="88"/>
      <c r="UD125" s="88"/>
      <c r="UE125" s="88"/>
      <c r="UF125" s="88"/>
      <c r="UG125" s="88"/>
      <c r="UH125" s="88"/>
      <c r="UI125" s="88"/>
      <c r="UJ125" s="88"/>
      <c r="UK125" s="88"/>
      <c r="UL125" s="88"/>
      <c r="UM125" s="88"/>
      <c r="UN125" s="88"/>
      <c r="UO125" s="88"/>
      <c r="UP125" s="88"/>
      <c r="UQ125" s="88"/>
      <c r="UR125" s="88"/>
      <c r="US125" s="88"/>
      <c r="UT125" s="88"/>
      <c r="UU125" s="88"/>
      <c r="UV125" s="88"/>
      <c r="UW125" s="88"/>
      <c r="UX125" s="88"/>
      <c r="UY125" s="88"/>
      <c r="UZ125" s="88"/>
      <c r="VA125" s="88"/>
      <c r="VB125" s="88"/>
      <c r="VC125" s="88"/>
      <c r="VD125" s="88"/>
      <c r="VE125" s="88"/>
      <c r="VF125" s="88"/>
      <c r="VG125" s="88"/>
      <c r="VH125" s="88"/>
      <c r="VI125" s="88"/>
      <c r="VJ125" s="88"/>
      <c r="VK125" s="88"/>
      <c r="VL125" s="88"/>
      <c r="VM125" s="88"/>
      <c r="VN125" s="88"/>
      <c r="VO125" s="88"/>
      <c r="VP125" s="88"/>
      <c r="VQ125" s="88"/>
      <c r="VR125" s="88"/>
      <c r="VS125" s="88"/>
      <c r="VT125" s="88"/>
      <c r="VU125" s="88"/>
      <c r="VV125" s="88"/>
      <c r="VW125" s="88"/>
      <c r="VX125" s="88"/>
      <c r="VY125" s="88"/>
      <c r="VZ125" s="88"/>
      <c r="WA125" s="88"/>
      <c r="WB125" s="88"/>
      <c r="WC125" s="88"/>
      <c r="WD125" s="88"/>
      <c r="WE125" s="88"/>
      <c r="WF125" s="88"/>
      <c r="WG125" s="88"/>
      <c r="WH125" s="88"/>
      <c r="WI125" s="88"/>
      <c r="WJ125" s="88"/>
      <c r="WK125" s="88"/>
      <c r="WL125" s="88"/>
      <c r="WM125" s="88"/>
      <c r="WN125" s="88"/>
      <c r="WO125" s="88"/>
      <c r="WP125" s="88"/>
      <c r="WQ125" s="88"/>
      <c r="WR125" s="88"/>
      <c r="WS125" s="88"/>
      <c r="WT125" s="88"/>
      <c r="WU125" s="88"/>
      <c r="WV125" s="88"/>
      <c r="WW125" s="88"/>
      <c r="WX125" s="88"/>
      <c r="WY125" s="88"/>
      <c r="WZ125" s="88"/>
      <c r="XA125" s="88"/>
      <c r="XB125" s="88"/>
      <c r="XC125" s="88"/>
      <c r="XD125" s="88"/>
      <c r="XE125" s="88"/>
      <c r="XF125" s="88"/>
      <c r="XG125" s="88"/>
      <c r="XH125" s="88"/>
      <c r="XI125" s="88"/>
      <c r="XJ125" s="88"/>
      <c r="XK125" s="88"/>
      <c r="XL125" s="88"/>
      <c r="XM125" s="88"/>
      <c r="XN125" s="88"/>
      <c r="XO125" s="88"/>
      <c r="XP125" s="88"/>
      <c r="XQ125" s="88"/>
      <c r="XR125" s="88"/>
      <c r="XS125" s="88"/>
      <c r="XT125" s="88"/>
      <c r="XU125" s="88"/>
      <c r="XV125" s="88"/>
      <c r="XW125" s="88"/>
      <c r="XX125" s="88"/>
      <c r="XY125" s="88"/>
      <c r="XZ125" s="88"/>
      <c r="YA125" s="88"/>
      <c r="YB125" s="88"/>
      <c r="YC125" s="88"/>
      <c r="YD125" s="88"/>
      <c r="YE125" s="88"/>
      <c r="YF125" s="88"/>
      <c r="YG125" s="88"/>
      <c r="YH125" s="88"/>
      <c r="YI125" s="88"/>
      <c r="YJ125" s="88"/>
      <c r="YK125" s="88"/>
      <c r="YL125" s="88"/>
      <c r="YM125" s="88"/>
      <c r="YN125" s="88"/>
      <c r="YO125" s="88"/>
      <c r="YP125" s="88"/>
      <c r="YQ125" s="88"/>
      <c r="YR125" s="88"/>
      <c r="YS125" s="88"/>
      <c r="YT125" s="88"/>
      <c r="YU125" s="88"/>
      <c r="YV125" s="88"/>
      <c r="YW125" s="88"/>
      <c r="YX125" s="88"/>
      <c r="YY125" s="88"/>
      <c r="YZ125" s="88"/>
      <c r="ZA125" s="88"/>
      <c r="ZB125" s="88"/>
      <c r="ZC125" s="88"/>
      <c r="ZD125" s="88"/>
      <c r="ZE125" s="88"/>
      <c r="ZF125" s="88"/>
      <c r="ZG125" s="88"/>
      <c r="ZH125" s="88"/>
      <c r="ZI125" s="88"/>
      <c r="ZJ125" s="88"/>
      <c r="ZK125" s="88"/>
      <c r="ZL125" s="88"/>
      <c r="ZM125" s="88"/>
      <c r="ZN125" s="88"/>
      <c r="ZO125" s="88"/>
      <c r="ZP125" s="88"/>
      <c r="ZQ125" s="88"/>
      <c r="ZR125" s="88"/>
      <c r="ZS125" s="88"/>
      <c r="ZT125" s="88"/>
      <c r="ZU125" s="88"/>
      <c r="ZV125" s="88"/>
      <c r="ZW125" s="88"/>
      <c r="ZX125" s="88"/>
      <c r="ZY125" s="88"/>
      <c r="ZZ125" s="88"/>
      <c r="AAA125" s="88"/>
      <c r="AAB125" s="88"/>
      <c r="AAC125" s="88"/>
      <c r="AAD125" s="88"/>
      <c r="AAE125" s="88"/>
      <c r="AAF125" s="88"/>
      <c r="AAG125" s="88"/>
      <c r="AAH125" s="88"/>
      <c r="AAI125" s="88"/>
      <c r="AAJ125" s="88"/>
      <c r="AAK125" s="88"/>
      <c r="AAL125" s="88"/>
      <c r="AAM125" s="88"/>
      <c r="AAN125" s="88"/>
      <c r="AAO125" s="88"/>
      <c r="AAP125" s="88"/>
      <c r="AAQ125" s="88"/>
      <c r="AAR125" s="88"/>
      <c r="AAS125" s="88"/>
      <c r="AAT125" s="88"/>
      <c r="AAU125" s="88"/>
      <c r="AAV125" s="88"/>
      <c r="AAW125" s="88"/>
      <c r="AAX125" s="88"/>
      <c r="AAY125" s="88"/>
      <c r="AAZ125" s="88"/>
      <c r="ABA125" s="88"/>
      <c r="ABB125" s="88"/>
      <c r="ABC125" s="88"/>
      <c r="ABD125" s="88"/>
      <c r="ABE125" s="88"/>
      <c r="ABF125" s="88"/>
      <c r="ABG125" s="88"/>
      <c r="ABH125" s="88"/>
      <c r="ABI125" s="88"/>
      <c r="ABJ125" s="88"/>
      <c r="ABK125" s="88"/>
      <c r="ABL125" s="88"/>
      <c r="ABM125" s="88"/>
      <c r="ABN125" s="88"/>
      <c r="ABO125" s="88"/>
      <c r="ABP125" s="88"/>
      <c r="ABQ125" s="88"/>
      <c r="ABR125" s="88"/>
      <c r="ABS125" s="88"/>
      <c r="ABT125" s="88"/>
      <c r="ABU125" s="88"/>
      <c r="ABV125" s="88"/>
      <c r="ABW125" s="88"/>
      <c r="ABX125" s="88"/>
      <c r="ABY125" s="88"/>
      <c r="ABZ125" s="88"/>
      <c r="ACA125" s="88"/>
      <c r="ACB125" s="88"/>
      <c r="ACC125" s="88"/>
      <c r="ACD125" s="88"/>
      <c r="ACE125" s="88"/>
      <c r="ACF125" s="88"/>
      <c r="ACG125" s="88"/>
      <c r="ACH125" s="88"/>
      <c r="ACI125" s="88"/>
      <c r="ACJ125" s="88"/>
      <c r="ACK125" s="88"/>
      <c r="ACL125" s="88"/>
      <c r="ACM125" s="88"/>
      <c r="ACN125" s="88"/>
      <c r="ACO125" s="88"/>
      <c r="ACP125" s="88"/>
      <c r="ACQ125" s="88"/>
      <c r="ACR125" s="88"/>
      <c r="ACS125" s="88"/>
      <c r="ACT125" s="88"/>
      <c r="ACU125" s="88"/>
      <c r="ACV125" s="88"/>
      <c r="ACW125" s="88"/>
      <c r="ACX125" s="88"/>
      <c r="ACY125" s="88"/>
      <c r="ACZ125" s="88"/>
      <c r="ADA125" s="88"/>
      <c r="ADB125" s="88"/>
      <c r="ADC125" s="88"/>
      <c r="ADD125" s="88"/>
      <c r="ADE125" s="88"/>
      <c r="ADF125" s="88"/>
      <c r="ADG125" s="88"/>
      <c r="ADH125" s="88"/>
      <c r="ADI125" s="88"/>
      <c r="ADJ125" s="88"/>
      <c r="ADK125" s="88"/>
      <c r="ADL125" s="88"/>
      <c r="ADM125" s="88"/>
      <c r="ADN125" s="88"/>
      <c r="ADO125" s="88"/>
      <c r="ADP125" s="88"/>
      <c r="ADQ125" s="88"/>
      <c r="ADR125" s="88"/>
      <c r="ADS125" s="88"/>
      <c r="ADT125" s="88"/>
      <c r="ADU125" s="88"/>
      <c r="ADV125" s="88"/>
      <c r="ADW125" s="88"/>
      <c r="ADX125" s="88"/>
      <c r="ADY125" s="88"/>
      <c r="ADZ125" s="88"/>
      <c r="AEA125" s="88"/>
      <c r="AEB125" s="88"/>
      <c r="AEC125" s="88"/>
      <c r="AED125" s="88"/>
      <c r="AEE125" s="88"/>
      <c r="AEF125" s="88"/>
      <c r="AEG125" s="88"/>
      <c r="AEH125" s="88"/>
      <c r="AEI125" s="88"/>
      <c r="AEJ125" s="88"/>
      <c r="AEK125" s="88"/>
      <c r="AEL125" s="88"/>
      <c r="AEM125" s="88"/>
      <c r="AEN125" s="88"/>
      <c r="AEO125" s="88"/>
      <c r="AEP125" s="88"/>
      <c r="AEQ125" s="88"/>
      <c r="AER125" s="88"/>
      <c r="AES125" s="88"/>
      <c r="AET125" s="88"/>
      <c r="AEU125" s="88"/>
      <c r="AEV125" s="88"/>
      <c r="AEW125" s="88"/>
      <c r="AEX125" s="88"/>
      <c r="AEY125" s="88"/>
      <c r="AEZ125" s="88"/>
      <c r="AFA125" s="88"/>
      <c r="AFB125" s="88"/>
      <c r="AFC125" s="88"/>
      <c r="AFD125" s="88"/>
      <c r="AFE125" s="88"/>
      <c r="AFF125" s="88"/>
      <c r="AFG125" s="88"/>
      <c r="AFH125" s="88"/>
      <c r="AFI125" s="88"/>
      <c r="AFJ125" s="88"/>
      <c r="AFK125" s="88"/>
      <c r="AFL125" s="88"/>
      <c r="AFM125" s="88"/>
      <c r="AFN125" s="88"/>
      <c r="AFO125" s="88"/>
      <c r="AFP125" s="88"/>
      <c r="AFQ125" s="88"/>
      <c r="AFR125" s="88"/>
      <c r="AFS125" s="88"/>
      <c r="AFT125" s="88"/>
      <c r="AFU125" s="88"/>
      <c r="AFV125" s="88"/>
      <c r="AFW125" s="88"/>
      <c r="AFX125" s="88"/>
      <c r="AFY125" s="88"/>
      <c r="AFZ125" s="88"/>
      <c r="AGA125" s="88"/>
      <c r="AGB125" s="88"/>
      <c r="AGC125" s="88"/>
      <c r="AGD125" s="88"/>
      <c r="AGE125" s="88"/>
      <c r="AGF125" s="88"/>
      <c r="AGG125" s="88"/>
      <c r="AGH125" s="88"/>
      <c r="AGI125" s="88"/>
      <c r="AGJ125" s="88"/>
      <c r="AGK125" s="88"/>
      <c r="AGL125" s="88"/>
      <c r="AGM125" s="88"/>
      <c r="AGN125" s="88"/>
      <c r="AGO125" s="88"/>
      <c r="AGP125" s="88"/>
      <c r="AGQ125" s="88"/>
      <c r="AGR125" s="88"/>
      <c r="AGS125" s="88"/>
      <c r="AGT125" s="88"/>
      <c r="AGU125" s="88"/>
      <c r="AGV125" s="88"/>
      <c r="AGW125" s="88"/>
      <c r="AGX125" s="88"/>
      <c r="AGY125" s="88"/>
      <c r="AGZ125" s="88"/>
      <c r="AHA125" s="88"/>
      <c r="AHB125" s="88"/>
      <c r="AHC125" s="88"/>
      <c r="AHD125" s="88"/>
      <c r="AHE125" s="88"/>
      <c r="AHF125" s="88"/>
      <c r="AHG125" s="88"/>
      <c r="AHH125" s="88"/>
      <c r="AHI125" s="88"/>
      <c r="AHJ125" s="88"/>
      <c r="AHK125" s="88"/>
      <c r="AHL125" s="88"/>
      <c r="AHM125" s="88"/>
      <c r="AHN125" s="88"/>
      <c r="AHO125" s="88"/>
      <c r="AHP125" s="88"/>
      <c r="AHQ125" s="88"/>
      <c r="AHR125" s="88"/>
      <c r="AHS125" s="88"/>
      <c r="AHT125" s="88"/>
      <c r="AHU125" s="88"/>
      <c r="AHV125" s="88"/>
      <c r="AHW125" s="88"/>
      <c r="AHX125" s="88"/>
      <c r="AHY125" s="88"/>
      <c r="AHZ125" s="88"/>
      <c r="AIA125" s="88"/>
      <c r="AIB125" s="88"/>
      <c r="AIC125" s="88"/>
      <c r="AID125" s="88"/>
      <c r="AIE125" s="88"/>
      <c r="AIF125" s="88"/>
      <c r="AIG125" s="88"/>
      <c r="AIH125" s="88"/>
      <c r="AII125" s="88"/>
      <c r="AIJ125" s="88"/>
      <c r="AIK125" s="88"/>
      <c r="AIL125" s="88"/>
      <c r="AIM125" s="88"/>
      <c r="AIN125" s="88"/>
      <c r="AIO125" s="88"/>
      <c r="AIP125" s="88"/>
      <c r="AIQ125" s="88"/>
      <c r="AIR125" s="88"/>
      <c r="AIS125" s="88"/>
      <c r="AIT125" s="88"/>
      <c r="AIU125" s="88"/>
      <c r="AIV125" s="88"/>
      <c r="AIW125" s="88"/>
      <c r="AIX125" s="88"/>
      <c r="AIY125" s="88"/>
      <c r="AIZ125" s="88"/>
      <c r="AJA125" s="88"/>
      <c r="AJB125" s="88"/>
      <c r="AJC125" s="88"/>
      <c r="AJD125" s="88"/>
      <c r="AJE125" s="88"/>
      <c r="AJF125" s="88"/>
      <c r="AJG125" s="88"/>
      <c r="AJH125" s="88"/>
      <c r="AJI125" s="88"/>
      <c r="AJJ125" s="88"/>
      <c r="AJK125" s="88"/>
      <c r="AJL125" s="88"/>
      <c r="AJM125" s="88"/>
      <c r="AJN125" s="88"/>
      <c r="AJO125" s="88"/>
      <c r="AJP125" s="88"/>
      <c r="AJQ125" s="88"/>
      <c r="AJR125" s="88"/>
      <c r="AJS125" s="88"/>
      <c r="AJT125" s="88"/>
      <c r="AJU125" s="88"/>
      <c r="AJV125" s="88"/>
      <c r="AJW125" s="88"/>
      <c r="AJX125" s="88"/>
      <c r="AJY125" s="88"/>
      <c r="AJZ125" s="88"/>
      <c r="AKA125" s="88"/>
      <c r="AKB125" s="88"/>
      <c r="AKC125" s="88"/>
      <c r="AKD125" s="88"/>
      <c r="AKE125" s="88"/>
      <c r="AKF125" s="88"/>
      <c r="AKG125" s="88"/>
      <c r="AKH125" s="88"/>
      <c r="AKI125" s="88"/>
      <c r="AKJ125" s="88"/>
      <c r="AKK125" s="88"/>
      <c r="AKL125" s="88"/>
      <c r="AKM125" s="88"/>
      <c r="AKN125" s="88"/>
      <c r="AKO125" s="88"/>
      <c r="AKP125" s="88"/>
      <c r="AKQ125" s="88"/>
      <c r="AKR125" s="88"/>
      <c r="AKS125" s="88"/>
      <c r="AKT125" s="88"/>
      <c r="AKU125" s="88"/>
      <c r="AKV125" s="88"/>
      <c r="AKW125" s="88"/>
      <c r="AKX125" s="88"/>
      <c r="AKY125" s="88"/>
      <c r="AKZ125" s="88"/>
      <c r="ALA125" s="88"/>
      <c r="ALB125" s="88"/>
      <c r="ALC125" s="88"/>
      <c r="ALD125" s="88"/>
      <c r="ALE125" s="88"/>
      <c r="ALF125" s="88"/>
      <c r="ALG125" s="88"/>
      <c r="ALH125" s="88"/>
      <c r="ALI125" s="88"/>
      <c r="ALJ125" s="88"/>
      <c r="ALK125" s="88"/>
      <c r="ALL125" s="88"/>
      <c r="ALM125" s="88"/>
      <c r="ALN125" s="88"/>
      <c r="ALO125" s="88"/>
      <c r="ALP125" s="88"/>
      <c r="ALQ125" s="88"/>
      <c r="ALR125" s="88"/>
      <c r="ALS125" s="88"/>
      <c r="ALT125" s="88"/>
      <c r="ALU125" s="88"/>
      <c r="ALV125" s="88"/>
      <c r="ALW125" s="88"/>
      <c r="ALX125" s="88"/>
      <c r="ALY125" s="88"/>
      <c r="ALZ125" s="88"/>
      <c r="AMA125" s="88"/>
      <c r="AMB125" s="88"/>
      <c r="AMC125" s="88"/>
      <c r="AMD125" s="88"/>
      <c r="AME125" s="88"/>
      <c r="AMF125" s="88"/>
      <c r="AMG125" s="88"/>
      <c r="AMH125" s="88"/>
      <c r="AMI125" s="88"/>
      <c r="AMJ125" s="88"/>
      <c r="AMK125" s="88"/>
      <c r="AML125" s="88"/>
      <c r="AMM125" s="88"/>
      <c r="AMN125" s="88"/>
      <c r="AMO125" s="88"/>
      <c r="AMP125" s="88"/>
      <c r="AMQ125" s="88"/>
      <c r="AMR125" s="88"/>
      <c r="AMS125" s="88"/>
      <c r="AMT125" s="88"/>
      <c r="AMU125" s="88"/>
      <c r="AMV125" s="88"/>
      <c r="AMW125" s="88"/>
      <c r="AMX125" s="88"/>
      <c r="AMY125" s="88"/>
      <c r="AMZ125" s="88"/>
      <c r="ANA125" s="88"/>
      <c r="ANB125" s="88"/>
      <c r="ANC125" s="88"/>
      <c r="AND125" s="88"/>
      <c r="ANE125" s="88"/>
      <c r="ANF125" s="88"/>
      <c r="ANG125" s="88"/>
      <c r="ANH125" s="88"/>
      <c r="ANI125" s="88"/>
      <c r="ANJ125" s="88"/>
      <c r="ANK125" s="88"/>
      <c r="ANL125" s="88"/>
      <c r="ANM125" s="88"/>
      <c r="ANN125" s="88"/>
      <c r="ANO125" s="88"/>
      <c r="ANP125" s="88"/>
      <c r="ANQ125" s="88"/>
      <c r="ANR125" s="88"/>
      <c r="ANS125" s="88"/>
      <c r="ANT125" s="88"/>
      <c r="ANU125" s="88"/>
      <c r="ANV125" s="88"/>
      <c r="ANW125" s="88"/>
      <c r="ANX125" s="88"/>
      <c r="ANY125" s="88"/>
      <c r="ANZ125" s="88"/>
      <c r="AOA125" s="88"/>
      <c r="AOB125" s="88"/>
      <c r="AOC125" s="88"/>
      <c r="AOD125" s="88"/>
      <c r="AOE125" s="88"/>
      <c r="AOF125" s="88"/>
      <c r="AOG125" s="88"/>
      <c r="AOH125" s="88"/>
      <c r="AOI125" s="88"/>
      <c r="AOJ125" s="88"/>
      <c r="AOK125" s="88"/>
      <c r="AOL125" s="88"/>
      <c r="AOM125" s="88"/>
      <c r="AON125" s="88"/>
      <c r="AOO125" s="88"/>
      <c r="AOP125" s="88"/>
      <c r="AOQ125" s="88"/>
      <c r="AOR125" s="88"/>
      <c r="AOS125" s="88"/>
      <c r="AOT125" s="88"/>
      <c r="AOU125" s="88"/>
      <c r="AOV125" s="88"/>
      <c r="AOW125" s="88"/>
      <c r="AOX125" s="88"/>
      <c r="AOY125" s="88"/>
      <c r="AOZ125" s="88"/>
      <c r="APA125" s="88"/>
      <c r="APB125" s="88"/>
      <c r="APC125" s="88"/>
      <c r="APD125" s="88"/>
      <c r="APE125" s="88"/>
      <c r="APF125" s="88"/>
      <c r="APG125" s="88"/>
      <c r="APH125" s="88"/>
      <c r="API125" s="88"/>
      <c r="APJ125" s="88"/>
      <c r="APK125" s="88"/>
      <c r="APL125" s="88"/>
      <c r="APM125" s="88"/>
      <c r="APN125" s="88"/>
      <c r="APO125" s="88"/>
      <c r="APP125" s="88"/>
      <c r="APQ125" s="88"/>
      <c r="APR125" s="88"/>
      <c r="APS125" s="88"/>
      <c r="APT125" s="88"/>
      <c r="APU125" s="88"/>
      <c r="APV125" s="88"/>
      <c r="APW125" s="88"/>
      <c r="APX125" s="88"/>
      <c r="APY125" s="88"/>
      <c r="APZ125" s="88"/>
      <c r="AQA125" s="88"/>
      <c r="AQB125" s="88"/>
      <c r="AQC125" s="88"/>
      <c r="AQD125" s="88"/>
      <c r="AQE125" s="88"/>
      <c r="AQF125" s="88"/>
      <c r="AQG125" s="88"/>
      <c r="AQH125" s="88"/>
      <c r="AQI125" s="88"/>
      <c r="AQJ125" s="88"/>
      <c r="AQK125" s="88"/>
      <c r="AQL125" s="88"/>
      <c r="AQM125" s="88"/>
      <c r="AQN125" s="88"/>
      <c r="AQO125" s="88"/>
      <c r="AQP125" s="88"/>
      <c r="AQQ125" s="88"/>
      <c r="AQR125" s="88"/>
      <c r="AQS125" s="88"/>
      <c r="AQT125" s="88"/>
      <c r="AQU125" s="88"/>
      <c r="AQV125" s="88"/>
      <c r="AQW125" s="88"/>
      <c r="AQX125" s="88"/>
      <c r="AQY125" s="88"/>
      <c r="AQZ125" s="88"/>
      <c r="ARA125" s="88"/>
      <c r="ARB125" s="88"/>
      <c r="ARC125" s="88"/>
      <c r="ARD125" s="88"/>
      <c r="ARE125" s="88"/>
      <c r="ARF125" s="88"/>
      <c r="ARG125" s="88"/>
      <c r="ARH125" s="88"/>
      <c r="ARI125" s="88"/>
      <c r="ARJ125" s="88"/>
      <c r="ARK125" s="88"/>
      <c r="ARL125" s="88"/>
      <c r="ARM125" s="88"/>
      <c r="ARN125" s="88"/>
      <c r="ARO125" s="88"/>
      <c r="ARP125" s="88"/>
      <c r="ARQ125" s="88"/>
      <c r="ARR125" s="88"/>
      <c r="ARS125" s="88"/>
      <c r="ART125" s="88"/>
      <c r="ARU125" s="88"/>
      <c r="ARV125" s="88"/>
      <c r="ARW125" s="88"/>
      <c r="ARX125" s="88"/>
      <c r="ARY125" s="88"/>
      <c r="ARZ125" s="88"/>
      <c r="ASA125" s="88"/>
      <c r="ASB125" s="88"/>
      <c r="ASC125" s="88"/>
      <c r="ASD125" s="88"/>
      <c r="ASE125" s="88"/>
      <c r="ASF125" s="88"/>
      <c r="ASG125" s="88"/>
      <c r="ASH125" s="88"/>
      <c r="ASI125" s="88"/>
      <c r="ASJ125" s="88"/>
      <c r="ASK125" s="88"/>
      <c r="ASL125" s="88"/>
      <c r="ASM125" s="88"/>
      <c r="ASN125" s="88"/>
      <c r="ASO125" s="88"/>
      <c r="ASP125" s="88"/>
      <c r="ASQ125" s="88"/>
      <c r="ASR125" s="88"/>
      <c r="ASS125" s="88"/>
      <c r="AST125" s="88"/>
      <c r="ASU125" s="88"/>
      <c r="ASV125" s="88"/>
      <c r="ASW125" s="88"/>
      <c r="ASX125" s="88"/>
      <c r="ASY125" s="88"/>
      <c r="ASZ125" s="88"/>
      <c r="ATA125" s="88"/>
      <c r="ATB125" s="88"/>
      <c r="ATC125" s="88"/>
      <c r="ATD125" s="88"/>
      <c r="ATE125" s="88"/>
      <c r="ATF125" s="88"/>
      <c r="ATG125" s="88"/>
      <c r="ATH125" s="88"/>
      <c r="ATI125" s="88"/>
      <c r="ATJ125" s="88"/>
      <c r="ATK125" s="88"/>
      <c r="ATL125" s="88"/>
      <c r="ATM125" s="88"/>
      <c r="ATN125" s="88"/>
      <c r="ATO125" s="88"/>
      <c r="ATP125" s="88"/>
      <c r="ATQ125" s="88"/>
      <c r="ATR125" s="88"/>
      <c r="ATS125" s="88"/>
      <c r="ATT125" s="88"/>
      <c r="ATU125" s="88"/>
      <c r="ATV125" s="88"/>
      <c r="ATW125" s="88"/>
      <c r="ATX125" s="88"/>
      <c r="ATY125" s="88"/>
      <c r="ATZ125" s="88"/>
      <c r="AUA125" s="88"/>
      <c r="AUB125" s="88"/>
      <c r="AUC125" s="88"/>
      <c r="AUD125" s="88"/>
      <c r="AUE125" s="88"/>
      <c r="AUF125" s="88"/>
      <c r="AUG125" s="88"/>
      <c r="AUH125" s="88"/>
      <c r="AUI125" s="88"/>
      <c r="AUJ125" s="88"/>
      <c r="AUK125" s="88"/>
      <c r="AUL125" s="88"/>
      <c r="AUM125" s="88"/>
      <c r="AUN125" s="88"/>
      <c r="AUO125" s="88"/>
      <c r="AUP125" s="88"/>
      <c r="AUQ125" s="88"/>
      <c r="AUR125" s="88"/>
      <c r="AUS125" s="88"/>
      <c r="AUT125" s="88"/>
      <c r="AUU125" s="88"/>
      <c r="AUV125" s="88"/>
      <c r="AUW125" s="88"/>
      <c r="AUX125" s="88"/>
      <c r="AUY125" s="88"/>
      <c r="AUZ125" s="88"/>
      <c r="AVA125" s="88"/>
      <c r="AVB125" s="88"/>
      <c r="AVC125" s="88"/>
      <c r="AVD125" s="88"/>
      <c r="AVE125" s="88"/>
      <c r="AVF125" s="88"/>
      <c r="AVG125" s="88"/>
      <c r="AVH125" s="88"/>
      <c r="AVI125" s="88"/>
      <c r="AVJ125" s="88"/>
      <c r="AVK125" s="88"/>
      <c r="AVL125" s="88"/>
      <c r="AVM125" s="88"/>
      <c r="AVN125" s="88"/>
      <c r="AVO125" s="88"/>
      <c r="AVP125" s="88"/>
      <c r="AVQ125" s="88"/>
      <c r="AVR125" s="88"/>
      <c r="AVS125" s="88"/>
      <c r="AVT125" s="88"/>
      <c r="AVU125" s="88"/>
      <c r="AVV125" s="88"/>
      <c r="AVW125" s="88"/>
      <c r="AVX125" s="88"/>
      <c r="AVY125" s="88"/>
      <c r="AVZ125" s="88"/>
      <c r="AWA125" s="88"/>
      <c r="AWB125" s="88"/>
      <c r="AWC125" s="88"/>
      <c r="AWD125" s="88"/>
      <c r="AWE125" s="88"/>
      <c r="AWF125" s="88"/>
      <c r="AWG125" s="88"/>
      <c r="AWH125" s="88"/>
      <c r="AWI125" s="88"/>
      <c r="AWJ125" s="88"/>
      <c r="AWK125" s="88"/>
      <c r="AWL125" s="88"/>
      <c r="AWM125" s="88"/>
      <c r="AWN125" s="88"/>
      <c r="AWO125" s="88"/>
      <c r="AWP125" s="88"/>
      <c r="AWQ125" s="88"/>
      <c r="AWR125" s="88"/>
      <c r="AWS125" s="88"/>
      <c r="AWT125" s="88"/>
      <c r="AWU125" s="88"/>
      <c r="AWV125" s="88"/>
      <c r="AWW125" s="88"/>
      <c r="AWX125" s="88"/>
      <c r="AWY125" s="88"/>
      <c r="AWZ125" s="88"/>
      <c r="AXA125" s="88"/>
      <c r="AXB125" s="88"/>
      <c r="AXC125" s="88"/>
      <c r="AXD125" s="88"/>
      <c r="AXE125" s="88"/>
      <c r="AXF125" s="88"/>
      <c r="AXG125" s="88"/>
      <c r="AXH125" s="88"/>
      <c r="AXI125" s="88"/>
      <c r="AXJ125" s="88"/>
      <c r="AXK125" s="88"/>
      <c r="AXL125" s="88"/>
      <c r="AXM125" s="88"/>
      <c r="AXN125" s="88"/>
      <c r="AXO125" s="88"/>
      <c r="AXP125" s="88"/>
      <c r="AXQ125" s="88"/>
      <c r="AXR125" s="88"/>
      <c r="AXS125" s="88"/>
      <c r="AXT125" s="88"/>
      <c r="AXU125" s="88"/>
      <c r="AXV125" s="88"/>
      <c r="AXW125" s="88"/>
      <c r="AXX125" s="88"/>
      <c r="AXY125" s="88"/>
      <c r="AXZ125" s="88"/>
      <c r="AYA125" s="88"/>
      <c r="AYB125" s="88"/>
      <c r="AYC125" s="88"/>
      <c r="AYD125" s="88"/>
      <c r="AYE125" s="88"/>
      <c r="AYF125" s="88"/>
      <c r="AYG125" s="88"/>
      <c r="AYH125" s="88"/>
      <c r="AYI125" s="88"/>
      <c r="AYJ125" s="88"/>
      <c r="AYK125" s="88"/>
      <c r="AYL125" s="88"/>
      <c r="AYM125" s="88"/>
      <c r="AYN125" s="88"/>
      <c r="AYO125" s="88"/>
      <c r="AYP125" s="88"/>
      <c r="AYQ125" s="88"/>
      <c r="AYR125" s="88"/>
      <c r="AYS125" s="88"/>
      <c r="AYT125" s="88"/>
      <c r="AYU125" s="88"/>
      <c r="AYV125" s="88"/>
      <c r="AYW125" s="88"/>
      <c r="AYX125" s="88"/>
      <c r="AYY125" s="88"/>
      <c r="AYZ125" s="88"/>
      <c r="AZA125" s="88"/>
      <c r="AZB125" s="88"/>
      <c r="AZC125" s="88"/>
      <c r="AZD125" s="88"/>
      <c r="AZE125" s="88"/>
      <c r="AZF125" s="88"/>
      <c r="AZG125" s="88"/>
      <c r="AZH125" s="88"/>
      <c r="AZI125" s="88"/>
      <c r="AZJ125" s="88"/>
      <c r="AZK125" s="88"/>
      <c r="AZL125" s="88"/>
      <c r="AZM125" s="88"/>
      <c r="AZN125" s="88"/>
      <c r="AZO125" s="88"/>
      <c r="AZP125" s="88"/>
      <c r="AZQ125" s="88"/>
      <c r="AZR125" s="88"/>
      <c r="AZS125" s="88"/>
      <c r="AZT125" s="88"/>
      <c r="AZU125" s="88"/>
      <c r="AZV125" s="88"/>
      <c r="AZW125" s="88"/>
      <c r="AZX125" s="88"/>
      <c r="AZY125" s="88"/>
      <c r="AZZ125" s="88"/>
      <c r="BAA125" s="88"/>
      <c r="BAB125" s="88"/>
      <c r="BAC125" s="88"/>
      <c r="BAD125" s="88"/>
      <c r="BAE125" s="88"/>
      <c r="BAF125" s="88"/>
      <c r="BAG125" s="88"/>
      <c r="BAH125" s="88"/>
      <c r="BAI125" s="88"/>
      <c r="BAJ125" s="88"/>
      <c r="BAK125" s="88"/>
      <c r="BAL125" s="88"/>
      <c r="BAM125" s="88"/>
      <c r="BAN125" s="88"/>
      <c r="BAO125" s="88"/>
      <c r="BAP125" s="88"/>
      <c r="BAQ125" s="88"/>
      <c r="BAR125" s="88"/>
      <c r="BAS125" s="88"/>
      <c r="BAT125" s="88"/>
      <c r="BAU125" s="88"/>
      <c r="BAV125" s="88"/>
      <c r="BAW125" s="88"/>
      <c r="BAX125" s="88"/>
      <c r="BAY125" s="88"/>
      <c r="BAZ125" s="88"/>
      <c r="BBA125" s="88"/>
      <c r="BBB125" s="88"/>
      <c r="BBC125" s="88"/>
      <c r="BBD125" s="88"/>
      <c r="BBE125" s="88"/>
      <c r="BBF125" s="88"/>
      <c r="BBG125" s="88"/>
      <c r="BBH125" s="88"/>
      <c r="BBI125" s="88"/>
      <c r="BBJ125" s="88"/>
      <c r="BBK125" s="88"/>
      <c r="BBL125" s="88"/>
      <c r="BBM125" s="88"/>
      <c r="BBN125" s="88"/>
      <c r="BBO125" s="88"/>
      <c r="BBP125" s="88"/>
      <c r="BBQ125" s="88"/>
      <c r="BBR125" s="88"/>
      <c r="BBS125" s="88"/>
      <c r="BBT125" s="88"/>
      <c r="BBU125" s="88"/>
      <c r="BBV125" s="88"/>
      <c r="BBW125" s="88"/>
      <c r="BBX125" s="88"/>
      <c r="BBY125" s="88"/>
      <c r="BBZ125" s="88"/>
      <c r="BCA125" s="88"/>
      <c r="BCB125" s="88"/>
      <c r="BCC125" s="88"/>
      <c r="BCD125" s="88"/>
      <c r="BCE125" s="88"/>
      <c r="BCF125" s="88"/>
      <c r="BCG125" s="88"/>
      <c r="BCH125" s="88"/>
      <c r="BCI125" s="88"/>
      <c r="BCJ125" s="88"/>
      <c r="BCK125" s="88"/>
      <c r="BCL125" s="88"/>
      <c r="BCM125" s="88"/>
      <c r="BCN125" s="88"/>
      <c r="BCO125" s="88"/>
      <c r="BCP125" s="88"/>
      <c r="BCQ125" s="88"/>
      <c r="BCR125" s="88"/>
      <c r="BCS125" s="88"/>
      <c r="BCT125" s="88"/>
      <c r="BCU125" s="88"/>
      <c r="BCV125" s="88"/>
      <c r="BCW125" s="88"/>
      <c r="BCX125" s="88"/>
      <c r="BCY125" s="88"/>
      <c r="BCZ125" s="88"/>
      <c r="BDA125" s="88"/>
      <c r="BDB125" s="88"/>
      <c r="BDC125" s="88"/>
      <c r="BDD125" s="88"/>
      <c r="BDE125" s="88"/>
      <c r="BDF125" s="88"/>
      <c r="BDG125" s="88"/>
      <c r="BDH125" s="88"/>
      <c r="BDI125" s="88"/>
      <c r="BDJ125" s="88"/>
      <c r="BDK125" s="88"/>
      <c r="BDL125" s="88"/>
      <c r="BDM125" s="88"/>
      <c r="BDN125" s="88"/>
      <c r="BDO125" s="88"/>
      <c r="BDP125" s="88"/>
      <c r="BDQ125" s="88"/>
      <c r="BDR125" s="88"/>
      <c r="BDS125" s="88"/>
      <c r="BDT125" s="88"/>
      <c r="BDU125" s="88"/>
      <c r="BDV125" s="88"/>
      <c r="BDW125" s="88"/>
      <c r="BDX125" s="88"/>
      <c r="BDY125" s="88"/>
      <c r="BDZ125" s="88"/>
      <c r="BEA125" s="88"/>
      <c r="BEB125" s="88"/>
      <c r="BEC125" s="88"/>
      <c r="BED125" s="88"/>
      <c r="BEE125" s="88"/>
      <c r="BEF125" s="88"/>
      <c r="BEG125" s="88"/>
      <c r="BEH125" s="88"/>
      <c r="BEI125" s="88"/>
      <c r="BEJ125" s="88"/>
      <c r="BEK125" s="88"/>
      <c r="BEL125" s="88"/>
      <c r="BEM125" s="88"/>
      <c r="BEN125" s="88"/>
      <c r="BEO125" s="88"/>
      <c r="BEP125" s="88"/>
      <c r="BEQ125" s="88"/>
      <c r="BER125" s="88"/>
      <c r="BES125" s="88"/>
      <c r="BET125" s="88"/>
      <c r="BEU125" s="88"/>
      <c r="BEV125" s="88"/>
      <c r="BEW125" s="88"/>
      <c r="BEX125" s="88"/>
      <c r="BEY125" s="88"/>
      <c r="BEZ125" s="88"/>
      <c r="BFA125" s="88"/>
      <c r="BFB125" s="88"/>
      <c r="BFC125" s="88"/>
      <c r="BFD125" s="88"/>
      <c r="BFE125" s="88"/>
      <c r="BFF125" s="88"/>
      <c r="BFG125" s="88"/>
      <c r="BFH125" s="88"/>
      <c r="BFI125" s="88"/>
      <c r="BFJ125" s="88"/>
      <c r="BFK125" s="88"/>
      <c r="BFL125" s="88"/>
      <c r="BFM125" s="88"/>
      <c r="BFN125" s="88"/>
      <c r="BFO125" s="88"/>
      <c r="BFP125" s="88"/>
      <c r="BFQ125" s="88"/>
      <c r="BFR125" s="88"/>
      <c r="BFS125" s="88"/>
      <c r="BFT125" s="88"/>
      <c r="BFU125" s="88"/>
      <c r="BFV125" s="88"/>
      <c r="BFW125" s="88"/>
      <c r="BFX125" s="88"/>
      <c r="BFY125" s="88"/>
      <c r="BFZ125" s="88"/>
      <c r="BGA125" s="88"/>
      <c r="BGB125" s="88"/>
      <c r="BGC125" s="88"/>
      <c r="BGD125" s="88"/>
      <c r="BGE125" s="88"/>
      <c r="BGF125" s="88"/>
      <c r="BGG125" s="88"/>
      <c r="BGH125" s="88"/>
      <c r="BGI125" s="88"/>
      <c r="BGJ125" s="88"/>
      <c r="BGK125" s="88"/>
      <c r="BGL125" s="88"/>
      <c r="BGM125" s="88"/>
      <c r="BGN125" s="88"/>
      <c r="BGO125" s="88"/>
      <c r="BGP125" s="88"/>
      <c r="BGQ125" s="88"/>
      <c r="BGR125" s="88"/>
      <c r="BGS125" s="88"/>
      <c r="BGT125" s="88"/>
      <c r="BGU125" s="88"/>
      <c r="BGV125" s="88"/>
      <c r="BGW125" s="88"/>
      <c r="BGX125" s="88"/>
      <c r="BGY125" s="88"/>
      <c r="BGZ125" s="88"/>
      <c r="BHA125" s="88"/>
      <c r="BHB125" s="88"/>
      <c r="BHC125" s="88"/>
      <c r="BHD125" s="88"/>
      <c r="BHE125" s="88"/>
      <c r="BHF125" s="88"/>
      <c r="BHG125" s="88"/>
      <c r="BHH125" s="88"/>
      <c r="BHI125" s="88"/>
      <c r="BHJ125" s="88"/>
      <c r="BHK125" s="88"/>
      <c r="BHL125" s="88"/>
      <c r="BHM125" s="88"/>
      <c r="BHN125" s="88"/>
      <c r="BHO125" s="88"/>
      <c r="BHP125" s="88"/>
      <c r="BHQ125" s="88"/>
      <c r="BHR125" s="88"/>
      <c r="BHS125" s="88"/>
      <c r="BHT125" s="88"/>
      <c r="BHU125" s="88"/>
      <c r="BHV125" s="88"/>
      <c r="BHW125" s="88"/>
      <c r="BHX125" s="88"/>
      <c r="BHY125" s="88"/>
      <c r="BHZ125" s="88"/>
      <c r="BIA125" s="88"/>
      <c r="BIB125" s="88"/>
      <c r="BIC125" s="88"/>
      <c r="BID125" s="88"/>
      <c r="BIE125" s="88"/>
      <c r="BIF125" s="88"/>
      <c r="BIG125" s="88"/>
      <c r="BIH125" s="88"/>
      <c r="BII125" s="88"/>
      <c r="BIJ125" s="88"/>
      <c r="BIK125" s="88"/>
      <c r="BIL125" s="88"/>
      <c r="BIM125" s="88"/>
      <c r="BIN125" s="88"/>
      <c r="BIO125" s="88"/>
      <c r="BIP125" s="88"/>
      <c r="BIQ125" s="88"/>
      <c r="BIR125" s="88"/>
      <c r="BIS125" s="88"/>
      <c r="BIT125" s="88"/>
      <c r="BIU125" s="88"/>
      <c r="BIV125" s="88"/>
      <c r="BIW125" s="88"/>
      <c r="BIX125" s="88"/>
      <c r="BIY125" s="88"/>
      <c r="BIZ125" s="88"/>
      <c r="BJA125" s="88"/>
      <c r="BJB125" s="88"/>
      <c r="BJC125" s="88"/>
      <c r="BJD125" s="88"/>
      <c r="BJE125" s="88"/>
      <c r="BJF125" s="88"/>
      <c r="BJG125" s="88"/>
      <c r="BJH125" s="88"/>
      <c r="BJI125" s="88"/>
      <c r="BJJ125" s="88"/>
      <c r="BJK125" s="88"/>
      <c r="BJL125" s="88"/>
      <c r="BJM125" s="88"/>
      <c r="BJN125" s="88"/>
      <c r="BJO125" s="88"/>
      <c r="BJP125" s="88"/>
      <c r="BJQ125" s="88"/>
      <c r="BJR125" s="88"/>
      <c r="BJS125" s="88"/>
      <c r="BJT125" s="88"/>
      <c r="BJU125" s="88"/>
      <c r="BJV125" s="88"/>
      <c r="BJW125" s="88"/>
      <c r="BJX125" s="88"/>
      <c r="BJY125" s="88"/>
      <c r="BJZ125" s="88"/>
      <c r="BKA125" s="88"/>
      <c r="BKB125" s="88"/>
      <c r="BKC125" s="88"/>
      <c r="BKD125" s="88"/>
      <c r="BKE125" s="88"/>
      <c r="BKF125" s="88"/>
      <c r="BKG125" s="88"/>
      <c r="BKH125" s="88"/>
      <c r="BKI125" s="88"/>
      <c r="BKJ125" s="88"/>
      <c r="BKK125" s="88"/>
      <c r="BKL125" s="88"/>
      <c r="BKM125" s="88"/>
      <c r="BKN125" s="88"/>
      <c r="BKO125" s="88"/>
      <c r="BKP125" s="88"/>
      <c r="BKQ125" s="88"/>
      <c r="BKR125" s="88"/>
      <c r="BKS125" s="88"/>
      <c r="BKT125" s="88"/>
      <c r="BKU125" s="88"/>
      <c r="BKV125" s="88"/>
      <c r="BKW125" s="88"/>
      <c r="BKX125" s="88"/>
      <c r="BKY125" s="88"/>
      <c r="BKZ125" s="88"/>
      <c r="BLA125" s="88"/>
      <c r="BLB125" s="88"/>
      <c r="BLC125" s="88"/>
      <c r="BLD125" s="88"/>
      <c r="BLE125" s="88"/>
      <c r="BLF125" s="88"/>
      <c r="BLG125" s="88"/>
      <c r="BLH125" s="88"/>
      <c r="BLI125" s="88"/>
      <c r="BLJ125" s="88"/>
      <c r="BLK125" s="88"/>
      <c r="BLL125" s="88"/>
      <c r="BLM125" s="88"/>
      <c r="BLN125" s="88"/>
      <c r="BLO125" s="88"/>
      <c r="BLP125" s="88"/>
      <c r="BLQ125" s="88"/>
      <c r="BLR125" s="88"/>
      <c r="BLS125" s="88"/>
      <c r="BLT125" s="88"/>
      <c r="BLU125" s="88"/>
      <c r="BLV125" s="88"/>
      <c r="BLW125" s="88"/>
      <c r="BLX125" s="88"/>
      <c r="BLY125" s="88"/>
      <c r="BLZ125" s="88"/>
      <c r="BMA125" s="88"/>
      <c r="BMB125" s="88"/>
      <c r="BMC125" s="88"/>
      <c r="BMD125" s="88"/>
      <c r="BME125" s="88"/>
      <c r="BMF125" s="88"/>
      <c r="BMG125" s="88"/>
      <c r="BMH125" s="88"/>
      <c r="BMI125" s="88"/>
      <c r="BMJ125" s="88"/>
      <c r="BMK125" s="88"/>
      <c r="BML125" s="88"/>
      <c r="BMM125" s="88"/>
      <c r="BMN125" s="88"/>
      <c r="BMO125" s="88"/>
      <c r="BMP125" s="88"/>
      <c r="BMQ125" s="88"/>
      <c r="BMR125" s="88"/>
      <c r="BMS125" s="88"/>
      <c r="BMT125" s="88"/>
      <c r="BMU125" s="88"/>
      <c r="BMV125" s="88"/>
      <c r="BMW125" s="88"/>
      <c r="BMX125" s="88"/>
      <c r="BMY125" s="88"/>
      <c r="BMZ125" s="88"/>
      <c r="BNA125" s="88"/>
      <c r="BNB125" s="88"/>
      <c r="BNC125" s="88"/>
      <c r="BND125" s="88"/>
      <c r="BNE125" s="88"/>
      <c r="BNF125" s="88"/>
      <c r="BNG125" s="88"/>
      <c r="BNH125" s="88"/>
      <c r="BNI125" s="88"/>
      <c r="BNJ125" s="88"/>
      <c r="BNK125" s="88"/>
      <c r="BNL125" s="88"/>
      <c r="BNM125" s="88"/>
      <c r="BNN125" s="88"/>
      <c r="BNO125" s="88"/>
      <c r="BNP125" s="88"/>
      <c r="BNQ125" s="88"/>
      <c r="BNR125" s="88"/>
      <c r="BNS125" s="88"/>
      <c r="BNT125" s="88"/>
      <c r="BNU125" s="88"/>
      <c r="BNV125" s="88"/>
      <c r="BNW125" s="88"/>
      <c r="BNX125" s="88"/>
      <c r="BNY125" s="88"/>
      <c r="BNZ125" s="88"/>
      <c r="BOA125" s="88"/>
      <c r="BOB125" s="88"/>
      <c r="BOC125" s="88"/>
      <c r="BOD125" s="88"/>
      <c r="BOE125" s="88"/>
      <c r="BOF125" s="88"/>
      <c r="BOG125" s="88"/>
      <c r="BOH125" s="88"/>
      <c r="BOI125" s="88"/>
      <c r="BOJ125" s="88"/>
      <c r="BOK125" s="88"/>
      <c r="BOL125" s="88"/>
      <c r="BOM125" s="88"/>
      <c r="BON125" s="88"/>
      <c r="BOO125" s="88"/>
      <c r="BOP125" s="88"/>
      <c r="BOQ125" s="88"/>
      <c r="BOR125" s="88"/>
      <c r="BOS125" s="88"/>
      <c r="BOT125" s="88"/>
      <c r="BOU125" s="88"/>
      <c r="BOV125" s="88"/>
      <c r="BOW125" s="88"/>
      <c r="BOX125" s="88"/>
      <c r="BOY125" s="88"/>
      <c r="BOZ125" s="88"/>
      <c r="BPA125" s="88"/>
      <c r="BPB125" s="88"/>
      <c r="BPC125" s="88"/>
      <c r="BPD125" s="88"/>
      <c r="BPE125" s="88"/>
      <c r="BPF125" s="88"/>
      <c r="BPG125" s="88"/>
      <c r="BPH125" s="88"/>
      <c r="BPI125" s="88"/>
      <c r="BPJ125" s="88"/>
      <c r="BPK125" s="88"/>
      <c r="BPL125" s="88"/>
      <c r="BPM125" s="88"/>
      <c r="BPN125" s="88"/>
      <c r="BPO125" s="88"/>
      <c r="BPP125" s="88"/>
      <c r="BPQ125" s="88"/>
      <c r="BPR125" s="88"/>
      <c r="BPS125" s="88"/>
      <c r="BPT125" s="88"/>
      <c r="BPU125" s="88"/>
      <c r="BPV125" s="88"/>
      <c r="BPW125" s="88"/>
      <c r="BPX125" s="88"/>
      <c r="BPY125" s="88"/>
      <c r="BPZ125" s="88"/>
      <c r="BQA125" s="88"/>
      <c r="BQB125" s="88"/>
      <c r="BQC125" s="88"/>
      <c r="BQD125" s="88"/>
      <c r="BQE125" s="88"/>
      <c r="BQF125" s="88"/>
      <c r="BQG125" s="88"/>
      <c r="BQH125" s="88"/>
      <c r="BQI125" s="88"/>
      <c r="BQJ125" s="88"/>
      <c r="BQK125" s="88"/>
      <c r="BQL125" s="88"/>
      <c r="BQM125" s="88"/>
      <c r="BQN125" s="88"/>
      <c r="BQO125" s="88"/>
      <c r="BQP125" s="88"/>
      <c r="BQQ125" s="88"/>
      <c r="BQR125" s="88"/>
      <c r="BQS125" s="88"/>
      <c r="BQT125" s="88"/>
      <c r="BQU125" s="88"/>
      <c r="BQV125" s="88"/>
      <c r="BQW125" s="88"/>
      <c r="BQX125" s="88"/>
      <c r="BQY125" s="88"/>
      <c r="BQZ125" s="88"/>
      <c r="BRA125" s="88"/>
      <c r="BRB125" s="88"/>
      <c r="BRC125" s="88"/>
      <c r="BRD125" s="88"/>
      <c r="BRE125" s="88"/>
      <c r="BRF125" s="88"/>
      <c r="BRG125" s="88"/>
      <c r="BRH125" s="88"/>
      <c r="BRI125" s="88"/>
      <c r="BRJ125" s="88"/>
      <c r="BRK125" s="88"/>
      <c r="BRL125" s="88"/>
      <c r="BRM125" s="88"/>
      <c r="BRN125" s="88"/>
      <c r="BRO125" s="88"/>
      <c r="BRP125" s="88"/>
      <c r="BRQ125" s="88"/>
      <c r="BRR125" s="88"/>
      <c r="BRS125" s="88"/>
      <c r="BRT125" s="88"/>
      <c r="BRU125" s="88"/>
      <c r="BRV125" s="88"/>
      <c r="BRW125" s="88"/>
      <c r="BRX125" s="88"/>
      <c r="BRY125" s="88"/>
      <c r="BRZ125" s="88"/>
      <c r="BSA125" s="88"/>
      <c r="BSB125" s="88"/>
      <c r="BSC125" s="88"/>
      <c r="BSD125" s="88"/>
      <c r="BSE125" s="88"/>
      <c r="BSF125" s="88"/>
      <c r="BSG125" s="88"/>
      <c r="BSH125" s="88"/>
      <c r="BSI125" s="88"/>
      <c r="BSJ125" s="88"/>
      <c r="BSK125" s="88"/>
      <c r="BSL125" s="88"/>
      <c r="BSM125" s="88"/>
      <c r="BSN125" s="88"/>
      <c r="BSO125" s="88"/>
      <c r="BSP125" s="88"/>
      <c r="BSQ125" s="88"/>
      <c r="BSR125" s="88"/>
      <c r="BSS125" s="88"/>
      <c r="BST125" s="88"/>
      <c r="BSU125" s="88"/>
      <c r="BSV125" s="88"/>
      <c r="BSW125" s="88"/>
      <c r="BSX125" s="88"/>
      <c r="BSY125" s="88"/>
      <c r="BSZ125" s="88"/>
      <c r="BTA125" s="88"/>
      <c r="BTB125" s="88"/>
      <c r="BTC125" s="88"/>
      <c r="BTD125" s="88"/>
      <c r="BTE125" s="88"/>
      <c r="BTF125" s="88"/>
      <c r="BTG125" s="88"/>
      <c r="BTH125" s="88"/>
      <c r="BTI125" s="88"/>
      <c r="BTJ125" s="88"/>
      <c r="BTK125" s="88"/>
      <c r="BTL125" s="88"/>
      <c r="BTM125" s="88"/>
      <c r="BTN125" s="88"/>
      <c r="BTO125" s="88"/>
      <c r="BTP125" s="88"/>
      <c r="BTQ125" s="88"/>
      <c r="BTR125" s="88"/>
      <c r="BTS125" s="88"/>
      <c r="BTT125" s="88"/>
      <c r="BTU125" s="88"/>
      <c r="BTV125" s="88"/>
      <c r="BTW125" s="88"/>
      <c r="BTX125" s="88"/>
      <c r="BTY125" s="88"/>
      <c r="BTZ125" s="88"/>
      <c r="BUA125" s="88"/>
      <c r="BUB125" s="88"/>
      <c r="BUC125" s="88"/>
      <c r="BUD125" s="88"/>
      <c r="BUE125" s="88"/>
      <c r="BUF125" s="88"/>
      <c r="BUG125" s="88"/>
      <c r="BUH125" s="88"/>
      <c r="BUI125" s="88"/>
      <c r="BUJ125" s="88"/>
      <c r="BUK125" s="88"/>
      <c r="BUL125" s="88"/>
      <c r="BUM125" s="88"/>
      <c r="BUN125" s="88"/>
      <c r="BUO125" s="88"/>
      <c r="BUP125" s="88"/>
      <c r="BUQ125" s="88"/>
      <c r="BUR125" s="88"/>
      <c r="BUS125" s="88"/>
      <c r="BUT125" s="88"/>
      <c r="BUU125" s="88"/>
      <c r="BUV125" s="88"/>
      <c r="BUW125" s="88"/>
      <c r="BUX125" s="88"/>
      <c r="BUY125" s="88"/>
      <c r="BUZ125" s="88"/>
      <c r="BVA125" s="88"/>
      <c r="BVB125" s="88"/>
      <c r="BVC125" s="88"/>
      <c r="BVD125" s="88"/>
      <c r="BVE125" s="88"/>
      <c r="BVF125" s="88"/>
      <c r="BVG125" s="88"/>
      <c r="BVH125" s="88"/>
      <c r="BVI125" s="88"/>
      <c r="BVJ125" s="88"/>
      <c r="BVK125" s="88"/>
      <c r="BVL125" s="88"/>
      <c r="BVM125" s="88"/>
      <c r="BVN125" s="88"/>
      <c r="BVO125" s="88"/>
      <c r="BVP125" s="88"/>
      <c r="BVQ125" s="88"/>
      <c r="BVR125" s="88"/>
      <c r="BVS125" s="88"/>
      <c r="BVT125" s="88"/>
      <c r="BVU125" s="88"/>
      <c r="BVV125" s="88"/>
      <c r="BVW125" s="88"/>
      <c r="BVX125" s="88"/>
      <c r="BVY125" s="88"/>
      <c r="BVZ125" s="88"/>
      <c r="BWA125" s="88"/>
      <c r="BWB125" s="88"/>
      <c r="BWC125" s="88"/>
      <c r="BWD125" s="88"/>
      <c r="BWE125" s="88"/>
      <c r="BWF125" s="88"/>
      <c r="BWG125" s="88"/>
      <c r="BWH125" s="88"/>
      <c r="BWI125" s="88"/>
      <c r="BWJ125" s="88"/>
      <c r="BWK125" s="88"/>
      <c r="BWL125" s="88"/>
      <c r="BWM125" s="88"/>
      <c r="BWN125" s="88"/>
      <c r="BWO125" s="88"/>
      <c r="BWP125" s="88"/>
      <c r="BWQ125" s="88"/>
      <c r="BWR125" s="88"/>
      <c r="BWS125" s="88"/>
      <c r="BWT125" s="88"/>
      <c r="BWU125" s="88"/>
      <c r="BWV125" s="88"/>
      <c r="BWW125" s="88"/>
      <c r="BWX125" s="88"/>
      <c r="BWY125" s="88"/>
      <c r="BWZ125" s="88"/>
      <c r="BXA125" s="88"/>
      <c r="BXB125" s="88"/>
      <c r="BXC125" s="88"/>
      <c r="BXD125" s="88"/>
      <c r="BXE125" s="88"/>
      <c r="BXF125" s="88"/>
      <c r="BXG125" s="88"/>
      <c r="BXH125" s="88"/>
      <c r="BXI125" s="88"/>
      <c r="BXJ125" s="88"/>
      <c r="BXK125" s="88"/>
      <c r="BXL125" s="88"/>
      <c r="BXM125" s="88"/>
      <c r="BXN125" s="88"/>
      <c r="BXO125" s="88"/>
      <c r="BXP125" s="88"/>
      <c r="BXQ125" s="88"/>
      <c r="BXR125" s="88"/>
      <c r="BXS125" s="88"/>
      <c r="BXT125" s="88"/>
      <c r="BXU125" s="88"/>
      <c r="BXV125" s="88"/>
      <c r="BXW125" s="88"/>
      <c r="BXX125" s="88"/>
      <c r="BXY125" s="88"/>
      <c r="BXZ125" s="88"/>
      <c r="BYA125" s="88"/>
      <c r="BYB125" s="88"/>
      <c r="BYC125" s="88"/>
      <c r="BYD125" s="88"/>
      <c r="BYE125" s="88"/>
      <c r="BYF125" s="88"/>
      <c r="BYG125" s="88"/>
      <c r="BYH125" s="88"/>
      <c r="BYI125" s="88"/>
      <c r="BYJ125" s="88"/>
      <c r="BYK125" s="88"/>
      <c r="BYL125" s="88"/>
      <c r="BYM125" s="88"/>
      <c r="BYN125" s="88"/>
      <c r="BYO125" s="88"/>
      <c r="BYP125" s="88"/>
      <c r="BYQ125" s="88"/>
      <c r="BYR125" s="88"/>
      <c r="BYS125" s="88"/>
      <c r="BYT125" s="88"/>
      <c r="BYU125" s="88"/>
      <c r="BYV125" s="88"/>
      <c r="BYW125" s="88"/>
      <c r="BYX125" s="88"/>
      <c r="BYY125" s="88"/>
      <c r="BYZ125" s="88"/>
      <c r="BZA125" s="88"/>
      <c r="BZB125" s="88"/>
      <c r="BZC125" s="88"/>
      <c r="BZD125" s="88"/>
      <c r="BZE125" s="88"/>
      <c r="BZF125" s="88"/>
      <c r="BZG125" s="88"/>
      <c r="BZH125" s="88"/>
      <c r="BZI125" s="88"/>
      <c r="BZJ125" s="88"/>
      <c r="BZK125" s="88"/>
      <c r="BZL125" s="88"/>
      <c r="BZM125" s="88"/>
      <c r="BZN125" s="88"/>
      <c r="BZO125" s="88"/>
      <c r="BZP125" s="88"/>
      <c r="BZQ125" s="88"/>
      <c r="BZR125" s="88"/>
      <c r="BZS125" s="88"/>
      <c r="BZT125" s="88"/>
      <c r="BZU125" s="88"/>
      <c r="BZV125" s="88"/>
      <c r="BZW125" s="88"/>
      <c r="BZX125" s="88"/>
      <c r="BZY125" s="88"/>
      <c r="BZZ125" s="88"/>
      <c r="CAA125" s="88"/>
      <c r="CAB125" s="88"/>
      <c r="CAC125" s="88"/>
      <c r="CAD125" s="88"/>
      <c r="CAE125" s="88"/>
      <c r="CAF125" s="88"/>
      <c r="CAG125" s="88"/>
      <c r="CAH125" s="88"/>
      <c r="CAI125" s="88"/>
      <c r="CAJ125" s="88"/>
      <c r="CAK125" s="88"/>
      <c r="CAL125" s="88"/>
      <c r="CAM125" s="88"/>
      <c r="CAN125" s="88"/>
      <c r="CAO125" s="88"/>
      <c r="CAP125" s="88"/>
      <c r="CAQ125" s="88"/>
      <c r="CAR125" s="88"/>
      <c r="CAS125" s="88"/>
      <c r="CAT125" s="88"/>
      <c r="CAU125" s="88"/>
      <c r="CAV125" s="88"/>
      <c r="CAW125" s="88"/>
      <c r="CAX125" s="88"/>
      <c r="CAY125" s="88"/>
      <c r="CAZ125" s="88"/>
      <c r="CBA125" s="88"/>
      <c r="CBB125" s="88"/>
      <c r="CBC125" s="88"/>
      <c r="CBD125" s="88"/>
      <c r="CBE125" s="88"/>
      <c r="CBF125" s="88"/>
      <c r="CBG125" s="88"/>
      <c r="CBH125" s="88"/>
      <c r="CBI125" s="88"/>
      <c r="CBJ125" s="88"/>
      <c r="CBK125" s="88"/>
      <c r="CBL125" s="88"/>
      <c r="CBM125" s="88"/>
      <c r="CBN125" s="88"/>
      <c r="CBO125" s="88"/>
      <c r="CBP125" s="88"/>
      <c r="CBQ125" s="88"/>
      <c r="CBR125" s="88"/>
      <c r="CBS125" s="88"/>
      <c r="CBT125" s="88"/>
      <c r="CBU125" s="88"/>
      <c r="CBV125" s="88"/>
      <c r="CBW125" s="88"/>
      <c r="CBX125" s="88"/>
      <c r="CBY125" s="88"/>
      <c r="CBZ125" s="88"/>
      <c r="CCA125" s="88"/>
      <c r="CCB125" s="88"/>
      <c r="CCC125" s="88"/>
      <c r="CCD125" s="88"/>
      <c r="CCE125" s="88"/>
      <c r="CCF125" s="88"/>
      <c r="CCG125" s="88"/>
      <c r="CCH125" s="88"/>
      <c r="CCI125" s="88"/>
      <c r="CCJ125" s="88"/>
      <c r="CCK125" s="88"/>
      <c r="CCL125" s="88"/>
      <c r="CCM125" s="88"/>
      <c r="CCN125" s="88"/>
      <c r="CCO125" s="88"/>
      <c r="CCP125" s="88"/>
      <c r="CCQ125" s="88"/>
      <c r="CCR125" s="88"/>
      <c r="CCS125" s="88"/>
      <c r="CCT125" s="88"/>
      <c r="CCU125" s="88"/>
      <c r="CCV125" s="88"/>
      <c r="CCW125" s="88"/>
      <c r="CCX125" s="88"/>
      <c r="CCY125" s="88"/>
      <c r="CCZ125" s="88"/>
      <c r="CDA125" s="88"/>
      <c r="CDB125" s="88"/>
      <c r="CDC125" s="88"/>
      <c r="CDD125" s="88"/>
      <c r="CDE125" s="88"/>
      <c r="CDF125" s="88"/>
      <c r="CDG125" s="88"/>
      <c r="CDH125" s="88"/>
      <c r="CDI125" s="88"/>
      <c r="CDJ125" s="88"/>
      <c r="CDK125" s="88"/>
      <c r="CDL125" s="88"/>
      <c r="CDM125" s="88"/>
      <c r="CDN125" s="88"/>
      <c r="CDO125" s="88"/>
      <c r="CDP125" s="88"/>
      <c r="CDQ125" s="88"/>
      <c r="CDR125" s="88"/>
      <c r="CDS125" s="88"/>
      <c r="CDT125" s="88"/>
      <c r="CDU125" s="88"/>
      <c r="CDV125" s="88"/>
      <c r="CDW125" s="88"/>
      <c r="CDX125" s="88"/>
      <c r="CDY125" s="88"/>
      <c r="CDZ125" s="88"/>
      <c r="CEA125" s="88"/>
      <c r="CEB125" s="88"/>
      <c r="CEC125" s="88"/>
      <c r="CED125" s="88"/>
      <c r="CEE125" s="88"/>
      <c r="CEF125" s="88"/>
      <c r="CEG125" s="88"/>
      <c r="CEH125" s="88"/>
      <c r="CEI125" s="88"/>
      <c r="CEJ125" s="88"/>
      <c r="CEK125" s="88"/>
    </row>
    <row r="126" spans="1:2169" s="63" customFormat="1" ht="13.95" customHeight="1">
      <c r="A126" s="677" t="s">
        <v>15631</v>
      </c>
      <c r="B126" s="708" t="s">
        <v>15632</v>
      </c>
      <c r="C126" s="68" t="str">
        <f>IF('page 2'!$O$4="","",IF('page 2'!$O$4=Gestion!A126,1,0))</f>
        <v/>
      </c>
      <c r="D126" s="68" t="str">
        <f>IF('page 2'!$O$5="","",IF('page 2'!$O$5=Gestion!A126,1,0))</f>
        <v/>
      </c>
      <c r="E126" s="68" t="str">
        <f>IF('page 2'!$O$6="","",IF('page 2'!$O$6=Gestion!A126,1,0))</f>
        <v/>
      </c>
      <c r="F126" s="68" t="str">
        <f>IF('page 2'!$O$7="","",IF('page 2'!$O$7=Gestion!A126,1,0))</f>
        <v/>
      </c>
      <c r="G126" s="68" t="str">
        <f>IF('page 2'!$O$8="","",IF('page 2'!$O$8=Gestion!A126,1,0))</f>
        <v/>
      </c>
      <c r="H126" s="68" t="str">
        <f>IF('page 2'!$O$9="","",IF('page 2'!$O$9=Gestion!A126,1,0))</f>
        <v/>
      </c>
      <c r="I126" s="68" t="str">
        <f>IF('page 2'!$O$10="","",IF('page 2'!$O$10=Gestion!A126,1,0))</f>
        <v/>
      </c>
      <c r="J126" s="68" t="str">
        <f>IF('page 2'!$O$11="","",IF('page 2'!$O$11=Gestion!A126,1,0))</f>
        <v/>
      </c>
      <c r="K126" s="68" t="str">
        <f>IF('page 2'!$O$12="","",IF('page 2'!$O$12=Gestion!A126,1,0))</f>
        <v/>
      </c>
      <c r="L126" s="68" t="str">
        <f>IF('page 2'!$O$13="","",IF('page 2'!$O$13=Gestion!A126,1,0))</f>
        <v/>
      </c>
      <c r="M126" s="68" t="str">
        <f>IF('page 2'!$O$14="","",IF('page 2'!$O$14=Gestion!A126,1,0))</f>
        <v/>
      </c>
      <c r="N126" s="68" t="str">
        <f>IF('page 2'!$O$15="","",IF('page 2'!$O$15=Gestion!A126,1,0))</f>
        <v/>
      </c>
      <c r="O126" s="68" t="str">
        <f>IF('page 2'!$O$16="","",IF('page 2'!$O$16=Gestion!A126,1,0))</f>
        <v/>
      </c>
      <c r="P126" s="68" t="str">
        <f>IF('page 2'!$O$17="","",IF('page 2'!$O$17=Gestion!A126,1,0))</f>
        <v/>
      </c>
      <c r="Q126" s="68" t="str">
        <f>IF('page 2'!$O$18="","",IF('page 2'!$O$18=Gestion!A126,1,0))</f>
        <v/>
      </c>
      <c r="R126" s="68" t="str">
        <f>IF('page 2'!$O$19="","",IF('page 2'!$O$19=Gestion!A126,1,0))</f>
        <v/>
      </c>
      <c r="S126" s="68" t="str">
        <f>IF('page 2'!$O$20="","",IF('page 2'!$O$20=Gestion!A126,1,0))</f>
        <v/>
      </c>
      <c r="T126" s="68" t="str">
        <f>IF('page 2'!$O$25="","",IF('page 2'!$O$25=Gestion!A126,1,0))</f>
        <v/>
      </c>
      <c r="U126" s="68" t="str">
        <f>IF('page 2'!$O$26="","",IF('page 2'!$O$26=Gestion!A126,1,0))</f>
        <v/>
      </c>
      <c r="V126" s="68" t="str">
        <f>IF('page 2'!$O$27="","",IF('page 2'!$O$27=Gestion!A126,1,0))</f>
        <v/>
      </c>
      <c r="W126" s="722">
        <f t="shared" ref="W126" si="20">SUM(C126:V126)</f>
        <v>0</v>
      </c>
      <c r="X126" s="714"/>
      <c r="Y126" s="68"/>
      <c r="Z126" s="68"/>
      <c r="AA126" s="68"/>
      <c r="AB126" s="68"/>
      <c r="AC126" s="68"/>
      <c r="AD126" s="68"/>
      <c r="AP126" s="469"/>
      <c r="AQ126" s="469"/>
      <c r="AR126" s="469"/>
      <c r="AS126" s="576"/>
      <c r="AT126" s="576"/>
      <c r="AU126" s="576"/>
      <c r="AV126" s="576"/>
      <c r="AW126" s="602"/>
      <c r="AX126" s="602"/>
      <c r="AY126" s="576"/>
      <c r="AZ126" s="576"/>
      <c r="BA126" s="576"/>
      <c r="BB126" s="576"/>
      <c r="BC126" s="576"/>
      <c r="BD126" s="602"/>
      <c r="BE126" s="602"/>
      <c r="BF126" s="602"/>
      <c r="BG126" s="602"/>
      <c r="BH126" s="602"/>
      <c r="BI126" s="602"/>
      <c r="BJ126" s="602"/>
      <c r="BK126" s="602"/>
      <c r="BL126" s="602"/>
      <c r="BM126" s="602"/>
      <c r="BN126" s="602"/>
      <c r="BO126" s="602"/>
      <c r="BP126" s="602"/>
      <c r="BQ126" s="602"/>
      <c r="BR126" s="602"/>
      <c r="BS126" s="576"/>
      <c r="BT126" s="576"/>
      <c r="BU126" s="576"/>
      <c r="BV126" s="576"/>
      <c r="BW126" s="602"/>
      <c r="BX126" s="602"/>
      <c r="BY126" s="602"/>
      <c r="BZ126" s="576"/>
      <c r="CA126" s="602"/>
      <c r="CB126" s="602"/>
      <c r="CC126" s="576"/>
      <c r="CD126" s="576"/>
      <c r="CE126" s="602"/>
      <c r="CF126" s="576"/>
      <c r="CG126" s="576"/>
      <c r="CH126" s="576"/>
      <c r="CI126" s="576"/>
      <c r="CJ126" s="576"/>
      <c r="CK126" s="602"/>
      <c r="CL126" s="602"/>
      <c r="CM126" s="576"/>
      <c r="CN126" s="602"/>
      <c r="CO126" s="602"/>
      <c r="CP126" s="602"/>
      <c r="CQ126" s="576"/>
      <c r="CR126" s="576"/>
      <c r="CS126" s="602"/>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c r="IW126" s="88"/>
      <c r="IX126" s="88"/>
      <c r="IY126" s="88"/>
      <c r="IZ126" s="88"/>
      <c r="JA126" s="88"/>
      <c r="JB126" s="88"/>
      <c r="JC126" s="88"/>
      <c r="JD126" s="88"/>
      <c r="JE126" s="88"/>
      <c r="JF126" s="88"/>
      <c r="JG126" s="88"/>
      <c r="JH126" s="88"/>
      <c r="JI126" s="88"/>
      <c r="JJ126" s="88"/>
      <c r="JK126" s="88"/>
      <c r="JL126" s="88"/>
      <c r="JM126" s="88"/>
      <c r="JN126" s="88"/>
      <c r="JO126" s="88"/>
      <c r="JP126" s="88"/>
      <c r="JQ126" s="88"/>
      <c r="JR126" s="88"/>
      <c r="JS126" s="88"/>
      <c r="JT126" s="88"/>
      <c r="JU126" s="88"/>
      <c r="JV126" s="88"/>
      <c r="JW126" s="88"/>
      <c r="JX126" s="88"/>
      <c r="JY126" s="88"/>
      <c r="JZ126" s="88"/>
      <c r="KA126" s="88"/>
      <c r="KB126" s="88"/>
      <c r="KC126" s="88"/>
      <c r="KD126" s="88"/>
      <c r="KE126" s="88"/>
      <c r="KF126" s="88"/>
      <c r="KG126" s="88"/>
      <c r="KH126" s="88"/>
      <c r="KI126" s="88"/>
      <c r="KJ126" s="88"/>
      <c r="KK126" s="88"/>
      <c r="KL126" s="88"/>
      <c r="KM126" s="88"/>
      <c r="KN126" s="88"/>
      <c r="KO126" s="88"/>
      <c r="KP126" s="88"/>
      <c r="KQ126" s="88"/>
      <c r="KR126" s="88"/>
      <c r="KS126" s="88"/>
      <c r="KT126" s="88"/>
      <c r="KU126" s="88"/>
      <c r="KV126" s="88"/>
      <c r="KW126" s="88"/>
      <c r="KX126" s="88"/>
      <c r="KY126" s="88"/>
      <c r="KZ126" s="88"/>
      <c r="LA126" s="88"/>
      <c r="LB126" s="88"/>
      <c r="LC126" s="88"/>
      <c r="LD126" s="88"/>
      <c r="LE126" s="88"/>
      <c r="LF126" s="88"/>
      <c r="LG126" s="88"/>
      <c r="LH126" s="88"/>
      <c r="LI126" s="88"/>
      <c r="LJ126" s="88"/>
      <c r="LK126" s="88"/>
      <c r="LL126" s="88"/>
      <c r="LM126" s="88"/>
      <c r="LN126" s="88"/>
      <c r="LO126" s="88"/>
      <c r="LP126" s="88"/>
      <c r="LQ126" s="88"/>
      <c r="LR126" s="88"/>
      <c r="LS126" s="88"/>
      <c r="LT126" s="88"/>
      <c r="LU126" s="88"/>
      <c r="LV126" s="88"/>
      <c r="LW126" s="88"/>
      <c r="LX126" s="88"/>
      <c r="LY126" s="88"/>
      <c r="LZ126" s="88"/>
      <c r="MA126" s="88"/>
      <c r="MB126" s="88"/>
      <c r="MC126" s="88"/>
      <c r="MD126" s="88"/>
      <c r="ME126" s="88"/>
      <c r="MF126" s="88"/>
      <c r="MG126" s="88"/>
      <c r="MH126" s="88"/>
      <c r="MI126" s="88"/>
      <c r="MJ126" s="88"/>
      <c r="MK126" s="88"/>
      <c r="ML126" s="88"/>
      <c r="MM126" s="88"/>
      <c r="MN126" s="88"/>
      <c r="MO126" s="88"/>
      <c r="MP126" s="88"/>
      <c r="MQ126" s="88"/>
      <c r="MR126" s="88"/>
      <c r="MS126" s="88"/>
      <c r="MT126" s="88"/>
      <c r="MU126" s="88"/>
      <c r="MV126" s="88"/>
      <c r="MW126" s="88"/>
      <c r="MX126" s="88"/>
      <c r="MY126" s="88"/>
      <c r="MZ126" s="88"/>
      <c r="NA126" s="88"/>
      <c r="NB126" s="88"/>
      <c r="NC126" s="88"/>
      <c r="ND126" s="88"/>
      <c r="NE126" s="88"/>
      <c r="NF126" s="88"/>
      <c r="NG126" s="88"/>
      <c r="NH126" s="88"/>
      <c r="NI126" s="88"/>
      <c r="NJ126" s="88"/>
      <c r="NK126" s="88"/>
      <c r="NL126" s="88"/>
      <c r="NM126" s="88"/>
      <c r="NN126" s="88"/>
      <c r="NO126" s="88"/>
      <c r="NP126" s="88"/>
      <c r="NQ126" s="88"/>
      <c r="NR126" s="88"/>
      <c r="NS126" s="88"/>
      <c r="NT126" s="88"/>
      <c r="NU126" s="88"/>
      <c r="NV126" s="88"/>
      <c r="NW126" s="88"/>
      <c r="NX126" s="88"/>
      <c r="NY126" s="88"/>
      <c r="NZ126" s="88"/>
      <c r="OA126" s="88"/>
      <c r="OB126" s="88"/>
      <c r="OC126" s="88"/>
      <c r="OD126" s="88"/>
      <c r="OE126" s="88"/>
      <c r="OF126" s="88"/>
      <c r="OG126" s="88"/>
      <c r="OH126" s="88"/>
      <c r="OI126" s="88"/>
      <c r="OJ126" s="88"/>
      <c r="OK126" s="88"/>
      <c r="OL126" s="88"/>
      <c r="OM126" s="88"/>
      <c r="ON126" s="88"/>
      <c r="OO126" s="88"/>
      <c r="OP126" s="88"/>
      <c r="OQ126" s="88"/>
      <c r="OR126" s="88"/>
      <c r="OS126" s="88"/>
      <c r="OT126" s="88"/>
      <c r="OU126" s="88"/>
      <c r="OV126" s="88"/>
      <c r="OW126" s="88"/>
      <c r="OX126" s="88"/>
      <c r="OY126" s="88"/>
      <c r="OZ126" s="88"/>
      <c r="PA126" s="88"/>
      <c r="PB126" s="88"/>
      <c r="PC126" s="88"/>
      <c r="PD126" s="88"/>
      <c r="PE126" s="88"/>
      <c r="PF126" s="88"/>
      <c r="PG126" s="88"/>
      <c r="PH126" s="88"/>
      <c r="PI126" s="88"/>
      <c r="PJ126" s="88"/>
      <c r="PK126" s="88"/>
      <c r="PL126" s="88"/>
      <c r="PM126" s="88"/>
      <c r="PN126" s="88"/>
      <c r="PO126" s="88"/>
      <c r="PP126" s="88"/>
      <c r="PQ126" s="88"/>
      <c r="PR126" s="88"/>
      <c r="PS126" s="88"/>
      <c r="PT126" s="88"/>
      <c r="PU126" s="88"/>
      <c r="PV126" s="88"/>
      <c r="PW126" s="88"/>
      <c r="PX126" s="88"/>
      <c r="PY126" s="88"/>
      <c r="PZ126" s="88"/>
      <c r="QA126" s="88"/>
      <c r="QB126" s="88"/>
      <c r="QC126" s="88"/>
      <c r="QD126" s="88"/>
      <c r="QE126" s="88"/>
      <c r="QF126" s="88"/>
      <c r="QG126" s="88"/>
      <c r="QH126" s="88"/>
      <c r="QI126" s="88"/>
      <c r="QJ126" s="88"/>
      <c r="QK126" s="88"/>
      <c r="QL126" s="88"/>
      <c r="QM126" s="88"/>
      <c r="QN126" s="88"/>
      <c r="QO126" s="88"/>
      <c r="QP126" s="88"/>
      <c r="QQ126" s="88"/>
      <c r="QR126" s="88"/>
      <c r="QS126" s="88"/>
      <c r="QT126" s="88"/>
      <c r="QU126" s="88"/>
      <c r="QV126" s="88"/>
      <c r="QW126" s="88"/>
      <c r="QX126" s="88"/>
      <c r="QY126" s="88"/>
      <c r="QZ126" s="88"/>
      <c r="RA126" s="88"/>
      <c r="RB126" s="88"/>
      <c r="RC126" s="88"/>
      <c r="RD126" s="88"/>
      <c r="RE126" s="88"/>
      <c r="RF126" s="88"/>
      <c r="RG126" s="88"/>
      <c r="RH126" s="88"/>
      <c r="RI126" s="88"/>
      <c r="RJ126" s="88"/>
      <c r="RK126" s="88"/>
      <c r="RL126" s="88"/>
      <c r="RM126" s="88"/>
      <c r="RN126" s="88"/>
      <c r="RO126" s="88"/>
      <c r="RP126" s="88"/>
      <c r="RQ126" s="88"/>
      <c r="RR126" s="88"/>
      <c r="RS126" s="88"/>
      <c r="RT126" s="88"/>
      <c r="RU126" s="88"/>
      <c r="RV126" s="88"/>
      <c r="RW126" s="88"/>
      <c r="RX126" s="88"/>
      <c r="RY126" s="88"/>
      <c r="RZ126" s="88"/>
      <c r="SA126" s="88"/>
      <c r="SB126" s="88"/>
      <c r="SC126" s="88"/>
      <c r="SD126" s="88"/>
      <c r="SE126" s="88"/>
      <c r="SF126" s="88"/>
      <c r="SG126" s="88"/>
      <c r="SH126" s="88"/>
      <c r="SI126" s="88"/>
      <c r="SJ126" s="88"/>
      <c r="SK126" s="88"/>
      <c r="SL126" s="88"/>
      <c r="SM126" s="88"/>
      <c r="SN126" s="88"/>
      <c r="SO126" s="88"/>
      <c r="SP126" s="88"/>
      <c r="SQ126" s="88"/>
      <c r="SR126" s="88"/>
      <c r="SS126" s="88"/>
      <c r="ST126" s="88"/>
      <c r="SU126" s="88"/>
      <c r="SV126" s="88"/>
      <c r="SW126" s="88"/>
      <c r="SX126" s="88"/>
      <c r="SY126" s="88"/>
      <c r="SZ126" s="88"/>
      <c r="TA126" s="88"/>
      <c r="TB126" s="88"/>
      <c r="TC126" s="88"/>
      <c r="TD126" s="88"/>
      <c r="TE126" s="88"/>
      <c r="TF126" s="88"/>
      <c r="TG126" s="88"/>
      <c r="TH126" s="88"/>
      <c r="TI126" s="88"/>
      <c r="TJ126" s="88"/>
      <c r="TK126" s="88"/>
      <c r="TL126" s="88"/>
      <c r="TM126" s="88"/>
      <c r="TN126" s="88"/>
      <c r="TO126" s="88"/>
      <c r="TP126" s="88"/>
      <c r="TQ126" s="88"/>
      <c r="TR126" s="88"/>
      <c r="TS126" s="88"/>
      <c r="TT126" s="88"/>
      <c r="TU126" s="88"/>
      <c r="TV126" s="88"/>
      <c r="TW126" s="88"/>
      <c r="TX126" s="88"/>
      <c r="TY126" s="88"/>
      <c r="TZ126" s="88"/>
      <c r="UA126" s="88"/>
      <c r="UB126" s="88"/>
      <c r="UC126" s="88"/>
      <c r="UD126" s="88"/>
      <c r="UE126" s="88"/>
      <c r="UF126" s="88"/>
      <c r="UG126" s="88"/>
      <c r="UH126" s="88"/>
      <c r="UI126" s="88"/>
      <c r="UJ126" s="88"/>
      <c r="UK126" s="88"/>
      <c r="UL126" s="88"/>
      <c r="UM126" s="88"/>
      <c r="UN126" s="88"/>
      <c r="UO126" s="88"/>
      <c r="UP126" s="88"/>
      <c r="UQ126" s="88"/>
      <c r="UR126" s="88"/>
      <c r="US126" s="88"/>
      <c r="UT126" s="88"/>
      <c r="UU126" s="88"/>
      <c r="UV126" s="88"/>
      <c r="UW126" s="88"/>
      <c r="UX126" s="88"/>
      <c r="UY126" s="88"/>
      <c r="UZ126" s="88"/>
      <c r="VA126" s="88"/>
      <c r="VB126" s="88"/>
      <c r="VC126" s="88"/>
      <c r="VD126" s="88"/>
      <c r="VE126" s="88"/>
      <c r="VF126" s="88"/>
      <c r="VG126" s="88"/>
      <c r="VH126" s="88"/>
      <c r="VI126" s="88"/>
      <c r="VJ126" s="88"/>
      <c r="VK126" s="88"/>
      <c r="VL126" s="88"/>
      <c r="VM126" s="88"/>
      <c r="VN126" s="88"/>
      <c r="VO126" s="88"/>
      <c r="VP126" s="88"/>
      <c r="VQ126" s="88"/>
      <c r="VR126" s="88"/>
      <c r="VS126" s="88"/>
      <c r="VT126" s="88"/>
      <c r="VU126" s="88"/>
      <c r="VV126" s="88"/>
      <c r="VW126" s="88"/>
      <c r="VX126" s="88"/>
      <c r="VY126" s="88"/>
      <c r="VZ126" s="88"/>
      <c r="WA126" s="88"/>
      <c r="WB126" s="88"/>
      <c r="WC126" s="88"/>
      <c r="WD126" s="88"/>
      <c r="WE126" s="88"/>
      <c r="WF126" s="88"/>
      <c r="WG126" s="88"/>
      <c r="WH126" s="88"/>
      <c r="WI126" s="88"/>
      <c r="WJ126" s="88"/>
      <c r="WK126" s="88"/>
      <c r="WL126" s="88"/>
      <c r="WM126" s="88"/>
      <c r="WN126" s="88"/>
      <c r="WO126" s="88"/>
      <c r="WP126" s="88"/>
      <c r="WQ126" s="88"/>
      <c r="WR126" s="88"/>
      <c r="WS126" s="88"/>
      <c r="WT126" s="88"/>
      <c r="WU126" s="88"/>
      <c r="WV126" s="88"/>
      <c r="WW126" s="88"/>
      <c r="WX126" s="88"/>
      <c r="WY126" s="88"/>
      <c r="WZ126" s="88"/>
      <c r="XA126" s="88"/>
      <c r="XB126" s="88"/>
      <c r="XC126" s="88"/>
      <c r="XD126" s="88"/>
      <c r="XE126" s="88"/>
      <c r="XF126" s="88"/>
      <c r="XG126" s="88"/>
      <c r="XH126" s="88"/>
      <c r="XI126" s="88"/>
      <c r="XJ126" s="88"/>
      <c r="XK126" s="88"/>
      <c r="XL126" s="88"/>
      <c r="XM126" s="88"/>
      <c r="XN126" s="88"/>
      <c r="XO126" s="88"/>
      <c r="XP126" s="88"/>
      <c r="XQ126" s="88"/>
      <c r="XR126" s="88"/>
      <c r="XS126" s="88"/>
      <c r="XT126" s="88"/>
      <c r="XU126" s="88"/>
      <c r="XV126" s="88"/>
      <c r="XW126" s="88"/>
      <c r="XX126" s="88"/>
      <c r="XY126" s="88"/>
      <c r="XZ126" s="88"/>
      <c r="YA126" s="88"/>
      <c r="YB126" s="88"/>
      <c r="YC126" s="88"/>
      <c r="YD126" s="88"/>
      <c r="YE126" s="88"/>
      <c r="YF126" s="88"/>
      <c r="YG126" s="88"/>
      <c r="YH126" s="88"/>
      <c r="YI126" s="88"/>
      <c r="YJ126" s="88"/>
      <c r="YK126" s="88"/>
      <c r="YL126" s="88"/>
      <c r="YM126" s="88"/>
      <c r="YN126" s="88"/>
      <c r="YO126" s="88"/>
      <c r="YP126" s="88"/>
      <c r="YQ126" s="88"/>
      <c r="YR126" s="88"/>
      <c r="YS126" s="88"/>
      <c r="YT126" s="88"/>
      <c r="YU126" s="88"/>
      <c r="YV126" s="88"/>
      <c r="YW126" s="88"/>
      <c r="YX126" s="88"/>
      <c r="YY126" s="88"/>
      <c r="YZ126" s="88"/>
      <c r="ZA126" s="88"/>
      <c r="ZB126" s="88"/>
      <c r="ZC126" s="88"/>
      <c r="ZD126" s="88"/>
      <c r="ZE126" s="88"/>
      <c r="ZF126" s="88"/>
      <c r="ZG126" s="88"/>
      <c r="ZH126" s="88"/>
      <c r="ZI126" s="88"/>
      <c r="ZJ126" s="88"/>
      <c r="ZK126" s="88"/>
      <c r="ZL126" s="88"/>
      <c r="ZM126" s="88"/>
      <c r="ZN126" s="88"/>
      <c r="ZO126" s="88"/>
      <c r="ZP126" s="88"/>
      <c r="ZQ126" s="88"/>
      <c r="ZR126" s="88"/>
      <c r="ZS126" s="88"/>
      <c r="ZT126" s="88"/>
      <c r="ZU126" s="88"/>
      <c r="ZV126" s="88"/>
      <c r="ZW126" s="88"/>
      <c r="ZX126" s="88"/>
      <c r="ZY126" s="88"/>
      <c r="ZZ126" s="88"/>
      <c r="AAA126" s="88"/>
      <c r="AAB126" s="88"/>
      <c r="AAC126" s="88"/>
      <c r="AAD126" s="88"/>
      <c r="AAE126" s="88"/>
      <c r="AAF126" s="88"/>
      <c r="AAG126" s="88"/>
      <c r="AAH126" s="88"/>
      <c r="AAI126" s="88"/>
      <c r="AAJ126" s="88"/>
      <c r="AAK126" s="88"/>
      <c r="AAL126" s="88"/>
      <c r="AAM126" s="88"/>
      <c r="AAN126" s="88"/>
      <c r="AAO126" s="88"/>
      <c r="AAP126" s="88"/>
      <c r="AAQ126" s="88"/>
      <c r="AAR126" s="88"/>
      <c r="AAS126" s="88"/>
      <c r="AAT126" s="88"/>
      <c r="AAU126" s="88"/>
      <c r="AAV126" s="88"/>
      <c r="AAW126" s="88"/>
      <c r="AAX126" s="88"/>
      <c r="AAY126" s="88"/>
      <c r="AAZ126" s="88"/>
      <c r="ABA126" s="88"/>
      <c r="ABB126" s="88"/>
      <c r="ABC126" s="88"/>
      <c r="ABD126" s="88"/>
      <c r="ABE126" s="88"/>
      <c r="ABF126" s="88"/>
      <c r="ABG126" s="88"/>
      <c r="ABH126" s="88"/>
      <c r="ABI126" s="88"/>
      <c r="ABJ126" s="88"/>
      <c r="ABK126" s="88"/>
      <c r="ABL126" s="88"/>
      <c r="ABM126" s="88"/>
      <c r="ABN126" s="88"/>
      <c r="ABO126" s="88"/>
      <c r="ABP126" s="88"/>
      <c r="ABQ126" s="88"/>
      <c r="ABR126" s="88"/>
      <c r="ABS126" s="88"/>
      <c r="ABT126" s="88"/>
      <c r="ABU126" s="88"/>
      <c r="ABV126" s="88"/>
      <c r="ABW126" s="88"/>
      <c r="ABX126" s="88"/>
      <c r="ABY126" s="88"/>
      <c r="ABZ126" s="88"/>
      <c r="ACA126" s="88"/>
      <c r="ACB126" s="88"/>
      <c r="ACC126" s="88"/>
      <c r="ACD126" s="88"/>
      <c r="ACE126" s="88"/>
      <c r="ACF126" s="88"/>
      <c r="ACG126" s="88"/>
      <c r="ACH126" s="88"/>
      <c r="ACI126" s="88"/>
      <c r="ACJ126" s="88"/>
      <c r="ACK126" s="88"/>
      <c r="ACL126" s="88"/>
      <c r="ACM126" s="88"/>
      <c r="ACN126" s="88"/>
      <c r="ACO126" s="88"/>
      <c r="ACP126" s="88"/>
      <c r="ACQ126" s="88"/>
      <c r="ACR126" s="88"/>
      <c r="ACS126" s="88"/>
      <c r="ACT126" s="88"/>
      <c r="ACU126" s="88"/>
      <c r="ACV126" s="88"/>
      <c r="ACW126" s="88"/>
      <c r="ACX126" s="88"/>
      <c r="ACY126" s="88"/>
      <c r="ACZ126" s="88"/>
      <c r="ADA126" s="88"/>
      <c r="ADB126" s="88"/>
      <c r="ADC126" s="88"/>
      <c r="ADD126" s="88"/>
      <c r="ADE126" s="88"/>
      <c r="ADF126" s="88"/>
      <c r="ADG126" s="88"/>
      <c r="ADH126" s="88"/>
      <c r="ADI126" s="88"/>
      <c r="ADJ126" s="88"/>
      <c r="ADK126" s="88"/>
      <c r="ADL126" s="88"/>
      <c r="ADM126" s="88"/>
      <c r="ADN126" s="88"/>
      <c r="ADO126" s="88"/>
      <c r="ADP126" s="88"/>
      <c r="ADQ126" s="88"/>
      <c r="ADR126" s="88"/>
      <c r="ADS126" s="88"/>
      <c r="ADT126" s="88"/>
      <c r="ADU126" s="88"/>
      <c r="ADV126" s="88"/>
      <c r="ADW126" s="88"/>
      <c r="ADX126" s="88"/>
      <c r="ADY126" s="88"/>
      <c r="ADZ126" s="88"/>
      <c r="AEA126" s="88"/>
      <c r="AEB126" s="88"/>
      <c r="AEC126" s="88"/>
      <c r="AED126" s="88"/>
      <c r="AEE126" s="88"/>
      <c r="AEF126" s="88"/>
      <c r="AEG126" s="88"/>
      <c r="AEH126" s="88"/>
      <c r="AEI126" s="88"/>
      <c r="AEJ126" s="88"/>
      <c r="AEK126" s="88"/>
      <c r="AEL126" s="88"/>
      <c r="AEM126" s="88"/>
      <c r="AEN126" s="88"/>
      <c r="AEO126" s="88"/>
      <c r="AEP126" s="88"/>
      <c r="AEQ126" s="88"/>
      <c r="AER126" s="88"/>
      <c r="AES126" s="88"/>
      <c r="AET126" s="88"/>
      <c r="AEU126" s="88"/>
      <c r="AEV126" s="88"/>
      <c r="AEW126" s="88"/>
      <c r="AEX126" s="88"/>
      <c r="AEY126" s="88"/>
      <c r="AEZ126" s="88"/>
      <c r="AFA126" s="88"/>
      <c r="AFB126" s="88"/>
      <c r="AFC126" s="88"/>
      <c r="AFD126" s="88"/>
      <c r="AFE126" s="88"/>
      <c r="AFF126" s="88"/>
      <c r="AFG126" s="88"/>
      <c r="AFH126" s="88"/>
      <c r="AFI126" s="88"/>
      <c r="AFJ126" s="88"/>
      <c r="AFK126" s="88"/>
      <c r="AFL126" s="88"/>
      <c r="AFM126" s="88"/>
      <c r="AFN126" s="88"/>
      <c r="AFO126" s="88"/>
      <c r="AFP126" s="88"/>
      <c r="AFQ126" s="88"/>
      <c r="AFR126" s="88"/>
      <c r="AFS126" s="88"/>
      <c r="AFT126" s="88"/>
      <c r="AFU126" s="88"/>
      <c r="AFV126" s="88"/>
      <c r="AFW126" s="88"/>
      <c r="AFX126" s="88"/>
      <c r="AFY126" s="88"/>
      <c r="AFZ126" s="88"/>
      <c r="AGA126" s="88"/>
      <c r="AGB126" s="88"/>
      <c r="AGC126" s="88"/>
      <c r="AGD126" s="88"/>
      <c r="AGE126" s="88"/>
      <c r="AGF126" s="88"/>
      <c r="AGG126" s="88"/>
      <c r="AGH126" s="88"/>
      <c r="AGI126" s="88"/>
      <c r="AGJ126" s="88"/>
      <c r="AGK126" s="88"/>
      <c r="AGL126" s="88"/>
      <c r="AGM126" s="88"/>
      <c r="AGN126" s="88"/>
      <c r="AGO126" s="88"/>
      <c r="AGP126" s="88"/>
      <c r="AGQ126" s="88"/>
      <c r="AGR126" s="88"/>
      <c r="AGS126" s="88"/>
      <c r="AGT126" s="88"/>
      <c r="AGU126" s="88"/>
      <c r="AGV126" s="88"/>
      <c r="AGW126" s="88"/>
      <c r="AGX126" s="88"/>
      <c r="AGY126" s="88"/>
      <c r="AGZ126" s="88"/>
      <c r="AHA126" s="88"/>
      <c r="AHB126" s="88"/>
      <c r="AHC126" s="88"/>
      <c r="AHD126" s="88"/>
      <c r="AHE126" s="88"/>
      <c r="AHF126" s="88"/>
      <c r="AHG126" s="88"/>
      <c r="AHH126" s="88"/>
      <c r="AHI126" s="88"/>
      <c r="AHJ126" s="88"/>
      <c r="AHK126" s="88"/>
      <c r="AHL126" s="88"/>
      <c r="AHM126" s="88"/>
      <c r="AHN126" s="88"/>
      <c r="AHO126" s="88"/>
      <c r="AHP126" s="88"/>
      <c r="AHQ126" s="88"/>
      <c r="AHR126" s="88"/>
      <c r="AHS126" s="88"/>
      <c r="AHT126" s="88"/>
      <c r="AHU126" s="88"/>
      <c r="AHV126" s="88"/>
      <c r="AHW126" s="88"/>
      <c r="AHX126" s="88"/>
      <c r="AHY126" s="88"/>
      <c r="AHZ126" s="88"/>
      <c r="AIA126" s="88"/>
      <c r="AIB126" s="88"/>
      <c r="AIC126" s="88"/>
      <c r="AID126" s="88"/>
      <c r="AIE126" s="88"/>
      <c r="AIF126" s="88"/>
      <c r="AIG126" s="88"/>
      <c r="AIH126" s="88"/>
      <c r="AII126" s="88"/>
      <c r="AIJ126" s="88"/>
      <c r="AIK126" s="88"/>
      <c r="AIL126" s="88"/>
      <c r="AIM126" s="88"/>
      <c r="AIN126" s="88"/>
      <c r="AIO126" s="88"/>
      <c r="AIP126" s="88"/>
      <c r="AIQ126" s="88"/>
      <c r="AIR126" s="88"/>
      <c r="AIS126" s="88"/>
      <c r="AIT126" s="88"/>
      <c r="AIU126" s="88"/>
      <c r="AIV126" s="88"/>
      <c r="AIW126" s="88"/>
      <c r="AIX126" s="88"/>
      <c r="AIY126" s="88"/>
      <c r="AIZ126" s="88"/>
      <c r="AJA126" s="88"/>
      <c r="AJB126" s="88"/>
      <c r="AJC126" s="88"/>
      <c r="AJD126" s="88"/>
      <c r="AJE126" s="88"/>
      <c r="AJF126" s="88"/>
      <c r="AJG126" s="88"/>
      <c r="AJH126" s="88"/>
      <c r="AJI126" s="88"/>
      <c r="AJJ126" s="88"/>
      <c r="AJK126" s="88"/>
      <c r="AJL126" s="88"/>
      <c r="AJM126" s="88"/>
      <c r="AJN126" s="88"/>
      <c r="AJO126" s="88"/>
      <c r="AJP126" s="88"/>
      <c r="AJQ126" s="88"/>
      <c r="AJR126" s="88"/>
      <c r="AJS126" s="88"/>
      <c r="AJT126" s="88"/>
      <c r="AJU126" s="88"/>
      <c r="AJV126" s="88"/>
      <c r="AJW126" s="88"/>
      <c r="AJX126" s="88"/>
      <c r="AJY126" s="88"/>
      <c r="AJZ126" s="88"/>
      <c r="AKA126" s="88"/>
      <c r="AKB126" s="88"/>
      <c r="AKC126" s="88"/>
      <c r="AKD126" s="88"/>
      <c r="AKE126" s="88"/>
      <c r="AKF126" s="88"/>
      <c r="AKG126" s="88"/>
      <c r="AKH126" s="88"/>
      <c r="AKI126" s="88"/>
      <c r="AKJ126" s="88"/>
      <c r="AKK126" s="88"/>
      <c r="AKL126" s="88"/>
      <c r="AKM126" s="88"/>
      <c r="AKN126" s="88"/>
      <c r="AKO126" s="88"/>
      <c r="AKP126" s="88"/>
      <c r="AKQ126" s="88"/>
      <c r="AKR126" s="88"/>
      <c r="AKS126" s="88"/>
      <c r="AKT126" s="88"/>
      <c r="AKU126" s="88"/>
      <c r="AKV126" s="88"/>
      <c r="AKW126" s="88"/>
      <c r="AKX126" s="88"/>
      <c r="AKY126" s="88"/>
      <c r="AKZ126" s="88"/>
      <c r="ALA126" s="88"/>
      <c r="ALB126" s="88"/>
      <c r="ALC126" s="88"/>
      <c r="ALD126" s="88"/>
      <c r="ALE126" s="88"/>
      <c r="ALF126" s="88"/>
      <c r="ALG126" s="88"/>
      <c r="ALH126" s="88"/>
      <c r="ALI126" s="88"/>
      <c r="ALJ126" s="88"/>
      <c r="ALK126" s="88"/>
      <c r="ALL126" s="88"/>
      <c r="ALM126" s="88"/>
      <c r="ALN126" s="88"/>
      <c r="ALO126" s="88"/>
      <c r="ALP126" s="88"/>
      <c r="ALQ126" s="88"/>
      <c r="ALR126" s="88"/>
      <c r="ALS126" s="88"/>
      <c r="ALT126" s="88"/>
      <c r="ALU126" s="88"/>
      <c r="ALV126" s="88"/>
      <c r="ALW126" s="88"/>
      <c r="ALX126" s="88"/>
      <c r="ALY126" s="88"/>
      <c r="ALZ126" s="88"/>
      <c r="AMA126" s="88"/>
      <c r="AMB126" s="88"/>
      <c r="AMC126" s="88"/>
      <c r="AMD126" s="88"/>
      <c r="AME126" s="88"/>
      <c r="AMF126" s="88"/>
      <c r="AMG126" s="88"/>
      <c r="AMH126" s="88"/>
      <c r="AMI126" s="88"/>
      <c r="AMJ126" s="88"/>
      <c r="AMK126" s="88"/>
      <c r="AML126" s="88"/>
      <c r="AMM126" s="88"/>
      <c r="AMN126" s="88"/>
      <c r="AMO126" s="88"/>
      <c r="AMP126" s="88"/>
      <c r="AMQ126" s="88"/>
      <c r="AMR126" s="88"/>
      <c r="AMS126" s="88"/>
      <c r="AMT126" s="88"/>
      <c r="AMU126" s="88"/>
      <c r="AMV126" s="88"/>
      <c r="AMW126" s="88"/>
      <c r="AMX126" s="88"/>
      <c r="AMY126" s="88"/>
      <c r="AMZ126" s="88"/>
      <c r="ANA126" s="88"/>
      <c r="ANB126" s="88"/>
      <c r="ANC126" s="88"/>
      <c r="AND126" s="88"/>
      <c r="ANE126" s="88"/>
      <c r="ANF126" s="88"/>
      <c r="ANG126" s="88"/>
      <c r="ANH126" s="88"/>
      <c r="ANI126" s="88"/>
      <c r="ANJ126" s="88"/>
      <c r="ANK126" s="88"/>
      <c r="ANL126" s="88"/>
      <c r="ANM126" s="88"/>
      <c r="ANN126" s="88"/>
      <c r="ANO126" s="88"/>
      <c r="ANP126" s="88"/>
      <c r="ANQ126" s="88"/>
      <c r="ANR126" s="88"/>
      <c r="ANS126" s="88"/>
      <c r="ANT126" s="88"/>
      <c r="ANU126" s="88"/>
      <c r="ANV126" s="88"/>
      <c r="ANW126" s="88"/>
      <c r="ANX126" s="88"/>
      <c r="ANY126" s="88"/>
      <c r="ANZ126" s="88"/>
      <c r="AOA126" s="88"/>
      <c r="AOB126" s="88"/>
      <c r="AOC126" s="88"/>
      <c r="AOD126" s="88"/>
      <c r="AOE126" s="88"/>
      <c r="AOF126" s="88"/>
      <c r="AOG126" s="88"/>
      <c r="AOH126" s="88"/>
      <c r="AOI126" s="88"/>
      <c r="AOJ126" s="88"/>
      <c r="AOK126" s="88"/>
      <c r="AOL126" s="88"/>
      <c r="AOM126" s="88"/>
      <c r="AON126" s="88"/>
      <c r="AOO126" s="88"/>
      <c r="AOP126" s="88"/>
      <c r="AOQ126" s="88"/>
      <c r="AOR126" s="88"/>
      <c r="AOS126" s="88"/>
      <c r="AOT126" s="88"/>
      <c r="AOU126" s="88"/>
      <c r="AOV126" s="88"/>
      <c r="AOW126" s="88"/>
      <c r="AOX126" s="88"/>
      <c r="AOY126" s="88"/>
      <c r="AOZ126" s="88"/>
      <c r="APA126" s="88"/>
      <c r="APB126" s="88"/>
      <c r="APC126" s="88"/>
      <c r="APD126" s="88"/>
      <c r="APE126" s="88"/>
      <c r="APF126" s="88"/>
      <c r="APG126" s="88"/>
      <c r="APH126" s="88"/>
      <c r="API126" s="88"/>
      <c r="APJ126" s="88"/>
      <c r="APK126" s="88"/>
      <c r="APL126" s="88"/>
      <c r="APM126" s="88"/>
      <c r="APN126" s="88"/>
      <c r="APO126" s="88"/>
      <c r="APP126" s="88"/>
      <c r="APQ126" s="88"/>
      <c r="APR126" s="88"/>
      <c r="APS126" s="88"/>
      <c r="APT126" s="88"/>
      <c r="APU126" s="88"/>
      <c r="APV126" s="88"/>
      <c r="APW126" s="88"/>
      <c r="APX126" s="88"/>
      <c r="APY126" s="88"/>
      <c r="APZ126" s="88"/>
      <c r="AQA126" s="88"/>
      <c r="AQB126" s="88"/>
      <c r="AQC126" s="88"/>
      <c r="AQD126" s="88"/>
      <c r="AQE126" s="88"/>
      <c r="AQF126" s="88"/>
      <c r="AQG126" s="88"/>
      <c r="AQH126" s="88"/>
      <c r="AQI126" s="88"/>
      <c r="AQJ126" s="88"/>
      <c r="AQK126" s="88"/>
      <c r="AQL126" s="88"/>
      <c r="AQM126" s="88"/>
      <c r="AQN126" s="88"/>
      <c r="AQO126" s="88"/>
      <c r="AQP126" s="88"/>
      <c r="AQQ126" s="88"/>
      <c r="AQR126" s="88"/>
      <c r="AQS126" s="88"/>
      <c r="AQT126" s="88"/>
      <c r="AQU126" s="88"/>
      <c r="AQV126" s="88"/>
      <c r="AQW126" s="88"/>
      <c r="AQX126" s="88"/>
      <c r="AQY126" s="88"/>
      <c r="AQZ126" s="88"/>
      <c r="ARA126" s="88"/>
      <c r="ARB126" s="88"/>
      <c r="ARC126" s="88"/>
      <c r="ARD126" s="88"/>
      <c r="ARE126" s="88"/>
      <c r="ARF126" s="88"/>
      <c r="ARG126" s="88"/>
      <c r="ARH126" s="88"/>
      <c r="ARI126" s="88"/>
      <c r="ARJ126" s="88"/>
      <c r="ARK126" s="88"/>
      <c r="ARL126" s="88"/>
      <c r="ARM126" s="88"/>
      <c r="ARN126" s="88"/>
      <c r="ARO126" s="88"/>
      <c r="ARP126" s="88"/>
      <c r="ARQ126" s="88"/>
      <c r="ARR126" s="88"/>
      <c r="ARS126" s="88"/>
      <c r="ART126" s="88"/>
      <c r="ARU126" s="88"/>
      <c r="ARV126" s="88"/>
      <c r="ARW126" s="88"/>
      <c r="ARX126" s="88"/>
      <c r="ARY126" s="88"/>
      <c r="ARZ126" s="88"/>
      <c r="ASA126" s="88"/>
      <c r="ASB126" s="88"/>
      <c r="ASC126" s="88"/>
      <c r="ASD126" s="88"/>
      <c r="ASE126" s="88"/>
      <c r="ASF126" s="88"/>
      <c r="ASG126" s="88"/>
      <c r="ASH126" s="88"/>
      <c r="ASI126" s="88"/>
      <c r="ASJ126" s="88"/>
      <c r="ASK126" s="88"/>
      <c r="ASL126" s="88"/>
      <c r="ASM126" s="88"/>
      <c r="ASN126" s="88"/>
      <c r="ASO126" s="88"/>
      <c r="ASP126" s="88"/>
      <c r="ASQ126" s="88"/>
      <c r="ASR126" s="88"/>
      <c r="ASS126" s="88"/>
      <c r="AST126" s="88"/>
      <c r="ASU126" s="88"/>
      <c r="ASV126" s="88"/>
      <c r="ASW126" s="88"/>
      <c r="ASX126" s="88"/>
      <c r="ASY126" s="88"/>
      <c r="ASZ126" s="88"/>
      <c r="ATA126" s="88"/>
      <c r="ATB126" s="88"/>
      <c r="ATC126" s="88"/>
      <c r="ATD126" s="88"/>
      <c r="ATE126" s="88"/>
      <c r="ATF126" s="88"/>
      <c r="ATG126" s="88"/>
      <c r="ATH126" s="88"/>
      <c r="ATI126" s="88"/>
      <c r="ATJ126" s="88"/>
      <c r="ATK126" s="88"/>
      <c r="ATL126" s="88"/>
      <c r="ATM126" s="88"/>
      <c r="ATN126" s="88"/>
      <c r="ATO126" s="88"/>
      <c r="ATP126" s="88"/>
      <c r="ATQ126" s="88"/>
      <c r="ATR126" s="88"/>
      <c r="ATS126" s="88"/>
      <c r="ATT126" s="88"/>
      <c r="ATU126" s="88"/>
      <c r="ATV126" s="88"/>
      <c r="ATW126" s="88"/>
      <c r="ATX126" s="88"/>
      <c r="ATY126" s="88"/>
      <c r="ATZ126" s="88"/>
      <c r="AUA126" s="88"/>
      <c r="AUB126" s="88"/>
      <c r="AUC126" s="88"/>
      <c r="AUD126" s="88"/>
      <c r="AUE126" s="88"/>
      <c r="AUF126" s="88"/>
      <c r="AUG126" s="88"/>
      <c r="AUH126" s="88"/>
      <c r="AUI126" s="88"/>
      <c r="AUJ126" s="88"/>
      <c r="AUK126" s="88"/>
      <c r="AUL126" s="88"/>
      <c r="AUM126" s="88"/>
      <c r="AUN126" s="88"/>
      <c r="AUO126" s="88"/>
      <c r="AUP126" s="88"/>
      <c r="AUQ126" s="88"/>
      <c r="AUR126" s="88"/>
      <c r="AUS126" s="88"/>
      <c r="AUT126" s="88"/>
      <c r="AUU126" s="88"/>
      <c r="AUV126" s="88"/>
      <c r="AUW126" s="88"/>
      <c r="AUX126" s="88"/>
      <c r="AUY126" s="88"/>
      <c r="AUZ126" s="88"/>
      <c r="AVA126" s="88"/>
      <c r="AVB126" s="88"/>
      <c r="AVC126" s="88"/>
      <c r="AVD126" s="88"/>
      <c r="AVE126" s="88"/>
      <c r="AVF126" s="88"/>
      <c r="AVG126" s="88"/>
      <c r="AVH126" s="88"/>
      <c r="AVI126" s="88"/>
      <c r="AVJ126" s="88"/>
      <c r="AVK126" s="88"/>
      <c r="AVL126" s="88"/>
      <c r="AVM126" s="88"/>
      <c r="AVN126" s="88"/>
      <c r="AVO126" s="88"/>
      <c r="AVP126" s="88"/>
      <c r="AVQ126" s="88"/>
      <c r="AVR126" s="88"/>
      <c r="AVS126" s="88"/>
      <c r="AVT126" s="88"/>
      <c r="AVU126" s="88"/>
      <c r="AVV126" s="88"/>
      <c r="AVW126" s="88"/>
      <c r="AVX126" s="88"/>
      <c r="AVY126" s="88"/>
      <c r="AVZ126" s="88"/>
      <c r="AWA126" s="88"/>
      <c r="AWB126" s="88"/>
      <c r="AWC126" s="88"/>
      <c r="AWD126" s="88"/>
      <c r="AWE126" s="88"/>
      <c r="AWF126" s="88"/>
      <c r="AWG126" s="88"/>
      <c r="AWH126" s="88"/>
      <c r="AWI126" s="88"/>
      <c r="AWJ126" s="88"/>
      <c r="AWK126" s="88"/>
      <c r="AWL126" s="88"/>
      <c r="AWM126" s="88"/>
      <c r="AWN126" s="88"/>
      <c r="AWO126" s="88"/>
      <c r="AWP126" s="88"/>
      <c r="AWQ126" s="88"/>
      <c r="AWR126" s="88"/>
      <c r="AWS126" s="88"/>
      <c r="AWT126" s="88"/>
      <c r="AWU126" s="88"/>
      <c r="AWV126" s="88"/>
      <c r="AWW126" s="88"/>
      <c r="AWX126" s="88"/>
      <c r="AWY126" s="88"/>
      <c r="AWZ126" s="88"/>
      <c r="AXA126" s="88"/>
      <c r="AXB126" s="88"/>
      <c r="AXC126" s="88"/>
      <c r="AXD126" s="88"/>
      <c r="AXE126" s="88"/>
      <c r="AXF126" s="88"/>
      <c r="AXG126" s="88"/>
      <c r="AXH126" s="88"/>
      <c r="AXI126" s="88"/>
      <c r="AXJ126" s="88"/>
      <c r="AXK126" s="88"/>
      <c r="AXL126" s="88"/>
      <c r="AXM126" s="88"/>
      <c r="AXN126" s="88"/>
      <c r="AXO126" s="88"/>
      <c r="AXP126" s="88"/>
      <c r="AXQ126" s="88"/>
      <c r="AXR126" s="88"/>
      <c r="AXS126" s="88"/>
      <c r="AXT126" s="88"/>
      <c r="AXU126" s="88"/>
      <c r="AXV126" s="88"/>
      <c r="AXW126" s="88"/>
      <c r="AXX126" s="88"/>
      <c r="AXY126" s="88"/>
      <c r="AXZ126" s="88"/>
      <c r="AYA126" s="88"/>
      <c r="AYB126" s="88"/>
      <c r="AYC126" s="88"/>
      <c r="AYD126" s="88"/>
      <c r="AYE126" s="88"/>
      <c r="AYF126" s="88"/>
      <c r="AYG126" s="88"/>
      <c r="AYH126" s="88"/>
      <c r="AYI126" s="88"/>
      <c r="AYJ126" s="88"/>
      <c r="AYK126" s="88"/>
      <c r="AYL126" s="88"/>
      <c r="AYM126" s="88"/>
      <c r="AYN126" s="88"/>
      <c r="AYO126" s="88"/>
      <c r="AYP126" s="88"/>
      <c r="AYQ126" s="88"/>
      <c r="AYR126" s="88"/>
      <c r="AYS126" s="88"/>
      <c r="AYT126" s="88"/>
      <c r="AYU126" s="88"/>
      <c r="AYV126" s="88"/>
      <c r="AYW126" s="88"/>
      <c r="AYX126" s="88"/>
      <c r="AYY126" s="88"/>
      <c r="AYZ126" s="88"/>
      <c r="AZA126" s="88"/>
      <c r="AZB126" s="88"/>
      <c r="AZC126" s="88"/>
      <c r="AZD126" s="88"/>
      <c r="AZE126" s="88"/>
      <c r="AZF126" s="88"/>
      <c r="AZG126" s="88"/>
      <c r="AZH126" s="88"/>
      <c r="AZI126" s="88"/>
      <c r="AZJ126" s="88"/>
      <c r="AZK126" s="88"/>
      <c r="AZL126" s="88"/>
      <c r="AZM126" s="88"/>
      <c r="AZN126" s="88"/>
      <c r="AZO126" s="88"/>
      <c r="AZP126" s="88"/>
      <c r="AZQ126" s="88"/>
      <c r="AZR126" s="88"/>
      <c r="AZS126" s="88"/>
      <c r="AZT126" s="88"/>
      <c r="AZU126" s="88"/>
      <c r="AZV126" s="88"/>
      <c r="AZW126" s="88"/>
      <c r="AZX126" s="88"/>
      <c r="AZY126" s="88"/>
      <c r="AZZ126" s="88"/>
      <c r="BAA126" s="88"/>
      <c r="BAB126" s="88"/>
      <c r="BAC126" s="88"/>
      <c r="BAD126" s="88"/>
      <c r="BAE126" s="88"/>
      <c r="BAF126" s="88"/>
      <c r="BAG126" s="88"/>
      <c r="BAH126" s="88"/>
      <c r="BAI126" s="88"/>
      <c r="BAJ126" s="88"/>
      <c r="BAK126" s="88"/>
      <c r="BAL126" s="88"/>
      <c r="BAM126" s="88"/>
      <c r="BAN126" s="88"/>
      <c r="BAO126" s="88"/>
      <c r="BAP126" s="88"/>
      <c r="BAQ126" s="88"/>
      <c r="BAR126" s="88"/>
      <c r="BAS126" s="88"/>
      <c r="BAT126" s="88"/>
      <c r="BAU126" s="88"/>
      <c r="BAV126" s="88"/>
      <c r="BAW126" s="88"/>
      <c r="BAX126" s="88"/>
      <c r="BAY126" s="88"/>
      <c r="BAZ126" s="88"/>
      <c r="BBA126" s="88"/>
      <c r="BBB126" s="88"/>
      <c r="BBC126" s="88"/>
      <c r="BBD126" s="88"/>
      <c r="BBE126" s="88"/>
      <c r="BBF126" s="88"/>
      <c r="BBG126" s="88"/>
      <c r="BBH126" s="88"/>
      <c r="BBI126" s="88"/>
      <c r="BBJ126" s="88"/>
      <c r="BBK126" s="88"/>
      <c r="BBL126" s="88"/>
      <c r="BBM126" s="88"/>
      <c r="BBN126" s="88"/>
      <c r="BBO126" s="88"/>
      <c r="BBP126" s="88"/>
      <c r="BBQ126" s="88"/>
      <c r="BBR126" s="88"/>
      <c r="BBS126" s="88"/>
      <c r="BBT126" s="88"/>
      <c r="BBU126" s="88"/>
      <c r="BBV126" s="88"/>
      <c r="BBW126" s="88"/>
      <c r="BBX126" s="88"/>
      <c r="BBY126" s="88"/>
      <c r="BBZ126" s="88"/>
      <c r="BCA126" s="88"/>
      <c r="BCB126" s="88"/>
      <c r="BCC126" s="88"/>
      <c r="BCD126" s="88"/>
      <c r="BCE126" s="88"/>
      <c r="BCF126" s="88"/>
      <c r="BCG126" s="88"/>
      <c r="BCH126" s="88"/>
      <c r="BCI126" s="88"/>
      <c r="BCJ126" s="88"/>
      <c r="BCK126" s="88"/>
      <c r="BCL126" s="88"/>
      <c r="BCM126" s="88"/>
      <c r="BCN126" s="88"/>
      <c r="BCO126" s="88"/>
      <c r="BCP126" s="88"/>
      <c r="BCQ126" s="88"/>
      <c r="BCR126" s="88"/>
      <c r="BCS126" s="88"/>
      <c r="BCT126" s="88"/>
      <c r="BCU126" s="88"/>
      <c r="BCV126" s="88"/>
      <c r="BCW126" s="88"/>
      <c r="BCX126" s="88"/>
      <c r="BCY126" s="88"/>
      <c r="BCZ126" s="88"/>
      <c r="BDA126" s="88"/>
      <c r="BDB126" s="88"/>
      <c r="BDC126" s="88"/>
      <c r="BDD126" s="88"/>
      <c r="BDE126" s="88"/>
      <c r="BDF126" s="88"/>
      <c r="BDG126" s="88"/>
      <c r="BDH126" s="88"/>
      <c r="BDI126" s="88"/>
      <c r="BDJ126" s="88"/>
      <c r="BDK126" s="88"/>
      <c r="BDL126" s="88"/>
      <c r="BDM126" s="88"/>
      <c r="BDN126" s="88"/>
      <c r="BDO126" s="88"/>
      <c r="BDP126" s="88"/>
      <c r="BDQ126" s="88"/>
      <c r="BDR126" s="88"/>
      <c r="BDS126" s="88"/>
      <c r="BDT126" s="88"/>
      <c r="BDU126" s="88"/>
      <c r="BDV126" s="88"/>
      <c r="BDW126" s="88"/>
      <c r="BDX126" s="88"/>
      <c r="BDY126" s="88"/>
      <c r="BDZ126" s="88"/>
      <c r="BEA126" s="88"/>
      <c r="BEB126" s="88"/>
      <c r="BEC126" s="88"/>
      <c r="BED126" s="88"/>
      <c r="BEE126" s="88"/>
      <c r="BEF126" s="88"/>
      <c r="BEG126" s="88"/>
      <c r="BEH126" s="88"/>
      <c r="BEI126" s="88"/>
      <c r="BEJ126" s="88"/>
      <c r="BEK126" s="88"/>
      <c r="BEL126" s="88"/>
      <c r="BEM126" s="88"/>
      <c r="BEN126" s="88"/>
      <c r="BEO126" s="88"/>
      <c r="BEP126" s="88"/>
      <c r="BEQ126" s="88"/>
      <c r="BER126" s="88"/>
      <c r="BES126" s="88"/>
      <c r="BET126" s="88"/>
      <c r="BEU126" s="88"/>
      <c r="BEV126" s="88"/>
      <c r="BEW126" s="88"/>
      <c r="BEX126" s="88"/>
      <c r="BEY126" s="88"/>
      <c r="BEZ126" s="88"/>
      <c r="BFA126" s="88"/>
      <c r="BFB126" s="88"/>
      <c r="BFC126" s="88"/>
      <c r="BFD126" s="88"/>
      <c r="BFE126" s="88"/>
      <c r="BFF126" s="88"/>
      <c r="BFG126" s="88"/>
      <c r="BFH126" s="88"/>
      <c r="BFI126" s="88"/>
      <c r="BFJ126" s="88"/>
      <c r="BFK126" s="88"/>
      <c r="BFL126" s="88"/>
      <c r="BFM126" s="88"/>
      <c r="BFN126" s="88"/>
      <c r="BFO126" s="88"/>
      <c r="BFP126" s="88"/>
      <c r="BFQ126" s="88"/>
      <c r="BFR126" s="88"/>
      <c r="BFS126" s="88"/>
      <c r="BFT126" s="88"/>
      <c r="BFU126" s="88"/>
      <c r="BFV126" s="88"/>
      <c r="BFW126" s="88"/>
      <c r="BFX126" s="88"/>
      <c r="BFY126" s="88"/>
      <c r="BFZ126" s="88"/>
      <c r="BGA126" s="88"/>
      <c r="BGB126" s="88"/>
      <c r="BGC126" s="88"/>
      <c r="BGD126" s="88"/>
      <c r="BGE126" s="88"/>
      <c r="BGF126" s="88"/>
      <c r="BGG126" s="88"/>
      <c r="BGH126" s="88"/>
      <c r="BGI126" s="88"/>
      <c r="BGJ126" s="88"/>
      <c r="BGK126" s="88"/>
      <c r="BGL126" s="88"/>
      <c r="BGM126" s="88"/>
      <c r="BGN126" s="88"/>
      <c r="BGO126" s="88"/>
      <c r="BGP126" s="88"/>
      <c r="BGQ126" s="88"/>
      <c r="BGR126" s="88"/>
      <c r="BGS126" s="88"/>
      <c r="BGT126" s="88"/>
      <c r="BGU126" s="88"/>
      <c r="BGV126" s="88"/>
      <c r="BGW126" s="88"/>
      <c r="BGX126" s="88"/>
      <c r="BGY126" s="88"/>
      <c r="BGZ126" s="88"/>
      <c r="BHA126" s="88"/>
      <c r="BHB126" s="88"/>
      <c r="BHC126" s="88"/>
      <c r="BHD126" s="88"/>
      <c r="BHE126" s="88"/>
      <c r="BHF126" s="88"/>
      <c r="BHG126" s="88"/>
      <c r="BHH126" s="88"/>
      <c r="BHI126" s="88"/>
      <c r="BHJ126" s="88"/>
      <c r="BHK126" s="88"/>
      <c r="BHL126" s="88"/>
      <c r="BHM126" s="88"/>
      <c r="BHN126" s="88"/>
      <c r="BHO126" s="88"/>
      <c r="BHP126" s="88"/>
      <c r="BHQ126" s="88"/>
      <c r="BHR126" s="88"/>
      <c r="BHS126" s="88"/>
      <c r="BHT126" s="88"/>
      <c r="BHU126" s="88"/>
      <c r="BHV126" s="88"/>
      <c r="BHW126" s="88"/>
      <c r="BHX126" s="88"/>
      <c r="BHY126" s="88"/>
      <c r="BHZ126" s="88"/>
      <c r="BIA126" s="88"/>
      <c r="BIB126" s="88"/>
      <c r="BIC126" s="88"/>
      <c r="BID126" s="88"/>
      <c r="BIE126" s="88"/>
      <c r="BIF126" s="88"/>
      <c r="BIG126" s="88"/>
      <c r="BIH126" s="88"/>
      <c r="BII126" s="88"/>
      <c r="BIJ126" s="88"/>
      <c r="BIK126" s="88"/>
      <c r="BIL126" s="88"/>
      <c r="BIM126" s="88"/>
      <c r="BIN126" s="88"/>
      <c r="BIO126" s="88"/>
      <c r="BIP126" s="88"/>
      <c r="BIQ126" s="88"/>
      <c r="BIR126" s="88"/>
      <c r="BIS126" s="88"/>
      <c r="BIT126" s="88"/>
      <c r="BIU126" s="88"/>
      <c r="BIV126" s="88"/>
      <c r="BIW126" s="88"/>
      <c r="BIX126" s="88"/>
      <c r="BIY126" s="88"/>
      <c r="BIZ126" s="88"/>
      <c r="BJA126" s="88"/>
      <c r="BJB126" s="88"/>
      <c r="BJC126" s="88"/>
      <c r="BJD126" s="88"/>
      <c r="BJE126" s="88"/>
      <c r="BJF126" s="88"/>
      <c r="BJG126" s="88"/>
      <c r="BJH126" s="88"/>
      <c r="BJI126" s="88"/>
      <c r="BJJ126" s="88"/>
      <c r="BJK126" s="88"/>
      <c r="BJL126" s="88"/>
      <c r="BJM126" s="88"/>
      <c r="BJN126" s="88"/>
      <c r="BJO126" s="88"/>
      <c r="BJP126" s="88"/>
      <c r="BJQ126" s="88"/>
      <c r="BJR126" s="88"/>
      <c r="BJS126" s="88"/>
      <c r="BJT126" s="88"/>
      <c r="BJU126" s="88"/>
      <c r="BJV126" s="88"/>
      <c r="BJW126" s="88"/>
      <c r="BJX126" s="88"/>
      <c r="BJY126" s="88"/>
      <c r="BJZ126" s="88"/>
      <c r="BKA126" s="88"/>
      <c r="BKB126" s="88"/>
      <c r="BKC126" s="88"/>
      <c r="BKD126" s="88"/>
      <c r="BKE126" s="88"/>
      <c r="BKF126" s="88"/>
      <c r="BKG126" s="88"/>
      <c r="BKH126" s="88"/>
      <c r="BKI126" s="88"/>
      <c r="BKJ126" s="88"/>
      <c r="BKK126" s="88"/>
      <c r="BKL126" s="88"/>
      <c r="BKM126" s="88"/>
      <c r="BKN126" s="88"/>
      <c r="BKO126" s="88"/>
      <c r="BKP126" s="88"/>
      <c r="BKQ126" s="88"/>
      <c r="BKR126" s="88"/>
      <c r="BKS126" s="88"/>
      <c r="BKT126" s="88"/>
      <c r="BKU126" s="88"/>
      <c r="BKV126" s="88"/>
      <c r="BKW126" s="88"/>
      <c r="BKX126" s="88"/>
      <c r="BKY126" s="88"/>
      <c r="BKZ126" s="88"/>
      <c r="BLA126" s="88"/>
      <c r="BLB126" s="88"/>
      <c r="BLC126" s="88"/>
      <c r="BLD126" s="88"/>
      <c r="BLE126" s="88"/>
      <c r="BLF126" s="88"/>
      <c r="BLG126" s="88"/>
      <c r="BLH126" s="88"/>
      <c r="BLI126" s="88"/>
      <c r="BLJ126" s="88"/>
      <c r="BLK126" s="88"/>
      <c r="BLL126" s="88"/>
      <c r="BLM126" s="88"/>
      <c r="BLN126" s="88"/>
      <c r="BLO126" s="88"/>
      <c r="BLP126" s="88"/>
      <c r="BLQ126" s="88"/>
      <c r="BLR126" s="88"/>
      <c r="BLS126" s="88"/>
      <c r="BLT126" s="88"/>
      <c r="BLU126" s="88"/>
      <c r="BLV126" s="88"/>
      <c r="BLW126" s="88"/>
      <c r="BLX126" s="88"/>
      <c r="BLY126" s="88"/>
      <c r="BLZ126" s="88"/>
      <c r="BMA126" s="88"/>
      <c r="BMB126" s="88"/>
      <c r="BMC126" s="88"/>
      <c r="BMD126" s="88"/>
      <c r="BME126" s="88"/>
      <c r="BMF126" s="88"/>
      <c r="BMG126" s="88"/>
      <c r="BMH126" s="88"/>
      <c r="BMI126" s="88"/>
      <c r="BMJ126" s="88"/>
      <c r="BMK126" s="88"/>
      <c r="BML126" s="88"/>
      <c r="BMM126" s="88"/>
      <c r="BMN126" s="88"/>
      <c r="BMO126" s="88"/>
      <c r="BMP126" s="88"/>
      <c r="BMQ126" s="88"/>
      <c r="BMR126" s="88"/>
      <c r="BMS126" s="88"/>
      <c r="BMT126" s="88"/>
      <c r="BMU126" s="88"/>
      <c r="BMV126" s="88"/>
      <c r="BMW126" s="88"/>
      <c r="BMX126" s="88"/>
      <c r="BMY126" s="88"/>
      <c r="BMZ126" s="88"/>
      <c r="BNA126" s="88"/>
      <c r="BNB126" s="88"/>
      <c r="BNC126" s="88"/>
      <c r="BND126" s="88"/>
      <c r="BNE126" s="88"/>
      <c r="BNF126" s="88"/>
      <c r="BNG126" s="88"/>
      <c r="BNH126" s="88"/>
      <c r="BNI126" s="88"/>
      <c r="BNJ126" s="88"/>
      <c r="BNK126" s="88"/>
      <c r="BNL126" s="88"/>
      <c r="BNM126" s="88"/>
      <c r="BNN126" s="88"/>
      <c r="BNO126" s="88"/>
      <c r="BNP126" s="88"/>
      <c r="BNQ126" s="88"/>
      <c r="BNR126" s="88"/>
      <c r="BNS126" s="88"/>
      <c r="BNT126" s="88"/>
      <c r="BNU126" s="88"/>
      <c r="BNV126" s="88"/>
      <c r="BNW126" s="88"/>
      <c r="BNX126" s="88"/>
      <c r="BNY126" s="88"/>
      <c r="BNZ126" s="88"/>
      <c r="BOA126" s="88"/>
      <c r="BOB126" s="88"/>
      <c r="BOC126" s="88"/>
      <c r="BOD126" s="88"/>
      <c r="BOE126" s="88"/>
      <c r="BOF126" s="88"/>
      <c r="BOG126" s="88"/>
      <c r="BOH126" s="88"/>
      <c r="BOI126" s="88"/>
      <c r="BOJ126" s="88"/>
      <c r="BOK126" s="88"/>
      <c r="BOL126" s="88"/>
      <c r="BOM126" s="88"/>
      <c r="BON126" s="88"/>
      <c r="BOO126" s="88"/>
      <c r="BOP126" s="88"/>
      <c r="BOQ126" s="88"/>
      <c r="BOR126" s="88"/>
      <c r="BOS126" s="88"/>
      <c r="BOT126" s="88"/>
      <c r="BOU126" s="88"/>
      <c r="BOV126" s="88"/>
      <c r="BOW126" s="88"/>
      <c r="BOX126" s="88"/>
      <c r="BOY126" s="88"/>
      <c r="BOZ126" s="88"/>
      <c r="BPA126" s="88"/>
      <c r="BPB126" s="88"/>
      <c r="BPC126" s="88"/>
      <c r="BPD126" s="88"/>
      <c r="BPE126" s="88"/>
      <c r="BPF126" s="88"/>
      <c r="BPG126" s="88"/>
      <c r="BPH126" s="88"/>
      <c r="BPI126" s="88"/>
      <c r="BPJ126" s="88"/>
      <c r="BPK126" s="88"/>
      <c r="BPL126" s="88"/>
      <c r="BPM126" s="88"/>
      <c r="BPN126" s="88"/>
      <c r="BPO126" s="88"/>
      <c r="BPP126" s="88"/>
      <c r="BPQ126" s="88"/>
      <c r="BPR126" s="88"/>
      <c r="BPS126" s="88"/>
      <c r="BPT126" s="88"/>
      <c r="BPU126" s="88"/>
      <c r="BPV126" s="88"/>
      <c r="BPW126" s="88"/>
      <c r="BPX126" s="88"/>
      <c r="BPY126" s="88"/>
      <c r="BPZ126" s="88"/>
      <c r="BQA126" s="88"/>
      <c r="BQB126" s="88"/>
      <c r="BQC126" s="88"/>
      <c r="BQD126" s="88"/>
      <c r="BQE126" s="88"/>
      <c r="BQF126" s="88"/>
      <c r="BQG126" s="88"/>
      <c r="BQH126" s="88"/>
      <c r="BQI126" s="88"/>
      <c r="BQJ126" s="88"/>
      <c r="BQK126" s="88"/>
      <c r="BQL126" s="88"/>
      <c r="BQM126" s="88"/>
      <c r="BQN126" s="88"/>
      <c r="BQO126" s="88"/>
      <c r="BQP126" s="88"/>
      <c r="BQQ126" s="88"/>
      <c r="BQR126" s="88"/>
      <c r="BQS126" s="88"/>
      <c r="BQT126" s="88"/>
      <c r="BQU126" s="88"/>
      <c r="BQV126" s="88"/>
      <c r="BQW126" s="88"/>
      <c r="BQX126" s="88"/>
      <c r="BQY126" s="88"/>
      <c r="BQZ126" s="88"/>
      <c r="BRA126" s="88"/>
      <c r="BRB126" s="88"/>
      <c r="BRC126" s="88"/>
      <c r="BRD126" s="88"/>
      <c r="BRE126" s="88"/>
      <c r="BRF126" s="88"/>
      <c r="BRG126" s="88"/>
      <c r="BRH126" s="88"/>
      <c r="BRI126" s="88"/>
      <c r="BRJ126" s="88"/>
      <c r="BRK126" s="88"/>
      <c r="BRL126" s="88"/>
      <c r="BRM126" s="88"/>
      <c r="BRN126" s="88"/>
      <c r="BRO126" s="88"/>
      <c r="BRP126" s="88"/>
      <c r="BRQ126" s="88"/>
      <c r="BRR126" s="88"/>
      <c r="BRS126" s="88"/>
      <c r="BRT126" s="88"/>
      <c r="BRU126" s="88"/>
      <c r="BRV126" s="88"/>
      <c r="BRW126" s="88"/>
      <c r="BRX126" s="88"/>
      <c r="BRY126" s="88"/>
      <c r="BRZ126" s="88"/>
      <c r="BSA126" s="88"/>
      <c r="BSB126" s="88"/>
      <c r="BSC126" s="88"/>
      <c r="BSD126" s="88"/>
      <c r="BSE126" s="88"/>
      <c r="BSF126" s="88"/>
      <c r="BSG126" s="88"/>
      <c r="BSH126" s="88"/>
      <c r="BSI126" s="88"/>
      <c r="BSJ126" s="88"/>
      <c r="BSK126" s="88"/>
      <c r="BSL126" s="88"/>
      <c r="BSM126" s="88"/>
      <c r="BSN126" s="88"/>
      <c r="BSO126" s="88"/>
      <c r="BSP126" s="88"/>
      <c r="BSQ126" s="88"/>
      <c r="BSR126" s="88"/>
      <c r="BSS126" s="88"/>
      <c r="BST126" s="88"/>
      <c r="BSU126" s="88"/>
      <c r="BSV126" s="88"/>
      <c r="BSW126" s="88"/>
      <c r="BSX126" s="88"/>
      <c r="BSY126" s="88"/>
      <c r="BSZ126" s="88"/>
      <c r="BTA126" s="88"/>
      <c r="BTB126" s="88"/>
      <c r="BTC126" s="88"/>
      <c r="BTD126" s="88"/>
      <c r="BTE126" s="88"/>
      <c r="BTF126" s="88"/>
      <c r="BTG126" s="88"/>
      <c r="BTH126" s="88"/>
      <c r="BTI126" s="88"/>
      <c r="BTJ126" s="88"/>
      <c r="BTK126" s="88"/>
      <c r="BTL126" s="88"/>
      <c r="BTM126" s="88"/>
      <c r="BTN126" s="88"/>
      <c r="BTO126" s="88"/>
      <c r="BTP126" s="88"/>
      <c r="BTQ126" s="88"/>
      <c r="BTR126" s="88"/>
      <c r="BTS126" s="88"/>
      <c r="BTT126" s="88"/>
      <c r="BTU126" s="88"/>
      <c r="BTV126" s="88"/>
      <c r="BTW126" s="88"/>
      <c r="BTX126" s="88"/>
      <c r="BTY126" s="88"/>
      <c r="BTZ126" s="88"/>
      <c r="BUA126" s="88"/>
      <c r="BUB126" s="88"/>
      <c r="BUC126" s="88"/>
      <c r="BUD126" s="88"/>
      <c r="BUE126" s="88"/>
      <c r="BUF126" s="88"/>
      <c r="BUG126" s="88"/>
      <c r="BUH126" s="88"/>
      <c r="BUI126" s="88"/>
      <c r="BUJ126" s="88"/>
      <c r="BUK126" s="88"/>
      <c r="BUL126" s="88"/>
      <c r="BUM126" s="88"/>
      <c r="BUN126" s="88"/>
      <c r="BUO126" s="88"/>
      <c r="BUP126" s="88"/>
      <c r="BUQ126" s="88"/>
      <c r="BUR126" s="88"/>
      <c r="BUS126" s="88"/>
      <c r="BUT126" s="88"/>
      <c r="BUU126" s="88"/>
      <c r="BUV126" s="88"/>
      <c r="BUW126" s="88"/>
      <c r="BUX126" s="88"/>
      <c r="BUY126" s="88"/>
      <c r="BUZ126" s="88"/>
      <c r="BVA126" s="88"/>
      <c r="BVB126" s="88"/>
      <c r="BVC126" s="88"/>
      <c r="BVD126" s="88"/>
      <c r="BVE126" s="88"/>
      <c r="BVF126" s="88"/>
      <c r="BVG126" s="88"/>
      <c r="BVH126" s="88"/>
      <c r="BVI126" s="88"/>
      <c r="BVJ126" s="88"/>
      <c r="BVK126" s="88"/>
      <c r="BVL126" s="88"/>
      <c r="BVM126" s="88"/>
      <c r="BVN126" s="88"/>
      <c r="BVO126" s="88"/>
      <c r="BVP126" s="88"/>
      <c r="BVQ126" s="88"/>
      <c r="BVR126" s="88"/>
      <c r="BVS126" s="88"/>
      <c r="BVT126" s="88"/>
      <c r="BVU126" s="88"/>
      <c r="BVV126" s="88"/>
      <c r="BVW126" s="88"/>
      <c r="BVX126" s="88"/>
      <c r="BVY126" s="88"/>
      <c r="BVZ126" s="88"/>
      <c r="BWA126" s="88"/>
      <c r="BWB126" s="88"/>
      <c r="BWC126" s="88"/>
      <c r="BWD126" s="88"/>
      <c r="BWE126" s="88"/>
      <c r="BWF126" s="88"/>
      <c r="BWG126" s="88"/>
      <c r="BWH126" s="88"/>
      <c r="BWI126" s="88"/>
      <c r="BWJ126" s="88"/>
      <c r="BWK126" s="88"/>
      <c r="BWL126" s="88"/>
      <c r="BWM126" s="88"/>
      <c r="BWN126" s="88"/>
      <c r="BWO126" s="88"/>
      <c r="BWP126" s="88"/>
      <c r="BWQ126" s="88"/>
      <c r="BWR126" s="88"/>
      <c r="BWS126" s="88"/>
      <c r="BWT126" s="88"/>
      <c r="BWU126" s="88"/>
      <c r="BWV126" s="88"/>
      <c r="BWW126" s="88"/>
      <c r="BWX126" s="88"/>
      <c r="BWY126" s="88"/>
      <c r="BWZ126" s="88"/>
      <c r="BXA126" s="88"/>
      <c r="BXB126" s="88"/>
      <c r="BXC126" s="88"/>
      <c r="BXD126" s="88"/>
      <c r="BXE126" s="88"/>
      <c r="BXF126" s="88"/>
      <c r="BXG126" s="88"/>
      <c r="BXH126" s="88"/>
      <c r="BXI126" s="88"/>
      <c r="BXJ126" s="88"/>
      <c r="BXK126" s="88"/>
      <c r="BXL126" s="88"/>
      <c r="BXM126" s="88"/>
      <c r="BXN126" s="88"/>
      <c r="BXO126" s="88"/>
      <c r="BXP126" s="88"/>
      <c r="BXQ126" s="88"/>
      <c r="BXR126" s="88"/>
      <c r="BXS126" s="88"/>
      <c r="BXT126" s="88"/>
      <c r="BXU126" s="88"/>
      <c r="BXV126" s="88"/>
      <c r="BXW126" s="88"/>
      <c r="BXX126" s="88"/>
      <c r="BXY126" s="88"/>
      <c r="BXZ126" s="88"/>
      <c r="BYA126" s="88"/>
      <c r="BYB126" s="88"/>
      <c r="BYC126" s="88"/>
      <c r="BYD126" s="88"/>
      <c r="BYE126" s="88"/>
      <c r="BYF126" s="88"/>
      <c r="BYG126" s="88"/>
      <c r="BYH126" s="88"/>
      <c r="BYI126" s="88"/>
      <c r="BYJ126" s="88"/>
      <c r="BYK126" s="88"/>
      <c r="BYL126" s="88"/>
      <c r="BYM126" s="88"/>
      <c r="BYN126" s="88"/>
      <c r="BYO126" s="88"/>
      <c r="BYP126" s="88"/>
      <c r="BYQ126" s="88"/>
      <c r="BYR126" s="88"/>
      <c r="BYS126" s="88"/>
      <c r="BYT126" s="88"/>
      <c r="BYU126" s="88"/>
      <c r="BYV126" s="88"/>
      <c r="BYW126" s="88"/>
      <c r="BYX126" s="88"/>
      <c r="BYY126" s="88"/>
      <c r="BYZ126" s="88"/>
      <c r="BZA126" s="88"/>
      <c r="BZB126" s="88"/>
      <c r="BZC126" s="88"/>
      <c r="BZD126" s="88"/>
      <c r="BZE126" s="88"/>
      <c r="BZF126" s="88"/>
      <c r="BZG126" s="88"/>
      <c r="BZH126" s="88"/>
      <c r="BZI126" s="88"/>
      <c r="BZJ126" s="88"/>
      <c r="BZK126" s="88"/>
      <c r="BZL126" s="88"/>
      <c r="BZM126" s="88"/>
      <c r="BZN126" s="88"/>
      <c r="BZO126" s="88"/>
      <c r="BZP126" s="88"/>
      <c r="BZQ126" s="88"/>
      <c r="BZR126" s="88"/>
      <c r="BZS126" s="88"/>
      <c r="BZT126" s="88"/>
      <c r="BZU126" s="88"/>
      <c r="BZV126" s="88"/>
      <c r="BZW126" s="88"/>
      <c r="BZX126" s="88"/>
      <c r="BZY126" s="88"/>
      <c r="BZZ126" s="88"/>
      <c r="CAA126" s="88"/>
      <c r="CAB126" s="88"/>
      <c r="CAC126" s="88"/>
      <c r="CAD126" s="88"/>
      <c r="CAE126" s="88"/>
      <c r="CAF126" s="88"/>
      <c r="CAG126" s="88"/>
      <c r="CAH126" s="88"/>
      <c r="CAI126" s="88"/>
      <c r="CAJ126" s="88"/>
      <c r="CAK126" s="88"/>
      <c r="CAL126" s="88"/>
      <c r="CAM126" s="88"/>
      <c r="CAN126" s="88"/>
      <c r="CAO126" s="88"/>
      <c r="CAP126" s="88"/>
      <c r="CAQ126" s="88"/>
      <c r="CAR126" s="88"/>
      <c r="CAS126" s="88"/>
      <c r="CAT126" s="88"/>
      <c r="CAU126" s="88"/>
      <c r="CAV126" s="88"/>
      <c r="CAW126" s="88"/>
      <c r="CAX126" s="88"/>
      <c r="CAY126" s="88"/>
      <c r="CAZ126" s="88"/>
      <c r="CBA126" s="88"/>
      <c r="CBB126" s="88"/>
      <c r="CBC126" s="88"/>
      <c r="CBD126" s="88"/>
      <c r="CBE126" s="88"/>
      <c r="CBF126" s="88"/>
      <c r="CBG126" s="88"/>
      <c r="CBH126" s="88"/>
      <c r="CBI126" s="88"/>
      <c r="CBJ126" s="88"/>
      <c r="CBK126" s="88"/>
      <c r="CBL126" s="88"/>
      <c r="CBM126" s="88"/>
      <c r="CBN126" s="88"/>
      <c r="CBO126" s="88"/>
      <c r="CBP126" s="88"/>
      <c r="CBQ126" s="88"/>
      <c r="CBR126" s="88"/>
      <c r="CBS126" s="88"/>
      <c r="CBT126" s="88"/>
      <c r="CBU126" s="88"/>
      <c r="CBV126" s="88"/>
      <c r="CBW126" s="88"/>
      <c r="CBX126" s="88"/>
      <c r="CBY126" s="88"/>
      <c r="CBZ126" s="88"/>
      <c r="CCA126" s="88"/>
      <c r="CCB126" s="88"/>
      <c r="CCC126" s="88"/>
      <c r="CCD126" s="88"/>
      <c r="CCE126" s="88"/>
      <c r="CCF126" s="88"/>
      <c r="CCG126" s="88"/>
      <c r="CCH126" s="88"/>
      <c r="CCI126" s="88"/>
      <c r="CCJ126" s="88"/>
      <c r="CCK126" s="88"/>
      <c r="CCL126" s="88"/>
      <c r="CCM126" s="88"/>
      <c r="CCN126" s="88"/>
      <c r="CCO126" s="88"/>
      <c r="CCP126" s="88"/>
      <c r="CCQ126" s="88"/>
      <c r="CCR126" s="88"/>
      <c r="CCS126" s="88"/>
      <c r="CCT126" s="88"/>
      <c r="CCU126" s="88"/>
      <c r="CCV126" s="88"/>
      <c r="CCW126" s="88"/>
      <c r="CCX126" s="88"/>
      <c r="CCY126" s="88"/>
      <c r="CCZ126" s="88"/>
      <c r="CDA126" s="88"/>
      <c r="CDB126" s="88"/>
      <c r="CDC126" s="88"/>
      <c r="CDD126" s="88"/>
      <c r="CDE126" s="88"/>
      <c r="CDF126" s="88"/>
      <c r="CDG126" s="88"/>
      <c r="CDH126" s="88"/>
      <c r="CDI126" s="88"/>
      <c r="CDJ126" s="88"/>
      <c r="CDK126" s="88"/>
      <c r="CDL126" s="88"/>
      <c r="CDM126" s="88"/>
      <c r="CDN126" s="88"/>
      <c r="CDO126" s="88"/>
      <c r="CDP126" s="88"/>
      <c r="CDQ126" s="88"/>
      <c r="CDR126" s="88"/>
      <c r="CDS126" s="88"/>
      <c r="CDT126" s="88"/>
      <c r="CDU126" s="88"/>
      <c r="CDV126" s="88"/>
      <c r="CDW126" s="88"/>
      <c r="CDX126" s="88"/>
      <c r="CDY126" s="88"/>
      <c r="CDZ126" s="88"/>
      <c r="CEA126" s="88"/>
      <c r="CEB126" s="88"/>
      <c r="CEC126" s="88"/>
      <c r="CED126" s="88"/>
      <c r="CEE126" s="88"/>
      <c r="CEF126" s="88"/>
      <c r="CEG126" s="88"/>
      <c r="CEH126" s="88"/>
      <c r="CEI126" s="88"/>
      <c r="CEJ126" s="88"/>
      <c r="CEK126" s="88"/>
    </row>
    <row r="127" spans="1:2169" s="63" customFormat="1">
      <c r="A127" s="73" t="s">
        <v>812</v>
      </c>
      <c r="B127" s="73" t="s">
        <v>717</v>
      </c>
      <c r="C127" s="68" t="str">
        <f>IF('page 2'!$O$4="","",IF('page 2'!$O$4=Gestion!A127,1,0))</f>
        <v/>
      </c>
      <c r="D127" s="68" t="str">
        <f>IF('page 2'!$O$5="","",IF('page 2'!$O$5=Gestion!A127,1,0))</f>
        <v/>
      </c>
      <c r="E127" s="68" t="str">
        <f>IF('page 2'!$O$6="","",IF('page 2'!$O$6=Gestion!A127,1,0))</f>
        <v/>
      </c>
      <c r="F127" s="68" t="str">
        <f>IF('page 2'!$O$7="","",IF('page 2'!$O$7=Gestion!A127,1,0))</f>
        <v/>
      </c>
      <c r="G127" s="68" t="str">
        <f>IF('page 2'!$O$8="","",IF('page 2'!$O$8=Gestion!A127,1,0))</f>
        <v/>
      </c>
      <c r="H127" s="68" t="str">
        <f>IF('page 2'!$O$9="","",IF('page 2'!$O$9=Gestion!A127,1,0))</f>
        <v/>
      </c>
      <c r="I127" s="68" t="str">
        <f>IF('page 2'!$O$10="","",IF('page 2'!$O$10=Gestion!A127,1,0))</f>
        <v/>
      </c>
      <c r="J127" s="68" t="str">
        <f>IF('page 2'!$O$11="","",IF('page 2'!$O$11=Gestion!A127,1,0))</f>
        <v/>
      </c>
      <c r="K127" s="68" t="str">
        <f>IF('page 2'!$O$12="","",IF('page 2'!$O$12=Gestion!A127,1,0))</f>
        <v/>
      </c>
      <c r="L127" s="68" t="str">
        <f>IF('page 2'!$O$13="","",IF('page 2'!$O$13=Gestion!A127,1,0))</f>
        <v/>
      </c>
      <c r="M127" s="68" t="str">
        <f>IF('page 2'!$O$14="","",IF('page 2'!$O$14=Gestion!A127,1,0))</f>
        <v/>
      </c>
      <c r="N127" s="68" t="str">
        <f>IF('page 2'!$O$15="","",IF('page 2'!$O$15=Gestion!A127,1,0))</f>
        <v/>
      </c>
      <c r="O127" s="68" t="str">
        <f>IF('page 2'!$O$16="","",IF('page 2'!$O$16=Gestion!A127,1,0))</f>
        <v/>
      </c>
      <c r="P127" s="68" t="str">
        <f>IF('page 2'!$O$17="","",IF('page 2'!$O$17=Gestion!A127,1,0))</f>
        <v/>
      </c>
      <c r="Q127" s="68" t="str">
        <f>IF('page 2'!$O$18="","",IF('page 2'!$O$18=Gestion!A127,1,0))</f>
        <v/>
      </c>
      <c r="R127" s="68" t="str">
        <f>IF('page 2'!$O$19="","",IF('page 2'!$O$19=Gestion!A127,1,0))</f>
        <v/>
      </c>
      <c r="S127" s="68" t="str">
        <f>IF('page 2'!$O$20="","",IF('page 2'!$O$20=Gestion!A127,1,0))</f>
        <v/>
      </c>
      <c r="T127" s="68" t="str">
        <f>IF('page 2'!$O$25="","",IF('page 2'!$O$25=Gestion!A127,1,0))</f>
        <v/>
      </c>
      <c r="U127" s="68" t="str">
        <f>IF('page 2'!$O$26="","",IF('page 2'!$O$26=Gestion!A127,1,0))</f>
        <v/>
      </c>
      <c r="V127" s="68" t="str">
        <f>IF('page 2'!$O$27="","",IF('page 2'!$O$27=Gestion!A127,1,0))</f>
        <v/>
      </c>
      <c r="W127" s="722">
        <f t="shared" si="14"/>
        <v>0</v>
      </c>
      <c r="X127" s="714"/>
      <c r="Y127" s="68"/>
      <c r="Z127" s="68"/>
      <c r="AA127" s="68"/>
      <c r="AB127" s="68"/>
      <c r="AC127" s="68"/>
      <c r="AD127" s="68"/>
      <c r="AP127" s="130"/>
      <c r="AQ127" s="130"/>
      <c r="AR127" s="130"/>
      <c r="AS127" s="576"/>
      <c r="AT127" s="576"/>
      <c r="AU127" s="576"/>
      <c r="AV127" s="576"/>
      <c r="AW127" s="602"/>
      <c r="AX127" s="602"/>
      <c r="AY127" s="576"/>
      <c r="AZ127" s="576"/>
      <c r="BA127" s="576"/>
      <c r="BB127" s="576"/>
      <c r="BC127" s="576"/>
      <c r="BD127" s="602"/>
      <c r="BE127" s="602"/>
      <c r="BF127" s="602"/>
      <c r="BG127" s="602"/>
      <c r="BH127" s="602"/>
      <c r="BI127" s="602"/>
      <c r="BJ127" s="602"/>
      <c r="BK127" s="602"/>
      <c r="BL127" s="602"/>
      <c r="BM127" s="602"/>
      <c r="BN127" s="602"/>
      <c r="BO127" s="602"/>
      <c r="BP127" s="602"/>
      <c r="BQ127" s="602"/>
      <c r="BR127" s="602"/>
      <c r="BS127" s="576"/>
      <c r="BT127" s="576"/>
      <c r="BU127" s="576"/>
      <c r="BV127" s="576"/>
      <c r="BW127" s="602"/>
      <c r="BX127" s="602"/>
      <c r="BY127" s="602"/>
      <c r="BZ127" s="576"/>
      <c r="CA127" s="602"/>
      <c r="CB127" s="602"/>
      <c r="CC127" s="576"/>
      <c r="CD127" s="576"/>
      <c r="CE127" s="602"/>
      <c r="CF127" s="576"/>
      <c r="CG127" s="576"/>
      <c r="CH127" s="576"/>
      <c r="CI127" s="576"/>
      <c r="CJ127" s="576"/>
      <c r="CK127" s="602"/>
      <c r="CL127" s="602"/>
      <c r="CM127" s="576"/>
      <c r="CN127" s="602"/>
      <c r="CO127" s="602"/>
      <c r="CP127" s="602"/>
      <c r="CQ127" s="576"/>
      <c r="CR127" s="576"/>
      <c r="CS127" s="602"/>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c r="HF127" s="88"/>
      <c r="HG127" s="88"/>
      <c r="HH127" s="88"/>
      <c r="HI127" s="88"/>
      <c r="HJ127" s="88"/>
      <c r="HK127" s="88"/>
      <c r="HL127" s="88"/>
      <c r="HM127" s="88"/>
      <c r="HN127" s="88"/>
      <c r="HO127" s="88"/>
      <c r="HP127" s="88"/>
      <c r="HQ127" s="88"/>
      <c r="HR127" s="88"/>
      <c r="HS127" s="88"/>
      <c r="HT127" s="88"/>
      <c r="HU127" s="88"/>
      <c r="HV127" s="88"/>
      <c r="HW127" s="88"/>
      <c r="HX127" s="88"/>
      <c r="HY127" s="88"/>
      <c r="HZ127" s="88"/>
      <c r="IA127" s="88"/>
      <c r="IB127" s="88"/>
      <c r="IC127" s="88"/>
      <c r="ID127" s="88"/>
      <c r="IE127" s="88"/>
      <c r="IF127" s="88"/>
      <c r="IG127" s="88"/>
      <c r="IH127" s="88"/>
      <c r="II127" s="88"/>
      <c r="IJ127" s="88"/>
      <c r="IK127" s="88"/>
      <c r="IL127" s="88"/>
      <c r="IM127" s="88"/>
      <c r="IN127" s="88"/>
      <c r="IO127" s="88"/>
      <c r="IP127" s="88"/>
      <c r="IQ127" s="88"/>
      <c r="IR127" s="88"/>
      <c r="IS127" s="88"/>
      <c r="IT127" s="88"/>
      <c r="IU127" s="88"/>
      <c r="IV127" s="88"/>
      <c r="IW127" s="88"/>
      <c r="IX127" s="88"/>
      <c r="IY127" s="88"/>
      <c r="IZ127" s="88"/>
      <c r="JA127" s="88"/>
      <c r="JB127" s="88"/>
      <c r="JC127" s="88"/>
      <c r="JD127" s="88"/>
      <c r="JE127" s="88"/>
      <c r="JF127" s="88"/>
      <c r="JG127" s="88"/>
      <c r="JH127" s="88"/>
      <c r="JI127" s="88"/>
      <c r="JJ127" s="88"/>
      <c r="JK127" s="88"/>
      <c r="JL127" s="88"/>
      <c r="JM127" s="88"/>
      <c r="JN127" s="88"/>
      <c r="JO127" s="88"/>
      <c r="JP127" s="88"/>
      <c r="JQ127" s="88"/>
      <c r="JR127" s="88"/>
      <c r="JS127" s="88"/>
      <c r="JT127" s="88"/>
      <c r="JU127" s="88"/>
      <c r="JV127" s="88"/>
      <c r="JW127" s="88"/>
      <c r="JX127" s="88"/>
      <c r="JY127" s="88"/>
      <c r="JZ127" s="88"/>
      <c r="KA127" s="88"/>
      <c r="KB127" s="88"/>
      <c r="KC127" s="88"/>
      <c r="KD127" s="88"/>
      <c r="KE127" s="88"/>
      <c r="KF127" s="88"/>
      <c r="KG127" s="88"/>
      <c r="KH127" s="88"/>
      <c r="KI127" s="88"/>
      <c r="KJ127" s="88"/>
      <c r="KK127" s="88"/>
      <c r="KL127" s="88"/>
      <c r="KM127" s="88"/>
      <c r="KN127" s="88"/>
      <c r="KO127" s="88"/>
      <c r="KP127" s="88"/>
      <c r="KQ127" s="88"/>
      <c r="KR127" s="88"/>
      <c r="KS127" s="88"/>
      <c r="KT127" s="88"/>
      <c r="KU127" s="88"/>
      <c r="KV127" s="88"/>
      <c r="KW127" s="88"/>
      <c r="KX127" s="88"/>
      <c r="KY127" s="88"/>
      <c r="KZ127" s="88"/>
      <c r="LA127" s="88"/>
      <c r="LB127" s="88"/>
      <c r="LC127" s="88"/>
      <c r="LD127" s="88"/>
      <c r="LE127" s="88"/>
      <c r="LF127" s="88"/>
      <c r="LG127" s="88"/>
      <c r="LH127" s="88"/>
      <c r="LI127" s="88"/>
      <c r="LJ127" s="88"/>
      <c r="LK127" s="88"/>
      <c r="LL127" s="88"/>
      <c r="LM127" s="88"/>
      <c r="LN127" s="88"/>
      <c r="LO127" s="88"/>
      <c r="LP127" s="88"/>
      <c r="LQ127" s="88"/>
      <c r="LR127" s="88"/>
      <c r="LS127" s="88"/>
      <c r="LT127" s="88"/>
      <c r="LU127" s="88"/>
      <c r="LV127" s="88"/>
      <c r="LW127" s="88"/>
      <c r="LX127" s="88"/>
      <c r="LY127" s="88"/>
      <c r="LZ127" s="88"/>
      <c r="MA127" s="88"/>
      <c r="MB127" s="88"/>
      <c r="MC127" s="88"/>
      <c r="MD127" s="88"/>
      <c r="ME127" s="88"/>
      <c r="MF127" s="88"/>
      <c r="MG127" s="88"/>
      <c r="MH127" s="88"/>
      <c r="MI127" s="88"/>
      <c r="MJ127" s="88"/>
      <c r="MK127" s="88"/>
      <c r="ML127" s="88"/>
      <c r="MM127" s="88"/>
      <c r="MN127" s="88"/>
      <c r="MO127" s="88"/>
      <c r="MP127" s="88"/>
      <c r="MQ127" s="88"/>
      <c r="MR127" s="88"/>
      <c r="MS127" s="88"/>
      <c r="MT127" s="88"/>
      <c r="MU127" s="88"/>
      <c r="MV127" s="88"/>
      <c r="MW127" s="88"/>
      <c r="MX127" s="88"/>
      <c r="MY127" s="88"/>
      <c r="MZ127" s="88"/>
      <c r="NA127" s="88"/>
      <c r="NB127" s="88"/>
      <c r="NC127" s="88"/>
      <c r="ND127" s="88"/>
      <c r="NE127" s="88"/>
      <c r="NF127" s="88"/>
      <c r="NG127" s="88"/>
      <c r="NH127" s="88"/>
      <c r="NI127" s="88"/>
      <c r="NJ127" s="88"/>
      <c r="NK127" s="88"/>
      <c r="NL127" s="88"/>
      <c r="NM127" s="88"/>
      <c r="NN127" s="88"/>
      <c r="NO127" s="88"/>
      <c r="NP127" s="88"/>
      <c r="NQ127" s="88"/>
      <c r="NR127" s="88"/>
      <c r="NS127" s="88"/>
      <c r="NT127" s="88"/>
      <c r="NU127" s="88"/>
      <c r="NV127" s="88"/>
      <c r="NW127" s="88"/>
      <c r="NX127" s="88"/>
      <c r="NY127" s="88"/>
      <c r="NZ127" s="88"/>
      <c r="OA127" s="88"/>
      <c r="OB127" s="88"/>
      <c r="OC127" s="88"/>
      <c r="OD127" s="88"/>
      <c r="OE127" s="88"/>
      <c r="OF127" s="88"/>
      <c r="OG127" s="88"/>
      <c r="OH127" s="88"/>
      <c r="OI127" s="88"/>
      <c r="OJ127" s="88"/>
      <c r="OK127" s="88"/>
      <c r="OL127" s="88"/>
      <c r="OM127" s="88"/>
      <c r="ON127" s="88"/>
      <c r="OO127" s="88"/>
      <c r="OP127" s="88"/>
      <c r="OQ127" s="88"/>
      <c r="OR127" s="88"/>
      <c r="OS127" s="88"/>
      <c r="OT127" s="88"/>
      <c r="OU127" s="88"/>
      <c r="OV127" s="88"/>
      <c r="OW127" s="88"/>
      <c r="OX127" s="88"/>
      <c r="OY127" s="88"/>
      <c r="OZ127" s="88"/>
      <c r="PA127" s="88"/>
      <c r="PB127" s="88"/>
      <c r="PC127" s="88"/>
      <c r="PD127" s="88"/>
      <c r="PE127" s="88"/>
      <c r="PF127" s="88"/>
      <c r="PG127" s="88"/>
      <c r="PH127" s="88"/>
      <c r="PI127" s="88"/>
      <c r="PJ127" s="88"/>
      <c r="PK127" s="88"/>
      <c r="PL127" s="88"/>
      <c r="PM127" s="88"/>
      <c r="PN127" s="88"/>
      <c r="PO127" s="88"/>
      <c r="PP127" s="88"/>
      <c r="PQ127" s="88"/>
      <c r="PR127" s="88"/>
      <c r="PS127" s="88"/>
      <c r="PT127" s="88"/>
      <c r="PU127" s="88"/>
      <c r="PV127" s="88"/>
      <c r="PW127" s="88"/>
      <c r="PX127" s="88"/>
      <c r="PY127" s="88"/>
      <c r="PZ127" s="88"/>
      <c r="QA127" s="88"/>
      <c r="QB127" s="88"/>
      <c r="QC127" s="88"/>
      <c r="QD127" s="88"/>
      <c r="QE127" s="88"/>
      <c r="QF127" s="88"/>
      <c r="QG127" s="88"/>
      <c r="QH127" s="88"/>
      <c r="QI127" s="88"/>
      <c r="QJ127" s="88"/>
      <c r="QK127" s="88"/>
      <c r="QL127" s="88"/>
      <c r="QM127" s="88"/>
      <c r="QN127" s="88"/>
      <c r="QO127" s="88"/>
      <c r="QP127" s="88"/>
      <c r="QQ127" s="88"/>
      <c r="QR127" s="88"/>
      <c r="QS127" s="88"/>
      <c r="QT127" s="88"/>
      <c r="QU127" s="88"/>
      <c r="QV127" s="88"/>
      <c r="QW127" s="88"/>
      <c r="QX127" s="88"/>
      <c r="QY127" s="88"/>
      <c r="QZ127" s="88"/>
      <c r="RA127" s="88"/>
      <c r="RB127" s="88"/>
      <c r="RC127" s="88"/>
      <c r="RD127" s="88"/>
      <c r="RE127" s="88"/>
      <c r="RF127" s="88"/>
      <c r="RG127" s="88"/>
      <c r="RH127" s="88"/>
      <c r="RI127" s="88"/>
      <c r="RJ127" s="88"/>
      <c r="RK127" s="88"/>
      <c r="RL127" s="88"/>
      <c r="RM127" s="88"/>
      <c r="RN127" s="88"/>
      <c r="RO127" s="88"/>
      <c r="RP127" s="88"/>
      <c r="RQ127" s="88"/>
      <c r="RR127" s="88"/>
      <c r="RS127" s="88"/>
      <c r="RT127" s="88"/>
      <c r="RU127" s="88"/>
      <c r="RV127" s="88"/>
      <c r="RW127" s="88"/>
      <c r="RX127" s="88"/>
      <c r="RY127" s="88"/>
      <c r="RZ127" s="88"/>
      <c r="SA127" s="88"/>
      <c r="SB127" s="88"/>
      <c r="SC127" s="88"/>
      <c r="SD127" s="88"/>
      <c r="SE127" s="88"/>
      <c r="SF127" s="88"/>
      <c r="SG127" s="88"/>
      <c r="SH127" s="88"/>
      <c r="SI127" s="88"/>
      <c r="SJ127" s="88"/>
      <c r="SK127" s="88"/>
      <c r="SL127" s="88"/>
      <c r="SM127" s="88"/>
      <c r="SN127" s="88"/>
      <c r="SO127" s="88"/>
      <c r="SP127" s="88"/>
      <c r="SQ127" s="88"/>
      <c r="SR127" s="88"/>
      <c r="SS127" s="88"/>
      <c r="ST127" s="88"/>
      <c r="SU127" s="88"/>
      <c r="SV127" s="88"/>
      <c r="SW127" s="88"/>
      <c r="SX127" s="88"/>
      <c r="SY127" s="88"/>
      <c r="SZ127" s="88"/>
      <c r="TA127" s="88"/>
      <c r="TB127" s="88"/>
      <c r="TC127" s="88"/>
      <c r="TD127" s="88"/>
      <c r="TE127" s="88"/>
      <c r="TF127" s="88"/>
      <c r="TG127" s="88"/>
      <c r="TH127" s="88"/>
      <c r="TI127" s="88"/>
      <c r="TJ127" s="88"/>
      <c r="TK127" s="88"/>
      <c r="TL127" s="88"/>
      <c r="TM127" s="88"/>
      <c r="TN127" s="88"/>
      <c r="TO127" s="88"/>
      <c r="TP127" s="88"/>
      <c r="TQ127" s="88"/>
      <c r="TR127" s="88"/>
      <c r="TS127" s="88"/>
      <c r="TT127" s="88"/>
      <c r="TU127" s="88"/>
      <c r="TV127" s="88"/>
      <c r="TW127" s="88"/>
      <c r="TX127" s="88"/>
      <c r="TY127" s="88"/>
      <c r="TZ127" s="88"/>
      <c r="UA127" s="88"/>
      <c r="UB127" s="88"/>
      <c r="UC127" s="88"/>
      <c r="UD127" s="88"/>
      <c r="UE127" s="88"/>
      <c r="UF127" s="88"/>
      <c r="UG127" s="88"/>
      <c r="UH127" s="88"/>
      <c r="UI127" s="88"/>
      <c r="UJ127" s="88"/>
      <c r="UK127" s="88"/>
      <c r="UL127" s="88"/>
      <c r="UM127" s="88"/>
      <c r="UN127" s="88"/>
      <c r="UO127" s="88"/>
      <c r="UP127" s="88"/>
      <c r="UQ127" s="88"/>
      <c r="UR127" s="88"/>
      <c r="US127" s="88"/>
      <c r="UT127" s="88"/>
      <c r="UU127" s="88"/>
      <c r="UV127" s="88"/>
      <c r="UW127" s="88"/>
      <c r="UX127" s="88"/>
      <c r="UY127" s="88"/>
      <c r="UZ127" s="88"/>
      <c r="VA127" s="88"/>
      <c r="VB127" s="88"/>
      <c r="VC127" s="88"/>
      <c r="VD127" s="88"/>
      <c r="VE127" s="88"/>
      <c r="VF127" s="88"/>
      <c r="VG127" s="88"/>
      <c r="VH127" s="88"/>
      <c r="VI127" s="88"/>
      <c r="VJ127" s="88"/>
      <c r="VK127" s="88"/>
      <c r="VL127" s="88"/>
      <c r="VM127" s="88"/>
      <c r="VN127" s="88"/>
      <c r="VO127" s="88"/>
      <c r="VP127" s="88"/>
      <c r="VQ127" s="88"/>
      <c r="VR127" s="88"/>
      <c r="VS127" s="88"/>
      <c r="VT127" s="88"/>
      <c r="VU127" s="88"/>
      <c r="VV127" s="88"/>
      <c r="VW127" s="88"/>
      <c r="VX127" s="88"/>
      <c r="VY127" s="88"/>
      <c r="VZ127" s="88"/>
      <c r="WA127" s="88"/>
      <c r="WB127" s="88"/>
      <c r="WC127" s="88"/>
      <c r="WD127" s="88"/>
      <c r="WE127" s="88"/>
      <c r="WF127" s="88"/>
      <c r="WG127" s="88"/>
      <c r="WH127" s="88"/>
      <c r="WI127" s="88"/>
      <c r="WJ127" s="88"/>
      <c r="WK127" s="88"/>
      <c r="WL127" s="88"/>
      <c r="WM127" s="88"/>
      <c r="WN127" s="88"/>
      <c r="WO127" s="88"/>
      <c r="WP127" s="88"/>
      <c r="WQ127" s="88"/>
      <c r="WR127" s="88"/>
      <c r="WS127" s="88"/>
      <c r="WT127" s="88"/>
      <c r="WU127" s="88"/>
      <c r="WV127" s="88"/>
      <c r="WW127" s="88"/>
      <c r="WX127" s="88"/>
      <c r="WY127" s="88"/>
      <c r="WZ127" s="88"/>
      <c r="XA127" s="88"/>
      <c r="XB127" s="88"/>
      <c r="XC127" s="88"/>
      <c r="XD127" s="88"/>
      <c r="XE127" s="88"/>
      <c r="XF127" s="88"/>
      <c r="XG127" s="88"/>
      <c r="XH127" s="88"/>
      <c r="XI127" s="88"/>
      <c r="XJ127" s="88"/>
      <c r="XK127" s="88"/>
      <c r="XL127" s="88"/>
      <c r="XM127" s="88"/>
      <c r="XN127" s="88"/>
      <c r="XO127" s="88"/>
      <c r="XP127" s="88"/>
      <c r="XQ127" s="88"/>
      <c r="XR127" s="88"/>
      <c r="XS127" s="88"/>
      <c r="XT127" s="88"/>
      <c r="XU127" s="88"/>
      <c r="XV127" s="88"/>
      <c r="XW127" s="88"/>
      <c r="XX127" s="88"/>
      <c r="XY127" s="88"/>
      <c r="XZ127" s="88"/>
      <c r="YA127" s="88"/>
      <c r="YB127" s="88"/>
      <c r="YC127" s="88"/>
      <c r="YD127" s="88"/>
      <c r="YE127" s="88"/>
      <c r="YF127" s="88"/>
      <c r="YG127" s="88"/>
      <c r="YH127" s="88"/>
      <c r="YI127" s="88"/>
      <c r="YJ127" s="88"/>
      <c r="YK127" s="88"/>
      <c r="YL127" s="88"/>
      <c r="YM127" s="88"/>
      <c r="YN127" s="88"/>
      <c r="YO127" s="88"/>
      <c r="YP127" s="88"/>
      <c r="YQ127" s="88"/>
      <c r="YR127" s="88"/>
      <c r="YS127" s="88"/>
      <c r="YT127" s="88"/>
      <c r="YU127" s="88"/>
      <c r="YV127" s="88"/>
      <c r="YW127" s="88"/>
      <c r="YX127" s="88"/>
      <c r="YY127" s="88"/>
      <c r="YZ127" s="88"/>
      <c r="ZA127" s="88"/>
      <c r="ZB127" s="88"/>
      <c r="ZC127" s="88"/>
      <c r="ZD127" s="88"/>
      <c r="ZE127" s="88"/>
      <c r="ZF127" s="88"/>
      <c r="ZG127" s="88"/>
      <c r="ZH127" s="88"/>
      <c r="ZI127" s="88"/>
      <c r="ZJ127" s="88"/>
      <c r="ZK127" s="88"/>
      <c r="ZL127" s="88"/>
      <c r="ZM127" s="88"/>
      <c r="ZN127" s="88"/>
      <c r="ZO127" s="88"/>
      <c r="ZP127" s="88"/>
      <c r="ZQ127" s="88"/>
      <c r="ZR127" s="88"/>
      <c r="ZS127" s="88"/>
      <c r="ZT127" s="88"/>
      <c r="ZU127" s="88"/>
      <c r="ZV127" s="88"/>
      <c r="ZW127" s="88"/>
      <c r="ZX127" s="88"/>
      <c r="ZY127" s="88"/>
      <c r="ZZ127" s="88"/>
      <c r="AAA127" s="88"/>
      <c r="AAB127" s="88"/>
      <c r="AAC127" s="88"/>
      <c r="AAD127" s="88"/>
      <c r="AAE127" s="88"/>
      <c r="AAF127" s="88"/>
      <c r="AAG127" s="88"/>
      <c r="AAH127" s="88"/>
      <c r="AAI127" s="88"/>
      <c r="AAJ127" s="88"/>
      <c r="AAK127" s="88"/>
      <c r="AAL127" s="88"/>
      <c r="AAM127" s="88"/>
      <c r="AAN127" s="88"/>
      <c r="AAO127" s="88"/>
      <c r="AAP127" s="88"/>
      <c r="AAQ127" s="88"/>
      <c r="AAR127" s="88"/>
      <c r="AAS127" s="88"/>
      <c r="AAT127" s="88"/>
      <c r="AAU127" s="88"/>
      <c r="AAV127" s="88"/>
      <c r="AAW127" s="88"/>
      <c r="AAX127" s="88"/>
      <c r="AAY127" s="88"/>
      <c r="AAZ127" s="88"/>
      <c r="ABA127" s="88"/>
      <c r="ABB127" s="88"/>
      <c r="ABC127" s="88"/>
      <c r="ABD127" s="88"/>
      <c r="ABE127" s="88"/>
      <c r="ABF127" s="88"/>
      <c r="ABG127" s="88"/>
      <c r="ABH127" s="88"/>
      <c r="ABI127" s="88"/>
      <c r="ABJ127" s="88"/>
      <c r="ABK127" s="88"/>
      <c r="ABL127" s="88"/>
      <c r="ABM127" s="88"/>
      <c r="ABN127" s="88"/>
      <c r="ABO127" s="88"/>
      <c r="ABP127" s="88"/>
      <c r="ABQ127" s="88"/>
      <c r="ABR127" s="88"/>
      <c r="ABS127" s="88"/>
      <c r="ABT127" s="88"/>
      <c r="ABU127" s="88"/>
      <c r="ABV127" s="88"/>
      <c r="ABW127" s="88"/>
      <c r="ABX127" s="88"/>
      <c r="ABY127" s="88"/>
      <c r="ABZ127" s="88"/>
      <c r="ACA127" s="88"/>
      <c r="ACB127" s="88"/>
      <c r="ACC127" s="88"/>
      <c r="ACD127" s="88"/>
      <c r="ACE127" s="88"/>
      <c r="ACF127" s="88"/>
      <c r="ACG127" s="88"/>
      <c r="ACH127" s="88"/>
      <c r="ACI127" s="88"/>
      <c r="ACJ127" s="88"/>
      <c r="ACK127" s="88"/>
      <c r="ACL127" s="88"/>
      <c r="ACM127" s="88"/>
      <c r="ACN127" s="88"/>
      <c r="ACO127" s="88"/>
      <c r="ACP127" s="88"/>
      <c r="ACQ127" s="88"/>
      <c r="ACR127" s="88"/>
      <c r="ACS127" s="88"/>
      <c r="ACT127" s="88"/>
      <c r="ACU127" s="88"/>
      <c r="ACV127" s="88"/>
      <c r="ACW127" s="88"/>
      <c r="ACX127" s="88"/>
      <c r="ACY127" s="88"/>
      <c r="ACZ127" s="88"/>
      <c r="ADA127" s="88"/>
      <c r="ADB127" s="88"/>
      <c r="ADC127" s="88"/>
      <c r="ADD127" s="88"/>
      <c r="ADE127" s="88"/>
      <c r="ADF127" s="88"/>
      <c r="ADG127" s="88"/>
      <c r="ADH127" s="88"/>
      <c r="ADI127" s="88"/>
      <c r="ADJ127" s="88"/>
      <c r="ADK127" s="88"/>
      <c r="ADL127" s="88"/>
      <c r="ADM127" s="88"/>
      <c r="ADN127" s="88"/>
      <c r="ADO127" s="88"/>
      <c r="ADP127" s="88"/>
      <c r="ADQ127" s="88"/>
      <c r="ADR127" s="88"/>
      <c r="ADS127" s="88"/>
      <c r="ADT127" s="88"/>
      <c r="ADU127" s="88"/>
      <c r="ADV127" s="88"/>
      <c r="ADW127" s="88"/>
      <c r="ADX127" s="88"/>
      <c r="ADY127" s="88"/>
      <c r="ADZ127" s="88"/>
      <c r="AEA127" s="88"/>
      <c r="AEB127" s="88"/>
      <c r="AEC127" s="88"/>
      <c r="AED127" s="88"/>
      <c r="AEE127" s="88"/>
      <c r="AEF127" s="88"/>
      <c r="AEG127" s="88"/>
      <c r="AEH127" s="88"/>
      <c r="AEI127" s="88"/>
      <c r="AEJ127" s="88"/>
      <c r="AEK127" s="88"/>
      <c r="AEL127" s="88"/>
      <c r="AEM127" s="88"/>
      <c r="AEN127" s="88"/>
      <c r="AEO127" s="88"/>
      <c r="AEP127" s="88"/>
      <c r="AEQ127" s="88"/>
      <c r="AER127" s="88"/>
      <c r="AES127" s="88"/>
      <c r="AET127" s="88"/>
      <c r="AEU127" s="88"/>
      <c r="AEV127" s="88"/>
      <c r="AEW127" s="88"/>
      <c r="AEX127" s="88"/>
      <c r="AEY127" s="88"/>
      <c r="AEZ127" s="88"/>
      <c r="AFA127" s="88"/>
      <c r="AFB127" s="88"/>
      <c r="AFC127" s="88"/>
      <c r="AFD127" s="88"/>
      <c r="AFE127" s="88"/>
      <c r="AFF127" s="88"/>
      <c r="AFG127" s="88"/>
      <c r="AFH127" s="88"/>
      <c r="AFI127" s="88"/>
      <c r="AFJ127" s="88"/>
      <c r="AFK127" s="88"/>
      <c r="AFL127" s="88"/>
      <c r="AFM127" s="88"/>
      <c r="AFN127" s="88"/>
      <c r="AFO127" s="88"/>
      <c r="AFP127" s="88"/>
      <c r="AFQ127" s="88"/>
      <c r="AFR127" s="88"/>
      <c r="AFS127" s="88"/>
      <c r="AFT127" s="88"/>
      <c r="AFU127" s="88"/>
      <c r="AFV127" s="88"/>
      <c r="AFW127" s="88"/>
      <c r="AFX127" s="88"/>
      <c r="AFY127" s="88"/>
      <c r="AFZ127" s="88"/>
      <c r="AGA127" s="88"/>
      <c r="AGB127" s="88"/>
      <c r="AGC127" s="88"/>
      <c r="AGD127" s="88"/>
      <c r="AGE127" s="88"/>
      <c r="AGF127" s="88"/>
      <c r="AGG127" s="88"/>
      <c r="AGH127" s="88"/>
      <c r="AGI127" s="88"/>
      <c r="AGJ127" s="88"/>
      <c r="AGK127" s="88"/>
      <c r="AGL127" s="88"/>
      <c r="AGM127" s="88"/>
      <c r="AGN127" s="88"/>
      <c r="AGO127" s="88"/>
      <c r="AGP127" s="88"/>
      <c r="AGQ127" s="88"/>
      <c r="AGR127" s="88"/>
      <c r="AGS127" s="88"/>
      <c r="AGT127" s="88"/>
      <c r="AGU127" s="88"/>
      <c r="AGV127" s="88"/>
      <c r="AGW127" s="88"/>
      <c r="AGX127" s="88"/>
      <c r="AGY127" s="88"/>
      <c r="AGZ127" s="88"/>
      <c r="AHA127" s="88"/>
      <c r="AHB127" s="88"/>
      <c r="AHC127" s="88"/>
      <c r="AHD127" s="88"/>
      <c r="AHE127" s="88"/>
      <c r="AHF127" s="88"/>
      <c r="AHG127" s="88"/>
      <c r="AHH127" s="88"/>
      <c r="AHI127" s="88"/>
      <c r="AHJ127" s="88"/>
      <c r="AHK127" s="88"/>
      <c r="AHL127" s="88"/>
      <c r="AHM127" s="88"/>
      <c r="AHN127" s="88"/>
      <c r="AHO127" s="88"/>
      <c r="AHP127" s="88"/>
      <c r="AHQ127" s="88"/>
      <c r="AHR127" s="88"/>
      <c r="AHS127" s="88"/>
      <c r="AHT127" s="88"/>
      <c r="AHU127" s="88"/>
      <c r="AHV127" s="88"/>
      <c r="AHW127" s="88"/>
      <c r="AHX127" s="88"/>
      <c r="AHY127" s="88"/>
      <c r="AHZ127" s="88"/>
      <c r="AIA127" s="88"/>
      <c r="AIB127" s="88"/>
      <c r="AIC127" s="88"/>
      <c r="AID127" s="88"/>
      <c r="AIE127" s="88"/>
      <c r="AIF127" s="88"/>
      <c r="AIG127" s="88"/>
      <c r="AIH127" s="88"/>
      <c r="AII127" s="88"/>
      <c r="AIJ127" s="88"/>
      <c r="AIK127" s="88"/>
      <c r="AIL127" s="88"/>
      <c r="AIM127" s="88"/>
      <c r="AIN127" s="88"/>
      <c r="AIO127" s="88"/>
      <c r="AIP127" s="88"/>
      <c r="AIQ127" s="88"/>
      <c r="AIR127" s="88"/>
      <c r="AIS127" s="88"/>
      <c r="AIT127" s="88"/>
      <c r="AIU127" s="88"/>
      <c r="AIV127" s="88"/>
      <c r="AIW127" s="88"/>
      <c r="AIX127" s="88"/>
      <c r="AIY127" s="88"/>
      <c r="AIZ127" s="88"/>
      <c r="AJA127" s="88"/>
      <c r="AJB127" s="88"/>
      <c r="AJC127" s="88"/>
      <c r="AJD127" s="88"/>
      <c r="AJE127" s="88"/>
      <c r="AJF127" s="88"/>
      <c r="AJG127" s="88"/>
      <c r="AJH127" s="88"/>
      <c r="AJI127" s="88"/>
      <c r="AJJ127" s="88"/>
      <c r="AJK127" s="88"/>
      <c r="AJL127" s="88"/>
      <c r="AJM127" s="88"/>
      <c r="AJN127" s="88"/>
      <c r="AJO127" s="88"/>
      <c r="AJP127" s="88"/>
      <c r="AJQ127" s="88"/>
      <c r="AJR127" s="88"/>
      <c r="AJS127" s="88"/>
      <c r="AJT127" s="88"/>
      <c r="AJU127" s="88"/>
      <c r="AJV127" s="88"/>
      <c r="AJW127" s="88"/>
      <c r="AJX127" s="88"/>
      <c r="AJY127" s="88"/>
      <c r="AJZ127" s="88"/>
      <c r="AKA127" s="88"/>
      <c r="AKB127" s="88"/>
      <c r="AKC127" s="88"/>
      <c r="AKD127" s="88"/>
      <c r="AKE127" s="88"/>
      <c r="AKF127" s="88"/>
      <c r="AKG127" s="88"/>
      <c r="AKH127" s="88"/>
      <c r="AKI127" s="88"/>
      <c r="AKJ127" s="88"/>
      <c r="AKK127" s="88"/>
      <c r="AKL127" s="88"/>
      <c r="AKM127" s="88"/>
      <c r="AKN127" s="88"/>
      <c r="AKO127" s="88"/>
      <c r="AKP127" s="88"/>
      <c r="AKQ127" s="88"/>
      <c r="AKR127" s="88"/>
      <c r="AKS127" s="88"/>
      <c r="AKT127" s="88"/>
      <c r="AKU127" s="88"/>
      <c r="AKV127" s="88"/>
      <c r="AKW127" s="88"/>
      <c r="AKX127" s="88"/>
      <c r="AKY127" s="88"/>
      <c r="AKZ127" s="88"/>
      <c r="ALA127" s="88"/>
      <c r="ALB127" s="88"/>
      <c r="ALC127" s="88"/>
      <c r="ALD127" s="88"/>
      <c r="ALE127" s="88"/>
      <c r="ALF127" s="88"/>
      <c r="ALG127" s="88"/>
      <c r="ALH127" s="88"/>
      <c r="ALI127" s="88"/>
      <c r="ALJ127" s="88"/>
      <c r="ALK127" s="88"/>
      <c r="ALL127" s="88"/>
      <c r="ALM127" s="88"/>
      <c r="ALN127" s="88"/>
      <c r="ALO127" s="88"/>
      <c r="ALP127" s="88"/>
      <c r="ALQ127" s="88"/>
      <c r="ALR127" s="88"/>
      <c r="ALS127" s="88"/>
      <c r="ALT127" s="88"/>
      <c r="ALU127" s="88"/>
      <c r="ALV127" s="88"/>
      <c r="ALW127" s="88"/>
      <c r="ALX127" s="88"/>
      <c r="ALY127" s="88"/>
      <c r="ALZ127" s="88"/>
      <c r="AMA127" s="88"/>
      <c r="AMB127" s="88"/>
      <c r="AMC127" s="88"/>
      <c r="AMD127" s="88"/>
      <c r="AME127" s="88"/>
      <c r="AMF127" s="88"/>
      <c r="AMG127" s="88"/>
      <c r="AMH127" s="88"/>
      <c r="AMI127" s="88"/>
      <c r="AMJ127" s="88"/>
      <c r="AMK127" s="88"/>
      <c r="AML127" s="88"/>
      <c r="AMM127" s="88"/>
      <c r="AMN127" s="88"/>
      <c r="AMO127" s="88"/>
      <c r="AMP127" s="88"/>
      <c r="AMQ127" s="88"/>
      <c r="AMR127" s="88"/>
      <c r="AMS127" s="88"/>
      <c r="AMT127" s="88"/>
      <c r="AMU127" s="88"/>
      <c r="AMV127" s="88"/>
      <c r="AMW127" s="88"/>
      <c r="AMX127" s="88"/>
      <c r="AMY127" s="88"/>
      <c r="AMZ127" s="88"/>
      <c r="ANA127" s="88"/>
      <c r="ANB127" s="88"/>
      <c r="ANC127" s="88"/>
      <c r="AND127" s="88"/>
      <c r="ANE127" s="88"/>
      <c r="ANF127" s="88"/>
      <c r="ANG127" s="88"/>
      <c r="ANH127" s="88"/>
      <c r="ANI127" s="88"/>
      <c r="ANJ127" s="88"/>
      <c r="ANK127" s="88"/>
      <c r="ANL127" s="88"/>
      <c r="ANM127" s="88"/>
      <c r="ANN127" s="88"/>
      <c r="ANO127" s="88"/>
      <c r="ANP127" s="88"/>
      <c r="ANQ127" s="88"/>
      <c r="ANR127" s="88"/>
      <c r="ANS127" s="88"/>
      <c r="ANT127" s="88"/>
      <c r="ANU127" s="88"/>
      <c r="ANV127" s="88"/>
      <c r="ANW127" s="88"/>
      <c r="ANX127" s="88"/>
      <c r="ANY127" s="88"/>
      <c r="ANZ127" s="88"/>
      <c r="AOA127" s="88"/>
      <c r="AOB127" s="88"/>
      <c r="AOC127" s="88"/>
      <c r="AOD127" s="88"/>
      <c r="AOE127" s="88"/>
      <c r="AOF127" s="88"/>
      <c r="AOG127" s="88"/>
      <c r="AOH127" s="88"/>
      <c r="AOI127" s="88"/>
      <c r="AOJ127" s="88"/>
      <c r="AOK127" s="88"/>
      <c r="AOL127" s="88"/>
      <c r="AOM127" s="88"/>
      <c r="AON127" s="88"/>
      <c r="AOO127" s="88"/>
      <c r="AOP127" s="88"/>
      <c r="AOQ127" s="88"/>
      <c r="AOR127" s="88"/>
      <c r="AOS127" s="88"/>
      <c r="AOT127" s="88"/>
      <c r="AOU127" s="88"/>
      <c r="AOV127" s="88"/>
      <c r="AOW127" s="88"/>
      <c r="AOX127" s="88"/>
      <c r="AOY127" s="88"/>
      <c r="AOZ127" s="88"/>
      <c r="APA127" s="88"/>
      <c r="APB127" s="88"/>
      <c r="APC127" s="88"/>
      <c r="APD127" s="88"/>
      <c r="APE127" s="88"/>
      <c r="APF127" s="88"/>
      <c r="APG127" s="88"/>
      <c r="APH127" s="88"/>
      <c r="API127" s="88"/>
      <c r="APJ127" s="88"/>
      <c r="APK127" s="88"/>
      <c r="APL127" s="88"/>
      <c r="APM127" s="88"/>
      <c r="APN127" s="88"/>
      <c r="APO127" s="88"/>
      <c r="APP127" s="88"/>
      <c r="APQ127" s="88"/>
      <c r="APR127" s="88"/>
      <c r="APS127" s="88"/>
      <c r="APT127" s="88"/>
      <c r="APU127" s="88"/>
      <c r="APV127" s="88"/>
      <c r="APW127" s="88"/>
      <c r="APX127" s="88"/>
      <c r="APY127" s="88"/>
      <c r="APZ127" s="88"/>
      <c r="AQA127" s="88"/>
      <c r="AQB127" s="88"/>
      <c r="AQC127" s="88"/>
      <c r="AQD127" s="88"/>
      <c r="AQE127" s="88"/>
      <c r="AQF127" s="88"/>
      <c r="AQG127" s="88"/>
      <c r="AQH127" s="88"/>
      <c r="AQI127" s="88"/>
      <c r="AQJ127" s="88"/>
      <c r="AQK127" s="88"/>
      <c r="AQL127" s="88"/>
      <c r="AQM127" s="88"/>
      <c r="AQN127" s="88"/>
      <c r="AQO127" s="88"/>
      <c r="AQP127" s="88"/>
      <c r="AQQ127" s="88"/>
      <c r="AQR127" s="88"/>
      <c r="AQS127" s="88"/>
      <c r="AQT127" s="88"/>
      <c r="AQU127" s="88"/>
      <c r="AQV127" s="88"/>
      <c r="AQW127" s="88"/>
      <c r="AQX127" s="88"/>
      <c r="AQY127" s="88"/>
      <c r="AQZ127" s="88"/>
      <c r="ARA127" s="88"/>
      <c r="ARB127" s="88"/>
      <c r="ARC127" s="88"/>
      <c r="ARD127" s="88"/>
      <c r="ARE127" s="88"/>
      <c r="ARF127" s="88"/>
      <c r="ARG127" s="88"/>
      <c r="ARH127" s="88"/>
      <c r="ARI127" s="88"/>
      <c r="ARJ127" s="88"/>
      <c r="ARK127" s="88"/>
      <c r="ARL127" s="88"/>
      <c r="ARM127" s="88"/>
      <c r="ARN127" s="88"/>
      <c r="ARO127" s="88"/>
      <c r="ARP127" s="88"/>
      <c r="ARQ127" s="88"/>
      <c r="ARR127" s="88"/>
      <c r="ARS127" s="88"/>
      <c r="ART127" s="88"/>
      <c r="ARU127" s="88"/>
      <c r="ARV127" s="88"/>
      <c r="ARW127" s="88"/>
      <c r="ARX127" s="88"/>
      <c r="ARY127" s="88"/>
      <c r="ARZ127" s="88"/>
      <c r="ASA127" s="88"/>
      <c r="ASB127" s="88"/>
      <c r="ASC127" s="88"/>
      <c r="ASD127" s="88"/>
      <c r="ASE127" s="88"/>
      <c r="ASF127" s="88"/>
      <c r="ASG127" s="88"/>
      <c r="ASH127" s="88"/>
      <c r="ASI127" s="88"/>
      <c r="ASJ127" s="88"/>
      <c r="ASK127" s="88"/>
      <c r="ASL127" s="88"/>
      <c r="ASM127" s="88"/>
      <c r="ASN127" s="88"/>
      <c r="ASO127" s="88"/>
      <c r="ASP127" s="88"/>
      <c r="ASQ127" s="88"/>
      <c r="ASR127" s="88"/>
      <c r="ASS127" s="88"/>
      <c r="AST127" s="88"/>
      <c r="ASU127" s="88"/>
      <c r="ASV127" s="88"/>
      <c r="ASW127" s="88"/>
      <c r="ASX127" s="88"/>
      <c r="ASY127" s="88"/>
      <c r="ASZ127" s="88"/>
      <c r="ATA127" s="88"/>
      <c r="ATB127" s="88"/>
      <c r="ATC127" s="88"/>
      <c r="ATD127" s="88"/>
      <c r="ATE127" s="88"/>
      <c r="ATF127" s="88"/>
      <c r="ATG127" s="88"/>
      <c r="ATH127" s="88"/>
      <c r="ATI127" s="88"/>
      <c r="ATJ127" s="88"/>
      <c r="ATK127" s="88"/>
      <c r="ATL127" s="88"/>
      <c r="ATM127" s="88"/>
      <c r="ATN127" s="88"/>
      <c r="ATO127" s="88"/>
      <c r="ATP127" s="88"/>
      <c r="ATQ127" s="88"/>
      <c r="ATR127" s="88"/>
      <c r="ATS127" s="88"/>
      <c r="ATT127" s="88"/>
      <c r="ATU127" s="88"/>
      <c r="ATV127" s="88"/>
      <c r="ATW127" s="88"/>
      <c r="ATX127" s="88"/>
      <c r="ATY127" s="88"/>
      <c r="ATZ127" s="88"/>
      <c r="AUA127" s="88"/>
      <c r="AUB127" s="88"/>
      <c r="AUC127" s="88"/>
      <c r="AUD127" s="88"/>
      <c r="AUE127" s="88"/>
      <c r="AUF127" s="88"/>
      <c r="AUG127" s="88"/>
      <c r="AUH127" s="88"/>
      <c r="AUI127" s="88"/>
      <c r="AUJ127" s="88"/>
      <c r="AUK127" s="88"/>
      <c r="AUL127" s="88"/>
      <c r="AUM127" s="88"/>
      <c r="AUN127" s="88"/>
      <c r="AUO127" s="88"/>
      <c r="AUP127" s="88"/>
      <c r="AUQ127" s="88"/>
      <c r="AUR127" s="88"/>
      <c r="AUS127" s="88"/>
      <c r="AUT127" s="88"/>
      <c r="AUU127" s="88"/>
      <c r="AUV127" s="88"/>
      <c r="AUW127" s="88"/>
      <c r="AUX127" s="88"/>
      <c r="AUY127" s="88"/>
      <c r="AUZ127" s="88"/>
      <c r="AVA127" s="88"/>
      <c r="AVB127" s="88"/>
      <c r="AVC127" s="88"/>
      <c r="AVD127" s="88"/>
      <c r="AVE127" s="88"/>
      <c r="AVF127" s="88"/>
      <c r="AVG127" s="88"/>
      <c r="AVH127" s="88"/>
      <c r="AVI127" s="88"/>
      <c r="AVJ127" s="88"/>
      <c r="AVK127" s="88"/>
      <c r="AVL127" s="88"/>
      <c r="AVM127" s="88"/>
      <c r="AVN127" s="88"/>
      <c r="AVO127" s="88"/>
      <c r="AVP127" s="88"/>
      <c r="AVQ127" s="88"/>
      <c r="AVR127" s="88"/>
      <c r="AVS127" s="88"/>
      <c r="AVT127" s="88"/>
      <c r="AVU127" s="88"/>
      <c r="AVV127" s="88"/>
      <c r="AVW127" s="88"/>
      <c r="AVX127" s="88"/>
      <c r="AVY127" s="88"/>
      <c r="AVZ127" s="88"/>
      <c r="AWA127" s="88"/>
      <c r="AWB127" s="88"/>
      <c r="AWC127" s="88"/>
      <c r="AWD127" s="88"/>
      <c r="AWE127" s="88"/>
      <c r="AWF127" s="88"/>
      <c r="AWG127" s="88"/>
      <c r="AWH127" s="88"/>
      <c r="AWI127" s="88"/>
      <c r="AWJ127" s="88"/>
      <c r="AWK127" s="88"/>
      <c r="AWL127" s="88"/>
      <c r="AWM127" s="88"/>
      <c r="AWN127" s="88"/>
      <c r="AWO127" s="88"/>
      <c r="AWP127" s="88"/>
      <c r="AWQ127" s="88"/>
      <c r="AWR127" s="88"/>
      <c r="AWS127" s="88"/>
      <c r="AWT127" s="88"/>
      <c r="AWU127" s="88"/>
      <c r="AWV127" s="88"/>
      <c r="AWW127" s="88"/>
      <c r="AWX127" s="88"/>
      <c r="AWY127" s="88"/>
      <c r="AWZ127" s="88"/>
      <c r="AXA127" s="88"/>
      <c r="AXB127" s="88"/>
      <c r="AXC127" s="88"/>
      <c r="AXD127" s="88"/>
      <c r="AXE127" s="88"/>
      <c r="AXF127" s="88"/>
      <c r="AXG127" s="88"/>
      <c r="AXH127" s="88"/>
      <c r="AXI127" s="88"/>
      <c r="AXJ127" s="88"/>
      <c r="AXK127" s="88"/>
      <c r="AXL127" s="88"/>
      <c r="AXM127" s="88"/>
      <c r="AXN127" s="88"/>
      <c r="AXO127" s="88"/>
      <c r="AXP127" s="88"/>
      <c r="AXQ127" s="88"/>
      <c r="AXR127" s="88"/>
      <c r="AXS127" s="88"/>
      <c r="AXT127" s="88"/>
      <c r="AXU127" s="88"/>
      <c r="AXV127" s="88"/>
      <c r="AXW127" s="88"/>
      <c r="AXX127" s="88"/>
      <c r="AXY127" s="88"/>
      <c r="AXZ127" s="88"/>
      <c r="AYA127" s="88"/>
      <c r="AYB127" s="88"/>
      <c r="AYC127" s="88"/>
      <c r="AYD127" s="88"/>
      <c r="AYE127" s="88"/>
      <c r="AYF127" s="88"/>
      <c r="AYG127" s="88"/>
      <c r="AYH127" s="88"/>
      <c r="AYI127" s="88"/>
      <c r="AYJ127" s="88"/>
      <c r="AYK127" s="88"/>
      <c r="AYL127" s="88"/>
      <c r="AYM127" s="88"/>
      <c r="AYN127" s="88"/>
      <c r="AYO127" s="88"/>
      <c r="AYP127" s="88"/>
      <c r="AYQ127" s="88"/>
      <c r="AYR127" s="88"/>
      <c r="AYS127" s="88"/>
      <c r="AYT127" s="88"/>
      <c r="AYU127" s="88"/>
      <c r="AYV127" s="88"/>
      <c r="AYW127" s="88"/>
      <c r="AYX127" s="88"/>
      <c r="AYY127" s="88"/>
      <c r="AYZ127" s="88"/>
      <c r="AZA127" s="88"/>
      <c r="AZB127" s="88"/>
      <c r="AZC127" s="88"/>
      <c r="AZD127" s="88"/>
      <c r="AZE127" s="88"/>
      <c r="AZF127" s="88"/>
      <c r="AZG127" s="88"/>
      <c r="AZH127" s="88"/>
      <c r="AZI127" s="88"/>
      <c r="AZJ127" s="88"/>
      <c r="AZK127" s="88"/>
      <c r="AZL127" s="88"/>
      <c r="AZM127" s="88"/>
      <c r="AZN127" s="88"/>
      <c r="AZO127" s="88"/>
      <c r="AZP127" s="88"/>
      <c r="AZQ127" s="88"/>
      <c r="AZR127" s="88"/>
      <c r="AZS127" s="88"/>
      <c r="AZT127" s="88"/>
      <c r="AZU127" s="88"/>
      <c r="AZV127" s="88"/>
      <c r="AZW127" s="88"/>
      <c r="AZX127" s="88"/>
      <c r="AZY127" s="88"/>
      <c r="AZZ127" s="88"/>
      <c r="BAA127" s="88"/>
      <c r="BAB127" s="88"/>
      <c r="BAC127" s="88"/>
      <c r="BAD127" s="88"/>
      <c r="BAE127" s="88"/>
      <c r="BAF127" s="88"/>
      <c r="BAG127" s="88"/>
      <c r="BAH127" s="88"/>
      <c r="BAI127" s="88"/>
      <c r="BAJ127" s="88"/>
      <c r="BAK127" s="88"/>
      <c r="BAL127" s="88"/>
      <c r="BAM127" s="88"/>
      <c r="BAN127" s="88"/>
      <c r="BAO127" s="88"/>
      <c r="BAP127" s="88"/>
      <c r="BAQ127" s="88"/>
      <c r="BAR127" s="88"/>
      <c r="BAS127" s="88"/>
      <c r="BAT127" s="88"/>
      <c r="BAU127" s="88"/>
      <c r="BAV127" s="88"/>
      <c r="BAW127" s="88"/>
      <c r="BAX127" s="88"/>
      <c r="BAY127" s="88"/>
      <c r="BAZ127" s="88"/>
      <c r="BBA127" s="88"/>
      <c r="BBB127" s="88"/>
      <c r="BBC127" s="88"/>
      <c r="BBD127" s="88"/>
      <c r="BBE127" s="88"/>
      <c r="BBF127" s="88"/>
      <c r="BBG127" s="88"/>
      <c r="BBH127" s="88"/>
      <c r="BBI127" s="88"/>
      <c r="BBJ127" s="88"/>
      <c r="BBK127" s="88"/>
      <c r="BBL127" s="88"/>
      <c r="BBM127" s="88"/>
      <c r="BBN127" s="88"/>
      <c r="BBO127" s="88"/>
      <c r="BBP127" s="88"/>
      <c r="BBQ127" s="88"/>
      <c r="BBR127" s="88"/>
      <c r="BBS127" s="88"/>
      <c r="BBT127" s="88"/>
      <c r="BBU127" s="88"/>
      <c r="BBV127" s="88"/>
      <c r="BBW127" s="88"/>
      <c r="BBX127" s="88"/>
      <c r="BBY127" s="88"/>
      <c r="BBZ127" s="88"/>
      <c r="BCA127" s="88"/>
      <c r="BCB127" s="88"/>
      <c r="BCC127" s="88"/>
      <c r="BCD127" s="88"/>
      <c r="BCE127" s="88"/>
      <c r="BCF127" s="88"/>
      <c r="BCG127" s="88"/>
      <c r="BCH127" s="88"/>
      <c r="BCI127" s="88"/>
      <c r="BCJ127" s="88"/>
      <c r="BCK127" s="88"/>
      <c r="BCL127" s="88"/>
      <c r="BCM127" s="88"/>
      <c r="BCN127" s="88"/>
      <c r="BCO127" s="88"/>
      <c r="BCP127" s="88"/>
      <c r="BCQ127" s="88"/>
      <c r="BCR127" s="88"/>
      <c r="BCS127" s="88"/>
      <c r="BCT127" s="88"/>
      <c r="BCU127" s="88"/>
      <c r="BCV127" s="88"/>
      <c r="BCW127" s="88"/>
      <c r="BCX127" s="88"/>
      <c r="BCY127" s="88"/>
      <c r="BCZ127" s="88"/>
      <c r="BDA127" s="88"/>
      <c r="BDB127" s="88"/>
      <c r="BDC127" s="88"/>
      <c r="BDD127" s="88"/>
      <c r="BDE127" s="88"/>
      <c r="BDF127" s="88"/>
      <c r="BDG127" s="88"/>
      <c r="BDH127" s="88"/>
      <c r="BDI127" s="88"/>
      <c r="BDJ127" s="88"/>
      <c r="BDK127" s="88"/>
      <c r="BDL127" s="88"/>
      <c r="BDM127" s="88"/>
      <c r="BDN127" s="88"/>
      <c r="BDO127" s="88"/>
      <c r="BDP127" s="88"/>
      <c r="BDQ127" s="88"/>
      <c r="BDR127" s="88"/>
      <c r="BDS127" s="88"/>
      <c r="BDT127" s="88"/>
      <c r="BDU127" s="88"/>
      <c r="BDV127" s="88"/>
      <c r="BDW127" s="88"/>
      <c r="BDX127" s="88"/>
      <c r="BDY127" s="88"/>
      <c r="BDZ127" s="88"/>
      <c r="BEA127" s="88"/>
      <c r="BEB127" s="88"/>
      <c r="BEC127" s="88"/>
      <c r="BED127" s="88"/>
      <c r="BEE127" s="88"/>
      <c r="BEF127" s="88"/>
      <c r="BEG127" s="88"/>
      <c r="BEH127" s="88"/>
      <c r="BEI127" s="88"/>
      <c r="BEJ127" s="88"/>
      <c r="BEK127" s="88"/>
      <c r="BEL127" s="88"/>
      <c r="BEM127" s="88"/>
      <c r="BEN127" s="88"/>
      <c r="BEO127" s="88"/>
      <c r="BEP127" s="88"/>
      <c r="BEQ127" s="88"/>
      <c r="BER127" s="88"/>
      <c r="BES127" s="88"/>
      <c r="BET127" s="88"/>
      <c r="BEU127" s="88"/>
      <c r="BEV127" s="88"/>
      <c r="BEW127" s="88"/>
      <c r="BEX127" s="88"/>
      <c r="BEY127" s="88"/>
      <c r="BEZ127" s="88"/>
      <c r="BFA127" s="88"/>
      <c r="BFB127" s="88"/>
      <c r="BFC127" s="88"/>
      <c r="BFD127" s="88"/>
      <c r="BFE127" s="88"/>
      <c r="BFF127" s="88"/>
      <c r="BFG127" s="88"/>
      <c r="BFH127" s="88"/>
      <c r="BFI127" s="88"/>
      <c r="BFJ127" s="88"/>
      <c r="BFK127" s="88"/>
      <c r="BFL127" s="88"/>
      <c r="BFM127" s="88"/>
      <c r="BFN127" s="88"/>
      <c r="BFO127" s="88"/>
      <c r="BFP127" s="88"/>
      <c r="BFQ127" s="88"/>
      <c r="BFR127" s="88"/>
      <c r="BFS127" s="88"/>
      <c r="BFT127" s="88"/>
      <c r="BFU127" s="88"/>
      <c r="BFV127" s="88"/>
      <c r="BFW127" s="88"/>
      <c r="BFX127" s="88"/>
      <c r="BFY127" s="88"/>
      <c r="BFZ127" s="88"/>
      <c r="BGA127" s="88"/>
      <c r="BGB127" s="88"/>
      <c r="BGC127" s="88"/>
      <c r="BGD127" s="88"/>
      <c r="BGE127" s="88"/>
      <c r="BGF127" s="88"/>
      <c r="BGG127" s="88"/>
      <c r="BGH127" s="88"/>
      <c r="BGI127" s="88"/>
      <c r="BGJ127" s="88"/>
      <c r="BGK127" s="88"/>
      <c r="BGL127" s="88"/>
      <c r="BGM127" s="88"/>
      <c r="BGN127" s="88"/>
      <c r="BGO127" s="88"/>
      <c r="BGP127" s="88"/>
      <c r="BGQ127" s="88"/>
      <c r="BGR127" s="88"/>
      <c r="BGS127" s="88"/>
      <c r="BGT127" s="88"/>
      <c r="BGU127" s="88"/>
      <c r="BGV127" s="88"/>
      <c r="BGW127" s="88"/>
      <c r="BGX127" s="88"/>
      <c r="BGY127" s="88"/>
      <c r="BGZ127" s="88"/>
      <c r="BHA127" s="88"/>
      <c r="BHB127" s="88"/>
      <c r="BHC127" s="88"/>
      <c r="BHD127" s="88"/>
      <c r="BHE127" s="88"/>
      <c r="BHF127" s="88"/>
      <c r="BHG127" s="88"/>
      <c r="BHH127" s="88"/>
      <c r="BHI127" s="88"/>
      <c r="BHJ127" s="88"/>
      <c r="BHK127" s="88"/>
      <c r="BHL127" s="88"/>
      <c r="BHM127" s="88"/>
      <c r="BHN127" s="88"/>
      <c r="BHO127" s="88"/>
      <c r="BHP127" s="88"/>
      <c r="BHQ127" s="88"/>
      <c r="BHR127" s="88"/>
      <c r="BHS127" s="88"/>
      <c r="BHT127" s="88"/>
      <c r="BHU127" s="88"/>
      <c r="BHV127" s="88"/>
      <c r="BHW127" s="88"/>
      <c r="BHX127" s="88"/>
      <c r="BHY127" s="88"/>
      <c r="BHZ127" s="88"/>
      <c r="BIA127" s="88"/>
      <c r="BIB127" s="88"/>
      <c r="BIC127" s="88"/>
      <c r="BID127" s="88"/>
      <c r="BIE127" s="88"/>
      <c r="BIF127" s="88"/>
      <c r="BIG127" s="88"/>
      <c r="BIH127" s="88"/>
      <c r="BII127" s="88"/>
      <c r="BIJ127" s="88"/>
      <c r="BIK127" s="88"/>
      <c r="BIL127" s="88"/>
      <c r="BIM127" s="88"/>
      <c r="BIN127" s="88"/>
      <c r="BIO127" s="88"/>
      <c r="BIP127" s="88"/>
      <c r="BIQ127" s="88"/>
      <c r="BIR127" s="88"/>
      <c r="BIS127" s="88"/>
      <c r="BIT127" s="88"/>
      <c r="BIU127" s="88"/>
      <c r="BIV127" s="88"/>
      <c r="BIW127" s="88"/>
      <c r="BIX127" s="88"/>
      <c r="BIY127" s="88"/>
      <c r="BIZ127" s="88"/>
      <c r="BJA127" s="88"/>
      <c r="BJB127" s="88"/>
      <c r="BJC127" s="88"/>
      <c r="BJD127" s="88"/>
      <c r="BJE127" s="88"/>
      <c r="BJF127" s="88"/>
      <c r="BJG127" s="88"/>
      <c r="BJH127" s="88"/>
      <c r="BJI127" s="88"/>
      <c r="BJJ127" s="88"/>
      <c r="BJK127" s="88"/>
      <c r="BJL127" s="88"/>
      <c r="BJM127" s="88"/>
      <c r="BJN127" s="88"/>
      <c r="BJO127" s="88"/>
      <c r="BJP127" s="88"/>
      <c r="BJQ127" s="88"/>
      <c r="BJR127" s="88"/>
      <c r="BJS127" s="88"/>
      <c r="BJT127" s="88"/>
      <c r="BJU127" s="88"/>
      <c r="BJV127" s="88"/>
      <c r="BJW127" s="88"/>
      <c r="BJX127" s="88"/>
      <c r="BJY127" s="88"/>
      <c r="BJZ127" s="88"/>
      <c r="BKA127" s="88"/>
      <c r="BKB127" s="88"/>
      <c r="BKC127" s="88"/>
      <c r="BKD127" s="88"/>
      <c r="BKE127" s="88"/>
      <c r="BKF127" s="88"/>
      <c r="BKG127" s="88"/>
      <c r="BKH127" s="88"/>
      <c r="BKI127" s="88"/>
      <c r="BKJ127" s="88"/>
      <c r="BKK127" s="88"/>
      <c r="BKL127" s="88"/>
      <c r="BKM127" s="88"/>
      <c r="BKN127" s="88"/>
      <c r="BKO127" s="88"/>
      <c r="BKP127" s="88"/>
      <c r="BKQ127" s="88"/>
      <c r="BKR127" s="88"/>
      <c r="BKS127" s="88"/>
      <c r="BKT127" s="88"/>
      <c r="BKU127" s="88"/>
      <c r="BKV127" s="88"/>
      <c r="BKW127" s="88"/>
      <c r="BKX127" s="88"/>
      <c r="BKY127" s="88"/>
      <c r="BKZ127" s="88"/>
      <c r="BLA127" s="88"/>
      <c r="BLB127" s="88"/>
      <c r="BLC127" s="88"/>
      <c r="BLD127" s="88"/>
      <c r="BLE127" s="88"/>
      <c r="BLF127" s="88"/>
      <c r="BLG127" s="88"/>
      <c r="BLH127" s="88"/>
      <c r="BLI127" s="88"/>
      <c r="BLJ127" s="88"/>
      <c r="BLK127" s="88"/>
      <c r="BLL127" s="88"/>
      <c r="BLM127" s="88"/>
      <c r="BLN127" s="88"/>
      <c r="BLO127" s="88"/>
      <c r="BLP127" s="88"/>
      <c r="BLQ127" s="88"/>
      <c r="BLR127" s="88"/>
      <c r="BLS127" s="88"/>
      <c r="BLT127" s="88"/>
      <c r="BLU127" s="88"/>
      <c r="BLV127" s="88"/>
      <c r="BLW127" s="88"/>
      <c r="BLX127" s="88"/>
      <c r="BLY127" s="88"/>
      <c r="BLZ127" s="88"/>
      <c r="BMA127" s="88"/>
      <c r="BMB127" s="88"/>
      <c r="BMC127" s="88"/>
      <c r="BMD127" s="88"/>
      <c r="BME127" s="88"/>
      <c r="BMF127" s="88"/>
      <c r="BMG127" s="88"/>
      <c r="BMH127" s="88"/>
      <c r="BMI127" s="88"/>
      <c r="BMJ127" s="88"/>
      <c r="BMK127" s="88"/>
      <c r="BML127" s="88"/>
      <c r="BMM127" s="88"/>
      <c r="BMN127" s="88"/>
      <c r="BMO127" s="88"/>
      <c r="BMP127" s="88"/>
      <c r="BMQ127" s="88"/>
      <c r="BMR127" s="88"/>
      <c r="BMS127" s="88"/>
      <c r="BMT127" s="88"/>
      <c r="BMU127" s="88"/>
      <c r="BMV127" s="88"/>
      <c r="BMW127" s="88"/>
      <c r="BMX127" s="88"/>
      <c r="BMY127" s="88"/>
      <c r="BMZ127" s="88"/>
      <c r="BNA127" s="88"/>
      <c r="BNB127" s="88"/>
      <c r="BNC127" s="88"/>
      <c r="BND127" s="88"/>
      <c r="BNE127" s="88"/>
      <c r="BNF127" s="88"/>
      <c r="BNG127" s="88"/>
      <c r="BNH127" s="88"/>
      <c r="BNI127" s="88"/>
      <c r="BNJ127" s="88"/>
      <c r="BNK127" s="88"/>
      <c r="BNL127" s="88"/>
      <c r="BNM127" s="88"/>
      <c r="BNN127" s="88"/>
      <c r="BNO127" s="88"/>
      <c r="BNP127" s="88"/>
      <c r="BNQ127" s="88"/>
      <c r="BNR127" s="88"/>
      <c r="BNS127" s="88"/>
      <c r="BNT127" s="88"/>
      <c r="BNU127" s="88"/>
      <c r="BNV127" s="88"/>
      <c r="BNW127" s="88"/>
      <c r="BNX127" s="88"/>
      <c r="BNY127" s="88"/>
      <c r="BNZ127" s="88"/>
      <c r="BOA127" s="88"/>
      <c r="BOB127" s="88"/>
      <c r="BOC127" s="88"/>
      <c r="BOD127" s="88"/>
      <c r="BOE127" s="88"/>
      <c r="BOF127" s="88"/>
      <c r="BOG127" s="88"/>
      <c r="BOH127" s="88"/>
      <c r="BOI127" s="88"/>
      <c r="BOJ127" s="88"/>
      <c r="BOK127" s="88"/>
      <c r="BOL127" s="88"/>
      <c r="BOM127" s="88"/>
      <c r="BON127" s="88"/>
      <c r="BOO127" s="88"/>
      <c r="BOP127" s="88"/>
      <c r="BOQ127" s="88"/>
      <c r="BOR127" s="88"/>
      <c r="BOS127" s="88"/>
      <c r="BOT127" s="88"/>
      <c r="BOU127" s="88"/>
      <c r="BOV127" s="88"/>
      <c r="BOW127" s="88"/>
      <c r="BOX127" s="88"/>
      <c r="BOY127" s="88"/>
      <c r="BOZ127" s="88"/>
      <c r="BPA127" s="88"/>
      <c r="BPB127" s="88"/>
      <c r="BPC127" s="88"/>
      <c r="BPD127" s="88"/>
      <c r="BPE127" s="88"/>
      <c r="BPF127" s="88"/>
      <c r="BPG127" s="88"/>
      <c r="BPH127" s="88"/>
      <c r="BPI127" s="88"/>
      <c r="BPJ127" s="88"/>
      <c r="BPK127" s="88"/>
      <c r="BPL127" s="88"/>
      <c r="BPM127" s="88"/>
      <c r="BPN127" s="88"/>
      <c r="BPO127" s="88"/>
      <c r="BPP127" s="88"/>
      <c r="BPQ127" s="88"/>
      <c r="BPR127" s="88"/>
      <c r="BPS127" s="88"/>
      <c r="BPT127" s="88"/>
      <c r="BPU127" s="88"/>
      <c r="BPV127" s="88"/>
      <c r="BPW127" s="88"/>
      <c r="BPX127" s="88"/>
      <c r="BPY127" s="88"/>
      <c r="BPZ127" s="88"/>
      <c r="BQA127" s="88"/>
      <c r="BQB127" s="88"/>
      <c r="BQC127" s="88"/>
      <c r="BQD127" s="88"/>
      <c r="BQE127" s="88"/>
      <c r="BQF127" s="88"/>
      <c r="BQG127" s="88"/>
      <c r="BQH127" s="88"/>
      <c r="BQI127" s="88"/>
      <c r="BQJ127" s="88"/>
      <c r="BQK127" s="88"/>
      <c r="BQL127" s="88"/>
      <c r="BQM127" s="88"/>
      <c r="BQN127" s="88"/>
      <c r="BQO127" s="88"/>
      <c r="BQP127" s="88"/>
      <c r="BQQ127" s="88"/>
      <c r="BQR127" s="88"/>
      <c r="BQS127" s="88"/>
      <c r="BQT127" s="88"/>
      <c r="BQU127" s="88"/>
      <c r="BQV127" s="88"/>
      <c r="BQW127" s="88"/>
      <c r="BQX127" s="88"/>
      <c r="BQY127" s="88"/>
      <c r="BQZ127" s="88"/>
      <c r="BRA127" s="88"/>
      <c r="BRB127" s="88"/>
      <c r="BRC127" s="88"/>
      <c r="BRD127" s="88"/>
      <c r="BRE127" s="88"/>
      <c r="BRF127" s="88"/>
      <c r="BRG127" s="88"/>
      <c r="BRH127" s="88"/>
      <c r="BRI127" s="88"/>
      <c r="BRJ127" s="88"/>
      <c r="BRK127" s="88"/>
      <c r="BRL127" s="88"/>
      <c r="BRM127" s="88"/>
      <c r="BRN127" s="88"/>
      <c r="BRO127" s="88"/>
      <c r="BRP127" s="88"/>
      <c r="BRQ127" s="88"/>
      <c r="BRR127" s="88"/>
      <c r="BRS127" s="88"/>
      <c r="BRT127" s="88"/>
      <c r="BRU127" s="88"/>
      <c r="BRV127" s="88"/>
      <c r="BRW127" s="88"/>
      <c r="BRX127" s="88"/>
      <c r="BRY127" s="88"/>
      <c r="BRZ127" s="88"/>
      <c r="BSA127" s="88"/>
      <c r="BSB127" s="88"/>
      <c r="BSC127" s="88"/>
      <c r="BSD127" s="88"/>
      <c r="BSE127" s="88"/>
      <c r="BSF127" s="88"/>
      <c r="BSG127" s="88"/>
      <c r="BSH127" s="88"/>
      <c r="BSI127" s="88"/>
      <c r="BSJ127" s="88"/>
      <c r="BSK127" s="88"/>
      <c r="BSL127" s="88"/>
      <c r="BSM127" s="88"/>
      <c r="BSN127" s="88"/>
      <c r="BSO127" s="88"/>
      <c r="BSP127" s="88"/>
      <c r="BSQ127" s="88"/>
      <c r="BSR127" s="88"/>
      <c r="BSS127" s="88"/>
      <c r="BST127" s="88"/>
      <c r="BSU127" s="88"/>
      <c r="BSV127" s="88"/>
      <c r="BSW127" s="88"/>
      <c r="BSX127" s="88"/>
      <c r="BSY127" s="88"/>
      <c r="BSZ127" s="88"/>
      <c r="BTA127" s="88"/>
      <c r="BTB127" s="88"/>
      <c r="BTC127" s="88"/>
      <c r="BTD127" s="88"/>
      <c r="BTE127" s="88"/>
      <c r="BTF127" s="88"/>
      <c r="BTG127" s="88"/>
      <c r="BTH127" s="88"/>
      <c r="BTI127" s="88"/>
      <c r="BTJ127" s="88"/>
      <c r="BTK127" s="88"/>
      <c r="BTL127" s="88"/>
      <c r="BTM127" s="88"/>
      <c r="BTN127" s="88"/>
      <c r="BTO127" s="88"/>
      <c r="BTP127" s="88"/>
      <c r="BTQ127" s="88"/>
      <c r="BTR127" s="88"/>
      <c r="BTS127" s="88"/>
      <c r="BTT127" s="88"/>
      <c r="BTU127" s="88"/>
      <c r="BTV127" s="88"/>
      <c r="BTW127" s="88"/>
      <c r="BTX127" s="88"/>
      <c r="BTY127" s="88"/>
      <c r="BTZ127" s="88"/>
      <c r="BUA127" s="88"/>
      <c r="BUB127" s="88"/>
      <c r="BUC127" s="88"/>
      <c r="BUD127" s="88"/>
      <c r="BUE127" s="88"/>
      <c r="BUF127" s="88"/>
      <c r="BUG127" s="88"/>
      <c r="BUH127" s="88"/>
      <c r="BUI127" s="88"/>
      <c r="BUJ127" s="88"/>
      <c r="BUK127" s="88"/>
      <c r="BUL127" s="88"/>
      <c r="BUM127" s="88"/>
      <c r="BUN127" s="88"/>
      <c r="BUO127" s="88"/>
      <c r="BUP127" s="88"/>
      <c r="BUQ127" s="88"/>
      <c r="BUR127" s="88"/>
      <c r="BUS127" s="88"/>
      <c r="BUT127" s="88"/>
      <c r="BUU127" s="88"/>
      <c r="BUV127" s="88"/>
      <c r="BUW127" s="88"/>
      <c r="BUX127" s="88"/>
      <c r="BUY127" s="88"/>
      <c r="BUZ127" s="88"/>
      <c r="BVA127" s="88"/>
      <c r="BVB127" s="88"/>
      <c r="BVC127" s="88"/>
      <c r="BVD127" s="88"/>
      <c r="BVE127" s="88"/>
      <c r="BVF127" s="88"/>
      <c r="BVG127" s="88"/>
      <c r="BVH127" s="88"/>
      <c r="BVI127" s="88"/>
      <c r="BVJ127" s="88"/>
      <c r="BVK127" s="88"/>
      <c r="BVL127" s="88"/>
      <c r="BVM127" s="88"/>
      <c r="BVN127" s="88"/>
      <c r="BVO127" s="88"/>
      <c r="BVP127" s="88"/>
      <c r="BVQ127" s="88"/>
      <c r="BVR127" s="88"/>
      <c r="BVS127" s="88"/>
      <c r="BVT127" s="88"/>
      <c r="BVU127" s="88"/>
      <c r="BVV127" s="88"/>
      <c r="BVW127" s="88"/>
      <c r="BVX127" s="88"/>
      <c r="BVY127" s="88"/>
      <c r="BVZ127" s="88"/>
      <c r="BWA127" s="88"/>
      <c r="BWB127" s="88"/>
      <c r="BWC127" s="88"/>
      <c r="BWD127" s="88"/>
      <c r="BWE127" s="88"/>
      <c r="BWF127" s="88"/>
      <c r="BWG127" s="88"/>
      <c r="BWH127" s="88"/>
      <c r="BWI127" s="88"/>
      <c r="BWJ127" s="88"/>
      <c r="BWK127" s="88"/>
      <c r="BWL127" s="88"/>
      <c r="BWM127" s="88"/>
      <c r="BWN127" s="88"/>
      <c r="BWO127" s="88"/>
      <c r="BWP127" s="88"/>
      <c r="BWQ127" s="88"/>
      <c r="BWR127" s="88"/>
      <c r="BWS127" s="88"/>
      <c r="BWT127" s="88"/>
      <c r="BWU127" s="88"/>
      <c r="BWV127" s="88"/>
      <c r="BWW127" s="88"/>
      <c r="BWX127" s="88"/>
      <c r="BWY127" s="88"/>
      <c r="BWZ127" s="88"/>
      <c r="BXA127" s="88"/>
      <c r="BXB127" s="88"/>
      <c r="BXC127" s="88"/>
      <c r="BXD127" s="88"/>
      <c r="BXE127" s="88"/>
      <c r="BXF127" s="88"/>
      <c r="BXG127" s="88"/>
      <c r="BXH127" s="88"/>
      <c r="BXI127" s="88"/>
      <c r="BXJ127" s="88"/>
      <c r="BXK127" s="88"/>
      <c r="BXL127" s="88"/>
      <c r="BXM127" s="88"/>
      <c r="BXN127" s="88"/>
      <c r="BXO127" s="88"/>
      <c r="BXP127" s="88"/>
      <c r="BXQ127" s="88"/>
      <c r="BXR127" s="88"/>
      <c r="BXS127" s="88"/>
      <c r="BXT127" s="88"/>
      <c r="BXU127" s="88"/>
      <c r="BXV127" s="88"/>
      <c r="BXW127" s="88"/>
      <c r="BXX127" s="88"/>
      <c r="BXY127" s="88"/>
      <c r="BXZ127" s="88"/>
      <c r="BYA127" s="88"/>
      <c r="BYB127" s="88"/>
      <c r="BYC127" s="88"/>
      <c r="BYD127" s="88"/>
      <c r="BYE127" s="88"/>
      <c r="BYF127" s="88"/>
      <c r="BYG127" s="88"/>
      <c r="BYH127" s="88"/>
      <c r="BYI127" s="88"/>
      <c r="BYJ127" s="88"/>
      <c r="BYK127" s="88"/>
      <c r="BYL127" s="88"/>
      <c r="BYM127" s="88"/>
      <c r="BYN127" s="88"/>
      <c r="BYO127" s="88"/>
      <c r="BYP127" s="88"/>
      <c r="BYQ127" s="88"/>
      <c r="BYR127" s="88"/>
      <c r="BYS127" s="88"/>
      <c r="BYT127" s="88"/>
      <c r="BYU127" s="88"/>
      <c r="BYV127" s="88"/>
      <c r="BYW127" s="88"/>
      <c r="BYX127" s="88"/>
      <c r="BYY127" s="88"/>
      <c r="BYZ127" s="88"/>
      <c r="BZA127" s="88"/>
      <c r="BZB127" s="88"/>
      <c r="BZC127" s="88"/>
      <c r="BZD127" s="88"/>
      <c r="BZE127" s="88"/>
      <c r="BZF127" s="88"/>
      <c r="BZG127" s="88"/>
      <c r="BZH127" s="88"/>
      <c r="BZI127" s="88"/>
      <c r="BZJ127" s="88"/>
      <c r="BZK127" s="88"/>
      <c r="BZL127" s="88"/>
      <c r="BZM127" s="88"/>
      <c r="BZN127" s="88"/>
      <c r="BZO127" s="88"/>
      <c r="BZP127" s="88"/>
      <c r="BZQ127" s="88"/>
      <c r="BZR127" s="88"/>
      <c r="BZS127" s="88"/>
      <c r="BZT127" s="88"/>
      <c r="BZU127" s="88"/>
      <c r="BZV127" s="88"/>
      <c r="BZW127" s="88"/>
      <c r="BZX127" s="88"/>
      <c r="BZY127" s="88"/>
      <c r="BZZ127" s="88"/>
      <c r="CAA127" s="88"/>
      <c r="CAB127" s="88"/>
      <c r="CAC127" s="88"/>
      <c r="CAD127" s="88"/>
      <c r="CAE127" s="88"/>
      <c r="CAF127" s="88"/>
      <c r="CAG127" s="88"/>
      <c r="CAH127" s="88"/>
      <c r="CAI127" s="88"/>
      <c r="CAJ127" s="88"/>
      <c r="CAK127" s="88"/>
      <c r="CAL127" s="88"/>
      <c r="CAM127" s="88"/>
      <c r="CAN127" s="88"/>
      <c r="CAO127" s="88"/>
      <c r="CAP127" s="88"/>
      <c r="CAQ127" s="88"/>
      <c r="CAR127" s="88"/>
      <c r="CAS127" s="88"/>
      <c r="CAT127" s="88"/>
      <c r="CAU127" s="88"/>
      <c r="CAV127" s="88"/>
      <c r="CAW127" s="88"/>
      <c r="CAX127" s="88"/>
      <c r="CAY127" s="88"/>
      <c r="CAZ127" s="88"/>
      <c r="CBA127" s="88"/>
      <c r="CBB127" s="88"/>
      <c r="CBC127" s="88"/>
      <c r="CBD127" s="88"/>
      <c r="CBE127" s="88"/>
      <c r="CBF127" s="88"/>
      <c r="CBG127" s="88"/>
      <c r="CBH127" s="88"/>
      <c r="CBI127" s="88"/>
      <c r="CBJ127" s="88"/>
      <c r="CBK127" s="88"/>
      <c r="CBL127" s="88"/>
      <c r="CBM127" s="88"/>
      <c r="CBN127" s="88"/>
      <c r="CBO127" s="88"/>
      <c r="CBP127" s="88"/>
      <c r="CBQ127" s="88"/>
      <c r="CBR127" s="88"/>
      <c r="CBS127" s="88"/>
      <c r="CBT127" s="88"/>
      <c r="CBU127" s="88"/>
      <c r="CBV127" s="88"/>
      <c r="CBW127" s="88"/>
      <c r="CBX127" s="88"/>
      <c r="CBY127" s="88"/>
      <c r="CBZ127" s="88"/>
      <c r="CCA127" s="88"/>
      <c r="CCB127" s="88"/>
      <c r="CCC127" s="88"/>
      <c r="CCD127" s="88"/>
      <c r="CCE127" s="88"/>
      <c r="CCF127" s="88"/>
      <c r="CCG127" s="88"/>
      <c r="CCH127" s="88"/>
      <c r="CCI127" s="88"/>
      <c r="CCJ127" s="88"/>
      <c r="CCK127" s="88"/>
      <c r="CCL127" s="88"/>
      <c r="CCM127" s="88"/>
      <c r="CCN127" s="88"/>
      <c r="CCO127" s="88"/>
      <c r="CCP127" s="88"/>
      <c r="CCQ127" s="88"/>
      <c r="CCR127" s="88"/>
      <c r="CCS127" s="88"/>
      <c r="CCT127" s="88"/>
      <c r="CCU127" s="88"/>
      <c r="CCV127" s="88"/>
      <c r="CCW127" s="88"/>
      <c r="CCX127" s="88"/>
      <c r="CCY127" s="88"/>
      <c r="CCZ127" s="88"/>
      <c r="CDA127" s="88"/>
      <c r="CDB127" s="88"/>
      <c r="CDC127" s="88"/>
      <c r="CDD127" s="88"/>
      <c r="CDE127" s="88"/>
      <c r="CDF127" s="88"/>
      <c r="CDG127" s="88"/>
      <c r="CDH127" s="88"/>
      <c r="CDI127" s="88"/>
      <c r="CDJ127" s="88"/>
      <c r="CDK127" s="88"/>
      <c r="CDL127" s="88"/>
      <c r="CDM127" s="88"/>
      <c r="CDN127" s="88"/>
      <c r="CDO127" s="88"/>
      <c r="CDP127" s="88"/>
      <c r="CDQ127" s="88"/>
      <c r="CDR127" s="88"/>
      <c r="CDS127" s="88"/>
      <c r="CDT127" s="88"/>
      <c r="CDU127" s="88"/>
      <c r="CDV127" s="88"/>
      <c r="CDW127" s="88"/>
      <c r="CDX127" s="88"/>
      <c r="CDY127" s="88"/>
      <c r="CDZ127" s="88"/>
      <c r="CEA127" s="88"/>
      <c r="CEB127" s="88"/>
      <c r="CEC127" s="88"/>
      <c r="CED127" s="88"/>
      <c r="CEE127" s="88"/>
      <c r="CEF127" s="88"/>
      <c r="CEG127" s="88"/>
      <c r="CEH127" s="88"/>
      <c r="CEI127" s="88"/>
      <c r="CEJ127" s="88"/>
      <c r="CEK127" s="88"/>
    </row>
    <row r="128" spans="1:2169" s="63" customFormat="1">
      <c r="A128" s="73" t="s">
        <v>813</v>
      </c>
      <c r="B128" s="73" t="s">
        <v>718</v>
      </c>
      <c r="C128" s="68" t="str">
        <f>IF('page 2'!$O$4="","",IF('page 2'!$O$4=Gestion!A128,1,0))</f>
        <v/>
      </c>
      <c r="D128" s="68" t="str">
        <f>IF('page 2'!$O$5="","",IF('page 2'!$O$5=Gestion!A128,1,0))</f>
        <v/>
      </c>
      <c r="E128" s="68" t="str">
        <f>IF('page 2'!$O$6="","",IF('page 2'!$O$6=Gestion!A128,1,0))</f>
        <v/>
      </c>
      <c r="F128" s="68" t="str">
        <f>IF('page 2'!$O$7="","",IF('page 2'!$O$7=Gestion!A128,1,0))</f>
        <v/>
      </c>
      <c r="G128" s="68" t="str">
        <f>IF('page 2'!$O$8="","",IF('page 2'!$O$8=Gestion!A128,1,0))</f>
        <v/>
      </c>
      <c r="H128" s="68" t="str">
        <f>IF('page 2'!$O$9="","",IF('page 2'!$O$9=Gestion!A128,1,0))</f>
        <v/>
      </c>
      <c r="I128" s="68" t="str">
        <f>IF('page 2'!$O$10="","",IF('page 2'!$O$10=Gestion!A128,1,0))</f>
        <v/>
      </c>
      <c r="J128" s="68" t="str">
        <f>IF('page 2'!$O$11="","",IF('page 2'!$O$11=Gestion!A128,1,0))</f>
        <v/>
      </c>
      <c r="K128" s="68" t="str">
        <f>IF('page 2'!$O$12="","",IF('page 2'!$O$12=Gestion!A128,1,0))</f>
        <v/>
      </c>
      <c r="L128" s="68" t="str">
        <f>IF('page 2'!$O$13="","",IF('page 2'!$O$13=Gestion!A128,1,0))</f>
        <v/>
      </c>
      <c r="M128" s="68" t="str">
        <f>IF('page 2'!$O$14="","",IF('page 2'!$O$14=Gestion!A128,1,0))</f>
        <v/>
      </c>
      <c r="N128" s="68" t="str">
        <f>IF('page 2'!$O$15="","",IF('page 2'!$O$15=Gestion!A128,1,0))</f>
        <v/>
      </c>
      <c r="O128" s="68" t="str">
        <f>IF('page 2'!$O$16="","",IF('page 2'!$O$16=Gestion!A128,1,0))</f>
        <v/>
      </c>
      <c r="P128" s="68" t="str">
        <f>IF('page 2'!$O$17="","",IF('page 2'!$O$17=Gestion!A128,1,0))</f>
        <v/>
      </c>
      <c r="Q128" s="68" t="str">
        <f>IF('page 2'!$O$18="","",IF('page 2'!$O$18=Gestion!A128,1,0))</f>
        <v/>
      </c>
      <c r="R128" s="68" t="str">
        <f>IF('page 2'!$O$19="","",IF('page 2'!$O$19=Gestion!A128,1,0))</f>
        <v/>
      </c>
      <c r="S128" s="68" t="str">
        <f>IF('page 2'!$O$20="","",IF('page 2'!$O$20=Gestion!A128,1,0))</f>
        <v/>
      </c>
      <c r="T128" s="68" t="str">
        <f>IF('page 2'!$O$25="","",IF('page 2'!$O$25=Gestion!A128,1,0))</f>
        <v/>
      </c>
      <c r="U128" s="68" t="str">
        <f>IF('page 2'!$O$26="","",IF('page 2'!$O$26=Gestion!A128,1,0))</f>
        <v/>
      </c>
      <c r="V128" s="68" t="str">
        <f>IF('page 2'!$O$27="","",IF('page 2'!$O$27=Gestion!A128,1,0))</f>
        <v/>
      </c>
      <c r="W128" s="722">
        <f t="shared" si="14"/>
        <v>0</v>
      </c>
      <c r="X128" s="714"/>
      <c r="Y128" s="68"/>
      <c r="Z128" s="68"/>
      <c r="AA128" s="68"/>
      <c r="AB128" s="68"/>
      <c r="AC128" s="68"/>
      <c r="AD128" s="68"/>
      <c r="AP128" s="130"/>
      <c r="AQ128" s="130"/>
      <c r="AR128" s="130"/>
      <c r="AS128" s="576"/>
      <c r="AT128" s="576"/>
      <c r="AU128" s="576"/>
      <c r="AV128" s="576"/>
      <c r="AW128" s="602"/>
      <c r="AX128" s="602"/>
      <c r="AY128" s="576"/>
      <c r="AZ128" s="576"/>
      <c r="BA128" s="576"/>
      <c r="BB128" s="576"/>
      <c r="BC128" s="576"/>
      <c r="BD128" s="602"/>
      <c r="BE128" s="602"/>
      <c r="BF128" s="602"/>
      <c r="BG128" s="602"/>
      <c r="BH128" s="602"/>
      <c r="BI128" s="602"/>
      <c r="BJ128" s="602"/>
      <c r="BK128" s="602"/>
      <c r="BL128" s="602"/>
      <c r="BM128" s="602"/>
      <c r="BN128" s="602"/>
      <c r="BO128" s="602"/>
      <c r="BP128" s="602"/>
      <c r="BQ128" s="602"/>
      <c r="BR128" s="602"/>
      <c r="BS128" s="576"/>
      <c r="BT128" s="576"/>
      <c r="BU128" s="576"/>
      <c r="BV128" s="576"/>
      <c r="BW128" s="602"/>
      <c r="BX128" s="602"/>
      <c r="BY128" s="602"/>
      <c r="BZ128" s="576"/>
      <c r="CA128" s="602"/>
      <c r="CB128" s="602"/>
      <c r="CC128" s="576"/>
      <c r="CD128" s="576"/>
      <c r="CE128" s="602"/>
      <c r="CF128" s="576"/>
      <c r="CG128" s="576"/>
      <c r="CH128" s="576"/>
      <c r="CI128" s="576"/>
      <c r="CJ128" s="576"/>
      <c r="CK128" s="602"/>
      <c r="CL128" s="602"/>
      <c r="CM128" s="576"/>
      <c r="CN128" s="602"/>
      <c r="CO128" s="602"/>
      <c r="CP128" s="602"/>
      <c r="CQ128" s="576"/>
      <c r="CR128" s="576"/>
      <c r="CS128" s="602"/>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c r="HF128" s="88"/>
      <c r="HG128" s="88"/>
      <c r="HH128" s="88"/>
      <c r="HI128" s="88"/>
      <c r="HJ128" s="88"/>
      <c r="HK128" s="88"/>
      <c r="HL128" s="88"/>
      <c r="HM128" s="88"/>
      <c r="HN128" s="88"/>
      <c r="HO128" s="88"/>
      <c r="HP128" s="88"/>
      <c r="HQ128" s="88"/>
      <c r="HR128" s="88"/>
      <c r="HS128" s="88"/>
      <c r="HT128" s="88"/>
      <c r="HU128" s="88"/>
      <c r="HV128" s="88"/>
      <c r="HW128" s="88"/>
      <c r="HX128" s="88"/>
      <c r="HY128" s="88"/>
      <c r="HZ128" s="88"/>
      <c r="IA128" s="88"/>
      <c r="IB128" s="88"/>
      <c r="IC128" s="88"/>
      <c r="ID128" s="88"/>
      <c r="IE128" s="88"/>
      <c r="IF128" s="88"/>
      <c r="IG128" s="88"/>
      <c r="IH128" s="88"/>
      <c r="II128" s="88"/>
      <c r="IJ128" s="88"/>
      <c r="IK128" s="88"/>
      <c r="IL128" s="88"/>
      <c r="IM128" s="88"/>
      <c r="IN128" s="88"/>
      <c r="IO128" s="88"/>
      <c r="IP128" s="88"/>
      <c r="IQ128" s="88"/>
      <c r="IR128" s="88"/>
      <c r="IS128" s="88"/>
      <c r="IT128" s="88"/>
      <c r="IU128" s="88"/>
      <c r="IV128" s="88"/>
      <c r="IW128" s="88"/>
      <c r="IX128" s="88"/>
      <c r="IY128" s="88"/>
      <c r="IZ128" s="88"/>
      <c r="JA128" s="88"/>
      <c r="JB128" s="88"/>
      <c r="JC128" s="88"/>
      <c r="JD128" s="88"/>
      <c r="JE128" s="88"/>
      <c r="JF128" s="88"/>
      <c r="JG128" s="88"/>
      <c r="JH128" s="88"/>
      <c r="JI128" s="88"/>
      <c r="JJ128" s="88"/>
      <c r="JK128" s="88"/>
      <c r="JL128" s="88"/>
      <c r="JM128" s="88"/>
      <c r="JN128" s="88"/>
      <c r="JO128" s="88"/>
      <c r="JP128" s="88"/>
      <c r="JQ128" s="88"/>
      <c r="JR128" s="88"/>
      <c r="JS128" s="88"/>
      <c r="JT128" s="88"/>
      <c r="JU128" s="88"/>
      <c r="JV128" s="88"/>
      <c r="JW128" s="88"/>
      <c r="JX128" s="88"/>
      <c r="JY128" s="88"/>
      <c r="JZ128" s="88"/>
      <c r="KA128" s="88"/>
      <c r="KB128" s="88"/>
      <c r="KC128" s="88"/>
      <c r="KD128" s="88"/>
      <c r="KE128" s="88"/>
      <c r="KF128" s="88"/>
      <c r="KG128" s="88"/>
      <c r="KH128" s="88"/>
      <c r="KI128" s="88"/>
      <c r="KJ128" s="88"/>
      <c r="KK128" s="88"/>
      <c r="KL128" s="88"/>
      <c r="KM128" s="88"/>
      <c r="KN128" s="88"/>
      <c r="KO128" s="88"/>
      <c r="KP128" s="88"/>
      <c r="KQ128" s="88"/>
      <c r="KR128" s="88"/>
      <c r="KS128" s="88"/>
      <c r="KT128" s="88"/>
      <c r="KU128" s="88"/>
      <c r="KV128" s="88"/>
      <c r="KW128" s="88"/>
      <c r="KX128" s="88"/>
      <c r="KY128" s="88"/>
      <c r="KZ128" s="88"/>
      <c r="LA128" s="88"/>
      <c r="LB128" s="88"/>
      <c r="LC128" s="88"/>
      <c r="LD128" s="88"/>
      <c r="LE128" s="88"/>
      <c r="LF128" s="88"/>
      <c r="LG128" s="88"/>
      <c r="LH128" s="88"/>
      <c r="LI128" s="88"/>
      <c r="LJ128" s="88"/>
      <c r="LK128" s="88"/>
      <c r="LL128" s="88"/>
      <c r="LM128" s="88"/>
      <c r="LN128" s="88"/>
      <c r="LO128" s="88"/>
      <c r="LP128" s="88"/>
      <c r="LQ128" s="88"/>
      <c r="LR128" s="88"/>
      <c r="LS128" s="88"/>
      <c r="LT128" s="88"/>
      <c r="LU128" s="88"/>
      <c r="LV128" s="88"/>
      <c r="LW128" s="88"/>
      <c r="LX128" s="88"/>
      <c r="LY128" s="88"/>
      <c r="LZ128" s="88"/>
      <c r="MA128" s="88"/>
      <c r="MB128" s="88"/>
      <c r="MC128" s="88"/>
      <c r="MD128" s="88"/>
      <c r="ME128" s="88"/>
      <c r="MF128" s="88"/>
      <c r="MG128" s="88"/>
      <c r="MH128" s="88"/>
      <c r="MI128" s="88"/>
      <c r="MJ128" s="88"/>
      <c r="MK128" s="88"/>
      <c r="ML128" s="88"/>
      <c r="MM128" s="88"/>
      <c r="MN128" s="88"/>
      <c r="MO128" s="88"/>
      <c r="MP128" s="88"/>
      <c r="MQ128" s="88"/>
      <c r="MR128" s="88"/>
      <c r="MS128" s="88"/>
      <c r="MT128" s="88"/>
      <c r="MU128" s="88"/>
      <c r="MV128" s="88"/>
      <c r="MW128" s="88"/>
      <c r="MX128" s="88"/>
      <c r="MY128" s="88"/>
      <c r="MZ128" s="88"/>
      <c r="NA128" s="88"/>
      <c r="NB128" s="88"/>
      <c r="NC128" s="88"/>
      <c r="ND128" s="88"/>
      <c r="NE128" s="88"/>
      <c r="NF128" s="88"/>
      <c r="NG128" s="88"/>
      <c r="NH128" s="88"/>
      <c r="NI128" s="88"/>
      <c r="NJ128" s="88"/>
      <c r="NK128" s="88"/>
      <c r="NL128" s="88"/>
      <c r="NM128" s="88"/>
      <c r="NN128" s="88"/>
      <c r="NO128" s="88"/>
      <c r="NP128" s="88"/>
      <c r="NQ128" s="88"/>
      <c r="NR128" s="88"/>
      <c r="NS128" s="88"/>
      <c r="NT128" s="88"/>
      <c r="NU128" s="88"/>
      <c r="NV128" s="88"/>
      <c r="NW128" s="88"/>
      <c r="NX128" s="88"/>
      <c r="NY128" s="88"/>
      <c r="NZ128" s="88"/>
      <c r="OA128" s="88"/>
      <c r="OB128" s="88"/>
      <c r="OC128" s="88"/>
      <c r="OD128" s="88"/>
      <c r="OE128" s="88"/>
      <c r="OF128" s="88"/>
      <c r="OG128" s="88"/>
      <c r="OH128" s="88"/>
      <c r="OI128" s="88"/>
      <c r="OJ128" s="88"/>
      <c r="OK128" s="88"/>
      <c r="OL128" s="88"/>
      <c r="OM128" s="88"/>
      <c r="ON128" s="88"/>
      <c r="OO128" s="88"/>
      <c r="OP128" s="88"/>
      <c r="OQ128" s="88"/>
      <c r="OR128" s="88"/>
      <c r="OS128" s="88"/>
      <c r="OT128" s="88"/>
      <c r="OU128" s="88"/>
      <c r="OV128" s="88"/>
      <c r="OW128" s="88"/>
      <c r="OX128" s="88"/>
      <c r="OY128" s="88"/>
      <c r="OZ128" s="88"/>
      <c r="PA128" s="88"/>
      <c r="PB128" s="88"/>
      <c r="PC128" s="88"/>
      <c r="PD128" s="88"/>
      <c r="PE128" s="88"/>
      <c r="PF128" s="88"/>
      <c r="PG128" s="88"/>
      <c r="PH128" s="88"/>
      <c r="PI128" s="88"/>
      <c r="PJ128" s="88"/>
      <c r="PK128" s="88"/>
      <c r="PL128" s="88"/>
      <c r="PM128" s="88"/>
      <c r="PN128" s="88"/>
      <c r="PO128" s="88"/>
      <c r="PP128" s="88"/>
      <c r="PQ128" s="88"/>
      <c r="PR128" s="88"/>
      <c r="PS128" s="88"/>
      <c r="PT128" s="88"/>
      <c r="PU128" s="88"/>
      <c r="PV128" s="88"/>
      <c r="PW128" s="88"/>
      <c r="PX128" s="88"/>
      <c r="PY128" s="88"/>
      <c r="PZ128" s="88"/>
      <c r="QA128" s="88"/>
      <c r="QB128" s="88"/>
      <c r="QC128" s="88"/>
      <c r="QD128" s="88"/>
      <c r="QE128" s="88"/>
      <c r="QF128" s="88"/>
      <c r="QG128" s="88"/>
      <c r="QH128" s="88"/>
      <c r="QI128" s="88"/>
      <c r="QJ128" s="88"/>
      <c r="QK128" s="88"/>
      <c r="QL128" s="88"/>
      <c r="QM128" s="88"/>
      <c r="QN128" s="88"/>
      <c r="QO128" s="88"/>
      <c r="QP128" s="88"/>
      <c r="QQ128" s="88"/>
      <c r="QR128" s="88"/>
      <c r="QS128" s="88"/>
      <c r="QT128" s="88"/>
      <c r="QU128" s="88"/>
      <c r="QV128" s="88"/>
      <c r="QW128" s="88"/>
      <c r="QX128" s="88"/>
      <c r="QY128" s="88"/>
      <c r="QZ128" s="88"/>
      <c r="RA128" s="88"/>
      <c r="RB128" s="88"/>
      <c r="RC128" s="88"/>
      <c r="RD128" s="88"/>
      <c r="RE128" s="88"/>
      <c r="RF128" s="88"/>
      <c r="RG128" s="88"/>
      <c r="RH128" s="88"/>
      <c r="RI128" s="88"/>
      <c r="RJ128" s="88"/>
      <c r="RK128" s="88"/>
      <c r="RL128" s="88"/>
      <c r="RM128" s="88"/>
      <c r="RN128" s="88"/>
      <c r="RO128" s="88"/>
      <c r="RP128" s="88"/>
      <c r="RQ128" s="88"/>
      <c r="RR128" s="88"/>
      <c r="RS128" s="88"/>
      <c r="RT128" s="88"/>
      <c r="RU128" s="88"/>
      <c r="RV128" s="88"/>
      <c r="RW128" s="88"/>
      <c r="RX128" s="88"/>
      <c r="RY128" s="88"/>
      <c r="RZ128" s="88"/>
      <c r="SA128" s="88"/>
      <c r="SB128" s="88"/>
      <c r="SC128" s="88"/>
      <c r="SD128" s="88"/>
      <c r="SE128" s="88"/>
      <c r="SF128" s="88"/>
      <c r="SG128" s="88"/>
      <c r="SH128" s="88"/>
      <c r="SI128" s="88"/>
      <c r="SJ128" s="88"/>
      <c r="SK128" s="88"/>
      <c r="SL128" s="88"/>
      <c r="SM128" s="88"/>
      <c r="SN128" s="88"/>
      <c r="SO128" s="88"/>
      <c r="SP128" s="88"/>
      <c r="SQ128" s="88"/>
      <c r="SR128" s="88"/>
      <c r="SS128" s="88"/>
      <c r="ST128" s="88"/>
      <c r="SU128" s="88"/>
      <c r="SV128" s="88"/>
      <c r="SW128" s="88"/>
      <c r="SX128" s="88"/>
      <c r="SY128" s="88"/>
      <c r="SZ128" s="88"/>
      <c r="TA128" s="88"/>
      <c r="TB128" s="88"/>
      <c r="TC128" s="88"/>
      <c r="TD128" s="88"/>
      <c r="TE128" s="88"/>
      <c r="TF128" s="88"/>
      <c r="TG128" s="88"/>
      <c r="TH128" s="88"/>
      <c r="TI128" s="88"/>
      <c r="TJ128" s="88"/>
      <c r="TK128" s="88"/>
      <c r="TL128" s="88"/>
      <c r="TM128" s="88"/>
      <c r="TN128" s="88"/>
      <c r="TO128" s="88"/>
      <c r="TP128" s="88"/>
      <c r="TQ128" s="88"/>
      <c r="TR128" s="88"/>
      <c r="TS128" s="88"/>
      <c r="TT128" s="88"/>
      <c r="TU128" s="88"/>
      <c r="TV128" s="88"/>
      <c r="TW128" s="88"/>
      <c r="TX128" s="88"/>
      <c r="TY128" s="88"/>
      <c r="TZ128" s="88"/>
      <c r="UA128" s="88"/>
      <c r="UB128" s="88"/>
      <c r="UC128" s="88"/>
      <c r="UD128" s="88"/>
      <c r="UE128" s="88"/>
      <c r="UF128" s="88"/>
      <c r="UG128" s="88"/>
      <c r="UH128" s="88"/>
      <c r="UI128" s="88"/>
      <c r="UJ128" s="88"/>
      <c r="UK128" s="88"/>
      <c r="UL128" s="88"/>
      <c r="UM128" s="88"/>
      <c r="UN128" s="88"/>
      <c r="UO128" s="88"/>
      <c r="UP128" s="88"/>
      <c r="UQ128" s="88"/>
      <c r="UR128" s="88"/>
      <c r="US128" s="88"/>
      <c r="UT128" s="88"/>
      <c r="UU128" s="88"/>
      <c r="UV128" s="88"/>
      <c r="UW128" s="88"/>
      <c r="UX128" s="88"/>
      <c r="UY128" s="88"/>
      <c r="UZ128" s="88"/>
      <c r="VA128" s="88"/>
      <c r="VB128" s="88"/>
      <c r="VC128" s="88"/>
      <c r="VD128" s="88"/>
      <c r="VE128" s="88"/>
      <c r="VF128" s="88"/>
      <c r="VG128" s="88"/>
      <c r="VH128" s="88"/>
      <c r="VI128" s="88"/>
      <c r="VJ128" s="88"/>
      <c r="VK128" s="88"/>
      <c r="VL128" s="88"/>
      <c r="VM128" s="88"/>
      <c r="VN128" s="88"/>
      <c r="VO128" s="88"/>
      <c r="VP128" s="88"/>
      <c r="VQ128" s="88"/>
      <c r="VR128" s="88"/>
      <c r="VS128" s="88"/>
      <c r="VT128" s="88"/>
      <c r="VU128" s="88"/>
      <c r="VV128" s="88"/>
      <c r="VW128" s="88"/>
      <c r="VX128" s="88"/>
      <c r="VY128" s="88"/>
      <c r="VZ128" s="88"/>
      <c r="WA128" s="88"/>
      <c r="WB128" s="88"/>
      <c r="WC128" s="88"/>
      <c r="WD128" s="88"/>
      <c r="WE128" s="88"/>
      <c r="WF128" s="88"/>
      <c r="WG128" s="88"/>
      <c r="WH128" s="88"/>
      <c r="WI128" s="88"/>
      <c r="WJ128" s="88"/>
      <c r="WK128" s="88"/>
      <c r="WL128" s="88"/>
      <c r="WM128" s="88"/>
      <c r="WN128" s="88"/>
      <c r="WO128" s="88"/>
      <c r="WP128" s="88"/>
      <c r="WQ128" s="88"/>
      <c r="WR128" s="88"/>
      <c r="WS128" s="88"/>
      <c r="WT128" s="88"/>
      <c r="WU128" s="88"/>
      <c r="WV128" s="88"/>
      <c r="WW128" s="88"/>
      <c r="WX128" s="88"/>
      <c r="WY128" s="88"/>
      <c r="WZ128" s="88"/>
      <c r="XA128" s="88"/>
      <c r="XB128" s="88"/>
      <c r="XC128" s="88"/>
      <c r="XD128" s="88"/>
      <c r="XE128" s="88"/>
      <c r="XF128" s="88"/>
      <c r="XG128" s="88"/>
      <c r="XH128" s="88"/>
      <c r="XI128" s="88"/>
      <c r="XJ128" s="88"/>
      <c r="XK128" s="88"/>
      <c r="XL128" s="88"/>
      <c r="XM128" s="88"/>
      <c r="XN128" s="88"/>
      <c r="XO128" s="88"/>
      <c r="XP128" s="88"/>
      <c r="XQ128" s="88"/>
      <c r="XR128" s="88"/>
      <c r="XS128" s="88"/>
      <c r="XT128" s="88"/>
      <c r="XU128" s="88"/>
      <c r="XV128" s="88"/>
      <c r="XW128" s="88"/>
      <c r="XX128" s="88"/>
      <c r="XY128" s="88"/>
      <c r="XZ128" s="88"/>
      <c r="YA128" s="88"/>
      <c r="YB128" s="88"/>
      <c r="YC128" s="88"/>
      <c r="YD128" s="88"/>
      <c r="YE128" s="88"/>
      <c r="YF128" s="88"/>
      <c r="YG128" s="88"/>
      <c r="YH128" s="88"/>
      <c r="YI128" s="88"/>
      <c r="YJ128" s="88"/>
      <c r="YK128" s="88"/>
      <c r="YL128" s="88"/>
      <c r="YM128" s="88"/>
      <c r="YN128" s="88"/>
      <c r="YO128" s="88"/>
      <c r="YP128" s="88"/>
      <c r="YQ128" s="88"/>
      <c r="YR128" s="88"/>
      <c r="YS128" s="88"/>
      <c r="YT128" s="88"/>
      <c r="YU128" s="88"/>
      <c r="YV128" s="88"/>
      <c r="YW128" s="88"/>
      <c r="YX128" s="88"/>
      <c r="YY128" s="88"/>
      <c r="YZ128" s="88"/>
      <c r="ZA128" s="88"/>
      <c r="ZB128" s="88"/>
      <c r="ZC128" s="88"/>
      <c r="ZD128" s="88"/>
      <c r="ZE128" s="88"/>
      <c r="ZF128" s="88"/>
      <c r="ZG128" s="88"/>
      <c r="ZH128" s="88"/>
      <c r="ZI128" s="88"/>
      <c r="ZJ128" s="88"/>
      <c r="ZK128" s="88"/>
      <c r="ZL128" s="88"/>
      <c r="ZM128" s="88"/>
      <c r="ZN128" s="88"/>
      <c r="ZO128" s="88"/>
      <c r="ZP128" s="88"/>
      <c r="ZQ128" s="88"/>
      <c r="ZR128" s="88"/>
      <c r="ZS128" s="88"/>
      <c r="ZT128" s="88"/>
      <c r="ZU128" s="88"/>
      <c r="ZV128" s="88"/>
      <c r="ZW128" s="88"/>
      <c r="ZX128" s="88"/>
      <c r="ZY128" s="88"/>
      <c r="ZZ128" s="88"/>
      <c r="AAA128" s="88"/>
      <c r="AAB128" s="88"/>
      <c r="AAC128" s="88"/>
      <c r="AAD128" s="88"/>
      <c r="AAE128" s="88"/>
      <c r="AAF128" s="88"/>
      <c r="AAG128" s="88"/>
      <c r="AAH128" s="88"/>
      <c r="AAI128" s="88"/>
      <c r="AAJ128" s="88"/>
      <c r="AAK128" s="88"/>
      <c r="AAL128" s="88"/>
      <c r="AAM128" s="88"/>
      <c r="AAN128" s="88"/>
      <c r="AAO128" s="88"/>
      <c r="AAP128" s="88"/>
      <c r="AAQ128" s="88"/>
      <c r="AAR128" s="88"/>
      <c r="AAS128" s="88"/>
      <c r="AAT128" s="88"/>
      <c r="AAU128" s="88"/>
      <c r="AAV128" s="88"/>
      <c r="AAW128" s="88"/>
      <c r="AAX128" s="88"/>
      <c r="AAY128" s="88"/>
      <c r="AAZ128" s="88"/>
      <c r="ABA128" s="88"/>
      <c r="ABB128" s="88"/>
      <c r="ABC128" s="88"/>
      <c r="ABD128" s="88"/>
      <c r="ABE128" s="88"/>
      <c r="ABF128" s="88"/>
      <c r="ABG128" s="88"/>
      <c r="ABH128" s="88"/>
      <c r="ABI128" s="88"/>
      <c r="ABJ128" s="88"/>
      <c r="ABK128" s="88"/>
      <c r="ABL128" s="88"/>
      <c r="ABM128" s="88"/>
      <c r="ABN128" s="88"/>
      <c r="ABO128" s="88"/>
      <c r="ABP128" s="88"/>
      <c r="ABQ128" s="88"/>
      <c r="ABR128" s="88"/>
      <c r="ABS128" s="88"/>
      <c r="ABT128" s="88"/>
      <c r="ABU128" s="88"/>
      <c r="ABV128" s="88"/>
      <c r="ABW128" s="88"/>
      <c r="ABX128" s="88"/>
      <c r="ABY128" s="88"/>
      <c r="ABZ128" s="88"/>
      <c r="ACA128" s="88"/>
      <c r="ACB128" s="88"/>
      <c r="ACC128" s="88"/>
      <c r="ACD128" s="88"/>
      <c r="ACE128" s="88"/>
      <c r="ACF128" s="88"/>
      <c r="ACG128" s="88"/>
      <c r="ACH128" s="88"/>
      <c r="ACI128" s="88"/>
      <c r="ACJ128" s="88"/>
      <c r="ACK128" s="88"/>
      <c r="ACL128" s="88"/>
      <c r="ACM128" s="88"/>
      <c r="ACN128" s="88"/>
      <c r="ACO128" s="88"/>
      <c r="ACP128" s="88"/>
      <c r="ACQ128" s="88"/>
      <c r="ACR128" s="88"/>
      <c r="ACS128" s="88"/>
      <c r="ACT128" s="88"/>
      <c r="ACU128" s="88"/>
      <c r="ACV128" s="88"/>
      <c r="ACW128" s="88"/>
      <c r="ACX128" s="88"/>
      <c r="ACY128" s="88"/>
      <c r="ACZ128" s="88"/>
      <c r="ADA128" s="88"/>
      <c r="ADB128" s="88"/>
      <c r="ADC128" s="88"/>
      <c r="ADD128" s="88"/>
      <c r="ADE128" s="88"/>
      <c r="ADF128" s="88"/>
      <c r="ADG128" s="88"/>
      <c r="ADH128" s="88"/>
      <c r="ADI128" s="88"/>
      <c r="ADJ128" s="88"/>
      <c r="ADK128" s="88"/>
      <c r="ADL128" s="88"/>
      <c r="ADM128" s="88"/>
      <c r="ADN128" s="88"/>
      <c r="ADO128" s="88"/>
      <c r="ADP128" s="88"/>
      <c r="ADQ128" s="88"/>
      <c r="ADR128" s="88"/>
      <c r="ADS128" s="88"/>
      <c r="ADT128" s="88"/>
      <c r="ADU128" s="88"/>
      <c r="ADV128" s="88"/>
      <c r="ADW128" s="88"/>
      <c r="ADX128" s="88"/>
      <c r="ADY128" s="88"/>
      <c r="ADZ128" s="88"/>
      <c r="AEA128" s="88"/>
      <c r="AEB128" s="88"/>
      <c r="AEC128" s="88"/>
      <c r="AED128" s="88"/>
      <c r="AEE128" s="88"/>
      <c r="AEF128" s="88"/>
      <c r="AEG128" s="88"/>
      <c r="AEH128" s="88"/>
      <c r="AEI128" s="88"/>
      <c r="AEJ128" s="88"/>
      <c r="AEK128" s="88"/>
      <c r="AEL128" s="88"/>
      <c r="AEM128" s="88"/>
      <c r="AEN128" s="88"/>
      <c r="AEO128" s="88"/>
      <c r="AEP128" s="88"/>
      <c r="AEQ128" s="88"/>
      <c r="AER128" s="88"/>
      <c r="AES128" s="88"/>
      <c r="AET128" s="88"/>
      <c r="AEU128" s="88"/>
      <c r="AEV128" s="88"/>
      <c r="AEW128" s="88"/>
      <c r="AEX128" s="88"/>
      <c r="AEY128" s="88"/>
      <c r="AEZ128" s="88"/>
      <c r="AFA128" s="88"/>
      <c r="AFB128" s="88"/>
      <c r="AFC128" s="88"/>
      <c r="AFD128" s="88"/>
      <c r="AFE128" s="88"/>
      <c r="AFF128" s="88"/>
      <c r="AFG128" s="88"/>
      <c r="AFH128" s="88"/>
      <c r="AFI128" s="88"/>
      <c r="AFJ128" s="88"/>
      <c r="AFK128" s="88"/>
      <c r="AFL128" s="88"/>
      <c r="AFM128" s="88"/>
      <c r="AFN128" s="88"/>
      <c r="AFO128" s="88"/>
      <c r="AFP128" s="88"/>
      <c r="AFQ128" s="88"/>
      <c r="AFR128" s="88"/>
      <c r="AFS128" s="88"/>
      <c r="AFT128" s="88"/>
      <c r="AFU128" s="88"/>
      <c r="AFV128" s="88"/>
      <c r="AFW128" s="88"/>
      <c r="AFX128" s="88"/>
      <c r="AFY128" s="88"/>
      <c r="AFZ128" s="88"/>
      <c r="AGA128" s="88"/>
      <c r="AGB128" s="88"/>
      <c r="AGC128" s="88"/>
      <c r="AGD128" s="88"/>
      <c r="AGE128" s="88"/>
      <c r="AGF128" s="88"/>
      <c r="AGG128" s="88"/>
      <c r="AGH128" s="88"/>
      <c r="AGI128" s="88"/>
      <c r="AGJ128" s="88"/>
      <c r="AGK128" s="88"/>
      <c r="AGL128" s="88"/>
      <c r="AGM128" s="88"/>
      <c r="AGN128" s="88"/>
      <c r="AGO128" s="88"/>
      <c r="AGP128" s="88"/>
      <c r="AGQ128" s="88"/>
      <c r="AGR128" s="88"/>
      <c r="AGS128" s="88"/>
      <c r="AGT128" s="88"/>
      <c r="AGU128" s="88"/>
      <c r="AGV128" s="88"/>
      <c r="AGW128" s="88"/>
      <c r="AGX128" s="88"/>
      <c r="AGY128" s="88"/>
      <c r="AGZ128" s="88"/>
      <c r="AHA128" s="88"/>
      <c r="AHB128" s="88"/>
      <c r="AHC128" s="88"/>
      <c r="AHD128" s="88"/>
      <c r="AHE128" s="88"/>
      <c r="AHF128" s="88"/>
      <c r="AHG128" s="88"/>
      <c r="AHH128" s="88"/>
      <c r="AHI128" s="88"/>
      <c r="AHJ128" s="88"/>
      <c r="AHK128" s="88"/>
      <c r="AHL128" s="88"/>
      <c r="AHM128" s="88"/>
      <c r="AHN128" s="88"/>
      <c r="AHO128" s="88"/>
      <c r="AHP128" s="88"/>
      <c r="AHQ128" s="88"/>
      <c r="AHR128" s="88"/>
      <c r="AHS128" s="88"/>
      <c r="AHT128" s="88"/>
      <c r="AHU128" s="88"/>
      <c r="AHV128" s="88"/>
      <c r="AHW128" s="88"/>
      <c r="AHX128" s="88"/>
      <c r="AHY128" s="88"/>
      <c r="AHZ128" s="88"/>
      <c r="AIA128" s="88"/>
      <c r="AIB128" s="88"/>
      <c r="AIC128" s="88"/>
      <c r="AID128" s="88"/>
      <c r="AIE128" s="88"/>
      <c r="AIF128" s="88"/>
      <c r="AIG128" s="88"/>
      <c r="AIH128" s="88"/>
      <c r="AII128" s="88"/>
      <c r="AIJ128" s="88"/>
      <c r="AIK128" s="88"/>
      <c r="AIL128" s="88"/>
      <c r="AIM128" s="88"/>
      <c r="AIN128" s="88"/>
      <c r="AIO128" s="88"/>
      <c r="AIP128" s="88"/>
      <c r="AIQ128" s="88"/>
      <c r="AIR128" s="88"/>
      <c r="AIS128" s="88"/>
      <c r="AIT128" s="88"/>
      <c r="AIU128" s="88"/>
      <c r="AIV128" s="88"/>
      <c r="AIW128" s="88"/>
      <c r="AIX128" s="88"/>
      <c r="AIY128" s="88"/>
      <c r="AIZ128" s="88"/>
      <c r="AJA128" s="88"/>
      <c r="AJB128" s="88"/>
      <c r="AJC128" s="88"/>
      <c r="AJD128" s="88"/>
      <c r="AJE128" s="88"/>
      <c r="AJF128" s="88"/>
      <c r="AJG128" s="88"/>
      <c r="AJH128" s="88"/>
      <c r="AJI128" s="88"/>
      <c r="AJJ128" s="88"/>
      <c r="AJK128" s="88"/>
      <c r="AJL128" s="88"/>
      <c r="AJM128" s="88"/>
      <c r="AJN128" s="88"/>
      <c r="AJO128" s="88"/>
      <c r="AJP128" s="88"/>
      <c r="AJQ128" s="88"/>
      <c r="AJR128" s="88"/>
      <c r="AJS128" s="88"/>
      <c r="AJT128" s="88"/>
      <c r="AJU128" s="88"/>
      <c r="AJV128" s="88"/>
      <c r="AJW128" s="88"/>
      <c r="AJX128" s="88"/>
      <c r="AJY128" s="88"/>
      <c r="AJZ128" s="88"/>
      <c r="AKA128" s="88"/>
      <c r="AKB128" s="88"/>
      <c r="AKC128" s="88"/>
      <c r="AKD128" s="88"/>
      <c r="AKE128" s="88"/>
      <c r="AKF128" s="88"/>
      <c r="AKG128" s="88"/>
      <c r="AKH128" s="88"/>
      <c r="AKI128" s="88"/>
      <c r="AKJ128" s="88"/>
      <c r="AKK128" s="88"/>
      <c r="AKL128" s="88"/>
      <c r="AKM128" s="88"/>
      <c r="AKN128" s="88"/>
      <c r="AKO128" s="88"/>
      <c r="AKP128" s="88"/>
      <c r="AKQ128" s="88"/>
      <c r="AKR128" s="88"/>
      <c r="AKS128" s="88"/>
      <c r="AKT128" s="88"/>
      <c r="AKU128" s="88"/>
      <c r="AKV128" s="88"/>
      <c r="AKW128" s="88"/>
      <c r="AKX128" s="88"/>
      <c r="AKY128" s="88"/>
      <c r="AKZ128" s="88"/>
      <c r="ALA128" s="88"/>
      <c r="ALB128" s="88"/>
      <c r="ALC128" s="88"/>
      <c r="ALD128" s="88"/>
      <c r="ALE128" s="88"/>
      <c r="ALF128" s="88"/>
      <c r="ALG128" s="88"/>
      <c r="ALH128" s="88"/>
      <c r="ALI128" s="88"/>
      <c r="ALJ128" s="88"/>
      <c r="ALK128" s="88"/>
      <c r="ALL128" s="88"/>
      <c r="ALM128" s="88"/>
      <c r="ALN128" s="88"/>
      <c r="ALO128" s="88"/>
      <c r="ALP128" s="88"/>
      <c r="ALQ128" s="88"/>
      <c r="ALR128" s="88"/>
      <c r="ALS128" s="88"/>
      <c r="ALT128" s="88"/>
      <c r="ALU128" s="88"/>
      <c r="ALV128" s="88"/>
      <c r="ALW128" s="88"/>
      <c r="ALX128" s="88"/>
      <c r="ALY128" s="88"/>
      <c r="ALZ128" s="88"/>
      <c r="AMA128" s="88"/>
      <c r="AMB128" s="88"/>
      <c r="AMC128" s="88"/>
      <c r="AMD128" s="88"/>
      <c r="AME128" s="88"/>
      <c r="AMF128" s="88"/>
      <c r="AMG128" s="88"/>
      <c r="AMH128" s="88"/>
      <c r="AMI128" s="88"/>
      <c r="AMJ128" s="88"/>
      <c r="AMK128" s="88"/>
      <c r="AML128" s="88"/>
      <c r="AMM128" s="88"/>
      <c r="AMN128" s="88"/>
      <c r="AMO128" s="88"/>
      <c r="AMP128" s="88"/>
      <c r="AMQ128" s="88"/>
      <c r="AMR128" s="88"/>
      <c r="AMS128" s="88"/>
      <c r="AMT128" s="88"/>
      <c r="AMU128" s="88"/>
      <c r="AMV128" s="88"/>
      <c r="AMW128" s="88"/>
      <c r="AMX128" s="88"/>
      <c r="AMY128" s="88"/>
      <c r="AMZ128" s="88"/>
      <c r="ANA128" s="88"/>
      <c r="ANB128" s="88"/>
      <c r="ANC128" s="88"/>
      <c r="AND128" s="88"/>
      <c r="ANE128" s="88"/>
      <c r="ANF128" s="88"/>
      <c r="ANG128" s="88"/>
      <c r="ANH128" s="88"/>
      <c r="ANI128" s="88"/>
      <c r="ANJ128" s="88"/>
      <c r="ANK128" s="88"/>
      <c r="ANL128" s="88"/>
      <c r="ANM128" s="88"/>
      <c r="ANN128" s="88"/>
      <c r="ANO128" s="88"/>
      <c r="ANP128" s="88"/>
      <c r="ANQ128" s="88"/>
      <c r="ANR128" s="88"/>
      <c r="ANS128" s="88"/>
      <c r="ANT128" s="88"/>
      <c r="ANU128" s="88"/>
      <c r="ANV128" s="88"/>
      <c r="ANW128" s="88"/>
      <c r="ANX128" s="88"/>
      <c r="ANY128" s="88"/>
      <c r="ANZ128" s="88"/>
      <c r="AOA128" s="88"/>
      <c r="AOB128" s="88"/>
      <c r="AOC128" s="88"/>
      <c r="AOD128" s="88"/>
      <c r="AOE128" s="88"/>
      <c r="AOF128" s="88"/>
      <c r="AOG128" s="88"/>
      <c r="AOH128" s="88"/>
      <c r="AOI128" s="88"/>
      <c r="AOJ128" s="88"/>
      <c r="AOK128" s="88"/>
      <c r="AOL128" s="88"/>
      <c r="AOM128" s="88"/>
      <c r="AON128" s="88"/>
      <c r="AOO128" s="88"/>
      <c r="AOP128" s="88"/>
      <c r="AOQ128" s="88"/>
      <c r="AOR128" s="88"/>
      <c r="AOS128" s="88"/>
      <c r="AOT128" s="88"/>
      <c r="AOU128" s="88"/>
      <c r="AOV128" s="88"/>
      <c r="AOW128" s="88"/>
      <c r="AOX128" s="88"/>
      <c r="AOY128" s="88"/>
      <c r="AOZ128" s="88"/>
      <c r="APA128" s="88"/>
      <c r="APB128" s="88"/>
      <c r="APC128" s="88"/>
      <c r="APD128" s="88"/>
      <c r="APE128" s="88"/>
      <c r="APF128" s="88"/>
      <c r="APG128" s="88"/>
      <c r="APH128" s="88"/>
      <c r="API128" s="88"/>
      <c r="APJ128" s="88"/>
      <c r="APK128" s="88"/>
      <c r="APL128" s="88"/>
      <c r="APM128" s="88"/>
      <c r="APN128" s="88"/>
      <c r="APO128" s="88"/>
      <c r="APP128" s="88"/>
      <c r="APQ128" s="88"/>
      <c r="APR128" s="88"/>
      <c r="APS128" s="88"/>
      <c r="APT128" s="88"/>
      <c r="APU128" s="88"/>
      <c r="APV128" s="88"/>
      <c r="APW128" s="88"/>
      <c r="APX128" s="88"/>
      <c r="APY128" s="88"/>
      <c r="APZ128" s="88"/>
      <c r="AQA128" s="88"/>
      <c r="AQB128" s="88"/>
      <c r="AQC128" s="88"/>
      <c r="AQD128" s="88"/>
      <c r="AQE128" s="88"/>
      <c r="AQF128" s="88"/>
      <c r="AQG128" s="88"/>
      <c r="AQH128" s="88"/>
      <c r="AQI128" s="88"/>
      <c r="AQJ128" s="88"/>
      <c r="AQK128" s="88"/>
      <c r="AQL128" s="88"/>
      <c r="AQM128" s="88"/>
      <c r="AQN128" s="88"/>
      <c r="AQO128" s="88"/>
      <c r="AQP128" s="88"/>
      <c r="AQQ128" s="88"/>
      <c r="AQR128" s="88"/>
      <c r="AQS128" s="88"/>
      <c r="AQT128" s="88"/>
      <c r="AQU128" s="88"/>
      <c r="AQV128" s="88"/>
      <c r="AQW128" s="88"/>
      <c r="AQX128" s="88"/>
      <c r="AQY128" s="88"/>
      <c r="AQZ128" s="88"/>
      <c r="ARA128" s="88"/>
      <c r="ARB128" s="88"/>
      <c r="ARC128" s="88"/>
      <c r="ARD128" s="88"/>
      <c r="ARE128" s="88"/>
      <c r="ARF128" s="88"/>
      <c r="ARG128" s="88"/>
      <c r="ARH128" s="88"/>
      <c r="ARI128" s="88"/>
      <c r="ARJ128" s="88"/>
      <c r="ARK128" s="88"/>
      <c r="ARL128" s="88"/>
      <c r="ARM128" s="88"/>
      <c r="ARN128" s="88"/>
      <c r="ARO128" s="88"/>
      <c r="ARP128" s="88"/>
      <c r="ARQ128" s="88"/>
      <c r="ARR128" s="88"/>
      <c r="ARS128" s="88"/>
      <c r="ART128" s="88"/>
      <c r="ARU128" s="88"/>
      <c r="ARV128" s="88"/>
      <c r="ARW128" s="88"/>
      <c r="ARX128" s="88"/>
      <c r="ARY128" s="88"/>
      <c r="ARZ128" s="88"/>
      <c r="ASA128" s="88"/>
      <c r="ASB128" s="88"/>
      <c r="ASC128" s="88"/>
      <c r="ASD128" s="88"/>
      <c r="ASE128" s="88"/>
      <c r="ASF128" s="88"/>
      <c r="ASG128" s="88"/>
      <c r="ASH128" s="88"/>
      <c r="ASI128" s="88"/>
      <c r="ASJ128" s="88"/>
      <c r="ASK128" s="88"/>
      <c r="ASL128" s="88"/>
      <c r="ASM128" s="88"/>
      <c r="ASN128" s="88"/>
      <c r="ASO128" s="88"/>
      <c r="ASP128" s="88"/>
      <c r="ASQ128" s="88"/>
      <c r="ASR128" s="88"/>
      <c r="ASS128" s="88"/>
      <c r="AST128" s="88"/>
      <c r="ASU128" s="88"/>
      <c r="ASV128" s="88"/>
      <c r="ASW128" s="88"/>
      <c r="ASX128" s="88"/>
      <c r="ASY128" s="88"/>
      <c r="ASZ128" s="88"/>
      <c r="ATA128" s="88"/>
      <c r="ATB128" s="88"/>
      <c r="ATC128" s="88"/>
      <c r="ATD128" s="88"/>
      <c r="ATE128" s="88"/>
      <c r="ATF128" s="88"/>
      <c r="ATG128" s="88"/>
      <c r="ATH128" s="88"/>
      <c r="ATI128" s="88"/>
      <c r="ATJ128" s="88"/>
      <c r="ATK128" s="88"/>
      <c r="ATL128" s="88"/>
      <c r="ATM128" s="88"/>
      <c r="ATN128" s="88"/>
      <c r="ATO128" s="88"/>
      <c r="ATP128" s="88"/>
      <c r="ATQ128" s="88"/>
      <c r="ATR128" s="88"/>
      <c r="ATS128" s="88"/>
      <c r="ATT128" s="88"/>
      <c r="ATU128" s="88"/>
      <c r="ATV128" s="88"/>
      <c r="ATW128" s="88"/>
      <c r="ATX128" s="88"/>
      <c r="ATY128" s="88"/>
      <c r="ATZ128" s="88"/>
      <c r="AUA128" s="88"/>
      <c r="AUB128" s="88"/>
      <c r="AUC128" s="88"/>
      <c r="AUD128" s="88"/>
      <c r="AUE128" s="88"/>
      <c r="AUF128" s="88"/>
      <c r="AUG128" s="88"/>
      <c r="AUH128" s="88"/>
      <c r="AUI128" s="88"/>
      <c r="AUJ128" s="88"/>
      <c r="AUK128" s="88"/>
      <c r="AUL128" s="88"/>
      <c r="AUM128" s="88"/>
      <c r="AUN128" s="88"/>
      <c r="AUO128" s="88"/>
      <c r="AUP128" s="88"/>
      <c r="AUQ128" s="88"/>
      <c r="AUR128" s="88"/>
      <c r="AUS128" s="88"/>
      <c r="AUT128" s="88"/>
      <c r="AUU128" s="88"/>
      <c r="AUV128" s="88"/>
      <c r="AUW128" s="88"/>
      <c r="AUX128" s="88"/>
      <c r="AUY128" s="88"/>
      <c r="AUZ128" s="88"/>
      <c r="AVA128" s="88"/>
      <c r="AVB128" s="88"/>
      <c r="AVC128" s="88"/>
      <c r="AVD128" s="88"/>
      <c r="AVE128" s="88"/>
      <c r="AVF128" s="88"/>
      <c r="AVG128" s="88"/>
      <c r="AVH128" s="88"/>
      <c r="AVI128" s="88"/>
      <c r="AVJ128" s="88"/>
      <c r="AVK128" s="88"/>
      <c r="AVL128" s="88"/>
      <c r="AVM128" s="88"/>
      <c r="AVN128" s="88"/>
      <c r="AVO128" s="88"/>
      <c r="AVP128" s="88"/>
      <c r="AVQ128" s="88"/>
      <c r="AVR128" s="88"/>
      <c r="AVS128" s="88"/>
      <c r="AVT128" s="88"/>
      <c r="AVU128" s="88"/>
      <c r="AVV128" s="88"/>
      <c r="AVW128" s="88"/>
      <c r="AVX128" s="88"/>
      <c r="AVY128" s="88"/>
      <c r="AVZ128" s="88"/>
      <c r="AWA128" s="88"/>
      <c r="AWB128" s="88"/>
      <c r="AWC128" s="88"/>
      <c r="AWD128" s="88"/>
      <c r="AWE128" s="88"/>
      <c r="AWF128" s="88"/>
      <c r="AWG128" s="88"/>
      <c r="AWH128" s="88"/>
      <c r="AWI128" s="88"/>
      <c r="AWJ128" s="88"/>
      <c r="AWK128" s="88"/>
      <c r="AWL128" s="88"/>
      <c r="AWM128" s="88"/>
      <c r="AWN128" s="88"/>
      <c r="AWO128" s="88"/>
      <c r="AWP128" s="88"/>
      <c r="AWQ128" s="88"/>
      <c r="AWR128" s="88"/>
      <c r="AWS128" s="88"/>
      <c r="AWT128" s="88"/>
      <c r="AWU128" s="88"/>
      <c r="AWV128" s="88"/>
      <c r="AWW128" s="88"/>
      <c r="AWX128" s="88"/>
      <c r="AWY128" s="88"/>
      <c r="AWZ128" s="88"/>
      <c r="AXA128" s="88"/>
      <c r="AXB128" s="88"/>
      <c r="AXC128" s="88"/>
      <c r="AXD128" s="88"/>
      <c r="AXE128" s="88"/>
      <c r="AXF128" s="88"/>
      <c r="AXG128" s="88"/>
      <c r="AXH128" s="88"/>
      <c r="AXI128" s="88"/>
      <c r="AXJ128" s="88"/>
      <c r="AXK128" s="88"/>
      <c r="AXL128" s="88"/>
      <c r="AXM128" s="88"/>
      <c r="AXN128" s="88"/>
      <c r="AXO128" s="88"/>
      <c r="AXP128" s="88"/>
      <c r="AXQ128" s="88"/>
      <c r="AXR128" s="88"/>
      <c r="AXS128" s="88"/>
      <c r="AXT128" s="88"/>
      <c r="AXU128" s="88"/>
      <c r="AXV128" s="88"/>
      <c r="AXW128" s="88"/>
      <c r="AXX128" s="88"/>
      <c r="AXY128" s="88"/>
      <c r="AXZ128" s="88"/>
      <c r="AYA128" s="88"/>
      <c r="AYB128" s="88"/>
      <c r="AYC128" s="88"/>
      <c r="AYD128" s="88"/>
      <c r="AYE128" s="88"/>
      <c r="AYF128" s="88"/>
      <c r="AYG128" s="88"/>
      <c r="AYH128" s="88"/>
      <c r="AYI128" s="88"/>
      <c r="AYJ128" s="88"/>
      <c r="AYK128" s="88"/>
      <c r="AYL128" s="88"/>
      <c r="AYM128" s="88"/>
      <c r="AYN128" s="88"/>
      <c r="AYO128" s="88"/>
      <c r="AYP128" s="88"/>
      <c r="AYQ128" s="88"/>
      <c r="AYR128" s="88"/>
      <c r="AYS128" s="88"/>
      <c r="AYT128" s="88"/>
      <c r="AYU128" s="88"/>
      <c r="AYV128" s="88"/>
      <c r="AYW128" s="88"/>
      <c r="AYX128" s="88"/>
      <c r="AYY128" s="88"/>
      <c r="AYZ128" s="88"/>
      <c r="AZA128" s="88"/>
      <c r="AZB128" s="88"/>
      <c r="AZC128" s="88"/>
      <c r="AZD128" s="88"/>
      <c r="AZE128" s="88"/>
      <c r="AZF128" s="88"/>
      <c r="AZG128" s="88"/>
      <c r="AZH128" s="88"/>
      <c r="AZI128" s="88"/>
      <c r="AZJ128" s="88"/>
      <c r="AZK128" s="88"/>
      <c r="AZL128" s="88"/>
      <c r="AZM128" s="88"/>
      <c r="AZN128" s="88"/>
      <c r="AZO128" s="88"/>
      <c r="AZP128" s="88"/>
      <c r="AZQ128" s="88"/>
      <c r="AZR128" s="88"/>
      <c r="AZS128" s="88"/>
      <c r="AZT128" s="88"/>
      <c r="AZU128" s="88"/>
      <c r="AZV128" s="88"/>
      <c r="AZW128" s="88"/>
      <c r="AZX128" s="88"/>
      <c r="AZY128" s="88"/>
      <c r="AZZ128" s="88"/>
      <c r="BAA128" s="88"/>
      <c r="BAB128" s="88"/>
      <c r="BAC128" s="88"/>
      <c r="BAD128" s="88"/>
      <c r="BAE128" s="88"/>
      <c r="BAF128" s="88"/>
      <c r="BAG128" s="88"/>
      <c r="BAH128" s="88"/>
      <c r="BAI128" s="88"/>
      <c r="BAJ128" s="88"/>
      <c r="BAK128" s="88"/>
      <c r="BAL128" s="88"/>
      <c r="BAM128" s="88"/>
      <c r="BAN128" s="88"/>
      <c r="BAO128" s="88"/>
      <c r="BAP128" s="88"/>
      <c r="BAQ128" s="88"/>
      <c r="BAR128" s="88"/>
      <c r="BAS128" s="88"/>
      <c r="BAT128" s="88"/>
      <c r="BAU128" s="88"/>
      <c r="BAV128" s="88"/>
      <c r="BAW128" s="88"/>
      <c r="BAX128" s="88"/>
      <c r="BAY128" s="88"/>
      <c r="BAZ128" s="88"/>
      <c r="BBA128" s="88"/>
      <c r="BBB128" s="88"/>
      <c r="BBC128" s="88"/>
      <c r="BBD128" s="88"/>
      <c r="BBE128" s="88"/>
      <c r="BBF128" s="88"/>
      <c r="BBG128" s="88"/>
      <c r="BBH128" s="88"/>
      <c r="BBI128" s="88"/>
      <c r="BBJ128" s="88"/>
      <c r="BBK128" s="88"/>
      <c r="BBL128" s="88"/>
      <c r="BBM128" s="88"/>
      <c r="BBN128" s="88"/>
      <c r="BBO128" s="88"/>
      <c r="BBP128" s="88"/>
      <c r="BBQ128" s="88"/>
      <c r="BBR128" s="88"/>
      <c r="BBS128" s="88"/>
      <c r="BBT128" s="88"/>
      <c r="BBU128" s="88"/>
      <c r="BBV128" s="88"/>
      <c r="BBW128" s="88"/>
      <c r="BBX128" s="88"/>
      <c r="BBY128" s="88"/>
      <c r="BBZ128" s="88"/>
      <c r="BCA128" s="88"/>
      <c r="BCB128" s="88"/>
      <c r="BCC128" s="88"/>
      <c r="BCD128" s="88"/>
      <c r="BCE128" s="88"/>
      <c r="BCF128" s="88"/>
      <c r="BCG128" s="88"/>
      <c r="BCH128" s="88"/>
      <c r="BCI128" s="88"/>
      <c r="BCJ128" s="88"/>
      <c r="BCK128" s="88"/>
      <c r="BCL128" s="88"/>
      <c r="BCM128" s="88"/>
      <c r="BCN128" s="88"/>
      <c r="BCO128" s="88"/>
      <c r="BCP128" s="88"/>
      <c r="BCQ128" s="88"/>
      <c r="BCR128" s="88"/>
      <c r="BCS128" s="88"/>
      <c r="BCT128" s="88"/>
      <c r="BCU128" s="88"/>
      <c r="BCV128" s="88"/>
      <c r="BCW128" s="88"/>
      <c r="BCX128" s="88"/>
      <c r="BCY128" s="88"/>
      <c r="BCZ128" s="88"/>
      <c r="BDA128" s="88"/>
      <c r="BDB128" s="88"/>
      <c r="BDC128" s="88"/>
      <c r="BDD128" s="88"/>
      <c r="BDE128" s="88"/>
      <c r="BDF128" s="88"/>
      <c r="BDG128" s="88"/>
      <c r="BDH128" s="88"/>
      <c r="BDI128" s="88"/>
      <c r="BDJ128" s="88"/>
      <c r="BDK128" s="88"/>
      <c r="BDL128" s="88"/>
      <c r="BDM128" s="88"/>
      <c r="BDN128" s="88"/>
      <c r="BDO128" s="88"/>
      <c r="BDP128" s="88"/>
      <c r="BDQ128" s="88"/>
      <c r="BDR128" s="88"/>
      <c r="BDS128" s="88"/>
      <c r="BDT128" s="88"/>
      <c r="BDU128" s="88"/>
      <c r="BDV128" s="88"/>
      <c r="BDW128" s="88"/>
      <c r="BDX128" s="88"/>
      <c r="BDY128" s="88"/>
      <c r="BDZ128" s="88"/>
      <c r="BEA128" s="88"/>
      <c r="BEB128" s="88"/>
      <c r="BEC128" s="88"/>
      <c r="BED128" s="88"/>
      <c r="BEE128" s="88"/>
      <c r="BEF128" s="88"/>
      <c r="BEG128" s="88"/>
      <c r="BEH128" s="88"/>
      <c r="BEI128" s="88"/>
      <c r="BEJ128" s="88"/>
      <c r="BEK128" s="88"/>
      <c r="BEL128" s="88"/>
      <c r="BEM128" s="88"/>
      <c r="BEN128" s="88"/>
      <c r="BEO128" s="88"/>
      <c r="BEP128" s="88"/>
      <c r="BEQ128" s="88"/>
      <c r="BER128" s="88"/>
      <c r="BES128" s="88"/>
      <c r="BET128" s="88"/>
      <c r="BEU128" s="88"/>
      <c r="BEV128" s="88"/>
      <c r="BEW128" s="88"/>
      <c r="BEX128" s="88"/>
      <c r="BEY128" s="88"/>
      <c r="BEZ128" s="88"/>
      <c r="BFA128" s="88"/>
      <c r="BFB128" s="88"/>
      <c r="BFC128" s="88"/>
      <c r="BFD128" s="88"/>
      <c r="BFE128" s="88"/>
      <c r="BFF128" s="88"/>
      <c r="BFG128" s="88"/>
      <c r="BFH128" s="88"/>
      <c r="BFI128" s="88"/>
      <c r="BFJ128" s="88"/>
      <c r="BFK128" s="88"/>
      <c r="BFL128" s="88"/>
      <c r="BFM128" s="88"/>
      <c r="BFN128" s="88"/>
      <c r="BFO128" s="88"/>
      <c r="BFP128" s="88"/>
      <c r="BFQ128" s="88"/>
      <c r="BFR128" s="88"/>
      <c r="BFS128" s="88"/>
      <c r="BFT128" s="88"/>
      <c r="BFU128" s="88"/>
      <c r="BFV128" s="88"/>
      <c r="BFW128" s="88"/>
      <c r="BFX128" s="88"/>
      <c r="BFY128" s="88"/>
      <c r="BFZ128" s="88"/>
      <c r="BGA128" s="88"/>
      <c r="BGB128" s="88"/>
      <c r="BGC128" s="88"/>
      <c r="BGD128" s="88"/>
      <c r="BGE128" s="88"/>
      <c r="BGF128" s="88"/>
      <c r="BGG128" s="88"/>
      <c r="BGH128" s="88"/>
      <c r="BGI128" s="88"/>
      <c r="BGJ128" s="88"/>
      <c r="BGK128" s="88"/>
      <c r="BGL128" s="88"/>
      <c r="BGM128" s="88"/>
      <c r="BGN128" s="88"/>
      <c r="BGO128" s="88"/>
      <c r="BGP128" s="88"/>
      <c r="BGQ128" s="88"/>
      <c r="BGR128" s="88"/>
      <c r="BGS128" s="88"/>
      <c r="BGT128" s="88"/>
      <c r="BGU128" s="88"/>
      <c r="BGV128" s="88"/>
      <c r="BGW128" s="88"/>
      <c r="BGX128" s="88"/>
      <c r="BGY128" s="88"/>
      <c r="BGZ128" s="88"/>
      <c r="BHA128" s="88"/>
      <c r="BHB128" s="88"/>
      <c r="BHC128" s="88"/>
      <c r="BHD128" s="88"/>
      <c r="BHE128" s="88"/>
      <c r="BHF128" s="88"/>
      <c r="BHG128" s="88"/>
      <c r="BHH128" s="88"/>
      <c r="BHI128" s="88"/>
      <c r="BHJ128" s="88"/>
      <c r="BHK128" s="88"/>
      <c r="BHL128" s="88"/>
      <c r="BHM128" s="88"/>
      <c r="BHN128" s="88"/>
      <c r="BHO128" s="88"/>
      <c r="BHP128" s="88"/>
      <c r="BHQ128" s="88"/>
      <c r="BHR128" s="88"/>
      <c r="BHS128" s="88"/>
      <c r="BHT128" s="88"/>
      <c r="BHU128" s="88"/>
      <c r="BHV128" s="88"/>
      <c r="BHW128" s="88"/>
      <c r="BHX128" s="88"/>
      <c r="BHY128" s="88"/>
      <c r="BHZ128" s="88"/>
      <c r="BIA128" s="88"/>
      <c r="BIB128" s="88"/>
      <c r="BIC128" s="88"/>
      <c r="BID128" s="88"/>
      <c r="BIE128" s="88"/>
      <c r="BIF128" s="88"/>
      <c r="BIG128" s="88"/>
      <c r="BIH128" s="88"/>
      <c r="BII128" s="88"/>
      <c r="BIJ128" s="88"/>
      <c r="BIK128" s="88"/>
      <c r="BIL128" s="88"/>
      <c r="BIM128" s="88"/>
      <c r="BIN128" s="88"/>
      <c r="BIO128" s="88"/>
      <c r="BIP128" s="88"/>
      <c r="BIQ128" s="88"/>
      <c r="BIR128" s="88"/>
      <c r="BIS128" s="88"/>
      <c r="BIT128" s="88"/>
      <c r="BIU128" s="88"/>
      <c r="BIV128" s="88"/>
      <c r="BIW128" s="88"/>
      <c r="BIX128" s="88"/>
      <c r="BIY128" s="88"/>
      <c r="BIZ128" s="88"/>
      <c r="BJA128" s="88"/>
      <c r="BJB128" s="88"/>
      <c r="BJC128" s="88"/>
      <c r="BJD128" s="88"/>
      <c r="BJE128" s="88"/>
      <c r="BJF128" s="88"/>
      <c r="BJG128" s="88"/>
      <c r="BJH128" s="88"/>
      <c r="BJI128" s="88"/>
      <c r="BJJ128" s="88"/>
      <c r="BJK128" s="88"/>
      <c r="BJL128" s="88"/>
      <c r="BJM128" s="88"/>
      <c r="BJN128" s="88"/>
      <c r="BJO128" s="88"/>
      <c r="BJP128" s="88"/>
      <c r="BJQ128" s="88"/>
      <c r="BJR128" s="88"/>
      <c r="BJS128" s="88"/>
      <c r="BJT128" s="88"/>
      <c r="BJU128" s="88"/>
      <c r="BJV128" s="88"/>
      <c r="BJW128" s="88"/>
      <c r="BJX128" s="88"/>
      <c r="BJY128" s="88"/>
      <c r="BJZ128" s="88"/>
      <c r="BKA128" s="88"/>
      <c r="BKB128" s="88"/>
      <c r="BKC128" s="88"/>
      <c r="BKD128" s="88"/>
      <c r="BKE128" s="88"/>
      <c r="BKF128" s="88"/>
      <c r="BKG128" s="88"/>
      <c r="BKH128" s="88"/>
      <c r="BKI128" s="88"/>
      <c r="BKJ128" s="88"/>
      <c r="BKK128" s="88"/>
      <c r="BKL128" s="88"/>
      <c r="BKM128" s="88"/>
      <c r="BKN128" s="88"/>
      <c r="BKO128" s="88"/>
      <c r="BKP128" s="88"/>
      <c r="BKQ128" s="88"/>
      <c r="BKR128" s="88"/>
      <c r="BKS128" s="88"/>
      <c r="BKT128" s="88"/>
      <c r="BKU128" s="88"/>
      <c r="BKV128" s="88"/>
      <c r="BKW128" s="88"/>
      <c r="BKX128" s="88"/>
      <c r="BKY128" s="88"/>
      <c r="BKZ128" s="88"/>
      <c r="BLA128" s="88"/>
      <c r="BLB128" s="88"/>
      <c r="BLC128" s="88"/>
      <c r="BLD128" s="88"/>
      <c r="BLE128" s="88"/>
      <c r="BLF128" s="88"/>
      <c r="BLG128" s="88"/>
      <c r="BLH128" s="88"/>
      <c r="BLI128" s="88"/>
      <c r="BLJ128" s="88"/>
      <c r="BLK128" s="88"/>
      <c r="BLL128" s="88"/>
      <c r="BLM128" s="88"/>
      <c r="BLN128" s="88"/>
      <c r="BLO128" s="88"/>
      <c r="BLP128" s="88"/>
      <c r="BLQ128" s="88"/>
      <c r="BLR128" s="88"/>
      <c r="BLS128" s="88"/>
      <c r="BLT128" s="88"/>
      <c r="BLU128" s="88"/>
      <c r="BLV128" s="88"/>
      <c r="BLW128" s="88"/>
      <c r="BLX128" s="88"/>
      <c r="BLY128" s="88"/>
      <c r="BLZ128" s="88"/>
      <c r="BMA128" s="88"/>
      <c r="BMB128" s="88"/>
      <c r="BMC128" s="88"/>
      <c r="BMD128" s="88"/>
      <c r="BME128" s="88"/>
      <c r="BMF128" s="88"/>
      <c r="BMG128" s="88"/>
      <c r="BMH128" s="88"/>
      <c r="BMI128" s="88"/>
      <c r="BMJ128" s="88"/>
      <c r="BMK128" s="88"/>
      <c r="BML128" s="88"/>
      <c r="BMM128" s="88"/>
      <c r="BMN128" s="88"/>
      <c r="BMO128" s="88"/>
      <c r="BMP128" s="88"/>
      <c r="BMQ128" s="88"/>
      <c r="BMR128" s="88"/>
      <c r="BMS128" s="88"/>
      <c r="BMT128" s="88"/>
      <c r="BMU128" s="88"/>
      <c r="BMV128" s="88"/>
      <c r="BMW128" s="88"/>
      <c r="BMX128" s="88"/>
      <c r="BMY128" s="88"/>
      <c r="BMZ128" s="88"/>
      <c r="BNA128" s="88"/>
      <c r="BNB128" s="88"/>
      <c r="BNC128" s="88"/>
      <c r="BND128" s="88"/>
      <c r="BNE128" s="88"/>
      <c r="BNF128" s="88"/>
      <c r="BNG128" s="88"/>
      <c r="BNH128" s="88"/>
      <c r="BNI128" s="88"/>
      <c r="BNJ128" s="88"/>
      <c r="BNK128" s="88"/>
      <c r="BNL128" s="88"/>
      <c r="BNM128" s="88"/>
      <c r="BNN128" s="88"/>
      <c r="BNO128" s="88"/>
      <c r="BNP128" s="88"/>
      <c r="BNQ128" s="88"/>
      <c r="BNR128" s="88"/>
      <c r="BNS128" s="88"/>
      <c r="BNT128" s="88"/>
      <c r="BNU128" s="88"/>
      <c r="BNV128" s="88"/>
      <c r="BNW128" s="88"/>
      <c r="BNX128" s="88"/>
      <c r="BNY128" s="88"/>
      <c r="BNZ128" s="88"/>
      <c r="BOA128" s="88"/>
      <c r="BOB128" s="88"/>
      <c r="BOC128" s="88"/>
      <c r="BOD128" s="88"/>
      <c r="BOE128" s="88"/>
      <c r="BOF128" s="88"/>
      <c r="BOG128" s="88"/>
      <c r="BOH128" s="88"/>
      <c r="BOI128" s="88"/>
      <c r="BOJ128" s="88"/>
      <c r="BOK128" s="88"/>
      <c r="BOL128" s="88"/>
      <c r="BOM128" s="88"/>
      <c r="BON128" s="88"/>
      <c r="BOO128" s="88"/>
      <c r="BOP128" s="88"/>
      <c r="BOQ128" s="88"/>
      <c r="BOR128" s="88"/>
      <c r="BOS128" s="88"/>
      <c r="BOT128" s="88"/>
      <c r="BOU128" s="88"/>
      <c r="BOV128" s="88"/>
      <c r="BOW128" s="88"/>
      <c r="BOX128" s="88"/>
      <c r="BOY128" s="88"/>
      <c r="BOZ128" s="88"/>
      <c r="BPA128" s="88"/>
      <c r="BPB128" s="88"/>
      <c r="BPC128" s="88"/>
      <c r="BPD128" s="88"/>
      <c r="BPE128" s="88"/>
      <c r="BPF128" s="88"/>
      <c r="BPG128" s="88"/>
      <c r="BPH128" s="88"/>
      <c r="BPI128" s="88"/>
      <c r="BPJ128" s="88"/>
      <c r="BPK128" s="88"/>
      <c r="BPL128" s="88"/>
      <c r="BPM128" s="88"/>
      <c r="BPN128" s="88"/>
      <c r="BPO128" s="88"/>
      <c r="BPP128" s="88"/>
      <c r="BPQ128" s="88"/>
      <c r="BPR128" s="88"/>
      <c r="BPS128" s="88"/>
      <c r="BPT128" s="88"/>
      <c r="BPU128" s="88"/>
      <c r="BPV128" s="88"/>
      <c r="BPW128" s="88"/>
      <c r="BPX128" s="88"/>
      <c r="BPY128" s="88"/>
      <c r="BPZ128" s="88"/>
      <c r="BQA128" s="88"/>
      <c r="BQB128" s="88"/>
      <c r="BQC128" s="88"/>
      <c r="BQD128" s="88"/>
      <c r="BQE128" s="88"/>
      <c r="BQF128" s="88"/>
      <c r="BQG128" s="88"/>
      <c r="BQH128" s="88"/>
      <c r="BQI128" s="88"/>
      <c r="BQJ128" s="88"/>
      <c r="BQK128" s="88"/>
      <c r="BQL128" s="88"/>
      <c r="BQM128" s="88"/>
      <c r="BQN128" s="88"/>
      <c r="BQO128" s="88"/>
      <c r="BQP128" s="88"/>
      <c r="BQQ128" s="88"/>
      <c r="BQR128" s="88"/>
      <c r="BQS128" s="88"/>
      <c r="BQT128" s="88"/>
      <c r="BQU128" s="88"/>
      <c r="BQV128" s="88"/>
      <c r="BQW128" s="88"/>
      <c r="BQX128" s="88"/>
      <c r="BQY128" s="88"/>
      <c r="BQZ128" s="88"/>
      <c r="BRA128" s="88"/>
      <c r="BRB128" s="88"/>
      <c r="BRC128" s="88"/>
      <c r="BRD128" s="88"/>
      <c r="BRE128" s="88"/>
      <c r="BRF128" s="88"/>
      <c r="BRG128" s="88"/>
      <c r="BRH128" s="88"/>
      <c r="BRI128" s="88"/>
      <c r="BRJ128" s="88"/>
      <c r="BRK128" s="88"/>
      <c r="BRL128" s="88"/>
      <c r="BRM128" s="88"/>
      <c r="BRN128" s="88"/>
      <c r="BRO128" s="88"/>
      <c r="BRP128" s="88"/>
      <c r="BRQ128" s="88"/>
      <c r="BRR128" s="88"/>
      <c r="BRS128" s="88"/>
      <c r="BRT128" s="88"/>
      <c r="BRU128" s="88"/>
      <c r="BRV128" s="88"/>
      <c r="BRW128" s="88"/>
      <c r="BRX128" s="88"/>
      <c r="BRY128" s="88"/>
      <c r="BRZ128" s="88"/>
      <c r="BSA128" s="88"/>
      <c r="BSB128" s="88"/>
      <c r="BSC128" s="88"/>
      <c r="BSD128" s="88"/>
      <c r="BSE128" s="88"/>
      <c r="BSF128" s="88"/>
      <c r="BSG128" s="88"/>
      <c r="BSH128" s="88"/>
      <c r="BSI128" s="88"/>
      <c r="BSJ128" s="88"/>
      <c r="BSK128" s="88"/>
      <c r="BSL128" s="88"/>
      <c r="BSM128" s="88"/>
      <c r="BSN128" s="88"/>
      <c r="BSO128" s="88"/>
      <c r="BSP128" s="88"/>
      <c r="BSQ128" s="88"/>
      <c r="BSR128" s="88"/>
      <c r="BSS128" s="88"/>
      <c r="BST128" s="88"/>
      <c r="BSU128" s="88"/>
      <c r="BSV128" s="88"/>
      <c r="BSW128" s="88"/>
      <c r="BSX128" s="88"/>
      <c r="BSY128" s="88"/>
      <c r="BSZ128" s="88"/>
      <c r="BTA128" s="88"/>
      <c r="BTB128" s="88"/>
      <c r="BTC128" s="88"/>
      <c r="BTD128" s="88"/>
      <c r="BTE128" s="88"/>
      <c r="BTF128" s="88"/>
      <c r="BTG128" s="88"/>
      <c r="BTH128" s="88"/>
      <c r="BTI128" s="88"/>
      <c r="BTJ128" s="88"/>
      <c r="BTK128" s="88"/>
      <c r="BTL128" s="88"/>
      <c r="BTM128" s="88"/>
      <c r="BTN128" s="88"/>
      <c r="BTO128" s="88"/>
      <c r="BTP128" s="88"/>
      <c r="BTQ128" s="88"/>
      <c r="BTR128" s="88"/>
      <c r="BTS128" s="88"/>
      <c r="BTT128" s="88"/>
      <c r="BTU128" s="88"/>
      <c r="BTV128" s="88"/>
      <c r="BTW128" s="88"/>
      <c r="BTX128" s="88"/>
      <c r="BTY128" s="88"/>
      <c r="BTZ128" s="88"/>
      <c r="BUA128" s="88"/>
      <c r="BUB128" s="88"/>
      <c r="BUC128" s="88"/>
      <c r="BUD128" s="88"/>
      <c r="BUE128" s="88"/>
      <c r="BUF128" s="88"/>
      <c r="BUG128" s="88"/>
      <c r="BUH128" s="88"/>
      <c r="BUI128" s="88"/>
      <c r="BUJ128" s="88"/>
      <c r="BUK128" s="88"/>
      <c r="BUL128" s="88"/>
      <c r="BUM128" s="88"/>
      <c r="BUN128" s="88"/>
      <c r="BUO128" s="88"/>
      <c r="BUP128" s="88"/>
      <c r="BUQ128" s="88"/>
      <c r="BUR128" s="88"/>
      <c r="BUS128" s="88"/>
      <c r="BUT128" s="88"/>
      <c r="BUU128" s="88"/>
      <c r="BUV128" s="88"/>
      <c r="BUW128" s="88"/>
      <c r="BUX128" s="88"/>
      <c r="BUY128" s="88"/>
      <c r="BUZ128" s="88"/>
      <c r="BVA128" s="88"/>
      <c r="BVB128" s="88"/>
      <c r="BVC128" s="88"/>
      <c r="BVD128" s="88"/>
      <c r="BVE128" s="88"/>
      <c r="BVF128" s="88"/>
      <c r="BVG128" s="88"/>
      <c r="BVH128" s="88"/>
      <c r="BVI128" s="88"/>
      <c r="BVJ128" s="88"/>
      <c r="BVK128" s="88"/>
      <c r="BVL128" s="88"/>
      <c r="BVM128" s="88"/>
      <c r="BVN128" s="88"/>
      <c r="BVO128" s="88"/>
      <c r="BVP128" s="88"/>
      <c r="BVQ128" s="88"/>
      <c r="BVR128" s="88"/>
      <c r="BVS128" s="88"/>
      <c r="BVT128" s="88"/>
      <c r="BVU128" s="88"/>
      <c r="BVV128" s="88"/>
      <c r="BVW128" s="88"/>
      <c r="BVX128" s="88"/>
      <c r="BVY128" s="88"/>
      <c r="BVZ128" s="88"/>
      <c r="BWA128" s="88"/>
      <c r="BWB128" s="88"/>
      <c r="BWC128" s="88"/>
      <c r="BWD128" s="88"/>
      <c r="BWE128" s="88"/>
      <c r="BWF128" s="88"/>
      <c r="BWG128" s="88"/>
      <c r="BWH128" s="88"/>
      <c r="BWI128" s="88"/>
      <c r="BWJ128" s="88"/>
      <c r="BWK128" s="88"/>
      <c r="BWL128" s="88"/>
      <c r="BWM128" s="88"/>
      <c r="BWN128" s="88"/>
      <c r="BWO128" s="88"/>
      <c r="BWP128" s="88"/>
      <c r="BWQ128" s="88"/>
      <c r="BWR128" s="88"/>
      <c r="BWS128" s="88"/>
      <c r="BWT128" s="88"/>
      <c r="BWU128" s="88"/>
      <c r="BWV128" s="88"/>
      <c r="BWW128" s="88"/>
      <c r="BWX128" s="88"/>
      <c r="BWY128" s="88"/>
      <c r="BWZ128" s="88"/>
      <c r="BXA128" s="88"/>
      <c r="BXB128" s="88"/>
      <c r="BXC128" s="88"/>
      <c r="BXD128" s="88"/>
      <c r="BXE128" s="88"/>
      <c r="BXF128" s="88"/>
      <c r="BXG128" s="88"/>
      <c r="BXH128" s="88"/>
      <c r="BXI128" s="88"/>
      <c r="BXJ128" s="88"/>
      <c r="BXK128" s="88"/>
      <c r="BXL128" s="88"/>
      <c r="BXM128" s="88"/>
      <c r="BXN128" s="88"/>
      <c r="BXO128" s="88"/>
      <c r="BXP128" s="88"/>
      <c r="BXQ128" s="88"/>
      <c r="BXR128" s="88"/>
      <c r="BXS128" s="88"/>
      <c r="BXT128" s="88"/>
      <c r="BXU128" s="88"/>
      <c r="BXV128" s="88"/>
      <c r="BXW128" s="88"/>
      <c r="BXX128" s="88"/>
      <c r="BXY128" s="88"/>
      <c r="BXZ128" s="88"/>
      <c r="BYA128" s="88"/>
      <c r="BYB128" s="88"/>
      <c r="BYC128" s="88"/>
      <c r="BYD128" s="88"/>
      <c r="BYE128" s="88"/>
      <c r="BYF128" s="88"/>
      <c r="BYG128" s="88"/>
      <c r="BYH128" s="88"/>
      <c r="BYI128" s="88"/>
      <c r="BYJ128" s="88"/>
      <c r="BYK128" s="88"/>
      <c r="BYL128" s="88"/>
      <c r="BYM128" s="88"/>
      <c r="BYN128" s="88"/>
      <c r="BYO128" s="88"/>
      <c r="BYP128" s="88"/>
      <c r="BYQ128" s="88"/>
      <c r="BYR128" s="88"/>
      <c r="BYS128" s="88"/>
      <c r="BYT128" s="88"/>
      <c r="BYU128" s="88"/>
      <c r="BYV128" s="88"/>
      <c r="BYW128" s="88"/>
      <c r="BYX128" s="88"/>
      <c r="BYY128" s="88"/>
      <c r="BYZ128" s="88"/>
      <c r="BZA128" s="88"/>
      <c r="BZB128" s="88"/>
      <c r="BZC128" s="88"/>
      <c r="BZD128" s="88"/>
      <c r="BZE128" s="88"/>
      <c r="BZF128" s="88"/>
      <c r="BZG128" s="88"/>
      <c r="BZH128" s="88"/>
      <c r="BZI128" s="88"/>
      <c r="BZJ128" s="88"/>
      <c r="BZK128" s="88"/>
      <c r="BZL128" s="88"/>
      <c r="BZM128" s="88"/>
      <c r="BZN128" s="88"/>
      <c r="BZO128" s="88"/>
      <c r="BZP128" s="88"/>
      <c r="BZQ128" s="88"/>
      <c r="BZR128" s="88"/>
      <c r="BZS128" s="88"/>
      <c r="BZT128" s="88"/>
      <c r="BZU128" s="88"/>
      <c r="BZV128" s="88"/>
      <c r="BZW128" s="88"/>
      <c r="BZX128" s="88"/>
      <c r="BZY128" s="88"/>
      <c r="BZZ128" s="88"/>
      <c r="CAA128" s="88"/>
      <c r="CAB128" s="88"/>
      <c r="CAC128" s="88"/>
      <c r="CAD128" s="88"/>
      <c r="CAE128" s="88"/>
      <c r="CAF128" s="88"/>
      <c r="CAG128" s="88"/>
      <c r="CAH128" s="88"/>
      <c r="CAI128" s="88"/>
      <c r="CAJ128" s="88"/>
      <c r="CAK128" s="88"/>
      <c r="CAL128" s="88"/>
      <c r="CAM128" s="88"/>
      <c r="CAN128" s="88"/>
      <c r="CAO128" s="88"/>
      <c r="CAP128" s="88"/>
      <c r="CAQ128" s="88"/>
      <c r="CAR128" s="88"/>
      <c r="CAS128" s="88"/>
      <c r="CAT128" s="88"/>
      <c r="CAU128" s="88"/>
      <c r="CAV128" s="88"/>
      <c r="CAW128" s="88"/>
      <c r="CAX128" s="88"/>
      <c r="CAY128" s="88"/>
      <c r="CAZ128" s="88"/>
      <c r="CBA128" s="88"/>
      <c r="CBB128" s="88"/>
      <c r="CBC128" s="88"/>
      <c r="CBD128" s="88"/>
      <c r="CBE128" s="88"/>
      <c r="CBF128" s="88"/>
      <c r="CBG128" s="88"/>
      <c r="CBH128" s="88"/>
      <c r="CBI128" s="88"/>
      <c r="CBJ128" s="88"/>
      <c r="CBK128" s="88"/>
      <c r="CBL128" s="88"/>
      <c r="CBM128" s="88"/>
      <c r="CBN128" s="88"/>
      <c r="CBO128" s="88"/>
      <c r="CBP128" s="88"/>
      <c r="CBQ128" s="88"/>
      <c r="CBR128" s="88"/>
      <c r="CBS128" s="88"/>
      <c r="CBT128" s="88"/>
      <c r="CBU128" s="88"/>
      <c r="CBV128" s="88"/>
      <c r="CBW128" s="88"/>
      <c r="CBX128" s="88"/>
      <c r="CBY128" s="88"/>
      <c r="CBZ128" s="88"/>
      <c r="CCA128" s="88"/>
      <c r="CCB128" s="88"/>
      <c r="CCC128" s="88"/>
      <c r="CCD128" s="88"/>
      <c r="CCE128" s="88"/>
      <c r="CCF128" s="88"/>
      <c r="CCG128" s="88"/>
      <c r="CCH128" s="88"/>
      <c r="CCI128" s="88"/>
      <c r="CCJ128" s="88"/>
      <c r="CCK128" s="88"/>
      <c r="CCL128" s="88"/>
      <c r="CCM128" s="88"/>
      <c r="CCN128" s="88"/>
      <c r="CCO128" s="88"/>
      <c r="CCP128" s="88"/>
      <c r="CCQ128" s="88"/>
      <c r="CCR128" s="88"/>
      <c r="CCS128" s="88"/>
      <c r="CCT128" s="88"/>
      <c r="CCU128" s="88"/>
      <c r="CCV128" s="88"/>
      <c r="CCW128" s="88"/>
      <c r="CCX128" s="88"/>
      <c r="CCY128" s="88"/>
      <c r="CCZ128" s="88"/>
      <c r="CDA128" s="88"/>
      <c r="CDB128" s="88"/>
      <c r="CDC128" s="88"/>
      <c r="CDD128" s="88"/>
      <c r="CDE128" s="88"/>
      <c r="CDF128" s="88"/>
      <c r="CDG128" s="88"/>
      <c r="CDH128" s="88"/>
      <c r="CDI128" s="88"/>
      <c r="CDJ128" s="88"/>
      <c r="CDK128" s="88"/>
      <c r="CDL128" s="88"/>
      <c r="CDM128" s="88"/>
      <c r="CDN128" s="88"/>
      <c r="CDO128" s="88"/>
      <c r="CDP128" s="88"/>
      <c r="CDQ128" s="88"/>
      <c r="CDR128" s="88"/>
      <c r="CDS128" s="88"/>
      <c r="CDT128" s="88"/>
      <c r="CDU128" s="88"/>
      <c r="CDV128" s="88"/>
      <c r="CDW128" s="88"/>
      <c r="CDX128" s="88"/>
      <c r="CDY128" s="88"/>
      <c r="CDZ128" s="88"/>
      <c r="CEA128" s="88"/>
      <c r="CEB128" s="88"/>
      <c r="CEC128" s="88"/>
      <c r="CED128" s="88"/>
      <c r="CEE128" s="88"/>
      <c r="CEF128" s="88"/>
      <c r="CEG128" s="88"/>
      <c r="CEH128" s="88"/>
      <c r="CEI128" s="88"/>
      <c r="CEJ128" s="88"/>
      <c r="CEK128" s="88"/>
    </row>
    <row r="129" spans="1:2169" s="63" customFormat="1">
      <c r="A129" s="73" t="s">
        <v>104</v>
      </c>
      <c r="B129" s="71" t="s">
        <v>719</v>
      </c>
      <c r="C129" s="68" t="str">
        <f>IF('page 2'!$O$4="","",IF('page 2'!$O$4=Gestion!A129,1,0))</f>
        <v/>
      </c>
      <c r="D129" s="68" t="str">
        <f>IF('page 2'!$O$5="","",IF('page 2'!$O$5=Gestion!A129,1,0))</f>
        <v/>
      </c>
      <c r="E129" s="68" t="str">
        <f>IF('page 2'!$O$6="","",IF('page 2'!$O$6=Gestion!A129,1,0))</f>
        <v/>
      </c>
      <c r="F129" s="68" t="str">
        <f>IF('page 2'!$O$7="","",IF('page 2'!$O$7=Gestion!A129,1,0))</f>
        <v/>
      </c>
      <c r="G129" s="68" t="str">
        <f>IF('page 2'!$O$8="","",IF('page 2'!$O$8=Gestion!A129,1,0))</f>
        <v/>
      </c>
      <c r="H129" s="68" t="str">
        <f>IF('page 2'!$O$9="","",IF('page 2'!$O$9=Gestion!A129,1,0))</f>
        <v/>
      </c>
      <c r="I129" s="68" t="str">
        <f>IF('page 2'!$O$10="","",IF('page 2'!$O$10=Gestion!A129,1,0))</f>
        <v/>
      </c>
      <c r="J129" s="68" t="str">
        <f>IF('page 2'!$O$11="","",IF('page 2'!$O$11=Gestion!A129,1,0))</f>
        <v/>
      </c>
      <c r="K129" s="68" t="str">
        <f>IF('page 2'!$O$12="","",IF('page 2'!$O$12=Gestion!A129,1,0))</f>
        <v/>
      </c>
      <c r="L129" s="68" t="str">
        <f>IF('page 2'!$O$13="","",IF('page 2'!$O$13=Gestion!A129,1,0))</f>
        <v/>
      </c>
      <c r="M129" s="68" t="str">
        <f>IF('page 2'!$O$14="","",IF('page 2'!$O$14=Gestion!A129,1,0))</f>
        <v/>
      </c>
      <c r="N129" s="68" t="str">
        <f>IF('page 2'!$O$15="","",IF('page 2'!$O$15=Gestion!A129,1,0))</f>
        <v/>
      </c>
      <c r="O129" s="68" t="str">
        <f>IF('page 2'!$O$16="","",IF('page 2'!$O$16=Gestion!A129,1,0))</f>
        <v/>
      </c>
      <c r="P129" s="68" t="str">
        <f>IF('page 2'!$O$17="","",IF('page 2'!$O$17=Gestion!A129,1,0))</f>
        <v/>
      </c>
      <c r="Q129" s="68" t="str">
        <f>IF('page 2'!$O$18="","",IF('page 2'!$O$18=Gestion!A129,1,0))</f>
        <v/>
      </c>
      <c r="R129" s="68" t="str">
        <f>IF('page 2'!$O$19="","",IF('page 2'!$O$19=Gestion!A129,1,0))</f>
        <v/>
      </c>
      <c r="S129" s="68" t="str">
        <f>IF('page 2'!$O$20="","",IF('page 2'!$O$20=Gestion!A129,1,0))</f>
        <v/>
      </c>
      <c r="T129" s="68" t="str">
        <f>IF('page 2'!$O$25="","",IF('page 2'!$O$25=Gestion!A129,1,0))</f>
        <v/>
      </c>
      <c r="U129" s="68" t="str">
        <f>IF('page 2'!$O$26="","",IF('page 2'!$O$26=Gestion!A129,1,0))</f>
        <v/>
      </c>
      <c r="V129" s="68" t="str">
        <f>IF('page 2'!$O$27="","",IF('page 2'!$O$27=Gestion!A129,1,0))</f>
        <v/>
      </c>
      <c r="W129" s="722">
        <f t="shared" si="14"/>
        <v>0</v>
      </c>
      <c r="X129" s="714"/>
      <c r="Y129" s="68"/>
      <c r="Z129" s="68"/>
      <c r="AA129" s="68"/>
      <c r="AB129" s="68"/>
      <c r="AC129" s="68"/>
      <c r="AD129" s="68"/>
      <c r="AP129" s="130"/>
      <c r="AQ129" s="130"/>
      <c r="AR129" s="130"/>
      <c r="AS129" s="576"/>
      <c r="AT129" s="576"/>
      <c r="AU129" s="576"/>
      <c r="AV129" s="576"/>
      <c r="AW129" s="602"/>
      <c r="AX129" s="602"/>
      <c r="AY129" s="576"/>
      <c r="AZ129" s="576"/>
      <c r="BA129" s="576"/>
      <c r="BB129" s="576"/>
      <c r="BC129" s="576"/>
      <c r="BD129" s="602"/>
      <c r="BE129" s="602"/>
      <c r="BF129" s="602"/>
      <c r="BG129" s="602"/>
      <c r="BH129" s="602"/>
      <c r="BI129" s="602"/>
      <c r="BJ129" s="602"/>
      <c r="BK129" s="602"/>
      <c r="BL129" s="602"/>
      <c r="BM129" s="602"/>
      <c r="BN129" s="602"/>
      <c r="BO129" s="602"/>
      <c r="BP129" s="602"/>
      <c r="BQ129" s="602"/>
      <c r="BR129" s="602"/>
      <c r="BS129" s="576"/>
      <c r="BT129" s="576"/>
      <c r="BU129" s="576"/>
      <c r="BV129" s="576"/>
      <c r="BW129" s="602"/>
      <c r="BX129" s="602"/>
      <c r="BY129" s="602"/>
      <c r="BZ129" s="576"/>
      <c r="CA129" s="602"/>
      <c r="CB129" s="602"/>
      <c r="CC129" s="576"/>
      <c r="CD129" s="576"/>
      <c r="CE129" s="602"/>
      <c r="CF129" s="576"/>
      <c r="CG129" s="576"/>
      <c r="CH129" s="576"/>
      <c r="CI129" s="576"/>
      <c r="CJ129" s="576"/>
      <c r="CK129" s="602"/>
      <c r="CL129" s="602"/>
      <c r="CM129" s="576"/>
      <c r="CN129" s="602"/>
      <c r="CO129" s="602"/>
      <c r="CP129" s="602"/>
      <c r="CQ129" s="576"/>
      <c r="CR129" s="576"/>
      <c r="CS129" s="602"/>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c r="HF129" s="88"/>
      <c r="HG129" s="88"/>
      <c r="HH129" s="88"/>
      <c r="HI129" s="88"/>
      <c r="HJ129" s="88"/>
      <c r="HK129" s="88"/>
      <c r="HL129" s="88"/>
      <c r="HM129" s="88"/>
      <c r="HN129" s="88"/>
      <c r="HO129" s="88"/>
      <c r="HP129" s="88"/>
      <c r="HQ129" s="88"/>
      <c r="HR129" s="88"/>
      <c r="HS129" s="88"/>
      <c r="HT129" s="88"/>
      <c r="HU129" s="88"/>
      <c r="HV129" s="88"/>
      <c r="HW129" s="88"/>
      <c r="HX129" s="88"/>
      <c r="HY129" s="88"/>
      <c r="HZ129" s="88"/>
      <c r="IA129" s="88"/>
      <c r="IB129" s="88"/>
      <c r="IC129" s="88"/>
      <c r="ID129" s="88"/>
      <c r="IE129" s="88"/>
      <c r="IF129" s="88"/>
      <c r="IG129" s="88"/>
      <c r="IH129" s="88"/>
      <c r="II129" s="88"/>
      <c r="IJ129" s="88"/>
      <c r="IK129" s="88"/>
      <c r="IL129" s="88"/>
      <c r="IM129" s="88"/>
      <c r="IN129" s="88"/>
      <c r="IO129" s="88"/>
      <c r="IP129" s="88"/>
      <c r="IQ129" s="88"/>
      <c r="IR129" s="88"/>
      <c r="IS129" s="88"/>
      <c r="IT129" s="88"/>
      <c r="IU129" s="88"/>
      <c r="IV129" s="88"/>
      <c r="IW129" s="88"/>
      <c r="IX129" s="88"/>
      <c r="IY129" s="88"/>
      <c r="IZ129" s="88"/>
      <c r="JA129" s="88"/>
      <c r="JB129" s="88"/>
      <c r="JC129" s="88"/>
      <c r="JD129" s="88"/>
      <c r="JE129" s="88"/>
      <c r="JF129" s="88"/>
      <c r="JG129" s="88"/>
      <c r="JH129" s="88"/>
      <c r="JI129" s="88"/>
      <c r="JJ129" s="88"/>
      <c r="JK129" s="88"/>
      <c r="JL129" s="88"/>
      <c r="JM129" s="88"/>
      <c r="JN129" s="88"/>
      <c r="JO129" s="88"/>
      <c r="JP129" s="88"/>
      <c r="JQ129" s="88"/>
      <c r="JR129" s="88"/>
      <c r="JS129" s="88"/>
      <c r="JT129" s="88"/>
      <c r="JU129" s="88"/>
      <c r="JV129" s="88"/>
      <c r="JW129" s="88"/>
      <c r="JX129" s="88"/>
      <c r="JY129" s="88"/>
      <c r="JZ129" s="88"/>
      <c r="KA129" s="88"/>
      <c r="KB129" s="88"/>
      <c r="KC129" s="88"/>
      <c r="KD129" s="88"/>
      <c r="KE129" s="88"/>
      <c r="KF129" s="88"/>
      <c r="KG129" s="88"/>
      <c r="KH129" s="88"/>
      <c r="KI129" s="88"/>
      <c r="KJ129" s="88"/>
      <c r="KK129" s="88"/>
      <c r="KL129" s="88"/>
      <c r="KM129" s="88"/>
      <c r="KN129" s="88"/>
      <c r="KO129" s="88"/>
      <c r="KP129" s="88"/>
      <c r="KQ129" s="88"/>
      <c r="KR129" s="88"/>
      <c r="KS129" s="88"/>
      <c r="KT129" s="88"/>
      <c r="KU129" s="88"/>
      <c r="KV129" s="88"/>
      <c r="KW129" s="88"/>
      <c r="KX129" s="88"/>
      <c r="KY129" s="88"/>
      <c r="KZ129" s="88"/>
      <c r="LA129" s="88"/>
      <c r="LB129" s="88"/>
      <c r="LC129" s="88"/>
      <c r="LD129" s="88"/>
      <c r="LE129" s="88"/>
      <c r="LF129" s="88"/>
      <c r="LG129" s="88"/>
      <c r="LH129" s="88"/>
      <c r="LI129" s="88"/>
      <c r="LJ129" s="88"/>
      <c r="LK129" s="88"/>
      <c r="LL129" s="88"/>
      <c r="LM129" s="88"/>
      <c r="LN129" s="88"/>
      <c r="LO129" s="88"/>
      <c r="LP129" s="88"/>
      <c r="LQ129" s="88"/>
      <c r="LR129" s="88"/>
      <c r="LS129" s="88"/>
      <c r="LT129" s="88"/>
      <c r="LU129" s="88"/>
      <c r="LV129" s="88"/>
      <c r="LW129" s="88"/>
      <c r="LX129" s="88"/>
      <c r="LY129" s="88"/>
      <c r="LZ129" s="88"/>
      <c r="MA129" s="88"/>
      <c r="MB129" s="88"/>
      <c r="MC129" s="88"/>
      <c r="MD129" s="88"/>
      <c r="ME129" s="88"/>
      <c r="MF129" s="88"/>
      <c r="MG129" s="88"/>
      <c r="MH129" s="88"/>
      <c r="MI129" s="88"/>
      <c r="MJ129" s="88"/>
      <c r="MK129" s="88"/>
      <c r="ML129" s="88"/>
      <c r="MM129" s="88"/>
      <c r="MN129" s="88"/>
      <c r="MO129" s="88"/>
      <c r="MP129" s="88"/>
      <c r="MQ129" s="88"/>
      <c r="MR129" s="88"/>
      <c r="MS129" s="88"/>
      <c r="MT129" s="88"/>
      <c r="MU129" s="88"/>
      <c r="MV129" s="88"/>
      <c r="MW129" s="88"/>
      <c r="MX129" s="88"/>
      <c r="MY129" s="88"/>
      <c r="MZ129" s="88"/>
      <c r="NA129" s="88"/>
      <c r="NB129" s="88"/>
      <c r="NC129" s="88"/>
      <c r="ND129" s="88"/>
      <c r="NE129" s="88"/>
      <c r="NF129" s="88"/>
      <c r="NG129" s="88"/>
      <c r="NH129" s="88"/>
      <c r="NI129" s="88"/>
      <c r="NJ129" s="88"/>
      <c r="NK129" s="88"/>
      <c r="NL129" s="88"/>
      <c r="NM129" s="88"/>
      <c r="NN129" s="88"/>
      <c r="NO129" s="88"/>
      <c r="NP129" s="88"/>
      <c r="NQ129" s="88"/>
      <c r="NR129" s="88"/>
      <c r="NS129" s="88"/>
      <c r="NT129" s="88"/>
      <c r="NU129" s="88"/>
      <c r="NV129" s="88"/>
      <c r="NW129" s="88"/>
      <c r="NX129" s="88"/>
      <c r="NY129" s="88"/>
      <c r="NZ129" s="88"/>
      <c r="OA129" s="88"/>
      <c r="OB129" s="88"/>
      <c r="OC129" s="88"/>
      <c r="OD129" s="88"/>
      <c r="OE129" s="88"/>
      <c r="OF129" s="88"/>
      <c r="OG129" s="88"/>
      <c r="OH129" s="88"/>
      <c r="OI129" s="88"/>
      <c r="OJ129" s="88"/>
      <c r="OK129" s="88"/>
      <c r="OL129" s="88"/>
      <c r="OM129" s="88"/>
      <c r="ON129" s="88"/>
      <c r="OO129" s="88"/>
      <c r="OP129" s="88"/>
      <c r="OQ129" s="88"/>
      <c r="OR129" s="88"/>
      <c r="OS129" s="88"/>
      <c r="OT129" s="88"/>
      <c r="OU129" s="88"/>
      <c r="OV129" s="88"/>
      <c r="OW129" s="88"/>
      <c r="OX129" s="88"/>
      <c r="OY129" s="88"/>
      <c r="OZ129" s="88"/>
      <c r="PA129" s="88"/>
      <c r="PB129" s="88"/>
      <c r="PC129" s="88"/>
      <c r="PD129" s="88"/>
      <c r="PE129" s="88"/>
      <c r="PF129" s="88"/>
      <c r="PG129" s="88"/>
      <c r="PH129" s="88"/>
      <c r="PI129" s="88"/>
      <c r="PJ129" s="88"/>
      <c r="PK129" s="88"/>
      <c r="PL129" s="88"/>
      <c r="PM129" s="88"/>
      <c r="PN129" s="88"/>
      <c r="PO129" s="88"/>
      <c r="PP129" s="88"/>
      <c r="PQ129" s="88"/>
      <c r="PR129" s="88"/>
      <c r="PS129" s="88"/>
      <c r="PT129" s="88"/>
      <c r="PU129" s="88"/>
      <c r="PV129" s="88"/>
      <c r="PW129" s="88"/>
      <c r="PX129" s="88"/>
      <c r="PY129" s="88"/>
      <c r="PZ129" s="88"/>
      <c r="QA129" s="88"/>
      <c r="QB129" s="88"/>
      <c r="QC129" s="88"/>
      <c r="QD129" s="88"/>
      <c r="QE129" s="88"/>
      <c r="QF129" s="88"/>
      <c r="QG129" s="88"/>
      <c r="QH129" s="88"/>
      <c r="QI129" s="88"/>
      <c r="QJ129" s="88"/>
      <c r="QK129" s="88"/>
      <c r="QL129" s="88"/>
      <c r="QM129" s="88"/>
      <c r="QN129" s="88"/>
      <c r="QO129" s="88"/>
      <c r="QP129" s="88"/>
      <c r="QQ129" s="88"/>
      <c r="QR129" s="88"/>
      <c r="QS129" s="88"/>
      <c r="QT129" s="88"/>
      <c r="QU129" s="88"/>
      <c r="QV129" s="88"/>
      <c r="QW129" s="88"/>
      <c r="QX129" s="88"/>
      <c r="QY129" s="88"/>
      <c r="QZ129" s="88"/>
      <c r="RA129" s="88"/>
      <c r="RB129" s="88"/>
      <c r="RC129" s="88"/>
      <c r="RD129" s="88"/>
      <c r="RE129" s="88"/>
      <c r="RF129" s="88"/>
      <c r="RG129" s="88"/>
      <c r="RH129" s="88"/>
      <c r="RI129" s="88"/>
      <c r="RJ129" s="88"/>
      <c r="RK129" s="88"/>
      <c r="RL129" s="88"/>
      <c r="RM129" s="88"/>
      <c r="RN129" s="88"/>
      <c r="RO129" s="88"/>
      <c r="RP129" s="88"/>
      <c r="RQ129" s="88"/>
      <c r="RR129" s="88"/>
      <c r="RS129" s="88"/>
      <c r="RT129" s="88"/>
      <c r="RU129" s="88"/>
      <c r="RV129" s="88"/>
      <c r="RW129" s="88"/>
      <c r="RX129" s="88"/>
      <c r="RY129" s="88"/>
      <c r="RZ129" s="88"/>
      <c r="SA129" s="88"/>
      <c r="SB129" s="88"/>
      <c r="SC129" s="88"/>
      <c r="SD129" s="88"/>
      <c r="SE129" s="88"/>
      <c r="SF129" s="88"/>
      <c r="SG129" s="88"/>
      <c r="SH129" s="88"/>
      <c r="SI129" s="88"/>
      <c r="SJ129" s="88"/>
      <c r="SK129" s="88"/>
      <c r="SL129" s="88"/>
      <c r="SM129" s="88"/>
      <c r="SN129" s="88"/>
      <c r="SO129" s="88"/>
      <c r="SP129" s="88"/>
      <c r="SQ129" s="88"/>
      <c r="SR129" s="88"/>
      <c r="SS129" s="88"/>
      <c r="ST129" s="88"/>
      <c r="SU129" s="88"/>
      <c r="SV129" s="88"/>
      <c r="SW129" s="88"/>
      <c r="SX129" s="88"/>
      <c r="SY129" s="88"/>
      <c r="SZ129" s="88"/>
      <c r="TA129" s="88"/>
      <c r="TB129" s="88"/>
      <c r="TC129" s="88"/>
      <c r="TD129" s="88"/>
      <c r="TE129" s="88"/>
      <c r="TF129" s="88"/>
      <c r="TG129" s="88"/>
      <c r="TH129" s="88"/>
      <c r="TI129" s="88"/>
      <c r="TJ129" s="88"/>
      <c r="TK129" s="88"/>
      <c r="TL129" s="88"/>
      <c r="TM129" s="88"/>
      <c r="TN129" s="88"/>
      <c r="TO129" s="88"/>
      <c r="TP129" s="88"/>
      <c r="TQ129" s="88"/>
      <c r="TR129" s="88"/>
      <c r="TS129" s="88"/>
      <c r="TT129" s="88"/>
      <c r="TU129" s="88"/>
      <c r="TV129" s="88"/>
      <c r="TW129" s="88"/>
      <c r="TX129" s="88"/>
      <c r="TY129" s="88"/>
      <c r="TZ129" s="88"/>
      <c r="UA129" s="88"/>
      <c r="UB129" s="88"/>
      <c r="UC129" s="88"/>
      <c r="UD129" s="88"/>
      <c r="UE129" s="88"/>
      <c r="UF129" s="88"/>
      <c r="UG129" s="88"/>
      <c r="UH129" s="88"/>
      <c r="UI129" s="88"/>
      <c r="UJ129" s="88"/>
      <c r="UK129" s="88"/>
      <c r="UL129" s="88"/>
      <c r="UM129" s="88"/>
      <c r="UN129" s="88"/>
      <c r="UO129" s="88"/>
      <c r="UP129" s="88"/>
      <c r="UQ129" s="88"/>
      <c r="UR129" s="88"/>
      <c r="US129" s="88"/>
      <c r="UT129" s="88"/>
      <c r="UU129" s="88"/>
      <c r="UV129" s="88"/>
      <c r="UW129" s="88"/>
      <c r="UX129" s="88"/>
      <c r="UY129" s="88"/>
      <c r="UZ129" s="88"/>
      <c r="VA129" s="88"/>
      <c r="VB129" s="88"/>
      <c r="VC129" s="88"/>
      <c r="VD129" s="88"/>
      <c r="VE129" s="88"/>
      <c r="VF129" s="88"/>
      <c r="VG129" s="88"/>
      <c r="VH129" s="88"/>
      <c r="VI129" s="88"/>
      <c r="VJ129" s="88"/>
      <c r="VK129" s="88"/>
      <c r="VL129" s="88"/>
      <c r="VM129" s="88"/>
      <c r="VN129" s="88"/>
      <c r="VO129" s="88"/>
      <c r="VP129" s="88"/>
      <c r="VQ129" s="88"/>
      <c r="VR129" s="88"/>
      <c r="VS129" s="88"/>
      <c r="VT129" s="88"/>
      <c r="VU129" s="88"/>
      <c r="VV129" s="88"/>
      <c r="VW129" s="88"/>
      <c r="VX129" s="88"/>
      <c r="VY129" s="88"/>
      <c r="VZ129" s="88"/>
      <c r="WA129" s="88"/>
      <c r="WB129" s="88"/>
      <c r="WC129" s="88"/>
      <c r="WD129" s="88"/>
      <c r="WE129" s="88"/>
      <c r="WF129" s="88"/>
      <c r="WG129" s="88"/>
      <c r="WH129" s="88"/>
      <c r="WI129" s="88"/>
      <c r="WJ129" s="88"/>
      <c r="WK129" s="88"/>
      <c r="WL129" s="88"/>
      <c r="WM129" s="88"/>
      <c r="WN129" s="88"/>
      <c r="WO129" s="88"/>
      <c r="WP129" s="88"/>
      <c r="WQ129" s="88"/>
      <c r="WR129" s="88"/>
      <c r="WS129" s="88"/>
      <c r="WT129" s="88"/>
      <c r="WU129" s="88"/>
      <c r="WV129" s="88"/>
      <c r="WW129" s="88"/>
      <c r="WX129" s="88"/>
      <c r="WY129" s="88"/>
      <c r="WZ129" s="88"/>
      <c r="XA129" s="88"/>
      <c r="XB129" s="88"/>
      <c r="XC129" s="88"/>
      <c r="XD129" s="88"/>
      <c r="XE129" s="88"/>
      <c r="XF129" s="88"/>
      <c r="XG129" s="88"/>
      <c r="XH129" s="88"/>
      <c r="XI129" s="88"/>
      <c r="XJ129" s="88"/>
      <c r="XK129" s="88"/>
      <c r="XL129" s="88"/>
      <c r="XM129" s="88"/>
      <c r="XN129" s="88"/>
      <c r="XO129" s="88"/>
      <c r="XP129" s="88"/>
      <c r="XQ129" s="88"/>
      <c r="XR129" s="88"/>
      <c r="XS129" s="88"/>
      <c r="XT129" s="88"/>
      <c r="XU129" s="88"/>
      <c r="XV129" s="88"/>
      <c r="XW129" s="88"/>
      <c r="XX129" s="88"/>
      <c r="XY129" s="88"/>
      <c r="XZ129" s="88"/>
      <c r="YA129" s="88"/>
      <c r="YB129" s="88"/>
      <c r="YC129" s="88"/>
      <c r="YD129" s="88"/>
      <c r="YE129" s="88"/>
      <c r="YF129" s="88"/>
      <c r="YG129" s="88"/>
      <c r="YH129" s="88"/>
      <c r="YI129" s="88"/>
      <c r="YJ129" s="88"/>
      <c r="YK129" s="88"/>
      <c r="YL129" s="88"/>
      <c r="YM129" s="88"/>
      <c r="YN129" s="88"/>
      <c r="YO129" s="88"/>
      <c r="YP129" s="88"/>
      <c r="YQ129" s="88"/>
      <c r="YR129" s="88"/>
      <c r="YS129" s="88"/>
      <c r="YT129" s="88"/>
      <c r="YU129" s="88"/>
      <c r="YV129" s="88"/>
      <c r="YW129" s="88"/>
      <c r="YX129" s="88"/>
      <c r="YY129" s="88"/>
      <c r="YZ129" s="88"/>
      <c r="ZA129" s="88"/>
      <c r="ZB129" s="88"/>
      <c r="ZC129" s="88"/>
      <c r="ZD129" s="88"/>
      <c r="ZE129" s="88"/>
      <c r="ZF129" s="88"/>
      <c r="ZG129" s="88"/>
      <c r="ZH129" s="88"/>
      <c r="ZI129" s="88"/>
      <c r="ZJ129" s="88"/>
      <c r="ZK129" s="88"/>
      <c r="ZL129" s="88"/>
      <c r="ZM129" s="88"/>
      <c r="ZN129" s="88"/>
      <c r="ZO129" s="88"/>
      <c r="ZP129" s="88"/>
      <c r="ZQ129" s="88"/>
      <c r="ZR129" s="88"/>
      <c r="ZS129" s="88"/>
      <c r="ZT129" s="88"/>
      <c r="ZU129" s="88"/>
      <c r="ZV129" s="88"/>
      <c r="ZW129" s="88"/>
      <c r="ZX129" s="88"/>
      <c r="ZY129" s="88"/>
      <c r="ZZ129" s="88"/>
      <c r="AAA129" s="88"/>
      <c r="AAB129" s="88"/>
      <c r="AAC129" s="88"/>
      <c r="AAD129" s="88"/>
      <c r="AAE129" s="88"/>
      <c r="AAF129" s="88"/>
      <c r="AAG129" s="88"/>
      <c r="AAH129" s="88"/>
      <c r="AAI129" s="88"/>
      <c r="AAJ129" s="88"/>
      <c r="AAK129" s="88"/>
      <c r="AAL129" s="88"/>
      <c r="AAM129" s="88"/>
      <c r="AAN129" s="88"/>
      <c r="AAO129" s="88"/>
      <c r="AAP129" s="88"/>
      <c r="AAQ129" s="88"/>
      <c r="AAR129" s="88"/>
      <c r="AAS129" s="88"/>
      <c r="AAT129" s="88"/>
      <c r="AAU129" s="88"/>
      <c r="AAV129" s="88"/>
      <c r="AAW129" s="88"/>
      <c r="AAX129" s="88"/>
      <c r="AAY129" s="88"/>
      <c r="AAZ129" s="88"/>
      <c r="ABA129" s="88"/>
      <c r="ABB129" s="88"/>
      <c r="ABC129" s="88"/>
      <c r="ABD129" s="88"/>
      <c r="ABE129" s="88"/>
      <c r="ABF129" s="88"/>
      <c r="ABG129" s="88"/>
      <c r="ABH129" s="88"/>
      <c r="ABI129" s="88"/>
      <c r="ABJ129" s="88"/>
      <c r="ABK129" s="88"/>
      <c r="ABL129" s="88"/>
      <c r="ABM129" s="88"/>
      <c r="ABN129" s="88"/>
      <c r="ABO129" s="88"/>
      <c r="ABP129" s="88"/>
      <c r="ABQ129" s="88"/>
      <c r="ABR129" s="88"/>
      <c r="ABS129" s="88"/>
      <c r="ABT129" s="88"/>
      <c r="ABU129" s="88"/>
      <c r="ABV129" s="88"/>
      <c r="ABW129" s="88"/>
      <c r="ABX129" s="88"/>
      <c r="ABY129" s="88"/>
      <c r="ABZ129" s="88"/>
      <c r="ACA129" s="88"/>
      <c r="ACB129" s="88"/>
      <c r="ACC129" s="88"/>
      <c r="ACD129" s="88"/>
      <c r="ACE129" s="88"/>
      <c r="ACF129" s="88"/>
      <c r="ACG129" s="88"/>
      <c r="ACH129" s="88"/>
      <c r="ACI129" s="88"/>
      <c r="ACJ129" s="88"/>
      <c r="ACK129" s="88"/>
      <c r="ACL129" s="88"/>
      <c r="ACM129" s="88"/>
      <c r="ACN129" s="88"/>
      <c r="ACO129" s="88"/>
      <c r="ACP129" s="88"/>
      <c r="ACQ129" s="88"/>
      <c r="ACR129" s="88"/>
      <c r="ACS129" s="88"/>
      <c r="ACT129" s="88"/>
      <c r="ACU129" s="88"/>
      <c r="ACV129" s="88"/>
      <c r="ACW129" s="88"/>
      <c r="ACX129" s="88"/>
      <c r="ACY129" s="88"/>
      <c r="ACZ129" s="88"/>
      <c r="ADA129" s="88"/>
      <c r="ADB129" s="88"/>
      <c r="ADC129" s="88"/>
      <c r="ADD129" s="88"/>
      <c r="ADE129" s="88"/>
      <c r="ADF129" s="88"/>
      <c r="ADG129" s="88"/>
      <c r="ADH129" s="88"/>
      <c r="ADI129" s="88"/>
      <c r="ADJ129" s="88"/>
      <c r="ADK129" s="88"/>
      <c r="ADL129" s="88"/>
      <c r="ADM129" s="88"/>
      <c r="ADN129" s="88"/>
      <c r="ADO129" s="88"/>
      <c r="ADP129" s="88"/>
      <c r="ADQ129" s="88"/>
      <c r="ADR129" s="88"/>
      <c r="ADS129" s="88"/>
      <c r="ADT129" s="88"/>
      <c r="ADU129" s="88"/>
      <c r="ADV129" s="88"/>
      <c r="ADW129" s="88"/>
      <c r="ADX129" s="88"/>
      <c r="ADY129" s="88"/>
      <c r="ADZ129" s="88"/>
      <c r="AEA129" s="88"/>
      <c r="AEB129" s="88"/>
      <c r="AEC129" s="88"/>
      <c r="AED129" s="88"/>
      <c r="AEE129" s="88"/>
      <c r="AEF129" s="88"/>
      <c r="AEG129" s="88"/>
      <c r="AEH129" s="88"/>
      <c r="AEI129" s="88"/>
      <c r="AEJ129" s="88"/>
      <c r="AEK129" s="88"/>
      <c r="AEL129" s="88"/>
      <c r="AEM129" s="88"/>
      <c r="AEN129" s="88"/>
      <c r="AEO129" s="88"/>
      <c r="AEP129" s="88"/>
      <c r="AEQ129" s="88"/>
      <c r="AER129" s="88"/>
      <c r="AES129" s="88"/>
      <c r="AET129" s="88"/>
      <c r="AEU129" s="88"/>
      <c r="AEV129" s="88"/>
      <c r="AEW129" s="88"/>
      <c r="AEX129" s="88"/>
      <c r="AEY129" s="88"/>
      <c r="AEZ129" s="88"/>
      <c r="AFA129" s="88"/>
      <c r="AFB129" s="88"/>
      <c r="AFC129" s="88"/>
      <c r="AFD129" s="88"/>
      <c r="AFE129" s="88"/>
      <c r="AFF129" s="88"/>
      <c r="AFG129" s="88"/>
      <c r="AFH129" s="88"/>
      <c r="AFI129" s="88"/>
      <c r="AFJ129" s="88"/>
      <c r="AFK129" s="88"/>
      <c r="AFL129" s="88"/>
      <c r="AFM129" s="88"/>
      <c r="AFN129" s="88"/>
      <c r="AFO129" s="88"/>
      <c r="AFP129" s="88"/>
      <c r="AFQ129" s="88"/>
      <c r="AFR129" s="88"/>
      <c r="AFS129" s="88"/>
      <c r="AFT129" s="88"/>
      <c r="AFU129" s="88"/>
      <c r="AFV129" s="88"/>
      <c r="AFW129" s="88"/>
      <c r="AFX129" s="88"/>
      <c r="AFY129" s="88"/>
      <c r="AFZ129" s="88"/>
      <c r="AGA129" s="88"/>
      <c r="AGB129" s="88"/>
      <c r="AGC129" s="88"/>
      <c r="AGD129" s="88"/>
      <c r="AGE129" s="88"/>
      <c r="AGF129" s="88"/>
      <c r="AGG129" s="88"/>
      <c r="AGH129" s="88"/>
      <c r="AGI129" s="88"/>
      <c r="AGJ129" s="88"/>
      <c r="AGK129" s="88"/>
      <c r="AGL129" s="88"/>
      <c r="AGM129" s="88"/>
      <c r="AGN129" s="88"/>
      <c r="AGO129" s="88"/>
      <c r="AGP129" s="88"/>
      <c r="AGQ129" s="88"/>
      <c r="AGR129" s="88"/>
      <c r="AGS129" s="88"/>
      <c r="AGT129" s="88"/>
      <c r="AGU129" s="88"/>
      <c r="AGV129" s="88"/>
      <c r="AGW129" s="88"/>
      <c r="AGX129" s="88"/>
      <c r="AGY129" s="88"/>
      <c r="AGZ129" s="88"/>
      <c r="AHA129" s="88"/>
      <c r="AHB129" s="88"/>
      <c r="AHC129" s="88"/>
      <c r="AHD129" s="88"/>
      <c r="AHE129" s="88"/>
      <c r="AHF129" s="88"/>
      <c r="AHG129" s="88"/>
      <c r="AHH129" s="88"/>
      <c r="AHI129" s="88"/>
      <c r="AHJ129" s="88"/>
      <c r="AHK129" s="88"/>
      <c r="AHL129" s="88"/>
      <c r="AHM129" s="88"/>
      <c r="AHN129" s="88"/>
      <c r="AHO129" s="88"/>
      <c r="AHP129" s="88"/>
      <c r="AHQ129" s="88"/>
      <c r="AHR129" s="88"/>
      <c r="AHS129" s="88"/>
      <c r="AHT129" s="88"/>
      <c r="AHU129" s="88"/>
      <c r="AHV129" s="88"/>
      <c r="AHW129" s="88"/>
      <c r="AHX129" s="88"/>
      <c r="AHY129" s="88"/>
      <c r="AHZ129" s="88"/>
      <c r="AIA129" s="88"/>
      <c r="AIB129" s="88"/>
      <c r="AIC129" s="88"/>
      <c r="AID129" s="88"/>
      <c r="AIE129" s="88"/>
      <c r="AIF129" s="88"/>
      <c r="AIG129" s="88"/>
      <c r="AIH129" s="88"/>
      <c r="AII129" s="88"/>
      <c r="AIJ129" s="88"/>
      <c r="AIK129" s="88"/>
      <c r="AIL129" s="88"/>
      <c r="AIM129" s="88"/>
      <c r="AIN129" s="88"/>
      <c r="AIO129" s="88"/>
      <c r="AIP129" s="88"/>
      <c r="AIQ129" s="88"/>
      <c r="AIR129" s="88"/>
      <c r="AIS129" s="88"/>
      <c r="AIT129" s="88"/>
      <c r="AIU129" s="88"/>
      <c r="AIV129" s="88"/>
      <c r="AIW129" s="88"/>
      <c r="AIX129" s="88"/>
      <c r="AIY129" s="88"/>
      <c r="AIZ129" s="88"/>
      <c r="AJA129" s="88"/>
      <c r="AJB129" s="88"/>
      <c r="AJC129" s="88"/>
      <c r="AJD129" s="88"/>
      <c r="AJE129" s="88"/>
      <c r="AJF129" s="88"/>
      <c r="AJG129" s="88"/>
      <c r="AJH129" s="88"/>
      <c r="AJI129" s="88"/>
      <c r="AJJ129" s="88"/>
      <c r="AJK129" s="88"/>
      <c r="AJL129" s="88"/>
      <c r="AJM129" s="88"/>
      <c r="AJN129" s="88"/>
      <c r="AJO129" s="88"/>
      <c r="AJP129" s="88"/>
      <c r="AJQ129" s="88"/>
      <c r="AJR129" s="88"/>
      <c r="AJS129" s="88"/>
      <c r="AJT129" s="88"/>
      <c r="AJU129" s="88"/>
      <c r="AJV129" s="88"/>
      <c r="AJW129" s="88"/>
      <c r="AJX129" s="88"/>
      <c r="AJY129" s="88"/>
      <c r="AJZ129" s="88"/>
      <c r="AKA129" s="88"/>
      <c r="AKB129" s="88"/>
      <c r="AKC129" s="88"/>
      <c r="AKD129" s="88"/>
      <c r="AKE129" s="88"/>
      <c r="AKF129" s="88"/>
      <c r="AKG129" s="88"/>
      <c r="AKH129" s="88"/>
      <c r="AKI129" s="88"/>
      <c r="AKJ129" s="88"/>
      <c r="AKK129" s="88"/>
      <c r="AKL129" s="88"/>
      <c r="AKM129" s="88"/>
      <c r="AKN129" s="88"/>
      <c r="AKO129" s="88"/>
      <c r="AKP129" s="88"/>
      <c r="AKQ129" s="88"/>
      <c r="AKR129" s="88"/>
      <c r="AKS129" s="88"/>
      <c r="AKT129" s="88"/>
      <c r="AKU129" s="88"/>
      <c r="AKV129" s="88"/>
      <c r="AKW129" s="88"/>
      <c r="AKX129" s="88"/>
      <c r="AKY129" s="88"/>
      <c r="AKZ129" s="88"/>
      <c r="ALA129" s="88"/>
      <c r="ALB129" s="88"/>
      <c r="ALC129" s="88"/>
      <c r="ALD129" s="88"/>
      <c r="ALE129" s="88"/>
      <c r="ALF129" s="88"/>
      <c r="ALG129" s="88"/>
      <c r="ALH129" s="88"/>
      <c r="ALI129" s="88"/>
      <c r="ALJ129" s="88"/>
      <c r="ALK129" s="88"/>
      <c r="ALL129" s="88"/>
      <c r="ALM129" s="88"/>
      <c r="ALN129" s="88"/>
      <c r="ALO129" s="88"/>
      <c r="ALP129" s="88"/>
      <c r="ALQ129" s="88"/>
      <c r="ALR129" s="88"/>
      <c r="ALS129" s="88"/>
      <c r="ALT129" s="88"/>
      <c r="ALU129" s="88"/>
      <c r="ALV129" s="88"/>
      <c r="ALW129" s="88"/>
      <c r="ALX129" s="88"/>
      <c r="ALY129" s="88"/>
      <c r="ALZ129" s="88"/>
      <c r="AMA129" s="88"/>
      <c r="AMB129" s="88"/>
      <c r="AMC129" s="88"/>
      <c r="AMD129" s="88"/>
      <c r="AME129" s="88"/>
      <c r="AMF129" s="88"/>
      <c r="AMG129" s="88"/>
      <c r="AMH129" s="88"/>
      <c r="AMI129" s="88"/>
      <c r="AMJ129" s="88"/>
      <c r="AMK129" s="88"/>
      <c r="AML129" s="88"/>
      <c r="AMM129" s="88"/>
      <c r="AMN129" s="88"/>
      <c r="AMO129" s="88"/>
      <c r="AMP129" s="88"/>
      <c r="AMQ129" s="88"/>
      <c r="AMR129" s="88"/>
      <c r="AMS129" s="88"/>
      <c r="AMT129" s="88"/>
      <c r="AMU129" s="88"/>
      <c r="AMV129" s="88"/>
      <c r="AMW129" s="88"/>
      <c r="AMX129" s="88"/>
      <c r="AMY129" s="88"/>
      <c r="AMZ129" s="88"/>
      <c r="ANA129" s="88"/>
      <c r="ANB129" s="88"/>
      <c r="ANC129" s="88"/>
      <c r="AND129" s="88"/>
      <c r="ANE129" s="88"/>
      <c r="ANF129" s="88"/>
      <c r="ANG129" s="88"/>
      <c r="ANH129" s="88"/>
      <c r="ANI129" s="88"/>
      <c r="ANJ129" s="88"/>
      <c r="ANK129" s="88"/>
      <c r="ANL129" s="88"/>
      <c r="ANM129" s="88"/>
      <c r="ANN129" s="88"/>
      <c r="ANO129" s="88"/>
      <c r="ANP129" s="88"/>
      <c r="ANQ129" s="88"/>
      <c r="ANR129" s="88"/>
      <c r="ANS129" s="88"/>
      <c r="ANT129" s="88"/>
      <c r="ANU129" s="88"/>
      <c r="ANV129" s="88"/>
      <c r="ANW129" s="88"/>
      <c r="ANX129" s="88"/>
      <c r="ANY129" s="88"/>
      <c r="ANZ129" s="88"/>
      <c r="AOA129" s="88"/>
      <c r="AOB129" s="88"/>
      <c r="AOC129" s="88"/>
      <c r="AOD129" s="88"/>
      <c r="AOE129" s="88"/>
      <c r="AOF129" s="88"/>
      <c r="AOG129" s="88"/>
      <c r="AOH129" s="88"/>
      <c r="AOI129" s="88"/>
      <c r="AOJ129" s="88"/>
      <c r="AOK129" s="88"/>
      <c r="AOL129" s="88"/>
      <c r="AOM129" s="88"/>
      <c r="AON129" s="88"/>
      <c r="AOO129" s="88"/>
      <c r="AOP129" s="88"/>
      <c r="AOQ129" s="88"/>
      <c r="AOR129" s="88"/>
      <c r="AOS129" s="88"/>
      <c r="AOT129" s="88"/>
      <c r="AOU129" s="88"/>
      <c r="AOV129" s="88"/>
      <c r="AOW129" s="88"/>
      <c r="AOX129" s="88"/>
      <c r="AOY129" s="88"/>
      <c r="AOZ129" s="88"/>
      <c r="APA129" s="88"/>
      <c r="APB129" s="88"/>
      <c r="APC129" s="88"/>
      <c r="APD129" s="88"/>
      <c r="APE129" s="88"/>
      <c r="APF129" s="88"/>
      <c r="APG129" s="88"/>
      <c r="APH129" s="88"/>
      <c r="API129" s="88"/>
      <c r="APJ129" s="88"/>
      <c r="APK129" s="88"/>
      <c r="APL129" s="88"/>
      <c r="APM129" s="88"/>
      <c r="APN129" s="88"/>
      <c r="APO129" s="88"/>
      <c r="APP129" s="88"/>
      <c r="APQ129" s="88"/>
      <c r="APR129" s="88"/>
      <c r="APS129" s="88"/>
      <c r="APT129" s="88"/>
      <c r="APU129" s="88"/>
      <c r="APV129" s="88"/>
      <c r="APW129" s="88"/>
      <c r="APX129" s="88"/>
      <c r="APY129" s="88"/>
      <c r="APZ129" s="88"/>
      <c r="AQA129" s="88"/>
      <c r="AQB129" s="88"/>
      <c r="AQC129" s="88"/>
      <c r="AQD129" s="88"/>
      <c r="AQE129" s="88"/>
      <c r="AQF129" s="88"/>
      <c r="AQG129" s="88"/>
      <c r="AQH129" s="88"/>
      <c r="AQI129" s="88"/>
      <c r="AQJ129" s="88"/>
      <c r="AQK129" s="88"/>
      <c r="AQL129" s="88"/>
      <c r="AQM129" s="88"/>
      <c r="AQN129" s="88"/>
      <c r="AQO129" s="88"/>
      <c r="AQP129" s="88"/>
      <c r="AQQ129" s="88"/>
      <c r="AQR129" s="88"/>
      <c r="AQS129" s="88"/>
      <c r="AQT129" s="88"/>
      <c r="AQU129" s="88"/>
      <c r="AQV129" s="88"/>
      <c r="AQW129" s="88"/>
      <c r="AQX129" s="88"/>
      <c r="AQY129" s="88"/>
      <c r="AQZ129" s="88"/>
      <c r="ARA129" s="88"/>
      <c r="ARB129" s="88"/>
      <c r="ARC129" s="88"/>
      <c r="ARD129" s="88"/>
      <c r="ARE129" s="88"/>
      <c r="ARF129" s="88"/>
      <c r="ARG129" s="88"/>
      <c r="ARH129" s="88"/>
      <c r="ARI129" s="88"/>
      <c r="ARJ129" s="88"/>
      <c r="ARK129" s="88"/>
      <c r="ARL129" s="88"/>
      <c r="ARM129" s="88"/>
      <c r="ARN129" s="88"/>
      <c r="ARO129" s="88"/>
      <c r="ARP129" s="88"/>
      <c r="ARQ129" s="88"/>
      <c r="ARR129" s="88"/>
      <c r="ARS129" s="88"/>
      <c r="ART129" s="88"/>
      <c r="ARU129" s="88"/>
      <c r="ARV129" s="88"/>
      <c r="ARW129" s="88"/>
      <c r="ARX129" s="88"/>
      <c r="ARY129" s="88"/>
      <c r="ARZ129" s="88"/>
      <c r="ASA129" s="88"/>
      <c r="ASB129" s="88"/>
      <c r="ASC129" s="88"/>
      <c r="ASD129" s="88"/>
      <c r="ASE129" s="88"/>
      <c r="ASF129" s="88"/>
      <c r="ASG129" s="88"/>
      <c r="ASH129" s="88"/>
      <c r="ASI129" s="88"/>
      <c r="ASJ129" s="88"/>
      <c r="ASK129" s="88"/>
      <c r="ASL129" s="88"/>
      <c r="ASM129" s="88"/>
      <c r="ASN129" s="88"/>
      <c r="ASO129" s="88"/>
      <c r="ASP129" s="88"/>
      <c r="ASQ129" s="88"/>
      <c r="ASR129" s="88"/>
      <c r="ASS129" s="88"/>
      <c r="AST129" s="88"/>
      <c r="ASU129" s="88"/>
      <c r="ASV129" s="88"/>
      <c r="ASW129" s="88"/>
      <c r="ASX129" s="88"/>
      <c r="ASY129" s="88"/>
      <c r="ASZ129" s="88"/>
      <c r="ATA129" s="88"/>
      <c r="ATB129" s="88"/>
      <c r="ATC129" s="88"/>
      <c r="ATD129" s="88"/>
      <c r="ATE129" s="88"/>
      <c r="ATF129" s="88"/>
      <c r="ATG129" s="88"/>
      <c r="ATH129" s="88"/>
      <c r="ATI129" s="88"/>
      <c r="ATJ129" s="88"/>
      <c r="ATK129" s="88"/>
      <c r="ATL129" s="88"/>
      <c r="ATM129" s="88"/>
      <c r="ATN129" s="88"/>
      <c r="ATO129" s="88"/>
      <c r="ATP129" s="88"/>
      <c r="ATQ129" s="88"/>
      <c r="ATR129" s="88"/>
      <c r="ATS129" s="88"/>
      <c r="ATT129" s="88"/>
      <c r="ATU129" s="88"/>
      <c r="ATV129" s="88"/>
      <c r="ATW129" s="88"/>
      <c r="ATX129" s="88"/>
      <c r="ATY129" s="88"/>
      <c r="ATZ129" s="88"/>
      <c r="AUA129" s="88"/>
      <c r="AUB129" s="88"/>
      <c r="AUC129" s="88"/>
      <c r="AUD129" s="88"/>
      <c r="AUE129" s="88"/>
      <c r="AUF129" s="88"/>
      <c r="AUG129" s="88"/>
      <c r="AUH129" s="88"/>
      <c r="AUI129" s="88"/>
      <c r="AUJ129" s="88"/>
      <c r="AUK129" s="88"/>
      <c r="AUL129" s="88"/>
      <c r="AUM129" s="88"/>
      <c r="AUN129" s="88"/>
      <c r="AUO129" s="88"/>
      <c r="AUP129" s="88"/>
      <c r="AUQ129" s="88"/>
      <c r="AUR129" s="88"/>
      <c r="AUS129" s="88"/>
      <c r="AUT129" s="88"/>
      <c r="AUU129" s="88"/>
      <c r="AUV129" s="88"/>
      <c r="AUW129" s="88"/>
      <c r="AUX129" s="88"/>
      <c r="AUY129" s="88"/>
      <c r="AUZ129" s="88"/>
      <c r="AVA129" s="88"/>
      <c r="AVB129" s="88"/>
      <c r="AVC129" s="88"/>
      <c r="AVD129" s="88"/>
      <c r="AVE129" s="88"/>
      <c r="AVF129" s="88"/>
      <c r="AVG129" s="88"/>
      <c r="AVH129" s="88"/>
      <c r="AVI129" s="88"/>
      <c r="AVJ129" s="88"/>
      <c r="AVK129" s="88"/>
      <c r="AVL129" s="88"/>
      <c r="AVM129" s="88"/>
      <c r="AVN129" s="88"/>
      <c r="AVO129" s="88"/>
      <c r="AVP129" s="88"/>
      <c r="AVQ129" s="88"/>
      <c r="AVR129" s="88"/>
      <c r="AVS129" s="88"/>
      <c r="AVT129" s="88"/>
      <c r="AVU129" s="88"/>
      <c r="AVV129" s="88"/>
      <c r="AVW129" s="88"/>
      <c r="AVX129" s="88"/>
      <c r="AVY129" s="88"/>
      <c r="AVZ129" s="88"/>
      <c r="AWA129" s="88"/>
      <c r="AWB129" s="88"/>
      <c r="AWC129" s="88"/>
      <c r="AWD129" s="88"/>
      <c r="AWE129" s="88"/>
      <c r="AWF129" s="88"/>
      <c r="AWG129" s="88"/>
      <c r="AWH129" s="88"/>
      <c r="AWI129" s="88"/>
      <c r="AWJ129" s="88"/>
      <c r="AWK129" s="88"/>
      <c r="AWL129" s="88"/>
      <c r="AWM129" s="88"/>
      <c r="AWN129" s="88"/>
      <c r="AWO129" s="88"/>
      <c r="AWP129" s="88"/>
      <c r="AWQ129" s="88"/>
      <c r="AWR129" s="88"/>
      <c r="AWS129" s="88"/>
      <c r="AWT129" s="88"/>
      <c r="AWU129" s="88"/>
      <c r="AWV129" s="88"/>
      <c r="AWW129" s="88"/>
      <c r="AWX129" s="88"/>
      <c r="AWY129" s="88"/>
      <c r="AWZ129" s="88"/>
      <c r="AXA129" s="88"/>
      <c r="AXB129" s="88"/>
      <c r="AXC129" s="88"/>
      <c r="AXD129" s="88"/>
      <c r="AXE129" s="88"/>
      <c r="AXF129" s="88"/>
      <c r="AXG129" s="88"/>
      <c r="AXH129" s="88"/>
      <c r="AXI129" s="88"/>
      <c r="AXJ129" s="88"/>
      <c r="AXK129" s="88"/>
      <c r="AXL129" s="88"/>
      <c r="AXM129" s="88"/>
      <c r="AXN129" s="88"/>
      <c r="AXO129" s="88"/>
      <c r="AXP129" s="88"/>
      <c r="AXQ129" s="88"/>
      <c r="AXR129" s="88"/>
      <c r="AXS129" s="88"/>
      <c r="AXT129" s="88"/>
      <c r="AXU129" s="88"/>
      <c r="AXV129" s="88"/>
      <c r="AXW129" s="88"/>
      <c r="AXX129" s="88"/>
      <c r="AXY129" s="88"/>
      <c r="AXZ129" s="88"/>
      <c r="AYA129" s="88"/>
      <c r="AYB129" s="88"/>
      <c r="AYC129" s="88"/>
      <c r="AYD129" s="88"/>
      <c r="AYE129" s="88"/>
      <c r="AYF129" s="88"/>
      <c r="AYG129" s="88"/>
      <c r="AYH129" s="88"/>
      <c r="AYI129" s="88"/>
      <c r="AYJ129" s="88"/>
      <c r="AYK129" s="88"/>
      <c r="AYL129" s="88"/>
      <c r="AYM129" s="88"/>
      <c r="AYN129" s="88"/>
      <c r="AYO129" s="88"/>
      <c r="AYP129" s="88"/>
      <c r="AYQ129" s="88"/>
      <c r="AYR129" s="88"/>
      <c r="AYS129" s="88"/>
      <c r="AYT129" s="88"/>
      <c r="AYU129" s="88"/>
      <c r="AYV129" s="88"/>
      <c r="AYW129" s="88"/>
      <c r="AYX129" s="88"/>
      <c r="AYY129" s="88"/>
      <c r="AYZ129" s="88"/>
      <c r="AZA129" s="88"/>
      <c r="AZB129" s="88"/>
      <c r="AZC129" s="88"/>
      <c r="AZD129" s="88"/>
      <c r="AZE129" s="88"/>
      <c r="AZF129" s="88"/>
      <c r="AZG129" s="88"/>
      <c r="AZH129" s="88"/>
      <c r="AZI129" s="88"/>
      <c r="AZJ129" s="88"/>
      <c r="AZK129" s="88"/>
      <c r="AZL129" s="88"/>
      <c r="AZM129" s="88"/>
      <c r="AZN129" s="88"/>
      <c r="AZO129" s="88"/>
      <c r="AZP129" s="88"/>
      <c r="AZQ129" s="88"/>
      <c r="AZR129" s="88"/>
      <c r="AZS129" s="88"/>
      <c r="AZT129" s="88"/>
      <c r="AZU129" s="88"/>
      <c r="AZV129" s="88"/>
      <c r="AZW129" s="88"/>
      <c r="AZX129" s="88"/>
      <c r="AZY129" s="88"/>
      <c r="AZZ129" s="88"/>
      <c r="BAA129" s="88"/>
      <c r="BAB129" s="88"/>
      <c r="BAC129" s="88"/>
      <c r="BAD129" s="88"/>
      <c r="BAE129" s="88"/>
      <c r="BAF129" s="88"/>
      <c r="BAG129" s="88"/>
      <c r="BAH129" s="88"/>
      <c r="BAI129" s="88"/>
      <c r="BAJ129" s="88"/>
      <c r="BAK129" s="88"/>
      <c r="BAL129" s="88"/>
      <c r="BAM129" s="88"/>
      <c r="BAN129" s="88"/>
      <c r="BAO129" s="88"/>
      <c r="BAP129" s="88"/>
      <c r="BAQ129" s="88"/>
      <c r="BAR129" s="88"/>
      <c r="BAS129" s="88"/>
      <c r="BAT129" s="88"/>
      <c r="BAU129" s="88"/>
      <c r="BAV129" s="88"/>
      <c r="BAW129" s="88"/>
      <c r="BAX129" s="88"/>
      <c r="BAY129" s="88"/>
      <c r="BAZ129" s="88"/>
      <c r="BBA129" s="88"/>
      <c r="BBB129" s="88"/>
      <c r="BBC129" s="88"/>
      <c r="BBD129" s="88"/>
      <c r="BBE129" s="88"/>
      <c r="BBF129" s="88"/>
      <c r="BBG129" s="88"/>
      <c r="BBH129" s="88"/>
      <c r="BBI129" s="88"/>
      <c r="BBJ129" s="88"/>
      <c r="BBK129" s="88"/>
      <c r="BBL129" s="88"/>
      <c r="BBM129" s="88"/>
      <c r="BBN129" s="88"/>
      <c r="BBO129" s="88"/>
      <c r="BBP129" s="88"/>
      <c r="BBQ129" s="88"/>
      <c r="BBR129" s="88"/>
      <c r="BBS129" s="88"/>
      <c r="BBT129" s="88"/>
      <c r="BBU129" s="88"/>
      <c r="BBV129" s="88"/>
      <c r="BBW129" s="88"/>
      <c r="BBX129" s="88"/>
      <c r="BBY129" s="88"/>
      <c r="BBZ129" s="88"/>
      <c r="BCA129" s="88"/>
      <c r="BCB129" s="88"/>
      <c r="BCC129" s="88"/>
      <c r="BCD129" s="88"/>
      <c r="BCE129" s="88"/>
      <c r="BCF129" s="88"/>
      <c r="BCG129" s="88"/>
      <c r="BCH129" s="88"/>
      <c r="BCI129" s="88"/>
      <c r="BCJ129" s="88"/>
      <c r="BCK129" s="88"/>
      <c r="BCL129" s="88"/>
      <c r="BCM129" s="88"/>
      <c r="BCN129" s="88"/>
      <c r="BCO129" s="88"/>
      <c r="BCP129" s="88"/>
      <c r="BCQ129" s="88"/>
      <c r="BCR129" s="88"/>
      <c r="BCS129" s="88"/>
      <c r="BCT129" s="88"/>
      <c r="BCU129" s="88"/>
      <c r="BCV129" s="88"/>
      <c r="BCW129" s="88"/>
      <c r="BCX129" s="88"/>
      <c r="BCY129" s="88"/>
      <c r="BCZ129" s="88"/>
      <c r="BDA129" s="88"/>
      <c r="BDB129" s="88"/>
      <c r="BDC129" s="88"/>
      <c r="BDD129" s="88"/>
      <c r="BDE129" s="88"/>
      <c r="BDF129" s="88"/>
      <c r="BDG129" s="88"/>
      <c r="BDH129" s="88"/>
      <c r="BDI129" s="88"/>
      <c r="BDJ129" s="88"/>
      <c r="BDK129" s="88"/>
      <c r="BDL129" s="88"/>
      <c r="BDM129" s="88"/>
      <c r="BDN129" s="88"/>
      <c r="BDO129" s="88"/>
      <c r="BDP129" s="88"/>
      <c r="BDQ129" s="88"/>
      <c r="BDR129" s="88"/>
      <c r="BDS129" s="88"/>
      <c r="BDT129" s="88"/>
      <c r="BDU129" s="88"/>
      <c r="BDV129" s="88"/>
      <c r="BDW129" s="88"/>
      <c r="BDX129" s="88"/>
      <c r="BDY129" s="88"/>
      <c r="BDZ129" s="88"/>
      <c r="BEA129" s="88"/>
      <c r="BEB129" s="88"/>
      <c r="BEC129" s="88"/>
      <c r="BED129" s="88"/>
      <c r="BEE129" s="88"/>
      <c r="BEF129" s="88"/>
      <c r="BEG129" s="88"/>
      <c r="BEH129" s="88"/>
      <c r="BEI129" s="88"/>
      <c r="BEJ129" s="88"/>
      <c r="BEK129" s="88"/>
      <c r="BEL129" s="88"/>
      <c r="BEM129" s="88"/>
      <c r="BEN129" s="88"/>
      <c r="BEO129" s="88"/>
      <c r="BEP129" s="88"/>
      <c r="BEQ129" s="88"/>
      <c r="BER129" s="88"/>
      <c r="BES129" s="88"/>
      <c r="BET129" s="88"/>
      <c r="BEU129" s="88"/>
      <c r="BEV129" s="88"/>
      <c r="BEW129" s="88"/>
      <c r="BEX129" s="88"/>
      <c r="BEY129" s="88"/>
      <c r="BEZ129" s="88"/>
      <c r="BFA129" s="88"/>
      <c r="BFB129" s="88"/>
      <c r="BFC129" s="88"/>
      <c r="BFD129" s="88"/>
      <c r="BFE129" s="88"/>
      <c r="BFF129" s="88"/>
      <c r="BFG129" s="88"/>
      <c r="BFH129" s="88"/>
      <c r="BFI129" s="88"/>
      <c r="BFJ129" s="88"/>
      <c r="BFK129" s="88"/>
      <c r="BFL129" s="88"/>
      <c r="BFM129" s="88"/>
      <c r="BFN129" s="88"/>
      <c r="BFO129" s="88"/>
      <c r="BFP129" s="88"/>
      <c r="BFQ129" s="88"/>
      <c r="BFR129" s="88"/>
      <c r="BFS129" s="88"/>
      <c r="BFT129" s="88"/>
      <c r="BFU129" s="88"/>
      <c r="BFV129" s="88"/>
      <c r="BFW129" s="88"/>
      <c r="BFX129" s="88"/>
      <c r="BFY129" s="88"/>
      <c r="BFZ129" s="88"/>
      <c r="BGA129" s="88"/>
      <c r="BGB129" s="88"/>
      <c r="BGC129" s="88"/>
      <c r="BGD129" s="88"/>
      <c r="BGE129" s="88"/>
      <c r="BGF129" s="88"/>
      <c r="BGG129" s="88"/>
      <c r="BGH129" s="88"/>
      <c r="BGI129" s="88"/>
      <c r="BGJ129" s="88"/>
      <c r="BGK129" s="88"/>
      <c r="BGL129" s="88"/>
      <c r="BGM129" s="88"/>
      <c r="BGN129" s="88"/>
      <c r="BGO129" s="88"/>
      <c r="BGP129" s="88"/>
      <c r="BGQ129" s="88"/>
      <c r="BGR129" s="88"/>
      <c r="BGS129" s="88"/>
      <c r="BGT129" s="88"/>
      <c r="BGU129" s="88"/>
      <c r="BGV129" s="88"/>
      <c r="BGW129" s="88"/>
      <c r="BGX129" s="88"/>
      <c r="BGY129" s="88"/>
      <c r="BGZ129" s="88"/>
      <c r="BHA129" s="88"/>
      <c r="BHB129" s="88"/>
      <c r="BHC129" s="88"/>
      <c r="BHD129" s="88"/>
      <c r="BHE129" s="88"/>
      <c r="BHF129" s="88"/>
      <c r="BHG129" s="88"/>
      <c r="BHH129" s="88"/>
      <c r="BHI129" s="88"/>
      <c r="BHJ129" s="88"/>
      <c r="BHK129" s="88"/>
      <c r="BHL129" s="88"/>
      <c r="BHM129" s="88"/>
      <c r="BHN129" s="88"/>
      <c r="BHO129" s="88"/>
      <c r="BHP129" s="88"/>
      <c r="BHQ129" s="88"/>
      <c r="BHR129" s="88"/>
      <c r="BHS129" s="88"/>
      <c r="BHT129" s="88"/>
      <c r="BHU129" s="88"/>
      <c r="BHV129" s="88"/>
      <c r="BHW129" s="88"/>
      <c r="BHX129" s="88"/>
      <c r="BHY129" s="88"/>
      <c r="BHZ129" s="88"/>
      <c r="BIA129" s="88"/>
      <c r="BIB129" s="88"/>
      <c r="BIC129" s="88"/>
      <c r="BID129" s="88"/>
      <c r="BIE129" s="88"/>
      <c r="BIF129" s="88"/>
      <c r="BIG129" s="88"/>
      <c r="BIH129" s="88"/>
      <c r="BII129" s="88"/>
      <c r="BIJ129" s="88"/>
      <c r="BIK129" s="88"/>
      <c r="BIL129" s="88"/>
      <c r="BIM129" s="88"/>
      <c r="BIN129" s="88"/>
      <c r="BIO129" s="88"/>
      <c r="BIP129" s="88"/>
      <c r="BIQ129" s="88"/>
      <c r="BIR129" s="88"/>
      <c r="BIS129" s="88"/>
      <c r="BIT129" s="88"/>
      <c r="BIU129" s="88"/>
      <c r="BIV129" s="88"/>
      <c r="BIW129" s="88"/>
      <c r="BIX129" s="88"/>
      <c r="BIY129" s="88"/>
      <c r="BIZ129" s="88"/>
      <c r="BJA129" s="88"/>
      <c r="BJB129" s="88"/>
      <c r="BJC129" s="88"/>
      <c r="BJD129" s="88"/>
      <c r="BJE129" s="88"/>
      <c r="BJF129" s="88"/>
      <c r="BJG129" s="88"/>
      <c r="BJH129" s="88"/>
      <c r="BJI129" s="88"/>
      <c r="BJJ129" s="88"/>
      <c r="BJK129" s="88"/>
      <c r="BJL129" s="88"/>
      <c r="BJM129" s="88"/>
      <c r="BJN129" s="88"/>
      <c r="BJO129" s="88"/>
      <c r="BJP129" s="88"/>
      <c r="BJQ129" s="88"/>
      <c r="BJR129" s="88"/>
      <c r="BJS129" s="88"/>
      <c r="BJT129" s="88"/>
      <c r="BJU129" s="88"/>
      <c r="BJV129" s="88"/>
      <c r="BJW129" s="88"/>
      <c r="BJX129" s="88"/>
      <c r="BJY129" s="88"/>
      <c r="BJZ129" s="88"/>
      <c r="BKA129" s="88"/>
      <c r="BKB129" s="88"/>
      <c r="BKC129" s="88"/>
      <c r="BKD129" s="88"/>
      <c r="BKE129" s="88"/>
      <c r="BKF129" s="88"/>
      <c r="BKG129" s="88"/>
      <c r="BKH129" s="88"/>
      <c r="BKI129" s="88"/>
      <c r="BKJ129" s="88"/>
      <c r="BKK129" s="88"/>
      <c r="BKL129" s="88"/>
      <c r="BKM129" s="88"/>
      <c r="BKN129" s="88"/>
      <c r="BKO129" s="88"/>
      <c r="BKP129" s="88"/>
      <c r="BKQ129" s="88"/>
      <c r="BKR129" s="88"/>
      <c r="BKS129" s="88"/>
      <c r="BKT129" s="88"/>
      <c r="BKU129" s="88"/>
      <c r="BKV129" s="88"/>
      <c r="BKW129" s="88"/>
      <c r="BKX129" s="88"/>
      <c r="BKY129" s="88"/>
      <c r="BKZ129" s="88"/>
      <c r="BLA129" s="88"/>
      <c r="BLB129" s="88"/>
      <c r="BLC129" s="88"/>
      <c r="BLD129" s="88"/>
      <c r="BLE129" s="88"/>
      <c r="BLF129" s="88"/>
      <c r="BLG129" s="88"/>
      <c r="BLH129" s="88"/>
      <c r="BLI129" s="88"/>
      <c r="BLJ129" s="88"/>
      <c r="BLK129" s="88"/>
      <c r="BLL129" s="88"/>
      <c r="BLM129" s="88"/>
      <c r="BLN129" s="88"/>
      <c r="BLO129" s="88"/>
      <c r="BLP129" s="88"/>
      <c r="BLQ129" s="88"/>
      <c r="BLR129" s="88"/>
      <c r="BLS129" s="88"/>
      <c r="BLT129" s="88"/>
      <c r="BLU129" s="88"/>
      <c r="BLV129" s="88"/>
      <c r="BLW129" s="88"/>
      <c r="BLX129" s="88"/>
      <c r="BLY129" s="88"/>
      <c r="BLZ129" s="88"/>
      <c r="BMA129" s="88"/>
      <c r="BMB129" s="88"/>
      <c r="BMC129" s="88"/>
      <c r="BMD129" s="88"/>
      <c r="BME129" s="88"/>
      <c r="BMF129" s="88"/>
      <c r="BMG129" s="88"/>
      <c r="BMH129" s="88"/>
      <c r="BMI129" s="88"/>
      <c r="BMJ129" s="88"/>
      <c r="BMK129" s="88"/>
      <c r="BML129" s="88"/>
      <c r="BMM129" s="88"/>
      <c r="BMN129" s="88"/>
      <c r="BMO129" s="88"/>
      <c r="BMP129" s="88"/>
      <c r="BMQ129" s="88"/>
      <c r="BMR129" s="88"/>
      <c r="BMS129" s="88"/>
      <c r="BMT129" s="88"/>
      <c r="BMU129" s="88"/>
      <c r="BMV129" s="88"/>
      <c r="BMW129" s="88"/>
      <c r="BMX129" s="88"/>
      <c r="BMY129" s="88"/>
      <c r="BMZ129" s="88"/>
      <c r="BNA129" s="88"/>
      <c r="BNB129" s="88"/>
      <c r="BNC129" s="88"/>
      <c r="BND129" s="88"/>
      <c r="BNE129" s="88"/>
      <c r="BNF129" s="88"/>
      <c r="BNG129" s="88"/>
      <c r="BNH129" s="88"/>
      <c r="BNI129" s="88"/>
      <c r="BNJ129" s="88"/>
      <c r="BNK129" s="88"/>
      <c r="BNL129" s="88"/>
      <c r="BNM129" s="88"/>
      <c r="BNN129" s="88"/>
      <c r="BNO129" s="88"/>
      <c r="BNP129" s="88"/>
      <c r="BNQ129" s="88"/>
      <c r="BNR129" s="88"/>
      <c r="BNS129" s="88"/>
      <c r="BNT129" s="88"/>
      <c r="BNU129" s="88"/>
      <c r="BNV129" s="88"/>
      <c r="BNW129" s="88"/>
      <c r="BNX129" s="88"/>
      <c r="BNY129" s="88"/>
      <c r="BNZ129" s="88"/>
      <c r="BOA129" s="88"/>
      <c r="BOB129" s="88"/>
      <c r="BOC129" s="88"/>
      <c r="BOD129" s="88"/>
      <c r="BOE129" s="88"/>
      <c r="BOF129" s="88"/>
      <c r="BOG129" s="88"/>
      <c r="BOH129" s="88"/>
      <c r="BOI129" s="88"/>
      <c r="BOJ129" s="88"/>
      <c r="BOK129" s="88"/>
      <c r="BOL129" s="88"/>
      <c r="BOM129" s="88"/>
      <c r="BON129" s="88"/>
      <c r="BOO129" s="88"/>
      <c r="BOP129" s="88"/>
      <c r="BOQ129" s="88"/>
      <c r="BOR129" s="88"/>
      <c r="BOS129" s="88"/>
      <c r="BOT129" s="88"/>
      <c r="BOU129" s="88"/>
      <c r="BOV129" s="88"/>
      <c r="BOW129" s="88"/>
      <c r="BOX129" s="88"/>
      <c r="BOY129" s="88"/>
      <c r="BOZ129" s="88"/>
      <c r="BPA129" s="88"/>
      <c r="BPB129" s="88"/>
      <c r="BPC129" s="88"/>
      <c r="BPD129" s="88"/>
      <c r="BPE129" s="88"/>
      <c r="BPF129" s="88"/>
      <c r="BPG129" s="88"/>
      <c r="BPH129" s="88"/>
      <c r="BPI129" s="88"/>
      <c r="BPJ129" s="88"/>
      <c r="BPK129" s="88"/>
      <c r="BPL129" s="88"/>
      <c r="BPM129" s="88"/>
      <c r="BPN129" s="88"/>
      <c r="BPO129" s="88"/>
      <c r="BPP129" s="88"/>
      <c r="BPQ129" s="88"/>
      <c r="BPR129" s="88"/>
      <c r="BPS129" s="88"/>
      <c r="BPT129" s="88"/>
      <c r="BPU129" s="88"/>
      <c r="BPV129" s="88"/>
      <c r="BPW129" s="88"/>
      <c r="BPX129" s="88"/>
      <c r="BPY129" s="88"/>
      <c r="BPZ129" s="88"/>
      <c r="BQA129" s="88"/>
      <c r="BQB129" s="88"/>
      <c r="BQC129" s="88"/>
      <c r="BQD129" s="88"/>
      <c r="BQE129" s="88"/>
      <c r="BQF129" s="88"/>
      <c r="BQG129" s="88"/>
      <c r="BQH129" s="88"/>
      <c r="BQI129" s="88"/>
      <c r="BQJ129" s="88"/>
      <c r="BQK129" s="88"/>
      <c r="BQL129" s="88"/>
      <c r="BQM129" s="88"/>
      <c r="BQN129" s="88"/>
      <c r="BQO129" s="88"/>
      <c r="BQP129" s="88"/>
      <c r="BQQ129" s="88"/>
      <c r="BQR129" s="88"/>
      <c r="BQS129" s="88"/>
      <c r="BQT129" s="88"/>
      <c r="BQU129" s="88"/>
      <c r="BQV129" s="88"/>
      <c r="BQW129" s="88"/>
      <c r="BQX129" s="88"/>
      <c r="BQY129" s="88"/>
      <c r="BQZ129" s="88"/>
      <c r="BRA129" s="88"/>
      <c r="BRB129" s="88"/>
      <c r="BRC129" s="88"/>
      <c r="BRD129" s="88"/>
      <c r="BRE129" s="88"/>
      <c r="BRF129" s="88"/>
      <c r="BRG129" s="88"/>
      <c r="BRH129" s="88"/>
      <c r="BRI129" s="88"/>
      <c r="BRJ129" s="88"/>
      <c r="BRK129" s="88"/>
      <c r="BRL129" s="88"/>
      <c r="BRM129" s="88"/>
      <c r="BRN129" s="88"/>
      <c r="BRO129" s="88"/>
      <c r="BRP129" s="88"/>
      <c r="BRQ129" s="88"/>
      <c r="BRR129" s="88"/>
      <c r="BRS129" s="88"/>
      <c r="BRT129" s="88"/>
      <c r="BRU129" s="88"/>
      <c r="BRV129" s="88"/>
      <c r="BRW129" s="88"/>
      <c r="BRX129" s="88"/>
      <c r="BRY129" s="88"/>
      <c r="BRZ129" s="88"/>
      <c r="BSA129" s="88"/>
      <c r="BSB129" s="88"/>
      <c r="BSC129" s="88"/>
      <c r="BSD129" s="88"/>
      <c r="BSE129" s="88"/>
      <c r="BSF129" s="88"/>
      <c r="BSG129" s="88"/>
      <c r="BSH129" s="88"/>
      <c r="BSI129" s="88"/>
      <c r="BSJ129" s="88"/>
      <c r="BSK129" s="88"/>
      <c r="BSL129" s="88"/>
      <c r="BSM129" s="88"/>
      <c r="BSN129" s="88"/>
      <c r="BSO129" s="88"/>
      <c r="BSP129" s="88"/>
      <c r="BSQ129" s="88"/>
      <c r="BSR129" s="88"/>
      <c r="BSS129" s="88"/>
      <c r="BST129" s="88"/>
      <c r="BSU129" s="88"/>
      <c r="BSV129" s="88"/>
      <c r="BSW129" s="88"/>
      <c r="BSX129" s="88"/>
      <c r="BSY129" s="88"/>
      <c r="BSZ129" s="88"/>
      <c r="BTA129" s="88"/>
      <c r="BTB129" s="88"/>
      <c r="BTC129" s="88"/>
      <c r="BTD129" s="88"/>
      <c r="BTE129" s="88"/>
      <c r="BTF129" s="88"/>
      <c r="BTG129" s="88"/>
      <c r="BTH129" s="88"/>
      <c r="BTI129" s="88"/>
      <c r="BTJ129" s="88"/>
      <c r="BTK129" s="88"/>
      <c r="BTL129" s="88"/>
      <c r="BTM129" s="88"/>
      <c r="BTN129" s="88"/>
      <c r="BTO129" s="88"/>
      <c r="BTP129" s="88"/>
      <c r="BTQ129" s="88"/>
      <c r="BTR129" s="88"/>
      <c r="BTS129" s="88"/>
      <c r="BTT129" s="88"/>
      <c r="BTU129" s="88"/>
      <c r="BTV129" s="88"/>
      <c r="BTW129" s="88"/>
      <c r="BTX129" s="88"/>
      <c r="BTY129" s="88"/>
      <c r="BTZ129" s="88"/>
      <c r="BUA129" s="88"/>
      <c r="BUB129" s="88"/>
      <c r="BUC129" s="88"/>
      <c r="BUD129" s="88"/>
      <c r="BUE129" s="88"/>
      <c r="BUF129" s="88"/>
      <c r="BUG129" s="88"/>
      <c r="BUH129" s="88"/>
      <c r="BUI129" s="88"/>
      <c r="BUJ129" s="88"/>
      <c r="BUK129" s="88"/>
      <c r="BUL129" s="88"/>
      <c r="BUM129" s="88"/>
      <c r="BUN129" s="88"/>
      <c r="BUO129" s="88"/>
      <c r="BUP129" s="88"/>
      <c r="BUQ129" s="88"/>
      <c r="BUR129" s="88"/>
      <c r="BUS129" s="88"/>
      <c r="BUT129" s="88"/>
      <c r="BUU129" s="88"/>
      <c r="BUV129" s="88"/>
      <c r="BUW129" s="88"/>
      <c r="BUX129" s="88"/>
      <c r="BUY129" s="88"/>
      <c r="BUZ129" s="88"/>
      <c r="BVA129" s="88"/>
      <c r="BVB129" s="88"/>
      <c r="BVC129" s="88"/>
      <c r="BVD129" s="88"/>
      <c r="BVE129" s="88"/>
      <c r="BVF129" s="88"/>
      <c r="BVG129" s="88"/>
      <c r="BVH129" s="88"/>
      <c r="BVI129" s="88"/>
      <c r="BVJ129" s="88"/>
      <c r="BVK129" s="88"/>
      <c r="BVL129" s="88"/>
      <c r="BVM129" s="88"/>
      <c r="BVN129" s="88"/>
      <c r="BVO129" s="88"/>
      <c r="BVP129" s="88"/>
      <c r="BVQ129" s="88"/>
      <c r="BVR129" s="88"/>
      <c r="BVS129" s="88"/>
      <c r="BVT129" s="88"/>
      <c r="BVU129" s="88"/>
      <c r="BVV129" s="88"/>
      <c r="BVW129" s="88"/>
      <c r="BVX129" s="88"/>
      <c r="BVY129" s="88"/>
      <c r="BVZ129" s="88"/>
      <c r="BWA129" s="88"/>
      <c r="BWB129" s="88"/>
      <c r="BWC129" s="88"/>
      <c r="BWD129" s="88"/>
      <c r="BWE129" s="88"/>
      <c r="BWF129" s="88"/>
      <c r="BWG129" s="88"/>
      <c r="BWH129" s="88"/>
      <c r="BWI129" s="88"/>
      <c r="BWJ129" s="88"/>
      <c r="BWK129" s="88"/>
      <c r="BWL129" s="88"/>
      <c r="BWM129" s="88"/>
      <c r="BWN129" s="88"/>
      <c r="BWO129" s="88"/>
      <c r="BWP129" s="88"/>
      <c r="BWQ129" s="88"/>
      <c r="BWR129" s="88"/>
      <c r="BWS129" s="88"/>
      <c r="BWT129" s="88"/>
      <c r="BWU129" s="88"/>
      <c r="BWV129" s="88"/>
      <c r="BWW129" s="88"/>
      <c r="BWX129" s="88"/>
      <c r="BWY129" s="88"/>
      <c r="BWZ129" s="88"/>
      <c r="BXA129" s="88"/>
      <c r="BXB129" s="88"/>
      <c r="BXC129" s="88"/>
      <c r="BXD129" s="88"/>
      <c r="BXE129" s="88"/>
      <c r="BXF129" s="88"/>
      <c r="BXG129" s="88"/>
      <c r="BXH129" s="88"/>
      <c r="BXI129" s="88"/>
      <c r="BXJ129" s="88"/>
      <c r="BXK129" s="88"/>
      <c r="BXL129" s="88"/>
      <c r="BXM129" s="88"/>
      <c r="BXN129" s="88"/>
      <c r="BXO129" s="88"/>
      <c r="BXP129" s="88"/>
      <c r="BXQ129" s="88"/>
      <c r="BXR129" s="88"/>
      <c r="BXS129" s="88"/>
      <c r="BXT129" s="88"/>
      <c r="BXU129" s="88"/>
      <c r="BXV129" s="88"/>
      <c r="BXW129" s="88"/>
      <c r="BXX129" s="88"/>
      <c r="BXY129" s="88"/>
      <c r="BXZ129" s="88"/>
      <c r="BYA129" s="88"/>
      <c r="BYB129" s="88"/>
      <c r="BYC129" s="88"/>
      <c r="BYD129" s="88"/>
      <c r="BYE129" s="88"/>
      <c r="BYF129" s="88"/>
      <c r="BYG129" s="88"/>
      <c r="BYH129" s="88"/>
      <c r="BYI129" s="88"/>
      <c r="BYJ129" s="88"/>
      <c r="BYK129" s="88"/>
      <c r="BYL129" s="88"/>
      <c r="BYM129" s="88"/>
      <c r="BYN129" s="88"/>
      <c r="BYO129" s="88"/>
      <c r="BYP129" s="88"/>
      <c r="BYQ129" s="88"/>
      <c r="BYR129" s="88"/>
      <c r="BYS129" s="88"/>
      <c r="BYT129" s="88"/>
      <c r="BYU129" s="88"/>
      <c r="BYV129" s="88"/>
      <c r="BYW129" s="88"/>
      <c r="BYX129" s="88"/>
      <c r="BYY129" s="88"/>
      <c r="BYZ129" s="88"/>
      <c r="BZA129" s="88"/>
      <c r="BZB129" s="88"/>
      <c r="BZC129" s="88"/>
      <c r="BZD129" s="88"/>
      <c r="BZE129" s="88"/>
      <c r="BZF129" s="88"/>
      <c r="BZG129" s="88"/>
      <c r="BZH129" s="88"/>
      <c r="BZI129" s="88"/>
      <c r="BZJ129" s="88"/>
      <c r="BZK129" s="88"/>
      <c r="BZL129" s="88"/>
      <c r="BZM129" s="88"/>
      <c r="BZN129" s="88"/>
      <c r="BZO129" s="88"/>
      <c r="BZP129" s="88"/>
      <c r="BZQ129" s="88"/>
      <c r="BZR129" s="88"/>
      <c r="BZS129" s="88"/>
      <c r="BZT129" s="88"/>
      <c r="BZU129" s="88"/>
      <c r="BZV129" s="88"/>
      <c r="BZW129" s="88"/>
      <c r="BZX129" s="88"/>
      <c r="BZY129" s="88"/>
      <c r="BZZ129" s="88"/>
      <c r="CAA129" s="88"/>
      <c r="CAB129" s="88"/>
      <c r="CAC129" s="88"/>
      <c r="CAD129" s="88"/>
      <c r="CAE129" s="88"/>
      <c r="CAF129" s="88"/>
      <c r="CAG129" s="88"/>
      <c r="CAH129" s="88"/>
      <c r="CAI129" s="88"/>
      <c r="CAJ129" s="88"/>
      <c r="CAK129" s="88"/>
      <c r="CAL129" s="88"/>
      <c r="CAM129" s="88"/>
      <c r="CAN129" s="88"/>
      <c r="CAO129" s="88"/>
      <c r="CAP129" s="88"/>
      <c r="CAQ129" s="88"/>
      <c r="CAR129" s="88"/>
      <c r="CAS129" s="88"/>
      <c r="CAT129" s="88"/>
      <c r="CAU129" s="88"/>
      <c r="CAV129" s="88"/>
      <c r="CAW129" s="88"/>
      <c r="CAX129" s="88"/>
      <c r="CAY129" s="88"/>
      <c r="CAZ129" s="88"/>
      <c r="CBA129" s="88"/>
      <c r="CBB129" s="88"/>
      <c r="CBC129" s="88"/>
      <c r="CBD129" s="88"/>
      <c r="CBE129" s="88"/>
      <c r="CBF129" s="88"/>
      <c r="CBG129" s="88"/>
      <c r="CBH129" s="88"/>
      <c r="CBI129" s="88"/>
      <c r="CBJ129" s="88"/>
      <c r="CBK129" s="88"/>
      <c r="CBL129" s="88"/>
      <c r="CBM129" s="88"/>
      <c r="CBN129" s="88"/>
      <c r="CBO129" s="88"/>
      <c r="CBP129" s="88"/>
      <c r="CBQ129" s="88"/>
      <c r="CBR129" s="88"/>
      <c r="CBS129" s="88"/>
      <c r="CBT129" s="88"/>
      <c r="CBU129" s="88"/>
      <c r="CBV129" s="88"/>
      <c r="CBW129" s="88"/>
      <c r="CBX129" s="88"/>
      <c r="CBY129" s="88"/>
      <c r="CBZ129" s="88"/>
      <c r="CCA129" s="88"/>
      <c r="CCB129" s="88"/>
      <c r="CCC129" s="88"/>
      <c r="CCD129" s="88"/>
      <c r="CCE129" s="88"/>
      <c r="CCF129" s="88"/>
      <c r="CCG129" s="88"/>
      <c r="CCH129" s="88"/>
      <c r="CCI129" s="88"/>
      <c r="CCJ129" s="88"/>
      <c r="CCK129" s="88"/>
      <c r="CCL129" s="88"/>
      <c r="CCM129" s="88"/>
      <c r="CCN129" s="88"/>
      <c r="CCO129" s="88"/>
      <c r="CCP129" s="88"/>
      <c r="CCQ129" s="88"/>
      <c r="CCR129" s="88"/>
      <c r="CCS129" s="88"/>
      <c r="CCT129" s="88"/>
      <c r="CCU129" s="88"/>
      <c r="CCV129" s="88"/>
      <c r="CCW129" s="88"/>
      <c r="CCX129" s="88"/>
      <c r="CCY129" s="88"/>
      <c r="CCZ129" s="88"/>
      <c r="CDA129" s="88"/>
      <c r="CDB129" s="88"/>
      <c r="CDC129" s="88"/>
      <c r="CDD129" s="88"/>
      <c r="CDE129" s="88"/>
      <c r="CDF129" s="88"/>
      <c r="CDG129" s="88"/>
      <c r="CDH129" s="88"/>
      <c r="CDI129" s="88"/>
      <c r="CDJ129" s="88"/>
      <c r="CDK129" s="88"/>
      <c r="CDL129" s="88"/>
      <c r="CDM129" s="88"/>
      <c r="CDN129" s="88"/>
      <c r="CDO129" s="88"/>
      <c r="CDP129" s="88"/>
      <c r="CDQ129" s="88"/>
      <c r="CDR129" s="88"/>
      <c r="CDS129" s="88"/>
      <c r="CDT129" s="88"/>
      <c r="CDU129" s="88"/>
      <c r="CDV129" s="88"/>
      <c r="CDW129" s="88"/>
      <c r="CDX129" s="88"/>
      <c r="CDY129" s="88"/>
      <c r="CDZ129" s="88"/>
      <c r="CEA129" s="88"/>
      <c r="CEB129" s="88"/>
      <c r="CEC129" s="88"/>
      <c r="CED129" s="88"/>
      <c r="CEE129" s="88"/>
      <c r="CEF129" s="88"/>
      <c r="CEG129" s="88"/>
      <c r="CEH129" s="88"/>
      <c r="CEI129" s="88"/>
      <c r="CEJ129" s="88"/>
      <c r="CEK129" s="88"/>
    </row>
    <row r="130" spans="1:2169" s="63" customFormat="1">
      <c r="A130" s="73" t="s">
        <v>814</v>
      </c>
      <c r="B130" s="71" t="s">
        <v>2133</v>
      </c>
      <c r="C130" s="68" t="str">
        <f>IF('page 2'!$O$4="","",IF('page 2'!$O$4=Gestion!A130,1,0))</f>
        <v/>
      </c>
      <c r="D130" s="68" t="str">
        <f>IF('page 2'!$O$5="","",IF('page 2'!$O$5=Gestion!A130,1,0))</f>
        <v/>
      </c>
      <c r="E130" s="68" t="str">
        <f>IF('page 2'!$O$6="","",IF('page 2'!$O$6=Gestion!A130,1,0))</f>
        <v/>
      </c>
      <c r="F130" s="68" t="str">
        <f>IF('page 2'!$O$7="","",IF('page 2'!$O$7=Gestion!A130,1,0))</f>
        <v/>
      </c>
      <c r="G130" s="68" t="str">
        <f>IF('page 2'!$O$8="","",IF('page 2'!$O$8=Gestion!A130,1,0))</f>
        <v/>
      </c>
      <c r="H130" s="68" t="str">
        <f>IF('page 2'!$O$9="","",IF('page 2'!$O$9=Gestion!A130,1,0))</f>
        <v/>
      </c>
      <c r="I130" s="68" t="str">
        <f>IF('page 2'!$O$10="","",IF('page 2'!$O$10=Gestion!A130,1,0))</f>
        <v/>
      </c>
      <c r="J130" s="68" t="str">
        <f>IF('page 2'!$O$11="","",IF('page 2'!$O$11=Gestion!A130,1,0))</f>
        <v/>
      </c>
      <c r="K130" s="68" t="str">
        <f>IF('page 2'!$O$12="","",IF('page 2'!$O$12=Gestion!A130,1,0))</f>
        <v/>
      </c>
      <c r="L130" s="68" t="str">
        <f>IF('page 2'!$O$13="","",IF('page 2'!$O$13=Gestion!A130,1,0))</f>
        <v/>
      </c>
      <c r="M130" s="68" t="str">
        <f>IF('page 2'!$O$14="","",IF('page 2'!$O$14=Gestion!A130,1,0))</f>
        <v/>
      </c>
      <c r="N130" s="68" t="str">
        <f>IF('page 2'!$O$15="","",IF('page 2'!$O$15=Gestion!A130,1,0))</f>
        <v/>
      </c>
      <c r="O130" s="68" t="str">
        <f>IF('page 2'!$O$16="","",IF('page 2'!$O$16=Gestion!A130,1,0))</f>
        <v/>
      </c>
      <c r="P130" s="68" t="str">
        <f>IF('page 2'!$O$17="","",IF('page 2'!$O$17=Gestion!A130,1,0))</f>
        <v/>
      </c>
      <c r="Q130" s="68" t="str">
        <f>IF('page 2'!$O$18="","",IF('page 2'!$O$18=Gestion!A130,1,0))</f>
        <v/>
      </c>
      <c r="R130" s="68" t="str">
        <f>IF('page 2'!$O$19="","",IF('page 2'!$O$19=Gestion!A130,1,0))</f>
        <v/>
      </c>
      <c r="S130" s="68" t="str">
        <f>IF('page 2'!$O$20="","",IF('page 2'!$O$20=Gestion!A130,1,0))</f>
        <v/>
      </c>
      <c r="T130" s="68" t="str">
        <f>IF('page 2'!$O$25="","",IF('page 2'!$O$25=Gestion!A130,1,0))</f>
        <v/>
      </c>
      <c r="U130" s="68" t="str">
        <f>IF('page 2'!$O$26="","",IF('page 2'!$O$26=Gestion!A130,1,0))</f>
        <v/>
      </c>
      <c r="V130" s="68" t="str">
        <f>IF('page 2'!$O$27="","",IF('page 2'!$O$27=Gestion!A130,1,0))</f>
        <v/>
      </c>
      <c r="W130" s="722">
        <f t="shared" si="14"/>
        <v>0</v>
      </c>
      <c r="X130" s="714"/>
      <c r="Y130" s="68"/>
      <c r="Z130" s="68"/>
      <c r="AA130" s="68"/>
      <c r="AB130" s="68"/>
      <c r="AC130" s="68"/>
      <c r="AD130" s="68"/>
      <c r="AP130" s="130"/>
      <c r="AQ130" s="130"/>
      <c r="AR130" s="130"/>
      <c r="AS130" s="576"/>
      <c r="AT130" s="576"/>
      <c r="AU130" s="576"/>
      <c r="AV130" s="576"/>
      <c r="AW130" s="602"/>
      <c r="AX130" s="602"/>
      <c r="AY130" s="576"/>
      <c r="AZ130" s="576"/>
      <c r="BA130" s="576"/>
      <c r="BB130" s="576"/>
      <c r="BC130" s="576"/>
      <c r="BD130" s="602"/>
      <c r="BE130" s="602"/>
      <c r="BF130" s="602"/>
      <c r="BG130" s="602"/>
      <c r="BH130" s="602"/>
      <c r="BI130" s="602"/>
      <c r="BJ130" s="602"/>
      <c r="BK130" s="602"/>
      <c r="BL130" s="602"/>
      <c r="BM130" s="602"/>
      <c r="BN130" s="602"/>
      <c r="BO130" s="602"/>
      <c r="BP130" s="602"/>
      <c r="BQ130" s="602"/>
      <c r="BR130" s="602"/>
      <c r="BS130" s="576"/>
      <c r="BT130" s="576"/>
      <c r="BU130" s="576"/>
      <c r="BV130" s="576"/>
      <c r="BW130" s="602"/>
      <c r="BX130" s="602"/>
      <c r="BY130" s="602"/>
      <c r="BZ130" s="576"/>
      <c r="CA130" s="602"/>
      <c r="CB130" s="602"/>
      <c r="CC130" s="576"/>
      <c r="CD130" s="576"/>
      <c r="CE130" s="602"/>
      <c r="CF130" s="576"/>
      <c r="CG130" s="576"/>
      <c r="CH130" s="576"/>
      <c r="CI130" s="576"/>
      <c r="CJ130" s="576"/>
      <c r="CK130" s="602"/>
      <c r="CL130" s="602"/>
      <c r="CM130" s="576"/>
      <c r="CN130" s="602"/>
      <c r="CO130" s="602"/>
      <c r="CP130" s="602"/>
      <c r="CQ130" s="576"/>
      <c r="CR130" s="576"/>
      <c r="CS130" s="602"/>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c r="HF130" s="88"/>
      <c r="HG130" s="88"/>
      <c r="HH130" s="88"/>
      <c r="HI130" s="88"/>
      <c r="HJ130" s="88"/>
      <c r="HK130" s="88"/>
      <c r="HL130" s="88"/>
      <c r="HM130" s="88"/>
      <c r="HN130" s="88"/>
      <c r="HO130" s="88"/>
      <c r="HP130" s="88"/>
      <c r="HQ130" s="88"/>
      <c r="HR130" s="88"/>
      <c r="HS130" s="88"/>
      <c r="HT130" s="88"/>
      <c r="HU130" s="88"/>
      <c r="HV130" s="88"/>
      <c r="HW130" s="88"/>
      <c r="HX130" s="88"/>
      <c r="HY130" s="88"/>
      <c r="HZ130" s="88"/>
      <c r="IA130" s="88"/>
      <c r="IB130" s="88"/>
      <c r="IC130" s="88"/>
      <c r="ID130" s="88"/>
      <c r="IE130" s="88"/>
      <c r="IF130" s="88"/>
      <c r="IG130" s="88"/>
      <c r="IH130" s="88"/>
      <c r="II130" s="88"/>
      <c r="IJ130" s="88"/>
      <c r="IK130" s="88"/>
      <c r="IL130" s="88"/>
      <c r="IM130" s="88"/>
      <c r="IN130" s="88"/>
      <c r="IO130" s="88"/>
      <c r="IP130" s="88"/>
      <c r="IQ130" s="88"/>
      <c r="IR130" s="88"/>
      <c r="IS130" s="88"/>
      <c r="IT130" s="88"/>
      <c r="IU130" s="88"/>
      <c r="IV130" s="88"/>
      <c r="IW130" s="88"/>
      <c r="IX130" s="88"/>
      <c r="IY130" s="88"/>
      <c r="IZ130" s="88"/>
      <c r="JA130" s="88"/>
      <c r="JB130" s="88"/>
      <c r="JC130" s="88"/>
      <c r="JD130" s="88"/>
      <c r="JE130" s="88"/>
      <c r="JF130" s="88"/>
      <c r="JG130" s="88"/>
      <c r="JH130" s="88"/>
      <c r="JI130" s="88"/>
      <c r="JJ130" s="88"/>
      <c r="JK130" s="88"/>
      <c r="JL130" s="88"/>
      <c r="JM130" s="88"/>
      <c r="JN130" s="88"/>
      <c r="JO130" s="88"/>
      <c r="JP130" s="88"/>
      <c r="JQ130" s="88"/>
      <c r="JR130" s="88"/>
      <c r="JS130" s="88"/>
      <c r="JT130" s="88"/>
      <c r="JU130" s="88"/>
      <c r="JV130" s="88"/>
      <c r="JW130" s="88"/>
      <c r="JX130" s="88"/>
      <c r="JY130" s="88"/>
      <c r="JZ130" s="88"/>
      <c r="KA130" s="88"/>
      <c r="KB130" s="88"/>
      <c r="KC130" s="88"/>
      <c r="KD130" s="88"/>
      <c r="KE130" s="88"/>
      <c r="KF130" s="88"/>
      <c r="KG130" s="88"/>
      <c r="KH130" s="88"/>
      <c r="KI130" s="88"/>
      <c r="KJ130" s="88"/>
      <c r="KK130" s="88"/>
      <c r="KL130" s="88"/>
      <c r="KM130" s="88"/>
      <c r="KN130" s="88"/>
      <c r="KO130" s="88"/>
      <c r="KP130" s="88"/>
      <c r="KQ130" s="88"/>
      <c r="KR130" s="88"/>
      <c r="KS130" s="88"/>
      <c r="KT130" s="88"/>
      <c r="KU130" s="88"/>
      <c r="KV130" s="88"/>
      <c r="KW130" s="88"/>
      <c r="KX130" s="88"/>
      <c r="KY130" s="88"/>
      <c r="KZ130" s="88"/>
      <c r="LA130" s="88"/>
      <c r="LB130" s="88"/>
      <c r="LC130" s="88"/>
      <c r="LD130" s="88"/>
      <c r="LE130" s="88"/>
      <c r="LF130" s="88"/>
      <c r="LG130" s="88"/>
      <c r="LH130" s="88"/>
      <c r="LI130" s="88"/>
      <c r="LJ130" s="88"/>
      <c r="LK130" s="88"/>
      <c r="LL130" s="88"/>
      <c r="LM130" s="88"/>
      <c r="LN130" s="88"/>
      <c r="LO130" s="88"/>
      <c r="LP130" s="88"/>
      <c r="LQ130" s="88"/>
      <c r="LR130" s="88"/>
      <c r="LS130" s="88"/>
      <c r="LT130" s="88"/>
      <c r="LU130" s="88"/>
      <c r="LV130" s="88"/>
      <c r="LW130" s="88"/>
      <c r="LX130" s="88"/>
      <c r="LY130" s="88"/>
      <c r="LZ130" s="88"/>
      <c r="MA130" s="88"/>
      <c r="MB130" s="88"/>
      <c r="MC130" s="88"/>
      <c r="MD130" s="88"/>
      <c r="ME130" s="88"/>
      <c r="MF130" s="88"/>
      <c r="MG130" s="88"/>
      <c r="MH130" s="88"/>
      <c r="MI130" s="88"/>
      <c r="MJ130" s="88"/>
      <c r="MK130" s="88"/>
      <c r="ML130" s="88"/>
      <c r="MM130" s="88"/>
      <c r="MN130" s="88"/>
      <c r="MO130" s="88"/>
      <c r="MP130" s="88"/>
      <c r="MQ130" s="88"/>
      <c r="MR130" s="88"/>
      <c r="MS130" s="88"/>
      <c r="MT130" s="88"/>
      <c r="MU130" s="88"/>
      <c r="MV130" s="88"/>
      <c r="MW130" s="88"/>
      <c r="MX130" s="88"/>
      <c r="MY130" s="88"/>
      <c r="MZ130" s="88"/>
      <c r="NA130" s="88"/>
      <c r="NB130" s="88"/>
      <c r="NC130" s="88"/>
      <c r="ND130" s="88"/>
      <c r="NE130" s="88"/>
      <c r="NF130" s="88"/>
      <c r="NG130" s="88"/>
      <c r="NH130" s="88"/>
      <c r="NI130" s="88"/>
      <c r="NJ130" s="88"/>
      <c r="NK130" s="88"/>
      <c r="NL130" s="88"/>
      <c r="NM130" s="88"/>
      <c r="NN130" s="88"/>
      <c r="NO130" s="88"/>
      <c r="NP130" s="88"/>
      <c r="NQ130" s="88"/>
      <c r="NR130" s="88"/>
      <c r="NS130" s="88"/>
      <c r="NT130" s="88"/>
      <c r="NU130" s="88"/>
      <c r="NV130" s="88"/>
      <c r="NW130" s="88"/>
      <c r="NX130" s="88"/>
      <c r="NY130" s="88"/>
      <c r="NZ130" s="88"/>
      <c r="OA130" s="88"/>
      <c r="OB130" s="88"/>
      <c r="OC130" s="88"/>
      <c r="OD130" s="88"/>
      <c r="OE130" s="88"/>
      <c r="OF130" s="88"/>
      <c r="OG130" s="88"/>
      <c r="OH130" s="88"/>
      <c r="OI130" s="88"/>
      <c r="OJ130" s="88"/>
      <c r="OK130" s="88"/>
      <c r="OL130" s="88"/>
      <c r="OM130" s="88"/>
      <c r="ON130" s="88"/>
      <c r="OO130" s="88"/>
      <c r="OP130" s="88"/>
      <c r="OQ130" s="88"/>
      <c r="OR130" s="88"/>
      <c r="OS130" s="88"/>
      <c r="OT130" s="88"/>
      <c r="OU130" s="88"/>
      <c r="OV130" s="88"/>
      <c r="OW130" s="88"/>
      <c r="OX130" s="88"/>
      <c r="OY130" s="88"/>
      <c r="OZ130" s="88"/>
      <c r="PA130" s="88"/>
      <c r="PB130" s="88"/>
      <c r="PC130" s="88"/>
      <c r="PD130" s="88"/>
      <c r="PE130" s="88"/>
      <c r="PF130" s="88"/>
      <c r="PG130" s="88"/>
      <c r="PH130" s="88"/>
      <c r="PI130" s="88"/>
      <c r="PJ130" s="88"/>
      <c r="PK130" s="88"/>
      <c r="PL130" s="88"/>
      <c r="PM130" s="88"/>
      <c r="PN130" s="88"/>
      <c r="PO130" s="88"/>
      <c r="PP130" s="88"/>
      <c r="PQ130" s="88"/>
      <c r="PR130" s="88"/>
      <c r="PS130" s="88"/>
      <c r="PT130" s="88"/>
      <c r="PU130" s="88"/>
      <c r="PV130" s="88"/>
      <c r="PW130" s="88"/>
      <c r="PX130" s="88"/>
      <c r="PY130" s="88"/>
      <c r="PZ130" s="88"/>
      <c r="QA130" s="88"/>
      <c r="QB130" s="88"/>
      <c r="QC130" s="88"/>
      <c r="QD130" s="88"/>
      <c r="QE130" s="88"/>
      <c r="QF130" s="88"/>
      <c r="QG130" s="88"/>
      <c r="QH130" s="88"/>
      <c r="QI130" s="88"/>
      <c r="QJ130" s="88"/>
      <c r="QK130" s="88"/>
      <c r="QL130" s="88"/>
      <c r="QM130" s="88"/>
      <c r="QN130" s="88"/>
      <c r="QO130" s="88"/>
      <c r="QP130" s="88"/>
      <c r="QQ130" s="88"/>
      <c r="QR130" s="88"/>
      <c r="QS130" s="88"/>
      <c r="QT130" s="88"/>
      <c r="QU130" s="88"/>
      <c r="QV130" s="88"/>
      <c r="QW130" s="88"/>
      <c r="QX130" s="88"/>
      <c r="QY130" s="88"/>
      <c r="QZ130" s="88"/>
      <c r="RA130" s="88"/>
      <c r="RB130" s="88"/>
      <c r="RC130" s="88"/>
      <c r="RD130" s="88"/>
      <c r="RE130" s="88"/>
      <c r="RF130" s="88"/>
      <c r="RG130" s="88"/>
      <c r="RH130" s="88"/>
      <c r="RI130" s="88"/>
      <c r="RJ130" s="88"/>
      <c r="RK130" s="88"/>
      <c r="RL130" s="88"/>
      <c r="RM130" s="88"/>
      <c r="RN130" s="88"/>
      <c r="RO130" s="88"/>
      <c r="RP130" s="88"/>
      <c r="RQ130" s="88"/>
      <c r="RR130" s="88"/>
      <c r="RS130" s="88"/>
      <c r="RT130" s="88"/>
      <c r="RU130" s="88"/>
      <c r="RV130" s="88"/>
      <c r="RW130" s="88"/>
      <c r="RX130" s="88"/>
      <c r="RY130" s="88"/>
      <c r="RZ130" s="88"/>
      <c r="SA130" s="88"/>
      <c r="SB130" s="88"/>
      <c r="SC130" s="88"/>
      <c r="SD130" s="88"/>
      <c r="SE130" s="88"/>
      <c r="SF130" s="88"/>
      <c r="SG130" s="88"/>
      <c r="SH130" s="88"/>
      <c r="SI130" s="88"/>
      <c r="SJ130" s="88"/>
      <c r="SK130" s="88"/>
      <c r="SL130" s="88"/>
      <c r="SM130" s="88"/>
      <c r="SN130" s="88"/>
      <c r="SO130" s="88"/>
      <c r="SP130" s="88"/>
      <c r="SQ130" s="88"/>
      <c r="SR130" s="88"/>
      <c r="SS130" s="88"/>
      <c r="ST130" s="88"/>
      <c r="SU130" s="88"/>
      <c r="SV130" s="88"/>
      <c r="SW130" s="88"/>
      <c r="SX130" s="88"/>
      <c r="SY130" s="88"/>
      <c r="SZ130" s="88"/>
      <c r="TA130" s="88"/>
      <c r="TB130" s="88"/>
      <c r="TC130" s="88"/>
      <c r="TD130" s="88"/>
      <c r="TE130" s="88"/>
      <c r="TF130" s="88"/>
      <c r="TG130" s="88"/>
      <c r="TH130" s="88"/>
      <c r="TI130" s="88"/>
      <c r="TJ130" s="88"/>
      <c r="TK130" s="88"/>
      <c r="TL130" s="88"/>
      <c r="TM130" s="88"/>
      <c r="TN130" s="88"/>
      <c r="TO130" s="88"/>
      <c r="TP130" s="88"/>
      <c r="TQ130" s="88"/>
      <c r="TR130" s="88"/>
      <c r="TS130" s="88"/>
      <c r="TT130" s="88"/>
      <c r="TU130" s="88"/>
      <c r="TV130" s="88"/>
      <c r="TW130" s="88"/>
      <c r="TX130" s="88"/>
      <c r="TY130" s="88"/>
      <c r="TZ130" s="88"/>
      <c r="UA130" s="88"/>
      <c r="UB130" s="88"/>
      <c r="UC130" s="88"/>
      <c r="UD130" s="88"/>
      <c r="UE130" s="88"/>
      <c r="UF130" s="88"/>
      <c r="UG130" s="88"/>
      <c r="UH130" s="88"/>
      <c r="UI130" s="88"/>
      <c r="UJ130" s="88"/>
      <c r="UK130" s="88"/>
      <c r="UL130" s="88"/>
      <c r="UM130" s="88"/>
      <c r="UN130" s="88"/>
      <c r="UO130" s="88"/>
      <c r="UP130" s="88"/>
      <c r="UQ130" s="88"/>
      <c r="UR130" s="88"/>
      <c r="US130" s="88"/>
      <c r="UT130" s="88"/>
      <c r="UU130" s="88"/>
      <c r="UV130" s="88"/>
      <c r="UW130" s="88"/>
      <c r="UX130" s="88"/>
      <c r="UY130" s="88"/>
      <c r="UZ130" s="88"/>
      <c r="VA130" s="88"/>
      <c r="VB130" s="88"/>
      <c r="VC130" s="88"/>
      <c r="VD130" s="88"/>
      <c r="VE130" s="88"/>
      <c r="VF130" s="88"/>
      <c r="VG130" s="88"/>
      <c r="VH130" s="88"/>
      <c r="VI130" s="88"/>
      <c r="VJ130" s="88"/>
      <c r="VK130" s="88"/>
      <c r="VL130" s="88"/>
      <c r="VM130" s="88"/>
      <c r="VN130" s="88"/>
      <c r="VO130" s="88"/>
      <c r="VP130" s="88"/>
      <c r="VQ130" s="88"/>
      <c r="VR130" s="88"/>
      <c r="VS130" s="88"/>
      <c r="VT130" s="88"/>
      <c r="VU130" s="88"/>
      <c r="VV130" s="88"/>
      <c r="VW130" s="88"/>
      <c r="VX130" s="88"/>
      <c r="VY130" s="88"/>
      <c r="VZ130" s="88"/>
      <c r="WA130" s="88"/>
      <c r="WB130" s="88"/>
      <c r="WC130" s="88"/>
      <c r="WD130" s="88"/>
      <c r="WE130" s="88"/>
      <c r="WF130" s="88"/>
      <c r="WG130" s="88"/>
      <c r="WH130" s="88"/>
      <c r="WI130" s="88"/>
      <c r="WJ130" s="88"/>
      <c r="WK130" s="88"/>
      <c r="WL130" s="88"/>
      <c r="WM130" s="88"/>
      <c r="WN130" s="88"/>
      <c r="WO130" s="88"/>
      <c r="WP130" s="88"/>
      <c r="WQ130" s="88"/>
      <c r="WR130" s="88"/>
      <c r="WS130" s="88"/>
      <c r="WT130" s="88"/>
      <c r="WU130" s="88"/>
      <c r="WV130" s="88"/>
      <c r="WW130" s="88"/>
      <c r="WX130" s="88"/>
      <c r="WY130" s="88"/>
      <c r="WZ130" s="88"/>
      <c r="XA130" s="88"/>
      <c r="XB130" s="88"/>
      <c r="XC130" s="88"/>
      <c r="XD130" s="88"/>
      <c r="XE130" s="88"/>
      <c r="XF130" s="88"/>
      <c r="XG130" s="88"/>
      <c r="XH130" s="88"/>
      <c r="XI130" s="88"/>
      <c r="XJ130" s="88"/>
      <c r="XK130" s="88"/>
      <c r="XL130" s="88"/>
      <c r="XM130" s="88"/>
      <c r="XN130" s="88"/>
      <c r="XO130" s="88"/>
      <c r="XP130" s="88"/>
      <c r="XQ130" s="88"/>
      <c r="XR130" s="88"/>
      <c r="XS130" s="88"/>
      <c r="XT130" s="88"/>
      <c r="XU130" s="88"/>
      <c r="XV130" s="88"/>
      <c r="XW130" s="88"/>
      <c r="XX130" s="88"/>
      <c r="XY130" s="88"/>
      <c r="XZ130" s="88"/>
      <c r="YA130" s="88"/>
      <c r="YB130" s="88"/>
      <c r="YC130" s="88"/>
      <c r="YD130" s="88"/>
      <c r="YE130" s="88"/>
      <c r="YF130" s="88"/>
      <c r="YG130" s="88"/>
      <c r="YH130" s="88"/>
      <c r="YI130" s="88"/>
      <c r="YJ130" s="88"/>
      <c r="YK130" s="88"/>
      <c r="YL130" s="88"/>
      <c r="YM130" s="88"/>
      <c r="YN130" s="88"/>
      <c r="YO130" s="88"/>
      <c r="YP130" s="88"/>
      <c r="YQ130" s="88"/>
      <c r="YR130" s="88"/>
      <c r="YS130" s="88"/>
      <c r="YT130" s="88"/>
      <c r="YU130" s="88"/>
      <c r="YV130" s="88"/>
      <c r="YW130" s="88"/>
      <c r="YX130" s="88"/>
      <c r="YY130" s="88"/>
      <c r="YZ130" s="88"/>
      <c r="ZA130" s="88"/>
      <c r="ZB130" s="88"/>
      <c r="ZC130" s="88"/>
      <c r="ZD130" s="88"/>
      <c r="ZE130" s="88"/>
      <c r="ZF130" s="88"/>
      <c r="ZG130" s="88"/>
      <c r="ZH130" s="88"/>
      <c r="ZI130" s="88"/>
      <c r="ZJ130" s="88"/>
      <c r="ZK130" s="88"/>
      <c r="ZL130" s="88"/>
      <c r="ZM130" s="88"/>
      <c r="ZN130" s="88"/>
      <c r="ZO130" s="88"/>
      <c r="ZP130" s="88"/>
      <c r="ZQ130" s="88"/>
      <c r="ZR130" s="88"/>
      <c r="ZS130" s="88"/>
      <c r="ZT130" s="88"/>
      <c r="ZU130" s="88"/>
      <c r="ZV130" s="88"/>
      <c r="ZW130" s="88"/>
      <c r="ZX130" s="88"/>
      <c r="ZY130" s="88"/>
      <c r="ZZ130" s="88"/>
      <c r="AAA130" s="88"/>
      <c r="AAB130" s="88"/>
      <c r="AAC130" s="88"/>
      <c r="AAD130" s="88"/>
      <c r="AAE130" s="88"/>
      <c r="AAF130" s="88"/>
      <c r="AAG130" s="88"/>
      <c r="AAH130" s="88"/>
      <c r="AAI130" s="88"/>
      <c r="AAJ130" s="88"/>
      <c r="AAK130" s="88"/>
      <c r="AAL130" s="88"/>
      <c r="AAM130" s="88"/>
      <c r="AAN130" s="88"/>
      <c r="AAO130" s="88"/>
      <c r="AAP130" s="88"/>
      <c r="AAQ130" s="88"/>
      <c r="AAR130" s="88"/>
      <c r="AAS130" s="88"/>
      <c r="AAT130" s="88"/>
      <c r="AAU130" s="88"/>
      <c r="AAV130" s="88"/>
      <c r="AAW130" s="88"/>
      <c r="AAX130" s="88"/>
      <c r="AAY130" s="88"/>
      <c r="AAZ130" s="88"/>
      <c r="ABA130" s="88"/>
      <c r="ABB130" s="88"/>
      <c r="ABC130" s="88"/>
      <c r="ABD130" s="88"/>
      <c r="ABE130" s="88"/>
      <c r="ABF130" s="88"/>
      <c r="ABG130" s="88"/>
      <c r="ABH130" s="88"/>
      <c r="ABI130" s="88"/>
      <c r="ABJ130" s="88"/>
      <c r="ABK130" s="88"/>
      <c r="ABL130" s="88"/>
      <c r="ABM130" s="88"/>
      <c r="ABN130" s="88"/>
      <c r="ABO130" s="88"/>
      <c r="ABP130" s="88"/>
      <c r="ABQ130" s="88"/>
      <c r="ABR130" s="88"/>
      <c r="ABS130" s="88"/>
      <c r="ABT130" s="88"/>
      <c r="ABU130" s="88"/>
      <c r="ABV130" s="88"/>
      <c r="ABW130" s="88"/>
      <c r="ABX130" s="88"/>
      <c r="ABY130" s="88"/>
      <c r="ABZ130" s="88"/>
      <c r="ACA130" s="88"/>
      <c r="ACB130" s="88"/>
      <c r="ACC130" s="88"/>
      <c r="ACD130" s="88"/>
      <c r="ACE130" s="88"/>
      <c r="ACF130" s="88"/>
      <c r="ACG130" s="88"/>
      <c r="ACH130" s="88"/>
      <c r="ACI130" s="88"/>
      <c r="ACJ130" s="88"/>
      <c r="ACK130" s="88"/>
      <c r="ACL130" s="88"/>
      <c r="ACM130" s="88"/>
      <c r="ACN130" s="88"/>
      <c r="ACO130" s="88"/>
      <c r="ACP130" s="88"/>
      <c r="ACQ130" s="88"/>
      <c r="ACR130" s="88"/>
      <c r="ACS130" s="88"/>
      <c r="ACT130" s="88"/>
      <c r="ACU130" s="88"/>
      <c r="ACV130" s="88"/>
      <c r="ACW130" s="88"/>
      <c r="ACX130" s="88"/>
      <c r="ACY130" s="88"/>
      <c r="ACZ130" s="88"/>
      <c r="ADA130" s="88"/>
      <c r="ADB130" s="88"/>
      <c r="ADC130" s="88"/>
      <c r="ADD130" s="88"/>
      <c r="ADE130" s="88"/>
      <c r="ADF130" s="88"/>
      <c r="ADG130" s="88"/>
      <c r="ADH130" s="88"/>
      <c r="ADI130" s="88"/>
      <c r="ADJ130" s="88"/>
      <c r="ADK130" s="88"/>
      <c r="ADL130" s="88"/>
      <c r="ADM130" s="88"/>
      <c r="ADN130" s="88"/>
      <c r="ADO130" s="88"/>
      <c r="ADP130" s="88"/>
      <c r="ADQ130" s="88"/>
      <c r="ADR130" s="88"/>
      <c r="ADS130" s="88"/>
      <c r="ADT130" s="88"/>
      <c r="ADU130" s="88"/>
      <c r="ADV130" s="88"/>
      <c r="ADW130" s="88"/>
      <c r="ADX130" s="88"/>
      <c r="ADY130" s="88"/>
      <c r="ADZ130" s="88"/>
      <c r="AEA130" s="88"/>
      <c r="AEB130" s="88"/>
      <c r="AEC130" s="88"/>
      <c r="AED130" s="88"/>
      <c r="AEE130" s="88"/>
      <c r="AEF130" s="88"/>
      <c r="AEG130" s="88"/>
      <c r="AEH130" s="88"/>
      <c r="AEI130" s="88"/>
      <c r="AEJ130" s="88"/>
      <c r="AEK130" s="88"/>
      <c r="AEL130" s="88"/>
      <c r="AEM130" s="88"/>
      <c r="AEN130" s="88"/>
      <c r="AEO130" s="88"/>
      <c r="AEP130" s="88"/>
      <c r="AEQ130" s="88"/>
      <c r="AER130" s="88"/>
      <c r="AES130" s="88"/>
      <c r="AET130" s="88"/>
      <c r="AEU130" s="88"/>
      <c r="AEV130" s="88"/>
      <c r="AEW130" s="88"/>
      <c r="AEX130" s="88"/>
      <c r="AEY130" s="88"/>
      <c r="AEZ130" s="88"/>
      <c r="AFA130" s="88"/>
      <c r="AFB130" s="88"/>
      <c r="AFC130" s="88"/>
      <c r="AFD130" s="88"/>
      <c r="AFE130" s="88"/>
      <c r="AFF130" s="88"/>
      <c r="AFG130" s="88"/>
      <c r="AFH130" s="88"/>
      <c r="AFI130" s="88"/>
      <c r="AFJ130" s="88"/>
      <c r="AFK130" s="88"/>
      <c r="AFL130" s="88"/>
      <c r="AFM130" s="88"/>
      <c r="AFN130" s="88"/>
      <c r="AFO130" s="88"/>
      <c r="AFP130" s="88"/>
      <c r="AFQ130" s="88"/>
      <c r="AFR130" s="88"/>
      <c r="AFS130" s="88"/>
      <c r="AFT130" s="88"/>
      <c r="AFU130" s="88"/>
      <c r="AFV130" s="88"/>
      <c r="AFW130" s="88"/>
      <c r="AFX130" s="88"/>
      <c r="AFY130" s="88"/>
      <c r="AFZ130" s="88"/>
      <c r="AGA130" s="88"/>
      <c r="AGB130" s="88"/>
      <c r="AGC130" s="88"/>
      <c r="AGD130" s="88"/>
      <c r="AGE130" s="88"/>
      <c r="AGF130" s="88"/>
      <c r="AGG130" s="88"/>
      <c r="AGH130" s="88"/>
      <c r="AGI130" s="88"/>
      <c r="AGJ130" s="88"/>
      <c r="AGK130" s="88"/>
      <c r="AGL130" s="88"/>
      <c r="AGM130" s="88"/>
      <c r="AGN130" s="88"/>
      <c r="AGO130" s="88"/>
      <c r="AGP130" s="88"/>
      <c r="AGQ130" s="88"/>
      <c r="AGR130" s="88"/>
      <c r="AGS130" s="88"/>
      <c r="AGT130" s="88"/>
      <c r="AGU130" s="88"/>
      <c r="AGV130" s="88"/>
      <c r="AGW130" s="88"/>
      <c r="AGX130" s="88"/>
      <c r="AGY130" s="88"/>
      <c r="AGZ130" s="88"/>
      <c r="AHA130" s="88"/>
      <c r="AHB130" s="88"/>
      <c r="AHC130" s="88"/>
      <c r="AHD130" s="88"/>
      <c r="AHE130" s="88"/>
      <c r="AHF130" s="88"/>
      <c r="AHG130" s="88"/>
      <c r="AHH130" s="88"/>
      <c r="AHI130" s="88"/>
      <c r="AHJ130" s="88"/>
      <c r="AHK130" s="88"/>
      <c r="AHL130" s="88"/>
      <c r="AHM130" s="88"/>
      <c r="AHN130" s="88"/>
      <c r="AHO130" s="88"/>
      <c r="AHP130" s="88"/>
      <c r="AHQ130" s="88"/>
      <c r="AHR130" s="88"/>
      <c r="AHS130" s="88"/>
      <c r="AHT130" s="88"/>
      <c r="AHU130" s="88"/>
      <c r="AHV130" s="88"/>
      <c r="AHW130" s="88"/>
      <c r="AHX130" s="88"/>
      <c r="AHY130" s="88"/>
      <c r="AHZ130" s="88"/>
      <c r="AIA130" s="88"/>
      <c r="AIB130" s="88"/>
      <c r="AIC130" s="88"/>
      <c r="AID130" s="88"/>
      <c r="AIE130" s="88"/>
      <c r="AIF130" s="88"/>
      <c r="AIG130" s="88"/>
      <c r="AIH130" s="88"/>
      <c r="AII130" s="88"/>
      <c r="AIJ130" s="88"/>
      <c r="AIK130" s="88"/>
      <c r="AIL130" s="88"/>
      <c r="AIM130" s="88"/>
      <c r="AIN130" s="88"/>
      <c r="AIO130" s="88"/>
      <c r="AIP130" s="88"/>
      <c r="AIQ130" s="88"/>
      <c r="AIR130" s="88"/>
      <c r="AIS130" s="88"/>
      <c r="AIT130" s="88"/>
      <c r="AIU130" s="88"/>
      <c r="AIV130" s="88"/>
      <c r="AIW130" s="88"/>
      <c r="AIX130" s="88"/>
      <c r="AIY130" s="88"/>
      <c r="AIZ130" s="88"/>
      <c r="AJA130" s="88"/>
      <c r="AJB130" s="88"/>
      <c r="AJC130" s="88"/>
      <c r="AJD130" s="88"/>
      <c r="AJE130" s="88"/>
      <c r="AJF130" s="88"/>
      <c r="AJG130" s="88"/>
      <c r="AJH130" s="88"/>
      <c r="AJI130" s="88"/>
      <c r="AJJ130" s="88"/>
      <c r="AJK130" s="88"/>
      <c r="AJL130" s="88"/>
      <c r="AJM130" s="88"/>
      <c r="AJN130" s="88"/>
      <c r="AJO130" s="88"/>
      <c r="AJP130" s="88"/>
      <c r="AJQ130" s="88"/>
      <c r="AJR130" s="88"/>
      <c r="AJS130" s="88"/>
      <c r="AJT130" s="88"/>
      <c r="AJU130" s="88"/>
      <c r="AJV130" s="88"/>
      <c r="AJW130" s="88"/>
      <c r="AJX130" s="88"/>
      <c r="AJY130" s="88"/>
      <c r="AJZ130" s="88"/>
      <c r="AKA130" s="88"/>
      <c r="AKB130" s="88"/>
      <c r="AKC130" s="88"/>
      <c r="AKD130" s="88"/>
      <c r="AKE130" s="88"/>
      <c r="AKF130" s="88"/>
      <c r="AKG130" s="88"/>
      <c r="AKH130" s="88"/>
      <c r="AKI130" s="88"/>
      <c r="AKJ130" s="88"/>
      <c r="AKK130" s="88"/>
      <c r="AKL130" s="88"/>
      <c r="AKM130" s="88"/>
      <c r="AKN130" s="88"/>
      <c r="AKO130" s="88"/>
      <c r="AKP130" s="88"/>
      <c r="AKQ130" s="88"/>
      <c r="AKR130" s="88"/>
      <c r="AKS130" s="88"/>
      <c r="AKT130" s="88"/>
      <c r="AKU130" s="88"/>
      <c r="AKV130" s="88"/>
      <c r="AKW130" s="88"/>
      <c r="AKX130" s="88"/>
      <c r="AKY130" s="88"/>
      <c r="AKZ130" s="88"/>
      <c r="ALA130" s="88"/>
      <c r="ALB130" s="88"/>
      <c r="ALC130" s="88"/>
      <c r="ALD130" s="88"/>
      <c r="ALE130" s="88"/>
      <c r="ALF130" s="88"/>
      <c r="ALG130" s="88"/>
      <c r="ALH130" s="88"/>
      <c r="ALI130" s="88"/>
      <c r="ALJ130" s="88"/>
      <c r="ALK130" s="88"/>
      <c r="ALL130" s="88"/>
      <c r="ALM130" s="88"/>
      <c r="ALN130" s="88"/>
      <c r="ALO130" s="88"/>
      <c r="ALP130" s="88"/>
      <c r="ALQ130" s="88"/>
      <c r="ALR130" s="88"/>
      <c r="ALS130" s="88"/>
      <c r="ALT130" s="88"/>
      <c r="ALU130" s="88"/>
      <c r="ALV130" s="88"/>
      <c r="ALW130" s="88"/>
      <c r="ALX130" s="88"/>
      <c r="ALY130" s="88"/>
      <c r="ALZ130" s="88"/>
      <c r="AMA130" s="88"/>
      <c r="AMB130" s="88"/>
      <c r="AMC130" s="88"/>
      <c r="AMD130" s="88"/>
      <c r="AME130" s="88"/>
      <c r="AMF130" s="88"/>
      <c r="AMG130" s="88"/>
      <c r="AMH130" s="88"/>
      <c r="AMI130" s="88"/>
      <c r="AMJ130" s="88"/>
      <c r="AMK130" s="88"/>
      <c r="AML130" s="88"/>
      <c r="AMM130" s="88"/>
      <c r="AMN130" s="88"/>
      <c r="AMO130" s="88"/>
      <c r="AMP130" s="88"/>
      <c r="AMQ130" s="88"/>
      <c r="AMR130" s="88"/>
      <c r="AMS130" s="88"/>
      <c r="AMT130" s="88"/>
      <c r="AMU130" s="88"/>
      <c r="AMV130" s="88"/>
      <c r="AMW130" s="88"/>
      <c r="AMX130" s="88"/>
      <c r="AMY130" s="88"/>
      <c r="AMZ130" s="88"/>
      <c r="ANA130" s="88"/>
      <c r="ANB130" s="88"/>
      <c r="ANC130" s="88"/>
      <c r="AND130" s="88"/>
      <c r="ANE130" s="88"/>
      <c r="ANF130" s="88"/>
      <c r="ANG130" s="88"/>
      <c r="ANH130" s="88"/>
      <c r="ANI130" s="88"/>
      <c r="ANJ130" s="88"/>
      <c r="ANK130" s="88"/>
      <c r="ANL130" s="88"/>
      <c r="ANM130" s="88"/>
      <c r="ANN130" s="88"/>
      <c r="ANO130" s="88"/>
      <c r="ANP130" s="88"/>
      <c r="ANQ130" s="88"/>
      <c r="ANR130" s="88"/>
      <c r="ANS130" s="88"/>
      <c r="ANT130" s="88"/>
      <c r="ANU130" s="88"/>
      <c r="ANV130" s="88"/>
      <c r="ANW130" s="88"/>
      <c r="ANX130" s="88"/>
      <c r="ANY130" s="88"/>
      <c r="ANZ130" s="88"/>
      <c r="AOA130" s="88"/>
      <c r="AOB130" s="88"/>
      <c r="AOC130" s="88"/>
      <c r="AOD130" s="88"/>
      <c r="AOE130" s="88"/>
      <c r="AOF130" s="88"/>
      <c r="AOG130" s="88"/>
      <c r="AOH130" s="88"/>
      <c r="AOI130" s="88"/>
      <c r="AOJ130" s="88"/>
      <c r="AOK130" s="88"/>
      <c r="AOL130" s="88"/>
      <c r="AOM130" s="88"/>
      <c r="AON130" s="88"/>
      <c r="AOO130" s="88"/>
      <c r="AOP130" s="88"/>
      <c r="AOQ130" s="88"/>
      <c r="AOR130" s="88"/>
      <c r="AOS130" s="88"/>
      <c r="AOT130" s="88"/>
      <c r="AOU130" s="88"/>
      <c r="AOV130" s="88"/>
      <c r="AOW130" s="88"/>
      <c r="AOX130" s="88"/>
      <c r="AOY130" s="88"/>
      <c r="AOZ130" s="88"/>
      <c r="APA130" s="88"/>
      <c r="APB130" s="88"/>
      <c r="APC130" s="88"/>
      <c r="APD130" s="88"/>
      <c r="APE130" s="88"/>
      <c r="APF130" s="88"/>
      <c r="APG130" s="88"/>
      <c r="APH130" s="88"/>
      <c r="API130" s="88"/>
      <c r="APJ130" s="88"/>
      <c r="APK130" s="88"/>
      <c r="APL130" s="88"/>
      <c r="APM130" s="88"/>
      <c r="APN130" s="88"/>
      <c r="APO130" s="88"/>
      <c r="APP130" s="88"/>
      <c r="APQ130" s="88"/>
      <c r="APR130" s="88"/>
      <c r="APS130" s="88"/>
      <c r="APT130" s="88"/>
      <c r="APU130" s="88"/>
      <c r="APV130" s="88"/>
      <c r="APW130" s="88"/>
      <c r="APX130" s="88"/>
      <c r="APY130" s="88"/>
      <c r="APZ130" s="88"/>
      <c r="AQA130" s="88"/>
      <c r="AQB130" s="88"/>
      <c r="AQC130" s="88"/>
      <c r="AQD130" s="88"/>
      <c r="AQE130" s="88"/>
      <c r="AQF130" s="88"/>
      <c r="AQG130" s="88"/>
      <c r="AQH130" s="88"/>
      <c r="AQI130" s="88"/>
      <c r="AQJ130" s="88"/>
      <c r="AQK130" s="88"/>
      <c r="AQL130" s="88"/>
      <c r="AQM130" s="88"/>
      <c r="AQN130" s="88"/>
      <c r="AQO130" s="88"/>
      <c r="AQP130" s="88"/>
      <c r="AQQ130" s="88"/>
      <c r="AQR130" s="88"/>
      <c r="AQS130" s="88"/>
      <c r="AQT130" s="88"/>
      <c r="AQU130" s="88"/>
      <c r="AQV130" s="88"/>
      <c r="AQW130" s="88"/>
      <c r="AQX130" s="88"/>
      <c r="AQY130" s="88"/>
      <c r="AQZ130" s="88"/>
      <c r="ARA130" s="88"/>
      <c r="ARB130" s="88"/>
      <c r="ARC130" s="88"/>
      <c r="ARD130" s="88"/>
      <c r="ARE130" s="88"/>
      <c r="ARF130" s="88"/>
      <c r="ARG130" s="88"/>
      <c r="ARH130" s="88"/>
      <c r="ARI130" s="88"/>
      <c r="ARJ130" s="88"/>
      <c r="ARK130" s="88"/>
      <c r="ARL130" s="88"/>
      <c r="ARM130" s="88"/>
      <c r="ARN130" s="88"/>
      <c r="ARO130" s="88"/>
      <c r="ARP130" s="88"/>
      <c r="ARQ130" s="88"/>
      <c r="ARR130" s="88"/>
      <c r="ARS130" s="88"/>
      <c r="ART130" s="88"/>
      <c r="ARU130" s="88"/>
      <c r="ARV130" s="88"/>
      <c r="ARW130" s="88"/>
      <c r="ARX130" s="88"/>
      <c r="ARY130" s="88"/>
      <c r="ARZ130" s="88"/>
      <c r="ASA130" s="88"/>
      <c r="ASB130" s="88"/>
      <c r="ASC130" s="88"/>
      <c r="ASD130" s="88"/>
      <c r="ASE130" s="88"/>
      <c r="ASF130" s="88"/>
      <c r="ASG130" s="88"/>
      <c r="ASH130" s="88"/>
      <c r="ASI130" s="88"/>
      <c r="ASJ130" s="88"/>
      <c r="ASK130" s="88"/>
      <c r="ASL130" s="88"/>
      <c r="ASM130" s="88"/>
      <c r="ASN130" s="88"/>
      <c r="ASO130" s="88"/>
      <c r="ASP130" s="88"/>
      <c r="ASQ130" s="88"/>
      <c r="ASR130" s="88"/>
      <c r="ASS130" s="88"/>
      <c r="AST130" s="88"/>
      <c r="ASU130" s="88"/>
      <c r="ASV130" s="88"/>
      <c r="ASW130" s="88"/>
      <c r="ASX130" s="88"/>
      <c r="ASY130" s="88"/>
      <c r="ASZ130" s="88"/>
      <c r="ATA130" s="88"/>
      <c r="ATB130" s="88"/>
      <c r="ATC130" s="88"/>
      <c r="ATD130" s="88"/>
      <c r="ATE130" s="88"/>
      <c r="ATF130" s="88"/>
      <c r="ATG130" s="88"/>
      <c r="ATH130" s="88"/>
      <c r="ATI130" s="88"/>
      <c r="ATJ130" s="88"/>
      <c r="ATK130" s="88"/>
      <c r="ATL130" s="88"/>
      <c r="ATM130" s="88"/>
      <c r="ATN130" s="88"/>
      <c r="ATO130" s="88"/>
      <c r="ATP130" s="88"/>
      <c r="ATQ130" s="88"/>
      <c r="ATR130" s="88"/>
      <c r="ATS130" s="88"/>
      <c r="ATT130" s="88"/>
      <c r="ATU130" s="88"/>
      <c r="ATV130" s="88"/>
      <c r="ATW130" s="88"/>
      <c r="ATX130" s="88"/>
      <c r="ATY130" s="88"/>
      <c r="ATZ130" s="88"/>
      <c r="AUA130" s="88"/>
      <c r="AUB130" s="88"/>
      <c r="AUC130" s="88"/>
      <c r="AUD130" s="88"/>
      <c r="AUE130" s="88"/>
      <c r="AUF130" s="88"/>
      <c r="AUG130" s="88"/>
      <c r="AUH130" s="88"/>
      <c r="AUI130" s="88"/>
      <c r="AUJ130" s="88"/>
      <c r="AUK130" s="88"/>
      <c r="AUL130" s="88"/>
      <c r="AUM130" s="88"/>
      <c r="AUN130" s="88"/>
      <c r="AUO130" s="88"/>
      <c r="AUP130" s="88"/>
      <c r="AUQ130" s="88"/>
      <c r="AUR130" s="88"/>
      <c r="AUS130" s="88"/>
      <c r="AUT130" s="88"/>
      <c r="AUU130" s="88"/>
      <c r="AUV130" s="88"/>
      <c r="AUW130" s="88"/>
      <c r="AUX130" s="88"/>
      <c r="AUY130" s="88"/>
      <c r="AUZ130" s="88"/>
      <c r="AVA130" s="88"/>
      <c r="AVB130" s="88"/>
      <c r="AVC130" s="88"/>
      <c r="AVD130" s="88"/>
      <c r="AVE130" s="88"/>
      <c r="AVF130" s="88"/>
      <c r="AVG130" s="88"/>
      <c r="AVH130" s="88"/>
      <c r="AVI130" s="88"/>
      <c r="AVJ130" s="88"/>
      <c r="AVK130" s="88"/>
      <c r="AVL130" s="88"/>
      <c r="AVM130" s="88"/>
      <c r="AVN130" s="88"/>
      <c r="AVO130" s="88"/>
      <c r="AVP130" s="88"/>
      <c r="AVQ130" s="88"/>
      <c r="AVR130" s="88"/>
      <c r="AVS130" s="88"/>
      <c r="AVT130" s="88"/>
      <c r="AVU130" s="88"/>
      <c r="AVV130" s="88"/>
      <c r="AVW130" s="88"/>
      <c r="AVX130" s="88"/>
      <c r="AVY130" s="88"/>
      <c r="AVZ130" s="88"/>
      <c r="AWA130" s="88"/>
      <c r="AWB130" s="88"/>
      <c r="AWC130" s="88"/>
      <c r="AWD130" s="88"/>
      <c r="AWE130" s="88"/>
      <c r="AWF130" s="88"/>
      <c r="AWG130" s="88"/>
      <c r="AWH130" s="88"/>
      <c r="AWI130" s="88"/>
      <c r="AWJ130" s="88"/>
      <c r="AWK130" s="88"/>
      <c r="AWL130" s="88"/>
      <c r="AWM130" s="88"/>
      <c r="AWN130" s="88"/>
      <c r="AWO130" s="88"/>
      <c r="AWP130" s="88"/>
      <c r="AWQ130" s="88"/>
      <c r="AWR130" s="88"/>
      <c r="AWS130" s="88"/>
      <c r="AWT130" s="88"/>
      <c r="AWU130" s="88"/>
      <c r="AWV130" s="88"/>
      <c r="AWW130" s="88"/>
      <c r="AWX130" s="88"/>
      <c r="AWY130" s="88"/>
      <c r="AWZ130" s="88"/>
      <c r="AXA130" s="88"/>
      <c r="AXB130" s="88"/>
      <c r="AXC130" s="88"/>
      <c r="AXD130" s="88"/>
      <c r="AXE130" s="88"/>
      <c r="AXF130" s="88"/>
      <c r="AXG130" s="88"/>
      <c r="AXH130" s="88"/>
      <c r="AXI130" s="88"/>
      <c r="AXJ130" s="88"/>
      <c r="AXK130" s="88"/>
      <c r="AXL130" s="88"/>
      <c r="AXM130" s="88"/>
      <c r="AXN130" s="88"/>
      <c r="AXO130" s="88"/>
      <c r="AXP130" s="88"/>
      <c r="AXQ130" s="88"/>
      <c r="AXR130" s="88"/>
      <c r="AXS130" s="88"/>
      <c r="AXT130" s="88"/>
      <c r="AXU130" s="88"/>
      <c r="AXV130" s="88"/>
      <c r="AXW130" s="88"/>
      <c r="AXX130" s="88"/>
      <c r="AXY130" s="88"/>
      <c r="AXZ130" s="88"/>
      <c r="AYA130" s="88"/>
      <c r="AYB130" s="88"/>
      <c r="AYC130" s="88"/>
      <c r="AYD130" s="88"/>
      <c r="AYE130" s="88"/>
      <c r="AYF130" s="88"/>
      <c r="AYG130" s="88"/>
      <c r="AYH130" s="88"/>
      <c r="AYI130" s="88"/>
      <c r="AYJ130" s="88"/>
      <c r="AYK130" s="88"/>
      <c r="AYL130" s="88"/>
      <c r="AYM130" s="88"/>
      <c r="AYN130" s="88"/>
      <c r="AYO130" s="88"/>
      <c r="AYP130" s="88"/>
      <c r="AYQ130" s="88"/>
      <c r="AYR130" s="88"/>
      <c r="AYS130" s="88"/>
      <c r="AYT130" s="88"/>
      <c r="AYU130" s="88"/>
      <c r="AYV130" s="88"/>
      <c r="AYW130" s="88"/>
      <c r="AYX130" s="88"/>
      <c r="AYY130" s="88"/>
      <c r="AYZ130" s="88"/>
      <c r="AZA130" s="88"/>
      <c r="AZB130" s="88"/>
      <c r="AZC130" s="88"/>
      <c r="AZD130" s="88"/>
      <c r="AZE130" s="88"/>
      <c r="AZF130" s="88"/>
      <c r="AZG130" s="88"/>
      <c r="AZH130" s="88"/>
      <c r="AZI130" s="88"/>
      <c r="AZJ130" s="88"/>
      <c r="AZK130" s="88"/>
      <c r="AZL130" s="88"/>
      <c r="AZM130" s="88"/>
      <c r="AZN130" s="88"/>
      <c r="AZO130" s="88"/>
      <c r="AZP130" s="88"/>
      <c r="AZQ130" s="88"/>
      <c r="AZR130" s="88"/>
      <c r="AZS130" s="88"/>
      <c r="AZT130" s="88"/>
      <c r="AZU130" s="88"/>
      <c r="AZV130" s="88"/>
      <c r="AZW130" s="88"/>
      <c r="AZX130" s="88"/>
      <c r="AZY130" s="88"/>
      <c r="AZZ130" s="88"/>
      <c r="BAA130" s="88"/>
      <c r="BAB130" s="88"/>
      <c r="BAC130" s="88"/>
      <c r="BAD130" s="88"/>
      <c r="BAE130" s="88"/>
      <c r="BAF130" s="88"/>
      <c r="BAG130" s="88"/>
      <c r="BAH130" s="88"/>
      <c r="BAI130" s="88"/>
      <c r="BAJ130" s="88"/>
      <c r="BAK130" s="88"/>
      <c r="BAL130" s="88"/>
      <c r="BAM130" s="88"/>
      <c r="BAN130" s="88"/>
      <c r="BAO130" s="88"/>
      <c r="BAP130" s="88"/>
      <c r="BAQ130" s="88"/>
      <c r="BAR130" s="88"/>
      <c r="BAS130" s="88"/>
      <c r="BAT130" s="88"/>
      <c r="BAU130" s="88"/>
      <c r="BAV130" s="88"/>
      <c r="BAW130" s="88"/>
      <c r="BAX130" s="88"/>
      <c r="BAY130" s="88"/>
      <c r="BAZ130" s="88"/>
      <c r="BBA130" s="88"/>
      <c r="BBB130" s="88"/>
      <c r="BBC130" s="88"/>
      <c r="BBD130" s="88"/>
      <c r="BBE130" s="88"/>
      <c r="BBF130" s="88"/>
      <c r="BBG130" s="88"/>
      <c r="BBH130" s="88"/>
      <c r="BBI130" s="88"/>
      <c r="BBJ130" s="88"/>
      <c r="BBK130" s="88"/>
      <c r="BBL130" s="88"/>
      <c r="BBM130" s="88"/>
      <c r="BBN130" s="88"/>
      <c r="BBO130" s="88"/>
      <c r="BBP130" s="88"/>
      <c r="BBQ130" s="88"/>
      <c r="BBR130" s="88"/>
      <c r="BBS130" s="88"/>
      <c r="BBT130" s="88"/>
      <c r="BBU130" s="88"/>
      <c r="BBV130" s="88"/>
      <c r="BBW130" s="88"/>
      <c r="BBX130" s="88"/>
      <c r="BBY130" s="88"/>
      <c r="BBZ130" s="88"/>
      <c r="BCA130" s="88"/>
      <c r="BCB130" s="88"/>
      <c r="BCC130" s="88"/>
      <c r="BCD130" s="88"/>
      <c r="BCE130" s="88"/>
      <c r="BCF130" s="88"/>
      <c r="BCG130" s="88"/>
      <c r="BCH130" s="88"/>
      <c r="BCI130" s="88"/>
      <c r="BCJ130" s="88"/>
      <c r="BCK130" s="88"/>
      <c r="BCL130" s="88"/>
      <c r="BCM130" s="88"/>
      <c r="BCN130" s="88"/>
      <c r="BCO130" s="88"/>
      <c r="BCP130" s="88"/>
      <c r="BCQ130" s="88"/>
      <c r="BCR130" s="88"/>
      <c r="BCS130" s="88"/>
      <c r="BCT130" s="88"/>
      <c r="BCU130" s="88"/>
      <c r="BCV130" s="88"/>
      <c r="BCW130" s="88"/>
      <c r="BCX130" s="88"/>
      <c r="BCY130" s="88"/>
      <c r="BCZ130" s="88"/>
      <c r="BDA130" s="88"/>
      <c r="BDB130" s="88"/>
      <c r="BDC130" s="88"/>
      <c r="BDD130" s="88"/>
      <c r="BDE130" s="88"/>
      <c r="BDF130" s="88"/>
      <c r="BDG130" s="88"/>
      <c r="BDH130" s="88"/>
      <c r="BDI130" s="88"/>
      <c r="BDJ130" s="88"/>
      <c r="BDK130" s="88"/>
      <c r="BDL130" s="88"/>
      <c r="BDM130" s="88"/>
      <c r="BDN130" s="88"/>
      <c r="BDO130" s="88"/>
      <c r="BDP130" s="88"/>
      <c r="BDQ130" s="88"/>
      <c r="BDR130" s="88"/>
      <c r="BDS130" s="88"/>
      <c r="BDT130" s="88"/>
      <c r="BDU130" s="88"/>
      <c r="BDV130" s="88"/>
      <c r="BDW130" s="88"/>
      <c r="BDX130" s="88"/>
      <c r="BDY130" s="88"/>
      <c r="BDZ130" s="88"/>
      <c r="BEA130" s="88"/>
      <c r="BEB130" s="88"/>
      <c r="BEC130" s="88"/>
      <c r="BED130" s="88"/>
      <c r="BEE130" s="88"/>
      <c r="BEF130" s="88"/>
      <c r="BEG130" s="88"/>
      <c r="BEH130" s="88"/>
      <c r="BEI130" s="88"/>
      <c r="BEJ130" s="88"/>
      <c r="BEK130" s="88"/>
      <c r="BEL130" s="88"/>
      <c r="BEM130" s="88"/>
      <c r="BEN130" s="88"/>
      <c r="BEO130" s="88"/>
      <c r="BEP130" s="88"/>
      <c r="BEQ130" s="88"/>
      <c r="BER130" s="88"/>
      <c r="BES130" s="88"/>
      <c r="BET130" s="88"/>
      <c r="BEU130" s="88"/>
      <c r="BEV130" s="88"/>
      <c r="BEW130" s="88"/>
      <c r="BEX130" s="88"/>
      <c r="BEY130" s="88"/>
      <c r="BEZ130" s="88"/>
      <c r="BFA130" s="88"/>
      <c r="BFB130" s="88"/>
      <c r="BFC130" s="88"/>
      <c r="BFD130" s="88"/>
      <c r="BFE130" s="88"/>
      <c r="BFF130" s="88"/>
      <c r="BFG130" s="88"/>
      <c r="BFH130" s="88"/>
      <c r="BFI130" s="88"/>
      <c r="BFJ130" s="88"/>
      <c r="BFK130" s="88"/>
      <c r="BFL130" s="88"/>
      <c r="BFM130" s="88"/>
      <c r="BFN130" s="88"/>
      <c r="BFO130" s="88"/>
      <c r="BFP130" s="88"/>
      <c r="BFQ130" s="88"/>
      <c r="BFR130" s="88"/>
      <c r="BFS130" s="88"/>
      <c r="BFT130" s="88"/>
      <c r="BFU130" s="88"/>
      <c r="BFV130" s="88"/>
      <c r="BFW130" s="88"/>
      <c r="BFX130" s="88"/>
      <c r="BFY130" s="88"/>
      <c r="BFZ130" s="88"/>
      <c r="BGA130" s="88"/>
      <c r="BGB130" s="88"/>
      <c r="BGC130" s="88"/>
      <c r="BGD130" s="88"/>
      <c r="BGE130" s="88"/>
      <c r="BGF130" s="88"/>
      <c r="BGG130" s="88"/>
      <c r="BGH130" s="88"/>
      <c r="BGI130" s="88"/>
      <c r="BGJ130" s="88"/>
      <c r="BGK130" s="88"/>
      <c r="BGL130" s="88"/>
      <c r="BGM130" s="88"/>
      <c r="BGN130" s="88"/>
      <c r="BGO130" s="88"/>
      <c r="BGP130" s="88"/>
      <c r="BGQ130" s="88"/>
      <c r="BGR130" s="88"/>
      <c r="BGS130" s="88"/>
      <c r="BGT130" s="88"/>
      <c r="BGU130" s="88"/>
      <c r="BGV130" s="88"/>
      <c r="BGW130" s="88"/>
      <c r="BGX130" s="88"/>
      <c r="BGY130" s="88"/>
      <c r="BGZ130" s="88"/>
      <c r="BHA130" s="88"/>
      <c r="BHB130" s="88"/>
      <c r="BHC130" s="88"/>
      <c r="BHD130" s="88"/>
      <c r="BHE130" s="88"/>
      <c r="BHF130" s="88"/>
      <c r="BHG130" s="88"/>
      <c r="BHH130" s="88"/>
      <c r="BHI130" s="88"/>
      <c r="BHJ130" s="88"/>
      <c r="BHK130" s="88"/>
      <c r="BHL130" s="88"/>
      <c r="BHM130" s="88"/>
      <c r="BHN130" s="88"/>
      <c r="BHO130" s="88"/>
      <c r="BHP130" s="88"/>
      <c r="BHQ130" s="88"/>
      <c r="BHR130" s="88"/>
      <c r="BHS130" s="88"/>
      <c r="BHT130" s="88"/>
      <c r="BHU130" s="88"/>
      <c r="BHV130" s="88"/>
      <c r="BHW130" s="88"/>
      <c r="BHX130" s="88"/>
      <c r="BHY130" s="88"/>
      <c r="BHZ130" s="88"/>
      <c r="BIA130" s="88"/>
      <c r="BIB130" s="88"/>
      <c r="BIC130" s="88"/>
      <c r="BID130" s="88"/>
      <c r="BIE130" s="88"/>
      <c r="BIF130" s="88"/>
      <c r="BIG130" s="88"/>
      <c r="BIH130" s="88"/>
      <c r="BII130" s="88"/>
      <c r="BIJ130" s="88"/>
      <c r="BIK130" s="88"/>
      <c r="BIL130" s="88"/>
      <c r="BIM130" s="88"/>
      <c r="BIN130" s="88"/>
      <c r="BIO130" s="88"/>
      <c r="BIP130" s="88"/>
      <c r="BIQ130" s="88"/>
      <c r="BIR130" s="88"/>
      <c r="BIS130" s="88"/>
      <c r="BIT130" s="88"/>
      <c r="BIU130" s="88"/>
      <c r="BIV130" s="88"/>
      <c r="BIW130" s="88"/>
      <c r="BIX130" s="88"/>
      <c r="BIY130" s="88"/>
      <c r="BIZ130" s="88"/>
      <c r="BJA130" s="88"/>
      <c r="BJB130" s="88"/>
      <c r="BJC130" s="88"/>
      <c r="BJD130" s="88"/>
      <c r="BJE130" s="88"/>
      <c r="BJF130" s="88"/>
      <c r="BJG130" s="88"/>
      <c r="BJH130" s="88"/>
      <c r="BJI130" s="88"/>
      <c r="BJJ130" s="88"/>
      <c r="BJK130" s="88"/>
      <c r="BJL130" s="88"/>
      <c r="BJM130" s="88"/>
      <c r="BJN130" s="88"/>
      <c r="BJO130" s="88"/>
      <c r="BJP130" s="88"/>
      <c r="BJQ130" s="88"/>
      <c r="BJR130" s="88"/>
      <c r="BJS130" s="88"/>
      <c r="BJT130" s="88"/>
      <c r="BJU130" s="88"/>
      <c r="BJV130" s="88"/>
      <c r="BJW130" s="88"/>
      <c r="BJX130" s="88"/>
      <c r="BJY130" s="88"/>
      <c r="BJZ130" s="88"/>
      <c r="BKA130" s="88"/>
      <c r="BKB130" s="88"/>
      <c r="BKC130" s="88"/>
      <c r="BKD130" s="88"/>
      <c r="BKE130" s="88"/>
      <c r="BKF130" s="88"/>
      <c r="BKG130" s="88"/>
      <c r="BKH130" s="88"/>
      <c r="BKI130" s="88"/>
      <c r="BKJ130" s="88"/>
      <c r="BKK130" s="88"/>
      <c r="BKL130" s="88"/>
      <c r="BKM130" s="88"/>
      <c r="BKN130" s="88"/>
      <c r="BKO130" s="88"/>
      <c r="BKP130" s="88"/>
      <c r="BKQ130" s="88"/>
      <c r="BKR130" s="88"/>
      <c r="BKS130" s="88"/>
      <c r="BKT130" s="88"/>
      <c r="BKU130" s="88"/>
      <c r="BKV130" s="88"/>
      <c r="BKW130" s="88"/>
      <c r="BKX130" s="88"/>
      <c r="BKY130" s="88"/>
      <c r="BKZ130" s="88"/>
      <c r="BLA130" s="88"/>
      <c r="BLB130" s="88"/>
      <c r="BLC130" s="88"/>
      <c r="BLD130" s="88"/>
      <c r="BLE130" s="88"/>
      <c r="BLF130" s="88"/>
      <c r="BLG130" s="88"/>
      <c r="BLH130" s="88"/>
      <c r="BLI130" s="88"/>
      <c r="BLJ130" s="88"/>
      <c r="BLK130" s="88"/>
      <c r="BLL130" s="88"/>
      <c r="BLM130" s="88"/>
      <c r="BLN130" s="88"/>
      <c r="BLO130" s="88"/>
      <c r="BLP130" s="88"/>
      <c r="BLQ130" s="88"/>
      <c r="BLR130" s="88"/>
      <c r="BLS130" s="88"/>
      <c r="BLT130" s="88"/>
      <c r="BLU130" s="88"/>
      <c r="BLV130" s="88"/>
      <c r="BLW130" s="88"/>
      <c r="BLX130" s="88"/>
      <c r="BLY130" s="88"/>
      <c r="BLZ130" s="88"/>
      <c r="BMA130" s="88"/>
      <c r="BMB130" s="88"/>
      <c r="BMC130" s="88"/>
      <c r="BMD130" s="88"/>
      <c r="BME130" s="88"/>
      <c r="BMF130" s="88"/>
      <c r="BMG130" s="88"/>
      <c r="BMH130" s="88"/>
      <c r="BMI130" s="88"/>
      <c r="BMJ130" s="88"/>
      <c r="BMK130" s="88"/>
      <c r="BML130" s="88"/>
      <c r="BMM130" s="88"/>
      <c r="BMN130" s="88"/>
      <c r="BMO130" s="88"/>
      <c r="BMP130" s="88"/>
      <c r="BMQ130" s="88"/>
      <c r="BMR130" s="88"/>
      <c r="BMS130" s="88"/>
      <c r="BMT130" s="88"/>
      <c r="BMU130" s="88"/>
      <c r="BMV130" s="88"/>
      <c r="BMW130" s="88"/>
      <c r="BMX130" s="88"/>
      <c r="BMY130" s="88"/>
      <c r="BMZ130" s="88"/>
      <c r="BNA130" s="88"/>
      <c r="BNB130" s="88"/>
      <c r="BNC130" s="88"/>
      <c r="BND130" s="88"/>
      <c r="BNE130" s="88"/>
      <c r="BNF130" s="88"/>
      <c r="BNG130" s="88"/>
      <c r="BNH130" s="88"/>
      <c r="BNI130" s="88"/>
      <c r="BNJ130" s="88"/>
      <c r="BNK130" s="88"/>
      <c r="BNL130" s="88"/>
      <c r="BNM130" s="88"/>
      <c r="BNN130" s="88"/>
      <c r="BNO130" s="88"/>
      <c r="BNP130" s="88"/>
      <c r="BNQ130" s="88"/>
      <c r="BNR130" s="88"/>
      <c r="BNS130" s="88"/>
      <c r="BNT130" s="88"/>
      <c r="BNU130" s="88"/>
      <c r="BNV130" s="88"/>
      <c r="BNW130" s="88"/>
      <c r="BNX130" s="88"/>
      <c r="BNY130" s="88"/>
      <c r="BNZ130" s="88"/>
      <c r="BOA130" s="88"/>
      <c r="BOB130" s="88"/>
      <c r="BOC130" s="88"/>
      <c r="BOD130" s="88"/>
      <c r="BOE130" s="88"/>
      <c r="BOF130" s="88"/>
      <c r="BOG130" s="88"/>
      <c r="BOH130" s="88"/>
      <c r="BOI130" s="88"/>
      <c r="BOJ130" s="88"/>
      <c r="BOK130" s="88"/>
      <c r="BOL130" s="88"/>
      <c r="BOM130" s="88"/>
      <c r="BON130" s="88"/>
      <c r="BOO130" s="88"/>
      <c r="BOP130" s="88"/>
      <c r="BOQ130" s="88"/>
      <c r="BOR130" s="88"/>
      <c r="BOS130" s="88"/>
      <c r="BOT130" s="88"/>
      <c r="BOU130" s="88"/>
      <c r="BOV130" s="88"/>
      <c r="BOW130" s="88"/>
      <c r="BOX130" s="88"/>
      <c r="BOY130" s="88"/>
      <c r="BOZ130" s="88"/>
      <c r="BPA130" s="88"/>
      <c r="BPB130" s="88"/>
      <c r="BPC130" s="88"/>
      <c r="BPD130" s="88"/>
      <c r="BPE130" s="88"/>
      <c r="BPF130" s="88"/>
      <c r="BPG130" s="88"/>
      <c r="BPH130" s="88"/>
      <c r="BPI130" s="88"/>
      <c r="BPJ130" s="88"/>
      <c r="BPK130" s="88"/>
      <c r="BPL130" s="88"/>
      <c r="BPM130" s="88"/>
      <c r="BPN130" s="88"/>
      <c r="BPO130" s="88"/>
      <c r="BPP130" s="88"/>
      <c r="BPQ130" s="88"/>
      <c r="BPR130" s="88"/>
      <c r="BPS130" s="88"/>
      <c r="BPT130" s="88"/>
      <c r="BPU130" s="88"/>
      <c r="BPV130" s="88"/>
      <c r="BPW130" s="88"/>
      <c r="BPX130" s="88"/>
      <c r="BPY130" s="88"/>
      <c r="BPZ130" s="88"/>
      <c r="BQA130" s="88"/>
      <c r="BQB130" s="88"/>
      <c r="BQC130" s="88"/>
      <c r="BQD130" s="88"/>
      <c r="BQE130" s="88"/>
      <c r="BQF130" s="88"/>
      <c r="BQG130" s="88"/>
      <c r="BQH130" s="88"/>
      <c r="BQI130" s="88"/>
      <c r="BQJ130" s="88"/>
      <c r="BQK130" s="88"/>
      <c r="BQL130" s="88"/>
      <c r="BQM130" s="88"/>
      <c r="BQN130" s="88"/>
      <c r="BQO130" s="88"/>
      <c r="BQP130" s="88"/>
      <c r="BQQ130" s="88"/>
      <c r="BQR130" s="88"/>
      <c r="BQS130" s="88"/>
      <c r="BQT130" s="88"/>
      <c r="BQU130" s="88"/>
      <c r="BQV130" s="88"/>
      <c r="BQW130" s="88"/>
      <c r="BQX130" s="88"/>
      <c r="BQY130" s="88"/>
      <c r="BQZ130" s="88"/>
      <c r="BRA130" s="88"/>
      <c r="BRB130" s="88"/>
      <c r="BRC130" s="88"/>
      <c r="BRD130" s="88"/>
      <c r="BRE130" s="88"/>
      <c r="BRF130" s="88"/>
      <c r="BRG130" s="88"/>
      <c r="BRH130" s="88"/>
      <c r="BRI130" s="88"/>
      <c r="BRJ130" s="88"/>
      <c r="BRK130" s="88"/>
      <c r="BRL130" s="88"/>
      <c r="BRM130" s="88"/>
      <c r="BRN130" s="88"/>
      <c r="BRO130" s="88"/>
      <c r="BRP130" s="88"/>
      <c r="BRQ130" s="88"/>
      <c r="BRR130" s="88"/>
      <c r="BRS130" s="88"/>
      <c r="BRT130" s="88"/>
      <c r="BRU130" s="88"/>
      <c r="BRV130" s="88"/>
      <c r="BRW130" s="88"/>
      <c r="BRX130" s="88"/>
      <c r="BRY130" s="88"/>
      <c r="BRZ130" s="88"/>
      <c r="BSA130" s="88"/>
      <c r="BSB130" s="88"/>
      <c r="BSC130" s="88"/>
      <c r="BSD130" s="88"/>
      <c r="BSE130" s="88"/>
      <c r="BSF130" s="88"/>
      <c r="BSG130" s="88"/>
      <c r="BSH130" s="88"/>
      <c r="BSI130" s="88"/>
      <c r="BSJ130" s="88"/>
      <c r="BSK130" s="88"/>
      <c r="BSL130" s="88"/>
      <c r="BSM130" s="88"/>
      <c r="BSN130" s="88"/>
      <c r="BSO130" s="88"/>
      <c r="BSP130" s="88"/>
      <c r="BSQ130" s="88"/>
      <c r="BSR130" s="88"/>
      <c r="BSS130" s="88"/>
      <c r="BST130" s="88"/>
      <c r="BSU130" s="88"/>
      <c r="BSV130" s="88"/>
      <c r="BSW130" s="88"/>
      <c r="BSX130" s="88"/>
      <c r="BSY130" s="88"/>
      <c r="BSZ130" s="88"/>
      <c r="BTA130" s="88"/>
      <c r="BTB130" s="88"/>
      <c r="BTC130" s="88"/>
      <c r="BTD130" s="88"/>
      <c r="BTE130" s="88"/>
      <c r="BTF130" s="88"/>
      <c r="BTG130" s="88"/>
      <c r="BTH130" s="88"/>
      <c r="BTI130" s="88"/>
      <c r="BTJ130" s="88"/>
      <c r="BTK130" s="88"/>
      <c r="BTL130" s="88"/>
      <c r="BTM130" s="88"/>
      <c r="BTN130" s="88"/>
      <c r="BTO130" s="88"/>
      <c r="BTP130" s="88"/>
      <c r="BTQ130" s="88"/>
      <c r="BTR130" s="88"/>
      <c r="BTS130" s="88"/>
      <c r="BTT130" s="88"/>
      <c r="BTU130" s="88"/>
      <c r="BTV130" s="88"/>
      <c r="BTW130" s="88"/>
      <c r="BTX130" s="88"/>
      <c r="BTY130" s="88"/>
      <c r="BTZ130" s="88"/>
      <c r="BUA130" s="88"/>
      <c r="BUB130" s="88"/>
      <c r="BUC130" s="88"/>
      <c r="BUD130" s="88"/>
      <c r="BUE130" s="88"/>
      <c r="BUF130" s="88"/>
      <c r="BUG130" s="88"/>
      <c r="BUH130" s="88"/>
      <c r="BUI130" s="88"/>
      <c r="BUJ130" s="88"/>
      <c r="BUK130" s="88"/>
      <c r="BUL130" s="88"/>
      <c r="BUM130" s="88"/>
      <c r="BUN130" s="88"/>
      <c r="BUO130" s="88"/>
      <c r="BUP130" s="88"/>
      <c r="BUQ130" s="88"/>
      <c r="BUR130" s="88"/>
      <c r="BUS130" s="88"/>
      <c r="BUT130" s="88"/>
      <c r="BUU130" s="88"/>
      <c r="BUV130" s="88"/>
      <c r="BUW130" s="88"/>
      <c r="BUX130" s="88"/>
      <c r="BUY130" s="88"/>
      <c r="BUZ130" s="88"/>
      <c r="BVA130" s="88"/>
      <c r="BVB130" s="88"/>
      <c r="BVC130" s="88"/>
      <c r="BVD130" s="88"/>
      <c r="BVE130" s="88"/>
      <c r="BVF130" s="88"/>
      <c r="BVG130" s="88"/>
      <c r="BVH130" s="88"/>
      <c r="BVI130" s="88"/>
      <c r="BVJ130" s="88"/>
      <c r="BVK130" s="88"/>
      <c r="BVL130" s="88"/>
      <c r="BVM130" s="88"/>
      <c r="BVN130" s="88"/>
      <c r="BVO130" s="88"/>
      <c r="BVP130" s="88"/>
      <c r="BVQ130" s="88"/>
      <c r="BVR130" s="88"/>
      <c r="BVS130" s="88"/>
      <c r="BVT130" s="88"/>
      <c r="BVU130" s="88"/>
      <c r="BVV130" s="88"/>
      <c r="BVW130" s="88"/>
      <c r="BVX130" s="88"/>
      <c r="BVY130" s="88"/>
      <c r="BVZ130" s="88"/>
      <c r="BWA130" s="88"/>
      <c r="BWB130" s="88"/>
      <c r="BWC130" s="88"/>
      <c r="BWD130" s="88"/>
      <c r="BWE130" s="88"/>
      <c r="BWF130" s="88"/>
      <c r="BWG130" s="88"/>
      <c r="BWH130" s="88"/>
      <c r="BWI130" s="88"/>
      <c r="BWJ130" s="88"/>
      <c r="BWK130" s="88"/>
      <c r="BWL130" s="88"/>
      <c r="BWM130" s="88"/>
      <c r="BWN130" s="88"/>
      <c r="BWO130" s="88"/>
      <c r="BWP130" s="88"/>
      <c r="BWQ130" s="88"/>
      <c r="BWR130" s="88"/>
      <c r="BWS130" s="88"/>
      <c r="BWT130" s="88"/>
      <c r="BWU130" s="88"/>
      <c r="BWV130" s="88"/>
      <c r="BWW130" s="88"/>
      <c r="BWX130" s="88"/>
      <c r="BWY130" s="88"/>
      <c r="BWZ130" s="88"/>
      <c r="BXA130" s="88"/>
      <c r="BXB130" s="88"/>
      <c r="BXC130" s="88"/>
      <c r="BXD130" s="88"/>
      <c r="BXE130" s="88"/>
      <c r="BXF130" s="88"/>
      <c r="BXG130" s="88"/>
      <c r="BXH130" s="88"/>
      <c r="BXI130" s="88"/>
      <c r="BXJ130" s="88"/>
      <c r="BXK130" s="88"/>
      <c r="BXL130" s="88"/>
      <c r="BXM130" s="88"/>
      <c r="BXN130" s="88"/>
      <c r="BXO130" s="88"/>
      <c r="BXP130" s="88"/>
      <c r="BXQ130" s="88"/>
      <c r="BXR130" s="88"/>
      <c r="BXS130" s="88"/>
      <c r="BXT130" s="88"/>
      <c r="BXU130" s="88"/>
      <c r="BXV130" s="88"/>
      <c r="BXW130" s="88"/>
      <c r="BXX130" s="88"/>
      <c r="BXY130" s="88"/>
      <c r="BXZ130" s="88"/>
      <c r="BYA130" s="88"/>
      <c r="BYB130" s="88"/>
      <c r="BYC130" s="88"/>
      <c r="BYD130" s="88"/>
      <c r="BYE130" s="88"/>
      <c r="BYF130" s="88"/>
      <c r="BYG130" s="88"/>
      <c r="BYH130" s="88"/>
      <c r="BYI130" s="88"/>
      <c r="BYJ130" s="88"/>
      <c r="BYK130" s="88"/>
      <c r="BYL130" s="88"/>
      <c r="BYM130" s="88"/>
      <c r="BYN130" s="88"/>
      <c r="BYO130" s="88"/>
      <c r="BYP130" s="88"/>
      <c r="BYQ130" s="88"/>
      <c r="BYR130" s="88"/>
      <c r="BYS130" s="88"/>
      <c r="BYT130" s="88"/>
      <c r="BYU130" s="88"/>
      <c r="BYV130" s="88"/>
      <c r="BYW130" s="88"/>
      <c r="BYX130" s="88"/>
      <c r="BYY130" s="88"/>
      <c r="BYZ130" s="88"/>
      <c r="BZA130" s="88"/>
      <c r="BZB130" s="88"/>
      <c r="BZC130" s="88"/>
      <c r="BZD130" s="88"/>
      <c r="BZE130" s="88"/>
      <c r="BZF130" s="88"/>
      <c r="BZG130" s="88"/>
      <c r="BZH130" s="88"/>
      <c r="BZI130" s="88"/>
      <c r="BZJ130" s="88"/>
      <c r="BZK130" s="88"/>
      <c r="BZL130" s="88"/>
      <c r="BZM130" s="88"/>
      <c r="BZN130" s="88"/>
      <c r="BZO130" s="88"/>
      <c r="BZP130" s="88"/>
      <c r="BZQ130" s="88"/>
      <c r="BZR130" s="88"/>
      <c r="BZS130" s="88"/>
      <c r="BZT130" s="88"/>
      <c r="BZU130" s="88"/>
      <c r="BZV130" s="88"/>
      <c r="BZW130" s="88"/>
      <c r="BZX130" s="88"/>
      <c r="BZY130" s="88"/>
      <c r="BZZ130" s="88"/>
      <c r="CAA130" s="88"/>
      <c r="CAB130" s="88"/>
      <c r="CAC130" s="88"/>
      <c r="CAD130" s="88"/>
      <c r="CAE130" s="88"/>
      <c r="CAF130" s="88"/>
      <c r="CAG130" s="88"/>
      <c r="CAH130" s="88"/>
      <c r="CAI130" s="88"/>
      <c r="CAJ130" s="88"/>
      <c r="CAK130" s="88"/>
      <c r="CAL130" s="88"/>
      <c r="CAM130" s="88"/>
      <c r="CAN130" s="88"/>
      <c r="CAO130" s="88"/>
      <c r="CAP130" s="88"/>
      <c r="CAQ130" s="88"/>
      <c r="CAR130" s="88"/>
      <c r="CAS130" s="88"/>
      <c r="CAT130" s="88"/>
      <c r="CAU130" s="88"/>
      <c r="CAV130" s="88"/>
      <c r="CAW130" s="88"/>
      <c r="CAX130" s="88"/>
      <c r="CAY130" s="88"/>
      <c r="CAZ130" s="88"/>
      <c r="CBA130" s="88"/>
      <c r="CBB130" s="88"/>
      <c r="CBC130" s="88"/>
      <c r="CBD130" s="88"/>
      <c r="CBE130" s="88"/>
      <c r="CBF130" s="88"/>
      <c r="CBG130" s="88"/>
      <c r="CBH130" s="88"/>
      <c r="CBI130" s="88"/>
      <c r="CBJ130" s="88"/>
      <c r="CBK130" s="88"/>
      <c r="CBL130" s="88"/>
      <c r="CBM130" s="88"/>
      <c r="CBN130" s="88"/>
      <c r="CBO130" s="88"/>
      <c r="CBP130" s="88"/>
      <c r="CBQ130" s="88"/>
      <c r="CBR130" s="88"/>
      <c r="CBS130" s="88"/>
      <c r="CBT130" s="88"/>
      <c r="CBU130" s="88"/>
      <c r="CBV130" s="88"/>
      <c r="CBW130" s="88"/>
      <c r="CBX130" s="88"/>
      <c r="CBY130" s="88"/>
      <c r="CBZ130" s="88"/>
      <c r="CCA130" s="88"/>
      <c r="CCB130" s="88"/>
      <c r="CCC130" s="88"/>
      <c r="CCD130" s="88"/>
      <c r="CCE130" s="88"/>
      <c r="CCF130" s="88"/>
      <c r="CCG130" s="88"/>
      <c r="CCH130" s="88"/>
      <c r="CCI130" s="88"/>
      <c r="CCJ130" s="88"/>
      <c r="CCK130" s="88"/>
      <c r="CCL130" s="88"/>
      <c r="CCM130" s="88"/>
      <c r="CCN130" s="88"/>
      <c r="CCO130" s="88"/>
      <c r="CCP130" s="88"/>
      <c r="CCQ130" s="88"/>
      <c r="CCR130" s="88"/>
      <c r="CCS130" s="88"/>
      <c r="CCT130" s="88"/>
      <c r="CCU130" s="88"/>
      <c r="CCV130" s="88"/>
      <c r="CCW130" s="88"/>
      <c r="CCX130" s="88"/>
      <c r="CCY130" s="88"/>
      <c r="CCZ130" s="88"/>
      <c r="CDA130" s="88"/>
      <c r="CDB130" s="88"/>
      <c r="CDC130" s="88"/>
      <c r="CDD130" s="88"/>
      <c r="CDE130" s="88"/>
      <c r="CDF130" s="88"/>
      <c r="CDG130" s="88"/>
      <c r="CDH130" s="88"/>
      <c r="CDI130" s="88"/>
      <c r="CDJ130" s="88"/>
      <c r="CDK130" s="88"/>
      <c r="CDL130" s="88"/>
      <c r="CDM130" s="88"/>
      <c r="CDN130" s="88"/>
      <c r="CDO130" s="88"/>
      <c r="CDP130" s="88"/>
      <c r="CDQ130" s="88"/>
      <c r="CDR130" s="88"/>
      <c r="CDS130" s="88"/>
      <c r="CDT130" s="88"/>
      <c r="CDU130" s="88"/>
      <c r="CDV130" s="88"/>
      <c r="CDW130" s="88"/>
      <c r="CDX130" s="88"/>
      <c r="CDY130" s="88"/>
      <c r="CDZ130" s="88"/>
      <c r="CEA130" s="88"/>
      <c r="CEB130" s="88"/>
      <c r="CEC130" s="88"/>
      <c r="CED130" s="88"/>
      <c r="CEE130" s="88"/>
      <c r="CEF130" s="88"/>
      <c r="CEG130" s="88"/>
      <c r="CEH130" s="88"/>
      <c r="CEI130" s="88"/>
      <c r="CEJ130" s="88"/>
      <c r="CEK130" s="88"/>
    </row>
    <row r="131" spans="1:2169" s="63" customFormat="1">
      <c r="A131" s="73" t="s">
        <v>2671</v>
      </c>
      <c r="B131" s="73" t="s">
        <v>711</v>
      </c>
      <c r="C131" s="68" t="str">
        <f>IF('page 2'!$O$4="","",IF('page 2'!$O$4=Gestion!A131,1,0))</f>
        <v/>
      </c>
      <c r="D131" s="68" t="str">
        <f>IF('page 2'!$O$5="","",IF('page 2'!$O$5=Gestion!A131,1,0))</f>
        <v/>
      </c>
      <c r="E131" s="68" t="str">
        <f>IF('page 2'!$O$6="","",IF('page 2'!$O$6=Gestion!A131,1,0))</f>
        <v/>
      </c>
      <c r="F131" s="68" t="str">
        <f>IF('page 2'!$O$7="","",IF('page 2'!$O$7=Gestion!A131,1,0))</f>
        <v/>
      </c>
      <c r="G131" s="68" t="str">
        <f>IF('page 2'!$O$8="","",IF('page 2'!$O$8=Gestion!A131,1,0))</f>
        <v/>
      </c>
      <c r="H131" s="68" t="str">
        <f>IF('page 2'!$O$9="","",IF('page 2'!$O$9=Gestion!A131,1,0))</f>
        <v/>
      </c>
      <c r="I131" s="68" t="str">
        <f>IF('page 2'!$O$10="","",IF('page 2'!$O$10=Gestion!A131,1,0))</f>
        <v/>
      </c>
      <c r="J131" s="68" t="str">
        <f>IF('page 2'!$O$11="","",IF('page 2'!$O$11=Gestion!A131,1,0))</f>
        <v/>
      </c>
      <c r="K131" s="68" t="str">
        <f>IF('page 2'!$O$12="","",IF('page 2'!$O$12=Gestion!A131,1,0))</f>
        <v/>
      </c>
      <c r="L131" s="68" t="str">
        <f>IF('page 2'!$O$13="","",IF('page 2'!$O$13=Gestion!A131,1,0))</f>
        <v/>
      </c>
      <c r="M131" s="68" t="str">
        <f>IF('page 2'!$O$14="","",IF('page 2'!$O$14=Gestion!A131,1,0))</f>
        <v/>
      </c>
      <c r="N131" s="68" t="str">
        <f>IF('page 2'!$O$15="","",IF('page 2'!$O$15=Gestion!A131,1,0))</f>
        <v/>
      </c>
      <c r="O131" s="68" t="str">
        <f>IF('page 2'!$O$16="","",IF('page 2'!$O$16=Gestion!A131,1,0))</f>
        <v/>
      </c>
      <c r="P131" s="68" t="str">
        <f>IF('page 2'!$O$17="","",IF('page 2'!$O$17=Gestion!A131,1,0))</f>
        <v/>
      </c>
      <c r="Q131" s="68" t="str">
        <f>IF('page 2'!$O$18="","",IF('page 2'!$O$18=Gestion!A131,1,0))</f>
        <v/>
      </c>
      <c r="R131" s="68" t="str">
        <f>IF('page 2'!$O$19="","",IF('page 2'!$O$19=Gestion!A131,1,0))</f>
        <v/>
      </c>
      <c r="S131" s="68" t="str">
        <f>IF('page 2'!$O$20="","",IF('page 2'!$O$20=Gestion!A131,1,0))</f>
        <v/>
      </c>
      <c r="T131" s="68" t="str">
        <f>IF('page 2'!$O$25="","",IF('page 2'!$O$25=Gestion!A131,1,0))</f>
        <v/>
      </c>
      <c r="U131" s="68" t="str">
        <f>IF('page 2'!$O$26="","",IF('page 2'!$O$26=Gestion!A131,1,0))</f>
        <v/>
      </c>
      <c r="V131" s="68" t="str">
        <f>IF('page 2'!$O$27="","",IF('page 2'!$O$27=Gestion!A131,1,0))</f>
        <v/>
      </c>
      <c r="W131" s="722">
        <f t="shared" si="14"/>
        <v>0</v>
      </c>
      <c r="X131" s="714"/>
      <c r="Y131" s="68"/>
      <c r="Z131" s="68"/>
      <c r="AA131" s="68"/>
      <c r="AB131" s="68"/>
      <c r="AC131" s="68"/>
      <c r="AD131" s="68"/>
      <c r="AP131" s="130"/>
      <c r="AQ131" s="130"/>
      <c r="AR131" s="130"/>
      <c r="AS131" s="576"/>
      <c r="AT131" s="576"/>
      <c r="AU131" s="576"/>
      <c r="AV131" s="576"/>
      <c r="AW131" s="602"/>
      <c r="AX131" s="602"/>
      <c r="AY131" s="576"/>
      <c r="AZ131" s="576"/>
      <c r="BA131" s="576"/>
      <c r="BB131" s="576"/>
      <c r="BC131" s="576"/>
      <c r="BD131" s="602"/>
      <c r="BE131" s="602"/>
      <c r="BF131" s="602"/>
      <c r="BG131" s="602"/>
      <c r="BH131" s="602"/>
      <c r="BI131" s="602"/>
      <c r="BJ131" s="602"/>
      <c r="BK131" s="602"/>
      <c r="BL131" s="602"/>
      <c r="BM131" s="602"/>
      <c r="BN131" s="602"/>
      <c r="BO131" s="602"/>
      <c r="BP131" s="602"/>
      <c r="BQ131" s="602"/>
      <c r="BR131" s="602"/>
      <c r="BS131" s="576"/>
      <c r="BT131" s="576"/>
      <c r="BU131" s="576"/>
      <c r="BV131" s="576"/>
      <c r="BW131" s="602"/>
      <c r="BX131" s="602"/>
      <c r="BY131" s="602"/>
      <c r="BZ131" s="576"/>
      <c r="CA131" s="602"/>
      <c r="CB131" s="602"/>
      <c r="CC131" s="576"/>
      <c r="CD131" s="576"/>
      <c r="CE131" s="602"/>
      <c r="CF131" s="576"/>
      <c r="CG131" s="576"/>
      <c r="CH131" s="576"/>
      <c r="CI131" s="576"/>
      <c r="CJ131" s="576"/>
      <c r="CK131" s="602"/>
      <c r="CL131" s="602"/>
      <c r="CM131" s="576"/>
      <c r="CN131" s="602"/>
      <c r="CO131" s="602"/>
      <c r="CP131" s="602"/>
      <c r="CQ131" s="576"/>
      <c r="CR131" s="576"/>
      <c r="CS131" s="602"/>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c r="HF131" s="88"/>
      <c r="HG131" s="88"/>
      <c r="HH131" s="88"/>
      <c r="HI131" s="88"/>
      <c r="HJ131" s="88"/>
      <c r="HK131" s="88"/>
      <c r="HL131" s="88"/>
      <c r="HM131" s="88"/>
      <c r="HN131" s="88"/>
      <c r="HO131" s="88"/>
      <c r="HP131" s="88"/>
      <c r="HQ131" s="88"/>
      <c r="HR131" s="88"/>
      <c r="HS131" s="88"/>
      <c r="HT131" s="88"/>
      <c r="HU131" s="88"/>
      <c r="HV131" s="88"/>
      <c r="HW131" s="88"/>
      <c r="HX131" s="88"/>
      <c r="HY131" s="88"/>
      <c r="HZ131" s="88"/>
      <c r="IA131" s="88"/>
      <c r="IB131" s="88"/>
      <c r="IC131" s="88"/>
      <c r="ID131" s="88"/>
      <c r="IE131" s="88"/>
      <c r="IF131" s="88"/>
      <c r="IG131" s="88"/>
      <c r="IH131" s="88"/>
      <c r="II131" s="88"/>
      <c r="IJ131" s="88"/>
      <c r="IK131" s="88"/>
      <c r="IL131" s="88"/>
      <c r="IM131" s="88"/>
      <c r="IN131" s="88"/>
      <c r="IO131" s="88"/>
      <c r="IP131" s="88"/>
      <c r="IQ131" s="88"/>
      <c r="IR131" s="88"/>
      <c r="IS131" s="88"/>
      <c r="IT131" s="88"/>
      <c r="IU131" s="88"/>
      <c r="IV131" s="88"/>
      <c r="IW131" s="88"/>
      <c r="IX131" s="88"/>
      <c r="IY131" s="88"/>
      <c r="IZ131" s="88"/>
      <c r="JA131" s="88"/>
      <c r="JB131" s="88"/>
      <c r="JC131" s="88"/>
      <c r="JD131" s="88"/>
      <c r="JE131" s="88"/>
      <c r="JF131" s="88"/>
      <c r="JG131" s="88"/>
      <c r="JH131" s="88"/>
      <c r="JI131" s="88"/>
      <c r="JJ131" s="88"/>
      <c r="JK131" s="88"/>
      <c r="JL131" s="88"/>
      <c r="JM131" s="88"/>
      <c r="JN131" s="88"/>
      <c r="JO131" s="88"/>
      <c r="JP131" s="88"/>
      <c r="JQ131" s="88"/>
      <c r="JR131" s="88"/>
      <c r="JS131" s="88"/>
      <c r="JT131" s="88"/>
      <c r="JU131" s="88"/>
      <c r="JV131" s="88"/>
      <c r="JW131" s="88"/>
      <c r="JX131" s="88"/>
      <c r="JY131" s="88"/>
      <c r="JZ131" s="88"/>
      <c r="KA131" s="88"/>
      <c r="KB131" s="88"/>
      <c r="KC131" s="88"/>
      <c r="KD131" s="88"/>
      <c r="KE131" s="88"/>
      <c r="KF131" s="88"/>
      <c r="KG131" s="88"/>
      <c r="KH131" s="88"/>
      <c r="KI131" s="88"/>
      <c r="KJ131" s="88"/>
      <c r="KK131" s="88"/>
      <c r="KL131" s="88"/>
      <c r="KM131" s="88"/>
      <c r="KN131" s="88"/>
      <c r="KO131" s="88"/>
      <c r="KP131" s="88"/>
      <c r="KQ131" s="88"/>
      <c r="KR131" s="88"/>
      <c r="KS131" s="88"/>
      <c r="KT131" s="88"/>
      <c r="KU131" s="88"/>
      <c r="KV131" s="88"/>
      <c r="KW131" s="88"/>
      <c r="KX131" s="88"/>
      <c r="KY131" s="88"/>
      <c r="KZ131" s="88"/>
      <c r="LA131" s="88"/>
      <c r="LB131" s="88"/>
      <c r="LC131" s="88"/>
      <c r="LD131" s="88"/>
      <c r="LE131" s="88"/>
      <c r="LF131" s="88"/>
      <c r="LG131" s="88"/>
      <c r="LH131" s="88"/>
      <c r="LI131" s="88"/>
      <c r="LJ131" s="88"/>
      <c r="LK131" s="88"/>
      <c r="LL131" s="88"/>
      <c r="LM131" s="88"/>
      <c r="LN131" s="88"/>
      <c r="LO131" s="88"/>
      <c r="LP131" s="88"/>
      <c r="LQ131" s="88"/>
      <c r="LR131" s="88"/>
      <c r="LS131" s="88"/>
      <c r="LT131" s="88"/>
      <c r="LU131" s="88"/>
      <c r="LV131" s="88"/>
      <c r="LW131" s="88"/>
      <c r="LX131" s="88"/>
      <c r="LY131" s="88"/>
      <c r="LZ131" s="88"/>
      <c r="MA131" s="88"/>
      <c r="MB131" s="88"/>
      <c r="MC131" s="88"/>
      <c r="MD131" s="88"/>
      <c r="ME131" s="88"/>
      <c r="MF131" s="88"/>
      <c r="MG131" s="88"/>
      <c r="MH131" s="88"/>
      <c r="MI131" s="88"/>
      <c r="MJ131" s="88"/>
      <c r="MK131" s="88"/>
      <c r="ML131" s="88"/>
      <c r="MM131" s="88"/>
      <c r="MN131" s="88"/>
      <c r="MO131" s="88"/>
      <c r="MP131" s="88"/>
      <c r="MQ131" s="88"/>
      <c r="MR131" s="88"/>
      <c r="MS131" s="88"/>
      <c r="MT131" s="88"/>
      <c r="MU131" s="88"/>
      <c r="MV131" s="88"/>
      <c r="MW131" s="88"/>
      <c r="MX131" s="88"/>
      <c r="MY131" s="88"/>
      <c r="MZ131" s="88"/>
      <c r="NA131" s="88"/>
      <c r="NB131" s="88"/>
      <c r="NC131" s="88"/>
      <c r="ND131" s="88"/>
      <c r="NE131" s="88"/>
      <c r="NF131" s="88"/>
      <c r="NG131" s="88"/>
      <c r="NH131" s="88"/>
      <c r="NI131" s="88"/>
      <c r="NJ131" s="88"/>
      <c r="NK131" s="88"/>
      <c r="NL131" s="88"/>
      <c r="NM131" s="88"/>
      <c r="NN131" s="88"/>
      <c r="NO131" s="88"/>
      <c r="NP131" s="88"/>
      <c r="NQ131" s="88"/>
      <c r="NR131" s="88"/>
      <c r="NS131" s="88"/>
      <c r="NT131" s="88"/>
      <c r="NU131" s="88"/>
      <c r="NV131" s="88"/>
      <c r="NW131" s="88"/>
      <c r="NX131" s="88"/>
      <c r="NY131" s="88"/>
      <c r="NZ131" s="88"/>
      <c r="OA131" s="88"/>
      <c r="OB131" s="88"/>
      <c r="OC131" s="88"/>
      <c r="OD131" s="88"/>
      <c r="OE131" s="88"/>
      <c r="OF131" s="88"/>
      <c r="OG131" s="88"/>
      <c r="OH131" s="88"/>
      <c r="OI131" s="88"/>
      <c r="OJ131" s="88"/>
      <c r="OK131" s="88"/>
      <c r="OL131" s="88"/>
      <c r="OM131" s="88"/>
      <c r="ON131" s="88"/>
      <c r="OO131" s="88"/>
      <c r="OP131" s="88"/>
      <c r="OQ131" s="88"/>
      <c r="OR131" s="88"/>
      <c r="OS131" s="88"/>
      <c r="OT131" s="88"/>
      <c r="OU131" s="88"/>
      <c r="OV131" s="88"/>
      <c r="OW131" s="88"/>
      <c r="OX131" s="88"/>
      <c r="OY131" s="88"/>
      <c r="OZ131" s="88"/>
      <c r="PA131" s="88"/>
      <c r="PB131" s="88"/>
      <c r="PC131" s="88"/>
      <c r="PD131" s="88"/>
      <c r="PE131" s="88"/>
      <c r="PF131" s="88"/>
      <c r="PG131" s="88"/>
      <c r="PH131" s="88"/>
      <c r="PI131" s="88"/>
      <c r="PJ131" s="88"/>
      <c r="PK131" s="88"/>
      <c r="PL131" s="88"/>
      <c r="PM131" s="88"/>
      <c r="PN131" s="88"/>
      <c r="PO131" s="88"/>
      <c r="PP131" s="88"/>
      <c r="PQ131" s="88"/>
      <c r="PR131" s="88"/>
      <c r="PS131" s="88"/>
      <c r="PT131" s="88"/>
      <c r="PU131" s="88"/>
      <c r="PV131" s="88"/>
      <c r="PW131" s="88"/>
      <c r="PX131" s="88"/>
      <c r="PY131" s="88"/>
      <c r="PZ131" s="88"/>
      <c r="QA131" s="88"/>
      <c r="QB131" s="88"/>
      <c r="QC131" s="88"/>
      <c r="QD131" s="88"/>
      <c r="QE131" s="88"/>
      <c r="QF131" s="88"/>
      <c r="QG131" s="88"/>
      <c r="QH131" s="88"/>
      <c r="QI131" s="88"/>
      <c r="QJ131" s="88"/>
      <c r="QK131" s="88"/>
      <c r="QL131" s="88"/>
      <c r="QM131" s="88"/>
      <c r="QN131" s="88"/>
      <c r="QO131" s="88"/>
      <c r="QP131" s="88"/>
      <c r="QQ131" s="88"/>
      <c r="QR131" s="88"/>
      <c r="QS131" s="88"/>
      <c r="QT131" s="88"/>
      <c r="QU131" s="88"/>
      <c r="QV131" s="88"/>
      <c r="QW131" s="88"/>
      <c r="QX131" s="88"/>
      <c r="QY131" s="88"/>
      <c r="QZ131" s="88"/>
      <c r="RA131" s="88"/>
      <c r="RB131" s="88"/>
      <c r="RC131" s="88"/>
      <c r="RD131" s="88"/>
      <c r="RE131" s="88"/>
      <c r="RF131" s="88"/>
      <c r="RG131" s="88"/>
      <c r="RH131" s="88"/>
      <c r="RI131" s="88"/>
      <c r="RJ131" s="88"/>
      <c r="RK131" s="88"/>
      <c r="RL131" s="88"/>
      <c r="RM131" s="88"/>
      <c r="RN131" s="88"/>
      <c r="RO131" s="88"/>
      <c r="RP131" s="88"/>
      <c r="RQ131" s="88"/>
      <c r="RR131" s="88"/>
      <c r="RS131" s="88"/>
      <c r="RT131" s="88"/>
      <c r="RU131" s="88"/>
      <c r="RV131" s="88"/>
      <c r="RW131" s="88"/>
      <c r="RX131" s="88"/>
      <c r="RY131" s="88"/>
      <c r="RZ131" s="88"/>
      <c r="SA131" s="88"/>
      <c r="SB131" s="88"/>
      <c r="SC131" s="88"/>
      <c r="SD131" s="88"/>
      <c r="SE131" s="88"/>
      <c r="SF131" s="88"/>
      <c r="SG131" s="88"/>
      <c r="SH131" s="88"/>
      <c r="SI131" s="88"/>
      <c r="SJ131" s="88"/>
      <c r="SK131" s="88"/>
      <c r="SL131" s="88"/>
      <c r="SM131" s="88"/>
      <c r="SN131" s="88"/>
      <c r="SO131" s="88"/>
      <c r="SP131" s="88"/>
      <c r="SQ131" s="88"/>
      <c r="SR131" s="88"/>
      <c r="SS131" s="88"/>
      <c r="ST131" s="88"/>
      <c r="SU131" s="88"/>
      <c r="SV131" s="88"/>
      <c r="SW131" s="88"/>
      <c r="SX131" s="88"/>
      <c r="SY131" s="88"/>
      <c r="SZ131" s="88"/>
      <c r="TA131" s="88"/>
      <c r="TB131" s="88"/>
      <c r="TC131" s="88"/>
      <c r="TD131" s="88"/>
      <c r="TE131" s="88"/>
      <c r="TF131" s="88"/>
      <c r="TG131" s="88"/>
      <c r="TH131" s="88"/>
      <c r="TI131" s="88"/>
      <c r="TJ131" s="88"/>
      <c r="TK131" s="88"/>
      <c r="TL131" s="88"/>
      <c r="TM131" s="88"/>
      <c r="TN131" s="88"/>
      <c r="TO131" s="88"/>
      <c r="TP131" s="88"/>
      <c r="TQ131" s="88"/>
      <c r="TR131" s="88"/>
      <c r="TS131" s="88"/>
      <c r="TT131" s="88"/>
      <c r="TU131" s="88"/>
      <c r="TV131" s="88"/>
      <c r="TW131" s="88"/>
      <c r="TX131" s="88"/>
      <c r="TY131" s="88"/>
      <c r="TZ131" s="88"/>
      <c r="UA131" s="88"/>
      <c r="UB131" s="88"/>
      <c r="UC131" s="88"/>
      <c r="UD131" s="88"/>
      <c r="UE131" s="88"/>
      <c r="UF131" s="88"/>
      <c r="UG131" s="88"/>
      <c r="UH131" s="88"/>
      <c r="UI131" s="88"/>
      <c r="UJ131" s="88"/>
      <c r="UK131" s="88"/>
      <c r="UL131" s="88"/>
      <c r="UM131" s="88"/>
      <c r="UN131" s="88"/>
      <c r="UO131" s="88"/>
      <c r="UP131" s="88"/>
      <c r="UQ131" s="88"/>
      <c r="UR131" s="88"/>
      <c r="US131" s="88"/>
      <c r="UT131" s="88"/>
      <c r="UU131" s="88"/>
      <c r="UV131" s="88"/>
      <c r="UW131" s="88"/>
      <c r="UX131" s="88"/>
      <c r="UY131" s="88"/>
      <c r="UZ131" s="88"/>
      <c r="VA131" s="88"/>
      <c r="VB131" s="88"/>
      <c r="VC131" s="88"/>
      <c r="VD131" s="88"/>
      <c r="VE131" s="88"/>
      <c r="VF131" s="88"/>
      <c r="VG131" s="88"/>
      <c r="VH131" s="88"/>
      <c r="VI131" s="88"/>
      <c r="VJ131" s="88"/>
      <c r="VK131" s="88"/>
      <c r="VL131" s="88"/>
      <c r="VM131" s="88"/>
      <c r="VN131" s="88"/>
      <c r="VO131" s="88"/>
      <c r="VP131" s="88"/>
      <c r="VQ131" s="88"/>
      <c r="VR131" s="88"/>
      <c r="VS131" s="88"/>
      <c r="VT131" s="88"/>
      <c r="VU131" s="88"/>
      <c r="VV131" s="88"/>
      <c r="VW131" s="88"/>
      <c r="VX131" s="88"/>
      <c r="VY131" s="88"/>
      <c r="VZ131" s="88"/>
      <c r="WA131" s="88"/>
      <c r="WB131" s="88"/>
      <c r="WC131" s="88"/>
      <c r="WD131" s="88"/>
      <c r="WE131" s="88"/>
      <c r="WF131" s="88"/>
      <c r="WG131" s="88"/>
      <c r="WH131" s="88"/>
      <c r="WI131" s="88"/>
      <c r="WJ131" s="88"/>
      <c r="WK131" s="88"/>
      <c r="WL131" s="88"/>
      <c r="WM131" s="88"/>
      <c r="WN131" s="88"/>
      <c r="WO131" s="88"/>
      <c r="WP131" s="88"/>
      <c r="WQ131" s="88"/>
      <c r="WR131" s="88"/>
      <c r="WS131" s="88"/>
      <c r="WT131" s="88"/>
      <c r="WU131" s="88"/>
      <c r="WV131" s="88"/>
      <c r="WW131" s="88"/>
      <c r="WX131" s="88"/>
      <c r="WY131" s="88"/>
      <c r="WZ131" s="88"/>
      <c r="XA131" s="88"/>
      <c r="XB131" s="88"/>
      <c r="XC131" s="88"/>
      <c r="XD131" s="88"/>
      <c r="XE131" s="88"/>
      <c r="XF131" s="88"/>
      <c r="XG131" s="88"/>
      <c r="XH131" s="88"/>
      <c r="XI131" s="88"/>
      <c r="XJ131" s="88"/>
      <c r="XK131" s="88"/>
      <c r="XL131" s="88"/>
      <c r="XM131" s="88"/>
      <c r="XN131" s="88"/>
      <c r="XO131" s="88"/>
      <c r="XP131" s="88"/>
      <c r="XQ131" s="88"/>
      <c r="XR131" s="88"/>
      <c r="XS131" s="88"/>
      <c r="XT131" s="88"/>
      <c r="XU131" s="88"/>
      <c r="XV131" s="88"/>
      <c r="XW131" s="88"/>
      <c r="XX131" s="88"/>
      <c r="XY131" s="88"/>
      <c r="XZ131" s="88"/>
      <c r="YA131" s="88"/>
      <c r="YB131" s="88"/>
      <c r="YC131" s="88"/>
      <c r="YD131" s="88"/>
      <c r="YE131" s="88"/>
      <c r="YF131" s="88"/>
      <c r="YG131" s="88"/>
      <c r="YH131" s="88"/>
      <c r="YI131" s="88"/>
      <c r="YJ131" s="88"/>
      <c r="YK131" s="88"/>
      <c r="YL131" s="88"/>
      <c r="YM131" s="88"/>
      <c r="YN131" s="88"/>
      <c r="YO131" s="88"/>
      <c r="YP131" s="88"/>
      <c r="YQ131" s="88"/>
      <c r="YR131" s="88"/>
      <c r="YS131" s="88"/>
      <c r="YT131" s="88"/>
      <c r="YU131" s="88"/>
      <c r="YV131" s="88"/>
      <c r="YW131" s="88"/>
      <c r="YX131" s="88"/>
      <c r="YY131" s="88"/>
      <c r="YZ131" s="88"/>
      <c r="ZA131" s="88"/>
      <c r="ZB131" s="88"/>
      <c r="ZC131" s="88"/>
      <c r="ZD131" s="88"/>
      <c r="ZE131" s="88"/>
      <c r="ZF131" s="88"/>
      <c r="ZG131" s="88"/>
      <c r="ZH131" s="88"/>
      <c r="ZI131" s="88"/>
      <c r="ZJ131" s="88"/>
      <c r="ZK131" s="88"/>
      <c r="ZL131" s="88"/>
      <c r="ZM131" s="88"/>
      <c r="ZN131" s="88"/>
      <c r="ZO131" s="88"/>
      <c r="ZP131" s="88"/>
      <c r="ZQ131" s="88"/>
      <c r="ZR131" s="88"/>
      <c r="ZS131" s="88"/>
      <c r="ZT131" s="88"/>
      <c r="ZU131" s="88"/>
      <c r="ZV131" s="88"/>
      <c r="ZW131" s="88"/>
      <c r="ZX131" s="88"/>
      <c r="ZY131" s="88"/>
      <c r="ZZ131" s="88"/>
      <c r="AAA131" s="88"/>
      <c r="AAB131" s="88"/>
      <c r="AAC131" s="88"/>
      <c r="AAD131" s="88"/>
      <c r="AAE131" s="88"/>
      <c r="AAF131" s="88"/>
      <c r="AAG131" s="88"/>
      <c r="AAH131" s="88"/>
      <c r="AAI131" s="88"/>
      <c r="AAJ131" s="88"/>
      <c r="AAK131" s="88"/>
      <c r="AAL131" s="88"/>
      <c r="AAM131" s="88"/>
      <c r="AAN131" s="88"/>
      <c r="AAO131" s="88"/>
      <c r="AAP131" s="88"/>
      <c r="AAQ131" s="88"/>
      <c r="AAR131" s="88"/>
      <c r="AAS131" s="88"/>
      <c r="AAT131" s="88"/>
      <c r="AAU131" s="88"/>
      <c r="AAV131" s="88"/>
      <c r="AAW131" s="88"/>
      <c r="AAX131" s="88"/>
      <c r="AAY131" s="88"/>
      <c r="AAZ131" s="88"/>
      <c r="ABA131" s="88"/>
      <c r="ABB131" s="88"/>
      <c r="ABC131" s="88"/>
      <c r="ABD131" s="88"/>
      <c r="ABE131" s="88"/>
      <c r="ABF131" s="88"/>
      <c r="ABG131" s="88"/>
      <c r="ABH131" s="88"/>
      <c r="ABI131" s="88"/>
      <c r="ABJ131" s="88"/>
      <c r="ABK131" s="88"/>
      <c r="ABL131" s="88"/>
      <c r="ABM131" s="88"/>
      <c r="ABN131" s="88"/>
      <c r="ABO131" s="88"/>
      <c r="ABP131" s="88"/>
      <c r="ABQ131" s="88"/>
      <c r="ABR131" s="88"/>
      <c r="ABS131" s="88"/>
      <c r="ABT131" s="88"/>
      <c r="ABU131" s="88"/>
      <c r="ABV131" s="88"/>
      <c r="ABW131" s="88"/>
      <c r="ABX131" s="88"/>
      <c r="ABY131" s="88"/>
      <c r="ABZ131" s="88"/>
      <c r="ACA131" s="88"/>
      <c r="ACB131" s="88"/>
      <c r="ACC131" s="88"/>
      <c r="ACD131" s="88"/>
      <c r="ACE131" s="88"/>
      <c r="ACF131" s="88"/>
      <c r="ACG131" s="88"/>
      <c r="ACH131" s="88"/>
      <c r="ACI131" s="88"/>
      <c r="ACJ131" s="88"/>
      <c r="ACK131" s="88"/>
      <c r="ACL131" s="88"/>
      <c r="ACM131" s="88"/>
      <c r="ACN131" s="88"/>
      <c r="ACO131" s="88"/>
      <c r="ACP131" s="88"/>
      <c r="ACQ131" s="88"/>
      <c r="ACR131" s="88"/>
      <c r="ACS131" s="88"/>
      <c r="ACT131" s="88"/>
      <c r="ACU131" s="88"/>
      <c r="ACV131" s="88"/>
      <c r="ACW131" s="88"/>
      <c r="ACX131" s="88"/>
      <c r="ACY131" s="88"/>
      <c r="ACZ131" s="88"/>
      <c r="ADA131" s="88"/>
      <c r="ADB131" s="88"/>
      <c r="ADC131" s="88"/>
      <c r="ADD131" s="88"/>
      <c r="ADE131" s="88"/>
      <c r="ADF131" s="88"/>
      <c r="ADG131" s="88"/>
      <c r="ADH131" s="88"/>
      <c r="ADI131" s="88"/>
      <c r="ADJ131" s="88"/>
      <c r="ADK131" s="88"/>
      <c r="ADL131" s="88"/>
      <c r="ADM131" s="88"/>
      <c r="ADN131" s="88"/>
      <c r="ADO131" s="88"/>
      <c r="ADP131" s="88"/>
      <c r="ADQ131" s="88"/>
      <c r="ADR131" s="88"/>
      <c r="ADS131" s="88"/>
      <c r="ADT131" s="88"/>
      <c r="ADU131" s="88"/>
      <c r="ADV131" s="88"/>
      <c r="ADW131" s="88"/>
      <c r="ADX131" s="88"/>
      <c r="ADY131" s="88"/>
      <c r="ADZ131" s="88"/>
      <c r="AEA131" s="88"/>
      <c r="AEB131" s="88"/>
      <c r="AEC131" s="88"/>
      <c r="AED131" s="88"/>
      <c r="AEE131" s="88"/>
      <c r="AEF131" s="88"/>
      <c r="AEG131" s="88"/>
      <c r="AEH131" s="88"/>
      <c r="AEI131" s="88"/>
      <c r="AEJ131" s="88"/>
      <c r="AEK131" s="88"/>
      <c r="AEL131" s="88"/>
      <c r="AEM131" s="88"/>
      <c r="AEN131" s="88"/>
      <c r="AEO131" s="88"/>
      <c r="AEP131" s="88"/>
      <c r="AEQ131" s="88"/>
      <c r="AER131" s="88"/>
      <c r="AES131" s="88"/>
      <c r="AET131" s="88"/>
      <c r="AEU131" s="88"/>
      <c r="AEV131" s="88"/>
      <c r="AEW131" s="88"/>
      <c r="AEX131" s="88"/>
      <c r="AEY131" s="88"/>
      <c r="AEZ131" s="88"/>
      <c r="AFA131" s="88"/>
      <c r="AFB131" s="88"/>
      <c r="AFC131" s="88"/>
      <c r="AFD131" s="88"/>
      <c r="AFE131" s="88"/>
      <c r="AFF131" s="88"/>
      <c r="AFG131" s="88"/>
      <c r="AFH131" s="88"/>
      <c r="AFI131" s="88"/>
      <c r="AFJ131" s="88"/>
      <c r="AFK131" s="88"/>
      <c r="AFL131" s="88"/>
      <c r="AFM131" s="88"/>
      <c r="AFN131" s="88"/>
      <c r="AFO131" s="88"/>
      <c r="AFP131" s="88"/>
      <c r="AFQ131" s="88"/>
      <c r="AFR131" s="88"/>
      <c r="AFS131" s="88"/>
      <c r="AFT131" s="88"/>
      <c r="AFU131" s="88"/>
      <c r="AFV131" s="88"/>
      <c r="AFW131" s="88"/>
      <c r="AFX131" s="88"/>
      <c r="AFY131" s="88"/>
      <c r="AFZ131" s="88"/>
      <c r="AGA131" s="88"/>
      <c r="AGB131" s="88"/>
      <c r="AGC131" s="88"/>
      <c r="AGD131" s="88"/>
      <c r="AGE131" s="88"/>
      <c r="AGF131" s="88"/>
      <c r="AGG131" s="88"/>
      <c r="AGH131" s="88"/>
      <c r="AGI131" s="88"/>
      <c r="AGJ131" s="88"/>
      <c r="AGK131" s="88"/>
      <c r="AGL131" s="88"/>
      <c r="AGM131" s="88"/>
      <c r="AGN131" s="88"/>
      <c r="AGO131" s="88"/>
      <c r="AGP131" s="88"/>
      <c r="AGQ131" s="88"/>
      <c r="AGR131" s="88"/>
      <c r="AGS131" s="88"/>
      <c r="AGT131" s="88"/>
      <c r="AGU131" s="88"/>
      <c r="AGV131" s="88"/>
      <c r="AGW131" s="88"/>
      <c r="AGX131" s="88"/>
      <c r="AGY131" s="88"/>
      <c r="AGZ131" s="88"/>
      <c r="AHA131" s="88"/>
      <c r="AHB131" s="88"/>
      <c r="AHC131" s="88"/>
      <c r="AHD131" s="88"/>
      <c r="AHE131" s="88"/>
      <c r="AHF131" s="88"/>
      <c r="AHG131" s="88"/>
      <c r="AHH131" s="88"/>
      <c r="AHI131" s="88"/>
      <c r="AHJ131" s="88"/>
      <c r="AHK131" s="88"/>
      <c r="AHL131" s="88"/>
      <c r="AHM131" s="88"/>
      <c r="AHN131" s="88"/>
      <c r="AHO131" s="88"/>
      <c r="AHP131" s="88"/>
      <c r="AHQ131" s="88"/>
      <c r="AHR131" s="88"/>
      <c r="AHS131" s="88"/>
      <c r="AHT131" s="88"/>
      <c r="AHU131" s="88"/>
      <c r="AHV131" s="88"/>
      <c r="AHW131" s="88"/>
      <c r="AHX131" s="88"/>
      <c r="AHY131" s="88"/>
      <c r="AHZ131" s="88"/>
      <c r="AIA131" s="88"/>
      <c r="AIB131" s="88"/>
      <c r="AIC131" s="88"/>
      <c r="AID131" s="88"/>
      <c r="AIE131" s="88"/>
      <c r="AIF131" s="88"/>
      <c r="AIG131" s="88"/>
      <c r="AIH131" s="88"/>
      <c r="AII131" s="88"/>
      <c r="AIJ131" s="88"/>
      <c r="AIK131" s="88"/>
      <c r="AIL131" s="88"/>
      <c r="AIM131" s="88"/>
      <c r="AIN131" s="88"/>
      <c r="AIO131" s="88"/>
      <c r="AIP131" s="88"/>
      <c r="AIQ131" s="88"/>
      <c r="AIR131" s="88"/>
      <c r="AIS131" s="88"/>
      <c r="AIT131" s="88"/>
      <c r="AIU131" s="88"/>
      <c r="AIV131" s="88"/>
      <c r="AIW131" s="88"/>
      <c r="AIX131" s="88"/>
      <c r="AIY131" s="88"/>
      <c r="AIZ131" s="88"/>
      <c r="AJA131" s="88"/>
      <c r="AJB131" s="88"/>
      <c r="AJC131" s="88"/>
      <c r="AJD131" s="88"/>
      <c r="AJE131" s="88"/>
      <c r="AJF131" s="88"/>
      <c r="AJG131" s="88"/>
      <c r="AJH131" s="88"/>
      <c r="AJI131" s="88"/>
      <c r="AJJ131" s="88"/>
      <c r="AJK131" s="88"/>
      <c r="AJL131" s="88"/>
      <c r="AJM131" s="88"/>
      <c r="AJN131" s="88"/>
      <c r="AJO131" s="88"/>
      <c r="AJP131" s="88"/>
      <c r="AJQ131" s="88"/>
      <c r="AJR131" s="88"/>
      <c r="AJS131" s="88"/>
      <c r="AJT131" s="88"/>
      <c r="AJU131" s="88"/>
      <c r="AJV131" s="88"/>
      <c r="AJW131" s="88"/>
      <c r="AJX131" s="88"/>
      <c r="AJY131" s="88"/>
      <c r="AJZ131" s="88"/>
      <c r="AKA131" s="88"/>
      <c r="AKB131" s="88"/>
      <c r="AKC131" s="88"/>
      <c r="AKD131" s="88"/>
      <c r="AKE131" s="88"/>
      <c r="AKF131" s="88"/>
      <c r="AKG131" s="88"/>
      <c r="AKH131" s="88"/>
      <c r="AKI131" s="88"/>
      <c r="AKJ131" s="88"/>
      <c r="AKK131" s="88"/>
      <c r="AKL131" s="88"/>
      <c r="AKM131" s="88"/>
      <c r="AKN131" s="88"/>
      <c r="AKO131" s="88"/>
      <c r="AKP131" s="88"/>
      <c r="AKQ131" s="88"/>
      <c r="AKR131" s="88"/>
      <c r="AKS131" s="88"/>
      <c r="AKT131" s="88"/>
      <c r="AKU131" s="88"/>
      <c r="AKV131" s="88"/>
      <c r="AKW131" s="88"/>
      <c r="AKX131" s="88"/>
      <c r="AKY131" s="88"/>
      <c r="AKZ131" s="88"/>
      <c r="ALA131" s="88"/>
      <c r="ALB131" s="88"/>
      <c r="ALC131" s="88"/>
      <c r="ALD131" s="88"/>
      <c r="ALE131" s="88"/>
      <c r="ALF131" s="88"/>
      <c r="ALG131" s="88"/>
      <c r="ALH131" s="88"/>
      <c r="ALI131" s="88"/>
      <c r="ALJ131" s="88"/>
      <c r="ALK131" s="88"/>
      <c r="ALL131" s="88"/>
      <c r="ALM131" s="88"/>
      <c r="ALN131" s="88"/>
      <c r="ALO131" s="88"/>
      <c r="ALP131" s="88"/>
      <c r="ALQ131" s="88"/>
      <c r="ALR131" s="88"/>
      <c r="ALS131" s="88"/>
      <c r="ALT131" s="88"/>
      <c r="ALU131" s="88"/>
      <c r="ALV131" s="88"/>
      <c r="ALW131" s="88"/>
      <c r="ALX131" s="88"/>
      <c r="ALY131" s="88"/>
      <c r="ALZ131" s="88"/>
      <c r="AMA131" s="88"/>
      <c r="AMB131" s="88"/>
      <c r="AMC131" s="88"/>
      <c r="AMD131" s="88"/>
      <c r="AME131" s="88"/>
      <c r="AMF131" s="88"/>
      <c r="AMG131" s="88"/>
      <c r="AMH131" s="88"/>
      <c r="AMI131" s="88"/>
      <c r="AMJ131" s="88"/>
      <c r="AMK131" s="88"/>
      <c r="AML131" s="88"/>
      <c r="AMM131" s="88"/>
      <c r="AMN131" s="88"/>
      <c r="AMO131" s="88"/>
      <c r="AMP131" s="88"/>
      <c r="AMQ131" s="88"/>
      <c r="AMR131" s="88"/>
      <c r="AMS131" s="88"/>
      <c r="AMT131" s="88"/>
      <c r="AMU131" s="88"/>
      <c r="AMV131" s="88"/>
      <c r="AMW131" s="88"/>
      <c r="AMX131" s="88"/>
      <c r="AMY131" s="88"/>
      <c r="AMZ131" s="88"/>
      <c r="ANA131" s="88"/>
      <c r="ANB131" s="88"/>
      <c r="ANC131" s="88"/>
      <c r="AND131" s="88"/>
      <c r="ANE131" s="88"/>
      <c r="ANF131" s="88"/>
      <c r="ANG131" s="88"/>
      <c r="ANH131" s="88"/>
      <c r="ANI131" s="88"/>
      <c r="ANJ131" s="88"/>
      <c r="ANK131" s="88"/>
      <c r="ANL131" s="88"/>
      <c r="ANM131" s="88"/>
      <c r="ANN131" s="88"/>
      <c r="ANO131" s="88"/>
      <c r="ANP131" s="88"/>
      <c r="ANQ131" s="88"/>
      <c r="ANR131" s="88"/>
      <c r="ANS131" s="88"/>
      <c r="ANT131" s="88"/>
      <c r="ANU131" s="88"/>
      <c r="ANV131" s="88"/>
      <c r="ANW131" s="88"/>
      <c r="ANX131" s="88"/>
      <c r="ANY131" s="88"/>
      <c r="ANZ131" s="88"/>
      <c r="AOA131" s="88"/>
      <c r="AOB131" s="88"/>
      <c r="AOC131" s="88"/>
      <c r="AOD131" s="88"/>
      <c r="AOE131" s="88"/>
      <c r="AOF131" s="88"/>
      <c r="AOG131" s="88"/>
      <c r="AOH131" s="88"/>
      <c r="AOI131" s="88"/>
      <c r="AOJ131" s="88"/>
      <c r="AOK131" s="88"/>
      <c r="AOL131" s="88"/>
      <c r="AOM131" s="88"/>
      <c r="AON131" s="88"/>
      <c r="AOO131" s="88"/>
      <c r="AOP131" s="88"/>
      <c r="AOQ131" s="88"/>
      <c r="AOR131" s="88"/>
      <c r="AOS131" s="88"/>
      <c r="AOT131" s="88"/>
      <c r="AOU131" s="88"/>
      <c r="AOV131" s="88"/>
      <c r="AOW131" s="88"/>
      <c r="AOX131" s="88"/>
      <c r="AOY131" s="88"/>
      <c r="AOZ131" s="88"/>
      <c r="APA131" s="88"/>
      <c r="APB131" s="88"/>
      <c r="APC131" s="88"/>
      <c r="APD131" s="88"/>
      <c r="APE131" s="88"/>
      <c r="APF131" s="88"/>
      <c r="APG131" s="88"/>
      <c r="APH131" s="88"/>
      <c r="API131" s="88"/>
      <c r="APJ131" s="88"/>
      <c r="APK131" s="88"/>
      <c r="APL131" s="88"/>
      <c r="APM131" s="88"/>
      <c r="APN131" s="88"/>
      <c r="APO131" s="88"/>
      <c r="APP131" s="88"/>
      <c r="APQ131" s="88"/>
      <c r="APR131" s="88"/>
      <c r="APS131" s="88"/>
      <c r="APT131" s="88"/>
      <c r="APU131" s="88"/>
      <c r="APV131" s="88"/>
      <c r="APW131" s="88"/>
      <c r="APX131" s="88"/>
      <c r="APY131" s="88"/>
      <c r="APZ131" s="88"/>
      <c r="AQA131" s="88"/>
      <c r="AQB131" s="88"/>
      <c r="AQC131" s="88"/>
      <c r="AQD131" s="88"/>
      <c r="AQE131" s="88"/>
      <c r="AQF131" s="88"/>
      <c r="AQG131" s="88"/>
      <c r="AQH131" s="88"/>
      <c r="AQI131" s="88"/>
      <c r="AQJ131" s="88"/>
      <c r="AQK131" s="88"/>
      <c r="AQL131" s="88"/>
      <c r="AQM131" s="88"/>
      <c r="AQN131" s="88"/>
      <c r="AQO131" s="88"/>
      <c r="AQP131" s="88"/>
      <c r="AQQ131" s="88"/>
      <c r="AQR131" s="88"/>
      <c r="AQS131" s="88"/>
      <c r="AQT131" s="88"/>
      <c r="AQU131" s="88"/>
      <c r="AQV131" s="88"/>
      <c r="AQW131" s="88"/>
      <c r="AQX131" s="88"/>
      <c r="AQY131" s="88"/>
      <c r="AQZ131" s="88"/>
      <c r="ARA131" s="88"/>
      <c r="ARB131" s="88"/>
      <c r="ARC131" s="88"/>
      <c r="ARD131" s="88"/>
      <c r="ARE131" s="88"/>
      <c r="ARF131" s="88"/>
      <c r="ARG131" s="88"/>
      <c r="ARH131" s="88"/>
      <c r="ARI131" s="88"/>
      <c r="ARJ131" s="88"/>
      <c r="ARK131" s="88"/>
      <c r="ARL131" s="88"/>
      <c r="ARM131" s="88"/>
      <c r="ARN131" s="88"/>
      <c r="ARO131" s="88"/>
      <c r="ARP131" s="88"/>
      <c r="ARQ131" s="88"/>
      <c r="ARR131" s="88"/>
      <c r="ARS131" s="88"/>
      <c r="ART131" s="88"/>
      <c r="ARU131" s="88"/>
      <c r="ARV131" s="88"/>
      <c r="ARW131" s="88"/>
      <c r="ARX131" s="88"/>
      <c r="ARY131" s="88"/>
      <c r="ARZ131" s="88"/>
      <c r="ASA131" s="88"/>
      <c r="ASB131" s="88"/>
      <c r="ASC131" s="88"/>
      <c r="ASD131" s="88"/>
      <c r="ASE131" s="88"/>
      <c r="ASF131" s="88"/>
      <c r="ASG131" s="88"/>
      <c r="ASH131" s="88"/>
      <c r="ASI131" s="88"/>
      <c r="ASJ131" s="88"/>
      <c r="ASK131" s="88"/>
      <c r="ASL131" s="88"/>
      <c r="ASM131" s="88"/>
      <c r="ASN131" s="88"/>
      <c r="ASO131" s="88"/>
      <c r="ASP131" s="88"/>
      <c r="ASQ131" s="88"/>
      <c r="ASR131" s="88"/>
      <c r="ASS131" s="88"/>
      <c r="AST131" s="88"/>
      <c r="ASU131" s="88"/>
      <c r="ASV131" s="88"/>
      <c r="ASW131" s="88"/>
      <c r="ASX131" s="88"/>
      <c r="ASY131" s="88"/>
      <c r="ASZ131" s="88"/>
      <c r="ATA131" s="88"/>
      <c r="ATB131" s="88"/>
      <c r="ATC131" s="88"/>
      <c r="ATD131" s="88"/>
      <c r="ATE131" s="88"/>
      <c r="ATF131" s="88"/>
      <c r="ATG131" s="88"/>
      <c r="ATH131" s="88"/>
      <c r="ATI131" s="88"/>
      <c r="ATJ131" s="88"/>
      <c r="ATK131" s="88"/>
      <c r="ATL131" s="88"/>
      <c r="ATM131" s="88"/>
      <c r="ATN131" s="88"/>
      <c r="ATO131" s="88"/>
      <c r="ATP131" s="88"/>
      <c r="ATQ131" s="88"/>
      <c r="ATR131" s="88"/>
      <c r="ATS131" s="88"/>
      <c r="ATT131" s="88"/>
      <c r="ATU131" s="88"/>
      <c r="ATV131" s="88"/>
      <c r="ATW131" s="88"/>
      <c r="ATX131" s="88"/>
      <c r="ATY131" s="88"/>
      <c r="ATZ131" s="88"/>
      <c r="AUA131" s="88"/>
      <c r="AUB131" s="88"/>
      <c r="AUC131" s="88"/>
      <c r="AUD131" s="88"/>
      <c r="AUE131" s="88"/>
      <c r="AUF131" s="88"/>
      <c r="AUG131" s="88"/>
      <c r="AUH131" s="88"/>
      <c r="AUI131" s="88"/>
      <c r="AUJ131" s="88"/>
      <c r="AUK131" s="88"/>
      <c r="AUL131" s="88"/>
      <c r="AUM131" s="88"/>
      <c r="AUN131" s="88"/>
      <c r="AUO131" s="88"/>
      <c r="AUP131" s="88"/>
      <c r="AUQ131" s="88"/>
      <c r="AUR131" s="88"/>
      <c r="AUS131" s="88"/>
      <c r="AUT131" s="88"/>
      <c r="AUU131" s="88"/>
      <c r="AUV131" s="88"/>
      <c r="AUW131" s="88"/>
      <c r="AUX131" s="88"/>
      <c r="AUY131" s="88"/>
      <c r="AUZ131" s="88"/>
      <c r="AVA131" s="88"/>
      <c r="AVB131" s="88"/>
      <c r="AVC131" s="88"/>
      <c r="AVD131" s="88"/>
      <c r="AVE131" s="88"/>
      <c r="AVF131" s="88"/>
      <c r="AVG131" s="88"/>
      <c r="AVH131" s="88"/>
      <c r="AVI131" s="88"/>
      <c r="AVJ131" s="88"/>
      <c r="AVK131" s="88"/>
      <c r="AVL131" s="88"/>
      <c r="AVM131" s="88"/>
      <c r="AVN131" s="88"/>
      <c r="AVO131" s="88"/>
      <c r="AVP131" s="88"/>
      <c r="AVQ131" s="88"/>
      <c r="AVR131" s="88"/>
      <c r="AVS131" s="88"/>
      <c r="AVT131" s="88"/>
      <c r="AVU131" s="88"/>
      <c r="AVV131" s="88"/>
      <c r="AVW131" s="88"/>
      <c r="AVX131" s="88"/>
      <c r="AVY131" s="88"/>
      <c r="AVZ131" s="88"/>
      <c r="AWA131" s="88"/>
      <c r="AWB131" s="88"/>
      <c r="AWC131" s="88"/>
      <c r="AWD131" s="88"/>
      <c r="AWE131" s="88"/>
      <c r="AWF131" s="88"/>
      <c r="AWG131" s="88"/>
      <c r="AWH131" s="88"/>
      <c r="AWI131" s="88"/>
      <c r="AWJ131" s="88"/>
      <c r="AWK131" s="88"/>
      <c r="AWL131" s="88"/>
      <c r="AWM131" s="88"/>
      <c r="AWN131" s="88"/>
      <c r="AWO131" s="88"/>
      <c r="AWP131" s="88"/>
      <c r="AWQ131" s="88"/>
      <c r="AWR131" s="88"/>
      <c r="AWS131" s="88"/>
      <c r="AWT131" s="88"/>
      <c r="AWU131" s="88"/>
      <c r="AWV131" s="88"/>
      <c r="AWW131" s="88"/>
      <c r="AWX131" s="88"/>
      <c r="AWY131" s="88"/>
      <c r="AWZ131" s="88"/>
      <c r="AXA131" s="88"/>
      <c r="AXB131" s="88"/>
      <c r="AXC131" s="88"/>
      <c r="AXD131" s="88"/>
      <c r="AXE131" s="88"/>
      <c r="AXF131" s="88"/>
      <c r="AXG131" s="88"/>
      <c r="AXH131" s="88"/>
      <c r="AXI131" s="88"/>
      <c r="AXJ131" s="88"/>
      <c r="AXK131" s="88"/>
      <c r="AXL131" s="88"/>
      <c r="AXM131" s="88"/>
      <c r="AXN131" s="88"/>
      <c r="AXO131" s="88"/>
      <c r="AXP131" s="88"/>
      <c r="AXQ131" s="88"/>
      <c r="AXR131" s="88"/>
      <c r="AXS131" s="88"/>
      <c r="AXT131" s="88"/>
      <c r="AXU131" s="88"/>
      <c r="AXV131" s="88"/>
      <c r="AXW131" s="88"/>
      <c r="AXX131" s="88"/>
      <c r="AXY131" s="88"/>
      <c r="AXZ131" s="88"/>
      <c r="AYA131" s="88"/>
      <c r="AYB131" s="88"/>
      <c r="AYC131" s="88"/>
      <c r="AYD131" s="88"/>
      <c r="AYE131" s="88"/>
      <c r="AYF131" s="88"/>
      <c r="AYG131" s="88"/>
      <c r="AYH131" s="88"/>
      <c r="AYI131" s="88"/>
      <c r="AYJ131" s="88"/>
      <c r="AYK131" s="88"/>
      <c r="AYL131" s="88"/>
      <c r="AYM131" s="88"/>
      <c r="AYN131" s="88"/>
      <c r="AYO131" s="88"/>
      <c r="AYP131" s="88"/>
      <c r="AYQ131" s="88"/>
      <c r="AYR131" s="88"/>
      <c r="AYS131" s="88"/>
      <c r="AYT131" s="88"/>
      <c r="AYU131" s="88"/>
      <c r="AYV131" s="88"/>
      <c r="AYW131" s="88"/>
      <c r="AYX131" s="88"/>
      <c r="AYY131" s="88"/>
      <c r="AYZ131" s="88"/>
      <c r="AZA131" s="88"/>
      <c r="AZB131" s="88"/>
      <c r="AZC131" s="88"/>
      <c r="AZD131" s="88"/>
      <c r="AZE131" s="88"/>
      <c r="AZF131" s="88"/>
      <c r="AZG131" s="88"/>
      <c r="AZH131" s="88"/>
      <c r="AZI131" s="88"/>
      <c r="AZJ131" s="88"/>
      <c r="AZK131" s="88"/>
      <c r="AZL131" s="88"/>
      <c r="AZM131" s="88"/>
      <c r="AZN131" s="88"/>
      <c r="AZO131" s="88"/>
      <c r="AZP131" s="88"/>
      <c r="AZQ131" s="88"/>
      <c r="AZR131" s="88"/>
      <c r="AZS131" s="88"/>
      <c r="AZT131" s="88"/>
      <c r="AZU131" s="88"/>
      <c r="AZV131" s="88"/>
      <c r="AZW131" s="88"/>
      <c r="AZX131" s="88"/>
      <c r="AZY131" s="88"/>
      <c r="AZZ131" s="88"/>
      <c r="BAA131" s="88"/>
      <c r="BAB131" s="88"/>
      <c r="BAC131" s="88"/>
      <c r="BAD131" s="88"/>
      <c r="BAE131" s="88"/>
      <c r="BAF131" s="88"/>
      <c r="BAG131" s="88"/>
      <c r="BAH131" s="88"/>
      <c r="BAI131" s="88"/>
      <c r="BAJ131" s="88"/>
      <c r="BAK131" s="88"/>
      <c r="BAL131" s="88"/>
      <c r="BAM131" s="88"/>
      <c r="BAN131" s="88"/>
      <c r="BAO131" s="88"/>
      <c r="BAP131" s="88"/>
      <c r="BAQ131" s="88"/>
      <c r="BAR131" s="88"/>
      <c r="BAS131" s="88"/>
      <c r="BAT131" s="88"/>
      <c r="BAU131" s="88"/>
      <c r="BAV131" s="88"/>
      <c r="BAW131" s="88"/>
      <c r="BAX131" s="88"/>
      <c r="BAY131" s="88"/>
      <c r="BAZ131" s="88"/>
      <c r="BBA131" s="88"/>
      <c r="BBB131" s="88"/>
      <c r="BBC131" s="88"/>
      <c r="BBD131" s="88"/>
      <c r="BBE131" s="88"/>
      <c r="BBF131" s="88"/>
      <c r="BBG131" s="88"/>
      <c r="BBH131" s="88"/>
      <c r="BBI131" s="88"/>
      <c r="BBJ131" s="88"/>
      <c r="BBK131" s="88"/>
      <c r="BBL131" s="88"/>
      <c r="BBM131" s="88"/>
      <c r="BBN131" s="88"/>
      <c r="BBO131" s="88"/>
      <c r="BBP131" s="88"/>
      <c r="BBQ131" s="88"/>
      <c r="BBR131" s="88"/>
      <c r="BBS131" s="88"/>
      <c r="BBT131" s="88"/>
      <c r="BBU131" s="88"/>
      <c r="BBV131" s="88"/>
      <c r="BBW131" s="88"/>
      <c r="BBX131" s="88"/>
      <c r="BBY131" s="88"/>
      <c r="BBZ131" s="88"/>
      <c r="BCA131" s="88"/>
      <c r="BCB131" s="88"/>
      <c r="BCC131" s="88"/>
      <c r="BCD131" s="88"/>
      <c r="BCE131" s="88"/>
      <c r="BCF131" s="88"/>
      <c r="BCG131" s="88"/>
      <c r="BCH131" s="88"/>
      <c r="BCI131" s="88"/>
      <c r="BCJ131" s="88"/>
      <c r="BCK131" s="88"/>
      <c r="BCL131" s="88"/>
      <c r="BCM131" s="88"/>
      <c r="BCN131" s="88"/>
      <c r="BCO131" s="88"/>
      <c r="BCP131" s="88"/>
      <c r="BCQ131" s="88"/>
      <c r="BCR131" s="88"/>
      <c r="BCS131" s="88"/>
      <c r="BCT131" s="88"/>
      <c r="BCU131" s="88"/>
      <c r="BCV131" s="88"/>
      <c r="BCW131" s="88"/>
      <c r="BCX131" s="88"/>
      <c r="BCY131" s="88"/>
      <c r="BCZ131" s="88"/>
      <c r="BDA131" s="88"/>
      <c r="BDB131" s="88"/>
      <c r="BDC131" s="88"/>
      <c r="BDD131" s="88"/>
      <c r="BDE131" s="88"/>
      <c r="BDF131" s="88"/>
      <c r="BDG131" s="88"/>
      <c r="BDH131" s="88"/>
      <c r="BDI131" s="88"/>
      <c r="BDJ131" s="88"/>
      <c r="BDK131" s="88"/>
      <c r="BDL131" s="88"/>
      <c r="BDM131" s="88"/>
      <c r="BDN131" s="88"/>
      <c r="BDO131" s="88"/>
      <c r="BDP131" s="88"/>
      <c r="BDQ131" s="88"/>
      <c r="BDR131" s="88"/>
      <c r="BDS131" s="88"/>
      <c r="BDT131" s="88"/>
      <c r="BDU131" s="88"/>
      <c r="BDV131" s="88"/>
      <c r="BDW131" s="88"/>
      <c r="BDX131" s="88"/>
      <c r="BDY131" s="88"/>
      <c r="BDZ131" s="88"/>
      <c r="BEA131" s="88"/>
      <c r="BEB131" s="88"/>
      <c r="BEC131" s="88"/>
      <c r="BED131" s="88"/>
      <c r="BEE131" s="88"/>
      <c r="BEF131" s="88"/>
      <c r="BEG131" s="88"/>
      <c r="BEH131" s="88"/>
      <c r="BEI131" s="88"/>
      <c r="BEJ131" s="88"/>
      <c r="BEK131" s="88"/>
      <c r="BEL131" s="88"/>
      <c r="BEM131" s="88"/>
      <c r="BEN131" s="88"/>
      <c r="BEO131" s="88"/>
      <c r="BEP131" s="88"/>
      <c r="BEQ131" s="88"/>
      <c r="BER131" s="88"/>
      <c r="BES131" s="88"/>
      <c r="BET131" s="88"/>
      <c r="BEU131" s="88"/>
      <c r="BEV131" s="88"/>
      <c r="BEW131" s="88"/>
      <c r="BEX131" s="88"/>
      <c r="BEY131" s="88"/>
      <c r="BEZ131" s="88"/>
      <c r="BFA131" s="88"/>
      <c r="BFB131" s="88"/>
      <c r="BFC131" s="88"/>
      <c r="BFD131" s="88"/>
      <c r="BFE131" s="88"/>
      <c r="BFF131" s="88"/>
      <c r="BFG131" s="88"/>
      <c r="BFH131" s="88"/>
      <c r="BFI131" s="88"/>
      <c r="BFJ131" s="88"/>
      <c r="BFK131" s="88"/>
      <c r="BFL131" s="88"/>
      <c r="BFM131" s="88"/>
      <c r="BFN131" s="88"/>
      <c r="BFO131" s="88"/>
      <c r="BFP131" s="88"/>
      <c r="BFQ131" s="88"/>
      <c r="BFR131" s="88"/>
      <c r="BFS131" s="88"/>
      <c r="BFT131" s="88"/>
      <c r="BFU131" s="88"/>
      <c r="BFV131" s="88"/>
      <c r="BFW131" s="88"/>
      <c r="BFX131" s="88"/>
      <c r="BFY131" s="88"/>
      <c r="BFZ131" s="88"/>
      <c r="BGA131" s="88"/>
      <c r="BGB131" s="88"/>
      <c r="BGC131" s="88"/>
      <c r="BGD131" s="88"/>
      <c r="BGE131" s="88"/>
      <c r="BGF131" s="88"/>
      <c r="BGG131" s="88"/>
      <c r="BGH131" s="88"/>
      <c r="BGI131" s="88"/>
      <c r="BGJ131" s="88"/>
      <c r="BGK131" s="88"/>
      <c r="BGL131" s="88"/>
      <c r="BGM131" s="88"/>
      <c r="BGN131" s="88"/>
      <c r="BGO131" s="88"/>
      <c r="BGP131" s="88"/>
      <c r="BGQ131" s="88"/>
      <c r="BGR131" s="88"/>
      <c r="BGS131" s="88"/>
      <c r="BGT131" s="88"/>
      <c r="BGU131" s="88"/>
      <c r="BGV131" s="88"/>
      <c r="BGW131" s="88"/>
      <c r="BGX131" s="88"/>
      <c r="BGY131" s="88"/>
      <c r="BGZ131" s="88"/>
      <c r="BHA131" s="88"/>
      <c r="BHB131" s="88"/>
      <c r="BHC131" s="88"/>
      <c r="BHD131" s="88"/>
      <c r="BHE131" s="88"/>
      <c r="BHF131" s="88"/>
      <c r="BHG131" s="88"/>
      <c r="BHH131" s="88"/>
      <c r="BHI131" s="88"/>
      <c r="BHJ131" s="88"/>
      <c r="BHK131" s="88"/>
      <c r="BHL131" s="88"/>
      <c r="BHM131" s="88"/>
      <c r="BHN131" s="88"/>
      <c r="BHO131" s="88"/>
      <c r="BHP131" s="88"/>
      <c r="BHQ131" s="88"/>
      <c r="BHR131" s="88"/>
      <c r="BHS131" s="88"/>
      <c r="BHT131" s="88"/>
      <c r="BHU131" s="88"/>
      <c r="BHV131" s="88"/>
      <c r="BHW131" s="88"/>
      <c r="BHX131" s="88"/>
      <c r="BHY131" s="88"/>
      <c r="BHZ131" s="88"/>
      <c r="BIA131" s="88"/>
      <c r="BIB131" s="88"/>
      <c r="BIC131" s="88"/>
      <c r="BID131" s="88"/>
      <c r="BIE131" s="88"/>
      <c r="BIF131" s="88"/>
      <c r="BIG131" s="88"/>
      <c r="BIH131" s="88"/>
      <c r="BII131" s="88"/>
      <c r="BIJ131" s="88"/>
      <c r="BIK131" s="88"/>
      <c r="BIL131" s="88"/>
      <c r="BIM131" s="88"/>
      <c r="BIN131" s="88"/>
      <c r="BIO131" s="88"/>
      <c r="BIP131" s="88"/>
      <c r="BIQ131" s="88"/>
      <c r="BIR131" s="88"/>
      <c r="BIS131" s="88"/>
      <c r="BIT131" s="88"/>
      <c r="BIU131" s="88"/>
      <c r="BIV131" s="88"/>
      <c r="BIW131" s="88"/>
      <c r="BIX131" s="88"/>
      <c r="BIY131" s="88"/>
      <c r="BIZ131" s="88"/>
      <c r="BJA131" s="88"/>
      <c r="BJB131" s="88"/>
      <c r="BJC131" s="88"/>
      <c r="BJD131" s="88"/>
      <c r="BJE131" s="88"/>
      <c r="BJF131" s="88"/>
      <c r="BJG131" s="88"/>
      <c r="BJH131" s="88"/>
      <c r="BJI131" s="88"/>
      <c r="BJJ131" s="88"/>
      <c r="BJK131" s="88"/>
      <c r="BJL131" s="88"/>
      <c r="BJM131" s="88"/>
      <c r="BJN131" s="88"/>
      <c r="BJO131" s="88"/>
      <c r="BJP131" s="88"/>
      <c r="BJQ131" s="88"/>
      <c r="BJR131" s="88"/>
      <c r="BJS131" s="88"/>
      <c r="BJT131" s="88"/>
      <c r="BJU131" s="88"/>
      <c r="BJV131" s="88"/>
      <c r="BJW131" s="88"/>
      <c r="BJX131" s="88"/>
      <c r="BJY131" s="88"/>
      <c r="BJZ131" s="88"/>
      <c r="BKA131" s="88"/>
      <c r="BKB131" s="88"/>
      <c r="BKC131" s="88"/>
      <c r="BKD131" s="88"/>
      <c r="BKE131" s="88"/>
      <c r="BKF131" s="88"/>
      <c r="BKG131" s="88"/>
      <c r="BKH131" s="88"/>
      <c r="BKI131" s="88"/>
      <c r="BKJ131" s="88"/>
      <c r="BKK131" s="88"/>
      <c r="BKL131" s="88"/>
      <c r="BKM131" s="88"/>
      <c r="BKN131" s="88"/>
      <c r="BKO131" s="88"/>
      <c r="BKP131" s="88"/>
      <c r="BKQ131" s="88"/>
      <c r="BKR131" s="88"/>
      <c r="BKS131" s="88"/>
      <c r="BKT131" s="88"/>
      <c r="BKU131" s="88"/>
      <c r="BKV131" s="88"/>
      <c r="BKW131" s="88"/>
      <c r="BKX131" s="88"/>
      <c r="BKY131" s="88"/>
      <c r="BKZ131" s="88"/>
      <c r="BLA131" s="88"/>
      <c r="BLB131" s="88"/>
      <c r="BLC131" s="88"/>
      <c r="BLD131" s="88"/>
      <c r="BLE131" s="88"/>
      <c r="BLF131" s="88"/>
      <c r="BLG131" s="88"/>
      <c r="BLH131" s="88"/>
      <c r="BLI131" s="88"/>
      <c r="BLJ131" s="88"/>
      <c r="BLK131" s="88"/>
      <c r="BLL131" s="88"/>
      <c r="BLM131" s="88"/>
      <c r="BLN131" s="88"/>
      <c r="BLO131" s="88"/>
      <c r="BLP131" s="88"/>
      <c r="BLQ131" s="88"/>
      <c r="BLR131" s="88"/>
      <c r="BLS131" s="88"/>
      <c r="BLT131" s="88"/>
      <c r="BLU131" s="88"/>
      <c r="BLV131" s="88"/>
      <c r="BLW131" s="88"/>
      <c r="BLX131" s="88"/>
      <c r="BLY131" s="88"/>
      <c r="BLZ131" s="88"/>
      <c r="BMA131" s="88"/>
      <c r="BMB131" s="88"/>
      <c r="BMC131" s="88"/>
      <c r="BMD131" s="88"/>
      <c r="BME131" s="88"/>
      <c r="BMF131" s="88"/>
      <c r="BMG131" s="88"/>
      <c r="BMH131" s="88"/>
      <c r="BMI131" s="88"/>
      <c r="BMJ131" s="88"/>
      <c r="BMK131" s="88"/>
      <c r="BML131" s="88"/>
      <c r="BMM131" s="88"/>
      <c r="BMN131" s="88"/>
      <c r="BMO131" s="88"/>
      <c r="BMP131" s="88"/>
      <c r="BMQ131" s="88"/>
      <c r="BMR131" s="88"/>
      <c r="BMS131" s="88"/>
      <c r="BMT131" s="88"/>
      <c r="BMU131" s="88"/>
      <c r="BMV131" s="88"/>
      <c r="BMW131" s="88"/>
      <c r="BMX131" s="88"/>
      <c r="BMY131" s="88"/>
      <c r="BMZ131" s="88"/>
      <c r="BNA131" s="88"/>
      <c r="BNB131" s="88"/>
      <c r="BNC131" s="88"/>
      <c r="BND131" s="88"/>
      <c r="BNE131" s="88"/>
      <c r="BNF131" s="88"/>
      <c r="BNG131" s="88"/>
      <c r="BNH131" s="88"/>
      <c r="BNI131" s="88"/>
      <c r="BNJ131" s="88"/>
      <c r="BNK131" s="88"/>
      <c r="BNL131" s="88"/>
      <c r="BNM131" s="88"/>
      <c r="BNN131" s="88"/>
      <c r="BNO131" s="88"/>
      <c r="BNP131" s="88"/>
      <c r="BNQ131" s="88"/>
      <c r="BNR131" s="88"/>
      <c r="BNS131" s="88"/>
      <c r="BNT131" s="88"/>
      <c r="BNU131" s="88"/>
      <c r="BNV131" s="88"/>
      <c r="BNW131" s="88"/>
      <c r="BNX131" s="88"/>
      <c r="BNY131" s="88"/>
      <c r="BNZ131" s="88"/>
      <c r="BOA131" s="88"/>
      <c r="BOB131" s="88"/>
      <c r="BOC131" s="88"/>
      <c r="BOD131" s="88"/>
      <c r="BOE131" s="88"/>
      <c r="BOF131" s="88"/>
      <c r="BOG131" s="88"/>
      <c r="BOH131" s="88"/>
      <c r="BOI131" s="88"/>
      <c r="BOJ131" s="88"/>
      <c r="BOK131" s="88"/>
      <c r="BOL131" s="88"/>
      <c r="BOM131" s="88"/>
      <c r="BON131" s="88"/>
      <c r="BOO131" s="88"/>
      <c r="BOP131" s="88"/>
      <c r="BOQ131" s="88"/>
      <c r="BOR131" s="88"/>
      <c r="BOS131" s="88"/>
      <c r="BOT131" s="88"/>
      <c r="BOU131" s="88"/>
      <c r="BOV131" s="88"/>
      <c r="BOW131" s="88"/>
      <c r="BOX131" s="88"/>
      <c r="BOY131" s="88"/>
      <c r="BOZ131" s="88"/>
      <c r="BPA131" s="88"/>
      <c r="BPB131" s="88"/>
      <c r="BPC131" s="88"/>
      <c r="BPD131" s="88"/>
      <c r="BPE131" s="88"/>
      <c r="BPF131" s="88"/>
      <c r="BPG131" s="88"/>
      <c r="BPH131" s="88"/>
      <c r="BPI131" s="88"/>
      <c r="BPJ131" s="88"/>
      <c r="BPK131" s="88"/>
      <c r="BPL131" s="88"/>
      <c r="BPM131" s="88"/>
      <c r="BPN131" s="88"/>
      <c r="BPO131" s="88"/>
      <c r="BPP131" s="88"/>
      <c r="BPQ131" s="88"/>
      <c r="BPR131" s="88"/>
      <c r="BPS131" s="88"/>
      <c r="BPT131" s="88"/>
      <c r="BPU131" s="88"/>
      <c r="BPV131" s="88"/>
      <c r="BPW131" s="88"/>
      <c r="BPX131" s="88"/>
      <c r="BPY131" s="88"/>
      <c r="BPZ131" s="88"/>
      <c r="BQA131" s="88"/>
      <c r="BQB131" s="88"/>
      <c r="BQC131" s="88"/>
      <c r="BQD131" s="88"/>
      <c r="BQE131" s="88"/>
      <c r="BQF131" s="88"/>
      <c r="BQG131" s="88"/>
      <c r="BQH131" s="88"/>
      <c r="BQI131" s="88"/>
      <c r="BQJ131" s="88"/>
      <c r="BQK131" s="88"/>
      <c r="BQL131" s="88"/>
      <c r="BQM131" s="88"/>
      <c r="BQN131" s="88"/>
      <c r="BQO131" s="88"/>
      <c r="BQP131" s="88"/>
      <c r="BQQ131" s="88"/>
      <c r="BQR131" s="88"/>
      <c r="BQS131" s="88"/>
      <c r="BQT131" s="88"/>
      <c r="BQU131" s="88"/>
      <c r="BQV131" s="88"/>
      <c r="BQW131" s="88"/>
      <c r="BQX131" s="88"/>
      <c r="BQY131" s="88"/>
      <c r="BQZ131" s="88"/>
      <c r="BRA131" s="88"/>
      <c r="BRB131" s="88"/>
      <c r="BRC131" s="88"/>
      <c r="BRD131" s="88"/>
      <c r="BRE131" s="88"/>
      <c r="BRF131" s="88"/>
      <c r="BRG131" s="88"/>
      <c r="BRH131" s="88"/>
      <c r="BRI131" s="88"/>
      <c r="BRJ131" s="88"/>
      <c r="BRK131" s="88"/>
      <c r="BRL131" s="88"/>
      <c r="BRM131" s="88"/>
      <c r="BRN131" s="88"/>
      <c r="BRO131" s="88"/>
      <c r="BRP131" s="88"/>
      <c r="BRQ131" s="88"/>
      <c r="BRR131" s="88"/>
      <c r="BRS131" s="88"/>
      <c r="BRT131" s="88"/>
      <c r="BRU131" s="88"/>
      <c r="BRV131" s="88"/>
      <c r="BRW131" s="88"/>
      <c r="BRX131" s="88"/>
      <c r="BRY131" s="88"/>
      <c r="BRZ131" s="88"/>
      <c r="BSA131" s="88"/>
      <c r="BSB131" s="88"/>
      <c r="BSC131" s="88"/>
      <c r="BSD131" s="88"/>
      <c r="BSE131" s="88"/>
      <c r="BSF131" s="88"/>
      <c r="BSG131" s="88"/>
      <c r="BSH131" s="88"/>
      <c r="BSI131" s="88"/>
      <c r="BSJ131" s="88"/>
      <c r="BSK131" s="88"/>
      <c r="BSL131" s="88"/>
      <c r="BSM131" s="88"/>
      <c r="BSN131" s="88"/>
      <c r="BSO131" s="88"/>
      <c r="BSP131" s="88"/>
      <c r="BSQ131" s="88"/>
      <c r="BSR131" s="88"/>
      <c r="BSS131" s="88"/>
      <c r="BST131" s="88"/>
      <c r="BSU131" s="88"/>
      <c r="BSV131" s="88"/>
      <c r="BSW131" s="88"/>
      <c r="BSX131" s="88"/>
      <c r="BSY131" s="88"/>
      <c r="BSZ131" s="88"/>
      <c r="BTA131" s="88"/>
      <c r="BTB131" s="88"/>
      <c r="BTC131" s="88"/>
      <c r="BTD131" s="88"/>
      <c r="BTE131" s="88"/>
      <c r="BTF131" s="88"/>
      <c r="BTG131" s="88"/>
      <c r="BTH131" s="88"/>
      <c r="BTI131" s="88"/>
      <c r="BTJ131" s="88"/>
      <c r="BTK131" s="88"/>
      <c r="BTL131" s="88"/>
      <c r="BTM131" s="88"/>
      <c r="BTN131" s="88"/>
      <c r="BTO131" s="88"/>
      <c r="BTP131" s="88"/>
      <c r="BTQ131" s="88"/>
      <c r="BTR131" s="88"/>
      <c r="BTS131" s="88"/>
      <c r="BTT131" s="88"/>
      <c r="BTU131" s="88"/>
      <c r="BTV131" s="88"/>
      <c r="BTW131" s="88"/>
      <c r="BTX131" s="88"/>
      <c r="BTY131" s="88"/>
      <c r="BTZ131" s="88"/>
      <c r="BUA131" s="88"/>
      <c r="BUB131" s="88"/>
      <c r="BUC131" s="88"/>
      <c r="BUD131" s="88"/>
      <c r="BUE131" s="88"/>
      <c r="BUF131" s="88"/>
      <c r="BUG131" s="88"/>
      <c r="BUH131" s="88"/>
      <c r="BUI131" s="88"/>
      <c r="BUJ131" s="88"/>
      <c r="BUK131" s="88"/>
      <c r="BUL131" s="88"/>
      <c r="BUM131" s="88"/>
      <c r="BUN131" s="88"/>
      <c r="BUO131" s="88"/>
      <c r="BUP131" s="88"/>
      <c r="BUQ131" s="88"/>
      <c r="BUR131" s="88"/>
      <c r="BUS131" s="88"/>
      <c r="BUT131" s="88"/>
      <c r="BUU131" s="88"/>
      <c r="BUV131" s="88"/>
      <c r="BUW131" s="88"/>
      <c r="BUX131" s="88"/>
      <c r="BUY131" s="88"/>
      <c r="BUZ131" s="88"/>
      <c r="BVA131" s="88"/>
      <c r="BVB131" s="88"/>
      <c r="BVC131" s="88"/>
      <c r="BVD131" s="88"/>
      <c r="BVE131" s="88"/>
      <c r="BVF131" s="88"/>
      <c r="BVG131" s="88"/>
      <c r="BVH131" s="88"/>
      <c r="BVI131" s="88"/>
      <c r="BVJ131" s="88"/>
      <c r="BVK131" s="88"/>
      <c r="BVL131" s="88"/>
      <c r="BVM131" s="88"/>
      <c r="BVN131" s="88"/>
      <c r="BVO131" s="88"/>
      <c r="BVP131" s="88"/>
      <c r="BVQ131" s="88"/>
      <c r="BVR131" s="88"/>
      <c r="BVS131" s="88"/>
      <c r="BVT131" s="88"/>
      <c r="BVU131" s="88"/>
      <c r="BVV131" s="88"/>
      <c r="BVW131" s="88"/>
      <c r="BVX131" s="88"/>
      <c r="BVY131" s="88"/>
      <c r="BVZ131" s="88"/>
      <c r="BWA131" s="88"/>
      <c r="BWB131" s="88"/>
      <c r="BWC131" s="88"/>
      <c r="BWD131" s="88"/>
      <c r="BWE131" s="88"/>
      <c r="BWF131" s="88"/>
      <c r="BWG131" s="88"/>
      <c r="BWH131" s="88"/>
      <c r="BWI131" s="88"/>
      <c r="BWJ131" s="88"/>
      <c r="BWK131" s="88"/>
      <c r="BWL131" s="88"/>
      <c r="BWM131" s="88"/>
      <c r="BWN131" s="88"/>
      <c r="BWO131" s="88"/>
      <c r="BWP131" s="88"/>
      <c r="BWQ131" s="88"/>
      <c r="BWR131" s="88"/>
      <c r="BWS131" s="88"/>
      <c r="BWT131" s="88"/>
      <c r="BWU131" s="88"/>
      <c r="BWV131" s="88"/>
      <c r="BWW131" s="88"/>
      <c r="BWX131" s="88"/>
      <c r="BWY131" s="88"/>
      <c r="BWZ131" s="88"/>
      <c r="BXA131" s="88"/>
      <c r="BXB131" s="88"/>
      <c r="BXC131" s="88"/>
      <c r="BXD131" s="88"/>
      <c r="BXE131" s="88"/>
      <c r="BXF131" s="88"/>
      <c r="BXG131" s="88"/>
      <c r="BXH131" s="88"/>
      <c r="BXI131" s="88"/>
      <c r="BXJ131" s="88"/>
      <c r="BXK131" s="88"/>
      <c r="BXL131" s="88"/>
      <c r="BXM131" s="88"/>
      <c r="BXN131" s="88"/>
      <c r="BXO131" s="88"/>
      <c r="BXP131" s="88"/>
      <c r="BXQ131" s="88"/>
      <c r="BXR131" s="88"/>
      <c r="BXS131" s="88"/>
      <c r="BXT131" s="88"/>
      <c r="BXU131" s="88"/>
      <c r="BXV131" s="88"/>
      <c r="BXW131" s="88"/>
      <c r="BXX131" s="88"/>
      <c r="BXY131" s="88"/>
      <c r="BXZ131" s="88"/>
      <c r="BYA131" s="88"/>
      <c r="BYB131" s="88"/>
      <c r="BYC131" s="88"/>
      <c r="BYD131" s="88"/>
      <c r="BYE131" s="88"/>
      <c r="BYF131" s="88"/>
      <c r="BYG131" s="88"/>
      <c r="BYH131" s="88"/>
      <c r="BYI131" s="88"/>
      <c r="BYJ131" s="88"/>
      <c r="BYK131" s="88"/>
      <c r="BYL131" s="88"/>
      <c r="BYM131" s="88"/>
      <c r="BYN131" s="88"/>
      <c r="BYO131" s="88"/>
      <c r="BYP131" s="88"/>
      <c r="BYQ131" s="88"/>
      <c r="BYR131" s="88"/>
      <c r="BYS131" s="88"/>
      <c r="BYT131" s="88"/>
      <c r="BYU131" s="88"/>
      <c r="BYV131" s="88"/>
      <c r="BYW131" s="88"/>
      <c r="BYX131" s="88"/>
      <c r="BYY131" s="88"/>
      <c r="BYZ131" s="88"/>
      <c r="BZA131" s="88"/>
      <c r="BZB131" s="88"/>
      <c r="BZC131" s="88"/>
      <c r="BZD131" s="88"/>
      <c r="BZE131" s="88"/>
      <c r="BZF131" s="88"/>
      <c r="BZG131" s="88"/>
      <c r="BZH131" s="88"/>
      <c r="BZI131" s="88"/>
      <c r="BZJ131" s="88"/>
      <c r="BZK131" s="88"/>
      <c r="BZL131" s="88"/>
      <c r="BZM131" s="88"/>
      <c r="BZN131" s="88"/>
      <c r="BZO131" s="88"/>
      <c r="BZP131" s="88"/>
      <c r="BZQ131" s="88"/>
      <c r="BZR131" s="88"/>
      <c r="BZS131" s="88"/>
      <c r="BZT131" s="88"/>
      <c r="BZU131" s="88"/>
      <c r="BZV131" s="88"/>
      <c r="BZW131" s="88"/>
      <c r="BZX131" s="88"/>
      <c r="BZY131" s="88"/>
      <c r="BZZ131" s="88"/>
      <c r="CAA131" s="88"/>
      <c r="CAB131" s="88"/>
      <c r="CAC131" s="88"/>
      <c r="CAD131" s="88"/>
      <c r="CAE131" s="88"/>
      <c r="CAF131" s="88"/>
      <c r="CAG131" s="88"/>
      <c r="CAH131" s="88"/>
      <c r="CAI131" s="88"/>
      <c r="CAJ131" s="88"/>
      <c r="CAK131" s="88"/>
      <c r="CAL131" s="88"/>
      <c r="CAM131" s="88"/>
      <c r="CAN131" s="88"/>
      <c r="CAO131" s="88"/>
      <c r="CAP131" s="88"/>
      <c r="CAQ131" s="88"/>
      <c r="CAR131" s="88"/>
      <c r="CAS131" s="88"/>
      <c r="CAT131" s="88"/>
      <c r="CAU131" s="88"/>
      <c r="CAV131" s="88"/>
      <c r="CAW131" s="88"/>
      <c r="CAX131" s="88"/>
      <c r="CAY131" s="88"/>
      <c r="CAZ131" s="88"/>
      <c r="CBA131" s="88"/>
      <c r="CBB131" s="88"/>
      <c r="CBC131" s="88"/>
      <c r="CBD131" s="88"/>
      <c r="CBE131" s="88"/>
      <c r="CBF131" s="88"/>
      <c r="CBG131" s="88"/>
      <c r="CBH131" s="88"/>
      <c r="CBI131" s="88"/>
      <c r="CBJ131" s="88"/>
      <c r="CBK131" s="88"/>
      <c r="CBL131" s="88"/>
      <c r="CBM131" s="88"/>
      <c r="CBN131" s="88"/>
      <c r="CBO131" s="88"/>
      <c r="CBP131" s="88"/>
      <c r="CBQ131" s="88"/>
      <c r="CBR131" s="88"/>
      <c r="CBS131" s="88"/>
      <c r="CBT131" s="88"/>
      <c r="CBU131" s="88"/>
      <c r="CBV131" s="88"/>
      <c r="CBW131" s="88"/>
      <c r="CBX131" s="88"/>
      <c r="CBY131" s="88"/>
      <c r="CBZ131" s="88"/>
      <c r="CCA131" s="88"/>
      <c r="CCB131" s="88"/>
      <c r="CCC131" s="88"/>
      <c r="CCD131" s="88"/>
      <c r="CCE131" s="88"/>
      <c r="CCF131" s="88"/>
      <c r="CCG131" s="88"/>
      <c r="CCH131" s="88"/>
      <c r="CCI131" s="88"/>
      <c r="CCJ131" s="88"/>
      <c r="CCK131" s="88"/>
      <c r="CCL131" s="88"/>
      <c r="CCM131" s="88"/>
      <c r="CCN131" s="88"/>
      <c r="CCO131" s="88"/>
      <c r="CCP131" s="88"/>
      <c r="CCQ131" s="88"/>
      <c r="CCR131" s="88"/>
      <c r="CCS131" s="88"/>
      <c r="CCT131" s="88"/>
      <c r="CCU131" s="88"/>
      <c r="CCV131" s="88"/>
      <c r="CCW131" s="88"/>
      <c r="CCX131" s="88"/>
      <c r="CCY131" s="88"/>
      <c r="CCZ131" s="88"/>
      <c r="CDA131" s="88"/>
      <c r="CDB131" s="88"/>
      <c r="CDC131" s="88"/>
      <c r="CDD131" s="88"/>
      <c r="CDE131" s="88"/>
      <c r="CDF131" s="88"/>
      <c r="CDG131" s="88"/>
      <c r="CDH131" s="88"/>
      <c r="CDI131" s="88"/>
      <c r="CDJ131" s="88"/>
      <c r="CDK131" s="88"/>
      <c r="CDL131" s="88"/>
      <c r="CDM131" s="88"/>
      <c r="CDN131" s="88"/>
      <c r="CDO131" s="88"/>
      <c r="CDP131" s="88"/>
      <c r="CDQ131" s="88"/>
      <c r="CDR131" s="88"/>
      <c r="CDS131" s="88"/>
      <c r="CDT131" s="88"/>
      <c r="CDU131" s="88"/>
      <c r="CDV131" s="88"/>
      <c r="CDW131" s="88"/>
      <c r="CDX131" s="88"/>
      <c r="CDY131" s="88"/>
      <c r="CDZ131" s="88"/>
      <c r="CEA131" s="88"/>
      <c r="CEB131" s="88"/>
      <c r="CEC131" s="88"/>
      <c r="CED131" s="88"/>
      <c r="CEE131" s="88"/>
      <c r="CEF131" s="88"/>
      <c r="CEG131" s="88"/>
      <c r="CEH131" s="88"/>
      <c r="CEI131" s="88"/>
      <c r="CEJ131" s="88"/>
      <c r="CEK131" s="88"/>
    </row>
    <row r="132" spans="1:2169" s="51" customFormat="1">
      <c r="A132" s="72" t="s">
        <v>815</v>
      </c>
      <c r="B132" s="72" t="s">
        <v>720</v>
      </c>
      <c r="C132" s="69" t="str">
        <f>IF('page 2'!$O$4="","",IF('page 2'!$O$4=Gestion!A132,1,0))</f>
        <v/>
      </c>
      <c r="D132" s="69" t="str">
        <f>IF('page 2'!$O$5="","",IF('page 2'!$O$5=Gestion!A132,1,0))</f>
        <v/>
      </c>
      <c r="E132" s="69" t="str">
        <f>IF('page 2'!$O$6="","",IF('page 2'!$O$6=Gestion!A132,1,0))</f>
        <v/>
      </c>
      <c r="F132" s="69" t="str">
        <f>IF('page 2'!$O$7="","",IF('page 2'!$O$7=Gestion!A132,1,0))</f>
        <v/>
      </c>
      <c r="G132" s="69" t="str">
        <f>IF('page 2'!$O$8="","",IF('page 2'!$O$8=Gestion!A132,1,0))</f>
        <v/>
      </c>
      <c r="H132" s="69" t="str">
        <f>IF('page 2'!$O$9="","",IF('page 2'!$O$9=Gestion!A132,1,0))</f>
        <v/>
      </c>
      <c r="I132" s="69" t="str">
        <f>IF('page 2'!$O$10="","",IF('page 2'!$O$10=Gestion!A132,1,0))</f>
        <v/>
      </c>
      <c r="J132" s="69" t="str">
        <f>IF('page 2'!$O$11="","",IF('page 2'!$O$11=Gestion!A132,1,0))</f>
        <v/>
      </c>
      <c r="K132" s="69" t="str">
        <f>IF('page 2'!$O$12="","",IF('page 2'!$O$12=Gestion!A132,1,0))</f>
        <v/>
      </c>
      <c r="L132" s="69" t="str">
        <f>IF('page 2'!$O$13="","",IF('page 2'!$O$13=Gestion!A132,1,0))</f>
        <v/>
      </c>
      <c r="M132" s="69" t="str">
        <f>IF('page 2'!$O$14="","",IF('page 2'!$O$14=Gestion!A132,1,0))</f>
        <v/>
      </c>
      <c r="N132" s="69" t="str">
        <f>IF('page 2'!$O$15="","",IF('page 2'!$O$15=Gestion!A132,1,0))</f>
        <v/>
      </c>
      <c r="O132" s="69" t="str">
        <f>IF('page 2'!$O$16="","",IF('page 2'!$O$16=Gestion!A132,1,0))</f>
        <v/>
      </c>
      <c r="P132" s="69" t="str">
        <f>IF('page 2'!$O$17="","",IF('page 2'!$O$17=Gestion!A132,1,0))</f>
        <v/>
      </c>
      <c r="Q132" s="69" t="str">
        <f>IF('page 2'!$O$18="","",IF('page 2'!$O$18=Gestion!A132,1,0))</f>
        <v/>
      </c>
      <c r="R132" s="69" t="str">
        <f>IF('page 2'!$O$19="","",IF('page 2'!$O$19=Gestion!A132,1,0))</f>
        <v/>
      </c>
      <c r="S132" s="69" t="str">
        <f>IF('page 2'!$O$20="","",IF('page 2'!$O$20=Gestion!A132,1,0))</f>
        <v/>
      </c>
      <c r="T132" s="69" t="str">
        <f>IF('page 2'!$O$25="","",IF('page 2'!$O$25=Gestion!A132,1,0))</f>
        <v/>
      </c>
      <c r="U132" s="69" t="str">
        <f>IF('page 2'!$O$26="","",IF('page 2'!$O$26=Gestion!A132,1,0))</f>
        <v/>
      </c>
      <c r="V132" s="69" t="str">
        <f>IF('page 2'!$O$27="","",IF('page 2'!$O$27=Gestion!A132,1,0))</f>
        <v/>
      </c>
      <c r="W132" s="723">
        <f t="shared" si="14"/>
        <v>0</v>
      </c>
      <c r="X132" s="713"/>
      <c r="Y132" s="69"/>
      <c r="Z132" s="69"/>
      <c r="AA132" s="69"/>
      <c r="AB132" s="542"/>
      <c r="AC132" s="542"/>
      <c r="AD132" s="542"/>
      <c r="AE132" s="88"/>
      <c r="AP132" s="130"/>
      <c r="AQ132" s="130"/>
      <c r="AR132" s="130"/>
      <c r="AS132" s="576"/>
      <c r="AT132" s="576"/>
      <c r="AU132" s="576"/>
      <c r="AV132" s="576"/>
      <c r="AW132" s="602"/>
      <c r="AX132" s="602"/>
      <c r="AY132" s="576"/>
      <c r="AZ132" s="576"/>
      <c r="BA132" s="576"/>
      <c r="BB132" s="576"/>
      <c r="BC132" s="576"/>
      <c r="BD132" s="602"/>
      <c r="BE132" s="602"/>
      <c r="BF132" s="602"/>
      <c r="BG132" s="602"/>
      <c r="BH132" s="602"/>
      <c r="BI132" s="602"/>
      <c r="BJ132" s="602"/>
      <c r="BK132" s="602"/>
      <c r="BL132" s="602"/>
      <c r="BM132" s="602"/>
      <c r="BN132" s="602"/>
      <c r="BO132" s="602"/>
      <c r="BP132" s="602"/>
      <c r="BQ132" s="602"/>
      <c r="BR132" s="602"/>
      <c r="BS132" s="576"/>
      <c r="BT132" s="576"/>
      <c r="BU132" s="576"/>
      <c r="BV132" s="576"/>
      <c r="BW132" s="602"/>
      <c r="BX132" s="602"/>
      <c r="BY132" s="602"/>
      <c r="BZ132" s="576"/>
      <c r="CA132" s="602"/>
      <c r="CB132" s="602"/>
      <c r="CC132" s="576"/>
      <c r="CD132" s="576"/>
      <c r="CE132" s="602"/>
      <c r="CF132" s="576"/>
      <c r="CG132" s="576"/>
      <c r="CH132" s="576"/>
      <c r="CI132" s="576"/>
      <c r="CJ132" s="576"/>
      <c r="CK132" s="602"/>
      <c r="CL132" s="602"/>
      <c r="CM132" s="576"/>
      <c r="CN132" s="602"/>
      <c r="CO132" s="602"/>
      <c r="CP132" s="602"/>
      <c r="CQ132" s="576"/>
      <c r="CR132" s="576"/>
      <c r="CS132" s="602"/>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c r="HF132" s="88"/>
      <c r="HG132" s="88"/>
      <c r="HH132" s="88"/>
      <c r="HI132" s="88"/>
      <c r="HJ132" s="88"/>
      <c r="HK132" s="88"/>
      <c r="HL132" s="88"/>
      <c r="HM132" s="88"/>
      <c r="HN132" s="88"/>
      <c r="HO132" s="88"/>
      <c r="HP132" s="88"/>
      <c r="HQ132" s="88"/>
      <c r="HR132" s="88"/>
      <c r="HS132" s="88"/>
      <c r="HT132" s="88"/>
      <c r="HU132" s="88"/>
      <c r="HV132" s="88"/>
      <c r="HW132" s="88"/>
      <c r="HX132" s="88"/>
      <c r="HY132" s="88"/>
      <c r="HZ132" s="88"/>
      <c r="IA132" s="88"/>
      <c r="IB132" s="88"/>
      <c r="IC132" s="88"/>
      <c r="ID132" s="88"/>
      <c r="IE132" s="88"/>
      <c r="IF132" s="88"/>
      <c r="IG132" s="88"/>
      <c r="IH132" s="88"/>
      <c r="II132" s="88"/>
      <c r="IJ132" s="88"/>
      <c r="IK132" s="88"/>
      <c r="IL132" s="88"/>
      <c r="IM132" s="88"/>
      <c r="IN132" s="88"/>
      <c r="IO132" s="88"/>
      <c r="IP132" s="88"/>
      <c r="IQ132" s="88"/>
      <c r="IR132" s="88"/>
      <c r="IS132" s="88"/>
      <c r="IT132" s="88"/>
      <c r="IU132" s="88"/>
      <c r="IV132" s="88"/>
      <c r="IW132" s="88"/>
      <c r="IX132" s="88"/>
      <c r="IY132" s="88"/>
      <c r="IZ132" s="88"/>
      <c r="JA132" s="88"/>
      <c r="JB132" s="88"/>
      <c r="JC132" s="88"/>
      <c r="JD132" s="88"/>
      <c r="JE132" s="88"/>
      <c r="JF132" s="88"/>
      <c r="JG132" s="88"/>
      <c r="JH132" s="88"/>
      <c r="JI132" s="88"/>
      <c r="JJ132" s="88"/>
      <c r="JK132" s="88"/>
      <c r="JL132" s="88"/>
      <c r="JM132" s="88"/>
      <c r="JN132" s="88"/>
      <c r="JO132" s="88"/>
      <c r="JP132" s="88"/>
      <c r="JQ132" s="88"/>
      <c r="JR132" s="88"/>
      <c r="JS132" s="88"/>
      <c r="JT132" s="88"/>
      <c r="JU132" s="88"/>
      <c r="JV132" s="88"/>
      <c r="JW132" s="88"/>
      <c r="JX132" s="88"/>
      <c r="JY132" s="88"/>
      <c r="JZ132" s="88"/>
      <c r="KA132" s="88"/>
      <c r="KB132" s="88"/>
      <c r="KC132" s="88"/>
      <c r="KD132" s="88"/>
      <c r="KE132" s="88"/>
      <c r="KF132" s="88"/>
      <c r="KG132" s="88"/>
      <c r="KH132" s="88"/>
      <c r="KI132" s="88"/>
      <c r="KJ132" s="88"/>
      <c r="KK132" s="88"/>
      <c r="KL132" s="88"/>
      <c r="KM132" s="88"/>
      <c r="KN132" s="88"/>
      <c r="KO132" s="88"/>
      <c r="KP132" s="88"/>
      <c r="KQ132" s="88"/>
      <c r="KR132" s="88"/>
      <c r="KS132" s="88"/>
      <c r="KT132" s="88"/>
      <c r="KU132" s="88"/>
      <c r="KV132" s="88"/>
      <c r="KW132" s="88"/>
      <c r="KX132" s="88"/>
      <c r="KY132" s="88"/>
      <c r="KZ132" s="88"/>
      <c r="LA132" s="88"/>
      <c r="LB132" s="88"/>
      <c r="LC132" s="88"/>
      <c r="LD132" s="88"/>
      <c r="LE132" s="88"/>
      <c r="LF132" s="88"/>
      <c r="LG132" s="88"/>
      <c r="LH132" s="88"/>
      <c r="LI132" s="88"/>
      <c r="LJ132" s="88"/>
      <c r="LK132" s="88"/>
      <c r="LL132" s="88"/>
      <c r="LM132" s="88"/>
      <c r="LN132" s="88"/>
      <c r="LO132" s="88"/>
      <c r="LP132" s="88"/>
      <c r="LQ132" s="88"/>
      <c r="LR132" s="88"/>
      <c r="LS132" s="88"/>
      <c r="LT132" s="88"/>
      <c r="LU132" s="88"/>
      <c r="LV132" s="88"/>
      <c r="LW132" s="88"/>
      <c r="LX132" s="88"/>
      <c r="LY132" s="88"/>
      <c r="LZ132" s="88"/>
      <c r="MA132" s="88"/>
      <c r="MB132" s="88"/>
      <c r="MC132" s="88"/>
      <c r="MD132" s="88"/>
      <c r="ME132" s="88"/>
      <c r="MF132" s="88"/>
      <c r="MG132" s="88"/>
      <c r="MH132" s="88"/>
      <c r="MI132" s="88"/>
      <c r="MJ132" s="88"/>
      <c r="MK132" s="88"/>
      <c r="ML132" s="88"/>
      <c r="MM132" s="88"/>
      <c r="MN132" s="88"/>
      <c r="MO132" s="88"/>
      <c r="MP132" s="88"/>
      <c r="MQ132" s="88"/>
      <c r="MR132" s="88"/>
      <c r="MS132" s="88"/>
      <c r="MT132" s="88"/>
      <c r="MU132" s="88"/>
      <c r="MV132" s="88"/>
      <c r="MW132" s="88"/>
      <c r="MX132" s="88"/>
      <c r="MY132" s="88"/>
      <c r="MZ132" s="88"/>
      <c r="NA132" s="88"/>
      <c r="NB132" s="88"/>
      <c r="NC132" s="88"/>
      <c r="ND132" s="88"/>
      <c r="NE132" s="88"/>
      <c r="NF132" s="88"/>
      <c r="NG132" s="88"/>
      <c r="NH132" s="88"/>
      <c r="NI132" s="88"/>
      <c r="NJ132" s="88"/>
      <c r="NK132" s="88"/>
      <c r="NL132" s="88"/>
      <c r="NM132" s="88"/>
      <c r="NN132" s="88"/>
      <c r="NO132" s="88"/>
      <c r="NP132" s="88"/>
      <c r="NQ132" s="88"/>
      <c r="NR132" s="88"/>
      <c r="NS132" s="88"/>
      <c r="NT132" s="88"/>
      <c r="NU132" s="88"/>
      <c r="NV132" s="88"/>
      <c r="NW132" s="88"/>
      <c r="NX132" s="88"/>
      <c r="NY132" s="88"/>
      <c r="NZ132" s="88"/>
      <c r="OA132" s="88"/>
      <c r="OB132" s="88"/>
      <c r="OC132" s="88"/>
      <c r="OD132" s="88"/>
      <c r="OE132" s="88"/>
      <c r="OF132" s="88"/>
      <c r="OG132" s="88"/>
      <c r="OH132" s="88"/>
      <c r="OI132" s="88"/>
      <c r="OJ132" s="88"/>
      <c r="OK132" s="88"/>
      <c r="OL132" s="88"/>
      <c r="OM132" s="88"/>
      <c r="ON132" s="88"/>
      <c r="OO132" s="88"/>
      <c r="OP132" s="88"/>
      <c r="OQ132" s="88"/>
      <c r="OR132" s="88"/>
      <c r="OS132" s="88"/>
      <c r="OT132" s="88"/>
      <c r="OU132" s="88"/>
      <c r="OV132" s="88"/>
      <c r="OW132" s="88"/>
      <c r="OX132" s="88"/>
      <c r="OY132" s="88"/>
      <c r="OZ132" s="88"/>
      <c r="PA132" s="88"/>
      <c r="PB132" s="88"/>
      <c r="PC132" s="88"/>
      <c r="PD132" s="88"/>
      <c r="PE132" s="88"/>
      <c r="PF132" s="88"/>
      <c r="PG132" s="88"/>
      <c r="PH132" s="88"/>
      <c r="PI132" s="88"/>
      <c r="PJ132" s="88"/>
      <c r="PK132" s="88"/>
      <c r="PL132" s="88"/>
      <c r="PM132" s="88"/>
      <c r="PN132" s="88"/>
      <c r="PO132" s="88"/>
      <c r="PP132" s="88"/>
      <c r="PQ132" s="88"/>
      <c r="PR132" s="88"/>
      <c r="PS132" s="88"/>
      <c r="PT132" s="88"/>
      <c r="PU132" s="88"/>
      <c r="PV132" s="88"/>
      <c r="PW132" s="88"/>
      <c r="PX132" s="88"/>
      <c r="PY132" s="88"/>
      <c r="PZ132" s="88"/>
      <c r="QA132" s="88"/>
      <c r="QB132" s="88"/>
      <c r="QC132" s="88"/>
      <c r="QD132" s="88"/>
      <c r="QE132" s="88"/>
      <c r="QF132" s="88"/>
      <c r="QG132" s="88"/>
      <c r="QH132" s="88"/>
      <c r="QI132" s="88"/>
      <c r="QJ132" s="88"/>
      <c r="QK132" s="88"/>
      <c r="QL132" s="88"/>
      <c r="QM132" s="88"/>
      <c r="QN132" s="88"/>
      <c r="QO132" s="88"/>
      <c r="QP132" s="88"/>
      <c r="QQ132" s="88"/>
      <c r="QR132" s="88"/>
      <c r="QS132" s="88"/>
      <c r="QT132" s="88"/>
      <c r="QU132" s="88"/>
      <c r="QV132" s="88"/>
      <c r="QW132" s="88"/>
      <c r="QX132" s="88"/>
      <c r="QY132" s="88"/>
      <c r="QZ132" s="88"/>
      <c r="RA132" s="88"/>
      <c r="RB132" s="88"/>
      <c r="RC132" s="88"/>
      <c r="RD132" s="88"/>
      <c r="RE132" s="88"/>
      <c r="RF132" s="88"/>
      <c r="RG132" s="88"/>
      <c r="RH132" s="88"/>
      <c r="RI132" s="88"/>
      <c r="RJ132" s="88"/>
      <c r="RK132" s="88"/>
      <c r="RL132" s="88"/>
      <c r="RM132" s="88"/>
      <c r="RN132" s="88"/>
      <c r="RO132" s="88"/>
      <c r="RP132" s="88"/>
      <c r="RQ132" s="88"/>
      <c r="RR132" s="88"/>
      <c r="RS132" s="88"/>
      <c r="RT132" s="88"/>
      <c r="RU132" s="88"/>
      <c r="RV132" s="88"/>
      <c r="RW132" s="88"/>
      <c r="RX132" s="88"/>
      <c r="RY132" s="88"/>
      <c r="RZ132" s="88"/>
      <c r="SA132" s="88"/>
      <c r="SB132" s="88"/>
      <c r="SC132" s="88"/>
      <c r="SD132" s="88"/>
      <c r="SE132" s="88"/>
      <c r="SF132" s="88"/>
      <c r="SG132" s="88"/>
      <c r="SH132" s="88"/>
      <c r="SI132" s="88"/>
      <c r="SJ132" s="88"/>
      <c r="SK132" s="88"/>
      <c r="SL132" s="88"/>
      <c r="SM132" s="88"/>
      <c r="SN132" s="88"/>
      <c r="SO132" s="88"/>
      <c r="SP132" s="88"/>
      <c r="SQ132" s="88"/>
      <c r="SR132" s="88"/>
      <c r="SS132" s="88"/>
      <c r="ST132" s="88"/>
      <c r="SU132" s="88"/>
      <c r="SV132" s="88"/>
      <c r="SW132" s="88"/>
      <c r="SX132" s="88"/>
      <c r="SY132" s="88"/>
      <c r="SZ132" s="88"/>
      <c r="TA132" s="88"/>
      <c r="TB132" s="88"/>
      <c r="TC132" s="88"/>
      <c r="TD132" s="88"/>
      <c r="TE132" s="88"/>
      <c r="TF132" s="88"/>
      <c r="TG132" s="88"/>
      <c r="TH132" s="88"/>
      <c r="TI132" s="88"/>
      <c r="TJ132" s="88"/>
      <c r="TK132" s="88"/>
      <c r="TL132" s="88"/>
      <c r="TM132" s="88"/>
      <c r="TN132" s="88"/>
      <c r="TO132" s="88"/>
      <c r="TP132" s="88"/>
      <c r="TQ132" s="88"/>
      <c r="TR132" s="88"/>
      <c r="TS132" s="88"/>
      <c r="TT132" s="88"/>
      <c r="TU132" s="88"/>
      <c r="TV132" s="88"/>
      <c r="TW132" s="88"/>
      <c r="TX132" s="88"/>
      <c r="TY132" s="88"/>
      <c r="TZ132" s="88"/>
      <c r="UA132" s="88"/>
      <c r="UB132" s="88"/>
      <c r="UC132" s="88"/>
      <c r="UD132" s="88"/>
      <c r="UE132" s="88"/>
      <c r="UF132" s="88"/>
      <c r="UG132" s="88"/>
      <c r="UH132" s="88"/>
      <c r="UI132" s="88"/>
      <c r="UJ132" s="88"/>
      <c r="UK132" s="88"/>
      <c r="UL132" s="88"/>
      <c r="UM132" s="88"/>
      <c r="UN132" s="88"/>
      <c r="UO132" s="88"/>
      <c r="UP132" s="88"/>
      <c r="UQ132" s="88"/>
      <c r="UR132" s="88"/>
      <c r="US132" s="88"/>
      <c r="UT132" s="88"/>
      <c r="UU132" s="88"/>
      <c r="UV132" s="88"/>
      <c r="UW132" s="88"/>
      <c r="UX132" s="88"/>
      <c r="UY132" s="88"/>
      <c r="UZ132" s="88"/>
      <c r="VA132" s="88"/>
      <c r="VB132" s="88"/>
      <c r="VC132" s="88"/>
      <c r="VD132" s="88"/>
      <c r="VE132" s="88"/>
      <c r="VF132" s="88"/>
      <c r="VG132" s="88"/>
      <c r="VH132" s="88"/>
      <c r="VI132" s="88"/>
      <c r="VJ132" s="88"/>
      <c r="VK132" s="88"/>
      <c r="VL132" s="88"/>
      <c r="VM132" s="88"/>
      <c r="VN132" s="88"/>
      <c r="VO132" s="88"/>
      <c r="VP132" s="88"/>
      <c r="VQ132" s="88"/>
      <c r="VR132" s="88"/>
      <c r="VS132" s="88"/>
      <c r="VT132" s="88"/>
      <c r="VU132" s="88"/>
      <c r="VV132" s="88"/>
      <c r="VW132" s="88"/>
      <c r="VX132" s="88"/>
      <c r="VY132" s="88"/>
      <c r="VZ132" s="88"/>
      <c r="WA132" s="88"/>
      <c r="WB132" s="88"/>
      <c r="WC132" s="88"/>
      <c r="WD132" s="88"/>
      <c r="WE132" s="88"/>
      <c r="WF132" s="88"/>
      <c r="WG132" s="88"/>
      <c r="WH132" s="88"/>
      <c r="WI132" s="88"/>
      <c r="WJ132" s="88"/>
      <c r="WK132" s="88"/>
      <c r="WL132" s="88"/>
      <c r="WM132" s="88"/>
      <c r="WN132" s="88"/>
      <c r="WO132" s="88"/>
      <c r="WP132" s="88"/>
      <c r="WQ132" s="88"/>
      <c r="WR132" s="88"/>
      <c r="WS132" s="88"/>
      <c r="WT132" s="88"/>
      <c r="WU132" s="88"/>
      <c r="WV132" s="88"/>
      <c r="WW132" s="88"/>
      <c r="WX132" s="88"/>
      <c r="WY132" s="88"/>
      <c r="WZ132" s="88"/>
      <c r="XA132" s="88"/>
      <c r="XB132" s="88"/>
      <c r="XC132" s="88"/>
      <c r="XD132" s="88"/>
      <c r="XE132" s="88"/>
      <c r="XF132" s="88"/>
      <c r="XG132" s="88"/>
      <c r="XH132" s="88"/>
      <c r="XI132" s="88"/>
      <c r="XJ132" s="88"/>
      <c r="XK132" s="88"/>
      <c r="XL132" s="88"/>
      <c r="XM132" s="88"/>
      <c r="XN132" s="88"/>
      <c r="XO132" s="88"/>
      <c r="XP132" s="88"/>
      <c r="XQ132" s="88"/>
      <c r="XR132" s="88"/>
      <c r="XS132" s="88"/>
      <c r="XT132" s="88"/>
      <c r="XU132" s="88"/>
      <c r="XV132" s="88"/>
      <c r="XW132" s="88"/>
      <c r="XX132" s="88"/>
      <c r="XY132" s="88"/>
      <c r="XZ132" s="88"/>
      <c r="YA132" s="88"/>
      <c r="YB132" s="88"/>
      <c r="YC132" s="88"/>
      <c r="YD132" s="88"/>
      <c r="YE132" s="88"/>
      <c r="YF132" s="88"/>
      <c r="YG132" s="88"/>
      <c r="YH132" s="88"/>
      <c r="YI132" s="88"/>
      <c r="YJ132" s="88"/>
      <c r="YK132" s="88"/>
      <c r="YL132" s="88"/>
      <c r="YM132" s="88"/>
      <c r="YN132" s="88"/>
      <c r="YO132" s="88"/>
      <c r="YP132" s="88"/>
      <c r="YQ132" s="88"/>
      <c r="YR132" s="88"/>
      <c r="YS132" s="88"/>
      <c r="YT132" s="88"/>
      <c r="YU132" s="88"/>
      <c r="YV132" s="88"/>
      <c r="YW132" s="88"/>
      <c r="YX132" s="88"/>
      <c r="YY132" s="88"/>
      <c r="YZ132" s="88"/>
      <c r="ZA132" s="88"/>
      <c r="ZB132" s="88"/>
      <c r="ZC132" s="88"/>
      <c r="ZD132" s="88"/>
      <c r="ZE132" s="88"/>
      <c r="ZF132" s="88"/>
      <c r="ZG132" s="88"/>
      <c r="ZH132" s="88"/>
      <c r="ZI132" s="88"/>
      <c r="ZJ132" s="88"/>
      <c r="ZK132" s="88"/>
      <c r="ZL132" s="88"/>
      <c r="ZM132" s="88"/>
      <c r="ZN132" s="88"/>
      <c r="ZO132" s="88"/>
      <c r="ZP132" s="88"/>
      <c r="ZQ132" s="88"/>
      <c r="ZR132" s="88"/>
      <c r="ZS132" s="88"/>
      <c r="ZT132" s="88"/>
      <c r="ZU132" s="88"/>
      <c r="ZV132" s="88"/>
      <c r="ZW132" s="88"/>
      <c r="ZX132" s="88"/>
      <c r="ZY132" s="88"/>
      <c r="ZZ132" s="88"/>
      <c r="AAA132" s="88"/>
      <c r="AAB132" s="88"/>
      <c r="AAC132" s="88"/>
      <c r="AAD132" s="88"/>
      <c r="AAE132" s="88"/>
      <c r="AAF132" s="88"/>
      <c r="AAG132" s="88"/>
      <c r="AAH132" s="88"/>
      <c r="AAI132" s="88"/>
      <c r="AAJ132" s="88"/>
      <c r="AAK132" s="88"/>
      <c r="AAL132" s="88"/>
      <c r="AAM132" s="88"/>
      <c r="AAN132" s="88"/>
      <c r="AAO132" s="88"/>
      <c r="AAP132" s="88"/>
      <c r="AAQ132" s="88"/>
      <c r="AAR132" s="88"/>
      <c r="AAS132" s="88"/>
      <c r="AAT132" s="88"/>
      <c r="AAU132" s="88"/>
      <c r="AAV132" s="88"/>
      <c r="AAW132" s="88"/>
      <c r="AAX132" s="88"/>
      <c r="AAY132" s="88"/>
      <c r="AAZ132" s="88"/>
      <c r="ABA132" s="88"/>
      <c r="ABB132" s="88"/>
      <c r="ABC132" s="88"/>
      <c r="ABD132" s="88"/>
      <c r="ABE132" s="88"/>
      <c r="ABF132" s="88"/>
      <c r="ABG132" s="88"/>
      <c r="ABH132" s="88"/>
      <c r="ABI132" s="88"/>
      <c r="ABJ132" s="88"/>
      <c r="ABK132" s="88"/>
      <c r="ABL132" s="88"/>
      <c r="ABM132" s="88"/>
      <c r="ABN132" s="88"/>
      <c r="ABO132" s="88"/>
      <c r="ABP132" s="88"/>
      <c r="ABQ132" s="88"/>
      <c r="ABR132" s="88"/>
      <c r="ABS132" s="88"/>
      <c r="ABT132" s="88"/>
      <c r="ABU132" s="88"/>
      <c r="ABV132" s="88"/>
      <c r="ABW132" s="88"/>
      <c r="ABX132" s="88"/>
      <c r="ABY132" s="88"/>
      <c r="ABZ132" s="88"/>
      <c r="ACA132" s="88"/>
      <c r="ACB132" s="88"/>
      <c r="ACC132" s="88"/>
      <c r="ACD132" s="88"/>
      <c r="ACE132" s="88"/>
      <c r="ACF132" s="88"/>
      <c r="ACG132" s="88"/>
      <c r="ACH132" s="88"/>
      <c r="ACI132" s="88"/>
      <c r="ACJ132" s="88"/>
      <c r="ACK132" s="88"/>
      <c r="ACL132" s="88"/>
      <c r="ACM132" s="88"/>
      <c r="ACN132" s="88"/>
      <c r="ACO132" s="88"/>
      <c r="ACP132" s="88"/>
      <c r="ACQ132" s="88"/>
      <c r="ACR132" s="88"/>
      <c r="ACS132" s="88"/>
      <c r="ACT132" s="88"/>
      <c r="ACU132" s="88"/>
      <c r="ACV132" s="88"/>
      <c r="ACW132" s="88"/>
      <c r="ACX132" s="88"/>
      <c r="ACY132" s="88"/>
      <c r="ACZ132" s="88"/>
      <c r="ADA132" s="88"/>
      <c r="ADB132" s="88"/>
      <c r="ADC132" s="88"/>
      <c r="ADD132" s="88"/>
      <c r="ADE132" s="88"/>
      <c r="ADF132" s="88"/>
      <c r="ADG132" s="88"/>
      <c r="ADH132" s="88"/>
      <c r="ADI132" s="88"/>
      <c r="ADJ132" s="88"/>
      <c r="ADK132" s="88"/>
      <c r="ADL132" s="88"/>
      <c r="ADM132" s="88"/>
      <c r="ADN132" s="88"/>
      <c r="ADO132" s="88"/>
      <c r="ADP132" s="88"/>
      <c r="ADQ132" s="88"/>
      <c r="ADR132" s="88"/>
      <c r="ADS132" s="88"/>
      <c r="ADT132" s="88"/>
      <c r="ADU132" s="88"/>
      <c r="ADV132" s="88"/>
      <c r="ADW132" s="88"/>
      <c r="ADX132" s="88"/>
      <c r="ADY132" s="88"/>
      <c r="ADZ132" s="88"/>
      <c r="AEA132" s="88"/>
      <c r="AEB132" s="88"/>
      <c r="AEC132" s="88"/>
      <c r="AED132" s="88"/>
      <c r="AEE132" s="88"/>
      <c r="AEF132" s="88"/>
      <c r="AEG132" s="88"/>
      <c r="AEH132" s="88"/>
      <c r="AEI132" s="88"/>
      <c r="AEJ132" s="88"/>
      <c r="AEK132" s="88"/>
      <c r="AEL132" s="88"/>
      <c r="AEM132" s="88"/>
      <c r="AEN132" s="88"/>
      <c r="AEO132" s="88"/>
      <c r="AEP132" s="88"/>
      <c r="AEQ132" s="88"/>
      <c r="AER132" s="88"/>
      <c r="AES132" s="88"/>
      <c r="AET132" s="88"/>
      <c r="AEU132" s="88"/>
      <c r="AEV132" s="88"/>
      <c r="AEW132" s="88"/>
      <c r="AEX132" s="88"/>
      <c r="AEY132" s="88"/>
      <c r="AEZ132" s="88"/>
      <c r="AFA132" s="88"/>
      <c r="AFB132" s="88"/>
      <c r="AFC132" s="88"/>
      <c r="AFD132" s="88"/>
      <c r="AFE132" s="88"/>
      <c r="AFF132" s="88"/>
      <c r="AFG132" s="88"/>
      <c r="AFH132" s="88"/>
      <c r="AFI132" s="88"/>
      <c r="AFJ132" s="88"/>
      <c r="AFK132" s="88"/>
      <c r="AFL132" s="88"/>
      <c r="AFM132" s="88"/>
      <c r="AFN132" s="88"/>
      <c r="AFO132" s="88"/>
      <c r="AFP132" s="88"/>
      <c r="AFQ132" s="88"/>
      <c r="AFR132" s="88"/>
      <c r="AFS132" s="88"/>
      <c r="AFT132" s="88"/>
      <c r="AFU132" s="88"/>
      <c r="AFV132" s="88"/>
      <c r="AFW132" s="88"/>
      <c r="AFX132" s="88"/>
      <c r="AFY132" s="88"/>
      <c r="AFZ132" s="88"/>
      <c r="AGA132" s="88"/>
      <c r="AGB132" s="88"/>
      <c r="AGC132" s="88"/>
      <c r="AGD132" s="88"/>
      <c r="AGE132" s="88"/>
      <c r="AGF132" s="88"/>
      <c r="AGG132" s="88"/>
      <c r="AGH132" s="88"/>
      <c r="AGI132" s="88"/>
      <c r="AGJ132" s="88"/>
      <c r="AGK132" s="88"/>
      <c r="AGL132" s="88"/>
      <c r="AGM132" s="88"/>
      <c r="AGN132" s="88"/>
      <c r="AGO132" s="88"/>
      <c r="AGP132" s="88"/>
      <c r="AGQ132" s="88"/>
      <c r="AGR132" s="88"/>
      <c r="AGS132" s="88"/>
      <c r="AGT132" s="88"/>
      <c r="AGU132" s="88"/>
      <c r="AGV132" s="88"/>
      <c r="AGW132" s="88"/>
      <c r="AGX132" s="88"/>
      <c r="AGY132" s="88"/>
      <c r="AGZ132" s="88"/>
      <c r="AHA132" s="88"/>
      <c r="AHB132" s="88"/>
      <c r="AHC132" s="88"/>
      <c r="AHD132" s="88"/>
      <c r="AHE132" s="88"/>
      <c r="AHF132" s="88"/>
      <c r="AHG132" s="88"/>
      <c r="AHH132" s="88"/>
      <c r="AHI132" s="88"/>
      <c r="AHJ132" s="88"/>
      <c r="AHK132" s="88"/>
      <c r="AHL132" s="88"/>
      <c r="AHM132" s="88"/>
      <c r="AHN132" s="88"/>
      <c r="AHO132" s="88"/>
      <c r="AHP132" s="88"/>
      <c r="AHQ132" s="88"/>
      <c r="AHR132" s="88"/>
      <c r="AHS132" s="88"/>
      <c r="AHT132" s="88"/>
      <c r="AHU132" s="88"/>
      <c r="AHV132" s="88"/>
      <c r="AHW132" s="88"/>
      <c r="AHX132" s="88"/>
      <c r="AHY132" s="88"/>
      <c r="AHZ132" s="88"/>
      <c r="AIA132" s="88"/>
      <c r="AIB132" s="88"/>
      <c r="AIC132" s="88"/>
      <c r="AID132" s="88"/>
      <c r="AIE132" s="88"/>
      <c r="AIF132" s="88"/>
      <c r="AIG132" s="88"/>
      <c r="AIH132" s="88"/>
      <c r="AII132" s="88"/>
      <c r="AIJ132" s="88"/>
      <c r="AIK132" s="88"/>
      <c r="AIL132" s="88"/>
      <c r="AIM132" s="88"/>
      <c r="AIN132" s="88"/>
      <c r="AIO132" s="88"/>
      <c r="AIP132" s="88"/>
      <c r="AIQ132" s="88"/>
      <c r="AIR132" s="88"/>
      <c r="AIS132" s="88"/>
      <c r="AIT132" s="88"/>
      <c r="AIU132" s="88"/>
      <c r="AIV132" s="88"/>
      <c r="AIW132" s="88"/>
      <c r="AIX132" s="88"/>
      <c r="AIY132" s="88"/>
      <c r="AIZ132" s="88"/>
      <c r="AJA132" s="88"/>
      <c r="AJB132" s="88"/>
      <c r="AJC132" s="88"/>
      <c r="AJD132" s="88"/>
      <c r="AJE132" s="88"/>
      <c r="AJF132" s="88"/>
      <c r="AJG132" s="88"/>
      <c r="AJH132" s="88"/>
      <c r="AJI132" s="88"/>
      <c r="AJJ132" s="88"/>
      <c r="AJK132" s="88"/>
      <c r="AJL132" s="88"/>
      <c r="AJM132" s="88"/>
      <c r="AJN132" s="88"/>
      <c r="AJO132" s="88"/>
      <c r="AJP132" s="88"/>
      <c r="AJQ132" s="88"/>
      <c r="AJR132" s="88"/>
      <c r="AJS132" s="88"/>
      <c r="AJT132" s="88"/>
      <c r="AJU132" s="88"/>
      <c r="AJV132" s="88"/>
      <c r="AJW132" s="88"/>
      <c r="AJX132" s="88"/>
      <c r="AJY132" s="88"/>
      <c r="AJZ132" s="88"/>
      <c r="AKA132" s="88"/>
      <c r="AKB132" s="88"/>
      <c r="AKC132" s="88"/>
      <c r="AKD132" s="88"/>
      <c r="AKE132" s="88"/>
      <c r="AKF132" s="88"/>
      <c r="AKG132" s="88"/>
      <c r="AKH132" s="88"/>
      <c r="AKI132" s="88"/>
      <c r="AKJ132" s="88"/>
      <c r="AKK132" s="88"/>
      <c r="AKL132" s="88"/>
      <c r="AKM132" s="88"/>
      <c r="AKN132" s="88"/>
      <c r="AKO132" s="88"/>
      <c r="AKP132" s="88"/>
      <c r="AKQ132" s="88"/>
      <c r="AKR132" s="88"/>
      <c r="AKS132" s="88"/>
      <c r="AKT132" s="88"/>
      <c r="AKU132" s="88"/>
      <c r="AKV132" s="88"/>
      <c r="AKW132" s="88"/>
      <c r="AKX132" s="88"/>
      <c r="AKY132" s="88"/>
      <c r="AKZ132" s="88"/>
      <c r="ALA132" s="88"/>
      <c r="ALB132" s="88"/>
      <c r="ALC132" s="88"/>
      <c r="ALD132" s="88"/>
      <c r="ALE132" s="88"/>
      <c r="ALF132" s="88"/>
      <c r="ALG132" s="88"/>
      <c r="ALH132" s="88"/>
      <c r="ALI132" s="88"/>
      <c r="ALJ132" s="88"/>
      <c r="ALK132" s="88"/>
      <c r="ALL132" s="88"/>
      <c r="ALM132" s="88"/>
      <c r="ALN132" s="88"/>
      <c r="ALO132" s="88"/>
      <c r="ALP132" s="88"/>
      <c r="ALQ132" s="88"/>
      <c r="ALR132" s="88"/>
      <c r="ALS132" s="88"/>
      <c r="ALT132" s="88"/>
      <c r="ALU132" s="88"/>
      <c r="ALV132" s="88"/>
      <c r="ALW132" s="88"/>
      <c r="ALX132" s="88"/>
      <c r="ALY132" s="88"/>
      <c r="ALZ132" s="88"/>
      <c r="AMA132" s="88"/>
      <c r="AMB132" s="88"/>
      <c r="AMC132" s="88"/>
      <c r="AMD132" s="88"/>
      <c r="AME132" s="88"/>
      <c r="AMF132" s="88"/>
      <c r="AMG132" s="88"/>
      <c r="AMH132" s="88"/>
      <c r="AMI132" s="88"/>
      <c r="AMJ132" s="88"/>
      <c r="AMK132" s="88"/>
      <c r="AML132" s="88"/>
      <c r="AMM132" s="88"/>
      <c r="AMN132" s="88"/>
      <c r="AMO132" s="88"/>
      <c r="AMP132" s="88"/>
      <c r="AMQ132" s="88"/>
      <c r="AMR132" s="88"/>
      <c r="AMS132" s="88"/>
      <c r="AMT132" s="88"/>
      <c r="AMU132" s="88"/>
      <c r="AMV132" s="88"/>
      <c r="AMW132" s="88"/>
      <c r="AMX132" s="88"/>
      <c r="AMY132" s="88"/>
      <c r="AMZ132" s="88"/>
      <c r="ANA132" s="88"/>
      <c r="ANB132" s="88"/>
      <c r="ANC132" s="88"/>
      <c r="AND132" s="88"/>
      <c r="ANE132" s="88"/>
      <c r="ANF132" s="88"/>
      <c r="ANG132" s="88"/>
      <c r="ANH132" s="88"/>
      <c r="ANI132" s="88"/>
      <c r="ANJ132" s="88"/>
      <c r="ANK132" s="88"/>
      <c r="ANL132" s="88"/>
      <c r="ANM132" s="88"/>
      <c r="ANN132" s="88"/>
      <c r="ANO132" s="88"/>
      <c r="ANP132" s="88"/>
      <c r="ANQ132" s="88"/>
      <c r="ANR132" s="88"/>
      <c r="ANS132" s="88"/>
      <c r="ANT132" s="88"/>
      <c r="ANU132" s="88"/>
      <c r="ANV132" s="88"/>
      <c r="ANW132" s="88"/>
      <c r="ANX132" s="88"/>
      <c r="ANY132" s="88"/>
      <c r="ANZ132" s="88"/>
      <c r="AOA132" s="88"/>
      <c r="AOB132" s="88"/>
      <c r="AOC132" s="88"/>
      <c r="AOD132" s="88"/>
      <c r="AOE132" s="88"/>
      <c r="AOF132" s="88"/>
      <c r="AOG132" s="88"/>
      <c r="AOH132" s="88"/>
      <c r="AOI132" s="88"/>
      <c r="AOJ132" s="88"/>
      <c r="AOK132" s="88"/>
      <c r="AOL132" s="88"/>
      <c r="AOM132" s="88"/>
      <c r="AON132" s="88"/>
      <c r="AOO132" s="88"/>
      <c r="AOP132" s="88"/>
      <c r="AOQ132" s="88"/>
      <c r="AOR132" s="88"/>
      <c r="AOS132" s="88"/>
      <c r="AOT132" s="88"/>
      <c r="AOU132" s="88"/>
      <c r="AOV132" s="88"/>
      <c r="AOW132" s="88"/>
      <c r="AOX132" s="88"/>
      <c r="AOY132" s="88"/>
      <c r="AOZ132" s="88"/>
      <c r="APA132" s="88"/>
      <c r="APB132" s="88"/>
      <c r="APC132" s="88"/>
      <c r="APD132" s="88"/>
      <c r="APE132" s="88"/>
      <c r="APF132" s="88"/>
      <c r="APG132" s="88"/>
      <c r="APH132" s="88"/>
      <c r="API132" s="88"/>
      <c r="APJ132" s="88"/>
      <c r="APK132" s="88"/>
      <c r="APL132" s="88"/>
      <c r="APM132" s="88"/>
      <c r="APN132" s="88"/>
      <c r="APO132" s="88"/>
      <c r="APP132" s="88"/>
      <c r="APQ132" s="88"/>
      <c r="APR132" s="88"/>
      <c r="APS132" s="88"/>
      <c r="APT132" s="88"/>
      <c r="APU132" s="88"/>
      <c r="APV132" s="88"/>
      <c r="APW132" s="88"/>
      <c r="APX132" s="88"/>
      <c r="APY132" s="88"/>
      <c r="APZ132" s="88"/>
      <c r="AQA132" s="88"/>
      <c r="AQB132" s="88"/>
      <c r="AQC132" s="88"/>
      <c r="AQD132" s="88"/>
      <c r="AQE132" s="88"/>
      <c r="AQF132" s="88"/>
      <c r="AQG132" s="88"/>
      <c r="AQH132" s="88"/>
      <c r="AQI132" s="88"/>
      <c r="AQJ132" s="88"/>
      <c r="AQK132" s="88"/>
      <c r="AQL132" s="88"/>
      <c r="AQM132" s="88"/>
      <c r="AQN132" s="88"/>
      <c r="AQO132" s="88"/>
      <c r="AQP132" s="88"/>
      <c r="AQQ132" s="88"/>
      <c r="AQR132" s="88"/>
      <c r="AQS132" s="88"/>
      <c r="AQT132" s="88"/>
      <c r="AQU132" s="88"/>
      <c r="AQV132" s="88"/>
      <c r="AQW132" s="88"/>
      <c r="AQX132" s="88"/>
      <c r="AQY132" s="88"/>
      <c r="AQZ132" s="88"/>
      <c r="ARA132" s="88"/>
      <c r="ARB132" s="88"/>
      <c r="ARC132" s="88"/>
      <c r="ARD132" s="88"/>
      <c r="ARE132" s="88"/>
      <c r="ARF132" s="88"/>
      <c r="ARG132" s="88"/>
      <c r="ARH132" s="88"/>
      <c r="ARI132" s="88"/>
      <c r="ARJ132" s="88"/>
      <c r="ARK132" s="88"/>
      <c r="ARL132" s="88"/>
      <c r="ARM132" s="88"/>
      <c r="ARN132" s="88"/>
      <c r="ARO132" s="88"/>
      <c r="ARP132" s="88"/>
      <c r="ARQ132" s="88"/>
      <c r="ARR132" s="88"/>
      <c r="ARS132" s="88"/>
      <c r="ART132" s="88"/>
      <c r="ARU132" s="88"/>
      <c r="ARV132" s="88"/>
      <c r="ARW132" s="88"/>
      <c r="ARX132" s="88"/>
      <c r="ARY132" s="88"/>
      <c r="ARZ132" s="88"/>
      <c r="ASA132" s="88"/>
      <c r="ASB132" s="88"/>
      <c r="ASC132" s="88"/>
      <c r="ASD132" s="88"/>
      <c r="ASE132" s="88"/>
      <c r="ASF132" s="88"/>
      <c r="ASG132" s="88"/>
      <c r="ASH132" s="88"/>
      <c r="ASI132" s="88"/>
      <c r="ASJ132" s="88"/>
      <c r="ASK132" s="88"/>
      <c r="ASL132" s="88"/>
      <c r="ASM132" s="88"/>
      <c r="ASN132" s="88"/>
      <c r="ASO132" s="88"/>
      <c r="ASP132" s="88"/>
      <c r="ASQ132" s="88"/>
      <c r="ASR132" s="88"/>
      <c r="ASS132" s="88"/>
      <c r="AST132" s="88"/>
      <c r="ASU132" s="88"/>
      <c r="ASV132" s="88"/>
      <c r="ASW132" s="88"/>
      <c r="ASX132" s="88"/>
      <c r="ASY132" s="88"/>
      <c r="ASZ132" s="88"/>
      <c r="ATA132" s="88"/>
      <c r="ATB132" s="88"/>
      <c r="ATC132" s="88"/>
      <c r="ATD132" s="88"/>
      <c r="ATE132" s="88"/>
      <c r="ATF132" s="88"/>
      <c r="ATG132" s="88"/>
      <c r="ATH132" s="88"/>
      <c r="ATI132" s="88"/>
      <c r="ATJ132" s="88"/>
      <c r="ATK132" s="88"/>
      <c r="ATL132" s="88"/>
      <c r="ATM132" s="88"/>
      <c r="ATN132" s="88"/>
      <c r="ATO132" s="88"/>
      <c r="ATP132" s="88"/>
      <c r="ATQ132" s="88"/>
      <c r="ATR132" s="88"/>
      <c r="ATS132" s="88"/>
      <c r="ATT132" s="88"/>
      <c r="ATU132" s="88"/>
      <c r="ATV132" s="88"/>
      <c r="ATW132" s="88"/>
      <c r="ATX132" s="88"/>
      <c r="ATY132" s="88"/>
      <c r="ATZ132" s="88"/>
      <c r="AUA132" s="88"/>
      <c r="AUB132" s="88"/>
      <c r="AUC132" s="88"/>
      <c r="AUD132" s="88"/>
      <c r="AUE132" s="88"/>
      <c r="AUF132" s="88"/>
      <c r="AUG132" s="88"/>
      <c r="AUH132" s="88"/>
      <c r="AUI132" s="88"/>
      <c r="AUJ132" s="88"/>
      <c r="AUK132" s="88"/>
      <c r="AUL132" s="88"/>
      <c r="AUM132" s="88"/>
      <c r="AUN132" s="88"/>
      <c r="AUO132" s="88"/>
      <c r="AUP132" s="88"/>
      <c r="AUQ132" s="88"/>
      <c r="AUR132" s="88"/>
      <c r="AUS132" s="88"/>
      <c r="AUT132" s="88"/>
      <c r="AUU132" s="88"/>
      <c r="AUV132" s="88"/>
      <c r="AUW132" s="88"/>
      <c r="AUX132" s="88"/>
      <c r="AUY132" s="88"/>
      <c r="AUZ132" s="88"/>
      <c r="AVA132" s="88"/>
      <c r="AVB132" s="88"/>
      <c r="AVC132" s="88"/>
      <c r="AVD132" s="88"/>
      <c r="AVE132" s="88"/>
      <c r="AVF132" s="88"/>
      <c r="AVG132" s="88"/>
      <c r="AVH132" s="88"/>
      <c r="AVI132" s="88"/>
      <c r="AVJ132" s="88"/>
      <c r="AVK132" s="88"/>
      <c r="AVL132" s="88"/>
      <c r="AVM132" s="88"/>
      <c r="AVN132" s="88"/>
      <c r="AVO132" s="88"/>
      <c r="AVP132" s="88"/>
      <c r="AVQ132" s="88"/>
      <c r="AVR132" s="88"/>
      <c r="AVS132" s="88"/>
      <c r="AVT132" s="88"/>
      <c r="AVU132" s="88"/>
      <c r="AVV132" s="88"/>
      <c r="AVW132" s="88"/>
      <c r="AVX132" s="88"/>
      <c r="AVY132" s="88"/>
      <c r="AVZ132" s="88"/>
      <c r="AWA132" s="88"/>
      <c r="AWB132" s="88"/>
      <c r="AWC132" s="88"/>
      <c r="AWD132" s="88"/>
      <c r="AWE132" s="88"/>
      <c r="AWF132" s="88"/>
      <c r="AWG132" s="88"/>
      <c r="AWH132" s="88"/>
      <c r="AWI132" s="88"/>
      <c r="AWJ132" s="88"/>
      <c r="AWK132" s="88"/>
      <c r="AWL132" s="88"/>
      <c r="AWM132" s="88"/>
      <c r="AWN132" s="88"/>
      <c r="AWO132" s="88"/>
      <c r="AWP132" s="88"/>
      <c r="AWQ132" s="88"/>
      <c r="AWR132" s="88"/>
      <c r="AWS132" s="88"/>
      <c r="AWT132" s="88"/>
      <c r="AWU132" s="88"/>
      <c r="AWV132" s="88"/>
      <c r="AWW132" s="88"/>
      <c r="AWX132" s="88"/>
      <c r="AWY132" s="88"/>
      <c r="AWZ132" s="88"/>
      <c r="AXA132" s="88"/>
      <c r="AXB132" s="88"/>
      <c r="AXC132" s="88"/>
      <c r="AXD132" s="88"/>
      <c r="AXE132" s="88"/>
      <c r="AXF132" s="88"/>
      <c r="AXG132" s="88"/>
      <c r="AXH132" s="88"/>
      <c r="AXI132" s="88"/>
      <c r="AXJ132" s="88"/>
      <c r="AXK132" s="88"/>
      <c r="AXL132" s="88"/>
      <c r="AXM132" s="88"/>
      <c r="AXN132" s="88"/>
      <c r="AXO132" s="88"/>
      <c r="AXP132" s="88"/>
      <c r="AXQ132" s="88"/>
      <c r="AXR132" s="88"/>
      <c r="AXS132" s="88"/>
      <c r="AXT132" s="88"/>
      <c r="AXU132" s="88"/>
      <c r="AXV132" s="88"/>
      <c r="AXW132" s="88"/>
      <c r="AXX132" s="88"/>
      <c r="AXY132" s="88"/>
      <c r="AXZ132" s="88"/>
      <c r="AYA132" s="88"/>
      <c r="AYB132" s="88"/>
      <c r="AYC132" s="88"/>
      <c r="AYD132" s="88"/>
      <c r="AYE132" s="88"/>
      <c r="AYF132" s="88"/>
      <c r="AYG132" s="88"/>
      <c r="AYH132" s="88"/>
      <c r="AYI132" s="88"/>
      <c r="AYJ132" s="88"/>
      <c r="AYK132" s="88"/>
      <c r="AYL132" s="88"/>
      <c r="AYM132" s="88"/>
      <c r="AYN132" s="88"/>
      <c r="AYO132" s="88"/>
      <c r="AYP132" s="88"/>
      <c r="AYQ132" s="88"/>
      <c r="AYR132" s="88"/>
      <c r="AYS132" s="88"/>
      <c r="AYT132" s="88"/>
      <c r="AYU132" s="88"/>
      <c r="AYV132" s="88"/>
      <c r="AYW132" s="88"/>
      <c r="AYX132" s="88"/>
      <c r="AYY132" s="88"/>
      <c r="AYZ132" s="88"/>
      <c r="AZA132" s="88"/>
      <c r="AZB132" s="88"/>
      <c r="AZC132" s="88"/>
      <c r="AZD132" s="88"/>
      <c r="AZE132" s="88"/>
      <c r="AZF132" s="88"/>
      <c r="AZG132" s="88"/>
      <c r="AZH132" s="88"/>
      <c r="AZI132" s="88"/>
      <c r="AZJ132" s="88"/>
      <c r="AZK132" s="88"/>
      <c r="AZL132" s="88"/>
      <c r="AZM132" s="88"/>
      <c r="AZN132" s="88"/>
      <c r="AZO132" s="88"/>
      <c r="AZP132" s="88"/>
      <c r="AZQ132" s="88"/>
      <c r="AZR132" s="88"/>
      <c r="AZS132" s="88"/>
      <c r="AZT132" s="88"/>
      <c r="AZU132" s="88"/>
      <c r="AZV132" s="88"/>
      <c r="AZW132" s="88"/>
      <c r="AZX132" s="88"/>
      <c r="AZY132" s="88"/>
      <c r="AZZ132" s="88"/>
      <c r="BAA132" s="88"/>
      <c r="BAB132" s="88"/>
      <c r="BAC132" s="88"/>
      <c r="BAD132" s="88"/>
      <c r="BAE132" s="88"/>
      <c r="BAF132" s="88"/>
      <c r="BAG132" s="88"/>
      <c r="BAH132" s="88"/>
      <c r="BAI132" s="88"/>
      <c r="BAJ132" s="88"/>
      <c r="BAK132" s="88"/>
      <c r="BAL132" s="88"/>
      <c r="BAM132" s="88"/>
      <c r="BAN132" s="88"/>
      <c r="BAO132" s="88"/>
      <c r="BAP132" s="88"/>
      <c r="BAQ132" s="88"/>
      <c r="BAR132" s="88"/>
      <c r="BAS132" s="88"/>
      <c r="BAT132" s="88"/>
      <c r="BAU132" s="88"/>
      <c r="BAV132" s="88"/>
      <c r="BAW132" s="88"/>
      <c r="BAX132" s="88"/>
      <c r="BAY132" s="88"/>
      <c r="BAZ132" s="88"/>
      <c r="BBA132" s="88"/>
      <c r="BBB132" s="88"/>
      <c r="BBC132" s="88"/>
      <c r="BBD132" s="88"/>
      <c r="BBE132" s="88"/>
      <c r="BBF132" s="88"/>
      <c r="BBG132" s="88"/>
      <c r="BBH132" s="88"/>
      <c r="BBI132" s="88"/>
      <c r="BBJ132" s="88"/>
      <c r="BBK132" s="88"/>
      <c r="BBL132" s="88"/>
      <c r="BBM132" s="88"/>
      <c r="BBN132" s="88"/>
      <c r="BBO132" s="88"/>
      <c r="BBP132" s="88"/>
      <c r="BBQ132" s="88"/>
      <c r="BBR132" s="88"/>
      <c r="BBS132" s="88"/>
      <c r="BBT132" s="88"/>
      <c r="BBU132" s="88"/>
      <c r="BBV132" s="88"/>
      <c r="BBW132" s="88"/>
      <c r="BBX132" s="88"/>
      <c r="BBY132" s="88"/>
      <c r="BBZ132" s="88"/>
      <c r="BCA132" s="88"/>
      <c r="BCB132" s="88"/>
      <c r="BCC132" s="88"/>
      <c r="BCD132" s="88"/>
      <c r="BCE132" s="88"/>
      <c r="BCF132" s="88"/>
      <c r="BCG132" s="88"/>
      <c r="BCH132" s="88"/>
      <c r="BCI132" s="88"/>
      <c r="BCJ132" s="88"/>
      <c r="BCK132" s="88"/>
      <c r="BCL132" s="88"/>
      <c r="BCM132" s="88"/>
      <c r="BCN132" s="88"/>
      <c r="BCO132" s="88"/>
      <c r="BCP132" s="88"/>
      <c r="BCQ132" s="88"/>
      <c r="BCR132" s="88"/>
      <c r="BCS132" s="88"/>
      <c r="BCT132" s="88"/>
      <c r="BCU132" s="88"/>
      <c r="BCV132" s="88"/>
      <c r="BCW132" s="88"/>
      <c r="BCX132" s="88"/>
      <c r="BCY132" s="88"/>
      <c r="BCZ132" s="88"/>
      <c r="BDA132" s="88"/>
      <c r="BDB132" s="88"/>
      <c r="BDC132" s="88"/>
      <c r="BDD132" s="88"/>
      <c r="BDE132" s="88"/>
      <c r="BDF132" s="88"/>
      <c r="BDG132" s="88"/>
      <c r="BDH132" s="88"/>
      <c r="BDI132" s="88"/>
      <c r="BDJ132" s="88"/>
      <c r="BDK132" s="88"/>
      <c r="BDL132" s="88"/>
      <c r="BDM132" s="88"/>
      <c r="BDN132" s="88"/>
      <c r="BDO132" s="88"/>
      <c r="BDP132" s="88"/>
      <c r="BDQ132" s="88"/>
      <c r="BDR132" s="88"/>
      <c r="BDS132" s="88"/>
      <c r="BDT132" s="88"/>
      <c r="BDU132" s="88"/>
      <c r="BDV132" s="88"/>
      <c r="BDW132" s="88"/>
      <c r="BDX132" s="88"/>
      <c r="BDY132" s="88"/>
      <c r="BDZ132" s="88"/>
      <c r="BEA132" s="88"/>
      <c r="BEB132" s="88"/>
      <c r="BEC132" s="88"/>
      <c r="BED132" s="88"/>
      <c r="BEE132" s="88"/>
      <c r="BEF132" s="88"/>
      <c r="BEG132" s="88"/>
      <c r="BEH132" s="88"/>
      <c r="BEI132" s="88"/>
      <c r="BEJ132" s="88"/>
      <c r="BEK132" s="88"/>
      <c r="BEL132" s="88"/>
      <c r="BEM132" s="88"/>
      <c r="BEN132" s="88"/>
      <c r="BEO132" s="88"/>
      <c r="BEP132" s="88"/>
      <c r="BEQ132" s="88"/>
      <c r="BER132" s="88"/>
      <c r="BES132" s="88"/>
      <c r="BET132" s="88"/>
      <c r="BEU132" s="88"/>
      <c r="BEV132" s="88"/>
      <c r="BEW132" s="88"/>
      <c r="BEX132" s="88"/>
      <c r="BEY132" s="88"/>
      <c r="BEZ132" s="88"/>
      <c r="BFA132" s="88"/>
      <c r="BFB132" s="88"/>
      <c r="BFC132" s="88"/>
      <c r="BFD132" s="88"/>
      <c r="BFE132" s="88"/>
      <c r="BFF132" s="88"/>
      <c r="BFG132" s="88"/>
      <c r="BFH132" s="88"/>
      <c r="BFI132" s="88"/>
      <c r="BFJ132" s="88"/>
      <c r="BFK132" s="88"/>
      <c r="BFL132" s="88"/>
      <c r="BFM132" s="88"/>
      <c r="BFN132" s="88"/>
      <c r="BFO132" s="88"/>
      <c r="BFP132" s="88"/>
      <c r="BFQ132" s="88"/>
      <c r="BFR132" s="88"/>
      <c r="BFS132" s="88"/>
      <c r="BFT132" s="88"/>
      <c r="BFU132" s="88"/>
      <c r="BFV132" s="88"/>
      <c r="BFW132" s="88"/>
      <c r="BFX132" s="88"/>
      <c r="BFY132" s="88"/>
      <c r="BFZ132" s="88"/>
      <c r="BGA132" s="88"/>
      <c r="BGB132" s="88"/>
      <c r="BGC132" s="88"/>
      <c r="BGD132" s="88"/>
      <c r="BGE132" s="88"/>
      <c r="BGF132" s="88"/>
      <c r="BGG132" s="88"/>
      <c r="BGH132" s="88"/>
      <c r="BGI132" s="88"/>
      <c r="BGJ132" s="88"/>
      <c r="BGK132" s="88"/>
      <c r="BGL132" s="88"/>
      <c r="BGM132" s="88"/>
      <c r="BGN132" s="88"/>
      <c r="BGO132" s="88"/>
      <c r="BGP132" s="88"/>
      <c r="BGQ132" s="88"/>
      <c r="BGR132" s="88"/>
      <c r="BGS132" s="88"/>
      <c r="BGT132" s="88"/>
      <c r="BGU132" s="88"/>
      <c r="BGV132" s="88"/>
      <c r="BGW132" s="88"/>
      <c r="BGX132" s="88"/>
      <c r="BGY132" s="88"/>
      <c r="BGZ132" s="88"/>
      <c r="BHA132" s="88"/>
      <c r="BHB132" s="88"/>
      <c r="BHC132" s="88"/>
      <c r="BHD132" s="88"/>
      <c r="BHE132" s="88"/>
      <c r="BHF132" s="88"/>
      <c r="BHG132" s="88"/>
      <c r="BHH132" s="88"/>
      <c r="BHI132" s="88"/>
      <c r="BHJ132" s="88"/>
      <c r="BHK132" s="88"/>
      <c r="BHL132" s="88"/>
      <c r="BHM132" s="88"/>
      <c r="BHN132" s="88"/>
      <c r="BHO132" s="88"/>
      <c r="BHP132" s="88"/>
      <c r="BHQ132" s="88"/>
      <c r="BHR132" s="88"/>
      <c r="BHS132" s="88"/>
      <c r="BHT132" s="88"/>
      <c r="BHU132" s="88"/>
      <c r="BHV132" s="88"/>
      <c r="BHW132" s="88"/>
      <c r="BHX132" s="88"/>
      <c r="BHY132" s="88"/>
      <c r="BHZ132" s="88"/>
      <c r="BIA132" s="88"/>
      <c r="BIB132" s="88"/>
      <c r="BIC132" s="88"/>
      <c r="BID132" s="88"/>
      <c r="BIE132" s="88"/>
      <c r="BIF132" s="88"/>
      <c r="BIG132" s="88"/>
      <c r="BIH132" s="88"/>
      <c r="BII132" s="88"/>
      <c r="BIJ132" s="88"/>
      <c r="BIK132" s="88"/>
      <c r="BIL132" s="88"/>
      <c r="BIM132" s="88"/>
      <c r="BIN132" s="88"/>
      <c r="BIO132" s="88"/>
      <c r="BIP132" s="88"/>
      <c r="BIQ132" s="88"/>
      <c r="BIR132" s="88"/>
      <c r="BIS132" s="88"/>
      <c r="BIT132" s="88"/>
      <c r="BIU132" s="88"/>
      <c r="BIV132" s="88"/>
      <c r="BIW132" s="88"/>
      <c r="BIX132" s="88"/>
      <c r="BIY132" s="88"/>
      <c r="BIZ132" s="88"/>
      <c r="BJA132" s="88"/>
      <c r="BJB132" s="88"/>
      <c r="BJC132" s="88"/>
      <c r="BJD132" s="88"/>
      <c r="BJE132" s="88"/>
      <c r="BJF132" s="88"/>
      <c r="BJG132" s="88"/>
      <c r="BJH132" s="88"/>
      <c r="BJI132" s="88"/>
      <c r="BJJ132" s="88"/>
      <c r="BJK132" s="88"/>
      <c r="BJL132" s="88"/>
      <c r="BJM132" s="88"/>
      <c r="BJN132" s="88"/>
      <c r="BJO132" s="88"/>
      <c r="BJP132" s="88"/>
      <c r="BJQ132" s="88"/>
      <c r="BJR132" s="88"/>
      <c r="BJS132" s="88"/>
      <c r="BJT132" s="88"/>
      <c r="BJU132" s="88"/>
      <c r="BJV132" s="88"/>
      <c r="BJW132" s="88"/>
      <c r="BJX132" s="88"/>
      <c r="BJY132" s="88"/>
      <c r="BJZ132" s="88"/>
      <c r="BKA132" s="88"/>
      <c r="BKB132" s="88"/>
      <c r="BKC132" s="88"/>
      <c r="BKD132" s="88"/>
      <c r="BKE132" s="88"/>
      <c r="BKF132" s="88"/>
      <c r="BKG132" s="88"/>
      <c r="BKH132" s="88"/>
      <c r="BKI132" s="88"/>
      <c r="BKJ132" s="88"/>
      <c r="BKK132" s="88"/>
      <c r="BKL132" s="88"/>
      <c r="BKM132" s="88"/>
      <c r="BKN132" s="88"/>
      <c r="BKO132" s="88"/>
      <c r="BKP132" s="88"/>
      <c r="BKQ132" s="88"/>
      <c r="BKR132" s="88"/>
      <c r="BKS132" s="88"/>
      <c r="BKT132" s="88"/>
      <c r="BKU132" s="88"/>
      <c r="BKV132" s="88"/>
      <c r="BKW132" s="88"/>
      <c r="BKX132" s="88"/>
      <c r="BKY132" s="88"/>
      <c r="BKZ132" s="88"/>
      <c r="BLA132" s="88"/>
      <c r="BLB132" s="88"/>
      <c r="BLC132" s="88"/>
      <c r="BLD132" s="88"/>
      <c r="BLE132" s="88"/>
      <c r="BLF132" s="88"/>
      <c r="BLG132" s="88"/>
      <c r="BLH132" s="88"/>
      <c r="BLI132" s="88"/>
      <c r="BLJ132" s="88"/>
      <c r="BLK132" s="88"/>
      <c r="BLL132" s="88"/>
      <c r="BLM132" s="88"/>
      <c r="BLN132" s="88"/>
      <c r="BLO132" s="88"/>
      <c r="BLP132" s="88"/>
      <c r="BLQ132" s="88"/>
      <c r="BLR132" s="88"/>
      <c r="BLS132" s="88"/>
      <c r="BLT132" s="88"/>
      <c r="BLU132" s="88"/>
      <c r="BLV132" s="88"/>
      <c r="BLW132" s="88"/>
      <c r="BLX132" s="88"/>
      <c r="BLY132" s="88"/>
      <c r="BLZ132" s="88"/>
      <c r="BMA132" s="88"/>
      <c r="BMB132" s="88"/>
      <c r="BMC132" s="88"/>
      <c r="BMD132" s="88"/>
      <c r="BME132" s="88"/>
      <c r="BMF132" s="88"/>
      <c r="BMG132" s="88"/>
      <c r="BMH132" s="88"/>
      <c r="BMI132" s="88"/>
      <c r="BMJ132" s="88"/>
      <c r="BMK132" s="88"/>
      <c r="BML132" s="88"/>
      <c r="BMM132" s="88"/>
      <c r="BMN132" s="88"/>
      <c r="BMO132" s="88"/>
      <c r="BMP132" s="88"/>
      <c r="BMQ132" s="88"/>
      <c r="BMR132" s="88"/>
      <c r="BMS132" s="88"/>
      <c r="BMT132" s="88"/>
      <c r="BMU132" s="88"/>
      <c r="BMV132" s="88"/>
      <c r="BMW132" s="88"/>
      <c r="BMX132" s="88"/>
      <c r="BMY132" s="88"/>
      <c r="BMZ132" s="88"/>
      <c r="BNA132" s="88"/>
      <c r="BNB132" s="88"/>
      <c r="BNC132" s="88"/>
      <c r="BND132" s="88"/>
      <c r="BNE132" s="88"/>
      <c r="BNF132" s="88"/>
      <c r="BNG132" s="88"/>
      <c r="BNH132" s="88"/>
      <c r="BNI132" s="88"/>
      <c r="BNJ132" s="88"/>
      <c r="BNK132" s="88"/>
      <c r="BNL132" s="88"/>
      <c r="BNM132" s="88"/>
      <c r="BNN132" s="88"/>
      <c r="BNO132" s="88"/>
      <c r="BNP132" s="88"/>
      <c r="BNQ132" s="88"/>
      <c r="BNR132" s="88"/>
      <c r="BNS132" s="88"/>
      <c r="BNT132" s="88"/>
      <c r="BNU132" s="88"/>
      <c r="BNV132" s="88"/>
      <c r="BNW132" s="88"/>
      <c r="BNX132" s="88"/>
      <c r="BNY132" s="88"/>
      <c r="BNZ132" s="88"/>
      <c r="BOA132" s="88"/>
      <c r="BOB132" s="88"/>
      <c r="BOC132" s="88"/>
      <c r="BOD132" s="88"/>
      <c r="BOE132" s="88"/>
      <c r="BOF132" s="88"/>
      <c r="BOG132" s="88"/>
      <c r="BOH132" s="88"/>
      <c r="BOI132" s="88"/>
      <c r="BOJ132" s="88"/>
      <c r="BOK132" s="88"/>
      <c r="BOL132" s="88"/>
      <c r="BOM132" s="88"/>
      <c r="BON132" s="88"/>
      <c r="BOO132" s="88"/>
      <c r="BOP132" s="88"/>
      <c r="BOQ132" s="88"/>
      <c r="BOR132" s="88"/>
      <c r="BOS132" s="88"/>
      <c r="BOT132" s="88"/>
      <c r="BOU132" s="88"/>
      <c r="BOV132" s="88"/>
      <c r="BOW132" s="88"/>
      <c r="BOX132" s="88"/>
      <c r="BOY132" s="88"/>
      <c r="BOZ132" s="88"/>
      <c r="BPA132" s="88"/>
      <c r="BPB132" s="88"/>
      <c r="BPC132" s="88"/>
      <c r="BPD132" s="88"/>
      <c r="BPE132" s="88"/>
      <c r="BPF132" s="88"/>
      <c r="BPG132" s="88"/>
      <c r="BPH132" s="88"/>
      <c r="BPI132" s="88"/>
      <c r="BPJ132" s="88"/>
      <c r="BPK132" s="88"/>
      <c r="BPL132" s="88"/>
      <c r="BPM132" s="88"/>
      <c r="BPN132" s="88"/>
      <c r="BPO132" s="88"/>
      <c r="BPP132" s="88"/>
      <c r="BPQ132" s="88"/>
      <c r="BPR132" s="88"/>
      <c r="BPS132" s="88"/>
      <c r="BPT132" s="88"/>
      <c r="BPU132" s="88"/>
      <c r="BPV132" s="88"/>
      <c r="BPW132" s="88"/>
      <c r="BPX132" s="88"/>
      <c r="BPY132" s="88"/>
      <c r="BPZ132" s="88"/>
      <c r="BQA132" s="88"/>
      <c r="BQB132" s="88"/>
      <c r="BQC132" s="88"/>
      <c r="BQD132" s="88"/>
      <c r="BQE132" s="88"/>
      <c r="BQF132" s="88"/>
      <c r="BQG132" s="88"/>
      <c r="BQH132" s="88"/>
      <c r="BQI132" s="88"/>
      <c r="BQJ132" s="88"/>
      <c r="BQK132" s="88"/>
      <c r="BQL132" s="88"/>
      <c r="BQM132" s="88"/>
      <c r="BQN132" s="88"/>
      <c r="BQO132" s="88"/>
      <c r="BQP132" s="88"/>
      <c r="BQQ132" s="88"/>
      <c r="BQR132" s="88"/>
      <c r="BQS132" s="88"/>
      <c r="BQT132" s="88"/>
      <c r="BQU132" s="88"/>
      <c r="BQV132" s="88"/>
      <c r="BQW132" s="88"/>
      <c r="BQX132" s="88"/>
      <c r="BQY132" s="88"/>
      <c r="BQZ132" s="88"/>
      <c r="BRA132" s="88"/>
      <c r="BRB132" s="88"/>
      <c r="BRC132" s="88"/>
      <c r="BRD132" s="88"/>
      <c r="BRE132" s="88"/>
      <c r="BRF132" s="88"/>
      <c r="BRG132" s="88"/>
      <c r="BRH132" s="88"/>
      <c r="BRI132" s="88"/>
      <c r="BRJ132" s="88"/>
      <c r="BRK132" s="88"/>
      <c r="BRL132" s="88"/>
      <c r="BRM132" s="88"/>
      <c r="BRN132" s="88"/>
      <c r="BRO132" s="88"/>
      <c r="BRP132" s="88"/>
      <c r="BRQ132" s="88"/>
      <c r="BRR132" s="88"/>
      <c r="BRS132" s="88"/>
      <c r="BRT132" s="88"/>
      <c r="BRU132" s="88"/>
      <c r="BRV132" s="88"/>
      <c r="BRW132" s="88"/>
      <c r="BRX132" s="88"/>
      <c r="BRY132" s="88"/>
      <c r="BRZ132" s="88"/>
      <c r="BSA132" s="88"/>
      <c r="BSB132" s="88"/>
      <c r="BSC132" s="88"/>
      <c r="BSD132" s="88"/>
      <c r="BSE132" s="88"/>
      <c r="BSF132" s="88"/>
      <c r="BSG132" s="88"/>
      <c r="BSH132" s="88"/>
      <c r="BSI132" s="88"/>
      <c r="BSJ132" s="88"/>
      <c r="BSK132" s="88"/>
      <c r="BSL132" s="88"/>
      <c r="BSM132" s="88"/>
      <c r="BSN132" s="88"/>
      <c r="BSO132" s="88"/>
      <c r="BSP132" s="88"/>
      <c r="BSQ132" s="88"/>
      <c r="BSR132" s="88"/>
      <c r="BSS132" s="88"/>
      <c r="BST132" s="88"/>
      <c r="BSU132" s="88"/>
      <c r="BSV132" s="88"/>
      <c r="BSW132" s="88"/>
      <c r="BSX132" s="88"/>
      <c r="BSY132" s="88"/>
      <c r="BSZ132" s="88"/>
      <c r="BTA132" s="88"/>
      <c r="BTB132" s="88"/>
      <c r="BTC132" s="88"/>
      <c r="BTD132" s="88"/>
      <c r="BTE132" s="88"/>
      <c r="BTF132" s="88"/>
      <c r="BTG132" s="88"/>
      <c r="BTH132" s="88"/>
      <c r="BTI132" s="88"/>
      <c r="BTJ132" s="88"/>
      <c r="BTK132" s="88"/>
      <c r="BTL132" s="88"/>
      <c r="BTM132" s="88"/>
      <c r="BTN132" s="88"/>
      <c r="BTO132" s="88"/>
      <c r="BTP132" s="88"/>
      <c r="BTQ132" s="88"/>
      <c r="BTR132" s="88"/>
      <c r="BTS132" s="88"/>
      <c r="BTT132" s="88"/>
      <c r="BTU132" s="88"/>
      <c r="BTV132" s="88"/>
      <c r="BTW132" s="88"/>
      <c r="BTX132" s="88"/>
      <c r="BTY132" s="88"/>
      <c r="BTZ132" s="88"/>
      <c r="BUA132" s="88"/>
      <c r="BUB132" s="88"/>
      <c r="BUC132" s="88"/>
      <c r="BUD132" s="88"/>
      <c r="BUE132" s="88"/>
      <c r="BUF132" s="88"/>
      <c r="BUG132" s="88"/>
      <c r="BUH132" s="88"/>
      <c r="BUI132" s="88"/>
      <c r="BUJ132" s="88"/>
      <c r="BUK132" s="88"/>
      <c r="BUL132" s="88"/>
      <c r="BUM132" s="88"/>
      <c r="BUN132" s="88"/>
      <c r="BUO132" s="88"/>
      <c r="BUP132" s="88"/>
      <c r="BUQ132" s="88"/>
      <c r="BUR132" s="88"/>
      <c r="BUS132" s="88"/>
      <c r="BUT132" s="88"/>
      <c r="BUU132" s="88"/>
      <c r="BUV132" s="88"/>
      <c r="BUW132" s="88"/>
      <c r="BUX132" s="88"/>
      <c r="BUY132" s="88"/>
      <c r="BUZ132" s="88"/>
      <c r="BVA132" s="88"/>
      <c r="BVB132" s="88"/>
      <c r="BVC132" s="88"/>
      <c r="BVD132" s="88"/>
      <c r="BVE132" s="88"/>
      <c r="BVF132" s="88"/>
      <c r="BVG132" s="88"/>
      <c r="BVH132" s="88"/>
      <c r="BVI132" s="88"/>
      <c r="BVJ132" s="88"/>
      <c r="BVK132" s="88"/>
      <c r="BVL132" s="88"/>
      <c r="BVM132" s="88"/>
      <c r="BVN132" s="88"/>
      <c r="BVO132" s="88"/>
      <c r="BVP132" s="88"/>
      <c r="BVQ132" s="88"/>
      <c r="BVR132" s="88"/>
      <c r="BVS132" s="88"/>
      <c r="BVT132" s="88"/>
      <c r="BVU132" s="88"/>
      <c r="BVV132" s="88"/>
      <c r="BVW132" s="88"/>
      <c r="BVX132" s="88"/>
      <c r="BVY132" s="88"/>
      <c r="BVZ132" s="88"/>
      <c r="BWA132" s="88"/>
      <c r="BWB132" s="88"/>
      <c r="BWC132" s="88"/>
      <c r="BWD132" s="88"/>
      <c r="BWE132" s="88"/>
      <c r="BWF132" s="88"/>
      <c r="BWG132" s="88"/>
      <c r="BWH132" s="88"/>
      <c r="BWI132" s="88"/>
      <c r="BWJ132" s="88"/>
      <c r="BWK132" s="88"/>
      <c r="BWL132" s="88"/>
      <c r="BWM132" s="88"/>
      <c r="BWN132" s="88"/>
      <c r="BWO132" s="88"/>
      <c r="BWP132" s="88"/>
      <c r="BWQ132" s="88"/>
      <c r="BWR132" s="88"/>
      <c r="BWS132" s="88"/>
      <c r="BWT132" s="88"/>
      <c r="BWU132" s="88"/>
      <c r="BWV132" s="88"/>
      <c r="BWW132" s="88"/>
      <c r="BWX132" s="88"/>
      <c r="BWY132" s="88"/>
      <c r="BWZ132" s="88"/>
      <c r="BXA132" s="88"/>
      <c r="BXB132" s="88"/>
      <c r="BXC132" s="88"/>
      <c r="BXD132" s="88"/>
      <c r="BXE132" s="88"/>
      <c r="BXF132" s="88"/>
      <c r="BXG132" s="88"/>
      <c r="BXH132" s="88"/>
      <c r="BXI132" s="88"/>
      <c r="BXJ132" s="88"/>
      <c r="BXK132" s="88"/>
      <c r="BXL132" s="88"/>
      <c r="BXM132" s="88"/>
      <c r="BXN132" s="88"/>
      <c r="BXO132" s="88"/>
      <c r="BXP132" s="88"/>
      <c r="BXQ132" s="88"/>
      <c r="BXR132" s="88"/>
      <c r="BXS132" s="88"/>
      <c r="BXT132" s="88"/>
      <c r="BXU132" s="88"/>
      <c r="BXV132" s="88"/>
      <c r="BXW132" s="88"/>
      <c r="BXX132" s="88"/>
      <c r="BXY132" s="88"/>
      <c r="BXZ132" s="88"/>
      <c r="BYA132" s="88"/>
      <c r="BYB132" s="88"/>
      <c r="BYC132" s="88"/>
      <c r="BYD132" s="88"/>
      <c r="BYE132" s="88"/>
      <c r="BYF132" s="88"/>
      <c r="BYG132" s="88"/>
      <c r="BYH132" s="88"/>
      <c r="BYI132" s="88"/>
      <c r="BYJ132" s="88"/>
      <c r="BYK132" s="88"/>
      <c r="BYL132" s="88"/>
      <c r="BYM132" s="88"/>
      <c r="BYN132" s="88"/>
      <c r="BYO132" s="88"/>
      <c r="BYP132" s="88"/>
      <c r="BYQ132" s="88"/>
      <c r="BYR132" s="88"/>
      <c r="BYS132" s="88"/>
      <c r="BYT132" s="88"/>
      <c r="BYU132" s="88"/>
      <c r="BYV132" s="88"/>
      <c r="BYW132" s="88"/>
      <c r="BYX132" s="88"/>
      <c r="BYY132" s="88"/>
      <c r="BYZ132" s="88"/>
      <c r="BZA132" s="88"/>
      <c r="BZB132" s="88"/>
      <c r="BZC132" s="88"/>
      <c r="BZD132" s="88"/>
      <c r="BZE132" s="88"/>
      <c r="BZF132" s="88"/>
      <c r="BZG132" s="88"/>
      <c r="BZH132" s="88"/>
      <c r="BZI132" s="88"/>
      <c r="BZJ132" s="88"/>
      <c r="BZK132" s="88"/>
      <c r="BZL132" s="88"/>
      <c r="BZM132" s="88"/>
      <c r="BZN132" s="88"/>
      <c r="BZO132" s="88"/>
      <c r="BZP132" s="88"/>
      <c r="BZQ132" s="88"/>
      <c r="BZR132" s="88"/>
      <c r="BZS132" s="88"/>
      <c r="BZT132" s="88"/>
      <c r="BZU132" s="88"/>
      <c r="BZV132" s="88"/>
      <c r="BZW132" s="88"/>
      <c r="BZX132" s="88"/>
      <c r="BZY132" s="88"/>
      <c r="BZZ132" s="88"/>
      <c r="CAA132" s="88"/>
      <c r="CAB132" s="88"/>
      <c r="CAC132" s="88"/>
      <c r="CAD132" s="88"/>
      <c r="CAE132" s="88"/>
      <c r="CAF132" s="88"/>
      <c r="CAG132" s="88"/>
      <c r="CAH132" s="88"/>
      <c r="CAI132" s="88"/>
      <c r="CAJ132" s="88"/>
      <c r="CAK132" s="88"/>
      <c r="CAL132" s="88"/>
      <c r="CAM132" s="88"/>
      <c r="CAN132" s="88"/>
      <c r="CAO132" s="88"/>
      <c r="CAP132" s="88"/>
      <c r="CAQ132" s="88"/>
      <c r="CAR132" s="88"/>
      <c r="CAS132" s="88"/>
      <c r="CAT132" s="88"/>
      <c r="CAU132" s="88"/>
      <c r="CAV132" s="88"/>
      <c r="CAW132" s="88"/>
      <c r="CAX132" s="88"/>
      <c r="CAY132" s="88"/>
      <c r="CAZ132" s="88"/>
      <c r="CBA132" s="88"/>
      <c r="CBB132" s="88"/>
      <c r="CBC132" s="88"/>
      <c r="CBD132" s="88"/>
      <c r="CBE132" s="88"/>
      <c r="CBF132" s="88"/>
      <c r="CBG132" s="88"/>
      <c r="CBH132" s="88"/>
      <c r="CBI132" s="88"/>
      <c r="CBJ132" s="88"/>
      <c r="CBK132" s="88"/>
      <c r="CBL132" s="88"/>
      <c r="CBM132" s="88"/>
      <c r="CBN132" s="88"/>
      <c r="CBO132" s="88"/>
      <c r="CBP132" s="88"/>
      <c r="CBQ132" s="88"/>
      <c r="CBR132" s="88"/>
      <c r="CBS132" s="88"/>
      <c r="CBT132" s="88"/>
      <c r="CBU132" s="88"/>
      <c r="CBV132" s="88"/>
      <c r="CBW132" s="88"/>
      <c r="CBX132" s="88"/>
      <c r="CBY132" s="88"/>
      <c r="CBZ132" s="88"/>
      <c r="CCA132" s="88"/>
      <c r="CCB132" s="88"/>
      <c r="CCC132" s="88"/>
      <c r="CCD132" s="88"/>
      <c r="CCE132" s="88"/>
      <c r="CCF132" s="88"/>
      <c r="CCG132" s="88"/>
      <c r="CCH132" s="88"/>
      <c r="CCI132" s="88"/>
      <c r="CCJ132" s="88"/>
      <c r="CCK132" s="88"/>
      <c r="CCL132" s="88"/>
      <c r="CCM132" s="88"/>
      <c r="CCN132" s="88"/>
      <c r="CCO132" s="88"/>
      <c r="CCP132" s="88"/>
      <c r="CCQ132" s="88"/>
      <c r="CCR132" s="88"/>
      <c r="CCS132" s="88"/>
      <c r="CCT132" s="88"/>
      <c r="CCU132" s="88"/>
      <c r="CCV132" s="88"/>
      <c r="CCW132" s="88"/>
      <c r="CCX132" s="88"/>
      <c r="CCY132" s="88"/>
      <c r="CCZ132" s="88"/>
      <c r="CDA132" s="88"/>
      <c r="CDB132" s="88"/>
      <c r="CDC132" s="88"/>
      <c r="CDD132" s="88"/>
      <c r="CDE132" s="88"/>
      <c r="CDF132" s="88"/>
      <c r="CDG132" s="88"/>
      <c r="CDH132" s="88"/>
      <c r="CDI132" s="88"/>
      <c r="CDJ132" s="88"/>
      <c r="CDK132" s="88"/>
      <c r="CDL132" s="88"/>
      <c r="CDM132" s="88"/>
      <c r="CDN132" s="88"/>
      <c r="CDO132" s="88"/>
      <c r="CDP132" s="88"/>
      <c r="CDQ132" s="88"/>
      <c r="CDR132" s="88"/>
      <c r="CDS132" s="88"/>
      <c r="CDT132" s="88"/>
      <c r="CDU132" s="88"/>
      <c r="CDV132" s="88"/>
      <c r="CDW132" s="88"/>
      <c r="CDX132" s="88"/>
      <c r="CDY132" s="88"/>
      <c r="CDZ132" s="88"/>
      <c r="CEA132" s="88"/>
      <c r="CEB132" s="88"/>
      <c r="CEC132" s="88"/>
      <c r="CED132" s="88"/>
      <c r="CEE132" s="88"/>
      <c r="CEF132" s="88"/>
      <c r="CEG132" s="88"/>
      <c r="CEH132" s="88"/>
      <c r="CEI132" s="88"/>
      <c r="CEJ132" s="88"/>
      <c r="CEK132" s="88"/>
    </row>
    <row r="133" spans="1:2169" s="63" customFormat="1">
      <c r="A133" s="73" t="s">
        <v>816</v>
      </c>
      <c r="B133" s="71" t="s">
        <v>2785</v>
      </c>
      <c r="C133" s="68" t="str">
        <f>IF('page 2'!$O$4="","",IF('page 2'!$O$4=Gestion!A133,1,0))</f>
        <v/>
      </c>
      <c r="D133" s="68" t="str">
        <f>IF('page 2'!$O$5="","",IF('page 2'!$O$5=Gestion!A133,1,0))</f>
        <v/>
      </c>
      <c r="E133" s="68" t="str">
        <f>IF('page 2'!$O$6="","",IF('page 2'!$O$6=Gestion!A133,1,0))</f>
        <v/>
      </c>
      <c r="F133" s="68" t="str">
        <f>IF('page 2'!$O$7="","",IF('page 2'!$O$7=Gestion!A133,1,0))</f>
        <v/>
      </c>
      <c r="G133" s="68" t="str">
        <f>IF('page 2'!$O$8="","",IF('page 2'!$O$8=Gestion!A133,1,0))</f>
        <v/>
      </c>
      <c r="H133" s="68" t="str">
        <f>IF('page 2'!$O$9="","",IF('page 2'!$O$9=Gestion!A133,1,0))</f>
        <v/>
      </c>
      <c r="I133" s="68" t="str">
        <f>IF('page 2'!$O$10="","",IF('page 2'!$O$10=Gestion!A133,1,0))</f>
        <v/>
      </c>
      <c r="J133" s="68" t="str">
        <f>IF('page 2'!$O$11="","",IF('page 2'!$O$11=Gestion!A133,1,0))</f>
        <v/>
      </c>
      <c r="K133" s="68" t="str">
        <f>IF('page 2'!$O$12="","",IF('page 2'!$O$12=Gestion!A133,1,0))</f>
        <v/>
      </c>
      <c r="L133" s="68" t="str">
        <f>IF('page 2'!$O$13="","",IF('page 2'!$O$13=Gestion!A133,1,0))</f>
        <v/>
      </c>
      <c r="M133" s="68" t="str">
        <f>IF('page 2'!$O$14="","",IF('page 2'!$O$14=Gestion!A133,1,0))</f>
        <v/>
      </c>
      <c r="N133" s="68" t="str">
        <f>IF('page 2'!$O$15="","",IF('page 2'!$O$15=Gestion!A133,1,0))</f>
        <v/>
      </c>
      <c r="O133" s="68" t="str">
        <f>IF('page 2'!$O$16="","",IF('page 2'!$O$16=Gestion!A133,1,0))</f>
        <v/>
      </c>
      <c r="P133" s="68" t="str">
        <f>IF('page 2'!$O$17="","",IF('page 2'!$O$17=Gestion!A133,1,0))</f>
        <v/>
      </c>
      <c r="Q133" s="68" t="str">
        <f>IF('page 2'!$O$18="","",IF('page 2'!$O$18=Gestion!A133,1,0))</f>
        <v/>
      </c>
      <c r="R133" s="68" t="str">
        <f>IF('page 2'!$O$19="","",IF('page 2'!$O$19=Gestion!A133,1,0))</f>
        <v/>
      </c>
      <c r="S133" s="68" t="str">
        <f>IF('page 2'!$O$20="","",IF('page 2'!$O$20=Gestion!A133,1,0))</f>
        <v/>
      </c>
      <c r="T133" s="68" t="str">
        <f>IF('page 2'!$O$25="","",IF('page 2'!$O$25=Gestion!A133,1,0))</f>
        <v/>
      </c>
      <c r="U133" s="68" t="str">
        <f>IF('page 2'!$O$26="","",IF('page 2'!$O$26=Gestion!A133,1,0))</f>
        <v/>
      </c>
      <c r="V133" s="68" t="str">
        <f>IF('page 2'!$O$27="","",IF('page 2'!$O$27=Gestion!A133,1,0))</f>
        <v/>
      </c>
      <c r="W133" s="722">
        <f t="shared" si="14"/>
        <v>0</v>
      </c>
      <c r="X133" s="714"/>
      <c r="Y133" s="68"/>
      <c r="Z133" s="68"/>
      <c r="AA133" s="68"/>
      <c r="AB133" s="68"/>
      <c r="AC133" s="68"/>
      <c r="AD133" s="68"/>
      <c r="AP133" s="130"/>
      <c r="AQ133" s="130"/>
      <c r="AR133" s="130"/>
      <c r="AS133" s="602"/>
      <c r="AT133" s="602"/>
      <c r="AU133" s="602"/>
      <c r="AV133" s="602"/>
      <c r="AW133" s="602"/>
      <c r="AX133" s="602"/>
      <c r="AY133" s="602"/>
      <c r="AZ133" s="602"/>
      <c r="BA133" s="602"/>
      <c r="BB133" s="602"/>
      <c r="BC133" s="602"/>
      <c r="BD133" s="602"/>
      <c r="BE133" s="602"/>
      <c r="BF133" s="602"/>
      <c r="BG133" s="602"/>
      <c r="BH133" s="602"/>
      <c r="BI133" s="602"/>
      <c r="BJ133" s="602"/>
      <c r="BK133" s="602"/>
      <c r="BL133" s="602"/>
      <c r="BM133" s="602"/>
      <c r="BN133" s="602"/>
      <c r="BO133" s="602"/>
      <c r="BP133" s="602"/>
      <c r="BQ133" s="602"/>
      <c r="BR133" s="602"/>
      <c r="BS133" s="602"/>
      <c r="BT133" s="602"/>
      <c r="BU133" s="602"/>
      <c r="BV133" s="602"/>
      <c r="BW133" s="602"/>
      <c r="BX133" s="602"/>
      <c r="BY133" s="602"/>
      <c r="BZ133" s="602"/>
      <c r="CA133" s="602"/>
      <c r="CB133" s="602"/>
      <c r="CC133" s="602"/>
      <c r="CD133" s="602"/>
      <c r="CE133" s="602"/>
      <c r="CF133" s="602"/>
      <c r="CG133" s="602"/>
      <c r="CH133" s="602"/>
      <c r="CI133" s="602"/>
      <c r="CJ133" s="602"/>
      <c r="CK133" s="602"/>
      <c r="CL133" s="602"/>
      <c r="CM133" s="602"/>
      <c r="CN133" s="602"/>
      <c r="CO133" s="602"/>
      <c r="CP133" s="602"/>
      <c r="CQ133" s="602"/>
      <c r="CR133" s="602"/>
      <c r="CS133" s="602"/>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8"/>
      <c r="HN133" s="88"/>
      <c r="HO133" s="88"/>
      <c r="HP133" s="88"/>
      <c r="HQ133" s="88"/>
      <c r="HR133" s="88"/>
      <c r="HS133" s="88"/>
      <c r="HT133" s="88"/>
      <c r="HU133" s="88"/>
      <c r="HV133" s="88"/>
      <c r="HW133" s="88"/>
      <c r="HX133" s="88"/>
      <c r="HY133" s="88"/>
      <c r="HZ133" s="88"/>
      <c r="IA133" s="88"/>
      <c r="IB133" s="88"/>
      <c r="IC133" s="88"/>
      <c r="ID133" s="88"/>
      <c r="IE133" s="88"/>
      <c r="IF133" s="88"/>
      <c r="IG133" s="88"/>
      <c r="IH133" s="88"/>
      <c r="II133" s="88"/>
      <c r="IJ133" s="88"/>
      <c r="IK133" s="88"/>
      <c r="IL133" s="88"/>
      <c r="IM133" s="88"/>
      <c r="IN133" s="88"/>
      <c r="IO133" s="88"/>
      <c r="IP133" s="88"/>
      <c r="IQ133" s="88"/>
      <c r="IR133" s="88"/>
      <c r="IS133" s="88"/>
      <c r="IT133" s="88"/>
      <c r="IU133" s="88"/>
      <c r="IV133" s="88"/>
      <c r="IW133" s="88"/>
      <c r="IX133" s="88"/>
      <c r="IY133" s="88"/>
      <c r="IZ133" s="88"/>
      <c r="JA133" s="88"/>
      <c r="JB133" s="88"/>
      <c r="JC133" s="88"/>
      <c r="JD133" s="88"/>
      <c r="JE133" s="88"/>
      <c r="JF133" s="88"/>
      <c r="JG133" s="88"/>
      <c r="JH133" s="88"/>
      <c r="JI133" s="88"/>
      <c r="JJ133" s="88"/>
      <c r="JK133" s="88"/>
      <c r="JL133" s="88"/>
      <c r="JM133" s="88"/>
      <c r="JN133" s="88"/>
      <c r="JO133" s="88"/>
      <c r="JP133" s="88"/>
      <c r="JQ133" s="88"/>
      <c r="JR133" s="88"/>
      <c r="JS133" s="88"/>
      <c r="JT133" s="88"/>
      <c r="JU133" s="88"/>
      <c r="JV133" s="88"/>
      <c r="JW133" s="88"/>
      <c r="JX133" s="88"/>
      <c r="JY133" s="88"/>
      <c r="JZ133" s="88"/>
      <c r="KA133" s="88"/>
      <c r="KB133" s="88"/>
      <c r="KC133" s="88"/>
      <c r="KD133" s="88"/>
      <c r="KE133" s="88"/>
      <c r="KF133" s="88"/>
      <c r="KG133" s="88"/>
      <c r="KH133" s="88"/>
      <c r="KI133" s="88"/>
      <c r="KJ133" s="88"/>
      <c r="KK133" s="88"/>
      <c r="KL133" s="88"/>
      <c r="KM133" s="88"/>
      <c r="KN133" s="88"/>
      <c r="KO133" s="88"/>
      <c r="KP133" s="88"/>
      <c r="KQ133" s="88"/>
      <c r="KR133" s="88"/>
      <c r="KS133" s="88"/>
      <c r="KT133" s="88"/>
      <c r="KU133" s="88"/>
      <c r="KV133" s="88"/>
      <c r="KW133" s="88"/>
      <c r="KX133" s="88"/>
      <c r="KY133" s="88"/>
      <c r="KZ133" s="88"/>
      <c r="LA133" s="88"/>
      <c r="LB133" s="88"/>
      <c r="LC133" s="88"/>
      <c r="LD133" s="88"/>
      <c r="LE133" s="88"/>
      <c r="LF133" s="88"/>
      <c r="LG133" s="88"/>
      <c r="LH133" s="88"/>
      <c r="LI133" s="88"/>
      <c r="LJ133" s="88"/>
      <c r="LK133" s="88"/>
      <c r="LL133" s="88"/>
      <c r="LM133" s="88"/>
      <c r="LN133" s="88"/>
      <c r="LO133" s="88"/>
      <c r="LP133" s="88"/>
      <c r="LQ133" s="88"/>
      <c r="LR133" s="88"/>
      <c r="LS133" s="88"/>
      <c r="LT133" s="88"/>
      <c r="LU133" s="88"/>
      <c r="LV133" s="88"/>
      <c r="LW133" s="88"/>
      <c r="LX133" s="88"/>
      <c r="LY133" s="88"/>
      <c r="LZ133" s="88"/>
      <c r="MA133" s="88"/>
      <c r="MB133" s="88"/>
      <c r="MC133" s="88"/>
      <c r="MD133" s="88"/>
      <c r="ME133" s="88"/>
      <c r="MF133" s="88"/>
      <c r="MG133" s="88"/>
      <c r="MH133" s="88"/>
      <c r="MI133" s="88"/>
      <c r="MJ133" s="88"/>
      <c r="MK133" s="88"/>
      <c r="ML133" s="88"/>
      <c r="MM133" s="88"/>
      <c r="MN133" s="88"/>
      <c r="MO133" s="88"/>
      <c r="MP133" s="88"/>
      <c r="MQ133" s="88"/>
      <c r="MR133" s="88"/>
      <c r="MS133" s="88"/>
      <c r="MT133" s="88"/>
      <c r="MU133" s="88"/>
      <c r="MV133" s="88"/>
      <c r="MW133" s="88"/>
      <c r="MX133" s="88"/>
      <c r="MY133" s="88"/>
      <c r="MZ133" s="88"/>
      <c r="NA133" s="88"/>
      <c r="NB133" s="88"/>
      <c r="NC133" s="88"/>
      <c r="ND133" s="88"/>
      <c r="NE133" s="88"/>
      <c r="NF133" s="88"/>
      <c r="NG133" s="88"/>
      <c r="NH133" s="88"/>
      <c r="NI133" s="88"/>
      <c r="NJ133" s="88"/>
      <c r="NK133" s="88"/>
      <c r="NL133" s="88"/>
      <c r="NM133" s="88"/>
      <c r="NN133" s="88"/>
      <c r="NO133" s="88"/>
      <c r="NP133" s="88"/>
      <c r="NQ133" s="88"/>
      <c r="NR133" s="88"/>
      <c r="NS133" s="88"/>
      <c r="NT133" s="88"/>
      <c r="NU133" s="88"/>
      <c r="NV133" s="88"/>
      <c r="NW133" s="88"/>
      <c r="NX133" s="88"/>
      <c r="NY133" s="88"/>
      <c r="NZ133" s="88"/>
      <c r="OA133" s="88"/>
      <c r="OB133" s="88"/>
      <c r="OC133" s="88"/>
      <c r="OD133" s="88"/>
      <c r="OE133" s="88"/>
      <c r="OF133" s="88"/>
      <c r="OG133" s="88"/>
      <c r="OH133" s="88"/>
      <c r="OI133" s="88"/>
      <c r="OJ133" s="88"/>
      <c r="OK133" s="88"/>
      <c r="OL133" s="88"/>
      <c r="OM133" s="88"/>
      <c r="ON133" s="88"/>
      <c r="OO133" s="88"/>
      <c r="OP133" s="88"/>
      <c r="OQ133" s="88"/>
      <c r="OR133" s="88"/>
      <c r="OS133" s="88"/>
      <c r="OT133" s="88"/>
      <c r="OU133" s="88"/>
      <c r="OV133" s="88"/>
      <c r="OW133" s="88"/>
      <c r="OX133" s="88"/>
      <c r="OY133" s="88"/>
      <c r="OZ133" s="88"/>
      <c r="PA133" s="88"/>
      <c r="PB133" s="88"/>
      <c r="PC133" s="88"/>
      <c r="PD133" s="88"/>
      <c r="PE133" s="88"/>
      <c r="PF133" s="88"/>
      <c r="PG133" s="88"/>
      <c r="PH133" s="88"/>
      <c r="PI133" s="88"/>
      <c r="PJ133" s="88"/>
      <c r="PK133" s="88"/>
      <c r="PL133" s="88"/>
      <c r="PM133" s="88"/>
      <c r="PN133" s="88"/>
      <c r="PO133" s="88"/>
      <c r="PP133" s="88"/>
      <c r="PQ133" s="88"/>
      <c r="PR133" s="88"/>
      <c r="PS133" s="88"/>
      <c r="PT133" s="88"/>
      <c r="PU133" s="88"/>
      <c r="PV133" s="88"/>
      <c r="PW133" s="88"/>
      <c r="PX133" s="88"/>
      <c r="PY133" s="88"/>
      <c r="PZ133" s="88"/>
      <c r="QA133" s="88"/>
      <c r="QB133" s="88"/>
      <c r="QC133" s="88"/>
      <c r="QD133" s="88"/>
      <c r="QE133" s="88"/>
      <c r="QF133" s="88"/>
      <c r="QG133" s="88"/>
      <c r="QH133" s="88"/>
      <c r="QI133" s="88"/>
      <c r="QJ133" s="88"/>
      <c r="QK133" s="88"/>
      <c r="QL133" s="88"/>
      <c r="QM133" s="88"/>
      <c r="QN133" s="88"/>
      <c r="QO133" s="88"/>
      <c r="QP133" s="88"/>
      <c r="QQ133" s="88"/>
      <c r="QR133" s="88"/>
      <c r="QS133" s="88"/>
      <c r="QT133" s="88"/>
      <c r="QU133" s="88"/>
      <c r="QV133" s="88"/>
      <c r="QW133" s="88"/>
      <c r="QX133" s="88"/>
      <c r="QY133" s="88"/>
      <c r="QZ133" s="88"/>
      <c r="RA133" s="88"/>
      <c r="RB133" s="88"/>
      <c r="RC133" s="88"/>
      <c r="RD133" s="88"/>
      <c r="RE133" s="88"/>
      <c r="RF133" s="88"/>
      <c r="RG133" s="88"/>
      <c r="RH133" s="88"/>
      <c r="RI133" s="88"/>
      <c r="RJ133" s="88"/>
      <c r="RK133" s="88"/>
      <c r="RL133" s="88"/>
      <c r="RM133" s="88"/>
      <c r="RN133" s="88"/>
      <c r="RO133" s="88"/>
      <c r="RP133" s="88"/>
      <c r="RQ133" s="88"/>
      <c r="RR133" s="88"/>
      <c r="RS133" s="88"/>
      <c r="RT133" s="88"/>
      <c r="RU133" s="88"/>
      <c r="RV133" s="88"/>
      <c r="RW133" s="88"/>
      <c r="RX133" s="88"/>
      <c r="RY133" s="88"/>
      <c r="RZ133" s="88"/>
      <c r="SA133" s="88"/>
      <c r="SB133" s="88"/>
      <c r="SC133" s="88"/>
      <c r="SD133" s="88"/>
      <c r="SE133" s="88"/>
      <c r="SF133" s="88"/>
      <c r="SG133" s="88"/>
      <c r="SH133" s="88"/>
      <c r="SI133" s="88"/>
      <c r="SJ133" s="88"/>
      <c r="SK133" s="88"/>
      <c r="SL133" s="88"/>
      <c r="SM133" s="88"/>
      <c r="SN133" s="88"/>
      <c r="SO133" s="88"/>
      <c r="SP133" s="88"/>
      <c r="SQ133" s="88"/>
      <c r="SR133" s="88"/>
      <c r="SS133" s="88"/>
      <c r="ST133" s="88"/>
      <c r="SU133" s="88"/>
      <c r="SV133" s="88"/>
      <c r="SW133" s="88"/>
      <c r="SX133" s="88"/>
      <c r="SY133" s="88"/>
      <c r="SZ133" s="88"/>
      <c r="TA133" s="88"/>
      <c r="TB133" s="88"/>
      <c r="TC133" s="88"/>
      <c r="TD133" s="88"/>
      <c r="TE133" s="88"/>
      <c r="TF133" s="88"/>
      <c r="TG133" s="88"/>
      <c r="TH133" s="88"/>
      <c r="TI133" s="88"/>
      <c r="TJ133" s="88"/>
      <c r="TK133" s="88"/>
      <c r="TL133" s="88"/>
      <c r="TM133" s="88"/>
      <c r="TN133" s="88"/>
      <c r="TO133" s="88"/>
      <c r="TP133" s="88"/>
      <c r="TQ133" s="88"/>
      <c r="TR133" s="88"/>
      <c r="TS133" s="88"/>
      <c r="TT133" s="88"/>
      <c r="TU133" s="88"/>
      <c r="TV133" s="88"/>
      <c r="TW133" s="88"/>
      <c r="TX133" s="88"/>
      <c r="TY133" s="88"/>
      <c r="TZ133" s="88"/>
      <c r="UA133" s="88"/>
      <c r="UB133" s="88"/>
      <c r="UC133" s="88"/>
      <c r="UD133" s="88"/>
      <c r="UE133" s="88"/>
      <c r="UF133" s="88"/>
      <c r="UG133" s="88"/>
      <c r="UH133" s="88"/>
      <c r="UI133" s="88"/>
      <c r="UJ133" s="88"/>
      <c r="UK133" s="88"/>
      <c r="UL133" s="88"/>
      <c r="UM133" s="88"/>
      <c r="UN133" s="88"/>
      <c r="UO133" s="88"/>
      <c r="UP133" s="88"/>
      <c r="UQ133" s="88"/>
      <c r="UR133" s="88"/>
      <c r="US133" s="88"/>
      <c r="UT133" s="88"/>
      <c r="UU133" s="88"/>
      <c r="UV133" s="88"/>
      <c r="UW133" s="88"/>
      <c r="UX133" s="88"/>
      <c r="UY133" s="88"/>
      <c r="UZ133" s="88"/>
      <c r="VA133" s="88"/>
      <c r="VB133" s="88"/>
      <c r="VC133" s="88"/>
      <c r="VD133" s="88"/>
      <c r="VE133" s="88"/>
      <c r="VF133" s="88"/>
      <c r="VG133" s="88"/>
      <c r="VH133" s="88"/>
      <c r="VI133" s="88"/>
      <c r="VJ133" s="88"/>
      <c r="VK133" s="88"/>
      <c r="VL133" s="88"/>
      <c r="VM133" s="88"/>
      <c r="VN133" s="88"/>
      <c r="VO133" s="88"/>
      <c r="VP133" s="88"/>
      <c r="VQ133" s="88"/>
      <c r="VR133" s="88"/>
      <c r="VS133" s="88"/>
      <c r="VT133" s="88"/>
      <c r="VU133" s="88"/>
      <c r="VV133" s="88"/>
      <c r="VW133" s="88"/>
      <c r="VX133" s="88"/>
      <c r="VY133" s="88"/>
      <c r="VZ133" s="88"/>
      <c r="WA133" s="88"/>
      <c r="WB133" s="88"/>
      <c r="WC133" s="88"/>
      <c r="WD133" s="88"/>
      <c r="WE133" s="88"/>
      <c r="WF133" s="88"/>
      <c r="WG133" s="88"/>
      <c r="WH133" s="88"/>
      <c r="WI133" s="88"/>
      <c r="WJ133" s="88"/>
      <c r="WK133" s="88"/>
      <c r="WL133" s="88"/>
      <c r="WM133" s="88"/>
      <c r="WN133" s="88"/>
      <c r="WO133" s="88"/>
      <c r="WP133" s="88"/>
      <c r="WQ133" s="88"/>
      <c r="WR133" s="88"/>
      <c r="WS133" s="88"/>
      <c r="WT133" s="88"/>
      <c r="WU133" s="88"/>
      <c r="WV133" s="88"/>
      <c r="WW133" s="88"/>
      <c r="WX133" s="88"/>
      <c r="WY133" s="88"/>
      <c r="WZ133" s="88"/>
      <c r="XA133" s="88"/>
      <c r="XB133" s="88"/>
      <c r="XC133" s="88"/>
      <c r="XD133" s="88"/>
      <c r="XE133" s="88"/>
      <c r="XF133" s="88"/>
      <c r="XG133" s="88"/>
      <c r="XH133" s="88"/>
      <c r="XI133" s="88"/>
      <c r="XJ133" s="88"/>
      <c r="XK133" s="88"/>
      <c r="XL133" s="88"/>
      <c r="XM133" s="88"/>
      <c r="XN133" s="88"/>
      <c r="XO133" s="88"/>
      <c r="XP133" s="88"/>
      <c r="XQ133" s="88"/>
      <c r="XR133" s="88"/>
      <c r="XS133" s="88"/>
      <c r="XT133" s="88"/>
      <c r="XU133" s="88"/>
      <c r="XV133" s="88"/>
      <c r="XW133" s="88"/>
      <c r="XX133" s="88"/>
      <c r="XY133" s="88"/>
      <c r="XZ133" s="88"/>
      <c r="YA133" s="88"/>
      <c r="YB133" s="88"/>
      <c r="YC133" s="88"/>
      <c r="YD133" s="88"/>
      <c r="YE133" s="88"/>
      <c r="YF133" s="88"/>
      <c r="YG133" s="88"/>
      <c r="YH133" s="88"/>
      <c r="YI133" s="88"/>
      <c r="YJ133" s="88"/>
      <c r="YK133" s="88"/>
      <c r="YL133" s="88"/>
      <c r="YM133" s="88"/>
      <c r="YN133" s="88"/>
      <c r="YO133" s="88"/>
      <c r="YP133" s="88"/>
      <c r="YQ133" s="88"/>
      <c r="YR133" s="88"/>
      <c r="YS133" s="88"/>
      <c r="YT133" s="88"/>
      <c r="YU133" s="88"/>
      <c r="YV133" s="88"/>
      <c r="YW133" s="88"/>
      <c r="YX133" s="88"/>
      <c r="YY133" s="88"/>
      <c r="YZ133" s="88"/>
      <c r="ZA133" s="88"/>
      <c r="ZB133" s="88"/>
      <c r="ZC133" s="88"/>
      <c r="ZD133" s="88"/>
      <c r="ZE133" s="88"/>
      <c r="ZF133" s="88"/>
      <c r="ZG133" s="88"/>
      <c r="ZH133" s="88"/>
      <c r="ZI133" s="88"/>
      <c r="ZJ133" s="88"/>
      <c r="ZK133" s="88"/>
      <c r="ZL133" s="88"/>
      <c r="ZM133" s="88"/>
      <c r="ZN133" s="88"/>
      <c r="ZO133" s="88"/>
      <c r="ZP133" s="88"/>
      <c r="ZQ133" s="88"/>
      <c r="ZR133" s="88"/>
      <c r="ZS133" s="88"/>
      <c r="ZT133" s="88"/>
      <c r="ZU133" s="88"/>
      <c r="ZV133" s="88"/>
      <c r="ZW133" s="88"/>
      <c r="ZX133" s="88"/>
      <c r="ZY133" s="88"/>
      <c r="ZZ133" s="88"/>
      <c r="AAA133" s="88"/>
      <c r="AAB133" s="88"/>
      <c r="AAC133" s="88"/>
      <c r="AAD133" s="88"/>
      <c r="AAE133" s="88"/>
      <c r="AAF133" s="88"/>
      <c r="AAG133" s="88"/>
      <c r="AAH133" s="88"/>
      <c r="AAI133" s="88"/>
      <c r="AAJ133" s="88"/>
      <c r="AAK133" s="88"/>
      <c r="AAL133" s="88"/>
      <c r="AAM133" s="88"/>
      <c r="AAN133" s="88"/>
      <c r="AAO133" s="88"/>
      <c r="AAP133" s="88"/>
      <c r="AAQ133" s="88"/>
      <c r="AAR133" s="88"/>
      <c r="AAS133" s="88"/>
      <c r="AAT133" s="88"/>
      <c r="AAU133" s="88"/>
      <c r="AAV133" s="88"/>
      <c r="AAW133" s="88"/>
      <c r="AAX133" s="88"/>
      <c r="AAY133" s="88"/>
      <c r="AAZ133" s="88"/>
      <c r="ABA133" s="88"/>
      <c r="ABB133" s="88"/>
      <c r="ABC133" s="88"/>
      <c r="ABD133" s="88"/>
      <c r="ABE133" s="88"/>
      <c r="ABF133" s="88"/>
      <c r="ABG133" s="88"/>
      <c r="ABH133" s="88"/>
      <c r="ABI133" s="88"/>
      <c r="ABJ133" s="88"/>
      <c r="ABK133" s="88"/>
      <c r="ABL133" s="88"/>
      <c r="ABM133" s="88"/>
      <c r="ABN133" s="88"/>
      <c r="ABO133" s="88"/>
      <c r="ABP133" s="88"/>
      <c r="ABQ133" s="88"/>
      <c r="ABR133" s="88"/>
      <c r="ABS133" s="88"/>
      <c r="ABT133" s="88"/>
      <c r="ABU133" s="88"/>
      <c r="ABV133" s="88"/>
      <c r="ABW133" s="88"/>
      <c r="ABX133" s="88"/>
      <c r="ABY133" s="88"/>
      <c r="ABZ133" s="88"/>
      <c r="ACA133" s="88"/>
      <c r="ACB133" s="88"/>
      <c r="ACC133" s="88"/>
      <c r="ACD133" s="88"/>
      <c r="ACE133" s="88"/>
      <c r="ACF133" s="88"/>
      <c r="ACG133" s="88"/>
      <c r="ACH133" s="88"/>
      <c r="ACI133" s="88"/>
      <c r="ACJ133" s="88"/>
      <c r="ACK133" s="88"/>
      <c r="ACL133" s="88"/>
      <c r="ACM133" s="88"/>
      <c r="ACN133" s="88"/>
      <c r="ACO133" s="88"/>
      <c r="ACP133" s="88"/>
      <c r="ACQ133" s="88"/>
      <c r="ACR133" s="88"/>
      <c r="ACS133" s="88"/>
      <c r="ACT133" s="88"/>
      <c r="ACU133" s="88"/>
      <c r="ACV133" s="88"/>
      <c r="ACW133" s="88"/>
      <c r="ACX133" s="88"/>
      <c r="ACY133" s="88"/>
      <c r="ACZ133" s="88"/>
      <c r="ADA133" s="88"/>
      <c r="ADB133" s="88"/>
      <c r="ADC133" s="88"/>
      <c r="ADD133" s="88"/>
      <c r="ADE133" s="88"/>
      <c r="ADF133" s="88"/>
      <c r="ADG133" s="88"/>
      <c r="ADH133" s="88"/>
      <c r="ADI133" s="88"/>
      <c r="ADJ133" s="88"/>
      <c r="ADK133" s="88"/>
      <c r="ADL133" s="88"/>
      <c r="ADM133" s="88"/>
      <c r="ADN133" s="88"/>
      <c r="ADO133" s="88"/>
      <c r="ADP133" s="88"/>
      <c r="ADQ133" s="88"/>
      <c r="ADR133" s="88"/>
      <c r="ADS133" s="88"/>
      <c r="ADT133" s="88"/>
      <c r="ADU133" s="88"/>
      <c r="ADV133" s="88"/>
      <c r="ADW133" s="88"/>
      <c r="ADX133" s="88"/>
      <c r="ADY133" s="88"/>
      <c r="ADZ133" s="88"/>
      <c r="AEA133" s="88"/>
      <c r="AEB133" s="88"/>
      <c r="AEC133" s="88"/>
      <c r="AED133" s="88"/>
      <c r="AEE133" s="88"/>
      <c r="AEF133" s="88"/>
      <c r="AEG133" s="88"/>
      <c r="AEH133" s="88"/>
      <c r="AEI133" s="88"/>
      <c r="AEJ133" s="88"/>
      <c r="AEK133" s="88"/>
      <c r="AEL133" s="88"/>
      <c r="AEM133" s="88"/>
      <c r="AEN133" s="88"/>
      <c r="AEO133" s="88"/>
      <c r="AEP133" s="88"/>
      <c r="AEQ133" s="88"/>
      <c r="AER133" s="88"/>
      <c r="AES133" s="88"/>
      <c r="AET133" s="88"/>
      <c r="AEU133" s="88"/>
      <c r="AEV133" s="88"/>
      <c r="AEW133" s="88"/>
      <c r="AEX133" s="88"/>
      <c r="AEY133" s="88"/>
      <c r="AEZ133" s="88"/>
      <c r="AFA133" s="88"/>
      <c r="AFB133" s="88"/>
      <c r="AFC133" s="88"/>
      <c r="AFD133" s="88"/>
      <c r="AFE133" s="88"/>
      <c r="AFF133" s="88"/>
      <c r="AFG133" s="88"/>
      <c r="AFH133" s="88"/>
      <c r="AFI133" s="88"/>
      <c r="AFJ133" s="88"/>
      <c r="AFK133" s="88"/>
      <c r="AFL133" s="88"/>
      <c r="AFM133" s="88"/>
      <c r="AFN133" s="88"/>
      <c r="AFO133" s="88"/>
      <c r="AFP133" s="88"/>
      <c r="AFQ133" s="88"/>
      <c r="AFR133" s="88"/>
      <c r="AFS133" s="88"/>
      <c r="AFT133" s="88"/>
      <c r="AFU133" s="88"/>
      <c r="AFV133" s="88"/>
      <c r="AFW133" s="88"/>
      <c r="AFX133" s="88"/>
      <c r="AFY133" s="88"/>
      <c r="AFZ133" s="88"/>
      <c r="AGA133" s="88"/>
      <c r="AGB133" s="88"/>
      <c r="AGC133" s="88"/>
      <c r="AGD133" s="88"/>
      <c r="AGE133" s="88"/>
      <c r="AGF133" s="88"/>
      <c r="AGG133" s="88"/>
      <c r="AGH133" s="88"/>
      <c r="AGI133" s="88"/>
      <c r="AGJ133" s="88"/>
      <c r="AGK133" s="88"/>
      <c r="AGL133" s="88"/>
      <c r="AGM133" s="88"/>
      <c r="AGN133" s="88"/>
      <c r="AGO133" s="88"/>
      <c r="AGP133" s="88"/>
      <c r="AGQ133" s="88"/>
      <c r="AGR133" s="88"/>
      <c r="AGS133" s="88"/>
      <c r="AGT133" s="88"/>
      <c r="AGU133" s="88"/>
      <c r="AGV133" s="88"/>
      <c r="AGW133" s="88"/>
      <c r="AGX133" s="88"/>
      <c r="AGY133" s="88"/>
      <c r="AGZ133" s="88"/>
      <c r="AHA133" s="88"/>
      <c r="AHB133" s="88"/>
      <c r="AHC133" s="88"/>
      <c r="AHD133" s="88"/>
      <c r="AHE133" s="88"/>
      <c r="AHF133" s="88"/>
      <c r="AHG133" s="88"/>
      <c r="AHH133" s="88"/>
      <c r="AHI133" s="88"/>
      <c r="AHJ133" s="88"/>
      <c r="AHK133" s="88"/>
      <c r="AHL133" s="88"/>
      <c r="AHM133" s="88"/>
      <c r="AHN133" s="88"/>
      <c r="AHO133" s="88"/>
      <c r="AHP133" s="88"/>
      <c r="AHQ133" s="88"/>
      <c r="AHR133" s="88"/>
      <c r="AHS133" s="88"/>
      <c r="AHT133" s="88"/>
      <c r="AHU133" s="88"/>
      <c r="AHV133" s="88"/>
      <c r="AHW133" s="88"/>
      <c r="AHX133" s="88"/>
      <c r="AHY133" s="88"/>
      <c r="AHZ133" s="88"/>
      <c r="AIA133" s="88"/>
      <c r="AIB133" s="88"/>
      <c r="AIC133" s="88"/>
      <c r="AID133" s="88"/>
      <c r="AIE133" s="88"/>
      <c r="AIF133" s="88"/>
      <c r="AIG133" s="88"/>
      <c r="AIH133" s="88"/>
      <c r="AII133" s="88"/>
      <c r="AIJ133" s="88"/>
      <c r="AIK133" s="88"/>
      <c r="AIL133" s="88"/>
      <c r="AIM133" s="88"/>
      <c r="AIN133" s="88"/>
      <c r="AIO133" s="88"/>
      <c r="AIP133" s="88"/>
      <c r="AIQ133" s="88"/>
      <c r="AIR133" s="88"/>
      <c r="AIS133" s="88"/>
      <c r="AIT133" s="88"/>
      <c r="AIU133" s="88"/>
      <c r="AIV133" s="88"/>
      <c r="AIW133" s="88"/>
      <c r="AIX133" s="88"/>
      <c r="AIY133" s="88"/>
      <c r="AIZ133" s="88"/>
      <c r="AJA133" s="88"/>
      <c r="AJB133" s="88"/>
      <c r="AJC133" s="88"/>
      <c r="AJD133" s="88"/>
      <c r="AJE133" s="88"/>
      <c r="AJF133" s="88"/>
      <c r="AJG133" s="88"/>
      <c r="AJH133" s="88"/>
      <c r="AJI133" s="88"/>
      <c r="AJJ133" s="88"/>
      <c r="AJK133" s="88"/>
      <c r="AJL133" s="88"/>
      <c r="AJM133" s="88"/>
      <c r="AJN133" s="88"/>
      <c r="AJO133" s="88"/>
      <c r="AJP133" s="88"/>
      <c r="AJQ133" s="88"/>
      <c r="AJR133" s="88"/>
      <c r="AJS133" s="88"/>
      <c r="AJT133" s="88"/>
      <c r="AJU133" s="88"/>
      <c r="AJV133" s="88"/>
      <c r="AJW133" s="88"/>
      <c r="AJX133" s="88"/>
      <c r="AJY133" s="88"/>
      <c r="AJZ133" s="88"/>
      <c r="AKA133" s="88"/>
      <c r="AKB133" s="88"/>
      <c r="AKC133" s="88"/>
      <c r="AKD133" s="88"/>
      <c r="AKE133" s="88"/>
      <c r="AKF133" s="88"/>
      <c r="AKG133" s="88"/>
      <c r="AKH133" s="88"/>
      <c r="AKI133" s="88"/>
      <c r="AKJ133" s="88"/>
      <c r="AKK133" s="88"/>
      <c r="AKL133" s="88"/>
      <c r="AKM133" s="88"/>
      <c r="AKN133" s="88"/>
      <c r="AKO133" s="88"/>
      <c r="AKP133" s="88"/>
      <c r="AKQ133" s="88"/>
      <c r="AKR133" s="88"/>
      <c r="AKS133" s="88"/>
      <c r="AKT133" s="88"/>
      <c r="AKU133" s="88"/>
      <c r="AKV133" s="88"/>
      <c r="AKW133" s="88"/>
      <c r="AKX133" s="88"/>
      <c r="AKY133" s="88"/>
      <c r="AKZ133" s="88"/>
      <c r="ALA133" s="88"/>
      <c r="ALB133" s="88"/>
      <c r="ALC133" s="88"/>
      <c r="ALD133" s="88"/>
      <c r="ALE133" s="88"/>
      <c r="ALF133" s="88"/>
      <c r="ALG133" s="88"/>
      <c r="ALH133" s="88"/>
      <c r="ALI133" s="88"/>
      <c r="ALJ133" s="88"/>
      <c r="ALK133" s="88"/>
      <c r="ALL133" s="88"/>
      <c r="ALM133" s="88"/>
      <c r="ALN133" s="88"/>
      <c r="ALO133" s="88"/>
      <c r="ALP133" s="88"/>
      <c r="ALQ133" s="88"/>
      <c r="ALR133" s="88"/>
      <c r="ALS133" s="88"/>
      <c r="ALT133" s="88"/>
      <c r="ALU133" s="88"/>
      <c r="ALV133" s="88"/>
      <c r="ALW133" s="88"/>
      <c r="ALX133" s="88"/>
      <c r="ALY133" s="88"/>
      <c r="ALZ133" s="88"/>
      <c r="AMA133" s="88"/>
      <c r="AMB133" s="88"/>
      <c r="AMC133" s="88"/>
      <c r="AMD133" s="88"/>
      <c r="AME133" s="88"/>
      <c r="AMF133" s="88"/>
      <c r="AMG133" s="88"/>
      <c r="AMH133" s="88"/>
      <c r="AMI133" s="88"/>
      <c r="AMJ133" s="88"/>
      <c r="AMK133" s="88"/>
      <c r="AML133" s="88"/>
      <c r="AMM133" s="88"/>
      <c r="AMN133" s="88"/>
      <c r="AMO133" s="88"/>
      <c r="AMP133" s="88"/>
      <c r="AMQ133" s="88"/>
      <c r="AMR133" s="88"/>
      <c r="AMS133" s="88"/>
      <c r="AMT133" s="88"/>
      <c r="AMU133" s="88"/>
      <c r="AMV133" s="88"/>
      <c r="AMW133" s="88"/>
      <c r="AMX133" s="88"/>
      <c r="AMY133" s="88"/>
      <c r="AMZ133" s="88"/>
      <c r="ANA133" s="88"/>
      <c r="ANB133" s="88"/>
      <c r="ANC133" s="88"/>
      <c r="AND133" s="88"/>
      <c r="ANE133" s="88"/>
      <c r="ANF133" s="88"/>
      <c r="ANG133" s="88"/>
      <c r="ANH133" s="88"/>
      <c r="ANI133" s="88"/>
      <c r="ANJ133" s="88"/>
      <c r="ANK133" s="88"/>
      <c r="ANL133" s="88"/>
      <c r="ANM133" s="88"/>
      <c r="ANN133" s="88"/>
      <c r="ANO133" s="88"/>
      <c r="ANP133" s="88"/>
      <c r="ANQ133" s="88"/>
      <c r="ANR133" s="88"/>
      <c r="ANS133" s="88"/>
      <c r="ANT133" s="88"/>
      <c r="ANU133" s="88"/>
      <c r="ANV133" s="88"/>
      <c r="ANW133" s="88"/>
      <c r="ANX133" s="88"/>
      <c r="ANY133" s="88"/>
      <c r="ANZ133" s="88"/>
      <c r="AOA133" s="88"/>
      <c r="AOB133" s="88"/>
      <c r="AOC133" s="88"/>
      <c r="AOD133" s="88"/>
      <c r="AOE133" s="88"/>
      <c r="AOF133" s="88"/>
      <c r="AOG133" s="88"/>
      <c r="AOH133" s="88"/>
      <c r="AOI133" s="88"/>
      <c r="AOJ133" s="88"/>
      <c r="AOK133" s="88"/>
      <c r="AOL133" s="88"/>
      <c r="AOM133" s="88"/>
      <c r="AON133" s="88"/>
      <c r="AOO133" s="88"/>
      <c r="AOP133" s="88"/>
      <c r="AOQ133" s="88"/>
      <c r="AOR133" s="88"/>
      <c r="AOS133" s="88"/>
      <c r="AOT133" s="88"/>
      <c r="AOU133" s="88"/>
      <c r="AOV133" s="88"/>
      <c r="AOW133" s="88"/>
      <c r="AOX133" s="88"/>
      <c r="AOY133" s="88"/>
      <c r="AOZ133" s="88"/>
      <c r="APA133" s="88"/>
      <c r="APB133" s="88"/>
      <c r="APC133" s="88"/>
      <c r="APD133" s="88"/>
      <c r="APE133" s="88"/>
      <c r="APF133" s="88"/>
      <c r="APG133" s="88"/>
      <c r="APH133" s="88"/>
      <c r="API133" s="88"/>
      <c r="APJ133" s="88"/>
      <c r="APK133" s="88"/>
      <c r="APL133" s="88"/>
      <c r="APM133" s="88"/>
      <c r="APN133" s="88"/>
      <c r="APO133" s="88"/>
      <c r="APP133" s="88"/>
      <c r="APQ133" s="88"/>
      <c r="APR133" s="88"/>
      <c r="APS133" s="88"/>
      <c r="APT133" s="88"/>
      <c r="APU133" s="88"/>
      <c r="APV133" s="88"/>
      <c r="APW133" s="88"/>
      <c r="APX133" s="88"/>
      <c r="APY133" s="88"/>
      <c r="APZ133" s="88"/>
      <c r="AQA133" s="88"/>
      <c r="AQB133" s="88"/>
      <c r="AQC133" s="88"/>
      <c r="AQD133" s="88"/>
      <c r="AQE133" s="88"/>
      <c r="AQF133" s="88"/>
      <c r="AQG133" s="88"/>
      <c r="AQH133" s="88"/>
      <c r="AQI133" s="88"/>
      <c r="AQJ133" s="88"/>
      <c r="AQK133" s="88"/>
      <c r="AQL133" s="88"/>
      <c r="AQM133" s="88"/>
      <c r="AQN133" s="88"/>
      <c r="AQO133" s="88"/>
      <c r="AQP133" s="88"/>
      <c r="AQQ133" s="88"/>
      <c r="AQR133" s="88"/>
      <c r="AQS133" s="88"/>
      <c r="AQT133" s="88"/>
      <c r="AQU133" s="88"/>
      <c r="AQV133" s="88"/>
      <c r="AQW133" s="88"/>
      <c r="AQX133" s="88"/>
      <c r="AQY133" s="88"/>
      <c r="AQZ133" s="88"/>
      <c r="ARA133" s="88"/>
      <c r="ARB133" s="88"/>
      <c r="ARC133" s="88"/>
      <c r="ARD133" s="88"/>
      <c r="ARE133" s="88"/>
      <c r="ARF133" s="88"/>
      <c r="ARG133" s="88"/>
      <c r="ARH133" s="88"/>
      <c r="ARI133" s="88"/>
      <c r="ARJ133" s="88"/>
      <c r="ARK133" s="88"/>
      <c r="ARL133" s="88"/>
      <c r="ARM133" s="88"/>
      <c r="ARN133" s="88"/>
      <c r="ARO133" s="88"/>
      <c r="ARP133" s="88"/>
      <c r="ARQ133" s="88"/>
      <c r="ARR133" s="88"/>
      <c r="ARS133" s="88"/>
      <c r="ART133" s="88"/>
      <c r="ARU133" s="88"/>
      <c r="ARV133" s="88"/>
      <c r="ARW133" s="88"/>
      <c r="ARX133" s="88"/>
      <c r="ARY133" s="88"/>
      <c r="ARZ133" s="88"/>
      <c r="ASA133" s="88"/>
      <c r="ASB133" s="88"/>
      <c r="ASC133" s="88"/>
      <c r="ASD133" s="88"/>
      <c r="ASE133" s="88"/>
      <c r="ASF133" s="88"/>
      <c r="ASG133" s="88"/>
      <c r="ASH133" s="88"/>
      <c r="ASI133" s="88"/>
      <c r="ASJ133" s="88"/>
      <c r="ASK133" s="88"/>
      <c r="ASL133" s="88"/>
      <c r="ASM133" s="88"/>
      <c r="ASN133" s="88"/>
      <c r="ASO133" s="88"/>
      <c r="ASP133" s="88"/>
      <c r="ASQ133" s="88"/>
      <c r="ASR133" s="88"/>
      <c r="ASS133" s="88"/>
      <c r="AST133" s="88"/>
      <c r="ASU133" s="88"/>
      <c r="ASV133" s="88"/>
      <c r="ASW133" s="88"/>
      <c r="ASX133" s="88"/>
      <c r="ASY133" s="88"/>
      <c r="ASZ133" s="88"/>
      <c r="ATA133" s="88"/>
      <c r="ATB133" s="88"/>
      <c r="ATC133" s="88"/>
      <c r="ATD133" s="88"/>
      <c r="ATE133" s="88"/>
      <c r="ATF133" s="88"/>
      <c r="ATG133" s="88"/>
      <c r="ATH133" s="88"/>
      <c r="ATI133" s="88"/>
      <c r="ATJ133" s="88"/>
      <c r="ATK133" s="88"/>
      <c r="ATL133" s="88"/>
      <c r="ATM133" s="88"/>
      <c r="ATN133" s="88"/>
      <c r="ATO133" s="88"/>
      <c r="ATP133" s="88"/>
      <c r="ATQ133" s="88"/>
      <c r="ATR133" s="88"/>
      <c r="ATS133" s="88"/>
      <c r="ATT133" s="88"/>
      <c r="ATU133" s="88"/>
      <c r="ATV133" s="88"/>
      <c r="ATW133" s="88"/>
      <c r="ATX133" s="88"/>
      <c r="ATY133" s="88"/>
      <c r="ATZ133" s="88"/>
      <c r="AUA133" s="88"/>
      <c r="AUB133" s="88"/>
      <c r="AUC133" s="88"/>
      <c r="AUD133" s="88"/>
      <c r="AUE133" s="88"/>
      <c r="AUF133" s="88"/>
      <c r="AUG133" s="88"/>
      <c r="AUH133" s="88"/>
      <c r="AUI133" s="88"/>
      <c r="AUJ133" s="88"/>
      <c r="AUK133" s="88"/>
      <c r="AUL133" s="88"/>
      <c r="AUM133" s="88"/>
      <c r="AUN133" s="88"/>
      <c r="AUO133" s="88"/>
      <c r="AUP133" s="88"/>
      <c r="AUQ133" s="88"/>
      <c r="AUR133" s="88"/>
      <c r="AUS133" s="88"/>
      <c r="AUT133" s="88"/>
      <c r="AUU133" s="88"/>
      <c r="AUV133" s="88"/>
      <c r="AUW133" s="88"/>
      <c r="AUX133" s="88"/>
      <c r="AUY133" s="88"/>
      <c r="AUZ133" s="88"/>
      <c r="AVA133" s="88"/>
      <c r="AVB133" s="88"/>
      <c r="AVC133" s="88"/>
      <c r="AVD133" s="88"/>
      <c r="AVE133" s="88"/>
      <c r="AVF133" s="88"/>
      <c r="AVG133" s="88"/>
      <c r="AVH133" s="88"/>
      <c r="AVI133" s="88"/>
      <c r="AVJ133" s="88"/>
      <c r="AVK133" s="88"/>
      <c r="AVL133" s="88"/>
      <c r="AVM133" s="88"/>
      <c r="AVN133" s="88"/>
      <c r="AVO133" s="88"/>
      <c r="AVP133" s="88"/>
      <c r="AVQ133" s="88"/>
      <c r="AVR133" s="88"/>
      <c r="AVS133" s="88"/>
      <c r="AVT133" s="88"/>
      <c r="AVU133" s="88"/>
      <c r="AVV133" s="88"/>
      <c r="AVW133" s="88"/>
      <c r="AVX133" s="88"/>
      <c r="AVY133" s="88"/>
      <c r="AVZ133" s="88"/>
      <c r="AWA133" s="88"/>
      <c r="AWB133" s="88"/>
      <c r="AWC133" s="88"/>
      <c r="AWD133" s="88"/>
      <c r="AWE133" s="88"/>
      <c r="AWF133" s="88"/>
      <c r="AWG133" s="88"/>
      <c r="AWH133" s="88"/>
      <c r="AWI133" s="88"/>
      <c r="AWJ133" s="88"/>
      <c r="AWK133" s="88"/>
      <c r="AWL133" s="88"/>
      <c r="AWM133" s="88"/>
      <c r="AWN133" s="88"/>
      <c r="AWO133" s="88"/>
      <c r="AWP133" s="88"/>
      <c r="AWQ133" s="88"/>
      <c r="AWR133" s="88"/>
      <c r="AWS133" s="88"/>
      <c r="AWT133" s="88"/>
      <c r="AWU133" s="88"/>
      <c r="AWV133" s="88"/>
      <c r="AWW133" s="88"/>
      <c r="AWX133" s="88"/>
      <c r="AWY133" s="88"/>
      <c r="AWZ133" s="88"/>
      <c r="AXA133" s="88"/>
      <c r="AXB133" s="88"/>
      <c r="AXC133" s="88"/>
      <c r="AXD133" s="88"/>
      <c r="AXE133" s="88"/>
      <c r="AXF133" s="88"/>
      <c r="AXG133" s="88"/>
      <c r="AXH133" s="88"/>
      <c r="AXI133" s="88"/>
      <c r="AXJ133" s="88"/>
      <c r="AXK133" s="88"/>
      <c r="AXL133" s="88"/>
      <c r="AXM133" s="88"/>
      <c r="AXN133" s="88"/>
      <c r="AXO133" s="88"/>
      <c r="AXP133" s="88"/>
      <c r="AXQ133" s="88"/>
      <c r="AXR133" s="88"/>
      <c r="AXS133" s="88"/>
      <c r="AXT133" s="88"/>
      <c r="AXU133" s="88"/>
      <c r="AXV133" s="88"/>
      <c r="AXW133" s="88"/>
      <c r="AXX133" s="88"/>
      <c r="AXY133" s="88"/>
      <c r="AXZ133" s="88"/>
      <c r="AYA133" s="88"/>
      <c r="AYB133" s="88"/>
      <c r="AYC133" s="88"/>
      <c r="AYD133" s="88"/>
      <c r="AYE133" s="88"/>
      <c r="AYF133" s="88"/>
      <c r="AYG133" s="88"/>
      <c r="AYH133" s="88"/>
      <c r="AYI133" s="88"/>
      <c r="AYJ133" s="88"/>
      <c r="AYK133" s="88"/>
      <c r="AYL133" s="88"/>
      <c r="AYM133" s="88"/>
      <c r="AYN133" s="88"/>
      <c r="AYO133" s="88"/>
      <c r="AYP133" s="88"/>
      <c r="AYQ133" s="88"/>
      <c r="AYR133" s="88"/>
      <c r="AYS133" s="88"/>
      <c r="AYT133" s="88"/>
      <c r="AYU133" s="88"/>
      <c r="AYV133" s="88"/>
      <c r="AYW133" s="88"/>
      <c r="AYX133" s="88"/>
      <c r="AYY133" s="88"/>
      <c r="AYZ133" s="88"/>
      <c r="AZA133" s="88"/>
      <c r="AZB133" s="88"/>
      <c r="AZC133" s="88"/>
      <c r="AZD133" s="88"/>
      <c r="AZE133" s="88"/>
      <c r="AZF133" s="88"/>
      <c r="AZG133" s="88"/>
      <c r="AZH133" s="88"/>
      <c r="AZI133" s="88"/>
      <c r="AZJ133" s="88"/>
      <c r="AZK133" s="88"/>
      <c r="AZL133" s="88"/>
      <c r="AZM133" s="88"/>
      <c r="AZN133" s="88"/>
      <c r="AZO133" s="88"/>
      <c r="AZP133" s="88"/>
      <c r="AZQ133" s="88"/>
      <c r="AZR133" s="88"/>
      <c r="AZS133" s="88"/>
      <c r="AZT133" s="88"/>
      <c r="AZU133" s="88"/>
      <c r="AZV133" s="88"/>
      <c r="AZW133" s="88"/>
      <c r="AZX133" s="88"/>
      <c r="AZY133" s="88"/>
      <c r="AZZ133" s="88"/>
      <c r="BAA133" s="88"/>
      <c r="BAB133" s="88"/>
      <c r="BAC133" s="88"/>
      <c r="BAD133" s="88"/>
      <c r="BAE133" s="88"/>
      <c r="BAF133" s="88"/>
      <c r="BAG133" s="88"/>
      <c r="BAH133" s="88"/>
      <c r="BAI133" s="88"/>
      <c r="BAJ133" s="88"/>
      <c r="BAK133" s="88"/>
      <c r="BAL133" s="88"/>
      <c r="BAM133" s="88"/>
      <c r="BAN133" s="88"/>
      <c r="BAO133" s="88"/>
      <c r="BAP133" s="88"/>
      <c r="BAQ133" s="88"/>
      <c r="BAR133" s="88"/>
      <c r="BAS133" s="88"/>
      <c r="BAT133" s="88"/>
      <c r="BAU133" s="88"/>
      <c r="BAV133" s="88"/>
      <c r="BAW133" s="88"/>
      <c r="BAX133" s="88"/>
      <c r="BAY133" s="88"/>
      <c r="BAZ133" s="88"/>
      <c r="BBA133" s="88"/>
      <c r="BBB133" s="88"/>
      <c r="BBC133" s="88"/>
      <c r="BBD133" s="88"/>
      <c r="BBE133" s="88"/>
      <c r="BBF133" s="88"/>
      <c r="BBG133" s="88"/>
      <c r="BBH133" s="88"/>
      <c r="BBI133" s="88"/>
      <c r="BBJ133" s="88"/>
      <c r="BBK133" s="88"/>
      <c r="BBL133" s="88"/>
      <c r="BBM133" s="88"/>
      <c r="BBN133" s="88"/>
      <c r="BBO133" s="88"/>
      <c r="BBP133" s="88"/>
      <c r="BBQ133" s="88"/>
      <c r="BBR133" s="88"/>
      <c r="BBS133" s="88"/>
      <c r="BBT133" s="88"/>
      <c r="BBU133" s="88"/>
      <c r="BBV133" s="88"/>
      <c r="BBW133" s="88"/>
      <c r="BBX133" s="88"/>
      <c r="BBY133" s="88"/>
      <c r="BBZ133" s="88"/>
      <c r="BCA133" s="88"/>
      <c r="BCB133" s="88"/>
      <c r="BCC133" s="88"/>
      <c r="BCD133" s="88"/>
      <c r="BCE133" s="88"/>
      <c r="BCF133" s="88"/>
      <c r="BCG133" s="88"/>
      <c r="BCH133" s="88"/>
      <c r="BCI133" s="88"/>
      <c r="BCJ133" s="88"/>
      <c r="BCK133" s="88"/>
      <c r="BCL133" s="88"/>
      <c r="BCM133" s="88"/>
      <c r="BCN133" s="88"/>
      <c r="BCO133" s="88"/>
      <c r="BCP133" s="88"/>
      <c r="BCQ133" s="88"/>
      <c r="BCR133" s="88"/>
      <c r="BCS133" s="88"/>
      <c r="BCT133" s="88"/>
      <c r="BCU133" s="88"/>
      <c r="BCV133" s="88"/>
      <c r="BCW133" s="88"/>
      <c r="BCX133" s="88"/>
      <c r="BCY133" s="88"/>
      <c r="BCZ133" s="88"/>
      <c r="BDA133" s="88"/>
      <c r="BDB133" s="88"/>
      <c r="BDC133" s="88"/>
      <c r="BDD133" s="88"/>
      <c r="BDE133" s="88"/>
      <c r="BDF133" s="88"/>
      <c r="BDG133" s="88"/>
      <c r="BDH133" s="88"/>
      <c r="BDI133" s="88"/>
      <c r="BDJ133" s="88"/>
      <c r="BDK133" s="88"/>
      <c r="BDL133" s="88"/>
      <c r="BDM133" s="88"/>
      <c r="BDN133" s="88"/>
      <c r="BDO133" s="88"/>
      <c r="BDP133" s="88"/>
      <c r="BDQ133" s="88"/>
      <c r="BDR133" s="88"/>
      <c r="BDS133" s="88"/>
      <c r="BDT133" s="88"/>
      <c r="BDU133" s="88"/>
      <c r="BDV133" s="88"/>
      <c r="BDW133" s="88"/>
      <c r="BDX133" s="88"/>
      <c r="BDY133" s="88"/>
      <c r="BDZ133" s="88"/>
      <c r="BEA133" s="88"/>
      <c r="BEB133" s="88"/>
      <c r="BEC133" s="88"/>
      <c r="BED133" s="88"/>
      <c r="BEE133" s="88"/>
      <c r="BEF133" s="88"/>
      <c r="BEG133" s="88"/>
      <c r="BEH133" s="88"/>
      <c r="BEI133" s="88"/>
      <c r="BEJ133" s="88"/>
      <c r="BEK133" s="88"/>
      <c r="BEL133" s="88"/>
      <c r="BEM133" s="88"/>
      <c r="BEN133" s="88"/>
      <c r="BEO133" s="88"/>
      <c r="BEP133" s="88"/>
      <c r="BEQ133" s="88"/>
      <c r="BER133" s="88"/>
      <c r="BES133" s="88"/>
      <c r="BET133" s="88"/>
      <c r="BEU133" s="88"/>
      <c r="BEV133" s="88"/>
      <c r="BEW133" s="88"/>
      <c r="BEX133" s="88"/>
      <c r="BEY133" s="88"/>
      <c r="BEZ133" s="88"/>
      <c r="BFA133" s="88"/>
      <c r="BFB133" s="88"/>
      <c r="BFC133" s="88"/>
      <c r="BFD133" s="88"/>
      <c r="BFE133" s="88"/>
      <c r="BFF133" s="88"/>
      <c r="BFG133" s="88"/>
      <c r="BFH133" s="88"/>
      <c r="BFI133" s="88"/>
      <c r="BFJ133" s="88"/>
      <c r="BFK133" s="88"/>
      <c r="BFL133" s="88"/>
      <c r="BFM133" s="88"/>
      <c r="BFN133" s="88"/>
      <c r="BFO133" s="88"/>
      <c r="BFP133" s="88"/>
      <c r="BFQ133" s="88"/>
      <c r="BFR133" s="88"/>
      <c r="BFS133" s="88"/>
      <c r="BFT133" s="88"/>
      <c r="BFU133" s="88"/>
      <c r="BFV133" s="88"/>
      <c r="BFW133" s="88"/>
      <c r="BFX133" s="88"/>
      <c r="BFY133" s="88"/>
      <c r="BFZ133" s="88"/>
      <c r="BGA133" s="88"/>
      <c r="BGB133" s="88"/>
      <c r="BGC133" s="88"/>
      <c r="BGD133" s="88"/>
      <c r="BGE133" s="88"/>
      <c r="BGF133" s="88"/>
      <c r="BGG133" s="88"/>
      <c r="BGH133" s="88"/>
      <c r="BGI133" s="88"/>
      <c r="BGJ133" s="88"/>
      <c r="BGK133" s="88"/>
      <c r="BGL133" s="88"/>
      <c r="BGM133" s="88"/>
      <c r="BGN133" s="88"/>
      <c r="BGO133" s="88"/>
      <c r="BGP133" s="88"/>
      <c r="BGQ133" s="88"/>
      <c r="BGR133" s="88"/>
      <c r="BGS133" s="88"/>
      <c r="BGT133" s="88"/>
      <c r="BGU133" s="88"/>
      <c r="BGV133" s="88"/>
      <c r="BGW133" s="88"/>
      <c r="BGX133" s="88"/>
      <c r="BGY133" s="88"/>
      <c r="BGZ133" s="88"/>
      <c r="BHA133" s="88"/>
      <c r="BHB133" s="88"/>
      <c r="BHC133" s="88"/>
      <c r="BHD133" s="88"/>
      <c r="BHE133" s="88"/>
      <c r="BHF133" s="88"/>
      <c r="BHG133" s="88"/>
      <c r="BHH133" s="88"/>
      <c r="BHI133" s="88"/>
      <c r="BHJ133" s="88"/>
      <c r="BHK133" s="88"/>
      <c r="BHL133" s="88"/>
      <c r="BHM133" s="88"/>
      <c r="BHN133" s="88"/>
      <c r="BHO133" s="88"/>
      <c r="BHP133" s="88"/>
      <c r="BHQ133" s="88"/>
      <c r="BHR133" s="88"/>
      <c r="BHS133" s="88"/>
      <c r="BHT133" s="88"/>
      <c r="BHU133" s="88"/>
      <c r="BHV133" s="88"/>
      <c r="BHW133" s="88"/>
      <c r="BHX133" s="88"/>
      <c r="BHY133" s="88"/>
      <c r="BHZ133" s="88"/>
      <c r="BIA133" s="88"/>
      <c r="BIB133" s="88"/>
      <c r="BIC133" s="88"/>
      <c r="BID133" s="88"/>
      <c r="BIE133" s="88"/>
      <c r="BIF133" s="88"/>
      <c r="BIG133" s="88"/>
      <c r="BIH133" s="88"/>
      <c r="BII133" s="88"/>
      <c r="BIJ133" s="88"/>
      <c r="BIK133" s="88"/>
      <c r="BIL133" s="88"/>
      <c r="BIM133" s="88"/>
      <c r="BIN133" s="88"/>
      <c r="BIO133" s="88"/>
      <c r="BIP133" s="88"/>
      <c r="BIQ133" s="88"/>
      <c r="BIR133" s="88"/>
      <c r="BIS133" s="88"/>
      <c r="BIT133" s="88"/>
      <c r="BIU133" s="88"/>
      <c r="BIV133" s="88"/>
      <c r="BIW133" s="88"/>
      <c r="BIX133" s="88"/>
      <c r="BIY133" s="88"/>
      <c r="BIZ133" s="88"/>
      <c r="BJA133" s="88"/>
      <c r="BJB133" s="88"/>
      <c r="BJC133" s="88"/>
      <c r="BJD133" s="88"/>
      <c r="BJE133" s="88"/>
      <c r="BJF133" s="88"/>
      <c r="BJG133" s="88"/>
      <c r="BJH133" s="88"/>
      <c r="BJI133" s="88"/>
      <c r="BJJ133" s="88"/>
      <c r="BJK133" s="88"/>
      <c r="BJL133" s="88"/>
      <c r="BJM133" s="88"/>
      <c r="BJN133" s="88"/>
      <c r="BJO133" s="88"/>
      <c r="BJP133" s="88"/>
      <c r="BJQ133" s="88"/>
      <c r="BJR133" s="88"/>
      <c r="BJS133" s="88"/>
      <c r="BJT133" s="88"/>
      <c r="BJU133" s="88"/>
      <c r="BJV133" s="88"/>
      <c r="BJW133" s="88"/>
      <c r="BJX133" s="88"/>
      <c r="BJY133" s="88"/>
      <c r="BJZ133" s="88"/>
      <c r="BKA133" s="88"/>
      <c r="BKB133" s="88"/>
      <c r="BKC133" s="88"/>
      <c r="BKD133" s="88"/>
      <c r="BKE133" s="88"/>
      <c r="BKF133" s="88"/>
      <c r="BKG133" s="88"/>
      <c r="BKH133" s="88"/>
      <c r="BKI133" s="88"/>
      <c r="BKJ133" s="88"/>
      <c r="BKK133" s="88"/>
      <c r="BKL133" s="88"/>
      <c r="BKM133" s="88"/>
      <c r="BKN133" s="88"/>
      <c r="BKO133" s="88"/>
      <c r="BKP133" s="88"/>
      <c r="BKQ133" s="88"/>
      <c r="BKR133" s="88"/>
      <c r="BKS133" s="88"/>
      <c r="BKT133" s="88"/>
      <c r="BKU133" s="88"/>
      <c r="BKV133" s="88"/>
      <c r="BKW133" s="88"/>
      <c r="BKX133" s="88"/>
      <c r="BKY133" s="88"/>
      <c r="BKZ133" s="88"/>
      <c r="BLA133" s="88"/>
      <c r="BLB133" s="88"/>
      <c r="BLC133" s="88"/>
      <c r="BLD133" s="88"/>
      <c r="BLE133" s="88"/>
      <c r="BLF133" s="88"/>
      <c r="BLG133" s="88"/>
      <c r="BLH133" s="88"/>
      <c r="BLI133" s="88"/>
      <c r="BLJ133" s="88"/>
      <c r="BLK133" s="88"/>
      <c r="BLL133" s="88"/>
      <c r="BLM133" s="88"/>
      <c r="BLN133" s="88"/>
      <c r="BLO133" s="88"/>
      <c r="BLP133" s="88"/>
      <c r="BLQ133" s="88"/>
      <c r="BLR133" s="88"/>
      <c r="BLS133" s="88"/>
      <c r="BLT133" s="88"/>
      <c r="BLU133" s="88"/>
      <c r="BLV133" s="88"/>
      <c r="BLW133" s="88"/>
      <c r="BLX133" s="88"/>
      <c r="BLY133" s="88"/>
      <c r="BLZ133" s="88"/>
      <c r="BMA133" s="88"/>
      <c r="BMB133" s="88"/>
      <c r="BMC133" s="88"/>
      <c r="BMD133" s="88"/>
      <c r="BME133" s="88"/>
      <c r="BMF133" s="88"/>
      <c r="BMG133" s="88"/>
      <c r="BMH133" s="88"/>
      <c r="BMI133" s="88"/>
      <c r="BMJ133" s="88"/>
      <c r="BMK133" s="88"/>
      <c r="BML133" s="88"/>
      <c r="BMM133" s="88"/>
      <c r="BMN133" s="88"/>
      <c r="BMO133" s="88"/>
      <c r="BMP133" s="88"/>
      <c r="BMQ133" s="88"/>
      <c r="BMR133" s="88"/>
      <c r="BMS133" s="88"/>
      <c r="BMT133" s="88"/>
      <c r="BMU133" s="88"/>
      <c r="BMV133" s="88"/>
      <c r="BMW133" s="88"/>
      <c r="BMX133" s="88"/>
      <c r="BMY133" s="88"/>
      <c r="BMZ133" s="88"/>
      <c r="BNA133" s="88"/>
      <c r="BNB133" s="88"/>
      <c r="BNC133" s="88"/>
      <c r="BND133" s="88"/>
      <c r="BNE133" s="88"/>
      <c r="BNF133" s="88"/>
      <c r="BNG133" s="88"/>
      <c r="BNH133" s="88"/>
      <c r="BNI133" s="88"/>
      <c r="BNJ133" s="88"/>
      <c r="BNK133" s="88"/>
      <c r="BNL133" s="88"/>
      <c r="BNM133" s="88"/>
      <c r="BNN133" s="88"/>
      <c r="BNO133" s="88"/>
      <c r="BNP133" s="88"/>
      <c r="BNQ133" s="88"/>
      <c r="BNR133" s="88"/>
      <c r="BNS133" s="88"/>
      <c r="BNT133" s="88"/>
      <c r="BNU133" s="88"/>
      <c r="BNV133" s="88"/>
      <c r="BNW133" s="88"/>
      <c r="BNX133" s="88"/>
      <c r="BNY133" s="88"/>
      <c r="BNZ133" s="88"/>
      <c r="BOA133" s="88"/>
      <c r="BOB133" s="88"/>
      <c r="BOC133" s="88"/>
      <c r="BOD133" s="88"/>
      <c r="BOE133" s="88"/>
      <c r="BOF133" s="88"/>
      <c r="BOG133" s="88"/>
      <c r="BOH133" s="88"/>
      <c r="BOI133" s="88"/>
      <c r="BOJ133" s="88"/>
      <c r="BOK133" s="88"/>
      <c r="BOL133" s="88"/>
      <c r="BOM133" s="88"/>
      <c r="BON133" s="88"/>
      <c r="BOO133" s="88"/>
      <c r="BOP133" s="88"/>
      <c r="BOQ133" s="88"/>
      <c r="BOR133" s="88"/>
      <c r="BOS133" s="88"/>
      <c r="BOT133" s="88"/>
      <c r="BOU133" s="88"/>
      <c r="BOV133" s="88"/>
      <c r="BOW133" s="88"/>
      <c r="BOX133" s="88"/>
      <c r="BOY133" s="88"/>
      <c r="BOZ133" s="88"/>
      <c r="BPA133" s="88"/>
      <c r="BPB133" s="88"/>
      <c r="BPC133" s="88"/>
      <c r="BPD133" s="88"/>
      <c r="BPE133" s="88"/>
      <c r="BPF133" s="88"/>
      <c r="BPG133" s="88"/>
      <c r="BPH133" s="88"/>
      <c r="BPI133" s="88"/>
      <c r="BPJ133" s="88"/>
      <c r="BPK133" s="88"/>
      <c r="BPL133" s="88"/>
      <c r="BPM133" s="88"/>
      <c r="BPN133" s="88"/>
      <c r="BPO133" s="88"/>
      <c r="BPP133" s="88"/>
      <c r="BPQ133" s="88"/>
      <c r="BPR133" s="88"/>
      <c r="BPS133" s="88"/>
      <c r="BPT133" s="88"/>
      <c r="BPU133" s="88"/>
      <c r="BPV133" s="88"/>
      <c r="BPW133" s="88"/>
      <c r="BPX133" s="88"/>
      <c r="BPY133" s="88"/>
      <c r="BPZ133" s="88"/>
      <c r="BQA133" s="88"/>
      <c r="BQB133" s="88"/>
      <c r="BQC133" s="88"/>
      <c r="BQD133" s="88"/>
      <c r="BQE133" s="88"/>
      <c r="BQF133" s="88"/>
      <c r="BQG133" s="88"/>
      <c r="BQH133" s="88"/>
      <c r="BQI133" s="88"/>
      <c r="BQJ133" s="88"/>
      <c r="BQK133" s="88"/>
      <c r="BQL133" s="88"/>
      <c r="BQM133" s="88"/>
      <c r="BQN133" s="88"/>
      <c r="BQO133" s="88"/>
      <c r="BQP133" s="88"/>
      <c r="BQQ133" s="88"/>
      <c r="BQR133" s="88"/>
      <c r="BQS133" s="88"/>
      <c r="BQT133" s="88"/>
      <c r="BQU133" s="88"/>
      <c r="BQV133" s="88"/>
      <c r="BQW133" s="88"/>
      <c r="BQX133" s="88"/>
      <c r="BQY133" s="88"/>
      <c r="BQZ133" s="88"/>
      <c r="BRA133" s="88"/>
      <c r="BRB133" s="88"/>
      <c r="BRC133" s="88"/>
      <c r="BRD133" s="88"/>
      <c r="BRE133" s="88"/>
      <c r="BRF133" s="88"/>
      <c r="BRG133" s="88"/>
      <c r="BRH133" s="88"/>
      <c r="BRI133" s="88"/>
      <c r="BRJ133" s="88"/>
      <c r="BRK133" s="88"/>
      <c r="BRL133" s="88"/>
      <c r="BRM133" s="88"/>
      <c r="BRN133" s="88"/>
      <c r="BRO133" s="88"/>
      <c r="BRP133" s="88"/>
      <c r="BRQ133" s="88"/>
      <c r="BRR133" s="88"/>
      <c r="BRS133" s="88"/>
      <c r="BRT133" s="88"/>
      <c r="BRU133" s="88"/>
      <c r="BRV133" s="88"/>
      <c r="BRW133" s="88"/>
      <c r="BRX133" s="88"/>
      <c r="BRY133" s="88"/>
      <c r="BRZ133" s="88"/>
      <c r="BSA133" s="88"/>
      <c r="BSB133" s="88"/>
      <c r="BSC133" s="88"/>
      <c r="BSD133" s="88"/>
      <c r="BSE133" s="88"/>
      <c r="BSF133" s="88"/>
      <c r="BSG133" s="88"/>
      <c r="BSH133" s="88"/>
      <c r="BSI133" s="88"/>
      <c r="BSJ133" s="88"/>
      <c r="BSK133" s="88"/>
      <c r="BSL133" s="88"/>
      <c r="BSM133" s="88"/>
      <c r="BSN133" s="88"/>
      <c r="BSO133" s="88"/>
      <c r="BSP133" s="88"/>
      <c r="BSQ133" s="88"/>
      <c r="BSR133" s="88"/>
      <c r="BSS133" s="88"/>
      <c r="BST133" s="88"/>
      <c r="BSU133" s="88"/>
      <c r="BSV133" s="88"/>
      <c r="BSW133" s="88"/>
      <c r="BSX133" s="88"/>
      <c r="BSY133" s="88"/>
      <c r="BSZ133" s="88"/>
      <c r="BTA133" s="88"/>
      <c r="BTB133" s="88"/>
      <c r="BTC133" s="88"/>
      <c r="BTD133" s="88"/>
      <c r="BTE133" s="88"/>
      <c r="BTF133" s="88"/>
      <c r="BTG133" s="88"/>
      <c r="BTH133" s="88"/>
      <c r="BTI133" s="88"/>
      <c r="BTJ133" s="88"/>
      <c r="BTK133" s="88"/>
      <c r="BTL133" s="88"/>
      <c r="BTM133" s="88"/>
      <c r="BTN133" s="88"/>
      <c r="BTO133" s="88"/>
      <c r="BTP133" s="88"/>
      <c r="BTQ133" s="88"/>
      <c r="BTR133" s="88"/>
      <c r="BTS133" s="88"/>
      <c r="BTT133" s="88"/>
      <c r="BTU133" s="88"/>
      <c r="BTV133" s="88"/>
      <c r="BTW133" s="88"/>
      <c r="BTX133" s="88"/>
      <c r="BTY133" s="88"/>
      <c r="BTZ133" s="88"/>
      <c r="BUA133" s="88"/>
      <c r="BUB133" s="88"/>
      <c r="BUC133" s="88"/>
      <c r="BUD133" s="88"/>
      <c r="BUE133" s="88"/>
      <c r="BUF133" s="88"/>
      <c r="BUG133" s="88"/>
      <c r="BUH133" s="88"/>
      <c r="BUI133" s="88"/>
      <c r="BUJ133" s="88"/>
      <c r="BUK133" s="88"/>
      <c r="BUL133" s="88"/>
      <c r="BUM133" s="88"/>
      <c r="BUN133" s="88"/>
      <c r="BUO133" s="88"/>
      <c r="BUP133" s="88"/>
      <c r="BUQ133" s="88"/>
      <c r="BUR133" s="88"/>
      <c r="BUS133" s="88"/>
      <c r="BUT133" s="88"/>
      <c r="BUU133" s="88"/>
      <c r="BUV133" s="88"/>
      <c r="BUW133" s="88"/>
      <c r="BUX133" s="88"/>
      <c r="BUY133" s="88"/>
      <c r="BUZ133" s="88"/>
      <c r="BVA133" s="88"/>
      <c r="BVB133" s="88"/>
      <c r="BVC133" s="88"/>
      <c r="BVD133" s="88"/>
      <c r="BVE133" s="88"/>
      <c r="BVF133" s="88"/>
      <c r="BVG133" s="88"/>
      <c r="BVH133" s="88"/>
      <c r="BVI133" s="88"/>
      <c r="BVJ133" s="88"/>
      <c r="BVK133" s="88"/>
      <c r="BVL133" s="88"/>
      <c r="BVM133" s="88"/>
      <c r="BVN133" s="88"/>
      <c r="BVO133" s="88"/>
      <c r="BVP133" s="88"/>
      <c r="BVQ133" s="88"/>
      <c r="BVR133" s="88"/>
      <c r="BVS133" s="88"/>
      <c r="BVT133" s="88"/>
      <c r="BVU133" s="88"/>
      <c r="BVV133" s="88"/>
      <c r="BVW133" s="88"/>
      <c r="BVX133" s="88"/>
      <c r="BVY133" s="88"/>
      <c r="BVZ133" s="88"/>
      <c r="BWA133" s="88"/>
      <c r="BWB133" s="88"/>
      <c r="BWC133" s="88"/>
      <c r="BWD133" s="88"/>
      <c r="BWE133" s="88"/>
      <c r="BWF133" s="88"/>
      <c r="BWG133" s="88"/>
      <c r="BWH133" s="88"/>
      <c r="BWI133" s="88"/>
      <c r="BWJ133" s="88"/>
      <c r="BWK133" s="88"/>
      <c r="BWL133" s="88"/>
      <c r="BWM133" s="88"/>
      <c r="BWN133" s="88"/>
      <c r="BWO133" s="88"/>
      <c r="BWP133" s="88"/>
      <c r="BWQ133" s="88"/>
      <c r="BWR133" s="88"/>
      <c r="BWS133" s="88"/>
      <c r="BWT133" s="88"/>
      <c r="BWU133" s="88"/>
      <c r="BWV133" s="88"/>
      <c r="BWW133" s="88"/>
      <c r="BWX133" s="88"/>
      <c r="BWY133" s="88"/>
      <c r="BWZ133" s="88"/>
      <c r="BXA133" s="88"/>
      <c r="BXB133" s="88"/>
      <c r="BXC133" s="88"/>
      <c r="BXD133" s="88"/>
      <c r="BXE133" s="88"/>
      <c r="BXF133" s="88"/>
      <c r="BXG133" s="88"/>
      <c r="BXH133" s="88"/>
      <c r="BXI133" s="88"/>
      <c r="BXJ133" s="88"/>
      <c r="BXK133" s="88"/>
      <c r="BXL133" s="88"/>
      <c r="BXM133" s="88"/>
      <c r="BXN133" s="88"/>
      <c r="BXO133" s="88"/>
      <c r="BXP133" s="88"/>
      <c r="BXQ133" s="88"/>
      <c r="BXR133" s="88"/>
      <c r="BXS133" s="88"/>
      <c r="BXT133" s="88"/>
      <c r="BXU133" s="88"/>
      <c r="BXV133" s="88"/>
      <c r="BXW133" s="88"/>
      <c r="BXX133" s="88"/>
      <c r="BXY133" s="88"/>
      <c r="BXZ133" s="88"/>
      <c r="BYA133" s="88"/>
      <c r="BYB133" s="88"/>
      <c r="BYC133" s="88"/>
      <c r="BYD133" s="88"/>
      <c r="BYE133" s="88"/>
      <c r="BYF133" s="88"/>
      <c r="BYG133" s="88"/>
      <c r="BYH133" s="88"/>
      <c r="BYI133" s="88"/>
      <c r="BYJ133" s="88"/>
      <c r="BYK133" s="88"/>
      <c r="BYL133" s="88"/>
      <c r="BYM133" s="88"/>
      <c r="BYN133" s="88"/>
      <c r="BYO133" s="88"/>
      <c r="BYP133" s="88"/>
      <c r="BYQ133" s="88"/>
      <c r="BYR133" s="88"/>
      <c r="BYS133" s="88"/>
      <c r="BYT133" s="88"/>
      <c r="BYU133" s="88"/>
      <c r="BYV133" s="88"/>
      <c r="BYW133" s="88"/>
      <c r="BYX133" s="88"/>
      <c r="BYY133" s="88"/>
      <c r="BYZ133" s="88"/>
      <c r="BZA133" s="88"/>
      <c r="BZB133" s="88"/>
      <c r="BZC133" s="88"/>
      <c r="BZD133" s="88"/>
      <c r="BZE133" s="88"/>
      <c r="BZF133" s="88"/>
      <c r="BZG133" s="88"/>
      <c r="BZH133" s="88"/>
      <c r="BZI133" s="88"/>
      <c r="BZJ133" s="88"/>
      <c r="BZK133" s="88"/>
      <c r="BZL133" s="88"/>
      <c r="BZM133" s="88"/>
      <c r="BZN133" s="88"/>
      <c r="BZO133" s="88"/>
      <c r="BZP133" s="88"/>
      <c r="BZQ133" s="88"/>
      <c r="BZR133" s="88"/>
      <c r="BZS133" s="88"/>
      <c r="BZT133" s="88"/>
      <c r="BZU133" s="88"/>
      <c r="BZV133" s="88"/>
      <c r="BZW133" s="88"/>
      <c r="BZX133" s="88"/>
      <c r="BZY133" s="88"/>
      <c r="BZZ133" s="88"/>
      <c r="CAA133" s="88"/>
      <c r="CAB133" s="88"/>
      <c r="CAC133" s="88"/>
      <c r="CAD133" s="88"/>
      <c r="CAE133" s="88"/>
      <c r="CAF133" s="88"/>
      <c r="CAG133" s="88"/>
      <c r="CAH133" s="88"/>
      <c r="CAI133" s="88"/>
      <c r="CAJ133" s="88"/>
      <c r="CAK133" s="88"/>
      <c r="CAL133" s="88"/>
      <c r="CAM133" s="88"/>
      <c r="CAN133" s="88"/>
      <c r="CAO133" s="88"/>
      <c r="CAP133" s="88"/>
      <c r="CAQ133" s="88"/>
      <c r="CAR133" s="88"/>
      <c r="CAS133" s="88"/>
      <c r="CAT133" s="88"/>
      <c r="CAU133" s="88"/>
      <c r="CAV133" s="88"/>
      <c r="CAW133" s="88"/>
      <c r="CAX133" s="88"/>
      <c r="CAY133" s="88"/>
      <c r="CAZ133" s="88"/>
      <c r="CBA133" s="88"/>
      <c r="CBB133" s="88"/>
      <c r="CBC133" s="88"/>
      <c r="CBD133" s="88"/>
      <c r="CBE133" s="88"/>
      <c r="CBF133" s="88"/>
      <c r="CBG133" s="88"/>
      <c r="CBH133" s="88"/>
      <c r="CBI133" s="88"/>
      <c r="CBJ133" s="88"/>
      <c r="CBK133" s="88"/>
      <c r="CBL133" s="88"/>
      <c r="CBM133" s="88"/>
      <c r="CBN133" s="88"/>
      <c r="CBO133" s="88"/>
      <c r="CBP133" s="88"/>
      <c r="CBQ133" s="88"/>
      <c r="CBR133" s="88"/>
      <c r="CBS133" s="88"/>
      <c r="CBT133" s="88"/>
      <c r="CBU133" s="88"/>
      <c r="CBV133" s="88"/>
      <c r="CBW133" s="88"/>
      <c r="CBX133" s="88"/>
      <c r="CBY133" s="88"/>
      <c r="CBZ133" s="88"/>
      <c r="CCA133" s="88"/>
      <c r="CCB133" s="88"/>
      <c r="CCC133" s="88"/>
      <c r="CCD133" s="88"/>
      <c r="CCE133" s="88"/>
      <c r="CCF133" s="88"/>
      <c r="CCG133" s="88"/>
      <c r="CCH133" s="88"/>
      <c r="CCI133" s="88"/>
      <c r="CCJ133" s="88"/>
      <c r="CCK133" s="88"/>
      <c r="CCL133" s="88"/>
      <c r="CCM133" s="88"/>
      <c r="CCN133" s="88"/>
      <c r="CCO133" s="88"/>
      <c r="CCP133" s="88"/>
      <c r="CCQ133" s="88"/>
      <c r="CCR133" s="88"/>
      <c r="CCS133" s="88"/>
      <c r="CCT133" s="88"/>
      <c r="CCU133" s="88"/>
      <c r="CCV133" s="88"/>
      <c r="CCW133" s="88"/>
      <c r="CCX133" s="88"/>
      <c r="CCY133" s="88"/>
      <c r="CCZ133" s="88"/>
      <c r="CDA133" s="88"/>
      <c r="CDB133" s="88"/>
      <c r="CDC133" s="88"/>
      <c r="CDD133" s="88"/>
      <c r="CDE133" s="88"/>
      <c r="CDF133" s="88"/>
      <c r="CDG133" s="88"/>
      <c r="CDH133" s="88"/>
      <c r="CDI133" s="88"/>
      <c r="CDJ133" s="88"/>
      <c r="CDK133" s="88"/>
      <c r="CDL133" s="88"/>
      <c r="CDM133" s="88"/>
      <c r="CDN133" s="88"/>
      <c r="CDO133" s="88"/>
      <c r="CDP133" s="88"/>
      <c r="CDQ133" s="88"/>
      <c r="CDR133" s="88"/>
      <c r="CDS133" s="88"/>
      <c r="CDT133" s="88"/>
      <c r="CDU133" s="88"/>
      <c r="CDV133" s="88"/>
      <c r="CDW133" s="88"/>
      <c r="CDX133" s="88"/>
      <c r="CDY133" s="88"/>
      <c r="CDZ133" s="88"/>
      <c r="CEA133" s="88"/>
      <c r="CEB133" s="88"/>
      <c r="CEC133" s="88"/>
      <c r="CED133" s="88"/>
      <c r="CEE133" s="88"/>
      <c r="CEF133" s="88"/>
      <c r="CEG133" s="88"/>
      <c r="CEH133" s="88"/>
      <c r="CEI133" s="88"/>
      <c r="CEJ133" s="88"/>
      <c r="CEK133" s="88"/>
    </row>
    <row r="134" spans="1:2169" s="63" customFormat="1">
      <c r="A134" s="73" t="s">
        <v>2786</v>
      </c>
      <c r="B134" s="71" t="s">
        <v>2787</v>
      </c>
      <c r="C134" s="68" t="str">
        <f>IF('page 2'!$O$4="","",IF('page 2'!$O$4=Gestion!A134,1,0))</f>
        <v/>
      </c>
      <c r="D134" s="68" t="str">
        <f>IF('page 2'!$O$5="","",IF('page 2'!$O$5=Gestion!A134,1,0))</f>
        <v/>
      </c>
      <c r="E134" s="68" t="str">
        <f>IF('page 2'!$O$6="","",IF('page 2'!$O$6=Gestion!A134,1,0))</f>
        <v/>
      </c>
      <c r="F134" s="68" t="str">
        <f>IF('page 2'!$O$7="","",IF('page 2'!$O$7=Gestion!A134,1,0))</f>
        <v/>
      </c>
      <c r="G134" s="68" t="str">
        <f>IF('page 2'!$O$8="","",IF('page 2'!$O$8=Gestion!A134,1,0))</f>
        <v/>
      </c>
      <c r="H134" s="68" t="str">
        <f>IF('page 2'!$O$9="","",IF('page 2'!$O$9=Gestion!A134,1,0))</f>
        <v/>
      </c>
      <c r="I134" s="68" t="str">
        <f>IF('page 2'!$O$10="","",IF('page 2'!$O$10=Gestion!A134,1,0))</f>
        <v/>
      </c>
      <c r="J134" s="68" t="str">
        <f>IF('page 2'!$O$11="","",IF('page 2'!$O$11=Gestion!A134,1,0))</f>
        <v/>
      </c>
      <c r="K134" s="68" t="str">
        <f>IF('page 2'!$O$12="","",IF('page 2'!$O$12=Gestion!A134,1,0))</f>
        <v/>
      </c>
      <c r="L134" s="68" t="str">
        <f>IF('page 2'!$O$13="","",IF('page 2'!$O$13=Gestion!A134,1,0))</f>
        <v/>
      </c>
      <c r="M134" s="68" t="str">
        <f>IF('page 2'!$O$14="","",IF('page 2'!$O$14=Gestion!A134,1,0))</f>
        <v/>
      </c>
      <c r="N134" s="68" t="str">
        <f>IF('page 2'!$O$15="","",IF('page 2'!$O$15=Gestion!A134,1,0))</f>
        <v/>
      </c>
      <c r="O134" s="68" t="str">
        <f>IF('page 2'!$O$16="","",IF('page 2'!$O$16=Gestion!A134,1,0))</f>
        <v/>
      </c>
      <c r="P134" s="68" t="str">
        <f>IF('page 2'!$O$17="","",IF('page 2'!$O$17=Gestion!A134,1,0))</f>
        <v/>
      </c>
      <c r="Q134" s="68" t="str">
        <f>IF('page 2'!$O$18="","",IF('page 2'!$O$18=Gestion!A134,1,0))</f>
        <v/>
      </c>
      <c r="R134" s="68" t="str">
        <f>IF('page 2'!$O$19="","",IF('page 2'!$O$19=Gestion!A134,1,0))</f>
        <v/>
      </c>
      <c r="S134" s="68" t="str">
        <f>IF('page 2'!$O$20="","",IF('page 2'!$O$20=Gestion!A134,1,0))</f>
        <v/>
      </c>
      <c r="T134" s="68" t="str">
        <f>IF('page 2'!$O$25="","",IF('page 2'!$O$25=Gestion!A134,1,0))</f>
        <v/>
      </c>
      <c r="U134" s="68" t="str">
        <f>IF('page 2'!$O$26="","",IF('page 2'!$O$26=Gestion!A134,1,0))</f>
        <v/>
      </c>
      <c r="V134" s="68" t="str">
        <f>IF('page 2'!$O$27="","",IF('page 2'!$O$27=Gestion!A134,1,0))</f>
        <v/>
      </c>
      <c r="W134" s="722">
        <f t="shared" si="14"/>
        <v>0</v>
      </c>
      <c r="X134" s="714"/>
      <c r="Y134" s="68"/>
      <c r="Z134" s="68"/>
      <c r="AA134" s="68"/>
      <c r="AB134" s="68"/>
      <c r="AC134" s="68"/>
      <c r="AD134" s="68"/>
      <c r="AP134" s="130"/>
      <c r="AQ134" s="130"/>
      <c r="AR134" s="130"/>
      <c r="AS134" s="576"/>
      <c r="AT134" s="576"/>
      <c r="AU134" s="576"/>
      <c r="AV134" s="576"/>
      <c r="AW134" s="602"/>
      <c r="AX134" s="602"/>
      <c r="AY134" s="576"/>
      <c r="AZ134" s="576"/>
      <c r="BA134" s="576"/>
      <c r="BB134" s="576"/>
      <c r="BC134" s="576"/>
      <c r="BD134" s="602"/>
      <c r="BE134" s="602"/>
      <c r="BF134" s="602"/>
      <c r="BG134" s="602"/>
      <c r="BH134" s="602"/>
      <c r="BI134" s="602"/>
      <c r="BJ134" s="602"/>
      <c r="BK134" s="602"/>
      <c r="BL134" s="602"/>
      <c r="BM134" s="602"/>
      <c r="BN134" s="602"/>
      <c r="BO134" s="602"/>
      <c r="BP134" s="602"/>
      <c r="BQ134" s="602"/>
      <c r="BR134" s="602"/>
      <c r="BS134" s="576"/>
      <c r="BT134" s="576"/>
      <c r="BU134" s="576"/>
      <c r="BV134" s="576"/>
      <c r="BW134" s="602"/>
      <c r="BX134" s="602"/>
      <c r="BY134" s="602"/>
      <c r="BZ134" s="576"/>
      <c r="CA134" s="602"/>
      <c r="CB134" s="602"/>
      <c r="CC134" s="576"/>
      <c r="CD134" s="576"/>
      <c r="CE134" s="602"/>
      <c r="CF134" s="576"/>
      <c r="CG134" s="576"/>
      <c r="CH134" s="576"/>
      <c r="CI134" s="576"/>
      <c r="CJ134" s="576"/>
      <c r="CK134" s="602"/>
      <c r="CL134" s="602"/>
      <c r="CM134" s="576"/>
      <c r="CN134" s="602"/>
      <c r="CO134" s="602"/>
      <c r="CP134" s="602"/>
      <c r="CQ134" s="576"/>
      <c r="CR134" s="576"/>
      <c r="CS134" s="602"/>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c r="IW134" s="88"/>
      <c r="IX134" s="88"/>
      <c r="IY134" s="88"/>
      <c r="IZ134" s="88"/>
      <c r="JA134" s="88"/>
      <c r="JB134" s="88"/>
      <c r="JC134" s="88"/>
      <c r="JD134" s="88"/>
      <c r="JE134" s="88"/>
      <c r="JF134" s="88"/>
      <c r="JG134" s="88"/>
      <c r="JH134" s="88"/>
      <c r="JI134" s="88"/>
      <c r="JJ134" s="88"/>
      <c r="JK134" s="88"/>
      <c r="JL134" s="88"/>
      <c r="JM134" s="88"/>
      <c r="JN134" s="88"/>
      <c r="JO134" s="88"/>
      <c r="JP134" s="88"/>
      <c r="JQ134" s="88"/>
      <c r="JR134" s="88"/>
      <c r="JS134" s="88"/>
      <c r="JT134" s="88"/>
      <c r="JU134" s="88"/>
      <c r="JV134" s="88"/>
      <c r="JW134" s="88"/>
      <c r="JX134" s="88"/>
      <c r="JY134" s="88"/>
      <c r="JZ134" s="88"/>
      <c r="KA134" s="88"/>
      <c r="KB134" s="88"/>
      <c r="KC134" s="88"/>
      <c r="KD134" s="88"/>
      <c r="KE134" s="88"/>
      <c r="KF134" s="88"/>
      <c r="KG134" s="88"/>
      <c r="KH134" s="88"/>
      <c r="KI134" s="88"/>
      <c r="KJ134" s="88"/>
      <c r="KK134" s="88"/>
      <c r="KL134" s="88"/>
      <c r="KM134" s="88"/>
      <c r="KN134" s="88"/>
      <c r="KO134" s="88"/>
      <c r="KP134" s="88"/>
      <c r="KQ134" s="88"/>
      <c r="KR134" s="88"/>
      <c r="KS134" s="88"/>
      <c r="KT134" s="88"/>
      <c r="KU134" s="88"/>
      <c r="KV134" s="88"/>
      <c r="KW134" s="88"/>
      <c r="KX134" s="88"/>
      <c r="KY134" s="88"/>
      <c r="KZ134" s="88"/>
      <c r="LA134" s="88"/>
      <c r="LB134" s="88"/>
      <c r="LC134" s="88"/>
      <c r="LD134" s="88"/>
      <c r="LE134" s="88"/>
      <c r="LF134" s="88"/>
      <c r="LG134" s="88"/>
      <c r="LH134" s="88"/>
      <c r="LI134" s="88"/>
      <c r="LJ134" s="88"/>
      <c r="LK134" s="88"/>
      <c r="LL134" s="88"/>
      <c r="LM134" s="88"/>
      <c r="LN134" s="88"/>
      <c r="LO134" s="88"/>
      <c r="LP134" s="88"/>
      <c r="LQ134" s="88"/>
      <c r="LR134" s="88"/>
      <c r="LS134" s="88"/>
      <c r="LT134" s="88"/>
      <c r="LU134" s="88"/>
      <c r="LV134" s="88"/>
      <c r="LW134" s="88"/>
      <c r="LX134" s="88"/>
      <c r="LY134" s="88"/>
      <c r="LZ134" s="88"/>
      <c r="MA134" s="88"/>
      <c r="MB134" s="88"/>
      <c r="MC134" s="88"/>
      <c r="MD134" s="88"/>
      <c r="ME134" s="88"/>
      <c r="MF134" s="88"/>
      <c r="MG134" s="88"/>
      <c r="MH134" s="88"/>
      <c r="MI134" s="88"/>
      <c r="MJ134" s="88"/>
      <c r="MK134" s="88"/>
      <c r="ML134" s="88"/>
      <c r="MM134" s="88"/>
      <c r="MN134" s="88"/>
      <c r="MO134" s="88"/>
      <c r="MP134" s="88"/>
      <c r="MQ134" s="88"/>
      <c r="MR134" s="88"/>
      <c r="MS134" s="88"/>
      <c r="MT134" s="88"/>
      <c r="MU134" s="88"/>
      <c r="MV134" s="88"/>
      <c r="MW134" s="88"/>
      <c r="MX134" s="88"/>
      <c r="MY134" s="88"/>
      <c r="MZ134" s="88"/>
      <c r="NA134" s="88"/>
      <c r="NB134" s="88"/>
      <c r="NC134" s="88"/>
      <c r="ND134" s="88"/>
      <c r="NE134" s="88"/>
      <c r="NF134" s="88"/>
      <c r="NG134" s="88"/>
      <c r="NH134" s="88"/>
      <c r="NI134" s="88"/>
      <c r="NJ134" s="88"/>
      <c r="NK134" s="88"/>
      <c r="NL134" s="88"/>
      <c r="NM134" s="88"/>
      <c r="NN134" s="88"/>
      <c r="NO134" s="88"/>
      <c r="NP134" s="88"/>
      <c r="NQ134" s="88"/>
      <c r="NR134" s="88"/>
      <c r="NS134" s="88"/>
      <c r="NT134" s="88"/>
      <c r="NU134" s="88"/>
      <c r="NV134" s="88"/>
      <c r="NW134" s="88"/>
      <c r="NX134" s="88"/>
      <c r="NY134" s="88"/>
      <c r="NZ134" s="88"/>
      <c r="OA134" s="88"/>
      <c r="OB134" s="88"/>
      <c r="OC134" s="88"/>
      <c r="OD134" s="88"/>
      <c r="OE134" s="88"/>
      <c r="OF134" s="88"/>
      <c r="OG134" s="88"/>
      <c r="OH134" s="88"/>
      <c r="OI134" s="88"/>
      <c r="OJ134" s="88"/>
      <c r="OK134" s="88"/>
      <c r="OL134" s="88"/>
      <c r="OM134" s="88"/>
      <c r="ON134" s="88"/>
      <c r="OO134" s="88"/>
      <c r="OP134" s="88"/>
      <c r="OQ134" s="88"/>
      <c r="OR134" s="88"/>
      <c r="OS134" s="88"/>
      <c r="OT134" s="88"/>
      <c r="OU134" s="88"/>
      <c r="OV134" s="88"/>
      <c r="OW134" s="88"/>
      <c r="OX134" s="88"/>
      <c r="OY134" s="88"/>
      <c r="OZ134" s="88"/>
      <c r="PA134" s="88"/>
      <c r="PB134" s="88"/>
      <c r="PC134" s="88"/>
      <c r="PD134" s="88"/>
      <c r="PE134" s="88"/>
      <c r="PF134" s="88"/>
      <c r="PG134" s="88"/>
      <c r="PH134" s="88"/>
      <c r="PI134" s="88"/>
      <c r="PJ134" s="88"/>
      <c r="PK134" s="88"/>
      <c r="PL134" s="88"/>
      <c r="PM134" s="88"/>
      <c r="PN134" s="88"/>
      <c r="PO134" s="88"/>
      <c r="PP134" s="88"/>
      <c r="PQ134" s="88"/>
      <c r="PR134" s="88"/>
      <c r="PS134" s="88"/>
      <c r="PT134" s="88"/>
      <c r="PU134" s="88"/>
      <c r="PV134" s="88"/>
      <c r="PW134" s="88"/>
      <c r="PX134" s="88"/>
      <c r="PY134" s="88"/>
      <c r="PZ134" s="88"/>
      <c r="QA134" s="88"/>
      <c r="QB134" s="88"/>
      <c r="QC134" s="88"/>
      <c r="QD134" s="88"/>
      <c r="QE134" s="88"/>
      <c r="QF134" s="88"/>
      <c r="QG134" s="88"/>
      <c r="QH134" s="88"/>
      <c r="QI134" s="88"/>
      <c r="QJ134" s="88"/>
      <c r="QK134" s="88"/>
      <c r="QL134" s="88"/>
      <c r="QM134" s="88"/>
      <c r="QN134" s="88"/>
      <c r="QO134" s="88"/>
      <c r="QP134" s="88"/>
      <c r="QQ134" s="88"/>
      <c r="QR134" s="88"/>
      <c r="QS134" s="88"/>
      <c r="QT134" s="88"/>
      <c r="QU134" s="88"/>
      <c r="QV134" s="88"/>
      <c r="QW134" s="88"/>
      <c r="QX134" s="88"/>
      <c r="QY134" s="88"/>
      <c r="QZ134" s="88"/>
      <c r="RA134" s="88"/>
      <c r="RB134" s="88"/>
      <c r="RC134" s="88"/>
      <c r="RD134" s="88"/>
      <c r="RE134" s="88"/>
      <c r="RF134" s="88"/>
      <c r="RG134" s="88"/>
      <c r="RH134" s="88"/>
      <c r="RI134" s="88"/>
      <c r="RJ134" s="88"/>
      <c r="RK134" s="88"/>
      <c r="RL134" s="88"/>
      <c r="RM134" s="88"/>
      <c r="RN134" s="88"/>
      <c r="RO134" s="88"/>
      <c r="RP134" s="88"/>
      <c r="RQ134" s="88"/>
      <c r="RR134" s="88"/>
      <c r="RS134" s="88"/>
      <c r="RT134" s="88"/>
      <c r="RU134" s="88"/>
      <c r="RV134" s="88"/>
      <c r="RW134" s="88"/>
      <c r="RX134" s="88"/>
      <c r="RY134" s="88"/>
      <c r="RZ134" s="88"/>
      <c r="SA134" s="88"/>
      <c r="SB134" s="88"/>
      <c r="SC134" s="88"/>
      <c r="SD134" s="88"/>
      <c r="SE134" s="88"/>
      <c r="SF134" s="88"/>
      <c r="SG134" s="88"/>
      <c r="SH134" s="88"/>
      <c r="SI134" s="88"/>
      <c r="SJ134" s="88"/>
      <c r="SK134" s="88"/>
      <c r="SL134" s="88"/>
      <c r="SM134" s="88"/>
      <c r="SN134" s="88"/>
      <c r="SO134" s="88"/>
      <c r="SP134" s="88"/>
      <c r="SQ134" s="88"/>
      <c r="SR134" s="88"/>
      <c r="SS134" s="88"/>
      <c r="ST134" s="88"/>
      <c r="SU134" s="88"/>
      <c r="SV134" s="88"/>
      <c r="SW134" s="88"/>
      <c r="SX134" s="88"/>
      <c r="SY134" s="88"/>
      <c r="SZ134" s="88"/>
      <c r="TA134" s="88"/>
      <c r="TB134" s="88"/>
      <c r="TC134" s="88"/>
      <c r="TD134" s="88"/>
      <c r="TE134" s="88"/>
      <c r="TF134" s="88"/>
      <c r="TG134" s="88"/>
      <c r="TH134" s="88"/>
      <c r="TI134" s="88"/>
      <c r="TJ134" s="88"/>
      <c r="TK134" s="88"/>
      <c r="TL134" s="88"/>
      <c r="TM134" s="88"/>
      <c r="TN134" s="88"/>
      <c r="TO134" s="88"/>
      <c r="TP134" s="88"/>
      <c r="TQ134" s="88"/>
      <c r="TR134" s="88"/>
      <c r="TS134" s="88"/>
      <c r="TT134" s="88"/>
      <c r="TU134" s="88"/>
      <c r="TV134" s="88"/>
      <c r="TW134" s="88"/>
      <c r="TX134" s="88"/>
      <c r="TY134" s="88"/>
      <c r="TZ134" s="88"/>
      <c r="UA134" s="88"/>
      <c r="UB134" s="88"/>
      <c r="UC134" s="88"/>
      <c r="UD134" s="88"/>
      <c r="UE134" s="88"/>
      <c r="UF134" s="88"/>
      <c r="UG134" s="88"/>
      <c r="UH134" s="88"/>
      <c r="UI134" s="88"/>
      <c r="UJ134" s="88"/>
      <c r="UK134" s="88"/>
      <c r="UL134" s="88"/>
      <c r="UM134" s="88"/>
      <c r="UN134" s="88"/>
      <c r="UO134" s="88"/>
      <c r="UP134" s="88"/>
      <c r="UQ134" s="88"/>
      <c r="UR134" s="88"/>
      <c r="US134" s="88"/>
      <c r="UT134" s="88"/>
      <c r="UU134" s="88"/>
      <c r="UV134" s="88"/>
      <c r="UW134" s="88"/>
      <c r="UX134" s="88"/>
      <c r="UY134" s="88"/>
      <c r="UZ134" s="88"/>
      <c r="VA134" s="88"/>
      <c r="VB134" s="88"/>
      <c r="VC134" s="88"/>
      <c r="VD134" s="88"/>
      <c r="VE134" s="88"/>
      <c r="VF134" s="88"/>
      <c r="VG134" s="88"/>
      <c r="VH134" s="88"/>
      <c r="VI134" s="88"/>
      <c r="VJ134" s="88"/>
      <c r="VK134" s="88"/>
      <c r="VL134" s="88"/>
      <c r="VM134" s="88"/>
      <c r="VN134" s="88"/>
      <c r="VO134" s="88"/>
      <c r="VP134" s="88"/>
      <c r="VQ134" s="88"/>
      <c r="VR134" s="88"/>
      <c r="VS134" s="88"/>
      <c r="VT134" s="88"/>
      <c r="VU134" s="88"/>
      <c r="VV134" s="88"/>
      <c r="VW134" s="88"/>
      <c r="VX134" s="88"/>
      <c r="VY134" s="88"/>
      <c r="VZ134" s="88"/>
      <c r="WA134" s="88"/>
      <c r="WB134" s="88"/>
      <c r="WC134" s="88"/>
      <c r="WD134" s="88"/>
      <c r="WE134" s="88"/>
      <c r="WF134" s="88"/>
      <c r="WG134" s="88"/>
      <c r="WH134" s="88"/>
      <c r="WI134" s="88"/>
      <c r="WJ134" s="88"/>
      <c r="WK134" s="88"/>
      <c r="WL134" s="88"/>
      <c r="WM134" s="88"/>
      <c r="WN134" s="88"/>
      <c r="WO134" s="88"/>
      <c r="WP134" s="88"/>
      <c r="WQ134" s="88"/>
      <c r="WR134" s="88"/>
      <c r="WS134" s="88"/>
      <c r="WT134" s="88"/>
      <c r="WU134" s="88"/>
      <c r="WV134" s="88"/>
      <c r="WW134" s="88"/>
      <c r="WX134" s="88"/>
      <c r="WY134" s="88"/>
      <c r="WZ134" s="88"/>
      <c r="XA134" s="88"/>
      <c r="XB134" s="88"/>
      <c r="XC134" s="88"/>
      <c r="XD134" s="88"/>
      <c r="XE134" s="88"/>
      <c r="XF134" s="88"/>
      <c r="XG134" s="88"/>
      <c r="XH134" s="88"/>
      <c r="XI134" s="88"/>
      <c r="XJ134" s="88"/>
      <c r="XK134" s="88"/>
      <c r="XL134" s="88"/>
      <c r="XM134" s="88"/>
      <c r="XN134" s="88"/>
      <c r="XO134" s="88"/>
      <c r="XP134" s="88"/>
      <c r="XQ134" s="88"/>
      <c r="XR134" s="88"/>
      <c r="XS134" s="88"/>
      <c r="XT134" s="88"/>
      <c r="XU134" s="88"/>
      <c r="XV134" s="88"/>
      <c r="XW134" s="88"/>
      <c r="XX134" s="88"/>
      <c r="XY134" s="88"/>
      <c r="XZ134" s="88"/>
      <c r="YA134" s="88"/>
      <c r="YB134" s="88"/>
      <c r="YC134" s="88"/>
      <c r="YD134" s="88"/>
      <c r="YE134" s="88"/>
      <c r="YF134" s="88"/>
      <c r="YG134" s="88"/>
      <c r="YH134" s="88"/>
      <c r="YI134" s="88"/>
      <c r="YJ134" s="88"/>
      <c r="YK134" s="88"/>
      <c r="YL134" s="88"/>
      <c r="YM134" s="88"/>
      <c r="YN134" s="88"/>
      <c r="YO134" s="88"/>
      <c r="YP134" s="88"/>
      <c r="YQ134" s="88"/>
      <c r="YR134" s="88"/>
      <c r="YS134" s="88"/>
      <c r="YT134" s="88"/>
      <c r="YU134" s="88"/>
      <c r="YV134" s="88"/>
      <c r="YW134" s="88"/>
      <c r="YX134" s="88"/>
      <c r="YY134" s="88"/>
      <c r="YZ134" s="88"/>
      <c r="ZA134" s="88"/>
      <c r="ZB134" s="88"/>
      <c r="ZC134" s="88"/>
      <c r="ZD134" s="88"/>
      <c r="ZE134" s="88"/>
      <c r="ZF134" s="88"/>
      <c r="ZG134" s="88"/>
      <c r="ZH134" s="88"/>
      <c r="ZI134" s="88"/>
      <c r="ZJ134" s="88"/>
      <c r="ZK134" s="88"/>
      <c r="ZL134" s="88"/>
      <c r="ZM134" s="88"/>
      <c r="ZN134" s="88"/>
      <c r="ZO134" s="88"/>
      <c r="ZP134" s="88"/>
      <c r="ZQ134" s="88"/>
      <c r="ZR134" s="88"/>
      <c r="ZS134" s="88"/>
      <c r="ZT134" s="88"/>
      <c r="ZU134" s="88"/>
      <c r="ZV134" s="88"/>
      <c r="ZW134" s="88"/>
      <c r="ZX134" s="88"/>
      <c r="ZY134" s="88"/>
      <c r="ZZ134" s="88"/>
      <c r="AAA134" s="88"/>
      <c r="AAB134" s="88"/>
      <c r="AAC134" s="88"/>
      <c r="AAD134" s="88"/>
      <c r="AAE134" s="88"/>
      <c r="AAF134" s="88"/>
      <c r="AAG134" s="88"/>
      <c r="AAH134" s="88"/>
      <c r="AAI134" s="88"/>
      <c r="AAJ134" s="88"/>
      <c r="AAK134" s="88"/>
      <c r="AAL134" s="88"/>
      <c r="AAM134" s="88"/>
      <c r="AAN134" s="88"/>
      <c r="AAO134" s="88"/>
      <c r="AAP134" s="88"/>
      <c r="AAQ134" s="88"/>
      <c r="AAR134" s="88"/>
      <c r="AAS134" s="88"/>
      <c r="AAT134" s="88"/>
      <c r="AAU134" s="88"/>
      <c r="AAV134" s="88"/>
      <c r="AAW134" s="88"/>
      <c r="AAX134" s="88"/>
      <c r="AAY134" s="88"/>
      <c r="AAZ134" s="88"/>
      <c r="ABA134" s="88"/>
      <c r="ABB134" s="88"/>
      <c r="ABC134" s="88"/>
      <c r="ABD134" s="88"/>
      <c r="ABE134" s="88"/>
      <c r="ABF134" s="88"/>
      <c r="ABG134" s="88"/>
      <c r="ABH134" s="88"/>
      <c r="ABI134" s="88"/>
      <c r="ABJ134" s="88"/>
      <c r="ABK134" s="88"/>
      <c r="ABL134" s="88"/>
      <c r="ABM134" s="88"/>
      <c r="ABN134" s="88"/>
      <c r="ABO134" s="88"/>
      <c r="ABP134" s="88"/>
      <c r="ABQ134" s="88"/>
      <c r="ABR134" s="88"/>
      <c r="ABS134" s="88"/>
      <c r="ABT134" s="88"/>
      <c r="ABU134" s="88"/>
      <c r="ABV134" s="88"/>
      <c r="ABW134" s="88"/>
      <c r="ABX134" s="88"/>
      <c r="ABY134" s="88"/>
      <c r="ABZ134" s="88"/>
      <c r="ACA134" s="88"/>
      <c r="ACB134" s="88"/>
      <c r="ACC134" s="88"/>
      <c r="ACD134" s="88"/>
      <c r="ACE134" s="88"/>
      <c r="ACF134" s="88"/>
      <c r="ACG134" s="88"/>
      <c r="ACH134" s="88"/>
      <c r="ACI134" s="88"/>
      <c r="ACJ134" s="88"/>
      <c r="ACK134" s="88"/>
      <c r="ACL134" s="88"/>
      <c r="ACM134" s="88"/>
      <c r="ACN134" s="88"/>
      <c r="ACO134" s="88"/>
      <c r="ACP134" s="88"/>
      <c r="ACQ134" s="88"/>
      <c r="ACR134" s="88"/>
      <c r="ACS134" s="88"/>
      <c r="ACT134" s="88"/>
      <c r="ACU134" s="88"/>
      <c r="ACV134" s="88"/>
      <c r="ACW134" s="88"/>
      <c r="ACX134" s="88"/>
      <c r="ACY134" s="88"/>
      <c r="ACZ134" s="88"/>
      <c r="ADA134" s="88"/>
      <c r="ADB134" s="88"/>
      <c r="ADC134" s="88"/>
      <c r="ADD134" s="88"/>
      <c r="ADE134" s="88"/>
      <c r="ADF134" s="88"/>
      <c r="ADG134" s="88"/>
      <c r="ADH134" s="88"/>
      <c r="ADI134" s="88"/>
      <c r="ADJ134" s="88"/>
      <c r="ADK134" s="88"/>
      <c r="ADL134" s="88"/>
      <c r="ADM134" s="88"/>
      <c r="ADN134" s="88"/>
      <c r="ADO134" s="88"/>
      <c r="ADP134" s="88"/>
      <c r="ADQ134" s="88"/>
      <c r="ADR134" s="88"/>
      <c r="ADS134" s="88"/>
      <c r="ADT134" s="88"/>
      <c r="ADU134" s="88"/>
      <c r="ADV134" s="88"/>
      <c r="ADW134" s="88"/>
      <c r="ADX134" s="88"/>
      <c r="ADY134" s="88"/>
      <c r="ADZ134" s="88"/>
      <c r="AEA134" s="88"/>
      <c r="AEB134" s="88"/>
      <c r="AEC134" s="88"/>
      <c r="AED134" s="88"/>
      <c r="AEE134" s="88"/>
      <c r="AEF134" s="88"/>
      <c r="AEG134" s="88"/>
      <c r="AEH134" s="88"/>
      <c r="AEI134" s="88"/>
      <c r="AEJ134" s="88"/>
      <c r="AEK134" s="88"/>
      <c r="AEL134" s="88"/>
      <c r="AEM134" s="88"/>
      <c r="AEN134" s="88"/>
      <c r="AEO134" s="88"/>
      <c r="AEP134" s="88"/>
      <c r="AEQ134" s="88"/>
      <c r="AER134" s="88"/>
      <c r="AES134" s="88"/>
      <c r="AET134" s="88"/>
      <c r="AEU134" s="88"/>
      <c r="AEV134" s="88"/>
      <c r="AEW134" s="88"/>
      <c r="AEX134" s="88"/>
      <c r="AEY134" s="88"/>
      <c r="AEZ134" s="88"/>
      <c r="AFA134" s="88"/>
      <c r="AFB134" s="88"/>
      <c r="AFC134" s="88"/>
      <c r="AFD134" s="88"/>
      <c r="AFE134" s="88"/>
      <c r="AFF134" s="88"/>
      <c r="AFG134" s="88"/>
      <c r="AFH134" s="88"/>
      <c r="AFI134" s="88"/>
      <c r="AFJ134" s="88"/>
      <c r="AFK134" s="88"/>
      <c r="AFL134" s="88"/>
      <c r="AFM134" s="88"/>
      <c r="AFN134" s="88"/>
      <c r="AFO134" s="88"/>
      <c r="AFP134" s="88"/>
      <c r="AFQ134" s="88"/>
      <c r="AFR134" s="88"/>
      <c r="AFS134" s="88"/>
      <c r="AFT134" s="88"/>
      <c r="AFU134" s="88"/>
      <c r="AFV134" s="88"/>
      <c r="AFW134" s="88"/>
      <c r="AFX134" s="88"/>
      <c r="AFY134" s="88"/>
      <c r="AFZ134" s="88"/>
      <c r="AGA134" s="88"/>
      <c r="AGB134" s="88"/>
      <c r="AGC134" s="88"/>
      <c r="AGD134" s="88"/>
      <c r="AGE134" s="88"/>
      <c r="AGF134" s="88"/>
      <c r="AGG134" s="88"/>
      <c r="AGH134" s="88"/>
      <c r="AGI134" s="88"/>
      <c r="AGJ134" s="88"/>
      <c r="AGK134" s="88"/>
      <c r="AGL134" s="88"/>
      <c r="AGM134" s="88"/>
      <c r="AGN134" s="88"/>
      <c r="AGO134" s="88"/>
      <c r="AGP134" s="88"/>
      <c r="AGQ134" s="88"/>
      <c r="AGR134" s="88"/>
      <c r="AGS134" s="88"/>
      <c r="AGT134" s="88"/>
      <c r="AGU134" s="88"/>
      <c r="AGV134" s="88"/>
      <c r="AGW134" s="88"/>
      <c r="AGX134" s="88"/>
      <c r="AGY134" s="88"/>
      <c r="AGZ134" s="88"/>
      <c r="AHA134" s="88"/>
      <c r="AHB134" s="88"/>
      <c r="AHC134" s="88"/>
      <c r="AHD134" s="88"/>
      <c r="AHE134" s="88"/>
      <c r="AHF134" s="88"/>
      <c r="AHG134" s="88"/>
      <c r="AHH134" s="88"/>
      <c r="AHI134" s="88"/>
      <c r="AHJ134" s="88"/>
      <c r="AHK134" s="88"/>
      <c r="AHL134" s="88"/>
      <c r="AHM134" s="88"/>
      <c r="AHN134" s="88"/>
      <c r="AHO134" s="88"/>
      <c r="AHP134" s="88"/>
      <c r="AHQ134" s="88"/>
      <c r="AHR134" s="88"/>
      <c r="AHS134" s="88"/>
      <c r="AHT134" s="88"/>
      <c r="AHU134" s="88"/>
      <c r="AHV134" s="88"/>
      <c r="AHW134" s="88"/>
      <c r="AHX134" s="88"/>
      <c r="AHY134" s="88"/>
      <c r="AHZ134" s="88"/>
      <c r="AIA134" s="88"/>
      <c r="AIB134" s="88"/>
      <c r="AIC134" s="88"/>
      <c r="AID134" s="88"/>
      <c r="AIE134" s="88"/>
      <c r="AIF134" s="88"/>
      <c r="AIG134" s="88"/>
      <c r="AIH134" s="88"/>
      <c r="AII134" s="88"/>
      <c r="AIJ134" s="88"/>
      <c r="AIK134" s="88"/>
      <c r="AIL134" s="88"/>
      <c r="AIM134" s="88"/>
      <c r="AIN134" s="88"/>
      <c r="AIO134" s="88"/>
      <c r="AIP134" s="88"/>
      <c r="AIQ134" s="88"/>
      <c r="AIR134" s="88"/>
      <c r="AIS134" s="88"/>
      <c r="AIT134" s="88"/>
      <c r="AIU134" s="88"/>
      <c r="AIV134" s="88"/>
      <c r="AIW134" s="88"/>
      <c r="AIX134" s="88"/>
      <c r="AIY134" s="88"/>
      <c r="AIZ134" s="88"/>
      <c r="AJA134" s="88"/>
      <c r="AJB134" s="88"/>
      <c r="AJC134" s="88"/>
      <c r="AJD134" s="88"/>
      <c r="AJE134" s="88"/>
      <c r="AJF134" s="88"/>
      <c r="AJG134" s="88"/>
      <c r="AJH134" s="88"/>
      <c r="AJI134" s="88"/>
      <c r="AJJ134" s="88"/>
      <c r="AJK134" s="88"/>
      <c r="AJL134" s="88"/>
      <c r="AJM134" s="88"/>
      <c r="AJN134" s="88"/>
      <c r="AJO134" s="88"/>
      <c r="AJP134" s="88"/>
      <c r="AJQ134" s="88"/>
      <c r="AJR134" s="88"/>
      <c r="AJS134" s="88"/>
      <c r="AJT134" s="88"/>
      <c r="AJU134" s="88"/>
      <c r="AJV134" s="88"/>
      <c r="AJW134" s="88"/>
      <c r="AJX134" s="88"/>
      <c r="AJY134" s="88"/>
      <c r="AJZ134" s="88"/>
      <c r="AKA134" s="88"/>
      <c r="AKB134" s="88"/>
      <c r="AKC134" s="88"/>
      <c r="AKD134" s="88"/>
      <c r="AKE134" s="88"/>
      <c r="AKF134" s="88"/>
      <c r="AKG134" s="88"/>
      <c r="AKH134" s="88"/>
      <c r="AKI134" s="88"/>
      <c r="AKJ134" s="88"/>
      <c r="AKK134" s="88"/>
      <c r="AKL134" s="88"/>
      <c r="AKM134" s="88"/>
      <c r="AKN134" s="88"/>
      <c r="AKO134" s="88"/>
      <c r="AKP134" s="88"/>
      <c r="AKQ134" s="88"/>
      <c r="AKR134" s="88"/>
      <c r="AKS134" s="88"/>
      <c r="AKT134" s="88"/>
      <c r="AKU134" s="88"/>
      <c r="AKV134" s="88"/>
      <c r="AKW134" s="88"/>
      <c r="AKX134" s="88"/>
      <c r="AKY134" s="88"/>
      <c r="AKZ134" s="88"/>
      <c r="ALA134" s="88"/>
      <c r="ALB134" s="88"/>
      <c r="ALC134" s="88"/>
      <c r="ALD134" s="88"/>
      <c r="ALE134" s="88"/>
      <c r="ALF134" s="88"/>
      <c r="ALG134" s="88"/>
      <c r="ALH134" s="88"/>
      <c r="ALI134" s="88"/>
      <c r="ALJ134" s="88"/>
      <c r="ALK134" s="88"/>
      <c r="ALL134" s="88"/>
      <c r="ALM134" s="88"/>
      <c r="ALN134" s="88"/>
      <c r="ALO134" s="88"/>
      <c r="ALP134" s="88"/>
      <c r="ALQ134" s="88"/>
      <c r="ALR134" s="88"/>
      <c r="ALS134" s="88"/>
      <c r="ALT134" s="88"/>
      <c r="ALU134" s="88"/>
      <c r="ALV134" s="88"/>
      <c r="ALW134" s="88"/>
      <c r="ALX134" s="88"/>
      <c r="ALY134" s="88"/>
      <c r="ALZ134" s="88"/>
      <c r="AMA134" s="88"/>
      <c r="AMB134" s="88"/>
      <c r="AMC134" s="88"/>
      <c r="AMD134" s="88"/>
      <c r="AME134" s="88"/>
      <c r="AMF134" s="88"/>
      <c r="AMG134" s="88"/>
      <c r="AMH134" s="88"/>
      <c r="AMI134" s="88"/>
      <c r="AMJ134" s="88"/>
      <c r="AMK134" s="88"/>
      <c r="AML134" s="88"/>
      <c r="AMM134" s="88"/>
      <c r="AMN134" s="88"/>
      <c r="AMO134" s="88"/>
      <c r="AMP134" s="88"/>
      <c r="AMQ134" s="88"/>
      <c r="AMR134" s="88"/>
      <c r="AMS134" s="88"/>
      <c r="AMT134" s="88"/>
      <c r="AMU134" s="88"/>
      <c r="AMV134" s="88"/>
      <c r="AMW134" s="88"/>
      <c r="AMX134" s="88"/>
      <c r="AMY134" s="88"/>
      <c r="AMZ134" s="88"/>
      <c r="ANA134" s="88"/>
      <c r="ANB134" s="88"/>
      <c r="ANC134" s="88"/>
      <c r="AND134" s="88"/>
      <c r="ANE134" s="88"/>
      <c r="ANF134" s="88"/>
      <c r="ANG134" s="88"/>
      <c r="ANH134" s="88"/>
      <c r="ANI134" s="88"/>
      <c r="ANJ134" s="88"/>
      <c r="ANK134" s="88"/>
      <c r="ANL134" s="88"/>
      <c r="ANM134" s="88"/>
      <c r="ANN134" s="88"/>
      <c r="ANO134" s="88"/>
      <c r="ANP134" s="88"/>
      <c r="ANQ134" s="88"/>
      <c r="ANR134" s="88"/>
      <c r="ANS134" s="88"/>
      <c r="ANT134" s="88"/>
      <c r="ANU134" s="88"/>
      <c r="ANV134" s="88"/>
      <c r="ANW134" s="88"/>
      <c r="ANX134" s="88"/>
      <c r="ANY134" s="88"/>
      <c r="ANZ134" s="88"/>
      <c r="AOA134" s="88"/>
      <c r="AOB134" s="88"/>
      <c r="AOC134" s="88"/>
      <c r="AOD134" s="88"/>
      <c r="AOE134" s="88"/>
      <c r="AOF134" s="88"/>
      <c r="AOG134" s="88"/>
      <c r="AOH134" s="88"/>
      <c r="AOI134" s="88"/>
      <c r="AOJ134" s="88"/>
      <c r="AOK134" s="88"/>
      <c r="AOL134" s="88"/>
      <c r="AOM134" s="88"/>
      <c r="AON134" s="88"/>
      <c r="AOO134" s="88"/>
      <c r="AOP134" s="88"/>
      <c r="AOQ134" s="88"/>
      <c r="AOR134" s="88"/>
      <c r="AOS134" s="88"/>
      <c r="AOT134" s="88"/>
      <c r="AOU134" s="88"/>
      <c r="AOV134" s="88"/>
      <c r="AOW134" s="88"/>
      <c r="AOX134" s="88"/>
      <c r="AOY134" s="88"/>
      <c r="AOZ134" s="88"/>
      <c r="APA134" s="88"/>
      <c r="APB134" s="88"/>
      <c r="APC134" s="88"/>
      <c r="APD134" s="88"/>
      <c r="APE134" s="88"/>
      <c r="APF134" s="88"/>
      <c r="APG134" s="88"/>
      <c r="APH134" s="88"/>
      <c r="API134" s="88"/>
      <c r="APJ134" s="88"/>
      <c r="APK134" s="88"/>
      <c r="APL134" s="88"/>
      <c r="APM134" s="88"/>
      <c r="APN134" s="88"/>
      <c r="APO134" s="88"/>
      <c r="APP134" s="88"/>
      <c r="APQ134" s="88"/>
      <c r="APR134" s="88"/>
      <c r="APS134" s="88"/>
      <c r="APT134" s="88"/>
      <c r="APU134" s="88"/>
      <c r="APV134" s="88"/>
      <c r="APW134" s="88"/>
      <c r="APX134" s="88"/>
      <c r="APY134" s="88"/>
      <c r="APZ134" s="88"/>
      <c r="AQA134" s="88"/>
      <c r="AQB134" s="88"/>
      <c r="AQC134" s="88"/>
      <c r="AQD134" s="88"/>
      <c r="AQE134" s="88"/>
      <c r="AQF134" s="88"/>
      <c r="AQG134" s="88"/>
      <c r="AQH134" s="88"/>
      <c r="AQI134" s="88"/>
      <c r="AQJ134" s="88"/>
      <c r="AQK134" s="88"/>
      <c r="AQL134" s="88"/>
      <c r="AQM134" s="88"/>
      <c r="AQN134" s="88"/>
      <c r="AQO134" s="88"/>
      <c r="AQP134" s="88"/>
      <c r="AQQ134" s="88"/>
      <c r="AQR134" s="88"/>
      <c r="AQS134" s="88"/>
      <c r="AQT134" s="88"/>
      <c r="AQU134" s="88"/>
      <c r="AQV134" s="88"/>
      <c r="AQW134" s="88"/>
      <c r="AQX134" s="88"/>
      <c r="AQY134" s="88"/>
      <c r="AQZ134" s="88"/>
      <c r="ARA134" s="88"/>
      <c r="ARB134" s="88"/>
      <c r="ARC134" s="88"/>
      <c r="ARD134" s="88"/>
      <c r="ARE134" s="88"/>
      <c r="ARF134" s="88"/>
      <c r="ARG134" s="88"/>
      <c r="ARH134" s="88"/>
      <c r="ARI134" s="88"/>
      <c r="ARJ134" s="88"/>
      <c r="ARK134" s="88"/>
      <c r="ARL134" s="88"/>
      <c r="ARM134" s="88"/>
      <c r="ARN134" s="88"/>
      <c r="ARO134" s="88"/>
      <c r="ARP134" s="88"/>
      <c r="ARQ134" s="88"/>
      <c r="ARR134" s="88"/>
      <c r="ARS134" s="88"/>
      <c r="ART134" s="88"/>
      <c r="ARU134" s="88"/>
      <c r="ARV134" s="88"/>
      <c r="ARW134" s="88"/>
      <c r="ARX134" s="88"/>
      <c r="ARY134" s="88"/>
      <c r="ARZ134" s="88"/>
      <c r="ASA134" s="88"/>
      <c r="ASB134" s="88"/>
      <c r="ASC134" s="88"/>
      <c r="ASD134" s="88"/>
      <c r="ASE134" s="88"/>
      <c r="ASF134" s="88"/>
      <c r="ASG134" s="88"/>
      <c r="ASH134" s="88"/>
      <c r="ASI134" s="88"/>
      <c r="ASJ134" s="88"/>
      <c r="ASK134" s="88"/>
      <c r="ASL134" s="88"/>
      <c r="ASM134" s="88"/>
      <c r="ASN134" s="88"/>
      <c r="ASO134" s="88"/>
      <c r="ASP134" s="88"/>
      <c r="ASQ134" s="88"/>
      <c r="ASR134" s="88"/>
      <c r="ASS134" s="88"/>
      <c r="AST134" s="88"/>
      <c r="ASU134" s="88"/>
      <c r="ASV134" s="88"/>
      <c r="ASW134" s="88"/>
      <c r="ASX134" s="88"/>
      <c r="ASY134" s="88"/>
      <c r="ASZ134" s="88"/>
      <c r="ATA134" s="88"/>
      <c r="ATB134" s="88"/>
      <c r="ATC134" s="88"/>
      <c r="ATD134" s="88"/>
      <c r="ATE134" s="88"/>
      <c r="ATF134" s="88"/>
      <c r="ATG134" s="88"/>
      <c r="ATH134" s="88"/>
      <c r="ATI134" s="88"/>
      <c r="ATJ134" s="88"/>
      <c r="ATK134" s="88"/>
      <c r="ATL134" s="88"/>
      <c r="ATM134" s="88"/>
      <c r="ATN134" s="88"/>
      <c r="ATO134" s="88"/>
      <c r="ATP134" s="88"/>
      <c r="ATQ134" s="88"/>
      <c r="ATR134" s="88"/>
      <c r="ATS134" s="88"/>
      <c r="ATT134" s="88"/>
      <c r="ATU134" s="88"/>
      <c r="ATV134" s="88"/>
      <c r="ATW134" s="88"/>
      <c r="ATX134" s="88"/>
      <c r="ATY134" s="88"/>
      <c r="ATZ134" s="88"/>
      <c r="AUA134" s="88"/>
      <c r="AUB134" s="88"/>
      <c r="AUC134" s="88"/>
      <c r="AUD134" s="88"/>
      <c r="AUE134" s="88"/>
      <c r="AUF134" s="88"/>
      <c r="AUG134" s="88"/>
      <c r="AUH134" s="88"/>
      <c r="AUI134" s="88"/>
      <c r="AUJ134" s="88"/>
      <c r="AUK134" s="88"/>
      <c r="AUL134" s="88"/>
      <c r="AUM134" s="88"/>
      <c r="AUN134" s="88"/>
      <c r="AUO134" s="88"/>
      <c r="AUP134" s="88"/>
      <c r="AUQ134" s="88"/>
      <c r="AUR134" s="88"/>
      <c r="AUS134" s="88"/>
      <c r="AUT134" s="88"/>
      <c r="AUU134" s="88"/>
      <c r="AUV134" s="88"/>
      <c r="AUW134" s="88"/>
      <c r="AUX134" s="88"/>
      <c r="AUY134" s="88"/>
      <c r="AUZ134" s="88"/>
      <c r="AVA134" s="88"/>
      <c r="AVB134" s="88"/>
      <c r="AVC134" s="88"/>
      <c r="AVD134" s="88"/>
      <c r="AVE134" s="88"/>
      <c r="AVF134" s="88"/>
      <c r="AVG134" s="88"/>
      <c r="AVH134" s="88"/>
      <c r="AVI134" s="88"/>
      <c r="AVJ134" s="88"/>
      <c r="AVK134" s="88"/>
      <c r="AVL134" s="88"/>
      <c r="AVM134" s="88"/>
      <c r="AVN134" s="88"/>
      <c r="AVO134" s="88"/>
      <c r="AVP134" s="88"/>
      <c r="AVQ134" s="88"/>
      <c r="AVR134" s="88"/>
      <c r="AVS134" s="88"/>
      <c r="AVT134" s="88"/>
      <c r="AVU134" s="88"/>
      <c r="AVV134" s="88"/>
      <c r="AVW134" s="88"/>
      <c r="AVX134" s="88"/>
      <c r="AVY134" s="88"/>
      <c r="AVZ134" s="88"/>
      <c r="AWA134" s="88"/>
      <c r="AWB134" s="88"/>
      <c r="AWC134" s="88"/>
      <c r="AWD134" s="88"/>
      <c r="AWE134" s="88"/>
      <c r="AWF134" s="88"/>
      <c r="AWG134" s="88"/>
      <c r="AWH134" s="88"/>
      <c r="AWI134" s="88"/>
      <c r="AWJ134" s="88"/>
      <c r="AWK134" s="88"/>
      <c r="AWL134" s="88"/>
      <c r="AWM134" s="88"/>
      <c r="AWN134" s="88"/>
      <c r="AWO134" s="88"/>
      <c r="AWP134" s="88"/>
      <c r="AWQ134" s="88"/>
      <c r="AWR134" s="88"/>
      <c r="AWS134" s="88"/>
      <c r="AWT134" s="88"/>
      <c r="AWU134" s="88"/>
      <c r="AWV134" s="88"/>
      <c r="AWW134" s="88"/>
      <c r="AWX134" s="88"/>
      <c r="AWY134" s="88"/>
      <c r="AWZ134" s="88"/>
      <c r="AXA134" s="88"/>
      <c r="AXB134" s="88"/>
      <c r="AXC134" s="88"/>
      <c r="AXD134" s="88"/>
      <c r="AXE134" s="88"/>
      <c r="AXF134" s="88"/>
      <c r="AXG134" s="88"/>
      <c r="AXH134" s="88"/>
      <c r="AXI134" s="88"/>
      <c r="AXJ134" s="88"/>
      <c r="AXK134" s="88"/>
      <c r="AXL134" s="88"/>
      <c r="AXM134" s="88"/>
      <c r="AXN134" s="88"/>
      <c r="AXO134" s="88"/>
      <c r="AXP134" s="88"/>
      <c r="AXQ134" s="88"/>
      <c r="AXR134" s="88"/>
      <c r="AXS134" s="88"/>
      <c r="AXT134" s="88"/>
      <c r="AXU134" s="88"/>
      <c r="AXV134" s="88"/>
      <c r="AXW134" s="88"/>
      <c r="AXX134" s="88"/>
      <c r="AXY134" s="88"/>
      <c r="AXZ134" s="88"/>
      <c r="AYA134" s="88"/>
      <c r="AYB134" s="88"/>
      <c r="AYC134" s="88"/>
      <c r="AYD134" s="88"/>
      <c r="AYE134" s="88"/>
      <c r="AYF134" s="88"/>
      <c r="AYG134" s="88"/>
      <c r="AYH134" s="88"/>
      <c r="AYI134" s="88"/>
      <c r="AYJ134" s="88"/>
      <c r="AYK134" s="88"/>
      <c r="AYL134" s="88"/>
      <c r="AYM134" s="88"/>
      <c r="AYN134" s="88"/>
      <c r="AYO134" s="88"/>
      <c r="AYP134" s="88"/>
      <c r="AYQ134" s="88"/>
      <c r="AYR134" s="88"/>
      <c r="AYS134" s="88"/>
      <c r="AYT134" s="88"/>
      <c r="AYU134" s="88"/>
      <c r="AYV134" s="88"/>
      <c r="AYW134" s="88"/>
      <c r="AYX134" s="88"/>
      <c r="AYY134" s="88"/>
      <c r="AYZ134" s="88"/>
      <c r="AZA134" s="88"/>
      <c r="AZB134" s="88"/>
      <c r="AZC134" s="88"/>
      <c r="AZD134" s="88"/>
      <c r="AZE134" s="88"/>
      <c r="AZF134" s="88"/>
      <c r="AZG134" s="88"/>
      <c r="AZH134" s="88"/>
      <c r="AZI134" s="88"/>
      <c r="AZJ134" s="88"/>
      <c r="AZK134" s="88"/>
      <c r="AZL134" s="88"/>
      <c r="AZM134" s="88"/>
      <c r="AZN134" s="88"/>
      <c r="AZO134" s="88"/>
      <c r="AZP134" s="88"/>
      <c r="AZQ134" s="88"/>
      <c r="AZR134" s="88"/>
      <c r="AZS134" s="88"/>
      <c r="AZT134" s="88"/>
      <c r="AZU134" s="88"/>
      <c r="AZV134" s="88"/>
      <c r="AZW134" s="88"/>
      <c r="AZX134" s="88"/>
      <c r="AZY134" s="88"/>
      <c r="AZZ134" s="88"/>
      <c r="BAA134" s="88"/>
      <c r="BAB134" s="88"/>
      <c r="BAC134" s="88"/>
      <c r="BAD134" s="88"/>
      <c r="BAE134" s="88"/>
      <c r="BAF134" s="88"/>
      <c r="BAG134" s="88"/>
      <c r="BAH134" s="88"/>
      <c r="BAI134" s="88"/>
      <c r="BAJ134" s="88"/>
      <c r="BAK134" s="88"/>
      <c r="BAL134" s="88"/>
      <c r="BAM134" s="88"/>
      <c r="BAN134" s="88"/>
      <c r="BAO134" s="88"/>
      <c r="BAP134" s="88"/>
      <c r="BAQ134" s="88"/>
      <c r="BAR134" s="88"/>
      <c r="BAS134" s="88"/>
      <c r="BAT134" s="88"/>
      <c r="BAU134" s="88"/>
      <c r="BAV134" s="88"/>
      <c r="BAW134" s="88"/>
      <c r="BAX134" s="88"/>
      <c r="BAY134" s="88"/>
      <c r="BAZ134" s="88"/>
      <c r="BBA134" s="88"/>
      <c r="BBB134" s="88"/>
      <c r="BBC134" s="88"/>
      <c r="BBD134" s="88"/>
      <c r="BBE134" s="88"/>
      <c r="BBF134" s="88"/>
      <c r="BBG134" s="88"/>
      <c r="BBH134" s="88"/>
      <c r="BBI134" s="88"/>
      <c r="BBJ134" s="88"/>
      <c r="BBK134" s="88"/>
      <c r="BBL134" s="88"/>
      <c r="BBM134" s="88"/>
      <c r="BBN134" s="88"/>
      <c r="BBO134" s="88"/>
      <c r="BBP134" s="88"/>
      <c r="BBQ134" s="88"/>
      <c r="BBR134" s="88"/>
      <c r="BBS134" s="88"/>
      <c r="BBT134" s="88"/>
      <c r="BBU134" s="88"/>
      <c r="BBV134" s="88"/>
      <c r="BBW134" s="88"/>
      <c r="BBX134" s="88"/>
      <c r="BBY134" s="88"/>
      <c r="BBZ134" s="88"/>
      <c r="BCA134" s="88"/>
      <c r="BCB134" s="88"/>
      <c r="BCC134" s="88"/>
      <c r="BCD134" s="88"/>
      <c r="BCE134" s="88"/>
      <c r="BCF134" s="88"/>
      <c r="BCG134" s="88"/>
      <c r="BCH134" s="88"/>
      <c r="BCI134" s="88"/>
      <c r="BCJ134" s="88"/>
      <c r="BCK134" s="88"/>
      <c r="BCL134" s="88"/>
      <c r="BCM134" s="88"/>
      <c r="BCN134" s="88"/>
      <c r="BCO134" s="88"/>
      <c r="BCP134" s="88"/>
      <c r="BCQ134" s="88"/>
      <c r="BCR134" s="88"/>
      <c r="BCS134" s="88"/>
      <c r="BCT134" s="88"/>
      <c r="BCU134" s="88"/>
      <c r="BCV134" s="88"/>
      <c r="BCW134" s="88"/>
      <c r="BCX134" s="88"/>
      <c r="BCY134" s="88"/>
      <c r="BCZ134" s="88"/>
      <c r="BDA134" s="88"/>
      <c r="BDB134" s="88"/>
      <c r="BDC134" s="88"/>
      <c r="BDD134" s="88"/>
      <c r="BDE134" s="88"/>
      <c r="BDF134" s="88"/>
      <c r="BDG134" s="88"/>
      <c r="BDH134" s="88"/>
      <c r="BDI134" s="88"/>
      <c r="BDJ134" s="88"/>
      <c r="BDK134" s="88"/>
      <c r="BDL134" s="88"/>
      <c r="BDM134" s="88"/>
      <c r="BDN134" s="88"/>
      <c r="BDO134" s="88"/>
      <c r="BDP134" s="88"/>
      <c r="BDQ134" s="88"/>
      <c r="BDR134" s="88"/>
      <c r="BDS134" s="88"/>
      <c r="BDT134" s="88"/>
      <c r="BDU134" s="88"/>
      <c r="BDV134" s="88"/>
      <c r="BDW134" s="88"/>
      <c r="BDX134" s="88"/>
      <c r="BDY134" s="88"/>
      <c r="BDZ134" s="88"/>
      <c r="BEA134" s="88"/>
      <c r="BEB134" s="88"/>
      <c r="BEC134" s="88"/>
      <c r="BED134" s="88"/>
      <c r="BEE134" s="88"/>
      <c r="BEF134" s="88"/>
      <c r="BEG134" s="88"/>
      <c r="BEH134" s="88"/>
      <c r="BEI134" s="88"/>
      <c r="BEJ134" s="88"/>
      <c r="BEK134" s="88"/>
      <c r="BEL134" s="88"/>
      <c r="BEM134" s="88"/>
      <c r="BEN134" s="88"/>
      <c r="BEO134" s="88"/>
      <c r="BEP134" s="88"/>
      <c r="BEQ134" s="88"/>
      <c r="BER134" s="88"/>
      <c r="BES134" s="88"/>
      <c r="BET134" s="88"/>
      <c r="BEU134" s="88"/>
      <c r="BEV134" s="88"/>
      <c r="BEW134" s="88"/>
      <c r="BEX134" s="88"/>
      <c r="BEY134" s="88"/>
      <c r="BEZ134" s="88"/>
      <c r="BFA134" s="88"/>
      <c r="BFB134" s="88"/>
      <c r="BFC134" s="88"/>
      <c r="BFD134" s="88"/>
      <c r="BFE134" s="88"/>
      <c r="BFF134" s="88"/>
      <c r="BFG134" s="88"/>
      <c r="BFH134" s="88"/>
      <c r="BFI134" s="88"/>
      <c r="BFJ134" s="88"/>
      <c r="BFK134" s="88"/>
      <c r="BFL134" s="88"/>
      <c r="BFM134" s="88"/>
      <c r="BFN134" s="88"/>
      <c r="BFO134" s="88"/>
      <c r="BFP134" s="88"/>
      <c r="BFQ134" s="88"/>
      <c r="BFR134" s="88"/>
      <c r="BFS134" s="88"/>
      <c r="BFT134" s="88"/>
      <c r="BFU134" s="88"/>
      <c r="BFV134" s="88"/>
      <c r="BFW134" s="88"/>
      <c r="BFX134" s="88"/>
      <c r="BFY134" s="88"/>
      <c r="BFZ134" s="88"/>
      <c r="BGA134" s="88"/>
      <c r="BGB134" s="88"/>
      <c r="BGC134" s="88"/>
      <c r="BGD134" s="88"/>
      <c r="BGE134" s="88"/>
      <c r="BGF134" s="88"/>
      <c r="BGG134" s="88"/>
      <c r="BGH134" s="88"/>
      <c r="BGI134" s="88"/>
      <c r="BGJ134" s="88"/>
      <c r="BGK134" s="88"/>
      <c r="BGL134" s="88"/>
      <c r="BGM134" s="88"/>
      <c r="BGN134" s="88"/>
      <c r="BGO134" s="88"/>
      <c r="BGP134" s="88"/>
      <c r="BGQ134" s="88"/>
      <c r="BGR134" s="88"/>
      <c r="BGS134" s="88"/>
      <c r="BGT134" s="88"/>
      <c r="BGU134" s="88"/>
      <c r="BGV134" s="88"/>
      <c r="BGW134" s="88"/>
      <c r="BGX134" s="88"/>
      <c r="BGY134" s="88"/>
      <c r="BGZ134" s="88"/>
      <c r="BHA134" s="88"/>
      <c r="BHB134" s="88"/>
      <c r="BHC134" s="88"/>
      <c r="BHD134" s="88"/>
      <c r="BHE134" s="88"/>
      <c r="BHF134" s="88"/>
      <c r="BHG134" s="88"/>
      <c r="BHH134" s="88"/>
      <c r="BHI134" s="88"/>
      <c r="BHJ134" s="88"/>
      <c r="BHK134" s="88"/>
      <c r="BHL134" s="88"/>
      <c r="BHM134" s="88"/>
      <c r="BHN134" s="88"/>
      <c r="BHO134" s="88"/>
      <c r="BHP134" s="88"/>
      <c r="BHQ134" s="88"/>
      <c r="BHR134" s="88"/>
      <c r="BHS134" s="88"/>
      <c r="BHT134" s="88"/>
      <c r="BHU134" s="88"/>
      <c r="BHV134" s="88"/>
      <c r="BHW134" s="88"/>
      <c r="BHX134" s="88"/>
      <c r="BHY134" s="88"/>
      <c r="BHZ134" s="88"/>
      <c r="BIA134" s="88"/>
      <c r="BIB134" s="88"/>
      <c r="BIC134" s="88"/>
      <c r="BID134" s="88"/>
      <c r="BIE134" s="88"/>
      <c r="BIF134" s="88"/>
      <c r="BIG134" s="88"/>
      <c r="BIH134" s="88"/>
      <c r="BII134" s="88"/>
      <c r="BIJ134" s="88"/>
      <c r="BIK134" s="88"/>
      <c r="BIL134" s="88"/>
      <c r="BIM134" s="88"/>
      <c r="BIN134" s="88"/>
      <c r="BIO134" s="88"/>
      <c r="BIP134" s="88"/>
      <c r="BIQ134" s="88"/>
      <c r="BIR134" s="88"/>
      <c r="BIS134" s="88"/>
      <c r="BIT134" s="88"/>
      <c r="BIU134" s="88"/>
      <c r="BIV134" s="88"/>
      <c r="BIW134" s="88"/>
      <c r="BIX134" s="88"/>
      <c r="BIY134" s="88"/>
      <c r="BIZ134" s="88"/>
      <c r="BJA134" s="88"/>
      <c r="BJB134" s="88"/>
      <c r="BJC134" s="88"/>
      <c r="BJD134" s="88"/>
      <c r="BJE134" s="88"/>
      <c r="BJF134" s="88"/>
      <c r="BJG134" s="88"/>
      <c r="BJH134" s="88"/>
      <c r="BJI134" s="88"/>
      <c r="BJJ134" s="88"/>
      <c r="BJK134" s="88"/>
      <c r="BJL134" s="88"/>
      <c r="BJM134" s="88"/>
      <c r="BJN134" s="88"/>
      <c r="BJO134" s="88"/>
      <c r="BJP134" s="88"/>
      <c r="BJQ134" s="88"/>
      <c r="BJR134" s="88"/>
      <c r="BJS134" s="88"/>
      <c r="BJT134" s="88"/>
      <c r="BJU134" s="88"/>
      <c r="BJV134" s="88"/>
      <c r="BJW134" s="88"/>
      <c r="BJX134" s="88"/>
      <c r="BJY134" s="88"/>
      <c r="BJZ134" s="88"/>
      <c r="BKA134" s="88"/>
      <c r="BKB134" s="88"/>
      <c r="BKC134" s="88"/>
      <c r="BKD134" s="88"/>
      <c r="BKE134" s="88"/>
      <c r="BKF134" s="88"/>
      <c r="BKG134" s="88"/>
      <c r="BKH134" s="88"/>
      <c r="BKI134" s="88"/>
      <c r="BKJ134" s="88"/>
      <c r="BKK134" s="88"/>
      <c r="BKL134" s="88"/>
      <c r="BKM134" s="88"/>
      <c r="BKN134" s="88"/>
      <c r="BKO134" s="88"/>
      <c r="BKP134" s="88"/>
      <c r="BKQ134" s="88"/>
      <c r="BKR134" s="88"/>
      <c r="BKS134" s="88"/>
      <c r="BKT134" s="88"/>
      <c r="BKU134" s="88"/>
      <c r="BKV134" s="88"/>
      <c r="BKW134" s="88"/>
      <c r="BKX134" s="88"/>
      <c r="BKY134" s="88"/>
      <c r="BKZ134" s="88"/>
      <c r="BLA134" s="88"/>
      <c r="BLB134" s="88"/>
      <c r="BLC134" s="88"/>
      <c r="BLD134" s="88"/>
      <c r="BLE134" s="88"/>
      <c r="BLF134" s="88"/>
      <c r="BLG134" s="88"/>
      <c r="BLH134" s="88"/>
      <c r="BLI134" s="88"/>
      <c r="BLJ134" s="88"/>
      <c r="BLK134" s="88"/>
      <c r="BLL134" s="88"/>
      <c r="BLM134" s="88"/>
      <c r="BLN134" s="88"/>
      <c r="BLO134" s="88"/>
      <c r="BLP134" s="88"/>
      <c r="BLQ134" s="88"/>
      <c r="BLR134" s="88"/>
      <c r="BLS134" s="88"/>
      <c r="BLT134" s="88"/>
      <c r="BLU134" s="88"/>
      <c r="BLV134" s="88"/>
      <c r="BLW134" s="88"/>
      <c r="BLX134" s="88"/>
      <c r="BLY134" s="88"/>
      <c r="BLZ134" s="88"/>
      <c r="BMA134" s="88"/>
      <c r="BMB134" s="88"/>
      <c r="BMC134" s="88"/>
      <c r="BMD134" s="88"/>
      <c r="BME134" s="88"/>
      <c r="BMF134" s="88"/>
      <c r="BMG134" s="88"/>
      <c r="BMH134" s="88"/>
      <c r="BMI134" s="88"/>
      <c r="BMJ134" s="88"/>
      <c r="BMK134" s="88"/>
      <c r="BML134" s="88"/>
      <c r="BMM134" s="88"/>
      <c r="BMN134" s="88"/>
      <c r="BMO134" s="88"/>
      <c r="BMP134" s="88"/>
      <c r="BMQ134" s="88"/>
      <c r="BMR134" s="88"/>
      <c r="BMS134" s="88"/>
      <c r="BMT134" s="88"/>
      <c r="BMU134" s="88"/>
      <c r="BMV134" s="88"/>
      <c r="BMW134" s="88"/>
      <c r="BMX134" s="88"/>
      <c r="BMY134" s="88"/>
      <c r="BMZ134" s="88"/>
      <c r="BNA134" s="88"/>
      <c r="BNB134" s="88"/>
      <c r="BNC134" s="88"/>
      <c r="BND134" s="88"/>
      <c r="BNE134" s="88"/>
      <c r="BNF134" s="88"/>
      <c r="BNG134" s="88"/>
      <c r="BNH134" s="88"/>
      <c r="BNI134" s="88"/>
      <c r="BNJ134" s="88"/>
      <c r="BNK134" s="88"/>
      <c r="BNL134" s="88"/>
      <c r="BNM134" s="88"/>
      <c r="BNN134" s="88"/>
      <c r="BNO134" s="88"/>
      <c r="BNP134" s="88"/>
      <c r="BNQ134" s="88"/>
      <c r="BNR134" s="88"/>
      <c r="BNS134" s="88"/>
      <c r="BNT134" s="88"/>
      <c r="BNU134" s="88"/>
      <c r="BNV134" s="88"/>
      <c r="BNW134" s="88"/>
      <c r="BNX134" s="88"/>
      <c r="BNY134" s="88"/>
      <c r="BNZ134" s="88"/>
      <c r="BOA134" s="88"/>
      <c r="BOB134" s="88"/>
      <c r="BOC134" s="88"/>
      <c r="BOD134" s="88"/>
      <c r="BOE134" s="88"/>
      <c r="BOF134" s="88"/>
      <c r="BOG134" s="88"/>
      <c r="BOH134" s="88"/>
      <c r="BOI134" s="88"/>
      <c r="BOJ134" s="88"/>
      <c r="BOK134" s="88"/>
      <c r="BOL134" s="88"/>
      <c r="BOM134" s="88"/>
      <c r="BON134" s="88"/>
      <c r="BOO134" s="88"/>
      <c r="BOP134" s="88"/>
      <c r="BOQ134" s="88"/>
      <c r="BOR134" s="88"/>
      <c r="BOS134" s="88"/>
      <c r="BOT134" s="88"/>
      <c r="BOU134" s="88"/>
      <c r="BOV134" s="88"/>
      <c r="BOW134" s="88"/>
      <c r="BOX134" s="88"/>
      <c r="BOY134" s="88"/>
      <c r="BOZ134" s="88"/>
      <c r="BPA134" s="88"/>
      <c r="BPB134" s="88"/>
      <c r="BPC134" s="88"/>
      <c r="BPD134" s="88"/>
      <c r="BPE134" s="88"/>
      <c r="BPF134" s="88"/>
      <c r="BPG134" s="88"/>
      <c r="BPH134" s="88"/>
      <c r="BPI134" s="88"/>
      <c r="BPJ134" s="88"/>
      <c r="BPK134" s="88"/>
      <c r="BPL134" s="88"/>
      <c r="BPM134" s="88"/>
      <c r="BPN134" s="88"/>
      <c r="BPO134" s="88"/>
      <c r="BPP134" s="88"/>
      <c r="BPQ134" s="88"/>
      <c r="BPR134" s="88"/>
      <c r="BPS134" s="88"/>
      <c r="BPT134" s="88"/>
      <c r="BPU134" s="88"/>
      <c r="BPV134" s="88"/>
      <c r="BPW134" s="88"/>
      <c r="BPX134" s="88"/>
      <c r="BPY134" s="88"/>
      <c r="BPZ134" s="88"/>
      <c r="BQA134" s="88"/>
      <c r="BQB134" s="88"/>
      <c r="BQC134" s="88"/>
      <c r="BQD134" s="88"/>
      <c r="BQE134" s="88"/>
      <c r="BQF134" s="88"/>
      <c r="BQG134" s="88"/>
      <c r="BQH134" s="88"/>
      <c r="BQI134" s="88"/>
      <c r="BQJ134" s="88"/>
      <c r="BQK134" s="88"/>
      <c r="BQL134" s="88"/>
      <c r="BQM134" s="88"/>
      <c r="BQN134" s="88"/>
      <c r="BQO134" s="88"/>
      <c r="BQP134" s="88"/>
      <c r="BQQ134" s="88"/>
      <c r="BQR134" s="88"/>
      <c r="BQS134" s="88"/>
      <c r="BQT134" s="88"/>
      <c r="BQU134" s="88"/>
      <c r="BQV134" s="88"/>
      <c r="BQW134" s="88"/>
      <c r="BQX134" s="88"/>
      <c r="BQY134" s="88"/>
      <c r="BQZ134" s="88"/>
      <c r="BRA134" s="88"/>
      <c r="BRB134" s="88"/>
      <c r="BRC134" s="88"/>
      <c r="BRD134" s="88"/>
      <c r="BRE134" s="88"/>
      <c r="BRF134" s="88"/>
      <c r="BRG134" s="88"/>
      <c r="BRH134" s="88"/>
      <c r="BRI134" s="88"/>
      <c r="BRJ134" s="88"/>
      <c r="BRK134" s="88"/>
      <c r="BRL134" s="88"/>
      <c r="BRM134" s="88"/>
      <c r="BRN134" s="88"/>
      <c r="BRO134" s="88"/>
      <c r="BRP134" s="88"/>
      <c r="BRQ134" s="88"/>
      <c r="BRR134" s="88"/>
      <c r="BRS134" s="88"/>
      <c r="BRT134" s="88"/>
      <c r="BRU134" s="88"/>
      <c r="BRV134" s="88"/>
      <c r="BRW134" s="88"/>
      <c r="BRX134" s="88"/>
      <c r="BRY134" s="88"/>
      <c r="BRZ134" s="88"/>
      <c r="BSA134" s="88"/>
      <c r="BSB134" s="88"/>
      <c r="BSC134" s="88"/>
      <c r="BSD134" s="88"/>
      <c r="BSE134" s="88"/>
      <c r="BSF134" s="88"/>
      <c r="BSG134" s="88"/>
      <c r="BSH134" s="88"/>
      <c r="BSI134" s="88"/>
      <c r="BSJ134" s="88"/>
      <c r="BSK134" s="88"/>
      <c r="BSL134" s="88"/>
      <c r="BSM134" s="88"/>
      <c r="BSN134" s="88"/>
      <c r="BSO134" s="88"/>
      <c r="BSP134" s="88"/>
      <c r="BSQ134" s="88"/>
      <c r="BSR134" s="88"/>
      <c r="BSS134" s="88"/>
      <c r="BST134" s="88"/>
      <c r="BSU134" s="88"/>
      <c r="BSV134" s="88"/>
      <c r="BSW134" s="88"/>
      <c r="BSX134" s="88"/>
      <c r="BSY134" s="88"/>
      <c r="BSZ134" s="88"/>
      <c r="BTA134" s="88"/>
      <c r="BTB134" s="88"/>
      <c r="BTC134" s="88"/>
      <c r="BTD134" s="88"/>
      <c r="BTE134" s="88"/>
      <c r="BTF134" s="88"/>
      <c r="BTG134" s="88"/>
      <c r="BTH134" s="88"/>
      <c r="BTI134" s="88"/>
      <c r="BTJ134" s="88"/>
      <c r="BTK134" s="88"/>
      <c r="BTL134" s="88"/>
      <c r="BTM134" s="88"/>
      <c r="BTN134" s="88"/>
      <c r="BTO134" s="88"/>
      <c r="BTP134" s="88"/>
      <c r="BTQ134" s="88"/>
      <c r="BTR134" s="88"/>
      <c r="BTS134" s="88"/>
      <c r="BTT134" s="88"/>
      <c r="BTU134" s="88"/>
      <c r="BTV134" s="88"/>
      <c r="BTW134" s="88"/>
      <c r="BTX134" s="88"/>
      <c r="BTY134" s="88"/>
      <c r="BTZ134" s="88"/>
      <c r="BUA134" s="88"/>
      <c r="BUB134" s="88"/>
      <c r="BUC134" s="88"/>
      <c r="BUD134" s="88"/>
      <c r="BUE134" s="88"/>
      <c r="BUF134" s="88"/>
      <c r="BUG134" s="88"/>
      <c r="BUH134" s="88"/>
      <c r="BUI134" s="88"/>
      <c r="BUJ134" s="88"/>
      <c r="BUK134" s="88"/>
      <c r="BUL134" s="88"/>
      <c r="BUM134" s="88"/>
      <c r="BUN134" s="88"/>
      <c r="BUO134" s="88"/>
      <c r="BUP134" s="88"/>
      <c r="BUQ134" s="88"/>
      <c r="BUR134" s="88"/>
      <c r="BUS134" s="88"/>
      <c r="BUT134" s="88"/>
      <c r="BUU134" s="88"/>
      <c r="BUV134" s="88"/>
      <c r="BUW134" s="88"/>
      <c r="BUX134" s="88"/>
      <c r="BUY134" s="88"/>
      <c r="BUZ134" s="88"/>
      <c r="BVA134" s="88"/>
      <c r="BVB134" s="88"/>
      <c r="BVC134" s="88"/>
      <c r="BVD134" s="88"/>
      <c r="BVE134" s="88"/>
      <c r="BVF134" s="88"/>
      <c r="BVG134" s="88"/>
      <c r="BVH134" s="88"/>
      <c r="BVI134" s="88"/>
      <c r="BVJ134" s="88"/>
      <c r="BVK134" s="88"/>
      <c r="BVL134" s="88"/>
      <c r="BVM134" s="88"/>
      <c r="BVN134" s="88"/>
      <c r="BVO134" s="88"/>
      <c r="BVP134" s="88"/>
      <c r="BVQ134" s="88"/>
      <c r="BVR134" s="88"/>
      <c r="BVS134" s="88"/>
      <c r="BVT134" s="88"/>
      <c r="BVU134" s="88"/>
      <c r="BVV134" s="88"/>
      <c r="BVW134" s="88"/>
      <c r="BVX134" s="88"/>
      <c r="BVY134" s="88"/>
      <c r="BVZ134" s="88"/>
      <c r="BWA134" s="88"/>
      <c r="BWB134" s="88"/>
      <c r="BWC134" s="88"/>
      <c r="BWD134" s="88"/>
      <c r="BWE134" s="88"/>
      <c r="BWF134" s="88"/>
      <c r="BWG134" s="88"/>
      <c r="BWH134" s="88"/>
      <c r="BWI134" s="88"/>
      <c r="BWJ134" s="88"/>
      <c r="BWK134" s="88"/>
      <c r="BWL134" s="88"/>
      <c r="BWM134" s="88"/>
      <c r="BWN134" s="88"/>
      <c r="BWO134" s="88"/>
      <c r="BWP134" s="88"/>
      <c r="BWQ134" s="88"/>
      <c r="BWR134" s="88"/>
      <c r="BWS134" s="88"/>
      <c r="BWT134" s="88"/>
      <c r="BWU134" s="88"/>
      <c r="BWV134" s="88"/>
      <c r="BWW134" s="88"/>
      <c r="BWX134" s="88"/>
      <c r="BWY134" s="88"/>
      <c r="BWZ134" s="88"/>
      <c r="BXA134" s="88"/>
      <c r="BXB134" s="88"/>
      <c r="BXC134" s="88"/>
      <c r="BXD134" s="88"/>
      <c r="BXE134" s="88"/>
      <c r="BXF134" s="88"/>
      <c r="BXG134" s="88"/>
      <c r="BXH134" s="88"/>
      <c r="BXI134" s="88"/>
      <c r="BXJ134" s="88"/>
      <c r="BXK134" s="88"/>
      <c r="BXL134" s="88"/>
      <c r="BXM134" s="88"/>
      <c r="BXN134" s="88"/>
      <c r="BXO134" s="88"/>
      <c r="BXP134" s="88"/>
      <c r="BXQ134" s="88"/>
      <c r="BXR134" s="88"/>
      <c r="BXS134" s="88"/>
      <c r="BXT134" s="88"/>
      <c r="BXU134" s="88"/>
      <c r="BXV134" s="88"/>
      <c r="BXW134" s="88"/>
      <c r="BXX134" s="88"/>
      <c r="BXY134" s="88"/>
      <c r="BXZ134" s="88"/>
      <c r="BYA134" s="88"/>
      <c r="BYB134" s="88"/>
      <c r="BYC134" s="88"/>
      <c r="BYD134" s="88"/>
      <c r="BYE134" s="88"/>
      <c r="BYF134" s="88"/>
      <c r="BYG134" s="88"/>
      <c r="BYH134" s="88"/>
      <c r="BYI134" s="88"/>
      <c r="BYJ134" s="88"/>
      <c r="BYK134" s="88"/>
      <c r="BYL134" s="88"/>
      <c r="BYM134" s="88"/>
      <c r="BYN134" s="88"/>
      <c r="BYO134" s="88"/>
      <c r="BYP134" s="88"/>
      <c r="BYQ134" s="88"/>
      <c r="BYR134" s="88"/>
      <c r="BYS134" s="88"/>
      <c r="BYT134" s="88"/>
      <c r="BYU134" s="88"/>
      <c r="BYV134" s="88"/>
      <c r="BYW134" s="88"/>
      <c r="BYX134" s="88"/>
      <c r="BYY134" s="88"/>
      <c r="BYZ134" s="88"/>
      <c r="BZA134" s="88"/>
      <c r="BZB134" s="88"/>
      <c r="BZC134" s="88"/>
      <c r="BZD134" s="88"/>
      <c r="BZE134" s="88"/>
      <c r="BZF134" s="88"/>
      <c r="BZG134" s="88"/>
      <c r="BZH134" s="88"/>
      <c r="BZI134" s="88"/>
      <c r="BZJ134" s="88"/>
      <c r="BZK134" s="88"/>
      <c r="BZL134" s="88"/>
      <c r="BZM134" s="88"/>
      <c r="BZN134" s="88"/>
      <c r="BZO134" s="88"/>
      <c r="BZP134" s="88"/>
      <c r="BZQ134" s="88"/>
      <c r="BZR134" s="88"/>
      <c r="BZS134" s="88"/>
      <c r="BZT134" s="88"/>
      <c r="BZU134" s="88"/>
      <c r="BZV134" s="88"/>
      <c r="BZW134" s="88"/>
      <c r="BZX134" s="88"/>
      <c r="BZY134" s="88"/>
      <c r="BZZ134" s="88"/>
      <c r="CAA134" s="88"/>
      <c r="CAB134" s="88"/>
      <c r="CAC134" s="88"/>
      <c r="CAD134" s="88"/>
      <c r="CAE134" s="88"/>
      <c r="CAF134" s="88"/>
      <c r="CAG134" s="88"/>
      <c r="CAH134" s="88"/>
      <c r="CAI134" s="88"/>
      <c r="CAJ134" s="88"/>
      <c r="CAK134" s="88"/>
      <c r="CAL134" s="88"/>
      <c r="CAM134" s="88"/>
      <c r="CAN134" s="88"/>
      <c r="CAO134" s="88"/>
      <c r="CAP134" s="88"/>
      <c r="CAQ134" s="88"/>
      <c r="CAR134" s="88"/>
      <c r="CAS134" s="88"/>
      <c r="CAT134" s="88"/>
      <c r="CAU134" s="88"/>
      <c r="CAV134" s="88"/>
      <c r="CAW134" s="88"/>
      <c r="CAX134" s="88"/>
      <c r="CAY134" s="88"/>
      <c r="CAZ134" s="88"/>
      <c r="CBA134" s="88"/>
      <c r="CBB134" s="88"/>
      <c r="CBC134" s="88"/>
      <c r="CBD134" s="88"/>
      <c r="CBE134" s="88"/>
      <c r="CBF134" s="88"/>
      <c r="CBG134" s="88"/>
      <c r="CBH134" s="88"/>
      <c r="CBI134" s="88"/>
      <c r="CBJ134" s="88"/>
      <c r="CBK134" s="88"/>
      <c r="CBL134" s="88"/>
      <c r="CBM134" s="88"/>
      <c r="CBN134" s="88"/>
      <c r="CBO134" s="88"/>
      <c r="CBP134" s="88"/>
      <c r="CBQ134" s="88"/>
      <c r="CBR134" s="88"/>
      <c r="CBS134" s="88"/>
      <c r="CBT134" s="88"/>
      <c r="CBU134" s="88"/>
      <c r="CBV134" s="88"/>
      <c r="CBW134" s="88"/>
      <c r="CBX134" s="88"/>
      <c r="CBY134" s="88"/>
      <c r="CBZ134" s="88"/>
      <c r="CCA134" s="88"/>
      <c r="CCB134" s="88"/>
      <c r="CCC134" s="88"/>
      <c r="CCD134" s="88"/>
      <c r="CCE134" s="88"/>
      <c r="CCF134" s="88"/>
      <c r="CCG134" s="88"/>
      <c r="CCH134" s="88"/>
      <c r="CCI134" s="88"/>
      <c r="CCJ134" s="88"/>
      <c r="CCK134" s="88"/>
      <c r="CCL134" s="88"/>
      <c r="CCM134" s="88"/>
      <c r="CCN134" s="88"/>
      <c r="CCO134" s="88"/>
      <c r="CCP134" s="88"/>
      <c r="CCQ134" s="88"/>
      <c r="CCR134" s="88"/>
      <c r="CCS134" s="88"/>
      <c r="CCT134" s="88"/>
      <c r="CCU134" s="88"/>
      <c r="CCV134" s="88"/>
      <c r="CCW134" s="88"/>
      <c r="CCX134" s="88"/>
      <c r="CCY134" s="88"/>
      <c r="CCZ134" s="88"/>
      <c r="CDA134" s="88"/>
      <c r="CDB134" s="88"/>
      <c r="CDC134" s="88"/>
      <c r="CDD134" s="88"/>
      <c r="CDE134" s="88"/>
      <c r="CDF134" s="88"/>
      <c r="CDG134" s="88"/>
      <c r="CDH134" s="88"/>
      <c r="CDI134" s="88"/>
      <c r="CDJ134" s="88"/>
      <c r="CDK134" s="88"/>
      <c r="CDL134" s="88"/>
      <c r="CDM134" s="88"/>
      <c r="CDN134" s="88"/>
      <c r="CDO134" s="88"/>
      <c r="CDP134" s="88"/>
      <c r="CDQ134" s="88"/>
      <c r="CDR134" s="88"/>
      <c r="CDS134" s="88"/>
      <c r="CDT134" s="88"/>
      <c r="CDU134" s="88"/>
      <c r="CDV134" s="88"/>
      <c r="CDW134" s="88"/>
      <c r="CDX134" s="88"/>
      <c r="CDY134" s="88"/>
      <c r="CDZ134" s="88"/>
      <c r="CEA134" s="88"/>
      <c r="CEB134" s="88"/>
      <c r="CEC134" s="88"/>
      <c r="CED134" s="88"/>
      <c r="CEE134" s="88"/>
      <c r="CEF134" s="88"/>
      <c r="CEG134" s="88"/>
      <c r="CEH134" s="88"/>
      <c r="CEI134" s="88"/>
      <c r="CEJ134" s="88"/>
      <c r="CEK134" s="88"/>
    </row>
    <row r="135" spans="1:2169" s="63" customFormat="1">
      <c r="A135" s="73" t="s">
        <v>817</v>
      </c>
      <c r="B135" s="73" t="s">
        <v>721</v>
      </c>
      <c r="C135" s="68" t="str">
        <f>IF('page 2'!$O$4="","",IF('page 2'!$O$4=Gestion!A135,1,0))</f>
        <v/>
      </c>
      <c r="D135" s="68" t="str">
        <f>IF('page 2'!$O$5="","",IF('page 2'!$O$5=Gestion!A135,1,0))</f>
        <v/>
      </c>
      <c r="E135" s="68" t="str">
        <f>IF('page 2'!$O$6="","",IF('page 2'!$O$6=Gestion!A135,1,0))</f>
        <v/>
      </c>
      <c r="F135" s="68" t="str">
        <f>IF('page 2'!$O$7="","",IF('page 2'!$O$7=Gestion!A135,1,0))</f>
        <v/>
      </c>
      <c r="G135" s="68" t="str">
        <f>IF('page 2'!$O$8="","",IF('page 2'!$O$8=Gestion!A135,1,0))</f>
        <v/>
      </c>
      <c r="H135" s="68" t="str">
        <f>IF('page 2'!$O$9="","",IF('page 2'!$O$9=Gestion!A135,1,0))</f>
        <v/>
      </c>
      <c r="I135" s="68" t="str">
        <f>IF('page 2'!$O$10="","",IF('page 2'!$O$10=Gestion!A135,1,0))</f>
        <v/>
      </c>
      <c r="J135" s="68" t="str">
        <f>IF('page 2'!$O$11="","",IF('page 2'!$O$11=Gestion!A135,1,0))</f>
        <v/>
      </c>
      <c r="K135" s="68" t="str">
        <f>IF('page 2'!$O$12="","",IF('page 2'!$O$12=Gestion!A135,1,0))</f>
        <v/>
      </c>
      <c r="L135" s="68" t="str">
        <f>IF('page 2'!$O$13="","",IF('page 2'!$O$13=Gestion!A135,1,0))</f>
        <v/>
      </c>
      <c r="M135" s="68" t="str">
        <f>IF('page 2'!$O$14="","",IF('page 2'!$O$14=Gestion!A135,1,0))</f>
        <v/>
      </c>
      <c r="N135" s="68" t="str">
        <f>IF('page 2'!$O$15="","",IF('page 2'!$O$15=Gestion!A135,1,0))</f>
        <v/>
      </c>
      <c r="O135" s="68" t="str">
        <f>IF('page 2'!$O$16="","",IF('page 2'!$O$16=Gestion!A135,1,0))</f>
        <v/>
      </c>
      <c r="P135" s="68" t="str">
        <f>IF('page 2'!$O$17="","",IF('page 2'!$O$17=Gestion!A135,1,0))</f>
        <v/>
      </c>
      <c r="Q135" s="68" t="str">
        <f>IF('page 2'!$O$18="","",IF('page 2'!$O$18=Gestion!A135,1,0))</f>
        <v/>
      </c>
      <c r="R135" s="68" t="str">
        <f>IF('page 2'!$O$19="","",IF('page 2'!$O$19=Gestion!A135,1,0))</f>
        <v/>
      </c>
      <c r="S135" s="68" t="str">
        <f>IF('page 2'!$O$20="","",IF('page 2'!$O$20=Gestion!A135,1,0))</f>
        <v/>
      </c>
      <c r="T135" s="68" t="str">
        <f>IF('page 2'!$O$25="","",IF('page 2'!$O$25=Gestion!A135,1,0))</f>
        <v/>
      </c>
      <c r="U135" s="68" t="str">
        <f>IF('page 2'!$O$26="","",IF('page 2'!$O$26=Gestion!A135,1,0))</f>
        <v/>
      </c>
      <c r="V135" s="68" t="str">
        <f>IF('page 2'!$O$27="","",IF('page 2'!$O$27=Gestion!A135,1,0))</f>
        <v/>
      </c>
      <c r="W135" s="722">
        <f t="shared" si="14"/>
        <v>0</v>
      </c>
      <c r="X135" s="714"/>
      <c r="Y135" s="68"/>
      <c r="Z135" s="68"/>
      <c r="AA135" s="68"/>
      <c r="AB135" s="68"/>
      <c r="AC135" s="68"/>
      <c r="AD135" s="68"/>
      <c r="AP135" s="130"/>
      <c r="AQ135" s="130"/>
      <c r="AR135" s="130"/>
      <c r="AS135" s="576"/>
      <c r="AT135" s="576"/>
      <c r="AU135" s="576"/>
      <c r="AV135" s="576"/>
      <c r="AW135" s="602"/>
      <c r="AX135" s="602"/>
      <c r="AY135" s="576"/>
      <c r="AZ135" s="576"/>
      <c r="BA135" s="576"/>
      <c r="BB135" s="576"/>
      <c r="BC135" s="576"/>
      <c r="BD135" s="602"/>
      <c r="BE135" s="602"/>
      <c r="BF135" s="602"/>
      <c r="BG135" s="602"/>
      <c r="BH135" s="602"/>
      <c r="BI135" s="602"/>
      <c r="BJ135" s="602"/>
      <c r="BK135" s="602"/>
      <c r="BL135" s="602"/>
      <c r="BM135" s="602"/>
      <c r="BN135" s="602"/>
      <c r="BO135" s="602"/>
      <c r="BP135" s="602"/>
      <c r="BQ135" s="602"/>
      <c r="BR135" s="602"/>
      <c r="BS135" s="576"/>
      <c r="BT135" s="576"/>
      <c r="BU135" s="576"/>
      <c r="BV135" s="576"/>
      <c r="BW135" s="602"/>
      <c r="BX135" s="602"/>
      <c r="BY135" s="602"/>
      <c r="BZ135" s="576"/>
      <c r="CA135" s="602"/>
      <c r="CB135" s="602"/>
      <c r="CC135" s="576"/>
      <c r="CD135" s="576"/>
      <c r="CE135" s="602"/>
      <c r="CF135" s="576"/>
      <c r="CG135" s="576"/>
      <c r="CH135" s="576"/>
      <c r="CI135" s="576"/>
      <c r="CJ135" s="576"/>
      <c r="CK135" s="602"/>
      <c r="CL135" s="602"/>
      <c r="CM135" s="576"/>
      <c r="CN135" s="602"/>
      <c r="CO135" s="602"/>
      <c r="CP135" s="602"/>
      <c r="CQ135" s="576"/>
      <c r="CR135" s="576"/>
      <c r="CS135" s="602"/>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c r="HF135" s="88"/>
      <c r="HG135" s="88"/>
      <c r="HH135" s="88"/>
      <c r="HI135" s="88"/>
      <c r="HJ135" s="88"/>
      <c r="HK135" s="88"/>
      <c r="HL135" s="88"/>
      <c r="HM135" s="88"/>
      <c r="HN135" s="88"/>
      <c r="HO135" s="88"/>
      <c r="HP135" s="88"/>
      <c r="HQ135" s="88"/>
      <c r="HR135" s="88"/>
      <c r="HS135" s="88"/>
      <c r="HT135" s="88"/>
      <c r="HU135" s="88"/>
      <c r="HV135" s="88"/>
      <c r="HW135" s="88"/>
      <c r="HX135" s="88"/>
      <c r="HY135" s="88"/>
      <c r="HZ135" s="88"/>
      <c r="IA135" s="88"/>
      <c r="IB135" s="88"/>
      <c r="IC135" s="88"/>
      <c r="ID135" s="88"/>
      <c r="IE135" s="88"/>
      <c r="IF135" s="88"/>
      <c r="IG135" s="88"/>
      <c r="IH135" s="88"/>
      <c r="II135" s="88"/>
      <c r="IJ135" s="88"/>
      <c r="IK135" s="88"/>
      <c r="IL135" s="88"/>
      <c r="IM135" s="88"/>
      <c r="IN135" s="88"/>
      <c r="IO135" s="88"/>
      <c r="IP135" s="88"/>
      <c r="IQ135" s="88"/>
      <c r="IR135" s="88"/>
      <c r="IS135" s="88"/>
      <c r="IT135" s="88"/>
      <c r="IU135" s="88"/>
      <c r="IV135" s="88"/>
      <c r="IW135" s="88"/>
      <c r="IX135" s="88"/>
      <c r="IY135" s="88"/>
      <c r="IZ135" s="88"/>
      <c r="JA135" s="88"/>
      <c r="JB135" s="88"/>
      <c r="JC135" s="88"/>
      <c r="JD135" s="88"/>
      <c r="JE135" s="88"/>
      <c r="JF135" s="88"/>
      <c r="JG135" s="88"/>
      <c r="JH135" s="88"/>
      <c r="JI135" s="88"/>
      <c r="JJ135" s="88"/>
      <c r="JK135" s="88"/>
      <c r="JL135" s="88"/>
      <c r="JM135" s="88"/>
      <c r="JN135" s="88"/>
      <c r="JO135" s="88"/>
      <c r="JP135" s="88"/>
      <c r="JQ135" s="88"/>
      <c r="JR135" s="88"/>
      <c r="JS135" s="88"/>
      <c r="JT135" s="88"/>
      <c r="JU135" s="88"/>
      <c r="JV135" s="88"/>
      <c r="JW135" s="88"/>
      <c r="JX135" s="88"/>
      <c r="JY135" s="88"/>
      <c r="JZ135" s="88"/>
      <c r="KA135" s="88"/>
      <c r="KB135" s="88"/>
      <c r="KC135" s="88"/>
      <c r="KD135" s="88"/>
      <c r="KE135" s="88"/>
      <c r="KF135" s="88"/>
      <c r="KG135" s="88"/>
      <c r="KH135" s="88"/>
      <c r="KI135" s="88"/>
      <c r="KJ135" s="88"/>
      <c r="KK135" s="88"/>
      <c r="KL135" s="88"/>
      <c r="KM135" s="88"/>
      <c r="KN135" s="88"/>
      <c r="KO135" s="88"/>
      <c r="KP135" s="88"/>
      <c r="KQ135" s="88"/>
      <c r="KR135" s="88"/>
      <c r="KS135" s="88"/>
      <c r="KT135" s="88"/>
      <c r="KU135" s="88"/>
      <c r="KV135" s="88"/>
      <c r="KW135" s="88"/>
      <c r="KX135" s="88"/>
      <c r="KY135" s="88"/>
      <c r="KZ135" s="88"/>
      <c r="LA135" s="88"/>
      <c r="LB135" s="88"/>
      <c r="LC135" s="88"/>
      <c r="LD135" s="88"/>
      <c r="LE135" s="88"/>
      <c r="LF135" s="88"/>
      <c r="LG135" s="88"/>
      <c r="LH135" s="88"/>
      <c r="LI135" s="88"/>
      <c r="LJ135" s="88"/>
      <c r="LK135" s="88"/>
      <c r="LL135" s="88"/>
      <c r="LM135" s="88"/>
      <c r="LN135" s="88"/>
      <c r="LO135" s="88"/>
      <c r="LP135" s="88"/>
      <c r="LQ135" s="88"/>
      <c r="LR135" s="88"/>
      <c r="LS135" s="88"/>
      <c r="LT135" s="88"/>
      <c r="LU135" s="88"/>
      <c r="LV135" s="88"/>
      <c r="LW135" s="88"/>
      <c r="LX135" s="88"/>
      <c r="LY135" s="88"/>
      <c r="LZ135" s="88"/>
      <c r="MA135" s="88"/>
      <c r="MB135" s="88"/>
      <c r="MC135" s="88"/>
      <c r="MD135" s="88"/>
      <c r="ME135" s="88"/>
      <c r="MF135" s="88"/>
      <c r="MG135" s="88"/>
      <c r="MH135" s="88"/>
      <c r="MI135" s="88"/>
      <c r="MJ135" s="88"/>
      <c r="MK135" s="88"/>
      <c r="ML135" s="88"/>
      <c r="MM135" s="88"/>
      <c r="MN135" s="88"/>
      <c r="MO135" s="88"/>
      <c r="MP135" s="88"/>
      <c r="MQ135" s="88"/>
      <c r="MR135" s="88"/>
      <c r="MS135" s="88"/>
      <c r="MT135" s="88"/>
      <c r="MU135" s="88"/>
      <c r="MV135" s="88"/>
      <c r="MW135" s="88"/>
      <c r="MX135" s="88"/>
      <c r="MY135" s="88"/>
      <c r="MZ135" s="88"/>
      <c r="NA135" s="88"/>
      <c r="NB135" s="88"/>
      <c r="NC135" s="88"/>
      <c r="ND135" s="88"/>
      <c r="NE135" s="88"/>
      <c r="NF135" s="88"/>
      <c r="NG135" s="88"/>
      <c r="NH135" s="88"/>
      <c r="NI135" s="88"/>
      <c r="NJ135" s="88"/>
      <c r="NK135" s="88"/>
      <c r="NL135" s="88"/>
      <c r="NM135" s="88"/>
      <c r="NN135" s="88"/>
      <c r="NO135" s="88"/>
      <c r="NP135" s="88"/>
      <c r="NQ135" s="88"/>
      <c r="NR135" s="88"/>
      <c r="NS135" s="88"/>
      <c r="NT135" s="88"/>
      <c r="NU135" s="88"/>
      <c r="NV135" s="88"/>
      <c r="NW135" s="88"/>
      <c r="NX135" s="88"/>
      <c r="NY135" s="88"/>
      <c r="NZ135" s="88"/>
      <c r="OA135" s="88"/>
      <c r="OB135" s="88"/>
      <c r="OC135" s="88"/>
      <c r="OD135" s="88"/>
      <c r="OE135" s="88"/>
      <c r="OF135" s="88"/>
      <c r="OG135" s="88"/>
      <c r="OH135" s="88"/>
      <c r="OI135" s="88"/>
      <c r="OJ135" s="88"/>
      <c r="OK135" s="88"/>
      <c r="OL135" s="88"/>
      <c r="OM135" s="88"/>
      <c r="ON135" s="88"/>
      <c r="OO135" s="88"/>
      <c r="OP135" s="88"/>
      <c r="OQ135" s="88"/>
      <c r="OR135" s="88"/>
      <c r="OS135" s="88"/>
      <c r="OT135" s="88"/>
      <c r="OU135" s="88"/>
      <c r="OV135" s="88"/>
      <c r="OW135" s="88"/>
      <c r="OX135" s="88"/>
      <c r="OY135" s="88"/>
      <c r="OZ135" s="88"/>
      <c r="PA135" s="88"/>
      <c r="PB135" s="88"/>
      <c r="PC135" s="88"/>
      <c r="PD135" s="88"/>
      <c r="PE135" s="88"/>
      <c r="PF135" s="88"/>
      <c r="PG135" s="88"/>
      <c r="PH135" s="88"/>
      <c r="PI135" s="88"/>
      <c r="PJ135" s="88"/>
      <c r="PK135" s="88"/>
      <c r="PL135" s="88"/>
      <c r="PM135" s="88"/>
      <c r="PN135" s="88"/>
      <c r="PO135" s="88"/>
      <c r="PP135" s="88"/>
      <c r="PQ135" s="88"/>
      <c r="PR135" s="88"/>
      <c r="PS135" s="88"/>
      <c r="PT135" s="88"/>
      <c r="PU135" s="88"/>
      <c r="PV135" s="88"/>
      <c r="PW135" s="88"/>
      <c r="PX135" s="88"/>
      <c r="PY135" s="88"/>
      <c r="PZ135" s="88"/>
      <c r="QA135" s="88"/>
      <c r="QB135" s="88"/>
      <c r="QC135" s="88"/>
      <c r="QD135" s="88"/>
      <c r="QE135" s="88"/>
      <c r="QF135" s="88"/>
      <c r="QG135" s="88"/>
      <c r="QH135" s="88"/>
      <c r="QI135" s="88"/>
      <c r="QJ135" s="88"/>
      <c r="QK135" s="88"/>
      <c r="QL135" s="88"/>
      <c r="QM135" s="88"/>
      <c r="QN135" s="88"/>
      <c r="QO135" s="88"/>
      <c r="QP135" s="88"/>
      <c r="QQ135" s="88"/>
      <c r="QR135" s="88"/>
      <c r="QS135" s="88"/>
      <c r="QT135" s="88"/>
      <c r="QU135" s="88"/>
      <c r="QV135" s="88"/>
      <c r="QW135" s="88"/>
      <c r="QX135" s="88"/>
      <c r="QY135" s="88"/>
      <c r="QZ135" s="88"/>
      <c r="RA135" s="88"/>
      <c r="RB135" s="88"/>
      <c r="RC135" s="88"/>
      <c r="RD135" s="88"/>
      <c r="RE135" s="88"/>
      <c r="RF135" s="88"/>
      <c r="RG135" s="88"/>
      <c r="RH135" s="88"/>
      <c r="RI135" s="88"/>
      <c r="RJ135" s="88"/>
      <c r="RK135" s="88"/>
      <c r="RL135" s="88"/>
      <c r="RM135" s="88"/>
      <c r="RN135" s="88"/>
      <c r="RO135" s="88"/>
      <c r="RP135" s="88"/>
      <c r="RQ135" s="88"/>
      <c r="RR135" s="88"/>
      <c r="RS135" s="88"/>
      <c r="RT135" s="88"/>
      <c r="RU135" s="88"/>
      <c r="RV135" s="88"/>
      <c r="RW135" s="88"/>
      <c r="RX135" s="88"/>
      <c r="RY135" s="88"/>
      <c r="RZ135" s="88"/>
      <c r="SA135" s="88"/>
      <c r="SB135" s="88"/>
      <c r="SC135" s="88"/>
      <c r="SD135" s="88"/>
      <c r="SE135" s="88"/>
      <c r="SF135" s="88"/>
      <c r="SG135" s="88"/>
      <c r="SH135" s="88"/>
      <c r="SI135" s="88"/>
      <c r="SJ135" s="88"/>
      <c r="SK135" s="88"/>
      <c r="SL135" s="88"/>
      <c r="SM135" s="88"/>
      <c r="SN135" s="88"/>
      <c r="SO135" s="88"/>
      <c r="SP135" s="88"/>
      <c r="SQ135" s="88"/>
      <c r="SR135" s="88"/>
      <c r="SS135" s="88"/>
      <c r="ST135" s="88"/>
      <c r="SU135" s="88"/>
      <c r="SV135" s="88"/>
      <c r="SW135" s="88"/>
      <c r="SX135" s="88"/>
      <c r="SY135" s="88"/>
      <c r="SZ135" s="88"/>
      <c r="TA135" s="88"/>
      <c r="TB135" s="88"/>
      <c r="TC135" s="88"/>
      <c r="TD135" s="88"/>
      <c r="TE135" s="88"/>
      <c r="TF135" s="88"/>
      <c r="TG135" s="88"/>
      <c r="TH135" s="88"/>
      <c r="TI135" s="88"/>
      <c r="TJ135" s="88"/>
      <c r="TK135" s="88"/>
      <c r="TL135" s="88"/>
      <c r="TM135" s="88"/>
      <c r="TN135" s="88"/>
      <c r="TO135" s="88"/>
      <c r="TP135" s="88"/>
      <c r="TQ135" s="88"/>
      <c r="TR135" s="88"/>
      <c r="TS135" s="88"/>
      <c r="TT135" s="88"/>
      <c r="TU135" s="88"/>
      <c r="TV135" s="88"/>
      <c r="TW135" s="88"/>
      <c r="TX135" s="88"/>
      <c r="TY135" s="88"/>
      <c r="TZ135" s="88"/>
      <c r="UA135" s="88"/>
      <c r="UB135" s="88"/>
      <c r="UC135" s="88"/>
      <c r="UD135" s="88"/>
      <c r="UE135" s="88"/>
      <c r="UF135" s="88"/>
      <c r="UG135" s="88"/>
      <c r="UH135" s="88"/>
      <c r="UI135" s="88"/>
      <c r="UJ135" s="88"/>
      <c r="UK135" s="88"/>
      <c r="UL135" s="88"/>
      <c r="UM135" s="88"/>
      <c r="UN135" s="88"/>
      <c r="UO135" s="88"/>
      <c r="UP135" s="88"/>
      <c r="UQ135" s="88"/>
      <c r="UR135" s="88"/>
      <c r="US135" s="88"/>
      <c r="UT135" s="88"/>
      <c r="UU135" s="88"/>
      <c r="UV135" s="88"/>
      <c r="UW135" s="88"/>
      <c r="UX135" s="88"/>
      <c r="UY135" s="88"/>
      <c r="UZ135" s="88"/>
      <c r="VA135" s="88"/>
      <c r="VB135" s="88"/>
      <c r="VC135" s="88"/>
      <c r="VD135" s="88"/>
      <c r="VE135" s="88"/>
      <c r="VF135" s="88"/>
      <c r="VG135" s="88"/>
      <c r="VH135" s="88"/>
      <c r="VI135" s="88"/>
      <c r="VJ135" s="88"/>
      <c r="VK135" s="88"/>
      <c r="VL135" s="88"/>
      <c r="VM135" s="88"/>
      <c r="VN135" s="88"/>
      <c r="VO135" s="88"/>
      <c r="VP135" s="88"/>
      <c r="VQ135" s="88"/>
      <c r="VR135" s="88"/>
      <c r="VS135" s="88"/>
      <c r="VT135" s="88"/>
      <c r="VU135" s="88"/>
      <c r="VV135" s="88"/>
      <c r="VW135" s="88"/>
      <c r="VX135" s="88"/>
      <c r="VY135" s="88"/>
      <c r="VZ135" s="88"/>
      <c r="WA135" s="88"/>
      <c r="WB135" s="88"/>
      <c r="WC135" s="88"/>
      <c r="WD135" s="88"/>
      <c r="WE135" s="88"/>
      <c r="WF135" s="88"/>
      <c r="WG135" s="88"/>
      <c r="WH135" s="88"/>
      <c r="WI135" s="88"/>
      <c r="WJ135" s="88"/>
      <c r="WK135" s="88"/>
      <c r="WL135" s="88"/>
      <c r="WM135" s="88"/>
      <c r="WN135" s="88"/>
      <c r="WO135" s="88"/>
      <c r="WP135" s="88"/>
      <c r="WQ135" s="88"/>
      <c r="WR135" s="88"/>
      <c r="WS135" s="88"/>
      <c r="WT135" s="88"/>
      <c r="WU135" s="88"/>
      <c r="WV135" s="88"/>
      <c r="WW135" s="88"/>
      <c r="WX135" s="88"/>
      <c r="WY135" s="88"/>
      <c r="WZ135" s="88"/>
      <c r="XA135" s="88"/>
      <c r="XB135" s="88"/>
      <c r="XC135" s="88"/>
      <c r="XD135" s="88"/>
      <c r="XE135" s="88"/>
      <c r="XF135" s="88"/>
      <c r="XG135" s="88"/>
      <c r="XH135" s="88"/>
      <c r="XI135" s="88"/>
      <c r="XJ135" s="88"/>
      <c r="XK135" s="88"/>
      <c r="XL135" s="88"/>
      <c r="XM135" s="88"/>
      <c r="XN135" s="88"/>
      <c r="XO135" s="88"/>
      <c r="XP135" s="88"/>
      <c r="XQ135" s="88"/>
      <c r="XR135" s="88"/>
      <c r="XS135" s="88"/>
      <c r="XT135" s="88"/>
      <c r="XU135" s="88"/>
      <c r="XV135" s="88"/>
      <c r="XW135" s="88"/>
      <c r="XX135" s="88"/>
      <c r="XY135" s="88"/>
      <c r="XZ135" s="88"/>
      <c r="YA135" s="88"/>
      <c r="YB135" s="88"/>
      <c r="YC135" s="88"/>
      <c r="YD135" s="88"/>
      <c r="YE135" s="88"/>
      <c r="YF135" s="88"/>
      <c r="YG135" s="88"/>
      <c r="YH135" s="88"/>
      <c r="YI135" s="88"/>
      <c r="YJ135" s="88"/>
      <c r="YK135" s="88"/>
      <c r="YL135" s="88"/>
      <c r="YM135" s="88"/>
      <c r="YN135" s="88"/>
      <c r="YO135" s="88"/>
      <c r="YP135" s="88"/>
      <c r="YQ135" s="88"/>
      <c r="YR135" s="88"/>
      <c r="YS135" s="88"/>
      <c r="YT135" s="88"/>
      <c r="YU135" s="88"/>
      <c r="YV135" s="88"/>
      <c r="YW135" s="88"/>
      <c r="YX135" s="88"/>
      <c r="YY135" s="88"/>
      <c r="YZ135" s="88"/>
      <c r="ZA135" s="88"/>
      <c r="ZB135" s="88"/>
      <c r="ZC135" s="88"/>
      <c r="ZD135" s="88"/>
      <c r="ZE135" s="88"/>
      <c r="ZF135" s="88"/>
      <c r="ZG135" s="88"/>
      <c r="ZH135" s="88"/>
      <c r="ZI135" s="88"/>
      <c r="ZJ135" s="88"/>
      <c r="ZK135" s="88"/>
      <c r="ZL135" s="88"/>
      <c r="ZM135" s="88"/>
      <c r="ZN135" s="88"/>
      <c r="ZO135" s="88"/>
      <c r="ZP135" s="88"/>
      <c r="ZQ135" s="88"/>
      <c r="ZR135" s="88"/>
      <c r="ZS135" s="88"/>
      <c r="ZT135" s="88"/>
      <c r="ZU135" s="88"/>
      <c r="ZV135" s="88"/>
      <c r="ZW135" s="88"/>
      <c r="ZX135" s="88"/>
      <c r="ZY135" s="88"/>
      <c r="ZZ135" s="88"/>
      <c r="AAA135" s="88"/>
      <c r="AAB135" s="88"/>
      <c r="AAC135" s="88"/>
      <c r="AAD135" s="88"/>
      <c r="AAE135" s="88"/>
      <c r="AAF135" s="88"/>
      <c r="AAG135" s="88"/>
      <c r="AAH135" s="88"/>
      <c r="AAI135" s="88"/>
      <c r="AAJ135" s="88"/>
      <c r="AAK135" s="88"/>
      <c r="AAL135" s="88"/>
      <c r="AAM135" s="88"/>
      <c r="AAN135" s="88"/>
      <c r="AAO135" s="88"/>
      <c r="AAP135" s="88"/>
      <c r="AAQ135" s="88"/>
      <c r="AAR135" s="88"/>
      <c r="AAS135" s="88"/>
      <c r="AAT135" s="88"/>
      <c r="AAU135" s="88"/>
      <c r="AAV135" s="88"/>
      <c r="AAW135" s="88"/>
      <c r="AAX135" s="88"/>
      <c r="AAY135" s="88"/>
      <c r="AAZ135" s="88"/>
      <c r="ABA135" s="88"/>
      <c r="ABB135" s="88"/>
      <c r="ABC135" s="88"/>
      <c r="ABD135" s="88"/>
      <c r="ABE135" s="88"/>
      <c r="ABF135" s="88"/>
      <c r="ABG135" s="88"/>
      <c r="ABH135" s="88"/>
      <c r="ABI135" s="88"/>
      <c r="ABJ135" s="88"/>
      <c r="ABK135" s="88"/>
      <c r="ABL135" s="88"/>
      <c r="ABM135" s="88"/>
      <c r="ABN135" s="88"/>
      <c r="ABO135" s="88"/>
      <c r="ABP135" s="88"/>
      <c r="ABQ135" s="88"/>
      <c r="ABR135" s="88"/>
      <c r="ABS135" s="88"/>
      <c r="ABT135" s="88"/>
      <c r="ABU135" s="88"/>
      <c r="ABV135" s="88"/>
      <c r="ABW135" s="88"/>
      <c r="ABX135" s="88"/>
      <c r="ABY135" s="88"/>
      <c r="ABZ135" s="88"/>
      <c r="ACA135" s="88"/>
      <c r="ACB135" s="88"/>
      <c r="ACC135" s="88"/>
      <c r="ACD135" s="88"/>
      <c r="ACE135" s="88"/>
      <c r="ACF135" s="88"/>
      <c r="ACG135" s="88"/>
      <c r="ACH135" s="88"/>
      <c r="ACI135" s="88"/>
      <c r="ACJ135" s="88"/>
      <c r="ACK135" s="88"/>
      <c r="ACL135" s="88"/>
      <c r="ACM135" s="88"/>
      <c r="ACN135" s="88"/>
      <c r="ACO135" s="88"/>
      <c r="ACP135" s="88"/>
      <c r="ACQ135" s="88"/>
      <c r="ACR135" s="88"/>
      <c r="ACS135" s="88"/>
      <c r="ACT135" s="88"/>
      <c r="ACU135" s="88"/>
      <c r="ACV135" s="88"/>
      <c r="ACW135" s="88"/>
      <c r="ACX135" s="88"/>
      <c r="ACY135" s="88"/>
      <c r="ACZ135" s="88"/>
      <c r="ADA135" s="88"/>
      <c r="ADB135" s="88"/>
      <c r="ADC135" s="88"/>
      <c r="ADD135" s="88"/>
      <c r="ADE135" s="88"/>
      <c r="ADF135" s="88"/>
      <c r="ADG135" s="88"/>
      <c r="ADH135" s="88"/>
      <c r="ADI135" s="88"/>
      <c r="ADJ135" s="88"/>
      <c r="ADK135" s="88"/>
      <c r="ADL135" s="88"/>
      <c r="ADM135" s="88"/>
      <c r="ADN135" s="88"/>
      <c r="ADO135" s="88"/>
      <c r="ADP135" s="88"/>
      <c r="ADQ135" s="88"/>
      <c r="ADR135" s="88"/>
      <c r="ADS135" s="88"/>
      <c r="ADT135" s="88"/>
      <c r="ADU135" s="88"/>
      <c r="ADV135" s="88"/>
      <c r="ADW135" s="88"/>
      <c r="ADX135" s="88"/>
      <c r="ADY135" s="88"/>
      <c r="ADZ135" s="88"/>
      <c r="AEA135" s="88"/>
      <c r="AEB135" s="88"/>
      <c r="AEC135" s="88"/>
      <c r="AED135" s="88"/>
      <c r="AEE135" s="88"/>
      <c r="AEF135" s="88"/>
      <c r="AEG135" s="88"/>
      <c r="AEH135" s="88"/>
      <c r="AEI135" s="88"/>
      <c r="AEJ135" s="88"/>
      <c r="AEK135" s="88"/>
      <c r="AEL135" s="88"/>
      <c r="AEM135" s="88"/>
      <c r="AEN135" s="88"/>
      <c r="AEO135" s="88"/>
      <c r="AEP135" s="88"/>
      <c r="AEQ135" s="88"/>
      <c r="AER135" s="88"/>
      <c r="AES135" s="88"/>
      <c r="AET135" s="88"/>
      <c r="AEU135" s="88"/>
      <c r="AEV135" s="88"/>
      <c r="AEW135" s="88"/>
      <c r="AEX135" s="88"/>
      <c r="AEY135" s="88"/>
      <c r="AEZ135" s="88"/>
      <c r="AFA135" s="88"/>
      <c r="AFB135" s="88"/>
      <c r="AFC135" s="88"/>
      <c r="AFD135" s="88"/>
      <c r="AFE135" s="88"/>
      <c r="AFF135" s="88"/>
      <c r="AFG135" s="88"/>
      <c r="AFH135" s="88"/>
      <c r="AFI135" s="88"/>
      <c r="AFJ135" s="88"/>
      <c r="AFK135" s="88"/>
      <c r="AFL135" s="88"/>
      <c r="AFM135" s="88"/>
      <c r="AFN135" s="88"/>
      <c r="AFO135" s="88"/>
      <c r="AFP135" s="88"/>
      <c r="AFQ135" s="88"/>
      <c r="AFR135" s="88"/>
      <c r="AFS135" s="88"/>
      <c r="AFT135" s="88"/>
      <c r="AFU135" s="88"/>
      <c r="AFV135" s="88"/>
      <c r="AFW135" s="88"/>
      <c r="AFX135" s="88"/>
      <c r="AFY135" s="88"/>
      <c r="AFZ135" s="88"/>
      <c r="AGA135" s="88"/>
      <c r="AGB135" s="88"/>
      <c r="AGC135" s="88"/>
      <c r="AGD135" s="88"/>
      <c r="AGE135" s="88"/>
      <c r="AGF135" s="88"/>
      <c r="AGG135" s="88"/>
      <c r="AGH135" s="88"/>
      <c r="AGI135" s="88"/>
      <c r="AGJ135" s="88"/>
      <c r="AGK135" s="88"/>
      <c r="AGL135" s="88"/>
      <c r="AGM135" s="88"/>
      <c r="AGN135" s="88"/>
      <c r="AGO135" s="88"/>
      <c r="AGP135" s="88"/>
      <c r="AGQ135" s="88"/>
      <c r="AGR135" s="88"/>
      <c r="AGS135" s="88"/>
      <c r="AGT135" s="88"/>
      <c r="AGU135" s="88"/>
      <c r="AGV135" s="88"/>
      <c r="AGW135" s="88"/>
      <c r="AGX135" s="88"/>
      <c r="AGY135" s="88"/>
      <c r="AGZ135" s="88"/>
      <c r="AHA135" s="88"/>
      <c r="AHB135" s="88"/>
      <c r="AHC135" s="88"/>
      <c r="AHD135" s="88"/>
      <c r="AHE135" s="88"/>
      <c r="AHF135" s="88"/>
      <c r="AHG135" s="88"/>
      <c r="AHH135" s="88"/>
      <c r="AHI135" s="88"/>
      <c r="AHJ135" s="88"/>
      <c r="AHK135" s="88"/>
      <c r="AHL135" s="88"/>
      <c r="AHM135" s="88"/>
      <c r="AHN135" s="88"/>
      <c r="AHO135" s="88"/>
      <c r="AHP135" s="88"/>
      <c r="AHQ135" s="88"/>
      <c r="AHR135" s="88"/>
      <c r="AHS135" s="88"/>
      <c r="AHT135" s="88"/>
      <c r="AHU135" s="88"/>
      <c r="AHV135" s="88"/>
      <c r="AHW135" s="88"/>
      <c r="AHX135" s="88"/>
      <c r="AHY135" s="88"/>
      <c r="AHZ135" s="88"/>
      <c r="AIA135" s="88"/>
      <c r="AIB135" s="88"/>
      <c r="AIC135" s="88"/>
      <c r="AID135" s="88"/>
      <c r="AIE135" s="88"/>
      <c r="AIF135" s="88"/>
      <c r="AIG135" s="88"/>
      <c r="AIH135" s="88"/>
      <c r="AII135" s="88"/>
      <c r="AIJ135" s="88"/>
      <c r="AIK135" s="88"/>
      <c r="AIL135" s="88"/>
      <c r="AIM135" s="88"/>
      <c r="AIN135" s="88"/>
      <c r="AIO135" s="88"/>
      <c r="AIP135" s="88"/>
      <c r="AIQ135" s="88"/>
      <c r="AIR135" s="88"/>
      <c r="AIS135" s="88"/>
      <c r="AIT135" s="88"/>
      <c r="AIU135" s="88"/>
      <c r="AIV135" s="88"/>
      <c r="AIW135" s="88"/>
      <c r="AIX135" s="88"/>
      <c r="AIY135" s="88"/>
      <c r="AIZ135" s="88"/>
      <c r="AJA135" s="88"/>
      <c r="AJB135" s="88"/>
      <c r="AJC135" s="88"/>
      <c r="AJD135" s="88"/>
      <c r="AJE135" s="88"/>
      <c r="AJF135" s="88"/>
      <c r="AJG135" s="88"/>
      <c r="AJH135" s="88"/>
      <c r="AJI135" s="88"/>
      <c r="AJJ135" s="88"/>
      <c r="AJK135" s="88"/>
      <c r="AJL135" s="88"/>
      <c r="AJM135" s="88"/>
      <c r="AJN135" s="88"/>
      <c r="AJO135" s="88"/>
      <c r="AJP135" s="88"/>
      <c r="AJQ135" s="88"/>
      <c r="AJR135" s="88"/>
      <c r="AJS135" s="88"/>
      <c r="AJT135" s="88"/>
      <c r="AJU135" s="88"/>
      <c r="AJV135" s="88"/>
      <c r="AJW135" s="88"/>
      <c r="AJX135" s="88"/>
      <c r="AJY135" s="88"/>
      <c r="AJZ135" s="88"/>
      <c r="AKA135" s="88"/>
      <c r="AKB135" s="88"/>
      <c r="AKC135" s="88"/>
      <c r="AKD135" s="88"/>
      <c r="AKE135" s="88"/>
      <c r="AKF135" s="88"/>
      <c r="AKG135" s="88"/>
      <c r="AKH135" s="88"/>
      <c r="AKI135" s="88"/>
      <c r="AKJ135" s="88"/>
      <c r="AKK135" s="88"/>
      <c r="AKL135" s="88"/>
      <c r="AKM135" s="88"/>
      <c r="AKN135" s="88"/>
      <c r="AKO135" s="88"/>
      <c r="AKP135" s="88"/>
      <c r="AKQ135" s="88"/>
      <c r="AKR135" s="88"/>
      <c r="AKS135" s="88"/>
      <c r="AKT135" s="88"/>
      <c r="AKU135" s="88"/>
      <c r="AKV135" s="88"/>
      <c r="AKW135" s="88"/>
      <c r="AKX135" s="88"/>
      <c r="AKY135" s="88"/>
      <c r="AKZ135" s="88"/>
      <c r="ALA135" s="88"/>
      <c r="ALB135" s="88"/>
      <c r="ALC135" s="88"/>
      <c r="ALD135" s="88"/>
      <c r="ALE135" s="88"/>
      <c r="ALF135" s="88"/>
      <c r="ALG135" s="88"/>
      <c r="ALH135" s="88"/>
      <c r="ALI135" s="88"/>
      <c r="ALJ135" s="88"/>
      <c r="ALK135" s="88"/>
      <c r="ALL135" s="88"/>
      <c r="ALM135" s="88"/>
      <c r="ALN135" s="88"/>
      <c r="ALO135" s="88"/>
      <c r="ALP135" s="88"/>
      <c r="ALQ135" s="88"/>
      <c r="ALR135" s="88"/>
      <c r="ALS135" s="88"/>
      <c r="ALT135" s="88"/>
      <c r="ALU135" s="88"/>
      <c r="ALV135" s="88"/>
      <c r="ALW135" s="88"/>
      <c r="ALX135" s="88"/>
      <c r="ALY135" s="88"/>
      <c r="ALZ135" s="88"/>
      <c r="AMA135" s="88"/>
      <c r="AMB135" s="88"/>
      <c r="AMC135" s="88"/>
      <c r="AMD135" s="88"/>
      <c r="AME135" s="88"/>
      <c r="AMF135" s="88"/>
      <c r="AMG135" s="88"/>
      <c r="AMH135" s="88"/>
      <c r="AMI135" s="88"/>
      <c r="AMJ135" s="88"/>
      <c r="AMK135" s="88"/>
      <c r="AML135" s="88"/>
      <c r="AMM135" s="88"/>
      <c r="AMN135" s="88"/>
      <c r="AMO135" s="88"/>
      <c r="AMP135" s="88"/>
      <c r="AMQ135" s="88"/>
      <c r="AMR135" s="88"/>
      <c r="AMS135" s="88"/>
      <c r="AMT135" s="88"/>
      <c r="AMU135" s="88"/>
      <c r="AMV135" s="88"/>
      <c r="AMW135" s="88"/>
      <c r="AMX135" s="88"/>
      <c r="AMY135" s="88"/>
      <c r="AMZ135" s="88"/>
      <c r="ANA135" s="88"/>
      <c r="ANB135" s="88"/>
      <c r="ANC135" s="88"/>
      <c r="AND135" s="88"/>
      <c r="ANE135" s="88"/>
      <c r="ANF135" s="88"/>
      <c r="ANG135" s="88"/>
      <c r="ANH135" s="88"/>
      <c r="ANI135" s="88"/>
      <c r="ANJ135" s="88"/>
      <c r="ANK135" s="88"/>
      <c r="ANL135" s="88"/>
      <c r="ANM135" s="88"/>
      <c r="ANN135" s="88"/>
      <c r="ANO135" s="88"/>
      <c r="ANP135" s="88"/>
      <c r="ANQ135" s="88"/>
      <c r="ANR135" s="88"/>
      <c r="ANS135" s="88"/>
      <c r="ANT135" s="88"/>
      <c r="ANU135" s="88"/>
      <c r="ANV135" s="88"/>
      <c r="ANW135" s="88"/>
      <c r="ANX135" s="88"/>
      <c r="ANY135" s="88"/>
      <c r="ANZ135" s="88"/>
      <c r="AOA135" s="88"/>
      <c r="AOB135" s="88"/>
      <c r="AOC135" s="88"/>
      <c r="AOD135" s="88"/>
      <c r="AOE135" s="88"/>
      <c r="AOF135" s="88"/>
      <c r="AOG135" s="88"/>
      <c r="AOH135" s="88"/>
      <c r="AOI135" s="88"/>
      <c r="AOJ135" s="88"/>
      <c r="AOK135" s="88"/>
      <c r="AOL135" s="88"/>
      <c r="AOM135" s="88"/>
      <c r="AON135" s="88"/>
      <c r="AOO135" s="88"/>
      <c r="AOP135" s="88"/>
      <c r="AOQ135" s="88"/>
      <c r="AOR135" s="88"/>
      <c r="AOS135" s="88"/>
      <c r="AOT135" s="88"/>
      <c r="AOU135" s="88"/>
      <c r="AOV135" s="88"/>
      <c r="AOW135" s="88"/>
      <c r="AOX135" s="88"/>
      <c r="AOY135" s="88"/>
      <c r="AOZ135" s="88"/>
      <c r="APA135" s="88"/>
      <c r="APB135" s="88"/>
      <c r="APC135" s="88"/>
      <c r="APD135" s="88"/>
      <c r="APE135" s="88"/>
      <c r="APF135" s="88"/>
      <c r="APG135" s="88"/>
      <c r="APH135" s="88"/>
      <c r="API135" s="88"/>
      <c r="APJ135" s="88"/>
      <c r="APK135" s="88"/>
      <c r="APL135" s="88"/>
      <c r="APM135" s="88"/>
      <c r="APN135" s="88"/>
      <c r="APO135" s="88"/>
      <c r="APP135" s="88"/>
      <c r="APQ135" s="88"/>
      <c r="APR135" s="88"/>
      <c r="APS135" s="88"/>
      <c r="APT135" s="88"/>
      <c r="APU135" s="88"/>
      <c r="APV135" s="88"/>
      <c r="APW135" s="88"/>
      <c r="APX135" s="88"/>
      <c r="APY135" s="88"/>
      <c r="APZ135" s="88"/>
      <c r="AQA135" s="88"/>
      <c r="AQB135" s="88"/>
      <c r="AQC135" s="88"/>
      <c r="AQD135" s="88"/>
      <c r="AQE135" s="88"/>
      <c r="AQF135" s="88"/>
      <c r="AQG135" s="88"/>
      <c r="AQH135" s="88"/>
      <c r="AQI135" s="88"/>
      <c r="AQJ135" s="88"/>
      <c r="AQK135" s="88"/>
      <c r="AQL135" s="88"/>
      <c r="AQM135" s="88"/>
      <c r="AQN135" s="88"/>
      <c r="AQO135" s="88"/>
      <c r="AQP135" s="88"/>
      <c r="AQQ135" s="88"/>
      <c r="AQR135" s="88"/>
      <c r="AQS135" s="88"/>
      <c r="AQT135" s="88"/>
      <c r="AQU135" s="88"/>
      <c r="AQV135" s="88"/>
      <c r="AQW135" s="88"/>
      <c r="AQX135" s="88"/>
      <c r="AQY135" s="88"/>
      <c r="AQZ135" s="88"/>
      <c r="ARA135" s="88"/>
      <c r="ARB135" s="88"/>
      <c r="ARC135" s="88"/>
      <c r="ARD135" s="88"/>
      <c r="ARE135" s="88"/>
      <c r="ARF135" s="88"/>
      <c r="ARG135" s="88"/>
      <c r="ARH135" s="88"/>
      <c r="ARI135" s="88"/>
      <c r="ARJ135" s="88"/>
      <c r="ARK135" s="88"/>
      <c r="ARL135" s="88"/>
      <c r="ARM135" s="88"/>
      <c r="ARN135" s="88"/>
      <c r="ARO135" s="88"/>
      <c r="ARP135" s="88"/>
      <c r="ARQ135" s="88"/>
      <c r="ARR135" s="88"/>
      <c r="ARS135" s="88"/>
      <c r="ART135" s="88"/>
      <c r="ARU135" s="88"/>
      <c r="ARV135" s="88"/>
      <c r="ARW135" s="88"/>
      <c r="ARX135" s="88"/>
      <c r="ARY135" s="88"/>
      <c r="ARZ135" s="88"/>
      <c r="ASA135" s="88"/>
      <c r="ASB135" s="88"/>
      <c r="ASC135" s="88"/>
      <c r="ASD135" s="88"/>
      <c r="ASE135" s="88"/>
      <c r="ASF135" s="88"/>
      <c r="ASG135" s="88"/>
      <c r="ASH135" s="88"/>
      <c r="ASI135" s="88"/>
      <c r="ASJ135" s="88"/>
      <c r="ASK135" s="88"/>
      <c r="ASL135" s="88"/>
      <c r="ASM135" s="88"/>
      <c r="ASN135" s="88"/>
      <c r="ASO135" s="88"/>
      <c r="ASP135" s="88"/>
      <c r="ASQ135" s="88"/>
      <c r="ASR135" s="88"/>
      <c r="ASS135" s="88"/>
      <c r="AST135" s="88"/>
      <c r="ASU135" s="88"/>
      <c r="ASV135" s="88"/>
      <c r="ASW135" s="88"/>
      <c r="ASX135" s="88"/>
      <c r="ASY135" s="88"/>
      <c r="ASZ135" s="88"/>
      <c r="ATA135" s="88"/>
      <c r="ATB135" s="88"/>
      <c r="ATC135" s="88"/>
      <c r="ATD135" s="88"/>
      <c r="ATE135" s="88"/>
      <c r="ATF135" s="88"/>
      <c r="ATG135" s="88"/>
      <c r="ATH135" s="88"/>
      <c r="ATI135" s="88"/>
      <c r="ATJ135" s="88"/>
      <c r="ATK135" s="88"/>
      <c r="ATL135" s="88"/>
      <c r="ATM135" s="88"/>
      <c r="ATN135" s="88"/>
      <c r="ATO135" s="88"/>
      <c r="ATP135" s="88"/>
      <c r="ATQ135" s="88"/>
      <c r="ATR135" s="88"/>
      <c r="ATS135" s="88"/>
      <c r="ATT135" s="88"/>
      <c r="ATU135" s="88"/>
      <c r="ATV135" s="88"/>
      <c r="ATW135" s="88"/>
      <c r="ATX135" s="88"/>
      <c r="ATY135" s="88"/>
      <c r="ATZ135" s="88"/>
      <c r="AUA135" s="88"/>
      <c r="AUB135" s="88"/>
      <c r="AUC135" s="88"/>
      <c r="AUD135" s="88"/>
      <c r="AUE135" s="88"/>
      <c r="AUF135" s="88"/>
      <c r="AUG135" s="88"/>
      <c r="AUH135" s="88"/>
      <c r="AUI135" s="88"/>
      <c r="AUJ135" s="88"/>
      <c r="AUK135" s="88"/>
      <c r="AUL135" s="88"/>
      <c r="AUM135" s="88"/>
      <c r="AUN135" s="88"/>
      <c r="AUO135" s="88"/>
      <c r="AUP135" s="88"/>
      <c r="AUQ135" s="88"/>
      <c r="AUR135" s="88"/>
      <c r="AUS135" s="88"/>
      <c r="AUT135" s="88"/>
      <c r="AUU135" s="88"/>
      <c r="AUV135" s="88"/>
      <c r="AUW135" s="88"/>
      <c r="AUX135" s="88"/>
      <c r="AUY135" s="88"/>
      <c r="AUZ135" s="88"/>
      <c r="AVA135" s="88"/>
      <c r="AVB135" s="88"/>
      <c r="AVC135" s="88"/>
      <c r="AVD135" s="88"/>
      <c r="AVE135" s="88"/>
      <c r="AVF135" s="88"/>
      <c r="AVG135" s="88"/>
      <c r="AVH135" s="88"/>
      <c r="AVI135" s="88"/>
      <c r="AVJ135" s="88"/>
      <c r="AVK135" s="88"/>
      <c r="AVL135" s="88"/>
      <c r="AVM135" s="88"/>
      <c r="AVN135" s="88"/>
      <c r="AVO135" s="88"/>
      <c r="AVP135" s="88"/>
      <c r="AVQ135" s="88"/>
      <c r="AVR135" s="88"/>
      <c r="AVS135" s="88"/>
      <c r="AVT135" s="88"/>
      <c r="AVU135" s="88"/>
      <c r="AVV135" s="88"/>
      <c r="AVW135" s="88"/>
      <c r="AVX135" s="88"/>
      <c r="AVY135" s="88"/>
      <c r="AVZ135" s="88"/>
      <c r="AWA135" s="88"/>
      <c r="AWB135" s="88"/>
      <c r="AWC135" s="88"/>
      <c r="AWD135" s="88"/>
      <c r="AWE135" s="88"/>
      <c r="AWF135" s="88"/>
      <c r="AWG135" s="88"/>
      <c r="AWH135" s="88"/>
      <c r="AWI135" s="88"/>
      <c r="AWJ135" s="88"/>
      <c r="AWK135" s="88"/>
      <c r="AWL135" s="88"/>
      <c r="AWM135" s="88"/>
      <c r="AWN135" s="88"/>
      <c r="AWO135" s="88"/>
      <c r="AWP135" s="88"/>
      <c r="AWQ135" s="88"/>
      <c r="AWR135" s="88"/>
      <c r="AWS135" s="88"/>
      <c r="AWT135" s="88"/>
      <c r="AWU135" s="88"/>
      <c r="AWV135" s="88"/>
      <c r="AWW135" s="88"/>
      <c r="AWX135" s="88"/>
      <c r="AWY135" s="88"/>
      <c r="AWZ135" s="88"/>
      <c r="AXA135" s="88"/>
      <c r="AXB135" s="88"/>
      <c r="AXC135" s="88"/>
      <c r="AXD135" s="88"/>
      <c r="AXE135" s="88"/>
      <c r="AXF135" s="88"/>
      <c r="AXG135" s="88"/>
      <c r="AXH135" s="88"/>
      <c r="AXI135" s="88"/>
      <c r="AXJ135" s="88"/>
      <c r="AXK135" s="88"/>
      <c r="AXL135" s="88"/>
      <c r="AXM135" s="88"/>
      <c r="AXN135" s="88"/>
      <c r="AXO135" s="88"/>
      <c r="AXP135" s="88"/>
      <c r="AXQ135" s="88"/>
      <c r="AXR135" s="88"/>
      <c r="AXS135" s="88"/>
      <c r="AXT135" s="88"/>
      <c r="AXU135" s="88"/>
      <c r="AXV135" s="88"/>
      <c r="AXW135" s="88"/>
      <c r="AXX135" s="88"/>
      <c r="AXY135" s="88"/>
      <c r="AXZ135" s="88"/>
      <c r="AYA135" s="88"/>
      <c r="AYB135" s="88"/>
      <c r="AYC135" s="88"/>
      <c r="AYD135" s="88"/>
      <c r="AYE135" s="88"/>
      <c r="AYF135" s="88"/>
      <c r="AYG135" s="88"/>
      <c r="AYH135" s="88"/>
      <c r="AYI135" s="88"/>
      <c r="AYJ135" s="88"/>
      <c r="AYK135" s="88"/>
      <c r="AYL135" s="88"/>
      <c r="AYM135" s="88"/>
      <c r="AYN135" s="88"/>
      <c r="AYO135" s="88"/>
      <c r="AYP135" s="88"/>
      <c r="AYQ135" s="88"/>
      <c r="AYR135" s="88"/>
      <c r="AYS135" s="88"/>
      <c r="AYT135" s="88"/>
      <c r="AYU135" s="88"/>
      <c r="AYV135" s="88"/>
      <c r="AYW135" s="88"/>
      <c r="AYX135" s="88"/>
      <c r="AYY135" s="88"/>
      <c r="AYZ135" s="88"/>
      <c r="AZA135" s="88"/>
      <c r="AZB135" s="88"/>
      <c r="AZC135" s="88"/>
      <c r="AZD135" s="88"/>
      <c r="AZE135" s="88"/>
      <c r="AZF135" s="88"/>
      <c r="AZG135" s="88"/>
      <c r="AZH135" s="88"/>
      <c r="AZI135" s="88"/>
      <c r="AZJ135" s="88"/>
      <c r="AZK135" s="88"/>
      <c r="AZL135" s="88"/>
      <c r="AZM135" s="88"/>
      <c r="AZN135" s="88"/>
      <c r="AZO135" s="88"/>
      <c r="AZP135" s="88"/>
      <c r="AZQ135" s="88"/>
      <c r="AZR135" s="88"/>
      <c r="AZS135" s="88"/>
      <c r="AZT135" s="88"/>
      <c r="AZU135" s="88"/>
      <c r="AZV135" s="88"/>
      <c r="AZW135" s="88"/>
      <c r="AZX135" s="88"/>
      <c r="AZY135" s="88"/>
      <c r="AZZ135" s="88"/>
      <c r="BAA135" s="88"/>
      <c r="BAB135" s="88"/>
      <c r="BAC135" s="88"/>
      <c r="BAD135" s="88"/>
      <c r="BAE135" s="88"/>
      <c r="BAF135" s="88"/>
      <c r="BAG135" s="88"/>
      <c r="BAH135" s="88"/>
      <c r="BAI135" s="88"/>
      <c r="BAJ135" s="88"/>
      <c r="BAK135" s="88"/>
      <c r="BAL135" s="88"/>
      <c r="BAM135" s="88"/>
      <c r="BAN135" s="88"/>
      <c r="BAO135" s="88"/>
      <c r="BAP135" s="88"/>
      <c r="BAQ135" s="88"/>
      <c r="BAR135" s="88"/>
      <c r="BAS135" s="88"/>
      <c r="BAT135" s="88"/>
      <c r="BAU135" s="88"/>
      <c r="BAV135" s="88"/>
      <c r="BAW135" s="88"/>
      <c r="BAX135" s="88"/>
      <c r="BAY135" s="88"/>
      <c r="BAZ135" s="88"/>
      <c r="BBA135" s="88"/>
      <c r="BBB135" s="88"/>
      <c r="BBC135" s="88"/>
      <c r="BBD135" s="88"/>
      <c r="BBE135" s="88"/>
      <c r="BBF135" s="88"/>
      <c r="BBG135" s="88"/>
      <c r="BBH135" s="88"/>
      <c r="BBI135" s="88"/>
      <c r="BBJ135" s="88"/>
      <c r="BBK135" s="88"/>
      <c r="BBL135" s="88"/>
      <c r="BBM135" s="88"/>
      <c r="BBN135" s="88"/>
      <c r="BBO135" s="88"/>
      <c r="BBP135" s="88"/>
      <c r="BBQ135" s="88"/>
      <c r="BBR135" s="88"/>
      <c r="BBS135" s="88"/>
      <c r="BBT135" s="88"/>
      <c r="BBU135" s="88"/>
      <c r="BBV135" s="88"/>
      <c r="BBW135" s="88"/>
      <c r="BBX135" s="88"/>
      <c r="BBY135" s="88"/>
      <c r="BBZ135" s="88"/>
      <c r="BCA135" s="88"/>
      <c r="BCB135" s="88"/>
      <c r="BCC135" s="88"/>
      <c r="BCD135" s="88"/>
      <c r="BCE135" s="88"/>
      <c r="BCF135" s="88"/>
      <c r="BCG135" s="88"/>
      <c r="BCH135" s="88"/>
      <c r="BCI135" s="88"/>
      <c r="BCJ135" s="88"/>
      <c r="BCK135" s="88"/>
      <c r="BCL135" s="88"/>
      <c r="BCM135" s="88"/>
      <c r="BCN135" s="88"/>
      <c r="BCO135" s="88"/>
      <c r="BCP135" s="88"/>
      <c r="BCQ135" s="88"/>
      <c r="BCR135" s="88"/>
      <c r="BCS135" s="88"/>
      <c r="BCT135" s="88"/>
      <c r="BCU135" s="88"/>
      <c r="BCV135" s="88"/>
      <c r="BCW135" s="88"/>
      <c r="BCX135" s="88"/>
      <c r="BCY135" s="88"/>
      <c r="BCZ135" s="88"/>
      <c r="BDA135" s="88"/>
      <c r="BDB135" s="88"/>
      <c r="BDC135" s="88"/>
      <c r="BDD135" s="88"/>
      <c r="BDE135" s="88"/>
      <c r="BDF135" s="88"/>
      <c r="BDG135" s="88"/>
      <c r="BDH135" s="88"/>
      <c r="BDI135" s="88"/>
      <c r="BDJ135" s="88"/>
      <c r="BDK135" s="88"/>
      <c r="BDL135" s="88"/>
      <c r="BDM135" s="88"/>
      <c r="BDN135" s="88"/>
      <c r="BDO135" s="88"/>
      <c r="BDP135" s="88"/>
      <c r="BDQ135" s="88"/>
      <c r="BDR135" s="88"/>
      <c r="BDS135" s="88"/>
      <c r="BDT135" s="88"/>
      <c r="BDU135" s="88"/>
      <c r="BDV135" s="88"/>
      <c r="BDW135" s="88"/>
      <c r="BDX135" s="88"/>
      <c r="BDY135" s="88"/>
      <c r="BDZ135" s="88"/>
      <c r="BEA135" s="88"/>
      <c r="BEB135" s="88"/>
      <c r="BEC135" s="88"/>
      <c r="BED135" s="88"/>
      <c r="BEE135" s="88"/>
      <c r="BEF135" s="88"/>
      <c r="BEG135" s="88"/>
      <c r="BEH135" s="88"/>
      <c r="BEI135" s="88"/>
      <c r="BEJ135" s="88"/>
      <c r="BEK135" s="88"/>
      <c r="BEL135" s="88"/>
      <c r="BEM135" s="88"/>
      <c r="BEN135" s="88"/>
      <c r="BEO135" s="88"/>
      <c r="BEP135" s="88"/>
      <c r="BEQ135" s="88"/>
      <c r="BER135" s="88"/>
      <c r="BES135" s="88"/>
      <c r="BET135" s="88"/>
      <c r="BEU135" s="88"/>
      <c r="BEV135" s="88"/>
      <c r="BEW135" s="88"/>
      <c r="BEX135" s="88"/>
      <c r="BEY135" s="88"/>
      <c r="BEZ135" s="88"/>
      <c r="BFA135" s="88"/>
      <c r="BFB135" s="88"/>
      <c r="BFC135" s="88"/>
      <c r="BFD135" s="88"/>
      <c r="BFE135" s="88"/>
      <c r="BFF135" s="88"/>
      <c r="BFG135" s="88"/>
      <c r="BFH135" s="88"/>
      <c r="BFI135" s="88"/>
      <c r="BFJ135" s="88"/>
      <c r="BFK135" s="88"/>
      <c r="BFL135" s="88"/>
      <c r="BFM135" s="88"/>
      <c r="BFN135" s="88"/>
      <c r="BFO135" s="88"/>
      <c r="BFP135" s="88"/>
      <c r="BFQ135" s="88"/>
      <c r="BFR135" s="88"/>
      <c r="BFS135" s="88"/>
      <c r="BFT135" s="88"/>
      <c r="BFU135" s="88"/>
      <c r="BFV135" s="88"/>
      <c r="BFW135" s="88"/>
      <c r="BFX135" s="88"/>
      <c r="BFY135" s="88"/>
      <c r="BFZ135" s="88"/>
      <c r="BGA135" s="88"/>
      <c r="BGB135" s="88"/>
      <c r="BGC135" s="88"/>
      <c r="BGD135" s="88"/>
      <c r="BGE135" s="88"/>
      <c r="BGF135" s="88"/>
      <c r="BGG135" s="88"/>
      <c r="BGH135" s="88"/>
      <c r="BGI135" s="88"/>
      <c r="BGJ135" s="88"/>
      <c r="BGK135" s="88"/>
      <c r="BGL135" s="88"/>
      <c r="BGM135" s="88"/>
      <c r="BGN135" s="88"/>
      <c r="BGO135" s="88"/>
      <c r="BGP135" s="88"/>
      <c r="BGQ135" s="88"/>
      <c r="BGR135" s="88"/>
      <c r="BGS135" s="88"/>
      <c r="BGT135" s="88"/>
      <c r="BGU135" s="88"/>
      <c r="BGV135" s="88"/>
      <c r="BGW135" s="88"/>
      <c r="BGX135" s="88"/>
      <c r="BGY135" s="88"/>
      <c r="BGZ135" s="88"/>
      <c r="BHA135" s="88"/>
      <c r="BHB135" s="88"/>
      <c r="BHC135" s="88"/>
      <c r="BHD135" s="88"/>
      <c r="BHE135" s="88"/>
      <c r="BHF135" s="88"/>
      <c r="BHG135" s="88"/>
      <c r="BHH135" s="88"/>
      <c r="BHI135" s="88"/>
      <c r="BHJ135" s="88"/>
      <c r="BHK135" s="88"/>
      <c r="BHL135" s="88"/>
      <c r="BHM135" s="88"/>
      <c r="BHN135" s="88"/>
      <c r="BHO135" s="88"/>
      <c r="BHP135" s="88"/>
      <c r="BHQ135" s="88"/>
      <c r="BHR135" s="88"/>
      <c r="BHS135" s="88"/>
      <c r="BHT135" s="88"/>
      <c r="BHU135" s="88"/>
      <c r="BHV135" s="88"/>
      <c r="BHW135" s="88"/>
      <c r="BHX135" s="88"/>
      <c r="BHY135" s="88"/>
      <c r="BHZ135" s="88"/>
      <c r="BIA135" s="88"/>
      <c r="BIB135" s="88"/>
      <c r="BIC135" s="88"/>
      <c r="BID135" s="88"/>
      <c r="BIE135" s="88"/>
      <c r="BIF135" s="88"/>
      <c r="BIG135" s="88"/>
      <c r="BIH135" s="88"/>
      <c r="BII135" s="88"/>
      <c r="BIJ135" s="88"/>
      <c r="BIK135" s="88"/>
      <c r="BIL135" s="88"/>
      <c r="BIM135" s="88"/>
      <c r="BIN135" s="88"/>
      <c r="BIO135" s="88"/>
      <c r="BIP135" s="88"/>
      <c r="BIQ135" s="88"/>
      <c r="BIR135" s="88"/>
      <c r="BIS135" s="88"/>
      <c r="BIT135" s="88"/>
      <c r="BIU135" s="88"/>
      <c r="BIV135" s="88"/>
      <c r="BIW135" s="88"/>
      <c r="BIX135" s="88"/>
      <c r="BIY135" s="88"/>
      <c r="BIZ135" s="88"/>
      <c r="BJA135" s="88"/>
      <c r="BJB135" s="88"/>
      <c r="BJC135" s="88"/>
      <c r="BJD135" s="88"/>
      <c r="BJE135" s="88"/>
      <c r="BJF135" s="88"/>
      <c r="BJG135" s="88"/>
      <c r="BJH135" s="88"/>
      <c r="BJI135" s="88"/>
      <c r="BJJ135" s="88"/>
      <c r="BJK135" s="88"/>
      <c r="BJL135" s="88"/>
      <c r="BJM135" s="88"/>
      <c r="BJN135" s="88"/>
      <c r="BJO135" s="88"/>
      <c r="BJP135" s="88"/>
      <c r="BJQ135" s="88"/>
      <c r="BJR135" s="88"/>
      <c r="BJS135" s="88"/>
      <c r="BJT135" s="88"/>
      <c r="BJU135" s="88"/>
      <c r="BJV135" s="88"/>
      <c r="BJW135" s="88"/>
      <c r="BJX135" s="88"/>
      <c r="BJY135" s="88"/>
      <c r="BJZ135" s="88"/>
      <c r="BKA135" s="88"/>
      <c r="BKB135" s="88"/>
      <c r="BKC135" s="88"/>
      <c r="BKD135" s="88"/>
      <c r="BKE135" s="88"/>
      <c r="BKF135" s="88"/>
      <c r="BKG135" s="88"/>
      <c r="BKH135" s="88"/>
      <c r="BKI135" s="88"/>
      <c r="BKJ135" s="88"/>
      <c r="BKK135" s="88"/>
      <c r="BKL135" s="88"/>
      <c r="BKM135" s="88"/>
      <c r="BKN135" s="88"/>
      <c r="BKO135" s="88"/>
      <c r="BKP135" s="88"/>
      <c r="BKQ135" s="88"/>
      <c r="BKR135" s="88"/>
      <c r="BKS135" s="88"/>
      <c r="BKT135" s="88"/>
      <c r="BKU135" s="88"/>
      <c r="BKV135" s="88"/>
      <c r="BKW135" s="88"/>
      <c r="BKX135" s="88"/>
      <c r="BKY135" s="88"/>
      <c r="BKZ135" s="88"/>
      <c r="BLA135" s="88"/>
      <c r="BLB135" s="88"/>
      <c r="BLC135" s="88"/>
      <c r="BLD135" s="88"/>
      <c r="BLE135" s="88"/>
      <c r="BLF135" s="88"/>
      <c r="BLG135" s="88"/>
      <c r="BLH135" s="88"/>
      <c r="BLI135" s="88"/>
      <c r="BLJ135" s="88"/>
      <c r="BLK135" s="88"/>
      <c r="BLL135" s="88"/>
      <c r="BLM135" s="88"/>
      <c r="BLN135" s="88"/>
      <c r="BLO135" s="88"/>
      <c r="BLP135" s="88"/>
      <c r="BLQ135" s="88"/>
      <c r="BLR135" s="88"/>
      <c r="BLS135" s="88"/>
      <c r="BLT135" s="88"/>
      <c r="BLU135" s="88"/>
      <c r="BLV135" s="88"/>
      <c r="BLW135" s="88"/>
      <c r="BLX135" s="88"/>
      <c r="BLY135" s="88"/>
      <c r="BLZ135" s="88"/>
      <c r="BMA135" s="88"/>
      <c r="BMB135" s="88"/>
      <c r="BMC135" s="88"/>
      <c r="BMD135" s="88"/>
      <c r="BME135" s="88"/>
      <c r="BMF135" s="88"/>
      <c r="BMG135" s="88"/>
      <c r="BMH135" s="88"/>
      <c r="BMI135" s="88"/>
      <c r="BMJ135" s="88"/>
      <c r="BMK135" s="88"/>
      <c r="BML135" s="88"/>
      <c r="BMM135" s="88"/>
      <c r="BMN135" s="88"/>
      <c r="BMO135" s="88"/>
      <c r="BMP135" s="88"/>
      <c r="BMQ135" s="88"/>
      <c r="BMR135" s="88"/>
      <c r="BMS135" s="88"/>
      <c r="BMT135" s="88"/>
      <c r="BMU135" s="88"/>
      <c r="BMV135" s="88"/>
      <c r="BMW135" s="88"/>
      <c r="BMX135" s="88"/>
      <c r="BMY135" s="88"/>
      <c r="BMZ135" s="88"/>
      <c r="BNA135" s="88"/>
      <c r="BNB135" s="88"/>
      <c r="BNC135" s="88"/>
      <c r="BND135" s="88"/>
      <c r="BNE135" s="88"/>
      <c r="BNF135" s="88"/>
      <c r="BNG135" s="88"/>
      <c r="BNH135" s="88"/>
      <c r="BNI135" s="88"/>
      <c r="BNJ135" s="88"/>
      <c r="BNK135" s="88"/>
      <c r="BNL135" s="88"/>
      <c r="BNM135" s="88"/>
      <c r="BNN135" s="88"/>
      <c r="BNO135" s="88"/>
      <c r="BNP135" s="88"/>
      <c r="BNQ135" s="88"/>
      <c r="BNR135" s="88"/>
      <c r="BNS135" s="88"/>
      <c r="BNT135" s="88"/>
      <c r="BNU135" s="88"/>
      <c r="BNV135" s="88"/>
      <c r="BNW135" s="88"/>
      <c r="BNX135" s="88"/>
      <c r="BNY135" s="88"/>
      <c r="BNZ135" s="88"/>
      <c r="BOA135" s="88"/>
      <c r="BOB135" s="88"/>
      <c r="BOC135" s="88"/>
      <c r="BOD135" s="88"/>
      <c r="BOE135" s="88"/>
      <c r="BOF135" s="88"/>
      <c r="BOG135" s="88"/>
      <c r="BOH135" s="88"/>
      <c r="BOI135" s="88"/>
      <c r="BOJ135" s="88"/>
      <c r="BOK135" s="88"/>
      <c r="BOL135" s="88"/>
      <c r="BOM135" s="88"/>
      <c r="BON135" s="88"/>
      <c r="BOO135" s="88"/>
      <c r="BOP135" s="88"/>
      <c r="BOQ135" s="88"/>
      <c r="BOR135" s="88"/>
      <c r="BOS135" s="88"/>
      <c r="BOT135" s="88"/>
      <c r="BOU135" s="88"/>
      <c r="BOV135" s="88"/>
      <c r="BOW135" s="88"/>
      <c r="BOX135" s="88"/>
      <c r="BOY135" s="88"/>
      <c r="BOZ135" s="88"/>
      <c r="BPA135" s="88"/>
      <c r="BPB135" s="88"/>
      <c r="BPC135" s="88"/>
      <c r="BPD135" s="88"/>
      <c r="BPE135" s="88"/>
      <c r="BPF135" s="88"/>
      <c r="BPG135" s="88"/>
      <c r="BPH135" s="88"/>
      <c r="BPI135" s="88"/>
      <c r="BPJ135" s="88"/>
      <c r="BPK135" s="88"/>
      <c r="BPL135" s="88"/>
      <c r="BPM135" s="88"/>
      <c r="BPN135" s="88"/>
      <c r="BPO135" s="88"/>
      <c r="BPP135" s="88"/>
      <c r="BPQ135" s="88"/>
      <c r="BPR135" s="88"/>
      <c r="BPS135" s="88"/>
      <c r="BPT135" s="88"/>
      <c r="BPU135" s="88"/>
      <c r="BPV135" s="88"/>
      <c r="BPW135" s="88"/>
      <c r="BPX135" s="88"/>
      <c r="BPY135" s="88"/>
      <c r="BPZ135" s="88"/>
      <c r="BQA135" s="88"/>
      <c r="BQB135" s="88"/>
      <c r="BQC135" s="88"/>
      <c r="BQD135" s="88"/>
      <c r="BQE135" s="88"/>
      <c r="BQF135" s="88"/>
      <c r="BQG135" s="88"/>
      <c r="BQH135" s="88"/>
      <c r="BQI135" s="88"/>
      <c r="BQJ135" s="88"/>
      <c r="BQK135" s="88"/>
      <c r="BQL135" s="88"/>
      <c r="BQM135" s="88"/>
      <c r="BQN135" s="88"/>
      <c r="BQO135" s="88"/>
      <c r="BQP135" s="88"/>
      <c r="BQQ135" s="88"/>
      <c r="BQR135" s="88"/>
      <c r="BQS135" s="88"/>
      <c r="BQT135" s="88"/>
      <c r="BQU135" s="88"/>
      <c r="BQV135" s="88"/>
      <c r="BQW135" s="88"/>
      <c r="BQX135" s="88"/>
      <c r="BQY135" s="88"/>
      <c r="BQZ135" s="88"/>
      <c r="BRA135" s="88"/>
      <c r="BRB135" s="88"/>
      <c r="BRC135" s="88"/>
      <c r="BRD135" s="88"/>
      <c r="BRE135" s="88"/>
      <c r="BRF135" s="88"/>
      <c r="BRG135" s="88"/>
      <c r="BRH135" s="88"/>
      <c r="BRI135" s="88"/>
      <c r="BRJ135" s="88"/>
      <c r="BRK135" s="88"/>
      <c r="BRL135" s="88"/>
      <c r="BRM135" s="88"/>
      <c r="BRN135" s="88"/>
      <c r="BRO135" s="88"/>
      <c r="BRP135" s="88"/>
      <c r="BRQ135" s="88"/>
      <c r="BRR135" s="88"/>
      <c r="BRS135" s="88"/>
      <c r="BRT135" s="88"/>
      <c r="BRU135" s="88"/>
      <c r="BRV135" s="88"/>
      <c r="BRW135" s="88"/>
      <c r="BRX135" s="88"/>
      <c r="BRY135" s="88"/>
      <c r="BRZ135" s="88"/>
      <c r="BSA135" s="88"/>
      <c r="BSB135" s="88"/>
      <c r="BSC135" s="88"/>
      <c r="BSD135" s="88"/>
      <c r="BSE135" s="88"/>
      <c r="BSF135" s="88"/>
      <c r="BSG135" s="88"/>
      <c r="BSH135" s="88"/>
      <c r="BSI135" s="88"/>
      <c r="BSJ135" s="88"/>
      <c r="BSK135" s="88"/>
      <c r="BSL135" s="88"/>
      <c r="BSM135" s="88"/>
      <c r="BSN135" s="88"/>
      <c r="BSO135" s="88"/>
      <c r="BSP135" s="88"/>
      <c r="BSQ135" s="88"/>
      <c r="BSR135" s="88"/>
      <c r="BSS135" s="88"/>
      <c r="BST135" s="88"/>
      <c r="BSU135" s="88"/>
      <c r="BSV135" s="88"/>
      <c r="BSW135" s="88"/>
      <c r="BSX135" s="88"/>
      <c r="BSY135" s="88"/>
      <c r="BSZ135" s="88"/>
      <c r="BTA135" s="88"/>
      <c r="BTB135" s="88"/>
      <c r="BTC135" s="88"/>
      <c r="BTD135" s="88"/>
      <c r="BTE135" s="88"/>
      <c r="BTF135" s="88"/>
      <c r="BTG135" s="88"/>
      <c r="BTH135" s="88"/>
      <c r="BTI135" s="88"/>
      <c r="BTJ135" s="88"/>
      <c r="BTK135" s="88"/>
      <c r="BTL135" s="88"/>
      <c r="BTM135" s="88"/>
      <c r="BTN135" s="88"/>
      <c r="BTO135" s="88"/>
      <c r="BTP135" s="88"/>
      <c r="BTQ135" s="88"/>
      <c r="BTR135" s="88"/>
      <c r="BTS135" s="88"/>
      <c r="BTT135" s="88"/>
      <c r="BTU135" s="88"/>
      <c r="BTV135" s="88"/>
      <c r="BTW135" s="88"/>
      <c r="BTX135" s="88"/>
      <c r="BTY135" s="88"/>
      <c r="BTZ135" s="88"/>
      <c r="BUA135" s="88"/>
      <c r="BUB135" s="88"/>
      <c r="BUC135" s="88"/>
      <c r="BUD135" s="88"/>
      <c r="BUE135" s="88"/>
      <c r="BUF135" s="88"/>
      <c r="BUG135" s="88"/>
      <c r="BUH135" s="88"/>
      <c r="BUI135" s="88"/>
      <c r="BUJ135" s="88"/>
      <c r="BUK135" s="88"/>
      <c r="BUL135" s="88"/>
      <c r="BUM135" s="88"/>
      <c r="BUN135" s="88"/>
      <c r="BUO135" s="88"/>
      <c r="BUP135" s="88"/>
      <c r="BUQ135" s="88"/>
      <c r="BUR135" s="88"/>
      <c r="BUS135" s="88"/>
      <c r="BUT135" s="88"/>
      <c r="BUU135" s="88"/>
      <c r="BUV135" s="88"/>
      <c r="BUW135" s="88"/>
      <c r="BUX135" s="88"/>
      <c r="BUY135" s="88"/>
      <c r="BUZ135" s="88"/>
      <c r="BVA135" s="88"/>
      <c r="BVB135" s="88"/>
      <c r="BVC135" s="88"/>
      <c r="BVD135" s="88"/>
      <c r="BVE135" s="88"/>
      <c r="BVF135" s="88"/>
      <c r="BVG135" s="88"/>
      <c r="BVH135" s="88"/>
      <c r="BVI135" s="88"/>
      <c r="BVJ135" s="88"/>
      <c r="BVK135" s="88"/>
      <c r="BVL135" s="88"/>
      <c r="BVM135" s="88"/>
      <c r="BVN135" s="88"/>
      <c r="BVO135" s="88"/>
      <c r="BVP135" s="88"/>
      <c r="BVQ135" s="88"/>
      <c r="BVR135" s="88"/>
      <c r="BVS135" s="88"/>
      <c r="BVT135" s="88"/>
      <c r="BVU135" s="88"/>
      <c r="BVV135" s="88"/>
      <c r="BVW135" s="88"/>
      <c r="BVX135" s="88"/>
      <c r="BVY135" s="88"/>
      <c r="BVZ135" s="88"/>
      <c r="BWA135" s="88"/>
      <c r="BWB135" s="88"/>
      <c r="BWC135" s="88"/>
      <c r="BWD135" s="88"/>
      <c r="BWE135" s="88"/>
      <c r="BWF135" s="88"/>
      <c r="BWG135" s="88"/>
      <c r="BWH135" s="88"/>
      <c r="BWI135" s="88"/>
      <c r="BWJ135" s="88"/>
      <c r="BWK135" s="88"/>
      <c r="BWL135" s="88"/>
      <c r="BWM135" s="88"/>
      <c r="BWN135" s="88"/>
      <c r="BWO135" s="88"/>
      <c r="BWP135" s="88"/>
      <c r="BWQ135" s="88"/>
      <c r="BWR135" s="88"/>
      <c r="BWS135" s="88"/>
      <c r="BWT135" s="88"/>
      <c r="BWU135" s="88"/>
      <c r="BWV135" s="88"/>
      <c r="BWW135" s="88"/>
      <c r="BWX135" s="88"/>
      <c r="BWY135" s="88"/>
      <c r="BWZ135" s="88"/>
      <c r="BXA135" s="88"/>
      <c r="BXB135" s="88"/>
      <c r="BXC135" s="88"/>
      <c r="BXD135" s="88"/>
      <c r="BXE135" s="88"/>
      <c r="BXF135" s="88"/>
      <c r="BXG135" s="88"/>
      <c r="BXH135" s="88"/>
      <c r="BXI135" s="88"/>
      <c r="BXJ135" s="88"/>
      <c r="BXK135" s="88"/>
      <c r="BXL135" s="88"/>
      <c r="BXM135" s="88"/>
      <c r="BXN135" s="88"/>
      <c r="BXO135" s="88"/>
      <c r="BXP135" s="88"/>
      <c r="BXQ135" s="88"/>
      <c r="BXR135" s="88"/>
      <c r="BXS135" s="88"/>
      <c r="BXT135" s="88"/>
      <c r="BXU135" s="88"/>
      <c r="BXV135" s="88"/>
      <c r="BXW135" s="88"/>
      <c r="BXX135" s="88"/>
      <c r="BXY135" s="88"/>
      <c r="BXZ135" s="88"/>
      <c r="BYA135" s="88"/>
      <c r="BYB135" s="88"/>
      <c r="BYC135" s="88"/>
      <c r="BYD135" s="88"/>
      <c r="BYE135" s="88"/>
      <c r="BYF135" s="88"/>
      <c r="BYG135" s="88"/>
      <c r="BYH135" s="88"/>
      <c r="BYI135" s="88"/>
      <c r="BYJ135" s="88"/>
      <c r="BYK135" s="88"/>
      <c r="BYL135" s="88"/>
      <c r="BYM135" s="88"/>
      <c r="BYN135" s="88"/>
      <c r="BYO135" s="88"/>
      <c r="BYP135" s="88"/>
      <c r="BYQ135" s="88"/>
      <c r="BYR135" s="88"/>
      <c r="BYS135" s="88"/>
      <c r="BYT135" s="88"/>
      <c r="BYU135" s="88"/>
      <c r="BYV135" s="88"/>
      <c r="BYW135" s="88"/>
      <c r="BYX135" s="88"/>
      <c r="BYY135" s="88"/>
      <c r="BYZ135" s="88"/>
      <c r="BZA135" s="88"/>
      <c r="BZB135" s="88"/>
      <c r="BZC135" s="88"/>
      <c r="BZD135" s="88"/>
      <c r="BZE135" s="88"/>
      <c r="BZF135" s="88"/>
      <c r="BZG135" s="88"/>
      <c r="BZH135" s="88"/>
      <c r="BZI135" s="88"/>
      <c r="BZJ135" s="88"/>
      <c r="BZK135" s="88"/>
      <c r="BZL135" s="88"/>
      <c r="BZM135" s="88"/>
      <c r="BZN135" s="88"/>
      <c r="BZO135" s="88"/>
      <c r="BZP135" s="88"/>
      <c r="BZQ135" s="88"/>
      <c r="BZR135" s="88"/>
      <c r="BZS135" s="88"/>
      <c r="BZT135" s="88"/>
      <c r="BZU135" s="88"/>
      <c r="BZV135" s="88"/>
      <c r="BZW135" s="88"/>
      <c r="BZX135" s="88"/>
      <c r="BZY135" s="88"/>
      <c r="BZZ135" s="88"/>
      <c r="CAA135" s="88"/>
      <c r="CAB135" s="88"/>
      <c r="CAC135" s="88"/>
      <c r="CAD135" s="88"/>
      <c r="CAE135" s="88"/>
      <c r="CAF135" s="88"/>
      <c r="CAG135" s="88"/>
      <c r="CAH135" s="88"/>
      <c r="CAI135" s="88"/>
      <c r="CAJ135" s="88"/>
      <c r="CAK135" s="88"/>
      <c r="CAL135" s="88"/>
      <c r="CAM135" s="88"/>
      <c r="CAN135" s="88"/>
      <c r="CAO135" s="88"/>
      <c r="CAP135" s="88"/>
      <c r="CAQ135" s="88"/>
      <c r="CAR135" s="88"/>
      <c r="CAS135" s="88"/>
      <c r="CAT135" s="88"/>
      <c r="CAU135" s="88"/>
      <c r="CAV135" s="88"/>
      <c r="CAW135" s="88"/>
      <c r="CAX135" s="88"/>
      <c r="CAY135" s="88"/>
      <c r="CAZ135" s="88"/>
      <c r="CBA135" s="88"/>
      <c r="CBB135" s="88"/>
      <c r="CBC135" s="88"/>
      <c r="CBD135" s="88"/>
      <c r="CBE135" s="88"/>
      <c r="CBF135" s="88"/>
      <c r="CBG135" s="88"/>
      <c r="CBH135" s="88"/>
      <c r="CBI135" s="88"/>
      <c r="CBJ135" s="88"/>
      <c r="CBK135" s="88"/>
      <c r="CBL135" s="88"/>
      <c r="CBM135" s="88"/>
      <c r="CBN135" s="88"/>
      <c r="CBO135" s="88"/>
      <c r="CBP135" s="88"/>
      <c r="CBQ135" s="88"/>
      <c r="CBR135" s="88"/>
      <c r="CBS135" s="88"/>
      <c r="CBT135" s="88"/>
      <c r="CBU135" s="88"/>
      <c r="CBV135" s="88"/>
      <c r="CBW135" s="88"/>
      <c r="CBX135" s="88"/>
      <c r="CBY135" s="88"/>
      <c r="CBZ135" s="88"/>
      <c r="CCA135" s="88"/>
      <c r="CCB135" s="88"/>
      <c r="CCC135" s="88"/>
      <c r="CCD135" s="88"/>
      <c r="CCE135" s="88"/>
      <c r="CCF135" s="88"/>
      <c r="CCG135" s="88"/>
      <c r="CCH135" s="88"/>
      <c r="CCI135" s="88"/>
      <c r="CCJ135" s="88"/>
      <c r="CCK135" s="88"/>
      <c r="CCL135" s="88"/>
      <c r="CCM135" s="88"/>
      <c r="CCN135" s="88"/>
      <c r="CCO135" s="88"/>
      <c r="CCP135" s="88"/>
      <c r="CCQ135" s="88"/>
      <c r="CCR135" s="88"/>
      <c r="CCS135" s="88"/>
      <c r="CCT135" s="88"/>
      <c r="CCU135" s="88"/>
      <c r="CCV135" s="88"/>
      <c r="CCW135" s="88"/>
      <c r="CCX135" s="88"/>
      <c r="CCY135" s="88"/>
      <c r="CCZ135" s="88"/>
      <c r="CDA135" s="88"/>
      <c r="CDB135" s="88"/>
      <c r="CDC135" s="88"/>
      <c r="CDD135" s="88"/>
      <c r="CDE135" s="88"/>
      <c r="CDF135" s="88"/>
      <c r="CDG135" s="88"/>
      <c r="CDH135" s="88"/>
      <c r="CDI135" s="88"/>
      <c r="CDJ135" s="88"/>
      <c r="CDK135" s="88"/>
      <c r="CDL135" s="88"/>
      <c r="CDM135" s="88"/>
      <c r="CDN135" s="88"/>
      <c r="CDO135" s="88"/>
      <c r="CDP135" s="88"/>
      <c r="CDQ135" s="88"/>
      <c r="CDR135" s="88"/>
      <c r="CDS135" s="88"/>
      <c r="CDT135" s="88"/>
      <c r="CDU135" s="88"/>
      <c r="CDV135" s="88"/>
      <c r="CDW135" s="88"/>
      <c r="CDX135" s="88"/>
      <c r="CDY135" s="88"/>
      <c r="CDZ135" s="88"/>
      <c r="CEA135" s="88"/>
      <c r="CEB135" s="88"/>
      <c r="CEC135" s="88"/>
      <c r="CED135" s="88"/>
      <c r="CEE135" s="88"/>
      <c r="CEF135" s="88"/>
      <c r="CEG135" s="88"/>
      <c r="CEH135" s="88"/>
      <c r="CEI135" s="88"/>
      <c r="CEJ135" s="88"/>
      <c r="CEK135" s="88"/>
    </row>
    <row r="136" spans="1:2169" s="63" customFormat="1">
      <c r="A136" s="677" t="s">
        <v>14698</v>
      </c>
      <c r="B136" s="677" t="s">
        <v>14699</v>
      </c>
      <c r="C136" s="68" t="str">
        <f>IF('page 2'!$O$4="","",IF('page 2'!$O$4=Gestion!A136,1,0))</f>
        <v/>
      </c>
      <c r="D136" s="68" t="str">
        <f>IF('page 2'!$O$5="","",IF('page 2'!$O$5=Gestion!A136,1,0))</f>
        <v/>
      </c>
      <c r="E136" s="68" t="str">
        <f>IF('page 2'!$O$6="","",IF('page 2'!$O$6=Gestion!A136,1,0))</f>
        <v/>
      </c>
      <c r="F136" s="68" t="str">
        <f>IF('page 2'!$O$7="","",IF('page 2'!$O$7=Gestion!A136,1,0))</f>
        <v/>
      </c>
      <c r="G136" s="68" t="str">
        <f>IF('page 2'!$O$8="","",IF('page 2'!$O$8=Gestion!A136,1,0))</f>
        <v/>
      </c>
      <c r="H136" s="68" t="str">
        <f>IF('page 2'!$O$9="","",IF('page 2'!$O$9=Gestion!A136,1,0))</f>
        <v/>
      </c>
      <c r="I136" s="68" t="str">
        <f>IF('page 2'!$O$10="","",IF('page 2'!$O$10=Gestion!A136,1,0))</f>
        <v/>
      </c>
      <c r="J136" s="68" t="str">
        <f>IF('page 2'!$O$11="","",IF('page 2'!$O$11=Gestion!A136,1,0))</f>
        <v/>
      </c>
      <c r="K136" s="68" t="str">
        <f>IF('page 2'!$O$12="","",IF('page 2'!$O$12=Gestion!A136,1,0))</f>
        <v/>
      </c>
      <c r="L136" s="68" t="str">
        <f>IF('page 2'!$O$13="","",IF('page 2'!$O$13=Gestion!A136,1,0))</f>
        <v/>
      </c>
      <c r="M136" s="68" t="str">
        <f>IF('page 2'!$O$14="","",IF('page 2'!$O$14=Gestion!A136,1,0))</f>
        <v/>
      </c>
      <c r="N136" s="68" t="str">
        <f>IF('page 2'!$O$15="","",IF('page 2'!$O$15=Gestion!A136,1,0))</f>
        <v/>
      </c>
      <c r="O136" s="68" t="str">
        <f>IF('page 2'!$O$16="","",IF('page 2'!$O$16=Gestion!A136,1,0))</f>
        <v/>
      </c>
      <c r="P136" s="68" t="str">
        <f>IF('page 2'!$O$17="","",IF('page 2'!$O$17=Gestion!A136,1,0))</f>
        <v/>
      </c>
      <c r="Q136" s="68" t="str">
        <f>IF('page 2'!$O$18="","",IF('page 2'!$O$18=Gestion!A136,1,0))</f>
        <v/>
      </c>
      <c r="R136" s="68" t="str">
        <f>IF('page 2'!$O$19="","",IF('page 2'!$O$19=Gestion!A136,1,0))</f>
        <v/>
      </c>
      <c r="S136" s="68" t="str">
        <f>IF('page 2'!$O$20="","",IF('page 2'!$O$20=Gestion!A136,1,0))</f>
        <v/>
      </c>
      <c r="T136" s="68" t="str">
        <f>IF('page 2'!$O$25="","",IF('page 2'!$O$25=Gestion!A136,1,0))</f>
        <v/>
      </c>
      <c r="U136" s="68" t="str">
        <f>IF('page 2'!$O$26="","",IF('page 2'!$O$26=Gestion!A136,1,0))</f>
        <v/>
      </c>
      <c r="V136" s="68" t="str">
        <f>IF('page 2'!$O$27="","",IF('page 2'!$O$27=Gestion!A136,1,0))</f>
        <v/>
      </c>
      <c r="W136" s="722">
        <f t="shared" ref="W136" si="21">SUM(C136:V136)</f>
        <v>0</v>
      </c>
      <c r="X136" s="714"/>
      <c r="Y136" s="68"/>
      <c r="Z136" s="68"/>
      <c r="AA136" s="68"/>
      <c r="AB136" s="68"/>
      <c r="AC136" s="68"/>
      <c r="AD136" s="68"/>
      <c r="AP136" s="469"/>
      <c r="AQ136" s="469"/>
      <c r="AR136" s="469"/>
      <c r="AS136" s="602"/>
      <c r="AT136" s="602"/>
      <c r="AU136" s="602"/>
      <c r="AV136" s="602"/>
      <c r="AW136" s="602"/>
      <c r="AX136" s="602"/>
      <c r="AY136" s="602"/>
      <c r="AZ136" s="602"/>
      <c r="BA136" s="602"/>
      <c r="BB136" s="602"/>
      <c r="BC136" s="602"/>
      <c r="BD136" s="602"/>
      <c r="BE136" s="602"/>
      <c r="BF136" s="602"/>
      <c r="BG136" s="602"/>
      <c r="BH136" s="602"/>
      <c r="BI136" s="602"/>
      <c r="BJ136" s="602"/>
      <c r="BK136" s="602"/>
      <c r="BL136" s="602"/>
      <c r="BM136" s="602"/>
      <c r="BN136" s="602"/>
      <c r="BO136" s="602"/>
      <c r="BP136" s="602"/>
      <c r="BQ136" s="602"/>
      <c r="BR136" s="602"/>
      <c r="BS136" s="602"/>
      <c r="BT136" s="602"/>
      <c r="BU136" s="602"/>
      <c r="BV136" s="602"/>
      <c r="BW136" s="602"/>
      <c r="BX136" s="602"/>
      <c r="BY136" s="602"/>
      <c r="BZ136" s="602"/>
      <c r="CA136" s="602"/>
      <c r="CB136" s="602"/>
      <c r="CC136" s="602"/>
      <c r="CD136" s="602"/>
      <c r="CE136" s="602"/>
      <c r="CF136" s="602"/>
      <c r="CG136" s="602"/>
      <c r="CH136" s="602"/>
      <c r="CI136" s="602"/>
      <c r="CJ136" s="602"/>
      <c r="CK136" s="602"/>
      <c r="CL136" s="602"/>
      <c r="CM136" s="602"/>
      <c r="CN136" s="602"/>
      <c r="CO136" s="602"/>
      <c r="CP136" s="602"/>
      <c r="CQ136" s="602"/>
      <c r="CR136" s="602"/>
      <c r="CS136" s="602"/>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c r="HF136" s="88"/>
      <c r="HG136" s="88"/>
      <c r="HH136" s="88"/>
      <c r="HI136" s="88"/>
      <c r="HJ136" s="88"/>
      <c r="HK136" s="88"/>
      <c r="HL136" s="88"/>
      <c r="HM136" s="88"/>
      <c r="HN136" s="88"/>
      <c r="HO136" s="88"/>
      <c r="HP136" s="88"/>
      <c r="HQ136" s="88"/>
      <c r="HR136" s="88"/>
      <c r="HS136" s="88"/>
      <c r="HT136" s="88"/>
      <c r="HU136" s="88"/>
      <c r="HV136" s="88"/>
      <c r="HW136" s="88"/>
      <c r="HX136" s="88"/>
      <c r="HY136" s="88"/>
      <c r="HZ136" s="88"/>
      <c r="IA136" s="88"/>
      <c r="IB136" s="88"/>
      <c r="IC136" s="88"/>
      <c r="ID136" s="88"/>
      <c r="IE136" s="88"/>
      <c r="IF136" s="88"/>
      <c r="IG136" s="88"/>
      <c r="IH136" s="88"/>
      <c r="II136" s="88"/>
      <c r="IJ136" s="88"/>
      <c r="IK136" s="88"/>
      <c r="IL136" s="88"/>
      <c r="IM136" s="88"/>
      <c r="IN136" s="88"/>
      <c r="IO136" s="88"/>
      <c r="IP136" s="88"/>
      <c r="IQ136" s="88"/>
      <c r="IR136" s="88"/>
      <c r="IS136" s="88"/>
      <c r="IT136" s="88"/>
      <c r="IU136" s="88"/>
      <c r="IV136" s="88"/>
      <c r="IW136" s="88"/>
      <c r="IX136" s="88"/>
      <c r="IY136" s="88"/>
      <c r="IZ136" s="88"/>
      <c r="JA136" s="88"/>
      <c r="JB136" s="88"/>
      <c r="JC136" s="88"/>
      <c r="JD136" s="88"/>
      <c r="JE136" s="88"/>
      <c r="JF136" s="88"/>
      <c r="JG136" s="88"/>
      <c r="JH136" s="88"/>
      <c r="JI136" s="88"/>
      <c r="JJ136" s="88"/>
      <c r="JK136" s="88"/>
      <c r="JL136" s="88"/>
      <c r="JM136" s="88"/>
      <c r="JN136" s="88"/>
      <c r="JO136" s="88"/>
      <c r="JP136" s="88"/>
      <c r="JQ136" s="88"/>
      <c r="JR136" s="88"/>
      <c r="JS136" s="88"/>
      <c r="JT136" s="88"/>
      <c r="JU136" s="88"/>
      <c r="JV136" s="88"/>
      <c r="JW136" s="88"/>
      <c r="JX136" s="88"/>
      <c r="JY136" s="88"/>
      <c r="JZ136" s="88"/>
      <c r="KA136" s="88"/>
      <c r="KB136" s="88"/>
      <c r="KC136" s="88"/>
      <c r="KD136" s="88"/>
      <c r="KE136" s="88"/>
      <c r="KF136" s="88"/>
      <c r="KG136" s="88"/>
      <c r="KH136" s="88"/>
      <c r="KI136" s="88"/>
      <c r="KJ136" s="88"/>
      <c r="KK136" s="88"/>
      <c r="KL136" s="88"/>
      <c r="KM136" s="88"/>
      <c r="KN136" s="88"/>
      <c r="KO136" s="88"/>
      <c r="KP136" s="88"/>
      <c r="KQ136" s="88"/>
      <c r="KR136" s="88"/>
      <c r="KS136" s="88"/>
      <c r="KT136" s="88"/>
      <c r="KU136" s="88"/>
      <c r="KV136" s="88"/>
      <c r="KW136" s="88"/>
      <c r="KX136" s="88"/>
      <c r="KY136" s="88"/>
      <c r="KZ136" s="88"/>
      <c r="LA136" s="88"/>
      <c r="LB136" s="88"/>
      <c r="LC136" s="88"/>
      <c r="LD136" s="88"/>
      <c r="LE136" s="88"/>
      <c r="LF136" s="88"/>
      <c r="LG136" s="88"/>
      <c r="LH136" s="88"/>
      <c r="LI136" s="88"/>
      <c r="LJ136" s="88"/>
      <c r="LK136" s="88"/>
      <c r="LL136" s="88"/>
      <c r="LM136" s="88"/>
      <c r="LN136" s="88"/>
      <c r="LO136" s="88"/>
      <c r="LP136" s="88"/>
      <c r="LQ136" s="88"/>
      <c r="LR136" s="88"/>
      <c r="LS136" s="88"/>
      <c r="LT136" s="88"/>
      <c r="LU136" s="88"/>
      <c r="LV136" s="88"/>
      <c r="LW136" s="88"/>
      <c r="LX136" s="88"/>
      <c r="LY136" s="88"/>
      <c r="LZ136" s="88"/>
      <c r="MA136" s="88"/>
      <c r="MB136" s="88"/>
      <c r="MC136" s="88"/>
      <c r="MD136" s="88"/>
      <c r="ME136" s="88"/>
      <c r="MF136" s="88"/>
      <c r="MG136" s="88"/>
      <c r="MH136" s="88"/>
      <c r="MI136" s="88"/>
      <c r="MJ136" s="88"/>
      <c r="MK136" s="88"/>
      <c r="ML136" s="88"/>
      <c r="MM136" s="88"/>
      <c r="MN136" s="88"/>
      <c r="MO136" s="88"/>
      <c r="MP136" s="88"/>
      <c r="MQ136" s="88"/>
      <c r="MR136" s="88"/>
      <c r="MS136" s="88"/>
      <c r="MT136" s="88"/>
      <c r="MU136" s="88"/>
      <c r="MV136" s="88"/>
      <c r="MW136" s="88"/>
      <c r="MX136" s="88"/>
      <c r="MY136" s="88"/>
      <c r="MZ136" s="88"/>
      <c r="NA136" s="88"/>
      <c r="NB136" s="88"/>
      <c r="NC136" s="88"/>
      <c r="ND136" s="88"/>
      <c r="NE136" s="88"/>
      <c r="NF136" s="88"/>
      <c r="NG136" s="88"/>
      <c r="NH136" s="88"/>
      <c r="NI136" s="88"/>
      <c r="NJ136" s="88"/>
      <c r="NK136" s="88"/>
      <c r="NL136" s="88"/>
      <c r="NM136" s="88"/>
      <c r="NN136" s="88"/>
      <c r="NO136" s="88"/>
      <c r="NP136" s="88"/>
      <c r="NQ136" s="88"/>
      <c r="NR136" s="88"/>
      <c r="NS136" s="88"/>
      <c r="NT136" s="88"/>
      <c r="NU136" s="88"/>
      <c r="NV136" s="88"/>
      <c r="NW136" s="88"/>
      <c r="NX136" s="88"/>
      <c r="NY136" s="88"/>
      <c r="NZ136" s="88"/>
      <c r="OA136" s="88"/>
      <c r="OB136" s="88"/>
      <c r="OC136" s="88"/>
      <c r="OD136" s="88"/>
      <c r="OE136" s="88"/>
      <c r="OF136" s="88"/>
      <c r="OG136" s="88"/>
      <c r="OH136" s="88"/>
      <c r="OI136" s="88"/>
      <c r="OJ136" s="88"/>
      <c r="OK136" s="88"/>
      <c r="OL136" s="88"/>
      <c r="OM136" s="88"/>
      <c r="ON136" s="88"/>
      <c r="OO136" s="88"/>
      <c r="OP136" s="88"/>
      <c r="OQ136" s="88"/>
      <c r="OR136" s="88"/>
      <c r="OS136" s="88"/>
      <c r="OT136" s="88"/>
      <c r="OU136" s="88"/>
      <c r="OV136" s="88"/>
      <c r="OW136" s="88"/>
      <c r="OX136" s="88"/>
      <c r="OY136" s="88"/>
      <c r="OZ136" s="88"/>
      <c r="PA136" s="88"/>
      <c r="PB136" s="88"/>
      <c r="PC136" s="88"/>
      <c r="PD136" s="88"/>
      <c r="PE136" s="88"/>
      <c r="PF136" s="88"/>
      <c r="PG136" s="88"/>
      <c r="PH136" s="88"/>
      <c r="PI136" s="88"/>
      <c r="PJ136" s="88"/>
      <c r="PK136" s="88"/>
      <c r="PL136" s="88"/>
      <c r="PM136" s="88"/>
      <c r="PN136" s="88"/>
      <c r="PO136" s="88"/>
      <c r="PP136" s="88"/>
      <c r="PQ136" s="88"/>
      <c r="PR136" s="88"/>
      <c r="PS136" s="88"/>
      <c r="PT136" s="88"/>
      <c r="PU136" s="88"/>
      <c r="PV136" s="88"/>
      <c r="PW136" s="88"/>
      <c r="PX136" s="88"/>
      <c r="PY136" s="88"/>
      <c r="PZ136" s="88"/>
      <c r="QA136" s="88"/>
      <c r="QB136" s="88"/>
      <c r="QC136" s="88"/>
      <c r="QD136" s="88"/>
      <c r="QE136" s="88"/>
      <c r="QF136" s="88"/>
      <c r="QG136" s="88"/>
      <c r="QH136" s="88"/>
      <c r="QI136" s="88"/>
      <c r="QJ136" s="88"/>
      <c r="QK136" s="88"/>
      <c r="QL136" s="88"/>
      <c r="QM136" s="88"/>
      <c r="QN136" s="88"/>
      <c r="QO136" s="88"/>
      <c r="QP136" s="88"/>
      <c r="QQ136" s="88"/>
      <c r="QR136" s="88"/>
      <c r="QS136" s="88"/>
      <c r="QT136" s="88"/>
      <c r="QU136" s="88"/>
      <c r="QV136" s="88"/>
      <c r="QW136" s="88"/>
      <c r="QX136" s="88"/>
      <c r="QY136" s="88"/>
      <c r="QZ136" s="88"/>
      <c r="RA136" s="88"/>
      <c r="RB136" s="88"/>
      <c r="RC136" s="88"/>
      <c r="RD136" s="88"/>
      <c r="RE136" s="88"/>
      <c r="RF136" s="88"/>
      <c r="RG136" s="88"/>
      <c r="RH136" s="88"/>
      <c r="RI136" s="88"/>
      <c r="RJ136" s="88"/>
      <c r="RK136" s="88"/>
      <c r="RL136" s="88"/>
      <c r="RM136" s="88"/>
      <c r="RN136" s="88"/>
      <c r="RO136" s="88"/>
      <c r="RP136" s="88"/>
      <c r="RQ136" s="88"/>
      <c r="RR136" s="88"/>
      <c r="RS136" s="88"/>
      <c r="RT136" s="88"/>
      <c r="RU136" s="88"/>
      <c r="RV136" s="88"/>
      <c r="RW136" s="88"/>
      <c r="RX136" s="88"/>
      <c r="RY136" s="88"/>
      <c r="RZ136" s="88"/>
      <c r="SA136" s="88"/>
      <c r="SB136" s="88"/>
      <c r="SC136" s="88"/>
      <c r="SD136" s="88"/>
      <c r="SE136" s="88"/>
      <c r="SF136" s="88"/>
      <c r="SG136" s="88"/>
      <c r="SH136" s="88"/>
      <c r="SI136" s="88"/>
      <c r="SJ136" s="88"/>
      <c r="SK136" s="88"/>
      <c r="SL136" s="88"/>
      <c r="SM136" s="88"/>
      <c r="SN136" s="88"/>
      <c r="SO136" s="88"/>
      <c r="SP136" s="88"/>
      <c r="SQ136" s="88"/>
      <c r="SR136" s="88"/>
      <c r="SS136" s="88"/>
      <c r="ST136" s="88"/>
      <c r="SU136" s="88"/>
      <c r="SV136" s="88"/>
      <c r="SW136" s="88"/>
      <c r="SX136" s="88"/>
      <c r="SY136" s="88"/>
      <c r="SZ136" s="88"/>
      <c r="TA136" s="88"/>
      <c r="TB136" s="88"/>
      <c r="TC136" s="88"/>
      <c r="TD136" s="88"/>
      <c r="TE136" s="88"/>
      <c r="TF136" s="88"/>
      <c r="TG136" s="88"/>
      <c r="TH136" s="88"/>
      <c r="TI136" s="88"/>
      <c r="TJ136" s="88"/>
      <c r="TK136" s="88"/>
      <c r="TL136" s="88"/>
      <c r="TM136" s="88"/>
      <c r="TN136" s="88"/>
      <c r="TO136" s="88"/>
      <c r="TP136" s="88"/>
      <c r="TQ136" s="88"/>
      <c r="TR136" s="88"/>
      <c r="TS136" s="88"/>
      <c r="TT136" s="88"/>
      <c r="TU136" s="88"/>
      <c r="TV136" s="88"/>
      <c r="TW136" s="88"/>
      <c r="TX136" s="88"/>
      <c r="TY136" s="88"/>
      <c r="TZ136" s="88"/>
      <c r="UA136" s="88"/>
      <c r="UB136" s="88"/>
      <c r="UC136" s="88"/>
      <c r="UD136" s="88"/>
      <c r="UE136" s="88"/>
      <c r="UF136" s="88"/>
      <c r="UG136" s="88"/>
      <c r="UH136" s="88"/>
      <c r="UI136" s="88"/>
      <c r="UJ136" s="88"/>
      <c r="UK136" s="88"/>
      <c r="UL136" s="88"/>
      <c r="UM136" s="88"/>
      <c r="UN136" s="88"/>
      <c r="UO136" s="88"/>
      <c r="UP136" s="88"/>
      <c r="UQ136" s="88"/>
      <c r="UR136" s="88"/>
      <c r="US136" s="88"/>
      <c r="UT136" s="88"/>
      <c r="UU136" s="88"/>
      <c r="UV136" s="88"/>
      <c r="UW136" s="88"/>
      <c r="UX136" s="88"/>
      <c r="UY136" s="88"/>
      <c r="UZ136" s="88"/>
      <c r="VA136" s="88"/>
      <c r="VB136" s="88"/>
      <c r="VC136" s="88"/>
      <c r="VD136" s="88"/>
      <c r="VE136" s="88"/>
      <c r="VF136" s="88"/>
      <c r="VG136" s="88"/>
      <c r="VH136" s="88"/>
      <c r="VI136" s="88"/>
      <c r="VJ136" s="88"/>
      <c r="VK136" s="88"/>
      <c r="VL136" s="88"/>
      <c r="VM136" s="88"/>
      <c r="VN136" s="88"/>
      <c r="VO136" s="88"/>
      <c r="VP136" s="88"/>
      <c r="VQ136" s="88"/>
      <c r="VR136" s="88"/>
      <c r="VS136" s="88"/>
      <c r="VT136" s="88"/>
      <c r="VU136" s="88"/>
      <c r="VV136" s="88"/>
      <c r="VW136" s="88"/>
      <c r="VX136" s="88"/>
      <c r="VY136" s="88"/>
      <c r="VZ136" s="88"/>
      <c r="WA136" s="88"/>
      <c r="WB136" s="88"/>
      <c r="WC136" s="88"/>
      <c r="WD136" s="88"/>
      <c r="WE136" s="88"/>
      <c r="WF136" s="88"/>
      <c r="WG136" s="88"/>
      <c r="WH136" s="88"/>
      <c r="WI136" s="88"/>
      <c r="WJ136" s="88"/>
      <c r="WK136" s="88"/>
      <c r="WL136" s="88"/>
      <c r="WM136" s="88"/>
      <c r="WN136" s="88"/>
      <c r="WO136" s="88"/>
      <c r="WP136" s="88"/>
      <c r="WQ136" s="88"/>
      <c r="WR136" s="88"/>
      <c r="WS136" s="88"/>
      <c r="WT136" s="88"/>
      <c r="WU136" s="88"/>
      <c r="WV136" s="88"/>
      <c r="WW136" s="88"/>
      <c r="WX136" s="88"/>
      <c r="WY136" s="88"/>
      <c r="WZ136" s="88"/>
      <c r="XA136" s="88"/>
      <c r="XB136" s="88"/>
      <c r="XC136" s="88"/>
      <c r="XD136" s="88"/>
      <c r="XE136" s="88"/>
      <c r="XF136" s="88"/>
      <c r="XG136" s="88"/>
      <c r="XH136" s="88"/>
      <c r="XI136" s="88"/>
      <c r="XJ136" s="88"/>
      <c r="XK136" s="88"/>
      <c r="XL136" s="88"/>
      <c r="XM136" s="88"/>
      <c r="XN136" s="88"/>
      <c r="XO136" s="88"/>
      <c r="XP136" s="88"/>
      <c r="XQ136" s="88"/>
      <c r="XR136" s="88"/>
      <c r="XS136" s="88"/>
      <c r="XT136" s="88"/>
      <c r="XU136" s="88"/>
      <c r="XV136" s="88"/>
      <c r="XW136" s="88"/>
      <c r="XX136" s="88"/>
      <c r="XY136" s="88"/>
      <c r="XZ136" s="88"/>
      <c r="YA136" s="88"/>
      <c r="YB136" s="88"/>
      <c r="YC136" s="88"/>
      <c r="YD136" s="88"/>
      <c r="YE136" s="88"/>
      <c r="YF136" s="88"/>
      <c r="YG136" s="88"/>
      <c r="YH136" s="88"/>
      <c r="YI136" s="88"/>
      <c r="YJ136" s="88"/>
      <c r="YK136" s="88"/>
      <c r="YL136" s="88"/>
      <c r="YM136" s="88"/>
      <c r="YN136" s="88"/>
      <c r="YO136" s="88"/>
      <c r="YP136" s="88"/>
      <c r="YQ136" s="88"/>
      <c r="YR136" s="88"/>
      <c r="YS136" s="88"/>
      <c r="YT136" s="88"/>
      <c r="YU136" s="88"/>
      <c r="YV136" s="88"/>
      <c r="YW136" s="88"/>
      <c r="YX136" s="88"/>
      <c r="YY136" s="88"/>
      <c r="YZ136" s="88"/>
      <c r="ZA136" s="88"/>
      <c r="ZB136" s="88"/>
      <c r="ZC136" s="88"/>
      <c r="ZD136" s="88"/>
      <c r="ZE136" s="88"/>
      <c r="ZF136" s="88"/>
      <c r="ZG136" s="88"/>
      <c r="ZH136" s="88"/>
      <c r="ZI136" s="88"/>
      <c r="ZJ136" s="88"/>
      <c r="ZK136" s="88"/>
      <c r="ZL136" s="88"/>
      <c r="ZM136" s="88"/>
      <c r="ZN136" s="88"/>
      <c r="ZO136" s="88"/>
      <c r="ZP136" s="88"/>
      <c r="ZQ136" s="88"/>
      <c r="ZR136" s="88"/>
      <c r="ZS136" s="88"/>
      <c r="ZT136" s="88"/>
      <c r="ZU136" s="88"/>
      <c r="ZV136" s="88"/>
      <c r="ZW136" s="88"/>
      <c r="ZX136" s="88"/>
      <c r="ZY136" s="88"/>
      <c r="ZZ136" s="88"/>
      <c r="AAA136" s="88"/>
      <c r="AAB136" s="88"/>
      <c r="AAC136" s="88"/>
      <c r="AAD136" s="88"/>
      <c r="AAE136" s="88"/>
      <c r="AAF136" s="88"/>
      <c r="AAG136" s="88"/>
      <c r="AAH136" s="88"/>
      <c r="AAI136" s="88"/>
      <c r="AAJ136" s="88"/>
      <c r="AAK136" s="88"/>
      <c r="AAL136" s="88"/>
      <c r="AAM136" s="88"/>
      <c r="AAN136" s="88"/>
      <c r="AAO136" s="88"/>
      <c r="AAP136" s="88"/>
      <c r="AAQ136" s="88"/>
      <c r="AAR136" s="88"/>
      <c r="AAS136" s="88"/>
      <c r="AAT136" s="88"/>
      <c r="AAU136" s="88"/>
      <c r="AAV136" s="88"/>
      <c r="AAW136" s="88"/>
      <c r="AAX136" s="88"/>
      <c r="AAY136" s="88"/>
      <c r="AAZ136" s="88"/>
      <c r="ABA136" s="88"/>
      <c r="ABB136" s="88"/>
      <c r="ABC136" s="88"/>
      <c r="ABD136" s="88"/>
      <c r="ABE136" s="88"/>
      <c r="ABF136" s="88"/>
      <c r="ABG136" s="88"/>
      <c r="ABH136" s="88"/>
      <c r="ABI136" s="88"/>
      <c r="ABJ136" s="88"/>
      <c r="ABK136" s="88"/>
      <c r="ABL136" s="88"/>
      <c r="ABM136" s="88"/>
      <c r="ABN136" s="88"/>
      <c r="ABO136" s="88"/>
      <c r="ABP136" s="88"/>
      <c r="ABQ136" s="88"/>
      <c r="ABR136" s="88"/>
      <c r="ABS136" s="88"/>
      <c r="ABT136" s="88"/>
      <c r="ABU136" s="88"/>
      <c r="ABV136" s="88"/>
      <c r="ABW136" s="88"/>
      <c r="ABX136" s="88"/>
      <c r="ABY136" s="88"/>
      <c r="ABZ136" s="88"/>
      <c r="ACA136" s="88"/>
      <c r="ACB136" s="88"/>
      <c r="ACC136" s="88"/>
      <c r="ACD136" s="88"/>
      <c r="ACE136" s="88"/>
      <c r="ACF136" s="88"/>
      <c r="ACG136" s="88"/>
      <c r="ACH136" s="88"/>
      <c r="ACI136" s="88"/>
      <c r="ACJ136" s="88"/>
      <c r="ACK136" s="88"/>
      <c r="ACL136" s="88"/>
      <c r="ACM136" s="88"/>
      <c r="ACN136" s="88"/>
      <c r="ACO136" s="88"/>
      <c r="ACP136" s="88"/>
      <c r="ACQ136" s="88"/>
      <c r="ACR136" s="88"/>
      <c r="ACS136" s="88"/>
      <c r="ACT136" s="88"/>
      <c r="ACU136" s="88"/>
      <c r="ACV136" s="88"/>
      <c r="ACW136" s="88"/>
      <c r="ACX136" s="88"/>
      <c r="ACY136" s="88"/>
      <c r="ACZ136" s="88"/>
      <c r="ADA136" s="88"/>
      <c r="ADB136" s="88"/>
      <c r="ADC136" s="88"/>
      <c r="ADD136" s="88"/>
      <c r="ADE136" s="88"/>
      <c r="ADF136" s="88"/>
      <c r="ADG136" s="88"/>
      <c r="ADH136" s="88"/>
      <c r="ADI136" s="88"/>
      <c r="ADJ136" s="88"/>
      <c r="ADK136" s="88"/>
      <c r="ADL136" s="88"/>
      <c r="ADM136" s="88"/>
      <c r="ADN136" s="88"/>
      <c r="ADO136" s="88"/>
      <c r="ADP136" s="88"/>
      <c r="ADQ136" s="88"/>
      <c r="ADR136" s="88"/>
      <c r="ADS136" s="88"/>
      <c r="ADT136" s="88"/>
      <c r="ADU136" s="88"/>
      <c r="ADV136" s="88"/>
      <c r="ADW136" s="88"/>
      <c r="ADX136" s="88"/>
      <c r="ADY136" s="88"/>
      <c r="ADZ136" s="88"/>
      <c r="AEA136" s="88"/>
      <c r="AEB136" s="88"/>
      <c r="AEC136" s="88"/>
      <c r="AED136" s="88"/>
      <c r="AEE136" s="88"/>
      <c r="AEF136" s="88"/>
      <c r="AEG136" s="88"/>
      <c r="AEH136" s="88"/>
      <c r="AEI136" s="88"/>
      <c r="AEJ136" s="88"/>
      <c r="AEK136" s="88"/>
      <c r="AEL136" s="88"/>
      <c r="AEM136" s="88"/>
      <c r="AEN136" s="88"/>
      <c r="AEO136" s="88"/>
      <c r="AEP136" s="88"/>
      <c r="AEQ136" s="88"/>
      <c r="AER136" s="88"/>
      <c r="AES136" s="88"/>
      <c r="AET136" s="88"/>
      <c r="AEU136" s="88"/>
      <c r="AEV136" s="88"/>
      <c r="AEW136" s="88"/>
      <c r="AEX136" s="88"/>
      <c r="AEY136" s="88"/>
      <c r="AEZ136" s="88"/>
      <c r="AFA136" s="88"/>
      <c r="AFB136" s="88"/>
      <c r="AFC136" s="88"/>
      <c r="AFD136" s="88"/>
      <c r="AFE136" s="88"/>
      <c r="AFF136" s="88"/>
      <c r="AFG136" s="88"/>
      <c r="AFH136" s="88"/>
      <c r="AFI136" s="88"/>
      <c r="AFJ136" s="88"/>
      <c r="AFK136" s="88"/>
      <c r="AFL136" s="88"/>
      <c r="AFM136" s="88"/>
      <c r="AFN136" s="88"/>
      <c r="AFO136" s="88"/>
      <c r="AFP136" s="88"/>
      <c r="AFQ136" s="88"/>
      <c r="AFR136" s="88"/>
      <c r="AFS136" s="88"/>
      <c r="AFT136" s="88"/>
      <c r="AFU136" s="88"/>
      <c r="AFV136" s="88"/>
      <c r="AFW136" s="88"/>
      <c r="AFX136" s="88"/>
      <c r="AFY136" s="88"/>
      <c r="AFZ136" s="88"/>
      <c r="AGA136" s="88"/>
      <c r="AGB136" s="88"/>
      <c r="AGC136" s="88"/>
      <c r="AGD136" s="88"/>
      <c r="AGE136" s="88"/>
      <c r="AGF136" s="88"/>
      <c r="AGG136" s="88"/>
      <c r="AGH136" s="88"/>
      <c r="AGI136" s="88"/>
      <c r="AGJ136" s="88"/>
      <c r="AGK136" s="88"/>
      <c r="AGL136" s="88"/>
      <c r="AGM136" s="88"/>
      <c r="AGN136" s="88"/>
      <c r="AGO136" s="88"/>
      <c r="AGP136" s="88"/>
      <c r="AGQ136" s="88"/>
      <c r="AGR136" s="88"/>
      <c r="AGS136" s="88"/>
      <c r="AGT136" s="88"/>
      <c r="AGU136" s="88"/>
      <c r="AGV136" s="88"/>
      <c r="AGW136" s="88"/>
      <c r="AGX136" s="88"/>
      <c r="AGY136" s="88"/>
      <c r="AGZ136" s="88"/>
      <c r="AHA136" s="88"/>
      <c r="AHB136" s="88"/>
      <c r="AHC136" s="88"/>
      <c r="AHD136" s="88"/>
      <c r="AHE136" s="88"/>
      <c r="AHF136" s="88"/>
      <c r="AHG136" s="88"/>
      <c r="AHH136" s="88"/>
      <c r="AHI136" s="88"/>
      <c r="AHJ136" s="88"/>
      <c r="AHK136" s="88"/>
      <c r="AHL136" s="88"/>
      <c r="AHM136" s="88"/>
      <c r="AHN136" s="88"/>
      <c r="AHO136" s="88"/>
      <c r="AHP136" s="88"/>
      <c r="AHQ136" s="88"/>
      <c r="AHR136" s="88"/>
      <c r="AHS136" s="88"/>
      <c r="AHT136" s="88"/>
      <c r="AHU136" s="88"/>
      <c r="AHV136" s="88"/>
      <c r="AHW136" s="88"/>
      <c r="AHX136" s="88"/>
      <c r="AHY136" s="88"/>
      <c r="AHZ136" s="88"/>
      <c r="AIA136" s="88"/>
      <c r="AIB136" s="88"/>
      <c r="AIC136" s="88"/>
      <c r="AID136" s="88"/>
      <c r="AIE136" s="88"/>
      <c r="AIF136" s="88"/>
      <c r="AIG136" s="88"/>
      <c r="AIH136" s="88"/>
      <c r="AII136" s="88"/>
      <c r="AIJ136" s="88"/>
      <c r="AIK136" s="88"/>
      <c r="AIL136" s="88"/>
      <c r="AIM136" s="88"/>
      <c r="AIN136" s="88"/>
      <c r="AIO136" s="88"/>
      <c r="AIP136" s="88"/>
      <c r="AIQ136" s="88"/>
      <c r="AIR136" s="88"/>
      <c r="AIS136" s="88"/>
      <c r="AIT136" s="88"/>
      <c r="AIU136" s="88"/>
      <c r="AIV136" s="88"/>
      <c r="AIW136" s="88"/>
      <c r="AIX136" s="88"/>
      <c r="AIY136" s="88"/>
      <c r="AIZ136" s="88"/>
      <c r="AJA136" s="88"/>
      <c r="AJB136" s="88"/>
      <c r="AJC136" s="88"/>
      <c r="AJD136" s="88"/>
      <c r="AJE136" s="88"/>
      <c r="AJF136" s="88"/>
      <c r="AJG136" s="88"/>
      <c r="AJH136" s="88"/>
      <c r="AJI136" s="88"/>
      <c r="AJJ136" s="88"/>
      <c r="AJK136" s="88"/>
      <c r="AJL136" s="88"/>
      <c r="AJM136" s="88"/>
      <c r="AJN136" s="88"/>
      <c r="AJO136" s="88"/>
      <c r="AJP136" s="88"/>
      <c r="AJQ136" s="88"/>
      <c r="AJR136" s="88"/>
      <c r="AJS136" s="88"/>
      <c r="AJT136" s="88"/>
      <c r="AJU136" s="88"/>
      <c r="AJV136" s="88"/>
      <c r="AJW136" s="88"/>
      <c r="AJX136" s="88"/>
      <c r="AJY136" s="88"/>
      <c r="AJZ136" s="88"/>
      <c r="AKA136" s="88"/>
      <c r="AKB136" s="88"/>
      <c r="AKC136" s="88"/>
      <c r="AKD136" s="88"/>
      <c r="AKE136" s="88"/>
      <c r="AKF136" s="88"/>
      <c r="AKG136" s="88"/>
      <c r="AKH136" s="88"/>
      <c r="AKI136" s="88"/>
      <c r="AKJ136" s="88"/>
      <c r="AKK136" s="88"/>
      <c r="AKL136" s="88"/>
      <c r="AKM136" s="88"/>
      <c r="AKN136" s="88"/>
      <c r="AKO136" s="88"/>
      <c r="AKP136" s="88"/>
      <c r="AKQ136" s="88"/>
      <c r="AKR136" s="88"/>
      <c r="AKS136" s="88"/>
      <c r="AKT136" s="88"/>
      <c r="AKU136" s="88"/>
      <c r="AKV136" s="88"/>
      <c r="AKW136" s="88"/>
      <c r="AKX136" s="88"/>
      <c r="AKY136" s="88"/>
      <c r="AKZ136" s="88"/>
      <c r="ALA136" s="88"/>
      <c r="ALB136" s="88"/>
      <c r="ALC136" s="88"/>
      <c r="ALD136" s="88"/>
      <c r="ALE136" s="88"/>
      <c r="ALF136" s="88"/>
      <c r="ALG136" s="88"/>
      <c r="ALH136" s="88"/>
      <c r="ALI136" s="88"/>
      <c r="ALJ136" s="88"/>
      <c r="ALK136" s="88"/>
      <c r="ALL136" s="88"/>
      <c r="ALM136" s="88"/>
      <c r="ALN136" s="88"/>
      <c r="ALO136" s="88"/>
      <c r="ALP136" s="88"/>
      <c r="ALQ136" s="88"/>
      <c r="ALR136" s="88"/>
      <c r="ALS136" s="88"/>
      <c r="ALT136" s="88"/>
      <c r="ALU136" s="88"/>
      <c r="ALV136" s="88"/>
      <c r="ALW136" s="88"/>
      <c r="ALX136" s="88"/>
      <c r="ALY136" s="88"/>
      <c r="ALZ136" s="88"/>
      <c r="AMA136" s="88"/>
      <c r="AMB136" s="88"/>
      <c r="AMC136" s="88"/>
      <c r="AMD136" s="88"/>
      <c r="AME136" s="88"/>
      <c r="AMF136" s="88"/>
      <c r="AMG136" s="88"/>
      <c r="AMH136" s="88"/>
      <c r="AMI136" s="88"/>
      <c r="AMJ136" s="88"/>
      <c r="AMK136" s="88"/>
      <c r="AML136" s="88"/>
      <c r="AMM136" s="88"/>
      <c r="AMN136" s="88"/>
      <c r="AMO136" s="88"/>
      <c r="AMP136" s="88"/>
      <c r="AMQ136" s="88"/>
      <c r="AMR136" s="88"/>
      <c r="AMS136" s="88"/>
      <c r="AMT136" s="88"/>
      <c r="AMU136" s="88"/>
      <c r="AMV136" s="88"/>
      <c r="AMW136" s="88"/>
      <c r="AMX136" s="88"/>
      <c r="AMY136" s="88"/>
      <c r="AMZ136" s="88"/>
      <c r="ANA136" s="88"/>
      <c r="ANB136" s="88"/>
      <c r="ANC136" s="88"/>
      <c r="AND136" s="88"/>
      <c r="ANE136" s="88"/>
      <c r="ANF136" s="88"/>
      <c r="ANG136" s="88"/>
      <c r="ANH136" s="88"/>
      <c r="ANI136" s="88"/>
      <c r="ANJ136" s="88"/>
      <c r="ANK136" s="88"/>
      <c r="ANL136" s="88"/>
      <c r="ANM136" s="88"/>
      <c r="ANN136" s="88"/>
      <c r="ANO136" s="88"/>
      <c r="ANP136" s="88"/>
      <c r="ANQ136" s="88"/>
      <c r="ANR136" s="88"/>
      <c r="ANS136" s="88"/>
      <c r="ANT136" s="88"/>
      <c r="ANU136" s="88"/>
      <c r="ANV136" s="88"/>
      <c r="ANW136" s="88"/>
      <c r="ANX136" s="88"/>
      <c r="ANY136" s="88"/>
      <c r="ANZ136" s="88"/>
      <c r="AOA136" s="88"/>
      <c r="AOB136" s="88"/>
      <c r="AOC136" s="88"/>
      <c r="AOD136" s="88"/>
      <c r="AOE136" s="88"/>
      <c r="AOF136" s="88"/>
      <c r="AOG136" s="88"/>
      <c r="AOH136" s="88"/>
      <c r="AOI136" s="88"/>
      <c r="AOJ136" s="88"/>
      <c r="AOK136" s="88"/>
      <c r="AOL136" s="88"/>
      <c r="AOM136" s="88"/>
      <c r="AON136" s="88"/>
      <c r="AOO136" s="88"/>
      <c r="AOP136" s="88"/>
      <c r="AOQ136" s="88"/>
      <c r="AOR136" s="88"/>
      <c r="AOS136" s="88"/>
      <c r="AOT136" s="88"/>
      <c r="AOU136" s="88"/>
      <c r="AOV136" s="88"/>
      <c r="AOW136" s="88"/>
      <c r="AOX136" s="88"/>
      <c r="AOY136" s="88"/>
      <c r="AOZ136" s="88"/>
      <c r="APA136" s="88"/>
      <c r="APB136" s="88"/>
      <c r="APC136" s="88"/>
      <c r="APD136" s="88"/>
      <c r="APE136" s="88"/>
      <c r="APF136" s="88"/>
      <c r="APG136" s="88"/>
      <c r="APH136" s="88"/>
      <c r="API136" s="88"/>
      <c r="APJ136" s="88"/>
      <c r="APK136" s="88"/>
      <c r="APL136" s="88"/>
      <c r="APM136" s="88"/>
      <c r="APN136" s="88"/>
      <c r="APO136" s="88"/>
      <c r="APP136" s="88"/>
      <c r="APQ136" s="88"/>
      <c r="APR136" s="88"/>
      <c r="APS136" s="88"/>
      <c r="APT136" s="88"/>
      <c r="APU136" s="88"/>
      <c r="APV136" s="88"/>
      <c r="APW136" s="88"/>
      <c r="APX136" s="88"/>
      <c r="APY136" s="88"/>
      <c r="APZ136" s="88"/>
      <c r="AQA136" s="88"/>
      <c r="AQB136" s="88"/>
      <c r="AQC136" s="88"/>
      <c r="AQD136" s="88"/>
      <c r="AQE136" s="88"/>
      <c r="AQF136" s="88"/>
      <c r="AQG136" s="88"/>
      <c r="AQH136" s="88"/>
      <c r="AQI136" s="88"/>
      <c r="AQJ136" s="88"/>
      <c r="AQK136" s="88"/>
      <c r="AQL136" s="88"/>
      <c r="AQM136" s="88"/>
      <c r="AQN136" s="88"/>
      <c r="AQO136" s="88"/>
      <c r="AQP136" s="88"/>
      <c r="AQQ136" s="88"/>
      <c r="AQR136" s="88"/>
      <c r="AQS136" s="88"/>
      <c r="AQT136" s="88"/>
      <c r="AQU136" s="88"/>
      <c r="AQV136" s="88"/>
      <c r="AQW136" s="88"/>
      <c r="AQX136" s="88"/>
      <c r="AQY136" s="88"/>
      <c r="AQZ136" s="88"/>
      <c r="ARA136" s="88"/>
      <c r="ARB136" s="88"/>
      <c r="ARC136" s="88"/>
      <c r="ARD136" s="88"/>
      <c r="ARE136" s="88"/>
      <c r="ARF136" s="88"/>
      <c r="ARG136" s="88"/>
      <c r="ARH136" s="88"/>
      <c r="ARI136" s="88"/>
      <c r="ARJ136" s="88"/>
      <c r="ARK136" s="88"/>
      <c r="ARL136" s="88"/>
      <c r="ARM136" s="88"/>
      <c r="ARN136" s="88"/>
      <c r="ARO136" s="88"/>
      <c r="ARP136" s="88"/>
      <c r="ARQ136" s="88"/>
      <c r="ARR136" s="88"/>
      <c r="ARS136" s="88"/>
      <c r="ART136" s="88"/>
      <c r="ARU136" s="88"/>
      <c r="ARV136" s="88"/>
      <c r="ARW136" s="88"/>
      <c r="ARX136" s="88"/>
      <c r="ARY136" s="88"/>
      <c r="ARZ136" s="88"/>
      <c r="ASA136" s="88"/>
      <c r="ASB136" s="88"/>
      <c r="ASC136" s="88"/>
      <c r="ASD136" s="88"/>
      <c r="ASE136" s="88"/>
      <c r="ASF136" s="88"/>
      <c r="ASG136" s="88"/>
      <c r="ASH136" s="88"/>
      <c r="ASI136" s="88"/>
      <c r="ASJ136" s="88"/>
      <c r="ASK136" s="88"/>
      <c r="ASL136" s="88"/>
      <c r="ASM136" s="88"/>
      <c r="ASN136" s="88"/>
      <c r="ASO136" s="88"/>
      <c r="ASP136" s="88"/>
      <c r="ASQ136" s="88"/>
      <c r="ASR136" s="88"/>
      <c r="ASS136" s="88"/>
      <c r="AST136" s="88"/>
      <c r="ASU136" s="88"/>
      <c r="ASV136" s="88"/>
      <c r="ASW136" s="88"/>
      <c r="ASX136" s="88"/>
      <c r="ASY136" s="88"/>
      <c r="ASZ136" s="88"/>
      <c r="ATA136" s="88"/>
      <c r="ATB136" s="88"/>
      <c r="ATC136" s="88"/>
      <c r="ATD136" s="88"/>
      <c r="ATE136" s="88"/>
      <c r="ATF136" s="88"/>
      <c r="ATG136" s="88"/>
      <c r="ATH136" s="88"/>
      <c r="ATI136" s="88"/>
      <c r="ATJ136" s="88"/>
      <c r="ATK136" s="88"/>
      <c r="ATL136" s="88"/>
      <c r="ATM136" s="88"/>
      <c r="ATN136" s="88"/>
      <c r="ATO136" s="88"/>
      <c r="ATP136" s="88"/>
      <c r="ATQ136" s="88"/>
      <c r="ATR136" s="88"/>
      <c r="ATS136" s="88"/>
      <c r="ATT136" s="88"/>
      <c r="ATU136" s="88"/>
      <c r="ATV136" s="88"/>
      <c r="ATW136" s="88"/>
      <c r="ATX136" s="88"/>
      <c r="ATY136" s="88"/>
      <c r="ATZ136" s="88"/>
      <c r="AUA136" s="88"/>
      <c r="AUB136" s="88"/>
      <c r="AUC136" s="88"/>
      <c r="AUD136" s="88"/>
      <c r="AUE136" s="88"/>
      <c r="AUF136" s="88"/>
      <c r="AUG136" s="88"/>
      <c r="AUH136" s="88"/>
      <c r="AUI136" s="88"/>
      <c r="AUJ136" s="88"/>
      <c r="AUK136" s="88"/>
      <c r="AUL136" s="88"/>
      <c r="AUM136" s="88"/>
      <c r="AUN136" s="88"/>
      <c r="AUO136" s="88"/>
      <c r="AUP136" s="88"/>
      <c r="AUQ136" s="88"/>
      <c r="AUR136" s="88"/>
      <c r="AUS136" s="88"/>
      <c r="AUT136" s="88"/>
      <c r="AUU136" s="88"/>
      <c r="AUV136" s="88"/>
      <c r="AUW136" s="88"/>
      <c r="AUX136" s="88"/>
      <c r="AUY136" s="88"/>
      <c r="AUZ136" s="88"/>
      <c r="AVA136" s="88"/>
      <c r="AVB136" s="88"/>
      <c r="AVC136" s="88"/>
      <c r="AVD136" s="88"/>
      <c r="AVE136" s="88"/>
      <c r="AVF136" s="88"/>
      <c r="AVG136" s="88"/>
      <c r="AVH136" s="88"/>
      <c r="AVI136" s="88"/>
      <c r="AVJ136" s="88"/>
      <c r="AVK136" s="88"/>
      <c r="AVL136" s="88"/>
      <c r="AVM136" s="88"/>
      <c r="AVN136" s="88"/>
      <c r="AVO136" s="88"/>
      <c r="AVP136" s="88"/>
      <c r="AVQ136" s="88"/>
      <c r="AVR136" s="88"/>
      <c r="AVS136" s="88"/>
      <c r="AVT136" s="88"/>
      <c r="AVU136" s="88"/>
      <c r="AVV136" s="88"/>
      <c r="AVW136" s="88"/>
      <c r="AVX136" s="88"/>
      <c r="AVY136" s="88"/>
      <c r="AVZ136" s="88"/>
      <c r="AWA136" s="88"/>
      <c r="AWB136" s="88"/>
      <c r="AWC136" s="88"/>
      <c r="AWD136" s="88"/>
      <c r="AWE136" s="88"/>
      <c r="AWF136" s="88"/>
      <c r="AWG136" s="88"/>
      <c r="AWH136" s="88"/>
      <c r="AWI136" s="88"/>
      <c r="AWJ136" s="88"/>
      <c r="AWK136" s="88"/>
      <c r="AWL136" s="88"/>
      <c r="AWM136" s="88"/>
      <c r="AWN136" s="88"/>
      <c r="AWO136" s="88"/>
      <c r="AWP136" s="88"/>
      <c r="AWQ136" s="88"/>
      <c r="AWR136" s="88"/>
      <c r="AWS136" s="88"/>
      <c r="AWT136" s="88"/>
      <c r="AWU136" s="88"/>
      <c r="AWV136" s="88"/>
      <c r="AWW136" s="88"/>
      <c r="AWX136" s="88"/>
      <c r="AWY136" s="88"/>
      <c r="AWZ136" s="88"/>
      <c r="AXA136" s="88"/>
      <c r="AXB136" s="88"/>
      <c r="AXC136" s="88"/>
      <c r="AXD136" s="88"/>
      <c r="AXE136" s="88"/>
      <c r="AXF136" s="88"/>
      <c r="AXG136" s="88"/>
      <c r="AXH136" s="88"/>
      <c r="AXI136" s="88"/>
      <c r="AXJ136" s="88"/>
      <c r="AXK136" s="88"/>
      <c r="AXL136" s="88"/>
      <c r="AXM136" s="88"/>
      <c r="AXN136" s="88"/>
      <c r="AXO136" s="88"/>
      <c r="AXP136" s="88"/>
      <c r="AXQ136" s="88"/>
      <c r="AXR136" s="88"/>
      <c r="AXS136" s="88"/>
      <c r="AXT136" s="88"/>
      <c r="AXU136" s="88"/>
      <c r="AXV136" s="88"/>
      <c r="AXW136" s="88"/>
      <c r="AXX136" s="88"/>
      <c r="AXY136" s="88"/>
      <c r="AXZ136" s="88"/>
      <c r="AYA136" s="88"/>
      <c r="AYB136" s="88"/>
      <c r="AYC136" s="88"/>
      <c r="AYD136" s="88"/>
      <c r="AYE136" s="88"/>
      <c r="AYF136" s="88"/>
      <c r="AYG136" s="88"/>
      <c r="AYH136" s="88"/>
      <c r="AYI136" s="88"/>
      <c r="AYJ136" s="88"/>
      <c r="AYK136" s="88"/>
      <c r="AYL136" s="88"/>
      <c r="AYM136" s="88"/>
      <c r="AYN136" s="88"/>
      <c r="AYO136" s="88"/>
      <c r="AYP136" s="88"/>
      <c r="AYQ136" s="88"/>
      <c r="AYR136" s="88"/>
      <c r="AYS136" s="88"/>
      <c r="AYT136" s="88"/>
      <c r="AYU136" s="88"/>
      <c r="AYV136" s="88"/>
      <c r="AYW136" s="88"/>
      <c r="AYX136" s="88"/>
      <c r="AYY136" s="88"/>
      <c r="AYZ136" s="88"/>
      <c r="AZA136" s="88"/>
      <c r="AZB136" s="88"/>
      <c r="AZC136" s="88"/>
      <c r="AZD136" s="88"/>
      <c r="AZE136" s="88"/>
      <c r="AZF136" s="88"/>
      <c r="AZG136" s="88"/>
      <c r="AZH136" s="88"/>
      <c r="AZI136" s="88"/>
      <c r="AZJ136" s="88"/>
      <c r="AZK136" s="88"/>
      <c r="AZL136" s="88"/>
      <c r="AZM136" s="88"/>
      <c r="AZN136" s="88"/>
      <c r="AZO136" s="88"/>
      <c r="AZP136" s="88"/>
      <c r="AZQ136" s="88"/>
      <c r="AZR136" s="88"/>
      <c r="AZS136" s="88"/>
      <c r="AZT136" s="88"/>
      <c r="AZU136" s="88"/>
      <c r="AZV136" s="88"/>
      <c r="AZW136" s="88"/>
      <c r="AZX136" s="88"/>
      <c r="AZY136" s="88"/>
      <c r="AZZ136" s="88"/>
      <c r="BAA136" s="88"/>
      <c r="BAB136" s="88"/>
      <c r="BAC136" s="88"/>
      <c r="BAD136" s="88"/>
      <c r="BAE136" s="88"/>
      <c r="BAF136" s="88"/>
      <c r="BAG136" s="88"/>
      <c r="BAH136" s="88"/>
      <c r="BAI136" s="88"/>
      <c r="BAJ136" s="88"/>
      <c r="BAK136" s="88"/>
      <c r="BAL136" s="88"/>
      <c r="BAM136" s="88"/>
      <c r="BAN136" s="88"/>
      <c r="BAO136" s="88"/>
      <c r="BAP136" s="88"/>
      <c r="BAQ136" s="88"/>
      <c r="BAR136" s="88"/>
      <c r="BAS136" s="88"/>
      <c r="BAT136" s="88"/>
      <c r="BAU136" s="88"/>
      <c r="BAV136" s="88"/>
      <c r="BAW136" s="88"/>
      <c r="BAX136" s="88"/>
      <c r="BAY136" s="88"/>
      <c r="BAZ136" s="88"/>
      <c r="BBA136" s="88"/>
      <c r="BBB136" s="88"/>
      <c r="BBC136" s="88"/>
      <c r="BBD136" s="88"/>
      <c r="BBE136" s="88"/>
      <c r="BBF136" s="88"/>
      <c r="BBG136" s="88"/>
      <c r="BBH136" s="88"/>
      <c r="BBI136" s="88"/>
      <c r="BBJ136" s="88"/>
      <c r="BBK136" s="88"/>
      <c r="BBL136" s="88"/>
      <c r="BBM136" s="88"/>
      <c r="BBN136" s="88"/>
      <c r="BBO136" s="88"/>
      <c r="BBP136" s="88"/>
      <c r="BBQ136" s="88"/>
      <c r="BBR136" s="88"/>
      <c r="BBS136" s="88"/>
      <c r="BBT136" s="88"/>
      <c r="BBU136" s="88"/>
      <c r="BBV136" s="88"/>
      <c r="BBW136" s="88"/>
      <c r="BBX136" s="88"/>
      <c r="BBY136" s="88"/>
      <c r="BBZ136" s="88"/>
      <c r="BCA136" s="88"/>
      <c r="BCB136" s="88"/>
      <c r="BCC136" s="88"/>
      <c r="BCD136" s="88"/>
      <c r="BCE136" s="88"/>
      <c r="BCF136" s="88"/>
      <c r="BCG136" s="88"/>
      <c r="BCH136" s="88"/>
      <c r="BCI136" s="88"/>
      <c r="BCJ136" s="88"/>
      <c r="BCK136" s="88"/>
      <c r="BCL136" s="88"/>
      <c r="BCM136" s="88"/>
      <c r="BCN136" s="88"/>
      <c r="BCO136" s="88"/>
      <c r="BCP136" s="88"/>
      <c r="BCQ136" s="88"/>
      <c r="BCR136" s="88"/>
      <c r="BCS136" s="88"/>
      <c r="BCT136" s="88"/>
      <c r="BCU136" s="88"/>
      <c r="BCV136" s="88"/>
      <c r="BCW136" s="88"/>
      <c r="BCX136" s="88"/>
      <c r="BCY136" s="88"/>
      <c r="BCZ136" s="88"/>
      <c r="BDA136" s="88"/>
      <c r="BDB136" s="88"/>
      <c r="BDC136" s="88"/>
      <c r="BDD136" s="88"/>
      <c r="BDE136" s="88"/>
      <c r="BDF136" s="88"/>
      <c r="BDG136" s="88"/>
      <c r="BDH136" s="88"/>
      <c r="BDI136" s="88"/>
      <c r="BDJ136" s="88"/>
      <c r="BDK136" s="88"/>
      <c r="BDL136" s="88"/>
      <c r="BDM136" s="88"/>
      <c r="BDN136" s="88"/>
      <c r="BDO136" s="88"/>
      <c r="BDP136" s="88"/>
      <c r="BDQ136" s="88"/>
      <c r="BDR136" s="88"/>
      <c r="BDS136" s="88"/>
      <c r="BDT136" s="88"/>
      <c r="BDU136" s="88"/>
      <c r="BDV136" s="88"/>
      <c r="BDW136" s="88"/>
      <c r="BDX136" s="88"/>
      <c r="BDY136" s="88"/>
      <c r="BDZ136" s="88"/>
      <c r="BEA136" s="88"/>
      <c r="BEB136" s="88"/>
      <c r="BEC136" s="88"/>
      <c r="BED136" s="88"/>
      <c r="BEE136" s="88"/>
      <c r="BEF136" s="88"/>
      <c r="BEG136" s="88"/>
      <c r="BEH136" s="88"/>
      <c r="BEI136" s="88"/>
      <c r="BEJ136" s="88"/>
      <c r="BEK136" s="88"/>
      <c r="BEL136" s="88"/>
      <c r="BEM136" s="88"/>
      <c r="BEN136" s="88"/>
      <c r="BEO136" s="88"/>
      <c r="BEP136" s="88"/>
      <c r="BEQ136" s="88"/>
      <c r="BER136" s="88"/>
      <c r="BES136" s="88"/>
      <c r="BET136" s="88"/>
      <c r="BEU136" s="88"/>
      <c r="BEV136" s="88"/>
      <c r="BEW136" s="88"/>
      <c r="BEX136" s="88"/>
      <c r="BEY136" s="88"/>
      <c r="BEZ136" s="88"/>
      <c r="BFA136" s="88"/>
      <c r="BFB136" s="88"/>
      <c r="BFC136" s="88"/>
      <c r="BFD136" s="88"/>
      <c r="BFE136" s="88"/>
      <c r="BFF136" s="88"/>
      <c r="BFG136" s="88"/>
      <c r="BFH136" s="88"/>
      <c r="BFI136" s="88"/>
      <c r="BFJ136" s="88"/>
      <c r="BFK136" s="88"/>
      <c r="BFL136" s="88"/>
      <c r="BFM136" s="88"/>
      <c r="BFN136" s="88"/>
      <c r="BFO136" s="88"/>
      <c r="BFP136" s="88"/>
      <c r="BFQ136" s="88"/>
      <c r="BFR136" s="88"/>
      <c r="BFS136" s="88"/>
      <c r="BFT136" s="88"/>
      <c r="BFU136" s="88"/>
      <c r="BFV136" s="88"/>
      <c r="BFW136" s="88"/>
      <c r="BFX136" s="88"/>
      <c r="BFY136" s="88"/>
      <c r="BFZ136" s="88"/>
      <c r="BGA136" s="88"/>
      <c r="BGB136" s="88"/>
      <c r="BGC136" s="88"/>
      <c r="BGD136" s="88"/>
      <c r="BGE136" s="88"/>
      <c r="BGF136" s="88"/>
      <c r="BGG136" s="88"/>
      <c r="BGH136" s="88"/>
      <c r="BGI136" s="88"/>
      <c r="BGJ136" s="88"/>
      <c r="BGK136" s="88"/>
      <c r="BGL136" s="88"/>
      <c r="BGM136" s="88"/>
      <c r="BGN136" s="88"/>
      <c r="BGO136" s="88"/>
      <c r="BGP136" s="88"/>
      <c r="BGQ136" s="88"/>
      <c r="BGR136" s="88"/>
      <c r="BGS136" s="88"/>
      <c r="BGT136" s="88"/>
      <c r="BGU136" s="88"/>
      <c r="BGV136" s="88"/>
      <c r="BGW136" s="88"/>
      <c r="BGX136" s="88"/>
      <c r="BGY136" s="88"/>
      <c r="BGZ136" s="88"/>
      <c r="BHA136" s="88"/>
      <c r="BHB136" s="88"/>
      <c r="BHC136" s="88"/>
      <c r="BHD136" s="88"/>
      <c r="BHE136" s="88"/>
      <c r="BHF136" s="88"/>
      <c r="BHG136" s="88"/>
      <c r="BHH136" s="88"/>
      <c r="BHI136" s="88"/>
      <c r="BHJ136" s="88"/>
      <c r="BHK136" s="88"/>
      <c r="BHL136" s="88"/>
      <c r="BHM136" s="88"/>
      <c r="BHN136" s="88"/>
      <c r="BHO136" s="88"/>
      <c r="BHP136" s="88"/>
      <c r="BHQ136" s="88"/>
      <c r="BHR136" s="88"/>
      <c r="BHS136" s="88"/>
      <c r="BHT136" s="88"/>
      <c r="BHU136" s="88"/>
      <c r="BHV136" s="88"/>
      <c r="BHW136" s="88"/>
      <c r="BHX136" s="88"/>
      <c r="BHY136" s="88"/>
      <c r="BHZ136" s="88"/>
      <c r="BIA136" s="88"/>
      <c r="BIB136" s="88"/>
      <c r="BIC136" s="88"/>
      <c r="BID136" s="88"/>
      <c r="BIE136" s="88"/>
      <c r="BIF136" s="88"/>
      <c r="BIG136" s="88"/>
      <c r="BIH136" s="88"/>
      <c r="BII136" s="88"/>
      <c r="BIJ136" s="88"/>
      <c r="BIK136" s="88"/>
      <c r="BIL136" s="88"/>
      <c r="BIM136" s="88"/>
      <c r="BIN136" s="88"/>
      <c r="BIO136" s="88"/>
      <c r="BIP136" s="88"/>
      <c r="BIQ136" s="88"/>
      <c r="BIR136" s="88"/>
      <c r="BIS136" s="88"/>
      <c r="BIT136" s="88"/>
      <c r="BIU136" s="88"/>
      <c r="BIV136" s="88"/>
      <c r="BIW136" s="88"/>
      <c r="BIX136" s="88"/>
      <c r="BIY136" s="88"/>
      <c r="BIZ136" s="88"/>
      <c r="BJA136" s="88"/>
      <c r="BJB136" s="88"/>
      <c r="BJC136" s="88"/>
      <c r="BJD136" s="88"/>
      <c r="BJE136" s="88"/>
      <c r="BJF136" s="88"/>
      <c r="BJG136" s="88"/>
      <c r="BJH136" s="88"/>
      <c r="BJI136" s="88"/>
      <c r="BJJ136" s="88"/>
      <c r="BJK136" s="88"/>
      <c r="BJL136" s="88"/>
      <c r="BJM136" s="88"/>
      <c r="BJN136" s="88"/>
      <c r="BJO136" s="88"/>
      <c r="BJP136" s="88"/>
      <c r="BJQ136" s="88"/>
      <c r="BJR136" s="88"/>
      <c r="BJS136" s="88"/>
      <c r="BJT136" s="88"/>
      <c r="BJU136" s="88"/>
      <c r="BJV136" s="88"/>
      <c r="BJW136" s="88"/>
      <c r="BJX136" s="88"/>
      <c r="BJY136" s="88"/>
      <c r="BJZ136" s="88"/>
      <c r="BKA136" s="88"/>
      <c r="BKB136" s="88"/>
      <c r="BKC136" s="88"/>
      <c r="BKD136" s="88"/>
      <c r="BKE136" s="88"/>
      <c r="BKF136" s="88"/>
      <c r="BKG136" s="88"/>
      <c r="BKH136" s="88"/>
      <c r="BKI136" s="88"/>
      <c r="BKJ136" s="88"/>
      <c r="BKK136" s="88"/>
      <c r="BKL136" s="88"/>
      <c r="BKM136" s="88"/>
      <c r="BKN136" s="88"/>
      <c r="BKO136" s="88"/>
      <c r="BKP136" s="88"/>
      <c r="BKQ136" s="88"/>
      <c r="BKR136" s="88"/>
      <c r="BKS136" s="88"/>
      <c r="BKT136" s="88"/>
      <c r="BKU136" s="88"/>
      <c r="BKV136" s="88"/>
      <c r="BKW136" s="88"/>
      <c r="BKX136" s="88"/>
      <c r="BKY136" s="88"/>
      <c r="BKZ136" s="88"/>
      <c r="BLA136" s="88"/>
      <c r="BLB136" s="88"/>
      <c r="BLC136" s="88"/>
      <c r="BLD136" s="88"/>
      <c r="BLE136" s="88"/>
      <c r="BLF136" s="88"/>
      <c r="BLG136" s="88"/>
      <c r="BLH136" s="88"/>
      <c r="BLI136" s="88"/>
      <c r="BLJ136" s="88"/>
      <c r="BLK136" s="88"/>
      <c r="BLL136" s="88"/>
      <c r="BLM136" s="88"/>
      <c r="BLN136" s="88"/>
      <c r="BLO136" s="88"/>
      <c r="BLP136" s="88"/>
      <c r="BLQ136" s="88"/>
      <c r="BLR136" s="88"/>
      <c r="BLS136" s="88"/>
      <c r="BLT136" s="88"/>
      <c r="BLU136" s="88"/>
      <c r="BLV136" s="88"/>
      <c r="BLW136" s="88"/>
      <c r="BLX136" s="88"/>
      <c r="BLY136" s="88"/>
      <c r="BLZ136" s="88"/>
      <c r="BMA136" s="88"/>
      <c r="BMB136" s="88"/>
      <c r="BMC136" s="88"/>
      <c r="BMD136" s="88"/>
      <c r="BME136" s="88"/>
      <c r="BMF136" s="88"/>
      <c r="BMG136" s="88"/>
      <c r="BMH136" s="88"/>
      <c r="BMI136" s="88"/>
      <c r="BMJ136" s="88"/>
      <c r="BMK136" s="88"/>
      <c r="BML136" s="88"/>
      <c r="BMM136" s="88"/>
      <c r="BMN136" s="88"/>
      <c r="BMO136" s="88"/>
      <c r="BMP136" s="88"/>
      <c r="BMQ136" s="88"/>
      <c r="BMR136" s="88"/>
      <c r="BMS136" s="88"/>
      <c r="BMT136" s="88"/>
      <c r="BMU136" s="88"/>
      <c r="BMV136" s="88"/>
      <c r="BMW136" s="88"/>
      <c r="BMX136" s="88"/>
      <c r="BMY136" s="88"/>
      <c r="BMZ136" s="88"/>
      <c r="BNA136" s="88"/>
      <c r="BNB136" s="88"/>
      <c r="BNC136" s="88"/>
      <c r="BND136" s="88"/>
      <c r="BNE136" s="88"/>
      <c r="BNF136" s="88"/>
      <c r="BNG136" s="88"/>
      <c r="BNH136" s="88"/>
      <c r="BNI136" s="88"/>
      <c r="BNJ136" s="88"/>
      <c r="BNK136" s="88"/>
      <c r="BNL136" s="88"/>
      <c r="BNM136" s="88"/>
      <c r="BNN136" s="88"/>
      <c r="BNO136" s="88"/>
      <c r="BNP136" s="88"/>
      <c r="BNQ136" s="88"/>
      <c r="BNR136" s="88"/>
      <c r="BNS136" s="88"/>
      <c r="BNT136" s="88"/>
      <c r="BNU136" s="88"/>
      <c r="BNV136" s="88"/>
      <c r="BNW136" s="88"/>
      <c r="BNX136" s="88"/>
      <c r="BNY136" s="88"/>
      <c r="BNZ136" s="88"/>
      <c r="BOA136" s="88"/>
      <c r="BOB136" s="88"/>
      <c r="BOC136" s="88"/>
      <c r="BOD136" s="88"/>
      <c r="BOE136" s="88"/>
      <c r="BOF136" s="88"/>
      <c r="BOG136" s="88"/>
      <c r="BOH136" s="88"/>
      <c r="BOI136" s="88"/>
      <c r="BOJ136" s="88"/>
      <c r="BOK136" s="88"/>
      <c r="BOL136" s="88"/>
      <c r="BOM136" s="88"/>
      <c r="BON136" s="88"/>
      <c r="BOO136" s="88"/>
      <c r="BOP136" s="88"/>
      <c r="BOQ136" s="88"/>
      <c r="BOR136" s="88"/>
      <c r="BOS136" s="88"/>
      <c r="BOT136" s="88"/>
      <c r="BOU136" s="88"/>
      <c r="BOV136" s="88"/>
      <c r="BOW136" s="88"/>
      <c r="BOX136" s="88"/>
      <c r="BOY136" s="88"/>
      <c r="BOZ136" s="88"/>
      <c r="BPA136" s="88"/>
      <c r="BPB136" s="88"/>
      <c r="BPC136" s="88"/>
      <c r="BPD136" s="88"/>
      <c r="BPE136" s="88"/>
      <c r="BPF136" s="88"/>
      <c r="BPG136" s="88"/>
      <c r="BPH136" s="88"/>
      <c r="BPI136" s="88"/>
      <c r="BPJ136" s="88"/>
      <c r="BPK136" s="88"/>
      <c r="BPL136" s="88"/>
      <c r="BPM136" s="88"/>
      <c r="BPN136" s="88"/>
      <c r="BPO136" s="88"/>
      <c r="BPP136" s="88"/>
      <c r="BPQ136" s="88"/>
      <c r="BPR136" s="88"/>
      <c r="BPS136" s="88"/>
      <c r="BPT136" s="88"/>
      <c r="BPU136" s="88"/>
      <c r="BPV136" s="88"/>
      <c r="BPW136" s="88"/>
      <c r="BPX136" s="88"/>
      <c r="BPY136" s="88"/>
      <c r="BPZ136" s="88"/>
      <c r="BQA136" s="88"/>
      <c r="BQB136" s="88"/>
      <c r="BQC136" s="88"/>
      <c r="BQD136" s="88"/>
      <c r="BQE136" s="88"/>
      <c r="BQF136" s="88"/>
      <c r="BQG136" s="88"/>
      <c r="BQH136" s="88"/>
      <c r="BQI136" s="88"/>
      <c r="BQJ136" s="88"/>
      <c r="BQK136" s="88"/>
      <c r="BQL136" s="88"/>
      <c r="BQM136" s="88"/>
      <c r="BQN136" s="88"/>
      <c r="BQO136" s="88"/>
      <c r="BQP136" s="88"/>
      <c r="BQQ136" s="88"/>
      <c r="BQR136" s="88"/>
      <c r="BQS136" s="88"/>
      <c r="BQT136" s="88"/>
      <c r="BQU136" s="88"/>
      <c r="BQV136" s="88"/>
      <c r="BQW136" s="88"/>
      <c r="BQX136" s="88"/>
      <c r="BQY136" s="88"/>
      <c r="BQZ136" s="88"/>
      <c r="BRA136" s="88"/>
      <c r="BRB136" s="88"/>
      <c r="BRC136" s="88"/>
      <c r="BRD136" s="88"/>
      <c r="BRE136" s="88"/>
      <c r="BRF136" s="88"/>
      <c r="BRG136" s="88"/>
      <c r="BRH136" s="88"/>
      <c r="BRI136" s="88"/>
      <c r="BRJ136" s="88"/>
      <c r="BRK136" s="88"/>
      <c r="BRL136" s="88"/>
      <c r="BRM136" s="88"/>
      <c r="BRN136" s="88"/>
      <c r="BRO136" s="88"/>
      <c r="BRP136" s="88"/>
      <c r="BRQ136" s="88"/>
      <c r="BRR136" s="88"/>
      <c r="BRS136" s="88"/>
      <c r="BRT136" s="88"/>
      <c r="BRU136" s="88"/>
      <c r="BRV136" s="88"/>
      <c r="BRW136" s="88"/>
      <c r="BRX136" s="88"/>
      <c r="BRY136" s="88"/>
      <c r="BRZ136" s="88"/>
      <c r="BSA136" s="88"/>
      <c r="BSB136" s="88"/>
      <c r="BSC136" s="88"/>
      <c r="BSD136" s="88"/>
      <c r="BSE136" s="88"/>
      <c r="BSF136" s="88"/>
      <c r="BSG136" s="88"/>
      <c r="BSH136" s="88"/>
      <c r="BSI136" s="88"/>
      <c r="BSJ136" s="88"/>
      <c r="BSK136" s="88"/>
      <c r="BSL136" s="88"/>
      <c r="BSM136" s="88"/>
      <c r="BSN136" s="88"/>
      <c r="BSO136" s="88"/>
      <c r="BSP136" s="88"/>
      <c r="BSQ136" s="88"/>
      <c r="BSR136" s="88"/>
      <c r="BSS136" s="88"/>
      <c r="BST136" s="88"/>
      <c r="BSU136" s="88"/>
      <c r="BSV136" s="88"/>
      <c r="BSW136" s="88"/>
      <c r="BSX136" s="88"/>
      <c r="BSY136" s="88"/>
      <c r="BSZ136" s="88"/>
      <c r="BTA136" s="88"/>
      <c r="BTB136" s="88"/>
      <c r="BTC136" s="88"/>
      <c r="BTD136" s="88"/>
      <c r="BTE136" s="88"/>
      <c r="BTF136" s="88"/>
      <c r="BTG136" s="88"/>
      <c r="BTH136" s="88"/>
      <c r="BTI136" s="88"/>
      <c r="BTJ136" s="88"/>
      <c r="BTK136" s="88"/>
      <c r="BTL136" s="88"/>
      <c r="BTM136" s="88"/>
      <c r="BTN136" s="88"/>
      <c r="BTO136" s="88"/>
      <c r="BTP136" s="88"/>
      <c r="BTQ136" s="88"/>
      <c r="BTR136" s="88"/>
      <c r="BTS136" s="88"/>
      <c r="BTT136" s="88"/>
      <c r="BTU136" s="88"/>
      <c r="BTV136" s="88"/>
      <c r="BTW136" s="88"/>
      <c r="BTX136" s="88"/>
      <c r="BTY136" s="88"/>
      <c r="BTZ136" s="88"/>
      <c r="BUA136" s="88"/>
      <c r="BUB136" s="88"/>
      <c r="BUC136" s="88"/>
      <c r="BUD136" s="88"/>
      <c r="BUE136" s="88"/>
      <c r="BUF136" s="88"/>
      <c r="BUG136" s="88"/>
      <c r="BUH136" s="88"/>
      <c r="BUI136" s="88"/>
      <c r="BUJ136" s="88"/>
      <c r="BUK136" s="88"/>
      <c r="BUL136" s="88"/>
      <c r="BUM136" s="88"/>
      <c r="BUN136" s="88"/>
      <c r="BUO136" s="88"/>
      <c r="BUP136" s="88"/>
      <c r="BUQ136" s="88"/>
      <c r="BUR136" s="88"/>
      <c r="BUS136" s="88"/>
      <c r="BUT136" s="88"/>
      <c r="BUU136" s="88"/>
      <c r="BUV136" s="88"/>
      <c r="BUW136" s="88"/>
      <c r="BUX136" s="88"/>
      <c r="BUY136" s="88"/>
      <c r="BUZ136" s="88"/>
      <c r="BVA136" s="88"/>
      <c r="BVB136" s="88"/>
      <c r="BVC136" s="88"/>
      <c r="BVD136" s="88"/>
      <c r="BVE136" s="88"/>
      <c r="BVF136" s="88"/>
      <c r="BVG136" s="88"/>
      <c r="BVH136" s="88"/>
      <c r="BVI136" s="88"/>
      <c r="BVJ136" s="88"/>
      <c r="BVK136" s="88"/>
      <c r="BVL136" s="88"/>
      <c r="BVM136" s="88"/>
      <c r="BVN136" s="88"/>
      <c r="BVO136" s="88"/>
      <c r="BVP136" s="88"/>
      <c r="BVQ136" s="88"/>
      <c r="BVR136" s="88"/>
      <c r="BVS136" s="88"/>
      <c r="BVT136" s="88"/>
      <c r="BVU136" s="88"/>
      <c r="BVV136" s="88"/>
      <c r="BVW136" s="88"/>
      <c r="BVX136" s="88"/>
      <c r="BVY136" s="88"/>
      <c r="BVZ136" s="88"/>
      <c r="BWA136" s="88"/>
      <c r="BWB136" s="88"/>
      <c r="BWC136" s="88"/>
      <c r="BWD136" s="88"/>
      <c r="BWE136" s="88"/>
      <c r="BWF136" s="88"/>
      <c r="BWG136" s="88"/>
      <c r="BWH136" s="88"/>
      <c r="BWI136" s="88"/>
      <c r="BWJ136" s="88"/>
      <c r="BWK136" s="88"/>
      <c r="BWL136" s="88"/>
      <c r="BWM136" s="88"/>
      <c r="BWN136" s="88"/>
      <c r="BWO136" s="88"/>
      <c r="BWP136" s="88"/>
      <c r="BWQ136" s="88"/>
      <c r="BWR136" s="88"/>
      <c r="BWS136" s="88"/>
      <c r="BWT136" s="88"/>
      <c r="BWU136" s="88"/>
      <c r="BWV136" s="88"/>
      <c r="BWW136" s="88"/>
      <c r="BWX136" s="88"/>
      <c r="BWY136" s="88"/>
      <c r="BWZ136" s="88"/>
      <c r="BXA136" s="88"/>
      <c r="BXB136" s="88"/>
      <c r="BXC136" s="88"/>
      <c r="BXD136" s="88"/>
      <c r="BXE136" s="88"/>
      <c r="BXF136" s="88"/>
      <c r="BXG136" s="88"/>
      <c r="BXH136" s="88"/>
      <c r="BXI136" s="88"/>
      <c r="BXJ136" s="88"/>
      <c r="BXK136" s="88"/>
      <c r="BXL136" s="88"/>
      <c r="BXM136" s="88"/>
      <c r="BXN136" s="88"/>
      <c r="BXO136" s="88"/>
      <c r="BXP136" s="88"/>
      <c r="BXQ136" s="88"/>
      <c r="BXR136" s="88"/>
      <c r="BXS136" s="88"/>
      <c r="BXT136" s="88"/>
      <c r="BXU136" s="88"/>
      <c r="BXV136" s="88"/>
      <c r="BXW136" s="88"/>
      <c r="BXX136" s="88"/>
      <c r="BXY136" s="88"/>
      <c r="BXZ136" s="88"/>
      <c r="BYA136" s="88"/>
      <c r="BYB136" s="88"/>
      <c r="BYC136" s="88"/>
      <c r="BYD136" s="88"/>
      <c r="BYE136" s="88"/>
      <c r="BYF136" s="88"/>
      <c r="BYG136" s="88"/>
      <c r="BYH136" s="88"/>
      <c r="BYI136" s="88"/>
      <c r="BYJ136" s="88"/>
      <c r="BYK136" s="88"/>
      <c r="BYL136" s="88"/>
      <c r="BYM136" s="88"/>
      <c r="BYN136" s="88"/>
      <c r="BYO136" s="88"/>
      <c r="BYP136" s="88"/>
      <c r="BYQ136" s="88"/>
      <c r="BYR136" s="88"/>
      <c r="BYS136" s="88"/>
      <c r="BYT136" s="88"/>
      <c r="BYU136" s="88"/>
      <c r="BYV136" s="88"/>
      <c r="BYW136" s="88"/>
      <c r="BYX136" s="88"/>
      <c r="BYY136" s="88"/>
      <c r="BYZ136" s="88"/>
      <c r="BZA136" s="88"/>
      <c r="BZB136" s="88"/>
      <c r="BZC136" s="88"/>
      <c r="BZD136" s="88"/>
      <c r="BZE136" s="88"/>
      <c r="BZF136" s="88"/>
      <c r="BZG136" s="88"/>
      <c r="BZH136" s="88"/>
      <c r="BZI136" s="88"/>
      <c r="BZJ136" s="88"/>
      <c r="BZK136" s="88"/>
      <c r="BZL136" s="88"/>
      <c r="BZM136" s="88"/>
      <c r="BZN136" s="88"/>
      <c r="BZO136" s="88"/>
      <c r="BZP136" s="88"/>
      <c r="BZQ136" s="88"/>
      <c r="BZR136" s="88"/>
      <c r="BZS136" s="88"/>
      <c r="BZT136" s="88"/>
      <c r="BZU136" s="88"/>
      <c r="BZV136" s="88"/>
      <c r="BZW136" s="88"/>
      <c r="BZX136" s="88"/>
      <c r="BZY136" s="88"/>
      <c r="BZZ136" s="88"/>
      <c r="CAA136" s="88"/>
      <c r="CAB136" s="88"/>
      <c r="CAC136" s="88"/>
      <c r="CAD136" s="88"/>
      <c r="CAE136" s="88"/>
      <c r="CAF136" s="88"/>
      <c r="CAG136" s="88"/>
      <c r="CAH136" s="88"/>
      <c r="CAI136" s="88"/>
      <c r="CAJ136" s="88"/>
      <c r="CAK136" s="88"/>
      <c r="CAL136" s="88"/>
      <c r="CAM136" s="88"/>
      <c r="CAN136" s="88"/>
      <c r="CAO136" s="88"/>
      <c r="CAP136" s="88"/>
      <c r="CAQ136" s="88"/>
      <c r="CAR136" s="88"/>
      <c r="CAS136" s="88"/>
      <c r="CAT136" s="88"/>
      <c r="CAU136" s="88"/>
      <c r="CAV136" s="88"/>
      <c r="CAW136" s="88"/>
      <c r="CAX136" s="88"/>
      <c r="CAY136" s="88"/>
      <c r="CAZ136" s="88"/>
      <c r="CBA136" s="88"/>
      <c r="CBB136" s="88"/>
      <c r="CBC136" s="88"/>
      <c r="CBD136" s="88"/>
      <c r="CBE136" s="88"/>
      <c r="CBF136" s="88"/>
      <c r="CBG136" s="88"/>
      <c r="CBH136" s="88"/>
      <c r="CBI136" s="88"/>
      <c r="CBJ136" s="88"/>
      <c r="CBK136" s="88"/>
      <c r="CBL136" s="88"/>
      <c r="CBM136" s="88"/>
      <c r="CBN136" s="88"/>
      <c r="CBO136" s="88"/>
      <c r="CBP136" s="88"/>
      <c r="CBQ136" s="88"/>
      <c r="CBR136" s="88"/>
      <c r="CBS136" s="88"/>
      <c r="CBT136" s="88"/>
      <c r="CBU136" s="88"/>
      <c r="CBV136" s="88"/>
      <c r="CBW136" s="88"/>
      <c r="CBX136" s="88"/>
      <c r="CBY136" s="88"/>
      <c r="CBZ136" s="88"/>
      <c r="CCA136" s="88"/>
      <c r="CCB136" s="88"/>
      <c r="CCC136" s="88"/>
      <c r="CCD136" s="88"/>
      <c r="CCE136" s="88"/>
      <c r="CCF136" s="88"/>
      <c r="CCG136" s="88"/>
      <c r="CCH136" s="88"/>
      <c r="CCI136" s="88"/>
      <c r="CCJ136" s="88"/>
      <c r="CCK136" s="88"/>
      <c r="CCL136" s="88"/>
      <c r="CCM136" s="88"/>
      <c r="CCN136" s="88"/>
      <c r="CCO136" s="88"/>
      <c r="CCP136" s="88"/>
      <c r="CCQ136" s="88"/>
      <c r="CCR136" s="88"/>
      <c r="CCS136" s="88"/>
      <c r="CCT136" s="88"/>
      <c r="CCU136" s="88"/>
      <c r="CCV136" s="88"/>
      <c r="CCW136" s="88"/>
      <c r="CCX136" s="88"/>
      <c r="CCY136" s="88"/>
      <c r="CCZ136" s="88"/>
      <c r="CDA136" s="88"/>
      <c r="CDB136" s="88"/>
      <c r="CDC136" s="88"/>
      <c r="CDD136" s="88"/>
      <c r="CDE136" s="88"/>
      <c r="CDF136" s="88"/>
      <c r="CDG136" s="88"/>
      <c r="CDH136" s="88"/>
      <c r="CDI136" s="88"/>
      <c r="CDJ136" s="88"/>
      <c r="CDK136" s="88"/>
      <c r="CDL136" s="88"/>
      <c r="CDM136" s="88"/>
      <c r="CDN136" s="88"/>
      <c r="CDO136" s="88"/>
      <c r="CDP136" s="88"/>
      <c r="CDQ136" s="88"/>
      <c r="CDR136" s="88"/>
      <c r="CDS136" s="88"/>
      <c r="CDT136" s="88"/>
      <c r="CDU136" s="88"/>
      <c r="CDV136" s="88"/>
      <c r="CDW136" s="88"/>
      <c r="CDX136" s="88"/>
      <c r="CDY136" s="88"/>
      <c r="CDZ136" s="88"/>
      <c r="CEA136" s="88"/>
      <c r="CEB136" s="88"/>
      <c r="CEC136" s="88"/>
      <c r="CED136" s="88"/>
      <c r="CEE136" s="88"/>
      <c r="CEF136" s="88"/>
      <c r="CEG136" s="88"/>
      <c r="CEH136" s="88"/>
      <c r="CEI136" s="88"/>
      <c r="CEJ136" s="88"/>
      <c r="CEK136" s="88"/>
    </row>
    <row r="137" spans="1:2169" s="63" customFormat="1">
      <c r="A137" s="73" t="s">
        <v>818</v>
      </c>
      <c r="B137" s="73" t="s">
        <v>500</v>
      </c>
      <c r="C137" s="68" t="str">
        <f>IF('page 2'!$O$4="","",IF('page 2'!$O$4=Gestion!A137,1,0))</f>
        <v/>
      </c>
      <c r="D137" s="68" t="str">
        <f>IF('page 2'!$O$5="","",IF('page 2'!$O$5=Gestion!A137,1,0))</f>
        <v/>
      </c>
      <c r="E137" s="68" t="str">
        <f>IF('page 2'!$O$6="","",IF('page 2'!$O$6=Gestion!A137,1,0))</f>
        <v/>
      </c>
      <c r="F137" s="68" t="str">
        <f>IF('page 2'!$O$7="","",IF('page 2'!$O$7=Gestion!A137,1,0))</f>
        <v/>
      </c>
      <c r="G137" s="68" t="str">
        <f>IF('page 2'!$O$8="","",IF('page 2'!$O$8=Gestion!A137,1,0))</f>
        <v/>
      </c>
      <c r="H137" s="68" t="str">
        <f>IF('page 2'!$O$9="","",IF('page 2'!$O$9=Gestion!A137,1,0))</f>
        <v/>
      </c>
      <c r="I137" s="68" t="str">
        <f>IF('page 2'!$O$10="","",IF('page 2'!$O$10=Gestion!A137,1,0))</f>
        <v/>
      </c>
      <c r="J137" s="68" t="str">
        <f>IF('page 2'!$O$11="","",IF('page 2'!$O$11=Gestion!A135,1,0))</f>
        <v/>
      </c>
      <c r="K137" s="68" t="str">
        <f>IF('page 2'!$O$12="","",IF('page 2'!$O$12=Gestion!A137,1,0))</f>
        <v/>
      </c>
      <c r="L137" s="68" t="str">
        <f>IF('page 2'!$O$13="","",IF('page 2'!$O$13=Gestion!A137,1,0))</f>
        <v/>
      </c>
      <c r="M137" s="68" t="str">
        <f>IF('page 2'!$O$14="","",IF('page 2'!$O$14=Gestion!A137,1,0))</f>
        <v/>
      </c>
      <c r="N137" s="68" t="str">
        <f>IF('page 2'!$O$15="","",IF('page 2'!$O$15=Gestion!A137,1,0))</f>
        <v/>
      </c>
      <c r="O137" s="68" t="str">
        <f>IF('page 2'!$O$16="","",IF('page 2'!$O$16=Gestion!A137,1,0))</f>
        <v/>
      </c>
      <c r="P137" s="68" t="str">
        <f>IF('page 2'!$O$17="","",IF('page 2'!$O$17=Gestion!A137,1,0))</f>
        <v/>
      </c>
      <c r="Q137" s="68" t="str">
        <f>IF('page 2'!$O$18="","",IF('page 2'!$O$18=Gestion!A137,1,0))</f>
        <v/>
      </c>
      <c r="R137" s="68" t="str">
        <f>IF('page 2'!$O$19="","",IF('page 2'!$O$19=Gestion!A137,1,0))</f>
        <v/>
      </c>
      <c r="S137" s="68" t="str">
        <f>IF('page 2'!$O$20="","",IF('page 2'!$O$20=Gestion!A137,1,0))</f>
        <v/>
      </c>
      <c r="T137" s="68" t="str">
        <f>IF('page 2'!$O$25="","",IF('page 2'!$O$25=Gestion!A137,1,0))</f>
        <v/>
      </c>
      <c r="U137" s="68" t="str">
        <f>IF('page 2'!$O$26="","",IF('page 2'!$O$26=Gestion!A137,1,0))</f>
        <v/>
      </c>
      <c r="V137" s="68" t="str">
        <f>IF('page 2'!$O$27="","",IF('page 2'!$O$27=Gestion!A137,1,0))</f>
        <v/>
      </c>
      <c r="W137" s="722">
        <f t="shared" si="14"/>
        <v>0</v>
      </c>
      <c r="X137" s="714"/>
      <c r="Y137" s="68"/>
      <c r="Z137" s="68"/>
      <c r="AA137" s="68"/>
      <c r="AB137" s="68"/>
      <c r="AC137" s="68"/>
      <c r="AD137" s="68"/>
      <c r="AP137" s="130"/>
      <c r="AQ137" s="130"/>
      <c r="AR137" s="130"/>
      <c r="AS137" s="576"/>
      <c r="AT137" s="576"/>
      <c r="AU137" s="576"/>
      <c r="AV137" s="576"/>
      <c r="AW137" s="602"/>
      <c r="AX137" s="602"/>
      <c r="AY137" s="576"/>
      <c r="AZ137" s="576"/>
      <c r="BA137" s="576"/>
      <c r="BB137" s="576"/>
      <c r="BC137" s="576"/>
      <c r="BD137" s="602"/>
      <c r="BE137" s="602"/>
      <c r="BF137" s="602"/>
      <c r="BG137" s="602"/>
      <c r="BH137" s="602"/>
      <c r="BI137" s="602"/>
      <c r="BJ137" s="602"/>
      <c r="BK137" s="602"/>
      <c r="BL137" s="602"/>
      <c r="BM137" s="602"/>
      <c r="BN137" s="602"/>
      <c r="BO137" s="602"/>
      <c r="BP137" s="602"/>
      <c r="BQ137" s="602"/>
      <c r="BR137" s="602"/>
      <c r="BS137" s="576"/>
      <c r="BT137" s="576"/>
      <c r="BU137" s="576"/>
      <c r="BV137" s="576"/>
      <c r="BW137" s="602"/>
      <c r="BX137" s="602"/>
      <c r="BY137" s="602"/>
      <c r="BZ137" s="576"/>
      <c r="CA137" s="602"/>
      <c r="CB137" s="602"/>
      <c r="CC137" s="576"/>
      <c r="CD137" s="576"/>
      <c r="CE137" s="602"/>
      <c r="CF137" s="576"/>
      <c r="CG137" s="576"/>
      <c r="CH137" s="576"/>
      <c r="CI137" s="576"/>
      <c r="CJ137" s="576"/>
      <c r="CK137" s="602"/>
      <c r="CL137" s="602"/>
      <c r="CM137" s="576"/>
      <c r="CN137" s="602"/>
      <c r="CO137" s="602"/>
      <c r="CP137" s="602"/>
      <c r="CQ137" s="576"/>
      <c r="CR137" s="576"/>
      <c r="CS137" s="602"/>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c r="HF137" s="88"/>
      <c r="HG137" s="88"/>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88"/>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c r="JI137" s="88"/>
      <c r="JJ137" s="88"/>
      <c r="JK137" s="88"/>
      <c r="JL137" s="88"/>
      <c r="JM137" s="88"/>
      <c r="JN137" s="88"/>
      <c r="JO137" s="88"/>
      <c r="JP137" s="88"/>
      <c r="JQ137" s="88"/>
      <c r="JR137" s="88"/>
      <c r="JS137" s="88"/>
      <c r="JT137" s="88"/>
      <c r="JU137" s="88"/>
      <c r="JV137" s="88"/>
      <c r="JW137" s="88"/>
      <c r="JX137" s="88"/>
      <c r="JY137" s="88"/>
      <c r="JZ137" s="88"/>
      <c r="KA137" s="88"/>
      <c r="KB137" s="88"/>
      <c r="KC137" s="88"/>
      <c r="KD137" s="88"/>
      <c r="KE137" s="88"/>
      <c r="KF137" s="88"/>
      <c r="KG137" s="88"/>
      <c r="KH137" s="88"/>
      <c r="KI137" s="88"/>
      <c r="KJ137" s="88"/>
      <c r="KK137" s="88"/>
      <c r="KL137" s="88"/>
      <c r="KM137" s="88"/>
      <c r="KN137" s="88"/>
      <c r="KO137" s="88"/>
      <c r="KP137" s="88"/>
      <c r="KQ137" s="88"/>
      <c r="KR137" s="88"/>
      <c r="KS137" s="88"/>
      <c r="KT137" s="88"/>
      <c r="KU137" s="88"/>
      <c r="KV137" s="88"/>
      <c r="KW137" s="88"/>
      <c r="KX137" s="88"/>
      <c r="KY137" s="88"/>
      <c r="KZ137" s="88"/>
      <c r="LA137" s="88"/>
      <c r="LB137" s="88"/>
      <c r="LC137" s="88"/>
      <c r="LD137" s="88"/>
      <c r="LE137" s="88"/>
      <c r="LF137" s="88"/>
      <c r="LG137" s="88"/>
      <c r="LH137" s="88"/>
      <c r="LI137" s="88"/>
      <c r="LJ137" s="88"/>
      <c r="LK137" s="88"/>
      <c r="LL137" s="88"/>
      <c r="LM137" s="88"/>
      <c r="LN137" s="88"/>
      <c r="LO137" s="88"/>
      <c r="LP137" s="88"/>
      <c r="LQ137" s="88"/>
      <c r="LR137" s="88"/>
      <c r="LS137" s="88"/>
      <c r="LT137" s="88"/>
      <c r="LU137" s="88"/>
      <c r="LV137" s="88"/>
      <c r="LW137" s="88"/>
      <c r="LX137" s="88"/>
      <c r="LY137" s="88"/>
      <c r="LZ137" s="88"/>
      <c r="MA137" s="88"/>
      <c r="MB137" s="88"/>
      <c r="MC137" s="88"/>
      <c r="MD137" s="88"/>
      <c r="ME137" s="88"/>
      <c r="MF137" s="88"/>
      <c r="MG137" s="88"/>
      <c r="MH137" s="88"/>
      <c r="MI137" s="88"/>
      <c r="MJ137" s="88"/>
      <c r="MK137" s="88"/>
      <c r="ML137" s="88"/>
      <c r="MM137" s="88"/>
      <c r="MN137" s="88"/>
      <c r="MO137" s="88"/>
      <c r="MP137" s="88"/>
      <c r="MQ137" s="88"/>
      <c r="MR137" s="88"/>
      <c r="MS137" s="88"/>
      <c r="MT137" s="88"/>
      <c r="MU137" s="88"/>
      <c r="MV137" s="88"/>
      <c r="MW137" s="88"/>
      <c r="MX137" s="88"/>
      <c r="MY137" s="88"/>
      <c r="MZ137" s="88"/>
      <c r="NA137" s="88"/>
      <c r="NB137" s="88"/>
      <c r="NC137" s="88"/>
      <c r="ND137" s="88"/>
      <c r="NE137" s="88"/>
      <c r="NF137" s="88"/>
      <c r="NG137" s="88"/>
      <c r="NH137" s="88"/>
      <c r="NI137" s="88"/>
      <c r="NJ137" s="88"/>
      <c r="NK137" s="88"/>
      <c r="NL137" s="88"/>
      <c r="NM137" s="88"/>
      <c r="NN137" s="88"/>
      <c r="NO137" s="88"/>
      <c r="NP137" s="88"/>
      <c r="NQ137" s="88"/>
      <c r="NR137" s="88"/>
      <c r="NS137" s="88"/>
      <c r="NT137" s="88"/>
      <c r="NU137" s="88"/>
      <c r="NV137" s="88"/>
      <c r="NW137" s="88"/>
      <c r="NX137" s="88"/>
      <c r="NY137" s="88"/>
      <c r="NZ137" s="88"/>
      <c r="OA137" s="88"/>
      <c r="OB137" s="88"/>
      <c r="OC137" s="88"/>
      <c r="OD137" s="88"/>
      <c r="OE137" s="88"/>
      <c r="OF137" s="88"/>
      <c r="OG137" s="88"/>
      <c r="OH137" s="88"/>
      <c r="OI137" s="88"/>
      <c r="OJ137" s="88"/>
      <c r="OK137" s="88"/>
      <c r="OL137" s="88"/>
      <c r="OM137" s="88"/>
      <c r="ON137" s="88"/>
      <c r="OO137" s="88"/>
      <c r="OP137" s="88"/>
      <c r="OQ137" s="88"/>
      <c r="OR137" s="88"/>
      <c r="OS137" s="88"/>
      <c r="OT137" s="88"/>
      <c r="OU137" s="88"/>
      <c r="OV137" s="88"/>
      <c r="OW137" s="88"/>
      <c r="OX137" s="88"/>
      <c r="OY137" s="88"/>
      <c r="OZ137" s="88"/>
      <c r="PA137" s="88"/>
      <c r="PB137" s="88"/>
      <c r="PC137" s="88"/>
      <c r="PD137" s="88"/>
      <c r="PE137" s="88"/>
      <c r="PF137" s="88"/>
      <c r="PG137" s="88"/>
      <c r="PH137" s="88"/>
      <c r="PI137" s="88"/>
      <c r="PJ137" s="88"/>
      <c r="PK137" s="88"/>
      <c r="PL137" s="88"/>
      <c r="PM137" s="88"/>
      <c r="PN137" s="88"/>
      <c r="PO137" s="88"/>
      <c r="PP137" s="88"/>
      <c r="PQ137" s="88"/>
      <c r="PR137" s="88"/>
      <c r="PS137" s="88"/>
      <c r="PT137" s="88"/>
      <c r="PU137" s="88"/>
      <c r="PV137" s="88"/>
      <c r="PW137" s="88"/>
      <c r="PX137" s="88"/>
      <c r="PY137" s="88"/>
      <c r="PZ137" s="88"/>
      <c r="QA137" s="88"/>
      <c r="QB137" s="88"/>
      <c r="QC137" s="88"/>
      <c r="QD137" s="88"/>
      <c r="QE137" s="88"/>
      <c r="QF137" s="88"/>
      <c r="QG137" s="88"/>
      <c r="QH137" s="88"/>
      <c r="QI137" s="88"/>
      <c r="QJ137" s="88"/>
      <c r="QK137" s="88"/>
      <c r="QL137" s="88"/>
      <c r="QM137" s="88"/>
      <c r="QN137" s="88"/>
      <c r="QO137" s="88"/>
      <c r="QP137" s="88"/>
      <c r="QQ137" s="88"/>
      <c r="QR137" s="88"/>
      <c r="QS137" s="88"/>
      <c r="QT137" s="88"/>
      <c r="QU137" s="88"/>
      <c r="QV137" s="88"/>
      <c r="QW137" s="88"/>
      <c r="QX137" s="88"/>
      <c r="QY137" s="88"/>
      <c r="QZ137" s="88"/>
      <c r="RA137" s="88"/>
      <c r="RB137" s="88"/>
      <c r="RC137" s="88"/>
      <c r="RD137" s="88"/>
      <c r="RE137" s="88"/>
      <c r="RF137" s="88"/>
      <c r="RG137" s="88"/>
      <c r="RH137" s="88"/>
      <c r="RI137" s="88"/>
      <c r="RJ137" s="88"/>
      <c r="RK137" s="88"/>
      <c r="RL137" s="88"/>
      <c r="RM137" s="88"/>
      <c r="RN137" s="88"/>
      <c r="RO137" s="88"/>
      <c r="RP137" s="88"/>
      <c r="RQ137" s="88"/>
      <c r="RR137" s="88"/>
      <c r="RS137" s="88"/>
      <c r="RT137" s="88"/>
      <c r="RU137" s="88"/>
      <c r="RV137" s="88"/>
      <c r="RW137" s="88"/>
      <c r="RX137" s="88"/>
      <c r="RY137" s="88"/>
      <c r="RZ137" s="88"/>
      <c r="SA137" s="88"/>
      <c r="SB137" s="88"/>
      <c r="SC137" s="88"/>
      <c r="SD137" s="88"/>
      <c r="SE137" s="88"/>
      <c r="SF137" s="88"/>
      <c r="SG137" s="88"/>
      <c r="SH137" s="88"/>
      <c r="SI137" s="88"/>
      <c r="SJ137" s="88"/>
      <c r="SK137" s="88"/>
      <c r="SL137" s="88"/>
      <c r="SM137" s="88"/>
      <c r="SN137" s="88"/>
      <c r="SO137" s="88"/>
      <c r="SP137" s="88"/>
      <c r="SQ137" s="88"/>
      <c r="SR137" s="88"/>
      <c r="SS137" s="88"/>
      <c r="ST137" s="88"/>
      <c r="SU137" s="88"/>
      <c r="SV137" s="88"/>
      <c r="SW137" s="88"/>
      <c r="SX137" s="88"/>
      <c r="SY137" s="88"/>
      <c r="SZ137" s="88"/>
      <c r="TA137" s="88"/>
      <c r="TB137" s="88"/>
      <c r="TC137" s="88"/>
      <c r="TD137" s="88"/>
      <c r="TE137" s="88"/>
      <c r="TF137" s="88"/>
      <c r="TG137" s="88"/>
      <c r="TH137" s="88"/>
      <c r="TI137" s="88"/>
      <c r="TJ137" s="88"/>
      <c r="TK137" s="88"/>
      <c r="TL137" s="88"/>
      <c r="TM137" s="88"/>
      <c r="TN137" s="88"/>
      <c r="TO137" s="88"/>
      <c r="TP137" s="88"/>
      <c r="TQ137" s="88"/>
      <c r="TR137" s="88"/>
      <c r="TS137" s="88"/>
      <c r="TT137" s="88"/>
      <c r="TU137" s="88"/>
      <c r="TV137" s="88"/>
      <c r="TW137" s="88"/>
      <c r="TX137" s="88"/>
      <c r="TY137" s="88"/>
      <c r="TZ137" s="88"/>
      <c r="UA137" s="88"/>
      <c r="UB137" s="88"/>
      <c r="UC137" s="88"/>
      <c r="UD137" s="88"/>
      <c r="UE137" s="88"/>
      <c r="UF137" s="88"/>
      <c r="UG137" s="88"/>
      <c r="UH137" s="88"/>
      <c r="UI137" s="88"/>
      <c r="UJ137" s="88"/>
      <c r="UK137" s="88"/>
      <c r="UL137" s="88"/>
      <c r="UM137" s="88"/>
      <c r="UN137" s="88"/>
      <c r="UO137" s="88"/>
      <c r="UP137" s="88"/>
      <c r="UQ137" s="88"/>
      <c r="UR137" s="88"/>
      <c r="US137" s="88"/>
      <c r="UT137" s="88"/>
      <c r="UU137" s="88"/>
      <c r="UV137" s="88"/>
      <c r="UW137" s="88"/>
      <c r="UX137" s="88"/>
      <c r="UY137" s="88"/>
      <c r="UZ137" s="88"/>
      <c r="VA137" s="88"/>
      <c r="VB137" s="88"/>
      <c r="VC137" s="88"/>
      <c r="VD137" s="88"/>
      <c r="VE137" s="88"/>
      <c r="VF137" s="88"/>
      <c r="VG137" s="88"/>
      <c r="VH137" s="88"/>
      <c r="VI137" s="88"/>
      <c r="VJ137" s="88"/>
      <c r="VK137" s="88"/>
      <c r="VL137" s="88"/>
      <c r="VM137" s="88"/>
      <c r="VN137" s="88"/>
      <c r="VO137" s="88"/>
      <c r="VP137" s="88"/>
      <c r="VQ137" s="88"/>
      <c r="VR137" s="88"/>
      <c r="VS137" s="88"/>
      <c r="VT137" s="88"/>
      <c r="VU137" s="88"/>
      <c r="VV137" s="88"/>
      <c r="VW137" s="88"/>
      <c r="VX137" s="88"/>
      <c r="VY137" s="88"/>
      <c r="VZ137" s="88"/>
      <c r="WA137" s="88"/>
      <c r="WB137" s="88"/>
      <c r="WC137" s="88"/>
      <c r="WD137" s="88"/>
      <c r="WE137" s="88"/>
      <c r="WF137" s="88"/>
      <c r="WG137" s="88"/>
      <c r="WH137" s="88"/>
      <c r="WI137" s="88"/>
      <c r="WJ137" s="88"/>
      <c r="WK137" s="88"/>
      <c r="WL137" s="88"/>
      <c r="WM137" s="88"/>
      <c r="WN137" s="88"/>
      <c r="WO137" s="88"/>
      <c r="WP137" s="88"/>
      <c r="WQ137" s="88"/>
      <c r="WR137" s="88"/>
      <c r="WS137" s="88"/>
      <c r="WT137" s="88"/>
      <c r="WU137" s="88"/>
      <c r="WV137" s="88"/>
      <c r="WW137" s="88"/>
      <c r="WX137" s="88"/>
      <c r="WY137" s="88"/>
      <c r="WZ137" s="88"/>
      <c r="XA137" s="88"/>
      <c r="XB137" s="88"/>
      <c r="XC137" s="88"/>
      <c r="XD137" s="88"/>
      <c r="XE137" s="88"/>
      <c r="XF137" s="88"/>
      <c r="XG137" s="88"/>
      <c r="XH137" s="88"/>
      <c r="XI137" s="88"/>
      <c r="XJ137" s="88"/>
      <c r="XK137" s="88"/>
      <c r="XL137" s="88"/>
      <c r="XM137" s="88"/>
      <c r="XN137" s="88"/>
      <c r="XO137" s="88"/>
      <c r="XP137" s="88"/>
      <c r="XQ137" s="88"/>
      <c r="XR137" s="88"/>
      <c r="XS137" s="88"/>
      <c r="XT137" s="88"/>
      <c r="XU137" s="88"/>
      <c r="XV137" s="88"/>
      <c r="XW137" s="88"/>
      <c r="XX137" s="88"/>
      <c r="XY137" s="88"/>
      <c r="XZ137" s="88"/>
      <c r="YA137" s="88"/>
      <c r="YB137" s="88"/>
      <c r="YC137" s="88"/>
      <c r="YD137" s="88"/>
      <c r="YE137" s="88"/>
      <c r="YF137" s="88"/>
      <c r="YG137" s="88"/>
      <c r="YH137" s="88"/>
      <c r="YI137" s="88"/>
      <c r="YJ137" s="88"/>
      <c r="YK137" s="88"/>
      <c r="YL137" s="88"/>
      <c r="YM137" s="88"/>
      <c r="YN137" s="88"/>
      <c r="YO137" s="88"/>
      <c r="YP137" s="88"/>
      <c r="YQ137" s="88"/>
      <c r="YR137" s="88"/>
      <c r="YS137" s="88"/>
      <c r="YT137" s="88"/>
      <c r="YU137" s="88"/>
      <c r="YV137" s="88"/>
      <c r="YW137" s="88"/>
      <c r="YX137" s="88"/>
      <c r="YY137" s="88"/>
      <c r="YZ137" s="88"/>
      <c r="ZA137" s="88"/>
      <c r="ZB137" s="88"/>
      <c r="ZC137" s="88"/>
      <c r="ZD137" s="88"/>
      <c r="ZE137" s="88"/>
      <c r="ZF137" s="88"/>
      <c r="ZG137" s="88"/>
      <c r="ZH137" s="88"/>
      <c r="ZI137" s="88"/>
      <c r="ZJ137" s="88"/>
      <c r="ZK137" s="88"/>
      <c r="ZL137" s="88"/>
      <c r="ZM137" s="88"/>
      <c r="ZN137" s="88"/>
      <c r="ZO137" s="88"/>
      <c r="ZP137" s="88"/>
      <c r="ZQ137" s="88"/>
      <c r="ZR137" s="88"/>
      <c r="ZS137" s="88"/>
      <c r="ZT137" s="88"/>
      <c r="ZU137" s="88"/>
      <c r="ZV137" s="88"/>
      <c r="ZW137" s="88"/>
      <c r="ZX137" s="88"/>
      <c r="ZY137" s="88"/>
      <c r="ZZ137" s="88"/>
      <c r="AAA137" s="88"/>
      <c r="AAB137" s="88"/>
      <c r="AAC137" s="88"/>
      <c r="AAD137" s="88"/>
      <c r="AAE137" s="88"/>
      <c r="AAF137" s="88"/>
      <c r="AAG137" s="88"/>
      <c r="AAH137" s="88"/>
      <c r="AAI137" s="88"/>
      <c r="AAJ137" s="88"/>
      <c r="AAK137" s="88"/>
      <c r="AAL137" s="88"/>
      <c r="AAM137" s="88"/>
      <c r="AAN137" s="88"/>
      <c r="AAO137" s="88"/>
      <c r="AAP137" s="88"/>
      <c r="AAQ137" s="88"/>
      <c r="AAR137" s="88"/>
      <c r="AAS137" s="88"/>
      <c r="AAT137" s="88"/>
      <c r="AAU137" s="88"/>
      <c r="AAV137" s="88"/>
      <c r="AAW137" s="88"/>
      <c r="AAX137" s="88"/>
      <c r="AAY137" s="88"/>
      <c r="AAZ137" s="88"/>
      <c r="ABA137" s="88"/>
      <c r="ABB137" s="88"/>
      <c r="ABC137" s="88"/>
      <c r="ABD137" s="88"/>
      <c r="ABE137" s="88"/>
      <c r="ABF137" s="88"/>
      <c r="ABG137" s="88"/>
      <c r="ABH137" s="88"/>
      <c r="ABI137" s="88"/>
      <c r="ABJ137" s="88"/>
      <c r="ABK137" s="88"/>
      <c r="ABL137" s="88"/>
      <c r="ABM137" s="88"/>
      <c r="ABN137" s="88"/>
      <c r="ABO137" s="88"/>
      <c r="ABP137" s="88"/>
      <c r="ABQ137" s="88"/>
      <c r="ABR137" s="88"/>
      <c r="ABS137" s="88"/>
      <c r="ABT137" s="88"/>
      <c r="ABU137" s="88"/>
      <c r="ABV137" s="88"/>
      <c r="ABW137" s="88"/>
      <c r="ABX137" s="88"/>
      <c r="ABY137" s="88"/>
      <c r="ABZ137" s="88"/>
      <c r="ACA137" s="88"/>
      <c r="ACB137" s="88"/>
      <c r="ACC137" s="88"/>
      <c r="ACD137" s="88"/>
      <c r="ACE137" s="88"/>
      <c r="ACF137" s="88"/>
      <c r="ACG137" s="88"/>
      <c r="ACH137" s="88"/>
      <c r="ACI137" s="88"/>
      <c r="ACJ137" s="88"/>
      <c r="ACK137" s="88"/>
      <c r="ACL137" s="88"/>
      <c r="ACM137" s="88"/>
      <c r="ACN137" s="88"/>
      <c r="ACO137" s="88"/>
      <c r="ACP137" s="88"/>
      <c r="ACQ137" s="88"/>
      <c r="ACR137" s="88"/>
      <c r="ACS137" s="88"/>
      <c r="ACT137" s="88"/>
      <c r="ACU137" s="88"/>
      <c r="ACV137" s="88"/>
      <c r="ACW137" s="88"/>
      <c r="ACX137" s="88"/>
      <c r="ACY137" s="88"/>
      <c r="ACZ137" s="88"/>
      <c r="ADA137" s="88"/>
      <c r="ADB137" s="88"/>
      <c r="ADC137" s="88"/>
      <c r="ADD137" s="88"/>
      <c r="ADE137" s="88"/>
      <c r="ADF137" s="88"/>
      <c r="ADG137" s="88"/>
      <c r="ADH137" s="88"/>
      <c r="ADI137" s="88"/>
      <c r="ADJ137" s="88"/>
      <c r="ADK137" s="88"/>
      <c r="ADL137" s="88"/>
      <c r="ADM137" s="88"/>
      <c r="ADN137" s="88"/>
      <c r="ADO137" s="88"/>
      <c r="ADP137" s="88"/>
      <c r="ADQ137" s="88"/>
      <c r="ADR137" s="88"/>
      <c r="ADS137" s="88"/>
      <c r="ADT137" s="88"/>
      <c r="ADU137" s="88"/>
      <c r="ADV137" s="88"/>
      <c r="ADW137" s="88"/>
      <c r="ADX137" s="88"/>
      <c r="ADY137" s="88"/>
      <c r="ADZ137" s="88"/>
      <c r="AEA137" s="88"/>
      <c r="AEB137" s="88"/>
      <c r="AEC137" s="88"/>
      <c r="AED137" s="88"/>
      <c r="AEE137" s="88"/>
      <c r="AEF137" s="88"/>
      <c r="AEG137" s="88"/>
      <c r="AEH137" s="88"/>
      <c r="AEI137" s="88"/>
      <c r="AEJ137" s="88"/>
      <c r="AEK137" s="88"/>
      <c r="AEL137" s="88"/>
      <c r="AEM137" s="88"/>
      <c r="AEN137" s="88"/>
      <c r="AEO137" s="88"/>
      <c r="AEP137" s="88"/>
      <c r="AEQ137" s="88"/>
      <c r="AER137" s="88"/>
      <c r="AES137" s="88"/>
      <c r="AET137" s="88"/>
      <c r="AEU137" s="88"/>
      <c r="AEV137" s="88"/>
      <c r="AEW137" s="88"/>
      <c r="AEX137" s="88"/>
      <c r="AEY137" s="88"/>
      <c r="AEZ137" s="88"/>
      <c r="AFA137" s="88"/>
      <c r="AFB137" s="88"/>
      <c r="AFC137" s="88"/>
      <c r="AFD137" s="88"/>
      <c r="AFE137" s="88"/>
      <c r="AFF137" s="88"/>
      <c r="AFG137" s="88"/>
      <c r="AFH137" s="88"/>
      <c r="AFI137" s="88"/>
      <c r="AFJ137" s="88"/>
      <c r="AFK137" s="88"/>
      <c r="AFL137" s="88"/>
      <c r="AFM137" s="88"/>
      <c r="AFN137" s="88"/>
      <c r="AFO137" s="88"/>
      <c r="AFP137" s="88"/>
      <c r="AFQ137" s="88"/>
      <c r="AFR137" s="88"/>
      <c r="AFS137" s="88"/>
      <c r="AFT137" s="88"/>
      <c r="AFU137" s="88"/>
      <c r="AFV137" s="88"/>
      <c r="AFW137" s="88"/>
      <c r="AFX137" s="88"/>
      <c r="AFY137" s="88"/>
      <c r="AFZ137" s="88"/>
      <c r="AGA137" s="88"/>
      <c r="AGB137" s="88"/>
      <c r="AGC137" s="88"/>
      <c r="AGD137" s="88"/>
      <c r="AGE137" s="88"/>
      <c r="AGF137" s="88"/>
      <c r="AGG137" s="88"/>
      <c r="AGH137" s="88"/>
      <c r="AGI137" s="88"/>
      <c r="AGJ137" s="88"/>
      <c r="AGK137" s="88"/>
      <c r="AGL137" s="88"/>
      <c r="AGM137" s="88"/>
      <c r="AGN137" s="88"/>
      <c r="AGO137" s="88"/>
      <c r="AGP137" s="88"/>
      <c r="AGQ137" s="88"/>
      <c r="AGR137" s="88"/>
      <c r="AGS137" s="88"/>
      <c r="AGT137" s="88"/>
      <c r="AGU137" s="88"/>
      <c r="AGV137" s="88"/>
      <c r="AGW137" s="88"/>
      <c r="AGX137" s="88"/>
      <c r="AGY137" s="88"/>
      <c r="AGZ137" s="88"/>
      <c r="AHA137" s="88"/>
      <c r="AHB137" s="88"/>
      <c r="AHC137" s="88"/>
      <c r="AHD137" s="88"/>
      <c r="AHE137" s="88"/>
      <c r="AHF137" s="88"/>
      <c r="AHG137" s="88"/>
      <c r="AHH137" s="88"/>
      <c r="AHI137" s="88"/>
      <c r="AHJ137" s="88"/>
      <c r="AHK137" s="88"/>
      <c r="AHL137" s="88"/>
      <c r="AHM137" s="88"/>
      <c r="AHN137" s="88"/>
      <c r="AHO137" s="88"/>
      <c r="AHP137" s="88"/>
      <c r="AHQ137" s="88"/>
      <c r="AHR137" s="88"/>
      <c r="AHS137" s="88"/>
      <c r="AHT137" s="88"/>
      <c r="AHU137" s="88"/>
      <c r="AHV137" s="88"/>
      <c r="AHW137" s="88"/>
      <c r="AHX137" s="88"/>
      <c r="AHY137" s="88"/>
      <c r="AHZ137" s="88"/>
      <c r="AIA137" s="88"/>
      <c r="AIB137" s="88"/>
      <c r="AIC137" s="88"/>
      <c r="AID137" s="88"/>
      <c r="AIE137" s="88"/>
      <c r="AIF137" s="88"/>
      <c r="AIG137" s="88"/>
      <c r="AIH137" s="88"/>
      <c r="AII137" s="88"/>
      <c r="AIJ137" s="88"/>
      <c r="AIK137" s="88"/>
      <c r="AIL137" s="88"/>
      <c r="AIM137" s="88"/>
      <c r="AIN137" s="88"/>
      <c r="AIO137" s="88"/>
      <c r="AIP137" s="88"/>
      <c r="AIQ137" s="88"/>
      <c r="AIR137" s="88"/>
      <c r="AIS137" s="88"/>
      <c r="AIT137" s="88"/>
      <c r="AIU137" s="88"/>
      <c r="AIV137" s="88"/>
      <c r="AIW137" s="88"/>
      <c r="AIX137" s="88"/>
      <c r="AIY137" s="88"/>
      <c r="AIZ137" s="88"/>
      <c r="AJA137" s="88"/>
      <c r="AJB137" s="88"/>
      <c r="AJC137" s="88"/>
      <c r="AJD137" s="88"/>
      <c r="AJE137" s="88"/>
      <c r="AJF137" s="88"/>
      <c r="AJG137" s="88"/>
      <c r="AJH137" s="88"/>
      <c r="AJI137" s="88"/>
      <c r="AJJ137" s="88"/>
      <c r="AJK137" s="88"/>
      <c r="AJL137" s="88"/>
      <c r="AJM137" s="88"/>
      <c r="AJN137" s="88"/>
      <c r="AJO137" s="88"/>
      <c r="AJP137" s="88"/>
      <c r="AJQ137" s="88"/>
      <c r="AJR137" s="88"/>
      <c r="AJS137" s="88"/>
      <c r="AJT137" s="88"/>
      <c r="AJU137" s="88"/>
      <c r="AJV137" s="88"/>
      <c r="AJW137" s="88"/>
      <c r="AJX137" s="88"/>
      <c r="AJY137" s="88"/>
      <c r="AJZ137" s="88"/>
      <c r="AKA137" s="88"/>
      <c r="AKB137" s="88"/>
      <c r="AKC137" s="88"/>
      <c r="AKD137" s="88"/>
      <c r="AKE137" s="88"/>
      <c r="AKF137" s="88"/>
      <c r="AKG137" s="88"/>
      <c r="AKH137" s="88"/>
      <c r="AKI137" s="88"/>
      <c r="AKJ137" s="88"/>
      <c r="AKK137" s="88"/>
      <c r="AKL137" s="88"/>
      <c r="AKM137" s="88"/>
      <c r="AKN137" s="88"/>
      <c r="AKO137" s="88"/>
      <c r="AKP137" s="88"/>
      <c r="AKQ137" s="88"/>
      <c r="AKR137" s="88"/>
      <c r="AKS137" s="88"/>
      <c r="AKT137" s="88"/>
      <c r="AKU137" s="88"/>
      <c r="AKV137" s="88"/>
      <c r="AKW137" s="88"/>
      <c r="AKX137" s="88"/>
      <c r="AKY137" s="88"/>
      <c r="AKZ137" s="88"/>
      <c r="ALA137" s="88"/>
      <c r="ALB137" s="88"/>
      <c r="ALC137" s="88"/>
      <c r="ALD137" s="88"/>
      <c r="ALE137" s="88"/>
      <c r="ALF137" s="88"/>
      <c r="ALG137" s="88"/>
      <c r="ALH137" s="88"/>
      <c r="ALI137" s="88"/>
      <c r="ALJ137" s="88"/>
      <c r="ALK137" s="88"/>
      <c r="ALL137" s="88"/>
      <c r="ALM137" s="88"/>
      <c r="ALN137" s="88"/>
      <c r="ALO137" s="88"/>
      <c r="ALP137" s="88"/>
      <c r="ALQ137" s="88"/>
      <c r="ALR137" s="88"/>
      <c r="ALS137" s="88"/>
      <c r="ALT137" s="88"/>
      <c r="ALU137" s="88"/>
      <c r="ALV137" s="88"/>
      <c r="ALW137" s="88"/>
      <c r="ALX137" s="88"/>
      <c r="ALY137" s="88"/>
      <c r="ALZ137" s="88"/>
      <c r="AMA137" s="88"/>
      <c r="AMB137" s="88"/>
      <c r="AMC137" s="88"/>
      <c r="AMD137" s="88"/>
      <c r="AME137" s="88"/>
      <c r="AMF137" s="88"/>
      <c r="AMG137" s="88"/>
      <c r="AMH137" s="88"/>
      <c r="AMI137" s="88"/>
      <c r="AMJ137" s="88"/>
      <c r="AMK137" s="88"/>
      <c r="AML137" s="88"/>
      <c r="AMM137" s="88"/>
      <c r="AMN137" s="88"/>
      <c r="AMO137" s="88"/>
      <c r="AMP137" s="88"/>
      <c r="AMQ137" s="88"/>
      <c r="AMR137" s="88"/>
      <c r="AMS137" s="88"/>
      <c r="AMT137" s="88"/>
      <c r="AMU137" s="88"/>
      <c r="AMV137" s="88"/>
      <c r="AMW137" s="88"/>
      <c r="AMX137" s="88"/>
      <c r="AMY137" s="88"/>
      <c r="AMZ137" s="88"/>
      <c r="ANA137" s="88"/>
      <c r="ANB137" s="88"/>
      <c r="ANC137" s="88"/>
      <c r="AND137" s="88"/>
      <c r="ANE137" s="88"/>
      <c r="ANF137" s="88"/>
      <c r="ANG137" s="88"/>
      <c r="ANH137" s="88"/>
      <c r="ANI137" s="88"/>
      <c r="ANJ137" s="88"/>
      <c r="ANK137" s="88"/>
      <c r="ANL137" s="88"/>
      <c r="ANM137" s="88"/>
      <c r="ANN137" s="88"/>
      <c r="ANO137" s="88"/>
      <c r="ANP137" s="88"/>
      <c r="ANQ137" s="88"/>
      <c r="ANR137" s="88"/>
      <c r="ANS137" s="88"/>
      <c r="ANT137" s="88"/>
      <c r="ANU137" s="88"/>
      <c r="ANV137" s="88"/>
      <c r="ANW137" s="88"/>
      <c r="ANX137" s="88"/>
      <c r="ANY137" s="88"/>
      <c r="ANZ137" s="88"/>
      <c r="AOA137" s="88"/>
      <c r="AOB137" s="88"/>
      <c r="AOC137" s="88"/>
      <c r="AOD137" s="88"/>
      <c r="AOE137" s="88"/>
      <c r="AOF137" s="88"/>
      <c r="AOG137" s="88"/>
      <c r="AOH137" s="88"/>
      <c r="AOI137" s="88"/>
      <c r="AOJ137" s="88"/>
      <c r="AOK137" s="88"/>
      <c r="AOL137" s="88"/>
      <c r="AOM137" s="88"/>
      <c r="AON137" s="88"/>
      <c r="AOO137" s="88"/>
      <c r="AOP137" s="88"/>
      <c r="AOQ137" s="88"/>
      <c r="AOR137" s="88"/>
      <c r="AOS137" s="88"/>
      <c r="AOT137" s="88"/>
      <c r="AOU137" s="88"/>
      <c r="AOV137" s="88"/>
      <c r="AOW137" s="88"/>
      <c r="AOX137" s="88"/>
      <c r="AOY137" s="88"/>
      <c r="AOZ137" s="88"/>
      <c r="APA137" s="88"/>
      <c r="APB137" s="88"/>
      <c r="APC137" s="88"/>
      <c r="APD137" s="88"/>
      <c r="APE137" s="88"/>
      <c r="APF137" s="88"/>
      <c r="APG137" s="88"/>
      <c r="APH137" s="88"/>
      <c r="API137" s="88"/>
      <c r="APJ137" s="88"/>
      <c r="APK137" s="88"/>
      <c r="APL137" s="88"/>
      <c r="APM137" s="88"/>
      <c r="APN137" s="88"/>
      <c r="APO137" s="88"/>
      <c r="APP137" s="88"/>
      <c r="APQ137" s="88"/>
      <c r="APR137" s="88"/>
      <c r="APS137" s="88"/>
      <c r="APT137" s="88"/>
      <c r="APU137" s="88"/>
      <c r="APV137" s="88"/>
      <c r="APW137" s="88"/>
      <c r="APX137" s="88"/>
      <c r="APY137" s="88"/>
      <c r="APZ137" s="88"/>
      <c r="AQA137" s="88"/>
      <c r="AQB137" s="88"/>
      <c r="AQC137" s="88"/>
      <c r="AQD137" s="88"/>
      <c r="AQE137" s="88"/>
      <c r="AQF137" s="88"/>
      <c r="AQG137" s="88"/>
      <c r="AQH137" s="88"/>
      <c r="AQI137" s="88"/>
      <c r="AQJ137" s="88"/>
      <c r="AQK137" s="88"/>
      <c r="AQL137" s="88"/>
      <c r="AQM137" s="88"/>
      <c r="AQN137" s="88"/>
      <c r="AQO137" s="88"/>
      <c r="AQP137" s="88"/>
      <c r="AQQ137" s="88"/>
      <c r="AQR137" s="88"/>
      <c r="AQS137" s="88"/>
      <c r="AQT137" s="88"/>
      <c r="AQU137" s="88"/>
      <c r="AQV137" s="88"/>
      <c r="AQW137" s="88"/>
      <c r="AQX137" s="88"/>
      <c r="AQY137" s="88"/>
      <c r="AQZ137" s="88"/>
      <c r="ARA137" s="88"/>
      <c r="ARB137" s="88"/>
      <c r="ARC137" s="88"/>
      <c r="ARD137" s="88"/>
      <c r="ARE137" s="88"/>
      <c r="ARF137" s="88"/>
      <c r="ARG137" s="88"/>
      <c r="ARH137" s="88"/>
      <c r="ARI137" s="88"/>
      <c r="ARJ137" s="88"/>
      <c r="ARK137" s="88"/>
      <c r="ARL137" s="88"/>
      <c r="ARM137" s="88"/>
      <c r="ARN137" s="88"/>
      <c r="ARO137" s="88"/>
      <c r="ARP137" s="88"/>
      <c r="ARQ137" s="88"/>
      <c r="ARR137" s="88"/>
      <c r="ARS137" s="88"/>
      <c r="ART137" s="88"/>
      <c r="ARU137" s="88"/>
      <c r="ARV137" s="88"/>
      <c r="ARW137" s="88"/>
      <c r="ARX137" s="88"/>
      <c r="ARY137" s="88"/>
      <c r="ARZ137" s="88"/>
      <c r="ASA137" s="88"/>
      <c r="ASB137" s="88"/>
      <c r="ASC137" s="88"/>
      <c r="ASD137" s="88"/>
      <c r="ASE137" s="88"/>
      <c r="ASF137" s="88"/>
      <c r="ASG137" s="88"/>
      <c r="ASH137" s="88"/>
      <c r="ASI137" s="88"/>
      <c r="ASJ137" s="88"/>
      <c r="ASK137" s="88"/>
      <c r="ASL137" s="88"/>
      <c r="ASM137" s="88"/>
      <c r="ASN137" s="88"/>
      <c r="ASO137" s="88"/>
      <c r="ASP137" s="88"/>
      <c r="ASQ137" s="88"/>
      <c r="ASR137" s="88"/>
      <c r="ASS137" s="88"/>
      <c r="AST137" s="88"/>
      <c r="ASU137" s="88"/>
      <c r="ASV137" s="88"/>
      <c r="ASW137" s="88"/>
      <c r="ASX137" s="88"/>
      <c r="ASY137" s="88"/>
      <c r="ASZ137" s="88"/>
      <c r="ATA137" s="88"/>
      <c r="ATB137" s="88"/>
      <c r="ATC137" s="88"/>
      <c r="ATD137" s="88"/>
      <c r="ATE137" s="88"/>
      <c r="ATF137" s="88"/>
      <c r="ATG137" s="88"/>
      <c r="ATH137" s="88"/>
      <c r="ATI137" s="88"/>
      <c r="ATJ137" s="88"/>
      <c r="ATK137" s="88"/>
      <c r="ATL137" s="88"/>
      <c r="ATM137" s="88"/>
      <c r="ATN137" s="88"/>
      <c r="ATO137" s="88"/>
      <c r="ATP137" s="88"/>
      <c r="ATQ137" s="88"/>
      <c r="ATR137" s="88"/>
      <c r="ATS137" s="88"/>
      <c r="ATT137" s="88"/>
      <c r="ATU137" s="88"/>
      <c r="ATV137" s="88"/>
      <c r="ATW137" s="88"/>
      <c r="ATX137" s="88"/>
      <c r="ATY137" s="88"/>
      <c r="ATZ137" s="88"/>
      <c r="AUA137" s="88"/>
      <c r="AUB137" s="88"/>
      <c r="AUC137" s="88"/>
      <c r="AUD137" s="88"/>
      <c r="AUE137" s="88"/>
      <c r="AUF137" s="88"/>
      <c r="AUG137" s="88"/>
      <c r="AUH137" s="88"/>
      <c r="AUI137" s="88"/>
      <c r="AUJ137" s="88"/>
      <c r="AUK137" s="88"/>
      <c r="AUL137" s="88"/>
      <c r="AUM137" s="88"/>
      <c r="AUN137" s="88"/>
      <c r="AUO137" s="88"/>
      <c r="AUP137" s="88"/>
      <c r="AUQ137" s="88"/>
      <c r="AUR137" s="88"/>
      <c r="AUS137" s="88"/>
      <c r="AUT137" s="88"/>
      <c r="AUU137" s="88"/>
      <c r="AUV137" s="88"/>
      <c r="AUW137" s="88"/>
      <c r="AUX137" s="88"/>
      <c r="AUY137" s="88"/>
      <c r="AUZ137" s="88"/>
      <c r="AVA137" s="88"/>
      <c r="AVB137" s="88"/>
      <c r="AVC137" s="88"/>
      <c r="AVD137" s="88"/>
      <c r="AVE137" s="88"/>
      <c r="AVF137" s="88"/>
      <c r="AVG137" s="88"/>
      <c r="AVH137" s="88"/>
      <c r="AVI137" s="88"/>
      <c r="AVJ137" s="88"/>
      <c r="AVK137" s="88"/>
      <c r="AVL137" s="88"/>
      <c r="AVM137" s="88"/>
      <c r="AVN137" s="88"/>
      <c r="AVO137" s="88"/>
      <c r="AVP137" s="88"/>
      <c r="AVQ137" s="88"/>
      <c r="AVR137" s="88"/>
      <c r="AVS137" s="88"/>
      <c r="AVT137" s="88"/>
      <c r="AVU137" s="88"/>
      <c r="AVV137" s="88"/>
      <c r="AVW137" s="88"/>
      <c r="AVX137" s="88"/>
      <c r="AVY137" s="88"/>
      <c r="AVZ137" s="88"/>
      <c r="AWA137" s="88"/>
      <c r="AWB137" s="88"/>
      <c r="AWC137" s="88"/>
      <c r="AWD137" s="88"/>
      <c r="AWE137" s="88"/>
      <c r="AWF137" s="88"/>
      <c r="AWG137" s="88"/>
      <c r="AWH137" s="88"/>
      <c r="AWI137" s="88"/>
      <c r="AWJ137" s="88"/>
      <c r="AWK137" s="88"/>
      <c r="AWL137" s="88"/>
      <c r="AWM137" s="88"/>
      <c r="AWN137" s="88"/>
      <c r="AWO137" s="88"/>
      <c r="AWP137" s="88"/>
      <c r="AWQ137" s="88"/>
      <c r="AWR137" s="88"/>
      <c r="AWS137" s="88"/>
      <c r="AWT137" s="88"/>
      <c r="AWU137" s="88"/>
      <c r="AWV137" s="88"/>
      <c r="AWW137" s="88"/>
      <c r="AWX137" s="88"/>
      <c r="AWY137" s="88"/>
      <c r="AWZ137" s="88"/>
      <c r="AXA137" s="88"/>
      <c r="AXB137" s="88"/>
      <c r="AXC137" s="88"/>
      <c r="AXD137" s="88"/>
      <c r="AXE137" s="88"/>
      <c r="AXF137" s="88"/>
      <c r="AXG137" s="88"/>
      <c r="AXH137" s="88"/>
      <c r="AXI137" s="88"/>
      <c r="AXJ137" s="88"/>
      <c r="AXK137" s="88"/>
      <c r="AXL137" s="88"/>
      <c r="AXM137" s="88"/>
      <c r="AXN137" s="88"/>
      <c r="AXO137" s="88"/>
      <c r="AXP137" s="88"/>
      <c r="AXQ137" s="88"/>
      <c r="AXR137" s="88"/>
      <c r="AXS137" s="88"/>
      <c r="AXT137" s="88"/>
      <c r="AXU137" s="88"/>
      <c r="AXV137" s="88"/>
      <c r="AXW137" s="88"/>
      <c r="AXX137" s="88"/>
      <c r="AXY137" s="88"/>
      <c r="AXZ137" s="88"/>
      <c r="AYA137" s="88"/>
      <c r="AYB137" s="88"/>
      <c r="AYC137" s="88"/>
      <c r="AYD137" s="88"/>
      <c r="AYE137" s="88"/>
      <c r="AYF137" s="88"/>
      <c r="AYG137" s="88"/>
      <c r="AYH137" s="88"/>
      <c r="AYI137" s="88"/>
      <c r="AYJ137" s="88"/>
      <c r="AYK137" s="88"/>
      <c r="AYL137" s="88"/>
      <c r="AYM137" s="88"/>
      <c r="AYN137" s="88"/>
      <c r="AYO137" s="88"/>
      <c r="AYP137" s="88"/>
      <c r="AYQ137" s="88"/>
      <c r="AYR137" s="88"/>
      <c r="AYS137" s="88"/>
      <c r="AYT137" s="88"/>
      <c r="AYU137" s="88"/>
      <c r="AYV137" s="88"/>
      <c r="AYW137" s="88"/>
      <c r="AYX137" s="88"/>
      <c r="AYY137" s="88"/>
      <c r="AYZ137" s="88"/>
      <c r="AZA137" s="88"/>
      <c r="AZB137" s="88"/>
      <c r="AZC137" s="88"/>
      <c r="AZD137" s="88"/>
      <c r="AZE137" s="88"/>
      <c r="AZF137" s="88"/>
      <c r="AZG137" s="88"/>
      <c r="AZH137" s="88"/>
      <c r="AZI137" s="88"/>
      <c r="AZJ137" s="88"/>
      <c r="AZK137" s="88"/>
      <c r="AZL137" s="88"/>
      <c r="AZM137" s="88"/>
      <c r="AZN137" s="88"/>
      <c r="AZO137" s="88"/>
      <c r="AZP137" s="88"/>
      <c r="AZQ137" s="88"/>
      <c r="AZR137" s="88"/>
      <c r="AZS137" s="88"/>
      <c r="AZT137" s="88"/>
      <c r="AZU137" s="88"/>
      <c r="AZV137" s="88"/>
      <c r="AZW137" s="88"/>
      <c r="AZX137" s="88"/>
      <c r="AZY137" s="88"/>
      <c r="AZZ137" s="88"/>
      <c r="BAA137" s="88"/>
      <c r="BAB137" s="88"/>
      <c r="BAC137" s="88"/>
      <c r="BAD137" s="88"/>
      <c r="BAE137" s="88"/>
      <c r="BAF137" s="88"/>
      <c r="BAG137" s="88"/>
      <c r="BAH137" s="88"/>
      <c r="BAI137" s="88"/>
      <c r="BAJ137" s="88"/>
      <c r="BAK137" s="88"/>
      <c r="BAL137" s="88"/>
      <c r="BAM137" s="88"/>
      <c r="BAN137" s="88"/>
      <c r="BAO137" s="88"/>
      <c r="BAP137" s="88"/>
      <c r="BAQ137" s="88"/>
      <c r="BAR137" s="88"/>
      <c r="BAS137" s="88"/>
      <c r="BAT137" s="88"/>
      <c r="BAU137" s="88"/>
      <c r="BAV137" s="88"/>
      <c r="BAW137" s="88"/>
      <c r="BAX137" s="88"/>
      <c r="BAY137" s="88"/>
      <c r="BAZ137" s="88"/>
      <c r="BBA137" s="88"/>
      <c r="BBB137" s="88"/>
      <c r="BBC137" s="88"/>
      <c r="BBD137" s="88"/>
      <c r="BBE137" s="88"/>
      <c r="BBF137" s="88"/>
      <c r="BBG137" s="88"/>
      <c r="BBH137" s="88"/>
      <c r="BBI137" s="88"/>
      <c r="BBJ137" s="88"/>
      <c r="BBK137" s="88"/>
      <c r="BBL137" s="88"/>
      <c r="BBM137" s="88"/>
      <c r="BBN137" s="88"/>
      <c r="BBO137" s="88"/>
      <c r="BBP137" s="88"/>
      <c r="BBQ137" s="88"/>
      <c r="BBR137" s="88"/>
      <c r="BBS137" s="88"/>
      <c r="BBT137" s="88"/>
      <c r="BBU137" s="88"/>
      <c r="BBV137" s="88"/>
      <c r="BBW137" s="88"/>
      <c r="BBX137" s="88"/>
      <c r="BBY137" s="88"/>
      <c r="BBZ137" s="88"/>
      <c r="BCA137" s="88"/>
      <c r="BCB137" s="88"/>
      <c r="BCC137" s="88"/>
      <c r="BCD137" s="88"/>
      <c r="BCE137" s="88"/>
      <c r="BCF137" s="88"/>
      <c r="BCG137" s="88"/>
      <c r="BCH137" s="88"/>
      <c r="BCI137" s="88"/>
      <c r="BCJ137" s="88"/>
      <c r="BCK137" s="88"/>
      <c r="BCL137" s="88"/>
      <c r="BCM137" s="88"/>
      <c r="BCN137" s="88"/>
      <c r="BCO137" s="88"/>
      <c r="BCP137" s="88"/>
      <c r="BCQ137" s="88"/>
      <c r="BCR137" s="88"/>
      <c r="BCS137" s="88"/>
      <c r="BCT137" s="88"/>
      <c r="BCU137" s="88"/>
      <c r="BCV137" s="88"/>
      <c r="BCW137" s="88"/>
      <c r="BCX137" s="88"/>
      <c r="BCY137" s="88"/>
      <c r="BCZ137" s="88"/>
      <c r="BDA137" s="88"/>
      <c r="BDB137" s="88"/>
      <c r="BDC137" s="88"/>
      <c r="BDD137" s="88"/>
      <c r="BDE137" s="88"/>
      <c r="BDF137" s="88"/>
      <c r="BDG137" s="88"/>
      <c r="BDH137" s="88"/>
      <c r="BDI137" s="88"/>
      <c r="BDJ137" s="88"/>
      <c r="BDK137" s="88"/>
      <c r="BDL137" s="88"/>
      <c r="BDM137" s="88"/>
      <c r="BDN137" s="88"/>
      <c r="BDO137" s="88"/>
      <c r="BDP137" s="88"/>
      <c r="BDQ137" s="88"/>
      <c r="BDR137" s="88"/>
      <c r="BDS137" s="88"/>
      <c r="BDT137" s="88"/>
      <c r="BDU137" s="88"/>
      <c r="BDV137" s="88"/>
      <c r="BDW137" s="88"/>
      <c r="BDX137" s="88"/>
      <c r="BDY137" s="88"/>
      <c r="BDZ137" s="88"/>
      <c r="BEA137" s="88"/>
      <c r="BEB137" s="88"/>
      <c r="BEC137" s="88"/>
      <c r="BED137" s="88"/>
      <c r="BEE137" s="88"/>
      <c r="BEF137" s="88"/>
      <c r="BEG137" s="88"/>
      <c r="BEH137" s="88"/>
      <c r="BEI137" s="88"/>
      <c r="BEJ137" s="88"/>
      <c r="BEK137" s="88"/>
      <c r="BEL137" s="88"/>
      <c r="BEM137" s="88"/>
      <c r="BEN137" s="88"/>
      <c r="BEO137" s="88"/>
      <c r="BEP137" s="88"/>
      <c r="BEQ137" s="88"/>
      <c r="BER137" s="88"/>
      <c r="BES137" s="88"/>
      <c r="BET137" s="88"/>
      <c r="BEU137" s="88"/>
      <c r="BEV137" s="88"/>
      <c r="BEW137" s="88"/>
      <c r="BEX137" s="88"/>
      <c r="BEY137" s="88"/>
      <c r="BEZ137" s="88"/>
      <c r="BFA137" s="88"/>
      <c r="BFB137" s="88"/>
      <c r="BFC137" s="88"/>
      <c r="BFD137" s="88"/>
      <c r="BFE137" s="88"/>
      <c r="BFF137" s="88"/>
      <c r="BFG137" s="88"/>
      <c r="BFH137" s="88"/>
      <c r="BFI137" s="88"/>
      <c r="BFJ137" s="88"/>
      <c r="BFK137" s="88"/>
      <c r="BFL137" s="88"/>
      <c r="BFM137" s="88"/>
      <c r="BFN137" s="88"/>
      <c r="BFO137" s="88"/>
      <c r="BFP137" s="88"/>
      <c r="BFQ137" s="88"/>
      <c r="BFR137" s="88"/>
      <c r="BFS137" s="88"/>
      <c r="BFT137" s="88"/>
      <c r="BFU137" s="88"/>
      <c r="BFV137" s="88"/>
      <c r="BFW137" s="88"/>
      <c r="BFX137" s="88"/>
      <c r="BFY137" s="88"/>
      <c r="BFZ137" s="88"/>
      <c r="BGA137" s="88"/>
      <c r="BGB137" s="88"/>
      <c r="BGC137" s="88"/>
      <c r="BGD137" s="88"/>
      <c r="BGE137" s="88"/>
      <c r="BGF137" s="88"/>
      <c r="BGG137" s="88"/>
      <c r="BGH137" s="88"/>
      <c r="BGI137" s="88"/>
      <c r="BGJ137" s="88"/>
      <c r="BGK137" s="88"/>
      <c r="BGL137" s="88"/>
      <c r="BGM137" s="88"/>
      <c r="BGN137" s="88"/>
      <c r="BGO137" s="88"/>
      <c r="BGP137" s="88"/>
      <c r="BGQ137" s="88"/>
      <c r="BGR137" s="88"/>
      <c r="BGS137" s="88"/>
      <c r="BGT137" s="88"/>
      <c r="BGU137" s="88"/>
      <c r="BGV137" s="88"/>
      <c r="BGW137" s="88"/>
      <c r="BGX137" s="88"/>
      <c r="BGY137" s="88"/>
      <c r="BGZ137" s="88"/>
      <c r="BHA137" s="88"/>
      <c r="BHB137" s="88"/>
      <c r="BHC137" s="88"/>
      <c r="BHD137" s="88"/>
      <c r="BHE137" s="88"/>
      <c r="BHF137" s="88"/>
      <c r="BHG137" s="88"/>
      <c r="BHH137" s="88"/>
      <c r="BHI137" s="88"/>
      <c r="BHJ137" s="88"/>
      <c r="BHK137" s="88"/>
      <c r="BHL137" s="88"/>
      <c r="BHM137" s="88"/>
      <c r="BHN137" s="88"/>
      <c r="BHO137" s="88"/>
      <c r="BHP137" s="88"/>
      <c r="BHQ137" s="88"/>
      <c r="BHR137" s="88"/>
      <c r="BHS137" s="88"/>
      <c r="BHT137" s="88"/>
      <c r="BHU137" s="88"/>
      <c r="BHV137" s="88"/>
      <c r="BHW137" s="88"/>
      <c r="BHX137" s="88"/>
      <c r="BHY137" s="88"/>
      <c r="BHZ137" s="88"/>
      <c r="BIA137" s="88"/>
      <c r="BIB137" s="88"/>
      <c r="BIC137" s="88"/>
      <c r="BID137" s="88"/>
      <c r="BIE137" s="88"/>
      <c r="BIF137" s="88"/>
      <c r="BIG137" s="88"/>
      <c r="BIH137" s="88"/>
      <c r="BII137" s="88"/>
      <c r="BIJ137" s="88"/>
      <c r="BIK137" s="88"/>
      <c r="BIL137" s="88"/>
      <c r="BIM137" s="88"/>
      <c r="BIN137" s="88"/>
      <c r="BIO137" s="88"/>
      <c r="BIP137" s="88"/>
      <c r="BIQ137" s="88"/>
      <c r="BIR137" s="88"/>
      <c r="BIS137" s="88"/>
      <c r="BIT137" s="88"/>
      <c r="BIU137" s="88"/>
      <c r="BIV137" s="88"/>
      <c r="BIW137" s="88"/>
      <c r="BIX137" s="88"/>
      <c r="BIY137" s="88"/>
      <c r="BIZ137" s="88"/>
      <c r="BJA137" s="88"/>
      <c r="BJB137" s="88"/>
      <c r="BJC137" s="88"/>
      <c r="BJD137" s="88"/>
      <c r="BJE137" s="88"/>
      <c r="BJF137" s="88"/>
      <c r="BJG137" s="88"/>
      <c r="BJH137" s="88"/>
      <c r="BJI137" s="88"/>
      <c r="BJJ137" s="88"/>
      <c r="BJK137" s="88"/>
      <c r="BJL137" s="88"/>
      <c r="BJM137" s="88"/>
      <c r="BJN137" s="88"/>
      <c r="BJO137" s="88"/>
      <c r="BJP137" s="88"/>
      <c r="BJQ137" s="88"/>
      <c r="BJR137" s="88"/>
      <c r="BJS137" s="88"/>
      <c r="BJT137" s="88"/>
      <c r="BJU137" s="88"/>
      <c r="BJV137" s="88"/>
      <c r="BJW137" s="88"/>
      <c r="BJX137" s="88"/>
      <c r="BJY137" s="88"/>
      <c r="BJZ137" s="88"/>
      <c r="BKA137" s="88"/>
      <c r="BKB137" s="88"/>
      <c r="BKC137" s="88"/>
      <c r="BKD137" s="88"/>
      <c r="BKE137" s="88"/>
      <c r="BKF137" s="88"/>
      <c r="BKG137" s="88"/>
      <c r="BKH137" s="88"/>
      <c r="BKI137" s="88"/>
      <c r="BKJ137" s="88"/>
      <c r="BKK137" s="88"/>
      <c r="BKL137" s="88"/>
      <c r="BKM137" s="88"/>
      <c r="BKN137" s="88"/>
      <c r="BKO137" s="88"/>
      <c r="BKP137" s="88"/>
      <c r="BKQ137" s="88"/>
      <c r="BKR137" s="88"/>
      <c r="BKS137" s="88"/>
      <c r="BKT137" s="88"/>
      <c r="BKU137" s="88"/>
      <c r="BKV137" s="88"/>
      <c r="BKW137" s="88"/>
      <c r="BKX137" s="88"/>
      <c r="BKY137" s="88"/>
      <c r="BKZ137" s="88"/>
      <c r="BLA137" s="88"/>
      <c r="BLB137" s="88"/>
      <c r="BLC137" s="88"/>
      <c r="BLD137" s="88"/>
      <c r="BLE137" s="88"/>
      <c r="BLF137" s="88"/>
      <c r="BLG137" s="88"/>
      <c r="BLH137" s="88"/>
      <c r="BLI137" s="88"/>
      <c r="BLJ137" s="88"/>
      <c r="BLK137" s="88"/>
      <c r="BLL137" s="88"/>
      <c r="BLM137" s="88"/>
      <c r="BLN137" s="88"/>
      <c r="BLO137" s="88"/>
      <c r="BLP137" s="88"/>
      <c r="BLQ137" s="88"/>
      <c r="BLR137" s="88"/>
      <c r="BLS137" s="88"/>
      <c r="BLT137" s="88"/>
      <c r="BLU137" s="88"/>
      <c r="BLV137" s="88"/>
      <c r="BLW137" s="88"/>
      <c r="BLX137" s="88"/>
      <c r="BLY137" s="88"/>
      <c r="BLZ137" s="88"/>
      <c r="BMA137" s="88"/>
      <c r="BMB137" s="88"/>
      <c r="BMC137" s="88"/>
      <c r="BMD137" s="88"/>
      <c r="BME137" s="88"/>
      <c r="BMF137" s="88"/>
      <c r="BMG137" s="88"/>
      <c r="BMH137" s="88"/>
      <c r="BMI137" s="88"/>
      <c r="BMJ137" s="88"/>
      <c r="BMK137" s="88"/>
      <c r="BML137" s="88"/>
      <c r="BMM137" s="88"/>
      <c r="BMN137" s="88"/>
      <c r="BMO137" s="88"/>
      <c r="BMP137" s="88"/>
      <c r="BMQ137" s="88"/>
      <c r="BMR137" s="88"/>
      <c r="BMS137" s="88"/>
      <c r="BMT137" s="88"/>
      <c r="BMU137" s="88"/>
      <c r="BMV137" s="88"/>
      <c r="BMW137" s="88"/>
      <c r="BMX137" s="88"/>
      <c r="BMY137" s="88"/>
      <c r="BMZ137" s="88"/>
      <c r="BNA137" s="88"/>
      <c r="BNB137" s="88"/>
      <c r="BNC137" s="88"/>
      <c r="BND137" s="88"/>
      <c r="BNE137" s="88"/>
      <c r="BNF137" s="88"/>
      <c r="BNG137" s="88"/>
      <c r="BNH137" s="88"/>
      <c r="BNI137" s="88"/>
      <c r="BNJ137" s="88"/>
      <c r="BNK137" s="88"/>
      <c r="BNL137" s="88"/>
      <c r="BNM137" s="88"/>
      <c r="BNN137" s="88"/>
      <c r="BNO137" s="88"/>
      <c r="BNP137" s="88"/>
      <c r="BNQ137" s="88"/>
      <c r="BNR137" s="88"/>
      <c r="BNS137" s="88"/>
      <c r="BNT137" s="88"/>
      <c r="BNU137" s="88"/>
      <c r="BNV137" s="88"/>
      <c r="BNW137" s="88"/>
      <c r="BNX137" s="88"/>
      <c r="BNY137" s="88"/>
      <c r="BNZ137" s="88"/>
      <c r="BOA137" s="88"/>
      <c r="BOB137" s="88"/>
      <c r="BOC137" s="88"/>
      <c r="BOD137" s="88"/>
      <c r="BOE137" s="88"/>
      <c r="BOF137" s="88"/>
      <c r="BOG137" s="88"/>
      <c r="BOH137" s="88"/>
      <c r="BOI137" s="88"/>
      <c r="BOJ137" s="88"/>
      <c r="BOK137" s="88"/>
      <c r="BOL137" s="88"/>
      <c r="BOM137" s="88"/>
      <c r="BON137" s="88"/>
      <c r="BOO137" s="88"/>
      <c r="BOP137" s="88"/>
      <c r="BOQ137" s="88"/>
      <c r="BOR137" s="88"/>
      <c r="BOS137" s="88"/>
      <c r="BOT137" s="88"/>
      <c r="BOU137" s="88"/>
      <c r="BOV137" s="88"/>
      <c r="BOW137" s="88"/>
      <c r="BOX137" s="88"/>
      <c r="BOY137" s="88"/>
      <c r="BOZ137" s="88"/>
      <c r="BPA137" s="88"/>
      <c r="BPB137" s="88"/>
      <c r="BPC137" s="88"/>
      <c r="BPD137" s="88"/>
      <c r="BPE137" s="88"/>
      <c r="BPF137" s="88"/>
      <c r="BPG137" s="88"/>
      <c r="BPH137" s="88"/>
      <c r="BPI137" s="88"/>
      <c r="BPJ137" s="88"/>
      <c r="BPK137" s="88"/>
      <c r="BPL137" s="88"/>
      <c r="BPM137" s="88"/>
      <c r="BPN137" s="88"/>
      <c r="BPO137" s="88"/>
      <c r="BPP137" s="88"/>
      <c r="BPQ137" s="88"/>
      <c r="BPR137" s="88"/>
      <c r="BPS137" s="88"/>
      <c r="BPT137" s="88"/>
      <c r="BPU137" s="88"/>
      <c r="BPV137" s="88"/>
      <c r="BPW137" s="88"/>
      <c r="BPX137" s="88"/>
      <c r="BPY137" s="88"/>
      <c r="BPZ137" s="88"/>
      <c r="BQA137" s="88"/>
      <c r="BQB137" s="88"/>
      <c r="BQC137" s="88"/>
      <c r="BQD137" s="88"/>
      <c r="BQE137" s="88"/>
      <c r="BQF137" s="88"/>
      <c r="BQG137" s="88"/>
      <c r="BQH137" s="88"/>
      <c r="BQI137" s="88"/>
      <c r="BQJ137" s="88"/>
      <c r="BQK137" s="88"/>
      <c r="BQL137" s="88"/>
      <c r="BQM137" s="88"/>
      <c r="BQN137" s="88"/>
      <c r="BQO137" s="88"/>
      <c r="BQP137" s="88"/>
      <c r="BQQ137" s="88"/>
      <c r="BQR137" s="88"/>
      <c r="BQS137" s="88"/>
      <c r="BQT137" s="88"/>
      <c r="BQU137" s="88"/>
      <c r="BQV137" s="88"/>
      <c r="BQW137" s="88"/>
      <c r="BQX137" s="88"/>
      <c r="BQY137" s="88"/>
      <c r="BQZ137" s="88"/>
      <c r="BRA137" s="88"/>
      <c r="BRB137" s="88"/>
      <c r="BRC137" s="88"/>
      <c r="BRD137" s="88"/>
      <c r="BRE137" s="88"/>
      <c r="BRF137" s="88"/>
      <c r="BRG137" s="88"/>
      <c r="BRH137" s="88"/>
      <c r="BRI137" s="88"/>
      <c r="BRJ137" s="88"/>
      <c r="BRK137" s="88"/>
      <c r="BRL137" s="88"/>
      <c r="BRM137" s="88"/>
      <c r="BRN137" s="88"/>
      <c r="BRO137" s="88"/>
      <c r="BRP137" s="88"/>
      <c r="BRQ137" s="88"/>
      <c r="BRR137" s="88"/>
      <c r="BRS137" s="88"/>
      <c r="BRT137" s="88"/>
      <c r="BRU137" s="88"/>
      <c r="BRV137" s="88"/>
      <c r="BRW137" s="88"/>
      <c r="BRX137" s="88"/>
      <c r="BRY137" s="88"/>
      <c r="BRZ137" s="88"/>
      <c r="BSA137" s="88"/>
      <c r="BSB137" s="88"/>
      <c r="BSC137" s="88"/>
      <c r="BSD137" s="88"/>
      <c r="BSE137" s="88"/>
      <c r="BSF137" s="88"/>
      <c r="BSG137" s="88"/>
      <c r="BSH137" s="88"/>
      <c r="BSI137" s="88"/>
      <c r="BSJ137" s="88"/>
      <c r="BSK137" s="88"/>
      <c r="BSL137" s="88"/>
      <c r="BSM137" s="88"/>
      <c r="BSN137" s="88"/>
      <c r="BSO137" s="88"/>
      <c r="BSP137" s="88"/>
      <c r="BSQ137" s="88"/>
      <c r="BSR137" s="88"/>
      <c r="BSS137" s="88"/>
      <c r="BST137" s="88"/>
      <c r="BSU137" s="88"/>
      <c r="BSV137" s="88"/>
      <c r="BSW137" s="88"/>
      <c r="BSX137" s="88"/>
      <c r="BSY137" s="88"/>
      <c r="BSZ137" s="88"/>
      <c r="BTA137" s="88"/>
      <c r="BTB137" s="88"/>
      <c r="BTC137" s="88"/>
      <c r="BTD137" s="88"/>
      <c r="BTE137" s="88"/>
      <c r="BTF137" s="88"/>
      <c r="BTG137" s="88"/>
      <c r="BTH137" s="88"/>
      <c r="BTI137" s="88"/>
      <c r="BTJ137" s="88"/>
      <c r="BTK137" s="88"/>
      <c r="BTL137" s="88"/>
      <c r="BTM137" s="88"/>
      <c r="BTN137" s="88"/>
      <c r="BTO137" s="88"/>
      <c r="BTP137" s="88"/>
      <c r="BTQ137" s="88"/>
      <c r="BTR137" s="88"/>
      <c r="BTS137" s="88"/>
      <c r="BTT137" s="88"/>
      <c r="BTU137" s="88"/>
      <c r="BTV137" s="88"/>
      <c r="BTW137" s="88"/>
      <c r="BTX137" s="88"/>
      <c r="BTY137" s="88"/>
      <c r="BTZ137" s="88"/>
      <c r="BUA137" s="88"/>
      <c r="BUB137" s="88"/>
      <c r="BUC137" s="88"/>
      <c r="BUD137" s="88"/>
      <c r="BUE137" s="88"/>
      <c r="BUF137" s="88"/>
      <c r="BUG137" s="88"/>
      <c r="BUH137" s="88"/>
      <c r="BUI137" s="88"/>
      <c r="BUJ137" s="88"/>
      <c r="BUK137" s="88"/>
      <c r="BUL137" s="88"/>
      <c r="BUM137" s="88"/>
      <c r="BUN137" s="88"/>
      <c r="BUO137" s="88"/>
      <c r="BUP137" s="88"/>
      <c r="BUQ137" s="88"/>
      <c r="BUR137" s="88"/>
      <c r="BUS137" s="88"/>
      <c r="BUT137" s="88"/>
      <c r="BUU137" s="88"/>
      <c r="BUV137" s="88"/>
      <c r="BUW137" s="88"/>
      <c r="BUX137" s="88"/>
      <c r="BUY137" s="88"/>
      <c r="BUZ137" s="88"/>
      <c r="BVA137" s="88"/>
      <c r="BVB137" s="88"/>
      <c r="BVC137" s="88"/>
      <c r="BVD137" s="88"/>
      <c r="BVE137" s="88"/>
      <c r="BVF137" s="88"/>
      <c r="BVG137" s="88"/>
      <c r="BVH137" s="88"/>
      <c r="BVI137" s="88"/>
      <c r="BVJ137" s="88"/>
      <c r="BVK137" s="88"/>
      <c r="BVL137" s="88"/>
      <c r="BVM137" s="88"/>
      <c r="BVN137" s="88"/>
      <c r="BVO137" s="88"/>
      <c r="BVP137" s="88"/>
      <c r="BVQ137" s="88"/>
      <c r="BVR137" s="88"/>
      <c r="BVS137" s="88"/>
      <c r="BVT137" s="88"/>
      <c r="BVU137" s="88"/>
      <c r="BVV137" s="88"/>
      <c r="BVW137" s="88"/>
      <c r="BVX137" s="88"/>
      <c r="BVY137" s="88"/>
      <c r="BVZ137" s="88"/>
      <c r="BWA137" s="88"/>
      <c r="BWB137" s="88"/>
      <c r="BWC137" s="88"/>
      <c r="BWD137" s="88"/>
      <c r="BWE137" s="88"/>
      <c r="BWF137" s="88"/>
      <c r="BWG137" s="88"/>
      <c r="BWH137" s="88"/>
      <c r="BWI137" s="88"/>
      <c r="BWJ137" s="88"/>
      <c r="BWK137" s="88"/>
      <c r="BWL137" s="88"/>
      <c r="BWM137" s="88"/>
      <c r="BWN137" s="88"/>
      <c r="BWO137" s="88"/>
      <c r="BWP137" s="88"/>
      <c r="BWQ137" s="88"/>
      <c r="BWR137" s="88"/>
      <c r="BWS137" s="88"/>
      <c r="BWT137" s="88"/>
      <c r="BWU137" s="88"/>
      <c r="BWV137" s="88"/>
      <c r="BWW137" s="88"/>
      <c r="BWX137" s="88"/>
      <c r="BWY137" s="88"/>
      <c r="BWZ137" s="88"/>
      <c r="BXA137" s="88"/>
      <c r="BXB137" s="88"/>
      <c r="BXC137" s="88"/>
      <c r="BXD137" s="88"/>
      <c r="BXE137" s="88"/>
      <c r="BXF137" s="88"/>
      <c r="BXG137" s="88"/>
      <c r="BXH137" s="88"/>
      <c r="BXI137" s="88"/>
      <c r="BXJ137" s="88"/>
      <c r="BXK137" s="88"/>
      <c r="BXL137" s="88"/>
      <c r="BXM137" s="88"/>
      <c r="BXN137" s="88"/>
      <c r="BXO137" s="88"/>
      <c r="BXP137" s="88"/>
      <c r="BXQ137" s="88"/>
      <c r="BXR137" s="88"/>
      <c r="BXS137" s="88"/>
      <c r="BXT137" s="88"/>
      <c r="BXU137" s="88"/>
      <c r="BXV137" s="88"/>
      <c r="BXW137" s="88"/>
      <c r="BXX137" s="88"/>
      <c r="BXY137" s="88"/>
      <c r="BXZ137" s="88"/>
      <c r="BYA137" s="88"/>
      <c r="BYB137" s="88"/>
      <c r="BYC137" s="88"/>
      <c r="BYD137" s="88"/>
      <c r="BYE137" s="88"/>
      <c r="BYF137" s="88"/>
      <c r="BYG137" s="88"/>
      <c r="BYH137" s="88"/>
      <c r="BYI137" s="88"/>
      <c r="BYJ137" s="88"/>
      <c r="BYK137" s="88"/>
      <c r="BYL137" s="88"/>
      <c r="BYM137" s="88"/>
      <c r="BYN137" s="88"/>
      <c r="BYO137" s="88"/>
      <c r="BYP137" s="88"/>
      <c r="BYQ137" s="88"/>
      <c r="BYR137" s="88"/>
      <c r="BYS137" s="88"/>
      <c r="BYT137" s="88"/>
      <c r="BYU137" s="88"/>
      <c r="BYV137" s="88"/>
      <c r="BYW137" s="88"/>
      <c r="BYX137" s="88"/>
      <c r="BYY137" s="88"/>
      <c r="BYZ137" s="88"/>
      <c r="BZA137" s="88"/>
      <c r="BZB137" s="88"/>
      <c r="BZC137" s="88"/>
      <c r="BZD137" s="88"/>
      <c r="BZE137" s="88"/>
      <c r="BZF137" s="88"/>
      <c r="BZG137" s="88"/>
      <c r="BZH137" s="88"/>
      <c r="BZI137" s="88"/>
      <c r="BZJ137" s="88"/>
      <c r="BZK137" s="88"/>
      <c r="BZL137" s="88"/>
      <c r="BZM137" s="88"/>
      <c r="BZN137" s="88"/>
      <c r="BZO137" s="88"/>
      <c r="BZP137" s="88"/>
      <c r="BZQ137" s="88"/>
      <c r="BZR137" s="88"/>
      <c r="BZS137" s="88"/>
      <c r="BZT137" s="88"/>
      <c r="BZU137" s="88"/>
      <c r="BZV137" s="88"/>
      <c r="BZW137" s="88"/>
      <c r="BZX137" s="88"/>
      <c r="BZY137" s="88"/>
      <c r="BZZ137" s="88"/>
      <c r="CAA137" s="88"/>
      <c r="CAB137" s="88"/>
      <c r="CAC137" s="88"/>
      <c r="CAD137" s="88"/>
      <c r="CAE137" s="88"/>
      <c r="CAF137" s="88"/>
      <c r="CAG137" s="88"/>
      <c r="CAH137" s="88"/>
      <c r="CAI137" s="88"/>
      <c r="CAJ137" s="88"/>
      <c r="CAK137" s="88"/>
      <c r="CAL137" s="88"/>
      <c r="CAM137" s="88"/>
      <c r="CAN137" s="88"/>
      <c r="CAO137" s="88"/>
      <c r="CAP137" s="88"/>
      <c r="CAQ137" s="88"/>
      <c r="CAR137" s="88"/>
      <c r="CAS137" s="88"/>
      <c r="CAT137" s="88"/>
      <c r="CAU137" s="88"/>
      <c r="CAV137" s="88"/>
      <c r="CAW137" s="88"/>
      <c r="CAX137" s="88"/>
      <c r="CAY137" s="88"/>
      <c r="CAZ137" s="88"/>
      <c r="CBA137" s="88"/>
      <c r="CBB137" s="88"/>
      <c r="CBC137" s="88"/>
      <c r="CBD137" s="88"/>
      <c r="CBE137" s="88"/>
      <c r="CBF137" s="88"/>
      <c r="CBG137" s="88"/>
      <c r="CBH137" s="88"/>
      <c r="CBI137" s="88"/>
      <c r="CBJ137" s="88"/>
      <c r="CBK137" s="88"/>
      <c r="CBL137" s="88"/>
      <c r="CBM137" s="88"/>
      <c r="CBN137" s="88"/>
      <c r="CBO137" s="88"/>
      <c r="CBP137" s="88"/>
      <c r="CBQ137" s="88"/>
      <c r="CBR137" s="88"/>
      <c r="CBS137" s="88"/>
      <c r="CBT137" s="88"/>
      <c r="CBU137" s="88"/>
      <c r="CBV137" s="88"/>
      <c r="CBW137" s="88"/>
      <c r="CBX137" s="88"/>
      <c r="CBY137" s="88"/>
      <c r="CBZ137" s="88"/>
      <c r="CCA137" s="88"/>
      <c r="CCB137" s="88"/>
      <c r="CCC137" s="88"/>
      <c r="CCD137" s="88"/>
      <c r="CCE137" s="88"/>
      <c r="CCF137" s="88"/>
      <c r="CCG137" s="88"/>
      <c r="CCH137" s="88"/>
      <c r="CCI137" s="88"/>
      <c r="CCJ137" s="88"/>
      <c r="CCK137" s="88"/>
      <c r="CCL137" s="88"/>
      <c r="CCM137" s="88"/>
      <c r="CCN137" s="88"/>
      <c r="CCO137" s="88"/>
      <c r="CCP137" s="88"/>
      <c r="CCQ137" s="88"/>
      <c r="CCR137" s="88"/>
      <c r="CCS137" s="88"/>
      <c r="CCT137" s="88"/>
      <c r="CCU137" s="88"/>
      <c r="CCV137" s="88"/>
      <c r="CCW137" s="88"/>
      <c r="CCX137" s="88"/>
      <c r="CCY137" s="88"/>
      <c r="CCZ137" s="88"/>
      <c r="CDA137" s="88"/>
      <c r="CDB137" s="88"/>
      <c r="CDC137" s="88"/>
      <c r="CDD137" s="88"/>
      <c r="CDE137" s="88"/>
      <c r="CDF137" s="88"/>
      <c r="CDG137" s="88"/>
      <c r="CDH137" s="88"/>
      <c r="CDI137" s="88"/>
      <c r="CDJ137" s="88"/>
      <c r="CDK137" s="88"/>
      <c r="CDL137" s="88"/>
      <c r="CDM137" s="88"/>
      <c r="CDN137" s="88"/>
      <c r="CDO137" s="88"/>
      <c r="CDP137" s="88"/>
      <c r="CDQ137" s="88"/>
      <c r="CDR137" s="88"/>
      <c r="CDS137" s="88"/>
      <c r="CDT137" s="88"/>
      <c r="CDU137" s="88"/>
      <c r="CDV137" s="88"/>
      <c r="CDW137" s="88"/>
      <c r="CDX137" s="88"/>
      <c r="CDY137" s="88"/>
      <c r="CDZ137" s="88"/>
      <c r="CEA137" s="88"/>
      <c r="CEB137" s="88"/>
      <c r="CEC137" s="88"/>
      <c r="CED137" s="88"/>
      <c r="CEE137" s="88"/>
      <c r="CEF137" s="88"/>
      <c r="CEG137" s="88"/>
      <c r="CEH137" s="88"/>
      <c r="CEI137" s="88"/>
      <c r="CEJ137" s="88"/>
      <c r="CEK137" s="88"/>
    </row>
    <row r="138" spans="1:2169" s="63" customFormat="1">
      <c r="A138" s="73" t="s">
        <v>2879</v>
      </c>
      <c r="B138" s="73" t="s">
        <v>2880</v>
      </c>
      <c r="C138" s="68" t="str">
        <f>IF('page 2'!$O$4="","",IF('page 2'!$O$4=Gestion!A138,1,0))</f>
        <v/>
      </c>
      <c r="D138" s="68" t="str">
        <f>IF('page 2'!$O$5="","",IF('page 2'!$O$5=Gestion!A138,1,0))</f>
        <v/>
      </c>
      <c r="E138" s="68" t="str">
        <f>IF('page 2'!$O$6="","",IF('page 2'!$O$6=Gestion!A138,1,0))</f>
        <v/>
      </c>
      <c r="F138" s="68" t="str">
        <f>IF('page 2'!$O$7="","",IF('page 2'!$O$7=Gestion!A138,1,0))</f>
        <v/>
      </c>
      <c r="G138" s="68" t="str">
        <f>IF('page 2'!$O$8="","",IF('page 2'!$O$8=Gestion!A138,1,0))</f>
        <v/>
      </c>
      <c r="H138" s="68" t="str">
        <f>IF('page 2'!$O$9="","",IF('page 2'!$O$9=Gestion!A138,1,0))</f>
        <v/>
      </c>
      <c r="I138" s="68" t="str">
        <f>IF('page 2'!$O$10="","",IF('page 2'!$O$10=Gestion!A138,1,0))</f>
        <v/>
      </c>
      <c r="J138" s="68" t="str">
        <f>IF('page 2'!$O$11="","",IF('page 2'!$O$11=Gestion!A137,1,0))</f>
        <v/>
      </c>
      <c r="K138" s="68" t="str">
        <f>IF('page 2'!$O$12="","",IF('page 2'!$O$12=Gestion!A138,1,0))</f>
        <v/>
      </c>
      <c r="L138" s="68" t="str">
        <f>IF('page 2'!$O$13="","",IF('page 2'!$O$13=Gestion!A138,1,0))</f>
        <v/>
      </c>
      <c r="M138" s="68" t="str">
        <f>IF('page 2'!$O$14="","",IF('page 2'!$O$14=Gestion!A138,1,0))</f>
        <v/>
      </c>
      <c r="N138" s="68" t="str">
        <f>IF('page 2'!$O$15="","",IF('page 2'!$O$15=Gestion!A138,1,0))</f>
        <v/>
      </c>
      <c r="O138" s="68" t="str">
        <f>IF('page 2'!$O$16="","",IF('page 2'!$O$16=Gestion!A138,1,0))</f>
        <v/>
      </c>
      <c r="P138" s="68" t="str">
        <f>IF('page 2'!$O$17="","",IF('page 2'!$O$17=Gestion!A138,1,0))</f>
        <v/>
      </c>
      <c r="Q138" s="68" t="str">
        <f>IF('page 2'!$O$18="","",IF('page 2'!$O$18=Gestion!A138,1,0))</f>
        <v/>
      </c>
      <c r="R138" s="68" t="str">
        <f>IF('page 2'!$O$19="","",IF('page 2'!$O$19=Gestion!A138,1,0))</f>
        <v/>
      </c>
      <c r="S138" s="68" t="str">
        <f>IF('page 2'!$O$20="","",IF('page 2'!$O$20=Gestion!A138,1,0))</f>
        <v/>
      </c>
      <c r="T138" s="68" t="str">
        <f>IF('page 2'!$O$20="","",IF('page 2'!$O$20=Gestion!A138,1,0))</f>
        <v/>
      </c>
      <c r="U138" s="68" t="str">
        <f>IF('page 2'!$O$26="","",IF('page 2'!$O$26=Gestion!A138,1,0))</f>
        <v/>
      </c>
      <c r="V138" s="68" t="str">
        <f>IF('page 2'!$O$27="","",IF('page 2'!$O$27=Gestion!A138,1,0))</f>
        <v/>
      </c>
      <c r="W138" s="722">
        <f t="shared" si="14"/>
        <v>0</v>
      </c>
      <c r="X138" s="714"/>
      <c r="Y138" s="68"/>
      <c r="Z138" s="68"/>
      <c r="AA138" s="68"/>
      <c r="AB138" s="68"/>
      <c r="AC138" s="68"/>
      <c r="AD138" s="68"/>
      <c r="AP138" s="130"/>
      <c r="AQ138" s="130"/>
      <c r="AR138" s="130"/>
      <c r="AS138" s="576"/>
      <c r="AT138" s="576"/>
      <c r="AU138" s="576"/>
      <c r="AV138" s="576"/>
      <c r="AW138" s="602"/>
      <c r="AX138" s="602"/>
      <c r="AY138" s="576"/>
      <c r="AZ138" s="576"/>
      <c r="BA138" s="576"/>
      <c r="BB138" s="576"/>
      <c r="BC138" s="576"/>
      <c r="BD138" s="602"/>
      <c r="BE138" s="602"/>
      <c r="BF138" s="602"/>
      <c r="BG138" s="602"/>
      <c r="BH138" s="602"/>
      <c r="BI138" s="602"/>
      <c r="BJ138" s="602"/>
      <c r="BK138" s="602"/>
      <c r="BL138" s="602"/>
      <c r="BM138" s="602"/>
      <c r="BN138" s="602"/>
      <c r="BO138" s="602"/>
      <c r="BP138" s="602"/>
      <c r="BQ138" s="602"/>
      <c r="BR138" s="602"/>
      <c r="BS138" s="576"/>
      <c r="BT138" s="576"/>
      <c r="BU138" s="576"/>
      <c r="BV138" s="576"/>
      <c r="BW138" s="602"/>
      <c r="BX138" s="602"/>
      <c r="BY138" s="602"/>
      <c r="BZ138" s="576"/>
      <c r="CA138" s="602"/>
      <c r="CB138" s="602"/>
      <c r="CC138" s="576"/>
      <c r="CD138" s="576"/>
      <c r="CE138" s="602"/>
      <c r="CF138" s="576"/>
      <c r="CG138" s="576"/>
      <c r="CH138" s="576"/>
      <c r="CI138" s="576"/>
      <c r="CJ138" s="576"/>
      <c r="CK138" s="602"/>
      <c r="CL138" s="602"/>
      <c r="CM138" s="576"/>
      <c r="CN138" s="602"/>
      <c r="CO138" s="602"/>
      <c r="CP138" s="602"/>
      <c r="CQ138" s="576"/>
      <c r="CR138" s="576"/>
      <c r="CS138" s="602"/>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c r="HF138" s="88"/>
      <c r="HG138" s="88"/>
      <c r="HH138" s="88"/>
      <c r="HI138" s="88"/>
      <c r="HJ138" s="88"/>
      <c r="HK138" s="88"/>
      <c r="HL138" s="88"/>
      <c r="HM138" s="88"/>
      <c r="HN138" s="88"/>
      <c r="HO138" s="88"/>
      <c r="HP138" s="88"/>
      <c r="HQ138" s="88"/>
      <c r="HR138" s="88"/>
      <c r="HS138" s="88"/>
      <c r="HT138" s="88"/>
      <c r="HU138" s="88"/>
      <c r="HV138" s="88"/>
      <c r="HW138" s="88"/>
      <c r="HX138" s="88"/>
      <c r="HY138" s="88"/>
      <c r="HZ138" s="88"/>
      <c r="IA138" s="88"/>
      <c r="IB138" s="88"/>
      <c r="IC138" s="88"/>
      <c r="ID138" s="88"/>
      <c r="IE138" s="88"/>
      <c r="IF138" s="88"/>
      <c r="IG138" s="88"/>
      <c r="IH138" s="88"/>
      <c r="II138" s="88"/>
      <c r="IJ138" s="88"/>
      <c r="IK138" s="88"/>
      <c r="IL138" s="88"/>
      <c r="IM138" s="88"/>
      <c r="IN138" s="88"/>
      <c r="IO138" s="88"/>
      <c r="IP138" s="88"/>
      <c r="IQ138" s="88"/>
      <c r="IR138" s="88"/>
      <c r="IS138" s="88"/>
      <c r="IT138" s="88"/>
      <c r="IU138" s="88"/>
      <c r="IV138" s="88"/>
      <c r="IW138" s="88"/>
      <c r="IX138" s="88"/>
      <c r="IY138" s="88"/>
      <c r="IZ138" s="88"/>
      <c r="JA138" s="88"/>
      <c r="JB138" s="88"/>
      <c r="JC138" s="88"/>
      <c r="JD138" s="88"/>
      <c r="JE138" s="88"/>
      <c r="JF138" s="88"/>
      <c r="JG138" s="88"/>
      <c r="JH138" s="88"/>
      <c r="JI138" s="88"/>
      <c r="JJ138" s="88"/>
      <c r="JK138" s="88"/>
      <c r="JL138" s="88"/>
      <c r="JM138" s="88"/>
      <c r="JN138" s="88"/>
      <c r="JO138" s="88"/>
      <c r="JP138" s="88"/>
      <c r="JQ138" s="88"/>
      <c r="JR138" s="88"/>
      <c r="JS138" s="88"/>
      <c r="JT138" s="88"/>
      <c r="JU138" s="88"/>
      <c r="JV138" s="88"/>
      <c r="JW138" s="88"/>
      <c r="JX138" s="88"/>
      <c r="JY138" s="88"/>
      <c r="JZ138" s="88"/>
      <c r="KA138" s="88"/>
      <c r="KB138" s="88"/>
      <c r="KC138" s="88"/>
      <c r="KD138" s="88"/>
      <c r="KE138" s="88"/>
      <c r="KF138" s="88"/>
      <c r="KG138" s="88"/>
      <c r="KH138" s="88"/>
      <c r="KI138" s="88"/>
      <c r="KJ138" s="88"/>
      <c r="KK138" s="88"/>
      <c r="KL138" s="88"/>
      <c r="KM138" s="88"/>
      <c r="KN138" s="88"/>
      <c r="KO138" s="88"/>
      <c r="KP138" s="88"/>
      <c r="KQ138" s="88"/>
      <c r="KR138" s="88"/>
      <c r="KS138" s="88"/>
      <c r="KT138" s="88"/>
      <c r="KU138" s="88"/>
      <c r="KV138" s="88"/>
      <c r="KW138" s="88"/>
      <c r="KX138" s="88"/>
      <c r="KY138" s="88"/>
      <c r="KZ138" s="88"/>
      <c r="LA138" s="88"/>
      <c r="LB138" s="88"/>
      <c r="LC138" s="88"/>
      <c r="LD138" s="88"/>
      <c r="LE138" s="88"/>
      <c r="LF138" s="88"/>
      <c r="LG138" s="88"/>
      <c r="LH138" s="88"/>
      <c r="LI138" s="88"/>
      <c r="LJ138" s="88"/>
      <c r="LK138" s="88"/>
      <c r="LL138" s="88"/>
      <c r="LM138" s="88"/>
      <c r="LN138" s="88"/>
      <c r="LO138" s="88"/>
      <c r="LP138" s="88"/>
      <c r="LQ138" s="88"/>
      <c r="LR138" s="88"/>
      <c r="LS138" s="88"/>
      <c r="LT138" s="88"/>
      <c r="LU138" s="88"/>
      <c r="LV138" s="88"/>
      <c r="LW138" s="88"/>
      <c r="LX138" s="88"/>
      <c r="LY138" s="88"/>
      <c r="LZ138" s="88"/>
      <c r="MA138" s="88"/>
      <c r="MB138" s="88"/>
      <c r="MC138" s="88"/>
      <c r="MD138" s="88"/>
      <c r="ME138" s="88"/>
      <c r="MF138" s="88"/>
      <c r="MG138" s="88"/>
      <c r="MH138" s="88"/>
      <c r="MI138" s="88"/>
      <c r="MJ138" s="88"/>
      <c r="MK138" s="88"/>
      <c r="ML138" s="88"/>
      <c r="MM138" s="88"/>
      <c r="MN138" s="88"/>
      <c r="MO138" s="88"/>
      <c r="MP138" s="88"/>
      <c r="MQ138" s="88"/>
      <c r="MR138" s="88"/>
      <c r="MS138" s="88"/>
      <c r="MT138" s="88"/>
      <c r="MU138" s="88"/>
      <c r="MV138" s="88"/>
      <c r="MW138" s="88"/>
      <c r="MX138" s="88"/>
      <c r="MY138" s="88"/>
      <c r="MZ138" s="88"/>
      <c r="NA138" s="88"/>
      <c r="NB138" s="88"/>
      <c r="NC138" s="88"/>
      <c r="ND138" s="88"/>
      <c r="NE138" s="88"/>
      <c r="NF138" s="88"/>
      <c r="NG138" s="88"/>
      <c r="NH138" s="88"/>
      <c r="NI138" s="88"/>
      <c r="NJ138" s="88"/>
      <c r="NK138" s="88"/>
      <c r="NL138" s="88"/>
      <c r="NM138" s="88"/>
      <c r="NN138" s="88"/>
      <c r="NO138" s="88"/>
      <c r="NP138" s="88"/>
      <c r="NQ138" s="88"/>
      <c r="NR138" s="88"/>
      <c r="NS138" s="88"/>
      <c r="NT138" s="88"/>
      <c r="NU138" s="88"/>
      <c r="NV138" s="88"/>
      <c r="NW138" s="88"/>
      <c r="NX138" s="88"/>
      <c r="NY138" s="88"/>
      <c r="NZ138" s="88"/>
      <c r="OA138" s="88"/>
      <c r="OB138" s="88"/>
      <c r="OC138" s="88"/>
      <c r="OD138" s="88"/>
      <c r="OE138" s="88"/>
      <c r="OF138" s="88"/>
      <c r="OG138" s="88"/>
      <c r="OH138" s="88"/>
      <c r="OI138" s="88"/>
      <c r="OJ138" s="88"/>
      <c r="OK138" s="88"/>
      <c r="OL138" s="88"/>
      <c r="OM138" s="88"/>
      <c r="ON138" s="88"/>
      <c r="OO138" s="88"/>
      <c r="OP138" s="88"/>
      <c r="OQ138" s="88"/>
      <c r="OR138" s="88"/>
      <c r="OS138" s="88"/>
      <c r="OT138" s="88"/>
      <c r="OU138" s="88"/>
      <c r="OV138" s="88"/>
      <c r="OW138" s="88"/>
      <c r="OX138" s="88"/>
      <c r="OY138" s="88"/>
      <c r="OZ138" s="88"/>
      <c r="PA138" s="88"/>
      <c r="PB138" s="88"/>
      <c r="PC138" s="88"/>
      <c r="PD138" s="88"/>
      <c r="PE138" s="88"/>
      <c r="PF138" s="88"/>
      <c r="PG138" s="88"/>
      <c r="PH138" s="88"/>
      <c r="PI138" s="88"/>
      <c r="PJ138" s="88"/>
      <c r="PK138" s="88"/>
      <c r="PL138" s="88"/>
      <c r="PM138" s="88"/>
      <c r="PN138" s="88"/>
      <c r="PO138" s="88"/>
      <c r="PP138" s="88"/>
      <c r="PQ138" s="88"/>
      <c r="PR138" s="88"/>
      <c r="PS138" s="88"/>
      <c r="PT138" s="88"/>
      <c r="PU138" s="88"/>
      <c r="PV138" s="88"/>
      <c r="PW138" s="88"/>
      <c r="PX138" s="88"/>
      <c r="PY138" s="88"/>
      <c r="PZ138" s="88"/>
      <c r="QA138" s="88"/>
      <c r="QB138" s="88"/>
      <c r="QC138" s="88"/>
      <c r="QD138" s="88"/>
      <c r="QE138" s="88"/>
      <c r="QF138" s="88"/>
      <c r="QG138" s="88"/>
      <c r="QH138" s="88"/>
      <c r="QI138" s="88"/>
      <c r="QJ138" s="88"/>
      <c r="QK138" s="88"/>
      <c r="QL138" s="88"/>
      <c r="QM138" s="88"/>
      <c r="QN138" s="88"/>
      <c r="QO138" s="88"/>
      <c r="QP138" s="88"/>
      <c r="QQ138" s="88"/>
      <c r="QR138" s="88"/>
      <c r="QS138" s="88"/>
      <c r="QT138" s="88"/>
      <c r="QU138" s="88"/>
      <c r="QV138" s="88"/>
      <c r="QW138" s="88"/>
      <c r="QX138" s="88"/>
      <c r="QY138" s="88"/>
      <c r="QZ138" s="88"/>
      <c r="RA138" s="88"/>
      <c r="RB138" s="88"/>
      <c r="RC138" s="88"/>
      <c r="RD138" s="88"/>
      <c r="RE138" s="88"/>
      <c r="RF138" s="88"/>
      <c r="RG138" s="88"/>
      <c r="RH138" s="88"/>
      <c r="RI138" s="88"/>
      <c r="RJ138" s="88"/>
      <c r="RK138" s="88"/>
      <c r="RL138" s="88"/>
      <c r="RM138" s="88"/>
      <c r="RN138" s="88"/>
      <c r="RO138" s="88"/>
      <c r="RP138" s="88"/>
      <c r="RQ138" s="88"/>
      <c r="RR138" s="88"/>
      <c r="RS138" s="88"/>
      <c r="RT138" s="88"/>
      <c r="RU138" s="88"/>
      <c r="RV138" s="88"/>
      <c r="RW138" s="88"/>
      <c r="RX138" s="88"/>
      <c r="RY138" s="88"/>
      <c r="RZ138" s="88"/>
      <c r="SA138" s="88"/>
      <c r="SB138" s="88"/>
      <c r="SC138" s="88"/>
      <c r="SD138" s="88"/>
      <c r="SE138" s="88"/>
      <c r="SF138" s="88"/>
      <c r="SG138" s="88"/>
      <c r="SH138" s="88"/>
      <c r="SI138" s="88"/>
      <c r="SJ138" s="88"/>
      <c r="SK138" s="88"/>
      <c r="SL138" s="88"/>
      <c r="SM138" s="88"/>
      <c r="SN138" s="88"/>
      <c r="SO138" s="88"/>
      <c r="SP138" s="88"/>
      <c r="SQ138" s="88"/>
      <c r="SR138" s="88"/>
      <c r="SS138" s="88"/>
      <c r="ST138" s="88"/>
      <c r="SU138" s="88"/>
      <c r="SV138" s="88"/>
      <c r="SW138" s="88"/>
      <c r="SX138" s="88"/>
      <c r="SY138" s="88"/>
      <c r="SZ138" s="88"/>
      <c r="TA138" s="88"/>
      <c r="TB138" s="88"/>
      <c r="TC138" s="88"/>
      <c r="TD138" s="88"/>
      <c r="TE138" s="88"/>
      <c r="TF138" s="88"/>
      <c r="TG138" s="88"/>
      <c r="TH138" s="88"/>
      <c r="TI138" s="88"/>
      <c r="TJ138" s="88"/>
      <c r="TK138" s="88"/>
      <c r="TL138" s="88"/>
      <c r="TM138" s="88"/>
      <c r="TN138" s="88"/>
      <c r="TO138" s="88"/>
      <c r="TP138" s="88"/>
      <c r="TQ138" s="88"/>
      <c r="TR138" s="88"/>
      <c r="TS138" s="88"/>
      <c r="TT138" s="88"/>
      <c r="TU138" s="88"/>
      <c r="TV138" s="88"/>
      <c r="TW138" s="88"/>
      <c r="TX138" s="88"/>
      <c r="TY138" s="88"/>
      <c r="TZ138" s="88"/>
      <c r="UA138" s="88"/>
      <c r="UB138" s="88"/>
      <c r="UC138" s="88"/>
      <c r="UD138" s="88"/>
      <c r="UE138" s="88"/>
      <c r="UF138" s="88"/>
      <c r="UG138" s="88"/>
      <c r="UH138" s="88"/>
      <c r="UI138" s="88"/>
      <c r="UJ138" s="88"/>
      <c r="UK138" s="88"/>
      <c r="UL138" s="88"/>
      <c r="UM138" s="88"/>
      <c r="UN138" s="88"/>
      <c r="UO138" s="88"/>
      <c r="UP138" s="88"/>
      <c r="UQ138" s="88"/>
      <c r="UR138" s="88"/>
      <c r="US138" s="88"/>
      <c r="UT138" s="88"/>
      <c r="UU138" s="88"/>
      <c r="UV138" s="88"/>
      <c r="UW138" s="88"/>
      <c r="UX138" s="88"/>
      <c r="UY138" s="88"/>
      <c r="UZ138" s="88"/>
      <c r="VA138" s="88"/>
      <c r="VB138" s="88"/>
      <c r="VC138" s="88"/>
      <c r="VD138" s="88"/>
      <c r="VE138" s="88"/>
      <c r="VF138" s="88"/>
      <c r="VG138" s="88"/>
      <c r="VH138" s="88"/>
      <c r="VI138" s="88"/>
      <c r="VJ138" s="88"/>
      <c r="VK138" s="88"/>
      <c r="VL138" s="88"/>
      <c r="VM138" s="88"/>
      <c r="VN138" s="88"/>
      <c r="VO138" s="88"/>
      <c r="VP138" s="88"/>
      <c r="VQ138" s="88"/>
      <c r="VR138" s="88"/>
      <c r="VS138" s="88"/>
      <c r="VT138" s="88"/>
      <c r="VU138" s="88"/>
      <c r="VV138" s="88"/>
      <c r="VW138" s="88"/>
      <c r="VX138" s="88"/>
      <c r="VY138" s="88"/>
      <c r="VZ138" s="88"/>
      <c r="WA138" s="88"/>
      <c r="WB138" s="88"/>
      <c r="WC138" s="88"/>
      <c r="WD138" s="88"/>
      <c r="WE138" s="88"/>
      <c r="WF138" s="88"/>
      <c r="WG138" s="88"/>
      <c r="WH138" s="88"/>
      <c r="WI138" s="88"/>
      <c r="WJ138" s="88"/>
      <c r="WK138" s="88"/>
      <c r="WL138" s="88"/>
      <c r="WM138" s="88"/>
      <c r="WN138" s="88"/>
      <c r="WO138" s="88"/>
      <c r="WP138" s="88"/>
      <c r="WQ138" s="88"/>
      <c r="WR138" s="88"/>
      <c r="WS138" s="88"/>
      <c r="WT138" s="88"/>
      <c r="WU138" s="88"/>
      <c r="WV138" s="88"/>
      <c r="WW138" s="88"/>
      <c r="WX138" s="88"/>
      <c r="WY138" s="88"/>
      <c r="WZ138" s="88"/>
      <c r="XA138" s="88"/>
      <c r="XB138" s="88"/>
      <c r="XC138" s="88"/>
      <c r="XD138" s="88"/>
      <c r="XE138" s="88"/>
      <c r="XF138" s="88"/>
      <c r="XG138" s="88"/>
      <c r="XH138" s="88"/>
      <c r="XI138" s="88"/>
      <c r="XJ138" s="88"/>
      <c r="XK138" s="88"/>
      <c r="XL138" s="88"/>
      <c r="XM138" s="88"/>
      <c r="XN138" s="88"/>
      <c r="XO138" s="88"/>
      <c r="XP138" s="88"/>
      <c r="XQ138" s="88"/>
      <c r="XR138" s="88"/>
      <c r="XS138" s="88"/>
      <c r="XT138" s="88"/>
      <c r="XU138" s="88"/>
      <c r="XV138" s="88"/>
      <c r="XW138" s="88"/>
      <c r="XX138" s="88"/>
      <c r="XY138" s="88"/>
      <c r="XZ138" s="88"/>
      <c r="YA138" s="88"/>
      <c r="YB138" s="88"/>
      <c r="YC138" s="88"/>
      <c r="YD138" s="88"/>
      <c r="YE138" s="88"/>
      <c r="YF138" s="88"/>
      <c r="YG138" s="88"/>
      <c r="YH138" s="88"/>
      <c r="YI138" s="88"/>
      <c r="YJ138" s="88"/>
      <c r="YK138" s="88"/>
      <c r="YL138" s="88"/>
      <c r="YM138" s="88"/>
      <c r="YN138" s="88"/>
      <c r="YO138" s="88"/>
      <c r="YP138" s="88"/>
      <c r="YQ138" s="88"/>
      <c r="YR138" s="88"/>
      <c r="YS138" s="88"/>
      <c r="YT138" s="88"/>
      <c r="YU138" s="88"/>
      <c r="YV138" s="88"/>
      <c r="YW138" s="88"/>
      <c r="YX138" s="88"/>
      <c r="YY138" s="88"/>
      <c r="YZ138" s="88"/>
      <c r="ZA138" s="88"/>
      <c r="ZB138" s="88"/>
      <c r="ZC138" s="88"/>
      <c r="ZD138" s="88"/>
      <c r="ZE138" s="88"/>
      <c r="ZF138" s="88"/>
      <c r="ZG138" s="88"/>
      <c r="ZH138" s="88"/>
      <c r="ZI138" s="88"/>
      <c r="ZJ138" s="88"/>
      <c r="ZK138" s="88"/>
      <c r="ZL138" s="88"/>
      <c r="ZM138" s="88"/>
      <c r="ZN138" s="88"/>
      <c r="ZO138" s="88"/>
      <c r="ZP138" s="88"/>
      <c r="ZQ138" s="88"/>
      <c r="ZR138" s="88"/>
      <c r="ZS138" s="88"/>
      <c r="ZT138" s="88"/>
      <c r="ZU138" s="88"/>
      <c r="ZV138" s="88"/>
      <c r="ZW138" s="88"/>
      <c r="ZX138" s="88"/>
      <c r="ZY138" s="88"/>
      <c r="ZZ138" s="88"/>
      <c r="AAA138" s="88"/>
      <c r="AAB138" s="88"/>
      <c r="AAC138" s="88"/>
      <c r="AAD138" s="88"/>
      <c r="AAE138" s="88"/>
      <c r="AAF138" s="88"/>
      <c r="AAG138" s="88"/>
      <c r="AAH138" s="88"/>
      <c r="AAI138" s="88"/>
      <c r="AAJ138" s="88"/>
      <c r="AAK138" s="88"/>
      <c r="AAL138" s="88"/>
      <c r="AAM138" s="88"/>
      <c r="AAN138" s="88"/>
      <c r="AAO138" s="88"/>
      <c r="AAP138" s="88"/>
      <c r="AAQ138" s="88"/>
      <c r="AAR138" s="88"/>
      <c r="AAS138" s="88"/>
      <c r="AAT138" s="88"/>
      <c r="AAU138" s="88"/>
      <c r="AAV138" s="88"/>
      <c r="AAW138" s="88"/>
      <c r="AAX138" s="88"/>
      <c r="AAY138" s="88"/>
      <c r="AAZ138" s="88"/>
      <c r="ABA138" s="88"/>
      <c r="ABB138" s="88"/>
      <c r="ABC138" s="88"/>
      <c r="ABD138" s="88"/>
      <c r="ABE138" s="88"/>
      <c r="ABF138" s="88"/>
      <c r="ABG138" s="88"/>
      <c r="ABH138" s="88"/>
      <c r="ABI138" s="88"/>
      <c r="ABJ138" s="88"/>
      <c r="ABK138" s="88"/>
      <c r="ABL138" s="88"/>
      <c r="ABM138" s="88"/>
      <c r="ABN138" s="88"/>
      <c r="ABO138" s="88"/>
      <c r="ABP138" s="88"/>
      <c r="ABQ138" s="88"/>
      <c r="ABR138" s="88"/>
      <c r="ABS138" s="88"/>
      <c r="ABT138" s="88"/>
      <c r="ABU138" s="88"/>
      <c r="ABV138" s="88"/>
      <c r="ABW138" s="88"/>
      <c r="ABX138" s="88"/>
      <c r="ABY138" s="88"/>
      <c r="ABZ138" s="88"/>
      <c r="ACA138" s="88"/>
      <c r="ACB138" s="88"/>
      <c r="ACC138" s="88"/>
      <c r="ACD138" s="88"/>
      <c r="ACE138" s="88"/>
      <c r="ACF138" s="88"/>
      <c r="ACG138" s="88"/>
      <c r="ACH138" s="88"/>
      <c r="ACI138" s="88"/>
      <c r="ACJ138" s="88"/>
      <c r="ACK138" s="88"/>
      <c r="ACL138" s="88"/>
      <c r="ACM138" s="88"/>
      <c r="ACN138" s="88"/>
      <c r="ACO138" s="88"/>
      <c r="ACP138" s="88"/>
      <c r="ACQ138" s="88"/>
      <c r="ACR138" s="88"/>
      <c r="ACS138" s="88"/>
      <c r="ACT138" s="88"/>
      <c r="ACU138" s="88"/>
      <c r="ACV138" s="88"/>
      <c r="ACW138" s="88"/>
      <c r="ACX138" s="88"/>
      <c r="ACY138" s="88"/>
      <c r="ACZ138" s="88"/>
      <c r="ADA138" s="88"/>
      <c r="ADB138" s="88"/>
      <c r="ADC138" s="88"/>
      <c r="ADD138" s="88"/>
      <c r="ADE138" s="88"/>
      <c r="ADF138" s="88"/>
      <c r="ADG138" s="88"/>
      <c r="ADH138" s="88"/>
      <c r="ADI138" s="88"/>
      <c r="ADJ138" s="88"/>
      <c r="ADK138" s="88"/>
      <c r="ADL138" s="88"/>
      <c r="ADM138" s="88"/>
      <c r="ADN138" s="88"/>
      <c r="ADO138" s="88"/>
      <c r="ADP138" s="88"/>
      <c r="ADQ138" s="88"/>
      <c r="ADR138" s="88"/>
      <c r="ADS138" s="88"/>
      <c r="ADT138" s="88"/>
      <c r="ADU138" s="88"/>
      <c r="ADV138" s="88"/>
      <c r="ADW138" s="88"/>
      <c r="ADX138" s="88"/>
      <c r="ADY138" s="88"/>
      <c r="ADZ138" s="88"/>
      <c r="AEA138" s="88"/>
      <c r="AEB138" s="88"/>
      <c r="AEC138" s="88"/>
      <c r="AED138" s="88"/>
      <c r="AEE138" s="88"/>
      <c r="AEF138" s="88"/>
      <c r="AEG138" s="88"/>
      <c r="AEH138" s="88"/>
      <c r="AEI138" s="88"/>
      <c r="AEJ138" s="88"/>
      <c r="AEK138" s="88"/>
      <c r="AEL138" s="88"/>
      <c r="AEM138" s="88"/>
      <c r="AEN138" s="88"/>
      <c r="AEO138" s="88"/>
      <c r="AEP138" s="88"/>
      <c r="AEQ138" s="88"/>
      <c r="AER138" s="88"/>
      <c r="AES138" s="88"/>
      <c r="AET138" s="88"/>
      <c r="AEU138" s="88"/>
      <c r="AEV138" s="88"/>
      <c r="AEW138" s="88"/>
      <c r="AEX138" s="88"/>
      <c r="AEY138" s="88"/>
      <c r="AEZ138" s="88"/>
      <c r="AFA138" s="88"/>
      <c r="AFB138" s="88"/>
      <c r="AFC138" s="88"/>
      <c r="AFD138" s="88"/>
      <c r="AFE138" s="88"/>
      <c r="AFF138" s="88"/>
      <c r="AFG138" s="88"/>
      <c r="AFH138" s="88"/>
      <c r="AFI138" s="88"/>
      <c r="AFJ138" s="88"/>
      <c r="AFK138" s="88"/>
      <c r="AFL138" s="88"/>
      <c r="AFM138" s="88"/>
      <c r="AFN138" s="88"/>
      <c r="AFO138" s="88"/>
      <c r="AFP138" s="88"/>
      <c r="AFQ138" s="88"/>
      <c r="AFR138" s="88"/>
      <c r="AFS138" s="88"/>
      <c r="AFT138" s="88"/>
      <c r="AFU138" s="88"/>
      <c r="AFV138" s="88"/>
      <c r="AFW138" s="88"/>
      <c r="AFX138" s="88"/>
      <c r="AFY138" s="88"/>
      <c r="AFZ138" s="88"/>
      <c r="AGA138" s="88"/>
      <c r="AGB138" s="88"/>
      <c r="AGC138" s="88"/>
      <c r="AGD138" s="88"/>
      <c r="AGE138" s="88"/>
      <c r="AGF138" s="88"/>
      <c r="AGG138" s="88"/>
      <c r="AGH138" s="88"/>
      <c r="AGI138" s="88"/>
      <c r="AGJ138" s="88"/>
      <c r="AGK138" s="88"/>
      <c r="AGL138" s="88"/>
      <c r="AGM138" s="88"/>
      <c r="AGN138" s="88"/>
      <c r="AGO138" s="88"/>
      <c r="AGP138" s="88"/>
      <c r="AGQ138" s="88"/>
      <c r="AGR138" s="88"/>
      <c r="AGS138" s="88"/>
      <c r="AGT138" s="88"/>
      <c r="AGU138" s="88"/>
      <c r="AGV138" s="88"/>
      <c r="AGW138" s="88"/>
      <c r="AGX138" s="88"/>
      <c r="AGY138" s="88"/>
      <c r="AGZ138" s="88"/>
      <c r="AHA138" s="88"/>
      <c r="AHB138" s="88"/>
      <c r="AHC138" s="88"/>
      <c r="AHD138" s="88"/>
      <c r="AHE138" s="88"/>
      <c r="AHF138" s="88"/>
      <c r="AHG138" s="88"/>
      <c r="AHH138" s="88"/>
      <c r="AHI138" s="88"/>
      <c r="AHJ138" s="88"/>
      <c r="AHK138" s="88"/>
      <c r="AHL138" s="88"/>
      <c r="AHM138" s="88"/>
      <c r="AHN138" s="88"/>
      <c r="AHO138" s="88"/>
      <c r="AHP138" s="88"/>
      <c r="AHQ138" s="88"/>
      <c r="AHR138" s="88"/>
      <c r="AHS138" s="88"/>
      <c r="AHT138" s="88"/>
      <c r="AHU138" s="88"/>
      <c r="AHV138" s="88"/>
      <c r="AHW138" s="88"/>
      <c r="AHX138" s="88"/>
      <c r="AHY138" s="88"/>
      <c r="AHZ138" s="88"/>
      <c r="AIA138" s="88"/>
      <c r="AIB138" s="88"/>
      <c r="AIC138" s="88"/>
      <c r="AID138" s="88"/>
      <c r="AIE138" s="88"/>
      <c r="AIF138" s="88"/>
      <c r="AIG138" s="88"/>
      <c r="AIH138" s="88"/>
      <c r="AII138" s="88"/>
      <c r="AIJ138" s="88"/>
      <c r="AIK138" s="88"/>
      <c r="AIL138" s="88"/>
      <c r="AIM138" s="88"/>
      <c r="AIN138" s="88"/>
      <c r="AIO138" s="88"/>
      <c r="AIP138" s="88"/>
      <c r="AIQ138" s="88"/>
      <c r="AIR138" s="88"/>
      <c r="AIS138" s="88"/>
      <c r="AIT138" s="88"/>
      <c r="AIU138" s="88"/>
      <c r="AIV138" s="88"/>
      <c r="AIW138" s="88"/>
      <c r="AIX138" s="88"/>
      <c r="AIY138" s="88"/>
      <c r="AIZ138" s="88"/>
      <c r="AJA138" s="88"/>
      <c r="AJB138" s="88"/>
      <c r="AJC138" s="88"/>
      <c r="AJD138" s="88"/>
      <c r="AJE138" s="88"/>
      <c r="AJF138" s="88"/>
      <c r="AJG138" s="88"/>
      <c r="AJH138" s="88"/>
      <c r="AJI138" s="88"/>
      <c r="AJJ138" s="88"/>
      <c r="AJK138" s="88"/>
      <c r="AJL138" s="88"/>
      <c r="AJM138" s="88"/>
      <c r="AJN138" s="88"/>
      <c r="AJO138" s="88"/>
      <c r="AJP138" s="88"/>
      <c r="AJQ138" s="88"/>
      <c r="AJR138" s="88"/>
      <c r="AJS138" s="88"/>
      <c r="AJT138" s="88"/>
      <c r="AJU138" s="88"/>
      <c r="AJV138" s="88"/>
      <c r="AJW138" s="88"/>
      <c r="AJX138" s="88"/>
      <c r="AJY138" s="88"/>
      <c r="AJZ138" s="88"/>
      <c r="AKA138" s="88"/>
      <c r="AKB138" s="88"/>
      <c r="AKC138" s="88"/>
      <c r="AKD138" s="88"/>
      <c r="AKE138" s="88"/>
      <c r="AKF138" s="88"/>
      <c r="AKG138" s="88"/>
      <c r="AKH138" s="88"/>
      <c r="AKI138" s="88"/>
      <c r="AKJ138" s="88"/>
      <c r="AKK138" s="88"/>
      <c r="AKL138" s="88"/>
      <c r="AKM138" s="88"/>
      <c r="AKN138" s="88"/>
      <c r="AKO138" s="88"/>
      <c r="AKP138" s="88"/>
      <c r="AKQ138" s="88"/>
      <c r="AKR138" s="88"/>
      <c r="AKS138" s="88"/>
      <c r="AKT138" s="88"/>
      <c r="AKU138" s="88"/>
      <c r="AKV138" s="88"/>
      <c r="AKW138" s="88"/>
      <c r="AKX138" s="88"/>
      <c r="AKY138" s="88"/>
      <c r="AKZ138" s="88"/>
      <c r="ALA138" s="88"/>
      <c r="ALB138" s="88"/>
      <c r="ALC138" s="88"/>
      <c r="ALD138" s="88"/>
      <c r="ALE138" s="88"/>
      <c r="ALF138" s="88"/>
      <c r="ALG138" s="88"/>
      <c r="ALH138" s="88"/>
      <c r="ALI138" s="88"/>
      <c r="ALJ138" s="88"/>
      <c r="ALK138" s="88"/>
      <c r="ALL138" s="88"/>
      <c r="ALM138" s="88"/>
      <c r="ALN138" s="88"/>
      <c r="ALO138" s="88"/>
      <c r="ALP138" s="88"/>
      <c r="ALQ138" s="88"/>
      <c r="ALR138" s="88"/>
      <c r="ALS138" s="88"/>
      <c r="ALT138" s="88"/>
      <c r="ALU138" s="88"/>
      <c r="ALV138" s="88"/>
      <c r="ALW138" s="88"/>
      <c r="ALX138" s="88"/>
      <c r="ALY138" s="88"/>
      <c r="ALZ138" s="88"/>
      <c r="AMA138" s="88"/>
      <c r="AMB138" s="88"/>
      <c r="AMC138" s="88"/>
      <c r="AMD138" s="88"/>
      <c r="AME138" s="88"/>
      <c r="AMF138" s="88"/>
      <c r="AMG138" s="88"/>
      <c r="AMH138" s="88"/>
      <c r="AMI138" s="88"/>
      <c r="AMJ138" s="88"/>
      <c r="AMK138" s="88"/>
      <c r="AML138" s="88"/>
      <c r="AMM138" s="88"/>
      <c r="AMN138" s="88"/>
      <c r="AMO138" s="88"/>
      <c r="AMP138" s="88"/>
      <c r="AMQ138" s="88"/>
      <c r="AMR138" s="88"/>
      <c r="AMS138" s="88"/>
      <c r="AMT138" s="88"/>
      <c r="AMU138" s="88"/>
      <c r="AMV138" s="88"/>
      <c r="AMW138" s="88"/>
      <c r="AMX138" s="88"/>
      <c r="AMY138" s="88"/>
      <c r="AMZ138" s="88"/>
      <c r="ANA138" s="88"/>
      <c r="ANB138" s="88"/>
      <c r="ANC138" s="88"/>
      <c r="AND138" s="88"/>
      <c r="ANE138" s="88"/>
      <c r="ANF138" s="88"/>
      <c r="ANG138" s="88"/>
      <c r="ANH138" s="88"/>
      <c r="ANI138" s="88"/>
      <c r="ANJ138" s="88"/>
      <c r="ANK138" s="88"/>
      <c r="ANL138" s="88"/>
      <c r="ANM138" s="88"/>
      <c r="ANN138" s="88"/>
      <c r="ANO138" s="88"/>
      <c r="ANP138" s="88"/>
      <c r="ANQ138" s="88"/>
      <c r="ANR138" s="88"/>
      <c r="ANS138" s="88"/>
      <c r="ANT138" s="88"/>
      <c r="ANU138" s="88"/>
      <c r="ANV138" s="88"/>
      <c r="ANW138" s="88"/>
      <c r="ANX138" s="88"/>
      <c r="ANY138" s="88"/>
      <c r="ANZ138" s="88"/>
      <c r="AOA138" s="88"/>
      <c r="AOB138" s="88"/>
      <c r="AOC138" s="88"/>
      <c r="AOD138" s="88"/>
      <c r="AOE138" s="88"/>
      <c r="AOF138" s="88"/>
      <c r="AOG138" s="88"/>
      <c r="AOH138" s="88"/>
      <c r="AOI138" s="88"/>
      <c r="AOJ138" s="88"/>
      <c r="AOK138" s="88"/>
      <c r="AOL138" s="88"/>
      <c r="AOM138" s="88"/>
      <c r="AON138" s="88"/>
      <c r="AOO138" s="88"/>
      <c r="AOP138" s="88"/>
      <c r="AOQ138" s="88"/>
      <c r="AOR138" s="88"/>
      <c r="AOS138" s="88"/>
      <c r="AOT138" s="88"/>
      <c r="AOU138" s="88"/>
      <c r="AOV138" s="88"/>
      <c r="AOW138" s="88"/>
      <c r="AOX138" s="88"/>
      <c r="AOY138" s="88"/>
      <c r="AOZ138" s="88"/>
      <c r="APA138" s="88"/>
      <c r="APB138" s="88"/>
      <c r="APC138" s="88"/>
      <c r="APD138" s="88"/>
      <c r="APE138" s="88"/>
      <c r="APF138" s="88"/>
      <c r="APG138" s="88"/>
      <c r="APH138" s="88"/>
      <c r="API138" s="88"/>
      <c r="APJ138" s="88"/>
      <c r="APK138" s="88"/>
      <c r="APL138" s="88"/>
      <c r="APM138" s="88"/>
      <c r="APN138" s="88"/>
      <c r="APO138" s="88"/>
      <c r="APP138" s="88"/>
      <c r="APQ138" s="88"/>
      <c r="APR138" s="88"/>
      <c r="APS138" s="88"/>
      <c r="APT138" s="88"/>
      <c r="APU138" s="88"/>
      <c r="APV138" s="88"/>
      <c r="APW138" s="88"/>
      <c r="APX138" s="88"/>
      <c r="APY138" s="88"/>
      <c r="APZ138" s="88"/>
      <c r="AQA138" s="88"/>
      <c r="AQB138" s="88"/>
      <c r="AQC138" s="88"/>
      <c r="AQD138" s="88"/>
      <c r="AQE138" s="88"/>
      <c r="AQF138" s="88"/>
      <c r="AQG138" s="88"/>
      <c r="AQH138" s="88"/>
      <c r="AQI138" s="88"/>
      <c r="AQJ138" s="88"/>
      <c r="AQK138" s="88"/>
      <c r="AQL138" s="88"/>
      <c r="AQM138" s="88"/>
      <c r="AQN138" s="88"/>
      <c r="AQO138" s="88"/>
      <c r="AQP138" s="88"/>
      <c r="AQQ138" s="88"/>
      <c r="AQR138" s="88"/>
      <c r="AQS138" s="88"/>
      <c r="AQT138" s="88"/>
      <c r="AQU138" s="88"/>
      <c r="AQV138" s="88"/>
      <c r="AQW138" s="88"/>
      <c r="AQX138" s="88"/>
      <c r="AQY138" s="88"/>
      <c r="AQZ138" s="88"/>
      <c r="ARA138" s="88"/>
      <c r="ARB138" s="88"/>
      <c r="ARC138" s="88"/>
      <c r="ARD138" s="88"/>
      <c r="ARE138" s="88"/>
      <c r="ARF138" s="88"/>
      <c r="ARG138" s="88"/>
      <c r="ARH138" s="88"/>
      <c r="ARI138" s="88"/>
      <c r="ARJ138" s="88"/>
      <c r="ARK138" s="88"/>
      <c r="ARL138" s="88"/>
      <c r="ARM138" s="88"/>
      <c r="ARN138" s="88"/>
      <c r="ARO138" s="88"/>
      <c r="ARP138" s="88"/>
      <c r="ARQ138" s="88"/>
      <c r="ARR138" s="88"/>
      <c r="ARS138" s="88"/>
      <c r="ART138" s="88"/>
      <c r="ARU138" s="88"/>
      <c r="ARV138" s="88"/>
      <c r="ARW138" s="88"/>
      <c r="ARX138" s="88"/>
      <c r="ARY138" s="88"/>
      <c r="ARZ138" s="88"/>
      <c r="ASA138" s="88"/>
      <c r="ASB138" s="88"/>
      <c r="ASC138" s="88"/>
      <c r="ASD138" s="88"/>
      <c r="ASE138" s="88"/>
      <c r="ASF138" s="88"/>
      <c r="ASG138" s="88"/>
      <c r="ASH138" s="88"/>
      <c r="ASI138" s="88"/>
      <c r="ASJ138" s="88"/>
      <c r="ASK138" s="88"/>
      <c r="ASL138" s="88"/>
      <c r="ASM138" s="88"/>
      <c r="ASN138" s="88"/>
      <c r="ASO138" s="88"/>
      <c r="ASP138" s="88"/>
      <c r="ASQ138" s="88"/>
      <c r="ASR138" s="88"/>
      <c r="ASS138" s="88"/>
      <c r="AST138" s="88"/>
      <c r="ASU138" s="88"/>
      <c r="ASV138" s="88"/>
      <c r="ASW138" s="88"/>
      <c r="ASX138" s="88"/>
      <c r="ASY138" s="88"/>
      <c r="ASZ138" s="88"/>
      <c r="ATA138" s="88"/>
      <c r="ATB138" s="88"/>
      <c r="ATC138" s="88"/>
      <c r="ATD138" s="88"/>
      <c r="ATE138" s="88"/>
      <c r="ATF138" s="88"/>
      <c r="ATG138" s="88"/>
      <c r="ATH138" s="88"/>
      <c r="ATI138" s="88"/>
      <c r="ATJ138" s="88"/>
      <c r="ATK138" s="88"/>
      <c r="ATL138" s="88"/>
      <c r="ATM138" s="88"/>
      <c r="ATN138" s="88"/>
      <c r="ATO138" s="88"/>
      <c r="ATP138" s="88"/>
      <c r="ATQ138" s="88"/>
      <c r="ATR138" s="88"/>
      <c r="ATS138" s="88"/>
      <c r="ATT138" s="88"/>
      <c r="ATU138" s="88"/>
      <c r="ATV138" s="88"/>
      <c r="ATW138" s="88"/>
      <c r="ATX138" s="88"/>
      <c r="ATY138" s="88"/>
      <c r="ATZ138" s="88"/>
      <c r="AUA138" s="88"/>
      <c r="AUB138" s="88"/>
      <c r="AUC138" s="88"/>
      <c r="AUD138" s="88"/>
      <c r="AUE138" s="88"/>
      <c r="AUF138" s="88"/>
      <c r="AUG138" s="88"/>
      <c r="AUH138" s="88"/>
      <c r="AUI138" s="88"/>
      <c r="AUJ138" s="88"/>
      <c r="AUK138" s="88"/>
      <c r="AUL138" s="88"/>
      <c r="AUM138" s="88"/>
      <c r="AUN138" s="88"/>
      <c r="AUO138" s="88"/>
      <c r="AUP138" s="88"/>
      <c r="AUQ138" s="88"/>
      <c r="AUR138" s="88"/>
      <c r="AUS138" s="88"/>
      <c r="AUT138" s="88"/>
      <c r="AUU138" s="88"/>
      <c r="AUV138" s="88"/>
      <c r="AUW138" s="88"/>
      <c r="AUX138" s="88"/>
      <c r="AUY138" s="88"/>
      <c r="AUZ138" s="88"/>
      <c r="AVA138" s="88"/>
      <c r="AVB138" s="88"/>
      <c r="AVC138" s="88"/>
      <c r="AVD138" s="88"/>
      <c r="AVE138" s="88"/>
      <c r="AVF138" s="88"/>
      <c r="AVG138" s="88"/>
      <c r="AVH138" s="88"/>
      <c r="AVI138" s="88"/>
      <c r="AVJ138" s="88"/>
      <c r="AVK138" s="88"/>
      <c r="AVL138" s="88"/>
      <c r="AVM138" s="88"/>
      <c r="AVN138" s="88"/>
      <c r="AVO138" s="88"/>
      <c r="AVP138" s="88"/>
      <c r="AVQ138" s="88"/>
      <c r="AVR138" s="88"/>
      <c r="AVS138" s="88"/>
      <c r="AVT138" s="88"/>
      <c r="AVU138" s="88"/>
      <c r="AVV138" s="88"/>
      <c r="AVW138" s="88"/>
      <c r="AVX138" s="88"/>
      <c r="AVY138" s="88"/>
      <c r="AVZ138" s="88"/>
      <c r="AWA138" s="88"/>
      <c r="AWB138" s="88"/>
      <c r="AWC138" s="88"/>
      <c r="AWD138" s="88"/>
      <c r="AWE138" s="88"/>
      <c r="AWF138" s="88"/>
      <c r="AWG138" s="88"/>
      <c r="AWH138" s="88"/>
      <c r="AWI138" s="88"/>
      <c r="AWJ138" s="88"/>
      <c r="AWK138" s="88"/>
      <c r="AWL138" s="88"/>
      <c r="AWM138" s="88"/>
      <c r="AWN138" s="88"/>
      <c r="AWO138" s="88"/>
      <c r="AWP138" s="88"/>
      <c r="AWQ138" s="88"/>
      <c r="AWR138" s="88"/>
      <c r="AWS138" s="88"/>
      <c r="AWT138" s="88"/>
      <c r="AWU138" s="88"/>
      <c r="AWV138" s="88"/>
      <c r="AWW138" s="88"/>
      <c r="AWX138" s="88"/>
      <c r="AWY138" s="88"/>
      <c r="AWZ138" s="88"/>
      <c r="AXA138" s="88"/>
      <c r="AXB138" s="88"/>
      <c r="AXC138" s="88"/>
      <c r="AXD138" s="88"/>
      <c r="AXE138" s="88"/>
      <c r="AXF138" s="88"/>
      <c r="AXG138" s="88"/>
      <c r="AXH138" s="88"/>
      <c r="AXI138" s="88"/>
      <c r="AXJ138" s="88"/>
      <c r="AXK138" s="88"/>
      <c r="AXL138" s="88"/>
      <c r="AXM138" s="88"/>
      <c r="AXN138" s="88"/>
      <c r="AXO138" s="88"/>
      <c r="AXP138" s="88"/>
      <c r="AXQ138" s="88"/>
      <c r="AXR138" s="88"/>
      <c r="AXS138" s="88"/>
      <c r="AXT138" s="88"/>
      <c r="AXU138" s="88"/>
      <c r="AXV138" s="88"/>
      <c r="AXW138" s="88"/>
      <c r="AXX138" s="88"/>
      <c r="AXY138" s="88"/>
      <c r="AXZ138" s="88"/>
      <c r="AYA138" s="88"/>
      <c r="AYB138" s="88"/>
      <c r="AYC138" s="88"/>
      <c r="AYD138" s="88"/>
      <c r="AYE138" s="88"/>
      <c r="AYF138" s="88"/>
      <c r="AYG138" s="88"/>
      <c r="AYH138" s="88"/>
      <c r="AYI138" s="88"/>
      <c r="AYJ138" s="88"/>
      <c r="AYK138" s="88"/>
      <c r="AYL138" s="88"/>
      <c r="AYM138" s="88"/>
      <c r="AYN138" s="88"/>
      <c r="AYO138" s="88"/>
      <c r="AYP138" s="88"/>
      <c r="AYQ138" s="88"/>
      <c r="AYR138" s="88"/>
      <c r="AYS138" s="88"/>
      <c r="AYT138" s="88"/>
      <c r="AYU138" s="88"/>
      <c r="AYV138" s="88"/>
      <c r="AYW138" s="88"/>
      <c r="AYX138" s="88"/>
      <c r="AYY138" s="88"/>
      <c r="AYZ138" s="88"/>
      <c r="AZA138" s="88"/>
      <c r="AZB138" s="88"/>
      <c r="AZC138" s="88"/>
      <c r="AZD138" s="88"/>
      <c r="AZE138" s="88"/>
      <c r="AZF138" s="88"/>
      <c r="AZG138" s="88"/>
      <c r="AZH138" s="88"/>
      <c r="AZI138" s="88"/>
      <c r="AZJ138" s="88"/>
      <c r="AZK138" s="88"/>
      <c r="AZL138" s="88"/>
      <c r="AZM138" s="88"/>
      <c r="AZN138" s="88"/>
      <c r="AZO138" s="88"/>
      <c r="AZP138" s="88"/>
      <c r="AZQ138" s="88"/>
      <c r="AZR138" s="88"/>
      <c r="AZS138" s="88"/>
      <c r="AZT138" s="88"/>
      <c r="AZU138" s="88"/>
      <c r="AZV138" s="88"/>
      <c r="AZW138" s="88"/>
      <c r="AZX138" s="88"/>
      <c r="AZY138" s="88"/>
      <c r="AZZ138" s="88"/>
      <c r="BAA138" s="88"/>
      <c r="BAB138" s="88"/>
      <c r="BAC138" s="88"/>
      <c r="BAD138" s="88"/>
      <c r="BAE138" s="88"/>
      <c r="BAF138" s="88"/>
      <c r="BAG138" s="88"/>
      <c r="BAH138" s="88"/>
      <c r="BAI138" s="88"/>
      <c r="BAJ138" s="88"/>
      <c r="BAK138" s="88"/>
      <c r="BAL138" s="88"/>
      <c r="BAM138" s="88"/>
      <c r="BAN138" s="88"/>
      <c r="BAO138" s="88"/>
      <c r="BAP138" s="88"/>
      <c r="BAQ138" s="88"/>
      <c r="BAR138" s="88"/>
      <c r="BAS138" s="88"/>
      <c r="BAT138" s="88"/>
      <c r="BAU138" s="88"/>
      <c r="BAV138" s="88"/>
      <c r="BAW138" s="88"/>
      <c r="BAX138" s="88"/>
      <c r="BAY138" s="88"/>
      <c r="BAZ138" s="88"/>
      <c r="BBA138" s="88"/>
      <c r="BBB138" s="88"/>
      <c r="BBC138" s="88"/>
      <c r="BBD138" s="88"/>
      <c r="BBE138" s="88"/>
      <c r="BBF138" s="88"/>
      <c r="BBG138" s="88"/>
      <c r="BBH138" s="88"/>
      <c r="BBI138" s="88"/>
      <c r="BBJ138" s="88"/>
      <c r="BBK138" s="88"/>
      <c r="BBL138" s="88"/>
      <c r="BBM138" s="88"/>
      <c r="BBN138" s="88"/>
      <c r="BBO138" s="88"/>
      <c r="BBP138" s="88"/>
      <c r="BBQ138" s="88"/>
      <c r="BBR138" s="88"/>
      <c r="BBS138" s="88"/>
      <c r="BBT138" s="88"/>
      <c r="BBU138" s="88"/>
      <c r="BBV138" s="88"/>
      <c r="BBW138" s="88"/>
      <c r="BBX138" s="88"/>
      <c r="BBY138" s="88"/>
      <c r="BBZ138" s="88"/>
      <c r="BCA138" s="88"/>
      <c r="BCB138" s="88"/>
      <c r="BCC138" s="88"/>
      <c r="BCD138" s="88"/>
      <c r="BCE138" s="88"/>
      <c r="BCF138" s="88"/>
      <c r="BCG138" s="88"/>
      <c r="BCH138" s="88"/>
      <c r="BCI138" s="88"/>
      <c r="BCJ138" s="88"/>
      <c r="BCK138" s="88"/>
      <c r="BCL138" s="88"/>
      <c r="BCM138" s="88"/>
      <c r="BCN138" s="88"/>
      <c r="BCO138" s="88"/>
      <c r="BCP138" s="88"/>
      <c r="BCQ138" s="88"/>
      <c r="BCR138" s="88"/>
      <c r="BCS138" s="88"/>
      <c r="BCT138" s="88"/>
      <c r="BCU138" s="88"/>
      <c r="BCV138" s="88"/>
      <c r="BCW138" s="88"/>
      <c r="BCX138" s="88"/>
      <c r="BCY138" s="88"/>
      <c r="BCZ138" s="88"/>
      <c r="BDA138" s="88"/>
      <c r="BDB138" s="88"/>
      <c r="BDC138" s="88"/>
      <c r="BDD138" s="88"/>
      <c r="BDE138" s="88"/>
      <c r="BDF138" s="88"/>
      <c r="BDG138" s="88"/>
      <c r="BDH138" s="88"/>
      <c r="BDI138" s="88"/>
      <c r="BDJ138" s="88"/>
      <c r="BDK138" s="88"/>
      <c r="BDL138" s="88"/>
      <c r="BDM138" s="88"/>
      <c r="BDN138" s="88"/>
      <c r="BDO138" s="88"/>
      <c r="BDP138" s="88"/>
      <c r="BDQ138" s="88"/>
      <c r="BDR138" s="88"/>
      <c r="BDS138" s="88"/>
      <c r="BDT138" s="88"/>
      <c r="BDU138" s="88"/>
      <c r="BDV138" s="88"/>
      <c r="BDW138" s="88"/>
      <c r="BDX138" s="88"/>
      <c r="BDY138" s="88"/>
      <c r="BDZ138" s="88"/>
      <c r="BEA138" s="88"/>
      <c r="BEB138" s="88"/>
      <c r="BEC138" s="88"/>
      <c r="BED138" s="88"/>
      <c r="BEE138" s="88"/>
      <c r="BEF138" s="88"/>
      <c r="BEG138" s="88"/>
      <c r="BEH138" s="88"/>
      <c r="BEI138" s="88"/>
      <c r="BEJ138" s="88"/>
      <c r="BEK138" s="88"/>
      <c r="BEL138" s="88"/>
      <c r="BEM138" s="88"/>
      <c r="BEN138" s="88"/>
      <c r="BEO138" s="88"/>
      <c r="BEP138" s="88"/>
      <c r="BEQ138" s="88"/>
      <c r="BER138" s="88"/>
      <c r="BES138" s="88"/>
      <c r="BET138" s="88"/>
      <c r="BEU138" s="88"/>
      <c r="BEV138" s="88"/>
      <c r="BEW138" s="88"/>
      <c r="BEX138" s="88"/>
      <c r="BEY138" s="88"/>
      <c r="BEZ138" s="88"/>
      <c r="BFA138" s="88"/>
      <c r="BFB138" s="88"/>
      <c r="BFC138" s="88"/>
      <c r="BFD138" s="88"/>
      <c r="BFE138" s="88"/>
      <c r="BFF138" s="88"/>
      <c r="BFG138" s="88"/>
      <c r="BFH138" s="88"/>
      <c r="BFI138" s="88"/>
      <c r="BFJ138" s="88"/>
      <c r="BFK138" s="88"/>
      <c r="BFL138" s="88"/>
      <c r="BFM138" s="88"/>
      <c r="BFN138" s="88"/>
      <c r="BFO138" s="88"/>
      <c r="BFP138" s="88"/>
      <c r="BFQ138" s="88"/>
      <c r="BFR138" s="88"/>
      <c r="BFS138" s="88"/>
      <c r="BFT138" s="88"/>
      <c r="BFU138" s="88"/>
      <c r="BFV138" s="88"/>
      <c r="BFW138" s="88"/>
      <c r="BFX138" s="88"/>
      <c r="BFY138" s="88"/>
      <c r="BFZ138" s="88"/>
      <c r="BGA138" s="88"/>
      <c r="BGB138" s="88"/>
      <c r="BGC138" s="88"/>
      <c r="BGD138" s="88"/>
      <c r="BGE138" s="88"/>
      <c r="BGF138" s="88"/>
      <c r="BGG138" s="88"/>
      <c r="BGH138" s="88"/>
      <c r="BGI138" s="88"/>
      <c r="BGJ138" s="88"/>
      <c r="BGK138" s="88"/>
      <c r="BGL138" s="88"/>
      <c r="BGM138" s="88"/>
      <c r="BGN138" s="88"/>
      <c r="BGO138" s="88"/>
      <c r="BGP138" s="88"/>
      <c r="BGQ138" s="88"/>
      <c r="BGR138" s="88"/>
      <c r="BGS138" s="88"/>
      <c r="BGT138" s="88"/>
      <c r="BGU138" s="88"/>
      <c r="BGV138" s="88"/>
      <c r="BGW138" s="88"/>
      <c r="BGX138" s="88"/>
      <c r="BGY138" s="88"/>
      <c r="BGZ138" s="88"/>
      <c r="BHA138" s="88"/>
      <c r="BHB138" s="88"/>
      <c r="BHC138" s="88"/>
      <c r="BHD138" s="88"/>
      <c r="BHE138" s="88"/>
      <c r="BHF138" s="88"/>
      <c r="BHG138" s="88"/>
      <c r="BHH138" s="88"/>
      <c r="BHI138" s="88"/>
      <c r="BHJ138" s="88"/>
      <c r="BHK138" s="88"/>
      <c r="BHL138" s="88"/>
      <c r="BHM138" s="88"/>
      <c r="BHN138" s="88"/>
      <c r="BHO138" s="88"/>
      <c r="BHP138" s="88"/>
      <c r="BHQ138" s="88"/>
      <c r="BHR138" s="88"/>
      <c r="BHS138" s="88"/>
      <c r="BHT138" s="88"/>
      <c r="BHU138" s="88"/>
      <c r="BHV138" s="88"/>
      <c r="BHW138" s="88"/>
      <c r="BHX138" s="88"/>
      <c r="BHY138" s="88"/>
      <c r="BHZ138" s="88"/>
      <c r="BIA138" s="88"/>
      <c r="BIB138" s="88"/>
      <c r="BIC138" s="88"/>
      <c r="BID138" s="88"/>
      <c r="BIE138" s="88"/>
      <c r="BIF138" s="88"/>
      <c r="BIG138" s="88"/>
      <c r="BIH138" s="88"/>
      <c r="BII138" s="88"/>
      <c r="BIJ138" s="88"/>
      <c r="BIK138" s="88"/>
      <c r="BIL138" s="88"/>
      <c r="BIM138" s="88"/>
      <c r="BIN138" s="88"/>
      <c r="BIO138" s="88"/>
      <c r="BIP138" s="88"/>
      <c r="BIQ138" s="88"/>
      <c r="BIR138" s="88"/>
      <c r="BIS138" s="88"/>
      <c r="BIT138" s="88"/>
      <c r="BIU138" s="88"/>
      <c r="BIV138" s="88"/>
      <c r="BIW138" s="88"/>
      <c r="BIX138" s="88"/>
      <c r="BIY138" s="88"/>
      <c r="BIZ138" s="88"/>
      <c r="BJA138" s="88"/>
      <c r="BJB138" s="88"/>
      <c r="BJC138" s="88"/>
      <c r="BJD138" s="88"/>
      <c r="BJE138" s="88"/>
      <c r="BJF138" s="88"/>
      <c r="BJG138" s="88"/>
      <c r="BJH138" s="88"/>
      <c r="BJI138" s="88"/>
      <c r="BJJ138" s="88"/>
      <c r="BJK138" s="88"/>
      <c r="BJL138" s="88"/>
      <c r="BJM138" s="88"/>
      <c r="BJN138" s="88"/>
      <c r="BJO138" s="88"/>
      <c r="BJP138" s="88"/>
      <c r="BJQ138" s="88"/>
      <c r="BJR138" s="88"/>
      <c r="BJS138" s="88"/>
      <c r="BJT138" s="88"/>
      <c r="BJU138" s="88"/>
      <c r="BJV138" s="88"/>
      <c r="BJW138" s="88"/>
      <c r="BJX138" s="88"/>
      <c r="BJY138" s="88"/>
      <c r="BJZ138" s="88"/>
      <c r="BKA138" s="88"/>
      <c r="BKB138" s="88"/>
      <c r="BKC138" s="88"/>
      <c r="BKD138" s="88"/>
      <c r="BKE138" s="88"/>
      <c r="BKF138" s="88"/>
      <c r="BKG138" s="88"/>
      <c r="BKH138" s="88"/>
      <c r="BKI138" s="88"/>
      <c r="BKJ138" s="88"/>
      <c r="BKK138" s="88"/>
      <c r="BKL138" s="88"/>
      <c r="BKM138" s="88"/>
      <c r="BKN138" s="88"/>
      <c r="BKO138" s="88"/>
      <c r="BKP138" s="88"/>
      <c r="BKQ138" s="88"/>
      <c r="BKR138" s="88"/>
      <c r="BKS138" s="88"/>
      <c r="BKT138" s="88"/>
      <c r="BKU138" s="88"/>
      <c r="BKV138" s="88"/>
      <c r="BKW138" s="88"/>
      <c r="BKX138" s="88"/>
      <c r="BKY138" s="88"/>
      <c r="BKZ138" s="88"/>
      <c r="BLA138" s="88"/>
      <c r="BLB138" s="88"/>
      <c r="BLC138" s="88"/>
      <c r="BLD138" s="88"/>
      <c r="BLE138" s="88"/>
      <c r="BLF138" s="88"/>
      <c r="BLG138" s="88"/>
      <c r="BLH138" s="88"/>
      <c r="BLI138" s="88"/>
      <c r="BLJ138" s="88"/>
      <c r="BLK138" s="88"/>
      <c r="BLL138" s="88"/>
      <c r="BLM138" s="88"/>
      <c r="BLN138" s="88"/>
      <c r="BLO138" s="88"/>
      <c r="BLP138" s="88"/>
      <c r="BLQ138" s="88"/>
      <c r="BLR138" s="88"/>
      <c r="BLS138" s="88"/>
      <c r="BLT138" s="88"/>
      <c r="BLU138" s="88"/>
      <c r="BLV138" s="88"/>
      <c r="BLW138" s="88"/>
      <c r="BLX138" s="88"/>
      <c r="BLY138" s="88"/>
      <c r="BLZ138" s="88"/>
      <c r="BMA138" s="88"/>
      <c r="BMB138" s="88"/>
      <c r="BMC138" s="88"/>
      <c r="BMD138" s="88"/>
      <c r="BME138" s="88"/>
      <c r="BMF138" s="88"/>
      <c r="BMG138" s="88"/>
      <c r="BMH138" s="88"/>
      <c r="BMI138" s="88"/>
      <c r="BMJ138" s="88"/>
      <c r="BMK138" s="88"/>
      <c r="BML138" s="88"/>
      <c r="BMM138" s="88"/>
      <c r="BMN138" s="88"/>
      <c r="BMO138" s="88"/>
      <c r="BMP138" s="88"/>
      <c r="BMQ138" s="88"/>
      <c r="BMR138" s="88"/>
      <c r="BMS138" s="88"/>
      <c r="BMT138" s="88"/>
      <c r="BMU138" s="88"/>
      <c r="BMV138" s="88"/>
      <c r="BMW138" s="88"/>
      <c r="BMX138" s="88"/>
      <c r="BMY138" s="88"/>
      <c r="BMZ138" s="88"/>
      <c r="BNA138" s="88"/>
      <c r="BNB138" s="88"/>
      <c r="BNC138" s="88"/>
      <c r="BND138" s="88"/>
      <c r="BNE138" s="88"/>
      <c r="BNF138" s="88"/>
      <c r="BNG138" s="88"/>
      <c r="BNH138" s="88"/>
      <c r="BNI138" s="88"/>
      <c r="BNJ138" s="88"/>
      <c r="BNK138" s="88"/>
      <c r="BNL138" s="88"/>
      <c r="BNM138" s="88"/>
      <c r="BNN138" s="88"/>
      <c r="BNO138" s="88"/>
      <c r="BNP138" s="88"/>
      <c r="BNQ138" s="88"/>
      <c r="BNR138" s="88"/>
      <c r="BNS138" s="88"/>
      <c r="BNT138" s="88"/>
      <c r="BNU138" s="88"/>
      <c r="BNV138" s="88"/>
      <c r="BNW138" s="88"/>
      <c r="BNX138" s="88"/>
      <c r="BNY138" s="88"/>
      <c r="BNZ138" s="88"/>
      <c r="BOA138" s="88"/>
      <c r="BOB138" s="88"/>
      <c r="BOC138" s="88"/>
      <c r="BOD138" s="88"/>
      <c r="BOE138" s="88"/>
      <c r="BOF138" s="88"/>
      <c r="BOG138" s="88"/>
      <c r="BOH138" s="88"/>
      <c r="BOI138" s="88"/>
      <c r="BOJ138" s="88"/>
      <c r="BOK138" s="88"/>
      <c r="BOL138" s="88"/>
      <c r="BOM138" s="88"/>
      <c r="BON138" s="88"/>
      <c r="BOO138" s="88"/>
      <c r="BOP138" s="88"/>
      <c r="BOQ138" s="88"/>
      <c r="BOR138" s="88"/>
      <c r="BOS138" s="88"/>
      <c r="BOT138" s="88"/>
      <c r="BOU138" s="88"/>
      <c r="BOV138" s="88"/>
      <c r="BOW138" s="88"/>
      <c r="BOX138" s="88"/>
      <c r="BOY138" s="88"/>
      <c r="BOZ138" s="88"/>
      <c r="BPA138" s="88"/>
      <c r="BPB138" s="88"/>
      <c r="BPC138" s="88"/>
      <c r="BPD138" s="88"/>
      <c r="BPE138" s="88"/>
      <c r="BPF138" s="88"/>
      <c r="BPG138" s="88"/>
      <c r="BPH138" s="88"/>
      <c r="BPI138" s="88"/>
      <c r="BPJ138" s="88"/>
      <c r="BPK138" s="88"/>
      <c r="BPL138" s="88"/>
      <c r="BPM138" s="88"/>
      <c r="BPN138" s="88"/>
      <c r="BPO138" s="88"/>
      <c r="BPP138" s="88"/>
      <c r="BPQ138" s="88"/>
      <c r="BPR138" s="88"/>
      <c r="BPS138" s="88"/>
      <c r="BPT138" s="88"/>
      <c r="BPU138" s="88"/>
      <c r="BPV138" s="88"/>
      <c r="BPW138" s="88"/>
      <c r="BPX138" s="88"/>
      <c r="BPY138" s="88"/>
      <c r="BPZ138" s="88"/>
      <c r="BQA138" s="88"/>
      <c r="BQB138" s="88"/>
      <c r="BQC138" s="88"/>
      <c r="BQD138" s="88"/>
      <c r="BQE138" s="88"/>
      <c r="BQF138" s="88"/>
      <c r="BQG138" s="88"/>
      <c r="BQH138" s="88"/>
      <c r="BQI138" s="88"/>
      <c r="BQJ138" s="88"/>
      <c r="BQK138" s="88"/>
      <c r="BQL138" s="88"/>
      <c r="BQM138" s="88"/>
      <c r="BQN138" s="88"/>
      <c r="BQO138" s="88"/>
      <c r="BQP138" s="88"/>
      <c r="BQQ138" s="88"/>
      <c r="BQR138" s="88"/>
      <c r="BQS138" s="88"/>
      <c r="BQT138" s="88"/>
      <c r="BQU138" s="88"/>
      <c r="BQV138" s="88"/>
      <c r="BQW138" s="88"/>
      <c r="BQX138" s="88"/>
      <c r="BQY138" s="88"/>
      <c r="BQZ138" s="88"/>
      <c r="BRA138" s="88"/>
      <c r="BRB138" s="88"/>
      <c r="BRC138" s="88"/>
      <c r="BRD138" s="88"/>
      <c r="BRE138" s="88"/>
      <c r="BRF138" s="88"/>
      <c r="BRG138" s="88"/>
      <c r="BRH138" s="88"/>
      <c r="BRI138" s="88"/>
      <c r="BRJ138" s="88"/>
      <c r="BRK138" s="88"/>
      <c r="BRL138" s="88"/>
      <c r="BRM138" s="88"/>
      <c r="BRN138" s="88"/>
      <c r="BRO138" s="88"/>
      <c r="BRP138" s="88"/>
      <c r="BRQ138" s="88"/>
      <c r="BRR138" s="88"/>
      <c r="BRS138" s="88"/>
      <c r="BRT138" s="88"/>
      <c r="BRU138" s="88"/>
      <c r="BRV138" s="88"/>
      <c r="BRW138" s="88"/>
      <c r="BRX138" s="88"/>
      <c r="BRY138" s="88"/>
      <c r="BRZ138" s="88"/>
      <c r="BSA138" s="88"/>
      <c r="BSB138" s="88"/>
      <c r="BSC138" s="88"/>
      <c r="BSD138" s="88"/>
      <c r="BSE138" s="88"/>
      <c r="BSF138" s="88"/>
      <c r="BSG138" s="88"/>
      <c r="BSH138" s="88"/>
      <c r="BSI138" s="88"/>
      <c r="BSJ138" s="88"/>
      <c r="BSK138" s="88"/>
      <c r="BSL138" s="88"/>
      <c r="BSM138" s="88"/>
      <c r="BSN138" s="88"/>
      <c r="BSO138" s="88"/>
      <c r="BSP138" s="88"/>
      <c r="BSQ138" s="88"/>
      <c r="BSR138" s="88"/>
      <c r="BSS138" s="88"/>
      <c r="BST138" s="88"/>
      <c r="BSU138" s="88"/>
      <c r="BSV138" s="88"/>
      <c r="BSW138" s="88"/>
      <c r="BSX138" s="88"/>
      <c r="BSY138" s="88"/>
      <c r="BSZ138" s="88"/>
      <c r="BTA138" s="88"/>
      <c r="BTB138" s="88"/>
      <c r="BTC138" s="88"/>
      <c r="BTD138" s="88"/>
      <c r="BTE138" s="88"/>
      <c r="BTF138" s="88"/>
      <c r="BTG138" s="88"/>
      <c r="BTH138" s="88"/>
      <c r="BTI138" s="88"/>
      <c r="BTJ138" s="88"/>
      <c r="BTK138" s="88"/>
      <c r="BTL138" s="88"/>
      <c r="BTM138" s="88"/>
      <c r="BTN138" s="88"/>
      <c r="BTO138" s="88"/>
      <c r="BTP138" s="88"/>
      <c r="BTQ138" s="88"/>
      <c r="BTR138" s="88"/>
      <c r="BTS138" s="88"/>
      <c r="BTT138" s="88"/>
      <c r="BTU138" s="88"/>
      <c r="BTV138" s="88"/>
      <c r="BTW138" s="88"/>
      <c r="BTX138" s="88"/>
      <c r="BTY138" s="88"/>
      <c r="BTZ138" s="88"/>
      <c r="BUA138" s="88"/>
      <c r="BUB138" s="88"/>
      <c r="BUC138" s="88"/>
      <c r="BUD138" s="88"/>
      <c r="BUE138" s="88"/>
      <c r="BUF138" s="88"/>
      <c r="BUG138" s="88"/>
      <c r="BUH138" s="88"/>
      <c r="BUI138" s="88"/>
      <c r="BUJ138" s="88"/>
      <c r="BUK138" s="88"/>
      <c r="BUL138" s="88"/>
      <c r="BUM138" s="88"/>
      <c r="BUN138" s="88"/>
      <c r="BUO138" s="88"/>
      <c r="BUP138" s="88"/>
      <c r="BUQ138" s="88"/>
      <c r="BUR138" s="88"/>
      <c r="BUS138" s="88"/>
      <c r="BUT138" s="88"/>
      <c r="BUU138" s="88"/>
      <c r="BUV138" s="88"/>
      <c r="BUW138" s="88"/>
      <c r="BUX138" s="88"/>
      <c r="BUY138" s="88"/>
      <c r="BUZ138" s="88"/>
      <c r="BVA138" s="88"/>
      <c r="BVB138" s="88"/>
      <c r="BVC138" s="88"/>
      <c r="BVD138" s="88"/>
      <c r="BVE138" s="88"/>
      <c r="BVF138" s="88"/>
      <c r="BVG138" s="88"/>
      <c r="BVH138" s="88"/>
      <c r="BVI138" s="88"/>
      <c r="BVJ138" s="88"/>
      <c r="BVK138" s="88"/>
      <c r="BVL138" s="88"/>
      <c r="BVM138" s="88"/>
      <c r="BVN138" s="88"/>
      <c r="BVO138" s="88"/>
      <c r="BVP138" s="88"/>
      <c r="BVQ138" s="88"/>
      <c r="BVR138" s="88"/>
      <c r="BVS138" s="88"/>
      <c r="BVT138" s="88"/>
      <c r="BVU138" s="88"/>
      <c r="BVV138" s="88"/>
      <c r="BVW138" s="88"/>
      <c r="BVX138" s="88"/>
      <c r="BVY138" s="88"/>
      <c r="BVZ138" s="88"/>
      <c r="BWA138" s="88"/>
      <c r="BWB138" s="88"/>
      <c r="BWC138" s="88"/>
      <c r="BWD138" s="88"/>
      <c r="BWE138" s="88"/>
      <c r="BWF138" s="88"/>
      <c r="BWG138" s="88"/>
      <c r="BWH138" s="88"/>
      <c r="BWI138" s="88"/>
      <c r="BWJ138" s="88"/>
      <c r="BWK138" s="88"/>
      <c r="BWL138" s="88"/>
      <c r="BWM138" s="88"/>
      <c r="BWN138" s="88"/>
      <c r="BWO138" s="88"/>
      <c r="BWP138" s="88"/>
      <c r="BWQ138" s="88"/>
      <c r="BWR138" s="88"/>
      <c r="BWS138" s="88"/>
      <c r="BWT138" s="88"/>
      <c r="BWU138" s="88"/>
      <c r="BWV138" s="88"/>
      <c r="BWW138" s="88"/>
      <c r="BWX138" s="88"/>
      <c r="BWY138" s="88"/>
      <c r="BWZ138" s="88"/>
      <c r="BXA138" s="88"/>
      <c r="BXB138" s="88"/>
      <c r="BXC138" s="88"/>
      <c r="BXD138" s="88"/>
      <c r="BXE138" s="88"/>
      <c r="BXF138" s="88"/>
      <c r="BXG138" s="88"/>
      <c r="BXH138" s="88"/>
      <c r="BXI138" s="88"/>
      <c r="BXJ138" s="88"/>
      <c r="BXK138" s="88"/>
      <c r="BXL138" s="88"/>
      <c r="BXM138" s="88"/>
      <c r="BXN138" s="88"/>
      <c r="BXO138" s="88"/>
      <c r="BXP138" s="88"/>
      <c r="BXQ138" s="88"/>
      <c r="BXR138" s="88"/>
      <c r="BXS138" s="88"/>
      <c r="BXT138" s="88"/>
      <c r="BXU138" s="88"/>
      <c r="BXV138" s="88"/>
      <c r="BXW138" s="88"/>
      <c r="BXX138" s="88"/>
      <c r="BXY138" s="88"/>
      <c r="BXZ138" s="88"/>
      <c r="BYA138" s="88"/>
      <c r="BYB138" s="88"/>
      <c r="BYC138" s="88"/>
      <c r="BYD138" s="88"/>
      <c r="BYE138" s="88"/>
      <c r="BYF138" s="88"/>
      <c r="BYG138" s="88"/>
      <c r="BYH138" s="88"/>
      <c r="BYI138" s="88"/>
      <c r="BYJ138" s="88"/>
      <c r="BYK138" s="88"/>
      <c r="BYL138" s="88"/>
      <c r="BYM138" s="88"/>
      <c r="BYN138" s="88"/>
      <c r="BYO138" s="88"/>
      <c r="BYP138" s="88"/>
      <c r="BYQ138" s="88"/>
      <c r="BYR138" s="88"/>
      <c r="BYS138" s="88"/>
      <c r="BYT138" s="88"/>
      <c r="BYU138" s="88"/>
      <c r="BYV138" s="88"/>
      <c r="BYW138" s="88"/>
      <c r="BYX138" s="88"/>
      <c r="BYY138" s="88"/>
      <c r="BYZ138" s="88"/>
      <c r="BZA138" s="88"/>
      <c r="BZB138" s="88"/>
      <c r="BZC138" s="88"/>
      <c r="BZD138" s="88"/>
      <c r="BZE138" s="88"/>
      <c r="BZF138" s="88"/>
      <c r="BZG138" s="88"/>
      <c r="BZH138" s="88"/>
      <c r="BZI138" s="88"/>
      <c r="BZJ138" s="88"/>
      <c r="BZK138" s="88"/>
      <c r="BZL138" s="88"/>
      <c r="BZM138" s="88"/>
      <c r="BZN138" s="88"/>
      <c r="BZO138" s="88"/>
      <c r="BZP138" s="88"/>
      <c r="BZQ138" s="88"/>
      <c r="BZR138" s="88"/>
      <c r="BZS138" s="88"/>
      <c r="BZT138" s="88"/>
      <c r="BZU138" s="88"/>
      <c r="BZV138" s="88"/>
      <c r="BZW138" s="88"/>
      <c r="BZX138" s="88"/>
      <c r="BZY138" s="88"/>
      <c r="BZZ138" s="88"/>
      <c r="CAA138" s="88"/>
      <c r="CAB138" s="88"/>
      <c r="CAC138" s="88"/>
      <c r="CAD138" s="88"/>
      <c r="CAE138" s="88"/>
      <c r="CAF138" s="88"/>
      <c r="CAG138" s="88"/>
      <c r="CAH138" s="88"/>
      <c r="CAI138" s="88"/>
      <c r="CAJ138" s="88"/>
      <c r="CAK138" s="88"/>
      <c r="CAL138" s="88"/>
      <c r="CAM138" s="88"/>
      <c r="CAN138" s="88"/>
      <c r="CAO138" s="88"/>
      <c r="CAP138" s="88"/>
      <c r="CAQ138" s="88"/>
      <c r="CAR138" s="88"/>
      <c r="CAS138" s="88"/>
      <c r="CAT138" s="88"/>
      <c r="CAU138" s="88"/>
      <c r="CAV138" s="88"/>
      <c r="CAW138" s="88"/>
      <c r="CAX138" s="88"/>
      <c r="CAY138" s="88"/>
      <c r="CAZ138" s="88"/>
      <c r="CBA138" s="88"/>
      <c r="CBB138" s="88"/>
      <c r="CBC138" s="88"/>
      <c r="CBD138" s="88"/>
      <c r="CBE138" s="88"/>
      <c r="CBF138" s="88"/>
      <c r="CBG138" s="88"/>
      <c r="CBH138" s="88"/>
      <c r="CBI138" s="88"/>
      <c r="CBJ138" s="88"/>
      <c r="CBK138" s="88"/>
      <c r="CBL138" s="88"/>
      <c r="CBM138" s="88"/>
      <c r="CBN138" s="88"/>
      <c r="CBO138" s="88"/>
      <c r="CBP138" s="88"/>
      <c r="CBQ138" s="88"/>
      <c r="CBR138" s="88"/>
      <c r="CBS138" s="88"/>
      <c r="CBT138" s="88"/>
      <c r="CBU138" s="88"/>
      <c r="CBV138" s="88"/>
      <c r="CBW138" s="88"/>
      <c r="CBX138" s="88"/>
      <c r="CBY138" s="88"/>
      <c r="CBZ138" s="88"/>
      <c r="CCA138" s="88"/>
      <c r="CCB138" s="88"/>
      <c r="CCC138" s="88"/>
      <c r="CCD138" s="88"/>
      <c r="CCE138" s="88"/>
      <c r="CCF138" s="88"/>
      <c r="CCG138" s="88"/>
      <c r="CCH138" s="88"/>
      <c r="CCI138" s="88"/>
      <c r="CCJ138" s="88"/>
      <c r="CCK138" s="88"/>
      <c r="CCL138" s="88"/>
      <c r="CCM138" s="88"/>
      <c r="CCN138" s="88"/>
      <c r="CCO138" s="88"/>
      <c r="CCP138" s="88"/>
      <c r="CCQ138" s="88"/>
      <c r="CCR138" s="88"/>
      <c r="CCS138" s="88"/>
      <c r="CCT138" s="88"/>
      <c r="CCU138" s="88"/>
      <c r="CCV138" s="88"/>
      <c r="CCW138" s="88"/>
      <c r="CCX138" s="88"/>
      <c r="CCY138" s="88"/>
      <c r="CCZ138" s="88"/>
      <c r="CDA138" s="88"/>
      <c r="CDB138" s="88"/>
      <c r="CDC138" s="88"/>
      <c r="CDD138" s="88"/>
      <c r="CDE138" s="88"/>
      <c r="CDF138" s="88"/>
      <c r="CDG138" s="88"/>
      <c r="CDH138" s="88"/>
      <c r="CDI138" s="88"/>
      <c r="CDJ138" s="88"/>
      <c r="CDK138" s="88"/>
      <c r="CDL138" s="88"/>
      <c r="CDM138" s="88"/>
      <c r="CDN138" s="88"/>
      <c r="CDO138" s="88"/>
      <c r="CDP138" s="88"/>
      <c r="CDQ138" s="88"/>
      <c r="CDR138" s="88"/>
      <c r="CDS138" s="88"/>
      <c r="CDT138" s="88"/>
      <c r="CDU138" s="88"/>
      <c r="CDV138" s="88"/>
      <c r="CDW138" s="88"/>
      <c r="CDX138" s="88"/>
      <c r="CDY138" s="88"/>
      <c r="CDZ138" s="88"/>
      <c r="CEA138" s="88"/>
      <c r="CEB138" s="88"/>
      <c r="CEC138" s="88"/>
      <c r="CED138" s="88"/>
      <c r="CEE138" s="88"/>
      <c r="CEF138" s="88"/>
      <c r="CEG138" s="88"/>
      <c r="CEH138" s="88"/>
      <c r="CEI138" s="88"/>
      <c r="CEJ138" s="88"/>
      <c r="CEK138" s="88"/>
    </row>
    <row r="139" spans="1:2169" s="51" customFormat="1">
      <c r="A139" s="461" t="s">
        <v>11352</v>
      </c>
      <c r="B139" s="461" t="s">
        <v>11353</v>
      </c>
      <c r="C139" s="69" t="str">
        <f>IF('page 2'!$O$4="","",IF('page 2'!$O$4=Gestion!A139,1,0))</f>
        <v/>
      </c>
      <c r="D139" s="69" t="str">
        <f>IF('page 2'!$O$5="","",IF('page 2'!$O$5=Gestion!A139,1,0))</f>
        <v/>
      </c>
      <c r="E139" s="69" t="str">
        <f>IF('page 2'!$O$6="","",IF('page 2'!$O$6=Gestion!A139,1,0))</f>
        <v/>
      </c>
      <c r="F139" s="69" t="str">
        <f>IF('page 2'!$O$7="","",IF('page 2'!$O$7=Gestion!A139,1,0))</f>
        <v/>
      </c>
      <c r="G139" s="69" t="str">
        <f>IF('page 2'!$O$8="","",IF('page 2'!$O$8=Gestion!A139,1,0))</f>
        <v/>
      </c>
      <c r="H139" s="69" t="str">
        <f>IF('page 2'!$O$9="","",IF('page 2'!$O$9=Gestion!A139,1,0))</f>
        <v/>
      </c>
      <c r="I139" s="69" t="str">
        <f>IF('page 2'!$O$10="","",IF('page 2'!$O$10=Gestion!A139,1,0))</f>
        <v/>
      </c>
      <c r="J139" s="69" t="str">
        <f>IF('page 2'!$O$11="","",IF('page 2'!$O$11=Gestion!A138,1,0))</f>
        <v/>
      </c>
      <c r="K139" s="69" t="str">
        <f>IF('page 2'!$O$12="","",IF('page 2'!$O$12=Gestion!A139,1,0))</f>
        <v/>
      </c>
      <c r="L139" s="69" t="str">
        <f>IF('page 2'!$O$13="","",IF('page 2'!$O$13=Gestion!A139,1,0))</f>
        <v/>
      </c>
      <c r="M139" s="69" t="str">
        <f>IF('page 2'!$O$14="","",IF('page 2'!$O$14=Gestion!A139,1,0))</f>
        <v/>
      </c>
      <c r="N139" s="69" t="str">
        <f>IF('page 2'!$O$15="","",IF('page 2'!$O$15=Gestion!A139,1,0))</f>
        <v/>
      </c>
      <c r="O139" s="69" t="str">
        <f>IF('page 2'!$O$16="","",IF('page 2'!$O$16=Gestion!A139,1,0))</f>
        <v/>
      </c>
      <c r="P139" s="69" t="str">
        <f>IF('page 2'!$O$17="","",IF('page 2'!$O$17=Gestion!A139,1,0))</f>
        <v/>
      </c>
      <c r="Q139" s="69" t="str">
        <f>IF('page 2'!$O$18="","",IF('page 2'!$O$18=Gestion!A139,1,0))</f>
        <v/>
      </c>
      <c r="R139" s="69" t="str">
        <f>IF('page 2'!$O$19="","",IF('page 2'!$O$19=Gestion!A139,1,0))</f>
        <v/>
      </c>
      <c r="S139" s="69" t="str">
        <f>IF('page 2'!$O$20="","",IF('page 2'!$O$20=Gestion!A139,1,0))</f>
        <v/>
      </c>
      <c r="T139" s="69" t="str">
        <f>IF('page 2'!$O$20="","",IF('page 2'!$O$20=Gestion!A139,1,0))</f>
        <v/>
      </c>
      <c r="U139" s="69" t="str">
        <f>IF('page 2'!$O$26="","",IF('page 2'!$O$26=Gestion!A139,1,0))</f>
        <v/>
      </c>
      <c r="V139" s="69" t="str">
        <f>IF('page 2'!$O$27="","",IF('page 2'!$O$27=Gestion!A139,1,0))</f>
        <v/>
      </c>
      <c r="W139" s="723">
        <f t="shared" ref="W139" si="22">SUM(C139:V139)</f>
        <v>0</v>
      </c>
      <c r="X139" s="713"/>
      <c r="Y139" s="69"/>
      <c r="Z139" s="69"/>
      <c r="AA139" s="69"/>
      <c r="AB139" s="69"/>
      <c r="AC139" s="69"/>
      <c r="AD139" s="69"/>
      <c r="AP139" s="88"/>
      <c r="AQ139" s="88"/>
      <c r="AR139" s="469"/>
      <c r="AS139" s="576"/>
      <c r="AT139" s="576"/>
      <c r="AU139" s="576"/>
      <c r="AV139" s="576"/>
      <c r="AW139" s="602"/>
      <c r="AX139" s="602"/>
      <c r="AY139" s="576"/>
      <c r="AZ139" s="576"/>
      <c r="BA139" s="576"/>
      <c r="BB139" s="576"/>
      <c r="BC139" s="576"/>
      <c r="BD139" s="602"/>
      <c r="BE139" s="602"/>
      <c r="BF139" s="602"/>
      <c r="BG139" s="602"/>
      <c r="BH139" s="602"/>
      <c r="BI139" s="602"/>
      <c r="BJ139" s="602"/>
      <c r="BK139" s="602"/>
      <c r="BL139" s="602"/>
      <c r="BM139" s="602"/>
      <c r="BN139" s="602"/>
      <c r="BO139" s="602"/>
      <c r="BP139" s="602"/>
      <c r="BQ139" s="602"/>
      <c r="BR139" s="602"/>
      <c r="BS139" s="576"/>
      <c r="BT139" s="576"/>
      <c r="BU139" s="576"/>
      <c r="BV139" s="576"/>
      <c r="BW139" s="602"/>
      <c r="BX139" s="602"/>
      <c r="BY139" s="602"/>
      <c r="BZ139" s="576"/>
      <c r="CA139" s="602"/>
      <c r="CB139" s="602"/>
      <c r="CC139" s="576"/>
      <c r="CD139" s="576"/>
      <c r="CE139" s="602"/>
      <c r="CF139" s="576"/>
      <c r="CG139" s="576"/>
      <c r="CH139" s="576"/>
      <c r="CI139" s="576"/>
      <c r="CJ139" s="576"/>
      <c r="CK139" s="602"/>
      <c r="CL139" s="602"/>
      <c r="CM139" s="576"/>
      <c r="CN139" s="602"/>
      <c r="CO139" s="602"/>
      <c r="CP139" s="602"/>
      <c r="CQ139" s="576"/>
      <c r="CR139" s="576"/>
      <c r="CS139" s="602"/>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c r="HF139" s="88"/>
      <c r="HG139" s="88"/>
      <c r="HH139" s="88"/>
      <c r="HI139" s="88"/>
      <c r="HJ139" s="88"/>
      <c r="HK139" s="88"/>
      <c r="HL139" s="88"/>
      <c r="HM139" s="88"/>
      <c r="HN139" s="88"/>
      <c r="HO139" s="88"/>
      <c r="HP139" s="88"/>
      <c r="HQ139" s="88"/>
      <c r="HR139" s="88"/>
      <c r="HS139" s="88"/>
      <c r="HT139" s="88"/>
      <c r="HU139" s="88"/>
      <c r="HV139" s="88"/>
      <c r="HW139" s="88"/>
      <c r="HX139" s="88"/>
      <c r="HY139" s="88"/>
      <c r="HZ139" s="88"/>
      <c r="IA139" s="88"/>
      <c r="IB139" s="88"/>
      <c r="IC139" s="88"/>
      <c r="ID139" s="88"/>
      <c r="IE139" s="88"/>
      <c r="IF139" s="88"/>
      <c r="IG139" s="88"/>
      <c r="IH139" s="88"/>
      <c r="II139" s="88"/>
      <c r="IJ139" s="88"/>
      <c r="IK139" s="88"/>
      <c r="IL139" s="88"/>
      <c r="IM139" s="88"/>
      <c r="IN139" s="88"/>
      <c r="IO139" s="88"/>
      <c r="IP139" s="88"/>
      <c r="IQ139" s="88"/>
      <c r="IR139" s="88"/>
      <c r="IS139" s="88"/>
      <c r="IT139" s="88"/>
      <c r="IU139" s="88"/>
      <c r="IV139" s="88"/>
      <c r="IW139" s="88"/>
      <c r="IX139" s="88"/>
      <c r="IY139" s="88"/>
      <c r="IZ139" s="88"/>
      <c r="JA139" s="88"/>
      <c r="JB139" s="88"/>
      <c r="JC139" s="88"/>
      <c r="JD139" s="88"/>
      <c r="JE139" s="88"/>
      <c r="JF139" s="88"/>
      <c r="JG139" s="88"/>
      <c r="JH139" s="88"/>
      <c r="JI139" s="88"/>
      <c r="JJ139" s="88"/>
      <c r="JK139" s="88"/>
      <c r="JL139" s="88"/>
      <c r="JM139" s="88"/>
      <c r="JN139" s="88"/>
      <c r="JO139" s="88"/>
      <c r="JP139" s="88"/>
      <c r="JQ139" s="88"/>
      <c r="JR139" s="88"/>
      <c r="JS139" s="88"/>
      <c r="JT139" s="88"/>
      <c r="JU139" s="88"/>
      <c r="JV139" s="88"/>
      <c r="JW139" s="88"/>
      <c r="JX139" s="88"/>
      <c r="JY139" s="88"/>
      <c r="JZ139" s="88"/>
      <c r="KA139" s="88"/>
      <c r="KB139" s="88"/>
      <c r="KC139" s="88"/>
      <c r="KD139" s="88"/>
      <c r="KE139" s="88"/>
      <c r="KF139" s="88"/>
      <c r="KG139" s="88"/>
      <c r="KH139" s="88"/>
      <c r="KI139" s="88"/>
      <c r="KJ139" s="88"/>
      <c r="KK139" s="88"/>
      <c r="KL139" s="88"/>
      <c r="KM139" s="88"/>
      <c r="KN139" s="88"/>
      <c r="KO139" s="88"/>
      <c r="KP139" s="88"/>
      <c r="KQ139" s="88"/>
      <c r="KR139" s="88"/>
      <c r="KS139" s="88"/>
      <c r="KT139" s="88"/>
      <c r="KU139" s="88"/>
      <c r="KV139" s="88"/>
      <c r="KW139" s="88"/>
      <c r="KX139" s="88"/>
      <c r="KY139" s="88"/>
      <c r="KZ139" s="88"/>
      <c r="LA139" s="88"/>
      <c r="LB139" s="88"/>
      <c r="LC139" s="88"/>
      <c r="LD139" s="88"/>
      <c r="LE139" s="88"/>
      <c r="LF139" s="88"/>
      <c r="LG139" s="88"/>
      <c r="LH139" s="88"/>
      <c r="LI139" s="88"/>
      <c r="LJ139" s="88"/>
      <c r="LK139" s="88"/>
      <c r="LL139" s="88"/>
      <c r="LM139" s="88"/>
      <c r="LN139" s="88"/>
      <c r="LO139" s="88"/>
      <c r="LP139" s="88"/>
      <c r="LQ139" s="88"/>
      <c r="LR139" s="88"/>
      <c r="LS139" s="88"/>
      <c r="LT139" s="88"/>
      <c r="LU139" s="88"/>
      <c r="LV139" s="88"/>
      <c r="LW139" s="88"/>
      <c r="LX139" s="88"/>
      <c r="LY139" s="88"/>
      <c r="LZ139" s="88"/>
      <c r="MA139" s="88"/>
      <c r="MB139" s="88"/>
      <c r="MC139" s="88"/>
      <c r="MD139" s="88"/>
      <c r="ME139" s="88"/>
      <c r="MF139" s="88"/>
      <c r="MG139" s="88"/>
      <c r="MH139" s="88"/>
      <c r="MI139" s="88"/>
      <c r="MJ139" s="88"/>
      <c r="MK139" s="88"/>
      <c r="ML139" s="88"/>
      <c r="MM139" s="88"/>
      <c r="MN139" s="88"/>
      <c r="MO139" s="88"/>
      <c r="MP139" s="88"/>
      <c r="MQ139" s="88"/>
      <c r="MR139" s="88"/>
      <c r="MS139" s="88"/>
      <c r="MT139" s="88"/>
      <c r="MU139" s="88"/>
      <c r="MV139" s="88"/>
      <c r="MW139" s="88"/>
      <c r="MX139" s="88"/>
      <c r="MY139" s="88"/>
      <c r="MZ139" s="88"/>
      <c r="NA139" s="88"/>
      <c r="NB139" s="88"/>
      <c r="NC139" s="88"/>
      <c r="ND139" s="88"/>
      <c r="NE139" s="88"/>
      <c r="NF139" s="88"/>
      <c r="NG139" s="88"/>
      <c r="NH139" s="88"/>
      <c r="NI139" s="88"/>
      <c r="NJ139" s="88"/>
      <c r="NK139" s="88"/>
      <c r="NL139" s="88"/>
      <c r="NM139" s="88"/>
      <c r="NN139" s="88"/>
      <c r="NO139" s="88"/>
      <c r="NP139" s="88"/>
      <c r="NQ139" s="88"/>
      <c r="NR139" s="88"/>
      <c r="NS139" s="88"/>
      <c r="NT139" s="88"/>
      <c r="NU139" s="88"/>
      <c r="NV139" s="88"/>
      <c r="NW139" s="88"/>
      <c r="NX139" s="88"/>
      <c r="NY139" s="88"/>
      <c r="NZ139" s="88"/>
      <c r="OA139" s="88"/>
      <c r="OB139" s="88"/>
      <c r="OC139" s="88"/>
      <c r="OD139" s="88"/>
      <c r="OE139" s="88"/>
      <c r="OF139" s="88"/>
      <c r="OG139" s="88"/>
      <c r="OH139" s="88"/>
      <c r="OI139" s="88"/>
      <c r="OJ139" s="88"/>
      <c r="OK139" s="88"/>
      <c r="OL139" s="88"/>
      <c r="OM139" s="88"/>
      <c r="ON139" s="88"/>
      <c r="OO139" s="88"/>
      <c r="OP139" s="88"/>
      <c r="OQ139" s="88"/>
      <c r="OR139" s="88"/>
      <c r="OS139" s="88"/>
      <c r="OT139" s="88"/>
      <c r="OU139" s="88"/>
      <c r="OV139" s="88"/>
      <c r="OW139" s="88"/>
      <c r="OX139" s="88"/>
      <c r="OY139" s="88"/>
      <c r="OZ139" s="88"/>
      <c r="PA139" s="88"/>
      <c r="PB139" s="88"/>
      <c r="PC139" s="88"/>
      <c r="PD139" s="88"/>
      <c r="PE139" s="88"/>
      <c r="PF139" s="88"/>
      <c r="PG139" s="88"/>
      <c r="PH139" s="88"/>
      <c r="PI139" s="88"/>
      <c r="PJ139" s="88"/>
      <c r="PK139" s="88"/>
      <c r="PL139" s="88"/>
      <c r="PM139" s="88"/>
      <c r="PN139" s="88"/>
      <c r="PO139" s="88"/>
      <c r="PP139" s="88"/>
      <c r="PQ139" s="88"/>
      <c r="PR139" s="88"/>
      <c r="PS139" s="88"/>
      <c r="PT139" s="88"/>
      <c r="PU139" s="88"/>
      <c r="PV139" s="88"/>
      <c r="PW139" s="88"/>
      <c r="PX139" s="88"/>
      <c r="PY139" s="88"/>
      <c r="PZ139" s="88"/>
      <c r="QA139" s="88"/>
      <c r="QB139" s="88"/>
      <c r="QC139" s="88"/>
      <c r="QD139" s="88"/>
      <c r="QE139" s="88"/>
      <c r="QF139" s="88"/>
      <c r="QG139" s="88"/>
      <c r="QH139" s="88"/>
      <c r="QI139" s="88"/>
      <c r="QJ139" s="88"/>
      <c r="QK139" s="88"/>
      <c r="QL139" s="88"/>
      <c r="QM139" s="88"/>
      <c r="QN139" s="88"/>
      <c r="QO139" s="88"/>
      <c r="QP139" s="88"/>
      <c r="QQ139" s="88"/>
      <c r="QR139" s="88"/>
      <c r="QS139" s="88"/>
      <c r="QT139" s="88"/>
      <c r="QU139" s="88"/>
      <c r="QV139" s="88"/>
      <c r="QW139" s="88"/>
      <c r="QX139" s="88"/>
      <c r="QY139" s="88"/>
      <c r="QZ139" s="88"/>
      <c r="RA139" s="88"/>
      <c r="RB139" s="88"/>
      <c r="RC139" s="88"/>
      <c r="RD139" s="88"/>
      <c r="RE139" s="88"/>
      <c r="RF139" s="88"/>
      <c r="RG139" s="88"/>
      <c r="RH139" s="88"/>
      <c r="RI139" s="88"/>
      <c r="RJ139" s="88"/>
      <c r="RK139" s="88"/>
      <c r="RL139" s="88"/>
      <c r="RM139" s="88"/>
      <c r="RN139" s="88"/>
      <c r="RO139" s="88"/>
      <c r="RP139" s="88"/>
      <c r="RQ139" s="88"/>
      <c r="RR139" s="88"/>
      <c r="RS139" s="88"/>
      <c r="RT139" s="88"/>
      <c r="RU139" s="88"/>
      <c r="RV139" s="88"/>
      <c r="RW139" s="88"/>
      <c r="RX139" s="88"/>
      <c r="RY139" s="88"/>
      <c r="RZ139" s="88"/>
      <c r="SA139" s="88"/>
      <c r="SB139" s="88"/>
      <c r="SC139" s="88"/>
      <c r="SD139" s="88"/>
      <c r="SE139" s="88"/>
      <c r="SF139" s="88"/>
      <c r="SG139" s="88"/>
      <c r="SH139" s="88"/>
      <c r="SI139" s="88"/>
      <c r="SJ139" s="88"/>
      <c r="SK139" s="88"/>
      <c r="SL139" s="88"/>
      <c r="SM139" s="88"/>
      <c r="SN139" s="88"/>
      <c r="SO139" s="88"/>
      <c r="SP139" s="88"/>
      <c r="SQ139" s="88"/>
      <c r="SR139" s="88"/>
      <c r="SS139" s="88"/>
      <c r="ST139" s="88"/>
      <c r="SU139" s="88"/>
      <c r="SV139" s="88"/>
      <c r="SW139" s="88"/>
      <c r="SX139" s="88"/>
      <c r="SY139" s="88"/>
      <c r="SZ139" s="88"/>
      <c r="TA139" s="88"/>
      <c r="TB139" s="88"/>
      <c r="TC139" s="88"/>
      <c r="TD139" s="88"/>
      <c r="TE139" s="88"/>
      <c r="TF139" s="88"/>
      <c r="TG139" s="88"/>
      <c r="TH139" s="88"/>
      <c r="TI139" s="88"/>
      <c r="TJ139" s="88"/>
      <c r="TK139" s="88"/>
      <c r="TL139" s="88"/>
      <c r="TM139" s="88"/>
      <c r="TN139" s="88"/>
      <c r="TO139" s="88"/>
      <c r="TP139" s="88"/>
      <c r="TQ139" s="88"/>
      <c r="TR139" s="88"/>
      <c r="TS139" s="88"/>
      <c r="TT139" s="88"/>
      <c r="TU139" s="88"/>
      <c r="TV139" s="88"/>
      <c r="TW139" s="88"/>
      <c r="TX139" s="88"/>
      <c r="TY139" s="88"/>
      <c r="TZ139" s="88"/>
      <c r="UA139" s="88"/>
      <c r="UB139" s="88"/>
      <c r="UC139" s="88"/>
      <c r="UD139" s="88"/>
      <c r="UE139" s="88"/>
      <c r="UF139" s="88"/>
      <c r="UG139" s="88"/>
      <c r="UH139" s="88"/>
      <c r="UI139" s="88"/>
      <c r="UJ139" s="88"/>
      <c r="UK139" s="88"/>
      <c r="UL139" s="88"/>
      <c r="UM139" s="88"/>
      <c r="UN139" s="88"/>
      <c r="UO139" s="88"/>
      <c r="UP139" s="88"/>
      <c r="UQ139" s="88"/>
      <c r="UR139" s="88"/>
      <c r="US139" s="88"/>
      <c r="UT139" s="88"/>
      <c r="UU139" s="88"/>
      <c r="UV139" s="88"/>
      <c r="UW139" s="88"/>
      <c r="UX139" s="88"/>
      <c r="UY139" s="88"/>
      <c r="UZ139" s="88"/>
      <c r="VA139" s="88"/>
      <c r="VB139" s="88"/>
      <c r="VC139" s="88"/>
      <c r="VD139" s="88"/>
      <c r="VE139" s="88"/>
      <c r="VF139" s="88"/>
      <c r="VG139" s="88"/>
      <c r="VH139" s="88"/>
      <c r="VI139" s="88"/>
      <c r="VJ139" s="88"/>
      <c r="VK139" s="88"/>
      <c r="VL139" s="88"/>
      <c r="VM139" s="88"/>
      <c r="VN139" s="88"/>
      <c r="VO139" s="88"/>
      <c r="VP139" s="88"/>
      <c r="VQ139" s="88"/>
      <c r="VR139" s="88"/>
      <c r="VS139" s="88"/>
      <c r="VT139" s="88"/>
      <c r="VU139" s="88"/>
      <c r="VV139" s="88"/>
      <c r="VW139" s="88"/>
      <c r="VX139" s="88"/>
      <c r="VY139" s="88"/>
      <c r="VZ139" s="88"/>
      <c r="WA139" s="88"/>
      <c r="WB139" s="88"/>
      <c r="WC139" s="88"/>
      <c r="WD139" s="88"/>
      <c r="WE139" s="88"/>
      <c r="WF139" s="88"/>
      <c r="WG139" s="88"/>
      <c r="WH139" s="88"/>
      <c r="WI139" s="88"/>
      <c r="WJ139" s="88"/>
      <c r="WK139" s="88"/>
      <c r="WL139" s="88"/>
      <c r="WM139" s="88"/>
      <c r="WN139" s="88"/>
      <c r="WO139" s="88"/>
      <c r="WP139" s="88"/>
      <c r="WQ139" s="88"/>
      <c r="WR139" s="88"/>
      <c r="WS139" s="88"/>
      <c r="WT139" s="88"/>
      <c r="WU139" s="88"/>
      <c r="WV139" s="88"/>
      <c r="WW139" s="88"/>
      <c r="WX139" s="88"/>
      <c r="WY139" s="88"/>
      <c r="WZ139" s="88"/>
      <c r="XA139" s="88"/>
      <c r="XB139" s="88"/>
      <c r="XC139" s="88"/>
      <c r="XD139" s="88"/>
      <c r="XE139" s="88"/>
      <c r="XF139" s="88"/>
      <c r="XG139" s="88"/>
      <c r="XH139" s="88"/>
      <c r="XI139" s="88"/>
      <c r="XJ139" s="88"/>
      <c r="XK139" s="88"/>
      <c r="XL139" s="88"/>
      <c r="XM139" s="88"/>
      <c r="XN139" s="88"/>
      <c r="XO139" s="88"/>
      <c r="XP139" s="88"/>
      <c r="XQ139" s="88"/>
      <c r="XR139" s="88"/>
      <c r="XS139" s="88"/>
      <c r="XT139" s="88"/>
      <c r="XU139" s="88"/>
      <c r="XV139" s="88"/>
      <c r="XW139" s="88"/>
      <c r="XX139" s="88"/>
      <c r="XY139" s="88"/>
      <c r="XZ139" s="88"/>
      <c r="YA139" s="88"/>
      <c r="YB139" s="88"/>
      <c r="YC139" s="88"/>
      <c r="YD139" s="88"/>
      <c r="YE139" s="88"/>
      <c r="YF139" s="88"/>
      <c r="YG139" s="88"/>
      <c r="YH139" s="88"/>
      <c r="YI139" s="88"/>
      <c r="YJ139" s="88"/>
      <c r="YK139" s="88"/>
      <c r="YL139" s="88"/>
      <c r="YM139" s="88"/>
      <c r="YN139" s="88"/>
      <c r="YO139" s="88"/>
      <c r="YP139" s="88"/>
      <c r="YQ139" s="88"/>
      <c r="YR139" s="88"/>
      <c r="YS139" s="88"/>
      <c r="YT139" s="88"/>
      <c r="YU139" s="88"/>
      <c r="YV139" s="88"/>
      <c r="YW139" s="88"/>
      <c r="YX139" s="88"/>
      <c r="YY139" s="88"/>
      <c r="YZ139" s="88"/>
      <c r="ZA139" s="88"/>
      <c r="ZB139" s="88"/>
      <c r="ZC139" s="88"/>
      <c r="ZD139" s="88"/>
      <c r="ZE139" s="88"/>
      <c r="ZF139" s="88"/>
      <c r="ZG139" s="88"/>
      <c r="ZH139" s="88"/>
      <c r="ZI139" s="88"/>
      <c r="ZJ139" s="88"/>
      <c r="ZK139" s="88"/>
      <c r="ZL139" s="88"/>
      <c r="ZM139" s="88"/>
      <c r="ZN139" s="88"/>
      <c r="ZO139" s="88"/>
      <c r="ZP139" s="88"/>
      <c r="ZQ139" s="88"/>
      <c r="ZR139" s="88"/>
      <c r="ZS139" s="88"/>
      <c r="ZT139" s="88"/>
      <c r="ZU139" s="88"/>
      <c r="ZV139" s="88"/>
      <c r="ZW139" s="88"/>
      <c r="ZX139" s="88"/>
      <c r="ZY139" s="88"/>
      <c r="ZZ139" s="88"/>
      <c r="AAA139" s="88"/>
      <c r="AAB139" s="88"/>
      <c r="AAC139" s="88"/>
      <c r="AAD139" s="88"/>
      <c r="AAE139" s="88"/>
      <c r="AAF139" s="88"/>
      <c r="AAG139" s="88"/>
      <c r="AAH139" s="88"/>
      <c r="AAI139" s="88"/>
      <c r="AAJ139" s="88"/>
      <c r="AAK139" s="88"/>
      <c r="AAL139" s="88"/>
      <c r="AAM139" s="88"/>
      <c r="AAN139" s="88"/>
      <c r="AAO139" s="88"/>
      <c r="AAP139" s="88"/>
      <c r="AAQ139" s="88"/>
      <c r="AAR139" s="88"/>
      <c r="AAS139" s="88"/>
      <c r="AAT139" s="88"/>
      <c r="AAU139" s="88"/>
      <c r="AAV139" s="88"/>
      <c r="AAW139" s="88"/>
      <c r="AAX139" s="88"/>
      <c r="AAY139" s="88"/>
      <c r="AAZ139" s="88"/>
      <c r="ABA139" s="88"/>
      <c r="ABB139" s="88"/>
      <c r="ABC139" s="88"/>
      <c r="ABD139" s="88"/>
      <c r="ABE139" s="88"/>
      <c r="ABF139" s="88"/>
      <c r="ABG139" s="88"/>
      <c r="ABH139" s="88"/>
      <c r="ABI139" s="88"/>
      <c r="ABJ139" s="88"/>
      <c r="ABK139" s="88"/>
      <c r="ABL139" s="88"/>
      <c r="ABM139" s="88"/>
      <c r="ABN139" s="88"/>
      <c r="ABO139" s="88"/>
      <c r="ABP139" s="88"/>
      <c r="ABQ139" s="88"/>
      <c r="ABR139" s="88"/>
      <c r="ABS139" s="88"/>
      <c r="ABT139" s="88"/>
      <c r="ABU139" s="88"/>
      <c r="ABV139" s="88"/>
      <c r="ABW139" s="88"/>
      <c r="ABX139" s="88"/>
      <c r="ABY139" s="88"/>
      <c r="ABZ139" s="88"/>
      <c r="ACA139" s="88"/>
      <c r="ACB139" s="88"/>
      <c r="ACC139" s="88"/>
      <c r="ACD139" s="88"/>
      <c r="ACE139" s="88"/>
      <c r="ACF139" s="88"/>
      <c r="ACG139" s="88"/>
      <c r="ACH139" s="88"/>
      <c r="ACI139" s="88"/>
      <c r="ACJ139" s="88"/>
      <c r="ACK139" s="88"/>
      <c r="ACL139" s="88"/>
      <c r="ACM139" s="88"/>
      <c r="ACN139" s="88"/>
      <c r="ACO139" s="88"/>
      <c r="ACP139" s="88"/>
      <c r="ACQ139" s="88"/>
      <c r="ACR139" s="88"/>
      <c r="ACS139" s="88"/>
      <c r="ACT139" s="88"/>
      <c r="ACU139" s="88"/>
      <c r="ACV139" s="88"/>
      <c r="ACW139" s="88"/>
      <c r="ACX139" s="88"/>
      <c r="ACY139" s="88"/>
      <c r="ACZ139" s="88"/>
      <c r="ADA139" s="88"/>
      <c r="ADB139" s="88"/>
      <c r="ADC139" s="88"/>
      <c r="ADD139" s="88"/>
      <c r="ADE139" s="88"/>
      <c r="ADF139" s="88"/>
      <c r="ADG139" s="88"/>
      <c r="ADH139" s="88"/>
      <c r="ADI139" s="88"/>
      <c r="ADJ139" s="88"/>
      <c r="ADK139" s="88"/>
      <c r="ADL139" s="88"/>
      <c r="ADM139" s="88"/>
      <c r="ADN139" s="88"/>
      <c r="ADO139" s="88"/>
      <c r="ADP139" s="88"/>
      <c r="ADQ139" s="88"/>
      <c r="ADR139" s="88"/>
      <c r="ADS139" s="88"/>
      <c r="ADT139" s="88"/>
      <c r="ADU139" s="88"/>
      <c r="ADV139" s="88"/>
      <c r="ADW139" s="88"/>
      <c r="ADX139" s="88"/>
      <c r="ADY139" s="88"/>
      <c r="ADZ139" s="88"/>
      <c r="AEA139" s="88"/>
      <c r="AEB139" s="88"/>
      <c r="AEC139" s="88"/>
      <c r="AED139" s="88"/>
      <c r="AEE139" s="88"/>
      <c r="AEF139" s="88"/>
      <c r="AEG139" s="88"/>
      <c r="AEH139" s="88"/>
      <c r="AEI139" s="88"/>
      <c r="AEJ139" s="88"/>
      <c r="AEK139" s="88"/>
      <c r="AEL139" s="88"/>
      <c r="AEM139" s="88"/>
      <c r="AEN139" s="88"/>
      <c r="AEO139" s="88"/>
      <c r="AEP139" s="88"/>
      <c r="AEQ139" s="88"/>
      <c r="AER139" s="88"/>
      <c r="AES139" s="88"/>
      <c r="AET139" s="88"/>
      <c r="AEU139" s="88"/>
      <c r="AEV139" s="88"/>
      <c r="AEW139" s="88"/>
      <c r="AEX139" s="88"/>
      <c r="AEY139" s="88"/>
      <c r="AEZ139" s="88"/>
      <c r="AFA139" s="88"/>
      <c r="AFB139" s="88"/>
      <c r="AFC139" s="88"/>
      <c r="AFD139" s="88"/>
      <c r="AFE139" s="88"/>
      <c r="AFF139" s="88"/>
      <c r="AFG139" s="88"/>
      <c r="AFH139" s="88"/>
      <c r="AFI139" s="88"/>
      <c r="AFJ139" s="88"/>
      <c r="AFK139" s="88"/>
      <c r="AFL139" s="88"/>
      <c r="AFM139" s="88"/>
      <c r="AFN139" s="88"/>
      <c r="AFO139" s="88"/>
      <c r="AFP139" s="88"/>
      <c r="AFQ139" s="88"/>
      <c r="AFR139" s="88"/>
      <c r="AFS139" s="88"/>
      <c r="AFT139" s="88"/>
      <c r="AFU139" s="88"/>
      <c r="AFV139" s="88"/>
      <c r="AFW139" s="88"/>
      <c r="AFX139" s="88"/>
      <c r="AFY139" s="88"/>
      <c r="AFZ139" s="88"/>
      <c r="AGA139" s="88"/>
      <c r="AGB139" s="88"/>
      <c r="AGC139" s="88"/>
      <c r="AGD139" s="88"/>
      <c r="AGE139" s="88"/>
      <c r="AGF139" s="88"/>
      <c r="AGG139" s="88"/>
      <c r="AGH139" s="88"/>
      <c r="AGI139" s="88"/>
      <c r="AGJ139" s="88"/>
      <c r="AGK139" s="88"/>
      <c r="AGL139" s="88"/>
      <c r="AGM139" s="88"/>
      <c r="AGN139" s="88"/>
      <c r="AGO139" s="88"/>
      <c r="AGP139" s="88"/>
      <c r="AGQ139" s="88"/>
      <c r="AGR139" s="88"/>
      <c r="AGS139" s="88"/>
      <c r="AGT139" s="88"/>
      <c r="AGU139" s="88"/>
      <c r="AGV139" s="88"/>
      <c r="AGW139" s="88"/>
      <c r="AGX139" s="88"/>
      <c r="AGY139" s="88"/>
      <c r="AGZ139" s="88"/>
      <c r="AHA139" s="88"/>
      <c r="AHB139" s="88"/>
      <c r="AHC139" s="88"/>
      <c r="AHD139" s="88"/>
      <c r="AHE139" s="88"/>
      <c r="AHF139" s="88"/>
      <c r="AHG139" s="88"/>
      <c r="AHH139" s="88"/>
      <c r="AHI139" s="88"/>
      <c r="AHJ139" s="88"/>
      <c r="AHK139" s="88"/>
      <c r="AHL139" s="88"/>
      <c r="AHM139" s="88"/>
      <c r="AHN139" s="88"/>
      <c r="AHO139" s="88"/>
      <c r="AHP139" s="88"/>
      <c r="AHQ139" s="88"/>
      <c r="AHR139" s="88"/>
      <c r="AHS139" s="88"/>
      <c r="AHT139" s="88"/>
      <c r="AHU139" s="88"/>
      <c r="AHV139" s="88"/>
      <c r="AHW139" s="88"/>
      <c r="AHX139" s="88"/>
      <c r="AHY139" s="88"/>
      <c r="AHZ139" s="88"/>
      <c r="AIA139" s="88"/>
      <c r="AIB139" s="88"/>
      <c r="AIC139" s="88"/>
      <c r="AID139" s="88"/>
      <c r="AIE139" s="88"/>
      <c r="AIF139" s="88"/>
      <c r="AIG139" s="88"/>
      <c r="AIH139" s="88"/>
      <c r="AII139" s="88"/>
      <c r="AIJ139" s="88"/>
      <c r="AIK139" s="88"/>
      <c r="AIL139" s="88"/>
      <c r="AIM139" s="88"/>
      <c r="AIN139" s="88"/>
      <c r="AIO139" s="88"/>
      <c r="AIP139" s="88"/>
      <c r="AIQ139" s="88"/>
      <c r="AIR139" s="88"/>
      <c r="AIS139" s="88"/>
      <c r="AIT139" s="88"/>
      <c r="AIU139" s="88"/>
      <c r="AIV139" s="88"/>
      <c r="AIW139" s="88"/>
      <c r="AIX139" s="88"/>
      <c r="AIY139" s="88"/>
      <c r="AIZ139" s="88"/>
      <c r="AJA139" s="88"/>
      <c r="AJB139" s="88"/>
      <c r="AJC139" s="88"/>
      <c r="AJD139" s="88"/>
      <c r="AJE139" s="88"/>
      <c r="AJF139" s="88"/>
      <c r="AJG139" s="88"/>
      <c r="AJH139" s="88"/>
      <c r="AJI139" s="88"/>
      <c r="AJJ139" s="88"/>
      <c r="AJK139" s="88"/>
      <c r="AJL139" s="88"/>
      <c r="AJM139" s="88"/>
      <c r="AJN139" s="88"/>
      <c r="AJO139" s="88"/>
      <c r="AJP139" s="88"/>
      <c r="AJQ139" s="88"/>
      <c r="AJR139" s="88"/>
      <c r="AJS139" s="88"/>
      <c r="AJT139" s="88"/>
      <c r="AJU139" s="88"/>
      <c r="AJV139" s="88"/>
      <c r="AJW139" s="88"/>
      <c r="AJX139" s="88"/>
      <c r="AJY139" s="88"/>
      <c r="AJZ139" s="88"/>
      <c r="AKA139" s="88"/>
      <c r="AKB139" s="88"/>
      <c r="AKC139" s="88"/>
      <c r="AKD139" s="88"/>
      <c r="AKE139" s="88"/>
      <c r="AKF139" s="88"/>
      <c r="AKG139" s="88"/>
      <c r="AKH139" s="88"/>
      <c r="AKI139" s="88"/>
      <c r="AKJ139" s="88"/>
      <c r="AKK139" s="88"/>
      <c r="AKL139" s="88"/>
      <c r="AKM139" s="88"/>
      <c r="AKN139" s="88"/>
      <c r="AKO139" s="88"/>
      <c r="AKP139" s="88"/>
      <c r="AKQ139" s="88"/>
      <c r="AKR139" s="88"/>
      <c r="AKS139" s="88"/>
      <c r="AKT139" s="88"/>
      <c r="AKU139" s="88"/>
      <c r="AKV139" s="88"/>
      <c r="AKW139" s="88"/>
      <c r="AKX139" s="88"/>
      <c r="AKY139" s="88"/>
      <c r="AKZ139" s="88"/>
      <c r="ALA139" s="88"/>
      <c r="ALB139" s="88"/>
      <c r="ALC139" s="88"/>
      <c r="ALD139" s="88"/>
      <c r="ALE139" s="88"/>
      <c r="ALF139" s="88"/>
      <c r="ALG139" s="88"/>
      <c r="ALH139" s="88"/>
      <c r="ALI139" s="88"/>
      <c r="ALJ139" s="88"/>
      <c r="ALK139" s="88"/>
      <c r="ALL139" s="88"/>
      <c r="ALM139" s="88"/>
      <c r="ALN139" s="88"/>
      <c r="ALO139" s="88"/>
      <c r="ALP139" s="88"/>
      <c r="ALQ139" s="88"/>
      <c r="ALR139" s="88"/>
      <c r="ALS139" s="88"/>
      <c r="ALT139" s="88"/>
      <c r="ALU139" s="88"/>
      <c r="ALV139" s="88"/>
      <c r="ALW139" s="88"/>
      <c r="ALX139" s="88"/>
      <c r="ALY139" s="88"/>
      <c r="ALZ139" s="88"/>
      <c r="AMA139" s="88"/>
      <c r="AMB139" s="88"/>
      <c r="AMC139" s="88"/>
      <c r="AMD139" s="88"/>
      <c r="AME139" s="88"/>
      <c r="AMF139" s="88"/>
      <c r="AMG139" s="88"/>
      <c r="AMH139" s="88"/>
      <c r="AMI139" s="88"/>
      <c r="AMJ139" s="88"/>
      <c r="AMK139" s="88"/>
      <c r="AML139" s="88"/>
      <c r="AMM139" s="88"/>
      <c r="AMN139" s="88"/>
      <c r="AMO139" s="88"/>
      <c r="AMP139" s="88"/>
      <c r="AMQ139" s="88"/>
      <c r="AMR139" s="88"/>
      <c r="AMS139" s="88"/>
      <c r="AMT139" s="88"/>
      <c r="AMU139" s="88"/>
      <c r="AMV139" s="88"/>
      <c r="AMW139" s="88"/>
      <c r="AMX139" s="88"/>
      <c r="AMY139" s="88"/>
      <c r="AMZ139" s="88"/>
      <c r="ANA139" s="88"/>
      <c r="ANB139" s="88"/>
      <c r="ANC139" s="88"/>
      <c r="AND139" s="88"/>
      <c r="ANE139" s="88"/>
      <c r="ANF139" s="88"/>
      <c r="ANG139" s="88"/>
      <c r="ANH139" s="88"/>
      <c r="ANI139" s="88"/>
      <c r="ANJ139" s="88"/>
      <c r="ANK139" s="88"/>
      <c r="ANL139" s="88"/>
      <c r="ANM139" s="88"/>
      <c r="ANN139" s="88"/>
      <c r="ANO139" s="88"/>
      <c r="ANP139" s="88"/>
      <c r="ANQ139" s="88"/>
      <c r="ANR139" s="88"/>
      <c r="ANS139" s="88"/>
      <c r="ANT139" s="88"/>
      <c r="ANU139" s="88"/>
      <c r="ANV139" s="88"/>
      <c r="ANW139" s="88"/>
      <c r="ANX139" s="88"/>
      <c r="ANY139" s="88"/>
      <c r="ANZ139" s="88"/>
      <c r="AOA139" s="88"/>
      <c r="AOB139" s="88"/>
      <c r="AOC139" s="88"/>
      <c r="AOD139" s="88"/>
      <c r="AOE139" s="88"/>
      <c r="AOF139" s="88"/>
      <c r="AOG139" s="88"/>
      <c r="AOH139" s="88"/>
      <c r="AOI139" s="88"/>
      <c r="AOJ139" s="88"/>
      <c r="AOK139" s="88"/>
      <c r="AOL139" s="88"/>
      <c r="AOM139" s="88"/>
      <c r="AON139" s="88"/>
      <c r="AOO139" s="88"/>
      <c r="AOP139" s="88"/>
      <c r="AOQ139" s="88"/>
      <c r="AOR139" s="88"/>
      <c r="AOS139" s="88"/>
      <c r="AOT139" s="88"/>
      <c r="AOU139" s="88"/>
      <c r="AOV139" s="88"/>
      <c r="AOW139" s="88"/>
      <c r="AOX139" s="88"/>
      <c r="AOY139" s="88"/>
      <c r="AOZ139" s="88"/>
      <c r="APA139" s="88"/>
      <c r="APB139" s="88"/>
      <c r="APC139" s="88"/>
      <c r="APD139" s="88"/>
      <c r="APE139" s="88"/>
      <c r="APF139" s="88"/>
      <c r="APG139" s="88"/>
      <c r="APH139" s="88"/>
      <c r="API139" s="88"/>
      <c r="APJ139" s="88"/>
      <c r="APK139" s="88"/>
      <c r="APL139" s="88"/>
      <c r="APM139" s="88"/>
      <c r="APN139" s="88"/>
      <c r="APO139" s="88"/>
      <c r="APP139" s="88"/>
      <c r="APQ139" s="88"/>
      <c r="APR139" s="88"/>
      <c r="APS139" s="88"/>
      <c r="APT139" s="88"/>
      <c r="APU139" s="88"/>
      <c r="APV139" s="88"/>
      <c r="APW139" s="88"/>
      <c r="APX139" s="88"/>
      <c r="APY139" s="88"/>
      <c r="APZ139" s="88"/>
      <c r="AQA139" s="88"/>
      <c r="AQB139" s="88"/>
      <c r="AQC139" s="88"/>
      <c r="AQD139" s="88"/>
      <c r="AQE139" s="88"/>
      <c r="AQF139" s="88"/>
      <c r="AQG139" s="88"/>
      <c r="AQH139" s="88"/>
      <c r="AQI139" s="88"/>
      <c r="AQJ139" s="88"/>
      <c r="AQK139" s="88"/>
      <c r="AQL139" s="88"/>
      <c r="AQM139" s="88"/>
      <c r="AQN139" s="88"/>
      <c r="AQO139" s="88"/>
      <c r="AQP139" s="88"/>
      <c r="AQQ139" s="88"/>
      <c r="AQR139" s="88"/>
      <c r="AQS139" s="88"/>
      <c r="AQT139" s="88"/>
      <c r="AQU139" s="88"/>
      <c r="AQV139" s="88"/>
      <c r="AQW139" s="88"/>
      <c r="AQX139" s="88"/>
      <c r="AQY139" s="88"/>
      <c r="AQZ139" s="88"/>
      <c r="ARA139" s="88"/>
      <c r="ARB139" s="88"/>
      <c r="ARC139" s="88"/>
      <c r="ARD139" s="88"/>
      <c r="ARE139" s="88"/>
      <c r="ARF139" s="88"/>
      <c r="ARG139" s="88"/>
      <c r="ARH139" s="88"/>
      <c r="ARI139" s="88"/>
      <c r="ARJ139" s="88"/>
      <c r="ARK139" s="88"/>
      <c r="ARL139" s="88"/>
      <c r="ARM139" s="88"/>
      <c r="ARN139" s="88"/>
      <c r="ARO139" s="88"/>
      <c r="ARP139" s="88"/>
      <c r="ARQ139" s="88"/>
      <c r="ARR139" s="88"/>
      <c r="ARS139" s="88"/>
      <c r="ART139" s="88"/>
      <c r="ARU139" s="88"/>
      <c r="ARV139" s="88"/>
      <c r="ARW139" s="88"/>
      <c r="ARX139" s="88"/>
      <c r="ARY139" s="88"/>
      <c r="ARZ139" s="88"/>
      <c r="ASA139" s="88"/>
      <c r="ASB139" s="88"/>
      <c r="ASC139" s="88"/>
      <c r="ASD139" s="88"/>
      <c r="ASE139" s="88"/>
      <c r="ASF139" s="88"/>
      <c r="ASG139" s="88"/>
      <c r="ASH139" s="88"/>
      <c r="ASI139" s="88"/>
      <c r="ASJ139" s="88"/>
      <c r="ASK139" s="88"/>
      <c r="ASL139" s="88"/>
      <c r="ASM139" s="88"/>
      <c r="ASN139" s="88"/>
      <c r="ASO139" s="88"/>
      <c r="ASP139" s="88"/>
      <c r="ASQ139" s="88"/>
      <c r="ASR139" s="88"/>
      <c r="ASS139" s="88"/>
      <c r="AST139" s="88"/>
      <c r="ASU139" s="88"/>
      <c r="ASV139" s="88"/>
      <c r="ASW139" s="88"/>
      <c r="ASX139" s="88"/>
      <c r="ASY139" s="88"/>
      <c r="ASZ139" s="88"/>
      <c r="ATA139" s="88"/>
      <c r="ATB139" s="88"/>
      <c r="ATC139" s="88"/>
      <c r="ATD139" s="88"/>
      <c r="ATE139" s="88"/>
      <c r="ATF139" s="88"/>
      <c r="ATG139" s="88"/>
      <c r="ATH139" s="88"/>
      <c r="ATI139" s="88"/>
      <c r="ATJ139" s="88"/>
      <c r="ATK139" s="88"/>
      <c r="ATL139" s="88"/>
      <c r="ATM139" s="88"/>
      <c r="ATN139" s="88"/>
      <c r="ATO139" s="88"/>
      <c r="ATP139" s="88"/>
      <c r="ATQ139" s="88"/>
      <c r="ATR139" s="88"/>
      <c r="ATS139" s="88"/>
      <c r="ATT139" s="88"/>
      <c r="ATU139" s="88"/>
      <c r="ATV139" s="88"/>
      <c r="ATW139" s="88"/>
      <c r="ATX139" s="88"/>
      <c r="ATY139" s="88"/>
      <c r="ATZ139" s="88"/>
      <c r="AUA139" s="88"/>
      <c r="AUB139" s="88"/>
      <c r="AUC139" s="88"/>
      <c r="AUD139" s="88"/>
      <c r="AUE139" s="88"/>
      <c r="AUF139" s="88"/>
      <c r="AUG139" s="88"/>
      <c r="AUH139" s="88"/>
      <c r="AUI139" s="88"/>
      <c r="AUJ139" s="88"/>
      <c r="AUK139" s="88"/>
      <c r="AUL139" s="88"/>
      <c r="AUM139" s="88"/>
      <c r="AUN139" s="88"/>
      <c r="AUO139" s="88"/>
      <c r="AUP139" s="88"/>
      <c r="AUQ139" s="88"/>
      <c r="AUR139" s="88"/>
      <c r="AUS139" s="88"/>
      <c r="AUT139" s="88"/>
      <c r="AUU139" s="88"/>
      <c r="AUV139" s="88"/>
      <c r="AUW139" s="88"/>
      <c r="AUX139" s="88"/>
      <c r="AUY139" s="88"/>
      <c r="AUZ139" s="88"/>
      <c r="AVA139" s="88"/>
      <c r="AVB139" s="88"/>
      <c r="AVC139" s="88"/>
      <c r="AVD139" s="88"/>
      <c r="AVE139" s="88"/>
      <c r="AVF139" s="88"/>
      <c r="AVG139" s="88"/>
      <c r="AVH139" s="88"/>
      <c r="AVI139" s="88"/>
      <c r="AVJ139" s="88"/>
      <c r="AVK139" s="88"/>
      <c r="AVL139" s="88"/>
      <c r="AVM139" s="88"/>
      <c r="AVN139" s="88"/>
      <c r="AVO139" s="88"/>
      <c r="AVP139" s="88"/>
      <c r="AVQ139" s="88"/>
      <c r="AVR139" s="88"/>
      <c r="AVS139" s="88"/>
      <c r="AVT139" s="88"/>
      <c r="AVU139" s="88"/>
      <c r="AVV139" s="88"/>
      <c r="AVW139" s="88"/>
      <c r="AVX139" s="88"/>
      <c r="AVY139" s="88"/>
      <c r="AVZ139" s="88"/>
      <c r="AWA139" s="88"/>
      <c r="AWB139" s="88"/>
      <c r="AWC139" s="88"/>
      <c r="AWD139" s="88"/>
      <c r="AWE139" s="88"/>
      <c r="AWF139" s="88"/>
      <c r="AWG139" s="88"/>
      <c r="AWH139" s="88"/>
      <c r="AWI139" s="88"/>
      <c r="AWJ139" s="88"/>
      <c r="AWK139" s="88"/>
      <c r="AWL139" s="88"/>
      <c r="AWM139" s="88"/>
      <c r="AWN139" s="88"/>
      <c r="AWO139" s="88"/>
      <c r="AWP139" s="88"/>
      <c r="AWQ139" s="88"/>
      <c r="AWR139" s="88"/>
      <c r="AWS139" s="88"/>
      <c r="AWT139" s="88"/>
      <c r="AWU139" s="88"/>
      <c r="AWV139" s="88"/>
      <c r="AWW139" s="88"/>
      <c r="AWX139" s="88"/>
      <c r="AWY139" s="88"/>
      <c r="AWZ139" s="88"/>
      <c r="AXA139" s="88"/>
      <c r="AXB139" s="88"/>
      <c r="AXC139" s="88"/>
      <c r="AXD139" s="88"/>
      <c r="AXE139" s="88"/>
      <c r="AXF139" s="88"/>
      <c r="AXG139" s="88"/>
      <c r="AXH139" s="88"/>
      <c r="AXI139" s="88"/>
      <c r="AXJ139" s="88"/>
      <c r="AXK139" s="88"/>
      <c r="AXL139" s="88"/>
      <c r="AXM139" s="88"/>
      <c r="AXN139" s="88"/>
      <c r="AXO139" s="88"/>
      <c r="AXP139" s="88"/>
      <c r="AXQ139" s="88"/>
      <c r="AXR139" s="88"/>
      <c r="AXS139" s="88"/>
      <c r="AXT139" s="88"/>
      <c r="AXU139" s="88"/>
      <c r="AXV139" s="88"/>
      <c r="AXW139" s="88"/>
      <c r="AXX139" s="88"/>
      <c r="AXY139" s="88"/>
      <c r="AXZ139" s="88"/>
      <c r="AYA139" s="88"/>
      <c r="AYB139" s="88"/>
      <c r="AYC139" s="88"/>
      <c r="AYD139" s="88"/>
      <c r="AYE139" s="88"/>
      <c r="AYF139" s="88"/>
      <c r="AYG139" s="88"/>
      <c r="AYH139" s="88"/>
      <c r="AYI139" s="88"/>
      <c r="AYJ139" s="88"/>
      <c r="AYK139" s="88"/>
      <c r="AYL139" s="88"/>
      <c r="AYM139" s="88"/>
      <c r="AYN139" s="88"/>
      <c r="AYO139" s="88"/>
      <c r="AYP139" s="88"/>
      <c r="AYQ139" s="88"/>
      <c r="AYR139" s="88"/>
      <c r="AYS139" s="88"/>
      <c r="AYT139" s="88"/>
      <c r="AYU139" s="88"/>
      <c r="AYV139" s="88"/>
      <c r="AYW139" s="88"/>
      <c r="AYX139" s="88"/>
      <c r="AYY139" s="88"/>
      <c r="AYZ139" s="88"/>
      <c r="AZA139" s="88"/>
      <c r="AZB139" s="88"/>
      <c r="AZC139" s="88"/>
      <c r="AZD139" s="88"/>
      <c r="AZE139" s="88"/>
      <c r="AZF139" s="88"/>
      <c r="AZG139" s="88"/>
      <c r="AZH139" s="88"/>
      <c r="AZI139" s="88"/>
      <c r="AZJ139" s="88"/>
      <c r="AZK139" s="88"/>
      <c r="AZL139" s="88"/>
      <c r="AZM139" s="88"/>
      <c r="AZN139" s="88"/>
      <c r="AZO139" s="88"/>
      <c r="AZP139" s="88"/>
      <c r="AZQ139" s="88"/>
      <c r="AZR139" s="88"/>
      <c r="AZS139" s="88"/>
      <c r="AZT139" s="88"/>
      <c r="AZU139" s="88"/>
      <c r="AZV139" s="88"/>
      <c r="AZW139" s="88"/>
      <c r="AZX139" s="88"/>
      <c r="AZY139" s="88"/>
      <c r="AZZ139" s="88"/>
      <c r="BAA139" s="88"/>
      <c r="BAB139" s="88"/>
      <c r="BAC139" s="88"/>
      <c r="BAD139" s="88"/>
      <c r="BAE139" s="88"/>
      <c r="BAF139" s="88"/>
      <c r="BAG139" s="88"/>
      <c r="BAH139" s="88"/>
      <c r="BAI139" s="88"/>
      <c r="BAJ139" s="88"/>
      <c r="BAK139" s="88"/>
      <c r="BAL139" s="88"/>
      <c r="BAM139" s="88"/>
      <c r="BAN139" s="88"/>
      <c r="BAO139" s="88"/>
      <c r="BAP139" s="88"/>
      <c r="BAQ139" s="88"/>
      <c r="BAR139" s="88"/>
      <c r="BAS139" s="88"/>
      <c r="BAT139" s="88"/>
      <c r="BAU139" s="88"/>
      <c r="BAV139" s="88"/>
      <c r="BAW139" s="88"/>
      <c r="BAX139" s="88"/>
      <c r="BAY139" s="88"/>
      <c r="BAZ139" s="88"/>
      <c r="BBA139" s="88"/>
      <c r="BBB139" s="88"/>
      <c r="BBC139" s="88"/>
      <c r="BBD139" s="88"/>
      <c r="BBE139" s="88"/>
      <c r="BBF139" s="88"/>
      <c r="BBG139" s="88"/>
      <c r="BBH139" s="88"/>
      <c r="BBI139" s="88"/>
      <c r="BBJ139" s="88"/>
      <c r="BBK139" s="88"/>
      <c r="BBL139" s="88"/>
      <c r="BBM139" s="88"/>
      <c r="BBN139" s="88"/>
      <c r="BBO139" s="88"/>
      <c r="BBP139" s="88"/>
      <c r="BBQ139" s="88"/>
      <c r="BBR139" s="88"/>
      <c r="BBS139" s="88"/>
      <c r="BBT139" s="88"/>
      <c r="BBU139" s="88"/>
      <c r="BBV139" s="88"/>
      <c r="BBW139" s="88"/>
      <c r="BBX139" s="88"/>
      <c r="BBY139" s="88"/>
      <c r="BBZ139" s="88"/>
      <c r="BCA139" s="88"/>
      <c r="BCB139" s="88"/>
      <c r="BCC139" s="88"/>
      <c r="BCD139" s="88"/>
      <c r="BCE139" s="88"/>
      <c r="BCF139" s="88"/>
      <c r="BCG139" s="88"/>
      <c r="BCH139" s="88"/>
      <c r="BCI139" s="88"/>
      <c r="BCJ139" s="88"/>
      <c r="BCK139" s="88"/>
      <c r="BCL139" s="88"/>
      <c r="BCM139" s="88"/>
      <c r="BCN139" s="88"/>
      <c r="BCO139" s="88"/>
      <c r="BCP139" s="88"/>
      <c r="BCQ139" s="88"/>
      <c r="BCR139" s="88"/>
      <c r="BCS139" s="88"/>
      <c r="BCT139" s="88"/>
      <c r="BCU139" s="88"/>
      <c r="BCV139" s="88"/>
      <c r="BCW139" s="88"/>
      <c r="BCX139" s="88"/>
      <c r="BCY139" s="88"/>
      <c r="BCZ139" s="88"/>
      <c r="BDA139" s="88"/>
      <c r="BDB139" s="88"/>
      <c r="BDC139" s="88"/>
      <c r="BDD139" s="88"/>
      <c r="BDE139" s="88"/>
      <c r="BDF139" s="88"/>
      <c r="BDG139" s="88"/>
      <c r="BDH139" s="88"/>
      <c r="BDI139" s="88"/>
      <c r="BDJ139" s="88"/>
      <c r="BDK139" s="88"/>
      <c r="BDL139" s="88"/>
      <c r="BDM139" s="88"/>
      <c r="BDN139" s="88"/>
      <c r="BDO139" s="88"/>
      <c r="BDP139" s="88"/>
      <c r="BDQ139" s="88"/>
      <c r="BDR139" s="88"/>
      <c r="BDS139" s="88"/>
      <c r="BDT139" s="88"/>
      <c r="BDU139" s="88"/>
      <c r="BDV139" s="88"/>
      <c r="BDW139" s="88"/>
      <c r="BDX139" s="88"/>
      <c r="BDY139" s="88"/>
      <c r="BDZ139" s="88"/>
      <c r="BEA139" s="88"/>
      <c r="BEB139" s="88"/>
      <c r="BEC139" s="88"/>
      <c r="BED139" s="88"/>
      <c r="BEE139" s="88"/>
      <c r="BEF139" s="88"/>
      <c r="BEG139" s="88"/>
      <c r="BEH139" s="88"/>
      <c r="BEI139" s="88"/>
      <c r="BEJ139" s="88"/>
      <c r="BEK139" s="88"/>
      <c r="BEL139" s="88"/>
      <c r="BEM139" s="88"/>
      <c r="BEN139" s="88"/>
      <c r="BEO139" s="88"/>
      <c r="BEP139" s="88"/>
      <c r="BEQ139" s="88"/>
      <c r="BER139" s="88"/>
      <c r="BES139" s="88"/>
      <c r="BET139" s="88"/>
      <c r="BEU139" s="88"/>
      <c r="BEV139" s="88"/>
      <c r="BEW139" s="88"/>
      <c r="BEX139" s="88"/>
      <c r="BEY139" s="88"/>
      <c r="BEZ139" s="88"/>
      <c r="BFA139" s="88"/>
      <c r="BFB139" s="88"/>
      <c r="BFC139" s="88"/>
      <c r="BFD139" s="88"/>
      <c r="BFE139" s="88"/>
      <c r="BFF139" s="88"/>
      <c r="BFG139" s="88"/>
      <c r="BFH139" s="88"/>
      <c r="BFI139" s="88"/>
      <c r="BFJ139" s="88"/>
      <c r="BFK139" s="88"/>
      <c r="BFL139" s="88"/>
      <c r="BFM139" s="88"/>
      <c r="BFN139" s="88"/>
      <c r="BFO139" s="88"/>
      <c r="BFP139" s="88"/>
      <c r="BFQ139" s="88"/>
      <c r="BFR139" s="88"/>
      <c r="BFS139" s="88"/>
      <c r="BFT139" s="88"/>
      <c r="BFU139" s="88"/>
      <c r="BFV139" s="88"/>
      <c r="BFW139" s="88"/>
      <c r="BFX139" s="88"/>
      <c r="BFY139" s="88"/>
      <c r="BFZ139" s="88"/>
      <c r="BGA139" s="88"/>
      <c r="BGB139" s="88"/>
      <c r="BGC139" s="88"/>
      <c r="BGD139" s="88"/>
      <c r="BGE139" s="88"/>
      <c r="BGF139" s="88"/>
      <c r="BGG139" s="88"/>
      <c r="BGH139" s="88"/>
      <c r="BGI139" s="88"/>
      <c r="BGJ139" s="88"/>
      <c r="BGK139" s="88"/>
      <c r="BGL139" s="88"/>
      <c r="BGM139" s="88"/>
      <c r="BGN139" s="88"/>
      <c r="BGO139" s="88"/>
      <c r="BGP139" s="88"/>
      <c r="BGQ139" s="88"/>
      <c r="BGR139" s="88"/>
      <c r="BGS139" s="88"/>
      <c r="BGT139" s="88"/>
      <c r="BGU139" s="88"/>
      <c r="BGV139" s="88"/>
      <c r="BGW139" s="88"/>
      <c r="BGX139" s="88"/>
      <c r="BGY139" s="88"/>
      <c r="BGZ139" s="88"/>
      <c r="BHA139" s="88"/>
      <c r="BHB139" s="88"/>
      <c r="BHC139" s="88"/>
      <c r="BHD139" s="88"/>
      <c r="BHE139" s="88"/>
      <c r="BHF139" s="88"/>
      <c r="BHG139" s="88"/>
      <c r="BHH139" s="88"/>
      <c r="BHI139" s="88"/>
      <c r="BHJ139" s="88"/>
      <c r="BHK139" s="88"/>
      <c r="BHL139" s="88"/>
      <c r="BHM139" s="88"/>
      <c r="BHN139" s="88"/>
      <c r="BHO139" s="88"/>
      <c r="BHP139" s="88"/>
      <c r="BHQ139" s="88"/>
      <c r="BHR139" s="88"/>
      <c r="BHS139" s="88"/>
      <c r="BHT139" s="88"/>
      <c r="BHU139" s="88"/>
      <c r="BHV139" s="88"/>
      <c r="BHW139" s="88"/>
      <c r="BHX139" s="88"/>
      <c r="BHY139" s="88"/>
      <c r="BHZ139" s="88"/>
      <c r="BIA139" s="88"/>
      <c r="BIB139" s="88"/>
      <c r="BIC139" s="88"/>
      <c r="BID139" s="88"/>
      <c r="BIE139" s="88"/>
      <c r="BIF139" s="88"/>
      <c r="BIG139" s="88"/>
      <c r="BIH139" s="88"/>
      <c r="BII139" s="88"/>
      <c r="BIJ139" s="88"/>
      <c r="BIK139" s="88"/>
      <c r="BIL139" s="88"/>
      <c r="BIM139" s="88"/>
      <c r="BIN139" s="88"/>
      <c r="BIO139" s="88"/>
      <c r="BIP139" s="88"/>
      <c r="BIQ139" s="88"/>
      <c r="BIR139" s="88"/>
      <c r="BIS139" s="88"/>
      <c r="BIT139" s="88"/>
      <c r="BIU139" s="88"/>
      <c r="BIV139" s="88"/>
      <c r="BIW139" s="88"/>
      <c r="BIX139" s="88"/>
      <c r="BIY139" s="88"/>
      <c r="BIZ139" s="88"/>
      <c r="BJA139" s="88"/>
      <c r="BJB139" s="88"/>
      <c r="BJC139" s="88"/>
      <c r="BJD139" s="88"/>
      <c r="BJE139" s="88"/>
      <c r="BJF139" s="88"/>
      <c r="BJG139" s="88"/>
      <c r="BJH139" s="88"/>
      <c r="BJI139" s="88"/>
      <c r="BJJ139" s="88"/>
      <c r="BJK139" s="88"/>
      <c r="BJL139" s="88"/>
      <c r="BJM139" s="88"/>
      <c r="BJN139" s="88"/>
      <c r="BJO139" s="88"/>
      <c r="BJP139" s="88"/>
      <c r="BJQ139" s="88"/>
      <c r="BJR139" s="88"/>
      <c r="BJS139" s="88"/>
      <c r="BJT139" s="88"/>
      <c r="BJU139" s="88"/>
      <c r="BJV139" s="88"/>
      <c r="BJW139" s="88"/>
      <c r="BJX139" s="88"/>
      <c r="BJY139" s="88"/>
      <c r="BJZ139" s="88"/>
      <c r="BKA139" s="88"/>
      <c r="BKB139" s="88"/>
      <c r="BKC139" s="88"/>
      <c r="BKD139" s="88"/>
      <c r="BKE139" s="88"/>
      <c r="BKF139" s="88"/>
      <c r="BKG139" s="88"/>
      <c r="BKH139" s="88"/>
      <c r="BKI139" s="88"/>
      <c r="BKJ139" s="88"/>
      <c r="BKK139" s="88"/>
      <c r="BKL139" s="88"/>
      <c r="BKM139" s="88"/>
      <c r="BKN139" s="88"/>
      <c r="BKO139" s="88"/>
      <c r="BKP139" s="88"/>
      <c r="BKQ139" s="88"/>
      <c r="BKR139" s="88"/>
      <c r="BKS139" s="88"/>
      <c r="BKT139" s="88"/>
      <c r="BKU139" s="88"/>
      <c r="BKV139" s="88"/>
      <c r="BKW139" s="88"/>
      <c r="BKX139" s="88"/>
      <c r="BKY139" s="88"/>
      <c r="BKZ139" s="88"/>
      <c r="BLA139" s="88"/>
      <c r="BLB139" s="88"/>
      <c r="BLC139" s="88"/>
      <c r="BLD139" s="88"/>
      <c r="BLE139" s="88"/>
      <c r="BLF139" s="88"/>
      <c r="BLG139" s="88"/>
      <c r="BLH139" s="88"/>
      <c r="BLI139" s="88"/>
      <c r="BLJ139" s="88"/>
      <c r="BLK139" s="88"/>
      <c r="BLL139" s="88"/>
      <c r="BLM139" s="88"/>
      <c r="BLN139" s="88"/>
      <c r="BLO139" s="88"/>
      <c r="BLP139" s="88"/>
      <c r="BLQ139" s="88"/>
      <c r="BLR139" s="88"/>
      <c r="BLS139" s="88"/>
      <c r="BLT139" s="88"/>
      <c r="BLU139" s="88"/>
      <c r="BLV139" s="88"/>
      <c r="BLW139" s="88"/>
      <c r="BLX139" s="88"/>
      <c r="BLY139" s="88"/>
      <c r="BLZ139" s="88"/>
      <c r="BMA139" s="88"/>
      <c r="BMB139" s="88"/>
      <c r="BMC139" s="88"/>
      <c r="BMD139" s="88"/>
      <c r="BME139" s="88"/>
      <c r="BMF139" s="88"/>
      <c r="BMG139" s="88"/>
      <c r="BMH139" s="88"/>
      <c r="BMI139" s="88"/>
      <c r="BMJ139" s="88"/>
      <c r="BMK139" s="88"/>
      <c r="BML139" s="88"/>
      <c r="BMM139" s="88"/>
      <c r="BMN139" s="88"/>
      <c r="BMO139" s="88"/>
      <c r="BMP139" s="88"/>
      <c r="BMQ139" s="88"/>
      <c r="BMR139" s="88"/>
      <c r="BMS139" s="88"/>
      <c r="BMT139" s="88"/>
      <c r="BMU139" s="88"/>
      <c r="BMV139" s="88"/>
      <c r="BMW139" s="88"/>
      <c r="BMX139" s="88"/>
      <c r="BMY139" s="88"/>
      <c r="BMZ139" s="88"/>
      <c r="BNA139" s="88"/>
      <c r="BNB139" s="88"/>
      <c r="BNC139" s="88"/>
      <c r="BND139" s="88"/>
      <c r="BNE139" s="88"/>
      <c r="BNF139" s="88"/>
      <c r="BNG139" s="88"/>
      <c r="BNH139" s="88"/>
      <c r="BNI139" s="88"/>
      <c r="BNJ139" s="88"/>
      <c r="BNK139" s="88"/>
      <c r="BNL139" s="88"/>
      <c r="BNM139" s="88"/>
      <c r="BNN139" s="88"/>
      <c r="BNO139" s="88"/>
      <c r="BNP139" s="88"/>
      <c r="BNQ139" s="88"/>
      <c r="BNR139" s="88"/>
      <c r="BNS139" s="88"/>
      <c r="BNT139" s="88"/>
      <c r="BNU139" s="88"/>
      <c r="BNV139" s="88"/>
      <c r="BNW139" s="88"/>
      <c r="BNX139" s="88"/>
      <c r="BNY139" s="88"/>
      <c r="BNZ139" s="88"/>
      <c r="BOA139" s="88"/>
      <c r="BOB139" s="88"/>
      <c r="BOC139" s="88"/>
      <c r="BOD139" s="88"/>
      <c r="BOE139" s="88"/>
      <c r="BOF139" s="88"/>
      <c r="BOG139" s="88"/>
      <c r="BOH139" s="88"/>
      <c r="BOI139" s="88"/>
      <c r="BOJ139" s="88"/>
      <c r="BOK139" s="88"/>
      <c r="BOL139" s="88"/>
      <c r="BOM139" s="88"/>
      <c r="BON139" s="88"/>
      <c r="BOO139" s="88"/>
      <c r="BOP139" s="88"/>
      <c r="BOQ139" s="88"/>
      <c r="BOR139" s="88"/>
      <c r="BOS139" s="88"/>
      <c r="BOT139" s="88"/>
      <c r="BOU139" s="88"/>
      <c r="BOV139" s="88"/>
      <c r="BOW139" s="88"/>
      <c r="BOX139" s="88"/>
      <c r="BOY139" s="88"/>
      <c r="BOZ139" s="88"/>
      <c r="BPA139" s="88"/>
      <c r="BPB139" s="88"/>
      <c r="BPC139" s="88"/>
      <c r="BPD139" s="88"/>
      <c r="BPE139" s="88"/>
      <c r="BPF139" s="88"/>
      <c r="BPG139" s="88"/>
      <c r="BPH139" s="88"/>
      <c r="BPI139" s="88"/>
      <c r="BPJ139" s="88"/>
      <c r="BPK139" s="88"/>
      <c r="BPL139" s="88"/>
      <c r="BPM139" s="88"/>
      <c r="BPN139" s="88"/>
      <c r="BPO139" s="88"/>
      <c r="BPP139" s="88"/>
      <c r="BPQ139" s="88"/>
      <c r="BPR139" s="88"/>
      <c r="BPS139" s="88"/>
      <c r="BPT139" s="88"/>
      <c r="BPU139" s="88"/>
      <c r="BPV139" s="88"/>
      <c r="BPW139" s="88"/>
      <c r="BPX139" s="88"/>
      <c r="BPY139" s="88"/>
      <c r="BPZ139" s="88"/>
      <c r="BQA139" s="88"/>
      <c r="BQB139" s="88"/>
      <c r="BQC139" s="88"/>
      <c r="BQD139" s="88"/>
      <c r="BQE139" s="88"/>
      <c r="BQF139" s="88"/>
      <c r="BQG139" s="88"/>
      <c r="BQH139" s="88"/>
      <c r="BQI139" s="88"/>
      <c r="BQJ139" s="88"/>
      <c r="BQK139" s="88"/>
      <c r="BQL139" s="88"/>
      <c r="BQM139" s="88"/>
      <c r="BQN139" s="88"/>
      <c r="BQO139" s="88"/>
      <c r="BQP139" s="88"/>
      <c r="BQQ139" s="88"/>
      <c r="BQR139" s="88"/>
      <c r="BQS139" s="88"/>
      <c r="BQT139" s="88"/>
      <c r="BQU139" s="88"/>
      <c r="BQV139" s="88"/>
      <c r="BQW139" s="88"/>
      <c r="BQX139" s="88"/>
      <c r="BQY139" s="88"/>
      <c r="BQZ139" s="88"/>
      <c r="BRA139" s="88"/>
      <c r="BRB139" s="88"/>
      <c r="BRC139" s="88"/>
      <c r="BRD139" s="88"/>
      <c r="BRE139" s="88"/>
      <c r="BRF139" s="88"/>
      <c r="BRG139" s="88"/>
      <c r="BRH139" s="88"/>
      <c r="BRI139" s="88"/>
      <c r="BRJ139" s="88"/>
      <c r="BRK139" s="88"/>
      <c r="BRL139" s="88"/>
      <c r="BRM139" s="88"/>
      <c r="BRN139" s="88"/>
      <c r="BRO139" s="88"/>
      <c r="BRP139" s="88"/>
      <c r="BRQ139" s="88"/>
      <c r="BRR139" s="88"/>
      <c r="BRS139" s="88"/>
      <c r="BRT139" s="88"/>
      <c r="BRU139" s="88"/>
      <c r="BRV139" s="88"/>
      <c r="BRW139" s="88"/>
      <c r="BRX139" s="88"/>
      <c r="BRY139" s="88"/>
      <c r="BRZ139" s="88"/>
      <c r="BSA139" s="88"/>
      <c r="BSB139" s="88"/>
      <c r="BSC139" s="88"/>
      <c r="BSD139" s="88"/>
      <c r="BSE139" s="88"/>
      <c r="BSF139" s="88"/>
      <c r="BSG139" s="88"/>
      <c r="BSH139" s="88"/>
      <c r="BSI139" s="88"/>
      <c r="BSJ139" s="88"/>
      <c r="BSK139" s="88"/>
      <c r="BSL139" s="88"/>
      <c r="BSM139" s="88"/>
      <c r="BSN139" s="88"/>
      <c r="BSO139" s="88"/>
      <c r="BSP139" s="88"/>
      <c r="BSQ139" s="88"/>
      <c r="BSR139" s="88"/>
      <c r="BSS139" s="88"/>
      <c r="BST139" s="88"/>
      <c r="BSU139" s="88"/>
      <c r="BSV139" s="88"/>
      <c r="BSW139" s="88"/>
      <c r="BSX139" s="88"/>
      <c r="BSY139" s="88"/>
      <c r="BSZ139" s="88"/>
      <c r="BTA139" s="88"/>
      <c r="BTB139" s="88"/>
      <c r="BTC139" s="88"/>
      <c r="BTD139" s="88"/>
      <c r="BTE139" s="88"/>
      <c r="BTF139" s="88"/>
      <c r="BTG139" s="88"/>
      <c r="BTH139" s="88"/>
      <c r="BTI139" s="88"/>
      <c r="BTJ139" s="88"/>
      <c r="BTK139" s="88"/>
      <c r="BTL139" s="88"/>
      <c r="BTM139" s="88"/>
      <c r="BTN139" s="88"/>
      <c r="BTO139" s="88"/>
      <c r="BTP139" s="88"/>
      <c r="BTQ139" s="88"/>
      <c r="BTR139" s="88"/>
      <c r="BTS139" s="88"/>
      <c r="BTT139" s="88"/>
      <c r="BTU139" s="88"/>
      <c r="BTV139" s="88"/>
      <c r="BTW139" s="88"/>
      <c r="BTX139" s="88"/>
      <c r="BTY139" s="88"/>
      <c r="BTZ139" s="88"/>
      <c r="BUA139" s="88"/>
      <c r="BUB139" s="88"/>
      <c r="BUC139" s="88"/>
      <c r="BUD139" s="88"/>
      <c r="BUE139" s="88"/>
      <c r="BUF139" s="88"/>
      <c r="BUG139" s="88"/>
      <c r="BUH139" s="88"/>
      <c r="BUI139" s="88"/>
      <c r="BUJ139" s="88"/>
      <c r="BUK139" s="88"/>
      <c r="BUL139" s="88"/>
      <c r="BUM139" s="88"/>
      <c r="BUN139" s="88"/>
      <c r="BUO139" s="88"/>
      <c r="BUP139" s="88"/>
      <c r="BUQ139" s="88"/>
      <c r="BUR139" s="88"/>
      <c r="BUS139" s="88"/>
      <c r="BUT139" s="88"/>
      <c r="BUU139" s="88"/>
      <c r="BUV139" s="88"/>
      <c r="BUW139" s="88"/>
      <c r="BUX139" s="88"/>
      <c r="BUY139" s="88"/>
      <c r="BUZ139" s="88"/>
      <c r="BVA139" s="88"/>
      <c r="BVB139" s="88"/>
      <c r="BVC139" s="88"/>
      <c r="BVD139" s="88"/>
      <c r="BVE139" s="88"/>
      <c r="BVF139" s="88"/>
      <c r="BVG139" s="88"/>
      <c r="BVH139" s="88"/>
      <c r="BVI139" s="88"/>
      <c r="BVJ139" s="88"/>
      <c r="BVK139" s="88"/>
      <c r="BVL139" s="88"/>
      <c r="BVM139" s="88"/>
      <c r="BVN139" s="88"/>
      <c r="BVO139" s="88"/>
      <c r="BVP139" s="88"/>
      <c r="BVQ139" s="88"/>
      <c r="BVR139" s="88"/>
      <c r="BVS139" s="88"/>
      <c r="BVT139" s="88"/>
      <c r="BVU139" s="88"/>
      <c r="BVV139" s="88"/>
      <c r="BVW139" s="88"/>
      <c r="BVX139" s="88"/>
      <c r="BVY139" s="88"/>
      <c r="BVZ139" s="88"/>
      <c r="BWA139" s="88"/>
      <c r="BWB139" s="88"/>
      <c r="BWC139" s="88"/>
      <c r="BWD139" s="88"/>
      <c r="BWE139" s="88"/>
      <c r="BWF139" s="88"/>
      <c r="BWG139" s="88"/>
      <c r="BWH139" s="88"/>
      <c r="BWI139" s="88"/>
      <c r="BWJ139" s="88"/>
      <c r="BWK139" s="88"/>
      <c r="BWL139" s="88"/>
      <c r="BWM139" s="88"/>
      <c r="BWN139" s="88"/>
      <c r="BWO139" s="88"/>
      <c r="BWP139" s="88"/>
      <c r="BWQ139" s="88"/>
      <c r="BWR139" s="88"/>
      <c r="BWS139" s="88"/>
      <c r="BWT139" s="88"/>
      <c r="BWU139" s="88"/>
      <c r="BWV139" s="88"/>
      <c r="BWW139" s="88"/>
      <c r="BWX139" s="88"/>
      <c r="BWY139" s="88"/>
      <c r="BWZ139" s="88"/>
      <c r="BXA139" s="88"/>
      <c r="BXB139" s="88"/>
      <c r="BXC139" s="88"/>
      <c r="BXD139" s="88"/>
      <c r="BXE139" s="88"/>
      <c r="BXF139" s="88"/>
      <c r="BXG139" s="88"/>
      <c r="BXH139" s="88"/>
      <c r="BXI139" s="88"/>
      <c r="BXJ139" s="88"/>
      <c r="BXK139" s="88"/>
      <c r="BXL139" s="88"/>
      <c r="BXM139" s="88"/>
      <c r="BXN139" s="88"/>
      <c r="BXO139" s="88"/>
      <c r="BXP139" s="88"/>
      <c r="BXQ139" s="88"/>
      <c r="BXR139" s="88"/>
      <c r="BXS139" s="88"/>
      <c r="BXT139" s="88"/>
      <c r="BXU139" s="88"/>
      <c r="BXV139" s="88"/>
      <c r="BXW139" s="88"/>
      <c r="BXX139" s="88"/>
      <c r="BXY139" s="88"/>
      <c r="BXZ139" s="88"/>
      <c r="BYA139" s="88"/>
      <c r="BYB139" s="88"/>
      <c r="BYC139" s="88"/>
      <c r="BYD139" s="88"/>
      <c r="BYE139" s="88"/>
      <c r="BYF139" s="88"/>
      <c r="BYG139" s="88"/>
      <c r="BYH139" s="88"/>
      <c r="BYI139" s="88"/>
      <c r="BYJ139" s="88"/>
      <c r="BYK139" s="88"/>
      <c r="BYL139" s="88"/>
      <c r="BYM139" s="88"/>
      <c r="BYN139" s="88"/>
      <c r="BYO139" s="88"/>
      <c r="BYP139" s="88"/>
      <c r="BYQ139" s="88"/>
      <c r="BYR139" s="88"/>
      <c r="BYS139" s="88"/>
      <c r="BYT139" s="88"/>
      <c r="BYU139" s="88"/>
      <c r="BYV139" s="88"/>
      <c r="BYW139" s="88"/>
      <c r="BYX139" s="88"/>
      <c r="BYY139" s="88"/>
      <c r="BYZ139" s="88"/>
      <c r="BZA139" s="88"/>
      <c r="BZB139" s="88"/>
      <c r="BZC139" s="88"/>
      <c r="BZD139" s="88"/>
      <c r="BZE139" s="88"/>
      <c r="BZF139" s="88"/>
      <c r="BZG139" s="88"/>
      <c r="BZH139" s="88"/>
      <c r="BZI139" s="88"/>
      <c r="BZJ139" s="88"/>
      <c r="BZK139" s="88"/>
      <c r="BZL139" s="88"/>
      <c r="BZM139" s="88"/>
      <c r="BZN139" s="88"/>
      <c r="BZO139" s="88"/>
      <c r="BZP139" s="88"/>
      <c r="BZQ139" s="88"/>
      <c r="BZR139" s="88"/>
      <c r="BZS139" s="88"/>
      <c r="BZT139" s="88"/>
      <c r="BZU139" s="88"/>
      <c r="BZV139" s="88"/>
      <c r="BZW139" s="88"/>
      <c r="BZX139" s="88"/>
      <c r="BZY139" s="88"/>
      <c r="BZZ139" s="88"/>
      <c r="CAA139" s="88"/>
      <c r="CAB139" s="88"/>
      <c r="CAC139" s="88"/>
      <c r="CAD139" s="88"/>
      <c r="CAE139" s="88"/>
      <c r="CAF139" s="88"/>
      <c r="CAG139" s="88"/>
      <c r="CAH139" s="88"/>
      <c r="CAI139" s="88"/>
      <c r="CAJ139" s="88"/>
      <c r="CAK139" s="88"/>
      <c r="CAL139" s="88"/>
      <c r="CAM139" s="88"/>
      <c r="CAN139" s="88"/>
      <c r="CAO139" s="88"/>
      <c r="CAP139" s="88"/>
      <c r="CAQ139" s="88"/>
      <c r="CAR139" s="88"/>
      <c r="CAS139" s="88"/>
      <c r="CAT139" s="88"/>
      <c r="CAU139" s="88"/>
      <c r="CAV139" s="88"/>
      <c r="CAW139" s="88"/>
      <c r="CAX139" s="88"/>
      <c r="CAY139" s="88"/>
      <c r="CAZ139" s="88"/>
      <c r="CBA139" s="88"/>
      <c r="CBB139" s="88"/>
      <c r="CBC139" s="88"/>
      <c r="CBD139" s="88"/>
      <c r="CBE139" s="88"/>
      <c r="CBF139" s="88"/>
      <c r="CBG139" s="88"/>
      <c r="CBH139" s="88"/>
      <c r="CBI139" s="88"/>
      <c r="CBJ139" s="88"/>
      <c r="CBK139" s="88"/>
      <c r="CBL139" s="88"/>
      <c r="CBM139" s="88"/>
      <c r="CBN139" s="88"/>
      <c r="CBO139" s="88"/>
      <c r="CBP139" s="88"/>
      <c r="CBQ139" s="88"/>
      <c r="CBR139" s="88"/>
      <c r="CBS139" s="88"/>
      <c r="CBT139" s="88"/>
      <c r="CBU139" s="88"/>
      <c r="CBV139" s="88"/>
      <c r="CBW139" s="88"/>
      <c r="CBX139" s="88"/>
      <c r="CBY139" s="88"/>
      <c r="CBZ139" s="88"/>
      <c r="CCA139" s="88"/>
      <c r="CCB139" s="88"/>
      <c r="CCC139" s="88"/>
      <c r="CCD139" s="88"/>
      <c r="CCE139" s="88"/>
      <c r="CCF139" s="88"/>
      <c r="CCG139" s="88"/>
      <c r="CCH139" s="88"/>
      <c r="CCI139" s="88"/>
      <c r="CCJ139" s="88"/>
      <c r="CCK139" s="88"/>
      <c r="CCL139" s="88"/>
      <c r="CCM139" s="88"/>
      <c r="CCN139" s="88"/>
      <c r="CCO139" s="88"/>
      <c r="CCP139" s="88"/>
      <c r="CCQ139" s="88"/>
      <c r="CCR139" s="88"/>
      <c r="CCS139" s="88"/>
      <c r="CCT139" s="88"/>
      <c r="CCU139" s="88"/>
      <c r="CCV139" s="88"/>
      <c r="CCW139" s="88"/>
      <c r="CCX139" s="88"/>
      <c r="CCY139" s="88"/>
      <c r="CCZ139" s="88"/>
      <c r="CDA139" s="88"/>
      <c r="CDB139" s="88"/>
      <c r="CDC139" s="88"/>
      <c r="CDD139" s="88"/>
      <c r="CDE139" s="88"/>
      <c r="CDF139" s="88"/>
      <c r="CDG139" s="88"/>
      <c r="CDH139" s="88"/>
      <c r="CDI139" s="88"/>
      <c r="CDJ139" s="88"/>
      <c r="CDK139" s="88"/>
      <c r="CDL139" s="88"/>
      <c r="CDM139" s="88"/>
      <c r="CDN139" s="88"/>
      <c r="CDO139" s="88"/>
      <c r="CDP139" s="88"/>
      <c r="CDQ139" s="88"/>
      <c r="CDR139" s="88"/>
      <c r="CDS139" s="88"/>
      <c r="CDT139" s="88"/>
      <c r="CDU139" s="88"/>
      <c r="CDV139" s="88"/>
      <c r="CDW139" s="88"/>
      <c r="CDX139" s="88"/>
      <c r="CDY139" s="88"/>
      <c r="CDZ139" s="88"/>
      <c r="CEA139" s="88"/>
      <c r="CEB139" s="88"/>
      <c r="CEC139" s="88"/>
      <c r="CED139" s="88"/>
      <c r="CEE139" s="88"/>
      <c r="CEF139" s="88"/>
      <c r="CEG139" s="88"/>
      <c r="CEH139" s="88"/>
      <c r="CEI139" s="88"/>
      <c r="CEJ139" s="88"/>
      <c r="CEK139" s="88"/>
    </row>
    <row r="140" spans="1:2169" s="63" customFormat="1">
      <c r="A140" s="1511" t="s">
        <v>5563</v>
      </c>
      <c r="B140" s="1512"/>
      <c r="C140" s="1512"/>
      <c r="D140" s="1512"/>
      <c r="E140" s="1512"/>
      <c r="F140" s="1512"/>
      <c r="G140" s="1512"/>
      <c r="H140" s="1512"/>
      <c r="I140" s="1512"/>
      <c r="J140" s="1512"/>
      <c r="K140" s="1512"/>
      <c r="L140" s="1512"/>
      <c r="M140" s="1512"/>
      <c r="N140" s="1512"/>
      <c r="O140" s="1512"/>
      <c r="P140" s="1512"/>
      <c r="Q140" s="1512"/>
      <c r="R140" s="1512"/>
      <c r="S140" s="1512"/>
      <c r="T140" s="1512"/>
      <c r="U140" s="1512"/>
      <c r="V140" s="1512"/>
      <c r="W140" s="1512"/>
      <c r="X140" s="1512"/>
      <c r="Y140" s="1512"/>
      <c r="Z140" s="1512"/>
      <c r="AA140" s="1512"/>
      <c r="AB140" s="1512"/>
      <c r="AC140" s="1512"/>
      <c r="AD140" s="1512"/>
      <c r="AE140" s="1512"/>
      <c r="AF140" s="1512"/>
      <c r="AG140" s="1512"/>
      <c r="AH140" s="1512"/>
      <c r="AI140" s="1512"/>
      <c r="AJ140" s="1512"/>
      <c r="AK140" s="1512"/>
      <c r="AL140" s="1512"/>
      <c r="AM140" s="1512"/>
      <c r="AN140" s="1512"/>
      <c r="AO140" s="1512"/>
      <c r="AP140" s="1512"/>
      <c r="AQ140" s="1512"/>
      <c r="AR140" s="130"/>
      <c r="AS140" s="576"/>
      <c r="AT140" s="576"/>
      <c r="AU140" s="576"/>
      <c r="AV140" s="576"/>
      <c r="AW140" s="602"/>
      <c r="AX140" s="602"/>
      <c r="AY140" s="576"/>
      <c r="AZ140" s="576"/>
      <c r="BA140" s="576"/>
      <c r="BB140" s="576"/>
      <c r="BC140" s="576"/>
      <c r="BD140" s="602"/>
      <c r="BE140" s="602"/>
      <c r="BF140" s="602"/>
      <c r="BG140" s="602"/>
      <c r="BH140" s="602"/>
      <c r="BI140" s="602"/>
      <c r="BJ140" s="602"/>
      <c r="BK140" s="602"/>
      <c r="BL140" s="602"/>
      <c r="BM140" s="602"/>
      <c r="BN140" s="602"/>
      <c r="BO140" s="602"/>
      <c r="BP140" s="602"/>
      <c r="BQ140" s="602"/>
      <c r="BR140" s="602"/>
      <c r="BS140" s="576"/>
      <c r="BT140" s="576"/>
      <c r="BU140" s="576"/>
      <c r="BV140" s="576"/>
      <c r="BW140" s="602"/>
      <c r="BX140" s="602"/>
      <c r="BY140" s="602"/>
      <c r="BZ140" s="576"/>
      <c r="CA140" s="602"/>
      <c r="CB140" s="602"/>
      <c r="CC140" s="576"/>
      <c r="CD140" s="576"/>
      <c r="CE140" s="602"/>
      <c r="CF140" s="576"/>
      <c r="CG140" s="576"/>
      <c r="CH140" s="576"/>
      <c r="CI140" s="576"/>
      <c r="CJ140" s="576"/>
      <c r="CK140" s="602"/>
      <c r="CL140" s="602"/>
      <c r="CM140" s="576"/>
      <c r="CN140" s="602"/>
      <c r="CO140" s="602"/>
      <c r="CP140" s="602"/>
      <c r="CQ140" s="576"/>
      <c r="CR140" s="576"/>
      <c r="CS140" s="602"/>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c r="HF140" s="88"/>
      <c r="HG140" s="88"/>
      <c r="HH140" s="88"/>
      <c r="HI140" s="88"/>
      <c r="HJ140" s="88"/>
      <c r="HK140" s="88"/>
      <c r="HL140" s="88"/>
      <c r="HM140" s="88"/>
      <c r="HN140" s="88"/>
      <c r="HO140" s="88"/>
      <c r="HP140" s="88"/>
      <c r="HQ140" s="88"/>
      <c r="HR140" s="88"/>
      <c r="HS140" s="88"/>
      <c r="HT140" s="88"/>
      <c r="HU140" s="88"/>
      <c r="HV140" s="88"/>
      <c r="HW140" s="88"/>
      <c r="HX140" s="88"/>
      <c r="HY140" s="88"/>
      <c r="HZ140" s="88"/>
      <c r="IA140" s="88"/>
      <c r="IB140" s="88"/>
      <c r="IC140" s="88"/>
      <c r="ID140" s="88"/>
      <c r="IE140" s="88"/>
      <c r="IF140" s="88"/>
      <c r="IG140" s="88"/>
      <c r="IH140" s="88"/>
      <c r="II140" s="88"/>
      <c r="IJ140" s="88"/>
      <c r="IK140" s="88"/>
      <c r="IL140" s="88"/>
      <c r="IM140" s="88"/>
      <c r="IN140" s="88"/>
      <c r="IO140" s="88"/>
      <c r="IP140" s="88"/>
      <c r="IQ140" s="88"/>
      <c r="IR140" s="88"/>
      <c r="IS140" s="88"/>
      <c r="IT140" s="88"/>
      <c r="IU140" s="88"/>
      <c r="IV140" s="88"/>
      <c r="IW140" s="88"/>
      <c r="IX140" s="88"/>
      <c r="IY140" s="88"/>
      <c r="IZ140" s="88"/>
      <c r="JA140" s="88"/>
      <c r="JB140" s="88"/>
      <c r="JC140" s="88"/>
      <c r="JD140" s="88"/>
      <c r="JE140" s="88"/>
      <c r="JF140" s="88"/>
      <c r="JG140" s="88"/>
      <c r="JH140" s="88"/>
      <c r="JI140" s="88"/>
      <c r="JJ140" s="88"/>
      <c r="JK140" s="88"/>
      <c r="JL140" s="88"/>
      <c r="JM140" s="88"/>
      <c r="JN140" s="88"/>
      <c r="JO140" s="88"/>
      <c r="JP140" s="88"/>
      <c r="JQ140" s="88"/>
      <c r="JR140" s="88"/>
      <c r="JS140" s="88"/>
      <c r="JT140" s="88"/>
      <c r="JU140" s="88"/>
      <c r="JV140" s="88"/>
      <c r="JW140" s="88"/>
      <c r="JX140" s="88"/>
      <c r="JY140" s="88"/>
      <c r="JZ140" s="88"/>
      <c r="KA140" s="88"/>
      <c r="KB140" s="88"/>
      <c r="KC140" s="88"/>
      <c r="KD140" s="88"/>
      <c r="KE140" s="88"/>
      <c r="KF140" s="88"/>
      <c r="KG140" s="88"/>
      <c r="KH140" s="88"/>
      <c r="KI140" s="88"/>
      <c r="KJ140" s="88"/>
      <c r="KK140" s="88"/>
      <c r="KL140" s="88"/>
      <c r="KM140" s="88"/>
      <c r="KN140" s="88"/>
      <c r="KO140" s="88"/>
      <c r="KP140" s="88"/>
      <c r="KQ140" s="88"/>
      <c r="KR140" s="88"/>
      <c r="KS140" s="88"/>
      <c r="KT140" s="88"/>
      <c r="KU140" s="88"/>
      <c r="KV140" s="88"/>
      <c r="KW140" s="88"/>
      <c r="KX140" s="88"/>
      <c r="KY140" s="88"/>
      <c r="KZ140" s="88"/>
      <c r="LA140" s="88"/>
      <c r="LB140" s="88"/>
      <c r="LC140" s="88"/>
      <c r="LD140" s="88"/>
      <c r="LE140" s="88"/>
      <c r="LF140" s="88"/>
      <c r="LG140" s="88"/>
      <c r="LH140" s="88"/>
      <c r="LI140" s="88"/>
      <c r="LJ140" s="88"/>
      <c r="LK140" s="88"/>
      <c r="LL140" s="88"/>
      <c r="LM140" s="88"/>
      <c r="LN140" s="88"/>
      <c r="LO140" s="88"/>
      <c r="LP140" s="88"/>
      <c r="LQ140" s="88"/>
      <c r="LR140" s="88"/>
      <c r="LS140" s="88"/>
      <c r="LT140" s="88"/>
      <c r="LU140" s="88"/>
      <c r="LV140" s="88"/>
      <c r="LW140" s="88"/>
      <c r="LX140" s="88"/>
      <c r="LY140" s="88"/>
      <c r="LZ140" s="88"/>
      <c r="MA140" s="88"/>
      <c r="MB140" s="88"/>
      <c r="MC140" s="88"/>
      <c r="MD140" s="88"/>
      <c r="ME140" s="88"/>
      <c r="MF140" s="88"/>
      <c r="MG140" s="88"/>
      <c r="MH140" s="88"/>
      <c r="MI140" s="88"/>
      <c r="MJ140" s="88"/>
      <c r="MK140" s="88"/>
      <c r="ML140" s="88"/>
      <c r="MM140" s="88"/>
      <c r="MN140" s="88"/>
      <c r="MO140" s="88"/>
      <c r="MP140" s="88"/>
      <c r="MQ140" s="88"/>
      <c r="MR140" s="88"/>
      <c r="MS140" s="88"/>
      <c r="MT140" s="88"/>
      <c r="MU140" s="88"/>
      <c r="MV140" s="88"/>
      <c r="MW140" s="88"/>
      <c r="MX140" s="88"/>
      <c r="MY140" s="88"/>
      <c r="MZ140" s="88"/>
      <c r="NA140" s="88"/>
      <c r="NB140" s="88"/>
      <c r="NC140" s="88"/>
      <c r="ND140" s="88"/>
      <c r="NE140" s="88"/>
      <c r="NF140" s="88"/>
      <c r="NG140" s="88"/>
      <c r="NH140" s="88"/>
      <c r="NI140" s="88"/>
      <c r="NJ140" s="88"/>
      <c r="NK140" s="88"/>
      <c r="NL140" s="88"/>
      <c r="NM140" s="88"/>
      <c r="NN140" s="88"/>
      <c r="NO140" s="88"/>
      <c r="NP140" s="88"/>
      <c r="NQ140" s="88"/>
      <c r="NR140" s="88"/>
      <c r="NS140" s="88"/>
      <c r="NT140" s="88"/>
      <c r="NU140" s="88"/>
      <c r="NV140" s="88"/>
      <c r="NW140" s="88"/>
      <c r="NX140" s="88"/>
      <c r="NY140" s="88"/>
      <c r="NZ140" s="88"/>
      <c r="OA140" s="88"/>
      <c r="OB140" s="88"/>
      <c r="OC140" s="88"/>
      <c r="OD140" s="88"/>
      <c r="OE140" s="88"/>
      <c r="OF140" s="88"/>
      <c r="OG140" s="88"/>
      <c r="OH140" s="88"/>
      <c r="OI140" s="88"/>
      <c r="OJ140" s="88"/>
      <c r="OK140" s="88"/>
      <c r="OL140" s="88"/>
      <c r="OM140" s="88"/>
      <c r="ON140" s="88"/>
      <c r="OO140" s="88"/>
      <c r="OP140" s="88"/>
      <c r="OQ140" s="88"/>
      <c r="OR140" s="88"/>
      <c r="OS140" s="88"/>
      <c r="OT140" s="88"/>
      <c r="OU140" s="88"/>
      <c r="OV140" s="88"/>
      <c r="OW140" s="88"/>
      <c r="OX140" s="88"/>
      <c r="OY140" s="88"/>
      <c r="OZ140" s="88"/>
      <c r="PA140" s="88"/>
      <c r="PB140" s="88"/>
      <c r="PC140" s="88"/>
      <c r="PD140" s="88"/>
      <c r="PE140" s="88"/>
      <c r="PF140" s="88"/>
      <c r="PG140" s="88"/>
      <c r="PH140" s="88"/>
      <c r="PI140" s="88"/>
      <c r="PJ140" s="88"/>
      <c r="PK140" s="88"/>
      <c r="PL140" s="88"/>
      <c r="PM140" s="88"/>
      <c r="PN140" s="88"/>
      <c r="PO140" s="88"/>
      <c r="PP140" s="88"/>
      <c r="PQ140" s="88"/>
      <c r="PR140" s="88"/>
      <c r="PS140" s="88"/>
      <c r="PT140" s="88"/>
      <c r="PU140" s="88"/>
      <c r="PV140" s="88"/>
      <c r="PW140" s="88"/>
      <c r="PX140" s="88"/>
      <c r="PY140" s="88"/>
      <c r="PZ140" s="88"/>
      <c r="QA140" s="88"/>
      <c r="QB140" s="88"/>
      <c r="QC140" s="88"/>
      <c r="QD140" s="88"/>
      <c r="QE140" s="88"/>
      <c r="QF140" s="88"/>
      <c r="QG140" s="88"/>
      <c r="QH140" s="88"/>
      <c r="QI140" s="88"/>
      <c r="QJ140" s="88"/>
      <c r="QK140" s="88"/>
      <c r="QL140" s="88"/>
      <c r="QM140" s="88"/>
      <c r="QN140" s="88"/>
      <c r="QO140" s="88"/>
      <c r="QP140" s="88"/>
      <c r="QQ140" s="88"/>
      <c r="QR140" s="88"/>
      <c r="QS140" s="88"/>
      <c r="QT140" s="88"/>
      <c r="QU140" s="88"/>
      <c r="QV140" s="88"/>
      <c r="QW140" s="88"/>
      <c r="QX140" s="88"/>
      <c r="QY140" s="88"/>
      <c r="QZ140" s="88"/>
      <c r="RA140" s="88"/>
      <c r="RB140" s="88"/>
      <c r="RC140" s="88"/>
      <c r="RD140" s="88"/>
      <c r="RE140" s="88"/>
      <c r="RF140" s="88"/>
      <c r="RG140" s="88"/>
      <c r="RH140" s="88"/>
      <c r="RI140" s="88"/>
      <c r="RJ140" s="88"/>
      <c r="RK140" s="88"/>
      <c r="RL140" s="88"/>
      <c r="RM140" s="88"/>
      <c r="RN140" s="88"/>
      <c r="RO140" s="88"/>
      <c r="RP140" s="88"/>
      <c r="RQ140" s="88"/>
      <c r="RR140" s="88"/>
      <c r="RS140" s="88"/>
      <c r="RT140" s="88"/>
      <c r="RU140" s="88"/>
      <c r="RV140" s="88"/>
      <c r="RW140" s="88"/>
      <c r="RX140" s="88"/>
      <c r="RY140" s="88"/>
      <c r="RZ140" s="88"/>
      <c r="SA140" s="88"/>
      <c r="SB140" s="88"/>
      <c r="SC140" s="88"/>
      <c r="SD140" s="88"/>
      <c r="SE140" s="88"/>
      <c r="SF140" s="88"/>
      <c r="SG140" s="88"/>
      <c r="SH140" s="88"/>
      <c r="SI140" s="88"/>
      <c r="SJ140" s="88"/>
      <c r="SK140" s="88"/>
      <c r="SL140" s="88"/>
      <c r="SM140" s="88"/>
      <c r="SN140" s="88"/>
      <c r="SO140" s="88"/>
      <c r="SP140" s="88"/>
      <c r="SQ140" s="88"/>
      <c r="SR140" s="88"/>
      <c r="SS140" s="88"/>
      <c r="ST140" s="88"/>
      <c r="SU140" s="88"/>
      <c r="SV140" s="88"/>
      <c r="SW140" s="88"/>
      <c r="SX140" s="88"/>
      <c r="SY140" s="88"/>
      <c r="SZ140" s="88"/>
      <c r="TA140" s="88"/>
      <c r="TB140" s="88"/>
      <c r="TC140" s="88"/>
      <c r="TD140" s="88"/>
      <c r="TE140" s="88"/>
      <c r="TF140" s="88"/>
      <c r="TG140" s="88"/>
      <c r="TH140" s="88"/>
      <c r="TI140" s="88"/>
      <c r="TJ140" s="88"/>
      <c r="TK140" s="88"/>
      <c r="TL140" s="88"/>
      <c r="TM140" s="88"/>
      <c r="TN140" s="88"/>
      <c r="TO140" s="88"/>
      <c r="TP140" s="88"/>
      <c r="TQ140" s="88"/>
      <c r="TR140" s="88"/>
      <c r="TS140" s="88"/>
      <c r="TT140" s="88"/>
      <c r="TU140" s="88"/>
      <c r="TV140" s="88"/>
      <c r="TW140" s="88"/>
      <c r="TX140" s="88"/>
      <c r="TY140" s="88"/>
      <c r="TZ140" s="88"/>
      <c r="UA140" s="88"/>
      <c r="UB140" s="88"/>
      <c r="UC140" s="88"/>
      <c r="UD140" s="88"/>
      <c r="UE140" s="88"/>
      <c r="UF140" s="88"/>
      <c r="UG140" s="88"/>
      <c r="UH140" s="88"/>
      <c r="UI140" s="88"/>
      <c r="UJ140" s="88"/>
      <c r="UK140" s="88"/>
      <c r="UL140" s="88"/>
      <c r="UM140" s="88"/>
      <c r="UN140" s="88"/>
      <c r="UO140" s="88"/>
      <c r="UP140" s="88"/>
      <c r="UQ140" s="88"/>
      <c r="UR140" s="88"/>
      <c r="US140" s="88"/>
      <c r="UT140" s="88"/>
      <c r="UU140" s="88"/>
      <c r="UV140" s="88"/>
      <c r="UW140" s="88"/>
      <c r="UX140" s="88"/>
      <c r="UY140" s="88"/>
      <c r="UZ140" s="88"/>
      <c r="VA140" s="88"/>
      <c r="VB140" s="88"/>
      <c r="VC140" s="88"/>
      <c r="VD140" s="88"/>
      <c r="VE140" s="88"/>
      <c r="VF140" s="88"/>
      <c r="VG140" s="88"/>
      <c r="VH140" s="88"/>
      <c r="VI140" s="88"/>
      <c r="VJ140" s="88"/>
      <c r="VK140" s="88"/>
      <c r="VL140" s="88"/>
      <c r="VM140" s="88"/>
      <c r="VN140" s="88"/>
      <c r="VO140" s="88"/>
      <c r="VP140" s="88"/>
      <c r="VQ140" s="88"/>
      <c r="VR140" s="88"/>
      <c r="VS140" s="88"/>
      <c r="VT140" s="88"/>
      <c r="VU140" s="88"/>
      <c r="VV140" s="88"/>
      <c r="VW140" s="88"/>
      <c r="VX140" s="88"/>
      <c r="VY140" s="88"/>
      <c r="VZ140" s="88"/>
      <c r="WA140" s="88"/>
      <c r="WB140" s="88"/>
      <c r="WC140" s="88"/>
      <c r="WD140" s="88"/>
      <c r="WE140" s="88"/>
      <c r="WF140" s="88"/>
      <c r="WG140" s="88"/>
      <c r="WH140" s="88"/>
      <c r="WI140" s="88"/>
      <c r="WJ140" s="88"/>
      <c r="WK140" s="88"/>
      <c r="WL140" s="88"/>
      <c r="WM140" s="88"/>
      <c r="WN140" s="88"/>
      <c r="WO140" s="88"/>
      <c r="WP140" s="88"/>
      <c r="WQ140" s="88"/>
      <c r="WR140" s="88"/>
      <c r="WS140" s="88"/>
      <c r="WT140" s="88"/>
      <c r="WU140" s="88"/>
      <c r="WV140" s="88"/>
      <c r="WW140" s="88"/>
      <c r="WX140" s="88"/>
      <c r="WY140" s="88"/>
      <c r="WZ140" s="88"/>
      <c r="XA140" s="88"/>
      <c r="XB140" s="88"/>
      <c r="XC140" s="88"/>
      <c r="XD140" s="88"/>
      <c r="XE140" s="88"/>
      <c r="XF140" s="88"/>
      <c r="XG140" s="88"/>
      <c r="XH140" s="88"/>
      <c r="XI140" s="88"/>
      <c r="XJ140" s="88"/>
      <c r="XK140" s="88"/>
      <c r="XL140" s="88"/>
      <c r="XM140" s="88"/>
      <c r="XN140" s="88"/>
      <c r="XO140" s="88"/>
      <c r="XP140" s="88"/>
      <c r="XQ140" s="88"/>
      <c r="XR140" s="88"/>
      <c r="XS140" s="88"/>
      <c r="XT140" s="88"/>
      <c r="XU140" s="88"/>
      <c r="XV140" s="88"/>
      <c r="XW140" s="88"/>
      <c r="XX140" s="88"/>
      <c r="XY140" s="88"/>
      <c r="XZ140" s="88"/>
      <c r="YA140" s="88"/>
      <c r="YB140" s="88"/>
      <c r="YC140" s="88"/>
      <c r="YD140" s="88"/>
      <c r="YE140" s="88"/>
      <c r="YF140" s="88"/>
      <c r="YG140" s="88"/>
      <c r="YH140" s="88"/>
      <c r="YI140" s="88"/>
      <c r="YJ140" s="88"/>
      <c r="YK140" s="88"/>
      <c r="YL140" s="88"/>
      <c r="YM140" s="88"/>
      <c r="YN140" s="88"/>
      <c r="YO140" s="88"/>
      <c r="YP140" s="88"/>
      <c r="YQ140" s="88"/>
      <c r="YR140" s="88"/>
      <c r="YS140" s="88"/>
      <c r="YT140" s="88"/>
      <c r="YU140" s="88"/>
      <c r="YV140" s="88"/>
      <c r="YW140" s="88"/>
      <c r="YX140" s="88"/>
      <c r="YY140" s="88"/>
      <c r="YZ140" s="88"/>
      <c r="ZA140" s="88"/>
      <c r="ZB140" s="88"/>
      <c r="ZC140" s="88"/>
      <c r="ZD140" s="88"/>
      <c r="ZE140" s="88"/>
      <c r="ZF140" s="88"/>
      <c r="ZG140" s="88"/>
      <c r="ZH140" s="88"/>
      <c r="ZI140" s="88"/>
      <c r="ZJ140" s="88"/>
      <c r="ZK140" s="88"/>
      <c r="ZL140" s="88"/>
      <c r="ZM140" s="88"/>
      <c r="ZN140" s="88"/>
      <c r="ZO140" s="88"/>
      <c r="ZP140" s="88"/>
      <c r="ZQ140" s="88"/>
      <c r="ZR140" s="88"/>
      <c r="ZS140" s="88"/>
      <c r="ZT140" s="88"/>
      <c r="ZU140" s="88"/>
      <c r="ZV140" s="88"/>
      <c r="ZW140" s="88"/>
      <c r="ZX140" s="88"/>
      <c r="ZY140" s="88"/>
      <c r="ZZ140" s="88"/>
      <c r="AAA140" s="88"/>
      <c r="AAB140" s="88"/>
      <c r="AAC140" s="88"/>
      <c r="AAD140" s="88"/>
      <c r="AAE140" s="88"/>
      <c r="AAF140" s="88"/>
      <c r="AAG140" s="88"/>
      <c r="AAH140" s="88"/>
      <c r="AAI140" s="88"/>
      <c r="AAJ140" s="88"/>
      <c r="AAK140" s="88"/>
      <c r="AAL140" s="88"/>
      <c r="AAM140" s="88"/>
      <c r="AAN140" s="88"/>
      <c r="AAO140" s="88"/>
      <c r="AAP140" s="88"/>
      <c r="AAQ140" s="88"/>
      <c r="AAR140" s="88"/>
      <c r="AAS140" s="88"/>
      <c r="AAT140" s="88"/>
      <c r="AAU140" s="88"/>
      <c r="AAV140" s="88"/>
      <c r="AAW140" s="88"/>
      <c r="AAX140" s="88"/>
      <c r="AAY140" s="88"/>
      <c r="AAZ140" s="88"/>
      <c r="ABA140" s="88"/>
      <c r="ABB140" s="88"/>
      <c r="ABC140" s="88"/>
      <c r="ABD140" s="88"/>
      <c r="ABE140" s="88"/>
      <c r="ABF140" s="88"/>
      <c r="ABG140" s="88"/>
      <c r="ABH140" s="88"/>
      <c r="ABI140" s="88"/>
      <c r="ABJ140" s="88"/>
      <c r="ABK140" s="88"/>
      <c r="ABL140" s="88"/>
      <c r="ABM140" s="88"/>
      <c r="ABN140" s="88"/>
      <c r="ABO140" s="88"/>
      <c r="ABP140" s="88"/>
      <c r="ABQ140" s="88"/>
      <c r="ABR140" s="88"/>
      <c r="ABS140" s="88"/>
      <c r="ABT140" s="88"/>
      <c r="ABU140" s="88"/>
      <c r="ABV140" s="88"/>
      <c r="ABW140" s="88"/>
      <c r="ABX140" s="88"/>
      <c r="ABY140" s="88"/>
      <c r="ABZ140" s="88"/>
      <c r="ACA140" s="88"/>
      <c r="ACB140" s="88"/>
      <c r="ACC140" s="88"/>
      <c r="ACD140" s="88"/>
      <c r="ACE140" s="88"/>
      <c r="ACF140" s="88"/>
      <c r="ACG140" s="88"/>
      <c r="ACH140" s="88"/>
      <c r="ACI140" s="88"/>
      <c r="ACJ140" s="88"/>
      <c r="ACK140" s="88"/>
      <c r="ACL140" s="88"/>
      <c r="ACM140" s="88"/>
      <c r="ACN140" s="88"/>
      <c r="ACO140" s="88"/>
      <c r="ACP140" s="88"/>
      <c r="ACQ140" s="88"/>
      <c r="ACR140" s="88"/>
      <c r="ACS140" s="88"/>
      <c r="ACT140" s="88"/>
      <c r="ACU140" s="88"/>
      <c r="ACV140" s="88"/>
      <c r="ACW140" s="88"/>
      <c r="ACX140" s="88"/>
      <c r="ACY140" s="88"/>
      <c r="ACZ140" s="88"/>
      <c r="ADA140" s="88"/>
      <c r="ADB140" s="88"/>
      <c r="ADC140" s="88"/>
      <c r="ADD140" s="88"/>
      <c r="ADE140" s="88"/>
      <c r="ADF140" s="88"/>
      <c r="ADG140" s="88"/>
      <c r="ADH140" s="88"/>
      <c r="ADI140" s="88"/>
      <c r="ADJ140" s="88"/>
      <c r="ADK140" s="88"/>
      <c r="ADL140" s="88"/>
      <c r="ADM140" s="88"/>
      <c r="ADN140" s="88"/>
      <c r="ADO140" s="88"/>
      <c r="ADP140" s="88"/>
      <c r="ADQ140" s="88"/>
      <c r="ADR140" s="88"/>
      <c r="ADS140" s="88"/>
      <c r="ADT140" s="88"/>
      <c r="ADU140" s="88"/>
      <c r="ADV140" s="88"/>
      <c r="ADW140" s="88"/>
      <c r="ADX140" s="88"/>
      <c r="ADY140" s="88"/>
      <c r="ADZ140" s="88"/>
      <c r="AEA140" s="88"/>
      <c r="AEB140" s="88"/>
      <c r="AEC140" s="88"/>
      <c r="AED140" s="88"/>
      <c r="AEE140" s="88"/>
      <c r="AEF140" s="88"/>
      <c r="AEG140" s="88"/>
      <c r="AEH140" s="88"/>
      <c r="AEI140" s="88"/>
      <c r="AEJ140" s="88"/>
      <c r="AEK140" s="88"/>
      <c r="AEL140" s="88"/>
      <c r="AEM140" s="88"/>
      <c r="AEN140" s="88"/>
      <c r="AEO140" s="88"/>
      <c r="AEP140" s="88"/>
      <c r="AEQ140" s="88"/>
      <c r="AER140" s="88"/>
      <c r="AES140" s="88"/>
      <c r="AET140" s="88"/>
      <c r="AEU140" s="88"/>
      <c r="AEV140" s="88"/>
      <c r="AEW140" s="88"/>
      <c r="AEX140" s="88"/>
      <c r="AEY140" s="88"/>
      <c r="AEZ140" s="88"/>
      <c r="AFA140" s="88"/>
      <c r="AFB140" s="88"/>
      <c r="AFC140" s="88"/>
      <c r="AFD140" s="88"/>
      <c r="AFE140" s="88"/>
      <c r="AFF140" s="88"/>
      <c r="AFG140" s="88"/>
      <c r="AFH140" s="88"/>
      <c r="AFI140" s="88"/>
      <c r="AFJ140" s="88"/>
      <c r="AFK140" s="88"/>
      <c r="AFL140" s="88"/>
      <c r="AFM140" s="88"/>
      <c r="AFN140" s="88"/>
      <c r="AFO140" s="88"/>
      <c r="AFP140" s="88"/>
      <c r="AFQ140" s="88"/>
      <c r="AFR140" s="88"/>
      <c r="AFS140" s="88"/>
      <c r="AFT140" s="88"/>
      <c r="AFU140" s="88"/>
      <c r="AFV140" s="88"/>
      <c r="AFW140" s="88"/>
      <c r="AFX140" s="88"/>
      <c r="AFY140" s="88"/>
      <c r="AFZ140" s="88"/>
      <c r="AGA140" s="88"/>
      <c r="AGB140" s="88"/>
      <c r="AGC140" s="88"/>
      <c r="AGD140" s="88"/>
      <c r="AGE140" s="88"/>
      <c r="AGF140" s="88"/>
      <c r="AGG140" s="88"/>
      <c r="AGH140" s="88"/>
      <c r="AGI140" s="88"/>
      <c r="AGJ140" s="88"/>
      <c r="AGK140" s="88"/>
      <c r="AGL140" s="88"/>
      <c r="AGM140" s="88"/>
      <c r="AGN140" s="88"/>
      <c r="AGO140" s="88"/>
      <c r="AGP140" s="88"/>
      <c r="AGQ140" s="88"/>
      <c r="AGR140" s="88"/>
      <c r="AGS140" s="88"/>
      <c r="AGT140" s="88"/>
      <c r="AGU140" s="88"/>
      <c r="AGV140" s="88"/>
      <c r="AGW140" s="88"/>
      <c r="AGX140" s="88"/>
      <c r="AGY140" s="88"/>
      <c r="AGZ140" s="88"/>
      <c r="AHA140" s="88"/>
      <c r="AHB140" s="88"/>
      <c r="AHC140" s="88"/>
      <c r="AHD140" s="88"/>
      <c r="AHE140" s="88"/>
      <c r="AHF140" s="88"/>
      <c r="AHG140" s="88"/>
      <c r="AHH140" s="88"/>
      <c r="AHI140" s="88"/>
      <c r="AHJ140" s="88"/>
      <c r="AHK140" s="88"/>
      <c r="AHL140" s="88"/>
      <c r="AHM140" s="88"/>
      <c r="AHN140" s="88"/>
      <c r="AHO140" s="88"/>
      <c r="AHP140" s="88"/>
      <c r="AHQ140" s="88"/>
      <c r="AHR140" s="88"/>
      <c r="AHS140" s="88"/>
      <c r="AHT140" s="88"/>
      <c r="AHU140" s="88"/>
      <c r="AHV140" s="88"/>
      <c r="AHW140" s="88"/>
      <c r="AHX140" s="88"/>
      <c r="AHY140" s="88"/>
      <c r="AHZ140" s="88"/>
      <c r="AIA140" s="88"/>
      <c r="AIB140" s="88"/>
      <c r="AIC140" s="88"/>
      <c r="AID140" s="88"/>
      <c r="AIE140" s="88"/>
      <c r="AIF140" s="88"/>
      <c r="AIG140" s="88"/>
      <c r="AIH140" s="88"/>
      <c r="AII140" s="88"/>
      <c r="AIJ140" s="88"/>
      <c r="AIK140" s="88"/>
      <c r="AIL140" s="88"/>
      <c r="AIM140" s="88"/>
      <c r="AIN140" s="88"/>
      <c r="AIO140" s="88"/>
      <c r="AIP140" s="88"/>
      <c r="AIQ140" s="88"/>
      <c r="AIR140" s="88"/>
      <c r="AIS140" s="88"/>
      <c r="AIT140" s="88"/>
      <c r="AIU140" s="88"/>
      <c r="AIV140" s="88"/>
      <c r="AIW140" s="88"/>
      <c r="AIX140" s="88"/>
      <c r="AIY140" s="88"/>
      <c r="AIZ140" s="88"/>
      <c r="AJA140" s="88"/>
      <c r="AJB140" s="88"/>
      <c r="AJC140" s="88"/>
      <c r="AJD140" s="88"/>
      <c r="AJE140" s="88"/>
      <c r="AJF140" s="88"/>
      <c r="AJG140" s="88"/>
      <c r="AJH140" s="88"/>
      <c r="AJI140" s="88"/>
      <c r="AJJ140" s="88"/>
      <c r="AJK140" s="88"/>
      <c r="AJL140" s="88"/>
      <c r="AJM140" s="88"/>
      <c r="AJN140" s="88"/>
      <c r="AJO140" s="88"/>
      <c r="AJP140" s="88"/>
      <c r="AJQ140" s="88"/>
      <c r="AJR140" s="88"/>
      <c r="AJS140" s="88"/>
      <c r="AJT140" s="88"/>
      <c r="AJU140" s="88"/>
      <c r="AJV140" s="88"/>
      <c r="AJW140" s="88"/>
      <c r="AJX140" s="88"/>
      <c r="AJY140" s="88"/>
      <c r="AJZ140" s="88"/>
      <c r="AKA140" s="88"/>
      <c r="AKB140" s="88"/>
      <c r="AKC140" s="88"/>
      <c r="AKD140" s="88"/>
      <c r="AKE140" s="88"/>
      <c r="AKF140" s="88"/>
      <c r="AKG140" s="88"/>
      <c r="AKH140" s="88"/>
      <c r="AKI140" s="88"/>
      <c r="AKJ140" s="88"/>
      <c r="AKK140" s="88"/>
      <c r="AKL140" s="88"/>
      <c r="AKM140" s="88"/>
      <c r="AKN140" s="88"/>
      <c r="AKO140" s="88"/>
      <c r="AKP140" s="88"/>
      <c r="AKQ140" s="88"/>
      <c r="AKR140" s="88"/>
      <c r="AKS140" s="88"/>
      <c r="AKT140" s="88"/>
      <c r="AKU140" s="88"/>
      <c r="AKV140" s="88"/>
      <c r="AKW140" s="88"/>
      <c r="AKX140" s="88"/>
      <c r="AKY140" s="88"/>
      <c r="AKZ140" s="88"/>
      <c r="ALA140" s="88"/>
      <c r="ALB140" s="88"/>
      <c r="ALC140" s="88"/>
      <c r="ALD140" s="88"/>
      <c r="ALE140" s="88"/>
      <c r="ALF140" s="88"/>
      <c r="ALG140" s="88"/>
      <c r="ALH140" s="88"/>
      <c r="ALI140" s="88"/>
      <c r="ALJ140" s="88"/>
      <c r="ALK140" s="88"/>
      <c r="ALL140" s="88"/>
      <c r="ALM140" s="88"/>
      <c r="ALN140" s="88"/>
      <c r="ALO140" s="88"/>
      <c r="ALP140" s="88"/>
      <c r="ALQ140" s="88"/>
      <c r="ALR140" s="88"/>
      <c r="ALS140" s="88"/>
      <c r="ALT140" s="88"/>
      <c r="ALU140" s="88"/>
      <c r="ALV140" s="88"/>
      <c r="ALW140" s="88"/>
      <c r="ALX140" s="88"/>
      <c r="ALY140" s="88"/>
      <c r="ALZ140" s="88"/>
      <c r="AMA140" s="88"/>
      <c r="AMB140" s="88"/>
      <c r="AMC140" s="88"/>
      <c r="AMD140" s="88"/>
      <c r="AME140" s="88"/>
      <c r="AMF140" s="88"/>
      <c r="AMG140" s="88"/>
      <c r="AMH140" s="88"/>
      <c r="AMI140" s="88"/>
      <c r="AMJ140" s="88"/>
      <c r="AMK140" s="88"/>
      <c r="AML140" s="88"/>
      <c r="AMM140" s="88"/>
      <c r="AMN140" s="88"/>
      <c r="AMO140" s="88"/>
      <c r="AMP140" s="88"/>
      <c r="AMQ140" s="88"/>
      <c r="AMR140" s="88"/>
      <c r="AMS140" s="88"/>
      <c r="AMT140" s="88"/>
      <c r="AMU140" s="88"/>
      <c r="AMV140" s="88"/>
      <c r="AMW140" s="88"/>
      <c r="AMX140" s="88"/>
      <c r="AMY140" s="88"/>
      <c r="AMZ140" s="88"/>
      <c r="ANA140" s="88"/>
      <c r="ANB140" s="88"/>
      <c r="ANC140" s="88"/>
      <c r="AND140" s="88"/>
      <c r="ANE140" s="88"/>
      <c r="ANF140" s="88"/>
      <c r="ANG140" s="88"/>
      <c r="ANH140" s="88"/>
      <c r="ANI140" s="88"/>
      <c r="ANJ140" s="88"/>
      <c r="ANK140" s="88"/>
      <c r="ANL140" s="88"/>
      <c r="ANM140" s="88"/>
      <c r="ANN140" s="88"/>
      <c r="ANO140" s="88"/>
      <c r="ANP140" s="88"/>
      <c r="ANQ140" s="88"/>
      <c r="ANR140" s="88"/>
      <c r="ANS140" s="88"/>
      <c r="ANT140" s="88"/>
      <c r="ANU140" s="88"/>
      <c r="ANV140" s="88"/>
      <c r="ANW140" s="88"/>
      <c r="ANX140" s="88"/>
      <c r="ANY140" s="88"/>
      <c r="ANZ140" s="88"/>
      <c r="AOA140" s="88"/>
      <c r="AOB140" s="88"/>
      <c r="AOC140" s="88"/>
      <c r="AOD140" s="88"/>
      <c r="AOE140" s="88"/>
      <c r="AOF140" s="88"/>
      <c r="AOG140" s="88"/>
      <c r="AOH140" s="88"/>
      <c r="AOI140" s="88"/>
      <c r="AOJ140" s="88"/>
      <c r="AOK140" s="88"/>
      <c r="AOL140" s="88"/>
      <c r="AOM140" s="88"/>
      <c r="AON140" s="88"/>
      <c r="AOO140" s="88"/>
      <c r="AOP140" s="88"/>
      <c r="AOQ140" s="88"/>
      <c r="AOR140" s="88"/>
      <c r="AOS140" s="88"/>
      <c r="AOT140" s="88"/>
      <c r="AOU140" s="88"/>
      <c r="AOV140" s="88"/>
      <c r="AOW140" s="88"/>
      <c r="AOX140" s="88"/>
      <c r="AOY140" s="88"/>
      <c r="AOZ140" s="88"/>
      <c r="APA140" s="88"/>
      <c r="APB140" s="88"/>
      <c r="APC140" s="88"/>
      <c r="APD140" s="88"/>
      <c r="APE140" s="88"/>
      <c r="APF140" s="88"/>
      <c r="APG140" s="88"/>
      <c r="APH140" s="88"/>
      <c r="API140" s="88"/>
      <c r="APJ140" s="88"/>
      <c r="APK140" s="88"/>
      <c r="APL140" s="88"/>
      <c r="APM140" s="88"/>
      <c r="APN140" s="88"/>
      <c r="APO140" s="88"/>
      <c r="APP140" s="88"/>
      <c r="APQ140" s="88"/>
      <c r="APR140" s="88"/>
      <c r="APS140" s="88"/>
      <c r="APT140" s="88"/>
      <c r="APU140" s="88"/>
      <c r="APV140" s="88"/>
      <c r="APW140" s="88"/>
      <c r="APX140" s="88"/>
      <c r="APY140" s="88"/>
      <c r="APZ140" s="88"/>
      <c r="AQA140" s="88"/>
      <c r="AQB140" s="88"/>
      <c r="AQC140" s="88"/>
      <c r="AQD140" s="88"/>
      <c r="AQE140" s="88"/>
      <c r="AQF140" s="88"/>
      <c r="AQG140" s="88"/>
      <c r="AQH140" s="88"/>
      <c r="AQI140" s="88"/>
      <c r="AQJ140" s="88"/>
      <c r="AQK140" s="88"/>
      <c r="AQL140" s="88"/>
      <c r="AQM140" s="88"/>
      <c r="AQN140" s="88"/>
      <c r="AQO140" s="88"/>
      <c r="AQP140" s="88"/>
      <c r="AQQ140" s="88"/>
      <c r="AQR140" s="88"/>
      <c r="AQS140" s="88"/>
      <c r="AQT140" s="88"/>
      <c r="AQU140" s="88"/>
      <c r="AQV140" s="88"/>
      <c r="AQW140" s="88"/>
      <c r="AQX140" s="88"/>
      <c r="AQY140" s="88"/>
      <c r="AQZ140" s="88"/>
      <c r="ARA140" s="88"/>
      <c r="ARB140" s="88"/>
      <c r="ARC140" s="88"/>
      <c r="ARD140" s="88"/>
      <c r="ARE140" s="88"/>
      <c r="ARF140" s="88"/>
      <c r="ARG140" s="88"/>
      <c r="ARH140" s="88"/>
      <c r="ARI140" s="88"/>
      <c r="ARJ140" s="88"/>
      <c r="ARK140" s="88"/>
      <c r="ARL140" s="88"/>
      <c r="ARM140" s="88"/>
      <c r="ARN140" s="88"/>
      <c r="ARO140" s="88"/>
      <c r="ARP140" s="88"/>
      <c r="ARQ140" s="88"/>
      <c r="ARR140" s="88"/>
      <c r="ARS140" s="88"/>
      <c r="ART140" s="88"/>
      <c r="ARU140" s="88"/>
      <c r="ARV140" s="88"/>
      <c r="ARW140" s="88"/>
      <c r="ARX140" s="88"/>
      <c r="ARY140" s="88"/>
      <c r="ARZ140" s="88"/>
      <c r="ASA140" s="88"/>
      <c r="ASB140" s="88"/>
      <c r="ASC140" s="88"/>
      <c r="ASD140" s="88"/>
      <c r="ASE140" s="88"/>
      <c r="ASF140" s="88"/>
      <c r="ASG140" s="88"/>
      <c r="ASH140" s="88"/>
      <c r="ASI140" s="88"/>
      <c r="ASJ140" s="88"/>
      <c r="ASK140" s="88"/>
      <c r="ASL140" s="88"/>
      <c r="ASM140" s="88"/>
      <c r="ASN140" s="88"/>
      <c r="ASO140" s="88"/>
      <c r="ASP140" s="88"/>
      <c r="ASQ140" s="88"/>
      <c r="ASR140" s="88"/>
      <c r="ASS140" s="88"/>
      <c r="AST140" s="88"/>
      <c r="ASU140" s="88"/>
      <c r="ASV140" s="88"/>
      <c r="ASW140" s="88"/>
      <c r="ASX140" s="88"/>
      <c r="ASY140" s="88"/>
      <c r="ASZ140" s="88"/>
      <c r="ATA140" s="88"/>
      <c r="ATB140" s="88"/>
      <c r="ATC140" s="88"/>
      <c r="ATD140" s="88"/>
      <c r="ATE140" s="88"/>
      <c r="ATF140" s="88"/>
      <c r="ATG140" s="88"/>
      <c r="ATH140" s="88"/>
      <c r="ATI140" s="88"/>
      <c r="ATJ140" s="88"/>
      <c r="ATK140" s="88"/>
      <c r="ATL140" s="88"/>
      <c r="ATM140" s="88"/>
      <c r="ATN140" s="88"/>
      <c r="ATO140" s="88"/>
      <c r="ATP140" s="88"/>
      <c r="ATQ140" s="88"/>
      <c r="ATR140" s="88"/>
      <c r="ATS140" s="88"/>
      <c r="ATT140" s="88"/>
      <c r="ATU140" s="88"/>
      <c r="ATV140" s="88"/>
      <c r="ATW140" s="88"/>
      <c r="ATX140" s="88"/>
      <c r="ATY140" s="88"/>
      <c r="ATZ140" s="88"/>
      <c r="AUA140" s="88"/>
      <c r="AUB140" s="88"/>
      <c r="AUC140" s="88"/>
      <c r="AUD140" s="88"/>
      <c r="AUE140" s="88"/>
      <c r="AUF140" s="88"/>
      <c r="AUG140" s="88"/>
      <c r="AUH140" s="88"/>
      <c r="AUI140" s="88"/>
      <c r="AUJ140" s="88"/>
      <c r="AUK140" s="88"/>
      <c r="AUL140" s="88"/>
      <c r="AUM140" s="88"/>
      <c r="AUN140" s="88"/>
      <c r="AUO140" s="88"/>
      <c r="AUP140" s="88"/>
      <c r="AUQ140" s="88"/>
      <c r="AUR140" s="88"/>
      <c r="AUS140" s="88"/>
      <c r="AUT140" s="88"/>
      <c r="AUU140" s="88"/>
      <c r="AUV140" s="88"/>
      <c r="AUW140" s="88"/>
      <c r="AUX140" s="88"/>
      <c r="AUY140" s="88"/>
      <c r="AUZ140" s="88"/>
      <c r="AVA140" s="88"/>
      <c r="AVB140" s="88"/>
      <c r="AVC140" s="88"/>
      <c r="AVD140" s="88"/>
      <c r="AVE140" s="88"/>
      <c r="AVF140" s="88"/>
      <c r="AVG140" s="88"/>
      <c r="AVH140" s="88"/>
      <c r="AVI140" s="88"/>
      <c r="AVJ140" s="88"/>
      <c r="AVK140" s="88"/>
      <c r="AVL140" s="88"/>
      <c r="AVM140" s="88"/>
      <c r="AVN140" s="88"/>
      <c r="AVO140" s="88"/>
      <c r="AVP140" s="88"/>
      <c r="AVQ140" s="88"/>
      <c r="AVR140" s="88"/>
      <c r="AVS140" s="88"/>
      <c r="AVT140" s="88"/>
      <c r="AVU140" s="88"/>
      <c r="AVV140" s="88"/>
      <c r="AVW140" s="88"/>
      <c r="AVX140" s="88"/>
      <c r="AVY140" s="88"/>
      <c r="AVZ140" s="88"/>
      <c r="AWA140" s="88"/>
      <c r="AWB140" s="88"/>
      <c r="AWC140" s="88"/>
      <c r="AWD140" s="88"/>
      <c r="AWE140" s="88"/>
      <c r="AWF140" s="88"/>
      <c r="AWG140" s="88"/>
      <c r="AWH140" s="88"/>
      <c r="AWI140" s="88"/>
      <c r="AWJ140" s="88"/>
      <c r="AWK140" s="88"/>
      <c r="AWL140" s="88"/>
      <c r="AWM140" s="88"/>
      <c r="AWN140" s="88"/>
      <c r="AWO140" s="88"/>
      <c r="AWP140" s="88"/>
      <c r="AWQ140" s="88"/>
      <c r="AWR140" s="88"/>
      <c r="AWS140" s="88"/>
      <c r="AWT140" s="88"/>
      <c r="AWU140" s="88"/>
      <c r="AWV140" s="88"/>
      <c r="AWW140" s="88"/>
      <c r="AWX140" s="88"/>
      <c r="AWY140" s="88"/>
      <c r="AWZ140" s="88"/>
      <c r="AXA140" s="88"/>
      <c r="AXB140" s="88"/>
      <c r="AXC140" s="88"/>
      <c r="AXD140" s="88"/>
      <c r="AXE140" s="88"/>
      <c r="AXF140" s="88"/>
      <c r="AXG140" s="88"/>
      <c r="AXH140" s="88"/>
      <c r="AXI140" s="88"/>
      <c r="AXJ140" s="88"/>
      <c r="AXK140" s="88"/>
      <c r="AXL140" s="88"/>
      <c r="AXM140" s="88"/>
      <c r="AXN140" s="88"/>
      <c r="AXO140" s="88"/>
      <c r="AXP140" s="88"/>
      <c r="AXQ140" s="88"/>
      <c r="AXR140" s="88"/>
      <c r="AXS140" s="88"/>
      <c r="AXT140" s="88"/>
      <c r="AXU140" s="88"/>
      <c r="AXV140" s="88"/>
      <c r="AXW140" s="88"/>
      <c r="AXX140" s="88"/>
      <c r="AXY140" s="88"/>
      <c r="AXZ140" s="88"/>
      <c r="AYA140" s="88"/>
      <c r="AYB140" s="88"/>
      <c r="AYC140" s="88"/>
      <c r="AYD140" s="88"/>
      <c r="AYE140" s="88"/>
      <c r="AYF140" s="88"/>
      <c r="AYG140" s="88"/>
      <c r="AYH140" s="88"/>
      <c r="AYI140" s="88"/>
      <c r="AYJ140" s="88"/>
      <c r="AYK140" s="88"/>
      <c r="AYL140" s="88"/>
      <c r="AYM140" s="88"/>
      <c r="AYN140" s="88"/>
      <c r="AYO140" s="88"/>
      <c r="AYP140" s="88"/>
      <c r="AYQ140" s="88"/>
      <c r="AYR140" s="88"/>
      <c r="AYS140" s="88"/>
      <c r="AYT140" s="88"/>
      <c r="AYU140" s="88"/>
      <c r="AYV140" s="88"/>
      <c r="AYW140" s="88"/>
      <c r="AYX140" s="88"/>
      <c r="AYY140" s="88"/>
      <c r="AYZ140" s="88"/>
      <c r="AZA140" s="88"/>
      <c r="AZB140" s="88"/>
      <c r="AZC140" s="88"/>
      <c r="AZD140" s="88"/>
      <c r="AZE140" s="88"/>
      <c r="AZF140" s="88"/>
      <c r="AZG140" s="88"/>
      <c r="AZH140" s="88"/>
      <c r="AZI140" s="88"/>
      <c r="AZJ140" s="88"/>
      <c r="AZK140" s="88"/>
      <c r="AZL140" s="88"/>
      <c r="AZM140" s="88"/>
      <c r="AZN140" s="88"/>
      <c r="AZO140" s="88"/>
      <c r="AZP140" s="88"/>
      <c r="AZQ140" s="88"/>
      <c r="AZR140" s="88"/>
      <c r="AZS140" s="88"/>
      <c r="AZT140" s="88"/>
      <c r="AZU140" s="88"/>
      <c r="AZV140" s="88"/>
      <c r="AZW140" s="88"/>
      <c r="AZX140" s="88"/>
      <c r="AZY140" s="88"/>
      <c r="AZZ140" s="88"/>
      <c r="BAA140" s="88"/>
      <c r="BAB140" s="88"/>
      <c r="BAC140" s="88"/>
      <c r="BAD140" s="88"/>
      <c r="BAE140" s="88"/>
      <c r="BAF140" s="88"/>
      <c r="BAG140" s="88"/>
      <c r="BAH140" s="88"/>
      <c r="BAI140" s="88"/>
      <c r="BAJ140" s="88"/>
      <c r="BAK140" s="88"/>
      <c r="BAL140" s="88"/>
      <c r="BAM140" s="88"/>
      <c r="BAN140" s="88"/>
      <c r="BAO140" s="88"/>
      <c r="BAP140" s="88"/>
      <c r="BAQ140" s="88"/>
      <c r="BAR140" s="88"/>
      <c r="BAS140" s="88"/>
      <c r="BAT140" s="88"/>
      <c r="BAU140" s="88"/>
      <c r="BAV140" s="88"/>
      <c r="BAW140" s="88"/>
      <c r="BAX140" s="88"/>
      <c r="BAY140" s="88"/>
      <c r="BAZ140" s="88"/>
      <c r="BBA140" s="88"/>
      <c r="BBB140" s="88"/>
      <c r="BBC140" s="88"/>
      <c r="BBD140" s="88"/>
      <c r="BBE140" s="88"/>
      <c r="BBF140" s="88"/>
      <c r="BBG140" s="88"/>
      <c r="BBH140" s="88"/>
      <c r="BBI140" s="88"/>
      <c r="BBJ140" s="88"/>
      <c r="BBK140" s="88"/>
      <c r="BBL140" s="88"/>
      <c r="BBM140" s="88"/>
      <c r="BBN140" s="88"/>
      <c r="BBO140" s="88"/>
      <c r="BBP140" s="88"/>
      <c r="BBQ140" s="88"/>
      <c r="BBR140" s="88"/>
      <c r="BBS140" s="88"/>
      <c r="BBT140" s="88"/>
      <c r="BBU140" s="88"/>
      <c r="BBV140" s="88"/>
      <c r="BBW140" s="88"/>
      <c r="BBX140" s="88"/>
      <c r="BBY140" s="88"/>
      <c r="BBZ140" s="88"/>
      <c r="BCA140" s="88"/>
      <c r="BCB140" s="88"/>
      <c r="BCC140" s="88"/>
      <c r="BCD140" s="88"/>
      <c r="BCE140" s="88"/>
      <c r="BCF140" s="88"/>
      <c r="BCG140" s="88"/>
      <c r="BCH140" s="88"/>
      <c r="BCI140" s="88"/>
      <c r="BCJ140" s="88"/>
      <c r="BCK140" s="88"/>
      <c r="BCL140" s="88"/>
      <c r="BCM140" s="88"/>
      <c r="BCN140" s="88"/>
      <c r="BCO140" s="88"/>
      <c r="BCP140" s="88"/>
      <c r="BCQ140" s="88"/>
      <c r="BCR140" s="88"/>
      <c r="BCS140" s="88"/>
      <c r="BCT140" s="88"/>
      <c r="BCU140" s="88"/>
      <c r="BCV140" s="88"/>
      <c r="BCW140" s="88"/>
      <c r="BCX140" s="88"/>
      <c r="BCY140" s="88"/>
      <c r="BCZ140" s="88"/>
      <c r="BDA140" s="88"/>
      <c r="BDB140" s="88"/>
      <c r="BDC140" s="88"/>
      <c r="BDD140" s="88"/>
      <c r="BDE140" s="88"/>
      <c r="BDF140" s="88"/>
      <c r="BDG140" s="88"/>
      <c r="BDH140" s="88"/>
      <c r="BDI140" s="88"/>
      <c r="BDJ140" s="88"/>
      <c r="BDK140" s="88"/>
      <c r="BDL140" s="88"/>
      <c r="BDM140" s="88"/>
      <c r="BDN140" s="88"/>
      <c r="BDO140" s="88"/>
      <c r="BDP140" s="88"/>
      <c r="BDQ140" s="88"/>
      <c r="BDR140" s="88"/>
      <c r="BDS140" s="88"/>
      <c r="BDT140" s="88"/>
      <c r="BDU140" s="88"/>
      <c r="BDV140" s="88"/>
      <c r="BDW140" s="88"/>
      <c r="BDX140" s="88"/>
      <c r="BDY140" s="88"/>
      <c r="BDZ140" s="88"/>
      <c r="BEA140" s="88"/>
      <c r="BEB140" s="88"/>
      <c r="BEC140" s="88"/>
      <c r="BED140" s="88"/>
      <c r="BEE140" s="88"/>
      <c r="BEF140" s="88"/>
      <c r="BEG140" s="88"/>
      <c r="BEH140" s="88"/>
      <c r="BEI140" s="88"/>
      <c r="BEJ140" s="88"/>
      <c r="BEK140" s="88"/>
      <c r="BEL140" s="88"/>
      <c r="BEM140" s="88"/>
      <c r="BEN140" s="88"/>
      <c r="BEO140" s="88"/>
      <c r="BEP140" s="88"/>
      <c r="BEQ140" s="88"/>
      <c r="BER140" s="88"/>
      <c r="BES140" s="88"/>
      <c r="BET140" s="88"/>
      <c r="BEU140" s="88"/>
      <c r="BEV140" s="88"/>
      <c r="BEW140" s="88"/>
      <c r="BEX140" s="88"/>
      <c r="BEY140" s="88"/>
      <c r="BEZ140" s="88"/>
      <c r="BFA140" s="88"/>
      <c r="BFB140" s="88"/>
      <c r="BFC140" s="88"/>
      <c r="BFD140" s="88"/>
      <c r="BFE140" s="88"/>
      <c r="BFF140" s="88"/>
      <c r="BFG140" s="88"/>
      <c r="BFH140" s="88"/>
      <c r="BFI140" s="88"/>
      <c r="BFJ140" s="88"/>
      <c r="BFK140" s="88"/>
      <c r="BFL140" s="88"/>
      <c r="BFM140" s="88"/>
      <c r="BFN140" s="88"/>
      <c r="BFO140" s="88"/>
      <c r="BFP140" s="88"/>
      <c r="BFQ140" s="88"/>
      <c r="BFR140" s="88"/>
      <c r="BFS140" s="88"/>
      <c r="BFT140" s="88"/>
      <c r="BFU140" s="88"/>
      <c r="BFV140" s="88"/>
      <c r="BFW140" s="88"/>
      <c r="BFX140" s="88"/>
      <c r="BFY140" s="88"/>
      <c r="BFZ140" s="88"/>
      <c r="BGA140" s="88"/>
      <c r="BGB140" s="88"/>
      <c r="BGC140" s="88"/>
      <c r="BGD140" s="88"/>
      <c r="BGE140" s="88"/>
      <c r="BGF140" s="88"/>
      <c r="BGG140" s="88"/>
      <c r="BGH140" s="88"/>
      <c r="BGI140" s="88"/>
      <c r="BGJ140" s="88"/>
      <c r="BGK140" s="88"/>
      <c r="BGL140" s="88"/>
      <c r="BGM140" s="88"/>
      <c r="BGN140" s="88"/>
      <c r="BGO140" s="88"/>
      <c r="BGP140" s="88"/>
      <c r="BGQ140" s="88"/>
      <c r="BGR140" s="88"/>
      <c r="BGS140" s="88"/>
      <c r="BGT140" s="88"/>
      <c r="BGU140" s="88"/>
      <c r="BGV140" s="88"/>
      <c r="BGW140" s="88"/>
      <c r="BGX140" s="88"/>
      <c r="BGY140" s="88"/>
      <c r="BGZ140" s="88"/>
      <c r="BHA140" s="88"/>
      <c r="BHB140" s="88"/>
      <c r="BHC140" s="88"/>
      <c r="BHD140" s="88"/>
      <c r="BHE140" s="88"/>
      <c r="BHF140" s="88"/>
      <c r="BHG140" s="88"/>
      <c r="BHH140" s="88"/>
      <c r="BHI140" s="88"/>
      <c r="BHJ140" s="88"/>
      <c r="BHK140" s="88"/>
      <c r="BHL140" s="88"/>
      <c r="BHM140" s="88"/>
      <c r="BHN140" s="88"/>
      <c r="BHO140" s="88"/>
      <c r="BHP140" s="88"/>
      <c r="BHQ140" s="88"/>
      <c r="BHR140" s="88"/>
      <c r="BHS140" s="88"/>
      <c r="BHT140" s="88"/>
      <c r="BHU140" s="88"/>
      <c r="BHV140" s="88"/>
      <c r="BHW140" s="88"/>
      <c r="BHX140" s="88"/>
      <c r="BHY140" s="88"/>
      <c r="BHZ140" s="88"/>
      <c r="BIA140" s="88"/>
      <c r="BIB140" s="88"/>
      <c r="BIC140" s="88"/>
      <c r="BID140" s="88"/>
      <c r="BIE140" s="88"/>
      <c r="BIF140" s="88"/>
      <c r="BIG140" s="88"/>
      <c r="BIH140" s="88"/>
      <c r="BII140" s="88"/>
      <c r="BIJ140" s="88"/>
      <c r="BIK140" s="88"/>
      <c r="BIL140" s="88"/>
      <c r="BIM140" s="88"/>
      <c r="BIN140" s="88"/>
      <c r="BIO140" s="88"/>
      <c r="BIP140" s="88"/>
      <c r="BIQ140" s="88"/>
      <c r="BIR140" s="88"/>
      <c r="BIS140" s="88"/>
      <c r="BIT140" s="88"/>
      <c r="BIU140" s="88"/>
      <c r="BIV140" s="88"/>
      <c r="BIW140" s="88"/>
      <c r="BIX140" s="88"/>
      <c r="BIY140" s="88"/>
      <c r="BIZ140" s="88"/>
      <c r="BJA140" s="88"/>
      <c r="BJB140" s="88"/>
      <c r="BJC140" s="88"/>
      <c r="BJD140" s="88"/>
      <c r="BJE140" s="88"/>
      <c r="BJF140" s="88"/>
      <c r="BJG140" s="88"/>
      <c r="BJH140" s="88"/>
      <c r="BJI140" s="88"/>
      <c r="BJJ140" s="88"/>
      <c r="BJK140" s="88"/>
      <c r="BJL140" s="88"/>
      <c r="BJM140" s="88"/>
      <c r="BJN140" s="88"/>
      <c r="BJO140" s="88"/>
      <c r="BJP140" s="88"/>
      <c r="BJQ140" s="88"/>
      <c r="BJR140" s="88"/>
      <c r="BJS140" s="88"/>
      <c r="BJT140" s="88"/>
      <c r="BJU140" s="88"/>
      <c r="BJV140" s="88"/>
      <c r="BJW140" s="88"/>
      <c r="BJX140" s="88"/>
      <c r="BJY140" s="88"/>
      <c r="BJZ140" s="88"/>
      <c r="BKA140" s="88"/>
      <c r="BKB140" s="88"/>
      <c r="BKC140" s="88"/>
      <c r="BKD140" s="88"/>
      <c r="BKE140" s="88"/>
      <c r="BKF140" s="88"/>
      <c r="BKG140" s="88"/>
      <c r="BKH140" s="88"/>
      <c r="BKI140" s="88"/>
      <c r="BKJ140" s="88"/>
      <c r="BKK140" s="88"/>
      <c r="BKL140" s="88"/>
      <c r="BKM140" s="88"/>
      <c r="BKN140" s="88"/>
      <c r="BKO140" s="88"/>
      <c r="BKP140" s="88"/>
      <c r="BKQ140" s="88"/>
      <c r="BKR140" s="88"/>
      <c r="BKS140" s="88"/>
      <c r="BKT140" s="88"/>
      <c r="BKU140" s="88"/>
      <c r="BKV140" s="88"/>
      <c r="BKW140" s="88"/>
      <c r="BKX140" s="88"/>
      <c r="BKY140" s="88"/>
      <c r="BKZ140" s="88"/>
      <c r="BLA140" s="88"/>
      <c r="BLB140" s="88"/>
      <c r="BLC140" s="88"/>
      <c r="BLD140" s="88"/>
      <c r="BLE140" s="88"/>
      <c r="BLF140" s="88"/>
      <c r="BLG140" s="88"/>
      <c r="BLH140" s="88"/>
      <c r="BLI140" s="88"/>
      <c r="BLJ140" s="88"/>
      <c r="BLK140" s="88"/>
      <c r="BLL140" s="88"/>
      <c r="BLM140" s="88"/>
      <c r="BLN140" s="88"/>
      <c r="BLO140" s="88"/>
      <c r="BLP140" s="88"/>
      <c r="BLQ140" s="88"/>
      <c r="BLR140" s="88"/>
      <c r="BLS140" s="88"/>
      <c r="BLT140" s="88"/>
      <c r="BLU140" s="88"/>
      <c r="BLV140" s="88"/>
      <c r="BLW140" s="88"/>
      <c r="BLX140" s="88"/>
      <c r="BLY140" s="88"/>
      <c r="BLZ140" s="88"/>
      <c r="BMA140" s="88"/>
      <c r="BMB140" s="88"/>
      <c r="BMC140" s="88"/>
      <c r="BMD140" s="88"/>
      <c r="BME140" s="88"/>
      <c r="BMF140" s="88"/>
      <c r="BMG140" s="88"/>
      <c r="BMH140" s="88"/>
      <c r="BMI140" s="88"/>
      <c r="BMJ140" s="88"/>
      <c r="BMK140" s="88"/>
      <c r="BML140" s="88"/>
      <c r="BMM140" s="88"/>
      <c r="BMN140" s="88"/>
      <c r="BMO140" s="88"/>
      <c r="BMP140" s="88"/>
      <c r="BMQ140" s="88"/>
      <c r="BMR140" s="88"/>
      <c r="BMS140" s="88"/>
      <c r="BMT140" s="88"/>
      <c r="BMU140" s="88"/>
      <c r="BMV140" s="88"/>
      <c r="BMW140" s="88"/>
      <c r="BMX140" s="88"/>
      <c r="BMY140" s="88"/>
      <c r="BMZ140" s="88"/>
      <c r="BNA140" s="88"/>
      <c r="BNB140" s="88"/>
      <c r="BNC140" s="88"/>
      <c r="BND140" s="88"/>
      <c r="BNE140" s="88"/>
      <c r="BNF140" s="88"/>
      <c r="BNG140" s="88"/>
      <c r="BNH140" s="88"/>
      <c r="BNI140" s="88"/>
      <c r="BNJ140" s="88"/>
      <c r="BNK140" s="88"/>
      <c r="BNL140" s="88"/>
      <c r="BNM140" s="88"/>
      <c r="BNN140" s="88"/>
      <c r="BNO140" s="88"/>
      <c r="BNP140" s="88"/>
      <c r="BNQ140" s="88"/>
      <c r="BNR140" s="88"/>
      <c r="BNS140" s="88"/>
      <c r="BNT140" s="88"/>
      <c r="BNU140" s="88"/>
      <c r="BNV140" s="88"/>
      <c r="BNW140" s="88"/>
      <c r="BNX140" s="88"/>
      <c r="BNY140" s="88"/>
      <c r="BNZ140" s="88"/>
      <c r="BOA140" s="88"/>
      <c r="BOB140" s="88"/>
      <c r="BOC140" s="88"/>
      <c r="BOD140" s="88"/>
      <c r="BOE140" s="88"/>
      <c r="BOF140" s="88"/>
      <c r="BOG140" s="88"/>
      <c r="BOH140" s="88"/>
      <c r="BOI140" s="88"/>
      <c r="BOJ140" s="88"/>
      <c r="BOK140" s="88"/>
      <c r="BOL140" s="88"/>
      <c r="BOM140" s="88"/>
      <c r="BON140" s="88"/>
      <c r="BOO140" s="88"/>
      <c r="BOP140" s="88"/>
      <c r="BOQ140" s="88"/>
      <c r="BOR140" s="88"/>
      <c r="BOS140" s="88"/>
      <c r="BOT140" s="88"/>
      <c r="BOU140" s="88"/>
      <c r="BOV140" s="88"/>
      <c r="BOW140" s="88"/>
      <c r="BOX140" s="88"/>
      <c r="BOY140" s="88"/>
      <c r="BOZ140" s="88"/>
      <c r="BPA140" s="88"/>
      <c r="BPB140" s="88"/>
      <c r="BPC140" s="88"/>
      <c r="BPD140" s="88"/>
      <c r="BPE140" s="88"/>
      <c r="BPF140" s="88"/>
      <c r="BPG140" s="88"/>
      <c r="BPH140" s="88"/>
      <c r="BPI140" s="88"/>
      <c r="BPJ140" s="88"/>
      <c r="BPK140" s="88"/>
      <c r="BPL140" s="88"/>
      <c r="BPM140" s="88"/>
      <c r="BPN140" s="88"/>
      <c r="BPO140" s="88"/>
      <c r="BPP140" s="88"/>
      <c r="BPQ140" s="88"/>
      <c r="BPR140" s="88"/>
      <c r="BPS140" s="88"/>
      <c r="BPT140" s="88"/>
      <c r="BPU140" s="88"/>
      <c r="BPV140" s="88"/>
      <c r="BPW140" s="88"/>
      <c r="BPX140" s="88"/>
      <c r="BPY140" s="88"/>
      <c r="BPZ140" s="88"/>
      <c r="BQA140" s="88"/>
      <c r="BQB140" s="88"/>
      <c r="BQC140" s="88"/>
      <c r="BQD140" s="88"/>
      <c r="BQE140" s="88"/>
      <c r="BQF140" s="88"/>
      <c r="BQG140" s="88"/>
      <c r="BQH140" s="88"/>
      <c r="BQI140" s="88"/>
      <c r="BQJ140" s="88"/>
      <c r="BQK140" s="88"/>
      <c r="BQL140" s="88"/>
      <c r="BQM140" s="88"/>
      <c r="BQN140" s="88"/>
      <c r="BQO140" s="88"/>
      <c r="BQP140" s="88"/>
      <c r="BQQ140" s="88"/>
      <c r="BQR140" s="88"/>
      <c r="BQS140" s="88"/>
      <c r="BQT140" s="88"/>
      <c r="BQU140" s="88"/>
      <c r="BQV140" s="88"/>
      <c r="BQW140" s="88"/>
      <c r="BQX140" s="88"/>
      <c r="BQY140" s="88"/>
      <c r="BQZ140" s="88"/>
      <c r="BRA140" s="88"/>
      <c r="BRB140" s="88"/>
      <c r="BRC140" s="88"/>
      <c r="BRD140" s="88"/>
      <c r="BRE140" s="88"/>
      <c r="BRF140" s="88"/>
      <c r="BRG140" s="88"/>
      <c r="BRH140" s="88"/>
      <c r="BRI140" s="88"/>
      <c r="BRJ140" s="88"/>
      <c r="BRK140" s="88"/>
      <c r="BRL140" s="88"/>
      <c r="BRM140" s="88"/>
      <c r="BRN140" s="88"/>
      <c r="BRO140" s="88"/>
      <c r="BRP140" s="88"/>
      <c r="BRQ140" s="88"/>
      <c r="BRR140" s="88"/>
      <c r="BRS140" s="88"/>
      <c r="BRT140" s="88"/>
      <c r="BRU140" s="88"/>
      <c r="BRV140" s="88"/>
      <c r="BRW140" s="88"/>
      <c r="BRX140" s="88"/>
      <c r="BRY140" s="88"/>
      <c r="BRZ140" s="88"/>
      <c r="BSA140" s="88"/>
      <c r="BSB140" s="88"/>
      <c r="BSC140" s="88"/>
      <c r="BSD140" s="88"/>
      <c r="BSE140" s="88"/>
      <c r="BSF140" s="88"/>
      <c r="BSG140" s="88"/>
      <c r="BSH140" s="88"/>
      <c r="BSI140" s="88"/>
      <c r="BSJ140" s="88"/>
      <c r="BSK140" s="88"/>
      <c r="BSL140" s="88"/>
      <c r="BSM140" s="88"/>
      <c r="BSN140" s="88"/>
      <c r="BSO140" s="88"/>
      <c r="BSP140" s="88"/>
      <c r="BSQ140" s="88"/>
      <c r="BSR140" s="88"/>
      <c r="BSS140" s="88"/>
      <c r="BST140" s="88"/>
      <c r="BSU140" s="88"/>
      <c r="BSV140" s="88"/>
      <c r="BSW140" s="88"/>
      <c r="BSX140" s="88"/>
      <c r="BSY140" s="88"/>
      <c r="BSZ140" s="88"/>
      <c r="BTA140" s="88"/>
      <c r="BTB140" s="88"/>
      <c r="BTC140" s="88"/>
      <c r="BTD140" s="88"/>
      <c r="BTE140" s="88"/>
      <c r="BTF140" s="88"/>
      <c r="BTG140" s="88"/>
      <c r="BTH140" s="88"/>
      <c r="BTI140" s="88"/>
      <c r="BTJ140" s="88"/>
      <c r="BTK140" s="88"/>
      <c r="BTL140" s="88"/>
      <c r="BTM140" s="88"/>
      <c r="BTN140" s="88"/>
      <c r="BTO140" s="88"/>
      <c r="BTP140" s="88"/>
      <c r="BTQ140" s="88"/>
      <c r="BTR140" s="88"/>
      <c r="BTS140" s="88"/>
      <c r="BTT140" s="88"/>
      <c r="BTU140" s="88"/>
      <c r="BTV140" s="88"/>
      <c r="BTW140" s="88"/>
      <c r="BTX140" s="88"/>
      <c r="BTY140" s="88"/>
      <c r="BTZ140" s="88"/>
      <c r="BUA140" s="88"/>
      <c r="BUB140" s="88"/>
      <c r="BUC140" s="88"/>
      <c r="BUD140" s="88"/>
      <c r="BUE140" s="88"/>
      <c r="BUF140" s="88"/>
      <c r="BUG140" s="88"/>
      <c r="BUH140" s="88"/>
      <c r="BUI140" s="88"/>
      <c r="BUJ140" s="88"/>
      <c r="BUK140" s="88"/>
      <c r="BUL140" s="88"/>
      <c r="BUM140" s="88"/>
      <c r="BUN140" s="88"/>
      <c r="BUO140" s="88"/>
      <c r="BUP140" s="88"/>
      <c r="BUQ140" s="88"/>
      <c r="BUR140" s="88"/>
      <c r="BUS140" s="88"/>
      <c r="BUT140" s="88"/>
      <c r="BUU140" s="88"/>
      <c r="BUV140" s="88"/>
      <c r="BUW140" s="88"/>
      <c r="BUX140" s="88"/>
      <c r="BUY140" s="88"/>
      <c r="BUZ140" s="88"/>
      <c r="BVA140" s="88"/>
      <c r="BVB140" s="88"/>
      <c r="BVC140" s="88"/>
      <c r="BVD140" s="88"/>
      <c r="BVE140" s="88"/>
      <c r="BVF140" s="88"/>
      <c r="BVG140" s="88"/>
      <c r="BVH140" s="88"/>
      <c r="BVI140" s="88"/>
      <c r="BVJ140" s="88"/>
      <c r="BVK140" s="88"/>
      <c r="BVL140" s="88"/>
      <c r="BVM140" s="88"/>
      <c r="BVN140" s="88"/>
      <c r="BVO140" s="88"/>
      <c r="BVP140" s="88"/>
      <c r="BVQ140" s="88"/>
      <c r="BVR140" s="88"/>
      <c r="BVS140" s="88"/>
      <c r="BVT140" s="88"/>
      <c r="BVU140" s="88"/>
      <c r="BVV140" s="88"/>
      <c r="BVW140" s="88"/>
      <c r="BVX140" s="88"/>
      <c r="BVY140" s="88"/>
      <c r="BVZ140" s="88"/>
      <c r="BWA140" s="88"/>
      <c r="BWB140" s="88"/>
      <c r="BWC140" s="88"/>
      <c r="BWD140" s="88"/>
      <c r="BWE140" s="88"/>
      <c r="BWF140" s="88"/>
      <c r="BWG140" s="88"/>
      <c r="BWH140" s="88"/>
      <c r="BWI140" s="88"/>
      <c r="BWJ140" s="88"/>
      <c r="BWK140" s="88"/>
      <c r="BWL140" s="88"/>
      <c r="BWM140" s="88"/>
      <c r="BWN140" s="88"/>
      <c r="BWO140" s="88"/>
      <c r="BWP140" s="88"/>
      <c r="BWQ140" s="88"/>
      <c r="BWR140" s="88"/>
      <c r="BWS140" s="88"/>
      <c r="BWT140" s="88"/>
      <c r="BWU140" s="88"/>
      <c r="BWV140" s="88"/>
      <c r="BWW140" s="88"/>
      <c r="BWX140" s="88"/>
      <c r="BWY140" s="88"/>
      <c r="BWZ140" s="88"/>
      <c r="BXA140" s="88"/>
      <c r="BXB140" s="88"/>
      <c r="BXC140" s="88"/>
      <c r="BXD140" s="88"/>
      <c r="BXE140" s="88"/>
      <c r="BXF140" s="88"/>
      <c r="BXG140" s="88"/>
      <c r="BXH140" s="88"/>
      <c r="BXI140" s="88"/>
      <c r="BXJ140" s="88"/>
      <c r="BXK140" s="88"/>
      <c r="BXL140" s="88"/>
      <c r="BXM140" s="88"/>
      <c r="BXN140" s="88"/>
      <c r="BXO140" s="88"/>
      <c r="BXP140" s="88"/>
      <c r="BXQ140" s="88"/>
      <c r="BXR140" s="88"/>
      <c r="BXS140" s="88"/>
      <c r="BXT140" s="88"/>
      <c r="BXU140" s="88"/>
      <c r="BXV140" s="88"/>
      <c r="BXW140" s="88"/>
      <c r="BXX140" s="88"/>
      <c r="BXY140" s="88"/>
      <c r="BXZ140" s="88"/>
      <c r="BYA140" s="88"/>
      <c r="BYB140" s="88"/>
      <c r="BYC140" s="88"/>
      <c r="BYD140" s="88"/>
      <c r="BYE140" s="88"/>
      <c r="BYF140" s="88"/>
      <c r="BYG140" s="88"/>
      <c r="BYH140" s="88"/>
      <c r="BYI140" s="88"/>
      <c r="BYJ140" s="88"/>
      <c r="BYK140" s="88"/>
      <c r="BYL140" s="88"/>
      <c r="BYM140" s="88"/>
      <c r="BYN140" s="88"/>
      <c r="BYO140" s="88"/>
      <c r="BYP140" s="88"/>
      <c r="BYQ140" s="88"/>
      <c r="BYR140" s="88"/>
      <c r="BYS140" s="88"/>
      <c r="BYT140" s="88"/>
      <c r="BYU140" s="88"/>
      <c r="BYV140" s="88"/>
      <c r="BYW140" s="88"/>
      <c r="BYX140" s="88"/>
      <c r="BYY140" s="88"/>
      <c r="BYZ140" s="88"/>
      <c r="BZA140" s="88"/>
      <c r="BZB140" s="88"/>
      <c r="BZC140" s="88"/>
      <c r="BZD140" s="88"/>
      <c r="BZE140" s="88"/>
      <c r="BZF140" s="88"/>
      <c r="BZG140" s="88"/>
      <c r="BZH140" s="88"/>
      <c r="BZI140" s="88"/>
      <c r="BZJ140" s="88"/>
      <c r="BZK140" s="88"/>
      <c r="BZL140" s="88"/>
      <c r="BZM140" s="88"/>
      <c r="BZN140" s="88"/>
      <c r="BZO140" s="88"/>
      <c r="BZP140" s="88"/>
      <c r="BZQ140" s="88"/>
      <c r="BZR140" s="88"/>
      <c r="BZS140" s="88"/>
      <c r="BZT140" s="88"/>
      <c r="BZU140" s="88"/>
      <c r="BZV140" s="88"/>
      <c r="BZW140" s="88"/>
      <c r="BZX140" s="88"/>
      <c r="BZY140" s="88"/>
      <c r="BZZ140" s="88"/>
      <c r="CAA140" s="88"/>
      <c r="CAB140" s="88"/>
      <c r="CAC140" s="88"/>
      <c r="CAD140" s="88"/>
      <c r="CAE140" s="88"/>
      <c r="CAF140" s="88"/>
      <c r="CAG140" s="88"/>
      <c r="CAH140" s="88"/>
      <c r="CAI140" s="88"/>
      <c r="CAJ140" s="88"/>
      <c r="CAK140" s="88"/>
      <c r="CAL140" s="88"/>
      <c r="CAM140" s="88"/>
      <c r="CAN140" s="88"/>
      <c r="CAO140" s="88"/>
      <c r="CAP140" s="88"/>
      <c r="CAQ140" s="88"/>
      <c r="CAR140" s="88"/>
      <c r="CAS140" s="88"/>
      <c r="CAT140" s="88"/>
      <c r="CAU140" s="88"/>
      <c r="CAV140" s="88"/>
      <c r="CAW140" s="88"/>
      <c r="CAX140" s="88"/>
      <c r="CAY140" s="88"/>
      <c r="CAZ140" s="88"/>
      <c r="CBA140" s="88"/>
      <c r="CBB140" s="88"/>
      <c r="CBC140" s="88"/>
      <c r="CBD140" s="88"/>
      <c r="CBE140" s="88"/>
      <c r="CBF140" s="88"/>
      <c r="CBG140" s="88"/>
      <c r="CBH140" s="88"/>
      <c r="CBI140" s="88"/>
      <c r="CBJ140" s="88"/>
      <c r="CBK140" s="88"/>
      <c r="CBL140" s="88"/>
      <c r="CBM140" s="88"/>
      <c r="CBN140" s="88"/>
      <c r="CBO140" s="88"/>
      <c r="CBP140" s="88"/>
      <c r="CBQ140" s="88"/>
      <c r="CBR140" s="88"/>
      <c r="CBS140" s="88"/>
      <c r="CBT140" s="88"/>
      <c r="CBU140" s="88"/>
      <c r="CBV140" s="88"/>
      <c r="CBW140" s="88"/>
      <c r="CBX140" s="88"/>
      <c r="CBY140" s="88"/>
      <c r="CBZ140" s="88"/>
      <c r="CCA140" s="88"/>
      <c r="CCB140" s="88"/>
      <c r="CCC140" s="88"/>
      <c r="CCD140" s="88"/>
      <c r="CCE140" s="88"/>
      <c r="CCF140" s="88"/>
      <c r="CCG140" s="88"/>
      <c r="CCH140" s="88"/>
      <c r="CCI140" s="88"/>
      <c r="CCJ140" s="88"/>
      <c r="CCK140" s="88"/>
      <c r="CCL140" s="88"/>
      <c r="CCM140" s="88"/>
      <c r="CCN140" s="88"/>
      <c r="CCO140" s="88"/>
      <c r="CCP140" s="88"/>
      <c r="CCQ140" s="88"/>
      <c r="CCR140" s="88"/>
      <c r="CCS140" s="88"/>
      <c r="CCT140" s="88"/>
      <c r="CCU140" s="88"/>
      <c r="CCV140" s="88"/>
      <c r="CCW140" s="88"/>
      <c r="CCX140" s="88"/>
      <c r="CCY140" s="88"/>
      <c r="CCZ140" s="88"/>
      <c r="CDA140" s="88"/>
      <c r="CDB140" s="88"/>
      <c r="CDC140" s="88"/>
      <c r="CDD140" s="88"/>
      <c r="CDE140" s="88"/>
      <c r="CDF140" s="88"/>
      <c r="CDG140" s="88"/>
      <c r="CDH140" s="88"/>
      <c r="CDI140" s="88"/>
      <c r="CDJ140" s="88"/>
      <c r="CDK140" s="88"/>
      <c r="CDL140" s="88"/>
      <c r="CDM140" s="88"/>
      <c r="CDN140" s="88"/>
      <c r="CDO140" s="88"/>
      <c r="CDP140" s="88"/>
      <c r="CDQ140" s="88"/>
      <c r="CDR140" s="88"/>
      <c r="CDS140" s="88"/>
      <c r="CDT140" s="88"/>
      <c r="CDU140" s="88"/>
      <c r="CDV140" s="88"/>
      <c r="CDW140" s="88"/>
      <c r="CDX140" s="88"/>
      <c r="CDY140" s="88"/>
      <c r="CDZ140" s="88"/>
      <c r="CEA140" s="88"/>
      <c r="CEB140" s="88"/>
      <c r="CEC140" s="88"/>
      <c r="CED140" s="88"/>
      <c r="CEE140" s="88"/>
      <c r="CEF140" s="88"/>
      <c r="CEG140" s="88"/>
      <c r="CEH140" s="88"/>
      <c r="CEI140" s="88"/>
      <c r="CEJ140" s="88"/>
      <c r="CEK140" s="88"/>
    </row>
    <row r="141" spans="1:2169">
      <c r="C141" s="65" t="s">
        <v>2635</v>
      </c>
      <c r="D141" s="65" t="s">
        <v>2636</v>
      </c>
      <c r="E141" s="65" t="s">
        <v>2637</v>
      </c>
      <c r="F141" s="65" t="s">
        <v>2638</v>
      </c>
      <c r="G141" s="65" t="s">
        <v>2639</v>
      </c>
      <c r="H141" s="65" t="s">
        <v>2640</v>
      </c>
      <c r="I141" s="65" t="s">
        <v>2641</v>
      </c>
      <c r="J141" s="65" t="s">
        <v>2642</v>
      </c>
      <c r="K141" s="65" t="s">
        <v>2643</v>
      </c>
      <c r="L141" s="65" t="s">
        <v>2644</v>
      </c>
      <c r="M141" s="65" t="s">
        <v>2645</v>
      </c>
      <c r="N141" s="65" t="s">
        <v>2646</v>
      </c>
      <c r="O141" s="65" t="s">
        <v>2647</v>
      </c>
      <c r="P141" s="725" t="s">
        <v>2648</v>
      </c>
      <c r="Q141" s="716" t="s">
        <v>2649</v>
      </c>
      <c r="R141" s="65" t="s">
        <v>2650</v>
      </c>
      <c r="S141" s="65" t="s">
        <v>2651</v>
      </c>
      <c r="T141" s="65" t="s">
        <v>2652</v>
      </c>
      <c r="U141" s="65" t="s">
        <v>2653</v>
      </c>
      <c r="V141" s="65" t="s">
        <v>2654</v>
      </c>
      <c r="W141" s="774" t="s">
        <v>15638</v>
      </c>
      <c r="X141" s="718" t="s">
        <v>15639</v>
      </c>
      <c r="Y141" s="347" t="s">
        <v>15640</v>
      </c>
      <c r="Z141" s="347" t="s">
        <v>15641</v>
      </c>
      <c r="AA141" s="347" t="s">
        <v>15642</v>
      </c>
      <c r="AE141" s="112" t="s">
        <v>5559</v>
      </c>
      <c r="AF141" s="113" t="s">
        <v>5560</v>
      </c>
      <c r="AG141" s="113" t="s">
        <v>5561</v>
      </c>
      <c r="AI141" s="123" t="s">
        <v>2615</v>
      </c>
      <c r="AJ141" s="123" t="s">
        <v>5568</v>
      </c>
      <c r="AK141" s="112" t="s">
        <v>5559</v>
      </c>
      <c r="AL141" s="113" t="s">
        <v>5560</v>
      </c>
      <c r="AM141" s="113" t="s">
        <v>5561</v>
      </c>
      <c r="AN141" s="112" t="s">
        <v>5562</v>
      </c>
    </row>
    <row r="142" spans="1:2169">
      <c r="A142" s="74" t="s">
        <v>820</v>
      </c>
      <c r="B142" s="74" t="s">
        <v>133</v>
      </c>
      <c r="C142" s="64" t="str">
        <f>IF('page 2'!$B$31="","",IF('page 2'!$B$31=A142,1,0))</f>
        <v/>
      </c>
      <c r="D142" s="64" t="str">
        <f>IF('page 2'!$B$32="","",IF('page 2'!$B$32=A142,1,0))</f>
        <v/>
      </c>
      <c r="E142" s="64" t="str">
        <f>IF('page 2'!$B$33="","",IF('page 2'!$B$33=A142,1,0))</f>
        <v/>
      </c>
      <c r="F142" s="64" t="str">
        <f>IF('page 2'!$B$34="","",IF('page 2'!$B$34=A142,1,0))</f>
        <v/>
      </c>
      <c r="G142" s="64" t="str">
        <f>IF('page 2'!$B$35="","",IF('page 2'!$B$35=A142,1,0))</f>
        <v/>
      </c>
      <c r="H142" s="64" t="str">
        <f>IF('page 2'!$B$36="","",IF('page 2'!$B$36=A142,1,0))</f>
        <v/>
      </c>
      <c r="I142" s="64" t="str">
        <f>IF('page 2'!$B$37="","",IF('page 2'!$B$37=A142,1,0))</f>
        <v/>
      </c>
      <c r="J142" s="64" t="str">
        <f>IF('page 2'!$B$38="","",IF('page 2'!$B$38=A142,1,0))</f>
        <v/>
      </c>
      <c r="K142" s="64" t="str">
        <f>IF('page 2'!$B$39="","",IF('page 2'!$B$39=A142,1,0))</f>
        <v/>
      </c>
      <c r="L142" s="64" t="str">
        <f>IF('page 2'!$B$40="","",IF('page 2'!$B$40=A142,1,0))</f>
        <v/>
      </c>
      <c r="M142" s="64" t="str">
        <f>IF('page 2'!$B$41="","",IF('page 2'!$B$41=A142,1,0))</f>
        <v/>
      </c>
      <c r="N142" s="64" t="str">
        <f>IF('page 2'!$B$42="","",IF('page 2'!$B$42=A142,1,0))</f>
        <v/>
      </c>
      <c r="O142" s="64" t="str">
        <f>IF('page 2'!$B$43="","",IF('page 2'!$B$43=A142,1,0))</f>
        <v/>
      </c>
      <c r="P142" s="64" t="str">
        <f>IF('page 2'!$B$44="","",IF('page 2'!$B$44=A142,1,0))</f>
        <v/>
      </c>
      <c r="Q142" s="64" t="str">
        <f>IF('page 2'!$B$45="","",IF('page 2'!$B$45=A142,1,0))</f>
        <v/>
      </c>
      <c r="R142" s="64" t="str">
        <f>IF('page 2'!$B$46="","",IF('page 2'!$B$46=A142,1,0))</f>
        <v/>
      </c>
      <c r="S142" s="64" t="str">
        <f>IF('page 2'!$B$47="","",IF('page 2'!$B$47=A142,1,0))</f>
        <v/>
      </c>
      <c r="T142" s="64" t="str">
        <f>IF('page 2'!$B$48="","",IF('page 2'!$B$48=B142,1,0))</f>
        <v/>
      </c>
      <c r="U142" s="64" t="str">
        <f>IF('page 2'!$B$49="","",IF('page 2'!$B$49=C142,1,0))</f>
        <v/>
      </c>
      <c r="V142" s="64" t="str">
        <f>IF('page 2'!$B$50="","",IF('page 2'!$B$50=D142,1,0))</f>
        <v/>
      </c>
      <c r="W142" s="64" t="str">
        <f>IF('page 2'!$B$51="","",IF('page 2'!$B$51=E142,1,0))</f>
        <v/>
      </c>
      <c r="X142" s="64" t="str">
        <f>IF('page 2'!$B$52="","",IF('page 2'!$B$52=F142,1,0))</f>
        <v/>
      </c>
      <c r="Y142" s="64" t="str">
        <f>IF('page 2'!$B$53="","",IF('page 2'!$B$53=G142,1,0))</f>
        <v/>
      </c>
      <c r="Z142" s="64" t="str">
        <f>IF('page 2'!$B$54="","",IF('page 2'!$B$54=H142,1,0))</f>
        <v/>
      </c>
      <c r="AA142" s="64" t="str">
        <f>IF('page 2'!$B$55="","",IF('page 2'!$B$55=I142,1,0))</f>
        <v/>
      </c>
      <c r="AB142" s="64" t="str">
        <f>IF('page 2'!$B$53="","",IF('page 2'!$B$53=A142,1,0))</f>
        <v/>
      </c>
      <c r="AC142" s="64" t="str">
        <f>IF('page 2'!$B$54="","",IF('page 2'!$B$54=A142,1,0))</f>
        <v/>
      </c>
      <c r="AD142" s="64">
        <f>SUM(C142:AC142)</f>
        <v>0</v>
      </c>
      <c r="AE142" s="114" t="e">
        <f>VLOOKUP(A142,'page 2'!B4:I55,6,FALSE)</f>
        <v>#N/A</v>
      </c>
      <c r="AF142" s="114" t="e">
        <f>VLOOKUP(A142,'page 2'!$B$4:$I$55,7,FALSE)</f>
        <v>#N/A</v>
      </c>
      <c r="AG142" s="114" t="e">
        <f>VLOOKUP(A142,'page 2'!$B$4:$I$55,8,FALSE)</f>
        <v>#N/A</v>
      </c>
      <c r="AH142" s="106" t="s">
        <v>2635</v>
      </c>
      <c r="AI142" s="124" t="str">
        <f>IF('page 2'!B31="","",'page 2'!B31)</f>
        <v/>
      </c>
      <c r="AJ142" s="124" t="str">
        <f>IF(AI142="","",'page 2'!C31)</f>
        <v/>
      </c>
      <c r="AK142" s="129" t="str">
        <f>IF(AI142="","",'page 2'!G31)</f>
        <v/>
      </c>
      <c r="AL142" s="129" t="str">
        <f>IF(AI142="","",'page 2'!H31)</f>
        <v/>
      </c>
      <c r="AM142" s="129" t="str">
        <f>IF(AI142="","",'page 2'!I31)</f>
        <v/>
      </c>
      <c r="AN142" s="114" t="str">
        <f>IF(AI142="","",IF(AJ142=0,AI142,IF(AM142="X",CONCATENATE(AI142," (",AJ142," +20)"),IF(AL142="X",CONCATENATE(AI142," (",AJ142," +10)"),IF(AK142="X",CONCATENATE(AI142," (",AJ142,")"),"")))))</f>
        <v/>
      </c>
      <c r="AO142" s="62">
        <f t="shared" ref="AO142:AO170" si="23">IF(AI142="Métier",1,IF(AI142="Alphabet secret",2,IF(AI142="Langage secret",3,IF(AI142="Expression artistique",4,IF(AI142="Langage mystique",5,IF(AI142="Langue",6,IF(AI142="Connaissances générales",8,IF(AI142="Connaissances académiques",9,0))))))))</f>
        <v>0</v>
      </c>
      <c r="AQ142" s="130">
        <v>1</v>
      </c>
      <c r="AR142" s="131" t="s">
        <v>790</v>
      </c>
    </row>
    <row r="143" spans="1:2169">
      <c r="A143" s="64" t="s">
        <v>821</v>
      </c>
      <c r="B143" s="64" t="s">
        <v>135</v>
      </c>
      <c r="C143" s="64" t="str">
        <f>IF('page 2'!$B$31="","",IF('page 2'!$B$31=A143,1,0))</f>
        <v/>
      </c>
      <c r="D143" s="64" t="str">
        <f>IF('page 2'!$B$32="","",IF('page 2'!$B$32=A143,1,0))</f>
        <v/>
      </c>
      <c r="E143" s="64" t="str">
        <f>IF('page 2'!$B$33="","",IF('page 2'!$B$33=A143,1,0))</f>
        <v/>
      </c>
      <c r="F143" s="64" t="str">
        <f>IF('page 2'!$B$34="","",IF('page 2'!$B$34=A143,1,0))</f>
        <v/>
      </c>
      <c r="G143" s="64" t="str">
        <f>IF('page 2'!$B$35="","",IF('page 2'!$B$35=A143,1,0))</f>
        <v/>
      </c>
      <c r="H143" s="64" t="str">
        <f>IF('page 2'!$B$36="","",IF('page 2'!$B$36=A143,1,0))</f>
        <v/>
      </c>
      <c r="I143" s="64" t="str">
        <f>IF('page 2'!$B$37="","",IF('page 2'!$B$37=A143,1,0))</f>
        <v/>
      </c>
      <c r="J143" s="64" t="str">
        <f>IF('page 2'!$B$38="","",IF('page 2'!$B$38=A143,1,0))</f>
        <v/>
      </c>
      <c r="K143" s="64" t="str">
        <f>IF('page 2'!$B$39="","",IF('page 2'!$B$39=A143,1,0))</f>
        <v/>
      </c>
      <c r="L143" s="64" t="str">
        <f>IF('page 2'!$B$40="","",IF('page 2'!$B$40=A143,1,0))</f>
        <v/>
      </c>
      <c r="M143" s="64" t="str">
        <f>IF('page 2'!$B$41="","",IF('page 2'!$B$41=A143,1,0))</f>
        <v/>
      </c>
      <c r="N143" s="64" t="str">
        <f>IF('page 2'!$B$42="","",IF('page 2'!$B$42=A143,1,0))</f>
        <v/>
      </c>
      <c r="O143" s="64" t="str">
        <f>IF('page 2'!$B$43="","",IF('page 2'!$B$43=A143,1,0))</f>
        <v/>
      </c>
      <c r="P143" s="64" t="str">
        <f>IF('page 2'!$B$44="","",IF('page 2'!$B$44=A143,1,0))</f>
        <v/>
      </c>
      <c r="Q143" s="64" t="str">
        <f>IF('page 2'!$B$45="","",IF('page 2'!$B$45=A143,1,0))</f>
        <v/>
      </c>
      <c r="R143" s="64" t="str">
        <f>IF('page 2'!$B$46="","",IF('page 2'!$B$46=A143,1,0))</f>
        <v/>
      </c>
      <c r="S143" s="64" t="str">
        <f>IF('page 2'!$B$47="","",IF('page 2'!$B$47=A143,1,0))</f>
        <v/>
      </c>
      <c r="T143" s="64" t="str">
        <f>IF('page 2'!$B$48="","",IF('page 2'!$B$48=B143,1,0))</f>
        <v/>
      </c>
      <c r="U143" s="64" t="str">
        <f>IF('page 2'!$B$49="","",IF('page 2'!$B$49=C143,1,0))</f>
        <v/>
      </c>
      <c r="V143" s="64" t="str">
        <f>IF('page 2'!$B$50="","",IF('page 2'!$B$50=D143,1,0))</f>
        <v/>
      </c>
      <c r="W143" s="64" t="str">
        <f>IF('page 2'!$B$51="","",IF('page 2'!$B$51=E143,1,0))</f>
        <v/>
      </c>
      <c r="X143" s="64" t="str">
        <f>IF('page 2'!$B$52="","",IF('page 2'!$B$52=F143,1,0))</f>
        <v/>
      </c>
      <c r="Y143" s="64" t="str">
        <f>IF('page 2'!$B$53="","",IF('page 2'!$B$53=G143,1,0))</f>
        <v/>
      </c>
      <c r="Z143" s="64" t="str">
        <f>IF('page 2'!$B$54="","",IF('page 2'!$B$54=H143,1,0))</f>
        <v/>
      </c>
      <c r="AA143" s="64" t="str">
        <f>IF('page 2'!$B$55="","",IF('page 2'!$B$55=I143,1,0))</f>
        <v/>
      </c>
      <c r="AB143" s="64" t="str">
        <f>IF('page 2'!$B$53="","",IF('page 2'!$B$53=A143,1,0))</f>
        <v/>
      </c>
      <c r="AC143" s="64" t="str">
        <f>IF('page 2'!$B$54="","",IF('page 2'!$B$54=A143,1,0))</f>
        <v/>
      </c>
      <c r="AD143" s="64">
        <f t="shared" ref="AD143:AD170" si="24">SUM(C143:AC143)</f>
        <v>0</v>
      </c>
      <c r="AE143" s="114" t="e">
        <f>VLOOKUP(A143,'page 2'!$B$4:$I$55,6,FALSE)</f>
        <v>#N/A</v>
      </c>
      <c r="AF143" s="114" t="e">
        <f>VLOOKUP(A143,'page 2'!$B$4:$I$55,7,FALSE)</f>
        <v>#N/A</v>
      </c>
      <c r="AG143" s="114" t="e">
        <f>VLOOKUP(A143,'page 2'!$B$4:$I$55,8,FALSE)</f>
        <v>#N/A</v>
      </c>
      <c r="AH143" s="106" t="s">
        <v>2636</v>
      </c>
      <c r="AI143" s="124" t="str">
        <f>IF('page 2'!B32="","",'page 2'!B32)</f>
        <v/>
      </c>
      <c r="AJ143" s="124" t="str">
        <f>IF(AI143="","",'page 2'!C32)</f>
        <v/>
      </c>
      <c r="AK143" s="129" t="str">
        <f>IF(AI143="","",'page 2'!G32)</f>
        <v/>
      </c>
      <c r="AL143" s="129" t="str">
        <f>IF(AI143="","",'page 2'!H32)</f>
        <v/>
      </c>
      <c r="AM143" s="129" t="str">
        <f>IF(AI143="","",'page 2'!I32)</f>
        <v/>
      </c>
      <c r="AN143" s="114" t="str">
        <f t="shared" ref="AN143:AN170" si="25">IF(AI143="","",IF(AJ143=0,AI143,IF(AM143="X",CONCATENATE(AI143," (",AJ143," +20)"),IF(AL143="X",CONCATENATE(AI143," (",AJ143," +10)"),IF(AK143="X",CONCATENATE(AI143," (",AJ143,")"),"")))))</f>
        <v/>
      </c>
      <c r="AO143" s="62">
        <f t="shared" si="23"/>
        <v>0</v>
      </c>
      <c r="AQ143" s="130">
        <v>2</v>
      </c>
      <c r="AR143" s="131" t="s">
        <v>820</v>
      </c>
    </row>
    <row r="144" spans="1:2169">
      <c r="A144" s="64" t="s">
        <v>822</v>
      </c>
      <c r="B144" s="64" t="s">
        <v>132</v>
      </c>
      <c r="C144" s="64" t="str">
        <f>IF('page 2'!$B$31="","",IF('page 2'!$B$31=A144,1,0))</f>
        <v/>
      </c>
      <c r="D144" s="64" t="str">
        <f>IF('page 2'!$B$32="","",IF('page 2'!$B$32=A144,1,0))</f>
        <v/>
      </c>
      <c r="E144" s="64" t="str">
        <f>IF('page 2'!$B$33="","",IF('page 2'!$B$33=A144,1,0))</f>
        <v/>
      </c>
      <c r="F144" s="64" t="str">
        <f>IF('page 2'!$B$34="","",IF('page 2'!$B$34=A144,1,0))</f>
        <v/>
      </c>
      <c r="G144" s="64" t="str">
        <f>IF('page 2'!$B$35="","",IF('page 2'!$B$35=A144,1,0))</f>
        <v/>
      </c>
      <c r="H144" s="64" t="str">
        <f>IF('page 2'!$B$36="","",IF('page 2'!$B$36=A144,1,0))</f>
        <v/>
      </c>
      <c r="I144" s="64" t="str">
        <f>IF('page 2'!$B$37="","",IF('page 2'!$B$37=A144,1,0))</f>
        <v/>
      </c>
      <c r="J144" s="64" t="str">
        <f>IF('page 2'!$B$38="","",IF('page 2'!$B$38=A144,1,0))</f>
        <v/>
      </c>
      <c r="K144" s="64" t="str">
        <f>IF('page 2'!$B$39="","",IF('page 2'!$B$39=A144,1,0))</f>
        <v/>
      </c>
      <c r="L144" s="64" t="str">
        <f>IF('page 2'!$B$40="","",IF('page 2'!$B$40=A144,1,0))</f>
        <v/>
      </c>
      <c r="M144" s="64" t="str">
        <f>IF('page 2'!$B$41="","",IF('page 2'!$B$41=A144,1,0))</f>
        <v/>
      </c>
      <c r="N144" s="64" t="str">
        <f>IF('page 2'!$B$42="","",IF('page 2'!$B$42=A144,1,0))</f>
        <v/>
      </c>
      <c r="O144" s="64" t="str">
        <f>IF('page 2'!$B$43="","",IF('page 2'!$B$43=A144,1,0))</f>
        <v/>
      </c>
      <c r="P144" s="64" t="str">
        <f>IF('page 2'!$B$44="","",IF('page 2'!$B$44=A144,1,0))</f>
        <v/>
      </c>
      <c r="Q144" s="64" t="str">
        <f>IF('page 2'!$B$45="","",IF('page 2'!$B$45=A144,1,0))</f>
        <v/>
      </c>
      <c r="R144" s="64" t="str">
        <f>IF('page 2'!$B$46="","",IF('page 2'!$B$46=A144,1,0))</f>
        <v/>
      </c>
      <c r="S144" s="64" t="str">
        <f>IF('page 2'!$B$47="","",IF('page 2'!$B$47=A144,1,0))</f>
        <v/>
      </c>
      <c r="T144" s="64" t="str">
        <f>IF('page 2'!$B$48="","",IF('page 2'!$B$48=B144,1,0))</f>
        <v/>
      </c>
      <c r="U144" s="64" t="str">
        <f>IF('page 2'!$B$49="","",IF('page 2'!$B$49=C144,1,0))</f>
        <v/>
      </c>
      <c r="V144" s="64" t="str">
        <f>IF('page 2'!$B$50="","",IF('page 2'!$B$50=D144,1,0))</f>
        <v/>
      </c>
      <c r="W144" s="64" t="str">
        <f>IF('page 2'!$B$51="","",IF('page 2'!$B$51=E144,1,0))</f>
        <v/>
      </c>
      <c r="X144" s="64" t="str">
        <f>IF('page 2'!$B$52="","",IF('page 2'!$B$52=F144,1,0))</f>
        <v/>
      </c>
      <c r="Y144" s="64" t="str">
        <f>IF('page 2'!$B$53="","",IF('page 2'!$B$53=G144,1,0))</f>
        <v/>
      </c>
      <c r="Z144" s="64" t="str">
        <f>IF('page 2'!$B$54="","",IF('page 2'!$B$54=H144,1,0))</f>
        <v/>
      </c>
      <c r="AA144" s="64" t="str">
        <f>IF('page 2'!$B$55="","",IF('page 2'!$B$55=I144,1,0))</f>
        <v/>
      </c>
      <c r="AB144" s="64" t="str">
        <f>IF('page 2'!$B$53="","",IF('page 2'!$B$53=A144,1,0))</f>
        <v/>
      </c>
      <c r="AC144" s="64" t="str">
        <f>IF('page 2'!$B$54="","",IF('page 2'!$B$54=A144,1,0))</f>
        <v/>
      </c>
      <c r="AD144" s="64">
        <f t="shared" si="24"/>
        <v>0</v>
      </c>
      <c r="AE144" s="114" t="e">
        <f>VLOOKUP(A144,'page 2'!$B$4:$I$55,6,FALSE)</f>
        <v>#N/A</v>
      </c>
      <c r="AF144" s="114" t="e">
        <f>VLOOKUP(A144,'page 2'!$B$4:$I$55,7,FALSE)</f>
        <v>#N/A</v>
      </c>
      <c r="AG144" s="114" t="e">
        <f>VLOOKUP(A144,'page 2'!$B$4:$I$55,8,FALSE)</f>
        <v>#N/A</v>
      </c>
      <c r="AH144" s="106" t="s">
        <v>2637</v>
      </c>
      <c r="AI144" s="124" t="str">
        <f>IF('page 2'!B33="","",'page 2'!B33)</f>
        <v/>
      </c>
      <c r="AJ144" s="124" t="str">
        <f>IF(AI144="","",'page 2'!C33)</f>
        <v/>
      </c>
      <c r="AK144" s="129" t="str">
        <f>IF(AI144="","",'page 2'!G33)</f>
        <v/>
      </c>
      <c r="AL144" s="129" t="str">
        <f>IF(AI144="","",'page 2'!H33)</f>
        <v/>
      </c>
      <c r="AM144" s="129" t="str">
        <f>IF(AI144="","",'page 2'!I33)</f>
        <v/>
      </c>
      <c r="AN144" s="114" t="str">
        <f t="shared" si="25"/>
        <v/>
      </c>
      <c r="AO144" s="62">
        <f t="shared" si="23"/>
        <v>0</v>
      </c>
      <c r="AQ144" s="130">
        <v>3</v>
      </c>
      <c r="AR144" s="131" t="s">
        <v>832</v>
      </c>
    </row>
    <row r="145" spans="1:45">
      <c r="A145" s="64" t="s">
        <v>785</v>
      </c>
      <c r="B145" s="64" t="s">
        <v>133</v>
      </c>
      <c r="C145" s="64" t="str">
        <f>IF('page 2'!$B$31="","",IF('page 2'!$B$31=A145,1,0))</f>
        <v/>
      </c>
      <c r="D145" s="64" t="str">
        <f>IF('page 2'!$B$32="","",IF('page 2'!$B$32=A145,1,0))</f>
        <v/>
      </c>
      <c r="E145" s="64" t="str">
        <f>IF('page 2'!$B$33="","",IF('page 2'!$B$33=A145,1,0))</f>
        <v/>
      </c>
      <c r="F145" s="64" t="str">
        <f>IF('page 2'!$B$34="","",IF('page 2'!$B$34=A145,1,0))</f>
        <v/>
      </c>
      <c r="G145" s="64" t="str">
        <f>IF('page 2'!$B$35="","",IF('page 2'!$B$35=A145,1,0))</f>
        <v/>
      </c>
      <c r="H145" s="64" t="str">
        <f>IF('page 2'!$B$36="","",IF('page 2'!$B$36=A145,1,0))</f>
        <v/>
      </c>
      <c r="I145" s="64" t="str">
        <f>IF('page 2'!$B$37="","",IF('page 2'!$B$37=A145,1,0))</f>
        <v/>
      </c>
      <c r="J145" s="64" t="str">
        <f>IF('page 2'!$B$38="","",IF('page 2'!$B$38=A145,1,0))</f>
        <v/>
      </c>
      <c r="K145" s="64" t="str">
        <f>IF('page 2'!$B$39="","",IF('page 2'!$B$39=A145,1,0))</f>
        <v/>
      </c>
      <c r="L145" s="64" t="str">
        <f>IF('page 2'!$B$40="","",IF('page 2'!$B$40=A145,1,0))</f>
        <v/>
      </c>
      <c r="M145" s="64" t="str">
        <f>IF('page 2'!$B$41="","",IF('page 2'!$B$41=A145,1,0))</f>
        <v/>
      </c>
      <c r="N145" s="64" t="str">
        <f>IF('page 2'!$B$42="","",IF('page 2'!$B$42=A145,1,0))</f>
        <v/>
      </c>
      <c r="O145" s="64" t="str">
        <f>IF('page 2'!$B$43="","",IF('page 2'!$B$43=A145,1,0))</f>
        <v/>
      </c>
      <c r="P145" s="64" t="str">
        <f>IF('page 2'!$B$44="","",IF('page 2'!$B$44=A145,1,0))</f>
        <v/>
      </c>
      <c r="Q145" s="64" t="str">
        <f>IF('page 2'!$B$45="","",IF('page 2'!$B$45=A145,1,0))</f>
        <v/>
      </c>
      <c r="R145" s="64" t="str">
        <f>IF('page 2'!$B$46="","",IF('page 2'!$B$46=A145,1,0))</f>
        <v/>
      </c>
      <c r="S145" s="64" t="str">
        <f>IF('page 2'!$B$47="","",IF('page 2'!$B$47=A145,1,0))</f>
        <v/>
      </c>
      <c r="T145" s="64" t="str">
        <f>IF('page 2'!$B$48="","",IF('page 2'!$B$48=B145,1,0))</f>
        <v/>
      </c>
      <c r="U145" s="64" t="str">
        <f>IF('page 2'!$B$49="","",IF('page 2'!$B$49=C145,1,0))</f>
        <v/>
      </c>
      <c r="V145" s="64" t="str">
        <f>IF('page 2'!$B$50="","",IF('page 2'!$B$50=D145,1,0))</f>
        <v/>
      </c>
      <c r="W145" s="64" t="str">
        <f>IF('page 2'!$B$51="","",IF('page 2'!$B$51=E145,1,0))</f>
        <v/>
      </c>
      <c r="X145" s="64" t="str">
        <f>IF('page 2'!$B$52="","",IF('page 2'!$B$52=F145,1,0))</f>
        <v/>
      </c>
      <c r="Y145" s="64" t="str">
        <f>IF('page 2'!$B$53="","",IF('page 2'!$B$53=G145,1,0))</f>
        <v/>
      </c>
      <c r="Z145" s="64" t="str">
        <f>IF('page 2'!$B$54="","",IF('page 2'!$B$54=H145,1,0))</f>
        <v/>
      </c>
      <c r="AA145" s="64" t="str">
        <f>IF('page 2'!$B$55="","",IF('page 2'!$B$55=I145,1,0))</f>
        <v/>
      </c>
      <c r="AB145" s="64" t="str">
        <f>IF('page 2'!$B$53="","",IF('page 2'!$B$53=A145,1,0))</f>
        <v/>
      </c>
      <c r="AC145" s="64" t="str">
        <f>IF('page 2'!$B$54="","",IF('page 2'!$B$54=A145,1,0))</f>
        <v/>
      </c>
      <c r="AD145" s="64">
        <f t="shared" si="24"/>
        <v>0</v>
      </c>
      <c r="AE145" s="114" t="e">
        <f>VLOOKUP(A145,'page 2'!$B$4:$I$55,6,FALSE)</f>
        <v>#N/A</v>
      </c>
      <c r="AF145" s="114" t="e">
        <f>VLOOKUP(A145,'page 2'!$B$4:$I$55,7,FALSE)</f>
        <v>#N/A</v>
      </c>
      <c r="AG145" s="114" t="e">
        <f>VLOOKUP(A145,'page 2'!$B$4:$I$55,8,FALSE)</f>
        <v>#N/A</v>
      </c>
      <c r="AH145" s="106" t="s">
        <v>2638</v>
      </c>
      <c r="AI145" s="124" t="str">
        <f>IF('page 2'!B34="","",'page 2'!B34)</f>
        <v/>
      </c>
      <c r="AJ145" s="124" t="str">
        <f>IF(AI145="","",'page 2'!C34)</f>
        <v/>
      </c>
      <c r="AK145" s="129" t="str">
        <f>IF(AI145="","",'page 2'!G34)</f>
        <v/>
      </c>
      <c r="AL145" s="129" t="str">
        <f>IF(AI145="","",'page 2'!H34)</f>
        <v/>
      </c>
      <c r="AM145" s="129" t="str">
        <f>IF(AI145="","",'page 2'!I34)</f>
        <v/>
      </c>
      <c r="AN145" s="114" t="str">
        <f t="shared" si="25"/>
        <v/>
      </c>
      <c r="AO145" s="62">
        <f t="shared" si="23"/>
        <v>0</v>
      </c>
      <c r="AQ145" s="130">
        <v>4</v>
      </c>
      <c r="AR145" s="131" t="s">
        <v>787</v>
      </c>
    </row>
    <row r="146" spans="1:45">
      <c r="A146" s="64" t="s">
        <v>786</v>
      </c>
      <c r="B146" s="65" t="s">
        <v>133</v>
      </c>
      <c r="C146" s="64" t="str">
        <f>IF('page 2'!$B$31="","",IF('page 2'!$B$31=A146,1,0))</f>
        <v/>
      </c>
      <c r="D146" s="64" t="str">
        <f>IF('page 2'!$B$32="","",IF('page 2'!$B$32=A146,1,0))</f>
        <v/>
      </c>
      <c r="E146" s="64" t="str">
        <f>IF('page 2'!$B$33="","",IF('page 2'!$B$33=A146,1,0))</f>
        <v/>
      </c>
      <c r="F146" s="64" t="str">
        <f>IF('page 2'!$B$34="","",IF('page 2'!$B$34=A146,1,0))</f>
        <v/>
      </c>
      <c r="H146" s="64" t="str">
        <f>IF('page 2'!$B$36="","",IF('page 2'!$B$36=A146,1,0))</f>
        <v/>
      </c>
      <c r="I146" s="64" t="str">
        <f>IF('page 2'!$B$37="","",IF('page 2'!$B$37=A146,1,0))</f>
        <v/>
      </c>
      <c r="J146" s="64" t="str">
        <f>IF('page 2'!$B$38="","",IF('page 2'!$B$38=A146,1,0))</f>
        <v/>
      </c>
      <c r="K146" s="64" t="str">
        <f>IF('page 2'!$B$39="","",IF('page 2'!$B$39=A146,1,0))</f>
        <v/>
      </c>
      <c r="L146" s="64" t="str">
        <f>IF('page 2'!$B$40="","",IF('page 2'!$B$40=A146,1,0))</f>
        <v/>
      </c>
      <c r="M146" s="64" t="str">
        <f>IF('page 2'!$B$41="","",IF('page 2'!$B$41=A146,1,0))</f>
        <v/>
      </c>
      <c r="N146" s="64" t="str">
        <f>IF('page 2'!$B$42="","",IF('page 2'!$B$42=A146,1,0))</f>
        <v/>
      </c>
      <c r="O146" s="64" t="str">
        <f>IF('page 2'!$B$43="","",IF('page 2'!$B$43=A146,1,0))</f>
        <v/>
      </c>
      <c r="P146" s="64" t="str">
        <f>IF('page 2'!$B$44="","",IF('page 2'!$B$44=A146,1,0))</f>
        <v/>
      </c>
      <c r="Q146" s="64" t="str">
        <f>IF('page 2'!$B$45="","",IF('page 2'!$B$45=A146,1,0))</f>
        <v/>
      </c>
      <c r="R146" s="64" t="str">
        <f>IF('page 2'!$B$46="","",IF('page 2'!$B$46=A146,1,0))</f>
        <v/>
      </c>
      <c r="S146" s="64" t="str">
        <f>IF('page 2'!$B$47="","",IF('page 2'!$B$47=A146,1,0))</f>
        <v/>
      </c>
      <c r="T146" s="64" t="str">
        <f>IF('page 2'!$B$48="","",IF('page 2'!$B$48=B146,1,0))</f>
        <v/>
      </c>
      <c r="U146" s="64" t="str">
        <f>IF('page 2'!$B$49="","",IF('page 2'!$B$49=C146,1,0))</f>
        <v/>
      </c>
      <c r="V146" s="64" t="str">
        <f>IF('page 2'!$B$50="","",IF('page 2'!$B$50=D146,1,0))</f>
        <v/>
      </c>
      <c r="W146" s="64" t="str">
        <f>IF('page 2'!$B$51="","",IF('page 2'!$B$51=E146,1,0))</f>
        <v/>
      </c>
      <c r="X146" s="64" t="str">
        <f>IF('page 2'!$B$52="","",IF('page 2'!$B$52=F146,1,0))</f>
        <v/>
      </c>
      <c r="Y146" s="64" t="str">
        <f>IF('page 2'!$B$53="","",IF('page 2'!$B$53=G146,1,0))</f>
        <v/>
      </c>
      <c r="Z146" s="64" t="str">
        <f>IF('page 2'!$B$54="","",IF('page 2'!$B$54=H146,1,0))</f>
        <v/>
      </c>
      <c r="AA146" s="64" t="str">
        <f>IF('page 2'!$B$55="","",IF('page 2'!$B$55=I146,1,0))</f>
        <v/>
      </c>
      <c r="AB146" s="64" t="str">
        <f>IF('page 2'!$B$53="","",IF('page 2'!$B$53=A146,1,0))</f>
        <v/>
      </c>
      <c r="AC146" s="64" t="str">
        <f>IF('page 2'!$B$54="","",IF('page 2'!$B$54=A146,1,0))</f>
        <v/>
      </c>
      <c r="AD146" s="64">
        <f t="shared" si="24"/>
        <v>0</v>
      </c>
      <c r="AE146" s="114" t="e">
        <f>VLOOKUP(A146,'page 2'!$B$4:$I$55,6,FALSE)</f>
        <v>#N/A</v>
      </c>
      <c r="AF146" s="114" t="e">
        <f>VLOOKUP(A146,'page 2'!$B$4:$I$55,7,FALSE)</f>
        <v>#N/A</v>
      </c>
      <c r="AG146" s="114" t="e">
        <f>VLOOKUP(A146,'page 2'!$B$4:$I$55,8,FALSE)</f>
        <v>#N/A</v>
      </c>
      <c r="AH146" s="106" t="s">
        <v>2639</v>
      </c>
      <c r="AI146" s="124" t="str">
        <f>IF('page 2'!B35="","",'page 2'!B35)</f>
        <v/>
      </c>
      <c r="AJ146" s="124" t="str">
        <f>IF(AI146="","",'page 2'!C35)</f>
        <v/>
      </c>
      <c r="AK146" s="129" t="str">
        <f>IF(AI146="","",'page 2'!G35)</f>
        <v/>
      </c>
      <c r="AL146" s="129" t="str">
        <f>IF(AI146="","",'page 2'!H35)</f>
        <v/>
      </c>
      <c r="AM146" s="129" t="str">
        <f>IF(AI146="","",'page 2'!I35)</f>
        <v/>
      </c>
      <c r="AN146" s="114" t="str">
        <f t="shared" si="25"/>
        <v/>
      </c>
      <c r="AO146" s="62">
        <f t="shared" si="23"/>
        <v>0</v>
      </c>
      <c r="AQ146" s="130">
        <v>5</v>
      </c>
      <c r="AR146" s="131" t="s">
        <v>831</v>
      </c>
    </row>
    <row r="147" spans="1:45">
      <c r="A147" s="65" t="s">
        <v>2664</v>
      </c>
      <c r="B147" s="65" t="s">
        <v>134</v>
      </c>
      <c r="C147" s="64" t="str">
        <f>IF('page 2'!$B$31="","",IF('page 2'!$B$31=A147,1,0))</f>
        <v/>
      </c>
      <c r="D147" s="64" t="str">
        <f>IF('page 2'!$B$32="","",IF('page 2'!$B$32=A147,1,0))</f>
        <v/>
      </c>
      <c r="E147" s="64" t="str">
        <f>IF('page 2'!$B$33="","",IF('page 2'!$B$33=A147,1,0))</f>
        <v/>
      </c>
      <c r="F147" s="64" t="str">
        <f>IF('page 2'!$B$34="","",IF('page 2'!$B$34=A147,1,0))</f>
        <v/>
      </c>
      <c r="G147" s="64" t="str">
        <f>IF('page 2'!$B$35="","",IF('page 2'!$B$35=A146,1,0))</f>
        <v/>
      </c>
      <c r="H147" s="64" t="str">
        <f>IF('page 2'!$B$36="","",IF('page 2'!$B$36=A147,1,0))</f>
        <v/>
      </c>
      <c r="I147" s="64" t="str">
        <f>IF('page 2'!$B$37="","",IF('page 2'!$B$37=A147,1,0))</f>
        <v/>
      </c>
      <c r="J147" s="64" t="str">
        <f>IF('page 2'!$B$38="","",IF('page 2'!$B$38=A147,1,0))</f>
        <v/>
      </c>
      <c r="K147" s="64" t="str">
        <f>IF('page 2'!$B$39="","",IF('page 2'!$B$39=A147,1,0))</f>
        <v/>
      </c>
      <c r="L147" s="64" t="str">
        <f>IF('page 2'!$B$40="","",IF('page 2'!$B$40=A147,1,0))</f>
        <v/>
      </c>
      <c r="M147" s="64" t="str">
        <f>IF('page 2'!$B$41="","",IF('page 2'!$B$41=A147,1,0))</f>
        <v/>
      </c>
      <c r="N147" s="64" t="str">
        <f>IF('page 2'!$B$42="","",IF('page 2'!$B$42=A147,1,0))</f>
        <v/>
      </c>
      <c r="O147" s="64" t="str">
        <f>IF('page 2'!$B$43="","",IF('page 2'!$B$43=A147,1,0))</f>
        <v/>
      </c>
      <c r="P147" s="64" t="str">
        <f>IF('page 2'!$B$44="","",IF('page 2'!$B$44=A147,1,0))</f>
        <v/>
      </c>
      <c r="Q147" s="64" t="str">
        <f>IF('page 2'!$B$45="","",IF('page 2'!$B$45=A147,1,0))</f>
        <v/>
      </c>
      <c r="R147" s="64" t="str">
        <f>IF('page 2'!$B$46="","",IF('page 2'!$B$46=A147,1,0))</f>
        <v/>
      </c>
      <c r="S147" s="64" t="str">
        <f>IF('page 2'!$B$47="","",IF('page 2'!$B$47=A147,1,0))</f>
        <v/>
      </c>
      <c r="T147" s="64" t="str">
        <f>IF('page 2'!$B$48="","",IF('page 2'!$B$48=B147,1,0))</f>
        <v/>
      </c>
      <c r="U147" s="64" t="str">
        <f>IF('page 2'!$B$49="","",IF('page 2'!$B$49=C147,1,0))</f>
        <v/>
      </c>
      <c r="V147" s="64" t="str">
        <f>IF('page 2'!$B$50="","",IF('page 2'!$B$50=D147,1,0))</f>
        <v/>
      </c>
      <c r="W147" s="64" t="str">
        <f>IF('page 2'!$B$51="","",IF('page 2'!$B$51=E147,1,0))</f>
        <v/>
      </c>
      <c r="X147" s="64" t="str">
        <f>IF('page 2'!$B$52="","",IF('page 2'!$B$52=F147,1,0))</f>
        <v/>
      </c>
      <c r="Y147" s="64" t="str">
        <f>IF('page 2'!$B$53="","",IF('page 2'!$B$53=G147,1,0))</f>
        <v/>
      </c>
      <c r="Z147" s="64" t="str">
        <f>IF('page 2'!$B$54="","",IF('page 2'!$B$54=H147,1,0))</f>
        <v/>
      </c>
      <c r="AA147" s="64" t="str">
        <f>IF('page 2'!$B$55="","",IF('page 2'!$B$55=I147,1,0))</f>
        <v/>
      </c>
      <c r="AB147" s="64" t="str">
        <f>IF('page 2'!$B$53="","",IF('page 2'!$B$53=A147,1,0))</f>
        <v/>
      </c>
      <c r="AC147" s="64" t="str">
        <f>IF('page 2'!$B$54="","",IF('page 2'!$B$54=A147,1,0))</f>
        <v/>
      </c>
      <c r="AD147" s="64">
        <f t="shared" si="24"/>
        <v>0</v>
      </c>
      <c r="AE147" s="114" t="e">
        <f>VLOOKUP(A147,'page 2'!$B$4:$I$55,6,FALSE)</f>
        <v>#N/A</v>
      </c>
      <c r="AF147" s="114" t="e">
        <f>VLOOKUP(A147,'page 2'!$B$4:$I$55,7,FALSE)</f>
        <v>#N/A</v>
      </c>
      <c r="AG147" s="114" t="e">
        <f>VLOOKUP(A147,'page 2'!$B$4:$I$55,8,FALSE)</f>
        <v>#N/A</v>
      </c>
      <c r="AH147" s="106" t="s">
        <v>2640</v>
      </c>
      <c r="AI147" s="124" t="str">
        <f>IF('page 2'!B36="","",'page 2'!B36)</f>
        <v/>
      </c>
      <c r="AJ147" s="124" t="str">
        <f>IF(AI147="","",'page 2'!C36)</f>
        <v/>
      </c>
      <c r="AK147" s="129" t="str">
        <f>IF(AI147="","",'page 2'!G36)</f>
        <v/>
      </c>
      <c r="AL147" s="129" t="str">
        <f>IF(AI147="","",'page 2'!H36)</f>
        <v/>
      </c>
      <c r="AM147" s="129" t="str">
        <f>IF(AI147="","",'page 2'!I36)</f>
        <v/>
      </c>
      <c r="AN147" s="114" t="str">
        <f t="shared" si="25"/>
        <v/>
      </c>
      <c r="AO147" s="62">
        <f t="shared" si="23"/>
        <v>0</v>
      </c>
      <c r="AQ147" s="130">
        <v>6</v>
      </c>
      <c r="AR147" s="131" t="s">
        <v>789</v>
      </c>
    </row>
    <row r="148" spans="1:45">
      <c r="A148" s="64" t="s">
        <v>823</v>
      </c>
      <c r="B148" s="64" t="s">
        <v>132</v>
      </c>
      <c r="C148" s="64" t="str">
        <f>IF('page 2'!$B$31="","",IF('page 2'!$B$31=A148,1,0))</f>
        <v/>
      </c>
      <c r="D148" s="64" t="str">
        <f>IF('page 2'!$B$32="","",IF('page 2'!$B$32=A148,1,0))</f>
        <v/>
      </c>
      <c r="E148" s="64" t="str">
        <f>IF('page 2'!$B$33="","",IF('page 2'!$B$33=A148,1,0))</f>
        <v/>
      </c>
      <c r="F148" s="64" t="str">
        <f>IF('page 2'!$B$34="","",IF('page 2'!$B$34=A148,1,0))</f>
        <v/>
      </c>
      <c r="G148" s="64" t="str">
        <f>IF('page 2'!$B$35="","",IF('page 2'!$B$35=A148,1,0))</f>
        <v/>
      </c>
      <c r="H148" s="64" t="str">
        <f>IF('page 2'!$B$36="","",IF('page 2'!$B$36=A148,1,0))</f>
        <v/>
      </c>
      <c r="I148" s="64" t="str">
        <f>IF('page 2'!$B$37="","",IF('page 2'!$B$37=A148,1,0))</f>
        <v/>
      </c>
      <c r="J148" s="64" t="str">
        <f>IF('page 2'!$B$38="","",IF('page 2'!$B$38=A148,1,0))</f>
        <v/>
      </c>
      <c r="K148" s="64" t="str">
        <f>IF('page 2'!$B$39="","",IF('page 2'!$B$39=A148,1,0))</f>
        <v/>
      </c>
      <c r="L148" s="64" t="str">
        <f>IF('page 2'!$B$40="","",IF('page 2'!$B$40=A148,1,0))</f>
        <v/>
      </c>
      <c r="M148" s="64" t="str">
        <f>IF('page 2'!$B$41="","",IF('page 2'!$B$41=A148,1,0))</f>
        <v/>
      </c>
      <c r="N148" s="64" t="str">
        <f>IF('page 2'!$B$42="","",IF('page 2'!$B$42=A148,1,0))</f>
        <v/>
      </c>
      <c r="O148" s="64" t="str">
        <f>IF('page 2'!$B$43="","",IF('page 2'!$B$43=A148,1,0))</f>
        <v/>
      </c>
      <c r="P148" s="64" t="str">
        <f>IF('page 2'!$B$44="","",IF('page 2'!$B$44=A148,1,0))</f>
        <v/>
      </c>
      <c r="Q148" s="64" t="str">
        <f>IF('page 2'!$B$45="","",IF('page 2'!$B$45=A148,1,0))</f>
        <v/>
      </c>
      <c r="R148" s="64" t="str">
        <f>IF('page 2'!$B$46="","",IF('page 2'!$B$46=A148,1,0))</f>
        <v/>
      </c>
      <c r="S148" s="64" t="str">
        <f>IF('page 2'!$B$47="","",IF('page 2'!$B$47=A148,1,0))</f>
        <v/>
      </c>
      <c r="T148" s="64" t="str">
        <f>IF('page 2'!$B$48="","",IF('page 2'!$B$48=B148,1,0))</f>
        <v/>
      </c>
      <c r="U148" s="64" t="str">
        <f>IF('page 2'!$B$49="","",IF('page 2'!$B$49=C148,1,0))</f>
        <v/>
      </c>
      <c r="V148" s="64" t="str">
        <f>IF('page 2'!$B$50="","",IF('page 2'!$B$50=D148,1,0))</f>
        <v/>
      </c>
      <c r="W148" s="64" t="str">
        <f>IF('page 2'!$B$51="","",IF('page 2'!$B$51=E148,1,0))</f>
        <v/>
      </c>
      <c r="X148" s="64" t="str">
        <f>IF('page 2'!$B$52="","",IF('page 2'!$B$52=F148,1,0))</f>
        <v/>
      </c>
      <c r="Y148" s="64" t="str">
        <f>IF('page 2'!$B$53="","",IF('page 2'!$B$53=G148,1,0))</f>
        <v/>
      </c>
      <c r="Z148" s="64" t="str">
        <f>IF('page 2'!$B$54="","",IF('page 2'!$B$54=H148,1,0))</f>
        <v/>
      </c>
      <c r="AA148" s="64" t="str">
        <f>IF('page 2'!$B$55="","",IF('page 2'!$B$55=I148,1,0))</f>
        <v/>
      </c>
      <c r="AB148" s="64" t="str">
        <f>IF('page 2'!$B$53="","",IF('page 2'!$B$53=A148,1,0))</f>
        <v/>
      </c>
      <c r="AC148" s="64" t="str">
        <f>IF('page 2'!$B$54="","",IF('page 2'!$B$54=A148,1,0))</f>
        <v/>
      </c>
      <c r="AD148" s="64">
        <f t="shared" si="24"/>
        <v>0</v>
      </c>
      <c r="AE148" s="114" t="e">
        <f>VLOOKUP(A148,'page 2'!$B$4:$I$55,6,FALSE)</f>
        <v>#N/A</v>
      </c>
      <c r="AF148" s="114" t="e">
        <f>VLOOKUP(A148,'page 2'!$B$4:$I$55,7,FALSE)</f>
        <v>#N/A</v>
      </c>
      <c r="AG148" s="114" t="e">
        <f>VLOOKUP(A148,'page 2'!$B$4:$I$55,8,FALSE)</f>
        <v>#N/A</v>
      </c>
      <c r="AH148" s="106" t="s">
        <v>2641</v>
      </c>
      <c r="AI148" s="124" t="str">
        <f>IF('page 2'!B37="","",'page 2'!B37)</f>
        <v/>
      </c>
      <c r="AJ148" s="124" t="str">
        <f>IF(AI148="","",'page 2'!C37)</f>
        <v/>
      </c>
      <c r="AK148" s="129" t="str">
        <f>IF(AI148="","",'page 2'!G37)</f>
        <v/>
      </c>
      <c r="AL148" s="129" t="str">
        <f>IF(AI148="","",'page 2'!H37)</f>
        <v/>
      </c>
      <c r="AM148" s="129" t="str">
        <f>IF(AI148="","",'page 2'!I37)</f>
        <v/>
      </c>
      <c r="AN148" s="114" t="str">
        <f t="shared" si="25"/>
        <v/>
      </c>
      <c r="AO148" s="62">
        <f t="shared" si="23"/>
        <v>0</v>
      </c>
      <c r="AQ148" s="130">
        <v>8</v>
      </c>
      <c r="AR148" s="131" t="s">
        <v>786</v>
      </c>
    </row>
    <row r="149" spans="1:45">
      <c r="A149" s="64" t="s">
        <v>824</v>
      </c>
      <c r="B149" s="64" t="s">
        <v>135</v>
      </c>
      <c r="C149" s="64" t="str">
        <f>IF('page 2'!$B$31="","",IF('page 2'!$B$31=A149,1,0))</f>
        <v/>
      </c>
      <c r="D149" s="64" t="str">
        <f>IF('page 2'!$B$32="","",IF('page 2'!$B$32=A149,1,0))</f>
        <v/>
      </c>
      <c r="E149" s="64" t="str">
        <f>IF('page 2'!$B$33="","",IF('page 2'!$B$33=A149,1,0))</f>
        <v/>
      </c>
      <c r="F149" s="64" t="str">
        <f>IF('page 2'!$B$34="","",IF('page 2'!$B$34=A149,1,0))</f>
        <v/>
      </c>
      <c r="G149" s="64" t="str">
        <f>IF('page 2'!$B$35="","",IF('page 2'!$B$35=A149,1,0))</f>
        <v/>
      </c>
      <c r="H149" s="64" t="str">
        <f>IF('page 2'!$B$36="","",IF('page 2'!$B$36=A149,1,0))</f>
        <v/>
      </c>
      <c r="I149" s="64" t="str">
        <f>IF('page 2'!$B$37="","",IF('page 2'!$B$37=A149,1,0))</f>
        <v/>
      </c>
      <c r="J149" s="64" t="str">
        <f>IF('page 2'!$B$38="","",IF('page 2'!$B$38=A149,1,0))</f>
        <v/>
      </c>
      <c r="K149" s="64" t="str">
        <f>IF('page 2'!$B$39="","",IF('page 2'!$B$39=A149,1,0))</f>
        <v/>
      </c>
      <c r="L149" s="64" t="str">
        <f>IF('page 2'!$B$40="","",IF('page 2'!$B$40=A149,1,0))</f>
        <v/>
      </c>
      <c r="M149" s="64" t="str">
        <f>IF('page 2'!$B$41="","",IF('page 2'!$B$41=A149,1,0))</f>
        <v/>
      </c>
      <c r="N149" s="64" t="str">
        <f>IF('page 2'!$B$42="","",IF('page 2'!$B$42=A149,1,0))</f>
        <v/>
      </c>
      <c r="O149" s="64" t="str">
        <f>IF('page 2'!$B$43="","",IF('page 2'!$B$43=A149,1,0))</f>
        <v/>
      </c>
      <c r="P149" s="64" t="str">
        <f>IF('page 2'!$B$44="","",IF('page 2'!$B$44=A149,1,0))</f>
        <v/>
      </c>
      <c r="Q149" s="64" t="str">
        <f>IF('page 2'!$B$45="","",IF('page 2'!$B$45=A149,1,0))</f>
        <v/>
      </c>
      <c r="R149" s="64" t="str">
        <f>IF('page 2'!$B$46="","",IF('page 2'!$B$46=A149,1,0))</f>
        <v/>
      </c>
      <c r="S149" s="64" t="str">
        <f>IF('page 2'!$B$47="","",IF('page 2'!$B$47=A149,1,0))</f>
        <v/>
      </c>
      <c r="T149" s="64" t="str">
        <f>IF('page 2'!$B$48="","",IF('page 2'!$B$48=B149,1,0))</f>
        <v/>
      </c>
      <c r="U149" s="64" t="str">
        <f>IF('page 2'!$B$49="","",IF('page 2'!$B$49=C149,1,0))</f>
        <v/>
      </c>
      <c r="V149" s="64" t="str">
        <f>IF('page 2'!$B$50="","",IF('page 2'!$B$50=D149,1,0))</f>
        <v/>
      </c>
      <c r="W149" s="64" t="str">
        <f>IF('page 2'!$B$51="","",IF('page 2'!$B$51=E149,1,0))</f>
        <v/>
      </c>
      <c r="X149" s="64" t="str">
        <f>IF('page 2'!$B$52="","",IF('page 2'!$B$52=F149,1,0))</f>
        <v/>
      </c>
      <c r="Y149" s="64" t="str">
        <f>IF('page 2'!$B$53="","",IF('page 2'!$B$53=G149,1,0))</f>
        <v/>
      </c>
      <c r="Z149" s="64" t="str">
        <f>IF('page 2'!$B$54="","",IF('page 2'!$B$54=H149,1,0))</f>
        <v/>
      </c>
      <c r="AA149" s="64" t="str">
        <f>IF('page 2'!$B$55="","",IF('page 2'!$B$55=I149,1,0))</f>
        <v/>
      </c>
      <c r="AB149" s="64" t="str">
        <f>IF('page 2'!$B$53="","",IF('page 2'!$B$53=A149,1,0))</f>
        <v/>
      </c>
      <c r="AC149" s="64" t="str">
        <f>IF('page 2'!$B$54="","",IF('page 2'!$B$54=A149,1,0))</f>
        <v/>
      </c>
      <c r="AD149" s="64">
        <f t="shared" si="24"/>
        <v>0</v>
      </c>
      <c r="AE149" s="114" t="e">
        <f>VLOOKUP(A149,'page 2'!$B$4:$I$55,6,FALSE)</f>
        <v>#N/A</v>
      </c>
      <c r="AF149" s="114" t="e">
        <f>VLOOKUP(A149,'page 2'!$B$4:$I$55,7,FALSE)</f>
        <v>#N/A</v>
      </c>
      <c r="AG149" s="114" t="e">
        <f>VLOOKUP(A149,'page 2'!$B$4:$I$55,8,FALSE)</f>
        <v>#N/A</v>
      </c>
      <c r="AH149" s="106" t="s">
        <v>2642</v>
      </c>
      <c r="AI149" s="124" t="str">
        <f>IF('page 2'!B38="","",'page 2'!B38)</f>
        <v/>
      </c>
      <c r="AJ149" s="124" t="str">
        <f>IF(AI149="","",'page 2'!C38)</f>
        <v/>
      </c>
      <c r="AK149" s="129" t="str">
        <f>IF(AI149="","",'page 2'!G38)</f>
        <v/>
      </c>
      <c r="AL149" s="129" t="str">
        <f>IF(AI149="","",'page 2'!H38)</f>
        <v/>
      </c>
      <c r="AM149" s="129" t="str">
        <f>IF(AI149="","",'page 2'!I38)</f>
        <v/>
      </c>
      <c r="AN149" s="114" t="str">
        <f t="shared" si="25"/>
        <v/>
      </c>
      <c r="AO149" s="62">
        <f t="shared" si="23"/>
        <v>0</v>
      </c>
      <c r="AQ149" s="130">
        <v>9</v>
      </c>
      <c r="AR149" s="131" t="s">
        <v>785</v>
      </c>
    </row>
    <row r="150" spans="1:45">
      <c r="A150" s="64" t="s">
        <v>832</v>
      </c>
      <c r="B150" s="64" t="s">
        <v>133</v>
      </c>
      <c r="C150" s="64" t="str">
        <f>IF('page 2'!$B$31="","",IF('page 2'!$B$31=A150,1,0))</f>
        <v/>
      </c>
      <c r="D150" s="64" t="str">
        <f>IF('page 2'!$B$32="","",IF('page 2'!$B$32=A150,1,0))</f>
        <v/>
      </c>
      <c r="E150" s="64" t="str">
        <f>IF('page 2'!$B$33="","",IF('page 2'!$B$33=A150,1,0))</f>
        <v/>
      </c>
      <c r="F150" s="64" t="str">
        <f>IF('page 2'!$B$34="","",IF('page 2'!$B$34=A150,1,0))</f>
        <v/>
      </c>
      <c r="G150" s="64" t="str">
        <f>IF('page 2'!$B$35="","",IF('page 2'!$B$35=A150,1,0))</f>
        <v/>
      </c>
      <c r="H150" s="64" t="str">
        <f>IF('page 2'!$B$36="","",IF('page 2'!$B$36=A150,1,0))</f>
        <v/>
      </c>
      <c r="I150" s="64" t="str">
        <f>IF('page 2'!$B$37="","",IF('page 2'!$B$37=A150,1,0))</f>
        <v/>
      </c>
      <c r="J150" s="64" t="str">
        <f>IF('page 2'!$B$38="","",IF('page 2'!$B$38=A150,1,0))</f>
        <v/>
      </c>
      <c r="K150" s="64" t="str">
        <f>IF('page 2'!$B$39="","",IF('page 2'!$B$39=A150,1,0))</f>
        <v/>
      </c>
      <c r="L150" s="64" t="str">
        <f>IF('page 2'!$B$40="","",IF('page 2'!$B$40=A150,1,0))</f>
        <v/>
      </c>
      <c r="M150" s="64" t="str">
        <f>IF('page 2'!$B$41="","",IF('page 2'!$B$41=A150,1,0))</f>
        <v/>
      </c>
      <c r="N150" s="64" t="str">
        <f>IF('page 2'!$B$42="","",IF('page 2'!$B$42=A150,1,0))</f>
        <v/>
      </c>
      <c r="O150" s="64" t="str">
        <f>IF('page 2'!$B$43="","",IF('page 2'!$B$43=A150,1,0))</f>
        <v/>
      </c>
      <c r="P150" s="64" t="str">
        <f>IF('page 2'!$B$44="","",IF('page 2'!$B$44=A150,1,0))</f>
        <v/>
      </c>
      <c r="Q150" s="64" t="str">
        <f>IF('page 2'!$B$45="","",IF('page 2'!$B$45=A150,1,0))</f>
        <v/>
      </c>
      <c r="R150" s="64" t="str">
        <f>IF('page 2'!$B$46="","",IF('page 2'!$B$46=A150,1,0))</f>
        <v/>
      </c>
      <c r="S150" s="64" t="str">
        <f>IF('page 2'!$B$47="","",IF('page 2'!$B$47=A150,1,0))</f>
        <v/>
      </c>
      <c r="T150" s="64" t="str">
        <f>IF('page 2'!$B$48="","",IF('page 2'!$B$48=B150,1,0))</f>
        <v/>
      </c>
      <c r="U150" s="64" t="str">
        <f>IF('page 2'!$B$49="","",IF('page 2'!$B$49=C150,1,0))</f>
        <v/>
      </c>
      <c r="V150" s="64" t="str">
        <f>IF('page 2'!$B$50="","",IF('page 2'!$B$50=D150,1,0))</f>
        <v/>
      </c>
      <c r="W150" s="64" t="str">
        <f>IF('page 2'!$B$51="","",IF('page 2'!$B$51=E150,1,0))</f>
        <v/>
      </c>
      <c r="X150" s="64" t="str">
        <f>IF('page 2'!$B$52="","",IF('page 2'!$B$52=F150,1,0))</f>
        <v/>
      </c>
      <c r="Y150" s="64" t="str">
        <f>IF('page 2'!$B$53="","",IF('page 2'!$B$53=G150,1,0))</f>
        <v/>
      </c>
      <c r="Z150" s="64" t="str">
        <f>IF('page 2'!$B$54="","",IF('page 2'!$B$54=H150,1,0))</f>
        <v/>
      </c>
      <c r="AA150" s="64" t="str">
        <f>IF('page 2'!$B$55="","",IF('page 2'!$B$55=I150,1,0))</f>
        <v/>
      </c>
      <c r="AB150" s="64" t="str">
        <f>IF('page 2'!$B$53="","",IF('page 2'!$B$53=A150,1,0))</f>
        <v/>
      </c>
      <c r="AC150" s="64" t="str">
        <f>IF('page 2'!$B$54="","",IF('page 2'!$B$54=A150,1,0))</f>
        <v/>
      </c>
      <c r="AD150" s="64">
        <f t="shared" si="24"/>
        <v>0</v>
      </c>
      <c r="AE150" s="114" t="e">
        <f>VLOOKUP(A150,'page 2'!$B$4:$I$55,6,FALSE)</f>
        <v>#N/A</v>
      </c>
      <c r="AF150" s="114" t="e">
        <f>VLOOKUP(A150,'page 2'!$B$4:$I$55,7,FALSE)</f>
        <v>#N/A</v>
      </c>
      <c r="AG150" s="114" t="e">
        <f>VLOOKUP(A150,'page 2'!$B$4:$I$55,8,FALSE)</f>
        <v>#N/A</v>
      </c>
      <c r="AH150" s="106" t="s">
        <v>2643</v>
      </c>
      <c r="AI150" s="124" t="str">
        <f>IF('page 2'!B39="","",'page 2'!B39)</f>
        <v/>
      </c>
      <c r="AJ150" s="124" t="str">
        <f>IF(AI150="","",'page 2'!C39)</f>
        <v/>
      </c>
      <c r="AK150" s="129" t="str">
        <f>IF(AI150="","",'page 2'!G39)</f>
        <v/>
      </c>
      <c r="AL150" s="129" t="str">
        <f>IF(AI150="","",'page 2'!H39)</f>
        <v/>
      </c>
      <c r="AM150" s="129" t="str">
        <f>IF(AI150="","",'page 2'!I39)</f>
        <v/>
      </c>
      <c r="AN150" s="114" t="str">
        <f t="shared" si="25"/>
        <v/>
      </c>
      <c r="AO150" s="62">
        <f t="shared" si="23"/>
        <v>0</v>
      </c>
    </row>
    <row r="151" spans="1:45">
      <c r="A151" s="64" t="s">
        <v>825</v>
      </c>
      <c r="B151" s="64" t="s">
        <v>135</v>
      </c>
      <c r="C151" s="64" t="str">
        <f>IF('page 2'!$B$31="","",IF('page 2'!$B$31=A151,1,0))</f>
        <v/>
      </c>
      <c r="D151" s="64" t="str">
        <f>IF('page 2'!$B$32="","",IF('page 2'!$B$32=A151,1,0))</f>
        <v/>
      </c>
      <c r="E151" s="64" t="str">
        <f>IF('page 2'!$B$33="","",IF('page 2'!$B$33=A151,1,0))</f>
        <v/>
      </c>
      <c r="F151" s="64" t="str">
        <f>IF('page 2'!$B$34="","",IF('page 2'!$B$34=A151,1,0))</f>
        <v/>
      </c>
      <c r="G151" s="64" t="str">
        <f>IF('page 2'!$B$35="","",IF('page 2'!$B$35=A151,1,0))</f>
        <v/>
      </c>
      <c r="H151" s="64" t="str">
        <f>IF('page 2'!$B$36="","",IF('page 2'!$B$36=A151,1,0))</f>
        <v/>
      </c>
      <c r="I151" s="64" t="str">
        <f>IF('page 2'!$B$37="","",IF('page 2'!$B$37=A151,1,0))</f>
        <v/>
      </c>
      <c r="J151" s="64" t="str">
        <f>IF('page 2'!$B$38="","",IF('page 2'!$B$38=A151,1,0))</f>
        <v/>
      </c>
      <c r="K151" s="64" t="str">
        <f>IF('page 2'!$B$39="","",IF('page 2'!$B$39=A151,1,0))</f>
        <v/>
      </c>
      <c r="L151" s="64" t="str">
        <f>IF('page 2'!$B$40="","",IF('page 2'!$B$40=A151,1,0))</f>
        <v/>
      </c>
      <c r="M151" s="64" t="str">
        <f>IF('page 2'!$B$41="","",IF('page 2'!$B$41=A151,1,0))</f>
        <v/>
      </c>
      <c r="N151" s="64" t="str">
        <f>IF('page 2'!$B$42="","",IF('page 2'!$B$42=A151,1,0))</f>
        <v/>
      </c>
      <c r="O151" s="64" t="str">
        <f>IF('page 2'!$B$43="","",IF('page 2'!$B$43=A151,1,0))</f>
        <v/>
      </c>
      <c r="P151" s="64" t="str">
        <f>IF('page 2'!$B$44="","",IF('page 2'!$B$44=A151,1,0))</f>
        <v/>
      </c>
      <c r="Q151" s="64" t="str">
        <f>IF('page 2'!$B$45="","",IF('page 2'!$B$45=A151,1,0))</f>
        <v/>
      </c>
      <c r="R151" s="64" t="str">
        <f>IF('page 2'!$B$46="","",IF('page 2'!$B$46=A151,1,0))</f>
        <v/>
      </c>
      <c r="S151" s="64" t="str">
        <f>IF('page 2'!$B$47="","",IF('page 2'!$B$47=A151,1,0))</f>
        <v/>
      </c>
      <c r="T151" s="64" t="str">
        <f>IF('page 2'!$B$48="","",IF('page 2'!$B$48=B151,1,0))</f>
        <v/>
      </c>
      <c r="U151" s="64" t="str">
        <f>IF('page 2'!$B$49="","",IF('page 2'!$B$49=C151,1,0))</f>
        <v/>
      </c>
      <c r="V151" s="64" t="str">
        <f>IF('page 2'!$B$50="","",IF('page 2'!$B$50=D151,1,0))</f>
        <v/>
      </c>
      <c r="W151" s="64" t="str">
        <f>IF('page 2'!$B$51="","",IF('page 2'!$B$51=E151,1,0))</f>
        <v/>
      </c>
      <c r="X151" s="64" t="str">
        <f>IF('page 2'!$B$52="","",IF('page 2'!$B$52=F151,1,0))</f>
        <v/>
      </c>
      <c r="Y151" s="64" t="str">
        <f>IF('page 2'!$B$53="","",IF('page 2'!$B$53=G151,1,0))</f>
        <v/>
      </c>
      <c r="Z151" s="64" t="str">
        <f>IF('page 2'!$B$54="","",IF('page 2'!$B$54=H151,1,0))</f>
        <v/>
      </c>
      <c r="AA151" s="64" t="str">
        <f>IF('page 2'!$B$55="","",IF('page 2'!$B$55=I151,1,0))</f>
        <v/>
      </c>
      <c r="AB151" s="64" t="str">
        <f>IF('page 2'!$B$53="","",IF('page 2'!$B$53=A151,1,0))</f>
        <v/>
      </c>
      <c r="AC151" s="64" t="str">
        <f>IF('page 2'!$B$54="","",IF('page 2'!$B$54=A151,1,0))</f>
        <v/>
      </c>
      <c r="AD151" s="64">
        <f t="shared" si="24"/>
        <v>0</v>
      </c>
      <c r="AE151" s="114" t="e">
        <f>VLOOKUP(A151,'page 2'!$B$4:$I$55,6,FALSE)</f>
        <v>#N/A</v>
      </c>
      <c r="AF151" s="114" t="e">
        <f>VLOOKUP(A151,'page 2'!$B$4:$I$55,7,FALSE)</f>
        <v>#N/A</v>
      </c>
      <c r="AG151" s="114" t="e">
        <f>VLOOKUP(A151,'page 2'!$B$4:$I$55,8,FALSE)</f>
        <v>#N/A</v>
      </c>
      <c r="AH151" s="106" t="s">
        <v>2644</v>
      </c>
      <c r="AI151" s="124" t="str">
        <f>IF('page 2'!B40="","",'page 2'!B40)</f>
        <v/>
      </c>
      <c r="AJ151" s="124" t="str">
        <f>IF(AI151="","",'page 2'!C40)</f>
        <v/>
      </c>
      <c r="AK151" s="129" t="str">
        <f>IF(AI151="","",'page 2'!G40)</f>
        <v/>
      </c>
      <c r="AL151" s="129" t="str">
        <f>IF(AI151="","",'page 2'!H40)</f>
        <v/>
      </c>
      <c r="AM151" s="129" t="str">
        <f>IF(AI151="","",'page 2'!I40)</f>
        <v/>
      </c>
      <c r="AN151" s="114" t="str">
        <f t="shared" si="25"/>
        <v/>
      </c>
      <c r="AO151" s="62">
        <f t="shared" si="23"/>
        <v>0</v>
      </c>
    </row>
    <row r="152" spans="1:45">
      <c r="A152" s="64" t="s">
        <v>826</v>
      </c>
      <c r="B152" s="64" t="s">
        <v>132</v>
      </c>
      <c r="C152" s="64" t="str">
        <f>IF('page 2'!$B$31="","",IF('page 2'!$B$31=A152,1,0))</f>
        <v/>
      </c>
      <c r="D152" s="64" t="str">
        <f>IF('page 2'!$B$32="","",IF('page 2'!$B$32=A152,1,0))</f>
        <v/>
      </c>
      <c r="E152" s="64" t="str">
        <f>IF('page 2'!$B$33="","",IF('page 2'!$B$33=A152,1,0))</f>
        <v/>
      </c>
      <c r="F152" s="64" t="str">
        <f>IF('page 2'!$B$34="","",IF('page 2'!$B$34=A152,1,0))</f>
        <v/>
      </c>
      <c r="G152" s="64" t="str">
        <f>IF('page 2'!$B$35="","",IF('page 2'!$B$35=A152,1,0))</f>
        <v/>
      </c>
      <c r="H152" s="64" t="str">
        <f>IF('page 2'!$B$36="","",IF('page 2'!$B$36=A152,1,0))</f>
        <v/>
      </c>
      <c r="I152" s="64" t="str">
        <f>IF('page 2'!$B$37="","",IF('page 2'!$B$37=A152,1,0))</f>
        <v/>
      </c>
      <c r="J152" s="64" t="str">
        <f>IF('page 2'!$B$38="","",IF('page 2'!$B$38=A152,1,0))</f>
        <v/>
      </c>
      <c r="K152" s="64" t="str">
        <f>IF('page 2'!$B$39="","",IF('page 2'!$B$39=A152,1,0))</f>
        <v/>
      </c>
      <c r="L152" s="64" t="str">
        <f>IF('page 2'!$B$40="","",IF('page 2'!$B$40=A152,1,0))</f>
        <v/>
      </c>
      <c r="M152" s="64" t="str">
        <f>IF('page 2'!$B$41="","",IF('page 2'!$B$41=A152,1,0))</f>
        <v/>
      </c>
      <c r="N152" s="64" t="str">
        <f>IF('page 2'!$B$42="","",IF('page 2'!$B$42=A152,1,0))</f>
        <v/>
      </c>
      <c r="O152" s="64" t="str">
        <f>IF('page 2'!$B$43="","",IF('page 2'!$B$43=A152,1,0))</f>
        <v/>
      </c>
      <c r="P152" s="64" t="str">
        <f>IF('page 2'!$B$44="","",IF('page 2'!$B$44=A152,1,0))</f>
        <v/>
      </c>
      <c r="Q152" s="64" t="str">
        <f>IF('page 2'!$B$45="","",IF('page 2'!$B$45=A152,1,0))</f>
        <v/>
      </c>
      <c r="R152" s="64" t="str">
        <f>IF('page 2'!$B$46="","",IF('page 2'!$B$46=A152,1,0))</f>
        <v/>
      </c>
      <c r="S152" s="64" t="str">
        <f>IF('page 2'!$B$47="","",IF('page 2'!$B$47=A152,1,0))</f>
        <v/>
      </c>
      <c r="T152" s="64" t="str">
        <f>IF('page 2'!$B$48="","",IF('page 2'!$B$48=B152,1,0))</f>
        <v/>
      </c>
      <c r="U152" s="64" t="str">
        <f>IF('page 2'!$B$49="","",IF('page 2'!$B$49=C152,1,0))</f>
        <v/>
      </c>
      <c r="V152" s="64" t="str">
        <f>IF('page 2'!$B$50="","",IF('page 2'!$B$50=D152,1,0))</f>
        <v/>
      </c>
      <c r="W152" s="64" t="str">
        <f>IF('page 2'!$B$51="","",IF('page 2'!$B$51=E152,1,0))</f>
        <v/>
      </c>
      <c r="X152" s="64" t="str">
        <f>IF('page 2'!$B$52="","",IF('page 2'!$B$52=F152,1,0))</f>
        <v/>
      </c>
      <c r="Y152" s="64" t="str">
        <f>IF('page 2'!$B$53="","",IF('page 2'!$B$53=G152,1,0))</f>
        <v/>
      </c>
      <c r="Z152" s="64" t="str">
        <f>IF('page 2'!$B$54="","",IF('page 2'!$B$54=H152,1,0))</f>
        <v/>
      </c>
      <c r="AA152" s="64" t="str">
        <f>IF('page 2'!$B$55="","",IF('page 2'!$B$55=I152,1,0))</f>
        <v/>
      </c>
      <c r="AB152" s="64" t="str">
        <f>IF('page 2'!$B$53="","",IF('page 2'!$B$53=A152,1,0))</f>
        <v/>
      </c>
      <c r="AC152" s="64" t="str">
        <f>IF('page 2'!$B$54="","",IF('page 2'!$B$54=A152,1,0))</f>
        <v/>
      </c>
      <c r="AD152" s="64">
        <f t="shared" si="24"/>
        <v>0</v>
      </c>
      <c r="AE152" s="114" t="e">
        <f>VLOOKUP(A152,'page 2'!$B$4:$I$55,6,FALSE)</f>
        <v>#N/A</v>
      </c>
      <c r="AF152" s="114" t="e">
        <f>VLOOKUP(A152,'page 2'!$B$4:$I$55,7,FALSE)</f>
        <v>#N/A</v>
      </c>
      <c r="AG152" s="114" t="e">
        <f>VLOOKUP(A152,'page 2'!$B$4:$I$55,8,FALSE)</f>
        <v>#N/A</v>
      </c>
      <c r="AH152" s="106" t="s">
        <v>2645</v>
      </c>
      <c r="AI152" s="124" t="str">
        <f>IF('page 2'!B41="","",'page 2'!B41)</f>
        <v/>
      </c>
      <c r="AJ152" s="124" t="str">
        <f>IF(AI152="","",'page 2'!C41)</f>
        <v/>
      </c>
      <c r="AK152" s="129" t="str">
        <f>IF(AI152="","",'page 2'!G41)</f>
        <v/>
      </c>
      <c r="AL152" s="129" t="str">
        <f>IF(AI152="","",'page 2'!H41)</f>
        <v/>
      </c>
      <c r="AM152" s="129" t="str">
        <f>IF(AI152="","",'page 2'!I41)</f>
        <v/>
      </c>
      <c r="AN152" s="114" t="str">
        <f t="shared" si="25"/>
        <v/>
      </c>
      <c r="AO152" s="62">
        <f t="shared" si="23"/>
        <v>0</v>
      </c>
    </row>
    <row r="153" spans="1:45">
      <c r="A153" s="64" t="s">
        <v>827</v>
      </c>
      <c r="B153" s="64" t="s">
        <v>132</v>
      </c>
      <c r="C153" s="64" t="str">
        <f>IF('page 2'!$B$31="","",IF('page 2'!$B$31=A153,1,0))</f>
        <v/>
      </c>
      <c r="D153" s="64" t="str">
        <f>IF('page 2'!$B$32="","",IF('page 2'!$B$32=A153,1,0))</f>
        <v/>
      </c>
      <c r="E153" s="64" t="str">
        <f>IF('page 2'!$B$33="","",IF('page 2'!$B$33=A153,1,0))</f>
        <v/>
      </c>
      <c r="F153" s="64" t="str">
        <f>IF('page 2'!$B$34="","",IF('page 2'!$B$34=A153,1,0))</f>
        <v/>
      </c>
      <c r="G153" s="64" t="str">
        <f>IF('page 2'!$B$35="","",IF('page 2'!$B$35=A153,1,0))</f>
        <v/>
      </c>
      <c r="H153" s="64" t="str">
        <f>IF('page 2'!$B$36="","",IF('page 2'!$B$36=A153,1,0))</f>
        <v/>
      </c>
      <c r="I153" s="64" t="str">
        <f>IF('page 2'!$B$37="","",IF('page 2'!$B$37=A153,1,0))</f>
        <v/>
      </c>
      <c r="J153" s="64" t="str">
        <f>IF('page 2'!$B$38="","",IF('page 2'!$B$38=A153,1,0))</f>
        <v/>
      </c>
      <c r="K153" s="64" t="str">
        <f>IF('page 2'!$B$39="","",IF('page 2'!$B$39=A153,1,0))</f>
        <v/>
      </c>
      <c r="L153" s="64" t="str">
        <f>IF('page 2'!$B$40="","",IF('page 2'!$B$40=A153,1,0))</f>
        <v/>
      </c>
      <c r="M153" s="64" t="str">
        <f>IF('page 2'!$B$41="","",IF('page 2'!$B$41=A153,1,0))</f>
        <v/>
      </c>
      <c r="N153" s="64" t="str">
        <f>IF('page 2'!$B$42="","",IF('page 2'!$B$42=A153,1,0))</f>
        <v/>
      </c>
      <c r="O153" s="64" t="str">
        <f>IF('page 2'!$B$43="","",IF('page 2'!$B$43=A153,1,0))</f>
        <v/>
      </c>
      <c r="P153" s="64" t="str">
        <f>IF('page 2'!$B$44="","",IF('page 2'!$B$44=A153,1,0))</f>
        <v/>
      </c>
      <c r="Q153" s="64" t="str">
        <f>IF('page 2'!$B$45="","",IF('page 2'!$B$45=A153,1,0))</f>
        <v/>
      </c>
      <c r="R153" s="64" t="str">
        <f>IF('page 2'!$B$46="","",IF('page 2'!$B$46=A153,1,0))</f>
        <v/>
      </c>
      <c r="S153" s="64" t="str">
        <f>IF('page 2'!$B$47="","",IF('page 2'!$B$47=A153,1,0))</f>
        <v/>
      </c>
      <c r="T153" s="64" t="str">
        <f>IF('page 2'!$B$48="","",IF('page 2'!$B$48=B153,1,0))</f>
        <v/>
      </c>
      <c r="U153" s="64" t="str">
        <f>IF('page 2'!$B$49="","",IF('page 2'!$B$49=C153,1,0))</f>
        <v/>
      </c>
      <c r="V153" s="64" t="str">
        <f>IF('page 2'!$B$50="","",IF('page 2'!$B$50=D153,1,0))</f>
        <v/>
      </c>
      <c r="W153" s="64" t="str">
        <f>IF('page 2'!$B$51="","",IF('page 2'!$B$51=E153,1,0))</f>
        <v/>
      </c>
      <c r="X153" s="64" t="str">
        <f>IF('page 2'!$B$52="","",IF('page 2'!$B$52=F153,1,0))</f>
        <v/>
      </c>
      <c r="Y153" s="64" t="str">
        <f>IF('page 2'!$B$53="","",IF('page 2'!$B$53=G153,1,0))</f>
        <v/>
      </c>
      <c r="Z153" s="64" t="str">
        <f>IF('page 2'!$B$54="","",IF('page 2'!$B$54=H153,1,0))</f>
        <v/>
      </c>
      <c r="AA153" s="64" t="str">
        <f>IF('page 2'!$B$55="","",IF('page 2'!$B$55=I153,1,0))</f>
        <v/>
      </c>
      <c r="AB153" s="64" t="str">
        <f>IF('page 2'!$B$53="","",IF('page 2'!$B$53=A153,1,0))</f>
        <v/>
      </c>
      <c r="AC153" s="64" t="str">
        <f>IF('page 2'!$B$54="","",IF('page 2'!$B$54=A153,1,0))</f>
        <v/>
      </c>
      <c r="AD153" s="64">
        <f t="shared" si="24"/>
        <v>0</v>
      </c>
      <c r="AE153" s="114" t="e">
        <f>VLOOKUP(A153,'page 2'!$B$4:$I$55,6,FALSE)</f>
        <v>#N/A</v>
      </c>
      <c r="AF153" s="114" t="e">
        <f>VLOOKUP(A153,'page 2'!$B$4:$I$55,7,FALSE)</f>
        <v>#N/A</v>
      </c>
      <c r="AG153" s="114" t="e">
        <f>VLOOKUP(A153,'page 2'!$B$4:$I$55,8,FALSE)</f>
        <v>#N/A</v>
      </c>
      <c r="AH153" s="106" t="s">
        <v>2646</v>
      </c>
      <c r="AI153" s="124" t="str">
        <f>IF('page 2'!B42="","",'page 2'!B42)</f>
        <v/>
      </c>
      <c r="AJ153" s="124" t="str">
        <f>IF(AI153="","",'page 2'!C42)</f>
        <v/>
      </c>
      <c r="AK153" s="129" t="str">
        <f>IF(AI153="","",'page 2'!G42)</f>
        <v/>
      </c>
      <c r="AL153" s="129" t="str">
        <f>IF(AI153="","",'page 2'!H42)</f>
        <v/>
      </c>
      <c r="AM153" s="129" t="str">
        <f>IF(AI153="","",'page 2'!I42)</f>
        <v/>
      </c>
      <c r="AN153" s="114" t="str">
        <f t="shared" si="25"/>
        <v/>
      </c>
      <c r="AO153" s="62">
        <f t="shared" si="23"/>
        <v>0</v>
      </c>
    </row>
    <row r="154" spans="1:45">
      <c r="A154" s="64" t="s">
        <v>787</v>
      </c>
      <c r="B154" s="64" t="s">
        <v>135</v>
      </c>
      <c r="C154" s="64" t="str">
        <f>IF('page 2'!$B$31="","",IF('page 2'!$B$31=A154,1,0))</f>
        <v/>
      </c>
      <c r="D154" s="64" t="str">
        <f>IF('page 2'!$B$32="","",IF('page 2'!$B$32=A154,1,0))</f>
        <v/>
      </c>
      <c r="E154" s="64" t="str">
        <f>IF('page 2'!$B$33="","",IF('page 2'!$B$33=A154,1,0))</f>
        <v/>
      </c>
      <c r="F154" s="64" t="str">
        <f>IF('page 2'!$B$34="","",IF('page 2'!$B$34=A154,1,0))</f>
        <v/>
      </c>
      <c r="G154" s="64" t="str">
        <f>IF('page 2'!$B$35="","",IF('page 2'!$B$35=A154,1,0))</f>
        <v/>
      </c>
      <c r="H154" s="64" t="str">
        <f>IF('page 2'!$B$36="","",IF('page 2'!$B$36=A154,1,0))</f>
        <v/>
      </c>
      <c r="I154" s="64" t="str">
        <f>IF('page 2'!$B$37="","",IF('page 2'!$B$37=A154,1,0))</f>
        <v/>
      </c>
      <c r="J154" s="64" t="str">
        <f>IF('page 2'!$B$38="","",IF('page 2'!$B$38=A154,1,0))</f>
        <v/>
      </c>
      <c r="K154" s="64" t="str">
        <f>IF('page 2'!$B$39="","",IF('page 2'!$B$39=A154,1,0))</f>
        <v/>
      </c>
      <c r="L154" s="64" t="str">
        <f>IF('page 2'!$B$40="","",IF('page 2'!$B$40=A154,1,0))</f>
        <v/>
      </c>
      <c r="M154" s="64" t="str">
        <f>IF('page 2'!$B$41="","",IF('page 2'!$B$41=A154,1,0))</f>
        <v/>
      </c>
      <c r="N154" s="64" t="str">
        <f>IF('page 2'!$B$42="","",IF('page 2'!$B$42=A154,1,0))</f>
        <v/>
      </c>
      <c r="O154" s="64" t="str">
        <f>IF('page 2'!$B$43="","",IF('page 2'!$B$43=A154,1,0))</f>
        <v/>
      </c>
      <c r="P154" s="64" t="str">
        <f>IF('page 2'!$B$44="","",IF('page 2'!$B$44=A154,1,0))</f>
        <v/>
      </c>
      <c r="Q154" s="64" t="str">
        <f>IF('page 2'!$B$45="","",IF('page 2'!$B$45=A154,1,0))</f>
        <v/>
      </c>
      <c r="R154" s="64" t="str">
        <f>IF('page 2'!$B$46="","",IF('page 2'!$B$46=A154,1,0))</f>
        <v/>
      </c>
      <c r="S154" s="64" t="str">
        <f>IF('page 2'!$B$47="","",IF('page 2'!$B$47=A154,1,0))</f>
        <v/>
      </c>
      <c r="T154" s="64" t="str">
        <f>IF('page 2'!$B$48="","",IF('page 2'!$B$48=B154,1,0))</f>
        <v/>
      </c>
      <c r="U154" s="64" t="str">
        <f>IF('page 2'!$B$49="","",IF('page 2'!$B$49=C154,1,0))</f>
        <v/>
      </c>
      <c r="V154" s="64" t="str">
        <f>IF('page 2'!$B$50="","",IF('page 2'!$B$50=D154,1,0))</f>
        <v/>
      </c>
      <c r="W154" s="64" t="str">
        <f>IF('page 2'!$B$51="","",IF('page 2'!$B$51=E154,1,0))</f>
        <v/>
      </c>
      <c r="X154" s="64" t="str">
        <f>IF('page 2'!$B$52="","",IF('page 2'!$B$52=F154,1,0))</f>
        <v/>
      </c>
      <c r="Y154" s="64" t="str">
        <f>IF('page 2'!$B$53="","",IF('page 2'!$B$53=G154,1,0))</f>
        <v/>
      </c>
      <c r="Z154" s="64" t="str">
        <f>IF('page 2'!$B$54="","",IF('page 2'!$B$54=H154,1,0))</f>
        <v/>
      </c>
      <c r="AA154" s="64" t="str">
        <f>IF('page 2'!$B$55="","",IF('page 2'!$B$55=I154,1,0))</f>
        <v/>
      </c>
      <c r="AB154" s="64" t="str">
        <f>IF('page 2'!$B$53="","",IF('page 2'!$B$53=A154,1,0))</f>
        <v/>
      </c>
      <c r="AC154" s="64" t="str">
        <f>IF('page 2'!$B$54="","",IF('page 2'!$B$54=A154,1,0))</f>
        <v/>
      </c>
      <c r="AD154" s="64">
        <f t="shared" si="24"/>
        <v>0</v>
      </c>
      <c r="AE154" s="114" t="e">
        <f>VLOOKUP(A154,'page 2'!$B$4:$I$55,6,FALSE)</f>
        <v>#N/A</v>
      </c>
      <c r="AF154" s="114" t="e">
        <f>VLOOKUP(A154,'page 2'!$B$4:$I$55,7,FALSE)</f>
        <v>#N/A</v>
      </c>
      <c r="AG154" s="114" t="e">
        <f>VLOOKUP(A154,'page 2'!$B$4:$I$55,8,FALSE)</f>
        <v>#N/A</v>
      </c>
      <c r="AH154" s="106" t="s">
        <v>2647</v>
      </c>
      <c r="AI154" s="124" t="str">
        <f>IF('page 2'!B43="","",'page 2'!B43)</f>
        <v/>
      </c>
      <c r="AJ154" s="124" t="str">
        <f>IF(AI154="","",'page 2'!C43)</f>
        <v/>
      </c>
      <c r="AK154" s="129" t="str">
        <f>IF(AI154="","",'page 2'!G43)</f>
        <v/>
      </c>
      <c r="AL154" s="129" t="str">
        <f>IF(AI154="","",'page 2'!H43)</f>
        <v/>
      </c>
      <c r="AM154" s="129" t="str">
        <f>IF(AI154="","",'page 2'!I43)</f>
        <v/>
      </c>
      <c r="AN154" s="114" t="str">
        <f t="shared" si="25"/>
        <v/>
      </c>
      <c r="AO154" s="62">
        <f t="shared" si="23"/>
        <v>0</v>
      </c>
    </row>
    <row r="155" spans="1:45">
      <c r="A155" s="64" t="s">
        <v>828</v>
      </c>
      <c r="B155" s="64" t="s">
        <v>132</v>
      </c>
      <c r="C155" s="64" t="str">
        <f>IF('page 2'!$B$31="","",IF('page 2'!$B$31=A155,1,0))</f>
        <v/>
      </c>
      <c r="D155" s="64" t="str">
        <f>IF('page 2'!$B$32="","",IF('page 2'!$B$32=A155,1,0))</f>
        <v/>
      </c>
      <c r="E155" s="64" t="str">
        <f>IF('page 2'!$B$33="","",IF('page 2'!$B$33=A155,1,0))</f>
        <v/>
      </c>
      <c r="F155" s="64" t="str">
        <f>IF('page 2'!$B$34="","",IF('page 2'!$B$34=A155,1,0))</f>
        <v/>
      </c>
      <c r="G155" s="64" t="str">
        <f>IF('page 2'!$B$35="","",IF('page 2'!$B$35=A155,1,0))</f>
        <v/>
      </c>
      <c r="H155" s="64" t="str">
        <f>IF('page 2'!$B$36="","",IF('page 2'!$B$36=A155,1,0))</f>
        <v/>
      </c>
      <c r="I155" s="64" t="str">
        <f>IF('page 2'!$B$37="","",IF('page 2'!$B$37=A155,1,0))</f>
        <v/>
      </c>
      <c r="J155" s="64" t="str">
        <f>IF('page 2'!$B$38="","",IF('page 2'!$B$38=A155,1,0))</f>
        <v/>
      </c>
      <c r="K155" s="64" t="str">
        <f>IF('page 2'!$B$39="","",IF('page 2'!$B$39=A155,1,0))</f>
        <v/>
      </c>
      <c r="L155" s="64" t="str">
        <f>IF('page 2'!$B$40="","",IF('page 2'!$B$40=A155,1,0))</f>
        <v/>
      </c>
      <c r="M155" s="64" t="str">
        <f>IF('page 2'!$B$41="","",IF('page 2'!$B$41=A155,1,0))</f>
        <v/>
      </c>
      <c r="N155" s="64" t="str">
        <f>IF('page 2'!$B$42="","",IF('page 2'!$B$42=A155,1,0))</f>
        <v/>
      </c>
      <c r="O155" s="64" t="str">
        <f>IF('page 2'!$B$43="","",IF('page 2'!$B$43=A155,1,0))</f>
        <v/>
      </c>
      <c r="P155" s="64" t="str">
        <f>IF('page 2'!$B$44="","",IF('page 2'!$B$44=A155,1,0))</f>
        <v/>
      </c>
      <c r="Q155" s="64" t="str">
        <f>IF('page 2'!$B$45="","",IF('page 2'!$B$45=A155,1,0))</f>
        <v/>
      </c>
      <c r="R155" s="64" t="str">
        <f>IF('page 2'!$B$46="","",IF('page 2'!$B$46=A155,1,0))</f>
        <v/>
      </c>
      <c r="S155" s="64" t="str">
        <f>IF('page 2'!$B$47="","",IF('page 2'!$B$47=A155,1,0))</f>
        <v/>
      </c>
      <c r="T155" s="64" t="str">
        <f>IF('page 2'!$B$48="","",IF('page 2'!$B$48=B155,1,0))</f>
        <v/>
      </c>
      <c r="U155" s="64" t="str">
        <f>IF('page 2'!$B$49="","",IF('page 2'!$B$49=C155,1,0))</f>
        <v/>
      </c>
      <c r="V155" s="64" t="str">
        <f>IF('page 2'!$B$50="","",IF('page 2'!$B$50=D155,1,0))</f>
        <v/>
      </c>
      <c r="W155" s="64" t="str">
        <f>IF('page 2'!$B$51="","",IF('page 2'!$B$51=E155,1,0))</f>
        <v/>
      </c>
      <c r="X155" s="64" t="str">
        <f>IF('page 2'!$B$52="","",IF('page 2'!$B$52=F155,1,0))</f>
        <v/>
      </c>
      <c r="Y155" s="64" t="str">
        <f>IF('page 2'!$B$53="","",IF('page 2'!$B$53=G155,1,0))</f>
        <v/>
      </c>
      <c r="Z155" s="64" t="str">
        <f>IF('page 2'!$B$54="","",IF('page 2'!$B$54=H155,1,0))</f>
        <v/>
      </c>
      <c r="AA155" s="64" t="str">
        <f>IF('page 2'!$B$55="","",IF('page 2'!$B$55=I155,1,0))</f>
        <v/>
      </c>
      <c r="AB155" s="64" t="str">
        <f>IF('page 2'!$B$53="","",IF('page 2'!$B$53=A155,1,0))</f>
        <v/>
      </c>
      <c r="AC155" s="64" t="str">
        <f>IF('page 2'!$B$54="","",IF('page 2'!$B$54=A155,1,0))</f>
        <v/>
      </c>
      <c r="AD155" s="64">
        <f t="shared" si="24"/>
        <v>0</v>
      </c>
      <c r="AE155" s="114" t="e">
        <f>VLOOKUP(A155,'page 2'!$B$4:$I$55,6,FALSE)</f>
        <v>#N/A</v>
      </c>
      <c r="AF155" s="114" t="e">
        <f>VLOOKUP(A155,'page 2'!$B$4:$I$55,7,FALSE)</f>
        <v>#N/A</v>
      </c>
      <c r="AG155" s="114" t="e">
        <f>VLOOKUP(A155,'page 2'!$B$4:$I$55,8,FALSE)</f>
        <v>#N/A</v>
      </c>
      <c r="AH155" s="106" t="s">
        <v>2648</v>
      </c>
      <c r="AI155" s="124" t="str">
        <f>IF('page 2'!B44="","",'page 2'!B44)</f>
        <v/>
      </c>
      <c r="AJ155" s="124" t="str">
        <f>IF(AI155="","",'page 2'!C44)</f>
        <v/>
      </c>
      <c r="AK155" s="129" t="str">
        <f>IF(AI155="","",'page 2'!G44)</f>
        <v/>
      </c>
      <c r="AL155" s="129" t="str">
        <f>IF(AI155="","",'page 2'!H44)</f>
        <v/>
      </c>
      <c r="AM155" s="129" t="str">
        <f>IF(AI155="","",'page 2'!I44)</f>
        <v/>
      </c>
      <c r="AN155" s="114" t="str">
        <f t="shared" si="25"/>
        <v/>
      </c>
      <c r="AO155" s="62">
        <f t="shared" si="23"/>
        <v>0</v>
      </c>
    </row>
    <row r="156" spans="1:45">
      <c r="A156" s="64" t="s">
        <v>829</v>
      </c>
      <c r="B156" s="64" t="s">
        <v>134</v>
      </c>
      <c r="C156" s="64" t="str">
        <f>IF('page 2'!$B$31="","",IF('page 2'!$B$31=A156,1,0))</f>
        <v/>
      </c>
      <c r="D156" s="64" t="str">
        <f>IF('page 2'!$B$32="","",IF('page 2'!$B$32=A156,1,0))</f>
        <v/>
      </c>
      <c r="E156" s="64" t="str">
        <f>IF('page 2'!$B$33="","",IF('page 2'!$B$33=A156,1,0))</f>
        <v/>
      </c>
      <c r="F156" s="64" t="str">
        <f>IF('page 2'!$B$34="","",IF('page 2'!$B$34=A156,1,0))</f>
        <v/>
      </c>
      <c r="G156" s="64" t="str">
        <f>IF('page 2'!$B$35="","",IF('page 2'!$B$35=A156,1,0))</f>
        <v/>
      </c>
      <c r="H156" s="64" t="str">
        <f>IF('page 2'!$B$36="","",IF('page 2'!$B$36=A156,1,0))</f>
        <v/>
      </c>
      <c r="I156" s="64" t="str">
        <f>IF('page 2'!$B$37="","",IF('page 2'!$B$37=A156,1,0))</f>
        <v/>
      </c>
      <c r="J156" s="64" t="str">
        <f>IF('page 2'!$B$38="","",IF('page 2'!$B$38=A156,1,0))</f>
        <v/>
      </c>
      <c r="K156" s="64" t="str">
        <f>IF('page 2'!$B$39="","",IF('page 2'!$B$39=A156,1,0))</f>
        <v/>
      </c>
      <c r="L156" s="64" t="str">
        <f>IF('page 2'!$B$40="","",IF('page 2'!$B$40=A156,1,0))</f>
        <v/>
      </c>
      <c r="M156" s="64" t="str">
        <f>IF('page 2'!$B$41="","",IF('page 2'!$B$41=A156,1,0))</f>
        <v/>
      </c>
      <c r="N156" s="64" t="str">
        <f>IF('page 2'!$B$42="","",IF('page 2'!$B$42=A156,1,0))</f>
        <v/>
      </c>
      <c r="O156" s="64" t="str">
        <f>IF('page 2'!$B$43="","",IF('page 2'!$B$43=A156,1,0))</f>
        <v/>
      </c>
      <c r="P156" s="64" t="str">
        <f>IF('page 2'!$B$44="","",IF('page 2'!$B$44=A156,1,0))</f>
        <v/>
      </c>
      <c r="Q156" s="64" t="str">
        <f>IF('page 2'!$B$45="","",IF('page 2'!$B$45=A156,1,0))</f>
        <v/>
      </c>
      <c r="R156" s="64" t="str">
        <f>IF('page 2'!$B$46="","",IF('page 2'!$B$46=A156,1,0))</f>
        <v/>
      </c>
      <c r="S156" s="64" t="str">
        <f>IF('page 2'!$B$47="","",IF('page 2'!$B$47=A156,1,0))</f>
        <v/>
      </c>
      <c r="T156" s="64" t="str">
        <f>IF('page 2'!$B$48="","",IF('page 2'!$B$48=B156,1,0))</f>
        <v/>
      </c>
      <c r="U156" s="64" t="str">
        <f>IF('page 2'!$B$49="","",IF('page 2'!$B$49=C156,1,0))</f>
        <v/>
      </c>
      <c r="V156" s="64" t="str">
        <f>IF('page 2'!$B$50="","",IF('page 2'!$B$50=D156,1,0))</f>
        <v/>
      </c>
      <c r="W156" s="64" t="str">
        <f>IF('page 2'!$B$51="","",IF('page 2'!$B$51=E156,1,0))</f>
        <v/>
      </c>
      <c r="X156" s="64" t="str">
        <f>IF('page 2'!$B$52="","",IF('page 2'!$B$52=F156,1,0))</f>
        <v/>
      </c>
      <c r="Y156" s="64" t="str">
        <f>IF('page 2'!$B$53="","",IF('page 2'!$B$53=G156,1,0))</f>
        <v/>
      </c>
      <c r="Z156" s="64" t="str">
        <f>IF('page 2'!$B$54="","",IF('page 2'!$B$54=H156,1,0))</f>
        <v/>
      </c>
      <c r="AA156" s="64" t="str">
        <f>IF('page 2'!$B$55="","",IF('page 2'!$B$55=I156,1,0))</f>
        <v/>
      </c>
      <c r="AB156" s="64" t="str">
        <f>IF('page 2'!$B$53="","",IF('page 2'!$B$53=A156,1,0))</f>
        <v/>
      </c>
      <c r="AC156" s="64" t="str">
        <f>IF('page 2'!$B$54="","",IF('page 2'!$B$54=A156,1,0))</f>
        <v/>
      </c>
      <c r="AD156" s="64">
        <f t="shared" si="24"/>
        <v>0</v>
      </c>
      <c r="AE156" s="114" t="e">
        <f>VLOOKUP(A156,'page 2'!$B$4:$I$55,6,FALSE)</f>
        <v>#N/A</v>
      </c>
      <c r="AF156" s="114" t="e">
        <f>VLOOKUP(A156,'page 2'!$B$4:$I$55,7,FALSE)</f>
        <v>#N/A</v>
      </c>
      <c r="AG156" s="114" t="e">
        <f>VLOOKUP(A156,'page 2'!$B$4:$I$55,8,FALSE)</f>
        <v>#N/A</v>
      </c>
      <c r="AH156" s="106" t="s">
        <v>2649</v>
      </c>
      <c r="AI156" s="124" t="str">
        <f>IF('page 2'!B45="","",'page 2'!B45)</f>
        <v/>
      </c>
      <c r="AJ156" s="124" t="str">
        <f>IF(AI156="","",'page 2'!C45)</f>
        <v/>
      </c>
      <c r="AK156" s="129" t="str">
        <f>IF(AI156="","",'page 2'!G45)</f>
        <v/>
      </c>
      <c r="AL156" s="129" t="str">
        <f>IF(AI156="","",'page 2'!H45)</f>
        <v/>
      </c>
      <c r="AM156" s="129" t="str">
        <f>IF(AI156="","",'page 2'!I45)</f>
        <v/>
      </c>
      <c r="AN156" s="114" t="str">
        <f t="shared" si="25"/>
        <v/>
      </c>
      <c r="AO156" s="62">
        <f t="shared" si="23"/>
        <v>0</v>
      </c>
    </row>
    <row r="157" spans="1:45">
      <c r="A157" s="64" t="s">
        <v>830</v>
      </c>
      <c r="B157" s="64" t="s">
        <v>134</v>
      </c>
      <c r="C157" s="64" t="str">
        <f>IF('page 2'!$B$31="","",IF('page 2'!$B$31=A157,1,0))</f>
        <v/>
      </c>
      <c r="D157" s="64" t="str">
        <f>IF('page 2'!$B$32="","",IF('page 2'!$B$32=A157,1,0))</f>
        <v/>
      </c>
      <c r="E157" s="64" t="str">
        <f>IF('page 2'!$B$33="","",IF('page 2'!$B$33=A157,1,0))</f>
        <v/>
      </c>
      <c r="F157" s="64" t="str">
        <f>IF('page 2'!$B$34="","",IF('page 2'!$B$34=A157,1,0))</f>
        <v/>
      </c>
      <c r="G157" s="64" t="str">
        <f>IF('page 2'!$B$35="","",IF('page 2'!$B$35=A157,1,0))</f>
        <v/>
      </c>
      <c r="H157" s="64" t="str">
        <f>IF('page 2'!$B$36="","",IF('page 2'!$B$36=A157,1,0))</f>
        <v/>
      </c>
      <c r="I157" s="64" t="str">
        <f>IF('page 2'!$B$37="","",IF('page 2'!$B$37=A157,1,0))</f>
        <v/>
      </c>
      <c r="J157" s="64" t="str">
        <f>IF('page 2'!$B$38="","",IF('page 2'!$B$38=A157,1,0))</f>
        <v/>
      </c>
      <c r="K157" s="64" t="str">
        <f>IF('page 2'!$B$39="","",IF('page 2'!$B$39=A157,1,0))</f>
        <v/>
      </c>
      <c r="L157" s="64" t="str">
        <f>IF('page 2'!$B$40="","",IF('page 2'!$B$40=A157,1,0))</f>
        <v/>
      </c>
      <c r="M157" s="64" t="str">
        <f>IF('page 2'!$B$41="","",IF('page 2'!$B$41=A157,1,0))</f>
        <v/>
      </c>
      <c r="N157" s="64" t="str">
        <f>IF('page 2'!$B$42="","",IF('page 2'!$B$42=A157,1,0))</f>
        <v/>
      </c>
      <c r="O157" s="64" t="str">
        <f>IF('page 2'!$B$43="","",IF('page 2'!$B$43=A157,1,0))</f>
        <v/>
      </c>
      <c r="P157" s="64" t="str">
        <f>IF('page 2'!$B$44="","",IF('page 2'!$B$44=A157,1,0))</f>
        <v/>
      </c>
      <c r="Q157" s="64" t="str">
        <f>IF('page 2'!$B$45="","",IF('page 2'!$B$45=A157,1,0))</f>
        <v/>
      </c>
      <c r="R157" s="64" t="str">
        <f>IF('page 2'!$B$46="","",IF('page 2'!$B$46=A157,1,0))</f>
        <v/>
      </c>
      <c r="S157" s="64" t="str">
        <f>IF('page 2'!$B$47="","",IF('page 2'!$B$47=A157,1,0))</f>
        <v/>
      </c>
      <c r="T157" s="64" t="str">
        <f>IF('page 2'!$B$48="","",IF('page 2'!$B$48=B157,1,0))</f>
        <v/>
      </c>
      <c r="U157" s="64" t="str">
        <f>IF('page 2'!$B$49="","",IF('page 2'!$B$49=C157,1,0))</f>
        <v/>
      </c>
      <c r="V157" s="64" t="str">
        <f>IF('page 2'!$B$50="","",IF('page 2'!$B$50=D157,1,0))</f>
        <v/>
      </c>
      <c r="W157" s="64" t="str">
        <f>IF('page 2'!$B$51="","",IF('page 2'!$B$51=E157,1,0))</f>
        <v/>
      </c>
      <c r="X157" s="64" t="str">
        <f>IF('page 2'!$B$52="","",IF('page 2'!$B$52=F157,1,0))</f>
        <v/>
      </c>
      <c r="Y157" s="64" t="str">
        <f>IF('page 2'!$B$53="","",IF('page 2'!$B$53=G157,1,0))</f>
        <v/>
      </c>
      <c r="Z157" s="64" t="str">
        <f>IF('page 2'!$B$54="","",IF('page 2'!$B$54=H157,1,0))</f>
        <v/>
      </c>
      <c r="AA157" s="64" t="str">
        <f>IF('page 2'!$B$55="","",IF('page 2'!$B$55=I157,1,0))</f>
        <v/>
      </c>
      <c r="AB157" s="64" t="str">
        <f>IF('page 2'!$B$53="","",IF('page 2'!$B$53=A157,1,0))</f>
        <v/>
      </c>
      <c r="AC157" s="64" t="str">
        <f>IF('page 2'!$B$54="","",IF('page 2'!$B$54=A157,1,0))</f>
        <v/>
      </c>
      <c r="AD157" s="64">
        <f t="shared" si="24"/>
        <v>0</v>
      </c>
      <c r="AE157" s="114" t="e">
        <f>VLOOKUP(A157,'page 2'!$B$4:$I$55,6,FALSE)</f>
        <v>#N/A</v>
      </c>
      <c r="AF157" s="114" t="e">
        <f>VLOOKUP(A157,'page 2'!$B$4:$I$55,7,FALSE)</f>
        <v>#N/A</v>
      </c>
      <c r="AG157" s="114" t="e">
        <f>VLOOKUP(A157,'page 2'!$B$4:$I$55,8,FALSE)</f>
        <v>#N/A</v>
      </c>
      <c r="AH157" s="106" t="s">
        <v>2650</v>
      </c>
      <c r="AI157" s="124" t="str">
        <f>IF('page 2'!B46="","",'page 2'!B46)</f>
        <v/>
      </c>
      <c r="AJ157" s="124" t="str">
        <f>IF(AI157="","",'page 2'!C46)</f>
        <v/>
      </c>
      <c r="AK157" s="129" t="str">
        <f>IF(AI157="","",'page 2'!G46)</f>
        <v/>
      </c>
      <c r="AL157" s="129" t="str">
        <f>IF(AI157="","",'page 2'!H46)</f>
        <v/>
      </c>
      <c r="AM157" s="129" t="str">
        <f>IF(AI157="","",'page 2'!I46)</f>
        <v/>
      </c>
      <c r="AN157" s="114" t="str">
        <f t="shared" si="25"/>
        <v/>
      </c>
      <c r="AO157" s="62">
        <f t="shared" si="23"/>
        <v>0</v>
      </c>
    </row>
    <row r="158" spans="1:45">
      <c r="A158" s="64" t="s">
        <v>831</v>
      </c>
      <c r="B158" s="64" t="s">
        <v>133</v>
      </c>
      <c r="C158" s="64" t="str">
        <f>IF('page 2'!$B$31="","",IF('page 2'!$B$31=A158,1,0))</f>
        <v/>
      </c>
      <c r="D158" s="64" t="str">
        <f>IF('page 2'!$B$32="","",IF('page 2'!$B$32=A158,1,0))</f>
        <v/>
      </c>
      <c r="E158" s="64" t="str">
        <f>IF('page 2'!$B$33="","",IF('page 2'!$B$33=A158,1,0))</f>
        <v/>
      </c>
      <c r="F158" s="64" t="str">
        <f>IF('page 2'!$B$34="","",IF('page 2'!$B$34=A158,1,0))</f>
        <v/>
      </c>
      <c r="G158" s="64" t="str">
        <f>IF('page 2'!$B$35="","",IF('page 2'!$B$35=A158,1,0))</f>
        <v/>
      </c>
      <c r="H158" s="64" t="str">
        <f>IF('page 2'!$B$36="","",IF('page 2'!$B$36=A158,1,0))</f>
        <v/>
      </c>
      <c r="I158" s="64" t="str">
        <f>IF('page 2'!$B$37="","",IF('page 2'!$B$37=A158,1,0))</f>
        <v/>
      </c>
      <c r="J158" s="64" t="str">
        <f>IF('page 2'!$B$38="","",IF('page 2'!$B$38=A158,1,0))</f>
        <v/>
      </c>
      <c r="K158" s="64" t="str">
        <f>IF('page 2'!$B$39="","",IF('page 2'!$B$39=A158,1,0))</f>
        <v/>
      </c>
      <c r="L158" s="64" t="str">
        <f>IF('page 2'!$B$40="","",IF('page 2'!$B$40=A158,1,0))</f>
        <v/>
      </c>
      <c r="M158" s="64" t="str">
        <f>IF('page 2'!$B$41="","",IF('page 2'!$B$41=A158,1,0))</f>
        <v/>
      </c>
      <c r="N158" s="64" t="str">
        <f>IF('page 2'!$B$42="","",IF('page 2'!$B$42=A158,1,0))</f>
        <v/>
      </c>
      <c r="O158" s="64" t="str">
        <f>IF('page 2'!$B$43="","",IF('page 2'!$B$43=A158,1,0))</f>
        <v/>
      </c>
      <c r="P158" s="64" t="str">
        <f>IF('page 2'!$B$44="","",IF('page 2'!$B$44=A158,1,0))</f>
        <v/>
      </c>
      <c r="Q158" s="64" t="str">
        <f>IF('page 2'!$B$45="","",IF('page 2'!$B$45=A158,1,0))</f>
        <v/>
      </c>
      <c r="R158" s="64" t="str">
        <f>IF('page 2'!$B$46="","",IF('page 2'!$B$46=A158,1,0))</f>
        <v/>
      </c>
      <c r="S158" s="64" t="str">
        <f>IF('page 2'!$B$47="","",IF('page 2'!$B$47=A158,1,0))</f>
        <v/>
      </c>
      <c r="T158" s="64" t="str">
        <f>IF('page 2'!$B$48="","",IF('page 2'!$B$48=B158,1,0))</f>
        <v/>
      </c>
      <c r="U158" s="64" t="str">
        <f>IF('page 2'!$B$49="","",IF('page 2'!$B$49=C158,1,0))</f>
        <v/>
      </c>
      <c r="V158" s="64" t="str">
        <f>IF('page 2'!$B$50="","",IF('page 2'!$B$50=D158,1,0))</f>
        <v/>
      </c>
      <c r="W158" s="64" t="str">
        <f>IF('page 2'!$B$51="","",IF('page 2'!$B$51=E158,1,0))</f>
        <v/>
      </c>
      <c r="X158" s="64" t="str">
        <f>IF('page 2'!$B$52="","",IF('page 2'!$B$52=F158,1,0))</f>
        <v/>
      </c>
      <c r="Y158" s="64" t="str">
        <f>IF('page 2'!$B$53="","",IF('page 2'!$B$53=G158,1,0))</f>
        <v/>
      </c>
      <c r="Z158" s="64" t="str">
        <f>IF('page 2'!$B$54="","",IF('page 2'!$B$54=H158,1,0))</f>
        <v/>
      </c>
      <c r="AA158" s="64" t="str">
        <f>IF('page 2'!$B$55="","",IF('page 2'!$B$55=I158,1,0))</f>
        <v/>
      </c>
      <c r="AB158" s="64" t="str">
        <f>IF('page 2'!$B$53="","",IF('page 2'!$B$53=A158,1,0))</f>
        <v/>
      </c>
      <c r="AC158" s="64" t="str">
        <f>IF('page 2'!$B$54="","",IF('page 2'!$B$54=A158,1,0))</f>
        <v/>
      </c>
      <c r="AD158" s="64">
        <f t="shared" si="24"/>
        <v>0</v>
      </c>
      <c r="AE158" s="114" t="e">
        <f>VLOOKUP(A158,'page 2'!$B$4:$I$55,6,FALSE)</f>
        <v>#N/A</v>
      </c>
      <c r="AF158" s="114" t="e">
        <f>VLOOKUP(A158,'page 2'!$B$4:$I$55,7,FALSE)</f>
        <v>#N/A</v>
      </c>
      <c r="AG158" s="114" t="e">
        <f>VLOOKUP(A158,'page 2'!$B$4:$I$55,8,FALSE)</f>
        <v>#N/A</v>
      </c>
      <c r="AH158" s="106" t="s">
        <v>2651</v>
      </c>
      <c r="AI158" s="124" t="str">
        <f>IF('page 2'!B47="","",'page 2'!B47)</f>
        <v/>
      </c>
      <c r="AJ158" s="124" t="str">
        <f>IF(AI158="","",'page 2'!C47)</f>
        <v/>
      </c>
      <c r="AK158" s="129" t="str">
        <f>IF(AI158="","",'page 2'!G47)</f>
        <v/>
      </c>
      <c r="AL158" s="129" t="str">
        <f>IF(AI158="","",'page 2'!H47)</f>
        <v/>
      </c>
      <c r="AM158" s="129" t="str">
        <f>IF(AI158="","",'page 2'!I47)</f>
        <v/>
      </c>
      <c r="AN158" s="114" t="str">
        <f t="shared" si="25"/>
        <v/>
      </c>
      <c r="AO158" s="62">
        <f t="shared" si="23"/>
        <v>0</v>
      </c>
      <c r="AS158" s="576">
        <v>140</v>
      </c>
    </row>
    <row r="159" spans="1:45">
      <c r="A159" s="64" t="s">
        <v>789</v>
      </c>
      <c r="B159" s="64" t="s">
        <v>133</v>
      </c>
      <c r="C159" s="64" t="str">
        <f>IF('page 2'!$B$31="","",IF('page 2'!$B$31=A159,1,0))</f>
        <v/>
      </c>
      <c r="D159" s="64" t="str">
        <f>IF('page 2'!$B$32="","",IF('page 2'!$B$32=A159,1,0))</f>
        <v/>
      </c>
      <c r="E159" s="64" t="str">
        <f>IF('page 2'!$B$33="","",IF('page 2'!$B$33=A159,1,0))</f>
        <v/>
      </c>
      <c r="F159" s="64" t="str">
        <f>IF('page 2'!$B$34="","",IF('page 2'!$B$34=A159,1,0))</f>
        <v/>
      </c>
      <c r="G159" s="64" t="str">
        <f>IF('page 2'!$B$35="","",IF('page 2'!$B$35=A159,1,0))</f>
        <v/>
      </c>
      <c r="H159" s="64" t="str">
        <f>IF('page 2'!$B$36="","",IF('page 2'!$B$36=A159,1,0))</f>
        <v/>
      </c>
      <c r="I159" s="64" t="str">
        <f>IF('page 2'!$B$37="","",IF('page 2'!$B$37=A159,1,0))</f>
        <v/>
      </c>
      <c r="J159" s="64" t="str">
        <f>IF('page 2'!$B$38="","",IF('page 2'!$B$38=A159,1,0))</f>
        <v/>
      </c>
      <c r="K159" s="64" t="str">
        <f>IF('page 2'!$B$39="","",IF('page 2'!$B$39=A159,1,0))</f>
        <v/>
      </c>
      <c r="L159" s="64" t="str">
        <f>IF('page 2'!$B$40="","",IF('page 2'!$B$40=A159,1,0))</f>
        <v/>
      </c>
      <c r="M159" s="64" t="str">
        <f>IF('page 2'!$B$41="","",IF('page 2'!$B$41=A159,1,0))</f>
        <v/>
      </c>
      <c r="N159" s="64" t="str">
        <f>IF('page 2'!$B$42="","",IF('page 2'!$B$42=A159,1,0))</f>
        <v/>
      </c>
      <c r="O159" s="64" t="str">
        <f>IF('page 2'!$B$43="","",IF('page 2'!$B$43=A159,1,0))</f>
        <v/>
      </c>
      <c r="P159" s="64" t="str">
        <f>IF('page 2'!$B$44="","",IF('page 2'!$B$44=A159,1,0))</f>
        <v/>
      </c>
      <c r="Q159" s="64" t="str">
        <f>IF('page 2'!$B$45="","",IF('page 2'!$B$45=A159,1,0))</f>
        <v/>
      </c>
      <c r="R159" s="64" t="str">
        <f>IF('page 2'!$B$46="","",IF('page 2'!$B$46=A159,1,0))</f>
        <v/>
      </c>
      <c r="S159" s="64" t="str">
        <f>IF('page 2'!$B$47="","",IF('page 2'!$B$47=A159,1,0))</f>
        <v/>
      </c>
      <c r="T159" s="64" t="str">
        <f>IF('page 2'!$B$48="","",IF('page 2'!$B$48=B159,1,0))</f>
        <v/>
      </c>
      <c r="U159" s="64" t="str">
        <f>IF('page 2'!$B$49="","",IF('page 2'!$B$49=C159,1,0))</f>
        <v/>
      </c>
      <c r="V159" s="64" t="str">
        <f>IF('page 2'!$B$50="","",IF('page 2'!$B$50=D159,1,0))</f>
        <v/>
      </c>
      <c r="W159" s="64" t="str">
        <f>IF('page 2'!$B$51="","",IF('page 2'!$B$51=E159,1,0))</f>
        <v/>
      </c>
      <c r="X159" s="64" t="str">
        <f>IF('page 2'!$B$52="","",IF('page 2'!$B$52=F159,1,0))</f>
        <v/>
      </c>
      <c r="Y159" s="64" t="str">
        <f>IF('page 2'!$B$53="","",IF('page 2'!$B$53=G159,1,0))</f>
        <v/>
      </c>
      <c r="Z159" s="64" t="str">
        <f>IF('page 2'!$B$54="","",IF('page 2'!$B$54=H159,1,0))</f>
        <v/>
      </c>
      <c r="AA159" s="64" t="str">
        <f>IF('page 2'!$B$55="","",IF('page 2'!$B$55=I159,1,0))</f>
        <v/>
      </c>
      <c r="AB159" s="64" t="str">
        <f>IF('page 2'!$B$53="","",IF('page 2'!$B$53=A159,1,0))</f>
        <v/>
      </c>
      <c r="AC159" s="64" t="str">
        <f>IF('page 2'!$B$54="","",IF('page 2'!$B$54=A159,1,0))</f>
        <v/>
      </c>
      <c r="AD159" s="64">
        <f t="shared" si="24"/>
        <v>0</v>
      </c>
      <c r="AE159" s="114" t="e">
        <f>VLOOKUP(A159,'page 2'!$B$4:$I$55,6,FALSE)</f>
        <v>#N/A</v>
      </c>
      <c r="AF159" s="114" t="e">
        <f>VLOOKUP(A159,'page 2'!$B$4:$I$55,7,FALSE)</f>
        <v>#N/A</v>
      </c>
      <c r="AG159" s="114" t="e">
        <f>VLOOKUP(A159,'page 2'!$B$4:$I$55,8,FALSE)</f>
        <v>#N/A</v>
      </c>
      <c r="AH159" s="106" t="s">
        <v>2652</v>
      </c>
      <c r="AI159" s="124" t="str">
        <f>IF('page 2'!B48="","",'page 2'!B48)</f>
        <v/>
      </c>
      <c r="AJ159" s="124" t="str">
        <f>IF(AI159="","",'page 2'!C48)</f>
        <v/>
      </c>
      <c r="AK159" s="129" t="str">
        <f>IF(AI159="","",'page 2'!G48)</f>
        <v/>
      </c>
      <c r="AL159" s="129" t="str">
        <f>IF(AI159="","",'page 2'!H48)</f>
        <v/>
      </c>
      <c r="AM159" s="129" t="str">
        <f>IF(AI159="","",'page 2'!I48)</f>
        <v/>
      </c>
      <c r="AN159" s="114" t="str">
        <f t="shared" si="25"/>
        <v/>
      </c>
      <c r="AO159" s="62">
        <f t="shared" si="23"/>
        <v>0</v>
      </c>
      <c r="AS159" s="576">
        <v>120</v>
      </c>
    </row>
    <row r="160" spans="1:45">
      <c r="A160" s="64" t="s">
        <v>833</v>
      </c>
      <c r="B160" s="64" t="s">
        <v>133</v>
      </c>
      <c r="C160" s="64" t="str">
        <f>IF('page 2'!$B$31="","",IF('page 2'!$B$31=A160,1,0))</f>
        <v/>
      </c>
      <c r="D160" s="64" t="str">
        <f>IF('page 2'!$B$32="","",IF('page 2'!$B$32=A160,1,0))</f>
        <v/>
      </c>
      <c r="E160" s="64" t="str">
        <f>IF('page 2'!$B$33="","",IF('page 2'!$B$33=A160,1,0))</f>
        <v/>
      </c>
      <c r="F160" s="64" t="str">
        <f>IF('page 2'!$B$34="","",IF('page 2'!$B$34=A160,1,0))</f>
        <v/>
      </c>
      <c r="G160" s="64" t="str">
        <f>IF('page 2'!$B$35="","",IF('page 2'!$B$35=A160,1,0))</f>
        <v/>
      </c>
      <c r="H160" s="64" t="str">
        <f>IF('page 2'!$B$36="","",IF('page 2'!$B$36=A160,1,0))</f>
        <v/>
      </c>
      <c r="I160" s="64" t="str">
        <f>IF('page 2'!$B$37="","",IF('page 2'!$B$37=A160,1,0))</f>
        <v/>
      </c>
      <c r="J160" s="64" t="str">
        <f>IF('page 2'!$B$38="","",IF('page 2'!$B$38=A160,1,0))</f>
        <v/>
      </c>
      <c r="K160" s="64" t="str">
        <f>IF('page 2'!$B$39="","",IF('page 2'!$B$39=A160,1,0))</f>
        <v/>
      </c>
      <c r="L160" s="64" t="str">
        <f>IF('page 2'!$B$40="","",IF('page 2'!$B$40=A160,1,0))</f>
        <v/>
      </c>
      <c r="M160" s="64" t="str">
        <f>IF('page 2'!$B$41="","",IF('page 2'!$B$41=A160,1,0))</f>
        <v/>
      </c>
      <c r="N160" s="64" t="str">
        <f>IF('page 2'!$B$42="","",IF('page 2'!$B$42=A160,1,0))</f>
        <v/>
      </c>
      <c r="O160" s="64" t="str">
        <f>IF('page 2'!$B$43="","",IF('page 2'!$B$43=A160,1,0))</f>
        <v/>
      </c>
      <c r="P160" s="64" t="str">
        <f>IF('page 2'!$B$44="","",IF('page 2'!$B$44=A160,1,0))</f>
        <v/>
      </c>
      <c r="Q160" s="64" t="str">
        <f>IF('page 2'!$B$45="","",IF('page 2'!$B$45=A160,1,0))</f>
        <v/>
      </c>
      <c r="R160" s="64" t="str">
        <f>IF('page 2'!$B$46="","",IF('page 2'!$B$46=A160,1,0))</f>
        <v/>
      </c>
      <c r="S160" s="64" t="str">
        <f>IF('page 2'!$B$47="","",IF('page 2'!$B$47=A160,1,0))</f>
        <v/>
      </c>
      <c r="T160" s="64" t="str">
        <f>IF('page 2'!$B$48="","",IF('page 2'!$B$48=B160,1,0))</f>
        <v/>
      </c>
      <c r="U160" s="64" t="str">
        <f>IF('page 2'!$B$49="","",IF('page 2'!$B$49=C160,1,0))</f>
        <v/>
      </c>
      <c r="V160" s="64" t="str">
        <f>IF('page 2'!$B$50="","",IF('page 2'!$B$50=D160,1,0))</f>
        <v/>
      </c>
      <c r="W160" s="64" t="str">
        <f>IF('page 2'!$B$51="","",IF('page 2'!$B$51=E160,1,0))</f>
        <v/>
      </c>
      <c r="X160" s="64" t="str">
        <f>IF('page 2'!$B$52="","",IF('page 2'!$B$52=F160,1,0))</f>
        <v/>
      </c>
      <c r="Y160" s="64" t="str">
        <f>IF('page 2'!$B$53="","",IF('page 2'!$B$53=G160,1,0))</f>
        <v/>
      </c>
      <c r="Z160" s="64" t="str">
        <f>IF('page 2'!$B$54="","",IF('page 2'!$B$54=H160,1,0))</f>
        <v/>
      </c>
      <c r="AA160" s="64" t="str">
        <f>IF('page 2'!$B$55="","",IF('page 2'!$B$55=I160,1,0))</f>
        <v/>
      </c>
      <c r="AB160" s="64" t="str">
        <f>IF('page 2'!$B$53="","",IF('page 2'!$B$53=A160,1,0))</f>
        <v/>
      </c>
      <c r="AC160" s="64" t="str">
        <f>IF('page 2'!$B$54="","",IF('page 2'!$B$54=A160,1,0))</f>
        <v/>
      </c>
      <c r="AD160" s="64">
        <f t="shared" si="24"/>
        <v>0</v>
      </c>
      <c r="AE160" s="114" t="e">
        <f>VLOOKUP(A160,'page 2'!$B$4:$I$55,6,FALSE)</f>
        <v>#N/A</v>
      </c>
      <c r="AF160" s="114" t="e">
        <f>VLOOKUP(A160,'page 2'!$B$4:$I$55,7,FALSE)</f>
        <v>#N/A</v>
      </c>
      <c r="AG160" s="114" t="e">
        <f>VLOOKUP(A160,'page 2'!$B$4:$I$55,8,FALSE)</f>
        <v>#N/A</v>
      </c>
      <c r="AH160" s="106" t="s">
        <v>2653</v>
      </c>
      <c r="AI160" s="124" t="str">
        <f>IF('page 2'!B49="","",'page 2'!B49)</f>
        <v/>
      </c>
      <c r="AJ160" s="124" t="str">
        <f>IF(AI160="","",'page 2'!C49)</f>
        <v/>
      </c>
      <c r="AK160" s="129" t="str">
        <f>IF(AI160="","",'page 2'!G49)</f>
        <v/>
      </c>
      <c r="AL160" s="129" t="str">
        <f>IF(AI160="","",'page 2'!H49)</f>
        <v/>
      </c>
      <c r="AM160" s="129" t="str">
        <f>IF(AI160="","",'page 2'!I49)</f>
        <v/>
      </c>
      <c r="AN160" s="114" t="str">
        <f t="shared" si="25"/>
        <v/>
      </c>
      <c r="AO160" s="62">
        <f t="shared" si="23"/>
        <v>0</v>
      </c>
      <c r="AS160" s="576">
        <v>128</v>
      </c>
    </row>
    <row r="161" spans="1:97">
      <c r="A161" s="64" t="s">
        <v>834</v>
      </c>
      <c r="B161" s="64" t="s">
        <v>133</v>
      </c>
      <c r="C161" s="64" t="str">
        <f>IF('page 2'!$B$31="","",IF('page 2'!$B$31=A161,1,0))</f>
        <v/>
      </c>
      <c r="D161" s="64" t="str">
        <f>IF('page 2'!$B$32="","",IF('page 2'!$B$32=A161,1,0))</f>
        <v/>
      </c>
      <c r="E161" s="64" t="str">
        <f>IF('page 2'!$B$33="","",IF('page 2'!$B$33=A161,1,0))</f>
        <v/>
      </c>
      <c r="F161" s="64" t="str">
        <f>IF('page 2'!$B$34="","",IF('page 2'!$B$34=A161,1,0))</f>
        <v/>
      </c>
      <c r="G161" s="64" t="str">
        <f>IF('page 2'!$B$35="","",IF('page 2'!$B$35=A161,1,0))</f>
        <v/>
      </c>
      <c r="H161" s="64" t="str">
        <f>IF('page 2'!$B$36="","",IF('page 2'!$B$36=A161,1,0))</f>
        <v/>
      </c>
      <c r="I161" s="64" t="str">
        <f>IF('page 2'!$B$37="","",IF('page 2'!$B$37=A161,1,0))</f>
        <v/>
      </c>
      <c r="J161" s="64" t="str">
        <f>IF('page 2'!$B$38="","",IF('page 2'!$B$38=A161,1,0))</f>
        <v/>
      </c>
      <c r="K161" s="64" t="str">
        <f>IF('page 2'!$B$39="","",IF('page 2'!$B$39=A161,1,0))</f>
        <v/>
      </c>
      <c r="L161" s="64" t="str">
        <f>IF('page 2'!$B$40="","",IF('page 2'!$B$40=A161,1,0))</f>
        <v/>
      </c>
      <c r="M161" s="64" t="str">
        <f>IF('page 2'!$B$41="","",IF('page 2'!$B$41=A161,1,0))</f>
        <v/>
      </c>
      <c r="N161" s="64" t="str">
        <f>IF('page 2'!$B$42="","",IF('page 2'!$B$42=A161,1,0))</f>
        <v/>
      </c>
      <c r="O161" s="64" t="str">
        <f>IF('page 2'!$B$43="","",IF('page 2'!$B$43=A161,1,0))</f>
        <v/>
      </c>
      <c r="P161" s="64" t="str">
        <f>IF('page 2'!$B$44="","",IF('page 2'!$B$44=A161,1,0))</f>
        <v/>
      </c>
      <c r="Q161" s="64" t="str">
        <f>IF('page 2'!$B$45="","",IF('page 2'!$B$45=A161,1,0))</f>
        <v/>
      </c>
      <c r="R161" s="64" t="str">
        <f>IF('page 2'!$B$46="","",IF('page 2'!$B$46=A161,1,0))</f>
        <v/>
      </c>
      <c r="S161" s="64" t="str">
        <f>IF('page 2'!$B$47="","",IF('page 2'!$B$47=A161,1,0))</f>
        <v/>
      </c>
      <c r="T161" s="64" t="str">
        <f>IF('page 2'!$B$48="","",IF('page 2'!$B$48=B161,1,0))</f>
        <v/>
      </c>
      <c r="U161" s="64" t="str">
        <f>IF('page 2'!$B$49="","",IF('page 2'!$B$49=C161,1,0))</f>
        <v/>
      </c>
      <c r="V161" s="64" t="str">
        <f>IF('page 2'!$B$50="","",IF('page 2'!$B$50=D161,1,0))</f>
        <v/>
      </c>
      <c r="W161" s="64" t="str">
        <f>IF('page 2'!$B$51="","",IF('page 2'!$B$51=E161,1,0))</f>
        <v/>
      </c>
      <c r="X161" s="64" t="str">
        <f>IF('page 2'!$B$52="","",IF('page 2'!$B$52=F161,1,0))</f>
        <v/>
      </c>
      <c r="Y161" s="64" t="str">
        <f>IF('page 2'!$B$53="","",IF('page 2'!$B$53=G161,1,0))</f>
        <v/>
      </c>
      <c r="Z161" s="64" t="str">
        <f>IF('page 2'!$B$54="","",IF('page 2'!$B$54=H161,1,0))</f>
        <v/>
      </c>
      <c r="AA161" s="64" t="str">
        <f>IF('page 2'!$B$55="","",IF('page 2'!$B$55=I161,1,0))</f>
        <v/>
      </c>
      <c r="AB161" s="64" t="str">
        <f>IF('page 2'!$B$53="","",IF('page 2'!$B$53=A161,1,0))</f>
        <v/>
      </c>
      <c r="AC161" s="64" t="str">
        <f>IF('page 2'!$B$54="","",IF('page 2'!$B$54=A161,1,0))</f>
        <v/>
      </c>
      <c r="AD161" s="64">
        <f t="shared" si="24"/>
        <v>0</v>
      </c>
      <c r="AE161" s="114" t="e">
        <f>VLOOKUP(A161,'page 2'!$B$4:$I$55,6,FALSE)</f>
        <v>#N/A</v>
      </c>
      <c r="AF161" s="114" t="e">
        <f>VLOOKUP(A161,'page 2'!$B$4:$I$55,7,FALSE)</f>
        <v>#N/A</v>
      </c>
      <c r="AG161" s="114" t="e">
        <f>VLOOKUP(A161,'page 2'!$B$4:$I$55,8,FALSE)</f>
        <v>#N/A</v>
      </c>
      <c r="AH161" s="106" t="s">
        <v>2654</v>
      </c>
      <c r="AI161" s="124" t="str">
        <f>IF('page 2'!B50="","",'page 2'!B50)</f>
        <v/>
      </c>
      <c r="AJ161" s="124" t="str">
        <f>IF(AI161="","",'page 2'!C50)</f>
        <v/>
      </c>
      <c r="AK161" s="129" t="str">
        <f>IF(AI161="","",'page 2'!G50)</f>
        <v/>
      </c>
      <c r="AL161" s="129" t="str">
        <f>IF(AI161="","",'page 2'!H50)</f>
        <v/>
      </c>
      <c r="AM161" s="129" t="str">
        <f>IF(AI161="","",'page 2'!I50)</f>
        <v/>
      </c>
      <c r="AN161" s="114" t="str">
        <f t="shared" si="25"/>
        <v/>
      </c>
      <c r="AO161" s="62">
        <f t="shared" si="23"/>
        <v>0</v>
      </c>
      <c r="AS161" s="576">
        <v>132</v>
      </c>
    </row>
    <row r="162" spans="1:97">
      <c r="A162" s="64" t="s">
        <v>790</v>
      </c>
      <c r="C162" s="64" t="str">
        <f>IF('page 2'!$B$31="","",IF('page 2'!$B$31=A162,1,0))</f>
        <v/>
      </c>
      <c r="D162" s="64" t="str">
        <f>IF('page 2'!$B$32="","",IF('page 2'!$B$32=A162,1,0))</f>
        <v/>
      </c>
      <c r="E162" s="64" t="str">
        <f>IF('page 2'!$B$33="","",IF('page 2'!$B$33=A162,1,0))</f>
        <v/>
      </c>
      <c r="F162" s="64" t="str">
        <f>IF('page 2'!$B$34="","",IF('page 2'!$B$34=A162,1,0))</f>
        <v/>
      </c>
      <c r="G162" s="64" t="str">
        <f>IF('page 2'!$B$35="","",IF('page 2'!$B$35=A162,1,0))</f>
        <v/>
      </c>
      <c r="H162" s="64" t="str">
        <f>IF('page 2'!$B$36="","",IF('page 2'!$B$36=A162,1,0))</f>
        <v/>
      </c>
      <c r="I162" s="64" t="str">
        <f>IF('page 2'!$B$37="","",IF('page 2'!$B$37=A162,1,0))</f>
        <v/>
      </c>
      <c r="J162" s="64" t="str">
        <f>IF('page 2'!$B$38="","",IF('page 2'!$B$38=A162,1,0))</f>
        <v/>
      </c>
      <c r="K162" s="64" t="str">
        <f>IF('page 2'!$B$39="","",IF('page 2'!$B$39=A162,1,0))</f>
        <v/>
      </c>
      <c r="L162" s="64" t="str">
        <f>IF('page 2'!$B$40="","",IF('page 2'!$B$40=A162,1,0))</f>
        <v/>
      </c>
      <c r="M162" s="64" t="str">
        <f>IF('page 2'!$B$41="","",IF('page 2'!$B$41=A162,1,0))</f>
        <v/>
      </c>
      <c r="N162" s="64" t="str">
        <f>IF('page 2'!$B$42="","",IF('page 2'!$B$42=A162,1,0))</f>
        <v/>
      </c>
      <c r="O162" s="64" t="str">
        <f>IF('page 2'!$B$43="","",IF('page 2'!$B$43=A162,1,0))</f>
        <v/>
      </c>
      <c r="P162" s="64" t="str">
        <f>IF('page 2'!$B$44="","",IF('page 2'!$B$44=A162,1,0))</f>
        <v/>
      </c>
      <c r="Q162" s="64" t="str">
        <f>IF('page 2'!$B$45="","",IF('page 2'!$B$45=A162,1,0))</f>
        <v/>
      </c>
      <c r="R162" s="64" t="str">
        <f>IF('page 2'!$B$46="","",IF('page 2'!$B$46=A162,1,0))</f>
        <v/>
      </c>
      <c r="S162" s="64" t="str">
        <f>IF('page 2'!$B$47="","",IF('page 2'!$B$47=A162,1,0))</f>
        <v/>
      </c>
      <c r="T162" s="64" t="str">
        <f>IF('page 2'!$B$48="","",IF('page 2'!$B$48=B162,1,0))</f>
        <v/>
      </c>
      <c r="U162" s="64" t="str">
        <f>IF('page 2'!$B$49="","",IF('page 2'!$B$49=C162,1,0))</f>
        <v/>
      </c>
      <c r="V162" s="64" t="str">
        <f>IF('page 2'!$B$50="","",IF('page 2'!$B$50=D162,1,0))</f>
        <v/>
      </c>
      <c r="W162" s="64" t="str">
        <f>IF('page 2'!$B$51="","",IF('page 2'!$B$51=E162,1,0))</f>
        <v/>
      </c>
      <c r="X162" s="64" t="str">
        <f>IF('page 2'!$B$52="","",IF('page 2'!$B$52=F162,1,0))</f>
        <v/>
      </c>
      <c r="Y162" s="64" t="str">
        <f>IF('page 2'!$B$53="","",IF('page 2'!$B$53=G162,1,0))</f>
        <v/>
      </c>
      <c r="Z162" s="64" t="str">
        <f>IF('page 2'!$B$54="","",IF('page 2'!$B$54=H162,1,0))</f>
        <v/>
      </c>
      <c r="AA162" s="64" t="str">
        <f>IF('page 2'!$B$55="","",IF('page 2'!$B$55=I162,1,0))</f>
        <v/>
      </c>
      <c r="AB162" s="64" t="str">
        <f>IF('page 2'!$B$53="","",IF('page 2'!$B$53=A162,1,0))</f>
        <v/>
      </c>
      <c r="AC162" s="64" t="str">
        <f>IF('page 2'!$B$54="","",IF('page 2'!$B$54=A162,1,0))</f>
        <v/>
      </c>
      <c r="AD162" s="64">
        <f t="shared" si="24"/>
        <v>0</v>
      </c>
      <c r="AE162" s="114" t="e">
        <f>VLOOKUP(A162,'page 2'!$B$4:$I$55,6,FALSE)</f>
        <v>#N/A</v>
      </c>
      <c r="AF162" s="114" t="e">
        <f>VLOOKUP(A162,'page 2'!$B$4:$I$55,7,FALSE)</f>
        <v>#N/A</v>
      </c>
      <c r="AG162" s="114" t="e">
        <f>VLOOKUP(A162,'page 2'!$B$4:$I$55,8,FALSE)</f>
        <v>#N/A</v>
      </c>
      <c r="AH162" s="85" t="s">
        <v>15638</v>
      </c>
      <c r="AI162" s="124" t="str">
        <f>IF('page 2'!B51="","",'page 2'!B51)</f>
        <v/>
      </c>
      <c r="AJ162" s="124" t="str">
        <f>IF(AI162="","",'page 2'!C51)</f>
        <v/>
      </c>
      <c r="AK162" s="129" t="str">
        <f>IF(AI162="","",'page 2'!G51)</f>
        <v/>
      </c>
      <c r="AL162" s="129" t="str">
        <f>IF(AI162="","",'page 2'!H51)</f>
        <v/>
      </c>
      <c r="AM162" s="129" t="str">
        <f>IF(AI162="","",'page 2'!I51)</f>
        <v/>
      </c>
      <c r="AN162" s="114" t="str">
        <f t="shared" si="25"/>
        <v/>
      </c>
      <c r="AO162" s="62">
        <f t="shared" si="23"/>
        <v>0</v>
      </c>
      <c r="AS162" s="576">
        <v>136</v>
      </c>
    </row>
    <row r="163" spans="1:97">
      <c r="A163" s="64" t="s">
        <v>835</v>
      </c>
      <c r="B163" s="64" t="s">
        <v>132</v>
      </c>
      <c r="C163" s="64" t="str">
        <f>IF('page 2'!$B$31="","",IF('page 2'!$B$31=A163,1,0))</f>
        <v/>
      </c>
      <c r="D163" s="64" t="str">
        <f>IF('page 2'!$B$32="","",IF('page 2'!$B$32=A163,1,0))</f>
        <v/>
      </c>
      <c r="E163" s="64" t="str">
        <f>IF('page 2'!$B$33="","",IF('page 2'!$B$33=A163,1,0))</f>
        <v/>
      </c>
      <c r="F163" s="64" t="str">
        <f>IF('page 2'!$B$34="","",IF('page 2'!$B$34=A163,1,0))</f>
        <v/>
      </c>
      <c r="G163" s="64" t="str">
        <f>IF('page 2'!$B$35="","",IF('page 2'!$B$35=A163,1,0))</f>
        <v/>
      </c>
      <c r="H163" s="64" t="str">
        <f>IF('page 2'!$B$36="","",IF('page 2'!$B$36=A163,1,0))</f>
        <v/>
      </c>
      <c r="I163" s="64" t="str">
        <f>IF('page 2'!$B$37="","",IF('page 2'!$B$37=A163,1,0))</f>
        <v/>
      </c>
      <c r="J163" s="64" t="str">
        <f>IF('page 2'!$B$38="","",IF('page 2'!$B$38=A163,1,0))</f>
        <v/>
      </c>
      <c r="K163" s="64" t="str">
        <f>IF('page 2'!$B$39="","",IF('page 2'!$B$39=A163,1,0))</f>
        <v/>
      </c>
      <c r="L163" s="64" t="str">
        <f>IF('page 2'!$B$40="","",IF('page 2'!$B$40=A163,1,0))</f>
        <v/>
      </c>
      <c r="M163" s="64" t="str">
        <f>IF('page 2'!$B$41="","",IF('page 2'!$B$41=A163,1,0))</f>
        <v/>
      </c>
      <c r="N163" s="64" t="str">
        <f>IF('page 2'!$B$42="","",IF('page 2'!$B$42=A163,1,0))</f>
        <v/>
      </c>
      <c r="O163" s="64" t="str">
        <f>IF('page 2'!$B$43="","",IF('page 2'!$B$43=A163,1,0))</f>
        <v/>
      </c>
      <c r="P163" s="64" t="str">
        <f>IF('page 2'!$B$44="","",IF('page 2'!$B$44=A163,1,0))</f>
        <v/>
      </c>
      <c r="Q163" s="64" t="str">
        <f>IF('page 2'!$B$45="","",IF('page 2'!$B$45=A163,1,0))</f>
        <v/>
      </c>
      <c r="R163" s="64" t="str">
        <f>IF('page 2'!$B$46="","",IF('page 2'!$B$46=A163,1,0))</f>
        <v/>
      </c>
      <c r="S163" s="64" t="str">
        <f>IF('page 2'!$B$47="","",IF('page 2'!$B$47=A163,1,0))</f>
        <v/>
      </c>
      <c r="T163" s="64" t="str">
        <f>IF('page 2'!$B$48="","",IF('page 2'!$B$48=B163,1,0))</f>
        <v/>
      </c>
      <c r="U163" s="64" t="str">
        <f>IF('page 2'!$B$49="","",IF('page 2'!$B$49=C163,1,0))</f>
        <v/>
      </c>
      <c r="V163" s="64" t="str">
        <f>IF('page 2'!$B$50="","",IF('page 2'!$B$50=D163,1,0))</f>
        <v/>
      </c>
      <c r="W163" s="64" t="str">
        <f>IF('page 2'!$B$51="","",IF('page 2'!$B$51=E163,1,0))</f>
        <v/>
      </c>
      <c r="X163" s="64" t="str">
        <f>IF('page 2'!$B$52="","",IF('page 2'!$B$52=F163,1,0))</f>
        <v/>
      </c>
      <c r="Y163" s="64" t="str">
        <f>IF('page 2'!$B$53="","",IF('page 2'!$B$53=G163,1,0))</f>
        <v/>
      </c>
      <c r="Z163" s="64" t="str">
        <f>IF('page 2'!$B$54="","",IF('page 2'!$B$54=H163,1,0))</f>
        <v/>
      </c>
      <c r="AA163" s="64" t="str">
        <f>IF('page 2'!$B$55="","",IF('page 2'!$B$55=I163,1,0))</f>
        <v/>
      </c>
      <c r="AB163" s="64" t="str">
        <f>IF('page 2'!$B$53="","",IF('page 2'!$B$53=A163,1,0))</f>
        <v/>
      </c>
      <c r="AC163" s="64" t="str">
        <f>IF('page 2'!$B$54="","",IF('page 2'!$B$54=A163,1,0))</f>
        <v/>
      </c>
      <c r="AD163" s="64">
        <f t="shared" si="24"/>
        <v>0</v>
      </c>
      <c r="AE163" s="114" t="e">
        <f>VLOOKUP(A163,'page 2'!$B$4:$I$55,6,FALSE)</f>
        <v>#N/A</v>
      </c>
      <c r="AF163" s="114" t="e">
        <f>VLOOKUP(A163,'page 2'!$B$4:$I$55,7,FALSE)</f>
        <v>#N/A</v>
      </c>
      <c r="AG163" s="114" t="e">
        <f>VLOOKUP(A163,'page 2'!$B$4:$I$55,8,FALSE)</f>
        <v>#N/A</v>
      </c>
      <c r="AH163" s="85" t="s">
        <v>15639</v>
      </c>
      <c r="AI163" s="124" t="str">
        <f>IF('page 2'!B52="","",'page 2'!B52)</f>
        <v/>
      </c>
      <c r="AJ163" s="124" t="str">
        <f>IF(AI163="","",'page 2'!C52)</f>
        <v/>
      </c>
      <c r="AK163" s="129" t="str">
        <f>IF(AI163="","",'page 2'!G52)</f>
        <v/>
      </c>
      <c r="AL163" s="129" t="str">
        <f>IF(AI163="","",'page 2'!H52)</f>
        <v/>
      </c>
      <c r="AM163" s="129" t="str">
        <f>IF(AI163="","",'page 2'!I52)</f>
        <v/>
      </c>
      <c r="AN163" s="114" t="str">
        <f t="shared" si="25"/>
        <v/>
      </c>
      <c r="AO163" s="62">
        <f t="shared" si="23"/>
        <v>0</v>
      </c>
      <c r="AS163" s="576">
        <v>137</v>
      </c>
    </row>
    <row r="164" spans="1:97">
      <c r="A164" s="64" t="s">
        <v>836</v>
      </c>
      <c r="B164" s="64" t="s">
        <v>133</v>
      </c>
      <c r="C164" s="64" t="str">
        <f>IF('page 2'!$B$31="","",IF('page 2'!$B$31=A164,1,0))</f>
        <v/>
      </c>
      <c r="D164" s="64" t="str">
        <f>IF('page 2'!$B$32="","",IF('page 2'!$B$32=A164,1,0))</f>
        <v/>
      </c>
      <c r="E164" s="64" t="str">
        <f>IF('page 2'!$B$33="","",IF('page 2'!$B$33=A164,1,0))</f>
        <v/>
      </c>
      <c r="F164" s="64" t="str">
        <f>IF('page 2'!$B$34="","",IF('page 2'!$B$34=A164,1,0))</f>
        <v/>
      </c>
      <c r="G164" s="64" t="str">
        <f>IF('page 2'!$B$35="","",IF('page 2'!$B$35=A164,1,0))</f>
        <v/>
      </c>
      <c r="H164" s="64" t="str">
        <f>IF('page 2'!$B$36="","",IF('page 2'!$B$36=A164,1,0))</f>
        <v/>
      </c>
      <c r="I164" s="64" t="str">
        <f>IF('page 2'!$B$37="","",IF('page 2'!$B$37=A164,1,0))</f>
        <v/>
      </c>
      <c r="J164" s="64" t="str">
        <f>IF('page 2'!$B$38="","",IF('page 2'!$B$38=A164,1,0))</f>
        <v/>
      </c>
      <c r="K164" s="64" t="str">
        <f>IF('page 2'!$B$39="","",IF('page 2'!$B$39=A164,1,0))</f>
        <v/>
      </c>
      <c r="L164" s="64" t="str">
        <f>IF('page 2'!$B$40="","",IF('page 2'!$B$40=A164,1,0))</f>
        <v/>
      </c>
      <c r="M164" s="64" t="str">
        <f>IF('page 2'!$B$41="","",IF('page 2'!$B$41=A164,1,0))</f>
        <v/>
      </c>
      <c r="N164" s="64" t="str">
        <f>IF('page 2'!$B$42="","",IF('page 2'!$B$42=A164,1,0))</f>
        <v/>
      </c>
      <c r="O164" s="64" t="str">
        <f>IF('page 2'!$B$43="","",IF('page 2'!$B$43=A164,1,0))</f>
        <v/>
      </c>
      <c r="P164" s="64" t="str">
        <f>IF('page 2'!$B$44="","",IF('page 2'!$B$44=A164,1,0))</f>
        <v/>
      </c>
      <c r="Q164" s="64" t="str">
        <f>IF('page 2'!$B$45="","",IF('page 2'!$B$45=A164,1,0))</f>
        <v/>
      </c>
      <c r="R164" s="64" t="str">
        <f>IF('page 2'!$B$46="","",IF('page 2'!$B$46=A164,1,0))</f>
        <v/>
      </c>
      <c r="S164" s="64" t="str">
        <f>IF('page 2'!$B$47="","",IF('page 2'!$B$47=A164,1,0))</f>
        <v/>
      </c>
      <c r="T164" s="64" t="str">
        <f>IF('page 2'!$B$48="","",IF('page 2'!$B$48=B164,1,0))</f>
        <v/>
      </c>
      <c r="U164" s="64" t="str">
        <f>IF('page 2'!$B$49="","",IF('page 2'!$B$49=C164,1,0))</f>
        <v/>
      </c>
      <c r="V164" s="64" t="str">
        <f>IF('page 2'!$B$50="","",IF('page 2'!$B$50=D164,1,0))</f>
        <v/>
      </c>
      <c r="W164" s="64" t="str">
        <f>IF('page 2'!$B$51="","",IF('page 2'!$B$51=E164,1,0))</f>
        <v/>
      </c>
      <c r="X164" s="64" t="str">
        <f>IF('page 2'!$B$52="","",IF('page 2'!$B$52=F164,1,0))</f>
        <v/>
      </c>
      <c r="Y164" s="64" t="str">
        <f>IF('page 2'!$B$53="","",IF('page 2'!$B$53=G164,1,0))</f>
        <v/>
      </c>
      <c r="Z164" s="64" t="str">
        <f>IF('page 2'!$B$54="","",IF('page 2'!$B$54=H164,1,0))</f>
        <v/>
      </c>
      <c r="AA164" s="64" t="str">
        <f>IF('page 2'!$B$55="","",IF('page 2'!$B$55=I164,1,0))</f>
        <v/>
      </c>
      <c r="AB164" s="64" t="str">
        <f>IF('page 2'!$B$53="","",IF('page 2'!$B$53=A164,1,0))</f>
        <v/>
      </c>
      <c r="AC164" s="64" t="str">
        <f>IF('page 2'!$B$54="","",IF('page 2'!$B$54=A164,1,0))</f>
        <v/>
      </c>
      <c r="AD164" s="64">
        <f t="shared" si="24"/>
        <v>0</v>
      </c>
      <c r="AE164" s="114" t="e">
        <f>VLOOKUP(A164,'page 2'!$B$4:$I$55,6,FALSE)</f>
        <v>#N/A</v>
      </c>
      <c r="AF164" s="114" t="e">
        <f>VLOOKUP(A164,'page 2'!$B$4:$I$55,7,FALSE)</f>
        <v>#N/A</v>
      </c>
      <c r="AG164" s="114" t="e">
        <f>VLOOKUP(A164,'page 2'!$B$4:$I$55,8,FALSE)</f>
        <v>#N/A</v>
      </c>
      <c r="AH164" s="85" t="s">
        <v>15640</v>
      </c>
      <c r="AI164" s="124" t="str">
        <f>IF('page 2'!B53="","",'page 2'!B53)</f>
        <v/>
      </c>
      <c r="AJ164" s="124" t="str">
        <f>IF(AI164="","",'page 2'!C53)</f>
        <v/>
      </c>
      <c r="AK164" s="129" t="str">
        <f>IF(AI164="","",'page 2'!G53)</f>
        <v/>
      </c>
      <c r="AL164" s="129" t="str">
        <f>IF(AI164="","",'page 2'!H53)</f>
        <v/>
      </c>
      <c r="AM164" s="129" t="str">
        <f>IF(AI164="","",'page 2'!I53)</f>
        <v/>
      </c>
      <c r="AN164" s="114" t="str">
        <f t="shared" si="25"/>
        <v/>
      </c>
      <c r="AO164" s="62">
        <f t="shared" si="23"/>
        <v>0</v>
      </c>
      <c r="AS164" s="576">
        <v>124</v>
      </c>
    </row>
    <row r="165" spans="1:97">
      <c r="A165" s="64" t="s">
        <v>837</v>
      </c>
      <c r="B165" s="64" t="s">
        <v>133</v>
      </c>
      <c r="C165" s="64" t="str">
        <f>IF('page 2'!$B$31="","",IF('page 2'!$B$31=A165,1,0))</f>
        <v/>
      </c>
      <c r="D165" s="64" t="str">
        <f>IF('page 2'!$B$32="","",IF('page 2'!$B$32=A165,1,0))</f>
        <v/>
      </c>
      <c r="E165" s="64" t="str">
        <f>IF('page 2'!$B$33="","",IF('page 2'!$B$33=A165,1,0))</f>
        <v/>
      </c>
      <c r="F165" s="64" t="str">
        <f>IF('page 2'!$B$34="","",IF('page 2'!$B$34=A165,1,0))</f>
        <v/>
      </c>
      <c r="G165" s="64" t="str">
        <f>IF('page 2'!$B$35="","",IF('page 2'!$B$35=A165,1,0))</f>
        <v/>
      </c>
      <c r="H165" s="64" t="str">
        <f>IF('page 2'!$B$36="","",IF('page 2'!$B$36=A165,1,0))</f>
        <v/>
      </c>
      <c r="I165" s="64" t="str">
        <f>IF('page 2'!$B$37="","",IF('page 2'!$B$37=A165,1,0))</f>
        <v/>
      </c>
      <c r="J165" s="64" t="str">
        <f>IF('page 2'!$B$38="","",IF('page 2'!$B$38=A165,1,0))</f>
        <v/>
      </c>
      <c r="K165" s="64" t="str">
        <f>IF('page 2'!$B$39="","",IF('page 2'!$B$39=A165,1,0))</f>
        <v/>
      </c>
      <c r="L165" s="64" t="str">
        <f>IF('page 2'!$B$40="","",IF('page 2'!$B$40=A165,1,0))</f>
        <v/>
      </c>
      <c r="M165" s="64" t="str">
        <f>IF('page 2'!$B$41="","",IF('page 2'!$B$41=A165,1,0))</f>
        <v/>
      </c>
      <c r="N165" s="64" t="str">
        <f>IF('page 2'!$B$42="","",IF('page 2'!$B$42=A165,1,0))</f>
        <v/>
      </c>
      <c r="O165" s="64" t="str">
        <f>IF('page 2'!$B$43="","",IF('page 2'!$B$43=A165,1,0))</f>
        <v/>
      </c>
      <c r="P165" s="64" t="str">
        <f>IF('page 2'!$B$44="","",IF('page 2'!$B$44=A165,1,0))</f>
        <v/>
      </c>
      <c r="Q165" s="64" t="str">
        <f>IF('page 2'!$B$45="","",IF('page 2'!$B$45=A165,1,0))</f>
        <v/>
      </c>
      <c r="R165" s="64" t="str">
        <f>IF('page 2'!$B$46="","",IF('page 2'!$B$46=A165,1,0))</f>
        <v/>
      </c>
      <c r="S165" s="64" t="str">
        <f>IF('page 2'!$B$47="","",IF('page 2'!$B$47=A165,1,0))</f>
        <v/>
      </c>
      <c r="T165" s="64" t="str">
        <f>IF('page 2'!$B$48="","",IF('page 2'!$B$48=B165,1,0))</f>
        <v/>
      </c>
      <c r="U165" s="64" t="str">
        <f>IF('page 2'!$B$49="","",IF('page 2'!$B$49=C165,1,0))</f>
        <v/>
      </c>
      <c r="V165" s="64" t="str">
        <f>IF('page 2'!$B$50="","",IF('page 2'!$B$50=D165,1,0))</f>
        <v/>
      </c>
      <c r="W165" s="64" t="str">
        <f>IF('page 2'!$B$51="","",IF('page 2'!$B$51=E165,1,0))</f>
        <v/>
      </c>
      <c r="X165" s="64" t="str">
        <f>IF('page 2'!$B$52="","",IF('page 2'!$B$52=F165,1,0))</f>
        <v/>
      </c>
      <c r="Y165" s="64" t="str">
        <f>IF('page 2'!$B$53="","",IF('page 2'!$B$53=G165,1,0))</f>
        <v/>
      </c>
      <c r="Z165" s="64" t="str">
        <f>IF('page 2'!$B$54="","",IF('page 2'!$B$54=H165,1,0))</f>
        <v/>
      </c>
      <c r="AA165" s="64" t="str">
        <f>IF('page 2'!$B$55="","",IF('page 2'!$B$55=I165,1,0))</f>
        <v/>
      </c>
      <c r="AB165" s="64" t="str">
        <f>IF('page 2'!$B$53="","",IF('page 2'!$B$53=A165,1,0))</f>
        <v/>
      </c>
      <c r="AC165" s="64" t="str">
        <f>IF('page 2'!$B$54="","",IF('page 2'!$B$54=A165,1,0))</f>
        <v/>
      </c>
      <c r="AD165" s="64">
        <f t="shared" si="24"/>
        <v>0</v>
      </c>
      <c r="AE165" s="114" t="e">
        <f>VLOOKUP(A165,'page 2'!$B$4:$I$55,6,FALSE)</f>
        <v>#N/A</v>
      </c>
      <c r="AF165" s="114" t="e">
        <f>VLOOKUP(A165,'page 2'!$B$4:$I$55,7,FALSE)</f>
        <v>#N/A</v>
      </c>
      <c r="AG165" s="114" t="e">
        <f>VLOOKUP(A165,'page 2'!$B$4:$I$55,8,FALSE)</f>
        <v>#N/A</v>
      </c>
      <c r="AH165" s="85" t="s">
        <v>15641</v>
      </c>
      <c r="AI165" s="124" t="str">
        <f>IF('page 2'!B54="","",'page 2'!B54)</f>
        <v/>
      </c>
      <c r="AJ165" s="124" t="str">
        <f>IF(AI165="","",'page 2'!C54)</f>
        <v/>
      </c>
      <c r="AK165" s="129" t="str">
        <f>IF(AI165="","",'page 2'!G54)</f>
        <v/>
      </c>
      <c r="AL165" s="129" t="str">
        <f>IF(AI165="","",'page 2'!H54)</f>
        <v/>
      </c>
      <c r="AM165" s="129" t="str">
        <f>IF(AI165="","",'page 2'!I54)</f>
        <v/>
      </c>
      <c r="AN165" s="114" t="str">
        <f t="shared" ref="AN165:AN166" si="26">IF(AI165="","",IF(AJ165=0,AI165,IF(AM165="X",CONCATENATE(AI165," (",AJ165," +20)"),IF(AL165="X",CONCATENATE(AI165," (",AJ165," +10)"),IF(AK165="X",CONCATENATE(AI165," (",AJ165,")"),"")))))</f>
        <v/>
      </c>
      <c r="AO165" s="62">
        <f t="shared" si="23"/>
        <v>0</v>
      </c>
      <c r="AS165" s="576">
        <v>123</v>
      </c>
    </row>
    <row r="166" spans="1:97">
      <c r="A166" s="64" t="s">
        <v>838</v>
      </c>
      <c r="B166" s="64" t="s">
        <v>133</v>
      </c>
      <c r="C166" s="64" t="str">
        <f>IF('page 2'!$B$31="","",IF('page 2'!$B$31=A166,1,0))</f>
        <v/>
      </c>
      <c r="D166" s="64" t="str">
        <f>IF('page 2'!$B$32="","",IF('page 2'!$B$32=A166,1,0))</f>
        <v/>
      </c>
      <c r="E166" s="64" t="str">
        <f>IF('page 2'!$B$33="","",IF('page 2'!$B$33=A166,1,0))</f>
        <v/>
      </c>
      <c r="F166" s="64" t="str">
        <f>IF('page 2'!$B$34="","",IF('page 2'!$B$34=A166,1,0))</f>
        <v/>
      </c>
      <c r="G166" s="64" t="str">
        <f>IF('page 2'!$B$35="","",IF('page 2'!$B$35=A166,1,0))</f>
        <v/>
      </c>
      <c r="H166" s="64" t="str">
        <f>IF('page 2'!$B$36="","",IF('page 2'!$B$36=A166,1,0))</f>
        <v/>
      </c>
      <c r="I166" s="64" t="str">
        <f>IF('page 2'!$B$37="","",IF('page 2'!$B$37=A166,1,0))</f>
        <v/>
      </c>
      <c r="J166" s="64" t="str">
        <f>IF('page 2'!$B$38="","",IF('page 2'!$B$38=A166,1,0))</f>
        <v/>
      </c>
      <c r="K166" s="64" t="str">
        <f>IF('page 2'!$B$39="","",IF('page 2'!$B$39=A166,1,0))</f>
        <v/>
      </c>
      <c r="L166" s="64" t="str">
        <f>IF('page 2'!$B$40="","",IF('page 2'!$B$40=A166,1,0))</f>
        <v/>
      </c>
      <c r="M166" s="64" t="str">
        <f>IF('page 2'!$B$41="","",IF('page 2'!$B$41=A166,1,0))</f>
        <v/>
      </c>
      <c r="N166" s="64" t="str">
        <f>IF('page 2'!$B$42="","",IF('page 2'!$B$42=A166,1,0))</f>
        <v/>
      </c>
      <c r="O166" s="64" t="str">
        <f>IF('page 2'!$B$43="","",IF('page 2'!$B$43=A166,1,0))</f>
        <v/>
      </c>
      <c r="P166" s="64" t="str">
        <f>IF('page 2'!$B$44="","",IF('page 2'!$B$44=A166,1,0))</f>
        <v/>
      </c>
      <c r="Q166" s="64" t="str">
        <f>IF('page 2'!$B$45="","",IF('page 2'!$B$45=A166,1,0))</f>
        <v/>
      </c>
      <c r="R166" s="64" t="str">
        <f>IF('page 2'!$B$46="","",IF('page 2'!$B$46=A166,1,0))</f>
        <v/>
      </c>
      <c r="S166" s="64" t="str">
        <f>IF('page 2'!$B$47="","",IF('page 2'!$B$47=A166,1,0))</f>
        <v/>
      </c>
      <c r="T166" s="64" t="str">
        <f>IF('page 2'!$B$48="","",IF('page 2'!$B$48=B166,1,0))</f>
        <v/>
      </c>
      <c r="U166" s="64" t="str">
        <f>IF('page 2'!$B$49="","",IF('page 2'!$B$49=C166,1,0))</f>
        <v/>
      </c>
      <c r="V166" s="64" t="str">
        <f>IF('page 2'!$B$50="","",IF('page 2'!$B$50=D166,1,0))</f>
        <v/>
      </c>
      <c r="W166" s="64" t="str">
        <f>IF('page 2'!$B$51="","",IF('page 2'!$B$51=E166,1,0))</f>
        <v/>
      </c>
      <c r="X166" s="64" t="str">
        <f>IF('page 2'!$B$52="","",IF('page 2'!$B$52=F166,1,0))</f>
        <v/>
      </c>
      <c r="Y166" s="64" t="str">
        <f>IF('page 2'!$B$53="","",IF('page 2'!$B$53=G166,1,0))</f>
        <v/>
      </c>
      <c r="Z166" s="64" t="str">
        <f>IF('page 2'!$B$54="","",IF('page 2'!$B$54=H166,1,0))</f>
        <v/>
      </c>
      <c r="AA166" s="64" t="str">
        <f>IF('page 2'!$B$55="","",IF('page 2'!$B$55=I166,1,0))</f>
        <v/>
      </c>
      <c r="AB166" s="64" t="str">
        <f>IF('page 2'!$B$53="","",IF('page 2'!$B$53=A166,1,0))</f>
        <v/>
      </c>
      <c r="AC166" s="64" t="str">
        <f>IF('page 2'!$B$54="","",IF('page 2'!$B$54=A166,1,0))</f>
        <v/>
      </c>
      <c r="AD166" s="64">
        <f t="shared" si="24"/>
        <v>0</v>
      </c>
      <c r="AE166" s="114" t="e">
        <f>VLOOKUP(A166,'page 2'!$B$4:$I$55,6,FALSE)</f>
        <v>#N/A</v>
      </c>
      <c r="AF166" s="114" t="e">
        <f>VLOOKUP(A166,'page 2'!$B$4:$I$55,7,FALSE)</f>
        <v>#N/A</v>
      </c>
      <c r="AG166" s="114" t="e">
        <f>VLOOKUP(A166,'page 2'!$B$4:$I$55,8,FALSE)</f>
        <v>#N/A</v>
      </c>
      <c r="AH166" s="85" t="s">
        <v>15642</v>
      </c>
      <c r="AI166" s="124" t="str">
        <f>IF('page 2'!B55="","",'page 2'!B55)</f>
        <v/>
      </c>
      <c r="AJ166" s="124" t="str">
        <f>IF(AI166="","",'page 2'!C55)</f>
        <v/>
      </c>
      <c r="AK166" s="129" t="str">
        <f>IF(AI166="","",'page 2'!G55)</f>
        <v/>
      </c>
      <c r="AL166" s="129" t="str">
        <f>IF(AI166="","",'page 2'!H55)</f>
        <v/>
      </c>
      <c r="AM166" s="129" t="str">
        <f>IF(AI166="","",'page 2'!I55)</f>
        <v/>
      </c>
      <c r="AN166" s="114" t="str">
        <f t="shared" si="26"/>
        <v/>
      </c>
      <c r="AO166" s="62">
        <f t="shared" si="23"/>
        <v>0</v>
      </c>
    </row>
    <row r="167" spans="1:97">
      <c r="A167" s="64" t="s">
        <v>839</v>
      </c>
      <c r="B167" s="64" t="s">
        <v>134</v>
      </c>
      <c r="C167" s="64" t="str">
        <f>IF('page 2'!$B$31="","",IF('page 2'!$B$31=A167,1,0))</f>
        <v/>
      </c>
      <c r="D167" s="64" t="str">
        <f>IF('page 2'!$B$32="","",IF('page 2'!$B$32=A167,1,0))</f>
        <v/>
      </c>
      <c r="E167" s="64" t="str">
        <f>IF('page 2'!$B$33="","",IF('page 2'!$B$33=A167,1,0))</f>
        <v/>
      </c>
      <c r="F167" s="64" t="str">
        <f>IF('page 2'!$B$34="","",IF('page 2'!$B$34=A167,1,0))</f>
        <v/>
      </c>
      <c r="G167" s="64" t="str">
        <f>IF('page 2'!$B$35="","",IF('page 2'!$B$35=A167,1,0))</f>
        <v/>
      </c>
      <c r="H167" s="64" t="str">
        <f>IF('page 2'!$B$36="","",IF('page 2'!$B$36=A167,1,0))</f>
        <v/>
      </c>
      <c r="I167" s="64" t="str">
        <f>IF('page 2'!$B$37="","",IF('page 2'!$B$37=A167,1,0))</f>
        <v/>
      </c>
      <c r="J167" s="64" t="str">
        <f>IF('page 2'!$B$38="","",IF('page 2'!$B$38=A167,1,0))</f>
        <v/>
      </c>
      <c r="K167" s="64" t="str">
        <f>IF('page 2'!$B$39="","",IF('page 2'!$B$39=A167,1,0))</f>
        <v/>
      </c>
      <c r="L167" s="64" t="str">
        <f>IF('page 2'!$B$40="","",IF('page 2'!$B$40=A167,1,0))</f>
        <v/>
      </c>
      <c r="M167" s="64" t="str">
        <f>IF('page 2'!$B$41="","",IF('page 2'!$B$41=A167,1,0))</f>
        <v/>
      </c>
      <c r="N167" s="64" t="str">
        <f>IF('page 2'!$B$42="","",IF('page 2'!$B$42=A167,1,0))</f>
        <v/>
      </c>
      <c r="O167" s="64" t="str">
        <f>IF('page 2'!$B$43="","",IF('page 2'!$B$43=A167,1,0))</f>
        <v/>
      </c>
      <c r="P167" s="64" t="str">
        <f>IF('page 2'!$B$44="","",IF('page 2'!$B$44=A167,1,0))</f>
        <v/>
      </c>
      <c r="Q167" s="64" t="str">
        <f>IF('page 2'!$B$45="","",IF('page 2'!$B$45=A167,1,0))</f>
        <v/>
      </c>
      <c r="R167" s="64" t="str">
        <f>IF('page 2'!$B$46="","",IF('page 2'!$B$46=A167,1,0))</f>
        <v/>
      </c>
      <c r="S167" s="64" t="str">
        <f>IF('page 2'!$B$47="","",IF('page 2'!$B$47=A167,1,0))</f>
        <v/>
      </c>
      <c r="T167" s="64" t="str">
        <f>IF('page 2'!$B$48="","",IF('page 2'!$B$48=B167,1,0))</f>
        <v/>
      </c>
      <c r="U167" s="64" t="str">
        <f>IF('page 2'!$B$49="","",IF('page 2'!$B$49=C167,1,0))</f>
        <v/>
      </c>
      <c r="V167" s="64" t="str">
        <f>IF('page 2'!$B$50="","",IF('page 2'!$B$50=D167,1,0))</f>
        <v/>
      </c>
      <c r="W167" s="64" t="str">
        <f>IF('page 2'!$B$51="","",IF('page 2'!$B$51=E167,1,0))</f>
        <v/>
      </c>
      <c r="X167" s="64" t="str">
        <f>IF('page 2'!$B$52="","",IF('page 2'!$B$52=F167,1,0))</f>
        <v/>
      </c>
      <c r="Y167" s="64" t="str">
        <f>IF('page 2'!$B$53="","",IF('page 2'!$B$53=G167,1,0))</f>
        <v/>
      </c>
      <c r="Z167" s="64" t="str">
        <f>IF('page 2'!$B$54="","",IF('page 2'!$B$54=H167,1,0))</f>
        <v/>
      </c>
      <c r="AA167" s="64" t="str">
        <f>IF('page 2'!$B$55="","",IF('page 2'!$B$55=I167,1,0))</f>
        <v/>
      </c>
      <c r="AB167" s="64" t="str">
        <f>IF('page 2'!$B$53="","",IF('page 2'!$B$53=A167,1,0))</f>
        <v/>
      </c>
      <c r="AC167" s="64" t="str">
        <f>IF('page 2'!$B$54="","",IF('page 2'!$B$54=A167,1,0))</f>
        <v/>
      </c>
      <c r="AD167" s="64">
        <f t="shared" si="24"/>
        <v>0</v>
      </c>
      <c r="AE167" s="114" t="e">
        <f>VLOOKUP(A167,'page 2'!$B$4:$I$55,6,FALSE)</f>
        <v>#N/A</v>
      </c>
      <c r="AF167" s="114" t="e">
        <f>VLOOKUP(A167,'page 2'!$B$4:$I$55,7,FALSE)</f>
        <v>#N/A</v>
      </c>
      <c r="AG167" s="114" t="e">
        <f>VLOOKUP(A167,'page 2'!$B$4:$I$55,8,FALSE)</f>
        <v>#N/A</v>
      </c>
      <c r="AI167" s="124"/>
      <c r="AJ167" s="124" t="str">
        <f>IF(AI167="","",'page 2'!C56)</f>
        <v/>
      </c>
      <c r="AK167" s="129" t="str">
        <f>IF(AI167="","",'page 2'!G56)</f>
        <v/>
      </c>
      <c r="AL167" s="129" t="str">
        <f>IF(AI167="","",'page 2'!H56)</f>
        <v/>
      </c>
      <c r="AM167" s="129" t="str">
        <f>IF(AI167="","",'page 2'!I56)</f>
        <v/>
      </c>
      <c r="AN167" s="114" t="str">
        <f t="shared" si="25"/>
        <v/>
      </c>
      <c r="AO167" s="62">
        <f t="shared" si="23"/>
        <v>0</v>
      </c>
    </row>
    <row r="168" spans="1:97">
      <c r="A168" s="64" t="s">
        <v>840</v>
      </c>
      <c r="B168" s="64" t="s">
        <v>133</v>
      </c>
      <c r="C168" s="64" t="str">
        <f>IF('page 2'!$B$31="","",IF('page 2'!$B$31=A168,1,0))</f>
        <v/>
      </c>
      <c r="D168" s="64" t="str">
        <f>IF('page 2'!$B$32="","",IF('page 2'!$B$32=A168,1,0))</f>
        <v/>
      </c>
      <c r="E168" s="64" t="str">
        <f>IF('page 2'!$B$33="","",IF('page 2'!$B$33=A168,1,0))</f>
        <v/>
      </c>
      <c r="F168" s="64" t="str">
        <f>IF('page 2'!$B$34="","",IF('page 2'!$B$34=A168,1,0))</f>
        <v/>
      </c>
      <c r="G168" s="64" t="str">
        <f>IF('page 2'!$B$35="","",IF('page 2'!$B$35=A168,1,0))</f>
        <v/>
      </c>
      <c r="H168" s="64" t="str">
        <f>IF('page 2'!$B$36="","",IF('page 2'!$B$36=A168,1,0))</f>
        <v/>
      </c>
      <c r="I168" s="64" t="str">
        <f>IF('page 2'!$B$37="","",IF('page 2'!$B$37=A168,1,0))</f>
        <v/>
      </c>
      <c r="J168" s="64" t="str">
        <f>IF('page 2'!$B$38="","",IF('page 2'!$B$38=A168,1,0))</f>
        <v/>
      </c>
      <c r="K168" s="64" t="str">
        <f>IF('page 2'!$B$39="","",IF('page 2'!$B$39=A168,1,0))</f>
        <v/>
      </c>
      <c r="L168" s="64" t="str">
        <f>IF('page 2'!$B$40="","",IF('page 2'!$B$40=A168,1,0))</f>
        <v/>
      </c>
      <c r="M168" s="64" t="str">
        <f>IF('page 2'!$B$41="","",IF('page 2'!$B$41=A168,1,0))</f>
        <v/>
      </c>
      <c r="N168" s="64" t="str">
        <f>IF('page 2'!$B$42="","",IF('page 2'!$B$42=A168,1,0))</f>
        <v/>
      </c>
      <c r="O168" s="64" t="str">
        <f>IF('page 2'!$B$43="","",IF('page 2'!$B$43=A168,1,0))</f>
        <v/>
      </c>
      <c r="P168" s="64" t="str">
        <f>IF('page 2'!$B$44="","",IF('page 2'!$B$44=A168,1,0))</f>
        <v/>
      </c>
      <c r="Q168" s="64" t="str">
        <f>IF('page 2'!$B$45="","",IF('page 2'!$B$45=A168,1,0))</f>
        <v/>
      </c>
      <c r="R168" s="64" t="str">
        <f>IF('page 2'!$B$46="","",IF('page 2'!$B$46=A168,1,0))</f>
        <v/>
      </c>
      <c r="S168" s="64" t="str">
        <f>IF('page 2'!$B$47="","",IF('page 2'!$B$47=A168,1,0))</f>
        <v/>
      </c>
      <c r="T168" s="64" t="str">
        <f>IF('page 2'!$B$48="","",IF('page 2'!$B$48=B168,1,0))</f>
        <v/>
      </c>
      <c r="U168" s="64" t="str">
        <f>IF('page 2'!$B$49="","",IF('page 2'!$B$49=C168,1,0))</f>
        <v/>
      </c>
      <c r="V168" s="64" t="str">
        <f>IF('page 2'!$B$50="","",IF('page 2'!$B$50=D168,1,0))</f>
        <v/>
      </c>
      <c r="W168" s="64" t="str">
        <f>IF('page 2'!$B$51="","",IF('page 2'!$B$51=E168,1,0))</f>
        <v/>
      </c>
      <c r="X168" s="64" t="str">
        <f>IF('page 2'!$B$52="","",IF('page 2'!$B$52=F168,1,0))</f>
        <v/>
      </c>
      <c r="Y168" s="64" t="str">
        <f>IF('page 2'!$B$53="","",IF('page 2'!$B$53=G168,1,0))</f>
        <v/>
      </c>
      <c r="Z168" s="64" t="str">
        <f>IF('page 2'!$B$54="","",IF('page 2'!$B$54=H168,1,0))</f>
        <v/>
      </c>
      <c r="AA168" s="64" t="str">
        <f>IF('page 2'!$B$55="","",IF('page 2'!$B$55=I168,1,0))</f>
        <v/>
      </c>
      <c r="AB168" s="64" t="str">
        <f>IF('page 2'!$B$53="","",IF('page 2'!$B$53=A168,1,0))</f>
        <v/>
      </c>
      <c r="AC168" s="64" t="str">
        <f>IF('page 2'!$B$54="","",IF('page 2'!$B$54=A168,1,0))</f>
        <v/>
      </c>
      <c r="AD168" s="64">
        <f t="shared" si="24"/>
        <v>0</v>
      </c>
      <c r="AE168" s="114" t="e">
        <f>VLOOKUP(A168,'page 2'!$B$4:$I$55,6,FALSE)</f>
        <v>#N/A</v>
      </c>
      <c r="AF168" s="114" t="e">
        <f>VLOOKUP(A168,'page 2'!$B$4:$I$55,7,FALSE)</f>
        <v>#N/A</v>
      </c>
      <c r="AG168" s="114" t="e">
        <f>VLOOKUP(A168,'page 2'!$B$4:$I$55,8,FALSE)</f>
        <v>#N/A</v>
      </c>
      <c r="AI168" s="124"/>
      <c r="AJ168" s="124" t="str">
        <f>IF(AI168="","",'page 2'!C57)</f>
        <v/>
      </c>
      <c r="AK168" s="129" t="str">
        <f>IF(AI168="","",'page 2'!G57)</f>
        <v/>
      </c>
      <c r="AL168" s="129" t="str">
        <f>IF(AI168="","",'page 2'!H57)</f>
        <v/>
      </c>
      <c r="AM168" s="129" t="str">
        <f>IF(AI168="","",'page 2'!I57)</f>
        <v/>
      </c>
      <c r="AN168" s="114" t="str">
        <f t="shared" si="25"/>
        <v/>
      </c>
      <c r="AO168" s="62">
        <f t="shared" si="23"/>
        <v>0</v>
      </c>
      <c r="CA168" s="603"/>
      <c r="CB168" s="603"/>
      <c r="CC168" s="603"/>
      <c r="CD168" s="603"/>
      <c r="CE168" s="603"/>
      <c r="CF168" s="603"/>
      <c r="CG168" s="603"/>
      <c r="CH168" s="603"/>
      <c r="CI168" s="603"/>
      <c r="CJ168" s="603"/>
      <c r="CK168" s="603"/>
      <c r="CL168" s="603"/>
      <c r="CM168" s="603"/>
      <c r="CN168" s="603"/>
      <c r="CO168" s="603"/>
      <c r="CP168" s="603"/>
      <c r="CQ168" s="603"/>
      <c r="CR168" s="603"/>
      <c r="CS168" s="603"/>
    </row>
    <row r="169" spans="1:97">
      <c r="A169" s="64" t="s">
        <v>841</v>
      </c>
      <c r="B169" s="64" t="s">
        <v>135</v>
      </c>
      <c r="C169" s="64" t="str">
        <f>IF('page 2'!$B$31="","",IF('page 2'!$B$31=A169,1,0))</f>
        <v/>
      </c>
      <c r="D169" s="64" t="str">
        <f>IF('page 2'!$B$32="","",IF('page 2'!$B$32=A169,1,0))</f>
        <v/>
      </c>
      <c r="E169" s="64" t="str">
        <f>IF('page 2'!$B$33="","",IF('page 2'!$B$33=A169,1,0))</f>
        <v/>
      </c>
      <c r="F169" s="64" t="str">
        <f>IF('page 2'!$B$34="","",IF('page 2'!$B$34=A169,1,0))</f>
        <v/>
      </c>
      <c r="G169" s="64" t="str">
        <f>IF('page 2'!$B$35="","",IF('page 2'!$B$35=A169,1,0))</f>
        <v/>
      </c>
      <c r="H169" s="64" t="str">
        <f>IF('page 2'!$B$36="","",IF('page 2'!$B$36=A169,1,0))</f>
        <v/>
      </c>
      <c r="I169" s="64" t="str">
        <f>IF('page 2'!$B$37="","",IF('page 2'!$B$37=A169,1,0))</f>
        <v/>
      </c>
      <c r="J169" s="64" t="str">
        <f>IF('page 2'!$B$38="","",IF('page 2'!$B$38=A169,1,0))</f>
        <v/>
      </c>
      <c r="K169" s="64" t="str">
        <f>IF('page 2'!$B$39="","",IF('page 2'!$B$39=A169,1,0))</f>
        <v/>
      </c>
      <c r="L169" s="64" t="str">
        <f>IF('page 2'!$B$40="","",IF('page 2'!$B$40=A169,1,0))</f>
        <v/>
      </c>
      <c r="M169" s="64" t="str">
        <f>IF('page 2'!$B$41="","",IF('page 2'!$B$41=A169,1,0))</f>
        <v/>
      </c>
      <c r="N169" s="64" t="str">
        <f>IF('page 2'!$B$42="","",IF('page 2'!$B$42=A169,1,0))</f>
        <v/>
      </c>
      <c r="O169" s="64" t="str">
        <f>IF('page 2'!$B$43="","",IF('page 2'!$B$43=A169,1,0))</f>
        <v/>
      </c>
      <c r="P169" s="64" t="str">
        <f>IF('page 2'!$B$44="","",IF('page 2'!$B$44=A169,1,0))</f>
        <v/>
      </c>
      <c r="Q169" s="64" t="str">
        <f>IF('page 2'!$B$45="","",IF('page 2'!$B$45=A169,1,0))</f>
        <v/>
      </c>
      <c r="R169" s="64" t="str">
        <f>IF('page 2'!$B$46="","",IF('page 2'!$B$46=A169,1,0))</f>
        <v/>
      </c>
      <c r="S169" s="64" t="str">
        <f>IF('page 2'!$B$47="","",IF('page 2'!$B$47=A169,1,0))</f>
        <v/>
      </c>
      <c r="T169" s="64" t="str">
        <f>IF('page 2'!$B$48="","",IF('page 2'!$B$48=B169,1,0))</f>
        <v/>
      </c>
      <c r="U169" s="64" t="str">
        <f>IF('page 2'!$B$49="","",IF('page 2'!$B$49=C169,1,0))</f>
        <v/>
      </c>
      <c r="V169" s="64" t="str">
        <f>IF('page 2'!$B$50="","",IF('page 2'!$B$50=D169,1,0))</f>
        <v/>
      </c>
      <c r="W169" s="64" t="str">
        <f>IF('page 2'!$B$51="","",IF('page 2'!$B$51=E169,1,0))</f>
        <v/>
      </c>
      <c r="X169" s="64" t="str">
        <f>IF('page 2'!$B$52="","",IF('page 2'!$B$52=F169,1,0))</f>
        <v/>
      </c>
      <c r="Y169" s="64" t="str">
        <f>IF('page 2'!$B$53="","",IF('page 2'!$B$53=G169,1,0))</f>
        <v/>
      </c>
      <c r="Z169" s="64" t="str">
        <f>IF('page 2'!$B$54="","",IF('page 2'!$B$54=H169,1,0))</f>
        <v/>
      </c>
      <c r="AA169" s="64" t="str">
        <f>IF('page 2'!$B$55="","",IF('page 2'!$B$55=I169,1,0))</f>
        <v/>
      </c>
      <c r="AB169" s="64" t="str">
        <f>IF('page 2'!$B$53="","",IF('page 2'!$B$53=A169,1,0))</f>
        <v/>
      </c>
      <c r="AC169" s="64" t="str">
        <f>IF('page 2'!$B$54="","",IF('page 2'!$B$54=A169,1,0))</f>
        <v/>
      </c>
      <c r="AD169" s="64">
        <f t="shared" si="24"/>
        <v>0</v>
      </c>
      <c r="AE169" s="114" t="e">
        <f>VLOOKUP(A169,'page 2'!$B$4:$I$55,6,FALSE)</f>
        <v>#N/A</v>
      </c>
      <c r="AF169" s="114" t="e">
        <f>VLOOKUP(A169,'page 2'!$B$4:$I$55,7,FALSE)</f>
        <v>#N/A</v>
      </c>
      <c r="AG169" s="114" t="e">
        <f>VLOOKUP(A169,'page 2'!$B$4:$I$55,8,FALSE)</f>
        <v>#N/A</v>
      </c>
      <c r="AI169" s="124"/>
      <c r="AJ169" s="124" t="str">
        <f>IF(AI169="","",'page 2'!C58)</f>
        <v/>
      </c>
      <c r="AK169" s="129" t="str">
        <f>IF(AI169="","",'page 2'!G58)</f>
        <v/>
      </c>
      <c r="AL169" s="129" t="str">
        <f>IF(AI169="","",'page 2'!H58)</f>
        <v/>
      </c>
      <c r="AM169" s="129" t="str">
        <f>IF(AI169="","",'page 2'!I58)</f>
        <v/>
      </c>
      <c r="AN169" s="114" t="str">
        <f t="shared" si="25"/>
        <v/>
      </c>
      <c r="AO169" s="62">
        <f t="shared" si="23"/>
        <v>0</v>
      </c>
      <c r="CA169" s="99"/>
      <c r="CB169" s="99"/>
      <c r="CC169" s="99"/>
      <c r="CD169" s="99"/>
      <c r="CE169" s="99"/>
      <c r="CF169" s="99"/>
      <c r="CG169" s="99"/>
      <c r="CH169" s="99"/>
      <c r="CI169" s="99"/>
      <c r="CJ169" s="99"/>
      <c r="CK169" s="99"/>
      <c r="CL169" s="99"/>
      <c r="CM169" s="99"/>
      <c r="CN169" s="99"/>
      <c r="CO169" s="99"/>
      <c r="CP169" s="99"/>
      <c r="CQ169" s="99"/>
      <c r="CR169" s="99"/>
      <c r="CS169" s="901"/>
    </row>
    <row r="170" spans="1:97">
      <c r="A170" s="64" t="s">
        <v>842</v>
      </c>
      <c r="B170" s="64" t="s">
        <v>135</v>
      </c>
      <c r="C170" s="64" t="str">
        <f>IF('page 2'!$B$31="","",IF('page 2'!$B$31=A170,1,0))</f>
        <v/>
      </c>
      <c r="D170" s="64" t="str">
        <f>IF('page 2'!$B$32="","",IF('page 2'!$B$32=A170,1,0))</f>
        <v/>
      </c>
      <c r="E170" s="64" t="str">
        <f>IF('page 2'!$B$33="","",IF('page 2'!$B$33=A170,1,0))</f>
        <v/>
      </c>
      <c r="F170" s="64" t="str">
        <f>IF('page 2'!$B$34="","",IF('page 2'!$B$34=A170,1,0))</f>
        <v/>
      </c>
      <c r="G170" s="64" t="str">
        <f>IF('page 2'!$B$35="","",IF('page 2'!$B$35=A170,1,0))</f>
        <v/>
      </c>
      <c r="H170" s="64" t="str">
        <f>IF('page 2'!$B$36="","",IF('page 2'!$B$36=A170,1,0))</f>
        <v/>
      </c>
      <c r="I170" s="64" t="str">
        <f>IF('page 2'!$B$37="","",IF('page 2'!$B$37=A170,1,0))</f>
        <v/>
      </c>
      <c r="J170" s="64" t="str">
        <f>IF('page 2'!$B$38="","",IF('page 2'!$B$38=A170,1,0))</f>
        <v/>
      </c>
      <c r="K170" s="64" t="str">
        <f>IF('page 2'!$B$39="","",IF('page 2'!$B$39=A170,1,0))</f>
        <v/>
      </c>
      <c r="L170" s="64" t="str">
        <f>IF('page 2'!$B$40="","",IF('page 2'!$B$40=A170,1,0))</f>
        <v/>
      </c>
      <c r="M170" s="64" t="str">
        <f>IF('page 2'!$B$41="","",IF('page 2'!$B$41=A170,1,0))</f>
        <v/>
      </c>
      <c r="N170" s="64" t="str">
        <f>IF('page 2'!$B$42="","",IF('page 2'!$B$42=A170,1,0))</f>
        <v/>
      </c>
      <c r="O170" s="64" t="str">
        <f>IF('page 2'!$B$43="","",IF('page 2'!$B$43=A170,1,0))</f>
        <v/>
      </c>
      <c r="P170" s="64" t="str">
        <f>IF('page 2'!$B$44="","",IF('page 2'!$B$44=A170,1,0))</f>
        <v/>
      </c>
      <c r="Q170" s="64" t="str">
        <f>IF('page 2'!$B$45="","",IF('page 2'!$B$45=A170,1,0))</f>
        <v/>
      </c>
      <c r="R170" s="64" t="str">
        <f>IF('page 2'!$B$46="","",IF('page 2'!$B$46=A170,1,0))</f>
        <v/>
      </c>
      <c r="S170" s="64" t="str">
        <f>IF('page 2'!$B$47="","",IF('page 2'!$B$47=A170,1,0))</f>
        <v/>
      </c>
      <c r="T170" s="64" t="str">
        <f>IF('page 2'!$B$48="","",IF('page 2'!$B$48=B170,1,0))</f>
        <v/>
      </c>
      <c r="U170" s="64" t="str">
        <f>IF('page 2'!$B$49="","",IF('page 2'!$B$49=C170,1,0))</f>
        <v/>
      </c>
      <c r="V170" s="64" t="str">
        <f>IF('page 2'!$B$50="","",IF('page 2'!$B$50=D170,1,0))</f>
        <v/>
      </c>
      <c r="W170" s="64" t="str">
        <f>IF('page 2'!$B$51="","",IF('page 2'!$B$51=E170,1,0))</f>
        <v/>
      </c>
      <c r="X170" s="64" t="str">
        <f>IF('page 2'!$B$52="","",IF('page 2'!$B$52=F170,1,0))</f>
        <v/>
      </c>
      <c r="Y170" s="64" t="str">
        <f>IF('page 2'!$B$53="","",IF('page 2'!$B$53=G170,1,0))</f>
        <v/>
      </c>
      <c r="Z170" s="64" t="str">
        <f>IF('page 2'!$B$54="","",IF('page 2'!$B$54=H170,1,0))</f>
        <v/>
      </c>
      <c r="AA170" s="64" t="str">
        <f>IF('page 2'!$B$55="","",IF('page 2'!$B$55=I170,1,0))</f>
        <v/>
      </c>
      <c r="AB170" s="64" t="str">
        <f>IF('page 2'!$B$53="","",IF('page 2'!$B$53=A170,1,0))</f>
        <v/>
      </c>
      <c r="AC170" s="64" t="str">
        <f>IF('page 2'!$B$54="","",IF('page 2'!$B$54=A170,1,0))</f>
        <v/>
      </c>
      <c r="AD170" s="64">
        <f t="shared" si="24"/>
        <v>0</v>
      </c>
      <c r="AE170" s="114" t="e">
        <f>VLOOKUP(A170,'page 2'!$B$4:$I$55,6,FALSE)</f>
        <v>#N/A</v>
      </c>
      <c r="AF170" s="114" t="e">
        <f>VLOOKUP(A170,'page 2'!$B$4:$I$55,7,FALSE)</f>
        <v>#N/A</v>
      </c>
      <c r="AG170" s="114" t="e">
        <f>VLOOKUP(A170,'page 2'!$B$4:$I$55,8,FALSE)</f>
        <v>#N/A</v>
      </c>
      <c r="AI170" s="124"/>
      <c r="AJ170" s="124" t="str">
        <f>IF(AI170="","",'page 2'!C59)</f>
        <v/>
      </c>
      <c r="AK170" s="129" t="str">
        <f>IF(AI170="","",'page 2'!G59)</f>
        <v/>
      </c>
      <c r="AL170" s="129" t="str">
        <f>IF(AI170="","",'page 2'!H59)</f>
        <v/>
      </c>
      <c r="AM170" s="129" t="str">
        <f>IF(AI170="","",'page 2'!I59)</f>
        <v/>
      </c>
      <c r="AN170" s="114" t="str">
        <f t="shared" si="25"/>
        <v/>
      </c>
      <c r="AO170" s="62">
        <f t="shared" si="23"/>
        <v>0</v>
      </c>
      <c r="CA170" s="99"/>
      <c r="CB170" s="99"/>
      <c r="CC170" s="99"/>
      <c r="CD170" s="99"/>
      <c r="CE170" s="99"/>
      <c r="CF170" s="99"/>
      <c r="CG170" s="99"/>
      <c r="CH170" s="99"/>
      <c r="CI170" s="99"/>
      <c r="CJ170" s="99"/>
      <c r="CK170" s="99"/>
      <c r="CL170" s="99"/>
      <c r="CM170" s="99"/>
      <c r="CN170" s="99"/>
      <c r="CO170" s="99"/>
      <c r="CP170" s="99"/>
      <c r="CQ170" s="99"/>
      <c r="CR170" s="99"/>
      <c r="CS170" s="901"/>
    </row>
    <row r="171" spans="1:97">
      <c r="A171" s="775" t="s">
        <v>5565</v>
      </c>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726"/>
      <c r="X171" s="465"/>
      <c r="Y171" s="465"/>
      <c r="Z171" s="465"/>
      <c r="AA171" s="465"/>
      <c r="AB171" s="465"/>
      <c r="AC171" s="465"/>
      <c r="AD171" s="465"/>
      <c r="AE171" s="465"/>
      <c r="AF171" s="465"/>
      <c r="AG171" s="465"/>
      <c r="AH171" s="465"/>
      <c r="AI171" s="465"/>
      <c r="AJ171" s="465"/>
      <c r="AK171" s="465"/>
      <c r="AL171" s="465"/>
      <c r="AM171" s="465"/>
      <c r="AN171" s="465"/>
      <c r="AO171" s="465"/>
      <c r="AP171" s="898"/>
      <c r="AQ171" s="898"/>
      <c r="AR171" s="898"/>
      <c r="CA171" s="99"/>
      <c r="CB171" s="99"/>
      <c r="CC171" s="99"/>
      <c r="CD171" s="99"/>
      <c r="CE171" s="99"/>
      <c r="CF171" s="99"/>
      <c r="CG171" s="99"/>
      <c r="CH171" s="99"/>
      <c r="CI171" s="99"/>
      <c r="CJ171" s="99"/>
      <c r="CK171" s="99"/>
      <c r="CL171" s="99"/>
      <c r="CM171" s="99"/>
      <c r="CN171" s="99"/>
      <c r="CO171" s="99"/>
      <c r="CP171" s="99"/>
      <c r="CQ171" s="99"/>
      <c r="CR171" s="99"/>
      <c r="CS171" s="901"/>
    </row>
    <row r="172" spans="1:97">
      <c r="A172" s="118" t="s">
        <v>242</v>
      </c>
      <c r="B172" s="119" t="s">
        <v>131</v>
      </c>
      <c r="C172" s="115"/>
      <c r="D172" s="115"/>
      <c r="E172" s="115"/>
      <c r="F172" s="115"/>
      <c r="G172" s="115"/>
      <c r="H172" s="115"/>
      <c r="I172" s="115"/>
      <c r="J172" s="115"/>
      <c r="K172" s="115"/>
      <c r="L172" s="115"/>
      <c r="M172" s="115"/>
      <c r="N172" s="115"/>
      <c r="O172" s="115"/>
      <c r="P172" s="115"/>
      <c r="Q172" s="115"/>
      <c r="R172" s="115"/>
      <c r="S172" s="115"/>
      <c r="W172" s="725"/>
      <c r="Y172" s="115"/>
      <c r="Z172" s="117"/>
      <c r="AA172" s="115"/>
      <c r="AB172" s="115"/>
      <c r="AC172" s="115"/>
      <c r="AD172" s="115">
        <v>1</v>
      </c>
      <c r="AE172" s="115">
        <f>'page 2'!G4</f>
        <v>0</v>
      </c>
      <c r="AF172" s="115">
        <f>'page 2'!H4</f>
        <v>0</v>
      </c>
      <c r="AG172" s="115">
        <f>'page 2'!I4</f>
        <v>0</v>
      </c>
      <c r="AI172" s="62" t="str">
        <f t="shared" ref="AI172:AI191" si="27">IF(AD172=0,"",IF(AG172="X",CONCATENATE(A172,"+20"),IF(AF172="X",CONCATENATE(A172,"+10"),IF(AE172="X",A172,""))))</f>
        <v/>
      </c>
      <c r="AP172" s="88"/>
      <c r="AQ172" s="88"/>
      <c r="AR172" s="88"/>
      <c r="CA172" s="99"/>
      <c r="CB172" s="99"/>
      <c r="CC172" s="99"/>
      <c r="CD172" s="99"/>
      <c r="CE172" s="99"/>
      <c r="CF172" s="99"/>
      <c r="CG172" s="99"/>
      <c r="CH172" s="99"/>
      <c r="CI172" s="99"/>
      <c r="CJ172" s="99"/>
      <c r="CK172" s="99"/>
      <c r="CL172" s="99"/>
      <c r="CM172" s="99"/>
      <c r="CN172" s="99"/>
      <c r="CO172" s="99"/>
      <c r="CP172" s="99"/>
      <c r="CQ172" s="99"/>
      <c r="CR172" s="99"/>
      <c r="CS172" s="901"/>
    </row>
    <row r="173" spans="1:97">
      <c r="A173" s="118" t="s">
        <v>243</v>
      </c>
      <c r="B173" s="119" t="s">
        <v>135</v>
      </c>
      <c r="C173" s="115"/>
      <c r="D173" s="115"/>
      <c r="E173" s="115"/>
      <c r="F173" s="115"/>
      <c r="G173" s="115"/>
      <c r="H173" s="115"/>
      <c r="I173" s="115"/>
      <c r="J173" s="115"/>
      <c r="K173" s="115"/>
      <c r="L173" s="115"/>
      <c r="M173" s="115"/>
      <c r="N173" s="115"/>
      <c r="O173" s="115"/>
      <c r="P173" s="115"/>
      <c r="Q173" s="115"/>
      <c r="R173" s="115"/>
      <c r="S173" s="115"/>
      <c r="W173" s="725"/>
      <c r="Y173" s="115"/>
      <c r="Z173" s="117"/>
      <c r="AA173" s="115"/>
      <c r="AB173" s="115"/>
      <c r="AC173" s="115"/>
      <c r="AD173" s="115">
        <v>1</v>
      </c>
      <c r="AE173" s="115">
        <f>'page 2'!G5</f>
        <v>0</v>
      </c>
      <c r="AF173" s="115">
        <f>'page 2'!H5</f>
        <v>0</v>
      </c>
      <c r="AG173" s="115">
        <f>'page 2'!I5</f>
        <v>0</v>
      </c>
      <c r="AI173" s="62" t="str">
        <f t="shared" si="27"/>
        <v/>
      </c>
      <c r="AP173" s="88"/>
      <c r="AQ173" s="88"/>
      <c r="AR173" s="88"/>
      <c r="CA173" s="99"/>
      <c r="CB173" s="99"/>
      <c r="CC173" s="99"/>
      <c r="CD173" s="99"/>
      <c r="CE173" s="99"/>
      <c r="CF173" s="99"/>
      <c r="CG173" s="99"/>
      <c r="CH173" s="99"/>
      <c r="CI173" s="99"/>
      <c r="CJ173" s="99"/>
      <c r="CK173" s="99"/>
      <c r="CL173" s="99"/>
      <c r="CM173" s="99"/>
      <c r="CN173" s="99"/>
      <c r="CO173" s="99"/>
      <c r="CP173" s="99"/>
      <c r="CQ173" s="99"/>
      <c r="CR173" s="99"/>
      <c r="CS173" s="901"/>
    </row>
    <row r="174" spans="1:97">
      <c r="A174" s="118" t="s">
        <v>244</v>
      </c>
      <c r="B174" s="119" t="s">
        <v>135</v>
      </c>
      <c r="C174" s="115"/>
      <c r="D174" s="115"/>
      <c r="E174" s="115"/>
      <c r="F174" s="115"/>
      <c r="G174" s="115"/>
      <c r="H174" s="115"/>
      <c r="I174" s="115"/>
      <c r="J174" s="115"/>
      <c r="K174" s="115"/>
      <c r="L174" s="115"/>
      <c r="M174" s="115"/>
      <c r="N174" s="115"/>
      <c r="O174" s="115"/>
      <c r="P174" s="115"/>
      <c r="Q174" s="115"/>
      <c r="R174" s="115"/>
      <c r="S174" s="115"/>
      <c r="W174" s="725"/>
      <c r="Y174" s="115"/>
      <c r="Z174" s="117"/>
      <c r="AA174" s="115"/>
      <c r="AB174" s="115"/>
      <c r="AC174" s="115"/>
      <c r="AD174" s="115">
        <v>1</v>
      </c>
      <c r="AE174" s="115">
        <f>'page 2'!G6</f>
        <v>0</v>
      </c>
      <c r="AF174" s="115">
        <f>'page 2'!H6</f>
        <v>0</v>
      </c>
      <c r="AG174" s="115">
        <f>'page 2'!I6</f>
        <v>0</v>
      </c>
      <c r="AI174" s="62" t="str">
        <f t="shared" si="27"/>
        <v/>
      </c>
      <c r="AP174" s="88"/>
      <c r="AQ174" s="88"/>
      <c r="AR174" s="88"/>
      <c r="CA174" s="99"/>
      <c r="CB174" s="99"/>
      <c r="CC174" s="99"/>
      <c r="CD174" s="99"/>
      <c r="CE174" s="99"/>
      <c r="CF174" s="99"/>
      <c r="CG174" s="99"/>
      <c r="CH174" s="99"/>
      <c r="CI174" s="99"/>
      <c r="CJ174" s="99"/>
      <c r="CK174" s="99"/>
      <c r="CL174" s="99"/>
      <c r="CM174" s="99"/>
      <c r="CN174" s="99"/>
      <c r="CO174" s="99"/>
      <c r="CP174" s="99"/>
      <c r="CQ174" s="99"/>
      <c r="CR174" s="99"/>
      <c r="CS174" s="901"/>
    </row>
    <row r="175" spans="1:97">
      <c r="A175" s="118" t="s">
        <v>245</v>
      </c>
      <c r="B175" s="119" t="s">
        <v>135</v>
      </c>
      <c r="C175" s="115"/>
      <c r="D175" s="115"/>
      <c r="E175" s="115"/>
      <c r="F175" s="115"/>
      <c r="G175" s="115"/>
      <c r="H175" s="115"/>
      <c r="I175" s="115"/>
      <c r="J175" s="115"/>
      <c r="K175" s="115"/>
      <c r="L175" s="115"/>
      <c r="M175" s="115"/>
      <c r="N175" s="115"/>
      <c r="O175" s="115"/>
      <c r="P175" s="115"/>
      <c r="Q175" s="115"/>
      <c r="R175" s="115"/>
      <c r="S175" s="115"/>
      <c r="W175" s="725"/>
      <c r="Y175" s="115"/>
      <c r="Z175" s="117"/>
      <c r="AA175" s="115"/>
      <c r="AB175" s="115"/>
      <c r="AC175" s="115"/>
      <c r="AD175" s="115">
        <v>1</v>
      </c>
      <c r="AE175" s="115">
        <f>'page 2'!G7</f>
        <v>0</v>
      </c>
      <c r="AF175" s="115">
        <f>'page 2'!H7</f>
        <v>0</v>
      </c>
      <c r="AG175" s="115">
        <f>'page 2'!I7</f>
        <v>0</v>
      </c>
      <c r="AI175" s="62" t="str">
        <f t="shared" si="27"/>
        <v/>
      </c>
      <c r="AP175" s="88"/>
      <c r="AQ175" s="88"/>
      <c r="AR175" s="88"/>
      <c r="CA175" s="99"/>
      <c r="CB175" s="99"/>
      <c r="CC175" s="99"/>
      <c r="CD175" s="99"/>
      <c r="CE175" s="99"/>
      <c r="CF175" s="99"/>
      <c r="CG175" s="99"/>
      <c r="CH175" s="99"/>
      <c r="CI175" s="99"/>
      <c r="CJ175" s="99"/>
      <c r="CK175" s="99"/>
      <c r="CL175" s="99"/>
      <c r="CM175" s="99"/>
      <c r="CN175" s="99"/>
      <c r="CO175" s="99"/>
      <c r="CP175" s="99"/>
      <c r="CQ175" s="99"/>
      <c r="CR175" s="99"/>
      <c r="CS175" s="901"/>
    </row>
    <row r="176" spans="1:97">
      <c r="A176" s="118" t="s">
        <v>246</v>
      </c>
      <c r="B176" s="119" t="s">
        <v>131</v>
      </c>
      <c r="C176" s="115"/>
      <c r="D176" s="115"/>
      <c r="E176" s="115"/>
      <c r="F176" s="115"/>
      <c r="G176" s="115"/>
      <c r="H176" s="115"/>
      <c r="I176" s="115"/>
      <c r="J176" s="115"/>
      <c r="K176" s="115"/>
      <c r="L176" s="115"/>
      <c r="M176" s="115"/>
      <c r="N176" s="115"/>
      <c r="O176" s="115"/>
      <c r="P176" s="115"/>
      <c r="Q176" s="115"/>
      <c r="R176" s="115"/>
      <c r="S176" s="115"/>
      <c r="W176" s="725"/>
      <c r="Y176" s="115"/>
      <c r="Z176" s="117"/>
      <c r="AA176" s="115"/>
      <c r="AB176" s="115"/>
      <c r="AC176" s="115"/>
      <c r="AD176" s="115">
        <v>1</v>
      </c>
      <c r="AE176" s="115">
        <f>'page 2'!G8</f>
        <v>0</v>
      </c>
      <c r="AF176" s="115">
        <f>'page 2'!H8</f>
        <v>0</v>
      </c>
      <c r="AG176" s="115">
        <f>'page 2'!I8</f>
        <v>0</v>
      </c>
      <c r="AI176" s="62" t="str">
        <f t="shared" si="27"/>
        <v/>
      </c>
      <c r="AP176" s="88"/>
      <c r="AQ176" s="88"/>
      <c r="AR176" s="88"/>
      <c r="CA176" s="99"/>
      <c r="CB176" s="99"/>
      <c r="CC176" s="99"/>
      <c r="CD176" s="99"/>
      <c r="CE176" s="99"/>
      <c r="CF176" s="99"/>
      <c r="CG176" s="99"/>
      <c r="CH176" s="99"/>
      <c r="CI176" s="99"/>
      <c r="CJ176" s="99"/>
      <c r="CK176" s="99"/>
      <c r="CL176" s="99"/>
      <c r="CM176" s="99"/>
      <c r="CN176" s="99"/>
      <c r="CO176" s="99"/>
      <c r="CP176" s="99"/>
      <c r="CQ176" s="99"/>
      <c r="CR176" s="99"/>
      <c r="CS176" s="901"/>
    </row>
    <row r="177" spans="1:97">
      <c r="A177" s="118" t="s">
        <v>247</v>
      </c>
      <c r="B177" s="119" t="s">
        <v>135</v>
      </c>
      <c r="C177" s="115"/>
      <c r="D177" s="115"/>
      <c r="E177" s="115"/>
      <c r="F177" s="115"/>
      <c r="G177" s="115"/>
      <c r="H177" s="115"/>
      <c r="I177" s="115"/>
      <c r="J177" s="115"/>
      <c r="K177" s="115"/>
      <c r="L177" s="115"/>
      <c r="M177" s="115"/>
      <c r="N177" s="115"/>
      <c r="O177" s="115"/>
      <c r="P177" s="115"/>
      <c r="Q177" s="115"/>
      <c r="R177" s="115"/>
      <c r="S177" s="115"/>
      <c r="W177" s="725"/>
      <c r="Y177" s="115"/>
      <c r="Z177" s="117"/>
      <c r="AA177" s="115"/>
      <c r="AB177" s="115"/>
      <c r="AC177" s="115"/>
      <c r="AD177" s="115">
        <v>1</v>
      </c>
      <c r="AE177" s="115">
        <f>'page 2'!G9</f>
        <v>0</v>
      </c>
      <c r="AF177" s="115">
        <f>'page 2'!H9</f>
        <v>0</v>
      </c>
      <c r="AG177" s="115">
        <f>'page 2'!I9</f>
        <v>0</v>
      </c>
      <c r="AI177" s="62" t="str">
        <f t="shared" si="27"/>
        <v/>
      </c>
      <c r="AP177" s="88"/>
      <c r="AQ177" s="88"/>
      <c r="AR177" s="88"/>
      <c r="CA177" s="99"/>
      <c r="CB177" s="99"/>
      <c r="CC177" s="99"/>
      <c r="CD177" s="99"/>
      <c r="CE177" s="99"/>
      <c r="CF177" s="99"/>
      <c r="CG177" s="99"/>
      <c r="CH177" s="99"/>
      <c r="CI177" s="99"/>
      <c r="CJ177" s="99"/>
      <c r="CK177" s="99"/>
      <c r="CL177" s="99"/>
      <c r="CM177" s="99"/>
      <c r="CN177" s="99"/>
      <c r="CO177" s="99"/>
      <c r="CP177" s="99"/>
      <c r="CQ177" s="99"/>
      <c r="CR177" s="99"/>
      <c r="CS177" s="901"/>
    </row>
    <row r="178" spans="1:97">
      <c r="A178" s="118" t="s">
        <v>248</v>
      </c>
      <c r="B178" s="119" t="s">
        <v>132</v>
      </c>
      <c r="C178" s="115"/>
      <c r="D178" s="115"/>
      <c r="E178" s="115"/>
      <c r="F178" s="115"/>
      <c r="G178" s="115"/>
      <c r="H178" s="115"/>
      <c r="I178" s="115"/>
      <c r="J178" s="115"/>
      <c r="K178" s="115"/>
      <c r="L178" s="115"/>
      <c r="M178" s="115"/>
      <c r="N178" s="115"/>
      <c r="O178" s="115"/>
      <c r="P178" s="115"/>
      <c r="Q178" s="115"/>
      <c r="R178" s="115"/>
      <c r="S178" s="115"/>
      <c r="W178" s="725"/>
      <c r="Y178" s="115"/>
      <c r="Z178" s="117"/>
      <c r="AA178" s="115"/>
      <c r="AB178" s="115"/>
      <c r="AC178" s="115"/>
      <c r="AD178" s="115">
        <v>1</v>
      </c>
      <c r="AE178" s="115">
        <f>'page 2'!G10</f>
        <v>0</v>
      </c>
      <c r="AF178" s="115">
        <f>'page 2'!H10</f>
        <v>0</v>
      </c>
      <c r="AG178" s="115">
        <f>'page 2'!I10</f>
        <v>0</v>
      </c>
      <c r="AI178" s="62" t="str">
        <f t="shared" si="27"/>
        <v/>
      </c>
      <c r="AP178" s="88"/>
      <c r="AQ178" s="88"/>
      <c r="AR178" s="88"/>
      <c r="CA178" s="99"/>
      <c r="CB178" s="99"/>
      <c r="CC178" s="99"/>
      <c r="CD178" s="99"/>
      <c r="CE178" s="99"/>
      <c r="CF178" s="99"/>
      <c r="CG178" s="99"/>
      <c r="CH178" s="99"/>
      <c r="CI178" s="99"/>
      <c r="CJ178" s="99"/>
      <c r="CK178" s="99"/>
      <c r="CL178" s="99"/>
      <c r="CM178" s="99"/>
      <c r="CN178" s="99"/>
      <c r="CO178" s="99"/>
      <c r="CP178" s="99"/>
      <c r="CQ178" s="99"/>
      <c r="CR178" s="99"/>
      <c r="CS178" s="901"/>
    </row>
    <row r="179" spans="1:97">
      <c r="A179" s="118" t="s">
        <v>249</v>
      </c>
      <c r="B179" s="119" t="s">
        <v>132</v>
      </c>
      <c r="C179" s="115"/>
      <c r="D179" s="115"/>
      <c r="E179" s="115"/>
      <c r="F179" s="115"/>
      <c r="G179" s="115"/>
      <c r="H179" s="115"/>
      <c r="I179" s="115"/>
      <c r="J179" s="115"/>
      <c r="K179" s="115"/>
      <c r="L179" s="115"/>
      <c r="M179" s="115"/>
      <c r="N179" s="115"/>
      <c r="O179" s="115"/>
      <c r="P179" s="115"/>
      <c r="Q179" s="115"/>
      <c r="R179" s="115"/>
      <c r="S179" s="115"/>
      <c r="W179" s="725"/>
      <c r="Y179" s="115"/>
      <c r="Z179" s="117"/>
      <c r="AA179" s="115"/>
      <c r="AB179" s="115"/>
      <c r="AC179" s="115"/>
      <c r="AD179" s="115">
        <v>1</v>
      </c>
      <c r="AE179" s="115">
        <f>'page 2'!G11</f>
        <v>0</v>
      </c>
      <c r="AF179" s="115">
        <f>'page 2'!H11</f>
        <v>0</v>
      </c>
      <c r="AG179" s="115">
        <f>'page 2'!I11</f>
        <v>0</v>
      </c>
      <c r="AI179" s="62" t="str">
        <f t="shared" si="27"/>
        <v/>
      </c>
      <c r="AP179" s="88"/>
      <c r="AQ179" s="88"/>
      <c r="AR179" s="88"/>
      <c r="CA179" s="99"/>
      <c r="CB179" s="99"/>
      <c r="CC179" s="99"/>
      <c r="CD179" s="99"/>
      <c r="CE179" s="99"/>
      <c r="CF179" s="99"/>
      <c r="CG179" s="99"/>
      <c r="CH179" s="99"/>
      <c r="CI179" s="99"/>
      <c r="CJ179" s="99"/>
      <c r="CK179" s="99"/>
      <c r="CL179" s="99"/>
      <c r="CM179" s="99"/>
      <c r="CN179" s="99"/>
      <c r="CO179" s="99"/>
      <c r="CP179" s="99"/>
      <c r="CQ179" s="99"/>
      <c r="CR179" s="99"/>
      <c r="CS179" s="901"/>
    </row>
    <row r="180" spans="1:97">
      <c r="A180" s="118" t="s">
        <v>250</v>
      </c>
      <c r="B180" s="119" t="s">
        <v>132</v>
      </c>
      <c r="C180" s="115"/>
      <c r="D180" s="115"/>
      <c r="E180" s="115"/>
      <c r="F180" s="115"/>
      <c r="G180" s="115"/>
      <c r="H180" s="115"/>
      <c r="I180" s="115"/>
      <c r="J180" s="115"/>
      <c r="K180" s="115"/>
      <c r="L180" s="115"/>
      <c r="M180" s="115"/>
      <c r="N180" s="115"/>
      <c r="O180" s="115"/>
      <c r="P180" s="115"/>
      <c r="Q180" s="115"/>
      <c r="R180" s="115"/>
      <c r="S180" s="115"/>
      <c r="W180" s="725"/>
      <c r="Y180" s="115"/>
      <c r="Z180" s="117"/>
      <c r="AA180" s="115"/>
      <c r="AB180" s="115"/>
      <c r="AC180" s="115"/>
      <c r="AD180" s="115">
        <v>1</v>
      </c>
      <c r="AE180" s="115">
        <f>'page 2'!G12</f>
        <v>0</v>
      </c>
      <c r="AF180" s="115">
        <f>'page 2'!H12</f>
        <v>0</v>
      </c>
      <c r="AG180" s="115">
        <f>'page 2'!I12</f>
        <v>0</v>
      </c>
      <c r="AI180" s="62" t="str">
        <f t="shared" si="27"/>
        <v/>
      </c>
      <c r="AP180" s="88"/>
      <c r="AQ180" s="88"/>
      <c r="AR180" s="88"/>
      <c r="CA180" s="99"/>
      <c r="CB180" s="99"/>
      <c r="CC180" s="99"/>
      <c r="CD180" s="99"/>
      <c r="CE180" s="99"/>
      <c r="CF180" s="99"/>
      <c r="CG180" s="99"/>
      <c r="CH180" s="99"/>
      <c r="CI180" s="99"/>
      <c r="CJ180" s="99"/>
      <c r="CK180" s="99"/>
      <c r="CL180" s="99"/>
      <c r="CM180" s="99"/>
      <c r="CN180" s="99"/>
      <c r="CO180" s="99"/>
      <c r="CP180" s="99"/>
      <c r="CQ180" s="99"/>
      <c r="CR180" s="99"/>
      <c r="CS180" s="901"/>
    </row>
    <row r="181" spans="1:97">
      <c r="A181" s="118" t="s">
        <v>251</v>
      </c>
      <c r="B181" s="119" t="s">
        <v>131</v>
      </c>
      <c r="C181" s="115"/>
      <c r="D181" s="115"/>
      <c r="E181" s="115"/>
      <c r="F181" s="115"/>
      <c r="G181" s="115"/>
      <c r="H181" s="115"/>
      <c r="I181" s="115"/>
      <c r="J181" s="115"/>
      <c r="K181" s="115"/>
      <c r="L181" s="115"/>
      <c r="M181" s="115"/>
      <c r="N181" s="115"/>
      <c r="O181" s="115"/>
      <c r="P181" s="115"/>
      <c r="Q181" s="115"/>
      <c r="R181" s="115"/>
      <c r="S181" s="115"/>
      <c r="W181" s="725"/>
      <c r="Y181" s="115"/>
      <c r="Z181" s="117"/>
      <c r="AA181" s="115"/>
      <c r="AB181" s="115"/>
      <c r="AC181" s="115"/>
      <c r="AD181" s="115">
        <v>1</v>
      </c>
      <c r="AE181" s="115">
        <f>'page 2'!G13</f>
        <v>0</v>
      </c>
      <c r="AF181" s="115">
        <f>'page 2'!H13</f>
        <v>0</v>
      </c>
      <c r="AG181" s="115">
        <f>'page 2'!I13</f>
        <v>0</v>
      </c>
      <c r="AI181" s="62" t="str">
        <f t="shared" si="27"/>
        <v/>
      </c>
      <c r="AP181" s="88"/>
      <c r="AQ181" s="88"/>
      <c r="AR181" s="88"/>
      <c r="CA181" s="99"/>
      <c r="CB181" s="99"/>
      <c r="CC181" s="99"/>
      <c r="CD181" s="99"/>
      <c r="CE181" s="99"/>
      <c r="CF181" s="99"/>
      <c r="CG181" s="99"/>
      <c r="CH181" s="99"/>
      <c r="CI181" s="99"/>
      <c r="CJ181" s="99"/>
      <c r="CK181" s="99"/>
      <c r="CL181" s="99"/>
      <c r="CM181" s="99"/>
      <c r="CN181" s="99"/>
      <c r="CO181" s="99"/>
      <c r="CP181" s="99"/>
      <c r="CQ181" s="99"/>
      <c r="CR181" s="99"/>
      <c r="CS181" s="901"/>
    </row>
    <row r="182" spans="1:97">
      <c r="A182" s="118" t="s">
        <v>252</v>
      </c>
      <c r="B182" s="119" t="s">
        <v>133</v>
      </c>
      <c r="C182" s="115"/>
      <c r="D182" s="115"/>
      <c r="E182" s="115"/>
      <c r="F182" s="115"/>
      <c r="G182" s="115"/>
      <c r="H182" s="115"/>
      <c r="I182" s="115"/>
      <c r="J182" s="115"/>
      <c r="K182" s="115"/>
      <c r="L182" s="115"/>
      <c r="M182" s="115"/>
      <c r="N182" s="115"/>
      <c r="O182" s="115"/>
      <c r="P182" s="115"/>
      <c r="Q182" s="115"/>
      <c r="R182" s="115"/>
      <c r="S182" s="115"/>
      <c r="W182" s="725"/>
      <c r="Y182" s="115"/>
      <c r="Z182" s="117"/>
      <c r="AA182" s="115"/>
      <c r="AB182" s="115"/>
      <c r="AC182" s="115"/>
      <c r="AD182" s="115">
        <v>1</v>
      </c>
      <c r="AE182" s="115">
        <f>'page 2'!G14</f>
        <v>0</v>
      </c>
      <c r="AF182" s="115">
        <f>'page 2'!H14</f>
        <v>0</v>
      </c>
      <c r="AG182" s="115">
        <f>'page 2'!I14</f>
        <v>0</v>
      </c>
      <c r="AI182" s="62" t="str">
        <f t="shared" si="27"/>
        <v/>
      </c>
      <c r="AP182" s="88"/>
      <c r="AQ182" s="88"/>
      <c r="AR182" s="88"/>
      <c r="CA182" s="99"/>
      <c r="CB182" s="99"/>
      <c r="CC182" s="99"/>
      <c r="CD182" s="99"/>
      <c r="CE182" s="99"/>
      <c r="CF182" s="99"/>
      <c r="CG182" s="99"/>
      <c r="CH182" s="99"/>
      <c r="CI182" s="99"/>
      <c r="CJ182" s="99"/>
      <c r="CK182" s="99"/>
      <c r="CL182" s="99"/>
      <c r="CM182" s="99"/>
      <c r="CN182" s="99"/>
      <c r="CO182" s="99"/>
      <c r="CP182" s="99"/>
      <c r="CQ182" s="99"/>
      <c r="CR182" s="99"/>
      <c r="CS182" s="901"/>
    </row>
    <row r="183" spans="1:97">
      <c r="A183" s="118" t="s">
        <v>253</v>
      </c>
      <c r="B183" s="119" t="s">
        <v>133</v>
      </c>
      <c r="C183" s="115"/>
      <c r="D183" s="115"/>
      <c r="E183" s="115"/>
      <c r="F183" s="115"/>
      <c r="G183" s="115"/>
      <c r="H183" s="115"/>
      <c r="I183" s="115"/>
      <c r="J183" s="115"/>
      <c r="K183" s="115"/>
      <c r="L183" s="115"/>
      <c r="M183" s="115"/>
      <c r="N183" s="115"/>
      <c r="O183" s="115"/>
      <c r="P183" s="115"/>
      <c r="Q183" s="115"/>
      <c r="R183" s="115"/>
      <c r="S183" s="115"/>
      <c r="W183" s="725"/>
      <c r="Y183" s="115"/>
      <c r="Z183" s="117"/>
      <c r="AA183" s="115"/>
      <c r="AB183" s="115"/>
      <c r="AC183" s="115"/>
      <c r="AD183" s="115">
        <v>1</v>
      </c>
      <c r="AE183" s="115">
        <f>'page 2'!G15</f>
        <v>0</v>
      </c>
      <c r="AF183" s="115">
        <f>'page 2'!H15</f>
        <v>0</v>
      </c>
      <c r="AG183" s="115">
        <f>'page 2'!I15</f>
        <v>0</v>
      </c>
      <c r="AI183" s="62" t="str">
        <f t="shared" si="27"/>
        <v/>
      </c>
      <c r="AP183" s="88"/>
      <c r="AQ183" s="88"/>
      <c r="AR183" s="88"/>
      <c r="CA183" s="99"/>
      <c r="CB183" s="99"/>
      <c r="CC183" s="99"/>
      <c r="CD183" s="99"/>
      <c r="CE183" s="99"/>
      <c r="CF183" s="99"/>
      <c r="CG183" s="99"/>
      <c r="CH183" s="99"/>
      <c r="CI183" s="99"/>
      <c r="CJ183" s="99"/>
      <c r="CK183" s="99"/>
      <c r="CL183" s="99"/>
      <c r="CM183" s="99"/>
      <c r="CN183" s="99"/>
      <c r="CO183" s="99"/>
      <c r="CP183" s="99"/>
      <c r="CQ183" s="99"/>
      <c r="CR183" s="99"/>
      <c r="CS183" s="901"/>
    </row>
    <row r="184" spans="1:97">
      <c r="A184" s="118" t="s">
        <v>254</v>
      </c>
      <c r="B184" s="119" t="s">
        <v>131</v>
      </c>
      <c r="C184" s="115"/>
      <c r="D184" s="115"/>
      <c r="E184" s="115"/>
      <c r="F184" s="115"/>
      <c r="G184" s="115"/>
      <c r="H184" s="115"/>
      <c r="I184" s="115"/>
      <c r="J184" s="115"/>
      <c r="K184" s="115"/>
      <c r="L184" s="115"/>
      <c r="M184" s="115"/>
      <c r="N184" s="115"/>
      <c r="O184" s="115"/>
      <c r="P184" s="115"/>
      <c r="Q184" s="115"/>
      <c r="R184" s="115"/>
      <c r="S184" s="115"/>
      <c r="W184" s="725"/>
      <c r="Y184" s="115"/>
      <c r="Z184" s="117"/>
      <c r="AA184" s="115"/>
      <c r="AB184" s="115"/>
      <c r="AC184" s="115"/>
      <c r="AD184" s="115">
        <v>1</v>
      </c>
      <c r="AE184" s="115">
        <f>'page 2'!G16</f>
        <v>0</v>
      </c>
      <c r="AF184" s="115">
        <f>'page 2'!H16</f>
        <v>0</v>
      </c>
      <c r="AG184" s="115">
        <f>'page 2'!I16</f>
        <v>0</v>
      </c>
      <c r="AI184" s="62" t="str">
        <f t="shared" si="27"/>
        <v/>
      </c>
      <c r="AP184" s="88"/>
      <c r="AQ184" s="88"/>
      <c r="AR184" s="88"/>
      <c r="CA184" s="99"/>
      <c r="CB184" s="99"/>
      <c r="CC184" s="99"/>
      <c r="CD184" s="99"/>
      <c r="CE184" s="99"/>
      <c r="CF184" s="99"/>
      <c r="CG184" s="99"/>
      <c r="CH184" s="99"/>
      <c r="CI184" s="99"/>
      <c r="CJ184" s="99"/>
      <c r="CK184" s="99"/>
      <c r="CL184" s="99"/>
      <c r="CM184" s="99"/>
      <c r="CN184" s="99"/>
      <c r="CO184" s="99"/>
      <c r="CP184" s="99"/>
      <c r="CQ184" s="99"/>
      <c r="CR184" s="99"/>
      <c r="CS184" s="901"/>
    </row>
    <row r="185" spans="1:97">
      <c r="A185" s="118" t="s">
        <v>255</v>
      </c>
      <c r="B185" s="119" t="s">
        <v>133</v>
      </c>
      <c r="C185" s="115"/>
      <c r="D185" s="115"/>
      <c r="E185" s="115"/>
      <c r="F185" s="115"/>
      <c r="G185" s="115"/>
      <c r="H185" s="115"/>
      <c r="I185" s="115"/>
      <c r="J185" s="115"/>
      <c r="K185" s="115"/>
      <c r="L185" s="115"/>
      <c r="M185" s="115"/>
      <c r="N185" s="115"/>
      <c r="O185" s="115"/>
      <c r="P185" s="115"/>
      <c r="Q185" s="115"/>
      <c r="R185" s="115"/>
      <c r="S185" s="115"/>
      <c r="W185" s="725"/>
      <c r="Y185" s="115"/>
      <c r="Z185" s="117"/>
      <c r="AA185" s="115"/>
      <c r="AB185" s="115"/>
      <c r="AC185" s="115"/>
      <c r="AD185" s="115">
        <v>1</v>
      </c>
      <c r="AE185" s="115">
        <f>'page 2'!G17</f>
        <v>0</v>
      </c>
      <c r="AF185" s="115">
        <f>'page 2'!H17</f>
        <v>0</v>
      </c>
      <c r="AG185" s="115">
        <f>'page 2'!I17</f>
        <v>0</v>
      </c>
      <c r="AI185" s="62" t="str">
        <f t="shared" si="27"/>
        <v/>
      </c>
      <c r="AP185" s="88"/>
      <c r="AQ185" s="88"/>
      <c r="AR185" s="88"/>
      <c r="CA185" s="99"/>
      <c r="CB185" s="99"/>
      <c r="CC185" s="99"/>
      <c r="CD185" s="99"/>
      <c r="CE185" s="99"/>
      <c r="CF185" s="99"/>
      <c r="CG185" s="99"/>
      <c r="CH185" s="99"/>
      <c r="CI185" s="99"/>
      <c r="CJ185" s="99"/>
      <c r="CK185" s="99"/>
      <c r="CL185" s="99"/>
      <c r="CM185" s="99"/>
      <c r="CN185" s="99"/>
      <c r="CO185" s="99"/>
      <c r="CP185" s="99"/>
      <c r="CQ185" s="99"/>
      <c r="CR185" s="99"/>
      <c r="CS185" s="901"/>
    </row>
    <row r="186" spans="1:97">
      <c r="A186" s="118" t="s">
        <v>256</v>
      </c>
      <c r="B186" s="119" t="s">
        <v>135</v>
      </c>
      <c r="C186" s="115"/>
      <c r="D186" s="115"/>
      <c r="E186" s="115"/>
      <c r="F186" s="115"/>
      <c r="G186" s="115"/>
      <c r="H186" s="115"/>
      <c r="I186" s="115"/>
      <c r="J186" s="115"/>
      <c r="K186" s="115"/>
      <c r="L186" s="115"/>
      <c r="M186" s="115"/>
      <c r="N186" s="115"/>
      <c r="O186" s="115"/>
      <c r="P186" s="115"/>
      <c r="Q186" s="115"/>
      <c r="R186" s="115"/>
      <c r="S186" s="115"/>
      <c r="W186" s="725"/>
      <c r="Y186" s="115"/>
      <c r="Z186" s="117"/>
      <c r="AA186" s="115"/>
      <c r="AB186" s="115"/>
      <c r="AC186" s="115"/>
      <c r="AD186" s="115">
        <v>1</v>
      </c>
      <c r="AE186" s="115">
        <f>'page 2'!G18</f>
        <v>0</v>
      </c>
      <c r="AF186" s="115">
        <f>'page 2'!H18</f>
        <v>0</v>
      </c>
      <c r="AG186" s="115">
        <f>'page 2'!I18</f>
        <v>0</v>
      </c>
      <c r="AI186" s="62" t="str">
        <f t="shared" si="27"/>
        <v/>
      </c>
      <c r="AP186" s="88"/>
      <c r="AQ186" s="88"/>
      <c r="AR186" s="88"/>
      <c r="CA186" s="99"/>
      <c r="CB186" s="99"/>
      <c r="CC186" s="99"/>
      <c r="CD186" s="99"/>
      <c r="CE186" s="99"/>
      <c r="CF186" s="99"/>
      <c r="CG186" s="99"/>
      <c r="CH186" s="99"/>
      <c r="CI186" s="99"/>
      <c r="CJ186" s="99"/>
      <c r="CK186" s="99"/>
      <c r="CL186" s="99"/>
      <c r="CM186" s="99"/>
      <c r="CN186" s="99"/>
      <c r="CO186" s="99"/>
      <c r="CP186" s="99"/>
      <c r="CQ186" s="99"/>
      <c r="CR186" s="99"/>
      <c r="CS186" s="901"/>
    </row>
    <row r="187" spans="1:97">
      <c r="A187" s="118" t="s">
        <v>257</v>
      </c>
      <c r="B187" s="119" t="s">
        <v>131</v>
      </c>
      <c r="C187" s="115"/>
      <c r="D187" s="115"/>
      <c r="E187" s="115"/>
      <c r="F187" s="115"/>
      <c r="G187" s="115"/>
      <c r="H187" s="115"/>
      <c r="I187" s="115"/>
      <c r="J187" s="115"/>
      <c r="K187" s="115"/>
      <c r="L187" s="115"/>
      <c r="M187" s="115"/>
      <c r="N187" s="115"/>
      <c r="O187" s="115"/>
      <c r="P187" s="115"/>
      <c r="Q187" s="115"/>
      <c r="R187" s="115"/>
      <c r="S187" s="115"/>
      <c r="W187" s="725"/>
      <c r="Y187" s="115"/>
      <c r="Z187" s="117"/>
      <c r="AA187" s="115"/>
      <c r="AB187" s="115"/>
      <c r="AC187" s="115"/>
      <c r="AD187" s="115">
        <v>1</v>
      </c>
      <c r="AE187" s="115">
        <f>'page 2'!G19</f>
        <v>0</v>
      </c>
      <c r="AF187" s="115">
        <f>'page 2'!H19</f>
        <v>0</v>
      </c>
      <c r="AG187" s="115">
        <f>'page 2'!I19</f>
        <v>0</v>
      </c>
      <c r="AI187" s="62" t="str">
        <f t="shared" si="27"/>
        <v/>
      </c>
      <c r="AP187" s="88"/>
      <c r="AQ187" s="88"/>
      <c r="AR187" s="88"/>
      <c r="AS187" s="604"/>
      <c r="AT187" s="604"/>
      <c r="AU187" s="603"/>
      <c r="AV187" s="603"/>
      <c r="AW187" s="603"/>
      <c r="AX187" s="603"/>
      <c r="AY187" s="603"/>
      <c r="AZ187" s="603"/>
      <c r="BA187" s="603"/>
      <c r="BB187" s="603"/>
      <c r="BC187" s="603"/>
      <c r="BD187" s="603"/>
      <c r="BE187" s="603"/>
      <c r="BF187" s="603"/>
      <c r="BG187" s="603"/>
      <c r="BH187" s="603"/>
      <c r="BI187" s="603"/>
      <c r="BJ187" s="603"/>
      <c r="BK187" s="603"/>
      <c r="BL187" s="603"/>
      <c r="BM187" s="603"/>
      <c r="BN187" s="603"/>
      <c r="BO187" s="603"/>
      <c r="BP187" s="603"/>
      <c r="BQ187" s="603"/>
      <c r="BR187" s="603"/>
      <c r="BS187" s="603"/>
      <c r="BT187" s="603"/>
      <c r="BU187" s="603"/>
      <c r="BV187" s="603"/>
      <c r="BW187" s="603"/>
      <c r="BX187" s="603"/>
      <c r="BY187" s="603"/>
      <c r="BZ187" s="603"/>
      <c r="CA187" s="99"/>
      <c r="CB187" s="99"/>
      <c r="CC187" s="99"/>
      <c r="CD187" s="99"/>
      <c r="CE187" s="99"/>
      <c r="CF187" s="99"/>
      <c r="CG187" s="99"/>
      <c r="CH187" s="99"/>
      <c r="CI187" s="99"/>
      <c r="CJ187" s="99"/>
      <c r="CK187" s="99"/>
      <c r="CL187" s="99"/>
      <c r="CM187" s="99"/>
      <c r="CN187" s="99"/>
      <c r="CO187" s="99"/>
      <c r="CP187" s="99"/>
      <c r="CQ187" s="99"/>
      <c r="CR187" s="99"/>
      <c r="CS187" s="901"/>
    </row>
    <row r="188" spans="1:97">
      <c r="A188" s="118" t="s">
        <v>258</v>
      </c>
      <c r="B188" s="119" t="s">
        <v>133</v>
      </c>
      <c r="C188" s="115"/>
      <c r="D188" s="115"/>
      <c r="E188" s="115"/>
      <c r="F188" s="115"/>
      <c r="G188" s="115"/>
      <c r="H188" s="115"/>
      <c r="I188" s="115"/>
      <c r="J188" s="115"/>
      <c r="K188" s="115"/>
      <c r="L188" s="115"/>
      <c r="M188" s="115"/>
      <c r="N188" s="115"/>
      <c r="O188" s="115"/>
      <c r="P188" s="115"/>
      <c r="Q188" s="115"/>
      <c r="R188" s="115"/>
      <c r="S188" s="115"/>
      <c r="W188" s="725"/>
      <c r="Y188" s="115"/>
      <c r="Z188" s="117"/>
      <c r="AA188" s="115"/>
      <c r="AB188" s="115"/>
      <c r="AC188" s="115"/>
      <c r="AD188" s="115">
        <v>1</v>
      </c>
      <c r="AE188" s="115">
        <f>'page 2'!G20</f>
        <v>0</v>
      </c>
      <c r="AF188" s="115">
        <f>'page 2'!H20</f>
        <v>0</v>
      </c>
      <c r="AG188" s="115">
        <f>'page 2'!I20</f>
        <v>0</v>
      </c>
      <c r="AI188" s="62" t="str">
        <f t="shared" si="27"/>
        <v/>
      </c>
      <c r="AP188" s="88"/>
      <c r="AQ188" s="88"/>
      <c r="AR188" s="88"/>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01"/>
    </row>
    <row r="189" spans="1:97">
      <c r="A189" s="118" t="s">
        <v>259</v>
      </c>
      <c r="B189" s="119" t="s">
        <v>148</v>
      </c>
      <c r="C189" s="115"/>
      <c r="D189" s="115"/>
      <c r="E189" s="115"/>
      <c r="F189" s="115"/>
      <c r="G189" s="115"/>
      <c r="H189" s="115"/>
      <c r="I189" s="115"/>
      <c r="J189" s="115"/>
      <c r="K189" s="115"/>
      <c r="L189" s="115"/>
      <c r="M189" s="115"/>
      <c r="N189" s="115"/>
      <c r="O189" s="115"/>
      <c r="P189" s="115"/>
      <c r="Q189" s="115"/>
      <c r="R189" s="115"/>
      <c r="S189" s="115"/>
      <c r="W189" s="725"/>
      <c r="Y189" s="115"/>
      <c r="Z189" s="117"/>
      <c r="AA189" s="115"/>
      <c r="AB189" s="115"/>
      <c r="AC189" s="115"/>
      <c r="AD189" s="115">
        <v>1</v>
      </c>
      <c r="AE189" s="115">
        <f>'page 2'!G25</f>
        <v>0</v>
      </c>
      <c r="AF189" s="115">
        <f>'page 2'!H25</f>
        <v>0</v>
      </c>
      <c r="AG189" s="115">
        <f>'page 2'!I25</f>
        <v>0</v>
      </c>
      <c r="AI189" s="62" t="str">
        <f t="shared" si="27"/>
        <v/>
      </c>
      <c r="AP189" s="88"/>
      <c r="AQ189" s="88"/>
      <c r="AR189" s="88"/>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01"/>
    </row>
    <row r="190" spans="1:97">
      <c r="A190" s="118" t="s">
        <v>260</v>
      </c>
      <c r="B190" s="119" t="s">
        <v>133</v>
      </c>
      <c r="C190" s="115"/>
      <c r="D190" s="115"/>
      <c r="E190" s="115"/>
      <c r="F190" s="115"/>
      <c r="G190" s="115"/>
      <c r="H190" s="115"/>
      <c r="I190" s="115"/>
      <c r="J190" s="115"/>
      <c r="K190" s="115"/>
      <c r="L190" s="115"/>
      <c r="M190" s="115"/>
      <c r="N190" s="115"/>
      <c r="O190" s="115"/>
      <c r="P190" s="115"/>
      <c r="Q190" s="115"/>
      <c r="R190" s="115"/>
      <c r="S190" s="115"/>
      <c r="W190" s="725"/>
      <c r="Y190" s="115"/>
      <c r="Z190" s="117"/>
      <c r="AA190" s="115"/>
      <c r="AB190" s="115"/>
      <c r="AC190" s="115"/>
      <c r="AD190" s="115">
        <v>1</v>
      </c>
      <c r="AE190" s="115">
        <f>'page 2'!G26</f>
        <v>0</v>
      </c>
      <c r="AF190" s="115">
        <f>'page 2'!H26</f>
        <v>0</v>
      </c>
      <c r="AG190" s="115">
        <f>'page 2'!I26</f>
        <v>0</v>
      </c>
      <c r="AI190" s="62" t="str">
        <f t="shared" si="27"/>
        <v/>
      </c>
      <c r="AP190" s="88"/>
      <c r="AQ190" s="88"/>
      <c r="AR190" s="88"/>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01"/>
    </row>
    <row r="191" spans="1:97">
      <c r="A191" s="118" t="s">
        <v>261</v>
      </c>
      <c r="B191" s="119" t="s">
        <v>133</v>
      </c>
      <c r="C191" s="115"/>
      <c r="D191" s="115"/>
      <c r="E191" s="115"/>
      <c r="F191" s="115"/>
      <c r="G191" s="115"/>
      <c r="H191" s="115"/>
      <c r="I191" s="115"/>
      <c r="J191" s="115"/>
      <c r="K191" s="115"/>
      <c r="L191" s="115"/>
      <c r="M191" s="115"/>
      <c r="N191" s="115"/>
      <c r="O191" s="115"/>
      <c r="P191" s="115"/>
      <c r="Q191" s="115"/>
      <c r="R191" s="115"/>
      <c r="S191" s="115"/>
      <c r="W191" s="725"/>
      <c r="Y191" s="115"/>
      <c r="Z191" s="117"/>
      <c r="AA191" s="115"/>
      <c r="AB191" s="115"/>
      <c r="AC191" s="115"/>
      <c r="AD191" s="115">
        <v>1</v>
      </c>
      <c r="AE191" s="115">
        <f>'page 2'!G27</f>
        <v>0</v>
      </c>
      <c r="AF191" s="115">
        <f>'page 2'!H27</f>
        <v>0</v>
      </c>
      <c r="AG191" s="115">
        <f>'page 2'!I27</f>
        <v>0</v>
      </c>
      <c r="AI191" s="62" t="str">
        <f t="shared" si="27"/>
        <v/>
      </c>
      <c r="AP191" s="88"/>
      <c r="AQ191" s="88"/>
      <c r="AR191" s="88"/>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01"/>
    </row>
    <row r="192" spans="1:97">
      <c r="A192" s="121" t="s">
        <v>3836</v>
      </c>
      <c r="B192" s="120"/>
      <c r="C192" s="120"/>
      <c r="D192" s="120"/>
      <c r="E192" s="120"/>
      <c r="F192" s="120"/>
      <c r="G192" s="120"/>
      <c r="H192" s="120"/>
      <c r="I192" s="120"/>
      <c r="J192" s="120"/>
      <c r="K192" s="120"/>
      <c r="L192" s="120"/>
      <c r="M192" s="120"/>
      <c r="N192" s="120"/>
      <c r="O192" s="120"/>
      <c r="P192" s="120"/>
      <c r="Q192" s="120"/>
      <c r="R192" s="120"/>
      <c r="S192" s="120"/>
      <c r="T192" s="169"/>
      <c r="U192" s="169"/>
      <c r="V192" s="169"/>
      <c r="W192" s="727"/>
      <c r="X192" s="717"/>
      <c r="Y192" s="116"/>
      <c r="Z192" s="116"/>
      <c r="AA192" s="348" t="s">
        <v>8782</v>
      </c>
      <c r="AB192" s="348" t="s">
        <v>8783</v>
      </c>
      <c r="AC192" s="348" t="s">
        <v>8784</v>
      </c>
      <c r="AD192" s="348" t="s">
        <v>8785</v>
      </c>
      <c r="AE192" s="348" t="s">
        <v>8786</v>
      </c>
      <c r="AF192" s="348" t="s">
        <v>8787</v>
      </c>
      <c r="AG192" s="122"/>
      <c r="AH192" s="128"/>
      <c r="AI192" s="354"/>
      <c r="AJ192" s="354"/>
      <c r="AK192" s="354"/>
      <c r="AL192" s="354"/>
      <c r="AM192" s="354"/>
      <c r="AN192" s="354"/>
      <c r="AO192" s="354"/>
      <c r="AP192" s="355"/>
      <c r="AQ192" s="355"/>
      <c r="AR192" s="355"/>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01"/>
    </row>
    <row r="193" spans="1:2169">
      <c r="C193" s="64" t="s">
        <v>3818</v>
      </c>
      <c r="D193" s="64" t="s">
        <v>3819</v>
      </c>
      <c r="E193" s="64" t="s">
        <v>3820</v>
      </c>
      <c r="F193" s="64" t="s">
        <v>3821</v>
      </c>
      <c r="G193" s="64" t="s">
        <v>3822</v>
      </c>
      <c r="H193" s="64" t="s">
        <v>3823</v>
      </c>
      <c r="I193" s="64" t="s">
        <v>3824</v>
      </c>
      <c r="J193" s="64" t="s">
        <v>3825</v>
      </c>
      <c r="K193" s="64" t="s">
        <v>3826</v>
      </c>
      <c r="L193" s="64" t="s">
        <v>3827</v>
      </c>
      <c r="M193" s="64" t="s">
        <v>3828</v>
      </c>
      <c r="N193" s="64" t="s">
        <v>3829</v>
      </c>
      <c r="O193" s="64" t="s">
        <v>3830</v>
      </c>
      <c r="P193" s="64" t="s">
        <v>3831</v>
      </c>
      <c r="Q193" s="64" t="s">
        <v>3832</v>
      </c>
      <c r="R193" s="64" t="s">
        <v>3833</v>
      </c>
      <c r="S193" s="64" t="s">
        <v>3834</v>
      </c>
      <c r="X193" s="718" t="s">
        <v>8788</v>
      </c>
      <c r="Z193" s="347" t="s">
        <v>201</v>
      </c>
      <c r="AA193" s="64">
        <f>'page 1'!$U$35</f>
        <v>16</v>
      </c>
      <c r="AB193" s="64">
        <f>'page 1'!$U$36</f>
        <v>0</v>
      </c>
      <c r="AC193" s="64">
        <f>'page 1'!$U$37</f>
        <v>0</v>
      </c>
      <c r="AD193" s="64">
        <f>'page 1'!$U$38</f>
        <v>0</v>
      </c>
      <c r="AE193" s="64">
        <f>'page 1'!$U$39</f>
        <v>0</v>
      </c>
      <c r="AF193" s="64">
        <f>'page 1'!$U$40</f>
        <v>0</v>
      </c>
      <c r="AG193" s="106" t="s">
        <v>8789</v>
      </c>
      <c r="AP193" s="88"/>
      <c r="AQ193" s="88"/>
      <c r="AR193" s="88"/>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01"/>
    </row>
    <row r="194" spans="1:2169">
      <c r="A194" s="65" t="s">
        <v>2486</v>
      </c>
      <c r="B194" s="64" t="s">
        <v>3835</v>
      </c>
      <c r="C194" s="64" t="str">
        <f>IF('page 2'!$Q$4="","",IF('page 2'!$Q$4=A194,1,0))</f>
        <v/>
      </c>
      <c r="D194" s="64" t="str">
        <f>IF('page 2'!$Q$5="","",IF('page 2'!$Q$5=A194,1,0))</f>
        <v/>
      </c>
      <c r="E194" s="64" t="str">
        <f>IF('page 2'!$Q$6="","",IF('page 2'!$Q$6=A194,1,0))</f>
        <v/>
      </c>
      <c r="F194" s="64" t="str">
        <f>IF('page 2'!$Q$7="","",IF('page 2'!$Q$7=A194,1,0))</f>
        <v/>
      </c>
      <c r="G194" s="64" t="str">
        <f>IF('page 2'!$Q$8="","",IF('page 2'!$Q$8=A194,1,0))</f>
        <v/>
      </c>
      <c r="H194" s="64" t="str">
        <f>IF('page 2'!$Q$9="","",IF('page 2'!$Q$9=A194,1,0))</f>
        <v/>
      </c>
      <c r="I194" s="64" t="str">
        <f>IF('page 2'!$Q$10="","",IF('page 2'!$Q$10=A194,1,0))</f>
        <v/>
      </c>
      <c r="J194" s="64" t="str">
        <f>IF('page 2'!$Q$11="","",IF('page 2'!$Q$11=A194,1,0))</f>
        <v/>
      </c>
      <c r="K194" s="64" t="str">
        <f>IF('page 2'!$Q$12="","",IF('page 2'!$Q$12=A194,1,0))</f>
        <v/>
      </c>
      <c r="L194" s="64" t="str">
        <f>IF('page 2'!$Q$13="","",IF('page 2'!$Q$13=A194,1,0))</f>
        <v/>
      </c>
      <c r="M194" s="64" t="str">
        <f>IF('page 2'!$Q$14="","",IF('page 2'!$Q$14=A194,1,0))</f>
        <v/>
      </c>
      <c r="N194" s="64" t="str">
        <f>IF('page 2'!$Q$15="","",IF('page 2'!$Q$15=A194,1,0))</f>
        <v/>
      </c>
      <c r="O194" s="64" t="str">
        <f>IF('page 2'!$Q$16="","",IF('page 2'!$Q$16=A194,1,0))</f>
        <v/>
      </c>
      <c r="P194" s="64" t="str">
        <f>IF('page 2'!$Q$17="","",IF('page 2'!$Q$17=A194,1,0))</f>
        <v/>
      </c>
      <c r="Q194" s="64" t="str">
        <f>IF('page 2'!$Q$18="","",IF('page 2'!$Q$18=A194,1,0))</f>
        <v/>
      </c>
      <c r="R194" s="64" t="str">
        <f>IF('page 2'!$Q$19="","",IF('page 2'!$Q$19=A194,1,0))</f>
        <v/>
      </c>
      <c r="S194" s="64" t="str">
        <f>IF('page 2'!$Q$20="","",IF('page 2'!$Q$20=A194,1,0))</f>
        <v/>
      </c>
      <c r="W194" s="721">
        <f t="shared" ref="W194:W210" si="28">SUM(C194:S194)</f>
        <v>0</v>
      </c>
      <c r="X194" s="712">
        <f>IF(W194&gt;0,1,0)</f>
        <v>0</v>
      </c>
      <c r="Y194" s="65" t="s">
        <v>2486</v>
      </c>
      <c r="Z194" s="340"/>
      <c r="AA194" s="76" t="b">
        <f>IF($AA$193=X194,TRUE,FALSE)</f>
        <v>0</v>
      </c>
      <c r="AB194" s="76" t="b">
        <f>IF($AB$193=X194,TRUE,FALSE)</f>
        <v>1</v>
      </c>
      <c r="AC194" s="76" t="b">
        <f>IF($AC$193=X194,TRUE,FALSE)</f>
        <v>1</v>
      </c>
      <c r="AD194" s="76" t="b">
        <f>IF($AD$193=X194,TRUE,FALSE)</f>
        <v>1</v>
      </c>
      <c r="AE194" s="76" t="b">
        <f>IF($AE$193=X194,TRUE,FALSE)</f>
        <v>1</v>
      </c>
      <c r="AF194" s="76" t="b">
        <f>IF($AF$193=X194,TRUE,FALSE)</f>
        <v>1</v>
      </c>
      <c r="AG194" s="349" t="b">
        <f>IF(AND(AA194=FALSE,AB194=FALSE,AC194=FALSE,AD194=FALSE,AE194=FALSE,AF194=FALSE),FALSE,TRUE)</f>
        <v>1</v>
      </c>
      <c r="AP194" s="88"/>
      <c r="AQ194" s="88"/>
      <c r="AR194" s="88"/>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01"/>
    </row>
    <row r="195" spans="1:2169">
      <c r="A195" s="65" t="s">
        <v>2487</v>
      </c>
      <c r="B195" s="64" t="s">
        <v>3835</v>
      </c>
      <c r="C195" s="64" t="str">
        <f>IF('page 2'!$Q$4="","",IF('page 2'!$Q$4=A195,1,0))</f>
        <v/>
      </c>
      <c r="D195" s="64" t="str">
        <f>IF('page 2'!$Q$5="","",IF('page 2'!$Q$5=A195,1,0))</f>
        <v/>
      </c>
      <c r="E195" s="64" t="str">
        <f>IF('page 2'!$Q$6="","",IF('page 2'!$Q$6=A195,1,0))</f>
        <v/>
      </c>
      <c r="F195" s="64" t="str">
        <f>IF('page 2'!$Q$7="","",IF('page 2'!$Q$7=A195,1,0))</f>
        <v/>
      </c>
      <c r="G195" s="64" t="str">
        <f>IF('page 2'!$Q$8="","",IF('page 2'!$Q$8=A195,1,0))</f>
        <v/>
      </c>
      <c r="H195" s="64" t="str">
        <f>IF('page 2'!$Q$9="","",IF('page 2'!$Q$9=A195,1,0))</f>
        <v/>
      </c>
      <c r="I195" s="64" t="str">
        <f>IF('page 2'!$Q$10="","",IF('page 2'!$Q$10=A195,1,0))</f>
        <v/>
      </c>
      <c r="J195" s="64" t="str">
        <f>IF('page 2'!$Q$11="","",IF('page 2'!$Q$11=A195,1,0))</f>
        <v/>
      </c>
      <c r="K195" s="64" t="str">
        <f>IF('page 2'!$Q$12="","",IF('page 2'!$Q$12=A195,1,0))</f>
        <v/>
      </c>
      <c r="L195" s="64" t="str">
        <f>IF('page 2'!$Q$13="","",IF('page 2'!$Q$13=A195,1,0))</f>
        <v/>
      </c>
      <c r="M195" s="64" t="str">
        <f>IF('page 2'!$Q$14="","",IF('page 2'!$Q$14=A195,1,0))</f>
        <v/>
      </c>
      <c r="N195" s="64" t="str">
        <f>IF('page 2'!$Q$15="","",IF('page 2'!$Q$15=A195,1,0))</f>
        <v/>
      </c>
      <c r="O195" s="64" t="str">
        <f>IF('page 2'!$Q$16="","",IF('page 2'!$Q$16=A195,1,0))</f>
        <v/>
      </c>
      <c r="P195" s="64" t="str">
        <f>IF('page 2'!$Q$17="","",IF('page 2'!$Q$17=A195,1,0))</f>
        <v/>
      </c>
      <c r="Q195" s="64" t="str">
        <f>IF('page 2'!$Q$18="","",IF('page 2'!$Q$18=A195,1,0))</f>
        <v/>
      </c>
      <c r="R195" s="64" t="str">
        <f>IF('page 2'!$Q$19="","",IF('page 2'!$Q$19=A195,1,0))</f>
        <v/>
      </c>
      <c r="S195" s="64" t="str">
        <f>IF('page 2'!$Q$20="","",IF('page 2'!$Q$20=A195,1,0))</f>
        <v/>
      </c>
      <c r="W195" s="721">
        <f t="shared" si="28"/>
        <v>0</v>
      </c>
      <c r="X195" s="712">
        <f>IF(W195&gt;0,2,0)</f>
        <v>0</v>
      </c>
      <c r="Y195" s="65" t="s">
        <v>2487</v>
      </c>
      <c r="Z195" s="340"/>
      <c r="AA195" s="76" t="b">
        <f t="shared" ref="AA195:AA208" si="29">IF($AA$193=X195,TRUE,FALSE)</f>
        <v>0</v>
      </c>
      <c r="AB195" s="76" t="b">
        <f>IF($AB$193=X195,TRUE,FALSE)</f>
        <v>1</v>
      </c>
      <c r="AC195" s="76" t="b">
        <f t="shared" ref="AC195:AC208" si="30">IF($AC$193=X195,TRUE,FALSE)</f>
        <v>1</v>
      </c>
      <c r="AD195" s="76" t="b">
        <f t="shared" ref="AD195:AD208" si="31">IF($AD$193=X195,TRUE,FALSE)</f>
        <v>1</v>
      </c>
      <c r="AE195" s="76" t="b">
        <f t="shared" ref="AE195:AE208" si="32">IF($AE$193=X195,TRUE,FALSE)</f>
        <v>1</v>
      </c>
      <c r="AF195" s="76" t="b">
        <f t="shared" ref="AF195:AF208" si="33">IF($AF$193=X195,TRUE,FALSE)</f>
        <v>1</v>
      </c>
      <c r="AG195" s="349" t="b">
        <f t="shared" ref="AG195:AG208" si="34">IF(AND(AA195=FALSE,AB195=FALSE,AC195=FALSE,AD195=FALSE,AE195=FALSE,AF195=FALSE),FALSE,TRUE)</f>
        <v>1</v>
      </c>
      <c r="AP195" s="88"/>
      <c r="AQ195" s="88"/>
      <c r="AR195" s="88"/>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01"/>
    </row>
    <row r="196" spans="1:2169">
      <c r="A196" s="65" t="s">
        <v>2493</v>
      </c>
      <c r="B196" s="64" t="s">
        <v>3835</v>
      </c>
      <c r="C196" s="64" t="str">
        <f>IF('page 2'!$Q$4="","",IF('page 2'!$Q$4=A196,1,0))</f>
        <v/>
      </c>
      <c r="D196" s="64" t="str">
        <f>IF('page 2'!$Q$5="","",IF('page 2'!$Q$5=A196,1,0))</f>
        <v/>
      </c>
      <c r="E196" s="64" t="str">
        <f>IF('page 2'!$Q$6="","",IF('page 2'!$Q$6=A196,1,0))</f>
        <v/>
      </c>
      <c r="F196" s="64" t="str">
        <f>IF('page 2'!$Q$7="","",IF('page 2'!$Q$7=A196,1,0))</f>
        <v/>
      </c>
      <c r="G196" s="64" t="str">
        <f>IF('page 2'!$Q$8="","",IF('page 2'!$Q$8=A196,1,0))</f>
        <v/>
      </c>
      <c r="H196" s="64" t="str">
        <f>IF('page 2'!$Q$9="","",IF('page 2'!$Q$9=A196,1,0))</f>
        <v/>
      </c>
      <c r="I196" s="64" t="str">
        <f>IF('page 2'!$Q$10="","",IF('page 2'!$Q$10=A196,1,0))</f>
        <v/>
      </c>
      <c r="J196" s="64" t="str">
        <f>IF('page 2'!$Q$11="","",IF('page 2'!$Q$11=A196,1,0))</f>
        <v/>
      </c>
      <c r="K196" s="64" t="str">
        <f>IF('page 2'!$Q$12="","",IF('page 2'!$Q$12=A196,1,0))</f>
        <v/>
      </c>
      <c r="L196" s="64" t="str">
        <f>IF('page 2'!$Q$13="","",IF('page 2'!$Q$13=A196,1,0))</f>
        <v/>
      </c>
      <c r="M196" s="64" t="str">
        <f>IF('page 2'!$Q$14="","",IF('page 2'!$Q$14=A196,1,0))</f>
        <v/>
      </c>
      <c r="N196" s="64" t="str">
        <f>IF('page 2'!$Q$15="","",IF('page 2'!$Q$15=A196,1,0))</f>
        <v/>
      </c>
      <c r="O196" s="64" t="str">
        <f>IF('page 2'!$Q$16="","",IF('page 2'!$Q$16=A196,1,0))</f>
        <v/>
      </c>
      <c r="P196" s="64" t="str">
        <f>IF('page 2'!$Q$17="","",IF('page 2'!$Q$17=A196,1,0))</f>
        <v/>
      </c>
      <c r="Q196" s="64" t="str">
        <f>IF('page 2'!$Q$18="","",IF('page 2'!$Q$18=A196,1,0))</f>
        <v/>
      </c>
      <c r="R196" s="64" t="str">
        <f>IF('page 2'!$Q$19="","",IF('page 2'!$Q$19=A196,1,0))</f>
        <v/>
      </c>
      <c r="S196" s="64" t="str">
        <f>IF('page 2'!$Q$20="","",IF('page 2'!$Q$20=A196,1,0))</f>
        <v/>
      </c>
      <c r="W196" s="721">
        <f t="shared" si="28"/>
        <v>0</v>
      </c>
      <c r="X196" s="712">
        <f>IF(W196&gt;0,3,0)</f>
        <v>0</v>
      </c>
      <c r="Y196" s="65" t="s">
        <v>2493</v>
      </c>
      <c r="Z196" s="340"/>
      <c r="AA196" s="76" t="b">
        <f t="shared" si="29"/>
        <v>0</v>
      </c>
      <c r="AB196" s="76" t="b">
        <f t="shared" ref="AB196:AB208" si="35">IF($AB$193=X196,TRUE,FALSE)</f>
        <v>1</v>
      </c>
      <c r="AC196" s="76" t="b">
        <f t="shared" si="30"/>
        <v>1</v>
      </c>
      <c r="AD196" s="76" t="b">
        <f t="shared" si="31"/>
        <v>1</v>
      </c>
      <c r="AE196" s="76" t="b">
        <f t="shared" si="32"/>
        <v>1</v>
      </c>
      <c r="AF196" s="76" t="b">
        <f t="shared" si="33"/>
        <v>1</v>
      </c>
      <c r="AG196" s="349" t="b">
        <f t="shared" si="34"/>
        <v>1</v>
      </c>
      <c r="AP196" s="88"/>
      <c r="AQ196" s="88"/>
      <c r="AR196" s="88"/>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01"/>
    </row>
    <row r="197" spans="1:2169">
      <c r="A197" s="65" t="s">
        <v>2492</v>
      </c>
      <c r="B197" s="64" t="s">
        <v>3835</v>
      </c>
      <c r="C197" s="64" t="str">
        <f>IF('page 2'!$Q$4="","",IF('page 2'!$Q$4=A197,1,0))</f>
        <v/>
      </c>
      <c r="D197" s="64" t="str">
        <f>IF('page 2'!$Q$5="","",IF('page 2'!$Q$5=A197,1,0))</f>
        <v/>
      </c>
      <c r="E197" s="64" t="str">
        <f>IF('page 2'!$Q$6="","",IF('page 2'!$Q$6=A197,1,0))</f>
        <v/>
      </c>
      <c r="F197" s="64" t="str">
        <f>IF('page 2'!$Q$7="","",IF('page 2'!$Q$7=A197,1,0))</f>
        <v/>
      </c>
      <c r="G197" s="64" t="str">
        <f>IF('page 2'!$Q$8="","",IF('page 2'!$Q$8=A197,1,0))</f>
        <v/>
      </c>
      <c r="H197" s="64" t="str">
        <f>IF('page 2'!$Q$9="","",IF('page 2'!$Q$9=A197,1,0))</f>
        <v/>
      </c>
      <c r="I197" s="64" t="str">
        <f>IF('page 2'!$Q$10="","",IF('page 2'!$Q$10=A197,1,0))</f>
        <v/>
      </c>
      <c r="J197" s="64" t="str">
        <f>IF('page 2'!$Q$11="","",IF('page 2'!$Q$11=A197,1,0))</f>
        <v/>
      </c>
      <c r="K197" s="64" t="str">
        <f>IF('page 2'!$Q$12="","",IF('page 2'!$Q$12=A197,1,0))</f>
        <v/>
      </c>
      <c r="L197" s="64" t="str">
        <f>IF('page 2'!$Q$13="","",IF('page 2'!$Q$13=A197,1,0))</f>
        <v/>
      </c>
      <c r="M197" s="64" t="str">
        <f>IF('page 2'!$Q$14="","",IF('page 2'!$Q$14=A197,1,0))</f>
        <v/>
      </c>
      <c r="N197" s="64" t="str">
        <f>IF('page 2'!$Q$15="","",IF('page 2'!$Q$15=A197,1,0))</f>
        <v/>
      </c>
      <c r="O197" s="64" t="str">
        <f>IF('page 2'!$Q$16="","",IF('page 2'!$Q$16=A197,1,0))</f>
        <v/>
      </c>
      <c r="P197" s="64" t="str">
        <f>IF('page 2'!$Q$17="","",IF('page 2'!$Q$17=A197,1,0))</f>
        <v/>
      </c>
      <c r="Q197" s="64" t="str">
        <f>IF('page 2'!$Q$18="","",IF('page 2'!$Q$18=A197,1,0))</f>
        <v/>
      </c>
      <c r="R197" s="64" t="str">
        <f>IF('page 2'!$Q$19="","",IF('page 2'!$Q$19=A197,1,0))</f>
        <v/>
      </c>
      <c r="S197" s="64" t="str">
        <f>IF('page 2'!$Q$20="","",IF('page 2'!$Q$20=A197,1,0))</f>
        <v/>
      </c>
      <c r="W197" s="721">
        <f t="shared" si="28"/>
        <v>0</v>
      </c>
      <c r="X197" s="712">
        <f>IF(W197&gt;0,4,0)</f>
        <v>0</v>
      </c>
      <c r="Y197" s="65" t="s">
        <v>2492</v>
      </c>
      <c r="Z197" s="340"/>
      <c r="AA197" s="76" t="b">
        <f t="shared" si="29"/>
        <v>0</v>
      </c>
      <c r="AB197" s="76" t="b">
        <f t="shared" si="35"/>
        <v>1</v>
      </c>
      <c r="AC197" s="76" t="b">
        <f t="shared" si="30"/>
        <v>1</v>
      </c>
      <c r="AD197" s="76" t="b">
        <f t="shared" si="31"/>
        <v>1</v>
      </c>
      <c r="AE197" s="76" t="b">
        <f t="shared" si="32"/>
        <v>1</v>
      </c>
      <c r="AF197" s="76" t="b">
        <f t="shared" si="33"/>
        <v>1</v>
      </c>
      <c r="AG197" s="349" t="b">
        <f t="shared" si="34"/>
        <v>1</v>
      </c>
      <c r="AP197" s="88"/>
      <c r="AQ197" s="88"/>
      <c r="AR197" s="88"/>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01"/>
    </row>
    <row r="198" spans="1:2169">
      <c r="A198" s="65" t="s">
        <v>2489</v>
      </c>
      <c r="B198" s="64" t="s">
        <v>3835</v>
      </c>
      <c r="C198" s="64" t="str">
        <f>IF('page 2'!$Q$4="","",IF('page 2'!$Q$4=A198,1,0))</f>
        <v/>
      </c>
      <c r="D198" s="64" t="str">
        <f>IF('page 2'!$Q$5="","",IF('page 2'!$Q$5=A198,1,0))</f>
        <v/>
      </c>
      <c r="E198" s="64" t="str">
        <f>IF('page 2'!$Q$6="","",IF('page 2'!$Q$6=A198,1,0))</f>
        <v/>
      </c>
      <c r="F198" s="64" t="str">
        <f>IF('page 2'!$Q$7="","",IF('page 2'!$Q$7=A198,1,0))</f>
        <v/>
      </c>
      <c r="G198" s="64" t="str">
        <f>IF('page 2'!$Q$8="","",IF('page 2'!$Q$8=A198,1,0))</f>
        <v/>
      </c>
      <c r="H198" s="64" t="str">
        <f>IF('page 2'!$Q$9="","",IF('page 2'!$Q$9=A198,1,0))</f>
        <v/>
      </c>
      <c r="I198" s="64" t="str">
        <f>IF('page 2'!$Q$10="","",IF('page 2'!$Q$10=A198,1,0))</f>
        <v/>
      </c>
      <c r="J198" s="64" t="str">
        <f>IF('page 2'!$Q$11="","",IF('page 2'!$Q$11=A198,1,0))</f>
        <v/>
      </c>
      <c r="K198" s="64" t="str">
        <f>IF('page 2'!$Q$12="","",IF('page 2'!$Q$12=A198,1,0))</f>
        <v/>
      </c>
      <c r="L198" s="64" t="str">
        <f>IF('page 2'!$Q$13="","",IF('page 2'!$Q$13=A198,1,0))</f>
        <v/>
      </c>
      <c r="M198" s="64" t="str">
        <f>IF('page 2'!$Q$14="","",IF('page 2'!$Q$14=A198,1,0))</f>
        <v/>
      </c>
      <c r="N198" s="64" t="str">
        <f>IF('page 2'!$Q$15="","",IF('page 2'!$Q$15=A198,1,0))</f>
        <v/>
      </c>
      <c r="O198" s="64" t="str">
        <f>IF('page 2'!$Q$16="","",IF('page 2'!$Q$16=A198,1,0))</f>
        <v/>
      </c>
      <c r="P198" s="64" t="str">
        <f>IF('page 2'!$Q$17="","",IF('page 2'!$Q$17=A198,1,0))</f>
        <v/>
      </c>
      <c r="Q198" s="64" t="str">
        <f>IF('page 2'!$Q$18="","",IF('page 2'!$Q$18=A198,1,0))</f>
        <v/>
      </c>
      <c r="R198" s="64" t="str">
        <f>IF('page 2'!$Q$19="","",IF('page 2'!$Q$19=A198,1,0))</f>
        <v/>
      </c>
      <c r="S198" s="64" t="str">
        <f>IF('page 2'!$Q$20="","",IF('page 2'!$Q$20=A198,1,0))</f>
        <v/>
      </c>
      <c r="W198" s="721">
        <f t="shared" si="28"/>
        <v>0</v>
      </c>
      <c r="X198" s="712">
        <f>IF(W198&gt;0,5,0)</f>
        <v>0</v>
      </c>
      <c r="Y198" s="65" t="s">
        <v>2489</v>
      </c>
      <c r="Z198" s="340"/>
      <c r="AA198" s="76" t="b">
        <f t="shared" si="29"/>
        <v>0</v>
      </c>
      <c r="AB198" s="76" t="b">
        <f t="shared" si="35"/>
        <v>1</v>
      </c>
      <c r="AC198" s="76" t="b">
        <f t="shared" si="30"/>
        <v>1</v>
      </c>
      <c r="AD198" s="76" t="b">
        <f t="shared" si="31"/>
        <v>1</v>
      </c>
      <c r="AE198" s="76" t="b">
        <f t="shared" si="32"/>
        <v>1</v>
      </c>
      <c r="AF198" s="76" t="b">
        <f t="shared" si="33"/>
        <v>1</v>
      </c>
      <c r="AG198" s="349" t="b">
        <f t="shared" si="34"/>
        <v>1</v>
      </c>
      <c r="AP198" s="88"/>
      <c r="AQ198" s="88"/>
      <c r="AR198" s="88"/>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01"/>
    </row>
    <row r="199" spans="1:2169">
      <c r="A199" s="65" t="s">
        <v>2496</v>
      </c>
      <c r="B199" s="64" t="s">
        <v>3835</v>
      </c>
      <c r="C199" s="64" t="str">
        <f>IF('page 2'!$Q$4="","",IF('page 2'!$Q$4=A199,1,0))</f>
        <v/>
      </c>
      <c r="D199" s="64" t="str">
        <f>IF('page 2'!$Q$5="","",IF('page 2'!$Q$5=A199,1,0))</f>
        <v/>
      </c>
      <c r="E199" s="64" t="str">
        <f>IF('page 2'!$Q$6="","",IF('page 2'!$Q$6=A199,1,0))</f>
        <v/>
      </c>
      <c r="F199" s="64" t="str">
        <f>IF('page 2'!$Q$7="","",IF('page 2'!$Q$7=A199,1,0))</f>
        <v/>
      </c>
      <c r="G199" s="64" t="str">
        <f>IF('page 2'!$Q$8="","",IF('page 2'!$Q$8=A199,1,0))</f>
        <v/>
      </c>
      <c r="H199" s="64" t="str">
        <f>IF('page 2'!$Q$9="","",IF('page 2'!$Q$9=A199,1,0))</f>
        <v/>
      </c>
      <c r="I199" s="64" t="str">
        <f>IF('page 2'!$Q$10="","",IF('page 2'!$Q$10=A199,1,0))</f>
        <v/>
      </c>
      <c r="J199" s="64" t="str">
        <f>IF('page 2'!$Q$11="","",IF('page 2'!$Q$11=A199,1,0))</f>
        <v/>
      </c>
      <c r="K199" s="64" t="str">
        <f>IF('page 2'!$Q$12="","",IF('page 2'!$Q$12=A199,1,0))</f>
        <v/>
      </c>
      <c r="L199" s="64" t="str">
        <f>IF('page 2'!$Q$13="","",IF('page 2'!$Q$13=A199,1,0))</f>
        <v/>
      </c>
      <c r="M199" s="64" t="str">
        <f>IF('page 2'!$Q$14="","",IF('page 2'!$Q$14=A199,1,0))</f>
        <v/>
      </c>
      <c r="N199" s="64" t="str">
        <f>IF('page 2'!$Q$15="","",IF('page 2'!$Q$15=A199,1,0))</f>
        <v/>
      </c>
      <c r="O199" s="64" t="str">
        <f>IF('page 2'!$Q$16="","",IF('page 2'!$Q$16=A199,1,0))</f>
        <v/>
      </c>
      <c r="P199" s="64" t="str">
        <f>IF('page 2'!$Q$17="","",IF('page 2'!$Q$17=A199,1,0))</f>
        <v/>
      </c>
      <c r="Q199" s="64" t="str">
        <f>IF('page 2'!$Q$18="","",IF('page 2'!$Q$18=A199,1,0))</f>
        <v/>
      </c>
      <c r="R199" s="64" t="str">
        <f>IF('page 2'!$Q$19="","",IF('page 2'!$Q$19=A199,1,0))</f>
        <v/>
      </c>
      <c r="S199" s="64" t="str">
        <f>IF('page 2'!$Q$20="","",IF('page 2'!$Q$20=A199,1,0))</f>
        <v/>
      </c>
      <c r="W199" s="721">
        <f t="shared" si="28"/>
        <v>0</v>
      </c>
      <c r="X199" s="712">
        <f>IF(W199&gt;0,6,0)</f>
        <v>0</v>
      </c>
      <c r="Y199" s="1516" t="s">
        <v>2496</v>
      </c>
      <c r="Z199" s="1517"/>
      <c r="AA199" s="76" t="b">
        <f t="shared" si="29"/>
        <v>0</v>
      </c>
      <c r="AB199" s="76" t="b">
        <f t="shared" si="35"/>
        <v>1</v>
      </c>
      <c r="AC199" s="76" t="b">
        <f t="shared" si="30"/>
        <v>1</v>
      </c>
      <c r="AD199" s="76" t="b">
        <f t="shared" si="31"/>
        <v>1</v>
      </c>
      <c r="AE199" s="76" t="b">
        <f t="shared" si="32"/>
        <v>1</v>
      </c>
      <c r="AF199" s="76" t="b">
        <f t="shared" si="33"/>
        <v>1</v>
      </c>
      <c r="AG199" s="349" t="b">
        <f t="shared" si="34"/>
        <v>1</v>
      </c>
      <c r="AP199" s="88"/>
      <c r="AQ199" s="88"/>
      <c r="AR199" s="88"/>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01"/>
    </row>
    <row r="200" spans="1:2169">
      <c r="A200" s="65" t="s">
        <v>2491</v>
      </c>
      <c r="B200" s="64" t="s">
        <v>3835</v>
      </c>
      <c r="C200" s="64" t="str">
        <f>IF('page 2'!$Q$4="","",IF('page 2'!$Q$4=A200,1,0))</f>
        <v/>
      </c>
      <c r="D200" s="64" t="str">
        <f>IF('page 2'!$Q$5="","",IF('page 2'!$Q$5=A200,1,0))</f>
        <v/>
      </c>
      <c r="E200" s="64" t="str">
        <f>IF('page 2'!$Q$6="","",IF('page 2'!$Q$6=A200,1,0))</f>
        <v/>
      </c>
      <c r="F200" s="64" t="str">
        <f>IF('page 2'!$Q$7="","",IF('page 2'!$Q$7=A200,1,0))</f>
        <v/>
      </c>
      <c r="G200" s="64" t="str">
        <f>IF('page 2'!$Q$8="","",IF('page 2'!$Q$8=A200,1,0))</f>
        <v/>
      </c>
      <c r="H200" s="64" t="str">
        <f>IF('page 2'!$Q$9="","",IF('page 2'!$Q$9=A200,1,0))</f>
        <v/>
      </c>
      <c r="I200" s="64" t="str">
        <f>IF('page 2'!$Q$10="","",IF('page 2'!$Q$10=A200,1,0))</f>
        <v/>
      </c>
      <c r="J200" s="64" t="str">
        <f>IF('page 2'!$Q$11="","",IF('page 2'!$Q$11=A200,1,0))</f>
        <v/>
      </c>
      <c r="K200" s="64" t="str">
        <f>IF('page 2'!$Q$12="","",IF('page 2'!$Q$12=A200,1,0))</f>
        <v/>
      </c>
      <c r="L200" s="64" t="str">
        <f>IF('page 2'!$Q$13="","",IF('page 2'!$Q$13=A200,1,0))</f>
        <v/>
      </c>
      <c r="M200" s="64" t="str">
        <f>IF('page 2'!$Q$14="","",IF('page 2'!$Q$14=A200,1,0))</f>
        <v/>
      </c>
      <c r="N200" s="64" t="str">
        <f>IF('page 2'!$Q$15="","",IF('page 2'!$Q$15=A200,1,0))</f>
        <v/>
      </c>
      <c r="O200" s="64" t="str">
        <f>IF('page 2'!$Q$16="","",IF('page 2'!$Q$16=A200,1,0))</f>
        <v/>
      </c>
      <c r="P200" s="64" t="str">
        <f>IF('page 2'!$Q$17="","",IF('page 2'!$Q$17=A200,1,0))</f>
        <v/>
      </c>
      <c r="Q200" s="64" t="str">
        <f>IF('page 2'!$Q$18="","",IF('page 2'!$Q$18=A200,1,0))</f>
        <v/>
      </c>
      <c r="R200" s="64" t="str">
        <f>IF('page 2'!$Q$19="","",IF('page 2'!$Q$19=A200,1,0))</f>
        <v/>
      </c>
      <c r="S200" s="64" t="str">
        <f>IF('page 2'!$Q$20="","",IF('page 2'!$Q$20=A200,1,0))</f>
        <v/>
      </c>
      <c r="W200" s="721">
        <f t="shared" si="28"/>
        <v>0</v>
      </c>
      <c r="X200" s="712">
        <f>IF(W200&gt;0,7,0)</f>
        <v>0</v>
      </c>
      <c r="Y200" s="65" t="s">
        <v>2491</v>
      </c>
      <c r="Z200" s="340"/>
      <c r="AA200" s="76" t="b">
        <f t="shared" si="29"/>
        <v>0</v>
      </c>
      <c r="AB200" s="76" t="b">
        <f t="shared" si="35"/>
        <v>1</v>
      </c>
      <c r="AC200" s="76" t="b">
        <f t="shared" si="30"/>
        <v>1</v>
      </c>
      <c r="AD200" s="76" t="b">
        <f t="shared" si="31"/>
        <v>1</v>
      </c>
      <c r="AE200" s="76" t="b">
        <f t="shared" si="32"/>
        <v>1</v>
      </c>
      <c r="AF200" s="76" t="b">
        <f t="shared" si="33"/>
        <v>1</v>
      </c>
      <c r="AG200" s="349" t="b">
        <f t="shared" si="34"/>
        <v>1</v>
      </c>
      <c r="AH200" s="341"/>
      <c r="AM200" s="88"/>
      <c r="AN200" s="88"/>
      <c r="AO200" s="88"/>
      <c r="AP200" s="88"/>
      <c r="AQ200" s="88"/>
      <c r="AR200" s="88"/>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01"/>
    </row>
    <row r="201" spans="1:2169">
      <c r="A201" s="65" t="s">
        <v>2498</v>
      </c>
      <c r="B201" s="64" t="s">
        <v>3835</v>
      </c>
      <c r="C201" s="64" t="str">
        <f>IF('page 2'!$Q$4="","",IF('page 2'!$Q$4=A201,1,0))</f>
        <v/>
      </c>
      <c r="D201" s="64" t="str">
        <f>IF('page 2'!$Q$5="","",IF('page 2'!$Q$5=A201,1,0))</f>
        <v/>
      </c>
      <c r="E201" s="64" t="str">
        <f>IF('page 2'!$Q$6="","",IF('page 2'!$Q$6=A201,1,0))</f>
        <v/>
      </c>
      <c r="F201" s="64" t="str">
        <f>IF('page 2'!$Q$7="","",IF('page 2'!$Q$7=A201,1,0))</f>
        <v/>
      </c>
      <c r="G201" s="64" t="str">
        <f>IF('page 2'!$Q$8="","",IF('page 2'!$Q$8=A201,1,0))</f>
        <v/>
      </c>
      <c r="H201" s="64" t="str">
        <f>IF('page 2'!$Q$9="","",IF('page 2'!$Q$9=A201,1,0))</f>
        <v/>
      </c>
      <c r="I201" s="64" t="str">
        <f>IF('page 2'!$Q$10="","",IF('page 2'!$Q$10=A201,1,0))</f>
        <v/>
      </c>
      <c r="J201" s="64" t="str">
        <f>IF('page 2'!$Q$11="","",IF('page 2'!$Q$11=A201,1,0))</f>
        <v/>
      </c>
      <c r="K201" s="64" t="str">
        <f>IF('page 2'!$Q$12="","",IF('page 2'!$Q$12=A201,1,0))</f>
        <v/>
      </c>
      <c r="L201" s="64" t="str">
        <f>IF('page 2'!$Q$13="","",IF('page 2'!$Q$13=A201,1,0))</f>
        <v/>
      </c>
      <c r="M201" s="64" t="str">
        <f>IF('page 2'!$Q$14="","",IF('page 2'!$Q$14=A201,1,0))</f>
        <v/>
      </c>
      <c r="N201" s="64" t="str">
        <f>IF('page 2'!$Q$15="","",IF('page 2'!$Q$15=A201,1,0))</f>
        <v/>
      </c>
      <c r="O201" s="64" t="str">
        <f>IF('page 2'!$Q$16="","",IF('page 2'!$Q$16=A201,1,0))</f>
        <v/>
      </c>
      <c r="P201" s="64" t="str">
        <f>IF('page 2'!$Q$17="","",IF('page 2'!$Q$17=A201,1,0))</f>
        <v/>
      </c>
      <c r="Q201" s="64" t="str">
        <f>IF('page 2'!$Q$18="","",IF('page 2'!$Q$18=A201,1,0))</f>
        <v/>
      </c>
      <c r="R201" s="64" t="str">
        <f>IF('page 2'!$Q$19="","",IF('page 2'!$Q$19=A201,1,0))</f>
        <v/>
      </c>
      <c r="S201" s="64" t="str">
        <f>IF('page 2'!$Q$20="","",IF('page 2'!$Q$20=A201,1,0))</f>
        <v/>
      </c>
      <c r="W201" s="721">
        <f t="shared" si="28"/>
        <v>0</v>
      </c>
      <c r="X201" s="712">
        <f>IF(W201&gt;0,8,0)</f>
        <v>0</v>
      </c>
      <c r="Y201" s="65" t="s">
        <v>2498</v>
      </c>
      <c r="AA201" s="76" t="b">
        <f t="shared" si="29"/>
        <v>0</v>
      </c>
      <c r="AB201" s="76" t="b">
        <f t="shared" si="35"/>
        <v>1</v>
      </c>
      <c r="AC201" s="76" t="b">
        <f t="shared" si="30"/>
        <v>1</v>
      </c>
      <c r="AD201" s="76" t="b">
        <f t="shared" si="31"/>
        <v>1</v>
      </c>
      <c r="AE201" s="76" t="b">
        <f t="shared" si="32"/>
        <v>1</v>
      </c>
      <c r="AF201" s="76" t="b">
        <f t="shared" si="33"/>
        <v>1</v>
      </c>
      <c r="AG201" s="349" t="b">
        <f t="shared" si="34"/>
        <v>1</v>
      </c>
      <c r="AH201" s="341"/>
      <c r="AP201" s="88"/>
      <c r="AQ201" s="88"/>
      <c r="AR201" s="88"/>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01"/>
    </row>
    <row r="202" spans="1:2169">
      <c r="A202" s="65" t="s">
        <v>2490</v>
      </c>
      <c r="B202" s="64" t="s">
        <v>3835</v>
      </c>
      <c r="C202" s="64" t="str">
        <f>IF('page 2'!$Q$4="","",IF('page 2'!$Q$4=A202,1,0))</f>
        <v/>
      </c>
      <c r="D202" s="64" t="str">
        <f>IF('page 2'!$Q$5="","",IF('page 2'!$Q$5=A202,1,0))</f>
        <v/>
      </c>
      <c r="E202" s="64" t="str">
        <f>IF('page 2'!$Q$6="","",IF('page 2'!$Q$6=A202,1,0))</f>
        <v/>
      </c>
      <c r="F202" s="64" t="str">
        <f>IF('page 2'!$Q$7="","",IF('page 2'!$Q$7=A202,1,0))</f>
        <v/>
      </c>
      <c r="G202" s="64" t="str">
        <f>IF('page 2'!$Q$8="","",IF('page 2'!$Q$8=A202,1,0))</f>
        <v/>
      </c>
      <c r="H202" s="64" t="str">
        <f>IF('page 2'!$Q$9="","",IF('page 2'!$Q$9=A202,1,0))</f>
        <v/>
      </c>
      <c r="I202" s="64" t="str">
        <f>IF('page 2'!$Q$10="","",IF('page 2'!$Q$10=A202,1,0))</f>
        <v/>
      </c>
      <c r="J202" s="64" t="str">
        <f>IF('page 2'!$Q$11="","",IF('page 2'!$Q$11=A202,1,0))</f>
        <v/>
      </c>
      <c r="K202" s="64" t="str">
        <f>IF('page 2'!$Q$12="","",IF('page 2'!$Q$12=A202,1,0))</f>
        <v/>
      </c>
      <c r="L202" s="64" t="str">
        <f>IF('page 2'!$Q$13="","",IF('page 2'!$Q$13=A202,1,0))</f>
        <v/>
      </c>
      <c r="M202" s="64" t="str">
        <f>IF('page 2'!$Q$14="","",IF('page 2'!$Q$14=A202,1,0))</f>
        <v/>
      </c>
      <c r="N202" s="64" t="str">
        <f>IF('page 2'!$Q$15="","",IF('page 2'!$Q$15=A202,1,0))</f>
        <v/>
      </c>
      <c r="O202" s="64" t="str">
        <f>IF('page 2'!$Q$16="","",IF('page 2'!$Q$16=A202,1,0))</f>
        <v/>
      </c>
      <c r="P202" s="64" t="str">
        <f>IF('page 2'!$Q$17="","",IF('page 2'!$Q$17=A202,1,0))</f>
        <v/>
      </c>
      <c r="Q202" s="64" t="str">
        <f>IF('page 2'!$Q$18="","",IF('page 2'!$Q$18=A202,1,0))</f>
        <v/>
      </c>
      <c r="R202" s="64" t="str">
        <f>IF('page 2'!$Q$19="","",IF('page 2'!$Q$19=A202,1,0))</f>
        <v/>
      </c>
      <c r="S202" s="64" t="str">
        <f>IF('page 2'!$Q$20="","",IF('page 2'!$Q$20=A202,1,0))</f>
        <v/>
      </c>
      <c r="W202" s="721">
        <f t="shared" si="28"/>
        <v>0</v>
      </c>
      <c r="X202" s="712">
        <f>IF(W202&gt;0,9,0)</f>
        <v>0</v>
      </c>
      <c r="Y202" s="65" t="s">
        <v>2490</v>
      </c>
      <c r="AA202" s="76" t="b">
        <f t="shared" si="29"/>
        <v>0</v>
      </c>
      <c r="AB202" s="76" t="b">
        <f t="shared" si="35"/>
        <v>1</v>
      </c>
      <c r="AC202" s="76" t="b">
        <f t="shared" si="30"/>
        <v>1</v>
      </c>
      <c r="AD202" s="76" t="b">
        <f t="shared" si="31"/>
        <v>1</v>
      </c>
      <c r="AE202" s="76" t="b">
        <f t="shared" si="32"/>
        <v>1</v>
      </c>
      <c r="AF202" s="76" t="b">
        <f t="shared" si="33"/>
        <v>1</v>
      </c>
      <c r="AG202" s="349" t="b">
        <f t="shared" si="34"/>
        <v>1</v>
      </c>
      <c r="AH202" s="341"/>
      <c r="AP202" s="88"/>
      <c r="AQ202" s="88"/>
      <c r="AR202" s="88"/>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01"/>
    </row>
    <row r="203" spans="1:2169">
      <c r="A203" s="65" t="s">
        <v>2495</v>
      </c>
      <c r="B203" s="64" t="s">
        <v>3835</v>
      </c>
      <c r="C203" s="64" t="str">
        <f>IF('page 2'!$Q$4="","",IF('page 2'!$Q$4=A203,1,0))</f>
        <v/>
      </c>
      <c r="D203" s="64" t="str">
        <f>IF('page 2'!$Q$5="","",IF('page 2'!$Q$5=A203,1,0))</f>
        <v/>
      </c>
      <c r="E203" s="64" t="str">
        <f>IF('page 2'!$Q$6="","",IF('page 2'!$Q$6=A203,1,0))</f>
        <v/>
      </c>
      <c r="F203" s="64" t="str">
        <f>IF('page 2'!$Q$7="","",IF('page 2'!$Q$7=A203,1,0))</f>
        <v/>
      </c>
      <c r="G203" s="64" t="str">
        <f>IF('page 2'!$Q$8="","",IF('page 2'!$Q$8=A203,1,0))</f>
        <v/>
      </c>
      <c r="H203" s="64" t="str">
        <f>IF('page 2'!$Q$9="","",IF('page 2'!$Q$9=A203,1,0))</f>
        <v/>
      </c>
      <c r="I203" s="64" t="str">
        <f>IF('page 2'!$Q$10="","",IF('page 2'!$Q$10=A203,1,0))</f>
        <v/>
      </c>
      <c r="J203" s="64" t="str">
        <f>IF('page 2'!$Q$11="","",IF('page 2'!$Q$11=A203,1,0))</f>
        <v/>
      </c>
      <c r="K203" s="64" t="str">
        <f>IF('page 2'!$Q$12="","",IF('page 2'!$Q$12=A203,1,0))</f>
        <v/>
      </c>
      <c r="L203" s="64" t="str">
        <f>IF('page 2'!$Q$13="","",IF('page 2'!$Q$13=A203,1,0))</f>
        <v/>
      </c>
      <c r="M203" s="64" t="str">
        <f>IF('page 2'!$Q$14="","",IF('page 2'!$Q$14=A203,1,0))</f>
        <v/>
      </c>
      <c r="N203" s="64" t="str">
        <f>IF('page 2'!$Q$15="","",IF('page 2'!$Q$15=A203,1,0))</f>
        <v/>
      </c>
      <c r="O203" s="64" t="str">
        <f>IF('page 2'!$Q$16="","",IF('page 2'!$Q$16=A203,1,0))</f>
        <v/>
      </c>
      <c r="P203" s="64" t="str">
        <f>IF('page 2'!$Q$17="","",IF('page 2'!$Q$17=A203,1,0))</f>
        <v/>
      </c>
      <c r="Q203" s="64" t="str">
        <f>IF('page 2'!$Q$18="","",IF('page 2'!$Q$18=A203,1,0))</f>
        <v/>
      </c>
      <c r="R203" s="64" t="str">
        <f>IF('page 2'!$Q$19="","",IF('page 2'!$Q$19=A203,1,0))</f>
        <v/>
      </c>
      <c r="S203" s="64" t="str">
        <f>IF('page 2'!$Q$20="","",IF('page 2'!$Q$20=A203,1,0))</f>
        <v/>
      </c>
      <c r="W203" s="721">
        <f t="shared" si="28"/>
        <v>0</v>
      </c>
      <c r="X203" s="712">
        <f>IF(W203&gt;0,10,0)</f>
        <v>0</v>
      </c>
      <c r="Y203" s="65" t="s">
        <v>2495</v>
      </c>
      <c r="AA203" s="76" t="b">
        <f t="shared" si="29"/>
        <v>0</v>
      </c>
      <c r="AB203" s="76" t="b">
        <f t="shared" si="35"/>
        <v>1</v>
      </c>
      <c r="AC203" s="76" t="b">
        <f t="shared" si="30"/>
        <v>1</v>
      </c>
      <c r="AD203" s="76" t="b">
        <f t="shared" si="31"/>
        <v>1</v>
      </c>
      <c r="AE203" s="76" t="b">
        <f t="shared" si="32"/>
        <v>1</v>
      </c>
      <c r="AF203" s="76" t="b">
        <f t="shared" si="33"/>
        <v>1</v>
      </c>
      <c r="AG203" s="349" t="b">
        <f t="shared" si="34"/>
        <v>1</v>
      </c>
      <c r="AH203" s="356"/>
      <c r="AI203" s="106"/>
      <c r="AJ203" s="106"/>
      <c r="AK203" s="106"/>
      <c r="AL203" s="106"/>
      <c r="AM203" s="106"/>
      <c r="AN203" s="106"/>
      <c r="AO203" s="106"/>
      <c r="AP203" s="353"/>
      <c r="AQ203" s="88"/>
      <c r="AR203" s="88"/>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01"/>
    </row>
    <row r="204" spans="1:2169">
      <c r="A204" s="65" t="s">
        <v>2488</v>
      </c>
      <c r="B204" s="64" t="s">
        <v>3835</v>
      </c>
      <c r="C204" s="64" t="str">
        <f>IF('page 2'!$Q$4="","",IF('page 2'!$Q$4=A204,1,0))</f>
        <v/>
      </c>
      <c r="D204" s="64" t="str">
        <f>IF('page 2'!$Q$5="","",IF('page 2'!$Q$5=A204,1,0))</f>
        <v/>
      </c>
      <c r="E204" s="64" t="str">
        <f>IF('page 2'!$Q$6="","",IF('page 2'!$Q$6=A204,1,0))</f>
        <v/>
      </c>
      <c r="F204" s="64" t="str">
        <f>IF('page 2'!$Q$7="","",IF('page 2'!$Q$7=A204,1,0))</f>
        <v/>
      </c>
      <c r="G204" s="64" t="str">
        <f>IF('page 2'!$Q$8="","",IF('page 2'!$Q$8=A204,1,0))</f>
        <v/>
      </c>
      <c r="H204" s="64" t="str">
        <f>IF('page 2'!$Q$9="","",IF('page 2'!$Q$9=A204,1,0))</f>
        <v/>
      </c>
      <c r="I204" s="64" t="str">
        <f>IF('page 2'!$Q$10="","",IF('page 2'!$Q$10=A204,1,0))</f>
        <v/>
      </c>
      <c r="J204" s="64" t="str">
        <f>IF('page 2'!$Q$11="","",IF('page 2'!$Q$11=A204,1,0))</f>
        <v/>
      </c>
      <c r="K204" s="64" t="str">
        <f>IF('page 2'!$Q$12="","",IF('page 2'!$Q$12=A204,1,0))</f>
        <v/>
      </c>
      <c r="L204" s="64" t="str">
        <f>IF('page 2'!$Q$13="","",IF('page 2'!$Q$13=A204,1,0))</f>
        <v/>
      </c>
      <c r="M204" s="64" t="str">
        <f>IF('page 2'!$Q$14="","",IF('page 2'!$Q$14=A204,1,0))</f>
        <v/>
      </c>
      <c r="N204" s="64" t="str">
        <f>IF('page 2'!$Q$15="","",IF('page 2'!$Q$15=A204,1,0))</f>
        <v/>
      </c>
      <c r="O204" s="64" t="str">
        <f>IF('page 2'!$Q$16="","",IF('page 2'!$Q$16=A204,1,0))</f>
        <v/>
      </c>
      <c r="P204" s="64" t="str">
        <f>IF('page 2'!$Q$17="","",IF('page 2'!$Q$17=A204,1,0))</f>
        <v/>
      </c>
      <c r="Q204" s="64" t="str">
        <f>IF('page 2'!$Q$18="","",IF('page 2'!$Q$18=A204,1,0))</f>
        <v/>
      </c>
      <c r="R204" s="64" t="str">
        <f>IF('page 2'!$Q$19="","",IF('page 2'!$Q$19=A204,1,0))</f>
        <v/>
      </c>
      <c r="S204" s="64" t="str">
        <f>IF('page 2'!$Q$20="","",IF('page 2'!$Q$20=A204,1,0))</f>
        <v/>
      </c>
      <c r="W204" s="721">
        <f t="shared" si="28"/>
        <v>0</v>
      </c>
      <c r="X204" s="712">
        <f>IF(W204&gt;0,11,0)</f>
        <v>0</v>
      </c>
      <c r="Y204" s="65" t="s">
        <v>2488</v>
      </c>
      <c r="AA204" s="76" t="b">
        <f t="shared" si="29"/>
        <v>0</v>
      </c>
      <c r="AB204" s="76" t="b">
        <f t="shared" si="35"/>
        <v>1</v>
      </c>
      <c r="AC204" s="76" t="b">
        <f t="shared" si="30"/>
        <v>1</v>
      </c>
      <c r="AD204" s="76" t="b">
        <f t="shared" si="31"/>
        <v>1</v>
      </c>
      <c r="AE204" s="76" t="b">
        <f t="shared" si="32"/>
        <v>1</v>
      </c>
      <c r="AF204" s="76" t="b">
        <f t="shared" si="33"/>
        <v>1</v>
      </c>
      <c r="AG204" s="349" t="b">
        <f t="shared" si="34"/>
        <v>1</v>
      </c>
      <c r="AH204" s="341"/>
      <c r="AM204" s="88"/>
      <c r="AN204" s="88"/>
      <c r="AO204" s="88"/>
      <c r="AP204" s="88"/>
      <c r="AQ204" s="88"/>
      <c r="AR204" s="88"/>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01"/>
    </row>
    <row r="205" spans="1:2169">
      <c r="A205" s="65" t="s">
        <v>2497</v>
      </c>
      <c r="B205" s="64" t="s">
        <v>3835</v>
      </c>
      <c r="C205" s="64" t="str">
        <f>IF('page 2'!$Q$4="","",IF('page 2'!$Q$4=A205,1,0))</f>
        <v/>
      </c>
      <c r="D205" s="64" t="str">
        <f>IF('page 2'!$Q$5="","",IF('page 2'!$Q$5=A205,1,0))</f>
        <v/>
      </c>
      <c r="E205" s="64" t="str">
        <f>IF('page 2'!$Q$6="","",IF('page 2'!$Q$6=A205,1,0))</f>
        <v/>
      </c>
      <c r="F205" s="64" t="str">
        <f>IF('page 2'!$Q$7="","",IF('page 2'!$Q$7=A205,1,0))</f>
        <v/>
      </c>
      <c r="G205" s="64" t="str">
        <f>IF('page 2'!$Q$8="","",IF('page 2'!$Q$8=A205,1,0))</f>
        <v/>
      </c>
      <c r="H205" s="64" t="str">
        <f>IF('page 2'!$Q$9="","",IF('page 2'!$Q$9=A205,1,0))</f>
        <v/>
      </c>
      <c r="I205" s="64" t="str">
        <f>IF('page 2'!$Q$10="","",IF('page 2'!$Q$10=A205,1,0))</f>
        <v/>
      </c>
      <c r="J205" s="64" t="str">
        <f>IF('page 2'!$Q$11="","",IF('page 2'!$Q$11=A205,1,0))</f>
        <v/>
      </c>
      <c r="K205" s="64" t="str">
        <f>IF('page 2'!$Q$12="","",IF('page 2'!$Q$12=A205,1,0))</f>
        <v/>
      </c>
      <c r="L205" s="64" t="str">
        <f>IF('page 2'!$Q$13="","",IF('page 2'!$Q$13=A205,1,0))</f>
        <v/>
      </c>
      <c r="M205" s="64" t="str">
        <f>IF('page 2'!$Q$14="","",IF('page 2'!$Q$14=A205,1,0))</f>
        <v/>
      </c>
      <c r="N205" s="64" t="str">
        <f>IF('page 2'!$Q$15="","",IF('page 2'!$Q$15=A205,1,0))</f>
        <v/>
      </c>
      <c r="O205" s="64" t="str">
        <f>IF('page 2'!$Q$16="","",IF('page 2'!$Q$16=A205,1,0))</f>
        <v/>
      </c>
      <c r="P205" s="64" t="str">
        <f>IF('page 2'!$Q$17="","",IF('page 2'!$Q$17=A205,1,0))</f>
        <v/>
      </c>
      <c r="Q205" s="64" t="str">
        <f>IF('page 2'!$Q$18="","",IF('page 2'!$Q$18=A205,1,0))</f>
        <v/>
      </c>
      <c r="R205" s="64" t="str">
        <f>IF('page 2'!$Q$19="","",IF('page 2'!$Q$19=A205,1,0))</f>
        <v/>
      </c>
      <c r="S205" s="64" t="str">
        <f>IF('page 2'!$Q$20="","",IF('page 2'!$Q$20=A205,1,0))</f>
        <v/>
      </c>
      <c r="W205" s="721">
        <f t="shared" si="28"/>
        <v>0</v>
      </c>
      <c r="X205" s="712">
        <f>IF(W205&gt;0,12,0)</f>
        <v>0</v>
      </c>
      <c r="Y205" s="65" t="s">
        <v>2497</v>
      </c>
      <c r="AA205" s="76" t="b">
        <f t="shared" si="29"/>
        <v>0</v>
      </c>
      <c r="AB205" s="76" t="b">
        <f t="shared" si="35"/>
        <v>1</v>
      </c>
      <c r="AC205" s="76" t="b">
        <f t="shared" si="30"/>
        <v>1</v>
      </c>
      <c r="AD205" s="76" t="b">
        <f t="shared" si="31"/>
        <v>1</v>
      </c>
      <c r="AE205" s="76" t="b">
        <f t="shared" si="32"/>
        <v>1</v>
      </c>
      <c r="AF205" s="76" t="b">
        <f t="shared" si="33"/>
        <v>1</v>
      </c>
      <c r="AG205" s="349" t="b">
        <f t="shared" si="34"/>
        <v>1</v>
      </c>
      <c r="AH205" s="341"/>
      <c r="AM205" s="88"/>
      <c r="AN205" s="88"/>
      <c r="AO205" s="88"/>
      <c r="AP205" s="88"/>
      <c r="AQ205" s="88"/>
      <c r="AR205" s="88"/>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01"/>
    </row>
    <row r="206" spans="1:2169">
      <c r="A206" s="65" t="s">
        <v>2499</v>
      </c>
      <c r="B206" s="64" t="s">
        <v>3835</v>
      </c>
      <c r="C206" s="64" t="str">
        <f>IF('page 2'!$Q$4="","",IF('page 2'!$Q$4=A206,1,0))</f>
        <v/>
      </c>
      <c r="D206" s="64" t="str">
        <f>IF('page 2'!$Q$5="","",IF('page 2'!$Q$5=A206,1,0))</f>
        <v/>
      </c>
      <c r="E206" s="64" t="str">
        <f>IF('page 2'!$Q$6="","",IF('page 2'!$Q$6=A206,1,0))</f>
        <v/>
      </c>
      <c r="F206" s="64" t="str">
        <f>IF('page 2'!$Q$7="","",IF('page 2'!$Q$7=A206,1,0))</f>
        <v/>
      </c>
      <c r="G206" s="64" t="str">
        <f>IF('page 2'!$Q$8="","",IF('page 2'!$Q$8=A206,1,0))</f>
        <v/>
      </c>
      <c r="H206" s="64" t="str">
        <f>IF('page 2'!$Q$9="","",IF('page 2'!$Q$9=A206,1,0))</f>
        <v/>
      </c>
      <c r="I206" s="64" t="str">
        <f>IF('page 2'!$Q$10="","",IF('page 2'!$Q$10=A206,1,0))</f>
        <v/>
      </c>
      <c r="J206" s="64" t="str">
        <f>IF('page 2'!$Q$11="","",IF('page 2'!$Q$11=A206,1,0))</f>
        <v/>
      </c>
      <c r="K206" s="64" t="str">
        <f>IF('page 2'!$Q$12="","",IF('page 2'!$Q$12=A206,1,0))</f>
        <v/>
      </c>
      <c r="L206" s="64" t="str">
        <f>IF('page 2'!$Q$13="","",IF('page 2'!$Q$13=A206,1,0))</f>
        <v/>
      </c>
      <c r="M206" s="64" t="str">
        <f>IF('page 2'!$Q$14="","",IF('page 2'!$Q$14=A206,1,0))</f>
        <v/>
      </c>
      <c r="N206" s="64" t="str">
        <f>IF('page 2'!$Q$15="","",IF('page 2'!$Q$15=A206,1,0))</f>
        <v/>
      </c>
      <c r="O206" s="64" t="str">
        <f>IF('page 2'!$Q$16="","",IF('page 2'!$Q$16=A206,1,0))</f>
        <v/>
      </c>
      <c r="P206" s="64" t="str">
        <f>IF('page 2'!$Q$17="","",IF('page 2'!$Q$17=A206,1,0))</f>
        <v/>
      </c>
      <c r="Q206" s="64" t="str">
        <f>IF('page 2'!$Q$18="","",IF('page 2'!$Q$18=A206,1,0))</f>
        <v/>
      </c>
      <c r="R206" s="64" t="str">
        <f>IF('page 2'!$Q$19="","",IF('page 2'!$Q$19=A206,1,0))</f>
        <v/>
      </c>
      <c r="S206" s="64" t="str">
        <f>IF('page 2'!$Q$20="","",IF('page 2'!$Q$20=A206,1,0))</f>
        <v/>
      </c>
      <c r="W206" s="721">
        <f t="shared" si="28"/>
        <v>0</v>
      </c>
      <c r="X206" s="712">
        <f>IF(W206&gt;0,13,0)</f>
        <v>0</v>
      </c>
      <c r="Y206" s="65" t="s">
        <v>2499</v>
      </c>
      <c r="AA206" s="76" t="b">
        <f t="shared" si="29"/>
        <v>0</v>
      </c>
      <c r="AB206" s="76" t="b">
        <f t="shared" si="35"/>
        <v>1</v>
      </c>
      <c r="AC206" s="76" t="b">
        <f t="shared" si="30"/>
        <v>1</v>
      </c>
      <c r="AD206" s="76" t="b">
        <f t="shared" si="31"/>
        <v>1</v>
      </c>
      <c r="AE206" s="76" t="b">
        <f t="shared" si="32"/>
        <v>1</v>
      </c>
      <c r="AF206" s="76" t="b">
        <f t="shared" si="33"/>
        <v>1</v>
      </c>
      <c r="AG206" s="349" t="b">
        <f t="shared" si="34"/>
        <v>1</v>
      </c>
      <c r="AH206" s="341"/>
      <c r="AM206" s="88"/>
      <c r="AN206" s="88"/>
      <c r="AO206" s="88"/>
      <c r="AP206" s="88"/>
      <c r="AQ206" s="88"/>
      <c r="AR206" s="88"/>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01"/>
    </row>
    <row r="207" spans="1:2169">
      <c r="A207" s="65" t="s">
        <v>210</v>
      </c>
      <c r="B207" s="64" t="s">
        <v>3835</v>
      </c>
      <c r="C207" s="64" t="str">
        <f>IF('page 2'!$Q$4="","",IF('page 2'!$Q$4=A207,1,0))</f>
        <v/>
      </c>
      <c r="D207" s="64" t="str">
        <f>IF('page 2'!$Q$5="","",IF('page 2'!$Q$5=A207,1,0))</f>
        <v/>
      </c>
      <c r="E207" s="64" t="str">
        <f>IF('page 2'!$Q$6="","",IF('page 2'!$Q$6=A207,1,0))</f>
        <v/>
      </c>
      <c r="F207" s="64" t="str">
        <f>IF('page 2'!$Q$7="","",IF('page 2'!$Q$7=A207,1,0))</f>
        <v/>
      </c>
      <c r="G207" s="64" t="str">
        <f>IF('page 2'!$Q$8="","",IF('page 2'!$Q$8=A207,1,0))</f>
        <v/>
      </c>
      <c r="H207" s="64" t="str">
        <f>IF('page 2'!$Q$9="","",IF('page 2'!$Q$9=A207,1,0))</f>
        <v/>
      </c>
      <c r="I207" s="64" t="str">
        <f>IF('page 2'!$Q$10="","",IF('page 2'!$Q$10=A207,1,0))</f>
        <v/>
      </c>
      <c r="J207" s="64" t="str">
        <f>IF('page 2'!$Q$11="","",IF('page 2'!$Q$11=A207,1,0))</f>
        <v/>
      </c>
      <c r="K207" s="64" t="str">
        <f>IF('page 2'!$Q$12="","",IF('page 2'!$Q$12=A207,1,0))</f>
        <v/>
      </c>
      <c r="L207" s="64" t="str">
        <f>IF('page 2'!$Q$13="","",IF('page 2'!$Q$13=A207,1,0))</f>
        <v/>
      </c>
      <c r="M207" s="64" t="str">
        <f>IF('page 2'!$Q$14="","",IF('page 2'!$Q$14=A207,1,0))</f>
        <v/>
      </c>
      <c r="N207" s="64" t="str">
        <f>IF('page 2'!$Q$15="","",IF('page 2'!$Q$15=A207,1,0))</f>
        <v/>
      </c>
      <c r="O207" s="64" t="str">
        <f>IF('page 2'!$Q$16="","",IF('page 2'!$Q$16=A207,1,0))</f>
        <v/>
      </c>
      <c r="P207" s="64" t="str">
        <f>IF('page 2'!$Q$17="","",IF('page 2'!$Q$17=A207,1,0))</f>
        <v/>
      </c>
      <c r="Q207" s="64" t="str">
        <f>IF('page 2'!$Q$18="","",IF('page 2'!$Q$18=A207,1,0))</f>
        <v/>
      </c>
      <c r="R207" s="64" t="str">
        <f>IF('page 2'!$Q$19="","",IF('page 2'!$Q$19=A207,1,0))</f>
        <v/>
      </c>
      <c r="S207" s="64" t="str">
        <f>IF('page 2'!$Q$20="","",IF('page 2'!$Q$20=A207,1,0))</f>
        <v/>
      </c>
      <c r="W207" s="721">
        <f t="shared" si="28"/>
        <v>0</v>
      </c>
      <c r="X207" s="712">
        <f>IF(W207&gt;0,14,0)</f>
        <v>0</v>
      </c>
      <c r="Y207" s="65" t="s">
        <v>210</v>
      </c>
      <c r="AA207" s="76" t="b">
        <f t="shared" si="29"/>
        <v>0</v>
      </c>
      <c r="AB207" s="76" t="b">
        <f t="shared" si="35"/>
        <v>1</v>
      </c>
      <c r="AC207" s="76" t="b">
        <f t="shared" si="30"/>
        <v>1</v>
      </c>
      <c r="AD207" s="76" t="b">
        <f t="shared" si="31"/>
        <v>1</v>
      </c>
      <c r="AE207" s="76" t="b">
        <f t="shared" si="32"/>
        <v>1</v>
      </c>
      <c r="AF207" s="76" t="b">
        <f t="shared" si="33"/>
        <v>1</v>
      </c>
      <c r="AG207" s="349" t="b">
        <f t="shared" si="34"/>
        <v>1</v>
      </c>
      <c r="AH207" s="341"/>
      <c r="AM207" s="88"/>
      <c r="AN207" s="88"/>
      <c r="AO207" s="88"/>
      <c r="AP207" s="88"/>
      <c r="AQ207" s="88"/>
      <c r="AR207" s="88"/>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01"/>
    </row>
    <row r="208" spans="1:2169" s="345" customFormat="1" ht="13.8" thickBot="1">
      <c r="A208" s="343" t="s">
        <v>2494</v>
      </c>
      <c r="B208" s="344" t="s">
        <v>3835</v>
      </c>
      <c r="C208" s="344" t="str">
        <f>IF('page 2'!$Q$4="","",IF('page 2'!$Q$4=A208,1,0))</f>
        <v/>
      </c>
      <c r="D208" s="344" t="str">
        <f>IF('page 2'!$Q$5="","",IF('page 2'!$Q$5=A208,1,0))</f>
        <v/>
      </c>
      <c r="E208" s="344" t="str">
        <f>IF('page 2'!$Q$6="","",IF('page 2'!$Q$6=A208,1,0))</f>
        <v/>
      </c>
      <c r="F208" s="344" t="str">
        <f>IF('page 2'!$Q$7="","",IF('page 2'!$Q$7=A208,1,0))</f>
        <v/>
      </c>
      <c r="G208" s="344" t="str">
        <f>IF('page 2'!$Q$8="","",IF('page 2'!$Q$8=A208,1,0))</f>
        <v/>
      </c>
      <c r="H208" s="344" t="str">
        <f>IF('page 2'!$Q$9="","",IF('page 2'!$Q$9=A208,1,0))</f>
        <v/>
      </c>
      <c r="I208" s="344" t="str">
        <f>IF('page 2'!$Q$10="","",IF('page 2'!$Q$10=A208,1,0))</f>
        <v/>
      </c>
      <c r="J208" s="344" t="str">
        <f>IF('page 2'!$Q$11="","",IF('page 2'!$Q$11=A208,1,0))</f>
        <v/>
      </c>
      <c r="K208" s="344" t="str">
        <f>IF('page 2'!$Q$12="","",IF('page 2'!$Q$12=A208,1,0))</f>
        <v/>
      </c>
      <c r="L208" s="344" t="str">
        <f>IF('page 2'!$Q$13="","",IF('page 2'!$Q$13=A208,1,0))</f>
        <v/>
      </c>
      <c r="M208" s="344" t="str">
        <f>IF('page 2'!$Q$14="","",IF('page 2'!$Q$14=A208,1,0))</f>
        <v/>
      </c>
      <c r="N208" s="344" t="str">
        <f>IF('page 2'!$Q$15="","",IF('page 2'!$Q$15=A208,1,0))</f>
        <v/>
      </c>
      <c r="O208" s="344" t="str">
        <f>IF('page 2'!$Q$16="","",IF('page 2'!$Q$16=A208,1,0))</f>
        <v/>
      </c>
      <c r="P208" s="344" t="str">
        <f>IF('page 2'!$Q$17="","",IF('page 2'!$Q$17=A208,1,0))</f>
        <v/>
      </c>
      <c r="Q208" s="344" t="str">
        <f>IF('page 2'!$Q$18="","",IF('page 2'!$Q$18=A208,1,0))</f>
        <v/>
      </c>
      <c r="R208" s="344" t="str">
        <f>IF('page 2'!$Q$19="","",IF('page 2'!$Q$19=A208,1,0))</f>
        <v/>
      </c>
      <c r="S208" s="344" t="str">
        <f>IF('page 2'!$Q$20="","",IF('page 2'!$Q$20=A208,1,0))</f>
        <v/>
      </c>
      <c r="T208" s="344"/>
      <c r="U208" s="344"/>
      <c r="V208" s="344"/>
      <c r="W208" s="728">
        <f t="shared" si="28"/>
        <v>0</v>
      </c>
      <c r="X208" s="712">
        <f>IF(W208&gt;0,15,0)</f>
        <v>0</v>
      </c>
      <c r="Y208" s="343" t="s">
        <v>2494</v>
      </c>
      <c r="Z208" s="64"/>
      <c r="AA208" s="76" t="b">
        <f t="shared" si="29"/>
        <v>0</v>
      </c>
      <c r="AB208" s="76" t="b">
        <f t="shared" si="35"/>
        <v>1</v>
      </c>
      <c r="AC208" s="76" t="b">
        <f t="shared" si="30"/>
        <v>1</v>
      </c>
      <c r="AD208" s="76" t="b">
        <f t="shared" si="31"/>
        <v>1</v>
      </c>
      <c r="AE208" s="76" t="b">
        <f t="shared" si="32"/>
        <v>1</v>
      </c>
      <c r="AF208" s="76" t="b">
        <f t="shared" si="33"/>
        <v>1</v>
      </c>
      <c r="AG208" s="349" t="b">
        <f t="shared" si="34"/>
        <v>1</v>
      </c>
      <c r="AH208" s="341"/>
      <c r="AI208" s="62"/>
      <c r="AJ208" s="62"/>
      <c r="AK208" s="62"/>
      <c r="AL208" s="62"/>
      <c r="AM208" s="88"/>
      <c r="AN208" s="88"/>
      <c r="AO208" s="88"/>
      <c r="AP208" s="88"/>
      <c r="AQ208" s="88"/>
      <c r="AR208" s="88"/>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01"/>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c r="GF208" s="88"/>
      <c r="GG208" s="88"/>
      <c r="GH208" s="88"/>
      <c r="GI208" s="88"/>
      <c r="GJ208" s="88"/>
      <c r="GK208" s="88"/>
      <c r="GL208" s="88"/>
      <c r="GM208" s="88"/>
      <c r="GN208" s="88"/>
      <c r="GO208" s="88"/>
      <c r="GP208" s="88"/>
      <c r="GQ208" s="88"/>
      <c r="GR208" s="88"/>
      <c r="GS208" s="88"/>
      <c r="GT208" s="88"/>
      <c r="GU208" s="88"/>
      <c r="GV208" s="88"/>
      <c r="GW208" s="88"/>
      <c r="GX208" s="88"/>
      <c r="GY208" s="88"/>
      <c r="GZ208" s="88"/>
      <c r="HA208" s="88"/>
      <c r="HB208" s="88"/>
      <c r="HC208" s="88"/>
      <c r="HD208" s="88"/>
      <c r="HE208" s="88"/>
      <c r="HF208" s="88"/>
      <c r="HG208" s="88"/>
      <c r="HH208" s="88"/>
      <c r="HI208" s="88"/>
      <c r="HJ208" s="88"/>
      <c r="HK208" s="88"/>
      <c r="HL208" s="88"/>
      <c r="HM208" s="88"/>
      <c r="HN208" s="88"/>
      <c r="HO208" s="88"/>
      <c r="HP208" s="88"/>
      <c r="HQ208" s="88"/>
      <c r="HR208" s="88"/>
      <c r="HS208" s="88"/>
      <c r="HT208" s="88"/>
      <c r="HU208" s="88"/>
      <c r="HV208" s="88"/>
      <c r="HW208" s="88"/>
      <c r="HX208" s="88"/>
      <c r="HY208" s="88"/>
      <c r="HZ208" s="88"/>
      <c r="IA208" s="88"/>
      <c r="IB208" s="88"/>
      <c r="IC208" s="88"/>
      <c r="ID208" s="88"/>
      <c r="IE208" s="88"/>
      <c r="IF208" s="88"/>
      <c r="IG208" s="88"/>
      <c r="IH208" s="88"/>
      <c r="II208" s="88"/>
      <c r="IJ208" s="88"/>
      <c r="IK208" s="88"/>
      <c r="IL208" s="88"/>
      <c r="IM208" s="88"/>
      <c r="IN208" s="88"/>
      <c r="IO208" s="88"/>
      <c r="IP208" s="88"/>
      <c r="IQ208" s="88"/>
      <c r="IR208" s="88"/>
      <c r="IS208" s="88"/>
      <c r="IT208" s="88"/>
      <c r="IU208" s="88"/>
      <c r="IV208" s="899"/>
      <c r="IW208" s="899"/>
      <c r="IX208" s="899"/>
      <c r="IY208" s="899"/>
      <c r="IZ208" s="899"/>
      <c r="JA208" s="899"/>
      <c r="JB208" s="899"/>
      <c r="JC208" s="899"/>
      <c r="JD208" s="899"/>
      <c r="JE208" s="899"/>
      <c r="JF208" s="899"/>
      <c r="JG208" s="899"/>
      <c r="JH208" s="899"/>
      <c r="JI208" s="899"/>
      <c r="JJ208" s="899"/>
      <c r="JK208" s="899"/>
      <c r="JL208" s="899"/>
      <c r="JM208" s="899"/>
      <c r="JN208" s="899"/>
      <c r="JO208" s="899"/>
      <c r="JP208" s="899"/>
      <c r="JQ208" s="899"/>
      <c r="JR208" s="899"/>
      <c r="JS208" s="899"/>
      <c r="JT208" s="899"/>
      <c r="JU208" s="899"/>
      <c r="JV208" s="899"/>
      <c r="JW208" s="899"/>
      <c r="JX208" s="899"/>
      <c r="JY208" s="899"/>
      <c r="JZ208" s="899"/>
      <c r="KA208" s="899"/>
      <c r="KB208" s="899"/>
      <c r="KC208" s="899"/>
      <c r="KD208" s="899"/>
      <c r="KE208" s="899"/>
      <c r="KF208" s="899"/>
      <c r="KG208" s="899"/>
      <c r="KH208" s="899"/>
      <c r="KI208" s="899"/>
      <c r="KJ208" s="899"/>
      <c r="KK208" s="899"/>
      <c r="KL208" s="899"/>
      <c r="KM208" s="899"/>
      <c r="KN208" s="899"/>
      <c r="KO208" s="899"/>
      <c r="KP208" s="899"/>
      <c r="KQ208" s="899"/>
      <c r="KR208" s="899"/>
      <c r="KS208" s="899"/>
      <c r="KT208" s="899"/>
      <c r="KU208" s="899"/>
      <c r="KV208" s="899"/>
      <c r="KW208" s="899"/>
      <c r="KX208" s="899"/>
      <c r="KY208" s="899"/>
      <c r="KZ208" s="899"/>
      <c r="LA208" s="899"/>
      <c r="LB208" s="899"/>
      <c r="LC208" s="899"/>
      <c r="LD208" s="899"/>
      <c r="LE208" s="899"/>
      <c r="LF208" s="899"/>
      <c r="LG208" s="899"/>
      <c r="LH208" s="899"/>
      <c r="LI208" s="899"/>
      <c r="LJ208" s="899"/>
      <c r="LK208" s="899"/>
      <c r="LL208" s="899"/>
      <c r="LM208" s="899"/>
      <c r="LN208" s="899"/>
      <c r="LO208" s="899"/>
      <c r="LP208" s="899"/>
      <c r="LQ208" s="899"/>
      <c r="LR208" s="899"/>
      <c r="LS208" s="899"/>
      <c r="LT208" s="899"/>
      <c r="LU208" s="899"/>
      <c r="LV208" s="899"/>
      <c r="LW208" s="899"/>
      <c r="LX208" s="899"/>
      <c r="LY208" s="899"/>
      <c r="LZ208" s="899"/>
      <c r="MA208" s="899"/>
      <c r="MB208" s="899"/>
      <c r="MC208" s="899"/>
      <c r="MD208" s="899"/>
      <c r="ME208" s="899"/>
      <c r="MF208" s="899"/>
      <c r="MG208" s="899"/>
      <c r="MH208" s="899"/>
      <c r="MI208" s="899"/>
      <c r="MJ208" s="899"/>
      <c r="MK208" s="899"/>
      <c r="ML208" s="899"/>
      <c r="MM208" s="899"/>
      <c r="MN208" s="899"/>
      <c r="MO208" s="899"/>
      <c r="MP208" s="899"/>
      <c r="MQ208" s="899"/>
      <c r="MR208" s="899"/>
      <c r="MS208" s="899"/>
      <c r="MT208" s="899"/>
      <c r="MU208" s="899"/>
      <c r="MV208" s="899"/>
      <c r="MW208" s="899"/>
      <c r="MX208" s="899"/>
      <c r="MY208" s="899"/>
      <c r="MZ208" s="899"/>
      <c r="NA208" s="899"/>
      <c r="NB208" s="899"/>
      <c r="NC208" s="899"/>
      <c r="ND208" s="899"/>
      <c r="NE208" s="899"/>
      <c r="NF208" s="899"/>
      <c r="NG208" s="899"/>
      <c r="NH208" s="899"/>
      <c r="NI208" s="899"/>
      <c r="NJ208" s="899"/>
      <c r="NK208" s="899"/>
      <c r="NL208" s="899"/>
      <c r="NM208" s="899"/>
      <c r="NN208" s="899"/>
      <c r="NO208" s="899"/>
      <c r="NP208" s="899"/>
      <c r="NQ208" s="899"/>
      <c r="NR208" s="899"/>
      <c r="NS208" s="899"/>
      <c r="NT208" s="899"/>
      <c r="NU208" s="899"/>
      <c r="NV208" s="899"/>
      <c r="NW208" s="899"/>
      <c r="NX208" s="899"/>
      <c r="NY208" s="899"/>
      <c r="NZ208" s="899"/>
      <c r="OA208" s="899"/>
      <c r="OB208" s="899"/>
      <c r="OC208" s="899"/>
      <c r="OD208" s="899"/>
      <c r="OE208" s="899"/>
      <c r="OF208" s="899"/>
      <c r="OG208" s="899"/>
      <c r="OH208" s="899"/>
      <c r="OI208" s="899"/>
      <c r="OJ208" s="899"/>
      <c r="OK208" s="899"/>
      <c r="OL208" s="899"/>
      <c r="OM208" s="899"/>
      <c r="ON208" s="899"/>
      <c r="OO208" s="899"/>
      <c r="OP208" s="899"/>
      <c r="OQ208" s="899"/>
      <c r="OR208" s="899"/>
      <c r="OS208" s="899"/>
      <c r="OT208" s="899"/>
      <c r="OU208" s="899"/>
      <c r="OV208" s="899"/>
      <c r="OW208" s="899"/>
      <c r="OX208" s="899"/>
      <c r="OY208" s="899"/>
      <c r="OZ208" s="899"/>
      <c r="PA208" s="899"/>
      <c r="PB208" s="899"/>
      <c r="PC208" s="899"/>
      <c r="PD208" s="899"/>
      <c r="PE208" s="899"/>
      <c r="PF208" s="899"/>
      <c r="PG208" s="899"/>
      <c r="PH208" s="899"/>
      <c r="PI208" s="899"/>
      <c r="PJ208" s="899"/>
      <c r="PK208" s="899"/>
      <c r="PL208" s="899"/>
      <c r="PM208" s="899"/>
      <c r="PN208" s="899"/>
      <c r="PO208" s="899"/>
      <c r="PP208" s="899"/>
      <c r="PQ208" s="899"/>
      <c r="PR208" s="899"/>
      <c r="PS208" s="899"/>
      <c r="PT208" s="899"/>
      <c r="PU208" s="899"/>
      <c r="PV208" s="899"/>
      <c r="PW208" s="899"/>
      <c r="PX208" s="899"/>
      <c r="PY208" s="899"/>
      <c r="PZ208" s="899"/>
      <c r="QA208" s="899"/>
      <c r="QB208" s="899"/>
      <c r="QC208" s="899"/>
      <c r="QD208" s="899"/>
      <c r="QE208" s="899"/>
      <c r="QF208" s="899"/>
      <c r="QG208" s="899"/>
      <c r="QH208" s="899"/>
      <c r="QI208" s="899"/>
      <c r="QJ208" s="899"/>
      <c r="QK208" s="899"/>
      <c r="QL208" s="899"/>
      <c r="QM208" s="899"/>
      <c r="QN208" s="899"/>
      <c r="QO208" s="899"/>
      <c r="QP208" s="899"/>
      <c r="QQ208" s="899"/>
      <c r="QR208" s="899"/>
      <c r="QS208" s="899"/>
      <c r="QT208" s="899"/>
      <c r="QU208" s="899"/>
      <c r="QV208" s="899"/>
      <c r="QW208" s="899"/>
      <c r="QX208" s="899"/>
      <c r="QY208" s="899"/>
      <c r="QZ208" s="899"/>
      <c r="RA208" s="899"/>
      <c r="RB208" s="899"/>
      <c r="RC208" s="899"/>
      <c r="RD208" s="899"/>
      <c r="RE208" s="899"/>
      <c r="RF208" s="899"/>
      <c r="RG208" s="899"/>
      <c r="RH208" s="899"/>
      <c r="RI208" s="899"/>
      <c r="RJ208" s="899"/>
      <c r="RK208" s="899"/>
      <c r="RL208" s="899"/>
      <c r="RM208" s="899"/>
      <c r="RN208" s="899"/>
      <c r="RO208" s="899"/>
      <c r="RP208" s="899"/>
      <c r="RQ208" s="899"/>
      <c r="RR208" s="899"/>
      <c r="RS208" s="899"/>
      <c r="RT208" s="899"/>
      <c r="RU208" s="899"/>
      <c r="RV208" s="899"/>
      <c r="RW208" s="899"/>
      <c r="RX208" s="899"/>
      <c r="RY208" s="899"/>
      <c r="RZ208" s="899"/>
      <c r="SA208" s="899"/>
      <c r="SB208" s="899"/>
      <c r="SC208" s="899"/>
      <c r="SD208" s="899"/>
      <c r="SE208" s="899"/>
      <c r="SF208" s="899"/>
      <c r="SG208" s="899"/>
      <c r="SH208" s="899"/>
      <c r="SI208" s="899"/>
      <c r="SJ208" s="899"/>
      <c r="SK208" s="899"/>
      <c r="SL208" s="899"/>
      <c r="SM208" s="899"/>
      <c r="SN208" s="899"/>
      <c r="SO208" s="899"/>
      <c r="SP208" s="899"/>
      <c r="SQ208" s="899"/>
      <c r="SR208" s="899"/>
      <c r="SS208" s="899"/>
      <c r="ST208" s="899"/>
      <c r="SU208" s="899"/>
      <c r="SV208" s="899"/>
      <c r="SW208" s="899"/>
      <c r="SX208" s="899"/>
      <c r="SY208" s="899"/>
      <c r="SZ208" s="899"/>
      <c r="TA208" s="899"/>
      <c r="TB208" s="899"/>
      <c r="TC208" s="899"/>
      <c r="TD208" s="899"/>
      <c r="TE208" s="899"/>
      <c r="TF208" s="899"/>
      <c r="TG208" s="899"/>
      <c r="TH208" s="899"/>
      <c r="TI208" s="899"/>
      <c r="TJ208" s="899"/>
      <c r="TK208" s="899"/>
      <c r="TL208" s="899"/>
      <c r="TM208" s="899"/>
      <c r="TN208" s="899"/>
      <c r="TO208" s="899"/>
      <c r="TP208" s="899"/>
      <c r="TQ208" s="899"/>
      <c r="TR208" s="899"/>
      <c r="TS208" s="899"/>
      <c r="TT208" s="899"/>
      <c r="TU208" s="899"/>
      <c r="TV208" s="899"/>
      <c r="TW208" s="899"/>
      <c r="TX208" s="899"/>
      <c r="TY208" s="899"/>
      <c r="TZ208" s="899"/>
      <c r="UA208" s="899"/>
      <c r="UB208" s="899"/>
      <c r="UC208" s="899"/>
      <c r="UD208" s="899"/>
      <c r="UE208" s="899"/>
      <c r="UF208" s="899"/>
      <c r="UG208" s="899"/>
      <c r="UH208" s="899"/>
      <c r="UI208" s="899"/>
      <c r="UJ208" s="899"/>
      <c r="UK208" s="899"/>
      <c r="UL208" s="899"/>
      <c r="UM208" s="899"/>
      <c r="UN208" s="899"/>
      <c r="UO208" s="899"/>
      <c r="UP208" s="899"/>
      <c r="UQ208" s="899"/>
      <c r="UR208" s="899"/>
      <c r="US208" s="899"/>
      <c r="UT208" s="899"/>
      <c r="UU208" s="899"/>
      <c r="UV208" s="899"/>
      <c r="UW208" s="899"/>
      <c r="UX208" s="899"/>
      <c r="UY208" s="899"/>
      <c r="UZ208" s="899"/>
      <c r="VA208" s="899"/>
      <c r="VB208" s="899"/>
      <c r="VC208" s="899"/>
      <c r="VD208" s="899"/>
      <c r="VE208" s="899"/>
      <c r="VF208" s="899"/>
      <c r="VG208" s="899"/>
      <c r="VH208" s="899"/>
      <c r="VI208" s="899"/>
      <c r="VJ208" s="899"/>
      <c r="VK208" s="899"/>
      <c r="VL208" s="899"/>
      <c r="VM208" s="899"/>
      <c r="VN208" s="899"/>
      <c r="VO208" s="899"/>
      <c r="VP208" s="899"/>
      <c r="VQ208" s="899"/>
      <c r="VR208" s="899"/>
      <c r="VS208" s="899"/>
      <c r="VT208" s="899"/>
      <c r="VU208" s="899"/>
      <c r="VV208" s="899"/>
      <c r="VW208" s="899"/>
      <c r="VX208" s="899"/>
      <c r="VY208" s="899"/>
      <c r="VZ208" s="899"/>
      <c r="WA208" s="899"/>
      <c r="WB208" s="899"/>
      <c r="WC208" s="899"/>
      <c r="WD208" s="899"/>
      <c r="WE208" s="899"/>
      <c r="WF208" s="899"/>
      <c r="WG208" s="899"/>
      <c r="WH208" s="899"/>
      <c r="WI208" s="899"/>
      <c r="WJ208" s="899"/>
      <c r="WK208" s="899"/>
      <c r="WL208" s="899"/>
      <c r="WM208" s="899"/>
      <c r="WN208" s="899"/>
      <c r="WO208" s="899"/>
      <c r="WP208" s="899"/>
      <c r="WQ208" s="899"/>
      <c r="WR208" s="899"/>
      <c r="WS208" s="899"/>
      <c r="WT208" s="899"/>
      <c r="WU208" s="899"/>
      <c r="WV208" s="899"/>
      <c r="WW208" s="899"/>
      <c r="WX208" s="899"/>
      <c r="WY208" s="899"/>
      <c r="WZ208" s="899"/>
      <c r="XA208" s="899"/>
      <c r="XB208" s="899"/>
      <c r="XC208" s="899"/>
      <c r="XD208" s="899"/>
      <c r="XE208" s="899"/>
      <c r="XF208" s="899"/>
      <c r="XG208" s="899"/>
      <c r="XH208" s="899"/>
      <c r="XI208" s="899"/>
      <c r="XJ208" s="899"/>
      <c r="XK208" s="899"/>
      <c r="XL208" s="899"/>
      <c r="XM208" s="899"/>
      <c r="XN208" s="899"/>
      <c r="XO208" s="899"/>
      <c r="XP208" s="899"/>
      <c r="XQ208" s="899"/>
      <c r="XR208" s="899"/>
      <c r="XS208" s="899"/>
      <c r="XT208" s="899"/>
      <c r="XU208" s="899"/>
      <c r="XV208" s="899"/>
      <c r="XW208" s="899"/>
      <c r="XX208" s="899"/>
      <c r="XY208" s="899"/>
      <c r="XZ208" s="899"/>
      <c r="YA208" s="899"/>
      <c r="YB208" s="899"/>
      <c r="YC208" s="899"/>
      <c r="YD208" s="899"/>
      <c r="YE208" s="899"/>
      <c r="YF208" s="899"/>
      <c r="YG208" s="899"/>
      <c r="YH208" s="899"/>
      <c r="YI208" s="899"/>
      <c r="YJ208" s="899"/>
      <c r="YK208" s="899"/>
      <c r="YL208" s="899"/>
      <c r="YM208" s="899"/>
      <c r="YN208" s="899"/>
      <c r="YO208" s="899"/>
      <c r="YP208" s="899"/>
      <c r="YQ208" s="899"/>
      <c r="YR208" s="899"/>
      <c r="YS208" s="899"/>
      <c r="YT208" s="899"/>
      <c r="YU208" s="899"/>
      <c r="YV208" s="899"/>
      <c r="YW208" s="899"/>
      <c r="YX208" s="899"/>
      <c r="YY208" s="899"/>
      <c r="YZ208" s="899"/>
      <c r="ZA208" s="899"/>
      <c r="ZB208" s="899"/>
      <c r="ZC208" s="899"/>
      <c r="ZD208" s="899"/>
      <c r="ZE208" s="899"/>
      <c r="ZF208" s="899"/>
      <c r="ZG208" s="899"/>
      <c r="ZH208" s="899"/>
      <c r="ZI208" s="899"/>
      <c r="ZJ208" s="899"/>
      <c r="ZK208" s="899"/>
      <c r="ZL208" s="899"/>
      <c r="ZM208" s="899"/>
      <c r="ZN208" s="899"/>
      <c r="ZO208" s="899"/>
      <c r="ZP208" s="899"/>
      <c r="ZQ208" s="899"/>
      <c r="ZR208" s="899"/>
      <c r="ZS208" s="899"/>
      <c r="ZT208" s="899"/>
      <c r="ZU208" s="899"/>
      <c r="ZV208" s="899"/>
      <c r="ZW208" s="899"/>
      <c r="ZX208" s="899"/>
      <c r="ZY208" s="899"/>
      <c r="ZZ208" s="899"/>
      <c r="AAA208" s="899"/>
      <c r="AAB208" s="899"/>
      <c r="AAC208" s="899"/>
      <c r="AAD208" s="899"/>
      <c r="AAE208" s="899"/>
      <c r="AAF208" s="899"/>
      <c r="AAG208" s="899"/>
      <c r="AAH208" s="899"/>
      <c r="AAI208" s="899"/>
      <c r="AAJ208" s="899"/>
      <c r="AAK208" s="899"/>
      <c r="AAL208" s="899"/>
      <c r="AAM208" s="899"/>
      <c r="AAN208" s="899"/>
      <c r="AAO208" s="899"/>
      <c r="AAP208" s="899"/>
      <c r="AAQ208" s="899"/>
      <c r="AAR208" s="899"/>
      <c r="AAS208" s="899"/>
      <c r="AAT208" s="899"/>
      <c r="AAU208" s="899"/>
      <c r="AAV208" s="899"/>
      <c r="AAW208" s="899"/>
      <c r="AAX208" s="899"/>
      <c r="AAY208" s="899"/>
      <c r="AAZ208" s="899"/>
      <c r="ABA208" s="899"/>
      <c r="ABB208" s="899"/>
      <c r="ABC208" s="899"/>
      <c r="ABD208" s="899"/>
      <c r="ABE208" s="899"/>
      <c r="ABF208" s="899"/>
      <c r="ABG208" s="899"/>
      <c r="ABH208" s="899"/>
      <c r="ABI208" s="899"/>
      <c r="ABJ208" s="899"/>
      <c r="ABK208" s="899"/>
      <c r="ABL208" s="899"/>
      <c r="ABM208" s="899"/>
      <c r="ABN208" s="899"/>
      <c r="ABO208" s="899"/>
      <c r="ABP208" s="899"/>
      <c r="ABQ208" s="899"/>
      <c r="ABR208" s="899"/>
      <c r="ABS208" s="899"/>
      <c r="ABT208" s="899"/>
      <c r="ABU208" s="899"/>
      <c r="ABV208" s="899"/>
      <c r="ABW208" s="899"/>
      <c r="ABX208" s="899"/>
      <c r="ABY208" s="899"/>
      <c r="ABZ208" s="899"/>
      <c r="ACA208" s="899"/>
      <c r="ACB208" s="899"/>
      <c r="ACC208" s="899"/>
      <c r="ACD208" s="899"/>
      <c r="ACE208" s="899"/>
      <c r="ACF208" s="899"/>
      <c r="ACG208" s="899"/>
      <c r="ACH208" s="899"/>
      <c r="ACI208" s="899"/>
      <c r="ACJ208" s="899"/>
      <c r="ACK208" s="899"/>
      <c r="ACL208" s="899"/>
      <c r="ACM208" s="899"/>
      <c r="ACN208" s="899"/>
      <c r="ACO208" s="899"/>
      <c r="ACP208" s="899"/>
      <c r="ACQ208" s="899"/>
      <c r="ACR208" s="899"/>
      <c r="ACS208" s="899"/>
      <c r="ACT208" s="899"/>
      <c r="ACU208" s="899"/>
      <c r="ACV208" s="899"/>
      <c r="ACW208" s="899"/>
      <c r="ACX208" s="899"/>
      <c r="ACY208" s="899"/>
      <c r="ACZ208" s="899"/>
      <c r="ADA208" s="899"/>
      <c r="ADB208" s="899"/>
      <c r="ADC208" s="899"/>
      <c r="ADD208" s="899"/>
      <c r="ADE208" s="899"/>
      <c r="ADF208" s="899"/>
      <c r="ADG208" s="899"/>
      <c r="ADH208" s="899"/>
      <c r="ADI208" s="899"/>
      <c r="ADJ208" s="899"/>
      <c r="ADK208" s="899"/>
      <c r="ADL208" s="899"/>
      <c r="ADM208" s="899"/>
      <c r="ADN208" s="899"/>
      <c r="ADO208" s="899"/>
      <c r="ADP208" s="899"/>
      <c r="ADQ208" s="899"/>
      <c r="ADR208" s="899"/>
      <c r="ADS208" s="899"/>
      <c r="ADT208" s="899"/>
      <c r="ADU208" s="899"/>
      <c r="ADV208" s="899"/>
      <c r="ADW208" s="899"/>
      <c r="ADX208" s="899"/>
      <c r="ADY208" s="899"/>
      <c r="ADZ208" s="899"/>
      <c r="AEA208" s="899"/>
      <c r="AEB208" s="899"/>
      <c r="AEC208" s="899"/>
      <c r="AED208" s="899"/>
      <c r="AEE208" s="899"/>
      <c r="AEF208" s="899"/>
      <c r="AEG208" s="899"/>
      <c r="AEH208" s="899"/>
      <c r="AEI208" s="899"/>
      <c r="AEJ208" s="899"/>
      <c r="AEK208" s="899"/>
      <c r="AEL208" s="899"/>
      <c r="AEM208" s="899"/>
      <c r="AEN208" s="899"/>
      <c r="AEO208" s="899"/>
      <c r="AEP208" s="899"/>
      <c r="AEQ208" s="899"/>
      <c r="AER208" s="899"/>
      <c r="AES208" s="899"/>
      <c r="AET208" s="899"/>
      <c r="AEU208" s="899"/>
      <c r="AEV208" s="899"/>
      <c r="AEW208" s="899"/>
      <c r="AEX208" s="899"/>
      <c r="AEY208" s="899"/>
      <c r="AEZ208" s="899"/>
      <c r="AFA208" s="899"/>
      <c r="AFB208" s="899"/>
      <c r="AFC208" s="899"/>
      <c r="AFD208" s="899"/>
      <c r="AFE208" s="899"/>
      <c r="AFF208" s="899"/>
      <c r="AFG208" s="899"/>
      <c r="AFH208" s="899"/>
      <c r="AFI208" s="899"/>
      <c r="AFJ208" s="899"/>
      <c r="AFK208" s="899"/>
      <c r="AFL208" s="899"/>
      <c r="AFM208" s="899"/>
      <c r="AFN208" s="899"/>
      <c r="AFO208" s="899"/>
      <c r="AFP208" s="899"/>
      <c r="AFQ208" s="899"/>
      <c r="AFR208" s="899"/>
      <c r="AFS208" s="899"/>
      <c r="AFT208" s="899"/>
      <c r="AFU208" s="899"/>
      <c r="AFV208" s="899"/>
      <c r="AFW208" s="899"/>
      <c r="AFX208" s="899"/>
      <c r="AFY208" s="899"/>
      <c r="AFZ208" s="899"/>
      <c r="AGA208" s="899"/>
      <c r="AGB208" s="899"/>
      <c r="AGC208" s="899"/>
      <c r="AGD208" s="899"/>
      <c r="AGE208" s="899"/>
      <c r="AGF208" s="899"/>
      <c r="AGG208" s="899"/>
      <c r="AGH208" s="899"/>
      <c r="AGI208" s="899"/>
      <c r="AGJ208" s="899"/>
      <c r="AGK208" s="899"/>
      <c r="AGL208" s="899"/>
      <c r="AGM208" s="899"/>
      <c r="AGN208" s="899"/>
      <c r="AGO208" s="899"/>
      <c r="AGP208" s="899"/>
      <c r="AGQ208" s="899"/>
      <c r="AGR208" s="899"/>
      <c r="AGS208" s="899"/>
      <c r="AGT208" s="899"/>
      <c r="AGU208" s="899"/>
      <c r="AGV208" s="899"/>
      <c r="AGW208" s="899"/>
      <c r="AGX208" s="899"/>
      <c r="AGY208" s="899"/>
      <c r="AGZ208" s="899"/>
      <c r="AHA208" s="899"/>
      <c r="AHB208" s="899"/>
      <c r="AHC208" s="899"/>
      <c r="AHD208" s="899"/>
      <c r="AHE208" s="899"/>
      <c r="AHF208" s="899"/>
      <c r="AHG208" s="899"/>
      <c r="AHH208" s="899"/>
      <c r="AHI208" s="899"/>
      <c r="AHJ208" s="899"/>
      <c r="AHK208" s="899"/>
      <c r="AHL208" s="899"/>
      <c r="AHM208" s="899"/>
      <c r="AHN208" s="899"/>
      <c r="AHO208" s="899"/>
      <c r="AHP208" s="899"/>
      <c r="AHQ208" s="899"/>
      <c r="AHR208" s="899"/>
      <c r="AHS208" s="899"/>
      <c r="AHT208" s="899"/>
      <c r="AHU208" s="899"/>
      <c r="AHV208" s="899"/>
      <c r="AHW208" s="899"/>
      <c r="AHX208" s="899"/>
      <c r="AHY208" s="899"/>
      <c r="AHZ208" s="899"/>
      <c r="AIA208" s="899"/>
      <c r="AIB208" s="899"/>
      <c r="AIC208" s="899"/>
      <c r="AID208" s="899"/>
      <c r="AIE208" s="899"/>
      <c r="AIF208" s="899"/>
      <c r="AIG208" s="899"/>
      <c r="AIH208" s="899"/>
      <c r="AII208" s="899"/>
      <c r="AIJ208" s="899"/>
      <c r="AIK208" s="899"/>
      <c r="AIL208" s="899"/>
      <c r="AIM208" s="899"/>
      <c r="AIN208" s="899"/>
      <c r="AIO208" s="899"/>
      <c r="AIP208" s="899"/>
      <c r="AIQ208" s="899"/>
      <c r="AIR208" s="899"/>
      <c r="AIS208" s="899"/>
      <c r="AIT208" s="899"/>
      <c r="AIU208" s="899"/>
      <c r="AIV208" s="899"/>
      <c r="AIW208" s="899"/>
      <c r="AIX208" s="899"/>
      <c r="AIY208" s="899"/>
      <c r="AIZ208" s="899"/>
      <c r="AJA208" s="899"/>
      <c r="AJB208" s="899"/>
      <c r="AJC208" s="899"/>
      <c r="AJD208" s="899"/>
      <c r="AJE208" s="899"/>
      <c r="AJF208" s="899"/>
      <c r="AJG208" s="899"/>
      <c r="AJH208" s="899"/>
      <c r="AJI208" s="899"/>
      <c r="AJJ208" s="899"/>
      <c r="AJK208" s="899"/>
      <c r="AJL208" s="899"/>
      <c r="AJM208" s="899"/>
      <c r="AJN208" s="899"/>
      <c r="AJO208" s="899"/>
      <c r="AJP208" s="899"/>
      <c r="AJQ208" s="899"/>
      <c r="AJR208" s="899"/>
      <c r="AJS208" s="899"/>
      <c r="AJT208" s="899"/>
      <c r="AJU208" s="899"/>
      <c r="AJV208" s="899"/>
      <c r="AJW208" s="899"/>
      <c r="AJX208" s="899"/>
      <c r="AJY208" s="899"/>
      <c r="AJZ208" s="899"/>
      <c r="AKA208" s="899"/>
      <c r="AKB208" s="899"/>
      <c r="AKC208" s="899"/>
      <c r="AKD208" s="899"/>
      <c r="AKE208" s="899"/>
      <c r="AKF208" s="899"/>
      <c r="AKG208" s="899"/>
      <c r="AKH208" s="899"/>
      <c r="AKI208" s="899"/>
      <c r="AKJ208" s="899"/>
      <c r="AKK208" s="899"/>
      <c r="AKL208" s="899"/>
      <c r="AKM208" s="899"/>
      <c r="AKN208" s="899"/>
      <c r="AKO208" s="899"/>
      <c r="AKP208" s="899"/>
      <c r="AKQ208" s="899"/>
      <c r="AKR208" s="899"/>
      <c r="AKS208" s="899"/>
      <c r="AKT208" s="899"/>
      <c r="AKU208" s="899"/>
      <c r="AKV208" s="899"/>
      <c r="AKW208" s="899"/>
      <c r="AKX208" s="899"/>
      <c r="AKY208" s="899"/>
      <c r="AKZ208" s="899"/>
      <c r="ALA208" s="899"/>
      <c r="ALB208" s="899"/>
      <c r="ALC208" s="899"/>
      <c r="ALD208" s="899"/>
      <c r="ALE208" s="899"/>
      <c r="ALF208" s="899"/>
      <c r="ALG208" s="899"/>
      <c r="ALH208" s="899"/>
      <c r="ALI208" s="899"/>
      <c r="ALJ208" s="899"/>
      <c r="ALK208" s="899"/>
      <c r="ALL208" s="899"/>
      <c r="ALM208" s="899"/>
      <c r="ALN208" s="899"/>
      <c r="ALO208" s="899"/>
      <c r="ALP208" s="899"/>
      <c r="ALQ208" s="899"/>
      <c r="ALR208" s="899"/>
      <c r="ALS208" s="899"/>
      <c r="ALT208" s="899"/>
      <c r="ALU208" s="899"/>
      <c r="ALV208" s="899"/>
      <c r="ALW208" s="899"/>
      <c r="ALX208" s="899"/>
      <c r="ALY208" s="899"/>
      <c r="ALZ208" s="899"/>
      <c r="AMA208" s="899"/>
      <c r="AMB208" s="899"/>
      <c r="AMC208" s="899"/>
      <c r="AMD208" s="899"/>
      <c r="AME208" s="899"/>
      <c r="AMF208" s="899"/>
      <c r="AMG208" s="899"/>
      <c r="AMH208" s="899"/>
      <c r="AMI208" s="899"/>
      <c r="AMJ208" s="899"/>
      <c r="AMK208" s="899"/>
      <c r="AML208" s="899"/>
      <c r="AMM208" s="899"/>
      <c r="AMN208" s="899"/>
      <c r="AMO208" s="899"/>
      <c r="AMP208" s="899"/>
      <c r="AMQ208" s="899"/>
      <c r="AMR208" s="899"/>
      <c r="AMS208" s="899"/>
      <c r="AMT208" s="899"/>
      <c r="AMU208" s="899"/>
      <c r="AMV208" s="899"/>
      <c r="AMW208" s="899"/>
      <c r="AMX208" s="899"/>
      <c r="AMY208" s="899"/>
      <c r="AMZ208" s="899"/>
      <c r="ANA208" s="899"/>
      <c r="ANB208" s="899"/>
      <c r="ANC208" s="899"/>
      <c r="AND208" s="899"/>
      <c r="ANE208" s="899"/>
      <c r="ANF208" s="899"/>
      <c r="ANG208" s="899"/>
      <c r="ANH208" s="899"/>
      <c r="ANI208" s="899"/>
      <c r="ANJ208" s="899"/>
      <c r="ANK208" s="899"/>
      <c r="ANL208" s="899"/>
      <c r="ANM208" s="899"/>
      <c r="ANN208" s="899"/>
      <c r="ANO208" s="899"/>
      <c r="ANP208" s="899"/>
      <c r="ANQ208" s="899"/>
      <c r="ANR208" s="899"/>
      <c r="ANS208" s="899"/>
      <c r="ANT208" s="899"/>
      <c r="ANU208" s="899"/>
      <c r="ANV208" s="899"/>
      <c r="ANW208" s="899"/>
      <c r="ANX208" s="899"/>
      <c r="ANY208" s="899"/>
      <c r="ANZ208" s="899"/>
      <c r="AOA208" s="899"/>
      <c r="AOB208" s="899"/>
      <c r="AOC208" s="899"/>
      <c r="AOD208" s="899"/>
      <c r="AOE208" s="899"/>
      <c r="AOF208" s="899"/>
      <c r="AOG208" s="899"/>
      <c r="AOH208" s="899"/>
      <c r="AOI208" s="899"/>
      <c r="AOJ208" s="899"/>
      <c r="AOK208" s="899"/>
      <c r="AOL208" s="899"/>
      <c r="AOM208" s="899"/>
      <c r="AON208" s="899"/>
      <c r="AOO208" s="899"/>
      <c r="AOP208" s="899"/>
      <c r="AOQ208" s="899"/>
      <c r="AOR208" s="899"/>
      <c r="AOS208" s="899"/>
      <c r="AOT208" s="899"/>
      <c r="AOU208" s="899"/>
      <c r="AOV208" s="899"/>
      <c r="AOW208" s="899"/>
      <c r="AOX208" s="899"/>
      <c r="AOY208" s="899"/>
      <c r="AOZ208" s="899"/>
      <c r="APA208" s="899"/>
      <c r="APB208" s="899"/>
      <c r="APC208" s="899"/>
      <c r="APD208" s="899"/>
      <c r="APE208" s="899"/>
      <c r="APF208" s="899"/>
      <c r="APG208" s="899"/>
      <c r="APH208" s="899"/>
      <c r="API208" s="899"/>
      <c r="APJ208" s="899"/>
      <c r="APK208" s="899"/>
      <c r="APL208" s="899"/>
      <c r="APM208" s="899"/>
      <c r="APN208" s="899"/>
      <c r="APO208" s="899"/>
      <c r="APP208" s="899"/>
      <c r="APQ208" s="899"/>
      <c r="APR208" s="899"/>
      <c r="APS208" s="899"/>
      <c r="APT208" s="899"/>
      <c r="APU208" s="899"/>
      <c r="APV208" s="899"/>
      <c r="APW208" s="899"/>
      <c r="APX208" s="899"/>
      <c r="APY208" s="899"/>
      <c r="APZ208" s="899"/>
      <c r="AQA208" s="899"/>
      <c r="AQB208" s="899"/>
      <c r="AQC208" s="899"/>
      <c r="AQD208" s="899"/>
      <c r="AQE208" s="899"/>
      <c r="AQF208" s="899"/>
      <c r="AQG208" s="899"/>
      <c r="AQH208" s="899"/>
      <c r="AQI208" s="899"/>
      <c r="AQJ208" s="899"/>
      <c r="AQK208" s="899"/>
      <c r="AQL208" s="899"/>
      <c r="AQM208" s="899"/>
      <c r="AQN208" s="899"/>
      <c r="AQO208" s="899"/>
      <c r="AQP208" s="899"/>
      <c r="AQQ208" s="899"/>
      <c r="AQR208" s="899"/>
      <c r="AQS208" s="899"/>
      <c r="AQT208" s="899"/>
      <c r="AQU208" s="899"/>
      <c r="AQV208" s="899"/>
      <c r="AQW208" s="899"/>
      <c r="AQX208" s="899"/>
      <c r="AQY208" s="899"/>
      <c r="AQZ208" s="899"/>
      <c r="ARA208" s="899"/>
      <c r="ARB208" s="899"/>
      <c r="ARC208" s="899"/>
      <c r="ARD208" s="899"/>
      <c r="ARE208" s="899"/>
      <c r="ARF208" s="899"/>
      <c r="ARG208" s="899"/>
      <c r="ARH208" s="899"/>
      <c r="ARI208" s="899"/>
      <c r="ARJ208" s="899"/>
      <c r="ARK208" s="899"/>
      <c r="ARL208" s="899"/>
      <c r="ARM208" s="899"/>
      <c r="ARN208" s="899"/>
      <c r="ARO208" s="899"/>
      <c r="ARP208" s="899"/>
      <c r="ARQ208" s="899"/>
      <c r="ARR208" s="899"/>
      <c r="ARS208" s="899"/>
      <c r="ART208" s="899"/>
      <c r="ARU208" s="899"/>
      <c r="ARV208" s="899"/>
      <c r="ARW208" s="899"/>
      <c r="ARX208" s="899"/>
      <c r="ARY208" s="899"/>
      <c r="ARZ208" s="899"/>
      <c r="ASA208" s="899"/>
      <c r="ASB208" s="899"/>
      <c r="ASC208" s="899"/>
      <c r="ASD208" s="899"/>
      <c r="ASE208" s="899"/>
      <c r="ASF208" s="899"/>
      <c r="ASG208" s="899"/>
      <c r="ASH208" s="899"/>
      <c r="ASI208" s="899"/>
      <c r="ASJ208" s="899"/>
      <c r="ASK208" s="899"/>
      <c r="ASL208" s="899"/>
      <c r="ASM208" s="899"/>
      <c r="ASN208" s="899"/>
      <c r="ASO208" s="899"/>
      <c r="ASP208" s="899"/>
      <c r="ASQ208" s="899"/>
      <c r="ASR208" s="899"/>
      <c r="ASS208" s="899"/>
      <c r="AST208" s="899"/>
      <c r="ASU208" s="899"/>
      <c r="ASV208" s="899"/>
      <c r="ASW208" s="899"/>
      <c r="ASX208" s="899"/>
      <c r="ASY208" s="899"/>
      <c r="ASZ208" s="899"/>
      <c r="ATA208" s="899"/>
      <c r="ATB208" s="899"/>
      <c r="ATC208" s="899"/>
      <c r="ATD208" s="899"/>
      <c r="ATE208" s="899"/>
      <c r="ATF208" s="899"/>
      <c r="ATG208" s="899"/>
      <c r="ATH208" s="899"/>
      <c r="ATI208" s="899"/>
      <c r="ATJ208" s="899"/>
      <c r="ATK208" s="899"/>
      <c r="ATL208" s="899"/>
      <c r="ATM208" s="899"/>
      <c r="ATN208" s="899"/>
      <c r="ATO208" s="899"/>
      <c r="ATP208" s="899"/>
      <c r="ATQ208" s="899"/>
      <c r="ATR208" s="899"/>
      <c r="ATS208" s="899"/>
      <c r="ATT208" s="899"/>
      <c r="ATU208" s="899"/>
      <c r="ATV208" s="899"/>
      <c r="ATW208" s="899"/>
      <c r="ATX208" s="899"/>
      <c r="ATY208" s="899"/>
      <c r="ATZ208" s="899"/>
      <c r="AUA208" s="899"/>
      <c r="AUB208" s="899"/>
      <c r="AUC208" s="899"/>
      <c r="AUD208" s="899"/>
      <c r="AUE208" s="899"/>
      <c r="AUF208" s="899"/>
      <c r="AUG208" s="899"/>
      <c r="AUH208" s="899"/>
      <c r="AUI208" s="899"/>
      <c r="AUJ208" s="899"/>
      <c r="AUK208" s="899"/>
      <c r="AUL208" s="899"/>
      <c r="AUM208" s="899"/>
      <c r="AUN208" s="899"/>
      <c r="AUO208" s="899"/>
      <c r="AUP208" s="899"/>
      <c r="AUQ208" s="899"/>
      <c r="AUR208" s="899"/>
      <c r="AUS208" s="899"/>
      <c r="AUT208" s="899"/>
      <c r="AUU208" s="899"/>
      <c r="AUV208" s="899"/>
      <c r="AUW208" s="899"/>
      <c r="AUX208" s="899"/>
      <c r="AUY208" s="899"/>
      <c r="AUZ208" s="899"/>
      <c r="AVA208" s="899"/>
      <c r="AVB208" s="899"/>
      <c r="AVC208" s="899"/>
      <c r="AVD208" s="899"/>
      <c r="AVE208" s="899"/>
      <c r="AVF208" s="899"/>
      <c r="AVG208" s="899"/>
      <c r="AVH208" s="899"/>
      <c r="AVI208" s="899"/>
      <c r="AVJ208" s="899"/>
      <c r="AVK208" s="899"/>
      <c r="AVL208" s="899"/>
      <c r="AVM208" s="899"/>
      <c r="AVN208" s="899"/>
      <c r="AVO208" s="899"/>
      <c r="AVP208" s="899"/>
      <c r="AVQ208" s="899"/>
      <c r="AVR208" s="899"/>
      <c r="AVS208" s="899"/>
      <c r="AVT208" s="899"/>
      <c r="AVU208" s="899"/>
      <c r="AVV208" s="899"/>
      <c r="AVW208" s="899"/>
      <c r="AVX208" s="899"/>
      <c r="AVY208" s="899"/>
      <c r="AVZ208" s="899"/>
      <c r="AWA208" s="899"/>
      <c r="AWB208" s="899"/>
      <c r="AWC208" s="899"/>
      <c r="AWD208" s="899"/>
      <c r="AWE208" s="899"/>
      <c r="AWF208" s="899"/>
      <c r="AWG208" s="899"/>
      <c r="AWH208" s="899"/>
      <c r="AWI208" s="899"/>
      <c r="AWJ208" s="899"/>
      <c r="AWK208" s="899"/>
      <c r="AWL208" s="899"/>
      <c r="AWM208" s="899"/>
      <c r="AWN208" s="899"/>
      <c r="AWO208" s="899"/>
      <c r="AWP208" s="899"/>
      <c r="AWQ208" s="899"/>
      <c r="AWR208" s="899"/>
      <c r="AWS208" s="899"/>
      <c r="AWT208" s="899"/>
      <c r="AWU208" s="899"/>
      <c r="AWV208" s="899"/>
      <c r="AWW208" s="899"/>
      <c r="AWX208" s="899"/>
      <c r="AWY208" s="899"/>
      <c r="AWZ208" s="899"/>
      <c r="AXA208" s="899"/>
      <c r="AXB208" s="899"/>
      <c r="AXC208" s="899"/>
      <c r="AXD208" s="899"/>
      <c r="AXE208" s="899"/>
      <c r="AXF208" s="899"/>
      <c r="AXG208" s="899"/>
      <c r="AXH208" s="899"/>
      <c r="AXI208" s="899"/>
      <c r="AXJ208" s="899"/>
      <c r="AXK208" s="899"/>
      <c r="AXL208" s="899"/>
      <c r="AXM208" s="899"/>
      <c r="AXN208" s="899"/>
      <c r="AXO208" s="899"/>
      <c r="AXP208" s="899"/>
      <c r="AXQ208" s="899"/>
      <c r="AXR208" s="899"/>
      <c r="AXS208" s="899"/>
      <c r="AXT208" s="899"/>
      <c r="AXU208" s="899"/>
      <c r="AXV208" s="899"/>
      <c r="AXW208" s="899"/>
      <c r="AXX208" s="899"/>
      <c r="AXY208" s="899"/>
      <c r="AXZ208" s="899"/>
      <c r="AYA208" s="899"/>
      <c r="AYB208" s="899"/>
      <c r="AYC208" s="899"/>
      <c r="AYD208" s="899"/>
      <c r="AYE208" s="899"/>
      <c r="AYF208" s="899"/>
      <c r="AYG208" s="899"/>
      <c r="AYH208" s="899"/>
      <c r="AYI208" s="899"/>
      <c r="AYJ208" s="899"/>
      <c r="AYK208" s="899"/>
      <c r="AYL208" s="899"/>
      <c r="AYM208" s="899"/>
      <c r="AYN208" s="899"/>
      <c r="AYO208" s="899"/>
      <c r="AYP208" s="899"/>
      <c r="AYQ208" s="899"/>
      <c r="AYR208" s="899"/>
      <c r="AYS208" s="899"/>
      <c r="AYT208" s="899"/>
      <c r="AYU208" s="899"/>
      <c r="AYV208" s="899"/>
      <c r="AYW208" s="899"/>
      <c r="AYX208" s="899"/>
      <c r="AYY208" s="899"/>
      <c r="AYZ208" s="899"/>
      <c r="AZA208" s="899"/>
      <c r="AZB208" s="899"/>
      <c r="AZC208" s="899"/>
      <c r="AZD208" s="899"/>
      <c r="AZE208" s="899"/>
      <c r="AZF208" s="899"/>
      <c r="AZG208" s="899"/>
      <c r="AZH208" s="899"/>
      <c r="AZI208" s="899"/>
      <c r="AZJ208" s="899"/>
      <c r="AZK208" s="899"/>
      <c r="AZL208" s="899"/>
      <c r="AZM208" s="899"/>
      <c r="AZN208" s="899"/>
      <c r="AZO208" s="899"/>
      <c r="AZP208" s="899"/>
      <c r="AZQ208" s="899"/>
      <c r="AZR208" s="899"/>
      <c r="AZS208" s="899"/>
      <c r="AZT208" s="899"/>
      <c r="AZU208" s="899"/>
      <c r="AZV208" s="899"/>
      <c r="AZW208" s="899"/>
      <c r="AZX208" s="899"/>
      <c r="AZY208" s="899"/>
      <c r="AZZ208" s="899"/>
      <c r="BAA208" s="899"/>
      <c r="BAB208" s="899"/>
      <c r="BAC208" s="899"/>
      <c r="BAD208" s="899"/>
      <c r="BAE208" s="899"/>
      <c r="BAF208" s="899"/>
      <c r="BAG208" s="899"/>
      <c r="BAH208" s="899"/>
      <c r="BAI208" s="899"/>
      <c r="BAJ208" s="899"/>
      <c r="BAK208" s="899"/>
      <c r="BAL208" s="899"/>
      <c r="BAM208" s="899"/>
      <c r="BAN208" s="899"/>
      <c r="BAO208" s="899"/>
      <c r="BAP208" s="899"/>
      <c r="BAQ208" s="899"/>
      <c r="BAR208" s="899"/>
      <c r="BAS208" s="899"/>
      <c r="BAT208" s="899"/>
      <c r="BAU208" s="899"/>
      <c r="BAV208" s="899"/>
      <c r="BAW208" s="899"/>
      <c r="BAX208" s="899"/>
      <c r="BAY208" s="899"/>
      <c r="BAZ208" s="899"/>
      <c r="BBA208" s="899"/>
      <c r="BBB208" s="899"/>
      <c r="BBC208" s="899"/>
      <c r="BBD208" s="899"/>
      <c r="BBE208" s="899"/>
      <c r="BBF208" s="899"/>
      <c r="BBG208" s="899"/>
      <c r="BBH208" s="899"/>
      <c r="BBI208" s="899"/>
      <c r="BBJ208" s="899"/>
      <c r="BBK208" s="899"/>
      <c r="BBL208" s="899"/>
      <c r="BBM208" s="899"/>
      <c r="BBN208" s="899"/>
      <c r="BBO208" s="899"/>
      <c r="BBP208" s="899"/>
      <c r="BBQ208" s="899"/>
      <c r="BBR208" s="899"/>
      <c r="BBS208" s="899"/>
      <c r="BBT208" s="899"/>
      <c r="BBU208" s="899"/>
      <c r="BBV208" s="899"/>
      <c r="BBW208" s="899"/>
      <c r="BBX208" s="899"/>
      <c r="BBY208" s="899"/>
      <c r="BBZ208" s="899"/>
      <c r="BCA208" s="899"/>
      <c r="BCB208" s="899"/>
      <c r="BCC208" s="899"/>
      <c r="BCD208" s="899"/>
      <c r="BCE208" s="899"/>
      <c r="BCF208" s="899"/>
      <c r="BCG208" s="899"/>
      <c r="BCH208" s="899"/>
      <c r="BCI208" s="899"/>
      <c r="BCJ208" s="899"/>
      <c r="BCK208" s="899"/>
      <c r="BCL208" s="899"/>
      <c r="BCM208" s="899"/>
      <c r="BCN208" s="899"/>
      <c r="BCO208" s="899"/>
      <c r="BCP208" s="899"/>
      <c r="BCQ208" s="899"/>
      <c r="BCR208" s="899"/>
      <c r="BCS208" s="899"/>
      <c r="BCT208" s="899"/>
      <c r="BCU208" s="899"/>
      <c r="BCV208" s="899"/>
      <c r="BCW208" s="899"/>
      <c r="BCX208" s="899"/>
      <c r="BCY208" s="899"/>
      <c r="BCZ208" s="899"/>
      <c r="BDA208" s="899"/>
      <c r="BDB208" s="899"/>
      <c r="BDC208" s="899"/>
      <c r="BDD208" s="899"/>
      <c r="BDE208" s="899"/>
      <c r="BDF208" s="899"/>
      <c r="BDG208" s="899"/>
      <c r="BDH208" s="899"/>
      <c r="BDI208" s="899"/>
      <c r="BDJ208" s="899"/>
      <c r="BDK208" s="899"/>
      <c r="BDL208" s="899"/>
      <c r="BDM208" s="899"/>
      <c r="BDN208" s="899"/>
      <c r="BDO208" s="899"/>
      <c r="BDP208" s="899"/>
      <c r="BDQ208" s="899"/>
      <c r="BDR208" s="899"/>
      <c r="BDS208" s="899"/>
      <c r="BDT208" s="899"/>
      <c r="BDU208" s="899"/>
      <c r="BDV208" s="899"/>
      <c r="BDW208" s="899"/>
      <c r="BDX208" s="899"/>
      <c r="BDY208" s="899"/>
      <c r="BDZ208" s="899"/>
      <c r="BEA208" s="899"/>
      <c r="BEB208" s="899"/>
      <c r="BEC208" s="899"/>
      <c r="BED208" s="899"/>
      <c r="BEE208" s="899"/>
      <c r="BEF208" s="899"/>
      <c r="BEG208" s="899"/>
      <c r="BEH208" s="899"/>
      <c r="BEI208" s="899"/>
      <c r="BEJ208" s="899"/>
      <c r="BEK208" s="899"/>
      <c r="BEL208" s="899"/>
      <c r="BEM208" s="899"/>
      <c r="BEN208" s="899"/>
      <c r="BEO208" s="899"/>
      <c r="BEP208" s="899"/>
      <c r="BEQ208" s="899"/>
      <c r="BER208" s="899"/>
      <c r="BES208" s="899"/>
      <c r="BET208" s="899"/>
      <c r="BEU208" s="899"/>
      <c r="BEV208" s="899"/>
      <c r="BEW208" s="899"/>
      <c r="BEX208" s="899"/>
      <c r="BEY208" s="899"/>
      <c r="BEZ208" s="899"/>
      <c r="BFA208" s="899"/>
      <c r="BFB208" s="899"/>
      <c r="BFC208" s="899"/>
      <c r="BFD208" s="899"/>
      <c r="BFE208" s="899"/>
      <c r="BFF208" s="899"/>
      <c r="BFG208" s="899"/>
      <c r="BFH208" s="899"/>
      <c r="BFI208" s="899"/>
      <c r="BFJ208" s="899"/>
      <c r="BFK208" s="899"/>
      <c r="BFL208" s="899"/>
      <c r="BFM208" s="899"/>
      <c r="BFN208" s="899"/>
      <c r="BFO208" s="899"/>
      <c r="BFP208" s="899"/>
      <c r="BFQ208" s="899"/>
      <c r="BFR208" s="899"/>
      <c r="BFS208" s="899"/>
      <c r="BFT208" s="899"/>
      <c r="BFU208" s="899"/>
      <c r="BFV208" s="899"/>
      <c r="BFW208" s="899"/>
      <c r="BFX208" s="899"/>
      <c r="BFY208" s="899"/>
      <c r="BFZ208" s="899"/>
      <c r="BGA208" s="899"/>
      <c r="BGB208" s="899"/>
      <c r="BGC208" s="899"/>
      <c r="BGD208" s="899"/>
      <c r="BGE208" s="899"/>
      <c r="BGF208" s="899"/>
      <c r="BGG208" s="899"/>
      <c r="BGH208" s="899"/>
      <c r="BGI208" s="899"/>
      <c r="BGJ208" s="899"/>
      <c r="BGK208" s="899"/>
      <c r="BGL208" s="899"/>
      <c r="BGM208" s="899"/>
      <c r="BGN208" s="899"/>
      <c r="BGO208" s="899"/>
      <c r="BGP208" s="899"/>
      <c r="BGQ208" s="899"/>
      <c r="BGR208" s="899"/>
      <c r="BGS208" s="899"/>
      <c r="BGT208" s="899"/>
      <c r="BGU208" s="899"/>
      <c r="BGV208" s="899"/>
      <c r="BGW208" s="899"/>
      <c r="BGX208" s="899"/>
      <c r="BGY208" s="899"/>
      <c r="BGZ208" s="899"/>
      <c r="BHA208" s="899"/>
      <c r="BHB208" s="899"/>
      <c r="BHC208" s="899"/>
      <c r="BHD208" s="899"/>
      <c r="BHE208" s="899"/>
      <c r="BHF208" s="899"/>
      <c r="BHG208" s="899"/>
      <c r="BHH208" s="899"/>
      <c r="BHI208" s="899"/>
      <c r="BHJ208" s="899"/>
      <c r="BHK208" s="899"/>
      <c r="BHL208" s="899"/>
      <c r="BHM208" s="899"/>
      <c r="BHN208" s="899"/>
      <c r="BHO208" s="899"/>
      <c r="BHP208" s="899"/>
      <c r="BHQ208" s="899"/>
      <c r="BHR208" s="899"/>
      <c r="BHS208" s="899"/>
      <c r="BHT208" s="899"/>
      <c r="BHU208" s="899"/>
      <c r="BHV208" s="899"/>
      <c r="BHW208" s="899"/>
      <c r="BHX208" s="899"/>
      <c r="BHY208" s="899"/>
      <c r="BHZ208" s="899"/>
      <c r="BIA208" s="899"/>
      <c r="BIB208" s="899"/>
      <c r="BIC208" s="899"/>
      <c r="BID208" s="899"/>
      <c r="BIE208" s="899"/>
      <c r="BIF208" s="899"/>
      <c r="BIG208" s="899"/>
      <c r="BIH208" s="899"/>
      <c r="BII208" s="899"/>
      <c r="BIJ208" s="899"/>
      <c r="BIK208" s="899"/>
      <c r="BIL208" s="899"/>
      <c r="BIM208" s="899"/>
      <c r="BIN208" s="899"/>
      <c r="BIO208" s="899"/>
      <c r="BIP208" s="899"/>
      <c r="BIQ208" s="899"/>
      <c r="BIR208" s="899"/>
      <c r="BIS208" s="899"/>
      <c r="BIT208" s="899"/>
      <c r="BIU208" s="899"/>
      <c r="BIV208" s="899"/>
      <c r="BIW208" s="899"/>
      <c r="BIX208" s="899"/>
      <c r="BIY208" s="899"/>
      <c r="BIZ208" s="899"/>
      <c r="BJA208" s="899"/>
      <c r="BJB208" s="899"/>
      <c r="BJC208" s="899"/>
      <c r="BJD208" s="899"/>
      <c r="BJE208" s="899"/>
      <c r="BJF208" s="899"/>
      <c r="BJG208" s="899"/>
      <c r="BJH208" s="899"/>
      <c r="BJI208" s="899"/>
      <c r="BJJ208" s="899"/>
      <c r="BJK208" s="899"/>
      <c r="BJL208" s="899"/>
      <c r="BJM208" s="899"/>
      <c r="BJN208" s="899"/>
      <c r="BJO208" s="899"/>
      <c r="BJP208" s="899"/>
      <c r="BJQ208" s="899"/>
      <c r="BJR208" s="899"/>
      <c r="BJS208" s="899"/>
      <c r="BJT208" s="899"/>
      <c r="BJU208" s="899"/>
      <c r="BJV208" s="899"/>
      <c r="BJW208" s="899"/>
      <c r="BJX208" s="899"/>
      <c r="BJY208" s="899"/>
      <c r="BJZ208" s="899"/>
      <c r="BKA208" s="899"/>
      <c r="BKB208" s="899"/>
      <c r="BKC208" s="899"/>
      <c r="BKD208" s="899"/>
      <c r="BKE208" s="899"/>
      <c r="BKF208" s="899"/>
      <c r="BKG208" s="899"/>
      <c r="BKH208" s="899"/>
      <c r="BKI208" s="899"/>
      <c r="BKJ208" s="899"/>
      <c r="BKK208" s="899"/>
      <c r="BKL208" s="899"/>
      <c r="BKM208" s="899"/>
      <c r="BKN208" s="899"/>
      <c r="BKO208" s="899"/>
      <c r="BKP208" s="899"/>
      <c r="BKQ208" s="899"/>
      <c r="BKR208" s="899"/>
      <c r="BKS208" s="899"/>
      <c r="BKT208" s="899"/>
      <c r="BKU208" s="899"/>
      <c r="BKV208" s="899"/>
      <c r="BKW208" s="899"/>
      <c r="BKX208" s="899"/>
      <c r="BKY208" s="899"/>
      <c r="BKZ208" s="899"/>
      <c r="BLA208" s="899"/>
      <c r="BLB208" s="899"/>
      <c r="BLC208" s="899"/>
      <c r="BLD208" s="899"/>
      <c r="BLE208" s="899"/>
      <c r="BLF208" s="899"/>
      <c r="BLG208" s="899"/>
      <c r="BLH208" s="899"/>
      <c r="BLI208" s="899"/>
      <c r="BLJ208" s="899"/>
      <c r="BLK208" s="899"/>
      <c r="BLL208" s="899"/>
      <c r="BLM208" s="899"/>
      <c r="BLN208" s="899"/>
      <c r="BLO208" s="899"/>
      <c r="BLP208" s="899"/>
      <c r="BLQ208" s="899"/>
      <c r="BLR208" s="899"/>
      <c r="BLS208" s="899"/>
      <c r="BLT208" s="899"/>
      <c r="BLU208" s="899"/>
      <c r="BLV208" s="899"/>
      <c r="BLW208" s="899"/>
      <c r="BLX208" s="899"/>
      <c r="BLY208" s="899"/>
      <c r="BLZ208" s="899"/>
      <c r="BMA208" s="899"/>
      <c r="BMB208" s="899"/>
      <c r="BMC208" s="899"/>
      <c r="BMD208" s="899"/>
      <c r="BME208" s="899"/>
      <c r="BMF208" s="899"/>
      <c r="BMG208" s="899"/>
      <c r="BMH208" s="899"/>
      <c r="BMI208" s="899"/>
      <c r="BMJ208" s="899"/>
      <c r="BMK208" s="899"/>
      <c r="BML208" s="899"/>
      <c r="BMM208" s="899"/>
      <c r="BMN208" s="899"/>
      <c r="BMO208" s="899"/>
      <c r="BMP208" s="899"/>
      <c r="BMQ208" s="899"/>
      <c r="BMR208" s="899"/>
      <c r="BMS208" s="899"/>
      <c r="BMT208" s="899"/>
      <c r="BMU208" s="899"/>
      <c r="BMV208" s="899"/>
      <c r="BMW208" s="899"/>
      <c r="BMX208" s="899"/>
      <c r="BMY208" s="899"/>
      <c r="BMZ208" s="899"/>
      <c r="BNA208" s="899"/>
      <c r="BNB208" s="899"/>
      <c r="BNC208" s="899"/>
      <c r="BND208" s="899"/>
      <c r="BNE208" s="899"/>
      <c r="BNF208" s="899"/>
      <c r="BNG208" s="899"/>
      <c r="BNH208" s="899"/>
      <c r="BNI208" s="899"/>
      <c r="BNJ208" s="899"/>
      <c r="BNK208" s="899"/>
      <c r="BNL208" s="899"/>
      <c r="BNM208" s="899"/>
      <c r="BNN208" s="899"/>
      <c r="BNO208" s="899"/>
      <c r="BNP208" s="899"/>
      <c r="BNQ208" s="899"/>
      <c r="BNR208" s="899"/>
      <c r="BNS208" s="899"/>
      <c r="BNT208" s="899"/>
      <c r="BNU208" s="899"/>
      <c r="BNV208" s="899"/>
      <c r="BNW208" s="899"/>
      <c r="BNX208" s="899"/>
      <c r="BNY208" s="899"/>
      <c r="BNZ208" s="899"/>
      <c r="BOA208" s="899"/>
      <c r="BOB208" s="899"/>
      <c r="BOC208" s="899"/>
      <c r="BOD208" s="899"/>
      <c r="BOE208" s="899"/>
      <c r="BOF208" s="899"/>
      <c r="BOG208" s="899"/>
      <c r="BOH208" s="899"/>
      <c r="BOI208" s="899"/>
      <c r="BOJ208" s="899"/>
      <c r="BOK208" s="899"/>
      <c r="BOL208" s="899"/>
      <c r="BOM208" s="899"/>
      <c r="BON208" s="899"/>
      <c r="BOO208" s="899"/>
      <c r="BOP208" s="899"/>
      <c r="BOQ208" s="899"/>
      <c r="BOR208" s="899"/>
      <c r="BOS208" s="899"/>
      <c r="BOT208" s="899"/>
      <c r="BOU208" s="899"/>
      <c r="BOV208" s="899"/>
      <c r="BOW208" s="899"/>
      <c r="BOX208" s="899"/>
      <c r="BOY208" s="899"/>
      <c r="BOZ208" s="899"/>
      <c r="BPA208" s="899"/>
      <c r="BPB208" s="899"/>
      <c r="BPC208" s="899"/>
      <c r="BPD208" s="899"/>
      <c r="BPE208" s="899"/>
      <c r="BPF208" s="899"/>
      <c r="BPG208" s="899"/>
      <c r="BPH208" s="899"/>
      <c r="BPI208" s="899"/>
      <c r="BPJ208" s="899"/>
      <c r="BPK208" s="899"/>
      <c r="BPL208" s="899"/>
      <c r="BPM208" s="899"/>
      <c r="BPN208" s="899"/>
      <c r="BPO208" s="899"/>
      <c r="BPP208" s="899"/>
      <c r="BPQ208" s="899"/>
      <c r="BPR208" s="899"/>
      <c r="BPS208" s="899"/>
      <c r="BPT208" s="899"/>
      <c r="BPU208" s="899"/>
      <c r="BPV208" s="899"/>
      <c r="BPW208" s="899"/>
      <c r="BPX208" s="899"/>
      <c r="BPY208" s="899"/>
      <c r="BPZ208" s="899"/>
      <c r="BQA208" s="899"/>
      <c r="BQB208" s="899"/>
      <c r="BQC208" s="899"/>
      <c r="BQD208" s="899"/>
      <c r="BQE208" s="899"/>
      <c r="BQF208" s="899"/>
      <c r="BQG208" s="899"/>
      <c r="BQH208" s="899"/>
      <c r="BQI208" s="899"/>
      <c r="BQJ208" s="899"/>
      <c r="BQK208" s="899"/>
      <c r="BQL208" s="899"/>
      <c r="BQM208" s="899"/>
      <c r="BQN208" s="899"/>
      <c r="BQO208" s="899"/>
      <c r="BQP208" s="899"/>
      <c r="BQQ208" s="899"/>
      <c r="BQR208" s="899"/>
      <c r="BQS208" s="899"/>
      <c r="BQT208" s="899"/>
      <c r="BQU208" s="899"/>
      <c r="BQV208" s="899"/>
      <c r="BQW208" s="899"/>
      <c r="BQX208" s="899"/>
      <c r="BQY208" s="899"/>
      <c r="BQZ208" s="899"/>
      <c r="BRA208" s="899"/>
      <c r="BRB208" s="899"/>
      <c r="BRC208" s="899"/>
      <c r="BRD208" s="899"/>
      <c r="BRE208" s="899"/>
      <c r="BRF208" s="899"/>
      <c r="BRG208" s="899"/>
      <c r="BRH208" s="899"/>
      <c r="BRI208" s="899"/>
      <c r="BRJ208" s="899"/>
      <c r="BRK208" s="899"/>
      <c r="BRL208" s="899"/>
      <c r="BRM208" s="899"/>
      <c r="BRN208" s="899"/>
      <c r="BRO208" s="899"/>
      <c r="BRP208" s="899"/>
      <c r="BRQ208" s="899"/>
      <c r="BRR208" s="899"/>
      <c r="BRS208" s="899"/>
      <c r="BRT208" s="899"/>
      <c r="BRU208" s="899"/>
      <c r="BRV208" s="899"/>
      <c r="BRW208" s="899"/>
      <c r="BRX208" s="899"/>
      <c r="BRY208" s="899"/>
      <c r="BRZ208" s="899"/>
      <c r="BSA208" s="899"/>
      <c r="BSB208" s="899"/>
      <c r="BSC208" s="899"/>
      <c r="BSD208" s="899"/>
      <c r="BSE208" s="899"/>
      <c r="BSF208" s="899"/>
      <c r="BSG208" s="899"/>
      <c r="BSH208" s="899"/>
      <c r="BSI208" s="899"/>
      <c r="BSJ208" s="899"/>
      <c r="BSK208" s="899"/>
      <c r="BSL208" s="899"/>
      <c r="BSM208" s="899"/>
      <c r="BSN208" s="899"/>
      <c r="BSO208" s="899"/>
      <c r="BSP208" s="899"/>
      <c r="BSQ208" s="899"/>
      <c r="BSR208" s="899"/>
      <c r="BSS208" s="899"/>
      <c r="BST208" s="899"/>
      <c r="BSU208" s="899"/>
      <c r="BSV208" s="899"/>
      <c r="BSW208" s="899"/>
      <c r="BSX208" s="899"/>
      <c r="BSY208" s="899"/>
      <c r="BSZ208" s="899"/>
      <c r="BTA208" s="899"/>
      <c r="BTB208" s="899"/>
      <c r="BTC208" s="899"/>
      <c r="BTD208" s="899"/>
      <c r="BTE208" s="899"/>
      <c r="BTF208" s="899"/>
      <c r="BTG208" s="899"/>
      <c r="BTH208" s="899"/>
      <c r="BTI208" s="899"/>
      <c r="BTJ208" s="899"/>
      <c r="BTK208" s="899"/>
      <c r="BTL208" s="899"/>
      <c r="BTM208" s="899"/>
      <c r="BTN208" s="899"/>
      <c r="BTO208" s="899"/>
      <c r="BTP208" s="899"/>
      <c r="BTQ208" s="899"/>
      <c r="BTR208" s="899"/>
      <c r="BTS208" s="899"/>
      <c r="BTT208" s="899"/>
      <c r="BTU208" s="899"/>
      <c r="BTV208" s="899"/>
      <c r="BTW208" s="899"/>
      <c r="BTX208" s="899"/>
      <c r="BTY208" s="899"/>
      <c r="BTZ208" s="899"/>
      <c r="BUA208" s="899"/>
      <c r="BUB208" s="899"/>
      <c r="BUC208" s="899"/>
      <c r="BUD208" s="899"/>
      <c r="BUE208" s="899"/>
      <c r="BUF208" s="899"/>
      <c r="BUG208" s="899"/>
      <c r="BUH208" s="899"/>
      <c r="BUI208" s="899"/>
      <c r="BUJ208" s="899"/>
      <c r="BUK208" s="899"/>
      <c r="BUL208" s="899"/>
      <c r="BUM208" s="899"/>
      <c r="BUN208" s="899"/>
      <c r="BUO208" s="899"/>
      <c r="BUP208" s="899"/>
      <c r="BUQ208" s="899"/>
      <c r="BUR208" s="899"/>
      <c r="BUS208" s="899"/>
      <c r="BUT208" s="899"/>
      <c r="BUU208" s="899"/>
      <c r="BUV208" s="899"/>
      <c r="BUW208" s="899"/>
      <c r="BUX208" s="899"/>
      <c r="BUY208" s="899"/>
      <c r="BUZ208" s="899"/>
      <c r="BVA208" s="899"/>
      <c r="BVB208" s="899"/>
      <c r="BVC208" s="899"/>
      <c r="BVD208" s="899"/>
      <c r="BVE208" s="899"/>
      <c r="BVF208" s="899"/>
      <c r="BVG208" s="899"/>
      <c r="BVH208" s="899"/>
      <c r="BVI208" s="899"/>
      <c r="BVJ208" s="899"/>
      <c r="BVK208" s="899"/>
      <c r="BVL208" s="899"/>
      <c r="BVM208" s="899"/>
      <c r="BVN208" s="899"/>
      <c r="BVO208" s="899"/>
      <c r="BVP208" s="899"/>
      <c r="BVQ208" s="899"/>
      <c r="BVR208" s="899"/>
      <c r="BVS208" s="899"/>
      <c r="BVT208" s="899"/>
      <c r="BVU208" s="899"/>
      <c r="BVV208" s="899"/>
      <c r="BVW208" s="899"/>
      <c r="BVX208" s="899"/>
      <c r="BVY208" s="899"/>
      <c r="BVZ208" s="899"/>
      <c r="BWA208" s="899"/>
      <c r="BWB208" s="899"/>
      <c r="BWC208" s="899"/>
      <c r="BWD208" s="899"/>
      <c r="BWE208" s="899"/>
      <c r="BWF208" s="899"/>
      <c r="BWG208" s="899"/>
      <c r="BWH208" s="899"/>
      <c r="BWI208" s="899"/>
      <c r="BWJ208" s="899"/>
      <c r="BWK208" s="899"/>
      <c r="BWL208" s="899"/>
      <c r="BWM208" s="899"/>
      <c r="BWN208" s="899"/>
      <c r="BWO208" s="899"/>
      <c r="BWP208" s="899"/>
      <c r="BWQ208" s="899"/>
      <c r="BWR208" s="899"/>
      <c r="BWS208" s="899"/>
      <c r="BWT208" s="899"/>
      <c r="BWU208" s="899"/>
      <c r="BWV208" s="899"/>
      <c r="BWW208" s="899"/>
      <c r="BWX208" s="899"/>
      <c r="BWY208" s="899"/>
      <c r="BWZ208" s="899"/>
      <c r="BXA208" s="899"/>
      <c r="BXB208" s="899"/>
      <c r="BXC208" s="899"/>
      <c r="BXD208" s="899"/>
      <c r="BXE208" s="899"/>
      <c r="BXF208" s="899"/>
      <c r="BXG208" s="899"/>
      <c r="BXH208" s="899"/>
      <c r="BXI208" s="899"/>
      <c r="BXJ208" s="899"/>
      <c r="BXK208" s="899"/>
      <c r="BXL208" s="899"/>
      <c r="BXM208" s="899"/>
      <c r="BXN208" s="899"/>
      <c r="BXO208" s="899"/>
      <c r="BXP208" s="899"/>
      <c r="BXQ208" s="899"/>
      <c r="BXR208" s="899"/>
      <c r="BXS208" s="899"/>
      <c r="BXT208" s="899"/>
      <c r="BXU208" s="899"/>
      <c r="BXV208" s="899"/>
      <c r="BXW208" s="899"/>
      <c r="BXX208" s="899"/>
      <c r="BXY208" s="899"/>
      <c r="BXZ208" s="899"/>
      <c r="BYA208" s="899"/>
      <c r="BYB208" s="899"/>
      <c r="BYC208" s="899"/>
      <c r="BYD208" s="899"/>
      <c r="BYE208" s="899"/>
      <c r="BYF208" s="899"/>
      <c r="BYG208" s="899"/>
      <c r="BYH208" s="899"/>
      <c r="BYI208" s="899"/>
      <c r="BYJ208" s="899"/>
      <c r="BYK208" s="899"/>
      <c r="BYL208" s="899"/>
      <c r="BYM208" s="899"/>
      <c r="BYN208" s="899"/>
      <c r="BYO208" s="899"/>
      <c r="BYP208" s="899"/>
      <c r="BYQ208" s="899"/>
      <c r="BYR208" s="899"/>
      <c r="BYS208" s="899"/>
      <c r="BYT208" s="899"/>
      <c r="BYU208" s="899"/>
      <c r="BYV208" s="899"/>
      <c r="BYW208" s="899"/>
      <c r="BYX208" s="899"/>
      <c r="BYY208" s="899"/>
      <c r="BYZ208" s="899"/>
      <c r="BZA208" s="899"/>
      <c r="BZB208" s="899"/>
      <c r="BZC208" s="899"/>
      <c r="BZD208" s="899"/>
      <c r="BZE208" s="899"/>
      <c r="BZF208" s="899"/>
      <c r="BZG208" s="899"/>
      <c r="BZH208" s="899"/>
      <c r="BZI208" s="899"/>
      <c r="BZJ208" s="899"/>
      <c r="BZK208" s="899"/>
      <c r="BZL208" s="899"/>
      <c r="BZM208" s="899"/>
      <c r="BZN208" s="899"/>
      <c r="BZO208" s="899"/>
      <c r="BZP208" s="899"/>
      <c r="BZQ208" s="899"/>
      <c r="BZR208" s="899"/>
      <c r="BZS208" s="899"/>
      <c r="BZT208" s="899"/>
      <c r="BZU208" s="899"/>
      <c r="BZV208" s="899"/>
      <c r="BZW208" s="899"/>
      <c r="BZX208" s="899"/>
      <c r="BZY208" s="899"/>
      <c r="BZZ208" s="899"/>
      <c r="CAA208" s="899"/>
      <c r="CAB208" s="899"/>
      <c r="CAC208" s="899"/>
      <c r="CAD208" s="899"/>
      <c r="CAE208" s="899"/>
      <c r="CAF208" s="899"/>
      <c r="CAG208" s="899"/>
      <c r="CAH208" s="899"/>
      <c r="CAI208" s="899"/>
      <c r="CAJ208" s="899"/>
      <c r="CAK208" s="899"/>
      <c r="CAL208" s="899"/>
      <c r="CAM208" s="899"/>
      <c r="CAN208" s="899"/>
      <c r="CAO208" s="899"/>
      <c r="CAP208" s="899"/>
      <c r="CAQ208" s="899"/>
      <c r="CAR208" s="899"/>
      <c r="CAS208" s="899"/>
      <c r="CAT208" s="899"/>
      <c r="CAU208" s="899"/>
      <c r="CAV208" s="899"/>
      <c r="CAW208" s="899"/>
      <c r="CAX208" s="899"/>
      <c r="CAY208" s="899"/>
      <c r="CAZ208" s="899"/>
      <c r="CBA208" s="899"/>
      <c r="CBB208" s="899"/>
      <c r="CBC208" s="899"/>
      <c r="CBD208" s="899"/>
      <c r="CBE208" s="899"/>
      <c r="CBF208" s="899"/>
      <c r="CBG208" s="899"/>
      <c r="CBH208" s="899"/>
      <c r="CBI208" s="899"/>
      <c r="CBJ208" s="899"/>
      <c r="CBK208" s="899"/>
      <c r="CBL208" s="899"/>
      <c r="CBM208" s="899"/>
      <c r="CBN208" s="899"/>
      <c r="CBO208" s="899"/>
      <c r="CBP208" s="899"/>
      <c r="CBQ208" s="899"/>
      <c r="CBR208" s="899"/>
      <c r="CBS208" s="899"/>
      <c r="CBT208" s="899"/>
      <c r="CBU208" s="899"/>
      <c r="CBV208" s="899"/>
      <c r="CBW208" s="899"/>
      <c r="CBX208" s="899"/>
      <c r="CBY208" s="899"/>
      <c r="CBZ208" s="899"/>
      <c r="CCA208" s="899"/>
      <c r="CCB208" s="899"/>
      <c r="CCC208" s="899"/>
      <c r="CCD208" s="899"/>
      <c r="CCE208" s="899"/>
      <c r="CCF208" s="899"/>
      <c r="CCG208" s="899"/>
      <c r="CCH208" s="899"/>
      <c r="CCI208" s="899"/>
      <c r="CCJ208" s="899"/>
      <c r="CCK208" s="899"/>
      <c r="CCL208" s="899"/>
      <c r="CCM208" s="899"/>
      <c r="CCN208" s="899"/>
      <c r="CCO208" s="899"/>
      <c r="CCP208" s="899"/>
      <c r="CCQ208" s="899"/>
      <c r="CCR208" s="899"/>
      <c r="CCS208" s="899"/>
      <c r="CCT208" s="899"/>
      <c r="CCU208" s="899"/>
      <c r="CCV208" s="899"/>
      <c r="CCW208" s="899"/>
      <c r="CCX208" s="899"/>
      <c r="CCY208" s="899"/>
      <c r="CCZ208" s="899"/>
      <c r="CDA208" s="899"/>
      <c r="CDB208" s="899"/>
      <c r="CDC208" s="899"/>
      <c r="CDD208" s="899"/>
      <c r="CDE208" s="899"/>
      <c r="CDF208" s="899"/>
      <c r="CDG208" s="899"/>
      <c r="CDH208" s="899"/>
      <c r="CDI208" s="899"/>
      <c r="CDJ208" s="899"/>
      <c r="CDK208" s="899"/>
      <c r="CDL208" s="899"/>
      <c r="CDM208" s="899"/>
      <c r="CDN208" s="899"/>
      <c r="CDO208" s="899"/>
      <c r="CDP208" s="899"/>
      <c r="CDQ208" s="899"/>
      <c r="CDR208" s="899"/>
      <c r="CDS208" s="899"/>
      <c r="CDT208" s="899"/>
      <c r="CDU208" s="899"/>
      <c r="CDV208" s="899"/>
      <c r="CDW208" s="899"/>
      <c r="CDX208" s="899"/>
      <c r="CDY208" s="899"/>
      <c r="CDZ208" s="899"/>
      <c r="CEA208" s="899"/>
      <c r="CEB208" s="899"/>
      <c r="CEC208" s="899"/>
      <c r="CED208" s="899"/>
      <c r="CEE208" s="899"/>
      <c r="CEF208" s="899"/>
      <c r="CEG208" s="899"/>
      <c r="CEH208" s="899"/>
      <c r="CEI208" s="899"/>
      <c r="CEJ208" s="899"/>
      <c r="CEK208" s="899"/>
    </row>
    <row r="209" spans="1:97">
      <c r="A209" s="116" t="s">
        <v>10796</v>
      </c>
      <c r="B209" s="77"/>
      <c r="C209" s="77"/>
      <c r="D209" s="77"/>
      <c r="E209" s="77"/>
      <c r="F209" s="77"/>
      <c r="G209" s="77"/>
      <c r="H209" s="77"/>
      <c r="I209" s="77"/>
      <c r="J209" s="77"/>
      <c r="K209" s="77"/>
      <c r="L209" s="77"/>
      <c r="M209" s="77"/>
      <c r="N209" s="77"/>
      <c r="O209" s="77"/>
      <c r="P209" s="77"/>
      <c r="Q209" s="77"/>
      <c r="R209" s="77"/>
      <c r="S209" s="77"/>
      <c r="T209" s="77"/>
      <c r="U209" s="77"/>
      <c r="V209" s="77"/>
      <c r="W209" s="729"/>
      <c r="X209" s="719"/>
      <c r="Y209" s="559"/>
      <c r="Z209" s="349"/>
      <c r="AA209" s="349"/>
      <c r="AB209" s="349"/>
      <c r="AC209" s="349"/>
      <c r="AD209" s="349"/>
      <c r="AE209" s="349"/>
      <c r="AF209" s="349"/>
      <c r="AG209" s="349"/>
      <c r="AH209" s="341"/>
      <c r="AM209" s="88"/>
      <c r="AN209" s="88"/>
      <c r="AO209" s="88"/>
      <c r="AP209" s="88"/>
      <c r="AQ209" s="88"/>
      <c r="AR209" s="88"/>
      <c r="AS209" s="604"/>
      <c r="AT209" s="604"/>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01"/>
    </row>
    <row r="210" spans="1:97">
      <c r="A210" s="171" t="s">
        <v>9143</v>
      </c>
      <c r="B210" s="342" t="s">
        <v>426</v>
      </c>
      <c r="C210" s="171" t="str">
        <f>IF('page 2'!$Q$4="","",IF('page 2'!$Q$4=A210,1,0))</f>
        <v/>
      </c>
      <c r="D210" s="171" t="str">
        <f>IF('page 2'!$Q$5="","",IF('page 2'!$Q$5=A210,1,0))</f>
        <v/>
      </c>
      <c r="E210" s="171" t="str">
        <f>IF('page 2'!$Q$6="","",IF('page 2'!$Q$6=A210,1,0))</f>
        <v/>
      </c>
      <c r="F210" s="171" t="str">
        <f>IF('page 2'!$Q$7="","",IF('page 2'!$Q$7=A210,1,0))</f>
        <v/>
      </c>
      <c r="G210" s="171" t="str">
        <f>IF('page 2'!$Q$8="","",IF('page 2'!$Q$8=A210,1,0))</f>
        <v/>
      </c>
      <c r="H210" s="171" t="str">
        <f>IF('page 2'!$Q$9="","",IF('page 2'!$Q$9=A210,1,0))</f>
        <v/>
      </c>
      <c r="I210" s="171" t="str">
        <f>IF('page 2'!$Q$10="","",IF('page 2'!$Q$10=A210,1,0))</f>
        <v/>
      </c>
      <c r="J210" s="171" t="str">
        <f>IF('page 2'!$Q$11="","",IF('page 2'!$Q$11=A210,1,0))</f>
        <v/>
      </c>
      <c r="K210" s="171" t="str">
        <f>IF('page 2'!$Q$12="","",IF('page 2'!$Q$12=A210,1,0))</f>
        <v/>
      </c>
      <c r="L210" s="171" t="str">
        <f>IF('page 2'!$Q$13="","",IF('page 2'!$Q$13=A210,1,0))</f>
        <v/>
      </c>
      <c r="M210" s="171" t="str">
        <f>IF('page 2'!$Q$14="","",IF('page 2'!$Q$14=A210,1,0))</f>
        <v/>
      </c>
      <c r="N210" s="171" t="str">
        <f>IF('page 2'!$Q$15="","",IF('page 2'!$Q$15=A210,1,0))</f>
        <v/>
      </c>
      <c r="O210" s="171" t="str">
        <f>IF('page 2'!$Q$16="","",IF('page 2'!$Q$16=A210,1,0))</f>
        <v/>
      </c>
      <c r="P210" s="171" t="str">
        <f>IF('page 2'!$Q$17="","",IF('page 2'!$Q$17=A210,1,0))</f>
        <v/>
      </c>
      <c r="Q210" s="171" t="str">
        <f>IF('page 2'!$Q$18="","",IF('page 2'!$Q$18=A210,1,0))</f>
        <v/>
      </c>
      <c r="R210" s="171" t="str">
        <f>IF('page 2'!$Q$19="","",IF('page 2'!$Q$19=A210,1,0))</f>
        <v/>
      </c>
      <c r="S210" s="171" t="str">
        <f>IF('page 2'!$Q$20="","",IF('page 2'!$Q$20=A210,1,0))</f>
        <v/>
      </c>
      <c r="T210" s="171"/>
      <c r="U210" s="171"/>
      <c r="V210" s="171"/>
      <c r="W210" s="730">
        <f t="shared" si="28"/>
        <v>0</v>
      </c>
      <c r="X210" s="719"/>
      <c r="Y210" s="347" t="s">
        <v>2464</v>
      </c>
      <c r="AA210" s="64" t="b">
        <v>1</v>
      </c>
      <c r="AB210" s="349" t="b">
        <v>1</v>
      </c>
      <c r="AC210" s="349" t="b">
        <v>1</v>
      </c>
      <c r="AD210" s="349" t="b">
        <v>1</v>
      </c>
      <c r="AE210" s="349" t="b">
        <v>1</v>
      </c>
      <c r="AF210" s="349" t="b">
        <v>1</v>
      </c>
      <c r="AG210" s="349" t="b">
        <v>1</v>
      </c>
      <c r="AH210" s="341"/>
      <c r="AM210" s="88"/>
      <c r="AN210" s="88"/>
      <c r="AO210" s="88"/>
      <c r="AP210" s="88"/>
      <c r="AQ210" s="88"/>
      <c r="AR210" s="88"/>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01"/>
    </row>
    <row r="211" spans="1:97">
      <c r="A211" s="64" t="s">
        <v>9823</v>
      </c>
      <c r="B211" s="342" t="s">
        <v>426</v>
      </c>
      <c r="C211" s="171" t="str">
        <f>IF('page 2'!$Q$4="","",IF('page 2'!$Q$4=A211,1,0))</f>
        <v/>
      </c>
      <c r="D211" s="171" t="str">
        <f>IF('page 2'!$Q$5="","",IF('page 2'!$Q$5=A211,1,0))</f>
        <v/>
      </c>
      <c r="E211" s="171" t="str">
        <f>IF('page 2'!$Q$6="","",IF('page 2'!$Q$6=A211,1,0))</f>
        <v/>
      </c>
      <c r="F211" s="171" t="str">
        <f>IF('page 2'!$Q$7="","",IF('page 2'!$Q$7=A211,1,0))</f>
        <v/>
      </c>
      <c r="G211" s="171" t="str">
        <f>IF('page 2'!$Q$8="","",IF('page 2'!$Q$8=A211,1,0))</f>
        <v/>
      </c>
      <c r="H211" s="171" t="str">
        <f>IF('page 2'!$Q$9="","",IF('page 2'!$Q$9=A211,1,0))</f>
        <v/>
      </c>
      <c r="I211" s="171" t="str">
        <f>IF('page 2'!$Q$10="","",IF('page 2'!$Q$10=A211,1,0))</f>
        <v/>
      </c>
      <c r="J211" s="171" t="str">
        <f>IF('page 2'!$Q$11="","",IF('page 2'!$Q$11=A211,1,0))</f>
        <v/>
      </c>
      <c r="K211" s="171" t="str">
        <f>IF('page 2'!$Q$12="","",IF('page 2'!$Q$12=A211,1,0))</f>
        <v/>
      </c>
      <c r="L211" s="171" t="str">
        <f>IF('page 2'!$Q$13="","",IF('page 2'!$Q$13=A211,1,0))</f>
        <v/>
      </c>
      <c r="M211" s="171" t="str">
        <f>IF('page 2'!$Q$14="","",IF('page 2'!$Q$14=A211,1,0))</f>
        <v/>
      </c>
      <c r="N211" s="171" t="str">
        <f>IF('page 2'!$Q$15="","",IF('page 2'!$Q$15=A211,1,0))</f>
        <v/>
      </c>
      <c r="O211" s="171" t="str">
        <f>IF('page 2'!$Q$16="","",IF('page 2'!$Q$16=A211,1,0))</f>
        <v/>
      </c>
      <c r="P211" s="171" t="str">
        <f>IF('page 2'!$Q$17="","",IF('page 2'!$Q$17=A211,1,0))</f>
        <v/>
      </c>
      <c r="Q211" s="171" t="str">
        <f>IF('page 2'!$Q$18="","",IF('page 2'!$Q$18=A211,1,0))</f>
        <v/>
      </c>
      <c r="R211" s="171" t="str">
        <f>IF('page 2'!$Q$19="","",IF('page 2'!$Q$19=A211,1,0))</f>
        <v/>
      </c>
      <c r="S211" s="171" t="str">
        <f>IF('page 2'!$Q$20="","",IF('page 2'!$Q$20=A211,1,0))</f>
        <v/>
      </c>
      <c r="T211" s="171"/>
      <c r="U211" s="171"/>
      <c r="V211" s="171"/>
      <c r="W211" s="730">
        <f t="shared" ref="W211:W231" si="36">SUM(C211:S211)</f>
        <v>0</v>
      </c>
      <c r="AA211" s="350"/>
      <c r="AB211" s="62"/>
      <c r="AC211" s="62"/>
      <c r="AD211" s="62"/>
      <c r="AP211" s="88"/>
      <c r="AQ211" s="88"/>
      <c r="AR211" s="88"/>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01"/>
    </row>
    <row r="212" spans="1:97">
      <c r="A212" s="64" t="s">
        <v>9819</v>
      </c>
      <c r="B212" s="342" t="s">
        <v>426</v>
      </c>
      <c r="C212" s="171" t="str">
        <f>IF('page 2'!$Q$4="","",IF('page 2'!$Q$4=A212,1,0))</f>
        <v/>
      </c>
      <c r="D212" s="171" t="str">
        <f>IF('page 2'!$Q$5="","",IF('page 2'!$Q$5=A212,1,0))</f>
        <v/>
      </c>
      <c r="E212" s="171" t="str">
        <f>IF('page 2'!$Q$6="","",IF('page 2'!$Q$6=A212,1,0))</f>
        <v/>
      </c>
      <c r="F212" s="171" t="str">
        <f>IF('page 2'!$Q$7="","",IF('page 2'!$Q$7=A212,1,0))</f>
        <v/>
      </c>
      <c r="G212" s="171" t="str">
        <f>IF('page 2'!$Q$8="","",IF('page 2'!$Q$8=A212,1,0))</f>
        <v/>
      </c>
      <c r="H212" s="171" t="str">
        <f>IF('page 2'!$Q$9="","",IF('page 2'!$Q$9=A212,1,0))</f>
        <v/>
      </c>
      <c r="I212" s="171" t="str">
        <f>IF('page 2'!$Q$10="","",IF('page 2'!$Q$10=A212,1,0))</f>
        <v/>
      </c>
      <c r="J212" s="171" t="str">
        <f>IF('page 2'!$Q$11="","",IF('page 2'!$Q$11=A212,1,0))</f>
        <v/>
      </c>
      <c r="K212" s="171" t="str">
        <f>IF('page 2'!$Q$12="","",IF('page 2'!$Q$12=A212,1,0))</f>
        <v/>
      </c>
      <c r="L212" s="171" t="str">
        <f>IF('page 2'!$Q$13="","",IF('page 2'!$Q$13=A212,1,0))</f>
        <v/>
      </c>
      <c r="M212" s="171" t="str">
        <f>IF('page 2'!$Q$14="","",IF('page 2'!$Q$14=A212,1,0))</f>
        <v/>
      </c>
      <c r="N212" s="171" t="str">
        <f>IF('page 2'!$Q$15="","",IF('page 2'!$Q$15=A212,1,0))</f>
        <v/>
      </c>
      <c r="O212" s="171" t="str">
        <f>IF('page 2'!$Q$16="","",IF('page 2'!$Q$16=A212,1,0))</f>
        <v/>
      </c>
      <c r="P212" s="171" t="str">
        <f>IF('page 2'!$Q$17="","",IF('page 2'!$Q$17=A212,1,0))</f>
        <v/>
      </c>
      <c r="Q212" s="171" t="str">
        <f>IF('page 2'!$Q$18="","",IF('page 2'!$Q$18=A212,1,0))</f>
        <v/>
      </c>
      <c r="R212" s="171" t="str">
        <f>IF('page 2'!$Q$19="","",IF('page 2'!$Q$19=A212,1,0))</f>
        <v/>
      </c>
      <c r="S212" s="171" t="str">
        <f>IF('page 2'!$Q$20="","",IF('page 2'!$Q$20=A212,1,0))</f>
        <v/>
      </c>
      <c r="T212" s="171"/>
      <c r="U212" s="171"/>
      <c r="V212" s="171"/>
      <c r="W212" s="730">
        <f t="shared" si="36"/>
        <v>0</v>
      </c>
      <c r="Z212" s="346"/>
      <c r="AA212" s="357" t="s">
        <v>8790</v>
      </c>
      <c r="AB212" s="106"/>
      <c r="AC212" s="106"/>
      <c r="AD212" s="106"/>
      <c r="AE212" s="106"/>
      <c r="AF212" s="106"/>
      <c r="AG212" s="106"/>
      <c r="AH212" s="106"/>
      <c r="AI212" s="106"/>
      <c r="AJ212" s="106"/>
      <c r="AK212" s="106"/>
      <c r="AL212" s="106"/>
      <c r="AM212" s="106"/>
      <c r="AN212" s="106"/>
      <c r="AO212" s="106"/>
      <c r="AP212" s="353"/>
      <c r="AQ212" s="88"/>
      <c r="AR212" s="88"/>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01"/>
    </row>
    <row r="213" spans="1:97">
      <c r="A213" s="64" t="s">
        <v>9820</v>
      </c>
      <c r="B213" s="342" t="s">
        <v>426</v>
      </c>
      <c r="C213" s="171" t="str">
        <f>IF('page 2'!$Q$4="","",IF('page 2'!$Q$4=A213,1,0))</f>
        <v/>
      </c>
      <c r="D213" s="171" t="str">
        <f>IF('page 2'!$Q$5="","",IF('page 2'!$Q$5=A213,1,0))</f>
        <v/>
      </c>
      <c r="E213" s="171" t="str">
        <f>IF('page 2'!$Q$6="","",IF('page 2'!$Q$6=A213,1,0))</f>
        <v/>
      </c>
      <c r="F213" s="171" t="str">
        <f>IF('page 2'!$Q$7="","",IF('page 2'!$Q$7=A213,1,0))</f>
        <v/>
      </c>
      <c r="G213" s="171" t="str">
        <f>IF('page 2'!$Q$8="","",IF('page 2'!$Q$8=A213,1,0))</f>
        <v/>
      </c>
      <c r="H213" s="171" t="str">
        <f>IF('page 2'!$Q$9="","",IF('page 2'!$Q$9=A213,1,0))</f>
        <v/>
      </c>
      <c r="I213" s="171" t="str">
        <f>IF('page 2'!$Q$10="","",IF('page 2'!$Q$10=A213,1,0))</f>
        <v/>
      </c>
      <c r="J213" s="171" t="str">
        <f>IF('page 2'!$Q$11="","",IF('page 2'!$Q$11=A213,1,0))</f>
        <v/>
      </c>
      <c r="K213" s="171" t="str">
        <f>IF('page 2'!$Q$12="","",IF('page 2'!$Q$12=A213,1,0))</f>
        <v/>
      </c>
      <c r="L213" s="171" t="str">
        <f>IF('page 2'!$Q$13="","",IF('page 2'!$Q$13=A213,1,0))</f>
        <v/>
      </c>
      <c r="M213" s="171" t="str">
        <f>IF('page 2'!$Q$14="","",IF('page 2'!$Q$14=A213,1,0))</f>
        <v/>
      </c>
      <c r="N213" s="171" t="str">
        <f>IF('page 2'!$Q$15="","",IF('page 2'!$Q$15=A213,1,0))</f>
        <v/>
      </c>
      <c r="O213" s="171" t="str">
        <f>IF('page 2'!$Q$16="","",IF('page 2'!$Q$16=A213,1,0))</f>
        <v/>
      </c>
      <c r="P213" s="171" t="str">
        <f>IF('page 2'!$Q$17="","",IF('page 2'!$Q$17=A213,1,0))</f>
        <v/>
      </c>
      <c r="Q213" s="171" t="str">
        <f>IF('page 2'!$Q$18="","",IF('page 2'!$Q$18=A213,1,0))</f>
        <v/>
      </c>
      <c r="R213" s="171" t="str">
        <f>IF('page 2'!$Q$19="","",IF('page 2'!$Q$19=A213,1,0))</f>
        <v/>
      </c>
      <c r="S213" s="171" t="str">
        <f>IF('page 2'!$Q$20="","",IF('page 2'!$Q$20=A213,1,0))</f>
        <v/>
      </c>
      <c r="T213" s="171"/>
      <c r="U213" s="171"/>
      <c r="V213" s="171"/>
      <c r="W213" s="730">
        <f t="shared" si="36"/>
        <v>0</v>
      </c>
      <c r="Y213" s="64">
        <f>'page 1'!$U$35</f>
        <v>16</v>
      </c>
      <c r="Z213" s="340" t="s">
        <v>8791</v>
      </c>
      <c r="AA213" s="357" t="b">
        <f>VLOOKUP('page 1'!G35,$Y$194:$AG$210,9,FALSE)</f>
        <v>1</v>
      </c>
      <c r="AB213" s="106"/>
      <c r="AC213" s="106"/>
      <c r="AD213" s="62"/>
      <c r="AM213" s="88"/>
      <c r="AN213" s="88"/>
      <c r="AO213" s="88"/>
      <c r="AP213" s="88"/>
      <c r="AQ213" s="88"/>
      <c r="AR213" s="88"/>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01"/>
    </row>
    <row r="214" spans="1:97">
      <c r="A214" s="64" t="s">
        <v>9821</v>
      </c>
      <c r="B214" s="342" t="s">
        <v>426</v>
      </c>
      <c r="C214" s="171" t="str">
        <f>IF('page 2'!$Q$4="","",IF('page 2'!$Q$4=A214,1,0))</f>
        <v/>
      </c>
      <c r="D214" s="171" t="str">
        <f>IF('page 2'!$Q$5="","",IF('page 2'!$Q$5=A214,1,0))</f>
        <v/>
      </c>
      <c r="E214" s="171" t="str">
        <f>IF('page 2'!$Q$6="","",IF('page 2'!$Q$6=A214,1,0))</f>
        <v/>
      </c>
      <c r="F214" s="171" t="str">
        <f>IF('page 2'!$Q$7="","",IF('page 2'!$Q$7=A214,1,0))</f>
        <v/>
      </c>
      <c r="G214" s="171" t="str">
        <f>IF('page 2'!$Q$8="","",IF('page 2'!$Q$8=A214,1,0))</f>
        <v/>
      </c>
      <c r="H214" s="171" t="str">
        <f>IF('page 2'!$Q$9="","",IF('page 2'!$Q$9=A214,1,0))</f>
        <v/>
      </c>
      <c r="I214" s="171" t="str">
        <f>IF('page 2'!$Q$10="","",IF('page 2'!$Q$10=A214,1,0))</f>
        <v/>
      </c>
      <c r="J214" s="171" t="str">
        <f>IF('page 2'!$Q$11="","",IF('page 2'!$Q$11=A214,1,0))</f>
        <v/>
      </c>
      <c r="K214" s="171" t="str">
        <f>IF('page 2'!$Q$12="","",IF('page 2'!$Q$12=A214,1,0))</f>
        <v/>
      </c>
      <c r="L214" s="171" t="str">
        <f>IF('page 2'!$Q$13="","",IF('page 2'!$Q$13=A214,1,0))</f>
        <v/>
      </c>
      <c r="M214" s="171" t="str">
        <f>IF('page 2'!$Q$14="","",IF('page 2'!$Q$14=A214,1,0))</f>
        <v/>
      </c>
      <c r="N214" s="171" t="str">
        <f>IF('page 2'!$Q$15="","",IF('page 2'!$Q$15=A214,1,0))</f>
        <v/>
      </c>
      <c r="O214" s="171" t="str">
        <f>IF('page 2'!$Q$16="","",IF('page 2'!$Q$16=A214,1,0))</f>
        <v/>
      </c>
      <c r="P214" s="171" t="str">
        <f>IF('page 2'!$Q$17="","",IF('page 2'!$Q$17=A214,1,0))</f>
        <v/>
      </c>
      <c r="Q214" s="171" t="str">
        <f>IF('page 2'!$Q$18="","",IF('page 2'!$Q$18=A214,1,0))</f>
        <v/>
      </c>
      <c r="R214" s="171" t="str">
        <f>IF('page 2'!$Q$19="","",IF('page 2'!$Q$19=A214,1,0))</f>
        <v/>
      </c>
      <c r="S214" s="171" t="str">
        <f>IF('page 2'!$Q$20="","",IF('page 2'!$Q$20=A214,1,0))</f>
        <v/>
      </c>
      <c r="T214" s="171"/>
      <c r="U214" s="171"/>
      <c r="V214" s="171"/>
      <c r="W214" s="730">
        <f t="shared" si="36"/>
        <v>0</v>
      </c>
      <c r="Y214" s="64">
        <f>'page 1'!$U$36</f>
        <v>0</v>
      </c>
      <c r="Z214" s="340" t="s">
        <v>8792</v>
      </c>
      <c r="AA214" s="357" t="e">
        <f>VLOOKUP('page 1'!G36,$Y$194:$AG$210,9,FALSE)</f>
        <v>#N/A</v>
      </c>
      <c r="AB214" s="106"/>
      <c r="AC214" s="106"/>
      <c r="AD214" s="62"/>
      <c r="AM214" s="88"/>
      <c r="AN214" s="88"/>
      <c r="AO214" s="88"/>
      <c r="AP214" s="88"/>
      <c r="AQ214" s="88"/>
      <c r="AR214" s="88"/>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01"/>
    </row>
    <row r="215" spans="1:97">
      <c r="A215" s="64" t="s">
        <v>9822</v>
      </c>
      <c r="B215" s="342" t="s">
        <v>426</v>
      </c>
      <c r="C215" s="171" t="str">
        <f>IF('page 2'!$Q$4="","",IF('page 2'!$Q$4=A215,1,0))</f>
        <v/>
      </c>
      <c r="D215" s="171" t="str">
        <f>IF('page 2'!$Q$5="","",IF('page 2'!$Q$5=A215,1,0))</f>
        <v/>
      </c>
      <c r="E215" s="171" t="str">
        <f>IF('page 2'!$Q$6="","",IF('page 2'!$Q$6=A215,1,0))</f>
        <v/>
      </c>
      <c r="F215" s="171" t="str">
        <f>IF('page 2'!$Q$7="","",IF('page 2'!$Q$7=A215,1,0))</f>
        <v/>
      </c>
      <c r="G215" s="171" t="str">
        <f>IF('page 2'!$Q$8="","",IF('page 2'!$Q$8=A215,1,0))</f>
        <v/>
      </c>
      <c r="H215" s="171" t="str">
        <f>IF('page 2'!$Q$9="","",IF('page 2'!$Q$9=A215,1,0))</f>
        <v/>
      </c>
      <c r="I215" s="171" t="str">
        <f>IF('page 2'!$Q$10="","",IF('page 2'!$Q$10=A215,1,0))</f>
        <v/>
      </c>
      <c r="J215" s="171" t="str">
        <f>IF('page 2'!$Q$11="","",IF('page 2'!$Q$11=A215,1,0))</f>
        <v/>
      </c>
      <c r="K215" s="171" t="str">
        <f>IF('page 2'!$Q$12="","",IF('page 2'!$Q$12=A215,1,0))</f>
        <v/>
      </c>
      <c r="L215" s="171" t="str">
        <f>IF('page 2'!$Q$13="","",IF('page 2'!$Q$13=A215,1,0))</f>
        <v/>
      </c>
      <c r="M215" s="171" t="str">
        <f>IF('page 2'!$Q$14="","",IF('page 2'!$Q$14=A215,1,0))</f>
        <v/>
      </c>
      <c r="N215" s="171" t="str">
        <f>IF('page 2'!$Q$15="","",IF('page 2'!$Q$15=A215,1,0))</f>
        <v/>
      </c>
      <c r="O215" s="171" t="str">
        <f>IF('page 2'!$Q$16="","",IF('page 2'!$Q$16=A215,1,0))</f>
        <v/>
      </c>
      <c r="P215" s="171" t="str">
        <f>IF('page 2'!$Q$17="","",IF('page 2'!$Q$17=A215,1,0))</f>
        <v/>
      </c>
      <c r="Q215" s="171" t="str">
        <f>IF('page 2'!$Q$18="","",IF('page 2'!$Q$18=A215,1,0))</f>
        <v/>
      </c>
      <c r="R215" s="171" t="str">
        <f>IF('page 2'!$Q$19="","",IF('page 2'!$Q$19=A215,1,0))</f>
        <v/>
      </c>
      <c r="S215" s="171" t="str">
        <f>IF('page 2'!$Q$20="","",IF('page 2'!$Q$20=A215,1,0))</f>
        <v/>
      </c>
      <c r="T215" s="171"/>
      <c r="U215" s="171"/>
      <c r="V215" s="171"/>
      <c r="W215" s="730">
        <f t="shared" si="36"/>
        <v>0</v>
      </c>
      <c r="Y215" s="64">
        <f>'page 1'!$U$37</f>
        <v>0</v>
      </c>
      <c r="Z215" s="340" t="s">
        <v>8793</v>
      </c>
      <c r="AA215" s="357" t="e">
        <f>VLOOKUP('page 1'!G37,$Y$194:$AG$210,9,FALSE)</f>
        <v>#N/A</v>
      </c>
      <c r="AB215" s="106"/>
      <c r="AC215" s="106"/>
      <c r="AD215" s="62"/>
      <c r="AM215" s="88"/>
      <c r="AN215" s="88"/>
      <c r="AO215" s="88"/>
      <c r="AP215" s="88"/>
      <c r="AQ215" s="88"/>
      <c r="AR215" s="88"/>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01"/>
    </row>
    <row r="216" spans="1:97">
      <c r="A216" s="64" t="s">
        <v>9826</v>
      </c>
      <c r="B216" s="342" t="s">
        <v>426</v>
      </c>
      <c r="C216" s="171" t="str">
        <f>IF('page 2'!$Q$4="","",IF('page 2'!$Q$4=A216,1,0))</f>
        <v/>
      </c>
      <c r="D216" s="171" t="str">
        <f>IF('page 2'!$Q$5="","",IF('page 2'!$Q$5=A216,1,0))</f>
        <v/>
      </c>
      <c r="E216" s="171" t="str">
        <f>IF('page 2'!$Q$6="","",IF('page 2'!$Q$6=A216,1,0))</f>
        <v/>
      </c>
      <c r="F216" s="171" t="str">
        <f>IF('page 2'!$Q$7="","",IF('page 2'!$Q$7=A216,1,0))</f>
        <v/>
      </c>
      <c r="G216" s="171" t="str">
        <f>IF('page 2'!$Q$8="","",IF('page 2'!$Q$8=A216,1,0))</f>
        <v/>
      </c>
      <c r="H216" s="171" t="str">
        <f>IF('page 2'!$Q$9="","",IF('page 2'!$Q$9=A216,1,0))</f>
        <v/>
      </c>
      <c r="I216" s="171" t="str">
        <f>IF('page 2'!$Q$10="","",IF('page 2'!$Q$10=A216,1,0))</f>
        <v/>
      </c>
      <c r="J216" s="171" t="str">
        <f>IF('page 2'!$Q$11="","",IF('page 2'!$Q$11=A216,1,0))</f>
        <v/>
      </c>
      <c r="K216" s="171" t="str">
        <f>IF('page 2'!$Q$12="","",IF('page 2'!$Q$12=A216,1,0))</f>
        <v/>
      </c>
      <c r="L216" s="171" t="str">
        <f>IF('page 2'!$Q$13="","",IF('page 2'!$Q$13=A216,1,0))</f>
        <v/>
      </c>
      <c r="M216" s="171" t="str">
        <f>IF('page 2'!$Q$14="","",IF('page 2'!$Q$14=A216,1,0))</f>
        <v/>
      </c>
      <c r="N216" s="171" t="str">
        <f>IF('page 2'!$Q$15="","",IF('page 2'!$Q$15=A216,1,0))</f>
        <v/>
      </c>
      <c r="O216" s="171" t="str">
        <f>IF('page 2'!$Q$16="","",IF('page 2'!$Q$16=A216,1,0))</f>
        <v/>
      </c>
      <c r="P216" s="171" t="str">
        <f>IF('page 2'!$Q$17="","",IF('page 2'!$Q$17=A216,1,0))</f>
        <v/>
      </c>
      <c r="Q216" s="171" t="str">
        <f>IF('page 2'!$Q$18="","",IF('page 2'!$Q$18=A216,1,0))</f>
        <v/>
      </c>
      <c r="R216" s="171" t="str">
        <f>IF('page 2'!$Q$19="","",IF('page 2'!$Q$19=A216,1,0))</f>
        <v/>
      </c>
      <c r="S216" s="171" t="str">
        <f>IF('page 2'!$Q$20="","",IF('page 2'!$Q$20=A216,1,0))</f>
        <v/>
      </c>
      <c r="T216" s="171"/>
      <c r="U216" s="171"/>
      <c r="V216" s="171"/>
      <c r="W216" s="730">
        <f t="shared" si="36"/>
        <v>0</v>
      </c>
      <c r="Y216" s="64">
        <f>'page 1'!$U$38</f>
        <v>0</v>
      </c>
      <c r="Z216" s="340" t="s">
        <v>8794</v>
      </c>
      <c r="AA216" s="357" t="e">
        <f>VLOOKUP('page 1'!G38,$Y$194:$AG$210,9,FALSE)</f>
        <v>#N/A</v>
      </c>
      <c r="AB216" s="106"/>
      <c r="AC216" s="106"/>
      <c r="AD216" s="62"/>
      <c r="AM216" s="88"/>
      <c r="AN216" s="88"/>
      <c r="AO216" s="88"/>
      <c r="AP216" s="88"/>
      <c r="AQ216" s="88"/>
      <c r="AR216" s="88"/>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01"/>
    </row>
    <row r="217" spans="1:97">
      <c r="A217" s="64" t="s">
        <v>9809</v>
      </c>
      <c r="B217" s="342" t="s">
        <v>426</v>
      </c>
      <c r="C217" s="171" t="str">
        <f>IF('page 2'!$Q$4="","",IF('page 2'!$Q$4=A217,1,0))</f>
        <v/>
      </c>
      <c r="D217" s="171" t="str">
        <f>IF('page 2'!$Q$5="","",IF('page 2'!$Q$5=A217,1,0))</f>
        <v/>
      </c>
      <c r="E217" s="171" t="str">
        <f>IF('page 2'!$Q$6="","",IF('page 2'!$Q$6=A217,1,0))</f>
        <v/>
      </c>
      <c r="F217" s="171" t="str">
        <f>IF('page 2'!$Q$7="","",IF('page 2'!$Q$7=A217,1,0))</f>
        <v/>
      </c>
      <c r="G217" s="171" t="str">
        <f>IF('page 2'!$Q$8="","",IF('page 2'!$Q$8=A217,1,0))</f>
        <v/>
      </c>
      <c r="H217" s="171" t="str">
        <f>IF('page 2'!$Q$9="","",IF('page 2'!$Q$9=A217,1,0))</f>
        <v/>
      </c>
      <c r="I217" s="171" t="str">
        <f>IF('page 2'!$Q$10="","",IF('page 2'!$Q$10=A217,1,0))</f>
        <v/>
      </c>
      <c r="J217" s="171" t="str">
        <f>IF('page 2'!$Q$11="","",IF('page 2'!$Q$11=A217,1,0))</f>
        <v/>
      </c>
      <c r="K217" s="171" t="str">
        <f>IF('page 2'!$Q$12="","",IF('page 2'!$Q$12=A217,1,0))</f>
        <v/>
      </c>
      <c r="L217" s="171" t="str">
        <f>IF('page 2'!$Q$13="","",IF('page 2'!$Q$13=A217,1,0))</f>
        <v/>
      </c>
      <c r="M217" s="171" t="str">
        <f>IF('page 2'!$Q$14="","",IF('page 2'!$Q$14=A217,1,0))</f>
        <v/>
      </c>
      <c r="N217" s="171" t="str">
        <f>IF('page 2'!$Q$15="","",IF('page 2'!$Q$15=A217,1,0))</f>
        <v/>
      </c>
      <c r="O217" s="171" t="str">
        <f>IF('page 2'!$Q$16="","",IF('page 2'!$Q$16=A217,1,0))</f>
        <v/>
      </c>
      <c r="P217" s="171" t="str">
        <f>IF('page 2'!$Q$17="","",IF('page 2'!$Q$17=A217,1,0))</f>
        <v/>
      </c>
      <c r="Q217" s="171" t="str">
        <f>IF('page 2'!$Q$18="","",IF('page 2'!$Q$18=A217,1,0))</f>
        <v/>
      </c>
      <c r="R217" s="171" t="str">
        <f>IF('page 2'!$Q$19="","",IF('page 2'!$Q$19=A217,1,0))</f>
        <v/>
      </c>
      <c r="S217" s="171" t="str">
        <f>IF('page 2'!$Q$20="","",IF('page 2'!$Q$20=A217,1,0))</f>
        <v/>
      </c>
      <c r="T217" s="171"/>
      <c r="U217" s="171"/>
      <c r="V217" s="171"/>
      <c r="W217" s="730">
        <f t="shared" si="36"/>
        <v>0</v>
      </c>
      <c r="Y217" s="64">
        <f>'page 1'!$U$39</f>
        <v>0</v>
      </c>
      <c r="Z217" s="340" t="s">
        <v>8795</v>
      </c>
      <c r="AA217" s="357" t="e">
        <f>VLOOKUP('page 1'!G39,$Y$194:$AG$210,9,FALSE)</f>
        <v>#N/A</v>
      </c>
      <c r="AB217" s="106"/>
      <c r="AC217" s="106"/>
      <c r="AD217" s="62"/>
      <c r="AM217" s="88"/>
      <c r="AN217" s="88"/>
      <c r="AO217" s="88"/>
      <c r="AP217" s="88"/>
      <c r="AQ217" s="88"/>
      <c r="AR217" s="88"/>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01"/>
    </row>
    <row r="218" spans="1:97">
      <c r="A218" s="64" t="s">
        <v>9810</v>
      </c>
      <c r="B218" s="342" t="s">
        <v>426</v>
      </c>
      <c r="C218" s="171" t="str">
        <f>IF('page 2'!$Q$4="","",IF('page 2'!$Q$4=A218,1,0))</f>
        <v/>
      </c>
      <c r="D218" s="171" t="str">
        <f>IF('page 2'!$Q$5="","",IF('page 2'!$Q$5=A218,1,0))</f>
        <v/>
      </c>
      <c r="E218" s="171" t="str">
        <f>IF('page 2'!$Q$6="","",IF('page 2'!$Q$6=A218,1,0))</f>
        <v/>
      </c>
      <c r="F218" s="171" t="str">
        <f>IF('page 2'!$Q$7="","",IF('page 2'!$Q$7=A218,1,0))</f>
        <v/>
      </c>
      <c r="G218" s="171" t="str">
        <f>IF('page 2'!$Q$8="","",IF('page 2'!$Q$8=A218,1,0))</f>
        <v/>
      </c>
      <c r="H218" s="171" t="str">
        <f>IF('page 2'!$Q$9="","",IF('page 2'!$Q$9=A218,1,0))</f>
        <v/>
      </c>
      <c r="I218" s="171" t="str">
        <f>IF('page 2'!$Q$10="","",IF('page 2'!$Q$10=A218,1,0))</f>
        <v/>
      </c>
      <c r="J218" s="171" t="str">
        <f>IF('page 2'!$Q$11="","",IF('page 2'!$Q$11=A218,1,0))</f>
        <v/>
      </c>
      <c r="K218" s="171" t="str">
        <f>IF('page 2'!$Q$12="","",IF('page 2'!$Q$12=A218,1,0))</f>
        <v/>
      </c>
      <c r="L218" s="171" t="str">
        <f>IF('page 2'!$Q$13="","",IF('page 2'!$Q$13=A218,1,0))</f>
        <v/>
      </c>
      <c r="M218" s="171" t="str">
        <f>IF('page 2'!$Q$14="","",IF('page 2'!$Q$14=A218,1,0))</f>
        <v/>
      </c>
      <c r="N218" s="171" t="str">
        <f>IF('page 2'!$Q$15="","",IF('page 2'!$Q$15=A218,1,0))</f>
        <v/>
      </c>
      <c r="O218" s="171" t="str">
        <f>IF('page 2'!$Q$16="","",IF('page 2'!$Q$16=A218,1,0))</f>
        <v/>
      </c>
      <c r="P218" s="171" t="str">
        <f>IF('page 2'!$Q$17="","",IF('page 2'!$Q$17=A218,1,0))</f>
        <v/>
      </c>
      <c r="Q218" s="171" t="str">
        <f>IF('page 2'!$Q$18="","",IF('page 2'!$Q$18=A218,1,0))</f>
        <v/>
      </c>
      <c r="R218" s="171" t="str">
        <f>IF('page 2'!$Q$19="","",IF('page 2'!$Q$19=A218,1,0))</f>
        <v/>
      </c>
      <c r="S218" s="171" t="str">
        <f>IF('page 2'!$Q$20="","",IF('page 2'!$Q$20=A218,1,0))</f>
        <v/>
      </c>
      <c r="T218" s="171"/>
      <c r="U218" s="171"/>
      <c r="V218" s="171"/>
      <c r="W218" s="730">
        <f t="shared" si="36"/>
        <v>0</v>
      </c>
      <c r="Y218" s="64">
        <f>'page 1'!$U$40</f>
        <v>0</v>
      </c>
      <c r="Z218" s="340" t="s">
        <v>8796</v>
      </c>
      <c r="AA218" s="357" t="e">
        <f>VLOOKUP('page 1'!G40,$Y$194:$AG$210,9,FALSE)</f>
        <v>#N/A</v>
      </c>
      <c r="AB218" s="106"/>
      <c r="AC218" s="106"/>
      <c r="AD218" s="62"/>
      <c r="AM218" s="88"/>
      <c r="AN218" s="88"/>
      <c r="AO218" s="88"/>
      <c r="AP218" s="88"/>
      <c r="AQ218" s="88"/>
      <c r="AR218" s="88"/>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01"/>
    </row>
    <row r="219" spans="1:97">
      <c r="A219" s="64" t="s">
        <v>9811</v>
      </c>
      <c r="B219" s="342" t="s">
        <v>426</v>
      </c>
      <c r="C219" s="171" t="str">
        <f>IF('page 2'!$Q$4="","",IF('page 2'!$Q$4=A219,1,0))</f>
        <v/>
      </c>
      <c r="D219" s="171" t="str">
        <f>IF('page 2'!$Q$5="","",IF('page 2'!$Q$5=A219,1,0))</f>
        <v/>
      </c>
      <c r="E219" s="171" t="str">
        <f>IF('page 2'!$Q$6="","",IF('page 2'!$Q$6=A219,1,0))</f>
        <v/>
      </c>
      <c r="F219" s="171" t="str">
        <f>IF('page 2'!$Q$7="","",IF('page 2'!$Q$7=A219,1,0))</f>
        <v/>
      </c>
      <c r="G219" s="171" t="str">
        <f>IF('page 2'!$Q$8="","",IF('page 2'!$Q$8=A219,1,0))</f>
        <v/>
      </c>
      <c r="H219" s="171" t="str">
        <f>IF('page 2'!$Q$9="","",IF('page 2'!$Q$9=A219,1,0))</f>
        <v/>
      </c>
      <c r="I219" s="171" t="str">
        <f>IF('page 2'!$Q$10="","",IF('page 2'!$Q$10=A219,1,0))</f>
        <v/>
      </c>
      <c r="J219" s="171" t="str">
        <f>IF('page 2'!$Q$11="","",IF('page 2'!$Q$11=A219,1,0))</f>
        <v/>
      </c>
      <c r="K219" s="171" t="str">
        <f>IF('page 2'!$Q$12="","",IF('page 2'!$Q$12=A219,1,0))</f>
        <v/>
      </c>
      <c r="L219" s="171" t="str">
        <f>IF('page 2'!$Q$13="","",IF('page 2'!$Q$13=A219,1,0))</f>
        <v/>
      </c>
      <c r="M219" s="171" t="str">
        <f>IF('page 2'!$Q$14="","",IF('page 2'!$Q$14=A219,1,0))</f>
        <v/>
      </c>
      <c r="N219" s="171" t="str">
        <f>IF('page 2'!$Q$15="","",IF('page 2'!$Q$15=A219,1,0))</f>
        <v/>
      </c>
      <c r="O219" s="171" t="str">
        <f>IF('page 2'!$Q$16="","",IF('page 2'!$Q$16=A219,1,0))</f>
        <v/>
      </c>
      <c r="P219" s="171" t="str">
        <f>IF('page 2'!$Q$17="","",IF('page 2'!$Q$17=A219,1,0))</f>
        <v/>
      </c>
      <c r="Q219" s="171" t="str">
        <f>IF('page 2'!$Q$18="","",IF('page 2'!$Q$18=A219,1,0))</f>
        <v/>
      </c>
      <c r="R219" s="171" t="str">
        <f>IF('page 2'!$Q$19="","",IF('page 2'!$Q$19=A219,1,0))</f>
        <v/>
      </c>
      <c r="S219" s="171" t="str">
        <f>IF('page 2'!$Q$20="","",IF('page 2'!$Q$20=A219,1,0))</f>
        <v/>
      </c>
      <c r="T219" s="171"/>
      <c r="U219" s="171"/>
      <c r="V219" s="171"/>
      <c r="W219" s="730">
        <f t="shared" si="36"/>
        <v>0</v>
      </c>
      <c r="AA219" s="350"/>
      <c r="AB219" s="62"/>
      <c r="AC219" s="62"/>
      <c r="AD219" s="62"/>
      <c r="AP219" s="88"/>
      <c r="AQ219" s="88"/>
      <c r="AR219" s="88"/>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01"/>
    </row>
    <row r="220" spans="1:97">
      <c r="A220" s="64" t="s">
        <v>9812</v>
      </c>
      <c r="B220" s="342" t="s">
        <v>426</v>
      </c>
      <c r="C220" s="171" t="str">
        <f>IF('page 2'!$Q$4="","",IF('page 2'!$Q$4=A220,1,0))</f>
        <v/>
      </c>
      <c r="D220" s="171" t="str">
        <f>IF('page 2'!$Q$5="","",IF('page 2'!$Q$5=A220,1,0))</f>
        <v/>
      </c>
      <c r="E220" s="171" t="str">
        <f>IF('page 2'!$Q$6="","",IF('page 2'!$Q$6=A220,1,0))</f>
        <v/>
      </c>
      <c r="F220" s="171" t="str">
        <f>IF('page 2'!$Q$7="","",IF('page 2'!$Q$7=A220,1,0))</f>
        <v/>
      </c>
      <c r="G220" s="171" t="str">
        <f>IF('page 2'!$Q$8="","",IF('page 2'!$Q$8=A220,1,0))</f>
        <v/>
      </c>
      <c r="H220" s="171" t="str">
        <f>IF('page 2'!$Q$9="","",IF('page 2'!$Q$9=A220,1,0))</f>
        <v/>
      </c>
      <c r="I220" s="171" t="str">
        <f>IF('page 2'!$Q$10="","",IF('page 2'!$Q$10=A220,1,0))</f>
        <v/>
      </c>
      <c r="J220" s="171" t="str">
        <f>IF('page 2'!$Q$11="","",IF('page 2'!$Q$11=A220,1,0))</f>
        <v/>
      </c>
      <c r="K220" s="171" t="str">
        <f>IF('page 2'!$Q$12="","",IF('page 2'!$Q$12=A220,1,0))</f>
        <v/>
      </c>
      <c r="L220" s="171" t="str">
        <f>IF('page 2'!$Q$13="","",IF('page 2'!$Q$13=A220,1,0))</f>
        <v/>
      </c>
      <c r="M220" s="171" t="str">
        <f>IF('page 2'!$Q$14="","",IF('page 2'!$Q$14=A220,1,0))</f>
        <v/>
      </c>
      <c r="N220" s="171" t="str">
        <f>IF('page 2'!$Q$15="","",IF('page 2'!$Q$15=A220,1,0))</f>
        <v/>
      </c>
      <c r="O220" s="171" t="str">
        <f>IF('page 2'!$Q$16="","",IF('page 2'!$Q$16=A220,1,0))</f>
        <v/>
      </c>
      <c r="P220" s="171" t="str">
        <f>IF('page 2'!$Q$17="","",IF('page 2'!$Q$17=A220,1,0))</f>
        <v/>
      </c>
      <c r="Q220" s="171" t="str">
        <f>IF('page 2'!$Q$18="","",IF('page 2'!$Q$18=A220,1,0))</f>
        <v/>
      </c>
      <c r="R220" s="171" t="str">
        <f>IF('page 2'!$Q$19="","",IF('page 2'!$Q$19=A220,1,0))</f>
        <v/>
      </c>
      <c r="S220" s="171" t="str">
        <f>IF('page 2'!$Q$20="","",IF('page 2'!$Q$20=A220,1,0))</f>
        <v/>
      </c>
      <c r="T220" s="171"/>
      <c r="U220" s="171"/>
      <c r="V220" s="171"/>
      <c r="W220" s="730">
        <f t="shared" si="36"/>
        <v>0</v>
      </c>
      <c r="AA220" s="350"/>
      <c r="AB220" s="62"/>
      <c r="AC220" s="62"/>
      <c r="AD220" s="62"/>
      <c r="AP220" s="88"/>
      <c r="AQ220" s="88"/>
      <c r="AR220" s="88"/>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01"/>
    </row>
    <row r="221" spans="1:97">
      <c r="A221" s="64" t="s">
        <v>9813</v>
      </c>
      <c r="B221" s="342" t="s">
        <v>426</v>
      </c>
      <c r="C221" s="171" t="str">
        <f>IF('page 2'!$Q$4="","",IF('page 2'!$Q$4=A221,1,0))</f>
        <v/>
      </c>
      <c r="D221" s="171" t="str">
        <f>IF('page 2'!$Q$5="","",IF('page 2'!$Q$5=A221,1,0))</f>
        <v/>
      </c>
      <c r="E221" s="171" t="str">
        <f>IF('page 2'!$Q$6="","",IF('page 2'!$Q$6=A221,1,0))</f>
        <v/>
      </c>
      <c r="F221" s="171" t="str">
        <f>IF('page 2'!$Q$7="","",IF('page 2'!$Q$7=A221,1,0))</f>
        <v/>
      </c>
      <c r="G221" s="171" t="str">
        <f>IF('page 2'!$Q$8="","",IF('page 2'!$Q$8=A221,1,0))</f>
        <v/>
      </c>
      <c r="H221" s="171" t="str">
        <f>IF('page 2'!$Q$9="","",IF('page 2'!$Q$9=A221,1,0))</f>
        <v/>
      </c>
      <c r="I221" s="171" t="str">
        <f>IF('page 2'!$Q$10="","",IF('page 2'!$Q$10=A221,1,0))</f>
        <v/>
      </c>
      <c r="J221" s="171" t="str">
        <f>IF('page 2'!$Q$11="","",IF('page 2'!$Q$11=A221,1,0))</f>
        <v/>
      </c>
      <c r="K221" s="171" t="str">
        <f>IF('page 2'!$Q$12="","",IF('page 2'!$Q$12=A221,1,0))</f>
        <v/>
      </c>
      <c r="L221" s="171" t="str">
        <f>IF('page 2'!$Q$13="","",IF('page 2'!$Q$13=A221,1,0))</f>
        <v/>
      </c>
      <c r="M221" s="171" t="str">
        <f>IF('page 2'!$Q$14="","",IF('page 2'!$Q$14=A221,1,0))</f>
        <v/>
      </c>
      <c r="N221" s="171" t="str">
        <f>IF('page 2'!$Q$15="","",IF('page 2'!$Q$15=A221,1,0))</f>
        <v/>
      </c>
      <c r="O221" s="171" t="str">
        <f>IF('page 2'!$Q$16="","",IF('page 2'!$Q$16=A221,1,0))</f>
        <v/>
      </c>
      <c r="P221" s="171" t="str">
        <f>IF('page 2'!$Q$17="","",IF('page 2'!$Q$17=A221,1,0))</f>
        <v/>
      </c>
      <c r="Q221" s="171" t="str">
        <f>IF('page 2'!$Q$18="","",IF('page 2'!$Q$18=A221,1,0))</f>
        <v/>
      </c>
      <c r="R221" s="171" t="str">
        <f>IF('page 2'!$Q$19="","",IF('page 2'!$Q$19=A221,1,0))</f>
        <v/>
      </c>
      <c r="S221" s="171" t="str">
        <f>IF('page 2'!$Q$20="","",IF('page 2'!$Q$20=A221,1,0))</f>
        <v/>
      </c>
      <c r="T221" s="171"/>
      <c r="U221" s="171"/>
      <c r="V221" s="171"/>
      <c r="W221" s="730">
        <f t="shared" si="36"/>
        <v>0</v>
      </c>
      <c r="AA221" s="350"/>
      <c r="AB221" s="62"/>
      <c r="AC221" s="62"/>
      <c r="AD221" s="62"/>
      <c r="AP221" s="88"/>
      <c r="AQ221" s="88"/>
      <c r="AR221" s="88"/>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01"/>
    </row>
    <row r="222" spans="1:97">
      <c r="A222" s="64" t="s">
        <v>9815</v>
      </c>
      <c r="B222" s="342" t="s">
        <v>426</v>
      </c>
      <c r="C222" s="171" t="str">
        <f>IF('page 2'!$Q$4="","",IF('page 2'!$Q$4=A222,1,0))</f>
        <v/>
      </c>
      <c r="D222" s="171" t="str">
        <f>IF('page 2'!$Q$5="","",IF('page 2'!$Q$5=A222,1,0))</f>
        <v/>
      </c>
      <c r="E222" s="171" t="str">
        <f>IF('page 2'!$Q$6="","",IF('page 2'!$Q$6=A222,1,0))</f>
        <v/>
      </c>
      <c r="F222" s="171" t="str">
        <f>IF('page 2'!$Q$7="","",IF('page 2'!$Q$7=A222,1,0))</f>
        <v/>
      </c>
      <c r="G222" s="171" t="str">
        <f>IF('page 2'!$Q$8="","",IF('page 2'!$Q$8=A222,1,0))</f>
        <v/>
      </c>
      <c r="H222" s="171" t="str">
        <f>IF('page 2'!$Q$9="","",IF('page 2'!$Q$9=A222,1,0))</f>
        <v/>
      </c>
      <c r="I222" s="171" t="str">
        <f>IF('page 2'!$Q$10="","",IF('page 2'!$Q$10=A222,1,0))</f>
        <v/>
      </c>
      <c r="J222" s="171" t="str">
        <f>IF('page 2'!$Q$11="","",IF('page 2'!$Q$11=A222,1,0))</f>
        <v/>
      </c>
      <c r="K222" s="171" t="str">
        <f>IF('page 2'!$Q$12="","",IF('page 2'!$Q$12=A222,1,0))</f>
        <v/>
      </c>
      <c r="L222" s="171" t="str">
        <f>IF('page 2'!$Q$13="","",IF('page 2'!$Q$13=A222,1,0))</f>
        <v/>
      </c>
      <c r="M222" s="171" t="str">
        <f>IF('page 2'!$Q$14="","",IF('page 2'!$Q$14=A222,1,0))</f>
        <v/>
      </c>
      <c r="N222" s="171" t="str">
        <f>IF('page 2'!$Q$15="","",IF('page 2'!$Q$15=A222,1,0))</f>
        <v/>
      </c>
      <c r="O222" s="171" t="str">
        <f>IF('page 2'!$Q$16="","",IF('page 2'!$Q$16=A222,1,0))</f>
        <v/>
      </c>
      <c r="P222" s="171" t="str">
        <f>IF('page 2'!$Q$17="","",IF('page 2'!$Q$17=A222,1,0))</f>
        <v/>
      </c>
      <c r="Q222" s="171" t="str">
        <f>IF('page 2'!$Q$18="","",IF('page 2'!$Q$18=A222,1,0))</f>
        <v/>
      </c>
      <c r="R222" s="171" t="str">
        <f>IF('page 2'!$Q$19="","",IF('page 2'!$Q$19=A222,1,0))</f>
        <v/>
      </c>
      <c r="S222" s="171" t="str">
        <f>IF('page 2'!$Q$20="","",IF('page 2'!$Q$20=A222,1,0))</f>
        <v/>
      </c>
      <c r="T222" s="171"/>
      <c r="U222" s="171"/>
      <c r="V222" s="171"/>
      <c r="W222" s="730">
        <f t="shared" si="36"/>
        <v>0</v>
      </c>
      <c r="Y222" s="347"/>
      <c r="AA222" s="350"/>
      <c r="AB222" s="62"/>
      <c r="AC222" s="62"/>
      <c r="AD222" s="62"/>
      <c r="AP222" s="88"/>
      <c r="AQ222" s="88"/>
      <c r="AR222" s="88"/>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01"/>
    </row>
    <row r="223" spans="1:97">
      <c r="A223" s="64" t="s">
        <v>9814</v>
      </c>
      <c r="B223" s="342" t="s">
        <v>426</v>
      </c>
      <c r="C223" s="171" t="str">
        <f>IF('page 2'!$Q$4="","",IF('page 2'!$Q$4=A223,1,0))</f>
        <v/>
      </c>
      <c r="D223" s="171" t="str">
        <f>IF('page 2'!$Q$5="","",IF('page 2'!$Q$5=A223,1,0))</f>
        <v/>
      </c>
      <c r="E223" s="171" t="str">
        <f>IF('page 2'!$Q$6="","",IF('page 2'!$Q$6=A223,1,0))</f>
        <v/>
      </c>
      <c r="F223" s="171" t="str">
        <f>IF('page 2'!$Q$7="","",IF('page 2'!$Q$7=A223,1,0))</f>
        <v/>
      </c>
      <c r="G223" s="171" t="str">
        <f>IF('page 2'!$Q$8="","",IF('page 2'!$Q$8=A223,1,0))</f>
        <v/>
      </c>
      <c r="H223" s="171" t="str">
        <f>IF('page 2'!$Q$9="","",IF('page 2'!$Q$9=A223,1,0))</f>
        <v/>
      </c>
      <c r="I223" s="171" t="str">
        <f>IF('page 2'!$Q$10="","",IF('page 2'!$Q$10=A223,1,0))</f>
        <v/>
      </c>
      <c r="J223" s="171" t="str">
        <f>IF('page 2'!$Q$11="","",IF('page 2'!$Q$11=A223,1,0))</f>
        <v/>
      </c>
      <c r="K223" s="171" t="str">
        <f>IF('page 2'!$Q$12="","",IF('page 2'!$Q$12=A223,1,0))</f>
        <v/>
      </c>
      <c r="L223" s="171" t="str">
        <f>IF('page 2'!$Q$13="","",IF('page 2'!$Q$13=A223,1,0))</f>
        <v/>
      </c>
      <c r="M223" s="171" t="str">
        <f>IF('page 2'!$Q$14="","",IF('page 2'!$Q$14=A223,1,0))</f>
        <v/>
      </c>
      <c r="N223" s="171" t="str">
        <f>IF('page 2'!$Q$15="","",IF('page 2'!$Q$15=A223,1,0))</f>
        <v/>
      </c>
      <c r="O223" s="171" t="str">
        <f>IF('page 2'!$Q$16="","",IF('page 2'!$Q$16=A223,1,0))</f>
        <v/>
      </c>
      <c r="P223" s="171" t="str">
        <f>IF('page 2'!$Q$17="","",IF('page 2'!$Q$17=A223,1,0))</f>
        <v/>
      </c>
      <c r="Q223" s="171" t="str">
        <f>IF('page 2'!$Q$18="","",IF('page 2'!$Q$18=A223,1,0))</f>
        <v/>
      </c>
      <c r="R223" s="171" t="str">
        <f>IF('page 2'!$Q$19="","",IF('page 2'!$Q$19=A223,1,0))</f>
        <v/>
      </c>
      <c r="S223" s="171" t="str">
        <f>IF('page 2'!$Q$20="","",IF('page 2'!$Q$20=A223,1,0))</f>
        <v/>
      </c>
      <c r="T223" s="171"/>
      <c r="U223" s="171"/>
      <c r="V223" s="171"/>
      <c r="W223" s="730">
        <f t="shared" si="36"/>
        <v>0</v>
      </c>
      <c r="AA223" s="350"/>
      <c r="AB223" s="62"/>
      <c r="AC223" s="62"/>
      <c r="AD223" s="62"/>
      <c r="AP223" s="88"/>
      <c r="AQ223" s="88"/>
      <c r="AR223" s="88"/>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01"/>
    </row>
    <row r="224" spans="1:97">
      <c r="A224" s="64" t="s">
        <v>9816</v>
      </c>
      <c r="B224" s="342" t="s">
        <v>426</v>
      </c>
      <c r="C224" s="171" t="str">
        <f>IF('page 2'!$Q$4="","",IF('page 2'!$Q$4=A224,1,0))</f>
        <v/>
      </c>
      <c r="D224" s="171" t="str">
        <f>IF('page 2'!$Q$5="","",IF('page 2'!$Q$5=A224,1,0))</f>
        <v/>
      </c>
      <c r="E224" s="171" t="str">
        <f>IF('page 2'!$Q$6="","",IF('page 2'!$Q$6=A224,1,0))</f>
        <v/>
      </c>
      <c r="F224" s="171" t="str">
        <f>IF('page 2'!$Q$7="","",IF('page 2'!$Q$7=A224,1,0))</f>
        <v/>
      </c>
      <c r="G224" s="171" t="str">
        <f>IF('page 2'!$Q$8="","",IF('page 2'!$Q$8=A224,1,0))</f>
        <v/>
      </c>
      <c r="H224" s="171" t="str">
        <f>IF('page 2'!$Q$9="","",IF('page 2'!$Q$9=A224,1,0))</f>
        <v/>
      </c>
      <c r="I224" s="171" t="str">
        <f>IF('page 2'!$Q$10="","",IF('page 2'!$Q$10=A224,1,0))</f>
        <v/>
      </c>
      <c r="J224" s="171" t="str">
        <f>IF('page 2'!$Q$11="","",IF('page 2'!$Q$11=A224,1,0))</f>
        <v/>
      </c>
      <c r="K224" s="171" t="str">
        <f>IF('page 2'!$Q$12="","",IF('page 2'!$Q$12=A224,1,0))</f>
        <v/>
      </c>
      <c r="L224" s="171" t="str">
        <f>IF('page 2'!$Q$13="","",IF('page 2'!$Q$13=A224,1,0))</f>
        <v/>
      </c>
      <c r="M224" s="171" t="str">
        <f>IF('page 2'!$Q$14="","",IF('page 2'!$Q$14=A224,1,0))</f>
        <v/>
      </c>
      <c r="N224" s="171" t="str">
        <f>IF('page 2'!$Q$15="","",IF('page 2'!$Q$15=A224,1,0))</f>
        <v/>
      </c>
      <c r="O224" s="171" t="str">
        <f>IF('page 2'!$Q$16="","",IF('page 2'!$Q$16=A224,1,0))</f>
        <v/>
      </c>
      <c r="P224" s="171" t="str">
        <f>IF('page 2'!$Q$17="","",IF('page 2'!$Q$17=A224,1,0))</f>
        <v/>
      </c>
      <c r="Q224" s="171" t="str">
        <f>IF('page 2'!$Q$18="","",IF('page 2'!$Q$18=A224,1,0))</f>
        <v/>
      </c>
      <c r="R224" s="171" t="str">
        <f>IF('page 2'!$Q$19="","",IF('page 2'!$Q$19=A224,1,0))</f>
        <v/>
      </c>
      <c r="S224" s="171" t="str">
        <f>IF('page 2'!$Q$20="","",IF('page 2'!$Q$20=A224,1,0))</f>
        <v/>
      </c>
      <c r="T224" s="171"/>
      <c r="U224" s="171"/>
      <c r="V224" s="171"/>
      <c r="W224" s="730">
        <f t="shared" si="36"/>
        <v>0</v>
      </c>
      <c r="AA224" s="350"/>
      <c r="AB224" s="62"/>
      <c r="AC224" s="62"/>
      <c r="AD224" s="62"/>
      <c r="AP224" s="88"/>
      <c r="AQ224" s="88"/>
      <c r="AR224" s="88"/>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01"/>
    </row>
    <row r="225" spans="1:97">
      <c r="A225" s="64" t="s">
        <v>9817</v>
      </c>
      <c r="B225" s="342" t="s">
        <v>426</v>
      </c>
      <c r="C225" s="171" t="str">
        <f>IF('page 2'!$Q$4="","",IF('page 2'!$Q$4=A225,1,0))</f>
        <v/>
      </c>
      <c r="D225" s="171" t="str">
        <f>IF('page 2'!$Q$5="","",IF('page 2'!$Q$5=A225,1,0))</f>
        <v/>
      </c>
      <c r="E225" s="171" t="str">
        <f>IF('page 2'!$Q$6="","",IF('page 2'!$Q$6=A225,1,0))</f>
        <v/>
      </c>
      <c r="F225" s="171" t="str">
        <f>IF('page 2'!$Q$7="","",IF('page 2'!$Q$7=A225,1,0))</f>
        <v/>
      </c>
      <c r="G225" s="171" t="str">
        <f>IF('page 2'!$Q$8="","",IF('page 2'!$Q$8=A225,1,0))</f>
        <v/>
      </c>
      <c r="H225" s="171" t="str">
        <f>IF('page 2'!$Q$9="","",IF('page 2'!$Q$9=A225,1,0))</f>
        <v/>
      </c>
      <c r="I225" s="171" t="str">
        <f>IF('page 2'!$Q$10="","",IF('page 2'!$Q$10=A225,1,0))</f>
        <v/>
      </c>
      <c r="J225" s="171" t="str">
        <f>IF('page 2'!$Q$11="","",IF('page 2'!$Q$11=A225,1,0))</f>
        <v/>
      </c>
      <c r="K225" s="171" t="str">
        <f>IF('page 2'!$Q$12="","",IF('page 2'!$Q$12=A225,1,0))</f>
        <v/>
      </c>
      <c r="L225" s="171" t="str">
        <f>IF('page 2'!$Q$13="","",IF('page 2'!$Q$13=A225,1,0))</f>
        <v/>
      </c>
      <c r="M225" s="171" t="str">
        <f>IF('page 2'!$Q$14="","",IF('page 2'!$Q$14=A225,1,0))</f>
        <v/>
      </c>
      <c r="N225" s="171" t="str">
        <f>IF('page 2'!$Q$15="","",IF('page 2'!$Q$15=A225,1,0))</f>
        <v/>
      </c>
      <c r="O225" s="171" t="str">
        <f>IF('page 2'!$Q$16="","",IF('page 2'!$Q$16=A225,1,0))</f>
        <v/>
      </c>
      <c r="P225" s="171" t="str">
        <f>IF('page 2'!$Q$17="","",IF('page 2'!$Q$17=A225,1,0))</f>
        <v/>
      </c>
      <c r="Q225" s="171" t="str">
        <f>IF('page 2'!$Q$18="","",IF('page 2'!$Q$18=A225,1,0))</f>
        <v/>
      </c>
      <c r="R225" s="171" t="str">
        <f>IF('page 2'!$Q$19="","",IF('page 2'!$Q$19=A225,1,0))</f>
        <v/>
      </c>
      <c r="S225" s="171" t="str">
        <f>IF('page 2'!$Q$20="","",IF('page 2'!$Q$20=A225,1,0))</f>
        <v/>
      </c>
      <c r="T225" s="171"/>
      <c r="U225" s="171"/>
      <c r="V225" s="171"/>
      <c r="W225" s="730">
        <f t="shared" si="36"/>
        <v>0</v>
      </c>
      <c r="AA225" s="350"/>
      <c r="AB225" s="62"/>
      <c r="AC225" s="62"/>
      <c r="AD225" s="62"/>
      <c r="AP225" s="88"/>
      <c r="AQ225" s="88"/>
      <c r="AR225" s="88"/>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01"/>
    </row>
    <row r="226" spans="1:97">
      <c r="A226" s="357" t="s">
        <v>9824</v>
      </c>
      <c r="B226" s="342" t="s">
        <v>426</v>
      </c>
      <c r="C226" s="171" t="str">
        <f>IF('page 2'!$Q$4="","",IF('page 2'!$Q$4=A226,1,0))</f>
        <v/>
      </c>
      <c r="D226" s="171" t="str">
        <f>IF('page 2'!$Q$5="","",IF('page 2'!$Q$5=A226,1,0))</f>
        <v/>
      </c>
      <c r="E226" s="171" t="str">
        <f>IF('page 2'!$Q$6="","",IF('page 2'!$Q$6=A226,1,0))</f>
        <v/>
      </c>
      <c r="F226" s="171" t="str">
        <f>IF('page 2'!$Q$7="","",IF('page 2'!$Q$7=A226,1,0))</f>
        <v/>
      </c>
      <c r="G226" s="171" t="str">
        <f>IF('page 2'!$Q$8="","",IF('page 2'!$Q$8=A226,1,0))</f>
        <v/>
      </c>
      <c r="H226" s="171" t="str">
        <f>IF('page 2'!$Q$9="","",IF('page 2'!$Q$9=A226,1,0))</f>
        <v/>
      </c>
      <c r="I226" s="171" t="str">
        <f>IF('page 2'!$Q$10="","",IF('page 2'!$Q$10=A226,1,0))</f>
        <v/>
      </c>
      <c r="J226" s="171" t="str">
        <f>IF('page 2'!$Q$11="","",IF('page 2'!$Q$11=A226,1,0))</f>
        <v/>
      </c>
      <c r="K226" s="171" t="str">
        <f>IF('page 2'!$Q$12="","",IF('page 2'!$Q$12=A226,1,0))</f>
        <v/>
      </c>
      <c r="L226" s="171" t="str">
        <f>IF('page 2'!$Q$13="","",IF('page 2'!$Q$13=A226,1,0))</f>
        <v/>
      </c>
      <c r="M226" s="171" t="str">
        <f>IF('page 2'!$Q$14="","",IF('page 2'!$Q$14=A226,1,0))</f>
        <v/>
      </c>
      <c r="N226" s="171" t="str">
        <f>IF('page 2'!$Q$15="","",IF('page 2'!$Q$15=A226,1,0))</f>
        <v/>
      </c>
      <c r="O226" s="171" t="str">
        <f>IF('page 2'!$Q$16="","",IF('page 2'!$Q$16=A226,1,0))</f>
        <v/>
      </c>
      <c r="P226" s="171" t="str">
        <f>IF('page 2'!$Q$17="","",IF('page 2'!$Q$17=A226,1,0))</f>
        <v/>
      </c>
      <c r="Q226" s="171" t="str">
        <f>IF('page 2'!$Q$18="","",IF('page 2'!$Q$18=A226,1,0))</f>
        <v/>
      </c>
      <c r="R226" s="171" t="str">
        <f>IF('page 2'!$Q$19="","",IF('page 2'!$Q$19=A226,1,0))</f>
        <v/>
      </c>
      <c r="S226" s="171" t="str">
        <f>IF('page 2'!$Q$20="","",IF('page 2'!$Q$20=A226,1,0))</f>
        <v/>
      </c>
      <c r="T226" s="171"/>
      <c r="U226" s="171"/>
      <c r="V226" s="171"/>
      <c r="W226" s="730">
        <f t="shared" si="36"/>
        <v>0</v>
      </c>
      <c r="AA226" s="350"/>
      <c r="AB226" s="62"/>
      <c r="AC226" s="62"/>
      <c r="AD226" s="62"/>
      <c r="AP226" s="88"/>
      <c r="AQ226" s="88"/>
      <c r="AR226" s="88"/>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01"/>
    </row>
    <row r="227" spans="1:97">
      <c r="A227" s="347" t="s">
        <v>9818</v>
      </c>
      <c r="B227" s="342" t="s">
        <v>426</v>
      </c>
      <c r="C227" s="171" t="str">
        <f>IF('page 2'!$Q$4="","",IF('page 2'!$Q$4=A227,1,0))</f>
        <v/>
      </c>
      <c r="D227" s="171" t="str">
        <f>IF('page 2'!$Q$5="","",IF('page 2'!$Q$5=A227,1,0))</f>
        <v/>
      </c>
      <c r="E227" s="171" t="str">
        <f>IF('page 2'!$Q$6="","",IF('page 2'!$Q$6=A227,1,0))</f>
        <v/>
      </c>
      <c r="F227" s="171" t="str">
        <f>IF('page 2'!$Q$7="","",IF('page 2'!$Q$7=A227,1,0))</f>
        <v/>
      </c>
      <c r="G227" s="171" t="str">
        <f>IF('page 2'!$Q$8="","",IF('page 2'!$Q$8=A227,1,0))</f>
        <v/>
      </c>
      <c r="H227" s="171" t="str">
        <f>IF('page 2'!$Q$9="","",IF('page 2'!$Q$9=A227,1,0))</f>
        <v/>
      </c>
      <c r="I227" s="171" t="str">
        <f>IF('page 2'!$Q$10="","",IF('page 2'!$Q$10=A227,1,0))</f>
        <v/>
      </c>
      <c r="J227" s="171" t="str">
        <f>IF('page 2'!$Q$11="","",IF('page 2'!$Q$11=A227,1,0))</f>
        <v/>
      </c>
      <c r="K227" s="171" t="str">
        <f>IF('page 2'!$Q$12="","",IF('page 2'!$Q$12=A227,1,0))</f>
        <v/>
      </c>
      <c r="L227" s="171" t="str">
        <f>IF('page 2'!$Q$13="","",IF('page 2'!$Q$13=A227,1,0))</f>
        <v/>
      </c>
      <c r="M227" s="171" t="str">
        <f>IF('page 2'!$Q$14="","",IF('page 2'!$Q$14=A227,1,0))</f>
        <v/>
      </c>
      <c r="N227" s="171" t="str">
        <f>IF('page 2'!$Q$15="","",IF('page 2'!$Q$15=A227,1,0))</f>
        <v/>
      </c>
      <c r="O227" s="171" t="str">
        <f>IF('page 2'!$Q$16="","",IF('page 2'!$Q$16=A227,1,0))</f>
        <v/>
      </c>
      <c r="P227" s="171" t="str">
        <f>IF('page 2'!$Q$17="","",IF('page 2'!$Q$17=A227,1,0))</f>
        <v/>
      </c>
      <c r="Q227" s="171" t="str">
        <f>IF('page 2'!$Q$18="","",IF('page 2'!$Q$18=A227,1,0))</f>
        <v/>
      </c>
      <c r="R227" s="171" t="str">
        <f>IF('page 2'!$Q$19="","",IF('page 2'!$Q$19=A227,1,0))</f>
        <v/>
      </c>
      <c r="S227" s="171" t="str">
        <f>IF('page 2'!$Q$20="","",IF('page 2'!$Q$20=A227,1,0))</f>
        <v/>
      </c>
      <c r="T227" s="171"/>
      <c r="U227" s="171"/>
      <c r="V227" s="171"/>
      <c r="W227" s="730">
        <f t="shared" si="36"/>
        <v>0</v>
      </c>
      <c r="AA227" s="350"/>
      <c r="AB227" s="62"/>
      <c r="AC227" s="62"/>
      <c r="AD227" s="62"/>
      <c r="AP227" s="88"/>
      <c r="AQ227" s="88"/>
      <c r="AR227" s="88"/>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01"/>
    </row>
    <row r="228" spans="1:97">
      <c r="A228" s="357" t="s">
        <v>9825</v>
      </c>
      <c r="B228" s="342" t="s">
        <v>426</v>
      </c>
      <c r="C228" s="171" t="str">
        <f>IF('page 2'!$Q$4="","",IF('page 2'!$Q$4=A228,1,0))</f>
        <v/>
      </c>
      <c r="D228" s="171" t="str">
        <f>IF('page 2'!$Q$5="","",IF('page 2'!$Q$5=A228,1,0))</f>
        <v/>
      </c>
      <c r="E228" s="171" t="str">
        <f>IF('page 2'!$Q$6="","",IF('page 2'!$Q$6=A228,1,0))</f>
        <v/>
      </c>
      <c r="F228" s="171" t="str">
        <f>IF('page 2'!$Q$7="","",IF('page 2'!$Q$7=A228,1,0))</f>
        <v/>
      </c>
      <c r="G228" s="171" t="str">
        <f>IF('page 2'!$Q$8="","",IF('page 2'!$Q$8=A228,1,0))</f>
        <v/>
      </c>
      <c r="H228" s="171" t="str">
        <f>IF('page 2'!$Q$9="","",IF('page 2'!$Q$9=A228,1,0))</f>
        <v/>
      </c>
      <c r="I228" s="171" t="str">
        <f>IF('page 2'!$Q$10="","",IF('page 2'!$Q$10=A228,1,0))</f>
        <v/>
      </c>
      <c r="J228" s="171" t="str">
        <f>IF('page 2'!$Q$11="","",IF('page 2'!$Q$11=A228,1,0))</f>
        <v/>
      </c>
      <c r="K228" s="171" t="str">
        <f>IF('page 2'!$Q$12="","",IF('page 2'!$Q$12=A228,1,0))</f>
        <v/>
      </c>
      <c r="L228" s="171" t="str">
        <f>IF('page 2'!$Q$13="","",IF('page 2'!$Q$13=A228,1,0))</f>
        <v/>
      </c>
      <c r="M228" s="171" t="str">
        <f>IF('page 2'!$Q$14="","",IF('page 2'!$Q$14=A228,1,0))</f>
        <v/>
      </c>
      <c r="N228" s="171" t="str">
        <f>IF('page 2'!$Q$15="","",IF('page 2'!$Q$15=A228,1,0))</f>
        <v/>
      </c>
      <c r="O228" s="171" t="str">
        <f>IF('page 2'!$Q$16="","",IF('page 2'!$Q$16=A228,1,0))</f>
        <v/>
      </c>
      <c r="P228" s="171" t="str">
        <f>IF('page 2'!$Q$17="","",IF('page 2'!$Q$17=A228,1,0))</f>
        <v/>
      </c>
      <c r="Q228" s="171" t="str">
        <f>IF('page 2'!$Q$18="","",IF('page 2'!$Q$18=A228,1,0))</f>
        <v/>
      </c>
      <c r="R228" s="171" t="str">
        <f>IF('page 2'!$Q$19="","",IF('page 2'!$Q$19=A228,1,0))</f>
        <v/>
      </c>
      <c r="S228" s="171" t="str">
        <f>IF('page 2'!$Q$20="","",IF('page 2'!$Q$20=A228,1,0))</f>
        <v/>
      </c>
      <c r="T228" s="171"/>
      <c r="U228" s="171"/>
      <c r="V228" s="171"/>
      <c r="W228" s="730">
        <f t="shared" si="36"/>
        <v>0</v>
      </c>
      <c r="Y228" s="349"/>
      <c r="Z228" s="349"/>
      <c r="AA228" s="350"/>
      <c r="AB228" s="62"/>
      <c r="AC228" s="62"/>
      <c r="AD228" s="62"/>
      <c r="AP228" s="88"/>
      <c r="AQ228" s="88"/>
      <c r="AR228" s="88"/>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01"/>
    </row>
    <row r="229" spans="1:97">
      <c r="A229" s="357" t="s">
        <v>9827</v>
      </c>
      <c r="B229" s="342" t="s">
        <v>426</v>
      </c>
      <c r="C229" s="171" t="str">
        <f>IF('page 2'!$Q$4="","",IF('page 2'!$Q$4=A229,1,0))</f>
        <v/>
      </c>
      <c r="D229" s="171" t="str">
        <f>IF('page 2'!$Q$5="","",IF('page 2'!$Q$5=A229,1,0))</f>
        <v/>
      </c>
      <c r="E229" s="171" t="str">
        <f>IF('page 2'!$Q$6="","",IF('page 2'!$Q$6=A229,1,0))</f>
        <v/>
      </c>
      <c r="F229" s="171" t="str">
        <f>IF('page 2'!$Q$7="","",IF('page 2'!$Q$7=A229,1,0))</f>
        <v/>
      </c>
      <c r="G229" s="171" t="str">
        <f>IF('page 2'!$Q$8="","",IF('page 2'!$Q$8=A229,1,0))</f>
        <v/>
      </c>
      <c r="H229" s="171" t="str">
        <f>IF('page 2'!$Q$9="","",IF('page 2'!$Q$9=A229,1,0))</f>
        <v/>
      </c>
      <c r="I229" s="171" t="str">
        <f>IF('page 2'!$Q$10="","",IF('page 2'!$Q$10=A229,1,0))</f>
        <v/>
      </c>
      <c r="J229" s="171" t="str">
        <f>IF('page 2'!$Q$11="","",IF('page 2'!$Q$11=A229,1,0))</f>
        <v/>
      </c>
      <c r="K229" s="171" t="str">
        <f>IF('page 2'!$Q$12="","",IF('page 2'!$Q$12=A229,1,0))</f>
        <v/>
      </c>
      <c r="L229" s="171" t="str">
        <f>IF('page 2'!$Q$13="","",IF('page 2'!$Q$13=A229,1,0))</f>
        <v/>
      </c>
      <c r="M229" s="171" t="str">
        <f>IF('page 2'!$Q$14="","",IF('page 2'!$Q$14=A229,1,0))</f>
        <v/>
      </c>
      <c r="N229" s="171" t="str">
        <f>IF('page 2'!$Q$15="","",IF('page 2'!$Q$15=A229,1,0))</f>
        <v/>
      </c>
      <c r="O229" s="171" t="str">
        <f>IF('page 2'!$Q$16="","",IF('page 2'!$Q$16=A229,1,0))</f>
        <v/>
      </c>
      <c r="P229" s="171" t="str">
        <f>IF('page 2'!$Q$17="","",IF('page 2'!$Q$17=A229,1,0))</f>
        <v/>
      </c>
      <c r="Q229" s="171" t="str">
        <f>IF('page 2'!$Q$18="","",IF('page 2'!$Q$18=A229,1,0))</f>
        <v/>
      </c>
      <c r="R229" s="171" t="str">
        <f>IF('page 2'!$Q$19="","",IF('page 2'!$Q$19=A229,1,0))</f>
        <v/>
      </c>
      <c r="S229" s="171" t="str">
        <f>IF('page 2'!$Q$20="","",IF('page 2'!$Q$20=A229,1,0))</f>
        <v/>
      </c>
      <c r="T229" s="171"/>
      <c r="U229" s="171"/>
      <c r="V229" s="171"/>
      <c r="W229" s="730">
        <f t="shared" si="36"/>
        <v>0</v>
      </c>
      <c r="Y229" s="349"/>
      <c r="Z229" s="349"/>
      <c r="AA229" s="350"/>
      <c r="AB229" s="62"/>
      <c r="AC229" s="62"/>
      <c r="AD229" s="62"/>
      <c r="AP229" s="88"/>
      <c r="AQ229" s="88"/>
      <c r="AR229" s="88"/>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01"/>
    </row>
    <row r="230" spans="1:97">
      <c r="A230" s="357" t="s">
        <v>9828</v>
      </c>
      <c r="B230" s="342" t="s">
        <v>426</v>
      </c>
      <c r="C230" s="171" t="str">
        <f>IF('page 2'!$Q$4="","",IF('page 2'!$Q$4=A230,1,0))</f>
        <v/>
      </c>
      <c r="D230" s="171" t="str">
        <f>IF('page 2'!$Q$5="","",IF('page 2'!$Q$5=A230,1,0))</f>
        <v/>
      </c>
      <c r="E230" s="171" t="str">
        <f>IF('page 2'!$Q$6="","",IF('page 2'!$Q$6=A230,1,0))</f>
        <v/>
      </c>
      <c r="F230" s="171" t="str">
        <f>IF('page 2'!$Q$7="","",IF('page 2'!$Q$7=A230,1,0))</f>
        <v/>
      </c>
      <c r="G230" s="171" t="str">
        <f>IF('page 2'!$Q$8="","",IF('page 2'!$Q$8=A230,1,0))</f>
        <v/>
      </c>
      <c r="H230" s="171" t="str">
        <f>IF('page 2'!$Q$9="","",IF('page 2'!$Q$9=A230,1,0))</f>
        <v/>
      </c>
      <c r="I230" s="171" t="str">
        <f>IF('page 2'!$Q$10="","",IF('page 2'!$Q$10=A230,1,0))</f>
        <v/>
      </c>
      <c r="J230" s="171" t="str">
        <f>IF('page 2'!$Q$11="","",IF('page 2'!$Q$11=A230,1,0))</f>
        <v/>
      </c>
      <c r="K230" s="171" t="str">
        <f>IF('page 2'!$Q$12="","",IF('page 2'!$Q$12=A230,1,0))</f>
        <v/>
      </c>
      <c r="L230" s="171" t="str">
        <f>IF('page 2'!$Q$13="","",IF('page 2'!$Q$13=A230,1,0))</f>
        <v/>
      </c>
      <c r="M230" s="171" t="str">
        <f>IF('page 2'!$Q$14="","",IF('page 2'!$Q$14=A230,1,0))</f>
        <v/>
      </c>
      <c r="N230" s="171" t="str">
        <f>IF('page 2'!$Q$15="","",IF('page 2'!$Q$15=A230,1,0))</f>
        <v/>
      </c>
      <c r="O230" s="171" t="str">
        <f>IF('page 2'!$Q$16="","",IF('page 2'!$Q$16=A230,1,0))</f>
        <v/>
      </c>
      <c r="P230" s="171" t="str">
        <f>IF('page 2'!$Q$17="","",IF('page 2'!$Q$17=A230,1,0))</f>
        <v/>
      </c>
      <c r="Q230" s="171" t="str">
        <f>IF('page 2'!$Q$18="","",IF('page 2'!$Q$18=A230,1,0))</f>
        <v/>
      </c>
      <c r="R230" s="171" t="str">
        <f>IF('page 2'!$Q$19="","",IF('page 2'!$Q$19=A230,1,0))</f>
        <v/>
      </c>
      <c r="S230" s="171" t="str">
        <f>IF('page 2'!$Q$20="","",IF('page 2'!$Q$20=A230,1,0))</f>
        <v/>
      </c>
      <c r="T230" s="171"/>
      <c r="U230" s="171"/>
      <c r="V230" s="171"/>
      <c r="W230" s="730">
        <f t="shared" si="36"/>
        <v>0</v>
      </c>
      <c r="Y230" s="349"/>
      <c r="Z230" s="349"/>
      <c r="AA230" s="350"/>
      <c r="AB230" s="62"/>
      <c r="AC230" s="62"/>
      <c r="AD230" s="62"/>
      <c r="AP230" s="88"/>
      <c r="AQ230" s="88"/>
      <c r="AR230" s="88"/>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01"/>
    </row>
    <row r="231" spans="1:97">
      <c r="A231" s="64" t="s">
        <v>9829</v>
      </c>
      <c r="B231" s="342" t="s">
        <v>426</v>
      </c>
      <c r="C231" s="171" t="str">
        <f>IF('page 2'!$Q$4="","",IF('page 2'!$Q$4=A231,1,0))</f>
        <v/>
      </c>
      <c r="D231" s="171" t="str">
        <f>IF('page 2'!$Q$5="","",IF('page 2'!$Q$5=A231,1,0))</f>
        <v/>
      </c>
      <c r="E231" s="171" t="str">
        <f>IF('page 2'!$Q$6="","",IF('page 2'!$Q$6=A231,1,0))</f>
        <v/>
      </c>
      <c r="F231" s="171" t="str">
        <f>IF('page 2'!$Q$7="","",IF('page 2'!$Q$7=A231,1,0))</f>
        <v/>
      </c>
      <c r="G231" s="171" t="str">
        <f>IF('page 2'!$Q$8="","",IF('page 2'!$Q$8=A231,1,0))</f>
        <v/>
      </c>
      <c r="H231" s="171" t="str">
        <f>IF('page 2'!$Q$9="","",IF('page 2'!$Q$9=A231,1,0))</f>
        <v/>
      </c>
      <c r="I231" s="171" t="str">
        <f>IF('page 2'!$Q$10="","",IF('page 2'!$Q$10=A231,1,0))</f>
        <v/>
      </c>
      <c r="J231" s="171" t="str">
        <f>IF('page 2'!$Q$11="","",IF('page 2'!$Q$11=A231,1,0))</f>
        <v/>
      </c>
      <c r="K231" s="171" t="str">
        <f>IF('page 2'!$Q$12="","",IF('page 2'!$Q$12=A231,1,0))</f>
        <v/>
      </c>
      <c r="L231" s="171" t="str">
        <f>IF('page 2'!$Q$13="","",IF('page 2'!$Q$13=A231,1,0))</f>
        <v/>
      </c>
      <c r="M231" s="171" t="str">
        <f>IF('page 2'!$Q$14="","",IF('page 2'!$Q$14=A231,1,0))</f>
        <v/>
      </c>
      <c r="N231" s="171" t="str">
        <f>IF('page 2'!$Q$15="","",IF('page 2'!$Q$15=A231,1,0))</f>
        <v/>
      </c>
      <c r="O231" s="171" t="str">
        <f>IF('page 2'!$Q$16="","",IF('page 2'!$Q$16=A231,1,0))</f>
        <v/>
      </c>
      <c r="P231" s="171" t="str">
        <f>IF('page 2'!$Q$17="","",IF('page 2'!$Q$17=A231,1,0))</f>
        <v/>
      </c>
      <c r="Q231" s="171" t="str">
        <f>IF('page 2'!$Q$18="","",IF('page 2'!$Q$18=A231,1,0))</f>
        <v/>
      </c>
      <c r="R231" s="171" t="str">
        <f>IF('page 2'!$Q$19="","",IF('page 2'!$Q$19=A231,1,0))</f>
        <v/>
      </c>
      <c r="S231" s="171" t="str">
        <f>IF('page 2'!$Q$20="","",IF('page 2'!$Q$20=A231,1,0))</f>
        <v/>
      </c>
      <c r="T231" s="171"/>
      <c r="U231" s="171"/>
      <c r="V231" s="171"/>
      <c r="W231" s="730">
        <f t="shared" si="36"/>
        <v>0</v>
      </c>
      <c r="AA231" s="350"/>
      <c r="AB231" s="62"/>
      <c r="AC231" s="62"/>
      <c r="AD231" s="62"/>
      <c r="AP231" s="88"/>
      <c r="AQ231" s="88"/>
      <c r="AR231" s="88"/>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01"/>
    </row>
    <row r="232" spans="1:97">
      <c r="A232" s="116" t="s">
        <v>5312</v>
      </c>
      <c r="AA232" s="350"/>
      <c r="AB232" s="62"/>
      <c r="AC232" s="62"/>
      <c r="AD232" s="62"/>
      <c r="AP232" s="88"/>
      <c r="AQ232" s="88"/>
      <c r="AR232" s="88"/>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01"/>
    </row>
    <row r="233" spans="1:97">
      <c r="A233" s="64" t="str">
        <f>IF('page 2'!B31="","",IF('page 2'!B31="Métier",'page 2'!C31,""))</f>
        <v/>
      </c>
      <c r="B233" s="64" t="str">
        <f>IF('page 2'!B31="","",IF('page 2'!B31="Métier",VLOOKUP('page 2'!C31,tableaux!DD$3:DG$131,3,FALSE)))</f>
        <v/>
      </c>
      <c r="AA233" s="350"/>
      <c r="AB233" s="62"/>
      <c r="AC233" s="62"/>
      <c r="AD233" s="62"/>
      <c r="AP233" s="88"/>
      <c r="AQ233" s="88"/>
      <c r="AR233" s="88"/>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01"/>
    </row>
    <row r="234" spans="1:97">
      <c r="A234" s="64" t="str">
        <f>IF('page 2'!B32="","",IF('page 2'!B32="Métier",'page 2'!C32,""))</f>
        <v/>
      </c>
      <c r="B234" s="64" t="str">
        <f>IF('page 2'!B32="","",IF('page 2'!B32="Métier",VLOOKUP('page 2'!C32,tableaux!DD$3:DG$131,3,FALSE)))</f>
        <v/>
      </c>
      <c r="AA234" s="350"/>
      <c r="AB234" s="62"/>
      <c r="AC234" s="62"/>
      <c r="AD234" s="62"/>
      <c r="AP234" s="88"/>
      <c r="AQ234" s="88"/>
      <c r="AR234" s="88"/>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01"/>
    </row>
    <row r="235" spans="1:97">
      <c r="A235" s="64" t="str">
        <f>IF('page 2'!B33="","",IF('page 2'!B33="Métier",'page 2'!C33,""))</f>
        <v/>
      </c>
      <c r="B235" s="64" t="str">
        <f>IF('page 2'!B33="","",IF('page 2'!B33="Métier",VLOOKUP('page 2'!C33,tableaux!DD$3:DG$131,3,FALSE)))</f>
        <v/>
      </c>
      <c r="AA235" s="350"/>
      <c r="AB235" s="62"/>
      <c r="AC235" s="62"/>
      <c r="AD235" s="62"/>
      <c r="AP235" s="88"/>
      <c r="AQ235" s="88"/>
      <c r="AR235" s="88"/>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01"/>
    </row>
    <row r="236" spans="1:97">
      <c r="A236" s="64" t="str">
        <f>IF('page 2'!B34="","",IF('page 2'!B34="Métier",'page 2'!C34,""))</f>
        <v/>
      </c>
      <c r="B236" s="64" t="str">
        <f>IF('page 2'!B34="","",IF('page 2'!B34="Métier",VLOOKUP('page 2'!C34,tableaux!DD$3:DG$131,3,FALSE)))</f>
        <v/>
      </c>
      <c r="AA236" s="350"/>
      <c r="AB236" s="62"/>
      <c r="AC236" s="62"/>
      <c r="AD236" s="62"/>
      <c r="AP236" s="88"/>
      <c r="AQ236" s="88"/>
      <c r="AR236" s="88"/>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01"/>
    </row>
    <row r="237" spans="1:97">
      <c r="A237" s="64" t="str">
        <f>IF('page 2'!B35="","",IF('page 2'!B35="Métier",'page 2'!C35,""))</f>
        <v/>
      </c>
      <c r="B237" s="64" t="str">
        <f>IF('page 2'!B35="","",IF('page 2'!B35="Métier",VLOOKUP('page 2'!C35,tableaux!DD$3:DG$131,3,FALSE)))</f>
        <v/>
      </c>
      <c r="AA237" s="350"/>
      <c r="AB237" s="62"/>
      <c r="AC237" s="62"/>
      <c r="AD237" s="62"/>
      <c r="AP237" s="88"/>
      <c r="AQ237" s="88"/>
      <c r="AR237" s="88"/>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01"/>
    </row>
    <row r="238" spans="1:97">
      <c r="A238" s="64" t="str">
        <f>IF('page 2'!B36="","",IF('page 2'!B36="Métier",'page 2'!C36,""))</f>
        <v/>
      </c>
      <c r="B238" s="64" t="str">
        <f>IF('page 2'!B36="","",IF('page 2'!B36="Métier",VLOOKUP('page 2'!C36,tableaux!DD$3:DG$131,3,FALSE)))</f>
        <v/>
      </c>
      <c r="AA238" s="350"/>
      <c r="AB238" s="62"/>
      <c r="AC238" s="62"/>
      <c r="AD238" s="62"/>
      <c r="AP238" s="88"/>
      <c r="AQ238" s="88"/>
      <c r="AR238" s="88"/>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01"/>
    </row>
    <row r="239" spans="1:97">
      <c r="A239" s="64" t="str">
        <f>IF('page 2'!B37="","",IF('page 2'!B37="Métier",'page 2'!C37,""))</f>
        <v/>
      </c>
      <c r="B239" s="64" t="str">
        <f>IF('page 2'!B37="","",IF('page 2'!B37="Métier",VLOOKUP('page 2'!C37,tableaux!DD$3:DG$131,3,FALSE)))</f>
        <v/>
      </c>
      <c r="AA239" s="350"/>
      <c r="AB239" s="62"/>
      <c r="AC239" s="62"/>
      <c r="AD239" s="62"/>
      <c r="AP239" s="88"/>
      <c r="AQ239" s="88"/>
      <c r="AR239" s="88"/>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01"/>
    </row>
    <row r="240" spans="1:97">
      <c r="A240" s="64" t="str">
        <f>IF('page 2'!B38="","",IF('page 2'!B38="Métier",'page 2'!C38,""))</f>
        <v/>
      </c>
      <c r="B240" s="64" t="str">
        <f>IF('page 2'!B38="","",IF('page 2'!B38="Métier",VLOOKUP('page 2'!C38,tableaux!DD$3:DG$131,3,FALSE)))</f>
        <v/>
      </c>
      <c r="AA240" s="350"/>
      <c r="AB240" s="62"/>
      <c r="AC240" s="62"/>
      <c r="AD240" s="62"/>
      <c r="AP240" s="88"/>
      <c r="AQ240" s="88"/>
      <c r="AR240" s="88"/>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01"/>
    </row>
    <row r="241" spans="1:97">
      <c r="A241" s="64" t="str">
        <f>IF('page 2'!B39="","",IF('page 2'!B39="Métier",'page 2'!C39,""))</f>
        <v/>
      </c>
      <c r="B241" s="64" t="str">
        <f>IF('page 2'!B39="","",IF('page 2'!B39="Métier",VLOOKUP('page 2'!C39,tableaux!DD$3:DG$131,3,FALSE)))</f>
        <v/>
      </c>
      <c r="AA241" s="350"/>
      <c r="AB241" s="62"/>
      <c r="AC241" s="62"/>
      <c r="AD241" s="62"/>
      <c r="AP241" s="88"/>
      <c r="AQ241" s="88"/>
      <c r="AR241" s="88"/>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01"/>
    </row>
    <row r="242" spans="1:97">
      <c r="A242" s="64" t="str">
        <f>IF('page 2'!B40="","",IF('page 2'!B40="Métier",'page 2'!C40,""))</f>
        <v/>
      </c>
      <c r="B242" s="64" t="str">
        <f>IF('page 2'!B40="","",IF('page 2'!B40="Métier",VLOOKUP('page 2'!C40,tableaux!DD$3:DG$131,3,FALSE)))</f>
        <v/>
      </c>
      <c r="AA242" s="350"/>
      <c r="AB242" s="62"/>
      <c r="AC242" s="62"/>
      <c r="AD242" s="62"/>
      <c r="AP242" s="88"/>
      <c r="AQ242" s="88"/>
      <c r="AR242" s="88"/>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01"/>
    </row>
    <row r="243" spans="1:97">
      <c r="A243" s="64" t="str">
        <f>IF('page 2'!B41="","",IF('page 2'!B41="Métier",'page 2'!C41,""))</f>
        <v/>
      </c>
      <c r="B243" s="64" t="str">
        <f>IF('page 2'!B41="","",IF('page 2'!B41="Métier",VLOOKUP('page 2'!C41,tableaux!DD$3:DG$131,3,FALSE)))</f>
        <v/>
      </c>
      <c r="AA243" s="350"/>
      <c r="AB243" s="62"/>
      <c r="AC243" s="62"/>
      <c r="AD243" s="62"/>
      <c r="AP243" s="88"/>
      <c r="AQ243" s="88"/>
      <c r="AR243" s="88"/>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01"/>
    </row>
    <row r="244" spans="1:97">
      <c r="A244" s="64" t="str">
        <f>IF('page 2'!B42="","",IF('page 2'!B42="Métier",'page 2'!C42,""))</f>
        <v/>
      </c>
      <c r="B244" s="64" t="str">
        <f>IF('page 2'!B42="","",IF('page 2'!B42="Métier",VLOOKUP('page 2'!C42,tableaux!DD$3:DG$131,3,FALSE)))</f>
        <v/>
      </c>
      <c r="AA244" s="350"/>
      <c r="AB244" s="62"/>
      <c r="AC244" s="62"/>
      <c r="AD244" s="62"/>
      <c r="AP244" s="88"/>
      <c r="AQ244" s="88"/>
      <c r="AR244" s="88"/>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01"/>
    </row>
    <row r="245" spans="1:97">
      <c r="A245" s="64" t="str">
        <f>IF('page 2'!B43="","",IF('page 2'!B43="Métier",'page 2'!C43,""))</f>
        <v/>
      </c>
      <c r="B245" s="64" t="str">
        <f>IF('page 2'!B43="","",IF('page 2'!B43="Métier",VLOOKUP('page 2'!C43,tableaux!DD$3:DG$131,3,FALSE)))</f>
        <v/>
      </c>
      <c r="AA245" s="350"/>
      <c r="AB245" s="62"/>
      <c r="AC245" s="62"/>
      <c r="AD245" s="62"/>
      <c r="AP245" s="88"/>
      <c r="AQ245" s="88"/>
      <c r="AR245" s="88"/>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01"/>
    </row>
    <row r="246" spans="1:97">
      <c r="A246" s="64" t="str">
        <f>IF('page 2'!B44="","",IF('page 2'!B44="Métier",'page 2'!C44,""))</f>
        <v/>
      </c>
      <c r="B246" s="64" t="str">
        <f>IF('page 2'!B44="","",IF('page 2'!B44="Métier",VLOOKUP('page 2'!C44,tableaux!DD$3:DG$131,3,FALSE)))</f>
        <v/>
      </c>
      <c r="AA246" s="350"/>
      <c r="AB246" s="62"/>
      <c r="AC246" s="62"/>
      <c r="AD246" s="62"/>
      <c r="AP246" s="88"/>
      <c r="AQ246" s="88"/>
      <c r="AR246" s="88"/>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01"/>
    </row>
    <row r="247" spans="1:97">
      <c r="A247" s="64" t="str">
        <f>IF('page 2'!B45="","",IF('page 2'!B45="Métier",'page 2'!C45,""))</f>
        <v/>
      </c>
      <c r="B247" s="64" t="str">
        <f>IF('page 2'!B45="","",IF('page 2'!B45="Métier",VLOOKUP('page 2'!C45,tableaux!DD$3:DG$131,3,FALSE)))</f>
        <v/>
      </c>
      <c r="AA247" s="350"/>
      <c r="AB247" s="62"/>
      <c r="AC247" s="62"/>
      <c r="AD247" s="62"/>
      <c r="AP247" s="88"/>
      <c r="AQ247" s="88"/>
      <c r="AR247" s="88"/>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01"/>
    </row>
    <row r="248" spans="1:97">
      <c r="A248" s="64" t="str">
        <f>IF('page 2'!B46="","",IF('page 2'!B46="Métier",'page 2'!C46,""))</f>
        <v/>
      </c>
      <c r="B248" s="64" t="str">
        <f>IF('page 2'!B46="","",IF('page 2'!B46="Métier",VLOOKUP('page 2'!C46,tableaux!DD$3:DG$131,3,FALSE)))</f>
        <v/>
      </c>
      <c r="AA248" s="350"/>
      <c r="AB248" s="62"/>
      <c r="AC248" s="62"/>
      <c r="AD248" s="62"/>
      <c r="AP248" s="88"/>
      <c r="AQ248" s="88"/>
      <c r="AR248" s="88"/>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01"/>
    </row>
    <row r="249" spans="1:97">
      <c r="A249" s="64" t="str">
        <f>IF('page 2'!B47="","",IF('page 2'!B47="Métier",'page 2'!C47,""))</f>
        <v/>
      </c>
      <c r="B249" s="64" t="str">
        <f>IF('page 2'!B47="","",IF('page 2'!B47="Métier",VLOOKUP('page 2'!C47,tableaux!DD$3:DG$131,3,FALSE)))</f>
        <v/>
      </c>
      <c r="AA249" s="350"/>
      <c r="AB249" s="62"/>
      <c r="AC249" s="62"/>
      <c r="AD249" s="62"/>
      <c r="AP249" s="88"/>
      <c r="AQ249" s="88"/>
      <c r="AR249" s="88"/>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01"/>
    </row>
    <row r="250" spans="1:97">
      <c r="A250" s="64" t="str">
        <f>IF('page 2'!B48="","",IF('page 2'!B48="Métier",'page 2'!C48,""))</f>
        <v/>
      </c>
      <c r="B250" s="64" t="str">
        <f>IF('page 2'!B48="","",IF('page 2'!B48="Métier",VLOOKUP('page 2'!C48,tableaux!DD$3:DG$131,3,FALSE)))</f>
        <v/>
      </c>
      <c r="AA250" s="350"/>
      <c r="AB250" s="62"/>
      <c r="AC250" s="62"/>
      <c r="AD250" s="62"/>
      <c r="AP250" s="88"/>
      <c r="AQ250" s="88"/>
      <c r="AR250" s="88"/>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01"/>
    </row>
    <row r="251" spans="1:97">
      <c r="A251" s="64" t="str">
        <f>IF('page 2'!B49="","",IF('page 2'!B49="Métier",'page 2'!C49,""))</f>
        <v/>
      </c>
      <c r="B251" s="64" t="str">
        <f>IF('page 2'!B49="","",IF('page 2'!B49="Métier",VLOOKUP('page 2'!C49,tableaux!DD$3:DG$131,3,FALSE)))</f>
        <v/>
      </c>
      <c r="AA251" s="350"/>
      <c r="AB251" s="62"/>
      <c r="AC251" s="62"/>
      <c r="AD251" s="62"/>
      <c r="AP251" s="88"/>
      <c r="AQ251" s="88"/>
      <c r="AR251" s="88"/>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01"/>
    </row>
    <row r="252" spans="1:97">
      <c r="A252" s="64" t="str">
        <f>IF('page 2'!B50="","",IF('page 2'!B50="Métier",'page 2'!C50,""))</f>
        <v/>
      </c>
      <c r="B252" s="64" t="str">
        <f>IF('page 2'!B50="","",IF('page 2'!B50="Métier",VLOOKUP('page 2'!C50,tableaux!DD$3:DG$131,3,FALSE)))</f>
        <v/>
      </c>
      <c r="AA252" s="350"/>
      <c r="AB252" s="62"/>
      <c r="AC252" s="62"/>
      <c r="AD252" s="62"/>
      <c r="AP252" s="88"/>
      <c r="AQ252" s="88"/>
      <c r="AR252" s="88"/>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01"/>
    </row>
    <row r="253" spans="1:97">
      <c r="A253" s="64" t="str">
        <f>IF('page 2'!B51="","",IF('page 2'!B51="Métier",'page 2'!C51,""))</f>
        <v/>
      </c>
      <c r="B253" s="64" t="str">
        <f>IF('page 2'!B51="","",IF('page 2'!B51="Métier",VLOOKUP('page 2'!C51,tableaux!DD$3:DG$131,3,FALSE)))</f>
        <v/>
      </c>
      <c r="AA253" s="350"/>
      <c r="AB253" s="62"/>
      <c r="AC253" s="62"/>
      <c r="AD253" s="62"/>
      <c r="AP253" s="88"/>
      <c r="AQ253" s="88"/>
      <c r="AR253" s="88"/>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01"/>
    </row>
    <row r="254" spans="1:97">
      <c r="A254" s="64" t="str">
        <f>IF('page 2'!B52="","",IF('page 2'!B52="Métier",'page 2'!C52,""))</f>
        <v/>
      </c>
      <c r="B254" s="64" t="str">
        <f>IF('page 2'!B52="","",IF('page 2'!B52="Métier",VLOOKUP('page 2'!C52,tableaux!DD$3:DG$131,3,FALSE)))</f>
        <v/>
      </c>
      <c r="AA254" s="350"/>
      <c r="AB254" s="62"/>
      <c r="AC254" s="62"/>
      <c r="AD254" s="62"/>
      <c r="AP254" s="88"/>
      <c r="AQ254" s="88"/>
      <c r="AR254" s="88"/>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01"/>
    </row>
    <row r="255" spans="1:97">
      <c r="A255" s="64" t="str">
        <f>IF('page 2'!B53="","",IF('page 2'!B53="Métier",'page 2'!C53,""))</f>
        <v/>
      </c>
      <c r="B255" s="64" t="str">
        <f>IF('page 2'!B53="","",IF('page 2'!B53="Métier",VLOOKUP('page 2'!C53,tableaux!DD$3:DG$131,3,FALSE)))</f>
        <v/>
      </c>
      <c r="AA255" s="350"/>
      <c r="AB255" s="62"/>
      <c r="AC255" s="62"/>
      <c r="AD255" s="62"/>
      <c r="AP255" s="88"/>
      <c r="AQ255" s="88"/>
      <c r="AR255" s="88"/>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01"/>
    </row>
    <row r="256" spans="1:97">
      <c r="A256" s="64" t="str">
        <f>IF('page 2'!B54="","",IF('page 2'!B54="Métier",'page 2'!C54,""))</f>
        <v/>
      </c>
      <c r="B256" s="64" t="str">
        <f>IF('page 2'!B54="","",IF('page 2'!B54="Métier",VLOOKUP('page 2'!C54,tableaux!DD$3:DG$131,3,FALSE)))</f>
        <v/>
      </c>
      <c r="AA256" s="350"/>
      <c r="AB256" s="62"/>
      <c r="AC256" s="62"/>
      <c r="AD256" s="62"/>
      <c r="AP256" s="88"/>
      <c r="AQ256" s="88"/>
      <c r="AR256" s="88"/>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01"/>
    </row>
    <row r="257" spans="1:2169" s="108" customFormat="1" ht="13.8" thickBot="1">
      <c r="A257" s="107" t="str">
        <f>IF('page 2'!B55="","",IF('page 2'!B55="Métier",'page 2'!C55,""))</f>
        <v/>
      </c>
      <c r="B257" s="107" t="str">
        <f>IF('page 2'!B55="","",IF('page 2'!B55="Métier",VLOOKUP('page 2'!C55,tableaux!DD$3:DG$131,3,FALSE)))</f>
        <v/>
      </c>
      <c r="C257" s="107"/>
      <c r="D257" s="107"/>
      <c r="E257" s="107"/>
      <c r="F257" s="107"/>
      <c r="G257" s="107"/>
      <c r="H257" s="107"/>
      <c r="I257" s="107"/>
      <c r="J257" s="107"/>
      <c r="K257" s="107"/>
      <c r="L257" s="107"/>
      <c r="M257" s="107"/>
      <c r="N257" s="107"/>
      <c r="O257" s="107"/>
      <c r="P257" s="107"/>
      <c r="Q257" s="107"/>
      <c r="R257" s="107"/>
      <c r="S257" s="107"/>
      <c r="T257" s="170"/>
      <c r="U257" s="170"/>
      <c r="V257" s="170"/>
      <c r="W257" s="731"/>
      <c r="X257" s="720"/>
      <c r="Y257" s="107"/>
      <c r="Z257" s="107"/>
      <c r="AA257" s="351"/>
      <c r="AB257" s="62"/>
      <c r="AC257" s="62"/>
      <c r="AD257" s="62"/>
      <c r="AE257" s="62"/>
      <c r="AF257" s="62"/>
      <c r="AG257" s="62"/>
      <c r="AH257" s="62"/>
      <c r="AI257" s="62"/>
      <c r="AJ257" s="62"/>
      <c r="AK257" s="62"/>
      <c r="AL257" s="62"/>
      <c r="AM257" s="62"/>
      <c r="AN257" s="62"/>
      <c r="AO257" s="62"/>
      <c r="AP257" s="88"/>
      <c r="AQ257" s="88"/>
      <c r="AR257" s="88"/>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01"/>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c r="GF257" s="88"/>
      <c r="GG257" s="88"/>
      <c r="GH257" s="88"/>
      <c r="GI257" s="88"/>
      <c r="GJ257" s="88"/>
      <c r="GK257" s="88"/>
      <c r="GL257" s="88"/>
      <c r="GM257" s="88"/>
      <c r="GN257" s="88"/>
      <c r="GO257" s="88"/>
      <c r="GP257" s="88"/>
      <c r="GQ257" s="88"/>
      <c r="GR257" s="88"/>
      <c r="GS257" s="88"/>
      <c r="GT257" s="88"/>
      <c r="GU257" s="88"/>
      <c r="GV257" s="88"/>
      <c r="GW257" s="88"/>
      <c r="GX257" s="88"/>
      <c r="GY257" s="88"/>
      <c r="GZ257" s="88"/>
      <c r="HA257" s="88"/>
      <c r="HB257" s="88"/>
      <c r="HC257" s="88"/>
      <c r="HD257" s="88"/>
      <c r="HE257" s="88"/>
      <c r="HF257" s="88"/>
      <c r="HG257" s="88"/>
      <c r="HH257" s="88"/>
      <c r="HI257" s="88"/>
      <c r="HJ257" s="88"/>
      <c r="HK257" s="88"/>
      <c r="HL257" s="88"/>
      <c r="HM257" s="88"/>
      <c r="HN257" s="88"/>
      <c r="HO257" s="88"/>
      <c r="HP257" s="88"/>
      <c r="HQ257" s="88"/>
      <c r="HR257" s="88"/>
      <c r="HS257" s="88"/>
      <c r="HT257" s="88"/>
      <c r="HU257" s="88"/>
      <c r="HV257" s="88"/>
      <c r="HW257" s="88"/>
      <c r="HX257" s="88"/>
      <c r="HY257" s="88"/>
      <c r="HZ257" s="88"/>
      <c r="IA257" s="88"/>
      <c r="IB257" s="88"/>
      <c r="IC257" s="88"/>
      <c r="ID257" s="88"/>
      <c r="IE257" s="88"/>
      <c r="IF257" s="88"/>
      <c r="IG257" s="88"/>
      <c r="IH257" s="88"/>
      <c r="II257" s="88"/>
      <c r="IJ257" s="88"/>
      <c r="IK257" s="88"/>
      <c r="IL257" s="88"/>
      <c r="IM257" s="88"/>
      <c r="IN257" s="88"/>
      <c r="IO257" s="88"/>
      <c r="IP257" s="88"/>
      <c r="IQ257" s="88"/>
      <c r="IR257" s="88"/>
      <c r="IS257" s="88"/>
      <c r="IT257" s="88"/>
      <c r="IU257" s="88"/>
      <c r="IV257" s="900"/>
      <c r="IW257" s="900"/>
      <c r="IX257" s="900"/>
      <c r="IY257" s="900"/>
      <c r="IZ257" s="900"/>
      <c r="JA257" s="900"/>
      <c r="JB257" s="900"/>
      <c r="JC257" s="900"/>
      <c r="JD257" s="900"/>
      <c r="JE257" s="900"/>
      <c r="JF257" s="900"/>
      <c r="JG257" s="900"/>
      <c r="JH257" s="900"/>
      <c r="JI257" s="900"/>
      <c r="JJ257" s="900"/>
      <c r="JK257" s="900"/>
      <c r="JL257" s="900"/>
      <c r="JM257" s="900"/>
      <c r="JN257" s="900"/>
      <c r="JO257" s="900"/>
      <c r="JP257" s="900"/>
      <c r="JQ257" s="900"/>
      <c r="JR257" s="900"/>
      <c r="JS257" s="900"/>
      <c r="JT257" s="900"/>
      <c r="JU257" s="900"/>
      <c r="JV257" s="900"/>
      <c r="JW257" s="900"/>
      <c r="JX257" s="900"/>
      <c r="JY257" s="900"/>
      <c r="JZ257" s="900"/>
      <c r="KA257" s="900"/>
      <c r="KB257" s="900"/>
      <c r="KC257" s="900"/>
      <c r="KD257" s="900"/>
      <c r="KE257" s="900"/>
      <c r="KF257" s="900"/>
      <c r="KG257" s="900"/>
      <c r="KH257" s="900"/>
      <c r="KI257" s="900"/>
      <c r="KJ257" s="900"/>
      <c r="KK257" s="900"/>
      <c r="KL257" s="900"/>
      <c r="KM257" s="900"/>
      <c r="KN257" s="900"/>
      <c r="KO257" s="900"/>
      <c r="KP257" s="900"/>
      <c r="KQ257" s="900"/>
      <c r="KR257" s="900"/>
      <c r="KS257" s="900"/>
      <c r="KT257" s="900"/>
      <c r="KU257" s="900"/>
      <c r="KV257" s="900"/>
      <c r="KW257" s="900"/>
      <c r="KX257" s="900"/>
      <c r="KY257" s="900"/>
      <c r="KZ257" s="900"/>
      <c r="LA257" s="900"/>
      <c r="LB257" s="900"/>
      <c r="LC257" s="900"/>
      <c r="LD257" s="900"/>
      <c r="LE257" s="900"/>
      <c r="LF257" s="900"/>
      <c r="LG257" s="900"/>
      <c r="LH257" s="900"/>
      <c r="LI257" s="900"/>
      <c r="LJ257" s="900"/>
      <c r="LK257" s="900"/>
      <c r="LL257" s="900"/>
      <c r="LM257" s="900"/>
      <c r="LN257" s="900"/>
      <c r="LO257" s="900"/>
      <c r="LP257" s="900"/>
      <c r="LQ257" s="900"/>
      <c r="LR257" s="900"/>
      <c r="LS257" s="900"/>
      <c r="LT257" s="900"/>
      <c r="LU257" s="900"/>
      <c r="LV257" s="900"/>
      <c r="LW257" s="900"/>
      <c r="LX257" s="900"/>
      <c r="LY257" s="900"/>
      <c r="LZ257" s="900"/>
      <c r="MA257" s="900"/>
      <c r="MB257" s="900"/>
      <c r="MC257" s="900"/>
      <c r="MD257" s="900"/>
      <c r="ME257" s="900"/>
      <c r="MF257" s="900"/>
      <c r="MG257" s="900"/>
      <c r="MH257" s="900"/>
      <c r="MI257" s="900"/>
      <c r="MJ257" s="900"/>
      <c r="MK257" s="900"/>
      <c r="ML257" s="900"/>
      <c r="MM257" s="900"/>
      <c r="MN257" s="900"/>
      <c r="MO257" s="900"/>
      <c r="MP257" s="900"/>
      <c r="MQ257" s="900"/>
      <c r="MR257" s="900"/>
      <c r="MS257" s="900"/>
      <c r="MT257" s="900"/>
      <c r="MU257" s="900"/>
      <c r="MV257" s="900"/>
      <c r="MW257" s="900"/>
      <c r="MX257" s="900"/>
      <c r="MY257" s="900"/>
      <c r="MZ257" s="900"/>
      <c r="NA257" s="900"/>
      <c r="NB257" s="900"/>
      <c r="NC257" s="900"/>
      <c r="ND257" s="900"/>
      <c r="NE257" s="900"/>
      <c r="NF257" s="900"/>
      <c r="NG257" s="900"/>
      <c r="NH257" s="900"/>
      <c r="NI257" s="900"/>
      <c r="NJ257" s="900"/>
      <c r="NK257" s="900"/>
      <c r="NL257" s="900"/>
      <c r="NM257" s="900"/>
      <c r="NN257" s="900"/>
      <c r="NO257" s="900"/>
      <c r="NP257" s="900"/>
      <c r="NQ257" s="900"/>
      <c r="NR257" s="900"/>
      <c r="NS257" s="900"/>
      <c r="NT257" s="900"/>
      <c r="NU257" s="900"/>
      <c r="NV257" s="900"/>
      <c r="NW257" s="900"/>
      <c r="NX257" s="900"/>
      <c r="NY257" s="900"/>
      <c r="NZ257" s="900"/>
      <c r="OA257" s="900"/>
      <c r="OB257" s="900"/>
      <c r="OC257" s="900"/>
      <c r="OD257" s="900"/>
      <c r="OE257" s="900"/>
      <c r="OF257" s="900"/>
      <c r="OG257" s="900"/>
      <c r="OH257" s="900"/>
      <c r="OI257" s="900"/>
      <c r="OJ257" s="900"/>
      <c r="OK257" s="900"/>
      <c r="OL257" s="900"/>
      <c r="OM257" s="900"/>
      <c r="ON257" s="900"/>
      <c r="OO257" s="900"/>
      <c r="OP257" s="900"/>
      <c r="OQ257" s="900"/>
      <c r="OR257" s="900"/>
      <c r="OS257" s="900"/>
      <c r="OT257" s="900"/>
      <c r="OU257" s="900"/>
      <c r="OV257" s="900"/>
      <c r="OW257" s="900"/>
      <c r="OX257" s="900"/>
      <c r="OY257" s="900"/>
      <c r="OZ257" s="900"/>
      <c r="PA257" s="900"/>
      <c r="PB257" s="900"/>
      <c r="PC257" s="900"/>
      <c r="PD257" s="900"/>
      <c r="PE257" s="900"/>
      <c r="PF257" s="900"/>
      <c r="PG257" s="900"/>
      <c r="PH257" s="900"/>
      <c r="PI257" s="900"/>
      <c r="PJ257" s="900"/>
      <c r="PK257" s="900"/>
      <c r="PL257" s="900"/>
      <c r="PM257" s="900"/>
      <c r="PN257" s="900"/>
      <c r="PO257" s="900"/>
      <c r="PP257" s="900"/>
      <c r="PQ257" s="900"/>
      <c r="PR257" s="900"/>
      <c r="PS257" s="900"/>
      <c r="PT257" s="900"/>
      <c r="PU257" s="900"/>
      <c r="PV257" s="900"/>
      <c r="PW257" s="900"/>
      <c r="PX257" s="900"/>
      <c r="PY257" s="900"/>
      <c r="PZ257" s="900"/>
      <c r="QA257" s="900"/>
      <c r="QB257" s="900"/>
      <c r="QC257" s="900"/>
      <c r="QD257" s="900"/>
      <c r="QE257" s="900"/>
      <c r="QF257" s="900"/>
      <c r="QG257" s="900"/>
      <c r="QH257" s="900"/>
      <c r="QI257" s="900"/>
      <c r="QJ257" s="900"/>
      <c r="QK257" s="900"/>
      <c r="QL257" s="900"/>
      <c r="QM257" s="900"/>
      <c r="QN257" s="900"/>
      <c r="QO257" s="900"/>
      <c r="QP257" s="900"/>
      <c r="QQ257" s="900"/>
      <c r="QR257" s="900"/>
      <c r="QS257" s="900"/>
      <c r="QT257" s="900"/>
      <c r="QU257" s="900"/>
      <c r="QV257" s="900"/>
      <c r="QW257" s="900"/>
      <c r="QX257" s="900"/>
      <c r="QY257" s="900"/>
      <c r="QZ257" s="900"/>
      <c r="RA257" s="900"/>
      <c r="RB257" s="900"/>
      <c r="RC257" s="900"/>
      <c r="RD257" s="900"/>
      <c r="RE257" s="900"/>
      <c r="RF257" s="900"/>
      <c r="RG257" s="900"/>
      <c r="RH257" s="900"/>
      <c r="RI257" s="900"/>
      <c r="RJ257" s="900"/>
      <c r="RK257" s="900"/>
      <c r="RL257" s="900"/>
      <c r="RM257" s="900"/>
      <c r="RN257" s="900"/>
      <c r="RO257" s="900"/>
      <c r="RP257" s="900"/>
      <c r="RQ257" s="900"/>
      <c r="RR257" s="900"/>
      <c r="RS257" s="900"/>
      <c r="RT257" s="900"/>
      <c r="RU257" s="900"/>
      <c r="RV257" s="900"/>
      <c r="RW257" s="900"/>
      <c r="RX257" s="900"/>
      <c r="RY257" s="900"/>
      <c r="RZ257" s="900"/>
      <c r="SA257" s="900"/>
      <c r="SB257" s="900"/>
      <c r="SC257" s="900"/>
      <c r="SD257" s="900"/>
      <c r="SE257" s="900"/>
      <c r="SF257" s="900"/>
      <c r="SG257" s="900"/>
      <c r="SH257" s="900"/>
      <c r="SI257" s="900"/>
      <c r="SJ257" s="900"/>
      <c r="SK257" s="900"/>
      <c r="SL257" s="900"/>
      <c r="SM257" s="900"/>
      <c r="SN257" s="900"/>
      <c r="SO257" s="900"/>
      <c r="SP257" s="900"/>
      <c r="SQ257" s="900"/>
      <c r="SR257" s="900"/>
      <c r="SS257" s="900"/>
      <c r="ST257" s="900"/>
      <c r="SU257" s="900"/>
      <c r="SV257" s="900"/>
      <c r="SW257" s="900"/>
      <c r="SX257" s="900"/>
      <c r="SY257" s="900"/>
      <c r="SZ257" s="900"/>
      <c r="TA257" s="900"/>
      <c r="TB257" s="900"/>
      <c r="TC257" s="900"/>
      <c r="TD257" s="900"/>
      <c r="TE257" s="900"/>
      <c r="TF257" s="900"/>
      <c r="TG257" s="900"/>
      <c r="TH257" s="900"/>
      <c r="TI257" s="900"/>
      <c r="TJ257" s="900"/>
      <c r="TK257" s="900"/>
      <c r="TL257" s="900"/>
      <c r="TM257" s="900"/>
      <c r="TN257" s="900"/>
      <c r="TO257" s="900"/>
      <c r="TP257" s="900"/>
      <c r="TQ257" s="900"/>
      <c r="TR257" s="900"/>
      <c r="TS257" s="900"/>
      <c r="TT257" s="900"/>
      <c r="TU257" s="900"/>
      <c r="TV257" s="900"/>
      <c r="TW257" s="900"/>
      <c r="TX257" s="900"/>
      <c r="TY257" s="900"/>
      <c r="TZ257" s="900"/>
      <c r="UA257" s="900"/>
      <c r="UB257" s="900"/>
      <c r="UC257" s="900"/>
      <c r="UD257" s="900"/>
      <c r="UE257" s="900"/>
      <c r="UF257" s="900"/>
      <c r="UG257" s="900"/>
      <c r="UH257" s="900"/>
      <c r="UI257" s="900"/>
      <c r="UJ257" s="900"/>
      <c r="UK257" s="900"/>
      <c r="UL257" s="900"/>
      <c r="UM257" s="900"/>
      <c r="UN257" s="900"/>
      <c r="UO257" s="900"/>
      <c r="UP257" s="900"/>
      <c r="UQ257" s="900"/>
      <c r="UR257" s="900"/>
      <c r="US257" s="900"/>
      <c r="UT257" s="900"/>
      <c r="UU257" s="900"/>
      <c r="UV257" s="900"/>
      <c r="UW257" s="900"/>
      <c r="UX257" s="900"/>
      <c r="UY257" s="900"/>
      <c r="UZ257" s="900"/>
      <c r="VA257" s="900"/>
      <c r="VB257" s="900"/>
      <c r="VC257" s="900"/>
      <c r="VD257" s="900"/>
      <c r="VE257" s="900"/>
      <c r="VF257" s="900"/>
      <c r="VG257" s="900"/>
      <c r="VH257" s="900"/>
      <c r="VI257" s="900"/>
      <c r="VJ257" s="900"/>
      <c r="VK257" s="900"/>
      <c r="VL257" s="900"/>
      <c r="VM257" s="900"/>
      <c r="VN257" s="900"/>
      <c r="VO257" s="900"/>
      <c r="VP257" s="900"/>
      <c r="VQ257" s="900"/>
      <c r="VR257" s="900"/>
      <c r="VS257" s="900"/>
      <c r="VT257" s="900"/>
      <c r="VU257" s="900"/>
      <c r="VV257" s="900"/>
      <c r="VW257" s="900"/>
      <c r="VX257" s="900"/>
      <c r="VY257" s="900"/>
      <c r="VZ257" s="900"/>
      <c r="WA257" s="900"/>
      <c r="WB257" s="900"/>
      <c r="WC257" s="900"/>
      <c r="WD257" s="900"/>
      <c r="WE257" s="900"/>
      <c r="WF257" s="900"/>
      <c r="WG257" s="900"/>
      <c r="WH257" s="900"/>
      <c r="WI257" s="900"/>
      <c r="WJ257" s="900"/>
      <c r="WK257" s="900"/>
      <c r="WL257" s="900"/>
      <c r="WM257" s="900"/>
      <c r="WN257" s="900"/>
      <c r="WO257" s="900"/>
      <c r="WP257" s="900"/>
      <c r="WQ257" s="900"/>
      <c r="WR257" s="900"/>
      <c r="WS257" s="900"/>
      <c r="WT257" s="900"/>
      <c r="WU257" s="900"/>
      <c r="WV257" s="900"/>
      <c r="WW257" s="900"/>
      <c r="WX257" s="900"/>
      <c r="WY257" s="900"/>
      <c r="WZ257" s="900"/>
      <c r="XA257" s="900"/>
      <c r="XB257" s="900"/>
      <c r="XC257" s="900"/>
      <c r="XD257" s="900"/>
      <c r="XE257" s="900"/>
      <c r="XF257" s="900"/>
      <c r="XG257" s="900"/>
      <c r="XH257" s="900"/>
      <c r="XI257" s="900"/>
      <c r="XJ257" s="900"/>
      <c r="XK257" s="900"/>
      <c r="XL257" s="900"/>
      <c r="XM257" s="900"/>
      <c r="XN257" s="900"/>
      <c r="XO257" s="900"/>
      <c r="XP257" s="900"/>
      <c r="XQ257" s="900"/>
      <c r="XR257" s="900"/>
      <c r="XS257" s="900"/>
      <c r="XT257" s="900"/>
      <c r="XU257" s="900"/>
      <c r="XV257" s="900"/>
      <c r="XW257" s="900"/>
      <c r="XX257" s="900"/>
      <c r="XY257" s="900"/>
      <c r="XZ257" s="900"/>
      <c r="YA257" s="900"/>
      <c r="YB257" s="900"/>
      <c r="YC257" s="900"/>
      <c r="YD257" s="900"/>
      <c r="YE257" s="900"/>
      <c r="YF257" s="900"/>
      <c r="YG257" s="900"/>
      <c r="YH257" s="900"/>
      <c r="YI257" s="900"/>
      <c r="YJ257" s="900"/>
      <c r="YK257" s="900"/>
      <c r="YL257" s="900"/>
      <c r="YM257" s="900"/>
      <c r="YN257" s="900"/>
      <c r="YO257" s="900"/>
      <c r="YP257" s="900"/>
      <c r="YQ257" s="900"/>
      <c r="YR257" s="900"/>
      <c r="YS257" s="900"/>
      <c r="YT257" s="900"/>
      <c r="YU257" s="900"/>
      <c r="YV257" s="900"/>
      <c r="YW257" s="900"/>
      <c r="YX257" s="900"/>
      <c r="YY257" s="900"/>
      <c r="YZ257" s="900"/>
      <c r="ZA257" s="900"/>
      <c r="ZB257" s="900"/>
      <c r="ZC257" s="900"/>
      <c r="ZD257" s="900"/>
      <c r="ZE257" s="900"/>
      <c r="ZF257" s="900"/>
      <c r="ZG257" s="900"/>
      <c r="ZH257" s="900"/>
      <c r="ZI257" s="900"/>
      <c r="ZJ257" s="900"/>
      <c r="ZK257" s="900"/>
      <c r="ZL257" s="900"/>
      <c r="ZM257" s="900"/>
      <c r="ZN257" s="900"/>
      <c r="ZO257" s="900"/>
      <c r="ZP257" s="900"/>
      <c r="ZQ257" s="900"/>
      <c r="ZR257" s="900"/>
      <c r="ZS257" s="900"/>
      <c r="ZT257" s="900"/>
      <c r="ZU257" s="900"/>
      <c r="ZV257" s="900"/>
      <c r="ZW257" s="900"/>
      <c r="ZX257" s="900"/>
      <c r="ZY257" s="900"/>
      <c r="ZZ257" s="900"/>
      <c r="AAA257" s="900"/>
      <c r="AAB257" s="900"/>
      <c r="AAC257" s="900"/>
      <c r="AAD257" s="900"/>
      <c r="AAE257" s="900"/>
      <c r="AAF257" s="900"/>
      <c r="AAG257" s="900"/>
      <c r="AAH257" s="900"/>
      <c r="AAI257" s="900"/>
      <c r="AAJ257" s="900"/>
      <c r="AAK257" s="900"/>
      <c r="AAL257" s="900"/>
      <c r="AAM257" s="900"/>
      <c r="AAN257" s="900"/>
      <c r="AAO257" s="900"/>
      <c r="AAP257" s="900"/>
      <c r="AAQ257" s="900"/>
      <c r="AAR257" s="900"/>
      <c r="AAS257" s="900"/>
      <c r="AAT257" s="900"/>
      <c r="AAU257" s="900"/>
      <c r="AAV257" s="900"/>
      <c r="AAW257" s="900"/>
      <c r="AAX257" s="900"/>
      <c r="AAY257" s="900"/>
      <c r="AAZ257" s="900"/>
      <c r="ABA257" s="900"/>
      <c r="ABB257" s="900"/>
      <c r="ABC257" s="900"/>
      <c r="ABD257" s="900"/>
      <c r="ABE257" s="900"/>
      <c r="ABF257" s="900"/>
      <c r="ABG257" s="900"/>
      <c r="ABH257" s="900"/>
      <c r="ABI257" s="900"/>
      <c r="ABJ257" s="900"/>
      <c r="ABK257" s="900"/>
      <c r="ABL257" s="900"/>
      <c r="ABM257" s="900"/>
      <c r="ABN257" s="900"/>
      <c r="ABO257" s="900"/>
      <c r="ABP257" s="900"/>
      <c r="ABQ257" s="900"/>
      <c r="ABR257" s="900"/>
      <c r="ABS257" s="900"/>
      <c r="ABT257" s="900"/>
      <c r="ABU257" s="900"/>
      <c r="ABV257" s="900"/>
      <c r="ABW257" s="900"/>
      <c r="ABX257" s="900"/>
      <c r="ABY257" s="900"/>
      <c r="ABZ257" s="900"/>
      <c r="ACA257" s="900"/>
      <c r="ACB257" s="900"/>
      <c r="ACC257" s="900"/>
      <c r="ACD257" s="900"/>
      <c r="ACE257" s="900"/>
      <c r="ACF257" s="900"/>
      <c r="ACG257" s="900"/>
      <c r="ACH257" s="900"/>
      <c r="ACI257" s="900"/>
      <c r="ACJ257" s="900"/>
      <c r="ACK257" s="900"/>
      <c r="ACL257" s="900"/>
      <c r="ACM257" s="900"/>
      <c r="ACN257" s="900"/>
      <c r="ACO257" s="900"/>
      <c r="ACP257" s="900"/>
      <c r="ACQ257" s="900"/>
      <c r="ACR257" s="900"/>
      <c r="ACS257" s="900"/>
      <c r="ACT257" s="900"/>
      <c r="ACU257" s="900"/>
      <c r="ACV257" s="900"/>
      <c r="ACW257" s="900"/>
      <c r="ACX257" s="900"/>
      <c r="ACY257" s="900"/>
      <c r="ACZ257" s="900"/>
      <c r="ADA257" s="900"/>
      <c r="ADB257" s="900"/>
      <c r="ADC257" s="900"/>
      <c r="ADD257" s="900"/>
      <c r="ADE257" s="900"/>
      <c r="ADF257" s="900"/>
      <c r="ADG257" s="900"/>
      <c r="ADH257" s="900"/>
      <c r="ADI257" s="900"/>
      <c r="ADJ257" s="900"/>
      <c r="ADK257" s="900"/>
      <c r="ADL257" s="900"/>
      <c r="ADM257" s="900"/>
      <c r="ADN257" s="900"/>
      <c r="ADO257" s="900"/>
      <c r="ADP257" s="900"/>
      <c r="ADQ257" s="900"/>
      <c r="ADR257" s="900"/>
      <c r="ADS257" s="900"/>
      <c r="ADT257" s="900"/>
      <c r="ADU257" s="900"/>
      <c r="ADV257" s="900"/>
      <c r="ADW257" s="900"/>
      <c r="ADX257" s="900"/>
      <c r="ADY257" s="900"/>
      <c r="ADZ257" s="900"/>
      <c r="AEA257" s="900"/>
      <c r="AEB257" s="900"/>
      <c r="AEC257" s="900"/>
      <c r="AED257" s="900"/>
      <c r="AEE257" s="900"/>
      <c r="AEF257" s="900"/>
      <c r="AEG257" s="900"/>
      <c r="AEH257" s="900"/>
      <c r="AEI257" s="900"/>
      <c r="AEJ257" s="900"/>
      <c r="AEK257" s="900"/>
      <c r="AEL257" s="900"/>
      <c r="AEM257" s="900"/>
      <c r="AEN257" s="900"/>
      <c r="AEO257" s="900"/>
      <c r="AEP257" s="900"/>
      <c r="AEQ257" s="900"/>
      <c r="AER257" s="900"/>
      <c r="AES257" s="900"/>
      <c r="AET257" s="900"/>
      <c r="AEU257" s="900"/>
      <c r="AEV257" s="900"/>
      <c r="AEW257" s="900"/>
      <c r="AEX257" s="900"/>
      <c r="AEY257" s="900"/>
      <c r="AEZ257" s="900"/>
      <c r="AFA257" s="900"/>
      <c r="AFB257" s="900"/>
      <c r="AFC257" s="900"/>
      <c r="AFD257" s="900"/>
      <c r="AFE257" s="900"/>
      <c r="AFF257" s="900"/>
      <c r="AFG257" s="900"/>
      <c r="AFH257" s="900"/>
      <c r="AFI257" s="900"/>
      <c r="AFJ257" s="900"/>
      <c r="AFK257" s="900"/>
      <c r="AFL257" s="900"/>
      <c r="AFM257" s="900"/>
      <c r="AFN257" s="900"/>
      <c r="AFO257" s="900"/>
      <c r="AFP257" s="900"/>
      <c r="AFQ257" s="900"/>
      <c r="AFR257" s="900"/>
      <c r="AFS257" s="900"/>
      <c r="AFT257" s="900"/>
      <c r="AFU257" s="900"/>
      <c r="AFV257" s="900"/>
      <c r="AFW257" s="900"/>
      <c r="AFX257" s="900"/>
      <c r="AFY257" s="900"/>
      <c r="AFZ257" s="900"/>
      <c r="AGA257" s="900"/>
      <c r="AGB257" s="900"/>
      <c r="AGC257" s="900"/>
      <c r="AGD257" s="900"/>
      <c r="AGE257" s="900"/>
      <c r="AGF257" s="900"/>
      <c r="AGG257" s="900"/>
      <c r="AGH257" s="900"/>
      <c r="AGI257" s="900"/>
      <c r="AGJ257" s="900"/>
      <c r="AGK257" s="900"/>
      <c r="AGL257" s="900"/>
      <c r="AGM257" s="900"/>
      <c r="AGN257" s="900"/>
      <c r="AGO257" s="900"/>
      <c r="AGP257" s="900"/>
      <c r="AGQ257" s="900"/>
      <c r="AGR257" s="900"/>
      <c r="AGS257" s="900"/>
      <c r="AGT257" s="900"/>
      <c r="AGU257" s="900"/>
      <c r="AGV257" s="900"/>
      <c r="AGW257" s="900"/>
      <c r="AGX257" s="900"/>
      <c r="AGY257" s="900"/>
      <c r="AGZ257" s="900"/>
      <c r="AHA257" s="900"/>
      <c r="AHB257" s="900"/>
      <c r="AHC257" s="900"/>
      <c r="AHD257" s="900"/>
      <c r="AHE257" s="900"/>
      <c r="AHF257" s="900"/>
      <c r="AHG257" s="900"/>
      <c r="AHH257" s="900"/>
      <c r="AHI257" s="900"/>
      <c r="AHJ257" s="900"/>
      <c r="AHK257" s="900"/>
      <c r="AHL257" s="900"/>
      <c r="AHM257" s="900"/>
      <c r="AHN257" s="900"/>
      <c r="AHO257" s="900"/>
      <c r="AHP257" s="900"/>
      <c r="AHQ257" s="900"/>
      <c r="AHR257" s="900"/>
      <c r="AHS257" s="900"/>
      <c r="AHT257" s="900"/>
      <c r="AHU257" s="900"/>
      <c r="AHV257" s="900"/>
      <c r="AHW257" s="900"/>
      <c r="AHX257" s="900"/>
      <c r="AHY257" s="900"/>
      <c r="AHZ257" s="900"/>
      <c r="AIA257" s="900"/>
      <c r="AIB257" s="900"/>
      <c r="AIC257" s="900"/>
      <c r="AID257" s="900"/>
      <c r="AIE257" s="900"/>
      <c r="AIF257" s="900"/>
      <c r="AIG257" s="900"/>
      <c r="AIH257" s="900"/>
      <c r="AII257" s="900"/>
      <c r="AIJ257" s="900"/>
      <c r="AIK257" s="900"/>
      <c r="AIL257" s="900"/>
      <c r="AIM257" s="900"/>
      <c r="AIN257" s="900"/>
      <c r="AIO257" s="900"/>
      <c r="AIP257" s="900"/>
      <c r="AIQ257" s="900"/>
      <c r="AIR257" s="900"/>
      <c r="AIS257" s="900"/>
      <c r="AIT257" s="900"/>
      <c r="AIU257" s="900"/>
      <c r="AIV257" s="900"/>
      <c r="AIW257" s="900"/>
      <c r="AIX257" s="900"/>
      <c r="AIY257" s="900"/>
      <c r="AIZ257" s="900"/>
      <c r="AJA257" s="900"/>
      <c r="AJB257" s="900"/>
      <c r="AJC257" s="900"/>
      <c r="AJD257" s="900"/>
      <c r="AJE257" s="900"/>
      <c r="AJF257" s="900"/>
      <c r="AJG257" s="900"/>
      <c r="AJH257" s="900"/>
      <c r="AJI257" s="900"/>
      <c r="AJJ257" s="900"/>
      <c r="AJK257" s="900"/>
      <c r="AJL257" s="900"/>
      <c r="AJM257" s="900"/>
      <c r="AJN257" s="900"/>
      <c r="AJO257" s="900"/>
      <c r="AJP257" s="900"/>
      <c r="AJQ257" s="900"/>
      <c r="AJR257" s="900"/>
      <c r="AJS257" s="900"/>
      <c r="AJT257" s="900"/>
      <c r="AJU257" s="900"/>
      <c r="AJV257" s="900"/>
      <c r="AJW257" s="900"/>
      <c r="AJX257" s="900"/>
      <c r="AJY257" s="900"/>
      <c r="AJZ257" s="900"/>
      <c r="AKA257" s="900"/>
      <c r="AKB257" s="900"/>
      <c r="AKC257" s="900"/>
      <c r="AKD257" s="900"/>
      <c r="AKE257" s="900"/>
      <c r="AKF257" s="900"/>
      <c r="AKG257" s="900"/>
      <c r="AKH257" s="900"/>
      <c r="AKI257" s="900"/>
      <c r="AKJ257" s="900"/>
      <c r="AKK257" s="900"/>
      <c r="AKL257" s="900"/>
      <c r="AKM257" s="900"/>
      <c r="AKN257" s="900"/>
      <c r="AKO257" s="900"/>
      <c r="AKP257" s="900"/>
      <c r="AKQ257" s="900"/>
      <c r="AKR257" s="900"/>
      <c r="AKS257" s="900"/>
      <c r="AKT257" s="900"/>
      <c r="AKU257" s="900"/>
      <c r="AKV257" s="900"/>
      <c r="AKW257" s="900"/>
      <c r="AKX257" s="900"/>
      <c r="AKY257" s="900"/>
      <c r="AKZ257" s="900"/>
      <c r="ALA257" s="900"/>
      <c r="ALB257" s="900"/>
      <c r="ALC257" s="900"/>
      <c r="ALD257" s="900"/>
      <c r="ALE257" s="900"/>
      <c r="ALF257" s="900"/>
      <c r="ALG257" s="900"/>
      <c r="ALH257" s="900"/>
      <c r="ALI257" s="900"/>
      <c r="ALJ257" s="900"/>
      <c r="ALK257" s="900"/>
      <c r="ALL257" s="900"/>
      <c r="ALM257" s="900"/>
      <c r="ALN257" s="900"/>
      <c r="ALO257" s="900"/>
      <c r="ALP257" s="900"/>
      <c r="ALQ257" s="900"/>
      <c r="ALR257" s="900"/>
      <c r="ALS257" s="900"/>
      <c r="ALT257" s="900"/>
      <c r="ALU257" s="900"/>
      <c r="ALV257" s="900"/>
      <c r="ALW257" s="900"/>
      <c r="ALX257" s="900"/>
      <c r="ALY257" s="900"/>
      <c r="ALZ257" s="900"/>
      <c r="AMA257" s="900"/>
      <c r="AMB257" s="900"/>
      <c r="AMC257" s="900"/>
      <c r="AMD257" s="900"/>
      <c r="AME257" s="900"/>
      <c r="AMF257" s="900"/>
      <c r="AMG257" s="900"/>
      <c r="AMH257" s="900"/>
      <c r="AMI257" s="900"/>
      <c r="AMJ257" s="900"/>
      <c r="AMK257" s="900"/>
      <c r="AML257" s="900"/>
      <c r="AMM257" s="900"/>
      <c r="AMN257" s="900"/>
      <c r="AMO257" s="900"/>
      <c r="AMP257" s="900"/>
      <c r="AMQ257" s="900"/>
      <c r="AMR257" s="900"/>
      <c r="AMS257" s="900"/>
      <c r="AMT257" s="900"/>
      <c r="AMU257" s="900"/>
      <c r="AMV257" s="900"/>
      <c r="AMW257" s="900"/>
      <c r="AMX257" s="900"/>
      <c r="AMY257" s="900"/>
      <c r="AMZ257" s="900"/>
      <c r="ANA257" s="900"/>
      <c r="ANB257" s="900"/>
      <c r="ANC257" s="900"/>
      <c r="AND257" s="900"/>
      <c r="ANE257" s="900"/>
      <c r="ANF257" s="900"/>
      <c r="ANG257" s="900"/>
      <c r="ANH257" s="900"/>
      <c r="ANI257" s="900"/>
      <c r="ANJ257" s="900"/>
      <c r="ANK257" s="900"/>
      <c r="ANL257" s="900"/>
      <c r="ANM257" s="900"/>
      <c r="ANN257" s="900"/>
      <c r="ANO257" s="900"/>
      <c r="ANP257" s="900"/>
      <c r="ANQ257" s="900"/>
      <c r="ANR257" s="900"/>
      <c r="ANS257" s="900"/>
      <c r="ANT257" s="900"/>
      <c r="ANU257" s="900"/>
      <c r="ANV257" s="900"/>
      <c r="ANW257" s="900"/>
      <c r="ANX257" s="900"/>
      <c r="ANY257" s="900"/>
      <c r="ANZ257" s="900"/>
      <c r="AOA257" s="900"/>
      <c r="AOB257" s="900"/>
      <c r="AOC257" s="900"/>
      <c r="AOD257" s="900"/>
      <c r="AOE257" s="900"/>
      <c r="AOF257" s="900"/>
      <c r="AOG257" s="900"/>
      <c r="AOH257" s="900"/>
      <c r="AOI257" s="900"/>
      <c r="AOJ257" s="900"/>
      <c r="AOK257" s="900"/>
      <c r="AOL257" s="900"/>
      <c r="AOM257" s="900"/>
      <c r="AON257" s="900"/>
      <c r="AOO257" s="900"/>
      <c r="AOP257" s="900"/>
      <c r="AOQ257" s="900"/>
      <c r="AOR257" s="900"/>
      <c r="AOS257" s="900"/>
      <c r="AOT257" s="900"/>
      <c r="AOU257" s="900"/>
      <c r="AOV257" s="900"/>
      <c r="AOW257" s="900"/>
      <c r="AOX257" s="900"/>
      <c r="AOY257" s="900"/>
      <c r="AOZ257" s="900"/>
      <c r="APA257" s="900"/>
      <c r="APB257" s="900"/>
      <c r="APC257" s="900"/>
      <c r="APD257" s="900"/>
      <c r="APE257" s="900"/>
      <c r="APF257" s="900"/>
      <c r="APG257" s="900"/>
      <c r="APH257" s="900"/>
      <c r="API257" s="900"/>
      <c r="APJ257" s="900"/>
      <c r="APK257" s="900"/>
      <c r="APL257" s="900"/>
      <c r="APM257" s="900"/>
      <c r="APN257" s="900"/>
      <c r="APO257" s="900"/>
      <c r="APP257" s="900"/>
      <c r="APQ257" s="900"/>
      <c r="APR257" s="900"/>
      <c r="APS257" s="900"/>
      <c r="APT257" s="900"/>
      <c r="APU257" s="900"/>
      <c r="APV257" s="900"/>
      <c r="APW257" s="900"/>
      <c r="APX257" s="900"/>
      <c r="APY257" s="900"/>
      <c r="APZ257" s="900"/>
      <c r="AQA257" s="900"/>
      <c r="AQB257" s="900"/>
      <c r="AQC257" s="900"/>
      <c r="AQD257" s="900"/>
      <c r="AQE257" s="900"/>
      <c r="AQF257" s="900"/>
      <c r="AQG257" s="900"/>
      <c r="AQH257" s="900"/>
      <c r="AQI257" s="900"/>
      <c r="AQJ257" s="900"/>
      <c r="AQK257" s="900"/>
      <c r="AQL257" s="900"/>
      <c r="AQM257" s="900"/>
      <c r="AQN257" s="900"/>
      <c r="AQO257" s="900"/>
      <c r="AQP257" s="900"/>
      <c r="AQQ257" s="900"/>
      <c r="AQR257" s="900"/>
      <c r="AQS257" s="900"/>
      <c r="AQT257" s="900"/>
      <c r="AQU257" s="900"/>
      <c r="AQV257" s="900"/>
      <c r="AQW257" s="900"/>
      <c r="AQX257" s="900"/>
      <c r="AQY257" s="900"/>
      <c r="AQZ257" s="900"/>
      <c r="ARA257" s="900"/>
      <c r="ARB257" s="900"/>
      <c r="ARC257" s="900"/>
      <c r="ARD257" s="900"/>
      <c r="ARE257" s="900"/>
      <c r="ARF257" s="900"/>
      <c r="ARG257" s="900"/>
      <c r="ARH257" s="900"/>
      <c r="ARI257" s="900"/>
      <c r="ARJ257" s="900"/>
      <c r="ARK257" s="900"/>
      <c r="ARL257" s="900"/>
      <c r="ARM257" s="900"/>
      <c r="ARN257" s="900"/>
      <c r="ARO257" s="900"/>
      <c r="ARP257" s="900"/>
      <c r="ARQ257" s="900"/>
      <c r="ARR257" s="900"/>
      <c r="ARS257" s="900"/>
      <c r="ART257" s="900"/>
      <c r="ARU257" s="900"/>
      <c r="ARV257" s="900"/>
      <c r="ARW257" s="900"/>
      <c r="ARX257" s="900"/>
      <c r="ARY257" s="900"/>
      <c r="ARZ257" s="900"/>
      <c r="ASA257" s="900"/>
      <c r="ASB257" s="900"/>
      <c r="ASC257" s="900"/>
      <c r="ASD257" s="900"/>
      <c r="ASE257" s="900"/>
      <c r="ASF257" s="900"/>
      <c r="ASG257" s="900"/>
      <c r="ASH257" s="900"/>
      <c r="ASI257" s="900"/>
      <c r="ASJ257" s="900"/>
      <c r="ASK257" s="900"/>
      <c r="ASL257" s="900"/>
      <c r="ASM257" s="900"/>
      <c r="ASN257" s="900"/>
      <c r="ASO257" s="900"/>
      <c r="ASP257" s="900"/>
      <c r="ASQ257" s="900"/>
      <c r="ASR257" s="900"/>
      <c r="ASS257" s="900"/>
      <c r="AST257" s="900"/>
      <c r="ASU257" s="900"/>
      <c r="ASV257" s="900"/>
      <c r="ASW257" s="900"/>
      <c r="ASX257" s="900"/>
      <c r="ASY257" s="900"/>
      <c r="ASZ257" s="900"/>
      <c r="ATA257" s="900"/>
      <c r="ATB257" s="900"/>
      <c r="ATC257" s="900"/>
      <c r="ATD257" s="900"/>
      <c r="ATE257" s="900"/>
      <c r="ATF257" s="900"/>
      <c r="ATG257" s="900"/>
      <c r="ATH257" s="900"/>
      <c r="ATI257" s="900"/>
      <c r="ATJ257" s="900"/>
      <c r="ATK257" s="900"/>
      <c r="ATL257" s="900"/>
      <c r="ATM257" s="900"/>
      <c r="ATN257" s="900"/>
      <c r="ATO257" s="900"/>
      <c r="ATP257" s="900"/>
      <c r="ATQ257" s="900"/>
      <c r="ATR257" s="900"/>
      <c r="ATS257" s="900"/>
      <c r="ATT257" s="900"/>
      <c r="ATU257" s="900"/>
      <c r="ATV257" s="900"/>
      <c r="ATW257" s="900"/>
      <c r="ATX257" s="900"/>
      <c r="ATY257" s="900"/>
      <c r="ATZ257" s="900"/>
      <c r="AUA257" s="900"/>
      <c r="AUB257" s="900"/>
      <c r="AUC257" s="900"/>
      <c r="AUD257" s="900"/>
      <c r="AUE257" s="900"/>
      <c r="AUF257" s="900"/>
      <c r="AUG257" s="900"/>
      <c r="AUH257" s="900"/>
      <c r="AUI257" s="900"/>
      <c r="AUJ257" s="900"/>
      <c r="AUK257" s="900"/>
      <c r="AUL257" s="900"/>
      <c r="AUM257" s="900"/>
      <c r="AUN257" s="900"/>
      <c r="AUO257" s="900"/>
      <c r="AUP257" s="900"/>
      <c r="AUQ257" s="900"/>
      <c r="AUR257" s="900"/>
      <c r="AUS257" s="900"/>
      <c r="AUT257" s="900"/>
      <c r="AUU257" s="900"/>
      <c r="AUV257" s="900"/>
      <c r="AUW257" s="900"/>
      <c r="AUX257" s="900"/>
      <c r="AUY257" s="900"/>
      <c r="AUZ257" s="900"/>
      <c r="AVA257" s="900"/>
      <c r="AVB257" s="900"/>
      <c r="AVC257" s="900"/>
      <c r="AVD257" s="900"/>
      <c r="AVE257" s="900"/>
      <c r="AVF257" s="900"/>
      <c r="AVG257" s="900"/>
      <c r="AVH257" s="900"/>
      <c r="AVI257" s="900"/>
      <c r="AVJ257" s="900"/>
      <c r="AVK257" s="900"/>
      <c r="AVL257" s="900"/>
      <c r="AVM257" s="900"/>
      <c r="AVN257" s="900"/>
      <c r="AVO257" s="900"/>
      <c r="AVP257" s="900"/>
      <c r="AVQ257" s="900"/>
      <c r="AVR257" s="900"/>
      <c r="AVS257" s="900"/>
      <c r="AVT257" s="900"/>
      <c r="AVU257" s="900"/>
      <c r="AVV257" s="900"/>
      <c r="AVW257" s="900"/>
      <c r="AVX257" s="900"/>
      <c r="AVY257" s="900"/>
      <c r="AVZ257" s="900"/>
      <c r="AWA257" s="900"/>
      <c r="AWB257" s="900"/>
      <c r="AWC257" s="900"/>
      <c r="AWD257" s="900"/>
      <c r="AWE257" s="900"/>
      <c r="AWF257" s="900"/>
      <c r="AWG257" s="900"/>
      <c r="AWH257" s="900"/>
      <c r="AWI257" s="900"/>
      <c r="AWJ257" s="900"/>
      <c r="AWK257" s="900"/>
      <c r="AWL257" s="900"/>
      <c r="AWM257" s="900"/>
      <c r="AWN257" s="900"/>
      <c r="AWO257" s="900"/>
      <c r="AWP257" s="900"/>
      <c r="AWQ257" s="900"/>
      <c r="AWR257" s="900"/>
      <c r="AWS257" s="900"/>
      <c r="AWT257" s="900"/>
      <c r="AWU257" s="900"/>
      <c r="AWV257" s="900"/>
      <c r="AWW257" s="900"/>
      <c r="AWX257" s="900"/>
      <c r="AWY257" s="900"/>
      <c r="AWZ257" s="900"/>
      <c r="AXA257" s="900"/>
      <c r="AXB257" s="900"/>
      <c r="AXC257" s="900"/>
      <c r="AXD257" s="900"/>
      <c r="AXE257" s="900"/>
      <c r="AXF257" s="900"/>
      <c r="AXG257" s="900"/>
      <c r="AXH257" s="900"/>
      <c r="AXI257" s="900"/>
      <c r="AXJ257" s="900"/>
      <c r="AXK257" s="900"/>
      <c r="AXL257" s="900"/>
      <c r="AXM257" s="900"/>
      <c r="AXN257" s="900"/>
      <c r="AXO257" s="900"/>
      <c r="AXP257" s="900"/>
      <c r="AXQ257" s="900"/>
      <c r="AXR257" s="900"/>
      <c r="AXS257" s="900"/>
      <c r="AXT257" s="900"/>
      <c r="AXU257" s="900"/>
      <c r="AXV257" s="900"/>
      <c r="AXW257" s="900"/>
      <c r="AXX257" s="900"/>
      <c r="AXY257" s="900"/>
      <c r="AXZ257" s="900"/>
      <c r="AYA257" s="900"/>
      <c r="AYB257" s="900"/>
      <c r="AYC257" s="900"/>
      <c r="AYD257" s="900"/>
      <c r="AYE257" s="900"/>
      <c r="AYF257" s="900"/>
      <c r="AYG257" s="900"/>
      <c r="AYH257" s="900"/>
      <c r="AYI257" s="900"/>
      <c r="AYJ257" s="900"/>
      <c r="AYK257" s="900"/>
      <c r="AYL257" s="900"/>
      <c r="AYM257" s="900"/>
      <c r="AYN257" s="900"/>
      <c r="AYO257" s="900"/>
      <c r="AYP257" s="900"/>
      <c r="AYQ257" s="900"/>
      <c r="AYR257" s="900"/>
      <c r="AYS257" s="900"/>
      <c r="AYT257" s="900"/>
      <c r="AYU257" s="900"/>
      <c r="AYV257" s="900"/>
      <c r="AYW257" s="900"/>
      <c r="AYX257" s="900"/>
      <c r="AYY257" s="900"/>
      <c r="AYZ257" s="900"/>
      <c r="AZA257" s="900"/>
      <c r="AZB257" s="900"/>
      <c r="AZC257" s="900"/>
      <c r="AZD257" s="900"/>
      <c r="AZE257" s="900"/>
      <c r="AZF257" s="900"/>
      <c r="AZG257" s="900"/>
      <c r="AZH257" s="900"/>
      <c r="AZI257" s="900"/>
      <c r="AZJ257" s="900"/>
      <c r="AZK257" s="900"/>
      <c r="AZL257" s="900"/>
      <c r="AZM257" s="900"/>
      <c r="AZN257" s="900"/>
      <c r="AZO257" s="900"/>
      <c r="AZP257" s="900"/>
      <c r="AZQ257" s="900"/>
      <c r="AZR257" s="900"/>
      <c r="AZS257" s="900"/>
      <c r="AZT257" s="900"/>
      <c r="AZU257" s="900"/>
      <c r="AZV257" s="900"/>
      <c r="AZW257" s="900"/>
      <c r="AZX257" s="900"/>
      <c r="AZY257" s="900"/>
      <c r="AZZ257" s="900"/>
      <c r="BAA257" s="900"/>
      <c r="BAB257" s="900"/>
      <c r="BAC257" s="900"/>
      <c r="BAD257" s="900"/>
      <c r="BAE257" s="900"/>
      <c r="BAF257" s="900"/>
      <c r="BAG257" s="900"/>
      <c r="BAH257" s="900"/>
      <c r="BAI257" s="900"/>
      <c r="BAJ257" s="900"/>
      <c r="BAK257" s="900"/>
      <c r="BAL257" s="900"/>
      <c r="BAM257" s="900"/>
      <c r="BAN257" s="900"/>
      <c r="BAO257" s="900"/>
      <c r="BAP257" s="900"/>
      <c r="BAQ257" s="900"/>
      <c r="BAR257" s="900"/>
      <c r="BAS257" s="900"/>
      <c r="BAT257" s="900"/>
      <c r="BAU257" s="900"/>
      <c r="BAV257" s="900"/>
      <c r="BAW257" s="900"/>
      <c r="BAX257" s="900"/>
      <c r="BAY257" s="900"/>
      <c r="BAZ257" s="900"/>
      <c r="BBA257" s="900"/>
      <c r="BBB257" s="900"/>
      <c r="BBC257" s="900"/>
      <c r="BBD257" s="900"/>
      <c r="BBE257" s="900"/>
      <c r="BBF257" s="900"/>
      <c r="BBG257" s="900"/>
      <c r="BBH257" s="900"/>
      <c r="BBI257" s="900"/>
      <c r="BBJ257" s="900"/>
      <c r="BBK257" s="900"/>
      <c r="BBL257" s="900"/>
      <c r="BBM257" s="900"/>
      <c r="BBN257" s="900"/>
      <c r="BBO257" s="900"/>
      <c r="BBP257" s="900"/>
      <c r="BBQ257" s="900"/>
      <c r="BBR257" s="900"/>
      <c r="BBS257" s="900"/>
      <c r="BBT257" s="900"/>
      <c r="BBU257" s="900"/>
      <c r="BBV257" s="900"/>
      <c r="BBW257" s="900"/>
      <c r="BBX257" s="900"/>
      <c r="BBY257" s="900"/>
      <c r="BBZ257" s="900"/>
      <c r="BCA257" s="900"/>
      <c r="BCB257" s="900"/>
      <c r="BCC257" s="900"/>
      <c r="BCD257" s="900"/>
      <c r="BCE257" s="900"/>
      <c r="BCF257" s="900"/>
      <c r="BCG257" s="900"/>
      <c r="BCH257" s="900"/>
      <c r="BCI257" s="900"/>
      <c r="BCJ257" s="900"/>
      <c r="BCK257" s="900"/>
      <c r="BCL257" s="900"/>
      <c r="BCM257" s="900"/>
      <c r="BCN257" s="900"/>
      <c r="BCO257" s="900"/>
      <c r="BCP257" s="900"/>
      <c r="BCQ257" s="900"/>
      <c r="BCR257" s="900"/>
      <c r="BCS257" s="900"/>
      <c r="BCT257" s="900"/>
      <c r="BCU257" s="900"/>
      <c r="BCV257" s="900"/>
      <c r="BCW257" s="900"/>
      <c r="BCX257" s="900"/>
      <c r="BCY257" s="900"/>
      <c r="BCZ257" s="900"/>
      <c r="BDA257" s="900"/>
      <c r="BDB257" s="900"/>
      <c r="BDC257" s="900"/>
      <c r="BDD257" s="900"/>
      <c r="BDE257" s="900"/>
      <c r="BDF257" s="900"/>
      <c r="BDG257" s="900"/>
      <c r="BDH257" s="900"/>
      <c r="BDI257" s="900"/>
      <c r="BDJ257" s="900"/>
      <c r="BDK257" s="900"/>
      <c r="BDL257" s="900"/>
      <c r="BDM257" s="900"/>
      <c r="BDN257" s="900"/>
      <c r="BDO257" s="900"/>
      <c r="BDP257" s="900"/>
      <c r="BDQ257" s="900"/>
      <c r="BDR257" s="900"/>
      <c r="BDS257" s="900"/>
      <c r="BDT257" s="900"/>
      <c r="BDU257" s="900"/>
      <c r="BDV257" s="900"/>
      <c r="BDW257" s="900"/>
      <c r="BDX257" s="900"/>
      <c r="BDY257" s="900"/>
      <c r="BDZ257" s="900"/>
      <c r="BEA257" s="900"/>
      <c r="BEB257" s="900"/>
      <c r="BEC257" s="900"/>
      <c r="BED257" s="900"/>
      <c r="BEE257" s="900"/>
      <c r="BEF257" s="900"/>
      <c r="BEG257" s="900"/>
      <c r="BEH257" s="900"/>
      <c r="BEI257" s="900"/>
      <c r="BEJ257" s="900"/>
      <c r="BEK257" s="900"/>
      <c r="BEL257" s="900"/>
      <c r="BEM257" s="900"/>
      <c r="BEN257" s="900"/>
      <c r="BEO257" s="900"/>
      <c r="BEP257" s="900"/>
      <c r="BEQ257" s="900"/>
      <c r="BER257" s="900"/>
      <c r="BES257" s="900"/>
      <c r="BET257" s="900"/>
      <c r="BEU257" s="900"/>
      <c r="BEV257" s="900"/>
      <c r="BEW257" s="900"/>
      <c r="BEX257" s="900"/>
      <c r="BEY257" s="900"/>
      <c r="BEZ257" s="900"/>
      <c r="BFA257" s="900"/>
      <c r="BFB257" s="900"/>
      <c r="BFC257" s="900"/>
      <c r="BFD257" s="900"/>
      <c r="BFE257" s="900"/>
      <c r="BFF257" s="900"/>
      <c r="BFG257" s="900"/>
      <c r="BFH257" s="900"/>
      <c r="BFI257" s="900"/>
      <c r="BFJ257" s="900"/>
      <c r="BFK257" s="900"/>
      <c r="BFL257" s="900"/>
      <c r="BFM257" s="900"/>
      <c r="BFN257" s="900"/>
      <c r="BFO257" s="900"/>
      <c r="BFP257" s="900"/>
      <c r="BFQ257" s="900"/>
      <c r="BFR257" s="900"/>
      <c r="BFS257" s="900"/>
      <c r="BFT257" s="900"/>
      <c r="BFU257" s="900"/>
      <c r="BFV257" s="900"/>
      <c r="BFW257" s="900"/>
      <c r="BFX257" s="900"/>
      <c r="BFY257" s="900"/>
      <c r="BFZ257" s="900"/>
      <c r="BGA257" s="900"/>
      <c r="BGB257" s="900"/>
      <c r="BGC257" s="900"/>
      <c r="BGD257" s="900"/>
      <c r="BGE257" s="900"/>
      <c r="BGF257" s="900"/>
      <c r="BGG257" s="900"/>
      <c r="BGH257" s="900"/>
      <c r="BGI257" s="900"/>
      <c r="BGJ257" s="900"/>
      <c r="BGK257" s="900"/>
      <c r="BGL257" s="900"/>
      <c r="BGM257" s="900"/>
      <c r="BGN257" s="900"/>
      <c r="BGO257" s="900"/>
      <c r="BGP257" s="900"/>
      <c r="BGQ257" s="900"/>
      <c r="BGR257" s="900"/>
      <c r="BGS257" s="900"/>
      <c r="BGT257" s="900"/>
      <c r="BGU257" s="900"/>
      <c r="BGV257" s="900"/>
      <c r="BGW257" s="900"/>
      <c r="BGX257" s="900"/>
      <c r="BGY257" s="900"/>
      <c r="BGZ257" s="900"/>
      <c r="BHA257" s="900"/>
      <c r="BHB257" s="900"/>
      <c r="BHC257" s="900"/>
      <c r="BHD257" s="900"/>
      <c r="BHE257" s="900"/>
      <c r="BHF257" s="900"/>
      <c r="BHG257" s="900"/>
      <c r="BHH257" s="900"/>
      <c r="BHI257" s="900"/>
      <c r="BHJ257" s="900"/>
      <c r="BHK257" s="900"/>
      <c r="BHL257" s="900"/>
      <c r="BHM257" s="900"/>
      <c r="BHN257" s="900"/>
      <c r="BHO257" s="900"/>
      <c r="BHP257" s="900"/>
      <c r="BHQ257" s="900"/>
      <c r="BHR257" s="900"/>
      <c r="BHS257" s="900"/>
      <c r="BHT257" s="900"/>
      <c r="BHU257" s="900"/>
      <c r="BHV257" s="900"/>
      <c r="BHW257" s="900"/>
      <c r="BHX257" s="900"/>
      <c r="BHY257" s="900"/>
      <c r="BHZ257" s="900"/>
      <c r="BIA257" s="900"/>
      <c r="BIB257" s="900"/>
      <c r="BIC257" s="900"/>
      <c r="BID257" s="900"/>
      <c r="BIE257" s="900"/>
      <c r="BIF257" s="900"/>
      <c r="BIG257" s="900"/>
      <c r="BIH257" s="900"/>
      <c r="BII257" s="900"/>
      <c r="BIJ257" s="900"/>
      <c r="BIK257" s="900"/>
      <c r="BIL257" s="900"/>
      <c r="BIM257" s="900"/>
      <c r="BIN257" s="900"/>
      <c r="BIO257" s="900"/>
      <c r="BIP257" s="900"/>
      <c r="BIQ257" s="900"/>
      <c r="BIR257" s="900"/>
      <c r="BIS257" s="900"/>
      <c r="BIT257" s="900"/>
      <c r="BIU257" s="900"/>
      <c r="BIV257" s="900"/>
      <c r="BIW257" s="900"/>
      <c r="BIX257" s="900"/>
      <c r="BIY257" s="900"/>
      <c r="BIZ257" s="900"/>
      <c r="BJA257" s="900"/>
      <c r="BJB257" s="900"/>
      <c r="BJC257" s="900"/>
      <c r="BJD257" s="900"/>
      <c r="BJE257" s="900"/>
      <c r="BJF257" s="900"/>
      <c r="BJG257" s="900"/>
      <c r="BJH257" s="900"/>
      <c r="BJI257" s="900"/>
      <c r="BJJ257" s="900"/>
      <c r="BJK257" s="900"/>
      <c r="BJL257" s="900"/>
      <c r="BJM257" s="900"/>
      <c r="BJN257" s="900"/>
      <c r="BJO257" s="900"/>
      <c r="BJP257" s="900"/>
      <c r="BJQ257" s="900"/>
      <c r="BJR257" s="900"/>
      <c r="BJS257" s="900"/>
      <c r="BJT257" s="900"/>
      <c r="BJU257" s="900"/>
      <c r="BJV257" s="900"/>
      <c r="BJW257" s="900"/>
      <c r="BJX257" s="900"/>
      <c r="BJY257" s="900"/>
      <c r="BJZ257" s="900"/>
      <c r="BKA257" s="900"/>
      <c r="BKB257" s="900"/>
      <c r="BKC257" s="900"/>
      <c r="BKD257" s="900"/>
      <c r="BKE257" s="900"/>
      <c r="BKF257" s="900"/>
      <c r="BKG257" s="900"/>
      <c r="BKH257" s="900"/>
      <c r="BKI257" s="900"/>
      <c r="BKJ257" s="900"/>
      <c r="BKK257" s="900"/>
      <c r="BKL257" s="900"/>
      <c r="BKM257" s="900"/>
      <c r="BKN257" s="900"/>
      <c r="BKO257" s="900"/>
      <c r="BKP257" s="900"/>
      <c r="BKQ257" s="900"/>
      <c r="BKR257" s="900"/>
      <c r="BKS257" s="900"/>
      <c r="BKT257" s="900"/>
      <c r="BKU257" s="900"/>
      <c r="BKV257" s="900"/>
      <c r="BKW257" s="900"/>
      <c r="BKX257" s="900"/>
      <c r="BKY257" s="900"/>
      <c r="BKZ257" s="900"/>
      <c r="BLA257" s="900"/>
      <c r="BLB257" s="900"/>
      <c r="BLC257" s="900"/>
      <c r="BLD257" s="900"/>
      <c r="BLE257" s="900"/>
      <c r="BLF257" s="900"/>
      <c r="BLG257" s="900"/>
      <c r="BLH257" s="900"/>
      <c r="BLI257" s="900"/>
      <c r="BLJ257" s="900"/>
      <c r="BLK257" s="900"/>
      <c r="BLL257" s="900"/>
      <c r="BLM257" s="900"/>
      <c r="BLN257" s="900"/>
      <c r="BLO257" s="900"/>
      <c r="BLP257" s="900"/>
      <c r="BLQ257" s="900"/>
      <c r="BLR257" s="900"/>
      <c r="BLS257" s="900"/>
      <c r="BLT257" s="900"/>
      <c r="BLU257" s="900"/>
      <c r="BLV257" s="900"/>
      <c r="BLW257" s="900"/>
      <c r="BLX257" s="900"/>
      <c r="BLY257" s="900"/>
      <c r="BLZ257" s="900"/>
      <c r="BMA257" s="900"/>
      <c r="BMB257" s="900"/>
      <c r="BMC257" s="900"/>
      <c r="BMD257" s="900"/>
      <c r="BME257" s="900"/>
      <c r="BMF257" s="900"/>
      <c r="BMG257" s="900"/>
      <c r="BMH257" s="900"/>
      <c r="BMI257" s="900"/>
      <c r="BMJ257" s="900"/>
      <c r="BMK257" s="900"/>
      <c r="BML257" s="900"/>
      <c r="BMM257" s="900"/>
      <c r="BMN257" s="900"/>
      <c r="BMO257" s="900"/>
      <c r="BMP257" s="900"/>
      <c r="BMQ257" s="900"/>
      <c r="BMR257" s="900"/>
      <c r="BMS257" s="900"/>
      <c r="BMT257" s="900"/>
      <c r="BMU257" s="900"/>
      <c r="BMV257" s="900"/>
      <c r="BMW257" s="900"/>
      <c r="BMX257" s="900"/>
      <c r="BMY257" s="900"/>
      <c r="BMZ257" s="900"/>
      <c r="BNA257" s="900"/>
      <c r="BNB257" s="900"/>
      <c r="BNC257" s="900"/>
      <c r="BND257" s="900"/>
      <c r="BNE257" s="900"/>
      <c r="BNF257" s="900"/>
      <c r="BNG257" s="900"/>
      <c r="BNH257" s="900"/>
      <c r="BNI257" s="900"/>
      <c r="BNJ257" s="900"/>
      <c r="BNK257" s="900"/>
      <c r="BNL257" s="900"/>
      <c r="BNM257" s="900"/>
      <c r="BNN257" s="900"/>
      <c r="BNO257" s="900"/>
      <c r="BNP257" s="900"/>
      <c r="BNQ257" s="900"/>
      <c r="BNR257" s="900"/>
      <c r="BNS257" s="900"/>
      <c r="BNT257" s="900"/>
      <c r="BNU257" s="900"/>
      <c r="BNV257" s="900"/>
      <c r="BNW257" s="900"/>
      <c r="BNX257" s="900"/>
      <c r="BNY257" s="900"/>
      <c r="BNZ257" s="900"/>
      <c r="BOA257" s="900"/>
      <c r="BOB257" s="900"/>
      <c r="BOC257" s="900"/>
      <c r="BOD257" s="900"/>
      <c r="BOE257" s="900"/>
      <c r="BOF257" s="900"/>
      <c r="BOG257" s="900"/>
      <c r="BOH257" s="900"/>
      <c r="BOI257" s="900"/>
      <c r="BOJ257" s="900"/>
      <c r="BOK257" s="900"/>
      <c r="BOL257" s="900"/>
      <c r="BOM257" s="900"/>
      <c r="BON257" s="900"/>
      <c r="BOO257" s="900"/>
      <c r="BOP257" s="900"/>
      <c r="BOQ257" s="900"/>
      <c r="BOR257" s="900"/>
      <c r="BOS257" s="900"/>
      <c r="BOT257" s="900"/>
      <c r="BOU257" s="900"/>
      <c r="BOV257" s="900"/>
      <c r="BOW257" s="900"/>
      <c r="BOX257" s="900"/>
      <c r="BOY257" s="900"/>
      <c r="BOZ257" s="900"/>
      <c r="BPA257" s="900"/>
      <c r="BPB257" s="900"/>
      <c r="BPC257" s="900"/>
      <c r="BPD257" s="900"/>
      <c r="BPE257" s="900"/>
      <c r="BPF257" s="900"/>
      <c r="BPG257" s="900"/>
      <c r="BPH257" s="900"/>
      <c r="BPI257" s="900"/>
      <c r="BPJ257" s="900"/>
      <c r="BPK257" s="900"/>
      <c r="BPL257" s="900"/>
      <c r="BPM257" s="900"/>
      <c r="BPN257" s="900"/>
      <c r="BPO257" s="900"/>
      <c r="BPP257" s="900"/>
      <c r="BPQ257" s="900"/>
      <c r="BPR257" s="900"/>
      <c r="BPS257" s="900"/>
      <c r="BPT257" s="900"/>
      <c r="BPU257" s="900"/>
      <c r="BPV257" s="900"/>
      <c r="BPW257" s="900"/>
      <c r="BPX257" s="900"/>
      <c r="BPY257" s="900"/>
      <c r="BPZ257" s="900"/>
      <c r="BQA257" s="900"/>
      <c r="BQB257" s="900"/>
      <c r="BQC257" s="900"/>
      <c r="BQD257" s="900"/>
      <c r="BQE257" s="900"/>
      <c r="BQF257" s="900"/>
      <c r="BQG257" s="900"/>
      <c r="BQH257" s="900"/>
      <c r="BQI257" s="900"/>
      <c r="BQJ257" s="900"/>
      <c r="BQK257" s="900"/>
      <c r="BQL257" s="900"/>
      <c r="BQM257" s="900"/>
      <c r="BQN257" s="900"/>
      <c r="BQO257" s="900"/>
      <c r="BQP257" s="900"/>
      <c r="BQQ257" s="900"/>
      <c r="BQR257" s="900"/>
      <c r="BQS257" s="900"/>
      <c r="BQT257" s="900"/>
      <c r="BQU257" s="900"/>
      <c r="BQV257" s="900"/>
      <c r="BQW257" s="900"/>
      <c r="BQX257" s="900"/>
      <c r="BQY257" s="900"/>
      <c r="BQZ257" s="900"/>
      <c r="BRA257" s="900"/>
      <c r="BRB257" s="900"/>
      <c r="BRC257" s="900"/>
      <c r="BRD257" s="900"/>
      <c r="BRE257" s="900"/>
      <c r="BRF257" s="900"/>
      <c r="BRG257" s="900"/>
      <c r="BRH257" s="900"/>
      <c r="BRI257" s="900"/>
      <c r="BRJ257" s="900"/>
      <c r="BRK257" s="900"/>
      <c r="BRL257" s="900"/>
      <c r="BRM257" s="900"/>
      <c r="BRN257" s="900"/>
      <c r="BRO257" s="900"/>
      <c r="BRP257" s="900"/>
      <c r="BRQ257" s="900"/>
      <c r="BRR257" s="900"/>
      <c r="BRS257" s="900"/>
      <c r="BRT257" s="900"/>
      <c r="BRU257" s="900"/>
      <c r="BRV257" s="900"/>
      <c r="BRW257" s="900"/>
      <c r="BRX257" s="900"/>
      <c r="BRY257" s="900"/>
      <c r="BRZ257" s="900"/>
      <c r="BSA257" s="900"/>
      <c r="BSB257" s="900"/>
      <c r="BSC257" s="900"/>
      <c r="BSD257" s="900"/>
      <c r="BSE257" s="900"/>
      <c r="BSF257" s="900"/>
      <c r="BSG257" s="900"/>
      <c r="BSH257" s="900"/>
      <c r="BSI257" s="900"/>
      <c r="BSJ257" s="900"/>
      <c r="BSK257" s="900"/>
      <c r="BSL257" s="900"/>
      <c r="BSM257" s="900"/>
      <c r="BSN257" s="900"/>
      <c r="BSO257" s="900"/>
      <c r="BSP257" s="900"/>
      <c r="BSQ257" s="900"/>
      <c r="BSR257" s="900"/>
      <c r="BSS257" s="900"/>
      <c r="BST257" s="900"/>
      <c r="BSU257" s="900"/>
      <c r="BSV257" s="900"/>
      <c r="BSW257" s="900"/>
      <c r="BSX257" s="900"/>
      <c r="BSY257" s="900"/>
      <c r="BSZ257" s="900"/>
      <c r="BTA257" s="900"/>
      <c r="BTB257" s="900"/>
      <c r="BTC257" s="900"/>
      <c r="BTD257" s="900"/>
      <c r="BTE257" s="900"/>
      <c r="BTF257" s="900"/>
      <c r="BTG257" s="900"/>
      <c r="BTH257" s="900"/>
      <c r="BTI257" s="900"/>
      <c r="BTJ257" s="900"/>
      <c r="BTK257" s="900"/>
      <c r="BTL257" s="900"/>
      <c r="BTM257" s="900"/>
      <c r="BTN257" s="900"/>
      <c r="BTO257" s="900"/>
      <c r="BTP257" s="900"/>
      <c r="BTQ257" s="900"/>
      <c r="BTR257" s="900"/>
      <c r="BTS257" s="900"/>
      <c r="BTT257" s="900"/>
      <c r="BTU257" s="900"/>
      <c r="BTV257" s="900"/>
      <c r="BTW257" s="900"/>
      <c r="BTX257" s="900"/>
      <c r="BTY257" s="900"/>
      <c r="BTZ257" s="900"/>
      <c r="BUA257" s="900"/>
      <c r="BUB257" s="900"/>
      <c r="BUC257" s="900"/>
      <c r="BUD257" s="900"/>
      <c r="BUE257" s="900"/>
      <c r="BUF257" s="900"/>
      <c r="BUG257" s="900"/>
      <c r="BUH257" s="900"/>
      <c r="BUI257" s="900"/>
      <c r="BUJ257" s="900"/>
      <c r="BUK257" s="900"/>
      <c r="BUL257" s="900"/>
      <c r="BUM257" s="900"/>
      <c r="BUN257" s="900"/>
      <c r="BUO257" s="900"/>
      <c r="BUP257" s="900"/>
      <c r="BUQ257" s="900"/>
      <c r="BUR257" s="900"/>
      <c r="BUS257" s="900"/>
      <c r="BUT257" s="900"/>
      <c r="BUU257" s="900"/>
      <c r="BUV257" s="900"/>
      <c r="BUW257" s="900"/>
      <c r="BUX257" s="900"/>
      <c r="BUY257" s="900"/>
      <c r="BUZ257" s="900"/>
      <c r="BVA257" s="900"/>
      <c r="BVB257" s="900"/>
      <c r="BVC257" s="900"/>
      <c r="BVD257" s="900"/>
      <c r="BVE257" s="900"/>
      <c r="BVF257" s="900"/>
      <c r="BVG257" s="900"/>
      <c r="BVH257" s="900"/>
      <c r="BVI257" s="900"/>
      <c r="BVJ257" s="900"/>
      <c r="BVK257" s="900"/>
      <c r="BVL257" s="900"/>
      <c r="BVM257" s="900"/>
      <c r="BVN257" s="900"/>
      <c r="BVO257" s="900"/>
      <c r="BVP257" s="900"/>
      <c r="BVQ257" s="900"/>
      <c r="BVR257" s="900"/>
      <c r="BVS257" s="900"/>
      <c r="BVT257" s="900"/>
      <c r="BVU257" s="900"/>
      <c r="BVV257" s="900"/>
      <c r="BVW257" s="900"/>
      <c r="BVX257" s="900"/>
      <c r="BVY257" s="900"/>
      <c r="BVZ257" s="900"/>
      <c r="BWA257" s="900"/>
      <c r="BWB257" s="900"/>
      <c r="BWC257" s="900"/>
      <c r="BWD257" s="900"/>
      <c r="BWE257" s="900"/>
      <c r="BWF257" s="900"/>
      <c r="BWG257" s="900"/>
      <c r="BWH257" s="900"/>
      <c r="BWI257" s="900"/>
      <c r="BWJ257" s="900"/>
      <c r="BWK257" s="900"/>
      <c r="BWL257" s="900"/>
      <c r="BWM257" s="900"/>
      <c r="BWN257" s="900"/>
      <c r="BWO257" s="900"/>
      <c r="BWP257" s="900"/>
      <c r="BWQ257" s="900"/>
      <c r="BWR257" s="900"/>
      <c r="BWS257" s="900"/>
      <c r="BWT257" s="900"/>
      <c r="BWU257" s="900"/>
      <c r="BWV257" s="900"/>
      <c r="BWW257" s="900"/>
      <c r="BWX257" s="900"/>
      <c r="BWY257" s="900"/>
      <c r="BWZ257" s="900"/>
      <c r="BXA257" s="900"/>
      <c r="BXB257" s="900"/>
      <c r="BXC257" s="900"/>
      <c r="BXD257" s="900"/>
      <c r="BXE257" s="900"/>
      <c r="BXF257" s="900"/>
      <c r="BXG257" s="900"/>
      <c r="BXH257" s="900"/>
      <c r="BXI257" s="900"/>
      <c r="BXJ257" s="900"/>
      <c r="BXK257" s="900"/>
      <c r="BXL257" s="900"/>
      <c r="BXM257" s="900"/>
      <c r="BXN257" s="900"/>
      <c r="BXO257" s="900"/>
      <c r="BXP257" s="900"/>
      <c r="BXQ257" s="900"/>
      <c r="BXR257" s="900"/>
      <c r="BXS257" s="900"/>
      <c r="BXT257" s="900"/>
      <c r="BXU257" s="900"/>
      <c r="BXV257" s="900"/>
      <c r="BXW257" s="900"/>
      <c r="BXX257" s="900"/>
      <c r="BXY257" s="900"/>
      <c r="BXZ257" s="900"/>
      <c r="BYA257" s="900"/>
      <c r="BYB257" s="900"/>
      <c r="BYC257" s="900"/>
      <c r="BYD257" s="900"/>
      <c r="BYE257" s="900"/>
      <c r="BYF257" s="900"/>
      <c r="BYG257" s="900"/>
      <c r="BYH257" s="900"/>
      <c r="BYI257" s="900"/>
      <c r="BYJ257" s="900"/>
      <c r="BYK257" s="900"/>
      <c r="BYL257" s="900"/>
      <c r="BYM257" s="900"/>
      <c r="BYN257" s="900"/>
      <c r="BYO257" s="900"/>
      <c r="BYP257" s="900"/>
      <c r="BYQ257" s="900"/>
      <c r="BYR257" s="900"/>
      <c r="BYS257" s="900"/>
      <c r="BYT257" s="900"/>
      <c r="BYU257" s="900"/>
      <c r="BYV257" s="900"/>
      <c r="BYW257" s="900"/>
      <c r="BYX257" s="900"/>
      <c r="BYY257" s="900"/>
      <c r="BYZ257" s="900"/>
      <c r="BZA257" s="900"/>
      <c r="BZB257" s="900"/>
      <c r="BZC257" s="900"/>
      <c r="BZD257" s="900"/>
      <c r="BZE257" s="900"/>
      <c r="BZF257" s="900"/>
      <c r="BZG257" s="900"/>
      <c r="BZH257" s="900"/>
      <c r="BZI257" s="900"/>
      <c r="BZJ257" s="900"/>
      <c r="BZK257" s="900"/>
      <c r="BZL257" s="900"/>
      <c r="BZM257" s="900"/>
      <c r="BZN257" s="900"/>
      <c r="BZO257" s="900"/>
      <c r="BZP257" s="900"/>
      <c r="BZQ257" s="900"/>
      <c r="BZR257" s="900"/>
      <c r="BZS257" s="900"/>
      <c r="BZT257" s="900"/>
      <c r="BZU257" s="900"/>
      <c r="BZV257" s="900"/>
      <c r="BZW257" s="900"/>
      <c r="BZX257" s="900"/>
      <c r="BZY257" s="900"/>
      <c r="BZZ257" s="900"/>
      <c r="CAA257" s="900"/>
      <c r="CAB257" s="900"/>
      <c r="CAC257" s="900"/>
      <c r="CAD257" s="900"/>
      <c r="CAE257" s="900"/>
      <c r="CAF257" s="900"/>
      <c r="CAG257" s="900"/>
      <c r="CAH257" s="900"/>
      <c r="CAI257" s="900"/>
      <c r="CAJ257" s="900"/>
      <c r="CAK257" s="900"/>
      <c r="CAL257" s="900"/>
      <c r="CAM257" s="900"/>
      <c r="CAN257" s="900"/>
      <c r="CAO257" s="900"/>
      <c r="CAP257" s="900"/>
      <c r="CAQ257" s="900"/>
      <c r="CAR257" s="900"/>
      <c r="CAS257" s="900"/>
      <c r="CAT257" s="900"/>
      <c r="CAU257" s="900"/>
      <c r="CAV257" s="900"/>
      <c r="CAW257" s="900"/>
      <c r="CAX257" s="900"/>
      <c r="CAY257" s="900"/>
      <c r="CAZ257" s="900"/>
      <c r="CBA257" s="900"/>
      <c r="CBB257" s="900"/>
      <c r="CBC257" s="900"/>
      <c r="CBD257" s="900"/>
      <c r="CBE257" s="900"/>
      <c r="CBF257" s="900"/>
      <c r="CBG257" s="900"/>
      <c r="CBH257" s="900"/>
      <c r="CBI257" s="900"/>
      <c r="CBJ257" s="900"/>
      <c r="CBK257" s="900"/>
      <c r="CBL257" s="900"/>
      <c r="CBM257" s="900"/>
      <c r="CBN257" s="900"/>
      <c r="CBO257" s="900"/>
      <c r="CBP257" s="900"/>
      <c r="CBQ257" s="900"/>
      <c r="CBR257" s="900"/>
      <c r="CBS257" s="900"/>
      <c r="CBT257" s="900"/>
      <c r="CBU257" s="900"/>
      <c r="CBV257" s="900"/>
      <c r="CBW257" s="900"/>
      <c r="CBX257" s="900"/>
      <c r="CBY257" s="900"/>
      <c r="CBZ257" s="900"/>
      <c r="CCA257" s="900"/>
      <c r="CCB257" s="900"/>
      <c r="CCC257" s="900"/>
      <c r="CCD257" s="900"/>
      <c r="CCE257" s="900"/>
      <c r="CCF257" s="900"/>
      <c r="CCG257" s="900"/>
      <c r="CCH257" s="900"/>
      <c r="CCI257" s="900"/>
      <c r="CCJ257" s="900"/>
      <c r="CCK257" s="900"/>
      <c r="CCL257" s="900"/>
      <c r="CCM257" s="900"/>
      <c r="CCN257" s="900"/>
      <c r="CCO257" s="900"/>
      <c r="CCP257" s="900"/>
      <c r="CCQ257" s="900"/>
      <c r="CCR257" s="900"/>
      <c r="CCS257" s="900"/>
      <c r="CCT257" s="900"/>
      <c r="CCU257" s="900"/>
      <c r="CCV257" s="900"/>
      <c r="CCW257" s="900"/>
      <c r="CCX257" s="900"/>
      <c r="CCY257" s="900"/>
      <c r="CCZ257" s="900"/>
      <c r="CDA257" s="900"/>
      <c r="CDB257" s="900"/>
      <c r="CDC257" s="900"/>
      <c r="CDD257" s="900"/>
      <c r="CDE257" s="900"/>
      <c r="CDF257" s="900"/>
      <c r="CDG257" s="900"/>
      <c r="CDH257" s="900"/>
      <c r="CDI257" s="900"/>
      <c r="CDJ257" s="900"/>
      <c r="CDK257" s="900"/>
      <c r="CDL257" s="900"/>
      <c r="CDM257" s="900"/>
      <c r="CDN257" s="900"/>
      <c r="CDO257" s="900"/>
      <c r="CDP257" s="900"/>
      <c r="CDQ257" s="900"/>
      <c r="CDR257" s="900"/>
      <c r="CDS257" s="900"/>
      <c r="CDT257" s="900"/>
      <c r="CDU257" s="900"/>
      <c r="CDV257" s="900"/>
      <c r="CDW257" s="900"/>
      <c r="CDX257" s="900"/>
      <c r="CDY257" s="900"/>
      <c r="CDZ257" s="900"/>
      <c r="CEA257" s="900"/>
      <c r="CEB257" s="900"/>
      <c r="CEC257" s="900"/>
      <c r="CED257" s="900"/>
      <c r="CEE257" s="900"/>
      <c r="CEF257" s="900"/>
      <c r="CEG257" s="900"/>
      <c r="CEH257" s="900"/>
      <c r="CEI257" s="900"/>
      <c r="CEJ257" s="900"/>
      <c r="CEK257" s="900"/>
    </row>
    <row r="258" spans="1:2169" ht="13.8" thickTop="1">
      <c r="A258" s="75"/>
      <c r="B258" s="75"/>
      <c r="Q258" s="75"/>
      <c r="R258" s="75"/>
      <c r="S258" s="75"/>
      <c r="T258" s="171"/>
      <c r="U258" s="171"/>
      <c r="V258" s="171"/>
      <c r="W258" s="730"/>
      <c r="X258" s="719"/>
      <c r="Y258" s="75"/>
      <c r="Z258" s="75"/>
      <c r="AA258" s="352"/>
      <c r="AB258" s="62"/>
      <c r="AC258" s="62"/>
      <c r="AD258" s="62"/>
      <c r="AP258" s="88"/>
      <c r="AQ258" s="88"/>
      <c r="AR258" s="88"/>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01"/>
    </row>
    <row r="259" spans="1:2169">
      <c r="AA259" s="350"/>
      <c r="AB259" s="62"/>
      <c r="AC259" s="62"/>
      <c r="AD259" s="62"/>
      <c r="AP259" s="88"/>
      <c r="AQ259" s="88"/>
      <c r="AR259" s="88"/>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01"/>
    </row>
    <row r="260" spans="1:2169">
      <c r="AA260" s="350"/>
      <c r="AB260" s="62"/>
      <c r="AC260" s="62"/>
      <c r="AD260" s="62"/>
      <c r="AP260" s="88"/>
      <c r="AQ260" s="88"/>
      <c r="AR260" s="88"/>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01"/>
    </row>
    <row r="261" spans="1:2169">
      <c r="AA261" s="350"/>
      <c r="AB261" s="62"/>
      <c r="AC261" s="62"/>
      <c r="AD261" s="62"/>
      <c r="AP261" s="88"/>
      <c r="AQ261" s="88"/>
      <c r="AR261" s="88"/>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01"/>
    </row>
    <row r="262" spans="1:2169">
      <c r="AA262" s="350"/>
      <c r="AB262" s="62"/>
      <c r="AC262" s="62"/>
      <c r="AD262" s="62"/>
      <c r="AP262" s="88"/>
      <c r="AQ262" s="88"/>
      <c r="AR262" s="88"/>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01"/>
    </row>
    <row r="263" spans="1:2169">
      <c r="AA263" s="350"/>
      <c r="AB263" s="62"/>
      <c r="AC263" s="62"/>
      <c r="AD263" s="62"/>
      <c r="AP263" s="88"/>
      <c r="AQ263" s="88"/>
      <c r="AR263" s="88"/>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01"/>
    </row>
    <row r="264" spans="1:2169">
      <c r="AA264" s="350"/>
      <c r="AB264" s="62"/>
      <c r="AC264" s="62"/>
      <c r="AD264" s="62"/>
      <c r="AP264" s="88"/>
      <c r="AQ264" s="88"/>
      <c r="AR264" s="88"/>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01"/>
    </row>
    <row r="265" spans="1:2169">
      <c r="AA265" s="350"/>
      <c r="AB265" s="62"/>
      <c r="AC265" s="62"/>
      <c r="AD265" s="62"/>
      <c r="AP265" s="88"/>
      <c r="AQ265" s="88"/>
      <c r="AR265" s="88"/>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01"/>
    </row>
    <row r="266" spans="1:2169">
      <c r="AA266" s="350"/>
      <c r="AB266" s="62"/>
      <c r="AC266" s="62"/>
      <c r="AD266" s="62"/>
      <c r="AP266" s="88"/>
      <c r="AQ266" s="88"/>
      <c r="AR266" s="88"/>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01"/>
    </row>
    <row r="267" spans="1:2169">
      <c r="AA267" s="350"/>
      <c r="AB267" s="62"/>
      <c r="AC267" s="62"/>
      <c r="AD267" s="62"/>
      <c r="AP267" s="88"/>
      <c r="AQ267" s="88"/>
      <c r="AR267" s="88"/>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01"/>
    </row>
    <row r="268" spans="1:2169">
      <c r="AA268" s="350"/>
      <c r="AB268" s="62"/>
      <c r="AC268" s="62"/>
      <c r="AD268" s="62"/>
      <c r="AP268" s="88"/>
      <c r="AQ268" s="88"/>
      <c r="AR268" s="88"/>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01"/>
    </row>
    <row r="269" spans="1:2169">
      <c r="AA269" s="350"/>
      <c r="AB269" s="62"/>
      <c r="AC269" s="62"/>
      <c r="AD269" s="62"/>
      <c r="AP269" s="88"/>
      <c r="AQ269" s="88"/>
      <c r="AR269" s="88"/>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01"/>
    </row>
    <row r="270" spans="1:2169">
      <c r="AA270" s="350"/>
      <c r="AB270" s="62"/>
      <c r="AC270" s="62"/>
      <c r="AD270" s="62"/>
      <c r="AP270" s="88"/>
      <c r="AQ270" s="88"/>
      <c r="AR270" s="88"/>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01"/>
    </row>
    <row r="271" spans="1:2169">
      <c r="AA271" s="350"/>
      <c r="AB271" s="62"/>
      <c r="AC271" s="62"/>
      <c r="AD271" s="62"/>
      <c r="AP271" s="88"/>
      <c r="AQ271" s="88"/>
      <c r="AR271" s="88"/>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01"/>
    </row>
    <row r="272" spans="1:2169">
      <c r="AA272" s="350"/>
      <c r="AB272" s="62"/>
      <c r="AC272" s="62"/>
      <c r="AD272" s="62"/>
      <c r="AP272" s="88"/>
      <c r="AQ272" s="88"/>
      <c r="AR272" s="88"/>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01"/>
    </row>
    <row r="273" spans="27:97">
      <c r="AA273" s="350"/>
      <c r="AB273" s="62"/>
      <c r="AC273" s="62"/>
      <c r="AD273" s="62"/>
      <c r="AP273" s="88"/>
      <c r="AQ273" s="88"/>
      <c r="AR273" s="88"/>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01"/>
    </row>
    <row r="274" spans="27:97">
      <c r="AA274" s="350"/>
      <c r="AB274" s="62"/>
      <c r="AC274" s="62"/>
      <c r="AD274" s="62"/>
      <c r="AP274" s="88"/>
      <c r="AQ274" s="88"/>
      <c r="AR274" s="88"/>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01"/>
    </row>
    <row r="275" spans="27:97">
      <c r="AA275" s="350"/>
      <c r="AB275" s="62"/>
      <c r="AC275" s="62"/>
      <c r="AD275" s="62"/>
      <c r="AP275" s="88"/>
      <c r="AQ275" s="88"/>
      <c r="AR275" s="88"/>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01"/>
    </row>
    <row r="276" spans="27:97">
      <c r="AA276" s="350"/>
      <c r="AB276" s="62"/>
      <c r="AC276" s="62"/>
      <c r="AD276" s="62"/>
      <c r="AP276" s="88"/>
      <c r="AQ276" s="88"/>
      <c r="AR276" s="88"/>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01"/>
    </row>
    <row r="277" spans="27:97">
      <c r="AA277" s="350"/>
      <c r="AB277" s="62"/>
      <c r="AC277" s="62"/>
      <c r="AD277" s="62"/>
      <c r="AP277" s="88"/>
      <c r="AQ277" s="88"/>
      <c r="AR277" s="88"/>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01"/>
    </row>
    <row r="278" spans="27:97">
      <c r="AA278" s="350"/>
      <c r="AB278" s="62"/>
      <c r="AC278" s="62"/>
      <c r="AD278" s="62"/>
      <c r="AP278" s="88"/>
      <c r="AQ278" s="88"/>
      <c r="AR278" s="88"/>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01"/>
    </row>
    <row r="279" spans="27:97">
      <c r="AA279" s="350"/>
      <c r="AB279" s="62"/>
      <c r="AC279" s="62"/>
      <c r="AD279" s="62"/>
      <c r="AP279" s="88"/>
      <c r="AQ279" s="88"/>
      <c r="AR279" s="88"/>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01"/>
    </row>
    <row r="280" spans="27:97">
      <c r="AA280" s="350"/>
      <c r="AB280" s="62"/>
      <c r="AC280" s="62"/>
      <c r="AD280" s="62"/>
      <c r="AP280" s="88"/>
      <c r="AQ280" s="88"/>
      <c r="AR280" s="88"/>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01"/>
    </row>
    <row r="281" spans="27:97">
      <c r="AA281" s="350"/>
      <c r="AB281" s="62"/>
      <c r="AC281" s="62"/>
      <c r="AD281" s="62"/>
      <c r="AP281" s="88"/>
      <c r="AQ281" s="88"/>
      <c r="AR281" s="88"/>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01"/>
    </row>
    <row r="282" spans="27:97">
      <c r="AA282" s="350"/>
      <c r="AB282" s="62"/>
      <c r="AC282" s="62"/>
      <c r="AD282" s="62"/>
      <c r="AP282" s="88"/>
      <c r="AQ282" s="88"/>
      <c r="AR282" s="88"/>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01"/>
    </row>
    <row r="283" spans="27:97">
      <c r="AA283" s="350"/>
      <c r="AB283" s="62"/>
      <c r="AC283" s="62"/>
      <c r="AD283" s="62"/>
      <c r="AP283" s="88"/>
      <c r="AQ283" s="88"/>
      <c r="AR283" s="88"/>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01"/>
    </row>
    <row r="284" spans="27:97">
      <c r="AA284" s="350"/>
      <c r="AB284" s="62"/>
      <c r="AC284" s="62"/>
      <c r="AD284" s="62"/>
      <c r="AP284" s="88"/>
      <c r="AQ284" s="88"/>
      <c r="AR284" s="88"/>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01"/>
    </row>
    <row r="285" spans="27:97">
      <c r="AA285" s="350"/>
      <c r="AB285" s="62"/>
      <c r="AC285" s="62"/>
      <c r="AD285" s="62"/>
      <c r="AP285" s="88"/>
      <c r="AQ285" s="88"/>
      <c r="AR285" s="88"/>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01"/>
    </row>
    <row r="286" spans="27:97">
      <c r="AA286" s="350"/>
      <c r="AB286" s="62"/>
      <c r="AC286" s="62"/>
      <c r="AD286" s="62"/>
      <c r="AP286" s="88"/>
      <c r="AQ286" s="88"/>
      <c r="AR286" s="88"/>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01"/>
    </row>
    <row r="287" spans="27:97">
      <c r="AA287" s="350"/>
      <c r="AB287" s="62"/>
      <c r="AC287" s="62"/>
      <c r="AD287" s="62"/>
      <c r="AP287" s="88"/>
      <c r="AQ287" s="88"/>
      <c r="AR287" s="88"/>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01"/>
    </row>
    <row r="288" spans="27:97">
      <c r="AA288" s="350"/>
      <c r="AB288" s="62"/>
      <c r="AC288" s="62"/>
      <c r="AD288" s="62"/>
      <c r="AP288" s="88"/>
      <c r="AQ288" s="88"/>
      <c r="AR288" s="88"/>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01"/>
    </row>
    <row r="289" spans="27:97">
      <c r="AA289" s="350"/>
      <c r="AB289" s="62"/>
      <c r="AC289" s="62"/>
      <c r="AD289" s="62"/>
      <c r="AP289" s="88"/>
      <c r="AQ289" s="88"/>
      <c r="AR289" s="88"/>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01"/>
    </row>
    <row r="290" spans="27:97">
      <c r="AA290" s="350"/>
      <c r="AB290" s="62"/>
      <c r="AC290" s="62"/>
      <c r="AD290" s="62"/>
      <c r="AP290" s="88"/>
      <c r="AQ290" s="88"/>
      <c r="AR290" s="88"/>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01"/>
    </row>
    <row r="291" spans="27:97">
      <c r="AA291" s="350"/>
      <c r="AB291" s="62"/>
      <c r="AC291" s="62"/>
      <c r="AD291" s="62"/>
      <c r="AP291" s="88"/>
      <c r="AQ291" s="88"/>
      <c r="AR291" s="88"/>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01"/>
    </row>
    <row r="292" spans="27:97">
      <c r="AA292" s="350"/>
      <c r="AB292" s="62"/>
      <c r="AC292" s="62"/>
      <c r="AD292" s="62"/>
      <c r="AP292" s="88"/>
      <c r="AQ292" s="88"/>
      <c r="AR292" s="88"/>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01"/>
    </row>
    <row r="293" spans="27:97">
      <c r="AA293" s="350"/>
      <c r="AB293" s="62"/>
      <c r="AC293" s="62"/>
      <c r="AD293" s="62"/>
      <c r="AP293" s="88"/>
      <c r="AQ293" s="88"/>
      <c r="AR293" s="88"/>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01"/>
    </row>
    <row r="294" spans="27:97">
      <c r="AA294" s="350"/>
      <c r="AB294" s="62"/>
      <c r="AC294" s="62"/>
      <c r="AD294" s="62"/>
      <c r="AP294" s="88"/>
      <c r="AQ294" s="88"/>
      <c r="AR294" s="88"/>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01"/>
    </row>
    <row r="295" spans="27:97">
      <c r="AA295" s="350"/>
      <c r="AB295" s="62"/>
      <c r="AC295" s="62"/>
      <c r="AD295" s="62"/>
      <c r="AP295" s="88"/>
      <c r="AQ295" s="88"/>
      <c r="AR295" s="88"/>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01"/>
    </row>
    <row r="296" spans="27:97">
      <c r="AA296" s="350"/>
      <c r="AB296" s="62"/>
      <c r="AC296" s="62"/>
      <c r="AD296" s="62"/>
      <c r="AP296" s="88"/>
      <c r="AQ296" s="88"/>
      <c r="AR296" s="88"/>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01"/>
    </row>
    <row r="297" spans="27:97">
      <c r="AA297" s="350"/>
      <c r="AB297" s="62"/>
      <c r="AC297" s="62"/>
      <c r="AD297" s="62"/>
      <c r="AP297" s="88"/>
      <c r="AQ297" s="88"/>
      <c r="AR297" s="88"/>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01"/>
    </row>
    <row r="298" spans="27:97">
      <c r="AA298" s="350"/>
      <c r="AB298" s="62"/>
      <c r="AC298" s="62"/>
      <c r="AD298" s="62"/>
      <c r="AP298" s="88"/>
      <c r="AQ298" s="88"/>
      <c r="AR298" s="88"/>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01"/>
    </row>
    <row r="299" spans="27:97">
      <c r="AA299" s="350"/>
      <c r="AB299" s="62"/>
      <c r="AC299" s="62"/>
      <c r="AD299" s="62"/>
      <c r="AP299" s="88"/>
      <c r="AQ299" s="88"/>
      <c r="AR299" s="88"/>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01"/>
    </row>
    <row r="300" spans="27:97">
      <c r="AA300" s="350"/>
      <c r="AB300" s="62"/>
      <c r="AC300" s="62"/>
      <c r="AD300" s="62"/>
      <c r="AP300" s="88"/>
      <c r="AQ300" s="88"/>
      <c r="AR300" s="88"/>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01"/>
    </row>
    <row r="301" spans="27:97">
      <c r="AA301" s="350"/>
      <c r="AB301" s="62"/>
      <c r="AC301" s="62"/>
      <c r="AD301" s="62"/>
      <c r="AP301" s="88"/>
      <c r="AQ301" s="88"/>
      <c r="AR301" s="88"/>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01"/>
    </row>
    <row r="302" spans="27:97">
      <c r="AA302" s="350"/>
      <c r="AB302" s="62"/>
      <c r="AC302" s="62"/>
      <c r="AD302" s="62"/>
      <c r="AP302" s="88"/>
      <c r="AQ302" s="88"/>
      <c r="AR302" s="88"/>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01"/>
    </row>
    <row r="303" spans="27:97">
      <c r="AA303" s="350"/>
      <c r="AB303" s="62"/>
      <c r="AC303" s="62"/>
      <c r="AD303" s="62"/>
      <c r="AP303" s="88"/>
      <c r="AQ303" s="88"/>
      <c r="AR303" s="88"/>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01"/>
    </row>
    <row r="304" spans="27:97">
      <c r="AA304" s="350"/>
      <c r="AB304" s="62"/>
      <c r="AC304" s="62"/>
      <c r="AD304" s="62"/>
      <c r="AP304" s="88"/>
      <c r="AQ304" s="88"/>
      <c r="AR304" s="88"/>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01"/>
    </row>
    <row r="305" spans="27:97">
      <c r="AA305" s="350"/>
      <c r="AB305" s="62"/>
      <c r="AC305" s="62"/>
      <c r="AD305" s="62"/>
      <c r="AP305" s="88"/>
      <c r="AQ305" s="88"/>
      <c r="AR305" s="88"/>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01"/>
    </row>
    <row r="306" spans="27:97">
      <c r="AA306" s="350"/>
      <c r="AB306" s="62"/>
      <c r="AC306" s="62"/>
      <c r="AD306" s="62"/>
      <c r="AP306" s="88"/>
      <c r="AQ306" s="88"/>
      <c r="AR306" s="88"/>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01"/>
    </row>
    <row r="307" spans="27:97">
      <c r="AA307" s="350"/>
      <c r="AB307" s="62"/>
      <c r="AC307" s="62"/>
      <c r="AD307" s="62"/>
      <c r="AP307" s="88"/>
      <c r="AQ307" s="88"/>
      <c r="AR307" s="88"/>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01"/>
    </row>
    <row r="308" spans="27:97">
      <c r="AA308" s="350"/>
      <c r="AB308" s="62"/>
      <c r="AC308" s="62"/>
      <c r="AD308" s="62"/>
      <c r="AP308" s="88"/>
      <c r="AQ308" s="88"/>
      <c r="AR308" s="88"/>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01"/>
    </row>
    <row r="309" spans="27:97">
      <c r="AA309" s="350"/>
      <c r="AB309" s="62"/>
      <c r="AC309" s="62"/>
      <c r="AD309" s="62"/>
      <c r="AP309" s="88"/>
      <c r="AQ309" s="88"/>
      <c r="AR309" s="88"/>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01"/>
    </row>
    <row r="310" spans="27:97">
      <c r="AA310" s="350"/>
      <c r="AB310" s="62"/>
      <c r="AC310" s="62"/>
      <c r="AD310" s="62"/>
      <c r="AP310" s="88"/>
      <c r="AQ310" s="88"/>
      <c r="AR310" s="88"/>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01"/>
    </row>
    <row r="311" spans="27:97">
      <c r="AA311" s="350"/>
      <c r="AB311" s="62"/>
      <c r="AC311" s="62"/>
      <c r="AD311" s="62"/>
      <c r="AP311" s="88"/>
      <c r="AQ311" s="88"/>
      <c r="AR311" s="88"/>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01"/>
    </row>
    <row r="312" spans="27:97">
      <c r="AA312" s="350"/>
      <c r="AB312" s="62"/>
      <c r="AC312" s="62"/>
      <c r="AD312" s="62"/>
      <c r="AP312" s="88"/>
      <c r="AQ312" s="88"/>
      <c r="AR312" s="88"/>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01"/>
    </row>
    <row r="313" spans="27:97">
      <c r="AA313" s="350"/>
      <c r="AB313" s="62"/>
      <c r="AC313" s="62"/>
      <c r="AD313" s="62"/>
      <c r="AP313" s="88"/>
      <c r="AQ313" s="88"/>
      <c r="AR313" s="88"/>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01"/>
    </row>
    <row r="314" spans="27:97">
      <c r="AA314" s="350"/>
      <c r="AB314" s="62"/>
      <c r="AC314" s="62"/>
      <c r="AD314" s="62"/>
      <c r="AP314" s="88"/>
      <c r="AQ314" s="88"/>
      <c r="AR314" s="88"/>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01"/>
    </row>
    <row r="315" spans="27:97">
      <c r="AA315" s="350"/>
      <c r="AB315" s="62"/>
      <c r="AC315" s="62"/>
      <c r="AD315" s="62"/>
      <c r="AP315" s="88"/>
      <c r="AQ315" s="88"/>
      <c r="AR315" s="88"/>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01"/>
    </row>
    <row r="316" spans="27:97">
      <c r="AA316" s="350"/>
      <c r="AB316" s="62"/>
      <c r="AC316" s="62"/>
      <c r="AD316" s="62"/>
      <c r="AP316" s="88"/>
      <c r="AQ316" s="88"/>
      <c r="AR316" s="88"/>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01"/>
    </row>
    <row r="317" spans="27:97">
      <c r="AA317" s="350"/>
      <c r="AB317" s="62"/>
      <c r="AC317" s="62"/>
      <c r="AD317" s="62"/>
      <c r="AP317" s="88"/>
      <c r="AQ317" s="88"/>
      <c r="AR317" s="88"/>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01"/>
    </row>
    <row r="318" spans="27:97">
      <c r="AA318" s="350"/>
      <c r="AB318" s="62"/>
      <c r="AC318" s="62"/>
      <c r="AD318" s="62"/>
      <c r="AP318" s="88"/>
      <c r="AQ318" s="88"/>
      <c r="AR318" s="88"/>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01"/>
    </row>
    <row r="319" spans="27:97">
      <c r="AA319" s="350"/>
      <c r="AB319" s="62"/>
      <c r="AC319" s="62"/>
      <c r="AD319" s="62"/>
      <c r="AP319" s="88"/>
      <c r="AQ319" s="88"/>
      <c r="AR319" s="88"/>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01"/>
    </row>
    <row r="320" spans="27:97">
      <c r="AA320" s="350"/>
      <c r="AB320" s="62"/>
      <c r="AC320" s="62"/>
      <c r="AD320" s="62"/>
      <c r="AP320" s="88"/>
      <c r="AQ320" s="88"/>
      <c r="AR320" s="88"/>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01"/>
    </row>
    <row r="321" spans="27:97">
      <c r="AA321" s="350"/>
      <c r="AB321" s="62"/>
      <c r="AC321" s="62"/>
      <c r="AD321" s="62"/>
      <c r="AP321" s="88"/>
      <c r="AQ321" s="88"/>
      <c r="AR321" s="88"/>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01"/>
    </row>
    <row r="322" spans="27:97">
      <c r="AA322" s="350"/>
      <c r="AB322" s="62"/>
      <c r="AC322" s="62"/>
      <c r="AD322" s="62"/>
      <c r="AP322" s="88"/>
      <c r="AQ322" s="88"/>
      <c r="AR322" s="88"/>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01"/>
    </row>
    <row r="323" spans="27:97">
      <c r="AA323" s="350"/>
      <c r="AB323" s="62"/>
      <c r="AC323" s="62"/>
      <c r="AD323" s="62"/>
      <c r="AP323" s="88"/>
      <c r="AQ323" s="88"/>
      <c r="AR323" s="88"/>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01"/>
    </row>
    <row r="324" spans="27:97">
      <c r="AA324" s="350"/>
      <c r="AB324" s="62"/>
      <c r="AC324" s="62"/>
      <c r="AD324" s="62"/>
      <c r="AP324" s="88"/>
      <c r="AQ324" s="88"/>
      <c r="AR324" s="88"/>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01"/>
    </row>
    <row r="325" spans="27:97">
      <c r="AA325" s="350"/>
      <c r="AB325" s="62"/>
      <c r="AC325" s="62"/>
      <c r="AD325" s="62"/>
      <c r="AP325" s="88"/>
      <c r="AQ325" s="88"/>
      <c r="AR325" s="88"/>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01"/>
    </row>
    <row r="326" spans="27:97">
      <c r="AA326" s="350"/>
      <c r="AB326" s="62"/>
      <c r="AC326" s="62"/>
      <c r="AD326" s="62"/>
      <c r="AP326" s="88"/>
      <c r="AQ326" s="88"/>
      <c r="AR326" s="88"/>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01"/>
    </row>
    <row r="327" spans="27:97">
      <c r="AA327" s="350"/>
      <c r="AB327" s="62"/>
      <c r="AC327" s="62"/>
      <c r="AD327" s="62"/>
      <c r="AP327" s="88"/>
      <c r="AQ327" s="88"/>
      <c r="AR327" s="88"/>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01"/>
    </row>
    <row r="328" spans="27:97">
      <c r="AA328" s="350"/>
      <c r="AB328" s="62"/>
      <c r="AC328" s="62"/>
      <c r="AD328" s="62"/>
      <c r="AP328" s="88"/>
      <c r="AQ328" s="88"/>
      <c r="AR328" s="88"/>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01"/>
    </row>
    <row r="329" spans="27:97">
      <c r="AA329" s="350"/>
      <c r="AB329" s="62"/>
      <c r="AC329" s="62"/>
      <c r="AD329" s="62"/>
      <c r="AP329" s="88"/>
      <c r="AQ329" s="88"/>
      <c r="AR329" s="88"/>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01"/>
    </row>
    <row r="330" spans="27:97">
      <c r="AA330" s="350"/>
      <c r="AB330" s="62"/>
      <c r="AC330" s="62"/>
      <c r="AD330" s="62"/>
      <c r="AP330" s="88"/>
      <c r="AQ330" s="88"/>
      <c r="AR330" s="88"/>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01"/>
    </row>
    <row r="331" spans="27:97">
      <c r="AA331" s="350"/>
      <c r="AB331" s="62"/>
      <c r="AC331" s="62"/>
      <c r="AD331" s="62"/>
      <c r="AP331" s="88"/>
      <c r="AQ331" s="88"/>
      <c r="AR331" s="88"/>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01"/>
    </row>
    <row r="332" spans="27:97">
      <c r="AA332" s="350"/>
      <c r="AB332" s="62"/>
      <c r="AC332" s="62"/>
      <c r="AD332" s="62"/>
      <c r="AP332" s="88"/>
      <c r="AQ332" s="88"/>
      <c r="AR332" s="88"/>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01"/>
    </row>
    <row r="333" spans="27:97">
      <c r="AA333" s="350"/>
      <c r="AB333" s="62"/>
      <c r="AC333" s="62"/>
      <c r="AD333" s="62"/>
      <c r="AP333" s="88"/>
      <c r="AQ333" s="88"/>
      <c r="AR333" s="88"/>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01"/>
    </row>
    <row r="334" spans="27:97">
      <c r="AA334" s="350"/>
      <c r="AB334" s="62"/>
      <c r="AC334" s="62"/>
      <c r="AD334" s="62"/>
      <c r="AP334" s="88"/>
      <c r="AQ334" s="88"/>
      <c r="AR334" s="88"/>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01"/>
    </row>
    <row r="335" spans="27:97">
      <c r="AA335" s="350"/>
      <c r="AB335" s="62"/>
      <c r="AC335" s="62"/>
      <c r="AD335" s="62"/>
      <c r="AP335" s="88"/>
      <c r="AQ335" s="88"/>
      <c r="AR335" s="88"/>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01"/>
    </row>
    <row r="336" spans="27:97">
      <c r="AA336" s="350"/>
      <c r="AB336" s="62"/>
      <c r="AC336" s="62"/>
      <c r="AD336" s="62"/>
      <c r="AP336" s="88"/>
      <c r="AQ336" s="88"/>
      <c r="AR336" s="88"/>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01"/>
    </row>
    <row r="337" spans="27:97">
      <c r="AA337" s="350"/>
      <c r="AB337" s="62"/>
      <c r="AC337" s="62"/>
      <c r="AD337" s="62"/>
      <c r="AP337" s="88"/>
      <c r="AQ337" s="88"/>
      <c r="AR337" s="88"/>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01"/>
    </row>
    <row r="338" spans="27:97">
      <c r="AA338" s="350"/>
      <c r="AB338" s="62"/>
      <c r="AC338" s="62"/>
      <c r="AD338" s="62"/>
      <c r="AP338" s="88"/>
      <c r="AQ338" s="88"/>
      <c r="AR338" s="88"/>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01"/>
    </row>
    <row r="339" spans="27:97">
      <c r="AA339" s="350"/>
      <c r="AB339" s="62"/>
      <c r="AC339" s="62"/>
      <c r="AD339" s="62"/>
      <c r="AP339" s="88"/>
      <c r="AQ339" s="88"/>
      <c r="AR339" s="88"/>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01"/>
    </row>
    <row r="340" spans="27:97">
      <c r="AA340" s="350"/>
      <c r="AB340" s="62"/>
      <c r="AC340" s="62"/>
      <c r="AD340" s="62"/>
      <c r="AP340" s="88"/>
      <c r="AQ340" s="88"/>
      <c r="AR340" s="88"/>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01"/>
    </row>
    <row r="341" spans="27:97">
      <c r="AA341" s="350"/>
      <c r="AB341" s="62"/>
      <c r="AC341" s="62"/>
      <c r="AD341" s="62"/>
      <c r="AP341" s="88"/>
      <c r="AQ341" s="88"/>
      <c r="AR341" s="88"/>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01"/>
    </row>
    <row r="342" spans="27:97">
      <c r="AA342" s="350"/>
      <c r="AB342" s="62"/>
      <c r="AC342" s="62"/>
      <c r="AD342" s="62"/>
      <c r="AP342" s="88"/>
      <c r="AQ342" s="88"/>
      <c r="AR342" s="88"/>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01"/>
    </row>
    <row r="343" spans="27:97">
      <c r="AA343" s="350"/>
      <c r="AB343" s="62"/>
      <c r="AC343" s="62"/>
      <c r="AD343" s="62"/>
      <c r="AP343" s="88"/>
      <c r="AQ343" s="88"/>
      <c r="AR343" s="88"/>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01"/>
    </row>
    <row r="344" spans="27:97">
      <c r="AA344" s="350"/>
      <c r="AB344" s="62"/>
      <c r="AC344" s="62"/>
      <c r="AD344" s="62"/>
      <c r="AP344" s="88"/>
      <c r="AQ344" s="88"/>
      <c r="AR344" s="88"/>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01"/>
    </row>
    <row r="345" spans="27:97">
      <c r="AA345" s="350"/>
      <c r="AB345" s="62"/>
      <c r="AC345" s="62"/>
      <c r="AD345" s="62"/>
      <c r="AP345" s="88"/>
      <c r="AQ345" s="88"/>
      <c r="AR345" s="88"/>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01"/>
    </row>
    <row r="346" spans="27:97">
      <c r="AA346" s="350"/>
      <c r="AB346" s="62"/>
      <c r="AC346" s="62"/>
      <c r="AD346" s="62"/>
      <c r="AP346" s="88"/>
      <c r="AQ346" s="88"/>
      <c r="AR346" s="88"/>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01"/>
    </row>
    <row r="347" spans="27:97">
      <c r="AA347" s="350"/>
      <c r="AB347" s="62"/>
      <c r="AC347" s="62"/>
      <c r="AD347" s="62"/>
      <c r="AP347" s="88"/>
      <c r="AQ347" s="88"/>
      <c r="AR347" s="88"/>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01"/>
    </row>
    <row r="348" spans="27:97">
      <c r="AA348" s="350"/>
      <c r="AB348" s="62"/>
      <c r="AC348" s="62"/>
      <c r="AD348" s="62"/>
      <c r="AP348" s="88"/>
      <c r="AQ348" s="88"/>
      <c r="AR348" s="88"/>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01"/>
    </row>
    <row r="349" spans="27:97">
      <c r="AA349" s="350"/>
      <c r="AB349" s="62"/>
      <c r="AC349" s="62"/>
      <c r="AD349" s="62"/>
      <c r="AP349" s="88"/>
      <c r="AQ349" s="88"/>
      <c r="AR349" s="88"/>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01"/>
    </row>
    <row r="350" spans="27:97">
      <c r="AA350" s="350"/>
      <c r="AB350" s="62"/>
      <c r="AC350" s="62"/>
      <c r="AD350" s="62"/>
      <c r="AP350" s="88"/>
      <c r="AQ350" s="88"/>
      <c r="AR350" s="88"/>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01"/>
    </row>
    <row r="351" spans="27:97">
      <c r="AA351" s="350"/>
      <c r="AB351" s="62"/>
      <c r="AC351" s="62"/>
      <c r="AD351" s="62"/>
      <c r="AP351" s="88"/>
      <c r="AQ351" s="88"/>
      <c r="AR351" s="88"/>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01"/>
    </row>
    <row r="352" spans="27:97">
      <c r="AA352" s="350"/>
      <c r="AB352" s="62"/>
      <c r="AC352" s="62"/>
      <c r="AD352" s="62"/>
      <c r="AP352" s="88"/>
      <c r="AQ352" s="88"/>
      <c r="AR352" s="88"/>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01"/>
    </row>
    <row r="353" spans="27:97">
      <c r="AA353" s="350"/>
      <c r="AB353" s="62"/>
      <c r="AC353" s="62"/>
      <c r="AD353" s="62"/>
      <c r="AP353" s="88"/>
      <c r="AQ353" s="88"/>
      <c r="AR353" s="88"/>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01"/>
    </row>
    <row r="354" spans="27:97">
      <c r="AA354" s="350"/>
      <c r="AB354" s="62"/>
      <c r="AC354" s="62"/>
      <c r="AD354" s="62"/>
      <c r="AP354" s="88"/>
      <c r="AQ354" s="88"/>
      <c r="AR354" s="88"/>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01"/>
    </row>
    <row r="355" spans="27:97">
      <c r="AA355" s="350"/>
      <c r="AB355" s="62"/>
      <c r="AC355" s="62"/>
      <c r="AD355" s="62"/>
      <c r="AP355" s="88"/>
      <c r="AQ355" s="88"/>
      <c r="AR355" s="88"/>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01"/>
    </row>
    <row r="356" spans="27:97">
      <c r="AA356" s="350"/>
      <c r="AB356" s="62"/>
      <c r="AC356" s="62"/>
      <c r="AD356" s="62"/>
      <c r="AP356" s="88"/>
      <c r="AQ356" s="88"/>
      <c r="AR356" s="88"/>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01"/>
    </row>
    <row r="357" spans="27:97">
      <c r="AA357" s="350"/>
      <c r="AB357" s="62"/>
      <c r="AC357" s="62"/>
      <c r="AD357" s="62"/>
      <c r="AP357" s="88"/>
      <c r="AQ357" s="88"/>
      <c r="AR357" s="88"/>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01"/>
    </row>
    <row r="358" spans="27:97">
      <c r="AA358" s="350"/>
      <c r="AB358" s="62"/>
      <c r="AC358" s="62"/>
      <c r="AD358" s="62"/>
      <c r="AP358" s="88"/>
      <c r="AQ358" s="88"/>
      <c r="AR358" s="88"/>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01"/>
    </row>
    <row r="359" spans="27:97">
      <c r="AA359" s="350"/>
      <c r="AB359" s="62"/>
      <c r="AC359" s="62"/>
      <c r="AD359" s="62"/>
      <c r="AP359" s="88"/>
      <c r="AQ359" s="88"/>
      <c r="AR359" s="88"/>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01"/>
    </row>
    <row r="360" spans="27:97">
      <c r="AA360" s="350"/>
      <c r="AB360" s="62"/>
      <c r="AC360" s="62"/>
      <c r="AD360" s="62"/>
      <c r="AP360" s="88"/>
      <c r="AQ360" s="88"/>
      <c r="AR360" s="88"/>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01"/>
    </row>
    <row r="361" spans="27:97">
      <c r="AA361" s="350"/>
      <c r="AB361" s="62"/>
      <c r="AC361" s="62"/>
      <c r="AD361" s="62"/>
      <c r="AP361" s="88"/>
      <c r="AQ361" s="88"/>
      <c r="AR361" s="88"/>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01"/>
    </row>
    <row r="362" spans="27:97">
      <c r="AA362" s="350"/>
      <c r="AB362" s="62"/>
      <c r="AC362" s="62"/>
      <c r="AD362" s="62"/>
      <c r="AP362" s="88"/>
      <c r="AQ362" s="88"/>
      <c r="AR362" s="88"/>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01"/>
    </row>
    <row r="363" spans="27:97">
      <c r="AA363" s="350"/>
      <c r="AB363" s="62"/>
      <c r="AC363" s="62"/>
      <c r="AD363" s="62"/>
      <c r="AP363" s="88"/>
      <c r="AQ363" s="88"/>
      <c r="AR363" s="88"/>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01"/>
    </row>
    <row r="364" spans="27:97">
      <c r="AA364" s="350"/>
      <c r="AB364" s="62"/>
      <c r="AC364" s="62"/>
      <c r="AD364" s="62"/>
      <c r="AP364" s="88"/>
      <c r="AQ364" s="88"/>
      <c r="AR364" s="88"/>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01"/>
    </row>
    <row r="365" spans="27:97">
      <c r="AA365" s="350"/>
      <c r="AB365" s="62"/>
      <c r="AC365" s="62"/>
      <c r="AD365" s="62"/>
      <c r="AP365" s="88"/>
      <c r="AQ365" s="88"/>
      <c r="AR365" s="88"/>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01"/>
    </row>
    <row r="366" spans="27:97">
      <c r="AA366" s="350"/>
      <c r="AB366" s="62"/>
      <c r="AC366" s="62"/>
      <c r="AD366" s="62"/>
      <c r="AP366" s="88"/>
      <c r="AQ366" s="88"/>
      <c r="AR366" s="88"/>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01"/>
    </row>
    <row r="367" spans="27:97">
      <c r="AA367" s="350"/>
      <c r="AB367" s="62"/>
      <c r="AC367" s="62"/>
      <c r="AD367" s="62"/>
      <c r="AP367" s="88"/>
      <c r="AQ367" s="88"/>
      <c r="AR367" s="88"/>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01"/>
    </row>
    <row r="368" spans="27:97">
      <c r="AA368" s="350"/>
      <c r="AB368" s="62"/>
      <c r="AC368" s="62"/>
      <c r="AD368" s="62"/>
      <c r="AP368" s="88"/>
      <c r="AQ368" s="88"/>
      <c r="AR368" s="88"/>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01"/>
    </row>
    <row r="369" spans="27:97">
      <c r="AA369" s="350"/>
      <c r="AB369" s="62"/>
      <c r="AC369" s="62"/>
      <c r="AD369" s="62"/>
      <c r="AP369" s="88"/>
      <c r="AQ369" s="88"/>
      <c r="AR369" s="88"/>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01"/>
    </row>
    <row r="370" spans="27:97">
      <c r="AA370" s="350"/>
      <c r="AB370" s="62"/>
      <c r="AC370" s="62"/>
      <c r="AD370" s="62"/>
      <c r="AP370" s="88"/>
      <c r="AQ370" s="88"/>
      <c r="AR370" s="88"/>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01"/>
    </row>
    <row r="371" spans="27:97">
      <c r="AA371" s="350"/>
      <c r="AB371" s="62"/>
      <c r="AC371" s="62"/>
      <c r="AD371" s="62"/>
      <c r="AP371" s="88"/>
      <c r="AQ371" s="88"/>
      <c r="AR371" s="88"/>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01"/>
    </row>
    <row r="372" spans="27:97">
      <c r="AA372" s="350"/>
      <c r="AB372" s="62"/>
      <c r="AC372" s="62"/>
      <c r="AD372" s="62"/>
      <c r="AP372" s="88"/>
      <c r="AQ372" s="88"/>
      <c r="AR372" s="88"/>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01"/>
    </row>
    <row r="373" spans="27:97">
      <c r="AA373" s="350"/>
      <c r="AB373" s="62"/>
      <c r="AC373" s="62"/>
      <c r="AD373" s="62"/>
      <c r="AP373" s="88"/>
      <c r="AQ373" s="88"/>
      <c r="AR373" s="88"/>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01"/>
    </row>
    <row r="374" spans="27:97">
      <c r="AA374" s="350"/>
      <c r="AB374" s="62"/>
      <c r="AC374" s="62"/>
      <c r="AD374" s="62"/>
      <c r="AP374" s="88"/>
      <c r="AQ374" s="88"/>
      <c r="AR374" s="88"/>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01"/>
    </row>
    <row r="375" spans="27:97">
      <c r="AA375" s="350"/>
      <c r="AB375" s="62"/>
      <c r="AC375" s="62"/>
      <c r="AD375" s="62"/>
      <c r="AP375" s="88"/>
      <c r="AQ375" s="88"/>
      <c r="AR375" s="88"/>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01"/>
    </row>
    <row r="376" spans="27:97">
      <c r="AA376" s="350"/>
      <c r="AB376" s="62"/>
      <c r="AC376" s="62"/>
      <c r="AD376" s="62"/>
      <c r="AP376" s="88"/>
      <c r="AQ376" s="88"/>
      <c r="AR376" s="88"/>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01"/>
    </row>
    <row r="377" spans="27:97">
      <c r="AA377" s="350"/>
      <c r="AB377" s="62"/>
      <c r="AC377" s="62"/>
      <c r="AD377" s="62"/>
      <c r="AP377" s="88"/>
      <c r="AQ377" s="88"/>
      <c r="AR377" s="88"/>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01"/>
    </row>
    <row r="378" spans="27:97">
      <c r="AA378" s="350"/>
      <c r="AB378" s="62"/>
      <c r="AC378" s="62"/>
      <c r="AD378" s="62"/>
      <c r="AP378" s="88"/>
      <c r="AQ378" s="88"/>
      <c r="AR378" s="88"/>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01"/>
    </row>
    <row r="379" spans="27:97">
      <c r="AA379" s="350"/>
      <c r="AB379" s="62"/>
      <c r="AC379" s="62"/>
      <c r="AD379" s="62"/>
      <c r="AP379" s="88"/>
      <c r="AQ379" s="88"/>
      <c r="AR379" s="88"/>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01"/>
    </row>
    <row r="380" spans="27:97">
      <c r="AA380" s="350"/>
      <c r="AB380" s="62"/>
      <c r="AC380" s="62"/>
      <c r="AD380" s="62"/>
      <c r="AP380" s="88"/>
      <c r="AQ380" s="88"/>
      <c r="AR380" s="88"/>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01"/>
    </row>
    <row r="381" spans="27:97">
      <c r="AA381" s="350"/>
      <c r="AB381" s="62"/>
      <c r="AC381" s="62"/>
      <c r="AD381" s="62"/>
      <c r="AP381" s="88"/>
      <c r="AQ381" s="88"/>
      <c r="AR381" s="88"/>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01"/>
    </row>
    <row r="382" spans="27:97">
      <c r="AA382" s="350"/>
      <c r="AB382" s="62"/>
      <c r="AC382" s="62"/>
      <c r="AD382" s="62"/>
      <c r="AP382" s="88"/>
      <c r="AQ382" s="88"/>
      <c r="AR382" s="88"/>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01"/>
    </row>
    <row r="383" spans="27:97">
      <c r="AA383" s="350"/>
      <c r="AB383" s="62"/>
      <c r="AC383" s="62"/>
      <c r="AD383" s="62"/>
      <c r="AP383" s="88"/>
      <c r="AQ383" s="88"/>
      <c r="AR383" s="88"/>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01"/>
    </row>
    <row r="384" spans="27:97">
      <c r="AA384" s="350"/>
      <c r="AB384" s="62"/>
      <c r="AC384" s="62"/>
      <c r="AD384" s="62"/>
      <c r="AP384" s="88"/>
      <c r="AQ384" s="88"/>
      <c r="AR384" s="88"/>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01"/>
    </row>
    <row r="385" spans="27:97">
      <c r="AA385" s="350"/>
      <c r="AB385" s="62"/>
      <c r="AC385" s="62"/>
      <c r="AD385" s="62"/>
      <c r="AP385" s="88"/>
      <c r="AQ385" s="88"/>
      <c r="AR385" s="88"/>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01"/>
    </row>
    <row r="386" spans="27:97">
      <c r="AA386" s="350"/>
      <c r="AB386" s="62"/>
      <c r="AC386" s="62"/>
      <c r="AD386" s="62"/>
      <c r="AP386" s="88"/>
      <c r="AQ386" s="88"/>
      <c r="AR386" s="88"/>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01"/>
    </row>
    <row r="387" spans="27:97">
      <c r="AA387" s="350"/>
      <c r="AB387" s="62"/>
      <c r="AC387" s="62"/>
      <c r="AD387" s="62"/>
      <c r="AP387" s="88"/>
      <c r="AQ387" s="88"/>
      <c r="AR387" s="88"/>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01"/>
    </row>
    <row r="388" spans="27:97">
      <c r="AA388" s="350"/>
      <c r="AB388" s="62"/>
      <c r="AC388" s="62"/>
      <c r="AD388" s="62"/>
      <c r="AP388" s="88"/>
      <c r="AQ388" s="88"/>
      <c r="AR388" s="88"/>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01"/>
    </row>
    <row r="389" spans="27:97">
      <c r="AA389" s="350"/>
      <c r="AB389" s="62"/>
      <c r="AC389" s="62"/>
      <c r="AD389" s="62"/>
      <c r="AP389" s="88"/>
      <c r="AQ389" s="88"/>
      <c r="AR389" s="88"/>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01"/>
    </row>
    <row r="390" spans="27:97">
      <c r="AA390" s="350"/>
      <c r="AB390" s="62"/>
      <c r="AC390" s="62"/>
      <c r="AD390" s="62"/>
      <c r="AP390" s="88"/>
      <c r="AQ390" s="88"/>
      <c r="AR390" s="88"/>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01"/>
    </row>
    <row r="391" spans="27:97">
      <c r="AA391" s="350"/>
      <c r="AB391" s="62"/>
      <c r="AC391" s="62"/>
      <c r="AD391" s="62"/>
      <c r="AP391" s="88"/>
      <c r="AQ391" s="88"/>
      <c r="AR391" s="88"/>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01"/>
    </row>
    <row r="392" spans="27:97">
      <c r="AA392" s="350"/>
      <c r="AB392" s="62"/>
      <c r="AC392" s="62"/>
      <c r="AD392" s="62"/>
      <c r="AP392" s="88"/>
      <c r="AQ392" s="88"/>
      <c r="AR392" s="88"/>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01"/>
    </row>
    <row r="393" spans="27:97">
      <c r="AA393" s="350"/>
      <c r="AB393" s="62"/>
      <c r="AC393" s="62"/>
      <c r="AD393" s="62"/>
      <c r="AP393" s="88"/>
      <c r="AQ393" s="88"/>
      <c r="AR393" s="88"/>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01"/>
    </row>
    <row r="394" spans="27:97">
      <c r="AA394" s="350"/>
      <c r="AB394" s="62"/>
      <c r="AC394" s="62"/>
      <c r="AD394" s="62"/>
      <c r="AP394" s="88"/>
      <c r="AQ394" s="88"/>
      <c r="AR394" s="88"/>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01"/>
    </row>
    <row r="395" spans="27:97">
      <c r="AA395" s="350"/>
      <c r="AB395" s="62"/>
      <c r="AC395" s="62"/>
      <c r="AD395" s="62"/>
      <c r="AP395" s="88"/>
      <c r="AQ395" s="88"/>
      <c r="AR395" s="88"/>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01"/>
    </row>
    <row r="396" spans="27:97">
      <c r="AA396" s="350"/>
      <c r="AB396" s="62"/>
      <c r="AC396" s="62"/>
      <c r="AD396" s="62"/>
      <c r="AP396" s="88"/>
      <c r="AQ396" s="88"/>
      <c r="AR396" s="88"/>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01"/>
    </row>
    <row r="397" spans="27:97">
      <c r="AA397" s="350"/>
      <c r="AB397" s="62"/>
      <c r="AC397" s="62"/>
      <c r="AD397" s="62"/>
      <c r="AP397" s="88"/>
      <c r="AQ397" s="88"/>
      <c r="AR397" s="88"/>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01"/>
    </row>
    <row r="398" spans="27:97">
      <c r="AA398" s="350"/>
      <c r="AB398" s="62"/>
      <c r="AC398" s="62"/>
      <c r="AD398" s="62"/>
      <c r="AP398" s="88"/>
      <c r="AQ398" s="88"/>
      <c r="AR398" s="88"/>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01"/>
    </row>
    <row r="399" spans="27:97">
      <c r="AA399" s="350"/>
      <c r="AB399" s="62"/>
      <c r="AC399" s="62"/>
      <c r="AD399" s="62"/>
      <c r="AP399" s="88"/>
      <c r="AQ399" s="88"/>
      <c r="AR399" s="88"/>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01"/>
    </row>
    <row r="400" spans="27:97">
      <c r="AA400" s="350"/>
      <c r="AB400" s="62"/>
      <c r="AC400" s="62"/>
      <c r="AD400" s="62"/>
      <c r="AP400" s="88"/>
      <c r="AQ400" s="88"/>
      <c r="AR400" s="88"/>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01"/>
    </row>
    <row r="401" spans="27:97">
      <c r="AA401" s="350"/>
      <c r="AB401" s="62"/>
      <c r="AC401" s="62"/>
      <c r="AD401" s="62"/>
      <c r="AP401" s="88"/>
      <c r="AQ401" s="88"/>
      <c r="AR401" s="88"/>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01"/>
    </row>
    <row r="402" spans="27:97">
      <c r="AA402" s="350"/>
      <c r="AB402" s="62"/>
      <c r="AC402" s="62"/>
      <c r="AD402" s="62"/>
      <c r="AP402" s="88"/>
      <c r="AQ402" s="88"/>
      <c r="AR402" s="88"/>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01"/>
    </row>
    <row r="403" spans="27:97">
      <c r="AA403" s="350"/>
      <c r="AB403" s="62"/>
      <c r="AC403" s="62"/>
      <c r="AD403" s="62"/>
      <c r="AP403" s="88"/>
      <c r="AQ403" s="88"/>
      <c r="AR403" s="88"/>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01"/>
    </row>
    <row r="404" spans="27:97">
      <c r="AA404" s="350"/>
      <c r="AB404" s="62"/>
      <c r="AC404" s="62"/>
      <c r="AD404" s="62"/>
      <c r="AP404" s="88"/>
      <c r="AQ404" s="88"/>
      <c r="AR404" s="88"/>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01"/>
    </row>
    <row r="405" spans="27:97">
      <c r="AA405" s="350"/>
      <c r="AB405" s="62"/>
      <c r="AC405" s="62"/>
      <c r="AD405" s="62"/>
      <c r="AP405" s="88"/>
      <c r="AQ405" s="88"/>
      <c r="AR405" s="88"/>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01"/>
    </row>
    <row r="406" spans="27:97">
      <c r="AA406" s="350"/>
      <c r="AB406" s="62"/>
      <c r="AC406" s="62"/>
      <c r="AD406" s="62"/>
      <c r="AP406" s="88"/>
      <c r="AQ406" s="88"/>
      <c r="AR406" s="88"/>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01"/>
    </row>
    <row r="407" spans="27:97">
      <c r="AA407" s="350"/>
      <c r="AB407" s="62"/>
      <c r="AC407" s="62"/>
      <c r="AD407" s="62"/>
      <c r="AP407" s="88"/>
      <c r="AQ407" s="88"/>
      <c r="AR407" s="88"/>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01"/>
    </row>
    <row r="408" spans="27:97">
      <c r="AA408" s="350"/>
      <c r="AB408" s="62"/>
      <c r="AC408" s="62"/>
      <c r="AD408" s="62"/>
      <c r="AP408" s="88"/>
      <c r="AQ408" s="88"/>
      <c r="AR408" s="88"/>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01"/>
    </row>
    <row r="409" spans="27:97">
      <c r="AA409" s="350"/>
      <c r="AB409" s="62"/>
      <c r="AC409" s="62"/>
      <c r="AD409" s="62"/>
      <c r="AP409" s="88"/>
      <c r="AQ409" s="88"/>
      <c r="AR409" s="88"/>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01"/>
    </row>
    <row r="410" spans="27:97">
      <c r="AA410" s="350"/>
      <c r="AB410" s="62"/>
      <c r="AC410" s="62"/>
      <c r="AD410" s="62"/>
      <c r="AP410" s="88"/>
      <c r="AQ410" s="88"/>
      <c r="AR410" s="88"/>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01"/>
    </row>
    <row r="411" spans="27:97">
      <c r="AA411" s="350"/>
      <c r="AB411" s="62"/>
      <c r="AC411" s="62"/>
      <c r="AD411" s="62"/>
      <c r="AP411" s="88"/>
      <c r="AQ411" s="88"/>
      <c r="AR411" s="88"/>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01"/>
    </row>
    <row r="412" spans="27:97">
      <c r="AA412" s="350"/>
      <c r="AB412" s="62"/>
      <c r="AC412" s="62"/>
      <c r="AD412" s="62"/>
      <c r="AP412" s="88"/>
      <c r="AQ412" s="88"/>
      <c r="AR412" s="88"/>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01"/>
    </row>
    <row r="413" spans="27:97">
      <c r="AA413" s="350"/>
      <c r="AB413" s="62"/>
      <c r="AC413" s="62"/>
      <c r="AD413" s="62"/>
      <c r="AP413" s="88"/>
      <c r="AQ413" s="88"/>
      <c r="AR413" s="88"/>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01"/>
    </row>
    <row r="414" spans="27:97">
      <c r="AA414" s="350"/>
      <c r="AB414" s="62"/>
      <c r="AC414" s="62"/>
      <c r="AD414" s="62"/>
      <c r="AP414" s="88"/>
      <c r="AQ414" s="88"/>
      <c r="AR414" s="88"/>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01"/>
    </row>
    <row r="415" spans="27:97">
      <c r="AA415" s="350"/>
      <c r="AB415" s="62"/>
      <c r="AC415" s="62"/>
      <c r="AD415" s="62"/>
      <c r="AP415" s="88"/>
      <c r="AQ415" s="88"/>
      <c r="AR415" s="88"/>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01"/>
    </row>
    <row r="416" spans="27:97">
      <c r="AA416" s="350"/>
      <c r="AB416" s="62"/>
      <c r="AC416" s="62"/>
      <c r="AD416" s="62"/>
      <c r="AP416" s="88"/>
      <c r="AQ416" s="88"/>
      <c r="AR416" s="88"/>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01"/>
    </row>
    <row r="417" spans="27:97">
      <c r="AA417" s="350"/>
      <c r="AB417" s="62"/>
      <c r="AC417" s="62"/>
      <c r="AD417" s="62"/>
      <c r="AP417" s="88"/>
      <c r="AQ417" s="88"/>
      <c r="AR417" s="88"/>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01"/>
    </row>
    <row r="418" spans="27:97">
      <c r="AA418" s="350"/>
      <c r="AB418" s="62"/>
      <c r="AC418" s="62"/>
      <c r="AD418" s="62"/>
      <c r="AP418" s="88"/>
      <c r="AQ418" s="88"/>
      <c r="AR418" s="88"/>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01"/>
    </row>
    <row r="419" spans="27:97">
      <c r="AA419" s="350"/>
      <c r="AB419" s="62"/>
      <c r="AC419" s="62"/>
      <c r="AD419" s="62"/>
      <c r="AP419" s="88"/>
      <c r="AQ419" s="88"/>
      <c r="AR419" s="88"/>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01"/>
    </row>
    <row r="420" spans="27:97">
      <c r="AA420" s="350"/>
      <c r="AB420" s="62"/>
      <c r="AC420" s="62"/>
      <c r="AD420" s="62"/>
      <c r="AP420" s="88"/>
      <c r="AQ420" s="88"/>
      <c r="AR420" s="88"/>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01"/>
    </row>
    <row r="421" spans="27:97">
      <c r="AA421" s="350"/>
      <c r="AB421" s="62"/>
      <c r="AC421" s="62"/>
      <c r="AD421" s="62"/>
      <c r="AP421" s="88"/>
      <c r="AQ421" s="88"/>
      <c r="AR421" s="88"/>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01"/>
    </row>
    <row r="422" spans="27:97">
      <c r="AA422" s="350"/>
      <c r="AB422" s="62"/>
      <c r="AC422" s="62"/>
      <c r="AD422" s="62"/>
      <c r="AP422" s="88"/>
      <c r="AQ422" s="88"/>
      <c r="AR422" s="88"/>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01"/>
    </row>
    <row r="423" spans="27:97">
      <c r="AA423" s="350"/>
      <c r="AB423" s="62"/>
      <c r="AC423" s="62"/>
      <c r="AD423" s="62"/>
      <c r="AP423" s="88"/>
      <c r="AQ423" s="88"/>
      <c r="AR423" s="88"/>
      <c r="AS423" s="99"/>
      <c r="AT423" s="99"/>
      <c r="AU423" s="99"/>
      <c r="AV423" s="99"/>
      <c r="AW423" s="99"/>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01"/>
    </row>
    <row r="424" spans="27:97">
      <c r="AA424" s="350"/>
      <c r="AB424" s="62"/>
      <c r="AC424" s="62"/>
      <c r="AD424" s="62"/>
      <c r="AP424" s="88"/>
      <c r="AQ424" s="88"/>
      <c r="AR424" s="88"/>
      <c r="AS424" s="99"/>
      <c r="AT424" s="99"/>
      <c r="AU424" s="99"/>
      <c r="AV424" s="99"/>
      <c r="AW424" s="99"/>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01"/>
    </row>
    <row r="425" spans="27:97">
      <c r="AA425" s="350"/>
      <c r="AB425" s="62"/>
      <c r="AC425" s="62"/>
      <c r="AD425" s="62"/>
      <c r="AP425" s="88"/>
      <c r="AQ425" s="88"/>
      <c r="AR425" s="88"/>
      <c r="AS425" s="99"/>
      <c r="AT425" s="99"/>
      <c r="AU425" s="99"/>
      <c r="AV425" s="99"/>
      <c r="AW425" s="99"/>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01"/>
    </row>
    <row r="426" spans="27:97">
      <c r="AA426" s="350"/>
      <c r="AB426" s="62"/>
      <c r="AC426" s="62"/>
      <c r="AD426" s="62"/>
      <c r="AP426" s="88"/>
      <c r="AQ426" s="88"/>
      <c r="AR426" s="88"/>
      <c r="AS426" s="99"/>
      <c r="AT426" s="99"/>
      <c r="AU426" s="99"/>
      <c r="AV426" s="99"/>
      <c r="AW426" s="99"/>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01"/>
    </row>
    <row r="427" spans="27:97">
      <c r="AA427" s="350"/>
      <c r="AB427" s="62"/>
      <c r="AC427" s="62"/>
      <c r="AD427" s="62"/>
      <c r="AP427" s="88"/>
      <c r="AQ427" s="88"/>
      <c r="AR427" s="88"/>
      <c r="AS427" s="99"/>
      <c r="AT427" s="99"/>
      <c r="AU427" s="99"/>
      <c r="AV427" s="99"/>
      <c r="AW427" s="99"/>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01"/>
    </row>
    <row r="428" spans="27:97">
      <c r="AA428" s="350"/>
      <c r="AB428" s="62"/>
      <c r="AC428" s="62"/>
      <c r="AD428" s="62"/>
      <c r="AP428" s="88"/>
      <c r="AQ428" s="88"/>
      <c r="AR428" s="88"/>
      <c r="AS428" s="99"/>
      <c r="AT428" s="99"/>
      <c r="AU428" s="99"/>
      <c r="AV428" s="99"/>
      <c r="AW428" s="99"/>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01"/>
    </row>
    <row r="429" spans="27:97">
      <c r="AA429" s="350"/>
      <c r="AB429" s="62"/>
      <c r="AC429" s="62"/>
      <c r="AD429" s="62"/>
      <c r="AP429" s="88"/>
      <c r="AQ429" s="88"/>
      <c r="AR429" s="88"/>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01"/>
    </row>
    <row r="430" spans="27:97">
      <c r="AA430" s="350"/>
      <c r="AB430" s="62"/>
      <c r="AC430" s="62"/>
      <c r="AD430" s="62"/>
      <c r="AP430" s="88"/>
      <c r="AQ430" s="88"/>
      <c r="AR430" s="88"/>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01"/>
    </row>
    <row r="431" spans="27:97">
      <c r="AA431" s="350"/>
      <c r="AB431" s="62"/>
      <c r="AC431" s="62"/>
      <c r="AD431" s="62"/>
      <c r="AP431" s="88"/>
      <c r="AQ431" s="88"/>
      <c r="AR431" s="88"/>
      <c r="AS431" s="99"/>
      <c r="AT431" s="99"/>
      <c r="AU431" s="99"/>
      <c r="AV431" s="99"/>
      <c r="AW431" s="99"/>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01"/>
    </row>
    <row r="432" spans="27:97">
      <c r="AA432" s="350"/>
      <c r="AB432" s="62"/>
      <c r="AC432" s="62"/>
      <c r="AD432" s="62"/>
      <c r="AP432" s="88"/>
      <c r="AQ432" s="88"/>
      <c r="AR432" s="88"/>
      <c r="AS432" s="99"/>
      <c r="AT432" s="99"/>
      <c r="AU432" s="99"/>
      <c r="AV432" s="99"/>
      <c r="AW432" s="99"/>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01"/>
    </row>
    <row r="433" spans="27:97">
      <c r="AA433" s="350"/>
      <c r="AB433" s="62"/>
      <c r="AC433" s="62"/>
      <c r="AD433" s="62"/>
      <c r="AP433" s="88"/>
      <c r="AQ433" s="88"/>
      <c r="AR433" s="88"/>
      <c r="AS433" s="99"/>
      <c r="AT433" s="99"/>
      <c r="AU433" s="99"/>
      <c r="AV433" s="99"/>
      <c r="AW433" s="99"/>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01"/>
    </row>
    <row r="434" spans="27:97">
      <c r="AA434" s="350"/>
      <c r="AB434" s="62"/>
      <c r="AC434" s="62"/>
      <c r="AD434" s="62"/>
      <c r="AP434" s="88"/>
      <c r="AQ434" s="88"/>
      <c r="AR434" s="88"/>
      <c r="AS434" s="99"/>
      <c r="AT434" s="99"/>
      <c r="AU434" s="99"/>
      <c r="AV434" s="99"/>
      <c r="AW434" s="99"/>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01"/>
    </row>
    <row r="435" spans="27:97">
      <c r="AA435" s="350"/>
      <c r="AB435" s="62"/>
      <c r="AC435" s="62"/>
      <c r="AD435" s="62"/>
      <c r="AP435" s="88"/>
      <c r="AQ435" s="88"/>
      <c r="AR435" s="88"/>
      <c r="AS435" s="99"/>
      <c r="AT435" s="99"/>
      <c r="AU435" s="99"/>
      <c r="AV435" s="99"/>
      <c r="AW435" s="99"/>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01"/>
    </row>
    <row r="436" spans="27:97">
      <c r="AA436" s="350"/>
      <c r="AB436" s="62"/>
      <c r="AC436" s="62"/>
      <c r="AD436" s="62"/>
      <c r="AP436" s="88"/>
      <c r="AQ436" s="88"/>
      <c r="AR436" s="88"/>
      <c r="AS436" s="99"/>
      <c r="AT436" s="99"/>
      <c r="AU436" s="99"/>
      <c r="AV436" s="99"/>
      <c r="AW436" s="99"/>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01"/>
    </row>
    <row r="437" spans="27:97">
      <c r="AA437" s="350"/>
      <c r="AB437" s="62"/>
      <c r="AC437" s="62"/>
      <c r="AD437" s="62"/>
      <c r="AP437" s="88"/>
      <c r="AQ437" s="88"/>
      <c r="AR437" s="88"/>
      <c r="AS437" s="99"/>
      <c r="AT437" s="99"/>
      <c r="AU437" s="99"/>
      <c r="AV437" s="99"/>
      <c r="AW437" s="99"/>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01"/>
    </row>
    <row r="438" spans="27:97">
      <c r="AA438" s="350"/>
      <c r="AB438" s="62"/>
      <c r="AC438" s="62"/>
      <c r="AD438" s="62"/>
      <c r="AP438" s="88"/>
      <c r="AQ438" s="88"/>
      <c r="AR438" s="88"/>
      <c r="AS438" s="99"/>
      <c r="AT438" s="99"/>
      <c r="AU438" s="99"/>
      <c r="AV438" s="99"/>
      <c r="AW438" s="99"/>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01"/>
    </row>
    <row r="439" spans="27:97">
      <c r="AA439" s="350"/>
      <c r="AB439" s="62"/>
      <c r="AC439" s="62"/>
      <c r="AD439" s="62"/>
      <c r="AP439" s="88"/>
      <c r="AQ439" s="88"/>
      <c r="AR439" s="88"/>
      <c r="AS439" s="99"/>
      <c r="AT439" s="99"/>
      <c r="AU439" s="99"/>
      <c r="AV439" s="99"/>
      <c r="AW439" s="99"/>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01"/>
    </row>
    <row r="440" spans="27:97">
      <c r="AA440" s="350"/>
      <c r="AB440" s="62"/>
      <c r="AC440" s="62"/>
      <c r="AD440" s="62"/>
      <c r="AP440" s="88"/>
      <c r="AQ440" s="88"/>
      <c r="AR440" s="88"/>
      <c r="AS440" s="99"/>
      <c r="AT440" s="99"/>
      <c r="AU440" s="99"/>
      <c r="AV440" s="99"/>
      <c r="AW440" s="99"/>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01"/>
    </row>
    <row r="441" spans="27:97">
      <c r="AA441" s="350"/>
      <c r="AB441" s="62"/>
      <c r="AC441" s="62"/>
      <c r="AD441" s="62"/>
      <c r="AP441" s="88"/>
      <c r="AQ441" s="88"/>
      <c r="AR441" s="88"/>
      <c r="AS441" s="99"/>
      <c r="AT441" s="99"/>
      <c r="AU441" s="99"/>
      <c r="AV441" s="99"/>
      <c r="AW441" s="99"/>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01"/>
    </row>
    <row r="442" spans="27:97">
      <c r="AA442" s="350"/>
      <c r="AB442" s="62"/>
      <c r="AC442" s="62"/>
      <c r="AD442" s="62"/>
      <c r="AP442" s="88"/>
      <c r="AQ442" s="88"/>
      <c r="AR442" s="88"/>
      <c r="AS442" s="99"/>
      <c r="AT442" s="99"/>
      <c r="AU442" s="99"/>
      <c r="AV442" s="99"/>
      <c r="AW442" s="99"/>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01"/>
    </row>
    <row r="443" spans="27:97">
      <c r="AA443" s="350"/>
      <c r="AB443" s="62"/>
      <c r="AC443" s="62"/>
      <c r="AD443" s="62"/>
      <c r="AP443" s="88"/>
      <c r="AQ443" s="88"/>
      <c r="AR443" s="88"/>
      <c r="AS443" s="99"/>
      <c r="AT443" s="99"/>
      <c r="AU443" s="99"/>
      <c r="AV443" s="99"/>
      <c r="AW443" s="99"/>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01"/>
    </row>
    <row r="444" spans="27:97">
      <c r="AA444" s="350"/>
      <c r="AB444" s="62"/>
      <c r="AC444" s="62"/>
      <c r="AD444" s="62"/>
      <c r="AP444" s="88"/>
      <c r="AQ444" s="88"/>
      <c r="AR444" s="88"/>
      <c r="AS444" s="99"/>
      <c r="AT444" s="99"/>
      <c r="AU444" s="99"/>
      <c r="AV444" s="99"/>
      <c r="AW444" s="99"/>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01"/>
    </row>
    <row r="445" spans="27:97">
      <c r="AA445" s="350"/>
      <c r="AB445" s="62"/>
      <c r="AC445" s="62"/>
      <c r="AD445" s="62"/>
      <c r="AP445" s="88"/>
      <c r="AQ445" s="88"/>
      <c r="AR445" s="88"/>
      <c r="AS445" s="99"/>
      <c r="AT445" s="99"/>
      <c r="AU445" s="99"/>
      <c r="AV445" s="99"/>
      <c r="AW445" s="99"/>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01"/>
    </row>
    <row r="446" spans="27:97">
      <c r="AA446" s="350"/>
      <c r="AB446" s="62"/>
      <c r="AC446" s="62"/>
      <c r="AD446" s="62"/>
      <c r="AP446" s="88"/>
      <c r="AQ446" s="88"/>
      <c r="AR446" s="88"/>
      <c r="AS446" s="99"/>
      <c r="AT446" s="99"/>
      <c r="AU446" s="99"/>
      <c r="AV446" s="99"/>
      <c r="AW446" s="99"/>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01"/>
    </row>
    <row r="447" spans="27:97">
      <c r="AA447" s="350"/>
      <c r="AB447" s="62"/>
      <c r="AC447" s="62"/>
      <c r="AD447" s="62"/>
      <c r="AP447" s="88"/>
      <c r="AQ447" s="88"/>
      <c r="AR447" s="88"/>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01"/>
    </row>
    <row r="448" spans="27:97">
      <c r="AA448" s="350"/>
      <c r="AB448" s="62"/>
      <c r="AC448" s="62"/>
      <c r="AD448" s="62"/>
      <c r="AP448" s="88"/>
      <c r="AQ448" s="88"/>
      <c r="AR448" s="88"/>
      <c r="AS448" s="99"/>
      <c r="AT448" s="99"/>
      <c r="AU448" s="99"/>
      <c r="AV448" s="99"/>
      <c r="AW448" s="99"/>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01"/>
    </row>
    <row r="449" spans="27:97">
      <c r="AA449" s="350"/>
      <c r="AB449" s="62"/>
      <c r="AC449" s="62"/>
      <c r="AD449" s="62"/>
      <c r="AP449" s="88"/>
      <c r="AQ449" s="88"/>
      <c r="AR449" s="88"/>
      <c r="AS449" s="99"/>
      <c r="AT449" s="99"/>
      <c r="AU449" s="99"/>
      <c r="AV449" s="99"/>
      <c r="AW449" s="99"/>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01"/>
    </row>
    <row r="450" spans="27:97">
      <c r="AA450" s="350"/>
      <c r="AB450" s="62"/>
      <c r="AC450" s="62"/>
      <c r="AD450" s="62"/>
      <c r="AP450" s="88"/>
      <c r="AQ450" s="88"/>
      <c r="AR450" s="88"/>
      <c r="AS450" s="99"/>
      <c r="AT450" s="99"/>
      <c r="AU450" s="99"/>
      <c r="AV450" s="99"/>
      <c r="AW450" s="99"/>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01"/>
    </row>
    <row r="451" spans="27:97">
      <c r="AA451" s="350"/>
      <c r="AB451" s="62"/>
      <c r="AC451" s="62"/>
      <c r="AD451" s="62"/>
      <c r="AP451" s="88"/>
      <c r="AQ451" s="88"/>
      <c r="AR451" s="88"/>
      <c r="AS451" s="99"/>
      <c r="AT451" s="99"/>
      <c r="AU451" s="99"/>
      <c r="AV451" s="99"/>
      <c r="AW451" s="99"/>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01"/>
    </row>
    <row r="452" spans="27:97">
      <c r="AA452" s="350"/>
      <c r="AB452" s="62"/>
      <c r="AC452" s="62"/>
      <c r="AD452" s="62"/>
      <c r="AP452" s="88"/>
      <c r="AQ452" s="88"/>
      <c r="AR452" s="88"/>
      <c r="AS452" s="99"/>
      <c r="AT452" s="99"/>
      <c r="AU452" s="99"/>
      <c r="AV452" s="99"/>
      <c r="AW452" s="99"/>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01"/>
    </row>
    <row r="453" spans="27:97">
      <c r="AA453" s="350"/>
      <c r="AB453" s="62"/>
      <c r="AC453" s="62"/>
      <c r="AD453" s="62"/>
      <c r="AP453" s="88"/>
      <c r="AQ453" s="88"/>
      <c r="AR453" s="88"/>
      <c r="AS453" s="99"/>
      <c r="AT453" s="99"/>
      <c r="AU453" s="99"/>
      <c r="AV453" s="99"/>
      <c r="AW453" s="99"/>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01"/>
    </row>
    <row r="454" spans="27:97">
      <c r="AA454" s="350"/>
      <c r="AB454" s="62"/>
      <c r="AC454" s="62"/>
      <c r="AD454" s="62"/>
      <c r="AP454" s="88"/>
      <c r="AQ454" s="88"/>
      <c r="AR454" s="88"/>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01"/>
    </row>
    <row r="455" spans="27:97">
      <c r="AA455" s="350"/>
      <c r="AB455" s="62"/>
      <c r="AC455" s="62"/>
      <c r="AD455" s="62"/>
      <c r="AP455" s="88"/>
      <c r="AQ455" s="88"/>
      <c r="AR455" s="88"/>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01"/>
    </row>
    <row r="456" spans="27:97">
      <c r="AA456" s="350"/>
      <c r="AB456" s="62"/>
      <c r="AC456" s="62"/>
      <c r="AD456" s="62"/>
      <c r="AP456" s="88"/>
      <c r="AQ456" s="88"/>
      <c r="AR456" s="88"/>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01"/>
    </row>
    <row r="457" spans="27:97">
      <c r="AA457" s="350"/>
      <c r="AB457" s="62"/>
      <c r="AC457" s="62"/>
      <c r="AD457" s="62"/>
      <c r="AP457" s="88"/>
      <c r="AQ457" s="88"/>
      <c r="AR457" s="88"/>
      <c r="AS457" s="99"/>
      <c r="AT457" s="99"/>
      <c r="AU457" s="99"/>
      <c r="AV457" s="99"/>
      <c r="AW457" s="99"/>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01"/>
    </row>
    <row r="458" spans="27:97">
      <c r="AA458" s="350"/>
      <c r="AB458" s="62"/>
      <c r="AC458" s="62"/>
      <c r="AD458" s="62"/>
      <c r="AP458" s="88"/>
      <c r="AQ458" s="88"/>
      <c r="AR458" s="88"/>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01"/>
    </row>
    <row r="459" spans="27:97">
      <c r="AA459" s="350"/>
      <c r="AB459" s="62"/>
      <c r="AC459" s="62"/>
      <c r="AD459" s="62"/>
      <c r="AP459" s="88"/>
      <c r="AQ459" s="88"/>
      <c r="AR459" s="88"/>
      <c r="AS459" s="99"/>
      <c r="AT459" s="99"/>
      <c r="AU459" s="99"/>
      <c r="AV459" s="99"/>
      <c r="AW459" s="99"/>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01"/>
    </row>
    <row r="460" spans="27:97">
      <c r="AA460" s="350"/>
      <c r="AB460" s="62"/>
      <c r="AC460" s="62"/>
      <c r="AD460" s="62"/>
      <c r="AP460" s="88"/>
      <c r="AQ460" s="88"/>
      <c r="AR460" s="88"/>
      <c r="AS460" s="99"/>
      <c r="AT460" s="99"/>
      <c r="AU460" s="99"/>
      <c r="AV460" s="99"/>
      <c r="AW460" s="99"/>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01"/>
    </row>
    <row r="461" spans="27:97">
      <c r="AA461" s="350"/>
      <c r="AB461" s="62"/>
      <c r="AC461" s="62"/>
      <c r="AD461" s="62"/>
      <c r="AP461" s="88"/>
      <c r="AQ461" s="88"/>
      <c r="AR461" s="88"/>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01"/>
    </row>
    <row r="462" spans="27:97">
      <c r="AA462" s="350"/>
      <c r="AB462" s="62"/>
      <c r="AC462" s="62"/>
      <c r="AD462" s="62"/>
      <c r="AP462" s="88"/>
      <c r="AQ462" s="88"/>
      <c r="AR462" s="88"/>
      <c r="AS462" s="99"/>
      <c r="AT462" s="99"/>
      <c r="AU462" s="99"/>
      <c r="AV462" s="99"/>
      <c r="AW462" s="99"/>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01"/>
    </row>
    <row r="463" spans="27:97">
      <c r="AA463" s="350"/>
      <c r="AB463" s="62"/>
      <c r="AC463" s="62"/>
      <c r="AD463" s="62"/>
      <c r="AP463" s="88"/>
      <c r="AQ463" s="88"/>
      <c r="AR463" s="88"/>
      <c r="AS463" s="99"/>
      <c r="AT463" s="99"/>
      <c r="AU463" s="99"/>
      <c r="AV463" s="99"/>
      <c r="AW463" s="99"/>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01"/>
    </row>
    <row r="464" spans="27:97">
      <c r="AA464" s="350"/>
      <c r="AB464" s="62"/>
      <c r="AC464" s="62"/>
      <c r="AD464" s="62"/>
      <c r="AP464" s="88"/>
      <c r="AQ464" s="88"/>
      <c r="AR464" s="88"/>
      <c r="AS464" s="99"/>
      <c r="AT464" s="99"/>
      <c r="AU464" s="99"/>
      <c r="AV464" s="99"/>
      <c r="AW464" s="99"/>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01"/>
    </row>
    <row r="465" spans="27:97">
      <c r="AA465" s="350"/>
      <c r="AB465" s="62"/>
      <c r="AC465" s="62"/>
      <c r="AD465" s="62"/>
      <c r="AP465" s="88"/>
      <c r="AQ465" s="88"/>
      <c r="AR465" s="88"/>
      <c r="AS465" s="99"/>
      <c r="AT465" s="99"/>
      <c r="AU465" s="99"/>
      <c r="AV465" s="99"/>
      <c r="AW465" s="99"/>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01"/>
    </row>
    <row r="466" spans="27:97">
      <c r="AA466" s="350"/>
      <c r="AB466" s="62"/>
      <c r="AC466" s="62"/>
      <c r="AD466" s="62"/>
      <c r="AP466" s="88"/>
      <c r="AQ466" s="88"/>
      <c r="AR466" s="88"/>
      <c r="AS466" s="99"/>
      <c r="AT466" s="99"/>
      <c r="AU466" s="99"/>
      <c r="AV466" s="99"/>
      <c r="AW466" s="99"/>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01"/>
    </row>
    <row r="467" spans="27:97">
      <c r="AA467" s="350"/>
      <c r="AB467" s="62"/>
      <c r="AC467" s="62"/>
      <c r="AD467" s="62"/>
      <c r="AP467" s="88"/>
      <c r="AQ467" s="88"/>
      <c r="AR467" s="88"/>
      <c r="AS467" s="99"/>
      <c r="AT467" s="99"/>
      <c r="AU467" s="99"/>
      <c r="AV467" s="99"/>
      <c r="AW467" s="99"/>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01"/>
    </row>
    <row r="468" spans="27:97">
      <c r="AA468" s="350"/>
      <c r="AB468" s="62"/>
      <c r="AC468" s="62"/>
      <c r="AD468" s="62"/>
      <c r="AP468" s="88"/>
      <c r="AQ468" s="88"/>
      <c r="AR468" s="88"/>
      <c r="AS468" s="99"/>
      <c r="AT468" s="99"/>
      <c r="AU468" s="99"/>
      <c r="AV468" s="99"/>
      <c r="AW468" s="99"/>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01"/>
    </row>
    <row r="469" spans="27:97">
      <c r="AA469" s="350"/>
      <c r="AB469" s="62"/>
      <c r="AC469" s="62"/>
      <c r="AD469" s="62"/>
      <c r="AP469" s="88"/>
      <c r="AQ469" s="88"/>
      <c r="AR469" s="88"/>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01"/>
    </row>
    <row r="470" spans="27:97">
      <c r="AA470" s="350"/>
      <c r="AB470" s="62"/>
      <c r="AC470" s="62"/>
      <c r="AD470" s="62"/>
      <c r="AP470" s="88"/>
      <c r="AQ470" s="88"/>
      <c r="AR470" s="88"/>
      <c r="AS470" s="99"/>
      <c r="AT470" s="99"/>
      <c r="AU470" s="99"/>
      <c r="AV470" s="99"/>
      <c r="AW470" s="99"/>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01"/>
    </row>
    <row r="471" spans="27:97">
      <c r="AA471" s="350"/>
      <c r="AB471" s="62"/>
      <c r="AC471" s="62"/>
      <c r="AD471" s="62"/>
      <c r="AP471" s="88"/>
      <c r="AQ471" s="88"/>
      <c r="AR471" s="88"/>
      <c r="AS471" s="99"/>
      <c r="AT471" s="99"/>
      <c r="AU471" s="99"/>
      <c r="AV471" s="99"/>
      <c r="AW471" s="99"/>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01"/>
    </row>
    <row r="472" spans="27:97">
      <c r="AA472" s="350"/>
      <c r="AB472" s="62"/>
      <c r="AC472" s="62"/>
      <c r="AD472" s="62"/>
      <c r="AP472" s="88"/>
      <c r="AQ472" s="88"/>
      <c r="AR472" s="88"/>
      <c r="AS472" s="99"/>
      <c r="AT472" s="99"/>
      <c r="AU472" s="99"/>
      <c r="AV472" s="99"/>
      <c r="AW472" s="99"/>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01"/>
    </row>
    <row r="473" spans="27:97">
      <c r="AA473" s="350"/>
      <c r="AB473" s="62"/>
      <c r="AC473" s="62"/>
      <c r="AD473" s="62"/>
      <c r="AP473" s="88"/>
      <c r="AQ473" s="88"/>
      <c r="AR473" s="88"/>
      <c r="AS473" s="99"/>
      <c r="AT473" s="99"/>
      <c r="AU473" s="99"/>
      <c r="AV473" s="99"/>
      <c r="AW473" s="99"/>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01"/>
    </row>
    <row r="474" spans="27:97">
      <c r="AA474" s="350"/>
      <c r="AB474" s="62"/>
      <c r="AC474" s="62"/>
      <c r="AD474" s="62"/>
      <c r="AP474" s="88"/>
      <c r="AQ474" s="88"/>
      <c r="AR474" s="88"/>
      <c r="AS474" s="99"/>
      <c r="AT474" s="99"/>
      <c r="AU474" s="99"/>
      <c r="AV474" s="99"/>
      <c r="AW474" s="99"/>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01"/>
    </row>
    <row r="475" spans="27:97">
      <c r="AA475" s="350"/>
      <c r="AB475" s="62"/>
      <c r="AC475" s="62"/>
      <c r="AD475" s="62"/>
      <c r="AP475" s="88"/>
      <c r="AQ475" s="88"/>
      <c r="AR475" s="88"/>
      <c r="AS475" s="99"/>
      <c r="AT475" s="99"/>
      <c r="AU475" s="99"/>
      <c r="AV475" s="99"/>
      <c r="AW475" s="99"/>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01"/>
    </row>
    <row r="476" spans="27:97">
      <c r="AA476" s="350"/>
      <c r="AB476" s="62"/>
      <c r="AC476" s="62"/>
      <c r="AD476" s="62"/>
      <c r="AP476" s="88"/>
      <c r="AQ476" s="88"/>
      <c r="AR476" s="88"/>
      <c r="AS476" s="99"/>
      <c r="AT476" s="99"/>
      <c r="AU476" s="99"/>
      <c r="AV476" s="99"/>
      <c r="AW476" s="99"/>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01"/>
    </row>
    <row r="477" spans="27:97">
      <c r="AA477" s="350"/>
      <c r="AB477" s="62"/>
      <c r="AC477" s="62"/>
      <c r="AD477" s="62"/>
      <c r="AP477" s="88"/>
      <c r="AQ477" s="88"/>
      <c r="AR477" s="88"/>
      <c r="AS477" s="99"/>
      <c r="AT477" s="99"/>
      <c r="AU477" s="99"/>
      <c r="AV477" s="99"/>
      <c r="AW477" s="99"/>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01"/>
    </row>
    <row r="478" spans="27:97">
      <c r="AA478" s="350"/>
      <c r="AB478" s="62"/>
      <c r="AC478" s="62"/>
      <c r="AD478" s="62"/>
      <c r="AP478" s="88"/>
      <c r="AQ478" s="88"/>
      <c r="AR478" s="88"/>
      <c r="AS478" s="99"/>
      <c r="AT478" s="99"/>
      <c r="AU478" s="99"/>
      <c r="AV478" s="99"/>
      <c r="AW478" s="99"/>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01"/>
    </row>
    <row r="479" spans="27:97">
      <c r="AA479" s="350"/>
      <c r="AB479" s="62"/>
      <c r="AC479" s="62"/>
      <c r="AD479" s="62"/>
      <c r="AP479" s="88"/>
      <c r="AQ479" s="88"/>
      <c r="AR479" s="88"/>
      <c r="AS479" s="99"/>
      <c r="AT479" s="99"/>
      <c r="AU479" s="99"/>
      <c r="AV479" s="99"/>
      <c r="AW479" s="99"/>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01"/>
    </row>
    <row r="480" spans="27:97">
      <c r="AA480" s="350"/>
      <c r="AB480" s="62"/>
      <c r="AC480" s="62"/>
      <c r="AD480" s="62"/>
      <c r="AP480" s="88"/>
      <c r="AQ480" s="88"/>
      <c r="AR480" s="88"/>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01"/>
    </row>
    <row r="481" spans="27:97">
      <c r="AA481" s="350"/>
      <c r="AB481" s="62"/>
      <c r="AC481" s="62"/>
      <c r="AD481" s="62"/>
      <c r="AP481" s="88"/>
      <c r="AQ481" s="88"/>
      <c r="AR481" s="88"/>
      <c r="AS481" s="99"/>
      <c r="AT481" s="99"/>
      <c r="AU481" s="99"/>
      <c r="AV481" s="99"/>
      <c r="AW481" s="99"/>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01"/>
    </row>
    <row r="482" spans="27:97">
      <c r="AA482" s="350"/>
      <c r="AB482" s="62"/>
      <c r="AC482" s="62"/>
      <c r="AD482" s="62"/>
      <c r="AP482" s="88"/>
      <c r="AQ482" s="88"/>
      <c r="AR482" s="88"/>
      <c r="AS482" s="99"/>
      <c r="AT482" s="99"/>
      <c r="AU482" s="99"/>
      <c r="AV482" s="99"/>
      <c r="AW482" s="99"/>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01"/>
    </row>
    <row r="483" spans="27:97">
      <c r="AA483" s="350"/>
      <c r="AB483" s="62"/>
      <c r="AC483" s="62"/>
      <c r="AD483" s="62"/>
      <c r="AP483" s="88"/>
      <c r="AQ483" s="88"/>
      <c r="AR483" s="88"/>
      <c r="AS483" s="99"/>
      <c r="AT483" s="99"/>
      <c r="AU483" s="99"/>
      <c r="AV483" s="99"/>
      <c r="AW483" s="99"/>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01"/>
    </row>
    <row r="484" spans="27:97">
      <c r="AA484" s="350"/>
      <c r="AB484" s="62"/>
      <c r="AC484" s="62"/>
      <c r="AD484" s="62"/>
      <c r="AP484" s="88"/>
      <c r="AQ484" s="88"/>
      <c r="AR484" s="88"/>
      <c r="AS484" s="99"/>
      <c r="AT484" s="99"/>
      <c r="AU484" s="99"/>
      <c r="AV484" s="99"/>
      <c r="AW484" s="99"/>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01"/>
    </row>
    <row r="485" spans="27:97">
      <c r="AA485" s="350"/>
      <c r="AB485" s="62"/>
      <c r="AC485" s="62"/>
      <c r="AD485" s="62"/>
      <c r="AP485" s="88"/>
      <c r="AQ485" s="88"/>
      <c r="AR485" s="88"/>
      <c r="AS485" s="99"/>
      <c r="AT485" s="99"/>
      <c r="AU485" s="99"/>
      <c r="AV485" s="99"/>
      <c r="AW485" s="99"/>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01"/>
    </row>
    <row r="486" spans="27:97">
      <c r="AA486" s="350"/>
      <c r="AB486" s="62"/>
      <c r="AC486" s="62"/>
      <c r="AD486" s="62"/>
      <c r="AP486" s="88"/>
      <c r="AQ486" s="88"/>
      <c r="AR486" s="88"/>
      <c r="AS486" s="99"/>
      <c r="AT486" s="99"/>
      <c r="AU486" s="99"/>
      <c r="AV486" s="99"/>
      <c r="AW486" s="99"/>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01"/>
    </row>
    <row r="487" spans="27:97">
      <c r="AA487" s="350"/>
      <c r="AB487" s="62"/>
      <c r="AC487" s="62"/>
      <c r="AD487" s="62"/>
      <c r="AP487" s="88"/>
      <c r="AQ487" s="88"/>
      <c r="AR487" s="88"/>
      <c r="AS487" s="99"/>
      <c r="AT487" s="99"/>
      <c r="AU487" s="99"/>
      <c r="AV487" s="99"/>
      <c r="AW487" s="99"/>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01"/>
    </row>
    <row r="488" spans="27:97">
      <c r="AA488" s="350"/>
      <c r="AB488" s="62"/>
      <c r="AC488" s="62"/>
      <c r="AD488" s="62"/>
      <c r="AP488" s="88"/>
      <c r="AQ488" s="88"/>
      <c r="AR488" s="88"/>
      <c r="AS488" s="99"/>
      <c r="AT488" s="99"/>
      <c r="AU488" s="99"/>
      <c r="AV488" s="99"/>
      <c r="AW488" s="99"/>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01"/>
    </row>
    <row r="489" spans="27:97">
      <c r="AA489" s="350"/>
      <c r="AB489" s="62"/>
      <c r="AC489" s="62"/>
      <c r="AD489" s="62"/>
      <c r="AP489" s="88"/>
      <c r="AQ489" s="88"/>
      <c r="AR489" s="88"/>
      <c r="AS489" s="99"/>
      <c r="AT489" s="99"/>
      <c r="AU489" s="99"/>
      <c r="AV489" s="99"/>
      <c r="AW489" s="99"/>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01"/>
    </row>
    <row r="490" spans="27:97">
      <c r="AA490" s="350"/>
      <c r="AB490" s="62"/>
      <c r="AC490" s="62"/>
      <c r="AD490" s="62"/>
      <c r="AP490" s="88"/>
      <c r="AQ490" s="88"/>
      <c r="AR490" s="88"/>
      <c r="AS490" s="99"/>
      <c r="AT490" s="99"/>
      <c r="AU490" s="99"/>
      <c r="AV490" s="99"/>
      <c r="AW490" s="99"/>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01"/>
    </row>
    <row r="491" spans="27:97">
      <c r="AA491" s="350"/>
      <c r="AB491" s="62"/>
      <c r="AC491" s="62"/>
      <c r="AD491" s="62"/>
      <c r="AP491" s="88"/>
      <c r="AQ491" s="88"/>
      <c r="AR491" s="88"/>
      <c r="AS491" s="99"/>
      <c r="AT491" s="99"/>
      <c r="AU491" s="99"/>
      <c r="AV491" s="99"/>
      <c r="AW491" s="99"/>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01"/>
    </row>
    <row r="492" spans="27:97">
      <c r="AA492" s="350"/>
      <c r="AB492" s="62"/>
      <c r="AC492" s="62"/>
      <c r="AD492" s="62"/>
      <c r="AP492" s="88"/>
      <c r="AQ492" s="88"/>
      <c r="AR492" s="88"/>
      <c r="AS492" s="99"/>
      <c r="AT492" s="99"/>
      <c r="AU492" s="99"/>
      <c r="AV492" s="99"/>
      <c r="AW492" s="99"/>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01"/>
    </row>
    <row r="493" spans="27:97">
      <c r="AA493" s="350"/>
      <c r="AB493" s="62"/>
      <c r="AC493" s="62"/>
      <c r="AD493" s="62"/>
      <c r="AP493" s="88"/>
      <c r="AQ493" s="88"/>
      <c r="AR493" s="88"/>
      <c r="AS493" s="99"/>
      <c r="AT493" s="99"/>
      <c r="AU493" s="99"/>
      <c r="AV493" s="99"/>
      <c r="AW493" s="99"/>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01"/>
    </row>
    <row r="494" spans="27:97">
      <c r="AA494" s="350"/>
      <c r="AB494" s="62"/>
      <c r="AC494" s="62"/>
      <c r="AD494" s="62"/>
      <c r="AP494" s="88"/>
      <c r="AQ494" s="88"/>
      <c r="AR494" s="88"/>
      <c r="AS494" s="99"/>
      <c r="AT494" s="99"/>
      <c r="AU494" s="99"/>
      <c r="AV494" s="99"/>
      <c r="AW494" s="99"/>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01"/>
    </row>
    <row r="495" spans="27:97">
      <c r="AA495" s="350"/>
      <c r="AB495" s="62"/>
      <c r="AC495" s="62"/>
      <c r="AD495" s="62"/>
      <c r="AP495" s="88"/>
      <c r="AQ495" s="88"/>
      <c r="AR495" s="88"/>
      <c r="AS495" s="99"/>
      <c r="AT495" s="99"/>
      <c r="AU495" s="99"/>
      <c r="AV495" s="99"/>
      <c r="AW495" s="99"/>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01"/>
    </row>
    <row r="496" spans="27:97">
      <c r="AA496" s="350"/>
      <c r="AB496" s="62"/>
      <c r="AC496" s="62"/>
      <c r="AD496" s="62"/>
      <c r="AP496" s="88"/>
      <c r="AQ496" s="88"/>
      <c r="AR496" s="88"/>
      <c r="AS496" s="99"/>
      <c r="AT496" s="99"/>
      <c r="AU496" s="99"/>
      <c r="AV496" s="99"/>
      <c r="AW496" s="99"/>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01"/>
    </row>
    <row r="497" spans="27:97">
      <c r="AA497" s="350"/>
      <c r="AB497" s="62"/>
      <c r="AC497" s="62"/>
      <c r="AD497" s="62"/>
      <c r="AP497" s="88"/>
      <c r="AQ497" s="88"/>
      <c r="AR497" s="88"/>
      <c r="AS497" s="99"/>
      <c r="AT497" s="99"/>
      <c r="AU497" s="99"/>
      <c r="AV497" s="99"/>
      <c r="AW497" s="99"/>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01"/>
    </row>
    <row r="498" spans="27:97">
      <c r="AA498" s="350"/>
      <c r="AB498" s="62"/>
      <c r="AC498" s="62"/>
      <c r="AD498" s="62"/>
      <c r="AP498" s="88"/>
      <c r="AQ498" s="88"/>
      <c r="AR498" s="88"/>
      <c r="AS498" s="99"/>
      <c r="AT498" s="99"/>
      <c r="AU498" s="99"/>
      <c r="AV498" s="99"/>
      <c r="AW498" s="99"/>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01"/>
    </row>
    <row r="499" spans="27:97">
      <c r="AA499" s="350"/>
      <c r="AB499" s="62"/>
      <c r="AC499" s="62"/>
      <c r="AD499" s="62"/>
      <c r="AP499" s="88"/>
      <c r="AQ499" s="88"/>
      <c r="AR499" s="88"/>
      <c r="AS499" s="99"/>
      <c r="AT499" s="99"/>
      <c r="AU499" s="99"/>
      <c r="AV499" s="99"/>
      <c r="AW499" s="99"/>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01"/>
    </row>
    <row r="500" spans="27:97">
      <c r="AA500" s="350"/>
      <c r="AB500" s="62"/>
      <c r="AC500" s="62"/>
      <c r="AD500" s="62"/>
      <c r="AP500" s="88"/>
      <c r="AQ500" s="88"/>
      <c r="AR500" s="88"/>
      <c r="AS500" s="99"/>
      <c r="AT500" s="99"/>
      <c r="AU500" s="99"/>
      <c r="AV500" s="99"/>
      <c r="AW500" s="99"/>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01"/>
    </row>
    <row r="501" spans="27:97">
      <c r="AA501" s="350"/>
      <c r="AB501" s="62"/>
      <c r="AC501" s="62"/>
      <c r="AD501" s="62"/>
      <c r="AP501" s="88"/>
      <c r="AQ501" s="88"/>
      <c r="AR501" s="88"/>
      <c r="AS501" s="99"/>
      <c r="AT501" s="99"/>
      <c r="AU501" s="99"/>
      <c r="AV501" s="99"/>
      <c r="AW501" s="99"/>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01"/>
    </row>
    <row r="502" spans="27:97">
      <c r="AA502" s="350"/>
      <c r="AB502" s="62"/>
      <c r="AC502" s="62"/>
      <c r="AD502" s="62"/>
      <c r="AP502" s="88"/>
      <c r="AQ502" s="88"/>
      <c r="AR502" s="88"/>
      <c r="AS502" s="99"/>
      <c r="AT502" s="99"/>
      <c r="AU502" s="99"/>
      <c r="AV502" s="99"/>
      <c r="AW502" s="99"/>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01"/>
    </row>
    <row r="503" spans="27:97">
      <c r="AA503" s="350"/>
      <c r="AB503" s="62"/>
      <c r="AC503" s="62"/>
      <c r="AD503" s="62"/>
      <c r="AP503" s="88"/>
      <c r="AQ503" s="88"/>
      <c r="AR503" s="88"/>
      <c r="AS503" s="99"/>
      <c r="AT503" s="99"/>
      <c r="AU503" s="99"/>
      <c r="AV503" s="99"/>
      <c r="AW503" s="99"/>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01"/>
    </row>
    <row r="504" spans="27:97">
      <c r="AA504" s="350"/>
      <c r="AB504" s="62"/>
      <c r="AC504" s="62"/>
      <c r="AD504" s="62"/>
      <c r="AP504" s="88"/>
      <c r="AQ504" s="88"/>
      <c r="AR504" s="88"/>
      <c r="AS504" s="99"/>
      <c r="AT504" s="99"/>
      <c r="AU504" s="99"/>
      <c r="AV504" s="99"/>
      <c r="AW504" s="99"/>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01"/>
    </row>
    <row r="505" spans="27:97">
      <c r="AA505" s="350"/>
      <c r="AB505" s="62"/>
      <c r="AC505" s="62"/>
      <c r="AD505" s="62"/>
      <c r="AP505" s="88"/>
      <c r="AQ505" s="88"/>
      <c r="AR505" s="88"/>
      <c r="AS505" s="99"/>
      <c r="AT505" s="99"/>
      <c r="AU505" s="99"/>
      <c r="AV505" s="99"/>
      <c r="AW505" s="99"/>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01"/>
    </row>
    <row r="506" spans="27:97">
      <c r="AA506" s="350"/>
      <c r="AB506" s="62"/>
      <c r="AC506" s="62"/>
      <c r="AD506" s="62"/>
      <c r="AP506" s="88"/>
      <c r="AQ506" s="88"/>
      <c r="AR506" s="88"/>
      <c r="AS506" s="99"/>
      <c r="AT506" s="99"/>
      <c r="AU506" s="99"/>
      <c r="AV506" s="99"/>
      <c r="AW506" s="99"/>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01"/>
    </row>
    <row r="507" spans="27:97">
      <c r="AA507" s="350"/>
      <c r="AB507" s="62"/>
      <c r="AC507" s="62"/>
      <c r="AD507" s="62"/>
      <c r="AP507" s="88"/>
      <c r="AQ507" s="88"/>
      <c r="AR507" s="88"/>
      <c r="AS507" s="99"/>
      <c r="AT507" s="99"/>
      <c r="AU507" s="99"/>
      <c r="AV507" s="99"/>
      <c r="AW507" s="99"/>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01"/>
    </row>
    <row r="508" spans="27:97">
      <c r="AA508" s="350"/>
      <c r="AB508" s="62"/>
      <c r="AC508" s="62"/>
      <c r="AD508" s="62"/>
      <c r="AP508" s="88"/>
      <c r="AQ508" s="88"/>
      <c r="AR508" s="88"/>
      <c r="AS508" s="99"/>
      <c r="AT508" s="99"/>
      <c r="AU508" s="99"/>
      <c r="AV508" s="99"/>
      <c r="AW508" s="99"/>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01"/>
    </row>
    <row r="509" spans="27:97">
      <c r="AA509" s="350"/>
      <c r="AB509" s="62"/>
      <c r="AC509" s="62"/>
      <c r="AD509" s="62"/>
      <c r="AP509" s="88"/>
      <c r="AQ509" s="88"/>
      <c r="AR509" s="88"/>
      <c r="AS509" s="99"/>
      <c r="AT509" s="99"/>
      <c r="AU509" s="99"/>
      <c r="AV509" s="99"/>
      <c r="AW509" s="99"/>
      <c r="AX509" s="99"/>
      <c r="AY509" s="99"/>
      <c r="AZ509" s="99"/>
      <c r="BA509" s="99"/>
      <c r="BB509" s="99"/>
      <c r="BC509" s="99"/>
      <c r="BD509" s="99"/>
      <c r="BE509" s="99"/>
      <c r="BF509" s="99"/>
      <c r="BG509" s="99"/>
      <c r="BH509" s="99"/>
      <c r="BI509" s="99"/>
      <c r="BJ509" s="99"/>
      <c r="BK509" s="99"/>
      <c r="BL509" s="99"/>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01"/>
    </row>
    <row r="510" spans="27:97">
      <c r="AA510" s="350"/>
      <c r="AB510" s="62"/>
      <c r="AC510" s="62"/>
      <c r="AD510" s="62"/>
      <c r="AP510" s="88"/>
      <c r="AQ510" s="88"/>
      <c r="AR510" s="88"/>
      <c r="AS510" s="99"/>
      <c r="AT510" s="99"/>
      <c r="AU510" s="99"/>
      <c r="AV510" s="99"/>
      <c r="AW510" s="99"/>
      <c r="AX510" s="99"/>
      <c r="AY510" s="99"/>
      <c r="AZ510" s="99"/>
      <c r="BA510" s="99"/>
      <c r="BB510" s="99"/>
      <c r="BC510" s="99"/>
      <c r="BD510" s="99"/>
      <c r="BE510" s="99"/>
      <c r="BF510" s="99"/>
      <c r="BG510" s="99"/>
      <c r="BH510" s="99"/>
      <c r="BI510" s="99"/>
      <c r="BJ510" s="99"/>
      <c r="BK510" s="99"/>
      <c r="BL510" s="99"/>
      <c r="BM510" s="99"/>
      <c r="BN510" s="99"/>
      <c r="BO510" s="99"/>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01"/>
    </row>
    <row r="511" spans="27:97">
      <c r="AA511" s="350"/>
      <c r="AB511" s="62"/>
      <c r="AC511" s="62"/>
      <c r="AD511" s="62"/>
      <c r="AP511" s="88"/>
      <c r="AQ511" s="88"/>
      <c r="AR511" s="88"/>
      <c r="AS511" s="99"/>
      <c r="AT511" s="99"/>
      <c r="AU511" s="99"/>
      <c r="AV511" s="99"/>
      <c r="AW511" s="99"/>
      <c r="AX511" s="99"/>
      <c r="AY511" s="99"/>
      <c r="AZ511" s="99"/>
      <c r="BA511" s="99"/>
      <c r="BB511" s="99"/>
      <c r="BC511" s="99"/>
      <c r="BD511" s="99"/>
      <c r="BE511" s="99"/>
      <c r="BF511" s="99"/>
      <c r="BG511" s="99"/>
      <c r="BH511" s="99"/>
      <c r="BI511" s="99"/>
      <c r="BJ511" s="99"/>
      <c r="BK511" s="99"/>
      <c r="BL511" s="99"/>
      <c r="BM511" s="99"/>
      <c r="BN511" s="99"/>
      <c r="BO511" s="99"/>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01"/>
    </row>
    <row r="512" spans="27:97">
      <c r="AA512" s="350"/>
      <c r="AB512" s="62"/>
      <c r="AC512" s="62"/>
      <c r="AD512" s="62"/>
      <c r="AP512" s="88"/>
      <c r="AQ512" s="88"/>
      <c r="AR512" s="88"/>
      <c r="AS512" s="99"/>
      <c r="AT512" s="99"/>
      <c r="AU512" s="99"/>
      <c r="AV512" s="99"/>
      <c r="AW512" s="99"/>
      <c r="AX512" s="99"/>
      <c r="AY512" s="99"/>
      <c r="AZ512" s="99"/>
      <c r="BA512" s="99"/>
      <c r="BB512" s="99"/>
      <c r="BC512" s="99"/>
      <c r="BD512" s="99"/>
      <c r="BE512" s="99"/>
      <c r="BF512" s="99"/>
      <c r="BG512" s="99"/>
      <c r="BH512" s="99"/>
      <c r="BI512" s="99"/>
      <c r="BJ512" s="99"/>
      <c r="BK512" s="99"/>
      <c r="BL512" s="99"/>
      <c r="BM512" s="99"/>
      <c r="BN512" s="99"/>
      <c r="BO512" s="99"/>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01"/>
    </row>
    <row r="513" spans="27:97">
      <c r="AA513" s="350"/>
      <c r="AB513" s="62"/>
      <c r="AC513" s="62"/>
      <c r="AD513" s="62"/>
      <c r="AP513" s="88"/>
      <c r="AQ513" s="88"/>
      <c r="AR513" s="88"/>
      <c r="AS513" s="99"/>
      <c r="AT513" s="99"/>
      <c r="AU513" s="99"/>
      <c r="AV513" s="99"/>
      <c r="AW513" s="99"/>
      <c r="AX513" s="99"/>
      <c r="AY513" s="99"/>
      <c r="AZ513" s="99"/>
      <c r="BA513" s="99"/>
      <c r="BB513" s="99"/>
      <c r="BC513" s="99"/>
      <c r="BD513" s="99"/>
      <c r="BE513" s="99"/>
      <c r="BF513" s="99"/>
      <c r="BG513" s="99"/>
      <c r="BH513" s="99"/>
      <c r="BI513" s="99"/>
      <c r="BJ513" s="99"/>
      <c r="BK513" s="99"/>
      <c r="BL513" s="99"/>
      <c r="BM513" s="99"/>
      <c r="BN513" s="99"/>
      <c r="BO513" s="99"/>
      <c r="BP513" s="99"/>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01"/>
    </row>
    <row r="514" spans="27:97">
      <c r="AA514" s="350"/>
      <c r="AB514" s="62"/>
      <c r="AC514" s="62"/>
      <c r="AD514" s="62"/>
      <c r="AP514" s="88"/>
      <c r="AQ514" s="88"/>
      <c r="AR514" s="88"/>
      <c r="AS514" s="99"/>
      <c r="AT514" s="99"/>
      <c r="AU514" s="99"/>
      <c r="AV514" s="99"/>
      <c r="AW514" s="99"/>
      <c r="AX514" s="99"/>
      <c r="AY514" s="99"/>
      <c r="AZ514" s="99"/>
      <c r="BA514" s="99"/>
      <c r="BB514" s="99"/>
      <c r="BC514" s="99"/>
      <c r="BD514" s="99"/>
      <c r="BE514" s="99"/>
      <c r="BF514" s="99"/>
      <c r="BG514" s="99"/>
      <c r="BH514" s="99"/>
      <c r="BI514" s="99"/>
      <c r="BJ514" s="99"/>
      <c r="BK514" s="99"/>
      <c r="BL514" s="99"/>
      <c r="BM514" s="99"/>
      <c r="BN514" s="99"/>
      <c r="BO514" s="99"/>
      <c r="BP514" s="99"/>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01"/>
    </row>
    <row r="515" spans="27:97">
      <c r="AA515" s="350"/>
      <c r="AB515" s="62"/>
      <c r="AC515" s="62"/>
      <c r="AD515" s="62"/>
      <c r="AP515" s="88"/>
      <c r="AQ515" s="88"/>
      <c r="AR515" s="88"/>
      <c r="AS515" s="99"/>
      <c r="AT515" s="99"/>
      <c r="AU515" s="99"/>
      <c r="AV515" s="99"/>
      <c r="AW515" s="99"/>
      <c r="AX515" s="99"/>
      <c r="AY515" s="99"/>
      <c r="AZ515" s="99"/>
      <c r="BA515" s="99"/>
      <c r="BB515" s="99"/>
      <c r="BC515" s="99"/>
      <c r="BD515" s="99"/>
      <c r="BE515" s="99"/>
      <c r="BF515" s="99"/>
      <c r="BG515" s="99"/>
      <c r="BH515" s="99"/>
      <c r="BI515" s="99"/>
      <c r="BJ515" s="99"/>
      <c r="BK515" s="99"/>
      <c r="BL515" s="99"/>
      <c r="BM515" s="99"/>
      <c r="BN515" s="99"/>
      <c r="BO515" s="99"/>
      <c r="BP515" s="99"/>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01"/>
    </row>
    <row r="516" spans="27:97">
      <c r="AA516" s="350"/>
      <c r="AB516" s="62"/>
      <c r="AC516" s="62"/>
      <c r="AD516" s="62"/>
      <c r="AP516" s="88"/>
      <c r="AQ516" s="88"/>
      <c r="AR516" s="88"/>
      <c r="AS516" s="99"/>
      <c r="AT516" s="99"/>
      <c r="AU516" s="99"/>
      <c r="AV516" s="99"/>
      <c r="AW516" s="99"/>
      <c r="AX516" s="99"/>
      <c r="AY516" s="99"/>
      <c r="AZ516" s="99"/>
      <c r="BA516" s="99"/>
      <c r="BB516" s="99"/>
      <c r="BC516" s="99"/>
      <c r="BD516" s="99"/>
      <c r="BE516" s="99"/>
      <c r="BF516" s="99"/>
      <c r="BG516" s="99"/>
      <c r="BH516" s="99"/>
      <c r="BI516" s="99"/>
      <c r="BJ516" s="99"/>
      <c r="BK516" s="99"/>
      <c r="BL516" s="99"/>
      <c r="BM516" s="99"/>
      <c r="BN516" s="99"/>
      <c r="BO516" s="99"/>
      <c r="BP516" s="99"/>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01"/>
    </row>
    <row r="517" spans="27:97">
      <c r="AA517" s="350"/>
      <c r="AB517" s="62"/>
      <c r="AC517" s="62"/>
      <c r="AD517" s="62"/>
      <c r="AP517" s="88"/>
      <c r="AQ517" s="88"/>
      <c r="AR517" s="88"/>
      <c r="AS517" s="99"/>
      <c r="AT517" s="99"/>
      <c r="AU517" s="99"/>
      <c r="AV517" s="99"/>
      <c r="AW517" s="99"/>
      <c r="AX517" s="99"/>
      <c r="AY517" s="99"/>
      <c r="AZ517" s="99"/>
      <c r="BA517" s="99"/>
      <c r="BB517" s="99"/>
      <c r="BC517" s="99"/>
      <c r="BD517" s="99"/>
      <c r="BE517" s="99"/>
      <c r="BF517" s="99"/>
      <c r="BG517" s="99"/>
      <c r="BH517" s="99"/>
      <c r="BI517" s="99"/>
      <c r="BJ517" s="99"/>
      <c r="BK517" s="99"/>
      <c r="BL517" s="99"/>
      <c r="BM517" s="99"/>
      <c r="BN517" s="99"/>
      <c r="BO517" s="99"/>
      <c r="BP517" s="99"/>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01"/>
    </row>
    <row r="518" spans="27:97">
      <c r="AA518" s="350"/>
      <c r="AB518" s="62"/>
      <c r="AC518" s="62"/>
      <c r="AD518" s="62"/>
      <c r="AP518" s="88"/>
      <c r="AQ518" s="88"/>
      <c r="AR518" s="88"/>
      <c r="AS518" s="99"/>
      <c r="AT518" s="99"/>
      <c r="AU518" s="99"/>
      <c r="AV518" s="99"/>
      <c r="AW518" s="99"/>
      <c r="AX518" s="99"/>
      <c r="AY518" s="99"/>
      <c r="AZ518" s="99"/>
      <c r="BA518" s="99"/>
      <c r="BB518" s="99"/>
      <c r="BC518" s="99"/>
      <c r="BD518" s="99"/>
      <c r="BE518" s="99"/>
      <c r="BF518" s="99"/>
      <c r="BG518" s="99"/>
      <c r="BH518" s="99"/>
      <c r="BI518" s="99"/>
      <c r="BJ518" s="99"/>
      <c r="BK518" s="99"/>
      <c r="BL518" s="99"/>
      <c r="BM518" s="99"/>
      <c r="BN518" s="99"/>
      <c r="BO518" s="99"/>
      <c r="BP518" s="99"/>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01"/>
    </row>
    <row r="519" spans="27:97">
      <c r="AA519" s="350"/>
      <c r="AB519" s="62"/>
      <c r="AC519" s="62"/>
      <c r="AD519" s="62"/>
      <c r="AP519" s="88"/>
      <c r="AQ519" s="88"/>
      <c r="AR519" s="88"/>
      <c r="AS519" s="99"/>
      <c r="AT519" s="99"/>
      <c r="AU519" s="99"/>
      <c r="AV519" s="99"/>
      <c r="AW519" s="99"/>
      <c r="AX519" s="99"/>
      <c r="AY519" s="99"/>
      <c r="AZ519" s="99"/>
      <c r="BA519" s="99"/>
      <c r="BB519" s="99"/>
      <c r="BC519" s="99"/>
      <c r="BD519" s="99"/>
      <c r="BE519" s="99"/>
      <c r="BF519" s="99"/>
      <c r="BG519" s="99"/>
      <c r="BH519" s="99"/>
      <c r="BI519" s="99"/>
      <c r="BJ519" s="99"/>
      <c r="BK519" s="99"/>
      <c r="BL519" s="99"/>
      <c r="BM519" s="99"/>
      <c r="BN519" s="99"/>
      <c r="BO519" s="99"/>
      <c r="BP519" s="99"/>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01"/>
    </row>
    <row r="520" spans="27:97">
      <c r="AA520" s="350"/>
      <c r="AB520" s="62"/>
      <c r="AC520" s="62"/>
      <c r="AD520" s="62"/>
      <c r="AP520" s="88"/>
      <c r="AQ520" s="88"/>
      <c r="AR520" s="88"/>
      <c r="AS520" s="99"/>
      <c r="AT520" s="99"/>
      <c r="AU520" s="99"/>
      <c r="AV520" s="99"/>
      <c r="AW520" s="99"/>
      <c r="AX520" s="99"/>
      <c r="AY520" s="99"/>
      <c r="AZ520" s="99"/>
      <c r="BA520" s="99"/>
      <c r="BB520" s="99"/>
      <c r="BC520" s="99"/>
      <c r="BD520" s="99"/>
      <c r="BE520" s="99"/>
      <c r="BF520" s="99"/>
      <c r="BG520" s="99"/>
      <c r="BH520" s="99"/>
      <c r="BI520" s="99"/>
      <c r="BJ520" s="99"/>
      <c r="BK520" s="99"/>
      <c r="BL520" s="99"/>
      <c r="BM520" s="99"/>
      <c r="BN520" s="99"/>
      <c r="BO520" s="99"/>
      <c r="BP520" s="99"/>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01"/>
    </row>
    <row r="521" spans="27:97">
      <c r="AA521" s="350"/>
      <c r="AB521" s="62"/>
      <c r="AC521" s="62"/>
      <c r="AD521" s="62"/>
      <c r="AP521" s="88"/>
      <c r="AQ521" s="88"/>
      <c r="AR521" s="88"/>
      <c r="AS521" s="99"/>
      <c r="AT521" s="99"/>
      <c r="AU521" s="99"/>
      <c r="AV521" s="99"/>
      <c r="AW521" s="99"/>
      <c r="AX521" s="99"/>
      <c r="AY521" s="99"/>
      <c r="AZ521" s="99"/>
      <c r="BA521" s="99"/>
      <c r="BB521" s="99"/>
      <c r="BC521" s="99"/>
      <c r="BD521" s="99"/>
      <c r="BE521" s="99"/>
      <c r="BF521" s="99"/>
      <c r="BG521" s="99"/>
      <c r="BH521" s="99"/>
      <c r="BI521" s="99"/>
      <c r="BJ521" s="99"/>
      <c r="BK521" s="99"/>
      <c r="BL521" s="99"/>
      <c r="BM521" s="99"/>
      <c r="BN521" s="99"/>
      <c r="BO521" s="99"/>
      <c r="BP521" s="99"/>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01"/>
    </row>
    <row r="522" spans="27:97">
      <c r="AA522" s="350"/>
      <c r="AB522" s="62"/>
      <c r="AC522" s="62"/>
      <c r="AD522" s="62"/>
      <c r="AP522" s="88"/>
      <c r="AQ522" s="88"/>
      <c r="AR522" s="88"/>
      <c r="AS522" s="99"/>
      <c r="AT522" s="99"/>
      <c r="AU522" s="99"/>
      <c r="AV522" s="99"/>
      <c r="AW522" s="99"/>
      <c r="AX522" s="99"/>
      <c r="AY522" s="99"/>
      <c r="AZ522" s="99"/>
      <c r="BA522" s="99"/>
      <c r="BB522" s="99"/>
      <c r="BC522" s="99"/>
      <c r="BD522" s="99"/>
      <c r="BE522" s="99"/>
      <c r="BF522" s="99"/>
      <c r="BG522" s="99"/>
      <c r="BH522" s="99"/>
      <c r="BI522" s="99"/>
      <c r="BJ522" s="99"/>
      <c r="BK522" s="99"/>
      <c r="BL522" s="99"/>
      <c r="BM522" s="99"/>
      <c r="BN522" s="99"/>
      <c r="BO522" s="99"/>
      <c r="BP522" s="99"/>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01"/>
    </row>
    <row r="523" spans="27:97">
      <c r="AA523" s="350"/>
      <c r="AB523" s="62"/>
      <c r="AC523" s="62"/>
      <c r="AD523" s="62"/>
      <c r="AP523" s="88"/>
      <c r="AQ523" s="88"/>
      <c r="AR523" s="88"/>
      <c r="AS523" s="99"/>
      <c r="AT523" s="99"/>
      <c r="AU523" s="99"/>
      <c r="AV523" s="99"/>
      <c r="AW523" s="99"/>
      <c r="AX523" s="99"/>
      <c r="AY523" s="99"/>
      <c r="AZ523" s="99"/>
      <c r="BA523" s="99"/>
      <c r="BB523" s="99"/>
      <c r="BC523" s="99"/>
      <c r="BD523" s="99"/>
      <c r="BE523" s="99"/>
      <c r="BF523" s="99"/>
      <c r="BG523" s="99"/>
      <c r="BH523" s="99"/>
      <c r="BI523" s="99"/>
      <c r="BJ523" s="99"/>
      <c r="BK523" s="99"/>
      <c r="BL523" s="99"/>
      <c r="BM523" s="99"/>
      <c r="BN523" s="99"/>
      <c r="BO523" s="99"/>
      <c r="BP523" s="99"/>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01"/>
    </row>
    <row r="524" spans="27:97">
      <c r="AA524" s="350"/>
      <c r="AB524" s="62"/>
      <c r="AC524" s="62"/>
      <c r="AD524" s="62"/>
      <c r="AP524" s="88"/>
      <c r="AQ524" s="88"/>
      <c r="AR524" s="88"/>
      <c r="AS524" s="99"/>
      <c r="AT524" s="99"/>
      <c r="AU524" s="99"/>
      <c r="AV524" s="99"/>
      <c r="AW524" s="99"/>
      <c r="AX524" s="99"/>
      <c r="AY524" s="99"/>
      <c r="AZ524" s="99"/>
      <c r="BA524" s="99"/>
      <c r="BB524" s="99"/>
      <c r="BC524" s="99"/>
      <c r="BD524" s="99"/>
      <c r="BE524" s="99"/>
      <c r="BF524" s="99"/>
      <c r="BG524" s="99"/>
      <c r="BH524" s="99"/>
      <c r="BI524" s="99"/>
      <c r="BJ524" s="99"/>
      <c r="BK524" s="99"/>
      <c r="BL524" s="99"/>
      <c r="BM524" s="99"/>
      <c r="BN524" s="99"/>
      <c r="BO524" s="99"/>
      <c r="BP524" s="99"/>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01"/>
    </row>
    <row r="525" spans="27:97">
      <c r="AA525" s="350"/>
      <c r="AB525" s="62"/>
      <c r="AC525" s="62"/>
      <c r="AD525" s="62"/>
      <c r="AP525" s="88"/>
      <c r="AQ525" s="88"/>
      <c r="AR525" s="88"/>
      <c r="AS525" s="99"/>
      <c r="AT525" s="99"/>
      <c r="AU525" s="99"/>
      <c r="AV525" s="99"/>
      <c r="AW525" s="99"/>
      <c r="AX525" s="99"/>
      <c r="AY525" s="99"/>
      <c r="AZ525" s="99"/>
      <c r="BA525" s="99"/>
      <c r="BB525" s="99"/>
      <c r="BC525" s="99"/>
      <c r="BD525" s="99"/>
      <c r="BE525" s="99"/>
      <c r="BF525" s="99"/>
      <c r="BG525" s="99"/>
      <c r="BH525" s="99"/>
      <c r="BI525" s="99"/>
      <c r="BJ525" s="99"/>
      <c r="BK525" s="99"/>
      <c r="BL525" s="99"/>
      <c r="BM525" s="99"/>
      <c r="BN525" s="99"/>
      <c r="BO525" s="99"/>
      <c r="BP525" s="99"/>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01"/>
    </row>
    <row r="526" spans="27:97">
      <c r="AA526" s="350"/>
      <c r="AB526" s="62"/>
      <c r="AC526" s="62"/>
      <c r="AD526" s="62"/>
      <c r="AP526" s="88"/>
      <c r="AQ526" s="88"/>
      <c r="AR526" s="88"/>
      <c r="AS526" s="99"/>
      <c r="AT526" s="99"/>
      <c r="AU526" s="99"/>
      <c r="AV526" s="99"/>
      <c r="AW526" s="99"/>
      <c r="AX526" s="99"/>
      <c r="AY526" s="99"/>
      <c r="AZ526" s="99"/>
      <c r="BA526" s="99"/>
      <c r="BB526" s="99"/>
      <c r="BC526" s="99"/>
      <c r="BD526" s="99"/>
      <c r="BE526" s="99"/>
      <c r="BF526" s="99"/>
      <c r="BG526" s="99"/>
      <c r="BH526" s="99"/>
      <c r="BI526" s="99"/>
      <c r="BJ526" s="99"/>
      <c r="BK526" s="99"/>
      <c r="BL526" s="99"/>
      <c r="BM526" s="99"/>
      <c r="BN526" s="99"/>
      <c r="BO526" s="99"/>
      <c r="BP526" s="99"/>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01"/>
    </row>
    <row r="527" spans="27:97">
      <c r="AA527" s="350"/>
      <c r="AB527" s="62"/>
      <c r="AC527" s="62"/>
      <c r="AD527" s="62"/>
      <c r="AP527" s="88"/>
      <c r="AQ527" s="88"/>
      <c r="AR527" s="88"/>
      <c r="AS527" s="99"/>
      <c r="AT527" s="99"/>
      <c r="AU527" s="99"/>
      <c r="AV527" s="99"/>
      <c r="AW527" s="99"/>
      <c r="AX527" s="99"/>
      <c r="AY527" s="99"/>
      <c r="AZ527" s="99"/>
      <c r="BA527" s="99"/>
      <c r="BB527" s="99"/>
      <c r="BC527" s="99"/>
      <c r="BD527" s="99"/>
      <c r="BE527" s="99"/>
      <c r="BF527" s="99"/>
      <c r="BG527" s="99"/>
      <c r="BH527" s="99"/>
      <c r="BI527" s="99"/>
      <c r="BJ527" s="99"/>
      <c r="BK527" s="99"/>
      <c r="BL527" s="99"/>
      <c r="BM527" s="99"/>
      <c r="BN527" s="99"/>
      <c r="BO527" s="99"/>
      <c r="BP527" s="99"/>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01"/>
    </row>
    <row r="528" spans="27:97">
      <c r="AA528" s="350"/>
      <c r="AB528" s="62"/>
      <c r="AC528" s="62"/>
      <c r="AD528" s="62"/>
      <c r="AP528" s="88"/>
      <c r="AQ528" s="88"/>
      <c r="AR528" s="88"/>
      <c r="AS528" s="99"/>
      <c r="AT528" s="99"/>
      <c r="AU528" s="99"/>
      <c r="AV528" s="99"/>
      <c r="AW528" s="99"/>
      <c r="AX528" s="99"/>
      <c r="AY528" s="99"/>
      <c r="AZ528" s="99"/>
      <c r="BA528" s="99"/>
      <c r="BB528" s="99"/>
      <c r="BC528" s="99"/>
      <c r="BD528" s="99"/>
      <c r="BE528" s="99"/>
      <c r="BF528" s="99"/>
      <c r="BG528" s="99"/>
      <c r="BH528" s="99"/>
      <c r="BI528" s="99"/>
      <c r="BJ528" s="99"/>
      <c r="BK528" s="99"/>
      <c r="BL528" s="99"/>
      <c r="BM528" s="99"/>
      <c r="BN528" s="99"/>
      <c r="BO528" s="99"/>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01"/>
    </row>
    <row r="529" spans="27:97">
      <c r="AA529" s="350"/>
      <c r="AB529" s="62"/>
      <c r="AC529" s="62"/>
      <c r="AD529" s="62"/>
      <c r="AP529" s="88"/>
      <c r="AQ529" s="88"/>
      <c r="AR529" s="88"/>
      <c r="AS529" s="99"/>
      <c r="AT529" s="99"/>
      <c r="AU529" s="99"/>
      <c r="AV529" s="99"/>
      <c r="AW529" s="99"/>
      <c r="AX529" s="99"/>
      <c r="AY529" s="99"/>
      <c r="AZ529" s="99"/>
      <c r="BA529" s="99"/>
      <c r="BB529" s="99"/>
      <c r="BC529" s="99"/>
      <c r="BD529" s="99"/>
      <c r="BE529" s="99"/>
      <c r="BF529" s="99"/>
      <c r="BG529" s="99"/>
      <c r="BH529" s="99"/>
      <c r="BI529" s="99"/>
      <c r="BJ529" s="99"/>
      <c r="BK529" s="99"/>
      <c r="BL529" s="99"/>
      <c r="BM529" s="99"/>
      <c r="BN529" s="99"/>
      <c r="BO529" s="99"/>
      <c r="BP529" s="99"/>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01"/>
    </row>
    <row r="530" spans="27:97">
      <c r="AA530" s="350"/>
      <c r="AB530" s="62"/>
      <c r="AC530" s="62"/>
      <c r="AD530" s="62"/>
      <c r="AP530" s="88"/>
      <c r="AQ530" s="88"/>
      <c r="AR530" s="88"/>
      <c r="AS530" s="99"/>
      <c r="AT530" s="99"/>
      <c r="AU530" s="99"/>
      <c r="AV530" s="99"/>
      <c r="AW530" s="99"/>
      <c r="AX530" s="99"/>
      <c r="AY530" s="99"/>
      <c r="AZ530" s="99"/>
      <c r="BA530" s="99"/>
      <c r="BB530" s="99"/>
      <c r="BC530" s="99"/>
      <c r="BD530" s="99"/>
      <c r="BE530" s="99"/>
      <c r="BF530" s="99"/>
      <c r="BG530" s="99"/>
      <c r="BH530" s="99"/>
      <c r="BI530" s="99"/>
      <c r="BJ530" s="99"/>
      <c r="BK530" s="99"/>
      <c r="BL530" s="99"/>
      <c r="BM530" s="99"/>
      <c r="BN530" s="99"/>
      <c r="BO530" s="99"/>
      <c r="BP530" s="99"/>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01"/>
    </row>
    <row r="531" spans="27:97">
      <c r="AA531" s="350"/>
      <c r="AB531" s="62"/>
      <c r="AC531" s="62"/>
      <c r="AD531" s="62"/>
      <c r="AP531" s="88"/>
      <c r="AQ531" s="88"/>
      <c r="AR531" s="88"/>
      <c r="AS531" s="99"/>
      <c r="AT531" s="99"/>
      <c r="AU531" s="99"/>
      <c r="AV531" s="99"/>
      <c r="AW531" s="99"/>
      <c r="AX531" s="99"/>
      <c r="AY531" s="99"/>
      <c r="AZ531" s="99"/>
      <c r="BA531" s="99"/>
      <c r="BB531" s="99"/>
      <c r="BC531" s="99"/>
      <c r="BD531" s="99"/>
      <c r="BE531" s="99"/>
      <c r="BF531" s="99"/>
      <c r="BG531" s="99"/>
      <c r="BH531" s="99"/>
      <c r="BI531" s="99"/>
      <c r="BJ531" s="99"/>
      <c r="BK531" s="99"/>
      <c r="BL531" s="99"/>
      <c r="BM531" s="99"/>
      <c r="BN531" s="99"/>
      <c r="BO531" s="99"/>
      <c r="BP531" s="99"/>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01"/>
    </row>
    <row r="532" spans="27:97">
      <c r="AA532" s="350"/>
      <c r="AB532" s="62"/>
      <c r="AC532" s="62"/>
      <c r="AD532" s="62"/>
      <c r="AP532" s="88"/>
      <c r="AQ532" s="88"/>
      <c r="AR532" s="88"/>
      <c r="AS532" s="99"/>
      <c r="AT532" s="99"/>
      <c r="AU532" s="99"/>
      <c r="AV532" s="99"/>
      <c r="AW532" s="99"/>
      <c r="AX532" s="99"/>
      <c r="AY532" s="99"/>
      <c r="AZ532" s="99"/>
      <c r="BA532" s="99"/>
      <c r="BB532" s="99"/>
      <c r="BC532" s="99"/>
      <c r="BD532" s="99"/>
      <c r="BE532" s="99"/>
      <c r="BF532" s="99"/>
      <c r="BG532" s="99"/>
      <c r="BH532" s="99"/>
      <c r="BI532" s="99"/>
      <c r="BJ532" s="99"/>
      <c r="BK532" s="99"/>
      <c r="BL532" s="99"/>
      <c r="BM532" s="99"/>
      <c r="BN532" s="99"/>
      <c r="BO532" s="99"/>
      <c r="BP532" s="99"/>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01"/>
    </row>
    <row r="533" spans="27:97">
      <c r="AA533" s="350"/>
      <c r="AB533" s="62"/>
      <c r="AC533" s="62"/>
      <c r="AD533" s="62"/>
      <c r="AP533" s="88"/>
      <c r="AQ533" s="88"/>
      <c r="AR533" s="88"/>
      <c r="AS533" s="99"/>
      <c r="AT533" s="99"/>
      <c r="AU533" s="99"/>
      <c r="AV533" s="99"/>
      <c r="AW533" s="99"/>
      <c r="AX533" s="99"/>
      <c r="AY533" s="99"/>
      <c r="AZ533" s="99"/>
      <c r="BA533" s="99"/>
      <c r="BB533" s="99"/>
      <c r="BC533" s="99"/>
      <c r="BD533" s="99"/>
      <c r="BE533" s="99"/>
      <c r="BF533" s="99"/>
      <c r="BG533" s="99"/>
      <c r="BH533" s="99"/>
      <c r="BI533" s="99"/>
      <c r="BJ533" s="99"/>
      <c r="BK533" s="99"/>
      <c r="BL533" s="99"/>
      <c r="BM533" s="99"/>
      <c r="BN533" s="99"/>
      <c r="BO533" s="99"/>
      <c r="BP533" s="99"/>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01"/>
    </row>
    <row r="534" spans="27:97">
      <c r="AA534" s="350"/>
      <c r="AB534" s="62"/>
      <c r="AC534" s="62"/>
      <c r="AD534" s="62"/>
      <c r="AP534" s="88"/>
      <c r="AQ534" s="88"/>
      <c r="AR534" s="88"/>
      <c r="AS534" s="99"/>
      <c r="AT534" s="99"/>
      <c r="AU534" s="99"/>
      <c r="AV534" s="99"/>
      <c r="AW534" s="99"/>
      <c r="AX534" s="99"/>
      <c r="AY534" s="99"/>
      <c r="AZ534" s="99"/>
      <c r="BA534" s="99"/>
      <c r="BB534" s="99"/>
      <c r="BC534" s="99"/>
      <c r="BD534" s="99"/>
      <c r="BE534" s="99"/>
      <c r="BF534" s="99"/>
      <c r="BG534" s="99"/>
      <c r="BH534" s="99"/>
      <c r="BI534" s="99"/>
      <c r="BJ534" s="99"/>
      <c r="BK534" s="99"/>
      <c r="BL534" s="99"/>
      <c r="BM534" s="99"/>
      <c r="BN534" s="99"/>
      <c r="BO534" s="99"/>
      <c r="BP534" s="99"/>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01"/>
    </row>
    <row r="535" spans="27:97">
      <c r="AA535" s="350"/>
      <c r="AB535" s="62"/>
      <c r="AC535" s="62"/>
      <c r="AD535" s="62"/>
      <c r="AP535" s="88"/>
      <c r="AQ535" s="88"/>
      <c r="AR535" s="88"/>
      <c r="AS535" s="99"/>
      <c r="AT535" s="99"/>
      <c r="AU535" s="99"/>
      <c r="AV535" s="99"/>
      <c r="AW535" s="99"/>
      <c r="AX535" s="99"/>
      <c r="AY535" s="99"/>
      <c r="AZ535" s="99"/>
      <c r="BA535" s="99"/>
      <c r="BB535" s="99"/>
      <c r="BC535" s="99"/>
      <c r="BD535" s="99"/>
      <c r="BE535" s="99"/>
      <c r="BF535" s="99"/>
      <c r="BG535" s="99"/>
      <c r="BH535" s="99"/>
      <c r="BI535" s="99"/>
      <c r="BJ535" s="99"/>
      <c r="BK535" s="99"/>
      <c r="BL535" s="99"/>
      <c r="BM535" s="99"/>
      <c r="BN535" s="99"/>
      <c r="BO535" s="99"/>
      <c r="BP535" s="99"/>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01"/>
    </row>
    <row r="536" spans="27:97">
      <c r="AA536" s="350"/>
      <c r="AB536" s="62"/>
      <c r="AC536" s="62"/>
      <c r="AD536" s="62"/>
      <c r="AP536" s="88"/>
      <c r="AQ536" s="88"/>
      <c r="AR536" s="88"/>
      <c r="AS536" s="99"/>
      <c r="AT536" s="99"/>
      <c r="AU536" s="99"/>
      <c r="AV536" s="99"/>
      <c r="AW536" s="99"/>
      <c r="AX536" s="99"/>
      <c r="AY536" s="99"/>
      <c r="AZ536" s="99"/>
      <c r="BA536" s="99"/>
      <c r="BB536" s="99"/>
      <c r="BC536" s="99"/>
      <c r="BD536" s="99"/>
      <c r="BE536" s="99"/>
      <c r="BF536" s="99"/>
      <c r="BG536" s="99"/>
      <c r="BH536" s="99"/>
      <c r="BI536" s="99"/>
      <c r="BJ536" s="99"/>
      <c r="BK536" s="99"/>
      <c r="BL536" s="99"/>
      <c r="BM536" s="99"/>
      <c r="BN536" s="99"/>
      <c r="BO536" s="99"/>
      <c r="BP536" s="99"/>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01"/>
    </row>
    <row r="537" spans="27:97">
      <c r="AA537" s="350"/>
      <c r="AB537" s="62"/>
      <c r="AC537" s="62"/>
      <c r="AD537" s="62"/>
      <c r="AP537" s="88"/>
      <c r="AQ537" s="88"/>
      <c r="AR537" s="88"/>
      <c r="AS537" s="99"/>
      <c r="AT537" s="99"/>
      <c r="AU537" s="99"/>
      <c r="AV537" s="99"/>
      <c r="AW537" s="99"/>
      <c r="AX537" s="99"/>
      <c r="AY537" s="99"/>
      <c r="AZ537" s="99"/>
      <c r="BA537" s="99"/>
      <c r="BB537" s="99"/>
      <c r="BC537" s="99"/>
      <c r="BD537" s="99"/>
      <c r="BE537" s="99"/>
      <c r="BF537" s="99"/>
      <c r="BG537" s="99"/>
      <c r="BH537" s="99"/>
      <c r="BI537" s="99"/>
      <c r="BJ537" s="99"/>
      <c r="BK537" s="99"/>
      <c r="BL537" s="99"/>
      <c r="BM537" s="99"/>
      <c r="BN537" s="99"/>
      <c r="BO537" s="99"/>
      <c r="BP537" s="99"/>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01"/>
    </row>
    <row r="538" spans="27:97">
      <c r="AA538" s="350"/>
      <c r="AB538" s="62"/>
      <c r="AC538" s="62"/>
      <c r="AD538" s="62"/>
      <c r="AP538" s="88"/>
      <c r="AQ538" s="88"/>
      <c r="AR538" s="88"/>
      <c r="AS538" s="99"/>
      <c r="AT538" s="99"/>
      <c r="AU538" s="99"/>
      <c r="AV538" s="99"/>
      <c r="AW538" s="99"/>
      <c r="AX538" s="99"/>
      <c r="AY538" s="99"/>
      <c r="AZ538" s="99"/>
      <c r="BA538" s="99"/>
      <c r="BB538" s="99"/>
      <c r="BC538" s="99"/>
      <c r="BD538" s="99"/>
      <c r="BE538" s="99"/>
      <c r="BF538" s="99"/>
      <c r="BG538" s="99"/>
      <c r="BH538" s="99"/>
      <c r="BI538" s="99"/>
      <c r="BJ538" s="99"/>
      <c r="BK538" s="99"/>
      <c r="BL538" s="99"/>
      <c r="BM538" s="99"/>
      <c r="BN538" s="99"/>
      <c r="BO538" s="99"/>
      <c r="BP538" s="99"/>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01"/>
    </row>
    <row r="539" spans="27:97">
      <c r="AA539" s="350"/>
      <c r="AB539" s="62"/>
      <c r="AC539" s="62"/>
      <c r="AD539" s="62"/>
      <c r="AP539" s="88"/>
      <c r="AQ539" s="88"/>
      <c r="AR539" s="88"/>
      <c r="AS539" s="99"/>
      <c r="AT539" s="99"/>
      <c r="AU539" s="99"/>
      <c r="AV539" s="99"/>
      <c r="AW539" s="99"/>
      <c r="AX539" s="99"/>
      <c r="AY539" s="99"/>
      <c r="AZ539" s="99"/>
      <c r="BA539" s="99"/>
      <c r="BB539" s="99"/>
      <c r="BC539" s="99"/>
      <c r="BD539" s="99"/>
      <c r="BE539" s="99"/>
      <c r="BF539" s="99"/>
      <c r="BG539" s="99"/>
      <c r="BH539" s="99"/>
      <c r="BI539" s="99"/>
      <c r="BJ539" s="99"/>
      <c r="BK539" s="99"/>
      <c r="BL539" s="99"/>
      <c r="BM539" s="99"/>
      <c r="BN539" s="99"/>
      <c r="BO539" s="99"/>
      <c r="BP539" s="99"/>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01"/>
    </row>
    <row r="540" spans="27:97">
      <c r="AA540" s="350"/>
      <c r="AB540" s="62"/>
      <c r="AC540" s="62"/>
      <c r="AD540" s="62"/>
      <c r="AP540" s="88"/>
      <c r="AQ540" s="88"/>
      <c r="AR540" s="88"/>
      <c r="AS540" s="99"/>
      <c r="AT540" s="99"/>
      <c r="AU540" s="99"/>
      <c r="AV540" s="99"/>
      <c r="AW540" s="99"/>
      <c r="AX540" s="99"/>
      <c r="AY540" s="99"/>
      <c r="AZ540" s="99"/>
      <c r="BA540" s="99"/>
      <c r="BB540" s="99"/>
      <c r="BC540" s="99"/>
      <c r="BD540" s="99"/>
      <c r="BE540" s="99"/>
      <c r="BF540" s="99"/>
      <c r="BG540" s="99"/>
      <c r="BH540" s="99"/>
      <c r="BI540" s="99"/>
      <c r="BJ540" s="99"/>
      <c r="BK540" s="99"/>
      <c r="BL540" s="99"/>
      <c r="BM540" s="99"/>
      <c r="BN540" s="99"/>
      <c r="BO540" s="99"/>
      <c r="BP540" s="99"/>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01"/>
    </row>
    <row r="541" spans="27:97">
      <c r="AA541" s="350"/>
      <c r="AB541" s="62"/>
      <c r="AC541" s="62"/>
      <c r="AD541" s="62"/>
      <c r="AP541" s="88"/>
      <c r="AQ541" s="88"/>
      <c r="AR541" s="88"/>
      <c r="AS541" s="99"/>
      <c r="AT541" s="99"/>
      <c r="AU541" s="99"/>
      <c r="AV541" s="99"/>
      <c r="AW541" s="99"/>
      <c r="AX541" s="99"/>
      <c r="AY541" s="99"/>
      <c r="AZ541" s="99"/>
      <c r="BA541" s="99"/>
      <c r="BB541" s="99"/>
      <c r="BC541" s="99"/>
      <c r="BD541" s="99"/>
      <c r="BE541" s="99"/>
      <c r="BF541" s="99"/>
      <c r="BG541" s="99"/>
      <c r="BH541" s="99"/>
      <c r="BI541" s="99"/>
      <c r="BJ541" s="99"/>
      <c r="BK541" s="99"/>
      <c r="BL541" s="99"/>
      <c r="BM541" s="99"/>
      <c r="BN541" s="99"/>
      <c r="BO541" s="99"/>
      <c r="BP541" s="99"/>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01"/>
    </row>
    <row r="542" spans="27:97">
      <c r="AA542" s="350"/>
      <c r="AB542" s="62"/>
      <c r="AC542" s="62"/>
      <c r="AD542" s="62"/>
      <c r="AP542" s="88"/>
      <c r="AQ542" s="88"/>
      <c r="AR542" s="88"/>
      <c r="AS542" s="99"/>
      <c r="AT542" s="99"/>
      <c r="AU542" s="99"/>
      <c r="AV542" s="99"/>
      <c r="AW542" s="99"/>
      <c r="AX542" s="99"/>
      <c r="AY542" s="99"/>
      <c r="AZ542" s="99"/>
      <c r="BA542" s="99"/>
      <c r="BB542" s="99"/>
      <c r="BC542" s="99"/>
      <c r="BD542" s="99"/>
      <c r="BE542" s="99"/>
      <c r="BF542" s="99"/>
      <c r="BG542" s="99"/>
      <c r="BH542" s="99"/>
      <c r="BI542" s="99"/>
      <c r="BJ542" s="99"/>
      <c r="BK542" s="99"/>
      <c r="BL542" s="99"/>
      <c r="BM542" s="99"/>
      <c r="BN542" s="99"/>
      <c r="BO542" s="99"/>
      <c r="BP542" s="99"/>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01"/>
    </row>
    <row r="543" spans="27:97">
      <c r="AA543" s="350"/>
      <c r="AB543" s="62"/>
      <c r="AC543" s="62"/>
      <c r="AD543" s="62"/>
      <c r="AP543" s="88"/>
      <c r="AQ543" s="88"/>
      <c r="AR543" s="88"/>
      <c r="AS543" s="99"/>
      <c r="AT543" s="99"/>
      <c r="AU543" s="99"/>
      <c r="AV543" s="99"/>
      <c r="AW543" s="99"/>
      <c r="AX543" s="99"/>
      <c r="AY543" s="99"/>
      <c r="AZ543" s="99"/>
      <c r="BA543" s="99"/>
      <c r="BB543" s="99"/>
      <c r="BC543" s="99"/>
      <c r="BD543" s="99"/>
      <c r="BE543" s="99"/>
      <c r="BF543" s="99"/>
      <c r="BG543" s="99"/>
      <c r="BH543" s="99"/>
      <c r="BI543" s="99"/>
      <c r="BJ543" s="99"/>
      <c r="BK543" s="99"/>
      <c r="BL543" s="99"/>
      <c r="BM543" s="99"/>
      <c r="BN543" s="99"/>
      <c r="BO543" s="99"/>
      <c r="BP543" s="99"/>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01"/>
    </row>
    <row r="544" spans="27:97">
      <c r="AA544" s="350"/>
      <c r="AB544" s="62"/>
      <c r="AC544" s="62"/>
      <c r="AD544" s="62"/>
      <c r="AP544" s="88"/>
      <c r="AQ544" s="88"/>
      <c r="AR544" s="88"/>
      <c r="AS544" s="99"/>
      <c r="AT544" s="99"/>
      <c r="AU544" s="99"/>
      <c r="AV544" s="99"/>
      <c r="AW544" s="99"/>
      <c r="AX544" s="99"/>
      <c r="AY544" s="99"/>
      <c r="AZ544" s="99"/>
      <c r="BA544" s="99"/>
      <c r="BB544" s="99"/>
      <c r="BC544" s="99"/>
      <c r="BD544" s="99"/>
      <c r="BE544" s="99"/>
      <c r="BF544" s="99"/>
      <c r="BG544" s="99"/>
      <c r="BH544" s="99"/>
      <c r="BI544" s="99"/>
      <c r="BJ544" s="99"/>
      <c r="BK544" s="99"/>
      <c r="BL544" s="99"/>
      <c r="BM544" s="99"/>
      <c r="BN544" s="99"/>
      <c r="BO544" s="99"/>
      <c r="BP544" s="99"/>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01"/>
    </row>
    <row r="545" spans="27:97">
      <c r="AA545" s="350"/>
      <c r="AB545" s="62"/>
      <c r="AC545" s="62"/>
      <c r="AD545" s="62"/>
      <c r="AP545" s="88"/>
      <c r="AQ545" s="88"/>
      <c r="AR545" s="88"/>
      <c r="AS545" s="99"/>
      <c r="AT545" s="99"/>
      <c r="AU545" s="99"/>
      <c r="AV545" s="99"/>
      <c r="AW545" s="99"/>
      <c r="AX545" s="99"/>
      <c r="AY545" s="99"/>
      <c r="AZ545" s="99"/>
      <c r="BA545" s="99"/>
      <c r="BB545" s="99"/>
      <c r="BC545" s="99"/>
      <c r="BD545" s="99"/>
      <c r="BE545" s="99"/>
      <c r="BF545" s="99"/>
      <c r="BG545" s="99"/>
      <c r="BH545" s="99"/>
      <c r="BI545" s="99"/>
      <c r="BJ545" s="99"/>
      <c r="BK545" s="99"/>
      <c r="BL545" s="99"/>
      <c r="BM545" s="99"/>
      <c r="BN545" s="99"/>
      <c r="BO545" s="99"/>
      <c r="BP545" s="99"/>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01"/>
    </row>
    <row r="546" spans="27:97">
      <c r="AA546" s="350"/>
      <c r="AB546" s="62"/>
      <c r="AC546" s="62"/>
      <c r="AD546" s="62"/>
      <c r="AP546" s="88"/>
      <c r="AQ546" s="88"/>
      <c r="AR546" s="88"/>
      <c r="AS546" s="99"/>
      <c r="AT546" s="99"/>
      <c r="AU546" s="99"/>
      <c r="AV546" s="99"/>
      <c r="AW546" s="99"/>
      <c r="AX546" s="99"/>
      <c r="AY546" s="99"/>
      <c r="AZ546" s="99"/>
      <c r="BA546" s="99"/>
      <c r="BB546" s="99"/>
      <c r="BC546" s="99"/>
      <c r="BD546" s="99"/>
      <c r="BE546" s="99"/>
      <c r="BF546" s="99"/>
      <c r="BG546" s="99"/>
      <c r="BH546" s="99"/>
      <c r="BI546" s="99"/>
      <c r="BJ546" s="99"/>
      <c r="BK546" s="99"/>
      <c r="BL546" s="99"/>
      <c r="BM546" s="99"/>
      <c r="BN546" s="99"/>
      <c r="BO546" s="99"/>
      <c r="BP546" s="99"/>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01"/>
    </row>
    <row r="547" spans="27:97">
      <c r="AA547" s="350"/>
      <c r="AB547" s="62"/>
      <c r="AC547" s="62"/>
      <c r="AD547" s="62"/>
      <c r="AP547" s="88"/>
      <c r="AQ547" s="88"/>
      <c r="AR547" s="88"/>
      <c r="AS547" s="99"/>
      <c r="AT547" s="99"/>
      <c r="AU547" s="99"/>
      <c r="AV547" s="99"/>
      <c r="AW547" s="99"/>
      <c r="AX547" s="99"/>
      <c r="AY547" s="99"/>
      <c r="AZ547" s="99"/>
      <c r="BA547" s="99"/>
      <c r="BB547" s="99"/>
      <c r="BC547" s="99"/>
      <c r="BD547" s="99"/>
      <c r="BE547" s="99"/>
      <c r="BF547" s="99"/>
      <c r="BG547" s="99"/>
      <c r="BH547" s="99"/>
      <c r="BI547" s="99"/>
      <c r="BJ547" s="99"/>
      <c r="BK547" s="99"/>
      <c r="BL547" s="99"/>
      <c r="BM547" s="99"/>
      <c r="BN547" s="99"/>
      <c r="BO547" s="99"/>
      <c r="BP547" s="99"/>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01"/>
    </row>
    <row r="548" spans="27:97">
      <c r="AA548" s="350"/>
      <c r="AB548" s="62"/>
      <c r="AC548" s="62"/>
      <c r="AD548" s="62"/>
      <c r="AP548" s="88"/>
      <c r="AQ548" s="88"/>
      <c r="AR548" s="88"/>
      <c r="AS548" s="99"/>
      <c r="AT548" s="99"/>
      <c r="AU548" s="99"/>
      <c r="AV548" s="99"/>
      <c r="AW548" s="99"/>
      <c r="AX548" s="99"/>
      <c r="AY548" s="99"/>
      <c r="AZ548" s="99"/>
      <c r="BA548" s="99"/>
      <c r="BB548" s="99"/>
      <c r="BC548" s="99"/>
      <c r="BD548" s="99"/>
      <c r="BE548" s="99"/>
      <c r="BF548" s="99"/>
      <c r="BG548" s="99"/>
      <c r="BH548" s="99"/>
      <c r="BI548" s="99"/>
      <c r="BJ548" s="99"/>
      <c r="BK548" s="99"/>
      <c r="BL548" s="99"/>
      <c r="BM548" s="99"/>
      <c r="BN548" s="99"/>
      <c r="BO548" s="99"/>
      <c r="BP548" s="99"/>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01"/>
    </row>
    <row r="549" spans="27:97">
      <c r="AA549" s="350"/>
      <c r="AB549" s="62"/>
      <c r="AC549" s="62"/>
      <c r="AD549" s="62"/>
      <c r="AP549" s="88"/>
      <c r="AQ549" s="88"/>
      <c r="AR549" s="88"/>
      <c r="AS549" s="99"/>
      <c r="AT549" s="99"/>
      <c r="AU549" s="99"/>
      <c r="AV549" s="99"/>
      <c r="AW549" s="99"/>
      <c r="AX549" s="99"/>
      <c r="AY549" s="99"/>
      <c r="AZ549" s="99"/>
      <c r="BA549" s="99"/>
      <c r="BB549" s="99"/>
      <c r="BC549" s="99"/>
      <c r="BD549" s="99"/>
      <c r="BE549" s="99"/>
      <c r="BF549" s="99"/>
      <c r="BG549" s="99"/>
      <c r="BH549" s="99"/>
      <c r="BI549" s="99"/>
      <c r="BJ549" s="99"/>
      <c r="BK549" s="99"/>
      <c r="BL549" s="99"/>
      <c r="BM549" s="99"/>
      <c r="BN549" s="99"/>
      <c r="BO549" s="99"/>
      <c r="BP549" s="99"/>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01"/>
    </row>
    <row r="550" spans="27:97">
      <c r="AA550" s="350"/>
      <c r="AB550" s="62"/>
      <c r="AC550" s="62"/>
      <c r="AD550" s="62"/>
      <c r="AP550" s="88"/>
      <c r="AQ550" s="88"/>
      <c r="AR550" s="88"/>
      <c r="AS550" s="99"/>
      <c r="AT550" s="99"/>
      <c r="AU550" s="99"/>
      <c r="AV550" s="99"/>
      <c r="AW550" s="99"/>
      <c r="AX550" s="99"/>
      <c r="AY550" s="99"/>
      <c r="AZ550" s="99"/>
      <c r="BA550" s="99"/>
      <c r="BB550" s="99"/>
      <c r="BC550" s="99"/>
      <c r="BD550" s="99"/>
      <c r="BE550" s="99"/>
      <c r="BF550" s="99"/>
      <c r="BG550" s="99"/>
      <c r="BH550" s="99"/>
      <c r="BI550" s="99"/>
      <c r="BJ550" s="99"/>
      <c r="BK550" s="99"/>
      <c r="BL550" s="99"/>
      <c r="BM550" s="99"/>
      <c r="BN550" s="99"/>
      <c r="BO550" s="99"/>
      <c r="BP550" s="99"/>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01"/>
    </row>
    <row r="551" spans="27:97">
      <c r="AA551" s="350"/>
      <c r="AB551" s="62"/>
      <c r="AC551" s="62"/>
      <c r="AD551" s="62"/>
      <c r="AP551" s="88"/>
      <c r="AQ551" s="88"/>
      <c r="AR551" s="88"/>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01"/>
    </row>
    <row r="552" spans="27:97">
      <c r="AA552" s="350"/>
      <c r="AB552" s="62"/>
      <c r="AC552" s="62"/>
      <c r="AD552" s="62"/>
      <c r="AP552" s="88"/>
      <c r="AQ552" s="88"/>
      <c r="AR552" s="88"/>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01"/>
    </row>
    <row r="553" spans="27:97">
      <c r="AA553" s="350"/>
      <c r="AB553" s="62"/>
      <c r="AC553" s="62"/>
      <c r="AD553" s="62"/>
      <c r="AP553" s="88"/>
      <c r="AQ553" s="88"/>
      <c r="AR553" s="88"/>
      <c r="AS553" s="99"/>
      <c r="AT553" s="99"/>
      <c r="AU553" s="99"/>
      <c r="AV553" s="99"/>
      <c r="AW553" s="99"/>
      <c r="AX553" s="99"/>
      <c r="AY553" s="99"/>
      <c r="AZ553" s="99"/>
      <c r="BA553" s="99"/>
      <c r="BB553" s="99"/>
      <c r="BC553" s="99"/>
      <c r="BD553" s="99"/>
      <c r="BE553" s="99"/>
      <c r="BF553" s="99"/>
      <c r="BG553" s="99"/>
      <c r="BH553" s="99"/>
      <c r="BI553" s="99"/>
      <c r="BJ553" s="99"/>
      <c r="BK553" s="99"/>
      <c r="BL553" s="99"/>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01"/>
    </row>
    <row r="554" spans="27:97">
      <c r="AA554" s="350"/>
      <c r="AB554" s="62"/>
      <c r="AC554" s="62"/>
      <c r="AD554" s="62"/>
      <c r="AP554" s="88"/>
      <c r="AQ554" s="88"/>
      <c r="AR554" s="88"/>
      <c r="AS554" s="99"/>
      <c r="AT554" s="99"/>
      <c r="AU554" s="99"/>
      <c r="AV554" s="99"/>
      <c r="AW554" s="99"/>
      <c r="AX554" s="99"/>
      <c r="AY554" s="99"/>
      <c r="AZ554" s="99"/>
      <c r="BA554" s="99"/>
      <c r="BB554" s="99"/>
      <c r="BC554" s="99"/>
      <c r="BD554" s="99"/>
      <c r="BE554" s="99"/>
      <c r="BF554" s="99"/>
      <c r="BG554" s="99"/>
      <c r="BH554" s="99"/>
      <c r="BI554" s="99"/>
      <c r="BJ554" s="99"/>
      <c r="BK554" s="99"/>
      <c r="BL554" s="99"/>
      <c r="BM554" s="99"/>
      <c r="BN554" s="99"/>
      <c r="BO554" s="99"/>
      <c r="BP554" s="99"/>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01"/>
    </row>
    <row r="555" spans="27:97">
      <c r="AA555" s="350"/>
      <c r="AB555" s="62"/>
      <c r="AC555" s="62"/>
      <c r="AD555" s="62"/>
      <c r="AP555" s="88"/>
      <c r="AQ555" s="88"/>
      <c r="AR555" s="88"/>
      <c r="AS555" s="99"/>
      <c r="AT555" s="99"/>
      <c r="AU555" s="99"/>
      <c r="AV555" s="99"/>
      <c r="AW555" s="99"/>
      <c r="AX555" s="99"/>
      <c r="AY555" s="99"/>
      <c r="AZ555" s="99"/>
      <c r="BA555" s="99"/>
      <c r="BB555" s="99"/>
      <c r="BC555" s="99"/>
      <c r="BD555" s="99"/>
      <c r="BE555" s="99"/>
      <c r="BF555" s="99"/>
      <c r="BG555" s="99"/>
      <c r="BH555" s="99"/>
      <c r="BI555" s="99"/>
      <c r="BJ555" s="99"/>
      <c r="BK555" s="99"/>
      <c r="BL555" s="99"/>
      <c r="BM555" s="99"/>
      <c r="BN555" s="99"/>
      <c r="BO555" s="99"/>
      <c r="BP555" s="99"/>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01"/>
    </row>
    <row r="556" spans="27:97">
      <c r="AA556" s="350"/>
      <c r="AB556" s="62"/>
      <c r="AC556" s="62"/>
      <c r="AD556" s="62"/>
      <c r="AP556" s="88"/>
      <c r="AQ556" s="88"/>
      <c r="AR556" s="88"/>
      <c r="AS556" s="99"/>
      <c r="AT556" s="99"/>
      <c r="AU556" s="99"/>
      <c r="AV556" s="99"/>
      <c r="AW556" s="99"/>
      <c r="AX556" s="99"/>
      <c r="AY556" s="99"/>
      <c r="AZ556" s="99"/>
      <c r="BA556" s="99"/>
      <c r="BB556" s="99"/>
      <c r="BC556" s="99"/>
      <c r="BD556" s="99"/>
      <c r="BE556" s="99"/>
      <c r="BF556" s="99"/>
      <c r="BG556" s="99"/>
      <c r="BH556" s="99"/>
      <c r="BI556" s="99"/>
      <c r="BJ556" s="99"/>
      <c r="BK556" s="99"/>
      <c r="BL556" s="99"/>
      <c r="BM556" s="99"/>
      <c r="BN556" s="99"/>
      <c r="BO556" s="99"/>
      <c r="BP556" s="99"/>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01"/>
    </row>
    <row r="557" spans="27:97">
      <c r="AA557" s="350"/>
      <c r="AB557" s="62"/>
      <c r="AC557" s="62"/>
      <c r="AD557" s="62"/>
      <c r="AP557" s="88"/>
      <c r="AQ557" s="88"/>
      <c r="AR557" s="88"/>
      <c r="AS557" s="99"/>
      <c r="AT557" s="99"/>
      <c r="AU557" s="99"/>
      <c r="AV557" s="99"/>
      <c r="AW557" s="99"/>
      <c r="AX557" s="99"/>
      <c r="AY557" s="99"/>
      <c r="AZ557" s="99"/>
      <c r="BA557" s="99"/>
      <c r="BB557" s="99"/>
      <c r="BC557" s="99"/>
      <c r="BD557" s="99"/>
      <c r="BE557" s="99"/>
      <c r="BF557" s="99"/>
      <c r="BG557" s="99"/>
      <c r="BH557" s="99"/>
      <c r="BI557" s="99"/>
      <c r="BJ557" s="99"/>
      <c r="BK557" s="99"/>
      <c r="BL557" s="99"/>
      <c r="BM557" s="99"/>
      <c r="BN557" s="99"/>
      <c r="BO557" s="99"/>
      <c r="BP557" s="99"/>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01"/>
    </row>
    <row r="558" spans="27:97">
      <c r="AA558" s="350"/>
      <c r="AB558" s="62"/>
      <c r="AC558" s="62"/>
      <c r="AD558" s="62"/>
      <c r="AP558" s="88"/>
      <c r="AQ558" s="88"/>
      <c r="AR558" s="88"/>
      <c r="AS558" s="99"/>
      <c r="AT558" s="99"/>
      <c r="AU558" s="99"/>
      <c r="AV558" s="99"/>
      <c r="AW558" s="99"/>
      <c r="AX558" s="99"/>
      <c r="AY558" s="99"/>
      <c r="AZ558" s="99"/>
      <c r="BA558" s="99"/>
      <c r="BB558" s="99"/>
      <c r="BC558" s="99"/>
      <c r="BD558" s="99"/>
      <c r="BE558" s="99"/>
      <c r="BF558" s="99"/>
      <c r="BG558" s="99"/>
      <c r="BH558" s="99"/>
      <c r="BI558" s="99"/>
      <c r="BJ558" s="99"/>
      <c r="BK558" s="99"/>
      <c r="BL558" s="99"/>
      <c r="BM558" s="99"/>
      <c r="BN558" s="99"/>
      <c r="BO558" s="99"/>
      <c r="BP558" s="99"/>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01"/>
    </row>
    <row r="559" spans="27:97">
      <c r="AA559" s="350"/>
      <c r="AB559" s="62"/>
      <c r="AC559" s="62"/>
      <c r="AD559" s="62"/>
      <c r="AP559" s="88"/>
      <c r="AQ559" s="88"/>
      <c r="AR559" s="88"/>
      <c r="AS559" s="99"/>
      <c r="AT559" s="99"/>
      <c r="AU559" s="99"/>
      <c r="AV559" s="99"/>
      <c r="AW559" s="99"/>
      <c r="AX559" s="99"/>
      <c r="AY559" s="99"/>
      <c r="AZ559" s="99"/>
      <c r="BA559" s="99"/>
      <c r="BB559" s="99"/>
      <c r="BC559" s="99"/>
      <c r="BD559" s="99"/>
      <c r="BE559" s="99"/>
      <c r="BF559" s="99"/>
      <c r="BG559" s="99"/>
      <c r="BH559" s="99"/>
      <c r="BI559" s="99"/>
      <c r="BJ559" s="99"/>
      <c r="BK559" s="99"/>
      <c r="BL559" s="99"/>
      <c r="BM559" s="99"/>
      <c r="BN559" s="99"/>
      <c r="BO559" s="99"/>
      <c r="BP559" s="99"/>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01"/>
    </row>
    <row r="560" spans="27:97">
      <c r="AA560" s="350"/>
      <c r="AB560" s="62"/>
      <c r="AC560" s="62"/>
      <c r="AD560" s="62"/>
      <c r="AP560" s="88"/>
      <c r="AQ560" s="88"/>
      <c r="AR560" s="88"/>
      <c r="AS560" s="99"/>
      <c r="AT560" s="99"/>
      <c r="AU560" s="99"/>
      <c r="AV560" s="99"/>
      <c r="AW560" s="99"/>
      <c r="AX560" s="99"/>
      <c r="AY560" s="99"/>
      <c r="AZ560" s="99"/>
      <c r="BA560" s="99"/>
      <c r="BB560" s="99"/>
      <c r="BC560" s="99"/>
      <c r="BD560" s="99"/>
      <c r="BE560" s="99"/>
      <c r="BF560" s="99"/>
      <c r="BG560" s="99"/>
      <c r="BH560" s="99"/>
      <c r="BI560" s="99"/>
      <c r="BJ560" s="99"/>
      <c r="BK560" s="99"/>
      <c r="BL560" s="99"/>
      <c r="BM560" s="99"/>
      <c r="BN560" s="99"/>
      <c r="BO560" s="99"/>
      <c r="BP560" s="99"/>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01"/>
    </row>
    <row r="561" spans="27:97">
      <c r="AA561" s="350"/>
      <c r="AB561" s="62"/>
      <c r="AC561" s="62"/>
      <c r="AD561" s="62"/>
      <c r="AP561" s="88"/>
      <c r="AQ561" s="88"/>
      <c r="AR561" s="88"/>
      <c r="AS561" s="99"/>
      <c r="AT561" s="99"/>
      <c r="AU561" s="99"/>
      <c r="AV561" s="99"/>
      <c r="AW561" s="99"/>
      <c r="AX561" s="99"/>
      <c r="AY561" s="99"/>
      <c r="AZ561" s="99"/>
      <c r="BA561" s="99"/>
      <c r="BB561" s="99"/>
      <c r="BC561" s="99"/>
      <c r="BD561" s="99"/>
      <c r="BE561" s="99"/>
      <c r="BF561" s="99"/>
      <c r="BG561" s="99"/>
      <c r="BH561" s="99"/>
      <c r="BI561" s="99"/>
      <c r="BJ561" s="99"/>
      <c r="BK561" s="99"/>
      <c r="BL561" s="99"/>
      <c r="BM561" s="99"/>
      <c r="BN561" s="99"/>
      <c r="BO561" s="99"/>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01"/>
    </row>
    <row r="562" spans="27:97">
      <c r="AA562" s="350"/>
      <c r="AB562" s="62"/>
      <c r="AC562" s="62"/>
      <c r="AD562" s="62"/>
      <c r="AP562" s="88"/>
      <c r="AQ562" s="88"/>
      <c r="AR562" s="88"/>
      <c r="AS562" s="99"/>
      <c r="AT562" s="99"/>
      <c r="AU562" s="99"/>
      <c r="AV562" s="99"/>
      <c r="AW562" s="99"/>
      <c r="AX562" s="99"/>
      <c r="AY562" s="99"/>
      <c r="AZ562" s="99"/>
      <c r="BA562" s="99"/>
      <c r="BB562" s="99"/>
      <c r="BC562" s="99"/>
      <c r="BD562" s="99"/>
      <c r="BE562" s="99"/>
      <c r="BF562" s="99"/>
      <c r="BG562" s="99"/>
      <c r="BH562" s="99"/>
      <c r="BI562" s="99"/>
      <c r="BJ562" s="99"/>
      <c r="BK562" s="99"/>
      <c r="BL562" s="99"/>
      <c r="BM562" s="99"/>
      <c r="BN562" s="99"/>
      <c r="BO562" s="99"/>
      <c r="BP562" s="99"/>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01"/>
    </row>
    <row r="563" spans="27:97">
      <c r="AA563" s="350"/>
      <c r="AB563" s="62"/>
      <c r="AC563" s="62"/>
      <c r="AD563" s="62"/>
      <c r="AP563" s="88"/>
      <c r="AQ563" s="88"/>
      <c r="AR563" s="88"/>
      <c r="AS563" s="99"/>
      <c r="AT563" s="99"/>
      <c r="AU563" s="99"/>
      <c r="AV563" s="99"/>
      <c r="AW563" s="99"/>
      <c r="AX563" s="99"/>
      <c r="AY563" s="99"/>
      <c r="AZ563" s="99"/>
      <c r="BA563" s="99"/>
      <c r="BB563" s="99"/>
      <c r="BC563" s="99"/>
      <c r="BD563" s="99"/>
      <c r="BE563" s="99"/>
      <c r="BF563" s="99"/>
      <c r="BG563" s="99"/>
      <c r="BH563" s="99"/>
      <c r="BI563" s="99"/>
      <c r="BJ563" s="99"/>
      <c r="BK563" s="99"/>
      <c r="BL563" s="99"/>
      <c r="BM563" s="99"/>
      <c r="BN563" s="99"/>
      <c r="BO563" s="99"/>
      <c r="BP563" s="99"/>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01"/>
    </row>
    <row r="564" spans="27:97">
      <c r="AA564" s="350"/>
      <c r="AB564" s="62"/>
      <c r="AC564" s="62"/>
      <c r="AD564" s="62"/>
      <c r="AP564" s="88"/>
      <c r="AQ564" s="88"/>
      <c r="AR564" s="88"/>
      <c r="AS564" s="99"/>
      <c r="AT564" s="99"/>
      <c r="AU564" s="99"/>
      <c r="AV564" s="99"/>
      <c r="AW564" s="99"/>
      <c r="AX564" s="99"/>
      <c r="AY564" s="99"/>
      <c r="AZ564" s="99"/>
      <c r="BA564" s="99"/>
      <c r="BB564" s="99"/>
      <c r="BC564" s="99"/>
      <c r="BD564" s="99"/>
      <c r="BE564" s="99"/>
      <c r="BF564" s="99"/>
      <c r="BG564" s="99"/>
      <c r="BH564" s="99"/>
      <c r="BI564" s="99"/>
      <c r="BJ564" s="99"/>
      <c r="BK564" s="99"/>
      <c r="BL564" s="99"/>
      <c r="BM564" s="99"/>
      <c r="BN564" s="99"/>
      <c r="BO564" s="99"/>
      <c r="BP564" s="99"/>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01"/>
    </row>
    <row r="565" spans="27:97">
      <c r="AA565" s="350"/>
      <c r="AB565" s="62"/>
      <c r="AC565" s="62"/>
      <c r="AD565" s="62"/>
      <c r="AP565" s="88"/>
      <c r="AQ565" s="88"/>
      <c r="AR565" s="88"/>
      <c r="AS565" s="99"/>
      <c r="AT565" s="99"/>
      <c r="AU565" s="99"/>
      <c r="AV565" s="99"/>
      <c r="AW565" s="99"/>
      <c r="AX565" s="99"/>
      <c r="AY565" s="99"/>
      <c r="AZ565" s="99"/>
      <c r="BA565" s="99"/>
      <c r="BB565" s="99"/>
      <c r="BC565" s="99"/>
      <c r="BD565" s="99"/>
      <c r="BE565" s="99"/>
      <c r="BF565" s="99"/>
      <c r="BG565" s="99"/>
      <c r="BH565" s="99"/>
      <c r="BI565" s="99"/>
      <c r="BJ565" s="99"/>
      <c r="BK565" s="99"/>
      <c r="BL565" s="99"/>
      <c r="BM565" s="99"/>
      <c r="BN565" s="99"/>
      <c r="BO565" s="99"/>
      <c r="BP565" s="99"/>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01"/>
    </row>
    <row r="566" spans="27:97">
      <c r="AA566" s="350"/>
      <c r="AB566" s="62"/>
      <c r="AC566" s="62"/>
      <c r="AD566" s="62"/>
      <c r="AP566" s="88"/>
      <c r="AQ566" s="88"/>
      <c r="AR566" s="88"/>
      <c r="AS566" s="99"/>
      <c r="AT566" s="99"/>
      <c r="AU566" s="99"/>
      <c r="AV566" s="99"/>
      <c r="AW566" s="99"/>
      <c r="AX566" s="99"/>
      <c r="AY566" s="99"/>
      <c r="AZ566" s="99"/>
      <c r="BA566" s="99"/>
      <c r="BB566" s="99"/>
      <c r="BC566" s="99"/>
      <c r="BD566" s="99"/>
      <c r="BE566" s="99"/>
      <c r="BF566" s="99"/>
      <c r="BG566" s="99"/>
      <c r="BH566" s="99"/>
      <c r="BI566" s="99"/>
      <c r="BJ566" s="99"/>
      <c r="BK566" s="99"/>
      <c r="BL566" s="99"/>
      <c r="BM566" s="99"/>
      <c r="BN566" s="99"/>
      <c r="BO566" s="99"/>
      <c r="BP566" s="99"/>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01"/>
    </row>
    <row r="567" spans="27:97">
      <c r="AA567" s="350"/>
      <c r="AB567" s="62"/>
      <c r="AC567" s="62"/>
      <c r="AD567" s="62"/>
      <c r="AP567" s="88"/>
      <c r="AQ567" s="88"/>
      <c r="AR567" s="88"/>
      <c r="AS567" s="99"/>
      <c r="AT567" s="99"/>
      <c r="AU567" s="99"/>
      <c r="AV567" s="99"/>
      <c r="AW567" s="99"/>
      <c r="AX567" s="99"/>
      <c r="AY567" s="99"/>
      <c r="AZ567" s="99"/>
      <c r="BA567" s="99"/>
      <c r="BB567" s="99"/>
      <c r="BC567" s="99"/>
      <c r="BD567" s="99"/>
      <c r="BE567" s="99"/>
      <c r="BF567" s="99"/>
      <c r="BG567" s="99"/>
      <c r="BH567" s="99"/>
      <c r="BI567" s="99"/>
      <c r="BJ567" s="99"/>
      <c r="BK567" s="99"/>
      <c r="BL567" s="99"/>
      <c r="BM567" s="99"/>
      <c r="BN567" s="99"/>
      <c r="BO567" s="99"/>
      <c r="BP567" s="99"/>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01"/>
    </row>
    <row r="568" spans="27:97">
      <c r="AA568" s="350"/>
      <c r="AB568" s="62"/>
      <c r="AC568" s="62"/>
      <c r="AD568" s="62"/>
      <c r="AP568" s="88"/>
      <c r="AQ568" s="88"/>
      <c r="AR568" s="88"/>
      <c r="AS568" s="99"/>
      <c r="AT568" s="99"/>
      <c r="AU568" s="99"/>
      <c r="AV568" s="99"/>
      <c r="AW568" s="99"/>
      <c r="AX568" s="99"/>
      <c r="AY568" s="99"/>
      <c r="AZ568" s="99"/>
      <c r="BA568" s="99"/>
      <c r="BB568" s="99"/>
      <c r="BC568" s="99"/>
      <c r="BD568" s="99"/>
      <c r="BE568" s="99"/>
      <c r="BF568" s="99"/>
      <c r="BG568" s="99"/>
      <c r="BH568" s="99"/>
      <c r="BI568" s="99"/>
      <c r="BJ568" s="99"/>
      <c r="BK568" s="99"/>
      <c r="BL568" s="99"/>
      <c r="BM568" s="99"/>
      <c r="BN568" s="99"/>
      <c r="BO568" s="99"/>
      <c r="BP568" s="99"/>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01"/>
    </row>
    <row r="569" spans="27:97">
      <c r="AA569" s="350"/>
      <c r="AB569" s="62"/>
      <c r="AC569" s="62"/>
      <c r="AD569" s="62"/>
      <c r="AP569" s="88"/>
      <c r="AQ569" s="88"/>
      <c r="AR569" s="88"/>
      <c r="AS569" s="99"/>
      <c r="AT569" s="99"/>
      <c r="AU569" s="99"/>
      <c r="AV569" s="99"/>
      <c r="AW569" s="99"/>
      <c r="AX569" s="99"/>
      <c r="AY569" s="99"/>
      <c r="AZ569" s="99"/>
      <c r="BA569" s="99"/>
      <c r="BB569" s="99"/>
      <c r="BC569" s="99"/>
      <c r="BD569" s="99"/>
      <c r="BE569" s="99"/>
      <c r="BF569" s="99"/>
      <c r="BG569" s="99"/>
      <c r="BH569" s="99"/>
      <c r="BI569" s="99"/>
      <c r="BJ569" s="99"/>
      <c r="BK569" s="99"/>
      <c r="BL569" s="99"/>
      <c r="BM569" s="99"/>
      <c r="BN569" s="99"/>
      <c r="BO569" s="99"/>
      <c r="BP569" s="99"/>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01"/>
    </row>
    <row r="570" spans="27:97">
      <c r="AA570" s="350"/>
      <c r="AB570" s="62"/>
      <c r="AC570" s="62"/>
      <c r="AD570" s="62"/>
      <c r="AP570" s="88"/>
      <c r="AQ570" s="88"/>
      <c r="AR570" s="88"/>
      <c r="AS570" s="99"/>
      <c r="AT570" s="99"/>
      <c r="AU570" s="99"/>
      <c r="AV570" s="99"/>
      <c r="AW570" s="99"/>
      <c r="AX570" s="99"/>
      <c r="AY570" s="99"/>
      <c r="AZ570" s="99"/>
      <c r="BA570" s="99"/>
      <c r="BB570" s="99"/>
      <c r="BC570" s="99"/>
      <c r="BD570" s="99"/>
      <c r="BE570" s="99"/>
      <c r="BF570" s="99"/>
      <c r="BG570" s="99"/>
      <c r="BH570" s="99"/>
      <c r="BI570" s="99"/>
      <c r="BJ570" s="99"/>
      <c r="BK570" s="99"/>
      <c r="BL570" s="99"/>
      <c r="BM570" s="99"/>
      <c r="BN570" s="99"/>
      <c r="BO570" s="99"/>
      <c r="BP570" s="99"/>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01"/>
    </row>
    <row r="571" spans="27:97">
      <c r="AA571" s="350"/>
      <c r="AB571" s="62"/>
      <c r="AC571" s="62"/>
      <c r="AD571" s="62"/>
      <c r="AP571" s="88"/>
      <c r="AQ571" s="88"/>
      <c r="AR571" s="88"/>
      <c r="AS571" s="99"/>
      <c r="AT571" s="99"/>
      <c r="AU571" s="99"/>
      <c r="AV571" s="99"/>
      <c r="AW571" s="99"/>
      <c r="AX571" s="99"/>
      <c r="AY571" s="99"/>
      <c r="AZ571" s="99"/>
      <c r="BA571" s="99"/>
      <c r="BB571" s="99"/>
      <c r="BC571" s="99"/>
      <c r="BD571" s="99"/>
      <c r="BE571" s="99"/>
      <c r="BF571" s="99"/>
      <c r="BG571" s="99"/>
      <c r="BH571" s="99"/>
      <c r="BI571" s="99"/>
      <c r="BJ571" s="99"/>
      <c r="BK571" s="99"/>
      <c r="BL571" s="99"/>
      <c r="BM571" s="99"/>
      <c r="BN571" s="99"/>
      <c r="BO571" s="99"/>
      <c r="BP571" s="99"/>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01"/>
    </row>
    <row r="572" spans="27:97">
      <c r="AA572" s="350"/>
      <c r="AB572" s="62"/>
      <c r="AC572" s="62"/>
      <c r="AD572" s="62"/>
      <c r="AP572" s="88"/>
      <c r="AQ572" s="88"/>
      <c r="AR572" s="88"/>
      <c r="AS572" s="99"/>
      <c r="AT572" s="99"/>
      <c r="AU572" s="99"/>
      <c r="AV572" s="99"/>
      <c r="AW572" s="99"/>
      <c r="AX572" s="99"/>
      <c r="AY572" s="99"/>
      <c r="AZ572" s="99"/>
      <c r="BA572" s="99"/>
      <c r="BB572" s="99"/>
      <c r="BC572" s="99"/>
      <c r="BD572" s="99"/>
      <c r="BE572" s="99"/>
      <c r="BF572" s="99"/>
      <c r="BG572" s="99"/>
      <c r="BH572" s="99"/>
      <c r="BI572" s="99"/>
      <c r="BJ572" s="99"/>
      <c r="BK572" s="99"/>
      <c r="BL572" s="99"/>
      <c r="BM572" s="99"/>
      <c r="BN572" s="99"/>
      <c r="BO572" s="99"/>
      <c r="BP572" s="99"/>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01"/>
    </row>
    <row r="573" spans="27:97">
      <c r="AA573" s="350"/>
      <c r="AB573" s="62"/>
      <c r="AC573" s="62"/>
      <c r="AD573" s="62"/>
      <c r="AP573" s="88"/>
      <c r="AQ573" s="88"/>
      <c r="AR573" s="88"/>
      <c r="AS573" s="99"/>
      <c r="AT573" s="99"/>
      <c r="AU573" s="99"/>
      <c r="AV573" s="99"/>
      <c r="AW573" s="99"/>
      <c r="AX573" s="99"/>
      <c r="AY573" s="99"/>
      <c r="AZ573" s="99"/>
      <c r="BA573" s="99"/>
      <c r="BB573" s="99"/>
      <c r="BC573" s="99"/>
      <c r="BD573" s="99"/>
      <c r="BE573" s="99"/>
      <c r="BF573" s="99"/>
      <c r="BG573" s="99"/>
      <c r="BH573" s="99"/>
      <c r="BI573" s="99"/>
      <c r="BJ573" s="99"/>
      <c r="BK573" s="99"/>
      <c r="BL573" s="99"/>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01"/>
    </row>
    <row r="574" spans="27:97">
      <c r="AA574" s="350"/>
      <c r="AB574" s="62"/>
      <c r="AC574" s="62"/>
      <c r="AD574" s="62"/>
      <c r="AP574" s="88"/>
      <c r="AQ574" s="88"/>
      <c r="AR574" s="88"/>
      <c r="AS574" s="99"/>
      <c r="AT574" s="99"/>
      <c r="AU574" s="99"/>
      <c r="AV574" s="99"/>
      <c r="AW574" s="99"/>
      <c r="AX574" s="99"/>
      <c r="AY574" s="99"/>
      <c r="AZ574" s="99"/>
      <c r="BA574" s="99"/>
      <c r="BB574" s="99"/>
      <c r="BC574" s="99"/>
      <c r="BD574" s="99"/>
      <c r="BE574" s="99"/>
      <c r="BF574" s="99"/>
      <c r="BG574" s="99"/>
      <c r="BH574" s="99"/>
      <c r="BI574" s="99"/>
      <c r="BJ574" s="99"/>
      <c r="BK574" s="99"/>
      <c r="BL574" s="99"/>
      <c r="BM574" s="99"/>
      <c r="BN574" s="99"/>
      <c r="BO574" s="99"/>
      <c r="BP574" s="99"/>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01"/>
    </row>
    <row r="575" spans="27:97">
      <c r="AA575" s="350"/>
      <c r="AB575" s="62"/>
      <c r="AC575" s="62"/>
      <c r="AD575" s="62"/>
      <c r="AP575" s="88"/>
      <c r="AQ575" s="88"/>
      <c r="AR575" s="88"/>
      <c r="AS575" s="99"/>
      <c r="AT575" s="99"/>
      <c r="AU575" s="99"/>
      <c r="AV575" s="99"/>
      <c r="AW575" s="99"/>
      <c r="AX575" s="99"/>
      <c r="AY575" s="99"/>
      <c r="AZ575" s="99"/>
      <c r="BA575" s="99"/>
      <c r="BB575" s="99"/>
      <c r="BC575" s="99"/>
      <c r="BD575" s="99"/>
      <c r="BE575" s="99"/>
      <c r="BF575" s="99"/>
      <c r="BG575" s="99"/>
      <c r="BH575" s="99"/>
      <c r="BI575" s="99"/>
      <c r="BJ575" s="99"/>
      <c r="BK575" s="99"/>
      <c r="BL575" s="99"/>
      <c r="BM575" s="99"/>
      <c r="BN575" s="99"/>
      <c r="BO575" s="99"/>
      <c r="BP575" s="99"/>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01"/>
    </row>
    <row r="576" spans="27:97">
      <c r="AA576" s="350"/>
      <c r="AB576" s="62"/>
      <c r="AC576" s="62"/>
      <c r="AD576" s="62"/>
      <c r="AP576" s="88"/>
      <c r="AQ576" s="88"/>
      <c r="AR576" s="88"/>
      <c r="AS576" s="99"/>
      <c r="AT576" s="99"/>
      <c r="AU576" s="99"/>
      <c r="AV576" s="99"/>
      <c r="AW576" s="99"/>
      <c r="AX576" s="99"/>
      <c r="AY576" s="99"/>
      <c r="AZ576" s="99"/>
      <c r="BA576" s="99"/>
      <c r="BB576" s="99"/>
      <c r="BC576" s="99"/>
      <c r="BD576" s="99"/>
      <c r="BE576" s="99"/>
      <c r="BF576" s="99"/>
      <c r="BG576" s="99"/>
      <c r="BH576" s="99"/>
      <c r="BI576" s="99"/>
      <c r="BJ576" s="99"/>
      <c r="BK576" s="99"/>
      <c r="BL576" s="99"/>
      <c r="BM576" s="99"/>
      <c r="BN576" s="99"/>
      <c r="BO576" s="99"/>
      <c r="BP576" s="99"/>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01"/>
    </row>
    <row r="577" spans="27:97">
      <c r="AA577" s="350"/>
      <c r="AB577" s="62"/>
      <c r="AC577" s="62"/>
      <c r="AD577" s="62"/>
      <c r="AP577" s="88"/>
      <c r="AQ577" s="88"/>
      <c r="AR577" s="88"/>
      <c r="AS577" s="99"/>
      <c r="AT577" s="99"/>
      <c r="AU577" s="99"/>
      <c r="AV577" s="99"/>
      <c r="AW577" s="99"/>
      <c r="AX577" s="99"/>
      <c r="AY577" s="99"/>
      <c r="AZ577" s="99"/>
      <c r="BA577" s="99"/>
      <c r="BB577" s="99"/>
      <c r="BC577" s="99"/>
      <c r="BD577" s="99"/>
      <c r="BE577" s="99"/>
      <c r="BF577" s="99"/>
      <c r="BG577" s="99"/>
      <c r="BH577" s="99"/>
      <c r="BI577" s="99"/>
      <c r="BJ577" s="99"/>
      <c r="BK577" s="99"/>
      <c r="BL577" s="99"/>
      <c r="BM577" s="99"/>
      <c r="BN577" s="99"/>
      <c r="BO577" s="99"/>
      <c r="BP577" s="99"/>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01"/>
    </row>
    <row r="578" spans="27:97">
      <c r="AA578" s="350"/>
      <c r="AB578" s="62"/>
      <c r="AC578" s="62"/>
      <c r="AD578" s="62"/>
      <c r="AP578" s="88"/>
      <c r="AQ578" s="88"/>
      <c r="AR578" s="88"/>
      <c r="AS578" s="99"/>
      <c r="AT578" s="99"/>
      <c r="AU578" s="99"/>
      <c r="AV578" s="99"/>
      <c r="AW578" s="99"/>
      <c r="AX578" s="99"/>
      <c r="AY578" s="99"/>
      <c r="AZ578" s="99"/>
      <c r="BA578" s="99"/>
      <c r="BB578" s="99"/>
      <c r="BC578" s="99"/>
      <c r="BD578" s="99"/>
      <c r="BE578" s="99"/>
      <c r="BF578" s="99"/>
      <c r="BG578" s="99"/>
      <c r="BH578" s="99"/>
      <c r="BI578" s="99"/>
      <c r="BJ578" s="99"/>
      <c r="BK578" s="99"/>
      <c r="BL578" s="99"/>
      <c r="BM578" s="99"/>
      <c r="BN578" s="99"/>
      <c r="BO578" s="99"/>
      <c r="BP578" s="99"/>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01"/>
    </row>
    <row r="579" spans="27:97">
      <c r="AA579" s="350"/>
      <c r="AB579" s="62"/>
      <c r="AC579" s="62"/>
      <c r="AD579" s="62"/>
      <c r="AP579" s="88"/>
      <c r="AQ579" s="88"/>
      <c r="AR579" s="88"/>
      <c r="AS579" s="99"/>
      <c r="AT579" s="99"/>
      <c r="AU579" s="99"/>
      <c r="AV579" s="99"/>
      <c r="AW579" s="99"/>
      <c r="AX579" s="99"/>
      <c r="AY579" s="99"/>
      <c r="AZ579" s="99"/>
      <c r="BA579" s="99"/>
      <c r="BB579" s="99"/>
      <c r="BC579" s="99"/>
      <c r="BD579" s="99"/>
      <c r="BE579" s="99"/>
      <c r="BF579" s="99"/>
      <c r="BG579" s="99"/>
      <c r="BH579" s="99"/>
      <c r="BI579" s="99"/>
      <c r="BJ579" s="99"/>
      <c r="BK579" s="99"/>
      <c r="BL579" s="99"/>
      <c r="BM579" s="99"/>
      <c r="BN579" s="99"/>
      <c r="BO579" s="99"/>
      <c r="BP579" s="99"/>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01"/>
    </row>
    <row r="580" spans="27:97">
      <c r="AA580" s="350"/>
      <c r="AB580" s="62"/>
      <c r="AC580" s="62"/>
      <c r="AD580" s="62"/>
      <c r="AP580" s="88"/>
      <c r="AQ580" s="88"/>
      <c r="AR580" s="88"/>
      <c r="AS580" s="99"/>
      <c r="AT580" s="99"/>
      <c r="AU580" s="99"/>
      <c r="AV580" s="99"/>
      <c r="AW580" s="99"/>
      <c r="AX580" s="99"/>
      <c r="AY580" s="99"/>
      <c r="AZ580" s="99"/>
      <c r="BA580" s="99"/>
      <c r="BB580" s="99"/>
      <c r="BC580" s="99"/>
      <c r="BD580" s="99"/>
      <c r="BE580" s="99"/>
      <c r="BF580" s="99"/>
      <c r="BG580" s="99"/>
      <c r="BH580" s="99"/>
      <c r="BI580" s="99"/>
      <c r="BJ580" s="99"/>
      <c r="BK580" s="99"/>
      <c r="BL580" s="99"/>
      <c r="BM580" s="99"/>
      <c r="BN580" s="99"/>
      <c r="BO580" s="99"/>
      <c r="BP580" s="99"/>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01"/>
    </row>
    <row r="581" spans="27:97">
      <c r="AA581" s="350"/>
      <c r="AB581" s="62"/>
      <c r="AC581" s="62"/>
      <c r="AD581" s="62"/>
      <c r="AP581" s="88"/>
      <c r="AQ581" s="88"/>
      <c r="AR581" s="88"/>
      <c r="AS581" s="99"/>
      <c r="AT581" s="99"/>
      <c r="AU581" s="99"/>
      <c r="AV581" s="99"/>
      <c r="AW581" s="99"/>
      <c r="AX581" s="99"/>
      <c r="AY581" s="99"/>
      <c r="AZ581" s="99"/>
      <c r="BA581" s="99"/>
      <c r="BB581" s="99"/>
      <c r="BC581" s="99"/>
      <c r="BD581" s="99"/>
      <c r="BE581" s="99"/>
      <c r="BF581" s="99"/>
      <c r="BG581" s="99"/>
      <c r="BH581" s="99"/>
      <c r="BI581" s="99"/>
      <c r="BJ581" s="99"/>
      <c r="BK581" s="99"/>
      <c r="BL581" s="99"/>
      <c r="BM581" s="99"/>
      <c r="BN581" s="99"/>
      <c r="BO581" s="99"/>
      <c r="BP581" s="99"/>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01"/>
    </row>
    <row r="582" spans="27:97">
      <c r="AA582" s="350"/>
      <c r="AB582" s="62"/>
      <c r="AC582" s="62"/>
      <c r="AD582" s="62"/>
      <c r="AP582" s="88"/>
      <c r="AQ582" s="88"/>
      <c r="AR582" s="88"/>
      <c r="AS582" s="99"/>
      <c r="AT582" s="99"/>
      <c r="AU582" s="99"/>
      <c r="AV582" s="99"/>
      <c r="AW582" s="99"/>
      <c r="AX582" s="99"/>
      <c r="AY582" s="99"/>
      <c r="AZ582" s="99"/>
      <c r="BA582" s="99"/>
      <c r="BB582" s="99"/>
      <c r="BC582" s="99"/>
      <c r="BD582" s="99"/>
      <c r="BE582" s="99"/>
      <c r="BF582" s="99"/>
      <c r="BG582" s="99"/>
      <c r="BH582" s="99"/>
      <c r="BI582" s="99"/>
      <c r="BJ582" s="99"/>
      <c r="BK582" s="99"/>
      <c r="BL582" s="99"/>
      <c r="BM582" s="99"/>
      <c r="BN582" s="99"/>
      <c r="BO582" s="99"/>
      <c r="BP582" s="99"/>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01"/>
    </row>
    <row r="583" spans="27:97">
      <c r="AA583" s="350"/>
      <c r="AB583" s="62"/>
      <c r="AC583" s="62"/>
      <c r="AD583" s="62"/>
      <c r="AP583" s="88"/>
      <c r="AQ583" s="88"/>
      <c r="AR583" s="88"/>
      <c r="AS583" s="99"/>
      <c r="AT583" s="99"/>
      <c r="AU583" s="99"/>
      <c r="AV583" s="99"/>
      <c r="AW583" s="99"/>
      <c r="AX583" s="99"/>
      <c r="AY583" s="99"/>
      <c r="AZ583" s="99"/>
      <c r="BA583" s="99"/>
      <c r="BB583" s="99"/>
      <c r="BC583" s="99"/>
      <c r="BD583" s="99"/>
      <c r="BE583" s="99"/>
      <c r="BF583" s="99"/>
      <c r="BG583" s="99"/>
      <c r="BH583" s="99"/>
      <c r="BI583" s="99"/>
      <c r="BJ583" s="99"/>
      <c r="BK583" s="99"/>
      <c r="BL583" s="99"/>
      <c r="BM583" s="99"/>
      <c r="BN583" s="99"/>
      <c r="BO583" s="99"/>
      <c r="BP583" s="99"/>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01"/>
    </row>
    <row r="584" spans="27:97">
      <c r="AA584" s="350"/>
      <c r="AB584" s="62"/>
      <c r="AC584" s="62"/>
      <c r="AD584" s="62"/>
      <c r="AP584" s="88"/>
      <c r="AQ584" s="88"/>
      <c r="AR584" s="88"/>
      <c r="AS584" s="99"/>
      <c r="AT584" s="99"/>
      <c r="AU584" s="99"/>
      <c r="AV584" s="99"/>
      <c r="AW584" s="99"/>
      <c r="AX584" s="99"/>
      <c r="AY584" s="99"/>
      <c r="AZ584" s="99"/>
      <c r="BA584" s="99"/>
      <c r="BB584" s="99"/>
      <c r="BC584" s="99"/>
      <c r="BD584" s="99"/>
      <c r="BE584" s="99"/>
      <c r="BF584" s="99"/>
      <c r="BG584" s="99"/>
      <c r="BH584" s="99"/>
      <c r="BI584" s="99"/>
      <c r="BJ584" s="99"/>
      <c r="BK584" s="99"/>
      <c r="BL584" s="99"/>
      <c r="BM584" s="99"/>
      <c r="BN584" s="99"/>
      <c r="BO584" s="99"/>
      <c r="BP584" s="99"/>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01"/>
    </row>
    <row r="585" spans="27:97">
      <c r="AA585" s="350"/>
      <c r="AB585" s="62"/>
      <c r="AC585" s="62"/>
      <c r="AD585" s="62"/>
      <c r="AP585" s="88"/>
      <c r="AQ585" s="88"/>
      <c r="AR585" s="88"/>
      <c r="AS585" s="99"/>
      <c r="AT585" s="99"/>
      <c r="AU585" s="99"/>
      <c r="AV585" s="99"/>
      <c r="AW585" s="99"/>
      <c r="AX585" s="99"/>
      <c r="AY585" s="99"/>
      <c r="AZ585" s="99"/>
      <c r="BA585" s="99"/>
      <c r="BB585" s="99"/>
      <c r="BC585" s="99"/>
      <c r="BD585" s="99"/>
      <c r="BE585" s="99"/>
      <c r="BF585" s="99"/>
      <c r="BG585" s="99"/>
      <c r="BH585" s="99"/>
      <c r="BI585" s="99"/>
      <c r="BJ585" s="99"/>
      <c r="BK585" s="99"/>
      <c r="BL585" s="99"/>
      <c r="BM585" s="99"/>
      <c r="BN585" s="99"/>
      <c r="BO585" s="99"/>
      <c r="BP585" s="99"/>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01"/>
    </row>
    <row r="586" spans="27:97">
      <c r="AA586" s="350"/>
      <c r="AB586" s="62"/>
      <c r="AC586" s="62"/>
      <c r="AD586" s="62"/>
      <c r="AP586" s="88"/>
      <c r="AQ586" s="88"/>
      <c r="AR586" s="88"/>
      <c r="AS586" s="99"/>
      <c r="AT586" s="99"/>
      <c r="AU586" s="99"/>
      <c r="AV586" s="99"/>
      <c r="AW586" s="99"/>
      <c r="AX586" s="99"/>
      <c r="AY586" s="99"/>
      <c r="AZ586" s="99"/>
      <c r="BA586" s="99"/>
      <c r="BB586" s="99"/>
      <c r="BC586" s="99"/>
      <c r="BD586" s="99"/>
      <c r="BE586" s="99"/>
      <c r="BF586" s="99"/>
      <c r="BG586" s="99"/>
      <c r="BH586" s="99"/>
      <c r="BI586" s="99"/>
      <c r="BJ586" s="99"/>
      <c r="BK586" s="99"/>
      <c r="BL586" s="99"/>
      <c r="BM586" s="99"/>
      <c r="BN586" s="99"/>
      <c r="BO586" s="99"/>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01"/>
    </row>
    <row r="587" spans="27:97">
      <c r="AA587" s="350"/>
      <c r="AB587" s="62"/>
      <c r="AC587" s="62"/>
      <c r="AD587" s="62"/>
      <c r="AP587" s="88"/>
      <c r="AQ587" s="88"/>
      <c r="AR587" s="88"/>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01"/>
    </row>
    <row r="588" spans="27:97">
      <c r="AA588" s="350"/>
      <c r="AB588" s="62"/>
      <c r="AC588" s="62"/>
      <c r="AD588" s="62"/>
      <c r="AP588" s="88"/>
      <c r="AQ588" s="88"/>
      <c r="AR588" s="88"/>
      <c r="AS588" s="99"/>
      <c r="AT588" s="99"/>
      <c r="AU588" s="99"/>
      <c r="AV588" s="99"/>
      <c r="AW588" s="99"/>
      <c r="AX588" s="99"/>
      <c r="AY588" s="99"/>
      <c r="AZ588" s="99"/>
      <c r="BA588" s="99"/>
      <c r="BB588" s="99"/>
      <c r="BC588" s="99"/>
      <c r="BD588" s="99"/>
      <c r="BE588" s="99"/>
      <c r="BF588" s="99"/>
      <c r="BG588" s="99"/>
      <c r="BH588" s="99"/>
      <c r="BI588" s="99"/>
      <c r="BJ588" s="99"/>
      <c r="BK588" s="99"/>
      <c r="BL588" s="99"/>
      <c r="BM588" s="99"/>
      <c r="BN588" s="99"/>
      <c r="BO588" s="99"/>
      <c r="BP588" s="99"/>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01"/>
    </row>
    <row r="589" spans="27:97">
      <c r="AA589" s="350"/>
      <c r="AB589" s="62"/>
      <c r="AC589" s="62"/>
      <c r="AD589" s="62"/>
      <c r="AP589" s="88"/>
      <c r="AQ589" s="88"/>
      <c r="AR589" s="88"/>
      <c r="AS589" s="99"/>
      <c r="AT589" s="99"/>
      <c r="AU589" s="99"/>
      <c r="AV589" s="99"/>
      <c r="AW589" s="99"/>
      <c r="AX589" s="99"/>
      <c r="AY589" s="99"/>
      <c r="AZ589" s="99"/>
      <c r="BA589" s="99"/>
      <c r="BB589" s="99"/>
      <c r="BC589" s="99"/>
      <c r="BD589" s="99"/>
      <c r="BE589" s="99"/>
      <c r="BF589" s="99"/>
      <c r="BG589" s="99"/>
      <c r="BH589" s="99"/>
      <c r="BI589" s="99"/>
      <c r="BJ589" s="99"/>
      <c r="BK589" s="99"/>
      <c r="BL589" s="99"/>
      <c r="BM589" s="99"/>
      <c r="BN589" s="99"/>
      <c r="BO589" s="99"/>
      <c r="BP589" s="99"/>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01"/>
    </row>
    <row r="590" spans="27:97">
      <c r="AA590" s="350"/>
      <c r="AB590" s="62"/>
      <c r="AC590" s="62"/>
      <c r="AD590" s="62"/>
      <c r="AP590" s="88"/>
      <c r="AQ590" s="88"/>
      <c r="AR590" s="88"/>
      <c r="AS590" s="99"/>
      <c r="AT590" s="99"/>
      <c r="AU590" s="99"/>
      <c r="AV590" s="99"/>
      <c r="AW590" s="99"/>
      <c r="AX590" s="99"/>
      <c r="AY590" s="99"/>
      <c r="AZ590" s="99"/>
      <c r="BA590" s="99"/>
      <c r="BB590" s="99"/>
      <c r="BC590" s="99"/>
      <c r="BD590" s="99"/>
      <c r="BE590" s="99"/>
      <c r="BF590" s="99"/>
      <c r="BG590" s="99"/>
      <c r="BH590" s="99"/>
      <c r="BI590" s="99"/>
      <c r="BJ590" s="99"/>
      <c r="BK590" s="99"/>
      <c r="BL590" s="99"/>
      <c r="BM590" s="99"/>
      <c r="BN590" s="99"/>
      <c r="BO590" s="99"/>
      <c r="BP590" s="99"/>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01"/>
    </row>
    <row r="591" spans="27:97">
      <c r="AA591" s="350"/>
      <c r="AB591" s="62"/>
      <c r="AC591" s="62"/>
      <c r="AD591" s="62"/>
      <c r="AP591" s="88"/>
      <c r="AQ591" s="88"/>
      <c r="AR591" s="88"/>
      <c r="AS591" s="99"/>
      <c r="AT591" s="99"/>
      <c r="AU591" s="99"/>
      <c r="AV591" s="99"/>
      <c r="AW591" s="99"/>
      <c r="AX591" s="99"/>
      <c r="AY591" s="99"/>
      <c r="AZ591" s="99"/>
      <c r="BA591" s="99"/>
      <c r="BB591" s="99"/>
      <c r="BC591" s="99"/>
      <c r="BD591" s="99"/>
      <c r="BE591" s="99"/>
      <c r="BF591" s="99"/>
      <c r="BG591" s="99"/>
      <c r="BH591" s="99"/>
      <c r="BI591" s="99"/>
      <c r="BJ591" s="99"/>
      <c r="BK591" s="99"/>
      <c r="BL591" s="99"/>
      <c r="BM591" s="99"/>
      <c r="BN591" s="99"/>
      <c r="BO591" s="99"/>
      <c r="BP591" s="99"/>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01"/>
    </row>
    <row r="592" spans="27:97">
      <c r="AA592" s="350"/>
      <c r="AB592" s="62"/>
      <c r="AC592" s="62"/>
      <c r="AD592" s="62"/>
      <c r="AP592" s="88"/>
      <c r="AQ592" s="88"/>
      <c r="AR592" s="88"/>
      <c r="AS592" s="99"/>
      <c r="AT592" s="99"/>
      <c r="AU592" s="99"/>
      <c r="AV592" s="99"/>
      <c r="AW592" s="99"/>
      <c r="AX592" s="99"/>
      <c r="AY592" s="99"/>
      <c r="AZ592" s="99"/>
      <c r="BA592" s="99"/>
      <c r="BB592" s="99"/>
      <c r="BC592" s="99"/>
      <c r="BD592" s="99"/>
      <c r="BE592" s="99"/>
      <c r="BF592" s="99"/>
      <c r="BG592" s="99"/>
      <c r="BH592" s="99"/>
      <c r="BI592" s="99"/>
      <c r="BJ592" s="99"/>
      <c r="BK592" s="99"/>
      <c r="BL592" s="99"/>
      <c r="BM592" s="99"/>
      <c r="BN592" s="99"/>
      <c r="BO592" s="99"/>
      <c r="BP592" s="99"/>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01"/>
    </row>
    <row r="593" spans="27:97">
      <c r="AA593" s="350"/>
      <c r="AB593" s="62"/>
      <c r="AC593" s="62"/>
      <c r="AD593" s="62"/>
      <c r="AP593" s="88"/>
      <c r="AQ593" s="88"/>
      <c r="AR593" s="88"/>
      <c r="AS593" s="99"/>
      <c r="AT593" s="99"/>
      <c r="AU593" s="99"/>
      <c r="AV593" s="99"/>
      <c r="AW593" s="99"/>
      <c r="AX593" s="99"/>
      <c r="AY593" s="99"/>
      <c r="AZ593" s="99"/>
      <c r="BA593" s="99"/>
      <c r="BB593" s="99"/>
      <c r="BC593" s="99"/>
      <c r="BD593" s="99"/>
      <c r="BE593" s="99"/>
      <c r="BF593" s="99"/>
      <c r="BG593" s="99"/>
      <c r="BH593" s="99"/>
      <c r="BI593" s="99"/>
      <c r="BJ593" s="99"/>
      <c r="BK593" s="99"/>
      <c r="BL593" s="99"/>
      <c r="BM593" s="99"/>
      <c r="BN593" s="99"/>
      <c r="BO593" s="99"/>
      <c r="BP593" s="99"/>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01"/>
    </row>
    <row r="594" spans="27:97">
      <c r="AA594" s="350"/>
      <c r="AB594" s="62"/>
      <c r="AC594" s="62"/>
      <c r="AD594" s="62"/>
      <c r="AP594" s="88"/>
      <c r="AQ594" s="88"/>
      <c r="AR594" s="88"/>
      <c r="AS594" s="99"/>
      <c r="AT594" s="99"/>
      <c r="AU594" s="99"/>
      <c r="AV594" s="99"/>
      <c r="AW594" s="99"/>
      <c r="AX594" s="99"/>
      <c r="AY594" s="99"/>
      <c r="AZ594" s="99"/>
      <c r="BA594" s="99"/>
      <c r="BB594" s="99"/>
      <c r="BC594" s="99"/>
      <c r="BD594" s="99"/>
      <c r="BE594" s="99"/>
      <c r="BF594" s="99"/>
      <c r="BG594" s="99"/>
      <c r="BH594" s="99"/>
      <c r="BI594" s="99"/>
      <c r="BJ594" s="99"/>
      <c r="BK594" s="99"/>
      <c r="BL594" s="99"/>
      <c r="BM594" s="99"/>
      <c r="BN594" s="99"/>
      <c r="BO594" s="99"/>
      <c r="BP594" s="99"/>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01"/>
    </row>
    <row r="595" spans="27:97">
      <c r="AA595" s="350"/>
      <c r="AB595" s="62"/>
      <c r="AC595" s="62"/>
      <c r="AD595" s="62"/>
      <c r="AP595" s="88"/>
      <c r="AQ595" s="88"/>
      <c r="AR595" s="88"/>
      <c r="AS595" s="99"/>
      <c r="AT595" s="99"/>
      <c r="AU595" s="99"/>
      <c r="AV595" s="99"/>
      <c r="AW595" s="99"/>
      <c r="AX595" s="99"/>
      <c r="AY595" s="99"/>
      <c r="AZ595" s="99"/>
      <c r="BA595" s="99"/>
      <c r="BB595" s="99"/>
      <c r="BC595" s="99"/>
      <c r="BD595" s="99"/>
      <c r="BE595" s="99"/>
      <c r="BF595" s="99"/>
      <c r="BG595" s="99"/>
      <c r="BH595" s="99"/>
      <c r="BI595" s="99"/>
      <c r="BJ595" s="99"/>
      <c r="BK595" s="99"/>
      <c r="BL595" s="99"/>
      <c r="BM595" s="99"/>
      <c r="BN595" s="99"/>
      <c r="BO595" s="99"/>
      <c r="BP595" s="99"/>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01"/>
    </row>
    <row r="596" spans="27:97">
      <c r="AA596" s="350"/>
      <c r="AB596" s="62"/>
      <c r="AC596" s="62"/>
      <c r="AD596" s="62"/>
      <c r="AP596" s="88"/>
      <c r="AQ596" s="88"/>
      <c r="AR596" s="88"/>
      <c r="AS596" s="99"/>
      <c r="AT596" s="99"/>
      <c r="AU596" s="99"/>
      <c r="AV596" s="99"/>
      <c r="AW596" s="99"/>
      <c r="AX596" s="99"/>
      <c r="AY596" s="99"/>
      <c r="AZ596" s="99"/>
      <c r="BA596" s="99"/>
      <c r="BB596" s="99"/>
      <c r="BC596" s="99"/>
      <c r="BD596" s="99"/>
      <c r="BE596" s="99"/>
      <c r="BF596" s="99"/>
      <c r="BG596" s="99"/>
      <c r="BH596" s="99"/>
      <c r="BI596" s="99"/>
      <c r="BJ596" s="99"/>
      <c r="BK596" s="99"/>
      <c r="BL596" s="99"/>
      <c r="BM596" s="99"/>
      <c r="BN596" s="99"/>
      <c r="BO596" s="99"/>
      <c r="BP596" s="99"/>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01"/>
    </row>
    <row r="597" spans="27:97">
      <c r="AA597" s="350"/>
      <c r="AB597" s="62"/>
      <c r="AC597" s="62"/>
      <c r="AD597" s="62"/>
      <c r="AP597" s="88"/>
      <c r="AQ597" s="88"/>
      <c r="AR597" s="88"/>
      <c r="AS597" s="99"/>
      <c r="AT597" s="99"/>
      <c r="AU597" s="99"/>
      <c r="AV597" s="99"/>
      <c r="AW597" s="99"/>
      <c r="AX597" s="99"/>
      <c r="AY597" s="99"/>
      <c r="AZ597" s="99"/>
      <c r="BA597" s="99"/>
      <c r="BB597" s="99"/>
      <c r="BC597" s="99"/>
      <c r="BD597" s="99"/>
      <c r="BE597" s="99"/>
      <c r="BF597" s="99"/>
      <c r="BG597" s="99"/>
      <c r="BH597" s="99"/>
      <c r="BI597" s="99"/>
      <c r="BJ597" s="99"/>
      <c r="BK597" s="99"/>
      <c r="BL597" s="99"/>
      <c r="BM597" s="99"/>
      <c r="BN597" s="99"/>
      <c r="BO597" s="99"/>
      <c r="BP597" s="99"/>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01"/>
    </row>
    <row r="598" spans="27:97">
      <c r="AA598" s="350"/>
      <c r="AB598" s="62"/>
      <c r="AC598" s="62"/>
      <c r="AD598" s="62"/>
      <c r="AP598" s="88"/>
      <c r="AQ598" s="88"/>
      <c r="AR598" s="88"/>
      <c r="AS598" s="99"/>
      <c r="AT598" s="99"/>
      <c r="AU598" s="99"/>
      <c r="AV598" s="99"/>
      <c r="AW598" s="99"/>
      <c r="AX598" s="99"/>
      <c r="AY598" s="99"/>
      <c r="AZ598" s="99"/>
      <c r="BA598" s="99"/>
      <c r="BB598" s="99"/>
      <c r="BC598" s="99"/>
      <c r="BD598" s="99"/>
      <c r="BE598" s="99"/>
      <c r="BF598" s="99"/>
      <c r="BG598" s="99"/>
      <c r="BH598" s="99"/>
      <c r="BI598" s="99"/>
      <c r="BJ598" s="99"/>
      <c r="BK598" s="99"/>
      <c r="BL598" s="99"/>
      <c r="BM598" s="99"/>
      <c r="BN598" s="99"/>
      <c r="BO598" s="99"/>
      <c r="BP598" s="99"/>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01"/>
    </row>
    <row r="599" spans="27:97">
      <c r="AA599" s="350"/>
      <c r="AB599" s="62"/>
      <c r="AC599" s="62"/>
      <c r="AD599" s="62"/>
      <c r="AP599" s="88"/>
      <c r="AQ599" s="88"/>
      <c r="AR599" s="88"/>
      <c r="AS599" s="99"/>
      <c r="AT599" s="99"/>
      <c r="AU599" s="99"/>
      <c r="AV599" s="99"/>
      <c r="AW599" s="99"/>
      <c r="AX599" s="99"/>
      <c r="AY599" s="99"/>
      <c r="AZ599" s="99"/>
      <c r="BA599" s="99"/>
      <c r="BB599" s="99"/>
      <c r="BC599" s="99"/>
      <c r="BD599" s="99"/>
      <c r="BE599" s="99"/>
      <c r="BF599" s="99"/>
      <c r="BG599" s="99"/>
      <c r="BH599" s="99"/>
      <c r="BI599" s="99"/>
      <c r="BJ599" s="99"/>
      <c r="BK599" s="99"/>
      <c r="BL599" s="99"/>
      <c r="BM599" s="99"/>
      <c r="BN599" s="99"/>
      <c r="BO599" s="99"/>
      <c r="BP599" s="99"/>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01"/>
    </row>
    <row r="600" spans="27:97">
      <c r="AA600" s="350"/>
      <c r="AB600" s="62"/>
      <c r="AC600" s="62"/>
      <c r="AD600" s="62"/>
      <c r="AP600" s="88"/>
      <c r="AQ600" s="88"/>
      <c r="AR600" s="88"/>
      <c r="AS600" s="99"/>
      <c r="AT600" s="99"/>
      <c r="AU600" s="99"/>
      <c r="AV600" s="99"/>
      <c r="AW600" s="99"/>
      <c r="AX600" s="99"/>
      <c r="AY600" s="99"/>
      <c r="AZ600" s="99"/>
      <c r="BA600" s="99"/>
      <c r="BB600" s="99"/>
      <c r="BC600" s="99"/>
      <c r="BD600" s="99"/>
      <c r="BE600" s="99"/>
      <c r="BF600" s="99"/>
      <c r="BG600" s="99"/>
      <c r="BH600" s="99"/>
      <c r="BI600" s="99"/>
      <c r="BJ600" s="99"/>
      <c r="BK600" s="99"/>
      <c r="BL600" s="99"/>
      <c r="BM600" s="99"/>
      <c r="BN600" s="99"/>
      <c r="BO600" s="99"/>
      <c r="BP600" s="99"/>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01"/>
    </row>
    <row r="601" spans="27:97">
      <c r="AA601" s="350"/>
      <c r="AB601" s="62"/>
      <c r="AC601" s="62"/>
      <c r="AD601" s="62"/>
      <c r="AP601" s="88"/>
      <c r="AQ601" s="88"/>
      <c r="AR601" s="88"/>
      <c r="AS601" s="99"/>
      <c r="AT601" s="99"/>
      <c r="AU601" s="99"/>
      <c r="AV601" s="99"/>
      <c r="AW601" s="99"/>
      <c r="AX601" s="99"/>
      <c r="AY601" s="99"/>
      <c r="AZ601" s="99"/>
      <c r="BA601" s="99"/>
      <c r="BB601" s="99"/>
      <c r="BC601" s="99"/>
      <c r="BD601" s="99"/>
      <c r="BE601" s="99"/>
      <c r="BF601" s="99"/>
      <c r="BG601" s="99"/>
      <c r="BH601" s="99"/>
      <c r="BI601" s="99"/>
      <c r="BJ601" s="99"/>
      <c r="BK601" s="99"/>
      <c r="BL601" s="99"/>
      <c r="BM601" s="99"/>
      <c r="BN601" s="99"/>
      <c r="BO601" s="99"/>
      <c r="BP601" s="99"/>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01"/>
    </row>
    <row r="602" spans="27:97">
      <c r="AA602" s="350"/>
      <c r="AB602" s="62"/>
      <c r="AC602" s="62"/>
      <c r="AD602" s="62"/>
      <c r="AP602" s="88"/>
      <c r="AQ602" s="88"/>
      <c r="AR602" s="88"/>
      <c r="AS602" s="99"/>
      <c r="AT602" s="99"/>
      <c r="AU602" s="99"/>
      <c r="AV602" s="99"/>
      <c r="AW602" s="99"/>
      <c r="AX602" s="99"/>
      <c r="AY602" s="99"/>
      <c r="AZ602" s="99"/>
      <c r="BA602" s="99"/>
      <c r="BB602" s="99"/>
      <c r="BC602" s="99"/>
      <c r="BD602" s="99"/>
      <c r="BE602" s="99"/>
      <c r="BF602" s="99"/>
      <c r="BG602" s="99"/>
      <c r="BH602" s="99"/>
      <c r="BI602" s="99"/>
      <c r="BJ602" s="99"/>
      <c r="BK602" s="99"/>
      <c r="BL602" s="99"/>
      <c r="BM602" s="99"/>
      <c r="BN602" s="99"/>
      <c r="BO602" s="99"/>
      <c r="BP602" s="99"/>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01"/>
    </row>
    <row r="603" spans="27:97">
      <c r="AA603" s="350"/>
      <c r="AB603" s="62"/>
      <c r="AC603" s="62"/>
      <c r="AD603" s="62"/>
      <c r="AP603" s="88"/>
      <c r="AQ603" s="88"/>
      <c r="AR603" s="88"/>
      <c r="AS603" s="99"/>
      <c r="AT603" s="99"/>
      <c r="AU603" s="99"/>
      <c r="AV603" s="99"/>
      <c r="AW603" s="99"/>
      <c r="AX603" s="99"/>
      <c r="AY603" s="99"/>
      <c r="AZ603" s="99"/>
      <c r="BA603" s="99"/>
      <c r="BB603" s="99"/>
      <c r="BC603" s="99"/>
      <c r="BD603" s="99"/>
      <c r="BE603" s="99"/>
      <c r="BF603" s="99"/>
      <c r="BG603" s="99"/>
      <c r="BH603" s="99"/>
      <c r="BI603" s="99"/>
      <c r="BJ603" s="99"/>
      <c r="BK603" s="99"/>
      <c r="BL603" s="99"/>
      <c r="BM603" s="99"/>
      <c r="BN603" s="99"/>
      <c r="BO603" s="99"/>
      <c r="BP603" s="99"/>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01"/>
    </row>
    <row r="604" spans="27:97">
      <c r="AA604" s="350"/>
      <c r="AB604" s="62"/>
      <c r="AC604" s="62"/>
      <c r="AD604" s="62"/>
      <c r="AP604" s="88"/>
      <c r="AQ604" s="88"/>
      <c r="AR604" s="88"/>
      <c r="AS604" s="99"/>
      <c r="AT604" s="99"/>
      <c r="AU604" s="99"/>
      <c r="AV604" s="99"/>
      <c r="AW604" s="99"/>
      <c r="AX604" s="99"/>
      <c r="AY604" s="99"/>
      <c r="AZ604" s="99"/>
      <c r="BA604" s="99"/>
      <c r="BB604" s="99"/>
      <c r="BC604" s="99"/>
      <c r="BD604" s="99"/>
      <c r="BE604" s="99"/>
      <c r="BF604" s="99"/>
      <c r="BG604" s="99"/>
      <c r="BH604" s="99"/>
      <c r="BI604" s="99"/>
      <c r="BJ604" s="99"/>
      <c r="BK604" s="99"/>
      <c r="BL604" s="99"/>
      <c r="BM604" s="99"/>
      <c r="BN604" s="99"/>
      <c r="BO604" s="99"/>
      <c r="BP604" s="99"/>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01"/>
    </row>
    <row r="605" spans="27:97">
      <c r="AA605" s="350"/>
      <c r="AB605" s="62"/>
      <c r="AC605" s="62"/>
      <c r="AD605" s="62"/>
      <c r="AP605" s="88"/>
      <c r="AQ605" s="88"/>
      <c r="AR605" s="88"/>
      <c r="AS605" s="99"/>
      <c r="AT605" s="99"/>
      <c r="AU605" s="99"/>
      <c r="AV605" s="99"/>
      <c r="AW605" s="99"/>
      <c r="AX605" s="99"/>
      <c r="AY605" s="99"/>
      <c r="AZ605" s="99"/>
      <c r="BA605" s="99"/>
      <c r="BB605" s="99"/>
      <c r="BC605" s="99"/>
      <c r="BD605" s="99"/>
      <c r="BE605" s="99"/>
      <c r="BF605" s="99"/>
      <c r="BG605" s="99"/>
      <c r="BH605" s="99"/>
      <c r="BI605" s="99"/>
      <c r="BJ605" s="99"/>
      <c r="BK605" s="99"/>
      <c r="BL605" s="99"/>
      <c r="BM605" s="99"/>
      <c r="BN605" s="99"/>
      <c r="BO605" s="99"/>
      <c r="BP605" s="99"/>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01"/>
    </row>
    <row r="606" spans="27:97">
      <c r="AA606" s="350"/>
      <c r="AB606" s="62"/>
      <c r="AC606" s="62"/>
      <c r="AD606" s="62"/>
      <c r="AP606" s="88"/>
      <c r="AQ606" s="88"/>
      <c r="AR606" s="88"/>
      <c r="AS606" s="99"/>
      <c r="AT606" s="99"/>
      <c r="AU606" s="99"/>
      <c r="AV606" s="99"/>
      <c r="AW606" s="99"/>
      <c r="AX606" s="99"/>
      <c r="AY606" s="99"/>
      <c r="AZ606" s="99"/>
      <c r="BA606" s="99"/>
      <c r="BB606" s="99"/>
      <c r="BC606" s="99"/>
      <c r="BD606" s="99"/>
      <c r="BE606" s="99"/>
      <c r="BF606" s="99"/>
      <c r="BG606" s="99"/>
      <c r="BH606" s="99"/>
      <c r="BI606" s="99"/>
      <c r="BJ606" s="99"/>
      <c r="BK606" s="99"/>
      <c r="BL606" s="99"/>
      <c r="BM606" s="99"/>
      <c r="BN606" s="99"/>
      <c r="BO606" s="99"/>
      <c r="BP606" s="99"/>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01"/>
    </row>
    <row r="607" spans="27:97">
      <c r="AA607" s="350"/>
      <c r="AB607" s="62"/>
      <c r="AC607" s="62"/>
      <c r="AD607" s="62"/>
      <c r="AP607" s="88"/>
      <c r="AQ607" s="88"/>
      <c r="AR607" s="88"/>
      <c r="AS607" s="99"/>
      <c r="AT607" s="99"/>
      <c r="AU607" s="99"/>
      <c r="AV607" s="99"/>
      <c r="AW607" s="99"/>
      <c r="AX607" s="99"/>
      <c r="AY607" s="99"/>
      <c r="AZ607" s="99"/>
      <c r="BA607" s="99"/>
      <c r="BB607" s="99"/>
      <c r="BC607" s="99"/>
      <c r="BD607" s="99"/>
      <c r="BE607" s="99"/>
      <c r="BF607" s="99"/>
      <c r="BG607" s="99"/>
      <c r="BH607" s="99"/>
      <c r="BI607" s="99"/>
      <c r="BJ607" s="99"/>
      <c r="BK607" s="99"/>
      <c r="BL607" s="99"/>
      <c r="BM607" s="99"/>
      <c r="BN607" s="99"/>
      <c r="BO607" s="99"/>
      <c r="BP607" s="99"/>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01"/>
    </row>
    <row r="608" spans="27:97">
      <c r="AA608" s="350"/>
      <c r="AB608" s="62"/>
      <c r="AC608" s="62"/>
      <c r="AD608" s="62"/>
      <c r="AP608" s="88"/>
      <c r="AQ608" s="88"/>
      <c r="AR608" s="88"/>
      <c r="AS608" s="99"/>
      <c r="AT608" s="99"/>
      <c r="AU608" s="99"/>
      <c r="AV608" s="99"/>
      <c r="AW608" s="99"/>
      <c r="AX608" s="99"/>
      <c r="AY608" s="99"/>
      <c r="AZ608" s="99"/>
      <c r="BA608" s="99"/>
      <c r="BB608" s="99"/>
      <c r="BC608" s="99"/>
      <c r="BD608" s="99"/>
      <c r="BE608" s="99"/>
      <c r="BF608" s="99"/>
      <c r="BG608" s="99"/>
      <c r="BH608" s="99"/>
      <c r="BI608" s="99"/>
      <c r="BJ608" s="99"/>
      <c r="BK608" s="99"/>
      <c r="BL608" s="99"/>
      <c r="BM608" s="99"/>
      <c r="BN608" s="99"/>
      <c r="BO608" s="99"/>
      <c r="BP608" s="99"/>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01"/>
    </row>
    <row r="609" spans="27:97">
      <c r="AA609" s="350"/>
      <c r="AB609" s="62"/>
      <c r="AC609" s="62"/>
      <c r="AD609" s="62"/>
      <c r="AP609" s="88"/>
      <c r="AQ609" s="88"/>
      <c r="AR609" s="88"/>
      <c r="AS609" s="99"/>
      <c r="AT609" s="99"/>
      <c r="AU609" s="99"/>
      <c r="AV609" s="99"/>
      <c r="AW609" s="99"/>
      <c r="AX609" s="99"/>
      <c r="AY609" s="99"/>
      <c r="AZ609" s="99"/>
      <c r="BA609" s="99"/>
      <c r="BB609" s="99"/>
      <c r="BC609" s="99"/>
      <c r="BD609" s="99"/>
      <c r="BE609" s="99"/>
      <c r="BF609" s="99"/>
      <c r="BG609" s="99"/>
      <c r="BH609" s="99"/>
      <c r="BI609" s="99"/>
      <c r="BJ609" s="99"/>
      <c r="BK609" s="99"/>
      <c r="BL609" s="99"/>
      <c r="BM609" s="99"/>
      <c r="BN609" s="99"/>
      <c r="BO609" s="99"/>
      <c r="BP609" s="99"/>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01"/>
    </row>
    <row r="610" spans="27:97">
      <c r="AA610" s="350"/>
      <c r="AB610" s="62"/>
      <c r="AC610" s="62"/>
      <c r="AD610" s="62"/>
      <c r="AP610" s="88"/>
      <c r="AQ610" s="88"/>
      <c r="AR610" s="88"/>
      <c r="AS610" s="99"/>
      <c r="AT610" s="99"/>
      <c r="AU610" s="99"/>
      <c r="AV610" s="99"/>
      <c r="AW610" s="99"/>
      <c r="AX610" s="99"/>
      <c r="AY610" s="99"/>
      <c r="AZ610" s="99"/>
      <c r="BA610" s="99"/>
      <c r="BB610" s="99"/>
      <c r="BC610" s="99"/>
      <c r="BD610" s="99"/>
      <c r="BE610" s="99"/>
      <c r="BF610" s="99"/>
      <c r="BG610" s="99"/>
      <c r="BH610" s="99"/>
      <c r="BI610" s="99"/>
      <c r="BJ610" s="99"/>
      <c r="BK610" s="99"/>
      <c r="BL610" s="99"/>
      <c r="BM610" s="99"/>
      <c r="BN610" s="99"/>
      <c r="BO610" s="99"/>
      <c r="BP610" s="99"/>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01"/>
    </row>
    <row r="611" spans="27:97">
      <c r="AA611" s="350"/>
      <c r="AB611" s="62"/>
      <c r="AC611" s="62"/>
      <c r="AD611" s="62"/>
      <c r="AP611" s="88"/>
      <c r="AQ611" s="88"/>
      <c r="AR611" s="88"/>
      <c r="AS611" s="99"/>
      <c r="AT611" s="99"/>
      <c r="AU611" s="99"/>
      <c r="AV611" s="99"/>
      <c r="AW611" s="99"/>
      <c r="AX611" s="99"/>
      <c r="AY611" s="99"/>
      <c r="AZ611" s="99"/>
      <c r="BA611" s="99"/>
      <c r="BB611" s="99"/>
      <c r="BC611" s="99"/>
      <c r="BD611" s="99"/>
      <c r="BE611" s="99"/>
      <c r="BF611" s="99"/>
      <c r="BG611" s="99"/>
      <c r="BH611" s="99"/>
      <c r="BI611" s="99"/>
      <c r="BJ611" s="99"/>
      <c r="BK611" s="99"/>
      <c r="BL611" s="99"/>
      <c r="BM611" s="99"/>
      <c r="BN611" s="99"/>
      <c r="BO611" s="99"/>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01"/>
    </row>
    <row r="612" spans="27:97">
      <c r="AA612" s="350"/>
      <c r="AB612" s="62"/>
      <c r="AC612" s="62"/>
      <c r="AD612" s="62"/>
      <c r="AP612" s="88"/>
      <c r="AQ612" s="88"/>
      <c r="AR612" s="88"/>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01"/>
    </row>
    <row r="613" spans="27:97">
      <c r="AA613" s="350"/>
      <c r="AB613" s="62"/>
      <c r="AC613" s="62"/>
      <c r="AD613" s="62"/>
      <c r="AP613" s="88"/>
      <c r="AQ613" s="88"/>
      <c r="AR613" s="88"/>
      <c r="AS613" s="99"/>
      <c r="AT613" s="99"/>
      <c r="AU613" s="99"/>
      <c r="AV613" s="99"/>
      <c r="AW613" s="99"/>
      <c r="AX613" s="99"/>
      <c r="AY613" s="99"/>
      <c r="AZ613" s="99"/>
      <c r="BA613" s="99"/>
      <c r="BB613" s="99"/>
      <c r="BC613" s="99"/>
      <c r="BD613" s="99"/>
      <c r="BE613" s="99"/>
      <c r="BF613" s="99"/>
      <c r="BG613" s="99"/>
      <c r="BH613" s="99"/>
      <c r="BI613" s="99"/>
      <c r="BJ613" s="99"/>
      <c r="BK613" s="99"/>
      <c r="BL613" s="99"/>
      <c r="BM613" s="99"/>
      <c r="BN613" s="99"/>
      <c r="BO613" s="99"/>
      <c r="BP613" s="99"/>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01"/>
    </row>
    <row r="614" spans="27:97">
      <c r="AA614" s="350"/>
      <c r="AB614" s="62"/>
      <c r="AC614" s="62"/>
      <c r="AD614" s="62"/>
      <c r="AP614" s="88"/>
      <c r="AQ614" s="88"/>
      <c r="AR614" s="88"/>
      <c r="AS614" s="99"/>
      <c r="AT614" s="99"/>
      <c r="AU614" s="99"/>
      <c r="AV614" s="99"/>
      <c r="AW614" s="99"/>
      <c r="AX614" s="99"/>
      <c r="AY614" s="99"/>
      <c r="AZ614" s="99"/>
      <c r="BA614" s="99"/>
      <c r="BB614" s="99"/>
      <c r="BC614" s="99"/>
      <c r="BD614" s="99"/>
      <c r="BE614" s="99"/>
      <c r="BF614" s="99"/>
      <c r="BG614" s="99"/>
      <c r="BH614" s="99"/>
      <c r="BI614" s="99"/>
      <c r="BJ614" s="99"/>
      <c r="BK614" s="99"/>
      <c r="BL614" s="99"/>
      <c r="BM614" s="99"/>
      <c r="BN614" s="99"/>
      <c r="BO614" s="99"/>
      <c r="BP614" s="99"/>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01"/>
    </row>
    <row r="615" spans="27:97">
      <c r="AA615" s="350"/>
      <c r="AB615" s="62"/>
      <c r="AC615" s="62"/>
      <c r="AD615" s="62"/>
      <c r="AP615" s="88"/>
      <c r="AQ615" s="88"/>
      <c r="AR615" s="88"/>
      <c r="AS615" s="99"/>
      <c r="AT615" s="99"/>
      <c r="AU615" s="99"/>
      <c r="AV615" s="99"/>
      <c r="AW615" s="99"/>
      <c r="AX615" s="99"/>
      <c r="AY615" s="99"/>
      <c r="AZ615" s="99"/>
      <c r="BA615" s="99"/>
      <c r="BB615" s="99"/>
      <c r="BC615" s="99"/>
      <c r="BD615" s="99"/>
      <c r="BE615" s="99"/>
      <c r="BF615" s="99"/>
      <c r="BG615" s="99"/>
      <c r="BH615" s="99"/>
      <c r="BI615" s="99"/>
      <c r="BJ615" s="99"/>
      <c r="BK615" s="99"/>
      <c r="BL615" s="99"/>
      <c r="BM615" s="99"/>
      <c r="BN615" s="99"/>
      <c r="BO615" s="99"/>
      <c r="BP615" s="99"/>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01"/>
    </row>
    <row r="616" spans="27:97">
      <c r="AA616" s="350"/>
      <c r="AB616" s="62"/>
      <c r="AC616" s="62"/>
      <c r="AD616" s="62"/>
      <c r="AP616" s="88"/>
      <c r="AQ616" s="88"/>
      <c r="AR616" s="88"/>
      <c r="AS616" s="99"/>
      <c r="AT616" s="99"/>
      <c r="AU616" s="99"/>
      <c r="AV616" s="99"/>
      <c r="AW616" s="99"/>
      <c r="AX616" s="99"/>
      <c r="AY616" s="99"/>
      <c r="AZ616" s="99"/>
      <c r="BA616" s="99"/>
      <c r="BB616" s="99"/>
      <c r="BC616" s="99"/>
      <c r="BD616" s="99"/>
      <c r="BE616" s="99"/>
      <c r="BF616" s="99"/>
      <c r="BG616" s="99"/>
      <c r="BH616" s="99"/>
      <c r="BI616" s="99"/>
      <c r="BJ616" s="99"/>
      <c r="BK616" s="99"/>
      <c r="BL616" s="99"/>
      <c r="BM616" s="99"/>
      <c r="BN616" s="99"/>
      <c r="BO616" s="99"/>
      <c r="BP616" s="99"/>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01"/>
    </row>
    <row r="617" spans="27:97">
      <c r="AA617" s="350"/>
      <c r="AB617" s="62"/>
      <c r="AC617" s="62"/>
      <c r="AD617" s="62"/>
      <c r="AP617" s="88"/>
      <c r="AQ617" s="88"/>
      <c r="AR617" s="88"/>
      <c r="AS617" s="99"/>
      <c r="AT617" s="99"/>
      <c r="AU617" s="99"/>
      <c r="AV617" s="99"/>
      <c r="AW617" s="99"/>
      <c r="AX617" s="99"/>
      <c r="AY617" s="99"/>
      <c r="AZ617" s="99"/>
      <c r="BA617" s="99"/>
      <c r="BB617" s="99"/>
      <c r="BC617" s="99"/>
      <c r="BD617" s="99"/>
      <c r="BE617" s="99"/>
      <c r="BF617" s="99"/>
      <c r="BG617" s="99"/>
      <c r="BH617" s="99"/>
      <c r="BI617" s="99"/>
      <c r="BJ617" s="99"/>
      <c r="BK617" s="99"/>
      <c r="BL617" s="99"/>
      <c r="BM617" s="99"/>
      <c r="BN617" s="99"/>
      <c r="BO617" s="99"/>
      <c r="BP617" s="99"/>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01"/>
    </row>
    <row r="618" spans="27:97">
      <c r="AA618" s="350"/>
      <c r="AB618" s="62"/>
      <c r="AC618" s="62"/>
      <c r="AD618" s="62"/>
      <c r="AP618" s="88"/>
      <c r="AQ618" s="88"/>
      <c r="AR618" s="88"/>
      <c r="AS618" s="99"/>
      <c r="AT618" s="99"/>
      <c r="AU618" s="99"/>
      <c r="AV618" s="99"/>
      <c r="AW618" s="99"/>
      <c r="AX618" s="99"/>
      <c r="AY618" s="99"/>
      <c r="AZ618" s="99"/>
      <c r="BA618" s="99"/>
      <c r="BB618" s="99"/>
      <c r="BC618" s="99"/>
      <c r="BD618" s="99"/>
      <c r="BE618" s="99"/>
      <c r="BF618" s="99"/>
      <c r="BG618" s="99"/>
      <c r="BH618" s="99"/>
      <c r="BI618" s="99"/>
      <c r="BJ618" s="99"/>
      <c r="BK618" s="99"/>
      <c r="BL618" s="99"/>
      <c r="BM618" s="99"/>
      <c r="BN618" s="99"/>
      <c r="BO618" s="99"/>
      <c r="BP618" s="99"/>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01"/>
    </row>
    <row r="619" spans="27:97">
      <c r="AA619" s="350"/>
      <c r="AB619" s="62"/>
      <c r="AC619" s="62"/>
      <c r="AD619" s="62"/>
      <c r="AP619" s="88"/>
      <c r="AQ619" s="88"/>
      <c r="AR619" s="88"/>
      <c r="AS619" s="99"/>
      <c r="AT619" s="99"/>
      <c r="AU619" s="99"/>
      <c r="AV619" s="99"/>
      <c r="AW619" s="99"/>
      <c r="AX619" s="99"/>
      <c r="AY619" s="99"/>
      <c r="AZ619" s="99"/>
      <c r="BA619" s="99"/>
      <c r="BB619" s="99"/>
      <c r="BC619" s="99"/>
      <c r="BD619" s="99"/>
      <c r="BE619" s="99"/>
      <c r="BF619" s="99"/>
      <c r="BG619" s="99"/>
      <c r="BH619" s="99"/>
      <c r="BI619" s="99"/>
      <c r="BJ619" s="99"/>
      <c r="BK619" s="99"/>
      <c r="BL619" s="99"/>
      <c r="BM619" s="99"/>
      <c r="BN619" s="99"/>
      <c r="BO619" s="99"/>
      <c r="BP619" s="99"/>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01"/>
    </row>
    <row r="620" spans="27:97">
      <c r="AA620" s="350"/>
      <c r="AB620" s="62"/>
      <c r="AC620" s="62"/>
      <c r="AD620" s="62"/>
      <c r="AP620" s="88"/>
      <c r="AQ620" s="88"/>
      <c r="AR620" s="88"/>
      <c r="AS620" s="99"/>
      <c r="AT620" s="99"/>
      <c r="AU620" s="99"/>
      <c r="AV620" s="99"/>
      <c r="AW620" s="99"/>
      <c r="AX620" s="99"/>
      <c r="AY620" s="99"/>
      <c r="AZ620" s="99"/>
      <c r="BA620" s="99"/>
      <c r="BB620" s="99"/>
      <c r="BC620" s="99"/>
      <c r="BD620" s="99"/>
      <c r="BE620" s="99"/>
      <c r="BF620" s="99"/>
      <c r="BG620" s="99"/>
      <c r="BH620" s="99"/>
      <c r="BI620" s="99"/>
      <c r="BJ620" s="99"/>
      <c r="BK620" s="99"/>
      <c r="BL620" s="99"/>
      <c r="BM620" s="99"/>
      <c r="BN620" s="99"/>
      <c r="BO620" s="99"/>
      <c r="BP620" s="99"/>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01"/>
    </row>
    <row r="621" spans="27:97">
      <c r="AA621" s="350"/>
      <c r="AB621" s="62"/>
      <c r="AC621" s="62"/>
      <c r="AD621" s="62"/>
      <c r="AP621" s="88"/>
      <c r="AQ621" s="88"/>
      <c r="AR621" s="88"/>
      <c r="AS621" s="99"/>
      <c r="AT621" s="99"/>
      <c r="AU621" s="99"/>
      <c r="AV621" s="99"/>
      <c r="AW621" s="99"/>
      <c r="AX621" s="99"/>
      <c r="AY621" s="99"/>
      <c r="AZ621" s="99"/>
      <c r="BA621" s="99"/>
      <c r="BB621" s="99"/>
      <c r="BC621" s="99"/>
      <c r="BD621" s="99"/>
      <c r="BE621" s="99"/>
      <c r="BF621" s="99"/>
      <c r="BG621" s="99"/>
      <c r="BH621" s="99"/>
      <c r="BI621" s="99"/>
      <c r="BJ621" s="99"/>
      <c r="BK621" s="99"/>
      <c r="BL621" s="99"/>
      <c r="BM621" s="99"/>
      <c r="BN621" s="99"/>
      <c r="BO621" s="99"/>
      <c r="BP621" s="99"/>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01"/>
    </row>
    <row r="622" spans="27:97">
      <c r="AA622" s="350"/>
      <c r="AB622" s="62"/>
      <c r="AC622" s="62"/>
      <c r="AD622" s="62"/>
      <c r="AP622" s="88"/>
      <c r="AQ622" s="88"/>
      <c r="AR622" s="88"/>
      <c r="AS622" s="99"/>
      <c r="AT622" s="99"/>
      <c r="AU622" s="99"/>
      <c r="AV622" s="99"/>
      <c r="AW622" s="99"/>
      <c r="AX622" s="99"/>
      <c r="AY622" s="99"/>
      <c r="AZ622" s="99"/>
      <c r="BA622" s="99"/>
      <c r="BB622" s="99"/>
      <c r="BC622" s="99"/>
      <c r="BD622" s="99"/>
      <c r="BE622" s="99"/>
      <c r="BF622" s="99"/>
      <c r="BG622" s="99"/>
      <c r="BH622" s="99"/>
      <c r="BI622" s="99"/>
      <c r="BJ622" s="99"/>
      <c r="BK622" s="99"/>
      <c r="BL622" s="99"/>
      <c r="BM622" s="99"/>
      <c r="BN622" s="99"/>
      <c r="BO622" s="99"/>
      <c r="BP622" s="99"/>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01"/>
    </row>
    <row r="623" spans="27:97">
      <c r="AA623" s="350"/>
      <c r="AB623" s="62"/>
      <c r="AC623" s="62"/>
      <c r="AD623" s="62"/>
      <c r="AP623" s="88"/>
      <c r="AQ623" s="88"/>
      <c r="AR623" s="88"/>
      <c r="AS623" s="99"/>
      <c r="AT623" s="99"/>
      <c r="AU623" s="99"/>
      <c r="AV623" s="99"/>
      <c r="AW623" s="99"/>
      <c r="AX623" s="99"/>
      <c r="AY623" s="99"/>
      <c r="AZ623" s="99"/>
      <c r="BA623" s="99"/>
      <c r="BB623" s="99"/>
      <c r="BC623" s="99"/>
      <c r="BD623" s="99"/>
      <c r="BE623" s="99"/>
      <c r="BF623" s="99"/>
      <c r="BG623" s="99"/>
      <c r="BH623" s="99"/>
      <c r="BI623" s="99"/>
      <c r="BJ623" s="99"/>
      <c r="BK623" s="99"/>
      <c r="BL623" s="99"/>
      <c r="BM623" s="99"/>
      <c r="BN623" s="99"/>
      <c r="BO623" s="99"/>
      <c r="BP623" s="99"/>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01"/>
    </row>
    <row r="624" spans="27:97">
      <c r="AA624" s="350"/>
      <c r="AB624" s="62"/>
      <c r="AC624" s="62"/>
      <c r="AD624" s="62"/>
      <c r="AP624" s="88"/>
      <c r="AQ624" s="88"/>
      <c r="AR624" s="88"/>
      <c r="AS624" s="99"/>
      <c r="AT624" s="99"/>
      <c r="AU624" s="99"/>
      <c r="AV624" s="99"/>
      <c r="AW624" s="99"/>
      <c r="AX624" s="99"/>
      <c r="AY624" s="99"/>
      <c r="AZ624" s="99"/>
      <c r="BA624" s="99"/>
      <c r="BB624" s="99"/>
      <c r="BC624" s="99"/>
      <c r="BD624" s="99"/>
      <c r="BE624" s="99"/>
      <c r="BF624" s="99"/>
      <c r="BG624" s="99"/>
      <c r="BH624" s="99"/>
      <c r="BI624" s="99"/>
      <c r="BJ624" s="99"/>
      <c r="BK624" s="99"/>
      <c r="BL624" s="99"/>
      <c r="BM624" s="99"/>
      <c r="BN624" s="99"/>
      <c r="BO624" s="99"/>
      <c r="BP624" s="99"/>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01"/>
    </row>
    <row r="625" spans="27:97">
      <c r="AA625" s="350"/>
      <c r="AB625" s="62"/>
      <c r="AC625" s="62"/>
      <c r="AD625" s="62"/>
      <c r="AP625" s="88"/>
      <c r="AQ625" s="88"/>
      <c r="AR625" s="88"/>
      <c r="AS625" s="99"/>
      <c r="AT625" s="99"/>
      <c r="AU625" s="99"/>
      <c r="AV625" s="99"/>
      <c r="AW625" s="99"/>
      <c r="AX625" s="99"/>
      <c r="AY625" s="99"/>
      <c r="AZ625" s="99"/>
      <c r="BA625" s="99"/>
      <c r="BB625" s="99"/>
      <c r="BC625" s="99"/>
      <c r="BD625" s="99"/>
      <c r="BE625" s="99"/>
      <c r="BF625" s="99"/>
      <c r="BG625" s="99"/>
      <c r="BH625" s="99"/>
      <c r="BI625" s="99"/>
      <c r="BJ625" s="99"/>
      <c r="BK625" s="99"/>
      <c r="BL625" s="99"/>
      <c r="BM625" s="99"/>
      <c r="BN625" s="99"/>
      <c r="BO625" s="99"/>
      <c r="BP625" s="99"/>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01"/>
    </row>
    <row r="626" spans="27:97">
      <c r="AA626" s="350"/>
      <c r="AB626" s="62"/>
      <c r="AC626" s="62"/>
      <c r="AD626" s="62"/>
      <c r="AP626" s="88"/>
      <c r="AQ626" s="88"/>
      <c r="AR626" s="88"/>
      <c r="AS626" s="99"/>
      <c r="AT626" s="99"/>
      <c r="AU626" s="99"/>
      <c r="AV626" s="99"/>
      <c r="AW626" s="99"/>
      <c r="AX626" s="99"/>
      <c r="AY626" s="99"/>
      <c r="AZ626" s="99"/>
      <c r="BA626" s="99"/>
      <c r="BB626" s="99"/>
      <c r="BC626" s="99"/>
      <c r="BD626" s="99"/>
      <c r="BE626" s="99"/>
      <c r="BF626" s="99"/>
      <c r="BG626" s="99"/>
      <c r="BH626" s="99"/>
      <c r="BI626" s="99"/>
      <c r="BJ626" s="99"/>
      <c r="BK626" s="99"/>
      <c r="BL626" s="99"/>
      <c r="BM626" s="99"/>
      <c r="BN626" s="99"/>
      <c r="BO626" s="99"/>
      <c r="BP626" s="99"/>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01"/>
    </row>
    <row r="627" spans="27:97">
      <c r="AA627" s="350"/>
      <c r="AB627" s="62"/>
      <c r="AC627" s="62"/>
      <c r="AD627" s="62"/>
      <c r="AP627" s="88"/>
      <c r="AQ627" s="88"/>
      <c r="AR627" s="88"/>
      <c r="AS627" s="99"/>
      <c r="AT627" s="99"/>
      <c r="AU627" s="99"/>
      <c r="AV627" s="99"/>
      <c r="AW627" s="99"/>
      <c r="AX627" s="99"/>
      <c r="AY627" s="99"/>
      <c r="AZ627" s="99"/>
      <c r="BA627" s="99"/>
      <c r="BB627" s="99"/>
      <c r="BC627" s="99"/>
      <c r="BD627" s="99"/>
      <c r="BE627" s="99"/>
      <c r="BF627" s="99"/>
      <c r="BG627" s="99"/>
      <c r="BH627" s="99"/>
      <c r="BI627" s="99"/>
      <c r="BJ627" s="99"/>
      <c r="BK627" s="99"/>
      <c r="BL627" s="99"/>
      <c r="BM627" s="99"/>
      <c r="BN627" s="99"/>
      <c r="BO627" s="99"/>
      <c r="BP627" s="99"/>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01"/>
    </row>
    <row r="628" spans="27:97">
      <c r="AA628" s="350"/>
      <c r="AB628" s="62"/>
      <c r="AC628" s="62"/>
      <c r="AD628" s="62"/>
      <c r="AP628" s="88"/>
      <c r="AQ628" s="88"/>
      <c r="AR628" s="88"/>
      <c r="AS628" s="99"/>
      <c r="AT628" s="99"/>
      <c r="AU628" s="99"/>
      <c r="AV628" s="99"/>
      <c r="AW628" s="99"/>
      <c r="AX628" s="99"/>
      <c r="AY628" s="99"/>
      <c r="AZ628" s="99"/>
      <c r="BA628" s="99"/>
      <c r="BB628" s="99"/>
      <c r="BC628" s="99"/>
      <c r="BD628" s="99"/>
      <c r="BE628" s="99"/>
      <c r="BF628" s="99"/>
      <c r="BG628" s="99"/>
      <c r="BH628" s="99"/>
      <c r="BI628" s="99"/>
      <c r="BJ628" s="99"/>
      <c r="BK628" s="99"/>
      <c r="BL628" s="99"/>
      <c r="BM628" s="99"/>
      <c r="BN628" s="99"/>
      <c r="BO628" s="99"/>
      <c r="BP628" s="99"/>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01"/>
    </row>
    <row r="629" spans="27:97">
      <c r="AA629" s="350"/>
      <c r="AB629" s="62"/>
      <c r="AC629" s="62"/>
      <c r="AD629" s="62"/>
      <c r="AP629" s="88"/>
      <c r="AQ629" s="88"/>
      <c r="AR629" s="88"/>
      <c r="AS629" s="99"/>
      <c r="AT629" s="99"/>
      <c r="AU629" s="99"/>
      <c r="AV629" s="99"/>
      <c r="AW629" s="99"/>
      <c r="AX629" s="99"/>
      <c r="AY629" s="99"/>
      <c r="AZ629" s="99"/>
      <c r="BA629" s="99"/>
      <c r="BB629" s="99"/>
      <c r="BC629" s="99"/>
      <c r="BD629" s="99"/>
      <c r="BE629" s="99"/>
      <c r="BF629" s="99"/>
      <c r="BG629" s="99"/>
      <c r="BH629" s="99"/>
      <c r="BI629" s="99"/>
      <c r="BJ629" s="99"/>
      <c r="BK629" s="99"/>
      <c r="BL629" s="99"/>
      <c r="BM629" s="99"/>
      <c r="BN629" s="99"/>
      <c r="BO629" s="99"/>
      <c r="BP629" s="99"/>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01"/>
    </row>
    <row r="630" spans="27:97">
      <c r="AA630" s="350"/>
      <c r="AB630" s="62"/>
      <c r="AC630" s="62"/>
      <c r="AD630" s="62"/>
      <c r="AP630" s="88"/>
      <c r="AQ630" s="88"/>
      <c r="AR630" s="88"/>
      <c r="AS630" s="99"/>
      <c r="AT630" s="99"/>
      <c r="AU630" s="99"/>
      <c r="AV630" s="99"/>
      <c r="AW630" s="99"/>
      <c r="AX630" s="99"/>
      <c r="AY630" s="99"/>
      <c r="AZ630" s="99"/>
      <c r="BA630" s="99"/>
      <c r="BB630" s="99"/>
      <c r="BC630" s="99"/>
      <c r="BD630" s="99"/>
      <c r="BE630" s="99"/>
      <c r="BF630" s="99"/>
      <c r="BG630" s="99"/>
      <c r="BH630" s="99"/>
      <c r="BI630" s="99"/>
      <c r="BJ630" s="99"/>
      <c r="BK630" s="99"/>
      <c r="BL630" s="99"/>
      <c r="BM630" s="99"/>
      <c r="BN630" s="99"/>
      <c r="BO630" s="99"/>
      <c r="BP630" s="99"/>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01"/>
    </row>
    <row r="631" spans="27:97">
      <c r="AA631" s="350"/>
      <c r="AB631" s="62"/>
      <c r="AC631" s="62"/>
      <c r="AD631" s="62"/>
      <c r="AP631" s="88"/>
      <c r="AQ631" s="88"/>
      <c r="AR631" s="88"/>
      <c r="AS631" s="99"/>
      <c r="AT631" s="99"/>
      <c r="AU631" s="99"/>
      <c r="AV631" s="99"/>
      <c r="AW631" s="99"/>
      <c r="AX631" s="99"/>
      <c r="AY631" s="99"/>
      <c r="AZ631" s="99"/>
      <c r="BA631" s="99"/>
      <c r="BB631" s="99"/>
      <c r="BC631" s="99"/>
      <c r="BD631" s="99"/>
      <c r="BE631" s="99"/>
      <c r="BF631" s="99"/>
      <c r="BG631" s="99"/>
      <c r="BH631" s="99"/>
      <c r="BI631" s="99"/>
      <c r="BJ631" s="99"/>
      <c r="BK631" s="99"/>
      <c r="BL631" s="99"/>
      <c r="BM631" s="99"/>
      <c r="BN631" s="99"/>
      <c r="BO631" s="99"/>
      <c r="BP631" s="99"/>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01"/>
    </row>
    <row r="632" spans="27:97">
      <c r="AA632" s="350"/>
      <c r="AB632" s="62"/>
      <c r="AC632" s="62"/>
      <c r="AD632" s="62"/>
      <c r="AP632" s="88"/>
      <c r="AQ632" s="88"/>
      <c r="AR632" s="88"/>
      <c r="AS632" s="99"/>
      <c r="AT632" s="99"/>
      <c r="AU632" s="99"/>
      <c r="AV632" s="99"/>
      <c r="AW632" s="99"/>
      <c r="AX632" s="99"/>
      <c r="AY632" s="99"/>
      <c r="AZ632" s="99"/>
      <c r="BA632" s="99"/>
      <c r="BB632" s="99"/>
      <c r="BC632" s="99"/>
      <c r="BD632" s="99"/>
      <c r="BE632" s="99"/>
      <c r="BF632" s="99"/>
      <c r="BG632" s="99"/>
      <c r="BH632" s="99"/>
      <c r="BI632" s="99"/>
      <c r="BJ632" s="99"/>
      <c r="BK632" s="99"/>
      <c r="BL632" s="99"/>
      <c r="BM632" s="99"/>
      <c r="BN632" s="99"/>
      <c r="BO632" s="99"/>
      <c r="BP632" s="99"/>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01"/>
    </row>
    <row r="633" spans="27:97">
      <c r="AA633" s="350"/>
      <c r="AB633" s="62"/>
      <c r="AC633" s="62"/>
      <c r="AD633" s="62"/>
      <c r="AP633" s="88"/>
      <c r="AQ633" s="88"/>
      <c r="AR633" s="88"/>
      <c r="AS633" s="99"/>
      <c r="AT633" s="99"/>
      <c r="AU633" s="99"/>
      <c r="AV633" s="99"/>
      <c r="AW633" s="99"/>
      <c r="AX633" s="99"/>
      <c r="AY633" s="99"/>
      <c r="AZ633" s="99"/>
      <c r="BA633" s="99"/>
      <c r="BB633" s="99"/>
      <c r="BC633" s="99"/>
      <c r="BD633" s="99"/>
      <c r="BE633" s="99"/>
      <c r="BF633" s="99"/>
      <c r="BG633" s="99"/>
      <c r="BH633" s="99"/>
      <c r="BI633" s="99"/>
      <c r="BJ633" s="99"/>
      <c r="BK633" s="99"/>
      <c r="BL633" s="99"/>
      <c r="BM633" s="99"/>
      <c r="BN633" s="99"/>
      <c r="BO633" s="99"/>
      <c r="BP633" s="99"/>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01"/>
    </row>
    <row r="634" spans="27:97">
      <c r="AA634" s="350"/>
      <c r="AB634" s="62"/>
      <c r="AC634" s="62"/>
      <c r="AD634" s="62"/>
      <c r="AP634" s="88"/>
      <c r="AQ634" s="88"/>
      <c r="AR634" s="88"/>
      <c r="AS634" s="99"/>
      <c r="AT634" s="99"/>
      <c r="AU634" s="99"/>
      <c r="AV634" s="99"/>
      <c r="AW634" s="99"/>
      <c r="AX634" s="99"/>
      <c r="AY634" s="99"/>
      <c r="AZ634" s="99"/>
      <c r="BA634" s="99"/>
      <c r="BB634" s="99"/>
      <c r="BC634" s="99"/>
      <c r="BD634" s="99"/>
      <c r="BE634" s="99"/>
      <c r="BF634" s="99"/>
      <c r="BG634" s="99"/>
      <c r="BH634" s="99"/>
      <c r="BI634" s="99"/>
      <c r="BJ634" s="99"/>
      <c r="BK634" s="99"/>
      <c r="BL634" s="99"/>
      <c r="BM634" s="99"/>
      <c r="BN634" s="99"/>
      <c r="BO634" s="99"/>
      <c r="BP634" s="99"/>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01"/>
    </row>
    <row r="635" spans="27:97">
      <c r="AA635" s="350"/>
      <c r="AB635" s="62"/>
      <c r="AC635" s="62"/>
      <c r="AD635" s="62"/>
      <c r="AP635" s="88"/>
      <c r="AQ635" s="88"/>
      <c r="AR635" s="88"/>
      <c r="AS635" s="99"/>
      <c r="AT635" s="99"/>
      <c r="AU635" s="99"/>
      <c r="AV635" s="99"/>
      <c r="AW635" s="99"/>
      <c r="AX635" s="99"/>
      <c r="AY635" s="99"/>
      <c r="AZ635" s="99"/>
      <c r="BA635" s="99"/>
      <c r="BB635" s="99"/>
      <c r="BC635" s="99"/>
      <c r="BD635" s="99"/>
      <c r="BE635" s="99"/>
      <c r="BF635" s="99"/>
      <c r="BG635" s="99"/>
      <c r="BH635" s="99"/>
      <c r="BI635" s="99"/>
      <c r="BJ635" s="99"/>
      <c r="BK635" s="99"/>
      <c r="BL635" s="99"/>
      <c r="BM635" s="99"/>
      <c r="BN635" s="99"/>
      <c r="BO635" s="99"/>
      <c r="BP635" s="99"/>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01"/>
    </row>
    <row r="636" spans="27:97">
      <c r="AA636" s="350"/>
      <c r="AB636" s="62"/>
      <c r="AC636" s="62"/>
      <c r="AD636" s="62"/>
      <c r="AP636" s="88"/>
      <c r="AQ636" s="88"/>
      <c r="AR636" s="88"/>
      <c r="AS636" s="99"/>
      <c r="AT636" s="99"/>
      <c r="AU636" s="99"/>
      <c r="AV636" s="99"/>
      <c r="AW636" s="99"/>
      <c r="AX636" s="99"/>
      <c r="AY636" s="99"/>
      <c r="AZ636" s="99"/>
      <c r="BA636" s="99"/>
      <c r="BB636" s="99"/>
      <c r="BC636" s="99"/>
      <c r="BD636" s="99"/>
      <c r="BE636" s="99"/>
      <c r="BF636" s="99"/>
      <c r="BG636" s="99"/>
      <c r="BH636" s="99"/>
      <c r="BI636" s="99"/>
      <c r="BJ636" s="99"/>
      <c r="BK636" s="99"/>
      <c r="BL636" s="99"/>
      <c r="BM636" s="99"/>
      <c r="BN636" s="99"/>
      <c r="BO636" s="99"/>
      <c r="BP636" s="99"/>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01"/>
    </row>
    <row r="637" spans="27:97">
      <c r="AA637" s="350"/>
      <c r="AB637" s="62"/>
      <c r="AC637" s="62"/>
      <c r="AD637" s="62"/>
      <c r="AP637" s="88"/>
      <c r="AQ637" s="88"/>
      <c r="AR637" s="88"/>
      <c r="AS637" s="99"/>
      <c r="AT637" s="99"/>
      <c r="AU637" s="99"/>
      <c r="AV637" s="99"/>
      <c r="AW637" s="99"/>
      <c r="AX637" s="99"/>
      <c r="AY637" s="99"/>
      <c r="AZ637" s="99"/>
      <c r="BA637" s="99"/>
      <c r="BB637" s="99"/>
      <c r="BC637" s="99"/>
      <c r="BD637" s="99"/>
      <c r="BE637" s="99"/>
      <c r="BF637" s="99"/>
      <c r="BG637" s="99"/>
      <c r="BH637" s="99"/>
      <c r="BI637" s="99"/>
      <c r="BJ637" s="99"/>
      <c r="BK637" s="99"/>
      <c r="BL637" s="99"/>
      <c r="BM637" s="99"/>
      <c r="BN637" s="99"/>
      <c r="BO637" s="99"/>
      <c r="BP637" s="99"/>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01"/>
    </row>
    <row r="638" spans="27:97">
      <c r="AA638" s="350"/>
      <c r="AB638" s="62"/>
      <c r="AC638" s="62"/>
      <c r="AD638" s="62"/>
      <c r="AP638" s="88"/>
      <c r="AQ638" s="88"/>
      <c r="AR638" s="88"/>
      <c r="AS638" s="99"/>
      <c r="AT638" s="99"/>
      <c r="AU638" s="99"/>
      <c r="AV638" s="99"/>
      <c r="AW638" s="99"/>
      <c r="AX638" s="99"/>
      <c r="AY638" s="99"/>
      <c r="AZ638" s="99"/>
      <c r="BA638" s="99"/>
      <c r="BB638" s="99"/>
      <c r="BC638" s="99"/>
      <c r="BD638" s="99"/>
      <c r="BE638" s="99"/>
      <c r="BF638" s="99"/>
      <c r="BG638" s="99"/>
      <c r="BH638" s="99"/>
      <c r="BI638" s="99"/>
      <c r="BJ638" s="99"/>
      <c r="BK638" s="99"/>
      <c r="BL638" s="99"/>
      <c r="BM638" s="99"/>
      <c r="BN638" s="99"/>
      <c r="BO638" s="99"/>
      <c r="BP638" s="99"/>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01"/>
    </row>
    <row r="639" spans="27:97">
      <c r="AA639" s="350"/>
      <c r="AB639" s="62"/>
      <c r="AC639" s="62"/>
      <c r="AD639" s="62"/>
      <c r="AP639" s="88"/>
      <c r="AQ639" s="88"/>
      <c r="AR639" s="88"/>
      <c r="AS639" s="99"/>
      <c r="AT639" s="99"/>
      <c r="AU639" s="99"/>
      <c r="AV639" s="99"/>
      <c r="AW639" s="99"/>
      <c r="AX639" s="99"/>
      <c r="AY639" s="99"/>
      <c r="AZ639" s="99"/>
      <c r="BA639" s="99"/>
      <c r="BB639" s="99"/>
      <c r="BC639" s="99"/>
      <c r="BD639" s="99"/>
      <c r="BE639" s="99"/>
      <c r="BF639" s="99"/>
      <c r="BG639" s="99"/>
      <c r="BH639" s="99"/>
      <c r="BI639" s="99"/>
      <c r="BJ639" s="99"/>
      <c r="BK639" s="99"/>
      <c r="BL639" s="99"/>
      <c r="BM639" s="99"/>
      <c r="BN639" s="99"/>
      <c r="BO639" s="99"/>
      <c r="BP639" s="99"/>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01"/>
    </row>
    <row r="640" spans="27:97">
      <c r="AA640" s="350"/>
      <c r="AB640" s="62"/>
      <c r="AC640" s="62"/>
      <c r="AD640" s="62"/>
      <c r="AP640" s="88"/>
      <c r="AQ640" s="88"/>
      <c r="AR640" s="88"/>
      <c r="AS640" s="99"/>
      <c r="AT640" s="99"/>
      <c r="AU640" s="99"/>
      <c r="AV640" s="99"/>
      <c r="AW640" s="99"/>
      <c r="AX640" s="99"/>
      <c r="AY640" s="99"/>
      <c r="AZ640" s="99"/>
      <c r="BA640" s="99"/>
      <c r="BB640" s="99"/>
      <c r="BC640" s="99"/>
      <c r="BD640" s="99"/>
      <c r="BE640" s="99"/>
      <c r="BF640" s="99"/>
      <c r="BG640" s="99"/>
      <c r="BH640" s="99"/>
      <c r="BI640" s="99"/>
      <c r="BJ640" s="99"/>
      <c r="BK640" s="99"/>
      <c r="BL640" s="99"/>
      <c r="BM640" s="99"/>
      <c r="BN640" s="99"/>
      <c r="BO640" s="99"/>
      <c r="BP640" s="99"/>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01"/>
    </row>
    <row r="641" spans="27:97">
      <c r="AA641" s="350"/>
      <c r="AB641" s="62"/>
      <c r="AC641" s="62"/>
      <c r="AD641" s="62"/>
      <c r="AP641" s="88"/>
      <c r="AQ641" s="88"/>
      <c r="AR641" s="88"/>
      <c r="AS641" s="99"/>
      <c r="AT641" s="99"/>
      <c r="AU641" s="99"/>
      <c r="AV641" s="99"/>
      <c r="AW641" s="99"/>
      <c r="AX641" s="99"/>
      <c r="AY641" s="99"/>
      <c r="AZ641" s="99"/>
      <c r="BA641" s="99"/>
      <c r="BB641" s="99"/>
      <c r="BC641" s="99"/>
      <c r="BD641" s="99"/>
      <c r="BE641" s="99"/>
      <c r="BF641" s="99"/>
      <c r="BG641" s="99"/>
      <c r="BH641" s="99"/>
      <c r="BI641" s="99"/>
      <c r="BJ641" s="99"/>
      <c r="BK641" s="99"/>
      <c r="BL641" s="99"/>
      <c r="BM641" s="99"/>
      <c r="BN641" s="99"/>
      <c r="BO641" s="99"/>
      <c r="BP641" s="99"/>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01"/>
    </row>
    <row r="642" spans="27:97">
      <c r="AA642" s="350"/>
      <c r="AB642" s="62"/>
      <c r="AC642" s="62"/>
      <c r="AD642" s="62"/>
      <c r="AP642" s="88"/>
      <c r="AQ642" s="88"/>
      <c r="AR642" s="88"/>
      <c r="AS642" s="99"/>
      <c r="AT642" s="99"/>
      <c r="AU642" s="99"/>
      <c r="AV642" s="99"/>
      <c r="AW642" s="99"/>
      <c r="AX642" s="99"/>
      <c r="AY642" s="99"/>
      <c r="AZ642" s="99"/>
      <c r="BA642" s="99"/>
      <c r="BB642" s="99"/>
      <c r="BC642" s="99"/>
      <c r="BD642" s="99"/>
      <c r="BE642" s="99"/>
      <c r="BF642" s="99"/>
      <c r="BG642" s="99"/>
      <c r="BH642" s="99"/>
      <c r="BI642" s="99"/>
      <c r="BJ642" s="99"/>
      <c r="BK642" s="99"/>
      <c r="BL642" s="99"/>
      <c r="BM642" s="99"/>
      <c r="BN642" s="99"/>
      <c r="BO642" s="99"/>
      <c r="BP642" s="99"/>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01"/>
    </row>
    <row r="643" spans="27:97">
      <c r="AA643" s="350"/>
      <c r="AB643" s="62"/>
      <c r="AC643" s="62"/>
      <c r="AD643" s="62"/>
      <c r="AP643" s="88"/>
      <c r="AQ643" s="88"/>
      <c r="AR643" s="88"/>
      <c r="AS643" s="99"/>
      <c r="AT643" s="99"/>
      <c r="AU643" s="99"/>
      <c r="AV643" s="99"/>
      <c r="AW643" s="99"/>
      <c r="AX643" s="99"/>
      <c r="AY643" s="99"/>
      <c r="AZ643" s="99"/>
      <c r="BA643" s="99"/>
      <c r="BB643" s="99"/>
      <c r="BC643" s="99"/>
      <c r="BD643" s="99"/>
      <c r="BE643" s="99"/>
      <c r="BF643" s="99"/>
      <c r="BG643" s="99"/>
      <c r="BH643" s="99"/>
      <c r="BI643" s="99"/>
      <c r="BJ643" s="99"/>
      <c r="BK643" s="99"/>
      <c r="BL643" s="99"/>
      <c r="BM643" s="99"/>
      <c r="BN643" s="99"/>
      <c r="BO643" s="99"/>
      <c r="BP643" s="99"/>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01"/>
    </row>
    <row r="644" spans="27:97">
      <c r="AA644" s="350"/>
      <c r="AB644" s="62"/>
      <c r="AC644" s="62"/>
      <c r="AD644" s="62"/>
      <c r="AP644" s="88"/>
      <c r="AQ644" s="88"/>
      <c r="AR644" s="88"/>
      <c r="AS644" s="99"/>
      <c r="AT644" s="99"/>
      <c r="AU644" s="99"/>
      <c r="AV644" s="99"/>
      <c r="AW644" s="99"/>
      <c r="AX644" s="99"/>
      <c r="AY644" s="99"/>
      <c r="AZ644" s="99"/>
      <c r="BA644" s="99"/>
      <c r="BB644" s="99"/>
      <c r="BC644" s="99"/>
      <c r="BD644" s="99"/>
      <c r="BE644" s="99"/>
      <c r="BF644" s="99"/>
      <c r="BG644" s="99"/>
      <c r="BH644" s="99"/>
      <c r="BI644" s="99"/>
      <c r="BJ644" s="99"/>
      <c r="BK644" s="99"/>
      <c r="BL644" s="99"/>
      <c r="BM644" s="99"/>
      <c r="BN644" s="99"/>
      <c r="BO644" s="99"/>
      <c r="BP644" s="99"/>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01"/>
    </row>
    <row r="645" spans="27:97">
      <c r="AA645" s="350"/>
      <c r="AB645" s="62"/>
      <c r="AC645" s="62"/>
      <c r="AD645" s="62"/>
      <c r="AP645" s="88"/>
      <c r="AQ645" s="88"/>
      <c r="AR645" s="88"/>
      <c r="AS645" s="99"/>
      <c r="AT645" s="99"/>
      <c r="AU645" s="99"/>
      <c r="AV645" s="99"/>
      <c r="AW645" s="99"/>
      <c r="AX645" s="99"/>
      <c r="AY645" s="99"/>
      <c r="AZ645" s="99"/>
      <c r="BA645" s="99"/>
      <c r="BB645" s="99"/>
      <c r="BC645" s="99"/>
      <c r="BD645" s="99"/>
      <c r="BE645" s="99"/>
      <c r="BF645" s="99"/>
      <c r="BG645" s="99"/>
      <c r="BH645" s="99"/>
      <c r="BI645" s="99"/>
      <c r="BJ645" s="99"/>
      <c r="BK645" s="99"/>
      <c r="BL645" s="99"/>
      <c r="BM645" s="99"/>
      <c r="BN645" s="99"/>
      <c r="BO645" s="99"/>
      <c r="BP645" s="99"/>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01"/>
    </row>
    <row r="646" spans="27:97">
      <c r="AA646" s="350"/>
      <c r="AB646" s="62"/>
      <c r="AC646" s="62"/>
      <c r="AD646" s="62"/>
      <c r="AP646" s="88"/>
      <c r="AQ646" s="88"/>
      <c r="AR646" s="88"/>
      <c r="AS646" s="99"/>
      <c r="AT646" s="99"/>
      <c r="AU646" s="99"/>
      <c r="AV646" s="99"/>
      <c r="AW646" s="99"/>
      <c r="AX646" s="99"/>
      <c r="AY646" s="99"/>
      <c r="AZ646" s="99"/>
      <c r="BA646" s="99"/>
      <c r="BB646" s="99"/>
      <c r="BC646" s="99"/>
      <c r="BD646" s="99"/>
      <c r="BE646" s="99"/>
      <c r="BF646" s="99"/>
      <c r="BG646" s="99"/>
      <c r="BH646" s="99"/>
      <c r="BI646" s="99"/>
      <c r="BJ646" s="99"/>
      <c r="BK646" s="99"/>
      <c r="BL646" s="99"/>
      <c r="BM646" s="99"/>
      <c r="BN646" s="99"/>
      <c r="BO646" s="99"/>
      <c r="BP646" s="99"/>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01"/>
    </row>
    <row r="647" spans="27:97">
      <c r="AA647" s="350"/>
      <c r="AB647" s="62"/>
      <c r="AC647" s="62"/>
      <c r="AD647" s="62"/>
      <c r="AP647" s="88"/>
      <c r="AQ647" s="88"/>
      <c r="AR647" s="88"/>
      <c r="AS647" s="99"/>
      <c r="AT647" s="99"/>
      <c r="AU647" s="99"/>
      <c r="AV647" s="99"/>
      <c r="AW647" s="99"/>
      <c r="AX647" s="99"/>
      <c r="AY647" s="99"/>
      <c r="AZ647" s="99"/>
      <c r="BA647" s="99"/>
      <c r="BB647" s="99"/>
      <c r="BC647" s="99"/>
      <c r="BD647" s="99"/>
      <c r="BE647" s="99"/>
      <c r="BF647" s="99"/>
      <c r="BG647" s="99"/>
      <c r="BH647" s="99"/>
      <c r="BI647" s="99"/>
      <c r="BJ647" s="99"/>
      <c r="BK647" s="99"/>
      <c r="BL647" s="99"/>
      <c r="BM647" s="99"/>
      <c r="BN647" s="99"/>
      <c r="BO647" s="99"/>
      <c r="BP647" s="99"/>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01"/>
    </row>
    <row r="648" spans="27:97">
      <c r="AA648" s="350"/>
      <c r="AB648" s="62"/>
      <c r="AC648" s="62"/>
      <c r="AD648" s="62"/>
      <c r="AP648" s="88"/>
      <c r="AQ648" s="88"/>
      <c r="AR648" s="88"/>
      <c r="AS648" s="99"/>
      <c r="AT648" s="99"/>
      <c r="AU648" s="99"/>
      <c r="AV648" s="99"/>
      <c r="AW648" s="99"/>
      <c r="AX648" s="99"/>
      <c r="AY648" s="99"/>
      <c r="AZ648" s="99"/>
      <c r="BA648" s="99"/>
      <c r="BB648" s="99"/>
      <c r="BC648" s="99"/>
      <c r="BD648" s="99"/>
      <c r="BE648" s="99"/>
      <c r="BF648" s="99"/>
      <c r="BG648" s="99"/>
      <c r="BH648" s="99"/>
      <c r="BI648" s="99"/>
      <c r="BJ648" s="99"/>
      <c r="BK648" s="99"/>
      <c r="BL648" s="99"/>
      <c r="BM648" s="99"/>
      <c r="BN648" s="99"/>
      <c r="BO648" s="99"/>
      <c r="BP648" s="99"/>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01"/>
    </row>
    <row r="649" spans="27:97">
      <c r="AA649" s="350"/>
      <c r="AB649" s="62"/>
      <c r="AC649" s="62"/>
      <c r="AD649" s="62"/>
      <c r="AP649" s="88"/>
      <c r="AQ649" s="88"/>
      <c r="AR649" s="88"/>
      <c r="AS649" s="99"/>
      <c r="AT649" s="99"/>
      <c r="AU649" s="99"/>
      <c r="AV649" s="99"/>
      <c r="AW649" s="99"/>
      <c r="AX649" s="99"/>
      <c r="AY649" s="99"/>
      <c r="AZ649" s="99"/>
      <c r="BA649" s="99"/>
      <c r="BB649" s="99"/>
      <c r="BC649" s="99"/>
      <c r="BD649" s="99"/>
      <c r="BE649" s="99"/>
      <c r="BF649" s="99"/>
      <c r="BG649" s="99"/>
      <c r="BH649" s="99"/>
      <c r="BI649" s="99"/>
      <c r="BJ649" s="99"/>
      <c r="BK649" s="99"/>
      <c r="BL649" s="99"/>
      <c r="BM649" s="99"/>
      <c r="BN649" s="99"/>
      <c r="BO649" s="99"/>
      <c r="BP649" s="99"/>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01"/>
    </row>
    <row r="650" spans="27:97">
      <c r="AA650" s="350"/>
      <c r="AB650" s="62"/>
      <c r="AC650" s="62"/>
      <c r="AD650" s="62"/>
      <c r="AP650" s="88"/>
      <c r="AQ650" s="88"/>
      <c r="AR650" s="88"/>
      <c r="AS650" s="99"/>
      <c r="AT650" s="99"/>
      <c r="AU650" s="99"/>
      <c r="AV650" s="99"/>
      <c r="AW650" s="99"/>
      <c r="AX650" s="99"/>
      <c r="AY650" s="99"/>
      <c r="AZ650" s="99"/>
      <c r="BA650" s="99"/>
      <c r="BB650" s="99"/>
      <c r="BC650" s="99"/>
      <c r="BD650" s="99"/>
      <c r="BE650" s="99"/>
      <c r="BF650" s="99"/>
      <c r="BG650" s="99"/>
      <c r="BH650" s="99"/>
      <c r="BI650" s="99"/>
      <c r="BJ650" s="99"/>
      <c r="BK650" s="99"/>
      <c r="BL650" s="99"/>
      <c r="BM650" s="99"/>
      <c r="BN650" s="99"/>
      <c r="BO650" s="99"/>
      <c r="BP650" s="99"/>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01"/>
    </row>
    <row r="651" spans="27:97">
      <c r="AA651" s="350"/>
      <c r="AB651" s="62"/>
      <c r="AC651" s="62"/>
      <c r="AD651" s="62"/>
      <c r="AP651" s="88"/>
      <c r="AQ651" s="88"/>
      <c r="AR651" s="88"/>
      <c r="AS651" s="99"/>
      <c r="AT651" s="99"/>
      <c r="AU651" s="99"/>
      <c r="AV651" s="99"/>
      <c r="AW651" s="99"/>
      <c r="AX651" s="99"/>
      <c r="AY651" s="99"/>
      <c r="AZ651" s="99"/>
      <c r="BA651" s="99"/>
      <c r="BB651" s="99"/>
      <c r="BC651" s="99"/>
      <c r="BD651" s="99"/>
      <c r="BE651" s="99"/>
      <c r="BF651" s="99"/>
      <c r="BG651" s="99"/>
      <c r="BH651" s="99"/>
      <c r="BI651" s="99"/>
      <c r="BJ651" s="99"/>
      <c r="BK651" s="99"/>
      <c r="BL651" s="99"/>
      <c r="BM651" s="99"/>
      <c r="BN651" s="99"/>
      <c r="BO651" s="99"/>
      <c r="BP651" s="99"/>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01"/>
    </row>
    <row r="652" spans="27:97">
      <c r="AA652" s="350"/>
      <c r="AB652" s="62"/>
      <c r="AC652" s="62"/>
      <c r="AD652" s="62"/>
      <c r="AP652" s="88"/>
      <c r="AQ652" s="88"/>
      <c r="AR652" s="88"/>
      <c r="AS652" s="99"/>
      <c r="AT652" s="99"/>
      <c r="AU652" s="99"/>
      <c r="AV652" s="99"/>
      <c r="AW652" s="99"/>
      <c r="AX652" s="99"/>
      <c r="AY652" s="99"/>
      <c r="AZ652" s="99"/>
      <c r="BA652" s="99"/>
      <c r="BB652" s="99"/>
      <c r="BC652" s="99"/>
      <c r="BD652" s="99"/>
      <c r="BE652" s="99"/>
      <c r="BF652" s="99"/>
      <c r="BG652" s="99"/>
      <c r="BH652" s="99"/>
      <c r="BI652" s="99"/>
      <c r="BJ652" s="99"/>
      <c r="BK652" s="99"/>
      <c r="BL652" s="99"/>
      <c r="BM652" s="99"/>
      <c r="BN652" s="99"/>
      <c r="BO652" s="99"/>
      <c r="BP652" s="99"/>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01"/>
    </row>
    <row r="653" spans="27:97">
      <c r="AA653" s="350"/>
      <c r="AB653" s="62"/>
      <c r="AC653" s="62"/>
      <c r="AD653" s="62"/>
      <c r="AP653" s="88"/>
      <c r="AQ653" s="88"/>
      <c r="AR653" s="88"/>
      <c r="AS653" s="99"/>
      <c r="AT653" s="99"/>
      <c r="AU653" s="99"/>
      <c r="AV653" s="99"/>
      <c r="AW653" s="99"/>
      <c r="AX653" s="99"/>
      <c r="AY653" s="99"/>
      <c r="AZ653" s="99"/>
      <c r="BA653" s="99"/>
      <c r="BB653" s="99"/>
      <c r="BC653" s="99"/>
      <c r="BD653" s="99"/>
      <c r="BE653" s="99"/>
      <c r="BF653" s="99"/>
      <c r="BG653" s="99"/>
      <c r="BH653" s="99"/>
      <c r="BI653" s="99"/>
      <c r="BJ653" s="99"/>
      <c r="BK653" s="99"/>
      <c r="BL653" s="99"/>
      <c r="BM653" s="99"/>
      <c r="BN653" s="99"/>
      <c r="BO653" s="99"/>
      <c r="BP653" s="99"/>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01"/>
    </row>
    <row r="654" spans="27:97">
      <c r="AA654" s="350"/>
      <c r="AB654" s="62"/>
      <c r="AC654" s="62"/>
      <c r="AD654" s="62"/>
      <c r="AP654" s="88"/>
      <c r="AQ654" s="88"/>
      <c r="AR654" s="88"/>
      <c r="AS654" s="99"/>
      <c r="AT654" s="99"/>
      <c r="AU654" s="99"/>
      <c r="AV654" s="99"/>
      <c r="AW654" s="99"/>
      <c r="AX654" s="99"/>
      <c r="AY654" s="99"/>
      <c r="AZ654" s="99"/>
      <c r="BA654" s="99"/>
      <c r="BB654" s="99"/>
      <c r="BC654" s="99"/>
      <c r="BD654" s="99"/>
      <c r="BE654" s="99"/>
      <c r="BF654" s="99"/>
      <c r="BG654" s="99"/>
      <c r="BH654" s="99"/>
      <c r="BI654" s="99"/>
      <c r="BJ654" s="99"/>
      <c r="BK654" s="99"/>
      <c r="BL654" s="99"/>
      <c r="BM654" s="99"/>
      <c r="BN654" s="99"/>
      <c r="BO654" s="99"/>
      <c r="BP654" s="99"/>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01"/>
    </row>
    <row r="655" spans="27:97">
      <c r="AA655" s="350"/>
      <c r="AB655" s="62"/>
      <c r="AC655" s="62"/>
      <c r="AD655" s="62"/>
      <c r="AP655" s="88"/>
      <c r="AQ655" s="88"/>
      <c r="AR655" s="88"/>
      <c r="AS655" s="99"/>
      <c r="AT655" s="99"/>
      <c r="AU655" s="99"/>
      <c r="AV655" s="99"/>
      <c r="AW655" s="99"/>
      <c r="AX655" s="99"/>
      <c r="AY655" s="99"/>
      <c r="AZ655" s="99"/>
      <c r="BA655" s="99"/>
      <c r="BB655" s="99"/>
      <c r="BC655" s="99"/>
      <c r="BD655" s="99"/>
      <c r="BE655" s="99"/>
      <c r="BF655" s="99"/>
      <c r="BG655" s="99"/>
      <c r="BH655" s="99"/>
      <c r="BI655" s="99"/>
      <c r="BJ655" s="99"/>
      <c r="BK655" s="99"/>
      <c r="BL655" s="99"/>
      <c r="BM655" s="99"/>
      <c r="BN655" s="99"/>
      <c r="BO655" s="99"/>
      <c r="BP655" s="99"/>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01"/>
    </row>
    <row r="656" spans="27:97">
      <c r="AA656" s="350"/>
      <c r="AB656" s="62"/>
      <c r="AC656" s="62"/>
      <c r="AD656" s="62"/>
      <c r="AP656" s="88"/>
      <c r="AQ656" s="88"/>
      <c r="AR656" s="88"/>
      <c r="AS656" s="99"/>
      <c r="AT656" s="99"/>
      <c r="AU656" s="99"/>
      <c r="AV656" s="99"/>
      <c r="AW656" s="99"/>
      <c r="AX656" s="99"/>
      <c r="AY656" s="99"/>
      <c r="AZ656" s="99"/>
      <c r="BA656" s="99"/>
      <c r="BB656" s="99"/>
      <c r="BC656" s="99"/>
      <c r="BD656" s="99"/>
      <c r="BE656" s="99"/>
      <c r="BF656" s="99"/>
      <c r="BG656" s="99"/>
      <c r="BH656" s="99"/>
      <c r="BI656" s="99"/>
      <c r="BJ656" s="99"/>
      <c r="BK656" s="99"/>
      <c r="BL656" s="99"/>
      <c r="BM656" s="99"/>
      <c r="BN656" s="99"/>
      <c r="BO656" s="99"/>
      <c r="BP656" s="99"/>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01"/>
    </row>
    <row r="657" spans="27:97">
      <c r="AA657" s="350"/>
      <c r="AB657" s="62"/>
      <c r="AC657" s="62"/>
      <c r="AD657" s="62"/>
      <c r="AP657" s="88"/>
      <c r="AQ657" s="88"/>
      <c r="AR657" s="88"/>
      <c r="AS657" s="99"/>
      <c r="AT657" s="99"/>
      <c r="AU657" s="99"/>
      <c r="AV657" s="99"/>
      <c r="AW657" s="99"/>
      <c r="AX657" s="99"/>
      <c r="AY657" s="99"/>
      <c r="AZ657" s="99"/>
      <c r="BA657" s="99"/>
      <c r="BB657" s="99"/>
      <c r="BC657" s="99"/>
      <c r="BD657" s="99"/>
      <c r="BE657" s="99"/>
      <c r="BF657" s="99"/>
      <c r="BG657" s="99"/>
      <c r="BH657" s="99"/>
      <c r="BI657" s="99"/>
      <c r="BJ657" s="99"/>
      <c r="BK657" s="99"/>
      <c r="BL657" s="99"/>
      <c r="BM657" s="99"/>
      <c r="BN657" s="99"/>
      <c r="BO657" s="99"/>
      <c r="BP657" s="99"/>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01"/>
    </row>
    <row r="658" spans="27:97">
      <c r="AA658" s="350"/>
      <c r="AB658" s="62"/>
      <c r="AC658" s="62"/>
      <c r="AD658" s="62"/>
      <c r="AP658" s="88"/>
      <c r="AQ658" s="88"/>
      <c r="AR658" s="88"/>
      <c r="AS658" s="99"/>
      <c r="AT658" s="99"/>
      <c r="AU658" s="99"/>
      <c r="AV658" s="99"/>
      <c r="AW658" s="99"/>
      <c r="AX658" s="99"/>
      <c r="AY658" s="99"/>
      <c r="AZ658" s="99"/>
      <c r="BA658" s="99"/>
      <c r="BB658" s="99"/>
      <c r="BC658" s="99"/>
      <c r="BD658" s="99"/>
      <c r="BE658" s="99"/>
      <c r="BF658" s="99"/>
      <c r="BG658" s="99"/>
      <c r="BH658" s="99"/>
      <c r="BI658" s="99"/>
      <c r="BJ658" s="99"/>
      <c r="BK658" s="99"/>
      <c r="BL658" s="99"/>
      <c r="BM658" s="99"/>
      <c r="BN658" s="99"/>
      <c r="BO658" s="99"/>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01"/>
    </row>
    <row r="659" spans="27:97">
      <c r="AA659" s="350"/>
      <c r="AB659" s="62"/>
      <c r="AC659" s="62"/>
      <c r="AD659" s="62"/>
      <c r="AP659" s="88"/>
      <c r="AQ659" s="88"/>
      <c r="AR659" s="88"/>
      <c r="AS659" s="99"/>
      <c r="AT659" s="99"/>
      <c r="AU659" s="99"/>
      <c r="AV659" s="99"/>
      <c r="AW659" s="99"/>
      <c r="AX659" s="99"/>
      <c r="AY659" s="99"/>
      <c r="AZ659" s="99"/>
      <c r="BA659" s="99"/>
      <c r="BB659" s="99"/>
      <c r="BC659" s="99"/>
      <c r="BD659" s="99"/>
      <c r="BE659" s="99"/>
      <c r="BF659" s="99"/>
      <c r="BG659" s="99"/>
      <c r="BH659" s="99"/>
      <c r="BI659" s="99"/>
      <c r="BJ659" s="99"/>
      <c r="BK659" s="99"/>
      <c r="BL659" s="99"/>
      <c r="BM659" s="99"/>
      <c r="BN659" s="99"/>
      <c r="BO659" s="99"/>
      <c r="BP659" s="99"/>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01"/>
    </row>
    <row r="660" spans="27:97">
      <c r="AA660" s="350"/>
      <c r="AB660" s="62"/>
      <c r="AC660" s="62"/>
      <c r="AD660" s="62"/>
      <c r="AP660" s="88"/>
      <c r="AQ660" s="88"/>
      <c r="AR660" s="88"/>
      <c r="AS660" s="99"/>
      <c r="AT660" s="99"/>
      <c r="AU660" s="99"/>
      <c r="AV660" s="99"/>
      <c r="AW660" s="99"/>
      <c r="AX660" s="99"/>
      <c r="AY660" s="99"/>
      <c r="AZ660" s="99"/>
      <c r="BA660" s="99"/>
      <c r="BB660" s="99"/>
      <c r="BC660" s="99"/>
      <c r="BD660" s="99"/>
      <c r="BE660" s="99"/>
      <c r="BF660" s="99"/>
      <c r="BG660" s="99"/>
      <c r="BH660" s="99"/>
      <c r="BI660" s="99"/>
      <c r="BJ660" s="99"/>
      <c r="BK660" s="99"/>
      <c r="BL660" s="99"/>
      <c r="BM660" s="99"/>
      <c r="BN660" s="99"/>
      <c r="BO660" s="99"/>
      <c r="BP660" s="99"/>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01"/>
    </row>
    <row r="661" spans="27:97">
      <c r="AA661" s="350"/>
      <c r="AB661" s="62"/>
      <c r="AC661" s="62"/>
      <c r="AD661" s="62"/>
      <c r="AP661" s="88"/>
      <c r="AQ661" s="88"/>
      <c r="AR661" s="88"/>
      <c r="AS661" s="99"/>
      <c r="AT661" s="99"/>
      <c r="AU661" s="99"/>
      <c r="AV661" s="99"/>
      <c r="AW661" s="99"/>
      <c r="AX661" s="99"/>
      <c r="AY661" s="99"/>
      <c r="AZ661" s="99"/>
      <c r="BA661" s="99"/>
      <c r="BB661" s="99"/>
      <c r="BC661" s="99"/>
      <c r="BD661" s="99"/>
      <c r="BE661" s="99"/>
      <c r="BF661" s="99"/>
      <c r="BG661" s="99"/>
      <c r="BH661" s="99"/>
      <c r="BI661" s="99"/>
      <c r="BJ661" s="99"/>
      <c r="BK661" s="99"/>
      <c r="BL661" s="99"/>
      <c r="BM661" s="99"/>
      <c r="BN661" s="99"/>
      <c r="BO661" s="99"/>
      <c r="BP661" s="99"/>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01"/>
    </row>
    <row r="662" spans="27:97">
      <c r="AA662" s="350"/>
      <c r="AB662" s="62"/>
      <c r="AC662" s="62"/>
      <c r="AD662" s="62"/>
      <c r="AP662" s="88"/>
      <c r="AQ662" s="88"/>
      <c r="AR662" s="88"/>
      <c r="AS662" s="99"/>
      <c r="AT662" s="99"/>
      <c r="AU662" s="99"/>
      <c r="AV662" s="99"/>
      <c r="AW662" s="99"/>
      <c r="AX662" s="99"/>
      <c r="AY662" s="99"/>
      <c r="AZ662" s="99"/>
      <c r="BA662" s="99"/>
      <c r="BB662" s="99"/>
      <c r="BC662" s="99"/>
      <c r="BD662" s="99"/>
      <c r="BE662" s="99"/>
      <c r="BF662" s="99"/>
      <c r="BG662" s="99"/>
      <c r="BH662" s="99"/>
      <c r="BI662" s="99"/>
      <c r="BJ662" s="99"/>
      <c r="BK662" s="99"/>
      <c r="BL662" s="99"/>
      <c r="BM662" s="99"/>
      <c r="BN662" s="99"/>
      <c r="BO662" s="99"/>
      <c r="BP662" s="99"/>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01"/>
    </row>
    <row r="663" spans="27:97">
      <c r="AA663" s="350"/>
      <c r="AB663" s="62"/>
      <c r="AC663" s="62"/>
      <c r="AD663" s="62"/>
      <c r="AP663" s="88"/>
      <c r="AQ663" s="88"/>
      <c r="AR663" s="88"/>
      <c r="AS663" s="99"/>
      <c r="AT663" s="99"/>
      <c r="AU663" s="99"/>
      <c r="AV663" s="99"/>
      <c r="AW663" s="99"/>
      <c r="AX663" s="99"/>
      <c r="AY663" s="99"/>
      <c r="AZ663" s="99"/>
      <c r="BA663" s="99"/>
      <c r="BB663" s="99"/>
      <c r="BC663" s="99"/>
      <c r="BD663" s="99"/>
      <c r="BE663" s="99"/>
      <c r="BF663" s="99"/>
      <c r="BG663" s="99"/>
      <c r="BH663" s="99"/>
      <c r="BI663" s="99"/>
      <c r="BJ663" s="99"/>
      <c r="BK663" s="99"/>
      <c r="BL663" s="99"/>
      <c r="BM663" s="99"/>
      <c r="BN663" s="99"/>
      <c r="BO663" s="99"/>
      <c r="BP663" s="99"/>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01"/>
    </row>
    <row r="664" spans="27:97">
      <c r="AA664" s="350"/>
      <c r="AB664" s="62"/>
      <c r="AC664" s="62"/>
      <c r="AD664" s="62"/>
      <c r="AP664" s="88"/>
      <c r="AQ664" s="88"/>
      <c r="AR664" s="88"/>
      <c r="AS664" s="99"/>
      <c r="AT664" s="99"/>
      <c r="AU664" s="99"/>
      <c r="AV664" s="99"/>
      <c r="AW664" s="99"/>
      <c r="AX664" s="99"/>
      <c r="AY664" s="99"/>
      <c r="AZ664" s="99"/>
      <c r="BA664" s="99"/>
      <c r="BB664" s="99"/>
      <c r="BC664" s="99"/>
      <c r="BD664" s="99"/>
      <c r="BE664" s="99"/>
      <c r="BF664" s="99"/>
      <c r="BG664" s="99"/>
      <c r="BH664" s="99"/>
      <c r="BI664" s="99"/>
      <c r="BJ664" s="99"/>
      <c r="BK664" s="99"/>
      <c r="BL664" s="99"/>
      <c r="BM664" s="99"/>
      <c r="BN664" s="99"/>
      <c r="BO664" s="99"/>
      <c r="BP664" s="99"/>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01"/>
    </row>
    <row r="665" spans="27:97">
      <c r="AA665" s="350"/>
      <c r="AB665" s="62"/>
      <c r="AC665" s="62"/>
      <c r="AD665" s="62"/>
      <c r="AP665" s="88"/>
      <c r="AQ665" s="88"/>
      <c r="AR665" s="88"/>
      <c r="AS665" s="99"/>
      <c r="AT665" s="99"/>
      <c r="AU665" s="99"/>
      <c r="AV665" s="99"/>
      <c r="AW665" s="99"/>
      <c r="AX665" s="99"/>
      <c r="AY665" s="99"/>
      <c r="AZ665" s="99"/>
      <c r="BA665" s="99"/>
      <c r="BB665" s="99"/>
      <c r="BC665" s="99"/>
      <c r="BD665" s="99"/>
      <c r="BE665" s="99"/>
      <c r="BF665" s="99"/>
      <c r="BG665" s="99"/>
      <c r="BH665" s="99"/>
      <c r="BI665" s="99"/>
      <c r="BJ665" s="99"/>
      <c r="BK665" s="99"/>
      <c r="BL665" s="99"/>
      <c r="BM665" s="99"/>
      <c r="BN665" s="99"/>
      <c r="BO665" s="99"/>
      <c r="BP665" s="99"/>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01"/>
    </row>
    <row r="666" spans="27:97">
      <c r="AA666" s="350"/>
      <c r="AB666" s="62"/>
      <c r="AC666" s="62"/>
      <c r="AD666" s="62"/>
      <c r="AP666" s="88"/>
      <c r="AQ666" s="88"/>
      <c r="AR666" s="88"/>
      <c r="AS666" s="99"/>
      <c r="AT666" s="99"/>
      <c r="AU666" s="99"/>
      <c r="AV666" s="99"/>
      <c r="AW666" s="99"/>
      <c r="AX666" s="99"/>
      <c r="AY666" s="99"/>
      <c r="AZ666" s="99"/>
      <c r="BA666" s="99"/>
      <c r="BB666" s="99"/>
      <c r="BC666" s="99"/>
      <c r="BD666" s="99"/>
      <c r="BE666" s="99"/>
      <c r="BF666" s="99"/>
      <c r="BG666" s="99"/>
      <c r="BH666" s="99"/>
      <c r="BI666" s="99"/>
      <c r="BJ666" s="99"/>
      <c r="BK666" s="99"/>
      <c r="BL666" s="99"/>
      <c r="BM666" s="99"/>
      <c r="BN666" s="99"/>
      <c r="BO666" s="99"/>
      <c r="BP666" s="99"/>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01"/>
    </row>
    <row r="667" spans="27:97">
      <c r="AA667" s="350"/>
      <c r="AB667" s="62"/>
      <c r="AC667" s="62"/>
      <c r="AD667" s="62"/>
      <c r="AP667" s="88"/>
      <c r="AQ667" s="88"/>
      <c r="AR667" s="88"/>
      <c r="AS667" s="99"/>
      <c r="AT667" s="99"/>
      <c r="AU667" s="99"/>
      <c r="AV667" s="99"/>
      <c r="AW667" s="99"/>
      <c r="AX667" s="99"/>
      <c r="AY667" s="99"/>
      <c r="AZ667" s="99"/>
      <c r="BA667" s="99"/>
      <c r="BB667" s="99"/>
      <c r="BC667" s="99"/>
      <c r="BD667" s="99"/>
      <c r="BE667" s="99"/>
      <c r="BF667" s="99"/>
      <c r="BG667" s="99"/>
      <c r="BH667" s="99"/>
      <c r="BI667" s="99"/>
      <c r="BJ667" s="99"/>
      <c r="BK667" s="99"/>
      <c r="BL667" s="99"/>
      <c r="BM667" s="99"/>
      <c r="BN667" s="99"/>
      <c r="BO667" s="99"/>
      <c r="BP667" s="99"/>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01"/>
    </row>
    <row r="668" spans="27:97">
      <c r="AA668" s="350"/>
      <c r="AB668" s="62"/>
      <c r="AC668" s="62"/>
      <c r="AD668" s="62"/>
      <c r="AP668" s="88"/>
      <c r="AQ668" s="88"/>
      <c r="AR668" s="88"/>
      <c r="AS668" s="99"/>
      <c r="AT668" s="99"/>
      <c r="AU668" s="99"/>
      <c r="AV668" s="99"/>
      <c r="AW668" s="99"/>
      <c r="AX668" s="99"/>
      <c r="AY668" s="99"/>
      <c r="AZ668" s="99"/>
      <c r="BA668" s="99"/>
      <c r="BB668" s="99"/>
      <c r="BC668" s="99"/>
      <c r="BD668" s="99"/>
      <c r="BE668" s="99"/>
      <c r="BF668" s="99"/>
      <c r="BG668" s="99"/>
      <c r="BH668" s="99"/>
      <c r="BI668" s="99"/>
      <c r="BJ668" s="99"/>
      <c r="BK668" s="99"/>
      <c r="BL668" s="99"/>
      <c r="BM668" s="99"/>
      <c r="BN668" s="99"/>
      <c r="BO668" s="99"/>
      <c r="BP668" s="99"/>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01"/>
    </row>
    <row r="669" spans="27:97">
      <c r="AA669" s="350"/>
      <c r="AB669" s="62"/>
      <c r="AC669" s="62"/>
      <c r="AD669" s="62"/>
      <c r="AP669" s="88"/>
      <c r="AQ669" s="88"/>
      <c r="AR669" s="88"/>
      <c r="AS669" s="99"/>
      <c r="AT669" s="99"/>
      <c r="AU669" s="99"/>
      <c r="AV669" s="99"/>
      <c r="AW669" s="99"/>
      <c r="AX669" s="99"/>
      <c r="AY669" s="99"/>
      <c r="AZ669" s="99"/>
      <c r="BA669" s="99"/>
      <c r="BB669" s="99"/>
      <c r="BC669" s="99"/>
      <c r="BD669" s="99"/>
      <c r="BE669" s="99"/>
      <c r="BF669" s="99"/>
      <c r="BG669" s="99"/>
      <c r="BH669" s="99"/>
      <c r="BI669" s="99"/>
      <c r="BJ669" s="99"/>
      <c r="BK669" s="99"/>
      <c r="BL669" s="99"/>
      <c r="BM669" s="99"/>
      <c r="BN669" s="99"/>
      <c r="BO669" s="99"/>
      <c r="BP669" s="99"/>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01"/>
    </row>
    <row r="670" spans="27:97">
      <c r="AA670" s="350"/>
      <c r="AB670" s="62"/>
      <c r="AC670" s="62"/>
      <c r="AD670" s="62"/>
      <c r="AP670" s="88"/>
      <c r="AQ670" s="88"/>
      <c r="AR670" s="88"/>
      <c r="AS670" s="99"/>
      <c r="AT670" s="99"/>
      <c r="AU670" s="99"/>
      <c r="AV670" s="99"/>
      <c r="AW670" s="99"/>
      <c r="AX670" s="99"/>
      <c r="AY670" s="99"/>
      <c r="AZ670" s="99"/>
      <c r="BA670" s="99"/>
      <c r="BB670" s="99"/>
      <c r="BC670" s="99"/>
      <c r="BD670" s="99"/>
      <c r="BE670" s="99"/>
      <c r="BF670" s="99"/>
      <c r="BG670" s="99"/>
      <c r="BH670" s="99"/>
      <c r="BI670" s="99"/>
      <c r="BJ670" s="99"/>
      <c r="BK670" s="99"/>
      <c r="BL670" s="99"/>
      <c r="BM670" s="99"/>
      <c r="BN670" s="99"/>
      <c r="BO670" s="99"/>
      <c r="BP670" s="99"/>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01"/>
    </row>
    <row r="671" spans="27:97">
      <c r="AA671" s="350"/>
      <c r="AB671" s="62"/>
      <c r="AC671" s="62"/>
      <c r="AD671" s="62"/>
      <c r="AP671" s="88"/>
      <c r="AQ671" s="88"/>
      <c r="AR671" s="88"/>
      <c r="AS671" s="99"/>
      <c r="AT671" s="99"/>
      <c r="AU671" s="99"/>
      <c r="AV671" s="99"/>
      <c r="AW671" s="99"/>
      <c r="AX671" s="99"/>
      <c r="AY671" s="99"/>
      <c r="AZ671" s="99"/>
      <c r="BA671" s="99"/>
      <c r="BB671" s="99"/>
      <c r="BC671" s="99"/>
      <c r="BD671" s="99"/>
      <c r="BE671" s="99"/>
      <c r="BF671" s="99"/>
      <c r="BG671" s="99"/>
      <c r="BH671" s="99"/>
      <c r="BI671" s="99"/>
      <c r="BJ671" s="99"/>
      <c r="BK671" s="99"/>
      <c r="BL671" s="99"/>
      <c r="BM671" s="99"/>
      <c r="BN671" s="99"/>
      <c r="BO671" s="99"/>
      <c r="BP671" s="99"/>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01"/>
    </row>
    <row r="672" spans="27:97">
      <c r="AA672" s="350"/>
      <c r="AB672" s="62"/>
      <c r="AC672" s="62"/>
      <c r="AD672" s="62"/>
      <c r="AP672" s="88"/>
      <c r="AQ672" s="88"/>
      <c r="AR672" s="88"/>
      <c r="AS672" s="99"/>
      <c r="AT672" s="99"/>
      <c r="AU672" s="99"/>
      <c r="AV672" s="99"/>
      <c r="AW672" s="99"/>
      <c r="AX672" s="99"/>
      <c r="AY672" s="99"/>
      <c r="AZ672" s="99"/>
      <c r="BA672" s="99"/>
      <c r="BB672" s="99"/>
      <c r="BC672" s="99"/>
      <c r="BD672" s="99"/>
      <c r="BE672" s="99"/>
      <c r="BF672" s="99"/>
      <c r="BG672" s="99"/>
      <c r="BH672" s="99"/>
      <c r="BI672" s="99"/>
      <c r="BJ672" s="99"/>
      <c r="BK672" s="99"/>
      <c r="BL672" s="99"/>
      <c r="BM672" s="99"/>
      <c r="BN672" s="99"/>
      <c r="BO672" s="99"/>
      <c r="BP672" s="99"/>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01"/>
    </row>
    <row r="673" spans="27:97">
      <c r="AA673" s="350"/>
      <c r="AB673" s="62"/>
      <c r="AC673" s="62"/>
      <c r="AD673" s="62"/>
      <c r="AP673" s="88"/>
      <c r="AQ673" s="88"/>
      <c r="AR673" s="88"/>
      <c r="AS673" s="99"/>
      <c r="AT673" s="99"/>
      <c r="AU673" s="99"/>
      <c r="AV673" s="99"/>
      <c r="AW673" s="99"/>
      <c r="AX673" s="99"/>
      <c r="AY673" s="99"/>
      <c r="AZ673" s="99"/>
      <c r="BA673" s="99"/>
      <c r="BB673" s="99"/>
      <c r="BC673" s="99"/>
      <c r="BD673" s="99"/>
      <c r="BE673" s="99"/>
      <c r="BF673" s="99"/>
      <c r="BG673" s="99"/>
      <c r="BH673" s="99"/>
      <c r="BI673" s="99"/>
      <c r="BJ673" s="99"/>
      <c r="BK673" s="99"/>
      <c r="BL673" s="99"/>
      <c r="BM673" s="99"/>
      <c r="BN673" s="99"/>
      <c r="BO673" s="99"/>
      <c r="BP673" s="99"/>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01"/>
    </row>
    <row r="674" spans="27:97">
      <c r="AA674" s="350"/>
      <c r="AB674" s="62"/>
      <c r="AC674" s="62"/>
      <c r="AD674" s="62"/>
      <c r="AP674" s="88"/>
      <c r="AQ674" s="88"/>
      <c r="AR674" s="88"/>
      <c r="AS674" s="99"/>
      <c r="AT674" s="99"/>
      <c r="AU674" s="99"/>
      <c r="AV674" s="99"/>
      <c r="AW674" s="99"/>
      <c r="AX674" s="99"/>
      <c r="AY674" s="99"/>
      <c r="AZ674" s="99"/>
      <c r="BA674" s="99"/>
      <c r="BB674" s="99"/>
      <c r="BC674" s="99"/>
      <c r="BD674" s="99"/>
      <c r="BE674" s="99"/>
      <c r="BF674" s="99"/>
      <c r="BG674" s="99"/>
      <c r="BH674" s="99"/>
      <c r="BI674" s="99"/>
      <c r="BJ674" s="99"/>
      <c r="BK674" s="99"/>
      <c r="BL674" s="99"/>
      <c r="BM674" s="99"/>
      <c r="BN674" s="99"/>
      <c r="BO674" s="99"/>
      <c r="BP674" s="99"/>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01"/>
    </row>
    <row r="675" spans="27:97">
      <c r="AA675" s="350"/>
      <c r="AB675" s="62"/>
      <c r="AC675" s="62"/>
      <c r="AD675" s="62"/>
      <c r="AP675" s="88"/>
      <c r="AQ675" s="88"/>
      <c r="AR675" s="88"/>
      <c r="AS675" s="99"/>
      <c r="AT675" s="99"/>
      <c r="AU675" s="99"/>
      <c r="AV675" s="99"/>
      <c r="AW675" s="99"/>
      <c r="AX675" s="99"/>
      <c r="AY675" s="99"/>
      <c r="AZ675" s="99"/>
      <c r="BA675" s="99"/>
      <c r="BB675" s="99"/>
      <c r="BC675" s="99"/>
      <c r="BD675" s="99"/>
      <c r="BE675" s="99"/>
      <c r="BF675" s="99"/>
      <c r="BG675" s="99"/>
      <c r="BH675" s="99"/>
      <c r="BI675" s="99"/>
      <c r="BJ675" s="99"/>
      <c r="BK675" s="99"/>
      <c r="BL675" s="99"/>
      <c r="BM675" s="99"/>
      <c r="BN675" s="99"/>
      <c r="BO675" s="99"/>
      <c r="BP675" s="99"/>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01"/>
    </row>
    <row r="676" spans="27:97">
      <c r="AA676" s="350"/>
      <c r="AB676" s="62"/>
      <c r="AC676" s="62"/>
      <c r="AD676" s="62"/>
      <c r="AP676" s="88"/>
      <c r="AQ676" s="88"/>
      <c r="AR676" s="88"/>
      <c r="AS676" s="99"/>
      <c r="AT676" s="99"/>
      <c r="AU676" s="99"/>
      <c r="AV676" s="99"/>
      <c r="AW676" s="99"/>
      <c r="AX676" s="99"/>
      <c r="AY676" s="99"/>
      <c r="AZ676" s="99"/>
      <c r="BA676" s="99"/>
      <c r="BB676" s="99"/>
      <c r="BC676" s="99"/>
      <c r="BD676" s="99"/>
      <c r="BE676" s="99"/>
      <c r="BF676" s="99"/>
      <c r="BG676" s="99"/>
      <c r="BH676" s="99"/>
      <c r="BI676" s="99"/>
      <c r="BJ676" s="99"/>
      <c r="BK676" s="99"/>
      <c r="BL676" s="99"/>
      <c r="BM676" s="99"/>
      <c r="BN676" s="99"/>
      <c r="BO676" s="99"/>
      <c r="BP676" s="99"/>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01"/>
    </row>
    <row r="677" spans="27:97">
      <c r="AA677" s="350"/>
      <c r="AB677" s="62"/>
      <c r="AC677" s="62"/>
      <c r="AD677" s="62"/>
      <c r="AP677" s="88"/>
      <c r="AQ677" s="88"/>
      <c r="AR677" s="88"/>
      <c r="AS677" s="99"/>
      <c r="AT677" s="99"/>
      <c r="AU677" s="99"/>
      <c r="AV677" s="99"/>
      <c r="AW677" s="99"/>
      <c r="AX677" s="99"/>
      <c r="AY677" s="99"/>
      <c r="AZ677" s="99"/>
      <c r="BA677" s="99"/>
      <c r="BB677" s="99"/>
      <c r="BC677" s="99"/>
      <c r="BD677" s="99"/>
      <c r="BE677" s="99"/>
      <c r="BF677" s="99"/>
      <c r="BG677" s="99"/>
      <c r="BH677" s="99"/>
      <c r="BI677" s="99"/>
      <c r="BJ677" s="99"/>
      <c r="BK677" s="99"/>
      <c r="BL677" s="99"/>
      <c r="BM677" s="99"/>
      <c r="BN677" s="99"/>
      <c r="BO677" s="99"/>
      <c r="BP677" s="99"/>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01"/>
    </row>
    <row r="678" spans="27:97">
      <c r="AA678" s="350"/>
      <c r="AB678" s="62"/>
      <c r="AC678" s="62"/>
      <c r="AD678" s="62"/>
      <c r="AP678" s="88"/>
      <c r="AQ678" s="88"/>
      <c r="AR678" s="88"/>
      <c r="AS678" s="99"/>
      <c r="AT678" s="99"/>
      <c r="AU678" s="99"/>
      <c r="AV678" s="99"/>
      <c r="AW678" s="99"/>
      <c r="AX678" s="99"/>
      <c r="AY678" s="99"/>
      <c r="AZ678" s="99"/>
      <c r="BA678" s="99"/>
      <c r="BB678" s="99"/>
      <c r="BC678" s="99"/>
      <c r="BD678" s="99"/>
      <c r="BE678" s="99"/>
      <c r="BF678" s="99"/>
      <c r="BG678" s="99"/>
      <c r="BH678" s="99"/>
      <c r="BI678" s="99"/>
      <c r="BJ678" s="99"/>
      <c r="BK678" s="99"/>
      <c r="BL678" s="99"/>
      <c r="BM678" s="99"/>
      <c r="BN678" s="99"/>
      <c r="BO678" s="99"/>
      <c r="BP678" s="99"/>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01"/>
    </row>
    <row r="679" spans="27:97">
      <c r="AA679" s="350"/>
      <c r="AB679" s="62"/>
      <c r="AC679" s="62"/>
      <c r="AD679" s="62"/>
      <c r="AP679" s="88"/>
      <c r="AQ679" s="88"/>
      <c r="AR679" s="88"/>
      <c r="AS679" s="99"/>
      <c r="AT679" s="99"/>
      <c r="AU679" s="99"/>
      <c r="AV679" s="99"/>
      <c r="AW679" s="99"/>
      <c r="AX679" s="99"/>
      <c r="AY679" s="99"/>
      <c r="AZ679" s="99"/>
      <c r="BA679" s="99"/>
      <c r="BB679" s="99"/>
      <c r="BC679" s="99"/>
      <c r="BD679" s="99"/>
      <c r="BE679" s="99"/>
      <c r="BF679" s="99"/>
      <c r="BG679" s="99"/>
      <c r="BH679" s="99"/>
      <c r="BI679" s="99"/>
      <c r="BJ679" s="99"/>
      <c r="BK679" s="99"/>
      <c r="BL679" s="99"/>
      <c r="BM679" s="99"/>
      <c r="BN679" s="99"/>
      <c r="BO679" s="99"/>
      <c r="BP679" s="99"/>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01"/>
    </row>
    <row r="680" spans="27:97">
      <c r="AA680" s="350"/>
      <c r="AB680" s="62"/>
      <c r="AC680" s="62"/>
      <c r="AD680" s="62"/>
      <c r="AP680" s="88"/>
      <c r="AQ680" s="88"/>
      <c r="AR680" s="88"/>
      <c r="AS680" s="99"/>
      <c r="AT680" s="99"/>
      <c r="AU680" s="99"/>
      <c r="AV680" s="99"/>
      <c r="AW680" s="99"/>
      <c r="AX680" s="99"/>
      <c r="AY680" s="99"/>
      <c r="AZ680" s="99"/>
      <c r="BA680" s="99"/>
      <c r="BB680" s="99"/>
      <c r="BC680" s="99"/>
      <c r="BD680" s="99"/>
      <c r="BE680" s="99"/>
      <c r="BF680" s="99"/>
      <c r="BG680" s="99"/>
      <c r="BH680" s="99"/>
      <c r="BI680" s="99"/>
      <c r="BJ680" s="99"/>
      <c r="BK680" s="99"/>
      <c r="BL680" s="99"/>
      <c r="BM680" s="99"/>
      <c r="BN680" s="99"/>
      <c r="BO680" s="99"/>
      <c r="BP680" s="99"/>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01"/>
    </row>
    <row r="681" spans="27:97">
      <c r="AA681" s="350"/>
      <c r="AB681" s="62"/>
      <c r="AC681" s="62"/>
      <c r="AD681" s="62"/>
      <c r="AP681" s="88"/>
      <c r="AQ681" s="88"/>
      <c r="AR681" s="88"/>
      <c r="AS681" s="99"/>
      <c r="AT681" s="99"/>
      <c r="AU681" s="99"/>
      <c r="AV681" s="99"/>
      <c r="AW681" s="99"/>
      <c r="AX681" s="99"/>
      <c r="AY681" s="99"/>
      <c r="AZ681" s="99"/>
      <c r="BA681" s="99"/>
      <c r="BB681" s="99"/>
      <c r="BC681" s="99"/>
      <c r="BD681" s="99"/>
      <c r="BE681" s="99"/>
      <c r="BF681" s="99"/>
      <c r="BG681" s="99"/>
      <c r="BH681" s="99"/>
      <c r="BI681" s="99"/>
      <c r="BJ681" s="99"/>
      <c r="BK681" s="99"/>
      <c r="BL681" s="99"/>
      <c r="BM681" s="99"/>
      <c r="BN681" s="99"/>
      <c r="BO681" s="99"/>
      <c r="BP681" s="99"/>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01"/>
    </row>
    <row r="682" spans="27:97">
      <c r="AA682" s="350"/>
      <c r="AB682" s="62"/>
      <c r="AC682" s="62"/>
      <c r="AD682" s="62"/>
      <c r="AP682" s="88"/>
      <c r="AQ682" s="88"/>
      <c r="AR682" s="88"/>
      <c r="AS682" s="99"/>
      <c r="AT682" s="99"/>
      <c r="AU682" s="99"/>
      <c r="AV682" s="99"/>
      <c r="AW682" s="99"/>
      <c r="AX682" s="99"/>
      <c r="AY682" s="99"/>
      <c r="AZ682" s="99"/>
      <c r="BA682" s="99"/>
      <c r="BB682" s="99"/>
      <c r="BC682" s="99"/>
      <c r="BD682" s="99"/>
      <c r="BE682" s="99"/>
      <c r="BF682" s="99"/>
      <c r="BG682" s="99"/>
      <c r="BH682" s="99"/>
      <c r="BI682" s="99"/>
      <c r="BJ682" s="99"/>
      <c r="BK682" s="99"/>
      <c r="BL682" s="99"/>
      <c r="BM682" s="99"/>
      <c r="BN682" s="99"/>
      <c r="BO682" s="99"/>
      <c r="BP682" s="99"/>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01"/>
    </row>
    <row r="683" spans="27:97">
      <c r="AA683" s="350"/>
      <c r="AB683" s="62"/>
      <c r="AC683" s="62"/>
      <c r="AD683" s="62"/>
      <c r="AP683" s="88"/>
      <c r="AQ683" s="88"/>
      <c r="AR683" s="88"/>
      <c r="AS683" s="99"/>
      <c r="AT683" s="99"/>
      <c r="AU683" s="99"/>
      <c r="AV683" s="99"/>
      <c r="AW683" s="99"/>
      <c r="AX683" s="99"/>
      <c r="AY683" s="99"/>
      <c r="AZ683" s="99"/>
      <c r="BA683" s="99"/>
      <c r="BB683" s="99"/>
      <c r="BC683" s="99"/>
      <c r="BD683" s="99"/>
      <c r="BE683" s="99"/>
      <c r="BF683" s="99"/>
      <c r="BG683" s="99"/>
      <c r="BH683" s="99"/>
      <c r="BI683" s="99"/>
      <c r="BJ683" s="99"/>
      <c r="BK683" s="99"/>
      <c r="BL683" s="99"/>
      <c r="BM683" s="99"/>
      <c r="BN683" s="99"/>
      <c r="BO683" s="99"/>
      <c r="BP683" s="99"/>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01"/>
    </row>
    <row r="684" spans="27:97">
      <c r="AA684" s="350"/>
      <c r="AB684" s="62"/>
      <c r="AC684" s="62"/>
      <c r="AD684" s="62"/>
      <c r="AP684" s="88"/>
      <c r="AQ684" s="88"/>
      <c r="AR684" s="88"/>
      <c r="AS684" s="99"/>
      <c r="AT684" s="99"/>
      <c r="AU684" s="99"/>
      <c r="AV684" s="99"/>
      <c r="AW684" s="99"/>
      <c r="AX684" s="99"/>
      <c r="AY684" s="99"/>
      <c r="AZ684" s="99"/>
      <c r="BA684" s="99"/>
      <c r="BB684" s="99"/>
      <c r="BC684" s="99"/>
      <c r="BD684" s="99"/>
      <c r="BE684" s="99"/>
      <c r="BF684" s="99"/>
      <c r="BG684" s="99"/>
      <c r="BH684" s="99"/>
      <c r="BI684" s="99"/>
      <c r="BJ684" s="99"/>
      <c r="BK684" s="99"/>
      <c r="BL684" s="99"/>
      <c r="BM684" s="99"/>
      <c r="BN684" s="99"/>
      <c r="BO684" s="99"/>
      <c r="BP684" s="99"/>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01"/>
    </row>
    <row r="685" spans="27:97">
      <c r="AA685" s="350"/>
      <c r="AB685" s="62"/>
      <c r="AC685" s="62"/>
      <c r="AD685" s="62"/>
      <c r="AP685" s="88"/>
      <c r="AQ685" s="88"/>
      <c r="AR685" s="88"/>
      <c r="AS685" s="99"/>
      <c r="AT685" s="99"/>
      <c r="AU685" s="99"/>
      <c r="AV685" s="99"/>
      <c r="AW685" s="99"/>
      <c r="AX685" s="99"/>
      <c r="AY685" s="99"/>
      <c r="AZ685" s="99"/>
      <c r="BA685" s="99"/>
      <c r="BB685" s="99"/>
      <c r="BC685" s="99"/>
      <c r="BD685" s="99"/>
      <c r="BE685" s="99"/>
      <c r="BF685" s="99"/>
      <c r="BG685" s="99"/>
      <c r="BH685" s="99"/>
      <c r="BI685" s="99"/>
      <c r="BJ685" s="99"/>
      <c r="BK685" s="99"/>
      <c r="BL685" s="99"/>
      <c r="BM685" s="99"/>
      <c r="BN685" s="99"/>
      <c r="BO685" s="99"/>
      <c r="BP685" s="99"/>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01"/>
    </row>
    <row r="686" spans="27:97">
      <c r="AA686" s="350"/>
      <c r="AB686" s="62"/>
      <c r="AC686" s="62"/>
      <c r="AD686" s="62"/>
      <c r="AP686" s="88"/>
      <c r="AQ686" s="88"/>
      <c r="AR686" s="88"/>
      <c r="AS686" s="99"/>
      <c r="AT686" s="99"/>
      <c r="AU686" s="99"/>
      <c r="AV686" s="99"/>
      <c r="AW686" s="99"/>
      <c r="AX686" s="99"/>
      <c r="AY686" s="99"/>
      <c r="AZ686" s="99"/>
      <c r="BA686" s="99"/>
      <c r="BB686" s="99"/>
      <c r="BC686" s="99"/>
      <c r="BD686" s="99"/>
      <c r="BE686" s="99"/>
      <c r="BF686" s="99"/>
      <c r="BG686" s="99"/>
      <c r="BH686" s="99"/>
      <c r="BI686" s="99"/>
      <c r="BJ686" s="99"/>
      <c r="BK686" s="99"/>
      <c r="BL686" s="99"/>
      <c r="BM686" s="99"/>
      <c r="BN686" s="99"/>
      <c r="BO686" s="99"/>
      <c r="BP686" s="99"/>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01"/>
    </row>
    <row r="687" spans="27:97">
      <c r="AA687" s="350"/>
      <c r="AB687" s="62"/>
      <c r="AC687" s="62"/>
      <c r="AD687" s="62"/>
      <c r="AP687" s="88"/>
      <c r="AQ687" s="88"/>
      <c r="AR687" s="88"/>
      <c r="AS687" s="99"/>
      <c r="AT687" s="99"/>
      <c r="AU687" s="99"/>
      <c r="AV687" s="99"/>
      <c r="AW687" s="99"/>
      <c r="AX687" s="99"/>
      <c r="AY687" s="99"/>
      <c r="AZ687" s="99"/>
      <c r="BA687" s="99"/>
      <c r="BB687" s="99"/>
      <c r="BC687" s="99"/>
      <c r="BD687" s="99"/>
      <c r="BE687" s="99"/>
      <c r="BF687" s="99"/>
      <c r="BG687" s="99"/>
      <c r="BH687" s="99"/>
      <c r="BI687" s="99"/>
      <c r="BJ687" s="99"/>
      <c r="BK687" s="99"/>
      <c r="BL687" s="99"/>
      <c r="BM687" s="99"/>
      <c r="BN687" s="99"/>
      <c r="BO687" s="99"/>
      <c r="BP687" s="99"/>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01"/>
    </row>
    <row r="688" spans="27:97">
      <c r="AA688" s="350"/>
      <c r="AB688" s="62"/>
      <c r="AC688" s="62"/>
      <c r="AD688" s="62"/>
      <c r="AP688" s="88"/>
      <c r="AQ688" s="88"/>
      <c r="AR688" s="88"/>
      <c r="AS688" s="99"/>
      <c r="AT688" s="99"/>
      <c r="AU688" s="99"/>
      <c r="AV688" s="99"/>
      <c r="AW688" s="99"/>
      <c r="AX688" s="99"/>
      <c r="AY688" s="99"/>
      <c r="AZ688" s="99"/>
      <c r="BA688" s="99"/>
      <c r="BB688" s="99"/>
      <c r="BC688" s="99"/>
      <c r="BD688" s="99"/>
      <c r="BE688" s="99"/>
      <c r="BF688" s="99"/>
      <c r="BG688" s="99"/>
      <c r="BH688" s="99"/>
      <c r="BI688" s="99"/>
      <c r="BJ688" s="99"/>
      <c r="BK688" s="99"/>
      <c r="BL688" s="99"/>
      <c r="BM688" s="99"/>
      <c r="BN688" s="99"/>
      <c r="BO688" s="99"/>
      <c r="BP688" s="99"/>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01"/>
    </row>
    <row r="689" spans="27:97">
      <c r="AA689" s="350"/>
      <c r="AB689" s="62"/>
      <c r="AC689" s="62"/>
      <c r="AD689" s="62"/>
      <c r="AP689" s="88"/>
      <c r="AQ689" s="88"/>
      <c r="AR689" s="88"/>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01"/>
    </row>
    <row r="690" spans="27:97">
      <c r="AA690" s="350"/>
      <c r="AB690" s="62"/>
      <c r="AC690" s="62"/>
      <c r="AD690" s="62"/>
      <c r="AP690" s="88"/>
      <c r="AQ690" s="88"/>
      <c r="AR690" s="88"/>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01"/>
    </row>
    <row r="691" spans="27:97">
      <c r="AA691" s="350"/>
      <c r="AB691" s="62"/>
      <c r="AC691" s="62"/>
      <c r="AD691" s="62"/>
      <c r="AP691" s="88"/>
      <c r="AQ691" s="88"/>
      <c r="AR691" s="88"/>
      <c r="AS691" s="99"/>
      <c r="AT691" s="99"/>
      <c r="AU691" s="99"/>
      <c r="AV691" s="99"/>
      <c r="AW691" s="99"/>
      <c r="AX691" s="99"/>
      <c r="AY691" s="99"/>
      <c r="AZ691" s="99"/>
      <c r="BA691" s="99"/>
      <c r="BB691" s="99"/>
      <c r="BC691" s="99"/>
      <c r="BD691" s="99"/>
      <c r="BE691" s="99"/>
      <c r="BF691" s="99"/>
      <c r="BG691" s="99"/>
      <c r="BH691" s="99"/>
      <c r="BI691" s="99"/>
      <c r="BJ691" s="99"/>
      <c r="BK691" s="99"/>
      <c r="BL691" s="99"/>
      <c r="BM691" s="99"/>
      <c r="BN691" s="99"/>
      <c r="BO691" s="99"/>
      <c r="BP691" s="99"/>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01"/>
    </row>
    <row r="692" spans="27:97">
      <c r="AA692" s="350"/>
      <c r="AB692" s="62"/>
      <c r="AC692" s="62"/>
      <c r="AD692" s="62"/>
      <c r="AP692" s="88"/>
      <c r="AQ692" s="88"/>
      <c r="AR692" s="88"/>
      <c r="AS692" s="99"/>
      <c r="AT692" s="99"/>
      <c r="AU692" s="99"/>
      <c r="AV692" s="99"/>
      <c r="AW692" s="99"/>
      <c r="AX692" s="99"/>
      <c r="AY692" s="99"/>
      <c r="AZ692" s="99"/>
      <c r="BA692" s="99"/>
      <c r="BB692" s="99"/>
      <c r="BC692" s="99"/>
      <c r="BD692" s="99"/>
      <c r="BE692" s="99"/>
      <c r="BF692" s="99"/>
      <c r="BG692" s="99"/>
      <c r="BH692" s="99"/>
      <c r="BI692" s="99"/>
      <c r="BJ692" s="99"/>
      <c r="BK692" s="99"/>
      <c r="BL692" s="99"/>
      <c r="BM692" s="99"/>
      <c r="BN692" s="99"/>
      <c r="BO692" s="99"/>
      <c r="BP692" s="99"/>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01"/>
    </row>
    <row r="693" spans="27:97">
      <c r="AA693" s="350"/>
      <c r="AB693" s="62"/>
      <c r="AC693" s="62"/>
      <c r="AD693" s="62"/>
      <c r="AP693" s="88"/>
      <c r="AQ693" s="88"/>
      <c r="AR693" s="88"/>
      <c r="AS693" s="99"/>
      <c r="AT693" s="99"/>
      <c r="AU693" s="99"/>
      <c r="AV693" s="99"/>
      <c r="AW693" s="99"/>
      <c r="AX693" s="99"/>
      <c r="AY693" s="99"/>
      <c r="AZ693" s="99"/>
      <c r="BA693" s="99"/>
      <c r="BB693" s="99"/>
      <c r="BC693" s="99"/>
      <c r="BD693" s="99"/>
      <c r="BE693" s="99"/>
      <c r="BF693" s="99"/>
      <c r="BG693" s="99"/>
      <c r="BH693" s="99"/>
      <c r="BI693" s="99"/>
      <c r="BJ693" s="99"/>
      <c r="BK693" s="99"/>
      <c r="BL693" s="99"/>
      <c r="BM693" s="99"/>
      <c r="BN693" s="99"/>
      <c r="BO693" s="99"/>
      <c r="BP693" s="99"/>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01"/>
    </row>
    <row r="694" spans="27:97">
      <c r="AA694" s="350"/>
      <c r="AB694" s="62"/>
      <c r="AC694" s="62"/>
      <c r="AD694" s="62"/>
      <c r="AP694" s="88"/>
      <c r="AQ694" s="88"/>
      <c r="AR694" s="88"/>
      <c r="AS694" s="99"/>
      <c r="AT694" s="99"/>
      <c r="AU694" s="99"/>
      <c r="AV694" s="99"/>
      <c r="AW694" s="99"/>
      <c r="AX694" s="99"/>
      <c r="AY694" s="99"/>
      <c r="AZ694" s="99"/>
      <c r="BA694" s="99"/>
      <c r="BB694" s="99"/>
      <c r="BC694" s="99"/>
      <c r="BD694" s="99"/>
      <c r="BE694" s="99"/>
      <c r="BF694" s="99"/>
      <c r="BG694" s="99"/>
      <c r="BH694" s="99"/>
      <c r="BI694" s="99"/>
      <c r="BJ694" s="99"/>
      <c r="BK694" s="99"/>
      <c r="BL694" s="99"/>
      <c r="BM694" s="99"/>
      <c r="BN694" s="99"/>
      <c r="BO694" s="99"/>
      <c r="BP694" s="99"/>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01"/>
    </row>
    <row r="695" spans="27:97">
      <c r="AA695" s="350"/>
      <c r="AB695" s="62"/>
      <c r="AC695" s="62"/>
      <c r="AD695" s="62"/>
      <c r="AP695" s="88"/>
      <c r="AQ695" s="88"/>
      <c r="AR695" s="88"/>
      <c r="AS695" s="99"/>
      <c r="AT695" s="99"/>
      <c r="AU695" s="99"/>
      <c r="AV695" s="99"/>
      <c r="AW695" s="99"/>
      <c r="AX695" s="99"/>
      <c r="AY695" s="99"/>
      <c r="AZ695" s="99"/>
      <c r="BA695" s="99"/>
      <c r="BB695" s="99"/>
      <c r="BC695" s="99"/>
      <c r="BD695" s="99"/>
      <c r="BE695" s="99"/>
      <c r="BF695" s="99"/>
      <c r="BG695" s="99"/>
      <c r="BH695" s="99"/>
      <c r="BI695" s="99"/>
      <c r="BJ695" s="99"/>
      <c r="BK695" s="99"/>
      <c r="BL695" s="99"/>
      <c r="BM695" s="99"/>
      <c r="BN695" s="99"/>
      <c r="BO695" s="99"/>
      <c r="BP695" s="99"/>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01"/>
    </row>
    <row r="696" spans="27:97">
      <c r="AA696" s="350"/>
      <c r="AB696" s="62"/>
      <c r="AC696" s="62"/>
      <c r="AD696" s="62"/>
      <c r="AP696" s="88"/>
      <c r="AQ696" s="88"/>
      <c r="AR696" s="88"/>
      <c r="AS696" s="99"/>
      <c r="AT696" s="99"/>
      <c r="AU696" s="99"/>
      <c r="AV696" s="99"/>
      <c r="AW696" s="99"/>
      <c r="AX696" s="99"/>
      <c r="AY696" s="99"/>
      <c r="AZ696" s="99"/>
      <c r="BA696" s="99"/>
      <c r="BB696" s="99"/>
      <c r="BC696" s="99"/>
      <c r="BD696" s="99"/>
      <c r="BE696" s="99"/>
      <c r="BF696" s="99"/>
      <c r="BG696" s="99"/>
      <c r="BH696" s="99"/>
      <c r="BI696" s="99"/>
      <c r="BJ696" s="99"/>
      <c r="BK696" s="99"/>
      <c r="BL696" s="99"/>
      <c r="BM696" s="99"/>
      <c r="BN696" s="99"/>
      <c r="BO696" s="99"/>
      <c r="BP696" s="99"/>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01"/>
    </row>
    <row r="697" spans="27:97">
      <c r="AA697" s="350"/>
      <c r="AB697" s="62"/>
      <c r="AC697" s="62"/>
      <c r="AD697" s="62"/>
      <c r="AP697" s="88"/>
      <c r="AQ697" s="88"/>
      <c r="AR697" s="88"/>
      <c r="AS697" s="99"/>
      <c r="AT697" s="99"/>
      <c r="AU697" s="99"/>
      <c r="AV697" s="99"/>
      <c r="AW697" s="99"/>
      <c r="AX697" s="99"/>
      <c r="AY697" s="99"/>
      <c r="AZ697" s="99"/>
      <c r="BA697" s="99"/>
      <c r="BB697" s="99"/>
      <c r="BC697" s="99"/>
      <c r="BD697" s="99"/>
      <c r="BE697" s="99"/>
      <c r="BF697" s="99"/>
      <c r="BG697" s="99"/>
      <c r="BH697" s="99"/>
      <c r="BI697" s="99"/>
      <c r="BJ697" s="99"/>
      <c r="BK697" s="99"/>
      <c r="BL697" s="99"/>
      <c r="BM697" s="99"/>
      <c r="BN697" s="99"/>
      <c r="BO697" s="99"/>
      <c r="BP697" s="99"/>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01"/>
    </row>
    <row r="698" spans="27:97">
      <c r="AA698" s="350"/>
      <c r="AB698" s="62"/>
      <c r="AC698" s="62"/>
      <c r="AD698" s="62"/>
      <c r="AP698" s="88"/>
      <c r="AQ698" s="88"/>
      <c r="AR698" s="88"/>
      <c r="AS698" s="99"/>
      <c r="AT698" s="99"/>
      <c r="AU698" s="99"/>
      <c r="AV698" s="99"/>
      <c r="AW698" s="99"/>
      <c r="AX698" s="99"/>
      <c r="AY698" s="99"/>
      <c r="AZ698" s="99"/>
      <c r="BA698" s="99"/>
      <c r="BB698" s="99"/>
      <c r="BC698" s="99"/>
      <c r="BD698" s="99"/>
      <c r="BE698" s="99"/>
      <c r="BF698" s="99"/>
      <c r="BG698" s="99"/>
      <c r="BH698" s="99"/>
      <c r="BI698" s="99"/>
      <c r="BJ698" s="99"/>
      <c r="BK698" s="99"/>
      <c r="BL698" s="99"/>
      <c r="BM698" s="99"/>
      <c r="BN698" s="99"/>
      <c r="BO698" s="99"/>
      <c r="BP698" s="99"/>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01"/>
    </row>
    <row r="699" spans="27:97">
      <c r="AA699" s="350"/>
      <c r="AB699" s="62"/>
      <c r="AC699" s="62"/>
      <c r="AD699" s="62"/>
      <c r="AP699" s="88"/>
      <c r="AQ699" s="88"/>
      <c r="AR699" s="88"/>
      <c r="AS699" s="99"/>
      <c r="AT699" s="99"/>
      <c r="AU699" s="99"/>
      <c r="AV699" s="99"/>
      <c r="AW699" s="99"/>
      <c r="AX699" s="99"/>
      <c r="AY699" s="99"/>
      <c r="AZ699" s="99"/>
      <c r="BA699" s="99"/>
      <c r="BB699" s="99"/>
      <c r="BC699" s="99"/>
      <c r="BD699" s="99"/>
      <c r="BE699" s="99"/>
      <c r="BF699" s="99"/>
      <c r="BG699" s="99"/>
      <c r="BH699" s="99"/>
      <c r="BI699" s="99"/>
      <c r="BJ699" s="99"/>
      <c r="BK699" s="99"/>
      <c r="BL699" s="99"/>
      <c r="BM699" s="99"/>
      <c r="BN699" s="99"/>
      <c r="BO699" s="99"/>
      <c r="BP699" s="99"/>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01"/>
    </row>
    <row r="700" spans="27:97">
      <c r="AA700" s="350"/>
      <c r="AB700" s="62"/>
      <c r="AC700" s="62"/>
      <c r="AD700" s="62"/>
      <c r="AP700" s="88"/>
      <c r="AQ700" s="88"/>
      <c r="AR700" s="88"/>
      <c r="AS700" s="99"/>
      <c r="AT700" s="99"/>
      <c r="AU700" s="99"/>
      <c r="AV700" s="99"/>
      <c r="AW700" s="99"/>
      <c r="AX700" s="99"/>
      <c r="AY700" s="99"/>
      <c r="AZ700" s="99"/>
      <c r="BA700" s="99"/>
      <c r="BB700" s="99"/>
      <c r="BC700" s="99"/>
      <c r="BD700" s="99"/>
      <c r="BE700" s="99"/>
      <c r="BF700" s="99"/>
      <c r="BG700" s="99"/>
      <c r="BH700" s="99"/>
      <c r="BI700" s="99"/>
      <c r="BJ700" s="99"/>
      <c r="BK700" s="99"/>
      <c r="BL700" s="99"/>
      <c r="BM700" s="99"/>
      <c r="BN700" s="99"/>
      <c r="BO700" s="99"/>
      <c r="BP700" s="99"/>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01"/>
    </row>
    <row r="701" spans="27:97">
      <c r="AA701" s="350"/>
      <c r="AB701" s="62"/>
      <c r="AC701" s="62"/>
      <c r="AD701" s="62"/>
      <c r="AP701" s="88"/>
      <c r="AQ701" s="88"/>
      <c r="AR701" s="88"/>
      <c r="AS701" s="99"/>
      <c r="AT701" s="99"/>
      <c r="AU701" s="99"/>
      <c r="AV701" s="99"/>
      <c r="AW701" s="99"/>
      <c r="AX701" s="99"/>
      <c r="AY701" s="99"/>
      <c r="AZ701" s="99"/>
      <c r="BA701" s="99"/>
      <c r="BB701" s="99"/>
      <c r="BC701" s="99"/>
      <c r="BD701" s="99"/>
      <c r="BE701" s="99"/>
      <c r="BF701" s="99"/>
      <c r="BG701" s="99"/>
      <c r="BH701" s="99"/>
      <c r="BI701" s="99"/>
      <c r="BJ701" s="99"/>
      <c r="BK701" s="99"/>
      <c r="BL701" s="99"/>
      <c r="BM701" s="99"/>
      <c r="BN701" s="99"/>
      <c r="BO701" s="99"/>
      <c r="BP701" s="99"/>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01"/>
    </row>
    <row r="702" spans="27:97">
      <c r="AA702" s="350"/>
      <c r="AB702" s="62"/>
      <c r="AC702" s="62"/>
      <c r="AD702" s="62"/>
      <c r="AP702" s="88"/>
      <c r="AQ702" s="88"/>
      <c r="AR702" s="88"/>
      <c r="AS702" s="99"/>
      <c r="AT702" s="99"/>
      <c r="AU702" s="99"/>
      <c r="AV702" s="99"/>
      <c r="AW702" s="99"/>
      <c r="AX702" s="99"/>
      <c r="AY702" s="99"/>
      <c r="AZ702" s="99"/>
      <c r="BA702" s="99"/>
      <c r="BB702" s="99"/>
      <c r="BC702" s="99"/>
      <c r="BD702" s="99"/>
      <c r="BE702" s="99"/>
      <c r="BF702" s="99"/>
      <c r="BG702" s="99"/>
      <c r="BH702" s="99"/>
      <c r="BI702" s="99"/>
      <c r="BJ702" s="99"/>
      <c r="BK702" s="99"/>
      <c r="BL702" s="99"/>
      <c r="BM702" s="99"/>
      <c r="BN702" s="99"/>
      <c r="BO702" s="99"/>
      <c r="BP702" s="99"/>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01"/>
    </row>
    <row r="703" spans="27:97">
      <c r="AA703" s="350"/>
      <c r="AB703" s="62"/>
      <c r="AC703" s="62"/>
      <c r="AD703" s="62"/>
      <c r="AP703" s="88"/>
      <c r="AQ703" s="88"/>
      <c r="AR703" s="88"/>
      <c r="AS703" s="99"/>
      <c r="AT703" s="99"/>
      <c r="AU703" s="99"/>
      <c r="AV703" s="99"/>
      <c r="AW703" s="99"/>
      <c r="AX703" s="99"/>
      <c r="AY703" s="99"/>
      <c r="AZ703" s="99"/>
      <c r="BA703" s="99"/>
      <c r="BB703" s="99"/>
      <c r="BC703" s="99"/>
      <c r="BD703" s="99"/>
      <c r="BE703" s="99"/>
      <c r="BF703" s="99"/>
      <c r="BG703" s="99"/>
      <c r="BH703" s="99"/>
      <c r="BI703" s="99"/>
      <c r="BJ703" s="99"/>
      <c r="BK703" s="99"/>
      <c r="BL703" s="99"/>
      <c r="BM703" s="99"/>
      <c r="BN703" s="99"/>
      <c r="BO703" s="99"/>
      <c r="BP703" s="99"/>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01"/>
    </row>
    <row r="704" spans="27:97">
      <c r="AA704" s="350"/>
      <c r="AB704" s="62"/>
      <c r="AC704" s="62"/>
      <c r="AD704" s="62"/>
      <c r="AP704" s="88"/>
      <c r="AQ704" s="88"/>
      <c r="AR704" s="88"/>
      <c r="AS704" s="99"/>
      <c r="AT704" s="99"/>
      <c r="AU704" s="99"/>
      <c r="AV704" s="99"/>
      <c r="AW704" s="99"/>
      <c r="AX704" s="99"/>
      <c r="AY704" s="99"/>
      <c r="AZ704" s="99"/>
      <c r="BA704" s="99"/>
      <c r="BB704" s="99"/>
      <c r="BC704" s="99"/>
      <c r="BD704" s="99"/>
      <c r="BE704" s="99"/>
      <c r="BF704" s="99"/>
      <c r="BG704" s="99"/>
      <c r="BH704" s="99"/>
      <c r="BI704" s="99"/>
      <c r="BJ704" s="99"/>
      <c r="BK704" s="99"/>
      <c r="BL704" s="99"/>
      <c r="BM704" s="99"/>
      <c r="BN704" s="99"/>
      <c r="BO704" s="99"/>
      <c r="BP704" s="99"/>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01"/>
    </row>
    <row r="705" spans="27:97">
      <c r="AA705" s="350"/>
      <c r="AB705" s="62"/>
      <c r="AC705" s="62"/>
      <c r="AD705" s="62"/>
      <c r="AP705" s="88"/>
      <c r="AQ705" s="88"/>
      <c r="AR705" s="88"/>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01"/>
    </row>
    <row r="706" spans="27:97">
      <c r="AA706" s="350"/>
      <c r="AB706" s="62"/>
      <c r="AC706" s="62"/>
      <c r="AD706" s="62"/>
      <c r="AP706" s="88"/>
      <c r="AQ706" s="88"/>
      <c r="AR706" s="88"/>
      <c r="AS706" s="99"/>
      <c r="AT706" s="99"/>
      <c r="AU706" s="99"/>
      <c r="AV706" s="99"/>
      <c r="AW706" s="99"/>
      <c r="AX706" s="99"/>
      <c r="AY706" s="99"/>
      <c r="AZ706" s="99"/>
      <c r="BA706" s="99"/>
      <c r="BB706" s="99"/>
      <c r="BC706" s="99"/>
      <c r="BD706" s="99"/>
      <c r="BE706" s="99"/>
      <c r="BF706" s="99"/>
      <c r="BG706" s="99"/>
      <c r="BH706" s="99"/>
      <c r="BI706" s="99"/>
      <c r="BJ706" s="99"/>
      <c r="BK706" s="99"/>
      <c r="BL706" s="99"/>
      <c r="BM706" s="99"/>
      <c r="BN706" s="99"/>
      <c r="BO706" s="99"/>
      <c r="BP706" s="99"/>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01"/>
    </row>
    <row r="707" spans="27:97">
      <c r="AA707" s="350"/>
      <c r="AB707" s="62"/>
      <c r="AC707" s="62"/>
      <c r="AD707" s="62"/>
      <c r="AP707" s="88"/>
      <c r="AQ707" s="88"/>
      <c r="AR707" s="88"/>
      <c r="AS707" s="99"/>
      <c r="AT707" s="99"/>
      <c r="AU707" s="99"/>
      <c r="AV707" s="99"/>
      <c r="AW707" s="99"/>
      <c r="AX707" s="99"/>
      <c r="AY707" s="99"/>
      <c r="AZ707" s="99"/>
      <c r="BA707" s="99"/>
      <c r="BB707" s="99"/>
      <c r="BC707" s="99"/>
      <c r="BD707" s="99"/>
      <c r="BE707" s="99"/>
      <c r="BF707" s="99"/>
      <c r="BG707" s="99"/>
      <c r="BH707" s="99"/>
      <c r="BI707" s="99"/>
      <c r="BJ707" s="99"/>
      <c r="BK707" s="99"/>
      <c r="BL707" s="99"/>
      <c r="BM707" s="99"/>
      <c r="BN707" s="99"/>
      <c r="BO707" s="99"/>
      <c r="BP707" s="99"/>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01"/>
    </row>
    <row r="708" spans="27:97">
      <c r="AA708" s="350"/>
      <c r="AB708" s="62"/>
      <c r="AC708" s="62"/>
      <c r="AD708" s="62"/>
      <c r="AP708" s="88"/>
      <c r="AQ708" s="88"/>
      <c r="AR708" s="88"/>
      <c r="AS708" s="99"/>
      <c r="AT708" s="99"/>
      <c r="AU708" s="99"/>
      <c r="AV708" s="99"/>
      <c r="AW708" s="99"/>
      <c r="AX708" s="99"/>
      <c r="AY708" s="99"/>
      <c r="AZ708" s="99"/>
      <c r="BA708" s="99"/>
      <c r="BB708" s="99"/>
      <c r="BC708" s="99"/>
      <c r="BD708" s="99"/>
      <c r="BE708" s="99"/>
      <c r="BF708" s="99"/>
      <c r="BG708" s="99"/>
      <c r="BH708" s="99"/>
      <c r="BI708" s="99"/>
      <c r="BJ708" s="99"/>
      <c r="BK708" s="99"/>
      <c r="BL708" s="99"/>
      <c r="BM708" s="99"/>
      <c r="BN708" s="99"/>
      <c r="BO708" s="99"/>
      <c r="BP708" s="99"/>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01"/>
    </row>
    <row r="709" spans="27:97">
      <c r="AA709" s="350"/>
      <c r="AB709" s="62"/>
      <c r="AC709" s="62"/>
      <c r="AD709" s="62"/>
      <c r="AP709" s="88"/>
      <c r="AQ709" s="88"/>
      <c r="AR709" s="88"/>
      <c r="AS709" s="99"/>
      <c r="AT709" s="99"/>
      <c r="AU709" s="99"/>
      <c r="AV709" s="99"/>
      <c r="AW709" s="99"/>
      <c r="AX709" s="99"/>
      <c r="AY709" s="99"/>
      <c r="AZ709" s="99"/>
      <c r="BA709" s="99"/>
      <c r="BB709" s="99"/>
      <c r="BC709" s="99"/>
      <c r="BD709" s="99"/>
      <c r="BE709" s="99"/>
      <c r="BF709" s="99"/>
      <c r="BG709" s="99"/>
      <c r="BH709" s="99"/>
      <c r="BI709" s="99"/>
      <c r="BJ709" s="99"/>
      <c r="BK709" s="99"/>
      <c r="BL709" s="99"/>
      <c r="BM709" s="99"/>
      <c r="BN709" s="99"/>
      <c r="BO709" s="99"/>
      <c r="BP709" s="99"/>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01"/>
    </row>
    <row r="710" spans="27:97">
      <c r="AA710" s="350"/>
      <c r="AB710" s="62"/>
      <c r="AC710" s="62"/>
      <c r="AD710" s="62"/>
      <c r="AP710" s="88"/>
      <c r="AQ710" s="88"/>
      <c r="AR710" s="88"/>
      <c r="AS710" s="99"/>
      <c r="AT710" s="99"/>
      <c r="AU710" s="99"/>
      <c r="AV710" s="99"/>
      <c r="AW710" s="99"/>
      <c r="AX710" s="99"/>
      <c r="AY710" s="99"/>
      <c r="AZ710" s="99"/>
      <c r="BA710" s="99"/>
      <c r="BB710" s="99"/>
      <c r="BC710" s="99"/>
      <c r="BD710" s="99"/>
      <c r="BE710" s="99"/>
      <c r="BF710" s="99"/>
      <c r="BG710" s="99"/>
      <c r="BH710" s="99"/>
      <c r="BI710" s="99"/>
      <c r="BJ710" s="99"/>
      <c r="BK710" s="99"/>
      <c r="BL710" s="99"/>
      <c r="BM710" s="99"/>
      <c r="BN710" s="99"/>
      <c r="BO710" s="99"/>
      <c r="BP710" s="99"/>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01"/>
    </row>
    <row r="711" spans="27:97">
      <c r="AA711" s="350"/>
      <c r="AB711" s="62"/>
      <c r="AC711" s="62"/>
      <c r="AD711" s="62"/>
      <c r="AP711" s="88"/>
      <c r="AQ711" s="88"/>
      <c r="AR711" s="88"/>
      <c r="AS711" s="99"/>
      <c r="AT711" s="99"/>
      <c r="AU711" s="99"/>
      <c r="AV711" s="99"/>
      <c r="AW711" s="99"/>
      <c r="AX711" s="99"/>
      <c r="AY711" s="99"/>
      <c r="AZ711" s="99"/>
      <c r="BA711" s="99"/>
      <c r="BB711" s="99"/>
      <c r="BC711" s="99"/>
      <c r="BD711" s="99"/>
      <c r="BE711" s="99"/>
      <c r="BF711" s="99"/>
      <c r="BG711" s="99"/>
      <c r="BH711" s="99"/>
      <c r="BI711" s="99"/>
      <c r="BJ711" s="99"/>
      <c r="BK711" s="99"/>
      <c r="BL711" s="99"/>
      <c r="BM711" s="99"/>
      <c r="BN711" s="99"/>
      <c r="BO711" s="99"/>
      <c r="BP711" s="99"/>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01"/>
    </row>
    <row r="712" spans="27:97">
      <c r="AA712" s="350"/>
      <c r="AB712" s="62"/>
      <c r="AC712" s="62"/>
      <c r="AD712" s="62"/>
      <c r="AP712" s="88"/>
      <c r="AQ712" s="88"/>
      <c r="AR712" s="88"/>
      <c r="AS712" s="99"/>
      <c r="AT712" s="99"/>
      <c r="AU712" s="99"/>
      <c r="AV712" s="99"/>
      <c r="AW712" s="99"/>
      <c r="AX712" s="99"/>
      <c r="AY712" s="99"/>
      <c r="AZ712" s="99"/>
      <c r="BA712" s="99"/>
      <c r="BB712" s="99"/>
      <c r="BC712" s="99"/>
      <c r="BD712" s="99"/>
      <c r="BE712" s="99"/>
      <c r="BF712" s="99"/>
      <c r="BG712" s="99"/>
      <c r="BH712" s="99"/>
      <c r="BI712" s="99"/>
      <c r="BJ712" s="99"/>
      <c r="BK712" s="99"/>
      <c r="BL712" s="99"/>
      <c r="BM712" s="99"/>
      <c r="BN712" s="99"/>
      <c r="BO712" s="99"/>
      <c r="BP712" s="99"/>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01"/>
    </row>
    <row r="713" spans="27:97">
      <c r="AA713" s="350"/>
      <c r="AB713" s="62"/>
      <c r="AC713" s="62"/>
      <c r="AD713" s="62"/>
      <c r="AP713" s="88"/>
      <c r="AQ713" s="88"/>
      <c r="AR713" s="88"/>
      <c r="AS713" s="99"/>
      <c r="AT713" s="99"/>
      <c r="AU713" s="99"/>
      <c r="AV713" s="99"/>
      <c r="AW713" s="99"/>
      <c r="AX713" s="99"/>
      <c r="AY713" s="99"/>
      <c r="AZ713" s="99"/>
      <c r="BA713" s="99"/>
      <c r="BB713" s="99"/>
      <c r="BC713" s="99"/>
      <c r="BD713" s="99"/>
      <c r="BE713" s="99"/>
      <c r="BF713" s="99"/>
      <c r="BG713" s="99"/>
      <c r="BH713" s="99"/>
      <c r="BI713" s="99"/>
      <c r="BJ713" s="99"/>
      <c r="BK713" s="99"/>
      <c r="BL713" s="99"/>
      <c r="BM713" s="99"/>
      <c r="BN713" s="99"/>
      <c r="BO713" s="99"/>
      <c r="BP713" s="99"/>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01"/>
    </row>
    <row r="714" spans="27:97">
      <c r="AA714" s="350"/>
      <c r="AB714" s="62"/>
      <c r="AC714" s="62"/>
      <c r="AD714" s="62"/>
      <c r="AP714" s="88"/>
      <c r="AQ714" s="88"/>
      <c r="AR714" s="88"/>
      <c r="AS714" s="99"/>
      <c r="AT714" s="99"/>
      <c r="AU714" s="99"/>
      <c r="AV714" s="99"/>
      <c r="AW714" s="99"/>
      <c r="AX714" s="99"/>
      <c r="AY714" s="99"/>
      <c r="AZ714" s="99"/>
      <c r="BA714" s="99"/>
      <c r="BB714" s="99"/>
      <c r="BC714" s="99"/>
      <c r="BD714" s="99"/>
      <c r="BE714" s="99"/>
      <c r="BF714" s="99"/>
      <c r="BG714" s="99"/>
      <c r="BH714" s="99"/>
      <c r="BI714" s="99"/>
      <c r="BJ714" s="99"/>
      <c r="BK714" s="99"/>
      <c r="BL714" s="99"/>
      <c r="BM714" s="99"/>
      <c r="BN714" s="99"/>
      <c r="BO714" s="99"/>
      <c r="BP714" s="99"/>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01"/>
    </row>
    <row r="715" spans="27:97">
      <c r="AA715" s="350"/>
      <c r="AB715" s="62"/>
      <c r="AC715" s="62"/>
      <c r="AD715" s="62"/>
      <c r="AP715" s="88"/>
      <c r="AQ715" s="88"/>
      <c r="AR715" s="88"/>
      <c r="AS715" s="99"/>
      <c r="AT715" s="99"/>
      <c r="AU715" s="99"/>
      <c r="AV715" s="99"/>
      <c r="AW715" s="99"/>
      <c r="AX715" s="99"/>
      <c r="AY715" s="99"/>
      <c r="AZ715" s="99"/>
      <c r="BA715" s="99"/>
      <c r="BB715" s="99"/>
      <c r="BC715" s="99"/>
      <c r="BD715" s="99"/>
      <c r="BE715" s="99"/>
      <c r="BF715" s="99"/>
      <c r="BG715" s="99"/>
      <c r="BH715" s="99"/>
      <c r="BI715" s="99"/>
      <c r="BJ715" s="99"/>
      <c r="BK715" s="99"/>
      <c r="BL715" s="99"/>
      <c r="BM715" s="99"/>
      <c r="BN715" s="99"/>
      <c r="BO715" s="99"/>
      <c r="BP715" s="99"/>
      <c r="BQ715" s="99"/>
      <c r="BR715" s="99"/>
      <c r="BS715" s="99"/>
      <c r="BT715" s="99"/>
      <c r="BU715" s="99"/>
      <c r="BV715" s="99"/>
      <c r="BW715" s="99"/>
      <c r="BX715" s="99"/>
      <c r="BY715" s="99"/>
      <c r="BZ715" s="99"/>
      <c r="CA715" s="99"/>
      <c r="CB715" s="99"/>
      <c r="CC715" s="99"/>
      <c r="CD715" s="99"/>
      <c r="CE715" s="99"/>
      <c r="CF715" s="99"/>
      <c r="CG715" s="99"/>
      <c r="CH715" s="99"/>
      <c r="CI715" s="99"/>
      <c r="CJ715" s="605"/>
      <c r="CK715" s="605"/>
      <c r="CL715" s="605"/>
      <c r="CM715" s="606"/>
      <c r="CN715" s="606"/>
      <c r="CO715" s="606"/>
      <c r="CP715" s="606"/>
      <c r="CQ715" s="606"/>
      <c r="CR715" s="606"/>
      <c r="CS715" s="606"/>
    </row>
    <row r="716" spans="27:97">
      <c r="AA716" s="350"/>
      <c r="AB716" s="62"/>
      <c r="AC716" s="62"/>
      <c r="AD716" s="62"/>
      <c r="AP716" s="88"/>
      <c r="AQ716" s="88"/>
      <c r="AR716" s="88"/>
      <c r="AS716" s="99"/>
      <c r="AT716" s="99"/>
      <c r="AU716" s="99"/>
      <c r="AV716" s="99"/>
      <c r="AW716" s="99"/>
      <c r="AX716" s="99"/>
      <c r="AY716" s="99"/>
      <c r="AZ716" s="99"/>
      <c r="BA716" s="99"/>
      <c r="BB716" s="99"/>
      <c r="BC716" s="99"/>
      <c r="BD716" s="99"/>
      <c r="BE716" s="99"/>
      <c r="BF716" s="99"/>
      <c r="BG716" s="99"/>
      <c r="BH716" s="99"/>
      <c r="BI716" s="99"/>
      <c r="BJ716" s="99"/>
      <c r="BK716" s="99"/>
      <c r="BL716" s="99"/>
      <c r="BM716" s="99"/>
      <c r="BN716" s="99"/>
      <c r="BO716" s="99"/>
      <c r="BP716" s="99"/>
      <c r="BQ716" s="99"/>
      <c r="BR716" s="99"/>
      <c r="BS716" s="99"/>
      <c r="BT716" s="99"/>
      <c r="BU716" s="99"/>
      <c r="BV716" s="99"/>
      <c r="BW716" s="99"/>
      <c r="BX716" s="99"/>
      <c r="BY716" s="99"/>
      <c r="BZ716" s="99"/>
      <c r="CA716" s="99"/>
      <c r="CB716" s="99"/>
      <c r="CC716" s="99"/>
      <c r="CD716" s="99"/>
      <c r="CE716" s="99"/>
      <c r="CF716" s="99"/>
      <c r="CG716" s="99"/>
      <c r="CH716" s="99"/>
      <c r="CI716" s="99"/>
      <c r="CJ716" s="621"/>
      <c r="CK716" s="621"/>
      <c r="CL716" s="621"/>
    </row>
    <row r="717" spans="27:97">
      <c r="AA717" s="350"/>
      <c r="AB717" s="62"/>
      <c r="AC717" s="62"/>
      <c r="AD717" s="62"/>
      <c r="AP717" s="88"/>
      <c r="AQ717" s="88"/>
      <c r="AR717" s="88"/>
      <c r="AS717" s="99"/>
      <c r="AT717" s="99"/>
      <c r="AU717" s="99"/>
      <c r="AV717" s="99"/>
      <c r="AW717" s="99"/>
      <c r="AX717" s="99"/>
      <c r="AY717" s="99"/>
      <c r="AZ717" s="99"/>
      <c r="BA717" s="99"/>
      <c r="BB717" s="99"/>
      <c r="BC717" s="99"/>
      <c r="BD717" s="99"/>
      <c r="BE717" s="99"/>
      <c r="BF717" s="99"/>
      <c r="BG717" s="99"/>
      <c r="BH717" s="99"/>
      <c r="BI717" s="99"/>
      <c r="BJ717" s="99"/>
      <c r="BK717" s="99"/>
      <c r="BL717" s="99"/>
      <c r="BM717" s="99"/>
      <c r="BN717" s="99"/>
      <c r="BO717" s="99"/>
      <c r="BP717" s="99"/>
      <c r="BQ717" s="99"/>
      <c r="BR717" s="99"/>
      <c r="BS717" s="99"/>
      <c r="BT717" s="99"/>
      <c r="BU717" s="99"/>
      <c r="BV717" s="99"/>
      <c r="BW717" s="99"/>
      <c r="BX717" s="99"/>
      <c r="BY717" s="99"/>
      <c r="BZ717" s="99"/>
      <c r="CA717" s="99"/>
      <c r="CB717" s="99"/>
      <c r="CC717" s="99"/>
      <c r="CD717" s="99"/>
      <c r="CE717" s="99"/>
      <c r="CF717" s="99"/>
      <c r="CG717" s="99"/>
      <c r="CH717" s="99"/>
      <c r="CI717" s="99"/>
      <c r="CJ717" s="621"/>
      <c r="CK717" s="621"/>
      <c r="CL717" s="621"/>
    </row>
    <row r="718" spans="27:97">
      <c r="AA718" s="350"/>
      <c r="AB718" s="62"/>
      <c r="AC718" s="62"/>
      <c r="AD718" s="62"/>
      <c r="AP718" s="88"/>
      <c r="AQ718" s="88"/>
      <c r="AR718" s="88"/>
      <c r="AS718" s="99"/>
      <c r="AT718" s="99"/>
      <c r="AU718" s="99"/>
      <c r="AV718" s="99"/>
      <c r="AW718" s="99"/>
      <c r="AX718" s="99"/>
      <c r="AY718" s="99"/>
      <c r="AZ718" s="99"/>
      <c r="BA718" s="99"/>
      <c r="BB718" s="99"/>
      <c r="BC718" s="99"/>
      <c r="BD718" s="99"/>
      <c r="BE718" s="99"/>
      <c r="BF718" s="99"/>
      <c r="BG718" s="99"/>
      <c r="BH718" s="99"/>
      <c r="BI718" s="99"/>
      <c r="BJ718" s="99"/>
      <c r="BK718" s="99"/>
      <c r="BL718" s="99"/>
      <c r="BM718" s="99"/>
      <c r="BN718" s="99"/>
      <c r="BO718" s="99"/>
      <c r="BP718" s="99"/>
      <c r="BQ718" s="99"/>
      <c r="BR718" s="99"/>
      <c r="BS718" s="99"/>
      <c r="BT718" s="99"/>
      <c r="BU718" s="99"/>
      <c r="BV718" s="99"/>
      <c r="BW718" s="99"/>
      <c r="BX718" s="99"/>
      <c r="BY718" s="99"/>
      <c r="BZ718" s="99"/>
      <c r="CA718" s="99"/>
      <c r="CB718" s="99"/>
      <c r="CC718" s="99"/>
      <c r="CD718" s="99"/>
      <c r="CE718" s="99"/>
      <c r="CF718" s="99"/>
      <c r="CG718" s="99"/>
      <c r="CH718" s="99"/>
      <c r="CI718" s="99"/>
      <c r="CJ718" s="621"/>
      <c r="CK718" s="621"/>
      <c r="CL718" s="621"/>
    </row>
    <row r="719" spans="27:97">
      <c r="AA719" s="350"/>
      <c r="AB719" s="62"/>
      <c r="AC719" s="62"/>
      <c r="AD719" s="62"/>
      <c r="AP719" s="88"/>
      <c r="AQ719" s="88"/>
      <c r="AR719" s="88"/>
      <c r="AS719" s="99"/>
      <c r="AT719" s="99"/>
      <c r="AU719" s="99"/>
      <c r="AV719" s="99"/>
      <c r="AW719" s="99"/>
      <c r="AX719" s="99"/>
      <c r="AY719" s="99"/>
      <c r="AZ719" s="99"/>
      <c r="BA719" s="99"/>
      <c r="BB719" s="99"/>
      <c r="BC719" s="99"/>
      <c r="BD719" s="99"/>
      <c r="BE719" s="99"/>
      <c r="BF719" s="99"/>
      <c r="BG719" s="99"/>
      <c r="BH719" s="99"/>
      <c r="BI719" s="99"/>
      <c r="BJ719" s="99"/>
      <c r="BK719" s="99"/>
      <c r="BL719" s="99"/>
      <c r="BM719" s="99"/>
      <c r="BN719" s="99"/>
      <c r="BO719" s="99"/>
      <c r="BP719" s="99"/>
      <c r="BQ719" s="99"/>
      <c r="BR719" s="99"/>
      <c r="BS719" s="99"/>
      <c r="BT719" s="99"/>
      <c r="BU719" s="99"/>
      <c r="BV719" s="99"/>
      <c r="BW719" s="99"/>
      <c r="BX719" s="99"/>
      <c r="BY719" s="99"/>
      <c r="BZ719" s="99"/>
      <c r="CA719" s="99"/>
      <c r="CB719" s="99"/>
      <c r="CC719" s="99"/>
      <c r="CD719" s="99"/>
      <c r="CE719" s="99"/>
      <c r="CF719" s="99"/>
      <c r="CG719" s="99"/>
      <c r="CH719" s="99"/>
      <c r="CI719" s="99"/>
      <c r="CJ719" s="621"/>
      <c r="CK719" s="621"/>
      <c r="CL719" s="621"/>
    </row>
    <row r="720" spans="27:97">
      <c r="AA720" s="350"/>
      <c r="AB720" s="62"/>
      <c r="AC720" s="62"/>
      <c r="AD720" s="62"/>
      <c r="AP720" s="88"/>
      <c r="AQ720" s="88"/>
      <c r="AR720" s="88"/>
      <c r="AS720" s="99"/>
      <c r="AT720" s="99"/>
      <c r="AU720" s="99"/>
      <c r="AV720" s="99"/>
      <c r="AW720" s="99"/>
      <c r="AX720" s="99"/>
      <c r="AY720" s="99"/>
      <c r="AZ720" s="99"/>
      <c r="BA720" s="99"/>
      <c r="BB720" s="99"/>
      <c r="BC720" s="99"/>
      <c r="BD720" s="99"/>
      <c r="BE720" s="99"/>
      <c r="BF720" s="99"/>
      <c r="BG720" s="99"/>
      <c r="BH720" s="99"/>
      <c r="BI720" s="99"/>
      <c r="BJ720" s="99"/>
      <c r="BK720" s="99"/>
      <c r="BL720" s="99"/>
      <c r="BM720" s="99"/>
      <c r="BN720" s="99"/>
      <c r="BO720" s="99"/>
      <c r="BP720" s="99"/>
      <c r="BQ720" s="99"/>
      <c r="BR720" s="99"/>
      <c r="BS720" s="99"/>
      <c r="BT720" s="99"/>
      <c r="BU720" s="99"/>
      <c r="BV720" s="99"/>
      <c r="BW720" s="99"/>
      <c r="BX720" s="99"/>
      <c r="BY720" s="99"/>
      <c r="BZ720" s="99"/>
      <c r="CA720" s="99"/>
      <c r="CB720" s="99"/>
      <c r="CC720" s="99"/>
      <c r="CD720" s="99"/>
      <c r="CE720" s="99"/>
      <c r="CF720" s="99"/>
      <c r="CG720" s="99"/>
      <c r="CH720" s="99"/>
      <c r="CI720" s="99"/>
      <c r="CJ720" s="621"/>
      <c r="CK720" s="621"/>
      <c r="CL720" s="621"/>
    </row>
    <row r="721" spans="27:90">
      <c r="AA721" s="350"/>
      <c r="AB721" s="62"/>
      <c r="AC721" s="62"/>
      <c r="AD721" s="62"/>
      <c r="AP721" s="88"/>
      <c r="AQ721" s="88"/>
      <c r="AR721" s="88"/>
      <c r="AS721" s="99"/>
      <c r="AT721" s="99"/>
      <c r="AU721" s="99"/>
      <c r="AV721" s="99"/>
      <c r="AW721" s="99"/>
      <c r="AX721" s="99"/>
      <c r="AY721" s="99"/>
      <c r="AZ721" s="99"/>
      <c r="BA721" s="99"/>
      <c r="BB721" s="99"/>
      <c r="BC721" s="99"/>
      <c r="BD721" s="99"/>
      <c r="BE721" s="99"/>
      <c r="BF721" s="99"/>
      <c r="BG721" s="99"/>
      <c r="BH721" s="99"/>
      <c r="BI721" s="99"/>
      <c r="BJ721" s="99"/>
      <c r="BK721" s="99"/>
      <c r="BL721" s="99"/>
      <c r="BM721" s="99"/>
      <c r="BN721" s="99"/>
      <c r="BO721" s="99"/>
      <c r="BP721" s="99"/>
      <c r="BQ721" s="99"/>
      <c r="BR721" s="99"/>
      <c r="BS721" s="99"/>
      <c r="BT721" s="99"/>
      <c r="BU721" s="99"/>
      <c r="BV721" s="99"/>
      <c r="BW721" s="99"/>
      <c r="BX721" s="99"/>
      <c r="BY721" s="99"/>
      <c r="BZ721" s="99"/>
      <c r="CA721" s="99"/>
      <c r="CB721" s="99"/>
      <c r="CC721" s="99"/>
      <c r="CD721" s="99"/>
      <c r="CE721" s="99"/>
      <c r="CF721" s="99"/>
      <c r="CG721" s="99"/>
      <c r="CH721" s="99"/>
      <c r="CI721" s="99"/>
      <c r="CJ721" s="621"/>
      <c r="CK721" s="621"/>
      <c r="CL721" s="621"/>
    </row>
    <row r="722" spans="27:90">
      <c r="AA722" s="350"/>
      <c r="AB722" s="62"/>
      <c r="AC722" s="62"/>
      <c r="AD722" s="62"/>
      <c r="AP722" s="88"/>
      <c r="AQ722" s="88"/>
      <c r="AR722" s="88"/>
      <c r="AS722" s="99"/>
      <c r="AT722" s="99"/>
      <c r="AU722" s="99"/>
      <c r="AV722" s="99"/>
      <c r="AW722" s="99"/>
      <c r="AX722" s="99"/>
      <c r="AY722" s="99"/>
      <c r="AZ722" s="99"/>
      <c r="BA722" s="99"/>
      <c r="BB722" s="99"/>
      <c r="BC722" s="99"/>
      <c r="BD722" s="99"/>
      <c r="BE722" s="99"/>
      <c r="BF722" s="99"/>
      <c r="BG722" s="99"/>
      <c r="BH722" s="99"/>
      <c r="BI722" s="99"/>
      <c r="BJ722" s="99"/>
      <c r="BK722" s="99"/>
      <c r="BL722" s="99"/>
      <c r="BM722" s="99"/>
      <c r="BN722" s="99"/>
      <c r="BO722" s="99"/>
      <c r="BP722" s="99"/>
      <c r="BQ722" s="99"/>
      <c r="BR722" s="99"/>
      <c r="BS722" s="99"/>
      <c r="BT722" s="99"/>
      <c r="BU722" s="99"/>
      <c r="BV722" s="99"/>
      <c r="BW722" s="99"/>
      <c r="BX722" s="99"/>
      <c r="BY722" s="99"/>
      <c r="BZ722" s="99"/>
      <c r="CA722" s="99"/>
      <c r="CB722" s="99"/>
      <c r="CC722" s="99"/>
      <c r="CD722" s="99"/>
      <c r="CE722" s="99"/>
      <c r="CF722" s="99"/>
      <c r="CG722" s="99"/>
      <c r="CH722" s="99"/>
      <c r="CI722" s="99"/>
      <c r="CJ722" s="621"/>
      <c r="CK722" s="621"/>
      <c r="CL722" s="621"/>
    </row>
    <row r="723" spans="27:90">
      <c r="AA723" s="350"/>
      <c r="AB723" s="62"/>
      <c r="AC723" s="62"/>
      <c r="AD723" s="62"/>
      <c r="AP723" s="88"/>
      <c r="AQ723" s="88"/>
      <c r="AR723" s="88"/>
      <c r="AS723" s="99"/>
      <c r="AT723" s="99"/>
      <c r="AU723" s="99"/>
      <c r="AV723" s="99"/>
      <c r="AW723" s="99"/>
      <c r="AX723" s="99"/>
      <c r="AY723" s="99"/>
      <c r="AZ723" s="99"/>
      <c r="BA723" s="99"/>
      <c r="BB723" s="99"/>
      <c r="BC723" s="99"/>
      <c r="BD723" s="99"/>
      <c r="BE723" s="99"/>
      <c r="BF723" s="99"/>
      <c r="BG723" s="99"/>
      <c r="BH723" s="99"/>
      <c r="BI723" s="99"/>
      <c r="BJ723" s="99"/>
      <c r="BK723" s="99"/>
      <c r="BL723" s="99"/>
      <c r="BM723" s="99"/>
      <c r="BN723" s="99"/>
      <c r="BO723" s="99"/>
      <c r="BP723" s="99"/>
      <c r="BQ723" s="99"/>
      <c r="BR723" s="99"/>
      <c r="BS723" s="99"/>
      <c r="BT723" s="99"/>
      <c r="BU723" s="99"/>
      <c r="BV723" s="99"/>
      <c r="BW723" s="99"/>
      <c r="BX723" s="99"/>
      <c r="BY723" s="99"/>
      <c r="BZ723" s="99"/>
      <c r="CA723" s="99"/>
      <c r="CB723" s="99"/>
      <c r="CC723" s="99"/>
      <c r="CD723" s="99"/>
      <c r="CE723" s="99"/>
      <c r="CF723" s="99"/>
      <c r="CG723" s="99"/>
      <c r="CH723" s="99"/>
      <c r="CI723" s="99"/>
      <c r="CJ723" s="621"/>
      <c r="CK723" s="621"/>
      <c r="CL723" s="621"/>
    </row>
    <row r="724" spans="27:90">
      <c r="AA724" s="350"/>
      <c r="AB724" s="62"/>
      <c r="AC724" s="62"/>
      <c r="AD724" s="62"/>
      <c r="AP724" s="88"/>
      <c r="AQ724" s="88"/>
      <c r="AR724" s="88"/>
      <c r="AS724" s="99"/>
      <c r="AT724" s="99"/>
      <c r="AU724" s="99"/>
      <c r="AV724" s="99"/>
      <c r="AW724" s="99"/>
      <c r="AX724" s="99"/>
      <c r="AY724" s="99"/>
      <c r="AZ724" s="99"/>
      <c r="BA724" s="99"/>
      <c r="BB724" s="99"/>
      <c r="BC724" s="99"/>
      <c r="BD724" s="99"/>
      <c r="BE724" s="99"/>
      <c r="BF724" s="99"/>
      <c r="BG724" s="99"/>
      <c r="BH724" s="99"/>
      <c r="BI724" s="99"/>
      <c r="BJ724" s="99"/>
      <c r="BK724" s="99"/>
      <c r="BL724" s="99"/>
      <c r="BM724" s="99"/>
      <c r="BN724" s="99"/>
      <c r="BO724" s="99"/>
      <c r="BP724" s="99"/>
      <c r="BQ724" s="99"/>
      <c r="BR724" s="99"/>
      <c r="BS724" s="99"/>
      <c r="BT724" s="99"/>
      <c r="BU724" s="99"/>
      <c r="BV724" s="99"/>
      <c r="BW724" s="99"/>
      <c r="BX724" s="99"/>
      <c r="BY724" s="99"/>
      <c r="BZ724" s="99"/>
      <c r="CA724" s="99"/>
      <c r="CB724" s="99"/>
      <c r="CC724" s="99"/>
      <c r="CD724" s="99"/>
      <c r="CE724" s="99"/>
      <c r="CF724" s="99"/>
      <c r="CG724" s="99"/>
      <c r="CH724" s="99"/>
      <c r="CI724" s="99"/>
      <c r="CJ724" s="621"/>
      <c r="CK724" s="621"/>
      <c r="CL724" s="621"/>
    </row>
    <row r="725" spans="27:90">
      <c r="AA725" s="350"/>
      <c r="AB725" s="62"/>
      <c r="AC725" s="62"/>
      <c r="AD725" s="62"/>
      <c r="AP725" s="88"/>
      <c r="AQ725" s="88"/>
      <c r="AR725" s="88"/>
      <c r="AS725" s="99"/>
      <c r="AT725" s="99"/>
      <c r="AU725" s="99"/>
      <c r="AV725" s="99"/>
      <c r="AW725" s="99"/>
      <c r="AX725" s="99"/>
      <c r="AY725" s="99"/>
      <c r="AZ725" s="99"/>
      <c r="BA725" s="99"/>
      <c r="BB725" s="99"/>
      <c r="BC725" s="99"/>
      <c r="BD725" s="99"/>
      <c r="BE725" s="99"/>
      <c r="BF725" s="99"/>
      <c r="BG725" s="99"/>
      <c r="BH725" s="99"/>
      <c r="BI725" s="99"/>
      <c r="BJ725" s="99"/>
      <c r="BK725" s="99"/>
      <c r="BL725" s="99"/>
      <c r="BM725" s="99"/>
      <c r="BN725" s="99"/>
      <c r="BO725" s="99"/>
      <c r="BP725" s="99"/>
      <c r="BQ725" s="99"/>
      <c r="BR725" s="99"/>
      <c r="BS725" s="99"/>
      <c r="BT725" s="99"/>
      <c r="BU725" s="99"/>
      <c r="BV725" s="99"/>
      <c r="BW725" s="99"/>
      <c r="BX725" s="99"/>
      <c r="BY725" s="99"/>
      <c r="BZ725" s="99"/>
      <c r="CA725" s="99"/>
      <c r="CB725" s="99"/>
      <c r="CC725" s="99"/>
      <c r="CD725" s="99"/>
      <c r="CE725" s="99"/>
      <c r="CF725" s="99"/>
      <c r="CG725" s="99"/>
      <c r="CH725" s="99"/>
      <c r="CI725" s="99"/>
      <c r="CJ725" s="621"/>
      <c r="CK725" s="621"/>
      <c r="CL725" s="621"/>
    </row>
    <row r="726" spans="27:90">
      <c r="AA726" s="350"/>
      <c r="AB726" s="62"/>
      <c r="AC726" s="62"/>
      <c r="AD726" s="62"/>
      <c r="AP726" s="88"/>
      <c r="AQ726" s="88"/>
      <c r="AR726" s="88"/>
      <c r="AS726" s="99"/>
      <c r="AT726" s="99"/>
      <c r="AU726" s="99"/>
      <c r="AV726" s="99"/>
      <c r="AW726" s="99"/>
      <c r="AX726" s="99"/>
      <c r="AY726" s="99"/>
      <c r="AZ726" s="99"/>
      <c r="BA726" s="99"/>
      <c r="BB726" s="99"/>
      <c r="BC726" s="99"/>
      <c r="BD726" s="99"/>
      <c r="BE726" s="99"/>
      <c r="BF726" s="99"/>
      <c r="BG726" s="99"/>
      <c r="BH726" s="99"/>
      <c r="BI726" s="99"/>
      <c r="BJ726" s="99"/>
      <c r="BK726" s="99"/>
      <c r="BL726" s="99"/>
      <c r="BM726" s="99"/>
      <c r="BN726" s="99"/>
      <c r="BO726" s="99"/>
      <c r="BP726" s="99"/>
      <c r="BQ726" s="99"/>
      <c r="BR726" s="99"/>
      <c r="BS726" s="99"/>
      <c r="BT726" s="99"/>
      <c r="BU726" s="99"/>
      <c r="BV726" s="99"/>
      <c r="BW726" s="99"/>
      <c r="BX726" s="99"/>
      <c r="BY726" s="99"/>
      <c r="BZ726" s="99"/>
      <c r="CA726" s="99"/>
      <c r="CB726" s="99"/>
      <c r="CC726" s="99"/>
      <c r="CD726" s="99"/>
      <c r="CE726" s="99"/>
      <c r="CF726" s="99"/>
      <c r="CG726" s="99"/>
      <c r="CH726" s="99"/>
      <c r="CI726" s="99"/>
      <c r="CJ726" s="621"/>
      <c r="CK726" s="621"/>
      <c r="CL726" s="621"/>
    </row>
    <row r="727" spans="27:90">
      <c r="AA727" s="350"/>
      <c r="AB727" s="62"/>
      <c r="AC727" s="62"/>
      <c r="AD727" s="62"/>
      <c r="AP727" s="88"/>
      <c r="AQ727" s="88"/>
      <c r="AR727" s="88"/>
      <c r="AS727" s="99"/>
      <c r="AT727" s="99"/>
      <c r="AU727" s="99"/>
      <c r="AV727" s="99"/>
      <c r="AW727" s="99"/>
      <c r="AX727" s="99"/>
      <c r="AY727" s="99"/>
      <c r="AZ727" s="99"/>
      <c r="BA727" s="99"/>
      <c r="BB727" s="99"/>
      <c r="BC727" s="99"/>
      <c r="BD727" s="99"/>
      <c r="BE727" s="99"/>
      <c r="BF727" s="99"/>
      <c r="BG727" s="99"/>
      <c r="BH727" s="99"/>
      <c r="BI727" s="99"/>
      <c r="BJ727" s="99"/>
      <c r="BK727" s="99"/>
      <c r="BL727" s="99"/>
      <c r="BM727" s="99"/>
      <c r="BN727" s="99"/>
      <c r="BO727" s="99"/>
      <c r="BP727" s="99"/>
      <c r="BQ727" s="99"/>
      <c r="BR727" s="99"/>
      <c r="BS727" s="99"/>
      <c r="BT727" s="99"/>
      <c r="BU727" s="99"/>
      <c r="BV727" s="99"/>
      <c r="BW727" s="99"/>
      <c r="BX727" s="99"/>
      <c r="BY727" s="99"/>
      <c r="BZ727" s="99"/>
      <c r="CA727" s="99"/>
      <c r="CB727" s="99"/>
      <c r="CC727" s="99"/>
      <c r="CD727" s="99"/>
      <c r="CE727" s="99"/>
      <c r="CF727" s="99"/>
      <c r="CG727" s="99"/>
      <c r="CH727" s="99"/>
      <c r="CI727" s="99"/>
      <c r="CJ727" s="621"/>
      <c r="CK727" s="621"/>
      <c r="CL727" s="621"/>
    </row>
    <row r="728" spans="27:90">
      <c r="AA728" s="350"/>
      <c r="AB728" s="62"/>
      <c r="AC728" s="62"/>
      <c r="AD728" s="62"/>
      <c r="AP728" s="88"/>
      <c r="AQ728" s="88"/>
      <c r="AR728" s="88"/>
      <c r="AS728" s="99"/>
      <c r="AT728" s="99"/>
      <c r="AU728" s="99"/>
      <c r="AV728" s="99"/>
      <c r="AW728" s="99"/>
      <c r="AX728" s="99"/>
      <c r="AY728" s="99"/>
      <c r="AZ728" s="99"/>
      <c r="BA728" s="99"/>
      <c r="BB728" s="99"/>
      <c r="BC728" s="99"/>
      <c r="BD728" s="99"/>
      <c r="BE728" s="99"/>
      <c r="BF728" s="99"/>
      <c r="BG728" s="99"/>
      <c r="BH728" s="99"/>
      <c r="BI728" s="99"/>
      <c r="BJ728" s="99"/>
      <c r="BK728" s="99"/>
      <c r="BL728" s="99"/>
      <c r="BM728" s="99"/>
      <c r="BN728" s="99"/>
      <c r="BO728" s="99"/>
      <c r="BP728" s="99"/>
      <c r="BQ728" s="99"/>
      <c r="BR728" s="99"/>
      <c r="BS728" s="99"/>
      <c r="BT728" s="99"/>
      <c r="BU728" s="99"/>
      <c r="BV728" s="99"/>
      <c r="BW728" s="99"/>
      <c r="BX728" s="99"/>
      <c r="BY728" s="99"/>
      <c r="BZ728" s="99"/>
      <c r="CA728" s="99"/>
      <c r="CB728" s="99"/>
      <c r="CC728" s="99"/>
      <c r="CD728" s="99"/>
      <c r="CE728" s="99"/>
      <c r="CF728" s="99"/>
      <c r="CG728" s="99"/>
      <c r="CH728" s="99"/>
      <c r="CI728" s="99"/>
      <c r="CJ728" s="621"/>
      <c r="CK728" s="621"/>
      <c r="CL728" s="621"/>
    </row>
    <row r="729" spans="27:90">
      <c r="AA729" s="350"/>
      <c r="AB729" s="62"/>
      <c r="AC729" s="62"/>
      <c r="AD729" s="62"/>
      <c r="AP729" s="88"/>
      <c r="AQ729" s="88"/>
      <c r="AR729" s="88"/>
      <c r="AS729" s="99"/>
      <c r="AT729" s="99"/>
      <c r="AU729" s="99"/>
      <c r="AV729" s="99"/>
      <c r="AW729" s="99"/>
      <c r="AX729" s="99"/>
      <c r="AY729" s="99"/>
      <c r="AZ729" s="99"/>
      <c r="BA729" s="99"/>
      <c r="BB729" s="99"/>
      <c r="BC729" s="99"/>
      <c r="BD729" s="99"/>
      <c r="BE729" s="99"/>
      <c r="BF729" s="99"/>
      <c r="BG729" s="99"/>
      <c r="BH729" s="99"/>
      <c r="BI729" s="99"/>
      <c r="BJ729" s="99"/>
      <c r="BK729" s="99"/>
      <c r="BL729" s="99"/>
      <c r="BM729" s="99"/>
      <c r="BN729" s="99"/>
      <c r="BO729" s="99"/>
      <c r="BP729" s="99"/>
      <c r="BQ729" s="99"/>
      <c r="BR729" s="99"/>
      <c r="BS729" s="99"/>
      <c r="BT729" s="99"/>
      <c r="BU729" s="99"/>
      <c r="BV729" s="99"/>
      <c r="BW729" s="99"/>
      <c r="BX729" s="99"/>
      <c r="BY729" s="99"/>
      <c r="BZ729" s="99"/>
      <c r="CA729" s="99"/>
      <c r="CB729" s="99"/>
      <c r="CC729" s="99"/>
      <c r="CD729" s="99"/>
      <c r="CE729" s="99"/>
      <c r="CF729" s="99"/>
      <c r="CG729" s="99"/>
      <c r="CH729" s="99"/>
      <c r="CI729" s="99"/>
      <c r="CJ729" s="621"/>
      <c r="CK729" s="621"/>
      <c r="CL729" s="621"/>
    </row>
    <row r="730" spans="27:90">
      <c r="AA730" s="350"/>
      <c r="AB730" s="62"/>
      <c r="AC730" s="62"/>
      <c r="AD730" s="62"/>
      <c r="AP730" s="88"/>
      <c r="AQ730" s="88"/>
      <c r="AR730" s="88"/>
      <c r="AS730" s="99"/>
      <c r="AT730" s="99"/>
      <c r="AU730" s="99"/>
      <c r="AV730" s="99"/>
      <c r="AW730" s="99"/>
      <c r="AX730" s="99"/>
      <c r="AY730" s="99"/>
      <c r="AZ730" s="99"/>
      <c r="BA730" s="99"/>
      <c r="BB730" s="99"/>
      <c r="BC730" s="99"/>
      <c r="BD730" s="99"/>
      <c r="BE730" s="99"/>
      <c r="BF730" s="99"/>
      <c r="BG730" s="99"/>
      <c r="BH730" s="99"/>
      <c r="BI730" s="99"/>
      <c r="BJ730" s="99"/>
      <c r="BK730" s="99"/>
      <c r="BL730" s="99"/>
      <c r="BM730" s="99"/>
      <c r="BN730" s="99"/>
      <c r="BO730" s="99"/>
      <c r="BP730" s="99"/>
      <c r="BQ730" s="99"/>
      <c r="BR730" s="99"/>
      <c r="BS730" s="99"/>
      <c r="BT730" s="99"/>
      <c r="BU730" s="99"/>
      <c r="BV730" s="99"/>
      <c r="BW730" s="99"/>
      <c r="BX730" s="99"/>
      <c r="BY730" s="99"/>
      <c r="BZ730" s="99"/>
      <c r="CA730" s="99"/>
      <c r="CB730" s="99"/>
      <c r="CC730" s="99"/>
      <c r="CD730" s="99"/>
      <c r="CE730" s="99"/>
      <c r="CF730" s="99"/>
      <c r="CG730" s="99"/>
      <c r="CH730" s="99"/>
      <c r="CI730" s="99"/>
      <c r="CJ730" s="621"/>
      <c r="CK730" s="621"/>
      <c r="CL730" s="621"/>
    </row>
    <row r="731" spans="27:90">
      <c r="AA731" s="350"/>
      <c r="AB731" s="62"/>
      <c r="AC731" s="62"/>
      <c r="AD731" s="62"/>
      <c r="AP731" s="88"/>
      <c r="AQ731" s="88"/>
      <c r="AR731" s="88"/>
      <c r="AS731" s="99"/>
      <c r="AT731" s="99"/>
      <c r="AU731" s="99"/>
      <c r="AV731" s="99"/>
      <c r="AW731" s="99"/>
      <c r="AX731" s="99"/>
      <c r="AY731" s="99"/>
      <c r="AZ731" s="99"/>
      <c r="BA731" s="99"/>
      <c r="BB731" s="99"/>
      <c r="BC731" s="99"/>
      <c r="BD731" s="99"/>
      <c r="BE731" s="99"/>
      <c r="BF731" s="99"/>
      <c r="BG731" s="99"/>
      <c r="BH731" s="99"/>
      <c r="BI731" s="99"/>
      <c r="BJ731" s="99"/>
      <c r="BK731" s="99"/>
      <c r="BL731" s="99"/>
      <c r="BM731" s="99"/>
      <c r="BN731" s="99"/>
      <c r="BO731" s="99"/>
      <c r="BP731" s="99"/>
      <c r="BQ731" s="99"/>
      <c r="BR731" s="99"/>
      <c r="BS731" s="99"/>
      <c r="BT731" s="99"/>
      <c r="BU731" s="99"/>
      <c r="BV731" s="99"/>
      <c r="BW731" s="99"/>
      <c r="BX731" s="99"/>
      <c r="BY731" s="99"/>
      <c r="BZ731" s="99"/>
      <c r="CA731" s="99"/>
      <c r="CB731" s="99"/>
      <c r="CC731" s="99"/>
      <c r="CD731" s="99"/>
      <c r="CE731" s="99"/>
      <c r="CF731" s="99"/>
      <c r="CG731" s="99"/>
      <c r="CH731" s="99"/>
      <c r="CI731" s="99"/>
      <c r="CJ731" s="621"/>
      <c r="CK731" s="621"/>
      <c r="CL731" s="621"/>
    </row>
    <row r="732" spans="27:90">
      <c r="AA732" s="350"/>
      <c r="AB732" s="62"/>
      <c r="AC732" s="62"/>
      <c r="AD732" s="62"/>
      <c r="AP732" s="88"/>
      <c r="AQ732" s="88"/>
      <c r="AR732" s="88"/>
      <c r="AS732" s="99"/>
      <c r="AT732" s="99"/>
      <c r="AU732" s="99"/>
      <c r="AV732" s="99"/>
      <c r="AW732" s="99"/>
      <c r="AX732" s="99"/>
      <c r="AY732" s="99"/>
      <c r="AZ732" s="99"/>
      <c r="BA732" s="99"/>
      <c r="BB732" s="99"/>
      <c r="BC732" s="99"/>
      <c r="BD732" s="99"/>
      <c r="BE732" s="99"/>
      <c r="BF732" s="99"/>
      <c r="BG732" s="99"/>
      <c r="BH732" s="99"/>
      <c r="BI732" s="99"/>
      <c r="BJ732" s="99"/>
      <c r="BK732" s="99"/>
      <c r="BL732" s="99"/>
      <c r="BM732" s="99"/>
      <c r="BN732" s="99"/>
      <c r="BO732" s="99"/>
      <c r="BP732" s="99"/>
      <c r="BQ732" s="99"/>
      <c r="BR732" s="99"/>
      <c r="BS732" s="99"/>
      <c r="BT732" s="99"/>
      <c r="BU732" s="99"/>
      <c r="BV732" s="99"/>
      <c r="BW732" s="99"/>
      <c r="BX732" s="99"/>
      <c r="BY732" s="99"/>
      <c r="BZ732" s="99"/>
      <c r="CA732" s="99"/>
      <c r="CB732" s="99"/>
      <c r="CC732" s="99"/>
      <c r="CD732" s="99"/>
      <c r="CE732" s="99"/>
      <c r="CF732" s="99"/>
      <c r="CG732" s="99"/>
      <c r="CH732" s="99"/>
      <c r="CI732" s="99"/>
      <c r="CJ732" s="621"/>
      <c r="CK732" s="621"/>
      <c r="CL732" s="621"/>
    </row>
    <row r="733" spans="27:90">
      <c r="AA733" s="350"/>
      <c r="AB733" s="62"/>
      <c r="AC733" s="62"/>
      <c r="AD733" s="62"/>
      <c r="AP733" s="88"/>
      <c r="AQ733" s="88"/>
      <c r="AR733" s="88"/>
      <c r="AS733" s="99"/>
      <c r="AT733" s="99"/>
      <c r="AU733" s="99"/>
      <c r="AV733" s="99"/>
      <c r="AW733" s="99"/>
      <c r="AX733" s="99"/>
      <c r="AY733" s="99"/>
      <c r="AZ733" s="99"/>
      <c r="BA733" s="99"/>
      <c r="BB733" s="99"/>
      <c r="BC733" s="99"/>
      <c r="BD733" s="99"/>
      <c r="BE733" s="99"/>
      <c r="BF733" s="99"/>
      <c r="BG733" s="99"/>
      <c r="BH733" s="99"/>
      <c r="BI733" s="99"/>
      <c r="BJ733" s="99"/>
      <c r="BK733" s="99"/>
      <c r="BL733" s="99"/>
      <c r="BM733" s="99"/>
      <c r="BN733" s="99"/>
      <c r="BO733" s="99"/>
      <c r="BP733" s="99"/>
      <c r="BQ733" s="99"/>
      <c r="BR733" s="99"/>
      <c r="BS733" s="99"/>
      <c r="BT733" s="99"/>
      <c r="BU733" s="99"/>
      <c r="BV733" s="99"/>
      <c r="BW733" s="99"/>
      <c r="BX733" s="99"/>
      <c r="BY733" s="99"/>
      <c r="BZ733" s="99"/>
      <c r="CA733" s="99"/>
      <c r="CB733" s="99"/>
      <c r="CC733" s="99"/>
      <c r="CD733" s="99"/>
      <c r="CE733" s="99"/>
      <c r="CF733" s="99"/>
      <c r="CG733" s="99"/>
      <c r="CH733" s="99"/>
      <c r="CI733" s="99"/>
      <c r="CJ733" s="621"/>
      <c r="CK733" s="621"/>
      <c r="CL733" s="621"/>
    </row>
    <row r="734" spans="27:90">
      <c r="AA734" s="350"/>
      <c r="AB734" s="62"/>
      <c r="AC734" s="62"/>
      <c r="AD734" s="62"/>
      <c r="AP734" s="88"/>
      <c r="AQ734" s="88"/>
      <c r="AR734" s="88"/>
      <c r="AS734" s="99"/>
      <c r="AT734" s="99"/>
      <c r="AU734" s="99"/>
      <c r="AV734" s="99"/>
      <c r="AW734" s="99"/>
      <c r="AX734" s="99"/>
      <c r="AY734" s="99"/>
      <c r="AZ734" s="99"/>
      <c r="BA734" s="99"/>
      <c r="BB734" s="99"/>
      <c r="BC734" s="99"/>
      <c r="BD734" s="99"/>
      <c r="BE734" s="99"/>
      <c r="BF734" s="99"/>
      <c r="BG734" s="99"/>
      <c r="BH734" s="99"/>
      <c r="BI734" s="99"/>
      <c r="BJ734" s="99"/>
      <c r="BK734" s="99"/>
      <c r="BL734" s="99"/>
      <c r="BM734" s="99"/>
      <c r="BN734" s="99"/>
      <c r="BO734" s="99"/>
      <c r="BP734" s="99"/>
      <c r="BQ734" s="99"/>
      <c r="BR734" s="99"/>
      <c r="BS734" s="99"/>
      <c r="BT734" s="99"/>
      <c r="BU734" s="99"/>
      <c r="BV734" s="99"/>
      <c r="BW734" s="99"/>
      <c r="BX734" s="99"/>
      <c r="BY734" s="99"/>
      <c r="BZ734" s="99"/>
      <c r="CA734" s="99"/>
      <c r="CB734" s="99"/>
      <c r="CC734" s="99"/>
      <c r="CD734" s="99"/>
      <c r="CE734" s="99"/>
      <c r="CF734" s="99"/>
      <c r="CG734" s="99"/>
      <c r="CH734" s="99"/>
      <c r="CI734" s="99"/>
      <c r="CJ734" s="621"/>
      <c r="CK734" s="621"/>
      <c r="CL734" s="621"/>
    </row>
    <row r="735" spans="27:90">
      <c r="AA735" s="350"/>
      <c r="AB735" s="62"/>
      <c r="AC735" s="62"/>
      <c r="AD735" s="62"/>
      <c r="AP735" s="88"/>
      <c r="AQ735" s="88"/>
      <c r="AR735" s="88"/>
      <c r="AS735" s="99"/>
      <c r="AT735" s="99"/>
      <c r="AU735" s="99"/>
      <c r="AV735" s="99"/>
      <c r="AW735" s="99"/>
      <c r="AX735" s="99"/>
      <c r="AY735" s="99"/>
      <c r="AZ735" s="99"/>
      <c r="BA735" s="99"/>
      <c r="BB735" s="99"/>
      <c r="BC735" s="99"/>
      <c r="BD735" s="99"/>
      <c r="BE735" s="99"/>
      <c r="BF735" s="99"/>
      <c r="BG735" s="99"/>
      <c r="BH735" s="99"/>
      <c r="BI735" s="99"/>
      <c r="BJ735" s="99"/>
      <c r="BK735" s="99"/>
      <c r="BL735" s="99"/>
      <c r="BM735" s="99"/>
      <c r="BN735" s="99"/>
      <c r="BO735" s="99"/>
      <c r="BP735" s="99"/>
      <c r="BQ735" s="99"/>
      <c r="BR735" s="99"/>
      <c r="BS735" s="99"/>
      <c r="BT735" s="99"/>
      <c r="BU735" s="99"/>
      <c r="BV735" s="99"/>
      <c r="BW735" s="99"/>
      <c r="BX735" s="99"/>
      <c r="BY735" s="99"/>
      <c r="BZ735" s="99"/>
      <c r="CA735" s="99"/>
      <c r="CB735" s="99"/>
      <c r="CC735" s="99"/>
      <c r="CD735" s="99"/>
      <c r="CE735" s="99"/>
      <c r="CF735" s="99"/>
      <c r="CG735" s="99"/>
      <c r="CH735" s="99"/>
      <c r="CI735" s="99"/>
      <c r="CJ735" s="621"/>
      <c r="CK735" s="621"/>
      <c r="CL735" s="621"/>
    </row>
    <row r="736" spans="27:90">
      <c r="AA736" s="350"/>
      <c r="AB736" s="62"/>
      <c r="AC736" s="62"/>
      <c r="AD736" s="62"/>
      <c r="AP736" s="88"/>
      <c r="AQ736" s="88"/>
      <c r="AR736" s="88"/>
      <c r="AS736" s="99"/>
      <c r="AT736" s="99"/>
      <c r="AU736" s="99"/>
      <c r="AV736" s="99"/>
      <c r="AW736" s="99"/>
      <c r="AX736" s="99"/>
      <c r="AY736" s="99"/>
      <c r="AZ736" s="99"/>
      <c r="BA736" s="99"/>
      <c r="BB736" s="99"/>
      <c r="BC736" s="99"/>
      <c r="BD736" s="99"/>
      <c r="BE736" s="99"/>
      <c r="BF736" s="99"/>
      <c r="BG736" s="99"/>
      <c r="BH736" s="99"/>
      <c r="BI736" s="99"/>
      <c r="BJ736" s="99"/>
      <c r="BK736" s="99"/>
      <c r="BL736" s="99"/>
      <c r="BM736" s="99"/>
      <c r="BN736" s="99"/>
      <c r="BO736" s="99"/>
      <c r="BP736" s="99"/>
      <c r="BQ736" s="99"/>
      <c r="BR736" s="99"/>
      <c r="BS736" s="99"/>
      <c r="BT736" s="99"/>
      <c r="BU736" s="99"/>
      <c r="BV736" s="99"/>
      <c r="BW736" s="99"/>
      <c r="BX736" s="99"/>
      <c r="BY736" s="99"/>
      <c r="BZ736" s="99"/>
      <c r="CA736" s="99"/>
      <c r="CB736" s="99"/>
      <c r="CC736" s="99"/>
      <c r="CD736" s="99"/>
      <c r="CE736" s="99"/>
      <c r="CF736" s="99"/>
      <c r="CG736" s="99"/>
      <c r="CH736" s="99"/>
      <c r="CI736" s="99"/>
      <c r="CJ736" s="621"/>
      <c r="CK736" s="621"/>
      <c r="CL736" s="621"/>
    </row>
    <row r="737" spans="27:90">
      <c r="AA737" s="350"/>
      <c r="AB737" s="62"/>
      <c r="AC737" s="62"/>
      <c r="AD737" s="62"/>
      <c r="AP737" s="88"/>
      <c r="AQ737" s="88"/>
      <c r="AR737" s="88"/>
      <c r="AS737" s="99"/>
      <c r="AT737" s="99"/>
      <c r="AU737" s="99"/>
      <c r="AV737" s="99"/>
      <c r="AW737" s="99"/>
      <c r="AX737" s="99"/>
      <c r="AY737" s="99"/>
      <c r="AZ737" s="99"/>
      <c r="BA737" s="99"/>
      <c r="BB737" s="99"/>
      <c r="BC737" s="99"/>
      <c r="BD737" s="99"/>
      <c r="BE737" s="99"/>
      <c r="BF737" s="99"/>
      <c r="BG737" s="99"/>
      <c r="BH737" s="99"/>
      <c r="BI737" s="99"/>
      <c r="BJ737" s="99"/>
      <c r="BK737" s="99"/>
      <c r="BL737" s="99"/>
      <c r="BM737" s="99"/>
      <c r="BN737" s="99"/>
      <c r="BO737" s="99"/>
      <c r="BP737" s="99"/>
      <c r="BQ737" s="99"/>
      <c r="BR737" s="99"/>
      <c r="BS737" s="99"/>
      <c r="BT737" s="99"/>
      <c r="BU737" s="99"/>
      <c r="BV737" s="99"/>
      <c r="BW737" s="99"/>
      <c r="BX737" s="99"/>
      <c r="BY737" s="99"/>
      <c r="BZ737" s="99"/>
      <c r="CA737" s="99"/>
      <c r="CB737" s="99"/>
      <c r="CC737" s="99"/>
      <c r="CD737" s="99"/>
      <c r="CE737" s="99"/>
      <c r="CF737" s="99"/>
      <c r="CG737" s="99"/>
      <c r="CH737" s="99"/>
      <c r="CI737" s="99"/>
      <c r="CJ737" s="621"/>
      <c r="CK737" s="621"/>
      <c r="CL737" s="621"/>
    </row>
    <row r="738" spans="27:90">
      <c r="AA738" s="350"/>
      <c r="AB738" s="62"/>
      <c r="AC738" s="62"/>
      <c r="AD738" s="62"/>
      <c r="AP738" s="88"/>
      <c r="AQ738" s="88"/>
      <c r="AR738" s="88"/>
      <c r="AS738" s="99"/>
      <c r="AT738" s="99"/>
      <c r="AU738" s="99"/>
      <c r="AV738" s="99"/>
      <c r="AW738" s="99"/>
      <c r="AX738" s="99"/>
      <c r="AY738" s="99"/>
      <c r="AZ738" s="99"/>
      <c r="BA738" s="99"/>
      <c r="BB738" s="99"/>
      <c r="BC738" s="99"/>
      <c r="BD738" s="99"/>
      <c r="BE738" s="99"/>
      <c r="BF738" s="99"/>
      <c r="BG738" s="99"/>
      <c r="BH738" s="99"/>
      <c r="BI738" s="99"/>
      <c r="BJ738" s="99"/>
      <c r="BK738" s="99"/>
      <c r="BL738" s="99"/>
      <c r="BM738" s="99"/>
      <c r="BN738" s="99"/>
      <c r="BO738" s="99"/>
      <c r="BP738" s="99"/>
      <c r="BQ738" s="99"/>
      <c r="BR738" s="99"/>
      <c r="BS738" s="99"/>
      <c r="BT738" s="99"/>
      <c r="BU738" s="99"/>
      <c r="BV738" s="99"/>
      <c r="BW738" s="99"/>
      <c r="BX738" s="99"/>
      <c r="BY738" s="99"/>
      <c r="BZ738" s="99"/>
      <c r="CA738" s="99"/>
      <c r="CB738" s="99"/>
      <c r="CC738" s="99"/>
      <c r="CD738" s="99"/>
      <c r="CE738" s="99"/>
      <c r="CF738" s="99"/>
      <c r="CG738" s="99"/>
      <c r="CH738" s="99"/>
      <c r="CI738" s="99"/>
      <c r="CJ738" s="621"/>
      <c r="CK738" s="621"/>
      <c r="CL738" s="621"/>
    </row>
    <row r="739" spans="27:90">
      <c r="AA739" s="350"/>
      <c r="AB739" s="62"/>
      <c r="AC739" s="62"/>
      <c r="AD739" s="62"/>
      <c r="AP739" s="88"/>
      <c r="AQ739" s="88"/>
      <c r="AR739" s="88"/>
      <c r="AS739" s="99"/>
      <c r="AT739" s="99"/>
      <c r="AU739" s="99"/>
      <c r="AV739" s="99"/>
      <c r="AW739" s="99"/>
      <c r="AX739" s="99"/>
      <c r="AY739" s="99"/>
      <c r="AZ739" s="99"/>
      <c r="BA739" s="99"/>
      <c r="BB739" s="99"/>
      <c r="BC739" s="99"/>
      <c r="BD739" s="99"/>
      <c r="BE739" s="99"/>
      <c r="BF739" s="99"/>
      <c r="BG739" s="99"/>
      <c r="BH739" s="99"/>
      <c r="BI739" s="99"/>
      <c r="BJ739" s="99"/>
      <c r="BK739" s="99"/>
      <c r="BL739" s="99"/>
      <c r="BM739" s="99"/>
      <c r="BN739" s="99"/>
      <c r="BO739" s="99"/>
      <c r="BP739" s="99"/>
      <c r="BQ739" s="99"/>
      <c r="BR739" s="99"/>
      <c r="BS739" s="99"/>
      <c r="BT739" s="99"/>
      <c r="BU739" s="99"/>
      <c r="BV739" s="99"/>
      <c r="BW739" s="99"/>
      <c r="BX739" s="99"/>
      <c r="BY739" s="99"/>
      <c r="BZ739" s="99"/>
      <c r="CA739" s="99"/>
      <c r="CB739" s="99"/>
      <c r="CC739" s="99"/>
      <c r="CD739" s="99"/>
      <c r="CE739" s="99"/>
      <c r="CF739" s="99"/>
      <c r="CG739" s="99"/>
      <c r="CH739" s="99"/>
      <c r="CI739" s="99"/>
      <c r="CJ739" s="621"/>
      <c r="CK739" s="621"/>
      <c r="CL739" s="621"/>
    </row>
    <row r="740" spans="27:90">
      <c r="AA740" s="350"/>
      <c r="AB740" s="62"/>
      <c r="AC740" s="62"/>
      <c r="AD740" s="62"/>
      <c r="AP740" s="88"/>
      <c r="AQ740" s="88"/>
      <c r="AR740" s="88"/>
      <c r="AS740" s="99"/>
      <c r="AT740" s="99"/>
      <c r="AU740" s="99"/>
      <c r="AV740" s="99"/>
      <c r="AW740" s="99"/>
      <c r="AX740" s="99"/>
      <c r="AY740" s="99"/>
      <c r="AZ740" s="99"/>
      <c r="BA740" s="99"/>
      <c r="BB740" s="99"/>
      <c r="BC740" s="99"/>
      <c r="BD740" s="99"/>
      <c r="BE740" s="99"/>
      <c r="BF740" s="99"/>
      <c r="BG740" s="99"/>
      <c r="BH740" s="99"/>
      <c r="BI740" s="99"/>
      <c r="BJ740" s="99"/>
      <c r="BK740" s="99"/>
      <c r="BL740" s="99"/>
      <c r="BM740" s="99"/>
      <c r="BN740" s="99"/>
      <c r="BO740" s="99"/>
      <c r="BP740" s="99"/>
      <c r="BQ740" s="99"/>
      <c r="BR740" s="99"/>
      <c r="BS740" s="99"/>
      <c r="BT740" s="99"/>
      <c r="BU740" s="99"/>
      <c r="BV740" s="99"/>
      <c r="BW740" s="99"/>
      <c r="BX740" s="99"/>
      <c r="BY740" s="99"/>
      <c r="BZ740" s="99"/>
      <c r="CA740" s="99"/>
      <c r="CB740" s="99"/>
      <c r="CC740" s="99"/>
      <c r="CD740" s="99"/>
      <c r="CE740" s="99"/>
      <c r="CF740" s="99"/>
      <c r="CG740" s="99"/>
      <c r="CH740" s="99"/>
      <c r="CI740" s="99"/>
      <c r="CJ740" s="621"/>
      <c r="CK740" s="621"/>
      <c r="CL740" s="621"/>
    </row>
    <row r="741" spans="27:90">
      <c r="AA741" s="350"/>
      <c r="AB741" s="62"/>
      <c r="AC741" s="62"/>
      <c r="AD741" s="62"/>
      <c r="AP741" s="88"/>
      <c r="AQ741" s="88"/>
      <c r="AR741" s="88"/>
      <c r="AS741" s="99"/>
      <c r="AT741" s="99"/>
      <c r="AU741" s="99"/>
      <c r="AV741" s="99"/>
      <c r="AW741" s="99"/>
      <c r="AX741" s="99"/>
      <c r="AY741" s="99"/>
      <c r="AZ741" s="99"/>
      <c r="BA741" s="99"/>
      <c r="BB741" s="99"/>
      <c r="BC741" s="99"/>
      <c r="BD741" s="99"/>
      <c r="BE741" s="99"/>
      <c r="BF741" s="99"/>
      <c r="BG741" s="99"/>
      <c r="BH741" s="99"/>
      <c r="BI741" s="99"/>
      <c r="BJ741" s="99"/>
      <c r="BK741" s="99"/>
      <c r="BL741" s="99"/>
      <c r="BM741" s="99"/>
      <c r="BN741" s="99"/>
      <c r="BO741" s="99"/>
      <c r="BP741" s="99"/>
      <c r="BQ741" s="99"/>
      <c r="BR741" s="99"/>
      <c r="BS741" s="99"/>
      <c r="BT741" s="99"/>
      <c r="BU741" s="99"/>
      <c r="BV741" s="99"/>
      <c r="BW741" s="99"/>
      <c r="BX741" s="99"/>
      <c r="BY741" s="99"/>
      <c r="BZ741" s="99"/>
      <c r="CA741" s="99"/>
      <c r="CB741" s="99"/>
      <c r="CC741" s="99"/>
      <c r="CD741" s="99"/>
      <c r="CE741" s="99"/>
      <c r="CF741" s="99"/>
      <c r="CG741" s="99"/>
      <c r="CH741" s="99"/>
      <c r="CI741" s="99"/>
      <c r="CJ741" s="621"/>
      <c r="CK741" s="621"/>
      <c r="CL741" s="621"/>
    </row>
    <row r="742" spans="27:90">
      <c r="AA742" s="350"/>
      <c r="AB742" s="62"/>
      <c r="AC742" s="62"/>
      <c r="AD742" s="62"/>
      <c r="AP742" s="88"/>
      <c r="AQ742" s="88"/>
      <c r="AR742" s="88"/>
      <c r="AS742" s="99"/>
      <c r="AT742" s="99"/>
      <c r="AU742" s="99"/>
      <c r="AV742" s="99"/>
      <c r="AW742" s="99"/>
      <c r="AX742" s="99"/>
      <c r="AY742" s="99"/>
      <c r="AZ742" s="99"/>
      <c r="BA742" s="99"/>
      <c r="BB742" s="99"/>
      <c r="BC742" s="99"/>
      <c r="BD742" s="99"/>
      <c r="BE742" s="99"/>
      <c r="BF742" s="99"/>
      <c r="BG742" s="99"/>
      <c r="BH742" s="99"/>
      <c r="BI742" s="99"/>
      <c r="BJ742" s="99"/>
      <c r="BK742" s="99"/>
      <c r="BL742" s="99"/>
      <c r="BM742" s="99"/>
      <c r="BN742" s="99"/>
      <c r="BO742" s="99"/>
      <c r="BP742" s="99"/>
      <c r="BQ742" s="99"/>
      <c r="BR742" s="99"/>
      <c r="BS742" s="99"/>
      <c r="BT742" s="99"/>
      <c r="BU742" s="99"/>
      <c r="BV742" s="99"/>
      <c r="BW742" s="99"/>
      <c r="BX742" s="99"/>
      <c r="BY742" s="99"/>
      <c r="BZ742" s="99"/>
      <c r="CA742" s="99"/>
      <c r="CB742" s="99"/>
      <c r="CC742" s="99"/>
      <c r="CD742" s="99"/>
      <c r="CE742" s="99"/>
      <c r="CF742" s="99"/>
      <c r="CG742" s="99"/>
      <c r="CH742" s="99"/>
      <c r="CI742" s="99"/>
      <c r="CJ742" s="621"/>
      <c r="CK742" s="621"/>
      <c r="CL742" s="621"/>
    </row>
    <row r="743" spans="27:90">
      <c r="AA743" s="350"/>
      <c r="AB743" s="62"/>
      <c r="AC743" s="62"/>
      <c r="AD743" s="62"/>
      <c r="AP743" s="88"/>
      <c r="AQ743" s="88"/>
      <c r="AR743" s="88"/>
      <c r="AS743" s="99"/>
      <c r="AT743" s="99"/>
      <c r="AU743" s="99"/>
      <c r="AV743" s="99"/>
      <c r="AW743" s="99"/>
      <c r="AX743" s="99"/>
      <c r="AY743" s="99"/>
      <c r="AZ743" s="99"/>
      <c r="BA743" s="99"/>
      <c r="BB743" s="99"/>
      <c r="BC743" s="99"/>
      <c r="BD743" s="99"/>
      <c r="BE743" s="99"/>
      <c r="BF743" s="99"/>
      <c r="BG743" s="99"/>
      <c r="BH743" s="99"/>
      <c r="BI743" s="99"/>
      <c r="BJ743" s="99"/>
      <c r="BK743" s="99"/>
      <c r="BL743" s="99"/>
      <c r="BM743" s="99"/>
      <c r="BN743" s="99"/>
      <c r="BO743" s="99"/>
      <c r="BP743" s="99"/>
      <c r="BQ743" s="99"/>
      <c r="BR743" s="99"/>
      <c r="BS743" s="99"/>
      <c r="BT743" s="99"/>
      <c r="BU743" s="99"/>
      <c r="BV743" s="99"/>
      <c r="BW743" s="99"/>
      <c r="BX743" s="99"/>
      <c r="BY743" s="99"/>
      <c r="BZ743" s="99"/>
      <c r="CA743" s="99"/>
      <c r="CB743" s="99"/>
      <c r="CC743" s="99"/>
      <c r="CD743" s="99"/>
      <c r="CE743" s="99"/>
      <c r="CF743" s="99"/>
      <c r="CG743" s="99"/>
      <c r="CH743" s="99"/>
      <c r="CI743" s="99"/>
      <c r="CJ743" s="621"/>
      <c r="CK743" s="621"/>
      <c r="CL743" s="621"/>
    </row>
    <row r="744" spans="27:90">
      <c r="AA744" s="350"/>
      <c r="AB744" s="62"/>
      <c r="AC744" s="62"/>
      <c r="AD744" s="62"/>
      <c r="AP744" s="88"/>
      <c r="AQ744" s="88"/>
      <c r="AR744" s="88"/>
      <c r="AS744" s="99"/>
      <c r="AT744" s="99"/>
      <c r="AU744" s="99"/>
      <c r="AV744" s="99"/>
      <c r="AW744" s="99"/>
      <c r="AX744" s="99"/>
      <c r="AY744" s="99"/>
      <c r="AZ744" s="99"/>
      <c r="BA744" s="99"/>
      <c r="BB744" s="99"/>
      <c r="BC744" s="99"/>
      <c r="BD744" s="99"/>
      <c r="BE744" s="99"/>
      <c r="BF744" s="99"/>
      <c r="BG744" s="99"/>
      <c r="BH744" s="99"/>
      <c r="BI744" s="99"/>
      <c r="BJ744" s="99"/>
      <c r="BK744" s="99"/>
      <c r="BL744" s="99"/>
      <c r="BM744" s="99"/>
      <c r="BN744" s="99"/>
      <c r="BO744" s="99"/>
      <c r="BP744" s="99"/>
      <c r="BQ744" s="99"/>
      <c r="BR744" s="99"/>
      <c r="BS744" s="99"/>
      <c r="BT744" s="99"/>
      <c r="BU744" s="99"/>
      <c r="BV744" s="99"/>
      <c r="BW744" s="99"/>
      <c r="BX744" s="99"/>
      <c r="BY744" s="99"/>
      <c r="BZ744" s="99"/>
      <c r="CA744" s="99"/>
      <c r="CB744" s="99"/>
      <c r="CC744" s="99"/>
      <c r="CD744" s="99"/>
      <c r="CE744" s="99"/>
      <c r="CF744" s="99"/>
      <c r="CG744" s="99"/>
      <c r="CH744" s="99"/>
      <c r="CI744" s="99"/>
      <c r="CJ744" s="621"/>
      <c r="CK744" s="621"/>
      <c r="CL744" s="621"/>
    </row>
    <row r="745" spans="27:90">
      <c r="AA745" s="350"/>
      <c r="AB745" s="62"/>
      <c r="AC745" s="62"/>
      <c r="AD745" s="62"/>
      <c r="AP745" s="88"/>
      <c r="AQ745" s="88"/>
      <c r="AR745" s="88"/>
      <c r="AS745" s="99"/>
      <c r="AT745" s="99"/>
      <c r="AU745" s="99"/>
      <c r="AV745" s="99"/>
      <c r="AW745" s="99"/>
      <c r="AX745" s="99"/>
      <c r="AY745" s="99"/>
      <c r="AZ745" s="99"/>
      <c r="BA745" s="99"/>
      <c r="BB745" s="99"/>
      <c r="BC745" s="99"/>
      <c r="BD745" s="99"/>
      <c r="BE745" s="99"/>
      <c r="BF745" s="99"/>
      <c r="BG745" s="99"/>
      <c r="BH745" s="99"/>
      <c r="BI745" s="99"/>
      <c r="BJ745" s="99"/>
      <c r="BK745" s="99"/>
      <c r="BL745" s="99"/>
      <c r="BM745" s="99"/>
      <c r="BN745" s="99"/>
      <c r="BO745" s="99"/>
      <c r="BP745" s="99"/>
      <c r="BQ745" s="99"/>
      <c r="BR745" s="99"/>
      <c r="BS745" s="99"/>
      <c r="BT745" s="99"/>
      <c r="BU745" s="99"/>
      <c r="BV745" s="99"/>
      <c r="BW745" s="99"/>
      <c r="BX745" s="99"/>
      <c r="BY745" s="99"/>
      <c r="BZ745" s="99"/>
      <c r="CA745" s="99"/>
      <c r="CB745" s="99"/>
      <c r="CC745" s="99"/>
      <c r="CD745" s="99"/>
      <c r="CE745" s="99"/>
      <c r="CF745" s="99"/>
      <c r="CG745" s="99"/>
      <c r="CH745" s="99"/>
      <c r="CI745" s="99"/>
      <c r="CJ745" s="621"/>
      <c r="CK745" s="621"/>
      <c r="CL745" s="621"/>
    </row>
    <row r="746" spans="27:90">
      <c r="AA746" s="350"/>
      <c r="AB746" s="62"/>
      <c r="AC746" s="62"/>
      <c r="AD746" s="62"/>
      <c r="AP746" s="88"/>
      <c r="AQ746" s="88"/>
      <c r="AR746" s="88"/>
      <c r="AS746" s="99"/>
      <c r="AT746" s="99"/>
      <c r="AU746" s="99"/>
      <c r="AV746" s="99"/>
      <c r="AW746" s="99"/>
      <c r="AX746" s="99"/>
      <c r="AY746" s="99"/>
      <c r="AZ746" s="99"/>
      <c r="BA746" s="99"/>
      <c r="BB746" s="99"/>
      <c r="BC746" s="99"/>
      <c r="BD746" s="99"/>
      <c r="BE746" s="99"/>
      <c r="BF746" s="99"/>
      <c r="BG746" s="99"/>
      <c r="BH746" s="99"/>
      <c r="BI746" s="99"/>
      <c r="BJ746" s="99"/>
      <c r="BK746" s="99"/>
      <c r="BL746" s="99"/>
      <c r="BM746" s="99"/>
      <c r="BN746" s="99"/>
      <c r="BO746" s="99"/>
      <c r="BP746" s="99"/>
      <c r="BQ746" s="99"/>
      <c r="BR746" s="99"/>
      <c r="BS746" s="99"/>
      <c r="BT746" s="99"/>
      <c r="BU746" s="99"/>
      <c r="BV746" s="99"/>
      <c r="BW746" s="99"/>
      <c r="BX746" s="99"/>
      <c r="BY746" s="99"/>
      <c r="BZ746" s="99"/>
      <c r="CA746" s="99"/>
      <c r="CB746" s="99"/>
      <c r="CC746" s="99"/>
      <c r="CD746" s="99"/>
      <c r="CE746" s="99"/>
      <c r="CF746" s="99"/>
      <c r="CG746" s="99"/>
      <c r="CH746" s="99"/>
      <c r="CI746" s="99"/>
      <c r="CJ746" s="621"/>
      <c r="CK746" s="621"/>
      <c r="CL746" s="621"/>
    </row>
    <row r="747" spans="27:90">
      <c r="AA747" s="350"/>
      <c r="AB747" s="62"/>
      <c r="AC747" s="62"/>
      <c r="AD747" s="62"/>
      <c r="AP747" s="88"/>
      <c r="AQ747" s="88"/>
      <c r="AR747" s="88"/>
      <c r="AS747" s="99"/>
      <c r="AT747" s="99"/>
      <c r="AU747" s="99"/>
      <c r="AV747" s="99"/>
      <c r="AW747" s="99"/>
      <c r="AX747" s="99"/>
      <c r="AY747" s="99"/>
      <c r="AZ747" s="99"/>
      <c r="BA747" s="99"/>
      <c r="BB747" s="99"/>
      <c r="BC747" s="99"/>
      <c r="BD747" s="99"/>
      <c r="BE747" s="99"/>
      <c r="BF747" s="99"/>
      <c r="BG747" s="99"/>
      <c r="BH747" s="99"/>
      <c r="BI747" s="99"/>
      <c r="BJ747" s="99"/>
      <c r="BK747" s="99"/>
      <c r="BL747" s="99"/>
      <c r="BM747" s="99"/>
      <c r="BN747" s="99"/>
      <c r="BO747" s="99"/>
      <c r="BP747" s="99"/>
      <c r="BQ747" s="99"/>
      <c r="BR747" s="99"/>
      <c r="BS747" s="99"/>
      <c r="BT747" s="99"/>
      <c r="BU747" s="99"/>
      <c r="BV747" s="99"/>
      <c r="BW747" s="99"/>
      <c r="BX747" s="99"/>
      <c r="BY747" s="99"/>
      <c r="BZ747" s="99"/>
      <c r="CA747" s="99"/>
      <c r="CB747" s="99"/>
      <c r="CC747" s="99"/>
      <c r="CD747" s="99"/>
      <c r="CE747" s="99"/>
      <c r="CF747" s="99"/>
      <c r="CG747" s="99"/>
      <c r="CH747" s="99"/>
      <c r="CI747" s="99"/>
      <c r="CJ747" s="621"/>
      <c r="CK747" s="621"/>
      <c r="CL747" s="621"/>
    </row>
    <row r="748" spans="27:90">
      <c r="AA748" s="350"/>
      <c r="AB748" s="62"/>
      <c r="AC748" s="62"/>
      <c r="AD748" s="62"/>
      <c r="AP748" s="88"/>
      <c r="AQ748" s="88"/>
      <c r="AR748" s="88"/>
      <c r="AS748" s="99"/>
      <c r="AT748" s="99"/>
      <c r="AU748" s="99"/>
      <c r="AV748" s="99"/>
      <c r="AW748" s="99"/>
      <c r="AX748" s="99"/>
      <c r="AY748" s="99"/>
      <c r="AZ748" s="99"/>
      <c r="BA748" s="99"/>
      <c r="BB748" s="99"/>
      <c r="BC748" s="99"/>
      <c r="BD748" s="99"/>
      <c r="BE748" s="99"/>
      <c r="BF748" s="99"/>
      <c r="BG748" s="99"/>
      <c r="BH748" s="99"/>
      <c r="BI748" s="99"/>
      <c r="BJ748" s="99"/>
      <c r="BK748" s="99"/>
      <c r="BL748" s="99"/>
      <c r="BM748" s="99"/>
      <c r="BN748" s="99"/>
      <c r="BO748" s="99"/>
      <c r="BP748" s="99"/>
      <c r="BQ748" s="99"/>
      <c r="BR748" s="99"/>
      <c r="BS748" s="99"/>
      <c r="BT748" s="99"/>
      <c r="BU748" s="99"/>
      <c r="BV748" s="99"/>
      <c r="BW748" s="99"/>
      <c r="BX748" s="99"/>
      <c r="BY748" s="99"/>
      <c r="BZ748" s="99"/>
      <c r="CA748" s="99"/>
      <c r="CB748" s="99"/>
      <c r="CC748" s="99"/>
      <c r="CD748" s="99"/>
      <c r="CE748" s="99"/>
      <c r="CF748" s="99"/>
      <c r="CG748" s="99"/>
      <c r="CH748" s="99"/>
      <c r="CI748" s="99"/>
      <c r="CJ748" s="621"/>
      <c r="CK748" s="621"/>
      <c r="CL748" s="621"/>
    </row>
    <row r="749" spans="27:90">
      <c r="AA749" s="350"/>
      <c r="AB749" s="62"/>
      <c r="AC749" s="62"/>
      <c r="AD749" s="62"/>
      <c r="AP749" s="88"/>
      <c r="AQ749" s="88"/>
      <c r="AR749" s="88"/>
      <c r="AS749" s="99"/>
      <c r="AT749" s="99"/>
      <c r="AU749" s="99"/>
      <c r="AV749" s="99"/>
      <c r="AW749" s="99"/>
      <c r="AX749" s="99"/>
      <c r="AY749" s="99"/>
      <c r="AZ749" s="99"/>
      <c r="BA749" s="99"/>
      <c r="BB749" s="99"/>
      <c r="BC749" s="99"/>
      <c r="BD749" s="99"/>
      <c r="BE749" s="99"/>
      <c r="BF749" s="99"/>
      <c r="BG749" s="99"/>
      <c r="BH749" s="99"/>
      <c r="BI749" s="99"/>
      <c r="BJ749" s="99"/>
      <c r="BK749" s="99"/>
      <c r="BL749" s="99"/>
      <c r="BM749" s="99"/>
      <c r="BN749" s="99"/>
      <c r="BO749" s="99"/>
      <c r="BP749" s="99"/>
      <c r="BQ749" s="99"/>
      <c r="BR749" s="99"/>
      <c r="BS749" s="99"/>
      <c r="BT749" s="99"/>
      <c r="BU749" s="99"/>
      <c r="BV749" s="99"/>
      <c r="BW749" s="99"/>
      <c r="BX749" s="99"/>
      <c r="BY749" s="99"/>
      <c r="BZ749" s="99"/>
      <c r="CA749" s="99"/>
      <c r="CB749" s="99"/>
      <c r="CC749" s="99"/>
      <c r="CD749" s="99"/>
      <c r="CE749" s="99"/>
      <c r="CF749" s="99"/>
      <c r="CG749" s="99"/>
      <c r="CH749" s="99"/>
      <c r="CI749" s="99"/>
      <c r="CJ749" s="621"/>
      <c r="CK749" s="621"/>
      <c r="CL749" s="621"/>
    </row>
    <row r="750" spans="27:90">
      <c r="AA750" s="350"/>
      <c r="AB750" s="62"/>
      <c r="AC750" s="62"/>
      <c r="AD750" s="62"/>
      <c r="AP750" s="88"/>
      <c r="AQ750" s="88"/>
      <c r="AR750" s="88"/>
      <c r="AS750" s="99"/>
      <c r="AT750" s="99"/>
      <c r="AU750" s="99"/>
      <c r="AV750" s="99"/>
      <c r="AW750" s="99"/>
      <c r="AX750" s="99"/>
      <c r="AY750" s="99"/>
      <c r="AZ750" s="99"/>
      <c r="BA750" s="99"/>
      <c r="BB750" s="99"/>
      <c r="BC750" s="99"/>
      <c r="BD750" s="99"/>
      <c r="BE750" s="99"/>
      <c r="BF750" s="99"/>
      <c r="BG750" s="99"/>
      <c r="BH750" s="99"/>
      <c r="BI750" s="99"/>
      <c r="BJ750" s="99"/>
      <c r="BK750" s="99"/>
      <c r="BL750" s="99"/>
      <c r="BM750" s="99"/>
      <c r="BN750" s="99"/>
      <c r="BO750" s="99"/>
      <c r="BP750" s="99"/>
      <c r="BQ750" s="99"/>
      <c r="BR750" s="99"/>
      <c r="BS750" s="99"/>
      <c r="BT750" s="99"/>
      <c r="BU750" s="99"/>
      <c r="BV750" s="99"/>
      <c r="BW750" s="99"/>
      <c r="BX750" s="99"/>
      <c r="BY750" s="99"/>
      <c r="BZ750" s="99"/>
      <c r="CA750" s="99"/>
      <c r="CB750" s="99"/>
      <c r="CC750" s="99"/>
      <c r="CD750" s="99"/>
      <c r="CE750" s="99"/>
      <c r="CF750" s="99"/>
      <c r="CG750" s="99"/>
      <c r="CH750" s="99"/>
      <c r="CI750" s="99"/>
      <c r="CJ750" s="621"/>
      <c r="CK750" s="621"/>
      <c r="CL750" s="621"/>
    </row>
    <row r="751" spans="27:90">
      <c r="AA751" s="350"/>
      <c r="AB751" s="62"/>
      <c r="AC751" s="62"/>
      <c r="AD751" s="62"/>
      <c r="AP751" s="88"/>
      <c r="AQ751" s="88"/>
      <c r="AR751" s="88"/>
      <c r="AS751" s="99"/>
      <c r="AT751" s="99"/>
      <c r="AU751" s="99"/>
      <c r="AV751" s="99"/>
      <c r="AW751" s="99"/>
      <c r="AX751" s="99"/>
      <c r="AY751" s="99"/>
      <c r="AZ751" s="99"/>
      <c r="BA751" s="99"/>
      <c r="BB751" s="99"/>
      <c r="BC751" s="99"/>
      <c r="BD751" s="99"/>
      <c r="BE751" s="99"/>
      <c r="BF751" s="99"/>
      <c r="BG751" s="99"/>
      <c r="BH751" s="99"/>
      <c r="BI751" s="99"/>
      <c r="BJ751" s="99"/>
      <c r="BK751" s="99"/>
      <c r="BL751" s="99"/>
      <c r="BM751" s="99"/>
      <c r="BN751" s="99"/>
      <c r="BO751" s="99"/>
      <c r="BP751" s="99"/>
      <c r="BQ751" s="99"/>
      <c r="BR751" s="99"/>
      <c r="BS751" s="99"/>
      <c r="BT751" s="99"/>
      <c r="BU751" s="99"/>
      <c r="BV751" s="99"/>
      <c r="BW751" s="99"/>
      <c r="BX751" s="99"/>
      <c r="BY751" s="99"/>
      <c r="BZ751" s="99"/>
      <c r="CA751" s="99"/>
      <c r="CB751" s="99"/>
      <c r="CC751" s="99"/>
      <c r="CD751" s="99"/>
      <c r="CE751" s="99"/>
      <c r="CF751" s="99"/>
      <c r="CG751" s="99"/>
      <c r="CH751" s="99"/>
      <c r="CI751" s="99"/>
      <c r="CJ751" s="621"/>
      <c r="CK751" s="621"/>
      <c r="CL751" s="621"/>
    </row>
    <row r="752" spans="27:90">
      <c r="AA752" s="350"/>
      <c r="AB752" s="62"/>
      <c r="AC752" s="62"/>
      <c r="AD752" s="62"/>
      <c r="AP752" s="88"/>
      <c r="AQ752" s="88"/>
      <c r="AR752" s="88"/>
      <c r="AS752" s="99"/>
      <c r="AT752" s="99"/>
      <c r="AU752" s="99"/>
      <c r="AV752" s="99"/>
      <c r="AW752" s="99"/>
      <c r="AX752" s="99"/>
      <c r="AY752" s="99"/>
      <c r="AZ752" s="99"/>
      <c r="BA752" s="99"/>
      <c r="BB752" s="99"/>
      <c r="BC752" s="99"/>
      <c r="BD752" s="99"/>
      <c r="BE752" s="99"/>
      <c r="BF752" s="99"/>
      <c r="BG752" s="99"/>
      <c r="BH752" s="99"/>
      <c r="BI752" s="99"/>
      <c r="BJ752" s="99"/>
      <c r="BK752" s="99"/>
      <c r="BL752" s="99"/>
      <c r="BM752" s="99"/>
      <c r="BN752" s="99"/>
      <c r="BO752" s="99"/>
      <c r="BP752" s="99"/>
      <c r="BQ752" s="99"/>
      <c r="BR752" s="99"/>
      <c r="BS752" s="99"/>
      <c r="BT752" s="99"/>
      <c r="BU752" s="99"/>
      <c r="BV752" s="99"/>
      <c r="BW752" s="99"/>
      <c r="BX752" s="99"/>
      <c r="BY752" s="99"/>
      <c r="BZ752" s="99"/>
      <c r="CA752" s="99"/>
      <c r="CB752" s="99"/>
      <c r="CC752" s="99"/>
      <c r="CD752" s="99"/>
      <c r="CE752" s="99"/>
      <c r="CF752" s="99"/>
      <c r="CG752" s="99"/>
      <c r="CH752" s="99"/>
      <c r="CI752" s="99"/>
      <c r="CJ752" s="621"/>
      <c r="CK752" s="621"/>
      <c r="CL752" s="621"/>
    </row>
    <row r="753" spans="27:90">
      <c r="AA753" s="350"/>
      <c r="AB753" s="62"/>
      <c r="AC753" s="62"/>
      <c r="AD753" s="62"/>
      <c r="AP753" s="88"/>
      <c r="AQ753" s="88"/>
      <c r="AR753" s="88"/>
      <c r="AS753" s="99"/>
      <c r="AT753" s="99"/>
      <c r="AU753" s="99"/>
      <c r="AV753" s="99"/>
      <c r="AW753" s="99"/>
      <c r="AX753" s="99"/>
      <c r="AY753" s="99"/>
      <c r="AZ753" s="99"/>
      <c r="BA753" s="99"/>
      <c r="BB753" s="99"/>
      <c r="BC753" s="99"/>
      <c r="BD753" s="99"/>
      <c r="BE753" s="99"/>
      <c r="BF753" s="99"/>
      <c r="BG753" s="99"/>
      <c r="BH753" s="99"/>
      <c r="BI753" s="99"/>
      <c r="BJ753" s="99"/>
      <c r="BK753" s="99"/>
      <c r="BL753" s="99"/>
      <c r="BM753" s="99"/>
      <c r="BN753" s="99"/>
      <c r="BO753" s="99"/>
      <c r="BP753" s="99"/>
      <c r="BQ753" s="99"/>
      <c r="BR753" s="99"/>
      <c r="BS753" s="99"/>
      <c r="BT753" s="99"/>
      <c r="BU753" s="99"/>
      <c r="BV753" s="99"/>
      <c r="BW753" s="99"/>
      <c r="BX753" s="99"/>
      <c r="BY753" s="99"/>
      <c r="BZ753" s="99"/>
      <c r="CA753" s="99"/>
      <c r="CB753" s="99"/>
      <c r="CC753" s="99"/>
      <c r="CD753" s="99"/>
      <c r="CE753" s="99"/>
      <c r="CF753" s="99"/>
      <c r="CG753" s="99"/>
      <c r="CH753" s="99"/>
      <c r="CI753" s="99"/>
      <c r="CJ753" s="621"/>
      <c r="CK753" s="621"/>
      <c r="CL753" s="621"/>
    </row>
    <row r="754" spans="27:90">
      <c r="AA754" s="350"/>
      <c r="AB754" s="62"/>
      <c r="AC754" s="62"/>
      <c r="AD754" s="62"/>
      <c r="AP754" s="88"/>
      <c r="AQ754" s="88"/>
      <c r="AR754" s="88"/>
      <c r="AS754" s="99"/>
      <c r="AT754" s="99"/>
      <c r="AU754" s="99"/>
      <c r="AV754" s="99"/>
      <c r="AW754" s="99"/>
      <c r="AX754" s="99"/>
      <c r="AY754" s="99"/>
      <c r="AZ754" s="99"/>
      <c r="BA754" s="99"/>
      <c r="BB754" s="99"/>
      <c r="BC754" s="99"/>
      <c r="BD754" s="99"/>
      <c r="BE754" s="99"/>
      <c r="BF754" s="99"/>
      <c r="BG754" s="99"/>
      <c r="BH754" s="99"/>
      <c r="BI754" s="99"/>
      <c r="BJ754" s="99"/>
      <c r="BK754" s="99"/>
      <c r="BL754" s="99"/>
      <c r="BM754" s="99"/>
      <c r="BN754" s="99"/>
      <c r="BO754" s="99"/>
      <c r="BP754" s="99"/>
      <c r="BQ754" s="99"/>
      <c r="BR754" s="99"/>
      <c r="BS754" s="99"/>
      <c r="BT754" s="99"/>
      <c r="BU754" s="99"/>
      <c r="BV754" s="99"/>
      <c r="BW754" s="99"/>
      <c r="BX754" s="99"/>
      <c r="BY754" s="99"/>
      <c r="BZ754" s="99"/>
      <c r="CA754" s="99"/>
      <c r="CB754" s="99"/>
      <c r="CC754" s="99"/>
      <c r="CD754" s="99"/>
      <c r="CE754" s="99"/>
      <c r="CF754" s="99"/>
      <c r="CG754" s="99"/>
      <c r="CH754" s="99"/>
      <c r="CI754" s="99"/>
      <c r="CJ754" s="621"/>
      <c r="CK754" s="621"/>
      <c r="CL754" s="621"/>
    </row>
    <row r="755" spans="27:90">
      <c r="AA755" s="350"/>
      <c r="AB755" s="62"/>
      <c r="AC755" s="62"/>
      <c r="AD755" s="62"/>
      <c r="AP755" s="88"/>
      <c r="AQ755" s="88"/>
      <c r="AR755" s="88"/>
      <c r="AS755" s="99"/>
      <c r="AT755" s="99"/>
      <c r="AU755" s="99"/>
      <c r="AV755" s="99"/>
      <c r="AW755" s="99"/>
      <c r="AX755" s="99"/>
      <c r="AY755" s="99"/>
      <c r="AZ755" s="99"/>
      <c r="BA755" s="99"/>
      <c r="BB755" s="99"/>
      <c r="BC755" s="99"/>
      <c r="BD755" s="99"/>
      <c r="BE755" s="99"/>
      <c r="BF755" s="99"/>
      <c r="BG755" s="99"/>
      <c r="BH755" s="99"/>
      <c r="BI755" s="99"/>
      <c r="BJ755" s="99"/>
      <c r="BK755" s="99"/>
      <c r="BL755" s="99"/>
      <c r="BM755" s="99"/>
      <c r="BN755" s="99"/>
      <c r="BO755" s="99"/>
      <c r="BP755" s="99"/>
      <c r="BQ755" s="99"/>
      <c r="BR755" s="99"/>
      <c r="BS755" s="99"/>
      <c r="BT755" s="99"/>
      <c r="BU755" s="99"/>
      <c r="BV755" s="99"/>
      <c r="BW755" s="99"/>
      <c r="BX755" s="99"/>
      <c r="BY755" s="99"/>
      <c r="BZ755" s="99"/>
      <c r="CA755" s="99"/>
      <c r="CB755" s="99"/>
      <c r="CC755" s="99"/>
      <c r="CD755" s="99"/>
      <c r="CE755" s="99"/>
      <c r="CF755" s="99"/>
      <c r="CG755" s="99"/>
      <c r="CH755" s="99"/>
      <c r="CI755" s="99"/>
      <c r="CJ755" s="621"/>
      <c r="CK755" s="621"/>
      <c r="CL755" s="621"/>
    </row>
    <row r="756" spans="27:90">
      <c r="AA756" s="350"/>
      <c r="AB756" s="62"/>
      <c r="AC756" s="62"/>
      <c r="AD756" s="62"/>
      <c r="AP756" s="88"/>
      <c r="AQ756" s="88"/>
      <c r="AR756" s="88"/>
      <c r="AS756" s="99"/>
      <c r="AT756" s="99"/>
      <c r="AU756" s="99"/>
      <c r="AV756" s="99"/>
      <c r="AW756" s="99"/>
      <c r="AX756" s="99"/>
      <c r="AY756" s="99"/>
      <c r="AZ756" s="99"/>
      <c r="BA756" s="99"/>
      <c r="BB756" s="99"/>
      <c r="BC756" s="99"/>
      <c r="BD756" s="99"/>
      <c r="BE756" s="99"/>
      <c r="BF756" s="99"/>
      <c r="BG756" s="99"/>
      <c r="BH756" s="99"/>
      <c r="BI756" s="99"/>
      <c r="BJ756" s="99"/>
      <c r="BK756" s="99"/>
      <c r="BL756" s="99"/>
      <c r="BM756" s="99"/>
      <c r="BN756" s="99"/>
      <c r="BO756" s="99"/>
      <c r="BP756" s="99"/>
      <c r="BQ756" s="99"/>
      <c r="BR756" s="99"/>
      <c r="BS756" s="99"/>
      <c r="BT756" s="99"/>
      <c r="BU756" s="99"/>
      <c r="BV756" s="99"/>
      <c r="BW756" s="99"/>
      <c r="BX756" s="99"/>
      <c r="BY756" s="99"/>
      <c r="BZ756" s="99"/>
      <c r="CA756" s="99"/>
      <c r="CB756" s="99"/>
      <c r="CC756" s="99"/>
      <c r="CD756" s="99"/>
      <c r="CE756" s="99"/>
      <c r="CF756" s="99"/>
      <c r="CG756" s="99"/>
      <c r="CH756" s="99"/>
      <c r="CI756" s="99"/>
      <c r="CJ756" s="621"/>
      <c r="CK756" s="621"/>
      <c r="CL756" s="621"/>
    </row>
    <row r="757" spans="27:90">
      <c r="AA757" s="350"/>
      <c r="AB757" s="62"/>
      <c r="AC757" s="62"/>
      <c r="AD757" s="62"/>
      <c r="AP757" s="88"/>
      <c r="AQ757" s="88"/>
      <c r="AR757" s="88"/>
      <c r="AS757" s="99"/>
      <c r="AT757" s="99"/>
      <c r="AU757" s="99"/>
      <c r="AV757" s="99"/>
      <c r="AW757" s="99"/>
      <c r="AX757" s="99"/>
      <c r="AY757" s="99"/>
      <c r="AZ757" s="99"/>
      <c r="BA757" s="99"/>
      <c r="BB757" s="99"/>
      <c r="BC757" s="99"/>
      <c r="BD757" s="99"/>
      <c r="BE757" s="99"/>
      <c r="BF757" s="99"/>
      <c r="BG757" s="99"/>
      <c r="BH757" s="99"/>
      <c r="BI757" s="99"/>
      <c r="BJ757" s="99"/>
      <c r="BK757" s="99"/>
      <c r="BL757" s="99"/>
      <c r="BM757" s="99"/>
      <c r="BN757" s="99"/>
      <c r="BO757" s="99"/>
      <c r="BP757" s="99"/>
      <c r="BQ757" s="99"/>
      <c r="BR757" s="99"/>
      <c r="BS757" s="99"/>
      <c r="BT757" s="99"/>
      <c r="BU757" s="99"/>
      <c r="BV757" s="99"/>
      <c r="BW757" s="99"/>
      <c r="BX757" s="99"/>
      <c r="BY757" s="99"/>
      <c r="BZ757" s="99"/>
      <c r="CA757" s="99"/>
      <c r="CB757" s="99"/>
      <c r="CC757" s="99"/>
      <c r="CD757" s="99"/>
      <c r="CE757" s="99"/>
      <c r="CF757" s="99"/>
      <c r="CG757" s="99"/>
      <c r="CH757" s="99"/>
      <c r="CI757" s="99"/>
      <c r="CJ757" s="621"/>
      <c r="CK757" s="621"/>
      <c r="CL757" s="621"/>
    </row>
    <row r="758" spans="27:90">
      <c r="AA758" s="350"/>
      <c r="AB758" s="62"/>
      <c r="AC758" s="62"/>
      <c r="AD758" s="62"/>
      <c r="AP758" s="88"/>
      <c r="AQ758" s="88"/>
      <c r="AR758" s="88"/>
      <c r="AS758" s="99"/>
      <c r="AT758" s="99"/>
      <c r="AU758" s="99"/>
      <c r="AV758" s="99"/>
      <c r="AW758" s="99"/>
      <c r="AX758" s="99"/>
      <c r="AY758" s="99"/>
      <c r="AZ758" s="99"/>
      <c r="BA758" s="99"/>
      <c r="BB758" s="99"/>
      <c r="BC758" s="99"/>
      <c r="BD758" s="99"/>
      <c r="BE758" s="99"/>
      <c r="BF758" s="99"/>
      <c r="BG758" s="99"/>
      <c r="BH758" s="99"/>
      <c r="BI758" s="99"/>
      <c r="BJ758" s="99"/>
      <c r="BK758" s="99"/>
      <c r="BL758" s="99"/>
      <c r="BM758" s="99"/>
      <c r="BN758" s="99"/>
      <c r="BO758" s="99"/>
      <c r="BP758" s="99"/>
      <c r="BQ758" s="99"/>
      <c r="BR758" s="99"/>
      <c r="BS758" s="99"/>
      <c r="BT758" s="99"/>
      <c r="BU758" s="99"/>
      <c r="BV758" s="99"/>
      <c r="BW758" s="99"/>
      <c r="BX758" s="99"/>
      <c r="BY758" s="99"/>
      <c r="BZ758" s="99"/>
      <c r="CA758" s="99"/>
      <c r="CB758" s="99"/>
      <c r="CC758" s="99"/>
      <c r="CD758" s="99"/>
      <c r="CE758" s="99"/>
      <c r="CF758" s="99"/>
      <c r="CG758" s="99"/>
      <c r="CH758" s="99"/>
      <c r="CI758" s="99"/>
      <c r="CJ758" s="621"/>
      <c r="CK758" s="621"/>
      <c r="CL758" s="621"/>
    </row>
    <row r="759" spans="27:90">
      <c r="AA759" s="350"/>
      <c r="AB759" s="62"/>
      <c r="AC759" s="62"/>
      <c r="AD759" s="62"/>
      <c r="AP759" s="88"/>
      <c r="AQ759" s="88"/>
      <c r="AR759" s="88"/>
      <c r="AS759" s="99"/>
      <c r="AT759" s="99"/>
      <c r="AU759" s="99"/>
      <c r="AV759" s="99"/>
      <c r="AW759" s="99"/>
      <c r="AX759" s="99"/>
      <c r="AY759" s="99"/>
      <c r="AZ759" s="99"/>
      <c r="BA759" s="99"/>
      <c r="BB759" s="99"/>
      <c r="BC759" s="99"/>
      <c r="BD759" s="99"/>
      <c r="BE759" s="99"/>
      <c r="BF759" s="99"/>
      <c r="BG759" s="99"/>
      <c r="BH759" s="99"/>
      <c r="BI759" s="99"/>
      <c r="BJ759" s="99"/>
      <c r="BK759" s="99"/>
      <c r="BL759" s="99"/>
      <c r="BM759" s="99"/>
      <c r="BN759" s="99"/>
      <c r="BO759" s="99"/>
      <c r="BP759" s="99"/>
      <c r="BQ759" s="99"/>
      <c r="BR759" s="99"/>
      <c r="BS759" s="99"/>
      <c r="BT759" s="99"/>
      <c r="BU759" s="99"/>
      <c r="BV759" s="99"/>
      <c r="BW759" s="99"/>
      <c r="BX759" s="99"/>
      <c r="BY759" s="99"/>
      <c r="BZ759" s="99"/>
      <c r="CA759" s="99"/>
      <c r="CB759" s="99"/>
      <c r="CC759" s="99"/>
      <c r="CD759" s="99"/>
      <c r="CE759" s="99"/>
      <c r="CF759" s="99"/>
      <c r="CG759" s="99"/>
      <c r="CH759" s="99"/>
      <c r="CI759" s="99"/>
      <c r="CJ759" s="621"/>
      <c r="CK759" s="621"/>
      <c r="CL759" s="621"/>
    </row>
    <row r="760" spans="27:90">
      <c r="AA760" s="350"/>
      <c r="AB760" s="62"/>
      <c r="AC760" s="62"/>
      <c r="AD760" s="62"/>
      <c r="AP760" s="88"/>
      <c r="AQ760" s="88"/>
      <c r="AR760" s="88"/>
      <c r="AS760" s="99"/>
      <c r="AT760" s="99"/>
      <c r="AU760" s="99"/>
      <c r="AV760" s="99"/>
      <c r="AW760" s="99"/>
      <c r="AX760" s="99"/>
      <c r="AY760" s="99"/>
      <c r="AZ760" s="99"/>
      <c r="BA760" s="99"/>
      <c r="BB760" s="99"/>
      <c r="BC760" s="99"/>
      <c r="BD760" s="99"/>
      <c r="BE760" s="99"/>
      <c r="BF760" s="99"/>
      <c r="BG760" s="99"/>
      <c r="BH760" s="99"/>
      <c r="BI760" s="99"/>
      <c r="BJ760" s="99"/>
      <c r="BK760" s="99"/>
      <c r="BL760" s="99"/>
      <c r="BM760" s="99"/>
      <c r="BN760" s="99"/>
      <c r="BO760" s="99"/>
      <c r="BP760" s="99"/>
      <c r="BQ760" s="99"/>
      <c r="BR760" s="99"/>
      <c r="BS760" s="99"/>
      <c r="BT760" s="99"/>
      <c r="BU760" s="99"/>
      <c r="BV760" s="99"/>
      <c r="BW760" s="99"/>
      <c r="BX760" s="99"/>
      <c r="BY760" s="99"/>
      <c r="BZ760" s="99"/>
      <c r="CA760" s="99"/>
      <c r="CB760" s="99"/>
      <c r="CC760" s="99"/>
      <c r="CD760" s="99"/>
      <c r="CE760" s="99"/>
      <c r="CF760" s="99"/>
      <c r="CG760" s="99"/>
      <c r="CH760" s="99"/>
      <c r="CI760" s="99"/>
      <c r="CJ760" s="621"/>
      <c r="CK760" s="621"/>
      <c r="CL760" s="621"/>
    </row>
    <row r="761" spans="27:90">
      <c r="AA761" s="350"/>
      <c r="AB761" s="62"/>
      <c r="AC761" s="62"/>
      <c r="AD761" s="62"/>
      <c r="AP761" s="88"/>
      <c r="AQ761" s="88"/>
      <c r="AR761" s="88"/>
      <c r="AS761" s="99"/>
      <c r="AT761" s="99"/>
      <c r="AU761" s="99"/>
      <c r="AV761" s="99"/>
      <c r="AW761" s="99"/>
      <c r="AX761" s="99"/>
      <c r="AY761" s="99"/>
      <c r="AZ761" s="99"/>
      <c r="BA761" s="99"/>
      <c r="BB761" s="99"/>
      <c r="BC761" s="99"/>
      <c r="BD761" s="99"/>
      <c r="BE761" s="99"/>
      <c r="BF761" s="99"/>
      <c r="BG761" s="99"/>
      <c r="BH761" s="99"/>
      <c r="BI761" s="99"/>
      <c r="BJ761" s="99"/>
      <c r="BK761" s="99"/>
      <c r="BL761" s="99"/>
      <c r="BM761" s="99"/>
      <c r="BN761" s="99"/>
      <c r="BO761" s="99"/>
      <c r="BP761" s="99"/>
      <c r="BQ761" s="99"/>
      <c r="BR761" s="99"/>
      <c r="BS761" s="99"/>
      <c r="BT761" s="99"/>
      <c r="BU761" s="99"/>
      <c r="BV761" s="99"/>
      <c r="BW761" s="99"/>
      <c r="BX761" s="99"/>
      <c r="BY761" s="99"/>
      <c r="BZ761" s="99"/>
      <c r="CA761" s="99"/>
      <c r="CB761" s="99"/>
      <c r="CC761" s="99"/>
      <c r="CD761" s="99"/>
      <c r="CE761" s="99"/>
      <c r="CF761" s="99"/>
      <c r="CG761" s="99"/>
      <c r="CH761" s="99"/>
      <c r="CI761" s="99"/>
      <c r="CJ761" s="621"/>
      <c r="CK761" s="621"/>
      <c r="CL761" s="621"/>
    </row>
    <row r="762" spans="27:90">
      <c r="AA762" s="350"/>
      <c r="AB762" s="62"/>
      <c r="AC762" s="62"/>
      <c r="AD762" s="62"/>
      <c r="AP762" s="88"/>
      <c r="AQ762" s="88"/>
      <c r="AR762" s="88"/>
      <c r="AS762" s="99"/>
      <c r="AT762" s="99"/>
      <c r="AU762" s="99"/>
      <c r="AV762" s="99"/>
      <c r="AW762" s="99"/>
      <c r="AX762" s="99"/>
      <c r="AY762" s="99"/>
      <c r="AZ762" s="99"/>
      <c r="BA762" s="99"/>
      <c r="BB762" s="99"/>
      <c r="BC762" s="99"/>
      <c r="BD762" s="99"/>
      <c r="BE762" s="99"/>
      <c r="BF762" s="99"/>
      <c r="BG762" s="99"/>
      <c r="BH762" s="99"/>
      <c r="BI762" s="99"/>
      <c r="BJ762" s="99"/>
      <c r="BK762" s="99"/>
      <c r="BL762" s="99"/>
      <c r="BM762" s="99"/>
      <c r="BN762" s="99"/>
      <c r="BO762" s="99"/>
      <c r="BP762" s="99"/>
      <c r="BQ762" s="99"/>
      <c r="BR762" s="99"/>
      <c r="BS762" s="99"/>
      <c r="BT762" s="99"/>
      <c r="BU762" s="99"/>
      <c r="BV762" s="99"/>
      <c r="BW762" s="99"/>
      <c r="BX762" s="99"/>
      <c r="BY762" s="99"/>
      <c r="BZ762" s="99"/>
      <c r="CA762" s="99"/>
      <c r="CB762" s="99"/>
      <c r="CC762" s="99"/>
      <c r="CD762" s="99"/>
      <c r="CE762" s="99"/>
      <c r="CF762" s="99"/>
      <c r="CG762" s="99"/>
      <c r="CH762" s="99"/>
      <c r="CI762" s="99"/>
      <c r="CJ762" s="621"/>
      <c r="CK762" s="621"/>
      <c r="CL762" s="621"/>
    </row>
    <row r="763" spans="27:90">
      <c r="AA763" s="350"/>
      <c r="AB763" s="62"/>
      <c r="AC763" s="62"/>
      <c r="AD763" s="62"/>
      <c r="AP763" s="88"/>
      <c r="AQ763" s="88"/>
      <c r="AR763" s="88"/>
      <c r="AS763" s="99"/>
      <c r="AT763" s="99"/>
      <c r="AU763" s="99"/>
      <c r="AV763" s="99"/>
      <c r="AW763" s="99"/>
      <c r="AX763" s="99"/>
      <c r="AY763" s="99"/>
      <c r="AZ763" s="99"/>
      <c r="BA763" s="99"/>
      <c r="BB763" s="99"/>
      <c r="BC763" s="99"/>
      <c r="BD763" s="99"/>
      <c r="BE763" s="99"/>
      <c r="BF763" s="99"/>
      <c r="BG763" s="99"/>
      <c r="BH763" s="99"/>
      <c r="BI763" s="99"/>
      <c r="BJ763" s="99"/>
      <c r="BK763" s="99"/>
      <c r="BL763" s="99"/>
      <c r="BM763" s="99"/>
      <c r="BN763" s="99"/>
      <c r="BO763" s="99"/>
      <c r="BP763" s="99"/>
      <c r="BQ763" s="99"/>
      <c r="BR763" s="99"/>
      <c r="BS763" s="99"/>
      <c r="BT763" s="99"/>
      <c r="BU763" s="99"/>
      <c r="BV763" s="99"/>
      <c r="BW763" s="99"/>
      <c r="BX763" s="99"/>
      <c r="BY763" s="99"/>
      <c r="BZ763" s="99"/>
      <c r="CA763" s="99"/>
      <c r="CB763" s="99"/>
      <c r="CC763" s="99"/>
      <c r="CD763" s="99"/>
      <c r="CE763" s="99"/>
      <c r="CF763" s="99"/>
      <c r="CG763" s="99"/>
      <c r="CH763" s="99"/>
      <c r="CI763" s="99"/>
      <c r="CJ763" s="621"/>
      <c r="CK763" s="621"/>
      <c r="CL763" s="621"/>
    </row>
    <row r="764" spans="27:90">
      <c r="AA764" s="350"/>
      <c r="AB764" s="62"/>
      <c r="AC764" s="62"/>
      <c r="AD764" s="62"/>
      <c r="AP764" s="88"/>
      <c r="AQ764" s="88"/>
      <c r="AR764" s="88"/>
      <c r="AS764" s="99"/>
      <c r="AT764" s="99"/>
      <c r="AU764" s="99"/>
      <c r="AV764" s="99"/>
      <c r="AW764" s="99"/>
      <c r="AX764" s="99"/>
      <c r="AY764" s="99"/>
      <c r="AZ764" s="99"/>
      <c r="BA764" s="99"/>
      <c r="BB764" s="99"/>
      <c r="BC764" s="99"/>
      <c r="BD764" s="99"/>
      <c r="BE764" s="99"/>
      <c r="BF764" s="99"/>
      <c r="BG764" s="99"/>
      <c r="BH764" s="99"/>
      <c r="BI764" s="99"/>
      <c r="BJ764" s="99"/>
      <c r="BK764" s="99"/>
      <c r="BL764" s="99"/>
      <c r="BM764" s="99"/>
      <c r="BN764" s="99"/>
      <c r="BO764" s="99"/>
      <c r="BP764" s="99"/>
      <c r="BQ764" s="99"/>
      <c r="BR764" s="99"/>
      <c r="BS764" s="99"/>
      <c r="BT764" s="99"/>
      <c r="BU764" s="99"/>
      <c r="BV764" s="99"/>
      <c r="BW764" s="99"/>
      <c r="BX764" s="99"/>
      <c r="BY764" s="99"/>
      <c r="BZ764" s="99"/>
      <c r="CA764" s="99"/>
      <c r="CB764" s="99"/>
      <c r="CC764" s="99"/>
      <c r="CD764" s="99"/>
      <c r="CE764" s="99"/>
      <c r="CF764" s="99"/>
      <c r="CG764" s="99"/>
      <c r="CH764" s="99"/>
      <c r="CI764" s="99"/>
      <c r="CJ764" s="621"/>
      <c r="CK764" s="621"/>
      <c r="CL764" s="621"/>
    </row>
    <row r="765" spans="27:90">
      <c r="AA765" s="350"/>
      <c r="AB765" s="62"/>
      <c r="AC765" s="62"/>
      <c r="AD765" s="62"/>
      <c r="AP765" s="88"/>
      <c r="AQ765" s="88"/>
      <c r="AR765" s="88"/>
      <c r="AS765" s="99"/>
      <c r="AT765" s="99"/>
      <c r="AU765" s="99"/>
      <c r="AV765" s="99"/>
      <c r="AW765" s="99"/>
      <c r="AX765" s="99"/>
      <c r="AY765" s="99"/>
      <c r="AZ765" s="99"/>
      <c r="BA765" s="99"/>
      <c r="BB765" s="99"/>
      <c r="BC765" s="99"/>
      <c r="BD765" s="99"/>
      <c r="BE765" s="99"/>
      <c r="BF765" s="99"/>
      <c r="BG765" s="99"/>
      <c r="BH765" s="99"/>
      <c r="BI765" s="99"/>
      <c r="BJ765" s="99"/>
      <c r="BK765" s="99"/>
      <c r="BL765" s="99"/>
      <c r="BM765" s="99"/>
      <c r="BN765" s="99"/>
      <c r="BO765" s="99"/>
      <c r="BP765" s="99"/>
      <c r="BQ765" s="99"/>
      <c r="BR765" s="99"/>
      <c r="BS765" s="99"/>
      <c r="BT765" s="99"/>
      <c r="BU765" s="99"/>
      <c r="BV765" s="99"/>
      <c r="BW765" s="99"/>
      <c r="BX765" s="99"/>
      <c r="BY765" s="99"/>
      <c r="BZ765" s="99"/>
      <c r="CA765" s="99"/>
      <c r="CB765" s="99"/>
      <c r="CC765" s="99"/>
      <c r="CD765" s="99"/>
      <c r="CE765" s="99"/>
      <c r="CF765" s="99"/>
      <c r="CG765" s="99"/>
      <c r="CH765" s="99"/>
      <c r="CI765" s="99"/>
      <c r="CJ765" s="621"/>
      <c r="CK765" s="621"/>
      <c r="CL765" s="621"/>
    </row>
    <row r="766" spans="27:90">
      <c r="AA766" s="350"/>
      <c r="AB766" s="62"/>
      <c r="AC766" s="62"/>
      <c r="AD766" s="62"/>
      <c r="AP766" s="88"/>
      <c r="AQ766" s="88"/>
      <c r="AR766" s="88"/>
      <c r="AS766" s="99"/>
      <c r="AT766" s="99"/>
      <c r="AU766" s="99"/>
      <c r="AV766" s="99"/>
      <c r="AW766" s="99"/>
      <c r="AX766" s="99"/>
      <c r="AY766" s="99"/>
      <c r="AZ766" s="99"/>
      <c r="BA766" s="99"/>
      <c r="BB766" s="99"/>
      <c r="BC766" s="99"/>
      <c r="BD766" s="99"/>
      <c r="BE766" s="99"/>
      <c r="BF766" s="99"/>
      <c r="BG766" s="99"/>
      <c r="BH766" s="99"/>
      <c r="BI766" s="99"/>
      <c r="BJ766" s="99"/>
      <c r="BK766" s="99"/>
      <c r="BL766" s="99"/>
      <c r="BM766" s="99"/>
      <c r="BN766" s="99"/>
      <c r="BO766" s="99"/>
      <c r="BP766" s="99"/>
      <c r="BQ766" s="99"/>
      <c r="BR766" s="99"/>
      <c r="BS766" s="99"/>
      <c r="BT766" s="99"/>
      <c r="BU766" s="99"/>
      <c r="BV766" s="99"/>
      <c r="BW766" s="99"/>
      <c r="BX766" s="99"/>
      <c r="BY766" s="99"/>
      <c r="BZ766" s="99"/>
      <c r="CA766" s="99"/>
      <c r="CB766" s="99"/>
      <c r="CC766" s="99"/>
      <c r="CD766" s="99"/>
      <c r="CE766" s="99"/>
      <c r="CF766" s="99"/>
      <c r="CG766" s="99"/>
      <c r="CH766" s="99"/>
      <c r="CI766" s="99"/>
      <c r="CJ766" s="621"/>
      <c r="CK766" s="621"/>
      <c r="CL766" s="621"/>
    </row>
    <row r="767" spans="27:90">
      <c r="AA767" s="350"/>
      <c r="AB767" s="62"/>
      <c r="AC767" s="62"/>
      <c r="AD767" s="62"/>
      <c r="AP767" s="88"/>
      <c r="AQ767" s="88"/>
      <c r="AR767" s="88"/>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621"/>
      <c r="CK767" s="621"/>
      <c r="CL767" s="621"/>
    </row>
    <row r="768" spans="27:90">
      <c r="AA768" s="350"/>
      <c r="AB768" s="62"/>
      <c r="AC768" s="62"/>
      <c r="AD768" s="62"/>
      <c r="AP768" s="88"/>
      <c r="AQ768" s="88"/>
      <c r="AR768" s="88"/>
      <c r="AS768" s="99"/>
      <c r="AT768" s="99"/>
      <c r="AU768" s="99"/>
      <c r="AV768" s="99"/>
      <c r="AW768" s="99"/>
      <c r="AX768" s="99"/>
      <c r="AY768" s="99"/>
      <c r="AZ768" s="99"/>
      <c r="BA768" s="99"/>
      <c r="BB768" s="99"/>
      <c r="BC768" s="99"/>
      <c r="BD768" s="99"/>
      <c r="BE768" s="99"/>
      <c r="BF768" s="99"/>
      <c r="BG768" s="99"/>
      <c r="BH768" s="99"/>
      <c r="BI768" s="99"/>
      <c r="BJ768" s="99"/>
      <c r="BK768" s="99"/>
      <c r="BL768" s="99"/>
      <c r="BM768" s="99"/>
      <c r="BN768" s="99"/>
      <c r="BO768" s="99"/>
      <c r="BP768" s="99"/>
      <c r="BQ768" s="99"/>
      <c r="BR768" s="99"/>
      <c r="BS768" s="99"/>
      <c r="BT768" s="99"/>
      <c r="BU768" s="99"/>
      <c r="BV768" s="99"/>
      <c r="BW768" s="99"/>
      <c r="BX768" s="99"/>
      <c r="BY768" s="99"/>
      <c r="BZ768" s="99"/>
      <c r="CA768" s="99"/>
      <c r="CB768" s="99"/>
      <c r="CC768" s="99"/>
      <c r="CD768" s="99"/>
      <c r="CE768" s="99"/>
      <c r="CF768" s="99"/>
      <c r="CG768" s="99"/>
      <c r="CH768" s="99"/>
      <c r="CI768" s="99"/>
      <c r="CJ768" s="621"/>
      <c r="CK768" s="621"/>
      <c r="CL768" s="621"/>
    </row>
    <row r="769" spans="27:90">
      <c r="AA769" s="350"/>
      <c r="AB769" s="62"/>
      <c r="AC769" s="62"/>
      <c r="AD769" s="62"/>
      <c r="AP769" s="88"/>
      <c r="AQ769" s="88"/>
      <c r="AR769" s="88"/>
      <c r="AS769" s="99"/>
      <c r="AT769" s="99"/>
      <c r="AU769" s="99"/>
      <c r="AV769" s="99"/>
      <c r="AW769" s="99"/>
      <c r="AX769" s="99"/>
      <c r="AY769" s="99"/>
      <c r="AZ769" s="99"/>
      <c r="BA769" s="99"/>
      <c r="BB769" s="99"/>
      <c r="BC769" s="99"/>
      <c r="BD769" s="99"/>
      <c r="BE769" s="99"/>
      <c r="BF769" s="99"/>
      <c r="BG769" s="99"/>
      <c r="BH769" s="99"/>
      <c r="BI769" s="99"/>
      <c r="BJ769" s="99"/>
      <c r="BK769" s="99"/>
      <c r="BL769" s="99"/>
      <c r="BM769" s="99"/>
      <c r="BN769" s="99"/>
      <c r="BO769" s="99"/>
      <c r="BP769" s="99"/>
      <c r="BQ769" s="99"/>
      <c r="BR769" s="99"/>
      <c r="BS769" s="99"/>
      <c r="BT769" s="99"/>
      <c r="BU769" s="99"/>
      <c r="BV769" s="99"/>
      <c r="BW769" s="99"/>
      <c r="BX769" s="99"/>
      <c r="BY769" s="99"/>
      <c r="BZ769" s="99"/>
      <c r="CA769" s="99"/>
      <c r="CB769" s="99"/>
      <c r="CC769" s="99"/>
      <c r="CD769" s="99"/>
      <c r="CE769" s="99"/>
      <c r="CF769" s="99"/>
      <c r="CG769" s="99"/>
      <c r="CH769" s="99"/>
      <c r="CI769" s="99"/>
      <c r="CJ769" s="621"/>
      <c r="CK769" s="621"/>
      <c r="CL769" s="621"/>
    </row>
    <row r="770" spans="27:90">
      <c r="AA770" s="350"/>
      <c r="AB770" s="62"/>
      <c r="AC770" s="62"/>
      <c r="AD770" s="62"/>
      <c r="AP770" s="88"/>
      <c r="AQ770" s="88"/>
      <c r="AR770" s="88"/>
      <c r="AS770" s="99"/>
      <c r="AT770" s="99"/>
      <c r="AU770" s="99"/>
      <c r="AV770" s="99"/>
      <c r="AW770" s="99"/>
      <c r="AX770" s="99"/>
      <c r="AY770" s="99"/>
      <c r="AZ770" s="99"/>
      <c r="BA770" s="99"/>
      <c r="BB770" s="99"/>
      <c r="BC770" s="99"/>
      <c r="BD770" s="99"/>
      <c r="BE770" s="99"/>
      <c r="BF770" s="99"/>
      <c r="BG770" s="99"/>
      <c r="BH770" s="99"/>
      <c r="BI770" s="99"/>
      <c r="BJ770" s="99"/>
      <c r="BK770" s="99"/>
      <c r="BL770" s="99"/>
      <c r="BM770" s="99"/>
      <c r="BN770" s="99"/>
      <c r="BO770" s="99"/>
      <c r="BP770" s="99"/>
      <c r="BQ770" s="99"/>
      <c r="BR770" s="99"/>
      <c r="BS770" s="99"/>
      <c r="BT770" s="99"/>
      <c r="BU770" s="99"/>
      <c r="BV770" s="99"/>
      <c r="BW770" s="99"/>
      <c r="BX770" s="99"/>
      <c r="BY770" s="99"/>
      <c r="BZ770" s="99"/>
      <c r="CA770" s="99"/>
      <c r="CB770" s="99"/>
      <c r="CC770" s="99"/>
      <c r="CD770" s="99"/>
      <c r="CE770" s="99"/>
      <c r="CF770" s="99"/>
      <c r="CG770" s="99"/>
      <c r="CH770" s="99"/>
      <c r="CI770" s="99"/>
      <c r="CJ770" s="621"/>
      <c r="CK770" s="621"/>
      <c r="CL770" s="621"/>
    </row>
    <row r="771" spans="27:90">
      <c r="AA771" s="350"/>
      <c r="AB771" s="62"/>
      <c r="AC771" s="62"/>
      <c r="AD771" s="62"/>
      <c r="AP771" s="88"/>
      <c r="AQ771" s="88"/>
      <c r="AR771" s="88"/>
      <c r="AS771" s="99"/>
      <c r="AT771" s="99"/>
      <c r="AU771" s="99"/>
      <c r="AV771" s="99"/>
      <c r="AW771" s="99"/>
      <c r="AX771" s="99"/>
      <c r="AY771" s="99"/>
      <c r="AZ771" s="99"/>
      <c r="BA771" s="99"/>
      <c r="BB771" s="99"/>
      <c r="BC771" s="99"/>
      <c r="BD771" s="99"/>
      <c r="BE771" s="99"/>
      <c r="BF771" s="99"/>
      <c r="BG771" s="99"/>
      <c r="BH771" s="99"/>
      <c r="BI771" s="99"/>
      <c r="BJ771" s="99"/>
      <c r="BK771" s="99"/>
      <c r="BL771" s="99"/>
      <c r="BM771" s="99"/>
      <c r="BN771" s="99"/>
      <c r="BO771" s="99"/>
      <c r="BP771" s="99"/>
      <c r="BQ771" s="99"/>
      <c r="BR771" s="99"/>
      <c r="BS771" s="99"/>
      <c r="BT771" s="99"/>
      <c r="BU771" s="99"/>
      <c r="BV771" s="99"/>
      <c r="BW771" s="99"/>
      <c r="BX771" s="99"/>
      <c r="BY771" s="99"/>
      <c r="BZ771" s="99"/>
      <c r="CA771" s="99"/>
      <c r="CB771" s="99"/>
      <c r="CC771" s="99"/>
      <c r="CD771" s="99"/>
      <c r="CE771" s="99"/>
      <c r="CF771" s="99"/>
      <c r="CG771" s="99"/>
      <c r="CH771" s="99"/>
      <c r="CI771" s="99"/>
      <c r="CJ771" s="621"/>
      <c r="CK771" s="621"/>
      <c r="CL771" s="621"/>
    </row>
    <row r="772" spans="27:90">
      <c r="AA772" s="350"/>
      <c r="AB772" s="62"/>
      <c r="AC772" s="62"/>
      <c r="AD772" s="62"/>
      <c r="AP772" s="88"/>
      <c r="AQ772" s="88"/>
      <c r="AR772" s="88"/>
      <c r="AS772" s="99"/>
      <c r="AT772" s="99"/>
      <c r="AU772" s="99"/>
      <c r="AV772" s="99"/>
      <c r="AW772" s="99"/>
      <c r="AX772" s="99"/>
      <c r="AY772" s="99"/>
      <c r="AZ772" s="99"/>
      <c r="BA772" s="99"/>
      <c r="BB772" s="99"/>
      <c r="BC772" s="99"/>
      <c r="BD772" s="99"/>
      <c r="BE772" s="99"/>
      <c r="BF772" s="99"/>
      <c r="BG772" s="99"/>
      <c r="BH772" s="99"/>
      <c r="BI772" s="99"/>
      <c r="BJ772" s="99"/>
      <c r="BK772" s="99"/>
      <c r="BL772" s="99"/>
      <c r="BM772" s="99"/>
      <c r="BN772" s="99"/>
      <c r="BO772" s="99"/>
      <c r="BP772" s="99"/>
      <c r="BQ772" s="99"/>
      <c r="BR772" s="99"/>
      <c r="BS772" s="99"/>
      <c r="BT772" s="99"/>
      <c r="BU772" s="99"/>
      <c r="BV772" s="99"/>
      <c r="BW772" s="99"/>
      <c r="BX772" s="99"/>
      <c r="BY772" s="99"/>
      <c r="BZ772" s="99"/>
      <c r="CA772" s="99"/>
      <c r="CB772" s="99"/>
      <c r="CC772" s="99"/>
      <c r="CD772" s="99"/>
      <c r="CE772" s="99"/>
      <c r="CF772" s="99"/>
      <c r="CG772" s="99"/>
      <c r="CH772" s="99"/>
      <c r="CI772" s="99"/>
      <c r="CJ772" s="621"/>
      <c r="CK772" s="621"/>
      <c r="CL772" s="621"/>
    </row>
    <row r="773" spans="27:90">
      <c r="AA773" s="350"/>
      <c r="AB773" s="62"/>
      <c r="AC773" s="62"/>
      <c r="AD773" s="62"/>
      <c r="AP773" s="88"/>
      <c r="AQ773" s="88"/>
      <c r="AR773" s="88"/>
      <c r="AS773" s="99"/>
      <c r="AT773" s="99"/>
      <c r="AU773" s="99"/>
      <c r="AV773" s="99"/>
      <c r="AW773" s="99"/>
      <c r="AX773" s="99"/>
      <c r="AY773" s="99"/>
      <c r="AZ773" s="99"/>
      <c r="BA773" s="99"/>
      <c r="BB773" s="99"/>
      <c r="BC773" s="99"/>
      <c r="BD773" s="99"/>
      <c r="BE773" s="99"/>
      <c r="BF773" s="99"/>
      <c r="BG773" s="99"/>
      <c r="BH773" s="99"/>
      <c r="BI773" s="99"/>
      <c r="BJ773" s="99"/>
      <c r="BK773" s="99"/>
      <c r="BL773" s="99"/>
      <c r="BM773" s="99"/>
      <c r="BN773" s="99"/>
      <c r="BO773" s="99"/>
      <c r="BP773" s="99"/>
      <c r="BQ773" s="99"/>
      <c r="BR773" s="99"/>
      <c r="BS773" s="99"/>
      <c r="BT773" s="99"/>
      <c r="BU773" s="99"/>
      <c r="BV773" s="99"/>
      <c r="BW773" s="99"/>
      <c r="BX773" s="99"/>
      <c r="BY773" s="99"/>
      <c r="BZ773" s="99"/>
      <c r="CA773" s="99"/>
      <c r="CB773" s="99"/>
      <c r="CC773" s="99"/>
      <c r="CD773" s="99"/>
      <c r="CE773" s="99"/>
      <c r="CF773" s="99"/>
      <c r="CG773" s="99"/>
      <c r="CH773" s="99"/>
      <c r="CI773" s="99"/>
      <c r="CJ773" s="621"/>
      <c r="CK773" s="621"/>
      <c r="CL773" s="621"/>
    </row>
    <row r="774" spans="27:90">
      <c r="AA774" s="350"/>
      <c r="AB774" s="62"/>
      <c r="AC774" s="62"/>
      <c r="AD774" s="62"/>
      <c r="AP774" s="88"/>
      <c r="AQ774" s="88"/>
      <c r="AR774" s="88"/>
      <c r="AS774" s="99"/>
      <c r="AT774" s="99"/>
      <c r="AU774" s="99"/>
      <c r="AV774" s="99"/>
      <c r="AW774" s="99"/>
      <c r="AX774" s="99"/>
      <c r="AY774" s="99"/>
      <c r="AZ774" s="99"/>
      <c r="BA774" s="99"/>
      <c r="BB774" s="99"/>
      <c r="BC774" s="99"/>
      <c r="BD774" s="99"/>
      <c r="BE774" s="99"/>
      <c r="BF774" s="99"/>
      <c r="BG774" s="99"/>
      <c r="BH774" s="99"/>
      <c r="BI774" s="99"/>
      <c r="BJ774" s="99"/>
      <c r="BK774" s="99"/>
      <c r="BL774" s="99"/>
      <c r="BM774" s="99"/>
      <c r="BN774" s="99"/>
      <c r="BO774" s="99"/>
      <c r="BP774" s="99"/>
      <c r="BQ774" s="99"/>
      <c r="BR774" s="99"/>
      <c r="BS774" s="99"/>
      <c r="BT774" s="99"/>
      <c r="BU774" s="99"/>
      <c r="BV774" s="99"/>
      <c r="BW774" s="99"/>
      <c r="BX774" s="99"/>
      <c r="BY774" s="99"/>
      <c r="BZ774" s="99"/>
      <c r="CA774" s="99"/>
      <c r="CB774" s="99"/>
      <c r="CC774" s="99"/>
      <c r="CD774" s="99"/>
      <c r="CE774" s="99"/>
      <c r="CF774" s="99"/>
      <c r="CG774" s="99"/>
      <c r="CH774" s="99"/>
      <c r="CI774" s="99"/>
      <c r="CJ774" s="621"/>
      <c r="CK774" s="621"/>
      <c r="CL774" s="621"/>
    </row>
    <row r="775" spans="27:90">
      <c r="AA775" s="350"/>
      <c r="AB775" s="62"/>
      <c r="AC775" s="62"/>
      <c r="AD775" s="62"/>
      <c r="AP775" s="88"/>
      <c r="AQ775" s="88"/>
      <c r="AR775" s="88"/>
      <c r="AS775" s="99"/>
      <c r="AT775" s="99"/>
      <c r="AU775" s="99"/>
      <c r="AV775" s="99"/>
      <c r="AW775" s="99"/>
      <c r="AX775" s="99"/>
      <c r="AY775" s="99"/>
      <c r="AZ775" s="99"/>
      <c r="BA775" s="99"/>
      <c r="BB775" s="99"/>
      <c r="BC775" s="99"/>
      <c r="BD775" s="99"/>
      <c r="BE775" s="99"/>
      <c r="BF775" s="99"/>
      <c r="BG775" s="99"/>
      <c r="BH775" s="99"/>
      <c r="BI775" s="99"/>
      <c r="BJ775" s="99"/>
      <c r="BK775" s="99"/>
      <c r="BL775" s="99"/>
      <c r="BM775" s="99"/>
      <c r="BN775" s="99"/>
      <c r="BO775" s="99"/>
      <c r="BP775" s="99"/>
      <c r="BQ775" s="99"/>
      <c r="BR775" s="99"/>
      <c r="BS775" s="99"/>
      <c r="BT775" s="99"/>
      <c r="BU775" s="99"/>
      <c r="BV775" s="99"/>
      <c r="BW775" s="99"/>
      <c r="BX775" s="99"/>
      <c r="BY775" s="99"/>
      <c r="BZ775" s="99"/>
      <c r="CA775" s="99"/>
      <c r="CB775" s="99"/>
      <c r="CC775" s="99"/>
      <c r="CD775" s="99"/>
      <c r="CE775" s="99"/>
      <c r="CF775" s="99"/>
      <c r="CG775" s="99"/>
      <c r="CH775" s="99"/>
      <c r="CI775" s="99"/>
      <c r="CJ775" s="621"/>
      <c r="CK775" s="621"/>
      <c r="CL775" s="621"/>
    </row>
    <row r="776" spans="27:90">
      <c r="AA776" s="350"/>
      <c r="AB776" s="62"/>
      <c r="AC776" s="62"/>
      <c r="AD776" s="62"/>
      <c r="AP776" s="88"/>
      <c r="AQ776" s="88"/>
      <c r="AR776" s="88"/>
      <c r="AS776" s="99"/>
      <c r="AT776" s="99"/>
      <c r="AU776" s="99"/>
      <c r="AV776" s="99"/>
      <c r="AW776" s="99"/>
      <c r="AX776" s="99"/>
      <c r="AY776" s="99"/>
      <c r="AZ776" s="99"/>
      <c r="BA776" s="99"/>
      <c r="BB776" s="99"/>
      <c r="BC776" s="99"/>
      <c r="BD776" s="99"/>
      <c r="BE776" s="99"/>
      <c r="BF776" s="99"/>
      <c r="BG776" s="99"/>
      <c r="BH776" s="99"/>
      <c r="BI776" s="99"/>
      <c r="BJ776" s="99"/>
      <c r="BK776" s="99"/>
      <c r="BL776" s="99"/>
      <c r="BM776" s="99"/>
      <c r="BN776" s="99"/>
      <c r="BO776" s="99"/>
      <c r="BP776" s="99"/>
      <c r="BQ776" s="99"/>
      <c r="BR776" s="99"/>
      <c r="BS776" s="99"/>
      <c r="BT776" s="99"/>
      <c r="BU776" s="99"/>
      <c r="BV776" s="99"/>
      <c r="BW776" s="99"/>
      <c r="BX776" s="99"/>
      <c r="BY776" s="99"/>
      <c r="BZ776" s="99"/>
      <c r="CA776" s="99"/>
      <c r="CB776" s="99"/>
      <c r="CC776" s="99"/>
      <c r="CD776" s="99"/>
      <c r="CE776" s="99"/>
      <c r="CF776" s="99"/>
      <c r="CG776" s="99"/>
      <c r="CH776" s="99"/>
      <c r="CI776" s="99"/>
      <c r="CJ776" s="621"/>
      <c r="CK776" s="621"/>
      <c r="CL776" s="621"/>
    </row>
    <row r="777" spans="27:90">
      <c r="AA777" s="350"/>
      <c r="AB777" s="62"/>
      <c r="AC777" s="62"/>
      <c r="AD777" s="62"/>
      <c r="AP777" s="88"/>
      <c r="AQ777" s="88"/>
      <c r="AR777" s="88"/>
      <c r="AS777" s="99"/>
      <c r="AT777" s="99"/>
      <c r="AU777" s="99"/>
      <c r="AV777" s="99"/>
      <c r="AW777" s="99"/>
      <c r="AX777" s="99"/>
      <c r="AY777" s="99"/>
      <c r="AZ777" s="99"/>
      <c r="BA777" s="99"/>
      <c r="BB777" s="99"/>
      <c r="BC777" s="99"/>
      <c r="BD777" s="99"/>
      <c r="BE777" s="99"/>
      <c r="BF777" s="99"/>
      <c r="BG777" s="99"/>
      <c r="BH777" s="99"/>
      <c r="BI777" s="99"/>
      <c r="BJ777" s="99"/>
      <c r="BK777" s="99"/>
      <c r="BL777" s="99"/>
      <c r="BM777" s="99"/>
      <c r="BN777" s="99"/>
      <c r="BO777" s="99"/>
      <c r="BP777" s="99"/>
      <c r="BQ777" s="99"/>
      <c r="BR777" s="99"/>
      <c r="BS777" s="99"/>
      <c r="BT777" s="99"/>
      <c r="BU777" s="99"/>
      <c r="BV777" s="99"/>
      <c r="BW777" s="99"/>
      <c r="BX777" s="99"/>
      <c r="BY777" s="99"/>
      <c r="BZ777" s="99"/>
      <c r="CA777" s="99"/>
      <c r="CB777" s="99"/>
      <c r="CC777" s="99"/>
      <c r="CD777" s="99"/>
      <c r="CE777" s="99"/>
      <c r="CF777" s="99"/>
      <c r="CG777" s="99"/>
      <c r="CH777" s="99"/>
      <c r="CI777" s="99"/>
      <c r="CJ777" s="621"/>
      <c r="CK777" s="621"/>
      <c r="CL777" s="621"/>
    </row>
    <row r="778" spans="27:90">
      <c r="AA778" s="350"/>
      <c r="AB778" s="62"/>
      <c r="AC778" s="62"/>
      <c r="AD778" s="62"/>
      <c r="AP778" s="88"/>
      <c r="AQ778" s="88"/>
      <c r="AR778" s="88"/>
      <c r="AS778" s="99"/>
      <c r="AT778" s="99"/>
      <c r="AU778" s="99"/>
      <c r="AV778" s="99"/>
      <c r="AW778" s="99"/>
      <c r="AX778" s="99"/>
      <c r="AY778" s="99"/>
      <c r="AZ778" s="99"/>
      <c r="BA778" s="99"/>
      <c r="BB778" s="99"/>
      <c r="BC778" s="99"/>
      <c r="BD778" s="99"/>
      <c r="BE778" s="99"/>
      <c r="BF778" s="99"/>
      <c r="BG778" s="99"/>
      <c r="BH778" s="99"/>
      <c r="BI778" s="99"/>
      <c r="BJ778" s="99"/>
      <c r="BK778" s="99"/>
      <c r="BL778" s="99"/>
      <c r="BM778" s="99"/>
      <c r="BN778" s="99"/>
      <c r="BO778" s="99"/>
      <c r="BP778" s="99"/>
      <c r="BQ778" s="99"/>
      <c r="BR778" s="99"/>
      <c r="BS778" s="99"/>
      <c r="BT778" s="99"/>
      <c r="BU778" s="99"/>
      <c r="BV778" s="99"/>
      <c r="BW778" s="99"/>
      <c r="BX778" s="99"/>
      <c r="BY778" s="99"/>
      <c r="BZ778" s="99"/>
      <c r="CA778" s="99"/>
      <c r="CB778" s="99"/>
      <c r="CC778" s="99"/>
      <c r="CD778" s="99"/>
      <c r="CE778" s="99"/>
      <c r="CF778" s="99"/>
      <c r="CG778" s="99"/>
      <c r="CH778" s="99"/>
      <c r="CI778" s="99"/>
      <c r="CJ778" s="621"/>
      <c r="CK778" s="621"/>
      <c r="CL778" s="621"/>
    </row>
    <row r="779" spans="27:90">
      <c r="AA779" s="350"/>
      <c r="AB779" s="62"/>
      <c r="AC779" s="62"/>
      <c r="AD779" s="62"/>
      <c r="AP779" s="88"/>
      <c r="AQ779" s="88"/>
      <c r="AR779" s="88"/>
      <c r="AS779" s="99"/>
      <c r="AT779" s="99"/>
      <c r="AU779" s="99"/>
      <c r="AV779" s="99"/>
      <c r="AW779" s="99"/>
      <c r="AX779" s="99"/>
      <c r="AY779" s="99"/>
      <c r="AZ779" s="99"/>
      <c r="BA779" s="99"/>
      <c r="BB779" s="99"/>
      <c r="BC779" s="99"/>
      <c r="BD779" s="99"/>
      <c r="BE779" s="99"/>
      <c r="BF779" s="99"/>
      <c r="BG779" s="99"/>
      <c r="BH779" s="99"/>
      <c r="BI779" s="99"/>
      <c r="BJ779" s="99"/>
      <c r="BK779" s="99"/>
      <c r="BL779" s="99"/>
      <c r="BM779" s="99"/>
      <c r="BN779" s="99"/>
      <c r="BO779" s="99"/>
      <c r="BP779" s="99"/>
      <c r="BQ779" s="99"/>
      <c r="BR779" s="99"/>
      <c r="BS779" s="99"/>
      <c r="BT779" s="99"/>
      <c r="BU779" s="99"/>
      <c r="BV779" s="99"/>
      <c r="BW779" s="99"/>
      <c r="BX779" s="99"/>
      <c r="BY779" s="99"/>
      <c r="BZ779" s="99"/>
      <c r="CA779" s="99"/>
      <c r="CB779" s="99"/>
      <c r="CC779" s="99"/>
      <c r="CD779" s="99"/>
      <c r="CE779" s="99"/>
      <c r="CF779" s="99"/>
      <c r="CG779" s="99"/>
      <c r="CH779" s="99"/>
      <c r="CI779" s="99"/>
      <c r="CJ779" s="621"/>
      <c r="CK779" s="621"/>
      <c r="CL779" s="621"/>
    </row>
    <row r="780" spans="27:90">
      <c r="AA780" s="350"/>
      <c r="AB780" s="62"/>
      <c r="AC780" s="62"/>
      <c r="AD780" s="62"/>
      <c r="AP780" s="88"/>
      <c r="AQ780" s="88"/>
      <c r="AR780" s="88"/>
      <c r="AS780" s="99"/>
      <c r="AT780" s="99"/>
      <c r="AU780" s="99"/>
      <c r="AV780" s="99"/>
      <c r="AW780" s="99"/>
      <c r="AX780" s="99"/>
      <c r="AY780" s="99"/>
      <c r="AZ780" s="99"/>
      <c r="BA780" s="99"/>
      <c r="BB780" s="99"/>
      <c r="BC780" s="99"/>
      <c r="BD780" s="99"/>
      <c r="BE780" s="99"/>
      <c r="BF780" s="99"/>
      <c r="BG780" s="99"/>
      <c r="BH780" s="99"/>
      <c r="BI780" s="99"/>
      <c r="BJ780" s="99"/>
      <c r="BK780" s="99"/>
      <c r="BL780" s="99"/>
      <c r="BM780" s="99"/>
      <c r="BN780" s="99"/>
      <c r="BO780" s="99"/>
      <c r="BP780" s="99"/>
      <c r="BQ780" s="99"/>
      <c r="BR780" s="99"/>
      <c r="BS780" s="99"/>
      <c r="BT780" s="99"/>
      <c r="BU780" s="99"/>
      <c r="BV780" s="99"/>
      <c r="BW780" s="99"/>
      <c r="BX780" s="99"/>
      <c r="BY780" s="99"/>
      <c r="BZ780" s="99"/>
      <c r="CA780" s="99"/>
      <c r="CB780" s="99"/>
      <c r="CC780" s="99"/>
      <c r="CD780" s="99"/>
      <c r="CE780" s="99"/>
      <c r="CF780" s="99"/>
      <c r="CG780" s="99"/>
      <c r="CH780" s="99"/>
      <c r="CI780" s="99"/>
      <c r="CJ780" s="621"/>
      <c r="CK780" s="621"/>
      <c r="CL780" s="621"/>
    </row>
    <row r="781" spans="27:90">
      <c r="AA781" s="350"/>
      <c r="AB781" s="62"/>
      <c r="AC781" s="62"/>
      <c r="AD781" s="62"/>
      <c r="AP781" s="88"/>
      <c r="AQ781" s="88"/>
      <c r="AR781" s="88"/>
      <c r="AS781" s="99"/>
      <c r="AT781" s="99"/>
      <c r="AU781" s="99"/>
      <c r="AV781" s="99"/>
      <c r="AW781" s="99"/>
      <c r="AX781" s="99"/>
      <c r="AY781" s="99"/>
      <c r="AZ781" s="99"/>
      <c r="BA781" s="99"/>
      <c r="BB781" s="99"/>
      <c r="BC781" s="99"/>
      <c r="BD781" s="99"/>
      <c r="BE781" s="99"/>
      <c r="BF781" s="99"/>
      <c r="BG781" s="99"/>
      <c r="BH781" s="99"/>
      <c r="BI781" s="99"/>
      <c r="BJ781" s="99"/>
      <c r="BK781" s="99"/>
      <c r="BL781" s="99"/>
      <c r="BM781" s="99"/>
      <c r="BN781" s="99"/>
      <c r="BO781" s="99"/>
      <c r="BP781" s="99"/>
      <c r="BQ781" s="99"/>
      <c r="BR781" s="99"/>
      <c r="BS781" s="99"/>
      <c r="BT781" s="99"/>
      <c r="BU781" s="99"/>
      <c r="BV781" s="99"/>
      <c r="BW781" s="99"/>
      <c r="BX781" s="99"/>
      <c r="BY781" s="99"/>
      <c r="BZ781" s="99"/>
      <c r="CA781" s="99"/>
      <c r="CB781" s="99"/>
      <c r="CC781" s="99"/>
      <c r="CD781" s="99"/>
      <c r="CE781" s="99"/>
      <c r="CF781" s="99"/>
      <c r="CG781" s="99"/>
      <c r="CH781" s="99"/>
      <c r="CI781" s="99"/>
      <c r="CJ781" s="621"/>
      <c r="CK781" s="621"/>
      <c r="CL781" s="621"/>
    </row>
    <row r="782" spans="27:90">
      <c r="AA782" s="350"/>
      <c r="AB782" s="62"/>
      <c r="AC782" s="62"/>
      <c r="AD782" s="62"/>
      <c r="AP782" s="88"/>
      <c r="AQ782" s="88"/>
      <c r="AR782" s="88"/>
      <c r="AS782" s="99"/>
      <c r="AT782" s="99"/>
      <c r="AU782" s="99"/>
      <c r="AV782" s="99"/>
      <c r="AW782" s="99"/>
      <c r="AX782" s="99"/>
      <c r="AY782" s="99"/>
      <c r="AZ782" s="99"/>
      <c r="BA782" s="99"/>
      <c r="BB782" s="99"/>
      <c r="BC782" s="99"/>
      <c r="BD782" s="99"/>
      <c r="BE782" s="99"/>
      <c r="BF782" s="99"/>
      <c r="BG782" s="99"/>
      <c r="BH782" s="99"/>
      <c r="BI782" s="99"/>
      <c r="BJ782" s="99"/>
      <c r="BK782" s="99"/>
      <c r="BL782" s="99"/>
      <c r="BM782" s="99"/>
      <c r="BN782" s="99"/>
      <c r="BO782" s="99"/>
      <c r="BP782" s="99"/>
      <c r="BQ782" s="99"/>
      <c r="BR782" s="99"/>
      <c r="BS782" s="99"/>
      <c r="BT782" s="99"/>
      <c r="BU782" s="99"/>
      <c r="BV782" s="99"/>
      <c r="BW782" s="99"/>
      <c r="BX782" s="99"/>
      <c r="BY782" s="99"/>
      <c r="BZ782" s="99"/>
      <c r="CA782" s="99"/>
      <c r="CB782" s="99"/>
      <c r="CC782" s="99"/>
      <c r="CD782" s="99"/>
      <c r="CE782" s="99"/>
      <c r="CF782" s="99"/>
      <c r="CG782" s="99"/>
      <c r="CH782" s="99"/>
      <c r="CI782" s="99"/>
      <c r="CJ782" s="621"/>
      <c r="CK782" s="621"/>
      <c r="CL782" s="621"/>
    </row>
    <row r="783" spans="27:90">
      <c r="AA783" s="350"/>
      <c r="AB783" s="62"/>
      <c r="AC783" s="62"/>
      <c r="AD783" s="62"/>
      <c r="AP783" s="88"/>
      <c r="AQ783" s="88"/>
      <c r="AR783" s="88"/>
      <c r="AS783" s="99"/>
      <c r="AT783" s="99"/>
      <c r="AU783" s="99"/>
      <c r="AV783" s="99"/>
      <c r="AW783" s="99"/>
      <c r="AX783" s="99"/>
      <c r="AY783" s="99"/>
      <c r="AZ783" s="99"/>
      <c r="BA783" s="99"/>
      <c r="BB783" s="99"/>
      <c r="BC783" s="99"/>
      <c r="BD783" s="99"/>
      <c r="BE783" s="99"/>
      <c r="BF783" s="99"/>
      <c r="BG783" s="99"/>
      <c r="BH783" s="99"/>
      <c r="BI783" s="99"/>
      <c r="BJ783" s="99"/>
      <c r="BK783" s="99"/>
      <c r="BL783" s="99"/>
      <c r="BM783" s="99"/>
      <c r="BN783" s="99"/>
      <c r="BO783" s="99"/>
      <c r="BP783" s="99"/>
      <c r="BQ783" s="99"/>
      <c r="BR783" s="99"/>
      <c r="BS783" s="99"/>
      <c r="BT783" s="99"/>
      <c r="BU783" s="99"/>
      <c r="BV783" s="99"/>
      <c r="BW783" s="99"/>
      <c r="BX783" s="99"/>
      <c r="BY783" s="99"/>
      <c r="BZ783" s="99"/>
      <c r="CA783" s="99"/>
      <c r="CB783" s="99"/>
      <c r="CC783" s="99"/>
      <c r="CD783" s="99"/>
      <c r="CE783" s="99"/>
      <c r="CF783" s="99"/>
      <c r="CG783" s="99"/>
      <c r="CH783" s="99"/>
      <c r="CI783" s="99"/>
      <c r="CJ783" s="621"/>
      <c r="CK783" s="621"/>
      <c r="CL783" s="621"/>
    </row>
    <row r="784" spans="27:90">
      <c r="AA784" s="350"/>
      <c r="AB784" s="62"/>
      <c r="AC784" s="62"/>
      <c r="AD784" s="62"/>
      <c r="AP784" s="88"/>
      <c r="AQ784" s="88"/>
      <c r="AR784" s="88"/>
      <c r="AS784" s="99"/>
      <c r="AT784" s="99"/>
      <c r="AU784" s="99"/>
      <c r="AV784" s="99"/>
      <c r="AW784" s="99"/>
      <c r="AX784" s="99"/>
      <c r="AY784" s="99"/>
      <c r="AZ784" s="99"/>
      <c r="BA784" s="99"/>
      <c r="BB784" s="99"/>
      <c r="BC784" s="99"/>
      <c r="BD784" s="99"/>
      <c r="BE784" s="99"/>
      <c r="BF784" s="99"/>
      <c r="BG784" s="99"/>
      <c r="BH784" s="99"/>
      <c r="BI784" s="99"/>
      <c r="BJ784" s="99"/>
      <c r="BK784" s="99"/>
      <c r="BL784" s="99"/>
      <c r="BM784" s="99"/>
      <c r="BN784" s="99"/>
      <c r="BO784" s="99"/>
      <c r="BP784" s="99"/>
      <c r="BQ784" s="99"/>
      <c r="BR784" s="99"/>
      <c r="BS784" s="99"/>
      <c r="BT784" s="99"/>
      <c r="BU784" s="99"/>
      <c r="BV784" s="99"/>
      <c r="BW784" s="99"/>
      <c r="BX784" s="99"/>
      <c r="BY784" s="99"/>
      <c r="BZ784" s="99"/>
      <c r="CA784" s="99"/>
      <c r="CB784" s="99"/>
      <c r="CC784" s="99"/>
      <c r="CD784" s="99"/>
      <c r="CE784" s="99"/>
      <c r="CF784" s="99"/>
      <c r="CG784" s="99"/>
      <c r="CH784" s="99"/>
      <c r="CI784" s="99"/>
      <c r="CJ784" s="621"/>
      <c r="CK784" s="621"/>
      <c r="CL784" s="621"/>
    </row>
    <row r="785" spans="27:90">
      <c r="AA785" s="350"/>
      <c r="AB785" s="62"/>
      <c r="AC785" s="62"/>
      <c r="AD785" s="62"/>
      <c r="AP785" s="88"/>
      <c r="AQ785" s="88"/>
      <c r="AR785" s="88"/>
      <c r="AS785" s="99"/>
      <c r="AT785" s="99"/>
      <c r="AU785" s="99"/>
      <c r="AV785" s="99"/>
      <c r="AW785" s="99"/>
      <c r="AX785" s="99"/>
      <c r="AY785" s="99"/>
      <c r="AZ785" s="99"/>
      <c r="BA785" s="99"/>
      <c r="BB785" s="99"/>
      <c r="BC785" s="99"/>
      <c r="BD785" s="99"/>
      <c r="BE785" s="99"/>
      <c r="BF785" s="99"/>
      <c r="BG785" s="99"/>
      <c r="BH785" s="99"/>
      <c r="BI785" s="99"/>
      <c r="BJ785" s="99"/>
      <c r="BK785" s="99"/>
      <c r="BL785" s="99"/>
      <c r="BM785" s="99"/>
      <c r="BN785" s="99"/>
      <c r="BO785" s="99"/>
      <c r="BP785" s="99"/>
      <c r="BQ785" s="99"/>
      <c r="BR785" s="99"/>
      <c r="BS785" s="99"/>
      <c r="BT785" s="99"/>
      <c r="BU785" s="99"/>
      <c r="BV785" s="99"/>
      <c r="BW785" s="99"/>
      <c r="BX785" s="99"/>
      <c r="BY785" s="99"/>
      <c r="BZ785" s="99"/>
      <c r="CA785" s="99"/>
      <c r="CB785" s="99"/>
      <c r="CC785" s="99"/>
      <c r="CD785" s="99"/>
      <c r="CE785" s="99"/>
      <c r="CF785" s="99"/>
      <c r="CG785" s="99"/>
      <c r="CH785" s="99"/>
      <c r="CI785" s="99"/>
      <c r="CJ785" s="621"/>
      <c r="CK785" s="621"/>
      <c r="CL785" s="621"/>
    </row>
    <row r="786" spans="27:90">
      <c r="AA786" s="350"/>
      <c r="AB786" s="62"/>
      <c r="AC786" s="62"/>
      <c r="AD786" s="62"/>
      <c r="AP786" s="88"/>
      <c r="AQ786" s="88"/>
      <c r="AR786" s="88"/>
      <c r="AS786" s="99"/>
      <c r="AT786" s="99"/>
      <c r="AU786" s="99"/>
      <c r="AV786" s="99"/>
      <c r="AW786" s="99"/>
      <c r="AX786" s="99"/>
      <c r="AY786" s="99"/>
      <c r="AZ786" s="99"/>
      <c r="BA786" s="99"/>
      <c r="BB786" s="99"/>
      <c r="BC786" s="99"/>
      <c r="BD786" s="99"/>
      <c r="BE786" s="99"/>
      <c r="BF786" s="99"/>
      <c r="BG786" s="99"/>
      <c r="BH786" s="99"/>
      <c r="BI786" s="99"/>
      <c r="BJ786" s="99"/>
      <c r="BK786" s="99"/>
      <c r="BL786" s="99"/>
      <c r="BM786" s="99"/>
      <c r="BN786" s="99"/>
      <c r="BO786" s="99"/>
      <c r="BP786" s="99"/>
      <c r="BQ786" s="99"/>
      <c r="BR786" s="99"/>
      <c r="BS786" s="99"/>
      <c r="BT786" s="99"/>
      <c r="BU786" s="99"/>
      <c r="BV786" s="99"/>
      <c r="BW786" s="99"/>
      <c r="BX786" s="99"/>
      <c r="BY786" s="99"/>
      <c r="BZ786" s="99"/>
      <c r="CA786" s="99"/>
      <c r="CB786" s="99"/>
      <c r="CC786" s="99"/>
      <c r="CD786" s="99"/>
      <c r="CE786" s="99"/>
      <c r="CF786" s="99"/>
      <c r="CG786" s="99"/>
      <c r="CH786" s="99"/>
      <c r="CI786" s="99"/>
      <c r="CJ786" s="621"/>
      <c r="CK786" s="621"/>
      <c r="CL786" s="621"/>
    </row>
    <row r="787" spans="27:90">
      <c r="AA787" s="350"/>
      <c r="AB787" s="62"/>
      <c r="AC787" s="62"/>
      <c r="AD787" s="62"/>
      <c r="AP787" s="88"/>
      <c r="AQ787" s="88"/>
      <c r="AR787" s="88"/>
      <c r="AS787" s="99"/>
      <c r="AT787" s="99"/>
      <c r="AU787" s="99"/>
      <c r="AV787" s="99"/>
      <c r="AW787" s="99"/>
      <c r="AX787" s="99"/>
      <c r="AY787" s="99"/>
      <c r="AZ787" s="99"/>
      <c r="BA787" s="99"/>
      <c r="BB787" s="99"/>
      <c r="BC787" s="99"/>
      <c r="BD787" s="99"/>
      <c r="BE787" s="99"/>
      <c r="BF787" s="99"/>
      <c r="BG787" s="99"/>
      <c r="BH787" s="99"/>
      <c r="BI787" s="99"/>
      <c r="BJ787" s="99"/>
      <c r="BK787" s="99"/>
      <c r="BL787" s="99"/>
      <c r="BM787" s="99"/>
      <c r="BN787" s="99"/>
      <c r="BO787" s="99"/>
      <c r="BP787" s="99"/>
      <c r="BQ787" s="99"/>
      <c r="BR787" s="99"/>
      <c r="BS787" s="99"/>
      <c r="BT787" s="99"/>
      <c r="BU787" s="99"/>
      <c r="BV787" s="99"/>
      <c r="BW787" s="99"/>
      <c r="BX787" s="99"/>
      <c r="BY787" s="99"/>
      <c r="BZ787" s="99"/>
      <c r="CA787" s="99"/>
      <c r="CB787" s="99"/>
      <c r="CC787" s="99"/>
      <c r="CD787" s="99"/>
      <c r="CE787" s="99"/>
      <c r="CF787" s="99"/>
      <c r="CG787" s="99"/>
      <c r="CH787" s="99"/>
      <c r="CI787" s="99"/>
      <c r="CJ787" s="621"/>
      <c r="CK787" s="621"/>
      <c r="CL787" s="621"/>
    </row>
    <row r="788" spans="27:90">
      <c r="AA788" s="350"/>
      <c r="AB788" s="62"/>
      <c r="AC788" s="62"/>
      <c r="AD788" s="62"/>
      <c r="AP788" s="88"/>
      <c r="AQ788" s="88"/>
      <c r="AR788" s="88"/>
      <c r="AS788" s="99"/>
      <c r="AT788" s="99"/>
      <c r="AU788" s="99"/>
      <c r="AV788" s="99"/>
      <c r="AW788" s="99"/>
      <c r="AX788" s="99"/>
      <c r="AY788" s="99"/>
      <c r="AZ788" s="99"/>
      <c r="BA788" s="99"/>
      <c r="BB788" s="99"/>
      <c r="BC788" s="99"/>
      <c r="BD788" s="99"/>
      <c r="BE788" s="99"/>
      <c r="BF788" s="99"/>
      <c r="BG788" s="99"/>
      <c r="BH788" s="99"/>
      <c r="BI788" s="99"/>
      <c r="BJ788" s="99"/>
      <c r="BK788" s="99"/>
      <c r="BL788" s="99"/>
      <c r="BM788" s="99"/>
      <c r="BN788" s="99"/>
      <c r="BO788" s="99"/>
      <c r="BP788" s="99"/>
      <c r="BQ788" s="99"/>
      <c r="BR788" s="99"/>
      <c r="BS788" s="99"/>
      <c r="BT788" s="99"/>
      <c r="BU788" s="99"/>
      <c r="BV788" s="99"/>
      <c r="BW788" s="99"/>
      <c r="BX788" s="99"/>
      <c r="BY788" s="99"/>
      <c r="BZ788" s="99"/>
      <c r="CA788" s="99"/>
      <c r="CB788" s="99"/>
      <c r="CC788" s="99"/>
      <c r="CD788" s="99"/>
      <c r="CE788" s="99"/>
      <c r="CF788" s="99"/>
      <c r="CG788" s="99"/>
      <c r="CH788" s="99"/>
      <c r="CI788" s="99"/>
      <c r="CJ788" s="621"/>
      <c r="CK788" s="621"/>
      <c r="CL788" s="621"/>
    </row>
    <row r="789" spans="27:90">
      <c r="AA789" s="350"/>
      <c r="AB789" s="62"/>
      <c r="AC789" s="62"/>
      <c r="AD789" s="62"/>
      <c r="AP789" s="88"/>
      <c r="AQ789" s="88"/>
      <c r="AR789" s="88"/>
      <c r="AS789" s="99"/>
      <c r="AT789" s="99"/>
      <c r="AU789" s="99"/>
      <c r="AV789" s="99"/>
      <c r="AW789" s="99"/>
      <c r="AX789" s="99"/>
      <c r="AY789" s="99"/>
      <c r="AZ789" s="99"/>
      <c r="BA789" s="99"/>
      <c r="BB789" s="99"/>
      <c r="BC789" s="99"/>
      <c r="BD789" s="99"/>
      <c r="BE789" s="99"/>
      <c r="BF789" s="99"/>
      <c r="BG789" s="99"/>
      <c r="BH789" s="99"/>
      <c r="BI789" s="99"/>
      <c r="BJ789" s="99"/>
      <c r="BK789" s="99"/>
      <c r="BL789" s="99"/>
      <c r="BM789" s="99"/>
      <c r="BN789" s="99"/>
      <c r="BO789" s="99"/>
      <c r="BP789" s="99"/>
      <c r="BQ789" s="99"/>
      <c r="BR789" s="99"/>
      <c r="BS789" s="99"/>
      <c r="BT789" s="99"/>
      <c r="BU789" s="99"/>
      <c r="BV789" s="99"/>
      <c r="BW789" s="99"/>
      <c r="BX789" s="99"/>
      <c r="BY789" s="99"/>
      <c r="BZ789" s="99"/>
      <c r="CA789" s="99"/>
      <c r="CB789" s="99"/>
      <c r="CC789" s="99"/>
      <c r="CD789" s="99"/>
      <c r="CE789" s="99"/>
      <c r="CF789" s="99"/>
      <c r="CG789" s="99"/>
      <c r="CH789" s="99"/>
      <c r="CI789" s="99"/>
      <c r="CJ789" s="621"/>
      <c r="CK789" s="621"/>
      <c r="CL789" s="621"/>
    </row>
    <row r="790" spans="27:90">
      <c r="AA790" s="350"/>
      <c r="AB790" s="62"/>
      <c r="AC790" s="62"/>
      <c r="AD790" s="62"/>
      <c r="AP790" s="88"/>
      <c r="AQ790" s="88"/>
      <c r="AR790" s="88"/>
      <c r="AS790" s="99"/>
      <c r="AT790" s="99"/>
      <c r="AU790" s="99"/>
      <c r="AV790" s="99"/>
      <c r="AW790" s="99"/>
      <c r="AX790" s="99"/>
      <c r="AY790" s="99"/>
      <c r="AZ790" s="99"/>
      <c r="BA790" s="99"/>
      <c r="BB790" s="99"/>
      <c r="BC790" s="99"/>
      <c r="BD790" s="99"/>
      <c r="BE790" s="99"/>
      <c r="BF790" s="99"/>
      <c r="BG790" s="99"/>
      <c r="BH790" s="99"/>
      <c r="BI790" s="99"/>
      <c r="BJ790" s="99"/>
      <c r="BK790" s="99"/>
      <c r="BL790" s="99"/>
      <c r="BM790" s="99"/>
      <c r="BN790" s="99"/>
      <c r="BO790" s="99"/>
      <c r="BP790" s="99"/>
      <c r="BQ790" s="99"/>
      <c r="BR790" s="99"/>
      <c r="BS790" s="99"/>
      <c r="BT790" s="99"/>
      <c r="BU790" s="99"/>
      <c r="BV790" s="99"/>
      <c r="BW790" s="99"/>
      <c r="BX790" s="99"/>
      <c r="BY790" s="99"/>
      <c r="BZ790" s="99"/>
      <c r="CA790" s="99"/>
      <c r="CB790" s="99"/>
      <c r="CC790" s="99"/>
      <c r="CD790" s="99"/>
      <c r="CE790" s="99"/>
      <c r="CF790" s="99"/>
      <c r="CG790" s="99"/>
      <c r="CH790" s="99"/>
      <c r="CI790" s="99"/>
      <c r="CJ790" s="621"/>
      <c r="CK790" s="621"/>
      <c r="CL790" s="621"/>
    </row>
    <row r="791" spans="27:90">
      <c r="AA791" s="350"/>
      <c r="AB791" s="62"/>
      <c r="AC791" s="62"/>
      <c r="AD791" s="62"/>
      <c r="AP791" s="88"/>
      <c r="AQ791" s="88"/>
      <c r="AR791" s="88"/>
      <c r="AS791" s="99"/>
      <c r="AT791" s="99"/>
      <c r="AU791" s="99"/>
      <c r="AV791" s="99"/>
      <c r="AW791" s="99"/>
      <c r="AX791" s="99"/>
      <c r="AY791" s="99"/>
      <c r="AZ791" s="99"/>
      <c r="BA791" s="99"/>
      <c r="BB791" s="99"/>
      <c r="BC791" s="99"/>
      <c r="BD791" s="99"/>
      <c r="BE791" s="99"/>
      <c r="BF791" s="99"/>
      <c r="BG791" s="99"/>
      <c r="BH791" s="99"/>
      <c r="BI791" s="99"/>
      <c r="BJ791" s="99"/>
      <c r="BK791" s="99"/>
      <c r="BL791" s="99"/>
      <c r="BM791" s="99"/>
      <c r="BN791" s="99"/>
      <c r="BO791" s="99"/>
      <c r="BP791" s="99"/>
      <c r="BQ791" s="99"/>
      <c r="BR791" s="99"/>
      <c r="BS791" s="99"/>
      <c r="BT791" s="99"/>
      <c r="BU791" s="99"/>
      <c r="BV791" s="99"/>
      <c r="BW791" s="99"/>
      <c r="BX791" s="99"/>
      <c r="BY791" s="99"/>
      <c r="BZ791" s="99"/>
      <c r="CA791" s="99"/>
      <c r="CB791" s="99"/>
      <c r="CC791" s="99"/>
      <c r="CD791" s="99"/>
      <c r="CE791" s="99"/>
      <c r="CF791" s="99"/>
      <c r="CG791" s="99"/>
      <c r="CH791" s="99"/>
      <c r="CI791" s="99"/>
      <c r="CJ791" s="621"/>
      <c r="CK791" s="621"/>
      <c r="CL791" s="621"/>
    </row>
    <row r="792" spans="27:90">
      <c r="AA792" s="350"/>
      <c r="AB792" s="62"/>
      <c r="AC792" s="62"/>
      <c r="AD792" s="62"/>
      <c r="AP792" s="88"/>
      <c r="AQ792" s="88"/>
      <c r="AR792" s="88"/>
      <c r="AS792" s="99"/>
      <c r="AT792" s="99"/>
      <c r="AU792" s="99"/>
      <c r="AV792" s="99"/>
      <c r="AW792" s="99"/>
      <c r="AX792" s="99"/>
      <c r="AY792" s="99"/>
      <c r="AZ792" s="99"/>
      <c r="BA792" s="99"/>
      <c r="BB792" s="99"/>
      <c r="BC792" s="99"/>
      <c r="BD792" s="99"/>
      <c r="BE792" s="99"/>
      <c r="BF792" s="99"/>
      <c r="BG792" s="99"/>
      <c r="BH792" s="99"/>
      <c r="BI792" s="99"/>
      <c r="BJ792" s="99"/>
      <c r="BK792" s="99"/>
      <c r="BL792" s="99"/>
      <c r="BM792" s="99"/>
      <c r="BN792" s="99"/>
      <c r="BO792" s="99"/>
      <c r="BP792" s="99"/>
      <c r="BQ792" s="99"/>
      <c r="BR792" s="99"/>
      <c r="BS792" s="99"/>
      <c r="BT792" s="99"/>
      <c r="BU792" s="99"/>
      <c r="BV792" s="99"/>
      <c r="BW792" s="99"/>
      <c r="BX792" s="99"/>
      <c r="BY792" s="99"/>
      <c r="BZ792" s="99"/>
      <c r="CA792" s="99"/>
      <c r="CB792" s="99"/>
      <c r="CC792" s="99"/>
      <c r="CD792" s="99"/>
      <c r="CE792" s="99"/>
      <c r="CF792" s="99"/>
      <c r="CG792" s="99"/>
      <c r="CH792" s="99"/>
      <c r="CI792" s="99"/>
      <c r="CJ792" s="621"/>
      <c r="CK792" s="621"/>
      <c r="CL792" s="621"/>
    </row>
    <row r="793" spans="27:90">
      <c r="AA793" s="350"/>
      <c r="AB793" s="62"/>
      <c r="AC793" s="62"/>
      <c r="AD793" s="62"/>
      <c r="AP793" s="88"/>
      <c r="AQ793" s="88"/>
      <c r="AR793" s="88"/>
      <c r="AS793" s="99"/>
      <c r="AT793" s="99"/>
      <c r="AU793" s="99"/>
      <c r="AV793" s="99"/>
      <c r="AW793" s="99"/>
      <c r="AX793" s="99"/>
      <c r="AY793" s="99"/>
      <c r="AZ793" s="99"/>
      <c r="BA793" s="99"/>
      <c r="BB793" s="99"/>
      <c r="BC793" s="99"/>
      <c r="BD793" s="99"/>
      <c r="BE793" s="99"/>
      <c r="BF793" s="99"/>
      <c r="BG793" s="99"/>
      <c r="BH793" s="99"/>
      <c r="BI793" s="99"/>
      <c r="BJ793" s="99"/>
      <c r="BK793" s="99"/>
      <c r="BL793" s="99"/>
      <c r="BM793" s="99"/>
      <c r="BN793" s="99"/>
      <c r="BO793" s="99"/>
      <c r="BP793" s="99"/>
      <c r="BQ793" s="99"/>
      <c r="BR793" s="99"/>
      <c r="BS793" s="99"/>
      <c r="BT793" s="99"/>
      <c r="BU793" s="99"/>
      <c r="BV793" s="99"/>
      <c r="BW793" s="99"/>
      <c r="BX793" s="99"/>
      <c r="BY793" s="99"/>
      <c r="BZ793" s="99"/>
      <c r="CA793" s="99"/>
      <c r="CB793" s="99"/>
      <c r="CC793" s="99"/>
      <c r="CD793" s="99"/>
      <c r="CE793" s="99"/>
      <c r="CF793" s="99"/>
      <c r="CG793" s="99"/>
      <c r="CH793" s="99"/>
      <c r="CI793" s="99"/>
      <c r="CJ793" s="621"/>
      <c r="CK793" s="621"/>
      <c r="CL793" s="621"/>
    </row>
    <row r="794" spans="27:90">
      <c r="AA794" s="350"/>
      <c r="AB794" s="62"/>
      <c r="AC794" s="62"/>
      <c r="AD794" s="62"/>
      <c r="AP794" s="88"/>
      <c r="AQ794" s="88"/>
      <c r="AR794" s="88"/>
      <c r="AS794" s="99"/>
      <c r="AT794" s="99"/>
      <c r="AU794" s="99"/>
      <c r="AV794" s="99"/>
      <c r="AW794" s="99"/>
      <c r="AX794" s="99"/>
      <c r="AY794" s="99"/>
      <c r="AZ794" s="99"/>
      <c r="BA794" s="99"/>
      <c r="BB794" s="99"/>
      <c r="BC794" s="99"/>
      <c r="BD794" s="99"/>
      <c r="BE794" s="99"/>
      <c r="BF794" s="99"/>
      <c r="BG794" s="99"/>
      <c r="BH794" s="99"/>
      <c r="BI794" s="99"/>
      <c r="BJ794" s="99"/>
      <c r="BK794" s="99"/>
      <c r="BL794" s="99"/>
      <c r="BM794" s="99"/>
      <c r="BN794" s="99"/>
      <c r="BO794" s="99"/>
      <c r="BP794" s="99"/>
      <c r="BQ794" s="99"/>
      <c r="BR794" s="99"/>
      <c r="BS794" s="99"/>
      <c r="BT794" s="99"/>
      <c r="BU794" s="99"/>
      <c r="BV794" s="99"/>
      <c r="BW794" s="99"/>
      <c r="BX794" s="99"/>
      <c r="BY794" s="99"/>
      <c r="BZ794" s="99"/>
      <c r="CA794" s="99"/>
      <c r="CB794" s="99"/>
      <c r="CC794" s="99"/>
      <c r="CD794" s="99"/>
      <c r="CE794" s="99"/>
      <c r="CF794" s="99"/>
      <c r="CG794" s="99"/>
      <c r="CH794" s="99"/>
      <c r="CI794" s="99"/>
      <c r="CJ794" s="621"/>
      <c r="CK794" s="621"/>
      <c r="CL794" s="621"/>
    </row>
    <row r="795" spans="27:90">
      <c r="AA795" s="350"/>
      <c r="AB795" s="62"/>
      <c r="AC795" s="62"/>
      <c r="AD795" s="62"/>
      <c r="AP795" s="88"/>
      <c r="AQ795" s="88"/>
      <c r="AR795" s="88"/>
      <c r="AS795" s="99"/>
      <c r="AT795" s="99"/>
      <c r="AU795" s="99"/>
      <c r="AV795" s="99"/>
      <c r="AW795" s="99"/>
      <c r="AX795" s="99"/>
      <c r="AY795" s="99"/>
      <c r="AZ795" s="99"/>
      <c r="BA795" s="99"/>
      <c r="BB795" s="99"/>
      <c r="BC795" s="99"/>
      <c r="BD795" s="99"/>
      <c r="BE795" s="99"/>
      <c r="BF795" s="99"/>
      <c r="BG795" s="99"/>
      <c r="BH795" s="99"/>
      <c r="BI795" s="99"/>
      <c r="BJ795" s="99"/>
      <c r="BK795" s="99"/>
      <c r="BL795" s="99"/>
      <c r="BM795" s="99"/>
      <c r="BN795" s="99"/>
      <c r="BO795" s="99"/>
      <c r="BP795" s="99"/>
      <c r="BQ795" s="99"/>
      <c r="BR795" s="99"/>
      <c r="BS795" s="99"/>
      <c r="BT795" s="99"/>
      <c r="BU795" s="99"/>
      <c r="BV795" s="99"/>
      <c r="BW795" s="99"/>
      <c r="BX795" s="99"/>
      <c r="BY795" s="99"/>
      <c r="BZ795" s="99"/>
      <c r="CA795" s="99"/>
      <c r="CB795" s="99"/>
      <c r="CC795" s="99"/>
      <c r="CD795" s="99"/>
      <c r="CE795" s="99"/>
      <c r="CF795" s="99"/>
      <c r="CG795" s="99"/>
      <c r="CH795" s="99"/>
      <c r="CI795" s="99"/>
      <c r="CJ795" s="621"/>
      <c r="CK795" s="621"/>
      <c r="CL795" s="621"/>
    </row>
    <row r="796" spans="27:90">
      <c r="AA796" s="350"/>
      <c r="AB796" s="62"/>
      <c r="AC796" s="62"/>
      <c r="AD796" s="62"/>
      <c r="AP796" s="88"/>
      <c r="AQ796" s="88"/>
      <c r="AR796" s="88"/>
      <c r="AS796" s="99"/>
      <c r="AT796" s="99"/>
      <c r="AU796" s="99"/>
      <c r="AV796" s="99"/>
      <c r="AW796" s="99"/>
      <c r="AX796" s="99"/>
      <c r="AY796" s="99"/>
      <c r="AZ796" s="99"/>
      <c r="BA796" s="99"/>
      <c r="BB796" s="99"/>
      <c r="BC796" s="99"/>
      <c r="BD796" s="99"/>
      <c r="BE796" s="99"/>
      <c r="BF796" s="99"/>
      <c r="BG796" s="99"/>
      <c r="BH796" s="99"/>
      <c r="BI796" s="99"/>
      <c r="BJ796" s="99"/>
      <c r="BK796" s="99"/>
      <c r="BL796" s="99"/>
      <c r="BM796" s="99"/>
      <c r="BN796" s="99"/>
      <c r="BO796" s="99"/>
      <c r="BP796" s="99"/>
      <c r="BQ796" s="99"/>
      <c r="BR796" s="99"/>
      <c r="BS796" s="99"/>
      <c r="BT796" s="99"/>
      <c r="BU796" s="99"/>
      <c r="BV796" s="99"/>
      <c r="BW796" s="99"/>
      <c r="BX796" s="99"/>
      <c r="BY796" s="99"/>
      <c r="BZ796" s="99"/>
      <c r="CA796" s="99"/>
      <c r="CB796" s="99"/>
      <c r="CC796" s="99"/>
      <c r="CD796" s="99"/>
      <c r="CE796" s="99"/>
      <c r="CF796" s="99"/>
      <c r="CG796" s="99"/>
      <c r="CH796" s="99"/>
      <c r="CI796" s="99"/>
      <c r="CJ796" s="621"/>
      <c r="CK796" s="621"/>
      <c r="CL796" s="621"/>
    </row>
    <row r="797" spans="27:90">
      <c r="AA797" s="350"/>
      <c r="AB797" s="62"/>
      <c r="AC797" s="62"/>
      <c r="AD797" s="62"/>
      <c r="AP797" s="88"/>
      <c r="AQ797" s="88"/>
      <c r="AR797" s="88"/>
      <c r="AS797" s="99"/>
      <c r="AT797" s="99"/>
      <c r="AU797" s="99"/>
      <c r="AV797" s="99"/>
      <c r="AW797" s="99"/>
      <c r="AX797" s="99"/>
      <c r="AY797" s="99"/>
      <c r="AZ797" s="99"/>
      <c r="BA797" s="99"/>
      <c r="BB797" s="99"/>
      <c r="BC797" s="99"/>
      <c r="BD797" s="99"/>
      <c r="BE797" s="99"/>
      <c r="BF797" s="99"/>
      <c r="BG797" s="99"/>
      <c r="BH797" s="99"/>
      <c r="BI797" s="99"/>
      <c r="BJ797" s="99"/>
      <c r="BK797" s="99"/>
      <c r="BL797" s="99"/>
      <c r="BM797" s="99"/>
      <c r="BN797" s="99"/>
      <c r="BO797" s="99"/>
      <c r="BP797" s="99"/>
      <c r="BQ797" s="99"/>
      <c r="BR797" s="99"/>
      <c r="BS797" s="99"/>
      <c r="BT797" s="99"/>
      <c r="BU797" s="99"/>
      <c r="BV797" s="99"/>
      <c r="BW797" s="99"/>
      <c r="BX797" s="99"/>
      <c r="BY797" s="99"/>
      <c r="BZ797" s="99"/>
      <c r="CA797" s="99"/>
      <c r="CB797" s="99"/>
      <c r="CC797" s="99"/>
      <c r="CD797" s="99"/>
      <c r="CE797" s="99"/>
      <c r="CF797" s="99"/>
      <c r="CG797" s="99"/>
      <c r="CH797" s="99"/>
      <c r="CI797" s="99"/>
      <c r="CJ797" s="621"/>
      <c r="CK797" s="621"/>
      <c r="CL797" s="621"/>
    </row>
    <row r="798" spans="27:90">
      <c r="AA798" s="350"/>
      <c r="AB798" s="62"/>
      <c r="AC798" s="62"/>
      <c r="AD798" s="62"/>
      <c r="AP798" s="88"/>
      <c r="AQ798" s="88"/>
      <c r="AR798" s="88"/>
      <c r="AS798" s="99"/>
      <c r="AT798" s="99"/>
      <c r="AU798" s="99"/>
      <c r="AV798" s="99"/>
      <c r="AW798" s="99"/>
      <c r="AX798" s="99"/>
      <c r="AY798" s="99"/>
      <c r="AZ798" s="99"/>
      <c r="BA798" s="99"/>
      <c r="BB798" s="99"/>
      <c r="BC798" s="99"/>
      <c r="BD798" s="99"/>
      <c r="BE798" s="99"/>
      <c r="BF798" s="99"/>
      <c r="BG798" s="99"/>
      <c r="BH798" s="99"/>
      <c r="BI798" s="99"/>
      <c r="BJ798" s="99"/>
      <c r="BK798" s="99"/>
      <c r="BL798" s="99"/>
      <c r="BM798" s="99"/>
      <c r="BN798" s="99"/>
      <c r="BO798" s="99"/>
      <c r="BP798" s="99"/>
      <c r="BQ798" s="99"/>
      <c r="BR798" s="99"/>
      <c r="BS798" s="99"/>
      <c r="BT798" s="99"/>
      <c r="BU798" s="99"/>
      <c r="BV798" s="99"/>
      <c r="BW798" s="99"/>
      <c r="BX798" s="99"/>
      <c r="BY798" s="99"/>
      <c r="BZ798" s="99"/>
      <c r="CA798" s="99"/>
      <c r="CB798" s="99"/>
      <c r="CC798" s="99"/>
      <c r="CD798" s="99"/>
      <c r="CE798" s="99"/>
      <c r="CF798" s="99"/>
      <c r="CG798" s="99"/>
      <c r="CH798" s="99"/>
      <c r="CI798" s="99"/>
      <c r="CJ798" s="621"/>
      <c r="CK798" s="621"/>
      <c r="CL798" s="621"/>
    </row>
    <row r="799" spans="27:90">
      <c r="AA799" s="350"/>
      <c r="AB799" s="62"/>
      <c r="AC799" s="62"/>
      <c r="AD799" s="62"/>
      <c r="AP799" s="88"/>
      <c r="AQ799" s="88"/>
      <c r="AR799" s="88"/>
      <c r="AS799" s="99"/>
      <c r="AT799" s="99"/>
      <c r="AU799" s="99"/>
      <c r="AV799" s="99"/>
      <c r="AW799" s="99"/>
      <c r="AX799" s="99"/>
      <c r="AY799" s="99"/>
      <c r="AZ799" s="99"/>
      <c r="BA799" s="99"/>
      <c r="BB799" s="99"/>
      <c r="BC799" s="99"/>
      <c r="BD799" s="99"/>
      <c r="BE799" s="99"/>
      <c r="BF799" s="99"/>
      <c r="BG799" s="99"/>
      <c r="BH799" s="99"/>
      <c r="BI799" s="99"/>
      <c r="BJ799" s="99"/>
      <c r="BK799" s="99"/>
      <c r="BL799" s="99"/>
      <c r="BM799" s="99"/>
      <c r="BN799" s="99"/>
      <c r="BO799" s="99"/>
      <c r="BP799" s="99"/>
      <c r="BQ799" s="99"/>
      <c r="BR799" s="99"/>
      <c r="BS799" s="99"/>
      <c r="BT799" s="99"/>
      <c r="BU799" s="99"/>
      <c r="BV799" s="99"/>
      <c r="BW799" s="99"/>
      <c r="BX799" s="99"/>
      <c r="BY799" s="99"/>
      <c r="BZ799" s="99"/>
      <c r="CA799" s="99"/>
      <c r="CB799" s="99"/>
      <c r="CC799" s="99"/>
      <c r="CD799" s="99"/>
      <c r="CE799" s="99"/>
      <c r="CF799" s="99"/>
      <c r="CG799" s="99"/>
      <c r="CH799" s="99"/>
      <c r="CI799" s="99"/>
      <c r="CJ799" s="621"/>
      <c r="CK799" s="621"/>
      <c r="CL799" s="621"/>
    </row>
    <row r="800" spans="27:90">
      <c r="AA800" s="350"/>
      <c r="AB800" s="62"/>
      <c r="AC800" s="62"/>
      <c r="AD800" s="62"/>
      <c r="AP800" s="88"/>
      <c r="AQ800" s="88"/>
      <c r="AR800" s="88"/>
      <c r="AS800" s="99"/>
      <c r="AT800" s="99"/>
      <c r="AU800" s="99"/>
      <c r="AV800" s="99"/>
      <c r="AW800" s="99"/>
      <c r="AX800" s="99"/>
      <c r="AY800" s="99"/>
      <c r="AZ800" s="99"/>
      <c r="BA800" s="99"/>
      <c r="BB800" s="99"/>
      <c r="BC800" s="99"/>
      <c r="BD800" s="99"/>
      <c r="BE800" s="99"/>
      <c r="BF800" s="99"/>
      <c r="BG800" s="99"/>
      <c r="BH800" s="99"/>
      <c r="BI800" s="99"/>
      <c r="BJ800" s="99"/>
      <c r="BK800" s="99"/>
      <c r="BL800" s="99"/>
      <c r="BM800" s="99"/>
      <c r="BN800" s="99"/>
      <c r="BO800" s="99"/>
      <c r="BP800" s="99"/>
      <c r="BQ800" s="99"/>
      <c r="BR800" s="99"/>
      <c r="BS800" s="99"/>
      <c r="BT800" s="99"/>
      <c r="BU800" s="99"/>
      <c r="BV800" s="99"/>
      <c r="BW800" s="99"/>
      <c r="BX800" s="99"/>
      <c r="BY800" s="99"/>
      <c r="BZ800" s="99"/>
      <c r="CA800" s="99"/>
      <c r="CB800" s="99"/>
      <c r="CC800" s="99"/>
      <c r="CD800" s="99"/>
      <c r="CE800" s="99"/>
      <c r="CF800" s="99"/>
      <c r="CG800" s="99"/>
      <c r="CH800" s="99"/>
      <c r="CI800" s="99"/>
      <c r="CJ800" s="621"/>
      <c r="CK800" s="621"/>
      <c r="CL800" s="621"/>
    </row>
    <row r="801" spans="27:90">
      <c r="AA801" s="350"/>
      <c r="AB801" s="62"/>
      <c r="AC801" s="62"/>
      <c r="AD801" s="62"/>
      <c r="AP801" s="88"/>
      <c r="AQ801" s="88"/>
      <c r="AR801" s="88"/>
      <c r="AS801" s="99"/>
      <c r="AT801" s="99"/>
      <c r="AU801" s="99"/>
      <c r="AV801" s="99"/>
      <c r="AW801" s="99"/>
      <c r="AX801" s="99"/>
      <c r="AY801" s="99"/>
      <c r="AZ801" s="99"/>
      <c r="BA801" s="99"/>
      <c r="BB801" s="99"/>
      <c r="BC801" s="99"/>
      <c r="BD801" s="99"/>
      <c r="BE801" s="99"/>
      <c r="BF801" s="99"/>
      <c r="BG801" s="99"/>
      <c r="BH801" s="99"/>
      <c r="BI801" s="99"/>
      <c r="BJ801" s="99"/>
      <c r="BK801" s="99"/>
      <c r="BL801" s="99"/>
      <c r="BM801" s="99"/>
      <c r="BN801" s="99"/>
      <c r="BO801" s="99"/>
      <c r="BP801" s="99"/>
      <c r="BQ801" s="99"/>
      <c r="BR801" s="99"/>
      <c r="BS801" s="99"/>
      <c r="BT801" s="99"/>
      <c r="BU801" s="99"/>
      <c r="BV801" s="99"/>
      <c r="BW801" s="99"/>
      <c r="BX801" s="99"/>
      <c r="BY801" s="99"/>
      <c r="BZ801" s="99"/>
      <c r="CA801" s="99"/>
      <c r="CB801" s="99"/>
      <c r="CC801" s="99"/>
      <c r="CD801" s="99"/>
      <c r="CE801" s="99"/>
      <c r="CF801" s="99"/>
      <c r="CG801" s="99"/>
      <c r="CH801" s="99"/>
      <c r="CI801" s="99"/>
      <c r="CJ801" s="621"/>
      <c r="CK801" s="621"/>
      <c r="CL801" s="621"/>
    </row>
    <row r="802" spans="27:90">
      <c r="AA802" s="350"/>
      <c r="AB802" s="62"/>
      <c r="AC802" s="62"/>
      <c r="AD802" s="62"/>
      <c r="AP802" s="88"/>
      <c r="AQ802" s="88"/>
      <c r="AR802" s="88"/>
      <c r="AS802" s="99"/>
      <c r="AT802" s="99"/>
      <c r="AU802" s="99"/>
      <c r="AV802" s="99"/>
      <c r="AW802" s="99"/>
      <c r="AX802" s="99"/>
      <c r="AY802" s="99"/>
      <c r="AZ802" s="99"/>
      <c r="BA802" s="99"/>
      <c r="BB802" s="99"/>
      <c r="BC802" s="99"/>
      <c r="BD802" s="99"/>
      <c r="BE802" s="99"/>
      <c r="BF802" s="99"/>
      <c r="BG802" s="99"/>
      <c r="BH802" s="99"/>
      <c r="BI802" s="99"/>
      <c r="BJ802" s="99"/>
      <c r="BK802" s="99"/>
      <c r="BL802" s="99"/>
      <c r="BM802" s="99"/>
      <c r="BN802" s="99"/>
      <c r="BO802" s="99"/>
      <c r="BP802" s="99"/>
      <c r="BQ802" s="99"/>
      <c r="BR802" s="99"/>
      <c r="BS802" s="99"/>
      <c r="BT802" s="99"/>
      <c r="BU802" s="99"/>
      <c r="BV802" s="99"/>
      <c r="BW802" s="99"/>
      <c r="BX802" s="99"/>
      <c r="BY802" s="99"/>
      <c r="BZ802" s="99"/>
      <c r="CA802" s="99"/>
      <c r="CB802" s="99"/>
      <c r="CC802" s="99"/>
      <c r="CD802" s="99"/>
      <c r="CE802" s="99"/>
      <c r="CF802" s="99"/>
      <c r="CG802" s="99"/>
      <c r="CH802" s="99"/>
      <c r="CI802" s="99"/>
      <c r="CJ802" s="621"/>
      <c r="CK802" s="621"/>
      <c r="CL802" s="621"/>
    </row>
    <row r="803" spans="27:90">
      <c r="AA803" s="350"/>
      <c r="AB803" s="62"/>
      <c r="AC803" s="62"/>
      <c r="AD803" s="62"/>
      <c r="AP803" s="88"/>
      <c r="AQ803" s="88"/>
      <c r="AR803" s="88"/>
      <c r="AS803" s="99"/>
      <c r="AT803" s="99"/>
      <c r="AU803" s="99"/>
      <c r="AV803" s="99"/>
      <c r="AW803" s="99"/>
      <c r="AX803" s="99"/>
      <c r="AY803" s="99"/>
      <c r="AZ803" s="99"/>
      <c r="BA803" s="99"/>
      <c r="BB803" s="99"/>
      <c r="BC803" s="99"/>
      <c r="BD803" s="99"/>
      <c r="BE803" s="99"/>
      <c r="BF803" s="99"/>
      <c r="BG803" s="99"/>
      <c r="BH803" s="99"/>
      <c r="BI803" s="99"/>
      <c r="BJ803" s="99"/>
      <c r="BK803" s="99"/>
      <c r="BL803" s="99"/>
      <c r="BM803" s="99"/>
      <c r="BN803" s="99"/>
      <c r="BO803" s="99"/>
      <c r="BP803" s="99"/>
      <c r="BQ803" s="99"/>
      <c r="BR803" s="99"/>
      <c r="BS803" s="99"/>
      <c r="BT803" s="99"/>
      <c r="BU803" s="99"/>
      <c r="BV803" s="99"/>
      <c r="BW803" s="99"/>
      <c r="BX803" s="99"/>
      <c r="BY803" s="99"/>
      <c r="BZ803" s="99"/>
      <c r="CA803" s="99"/>
      <c r="CB803" s="99"/>
      <c r="CC803" s="99"/>
      <c r="CD803" s="99"/>
      <c r="CE803" s="99"/>
      <c r="CF803" s="99"/>
      <c r="CG803" s="99"/>
      <c r="CH803" s="99"/>
      <c r="CI803" s="99"/>
      <c r="CJ803" s="621"/>
      <c r="CK803" s="621"/>
      <c r="CL803" s="621"/>
    </row>
    <row r="804" spans="27:90">
      <c r="AA804" s="350"/>
      <c r="AB804" s="62"/>
      <c r="AC804" s="62"/>
      <c r="AD804" s="62"/>
      <c r="AP804" s="88"/>
      <c r="AQ804" s="88"/>
      <c r="AR804" s="88"/>
      <c r="AS804" s="99"/>
      <c r="AT804" s="99"/>
      <c r="AU804" s="99"/>
      <c r="AV804" s="99"/>
      <c r="AW804" s="99"/>
      <c r="AX804" s="99"/>
      <c r="AY804" s="99"/>
      <c r="AZ804" s="99"/>
      <c r="BA804" s="99"/>
      <c r="BB804" s="99"/>
      <c r="BC804" s="99"/>
      <c r="BD804" s="99"/>
      <c r="BE804" s="99"/>
      <c r="BF804" s="99"/>
      <c r="BG804" s="99"/>
      <c r="BH804" s="99"/>
      <c r="BI804" s="99"/>
      <c r="BJ804" s="99"/>
      <c r="BK804" s="99"/>
      <c r="BL804" s="99"/>
      <c r="BM804" s="99"/>
      <c r="BN804" s="99"/>
      <c r="BO804" s="99"/>
      <c r="BP804" s="99"/>
      <c r="BQ804" s="99"/>
      <c r="BR804" s="99"/>
      <c r="BS804" s="99"/>
      <c r="BT804" s="99"/>
      <c r="BU804" s="99"/>
      <c r="BV804" s="99"/>
      <c r="BW804" s="99"/>
      <c r="BX804" s="99"/>
      <c r="BY804" s="99"/>
      <c r="BZ804" s="99"/>
      <c r="CA804" s="99"/>
      <c r="CB804" s="99"/>
      <c r="CC804" s="99"/>
      <c r="CD804" s="99"/>
      <c r="CE804" s="99"/>
      <c r="CF804" s="99"/>
      <c r="CG804" s="99"/>
      <c r="CH804" s="99"/>
      <c r="CI804" s="99"/>
      <c r="CJ804" s="621"/>
      <c r="CK804" s="621"/>
      <c r="CL804" s="621"/>
    </row>
    <row r="805" spans="27:90">
      <c r="AA805" s="350"/>
      <c r="AB805" s="62"/>
      <c r="AC805" s="62"/>
      <c r="AD805" s="62"/>
      <c r="AP805" s="88"/>
      <c r="AQ805" s="88"/>
      <c r="AR805" s="88"/>
      <c r="AS805" s="99"/>
      <c r="AT805" s="99"/>
      <c r="AU805" s="99"/>
      <c r="AV805" s="99"/>
      <c r="AW805" s="99"/>
      <c r="AX805" s="99"/>
      <c r="AY805" s="99"/>
      <c r="AZ805" s="99"/>
      <c r="BA805" s="99"/>
      <c r="BB805" s="99"/>
      <c r="BC805" s="99"/>
      <c r="BD805" s="99"/>
      <c r="BE805" s="99"/>
      <c r="BF805" s="99"/>
      <c r="BG805" s="99"/>
      <c r="BH805" s="99"/>
      <c r="BI805" s="99"/>
      <c r="BJ805" s="99"/>
      <c r="BK805" s="99"/>
      <c r="BL805" s="99"/>
      <c r="BM805" s="99"/>
      <c r="BN805" s="99"/>
      <c r="BO805" s="99"/>
      <c r="BP805" s="99"/>
      <c r="BQ805" s="99"/>
      <c r="BR805" s="99"/>
      <c r="BS805" s="99"/>
      <c r="BT805" s="99"/>
      <c r="BU805" s="99"/>
      <c r="BV805" s="99"/>
      <c r="BW805" s="99"/>
      <c r="BX805" s="99"/>
      <c r="BY805" s="99"/>
      <c r="BZ805" s="99"/>
      <c r="CA805" s="99"/>
      <c r="CB805" s="99"/>
      <c r="CC805" s="99"/>
      <c r="CD805" s="99"/>
      <c r="CE805" s="99"/>
      <c r="CF805" s="99"/>
      <c r="CG805" s="99"/>
      <c r="CH805" s="99"/>
      <c r="CI805" s="99"/>
      <c r="CJ805" s="621"/>
      <c r="CK805" s="621"/>
      <c r="CL805" s="621"/>
    </row>
    <row r="806" spans="27:90">
      <c r="AA806" s="350"/>
      <c r="AB806" s="62"/>
      <c r="AC806" s="62"/>
      <c r="AD806" s="62"/>
      <c r="AP806" s="88"/>
      <c r="AQ806" s="88"/>
      <c r="AR806" s="88"/>
      <c r="AS806" s="99"/>
      <c r="AT806" s="99"/>
      <c r="AU806" s="99"/>
      <c r="AV806" s="99"/>
      <c r="AW806" s="99"/>
      <c r="AX806" s="99"/>
      <c r="AY806" s="99"/>
      <c r="AZ806" s="99"/>
      <c r="BA806" s="99"/>
      <c r="BB806" s="99"/>
      <c r="BC806" s="99"/>
      <c r="BD806" s="99"/>
      <c r="BE806" s="99"/>
      <c r="BF806" s="99"/>
      <c r="BG806" s="99"/>
      <c r="BH806" s="99"/>
      <c r="BI806" s="99"/>
      <c r="BJ806" s="99"/>
      <c r="BK806" s="99"/>
      <c r="BL806" s="99"/>
      <c r="BM806" s="99"/>
      <c r="BN806" s="99"/>
      <c r="BO806" s="99"/>
      <c r="BP806" s="99"/>
      <c r="BQ806" s="99"/>
      <c r="BR806" s="99"/>
      <c r="BS806" s="99"/>
      <c r="BT806" s="99"/>
      <c r="BU806" s="99"/>
      <c r="BV806" s="99"/>
      <c r="BW806" s="99"/>
      <c r="BX806" s="99"/>
      <c r="BY806" s="99"/>
      <c r="BZ806" s="99"/>
      <c r="CA806" s="99"/>
      <c r="CB806" s="99"/>
      <c r="CC806" s="99"/>
      <c r="CD806" s="99"/>
      <c r="CE806" s="99"/>
      <c r="CF806" s="99"/>
      <c r="CG806" s="99"/>
      <c r="CH806" s="99"/>
      <c r="CI806" s="99"/>
      <c r="CJ806" s="621"/>
      <c r="CK806" s="621"/>
      <c r="CL806" s="621"/>
    </row>
    <row r="807" spans="27:90">
      <c r="AA807" s="350"/>
      <c r="AB807" s="62"/>
      <c r="AC807" s="62"/>
      <c r="AD807" s="62"/>
      <c r="AP807" s="88"/>
      <c r="AQ807" s="88"/>
      <c r="AR807" s="88"/>
      <c r="AS807" s="99"/>
      <c r="AT807" s="99"/>
      <c r="AU807" s="99"/>
      <c r="AV807" s="99"/>
      <c r="AW807" s="99"/>
      <c r="AX807" s="99"/>
      <c r="AY807" s="99"/>
      <c r="AZ807" s="99"/>
      <c r="BA807" s="99"/>
      <c r="BB807" s="99"/>
      <c r="BC807" s="99"/>
      <c r="BD807" s="99"/>
      <c r="BE807" s="99"/>
      <c r="BF807" s="99"/>
      <c r="BG807" s="99"/>
      <c r="BH807" s="99"/>
      <c r="BI807" s="99"/>
      <c r="BJ807" s="99"/>
      <c r="BK807" s="99"/>
      <c r="BL807" s="99"/>
      <c r="BM807" s="99"/>
      <c r="BN807" s="99"/>
      <c r="BO807" s="99"/>
      <c r="BP807" s="99"/>
      <c r="BQ807" s="99"/>
      <c r="BR807" s="99"/>
      <c r="BS807" s="99"/>
      <c r="BT807" s="99"/>
      <c r="BU807" s="99"/>
      <c r="BV807" s="99"/>
      <c r="BW807" s="99"/>
      <c r="BX807" s="99"/>
      <c r="BY807" s="99"/>
      <c r="BZ807" s="99"/>
      <c r="CA807" s="99"/>
      <c r="CB807" s="99"/>
      <c r="CC807" s="99"/>
      <c r="CD807" s="99"/>
      <c r="CE807" s="99"/>
      <c r="CF807" s="99"/>
      <c r="CG807" s="99"/>
      <c r="CH807" s="99"/>
      <c r="CI807" s="99"/>
      <c r="CJ807" s="621"/>
      <c r="CK807" s="621"/>
      <c r="CL807" s="621"/>
    </row>
    <row r="808" spans="27:90">
      <c r="AA808" s="350"/>
      <c r="AB808" s="62"/>
      <c r="AC808" s="62"/>
      <c r="AD808" s="62"/>
      <c r="AP808" s="88"/>
      <c r="AQ808" s="88"/>
      <c r="AR808" s="88"/>
      <c r="AS808" s="99"/>
      <c r="AT808" s="99"/>
      <c r="AU808" s="99"/>
      <c r="AV808" s="99"/>
      <c r="AW808" s="99"/>
      <c r="AX808" s="99"/>
      <c r="AY808" s="99"/>
      <c r="AZ808" s="99"/>
      <c r="BA808" s="99"/>
      <c r="BB808" s="99"/>
      <c r="BC808" s="99"/>
      <c r="BD808" s="99"/>
      <c r="BE808" s="99"/>
      <c r="BF808" s="99"/>
      <c r="BG808" s="99"/>
      <c r="BH808" s="99"/>
      <c r="BI808" s="99"/>
      <c r="BJ808" s="99"/>
      <c r="BK808" s="99"/>
      <c r="BL808" s="99"/>
      <c r="BM808" s="99"/>
      <c r="BN808" s="99"/>
      <c r="BO808" s="99"/>
      <c r="BP808" s="99"/>
      <c r="BQ808" s="99"/>
      <c r="BR808" s="99"/>
      <c r="BS808" s="99"/>
      <c r="BT808" s="99"/>
      <c r="BU808" s="99"/>
      <c r="BV808" s="99"/>
      <c r="BW808" s="99"/>
      <c r="BX808" s="99"/>
      <c r="BY808" s="99"/>
      <c r="BZ808" s="99"/>
      <c r="CA808" s="99"/>
      <c r="CB808" s="99"/>
      <c r="CC808" s="99"/>
      <c r="CD808" s="99"/>
      <c r="CE808" s="99"/>
      <c r="CF808" s="99"/>
      <c r="CG808" s="99"/>
      <c r="CH808" s="99"/>
      <c r="CI808" s="99"/>
      <c r="CJ808" s="621"/>
      <c r="CK808" s="621"/>
      <c r="CL808" s="621"/>
    </row>
    <row r="809" spans="27:90">
      <c r="AA809" s="350"/>
      <c r="AB809" s="62"/>
      <c r="AC809" s="62"/>
      <c r="AD809" s="62"/>
      <c r="AP809" s="88"/>
      <c r="AQ809" s="88"/>
      <c r="AR809" s="88"/>
      <c r="AS809" s="99"/>
      <c r="AT809" s="99"/>
      <c r="AU809" s="99"/>
      <c r="AV809" s="99"/>
      <c r="AW809" s="99"/>
      <c r="AX809" s="99"/>
      <c r="AY809" s="99"/>
      <c r="AZ809" s="99"/>
      <c r="BA809" s="99"/>
      <c r="BB809" s="99"/>
      <c r="BC809" s="99"/>
      <c r="BD809" s="99"/>
      <c r="BE809" s="99"/>
      <c r="BF809" s="99"/>
      <c r="BG809" s="99"/>
      <c r="BH809" s="99"/>
      <c r="BI809" s="99"/>
      <c r="BJ809" s="99"/>
      <c r="BK809" s="99"/>
      <c r="BL809" s="99"/>
      <c r="BM809" s="99"/>
      <c r="BN809" s="99"/>
      <c r="BO809" s="99"/>
      <c r="BP809" s="99"/>
      <c r="BQ809" s="99"/>
      <c r="BR809" s="99"/>
      <c r="BS809" s="99"/>
      <c r="BT809" s="99"/>
      <c r="BU809" s="99"/>
      <c r="BV809" s="99"/>
      <c r="BW809" s="99"/>
      <c r="BX809" s="99"/>
      <c r="BY809" s="99"/>
      <c r="BZ809" s="99"/>
      <c r="CA809" s="99"/>
      <c r="CB809" s="99"/>
      <c r="CC809" s="99"/>
      <c r="CD809" s="99"/>
      <c r="CE809" s="99"/>
      <c r="CF809" s="99"/>
      <c r="CG809" s="99"/>
      <c r="CH809" s="99"/>
      <c r="CI809" s="99"/>
      <c r="CJ809" s="621"/>
      <c r="CK809" s="621"/>
      <c r="CL809" s="621"/>
    </row>
    <row r="810" spans="27:90">
      <c r="AA810" s="350"/>
      <c r="AB810" s="62"/>
      <c r="AC810" s="62"/>
      <c r="AD810" s="62"/>
      <c r="AP810" s="88"/>
      <c r="AQ810" s="88"/>
      <c r="AR810" s="88"/>
      <c r="AS810" s="99"/>
      <c r="AT810" s="99"/>
      <c r="AU810" s="99"/>
      <c r="AV810" s="99"/>
      <c r="AW810" s="99"/>
      <c r="AX810" s="99"/>
      <c r="AY810" s="99"/>
      <c r="AZ810" s="99"/>
      <c r="BA810" s="99"/>
      <c r="BB810" s="99"/>
      <c r="BC810" s="99"/>
      <c r="BD810" s="99"/>
      <c r="BE810" s="99"/>
      <c r="BF810" s="99"/>
      <c r="BG810" s="99"/>
      <c r="BH810" s="99"/>
      <c r="BI810" s="99"/>
      <c r="BJ810" s="99"/>
      <c r="BK810" s="99"/>
      <c r="BL810" s="99"/>
      <c r="BM810" s="99"/>
      <c r="BN810" s="99"/>
      <c r="BO810" s="99"/>
      <c r="BP810" s="99"/>
      <c r="BQ810" s="99"/>
      <c r="BR810" s="99"/>
      <c r="BS810" s="99"/>
      <c r="BT810" s="99"/>
      <c r="BU810" s="99"/>
      <c r="BV810" s="99"/>
      <c r="BW810" s="99"/>
      <c r="BX810" s="99"/>
      <c r="BY810" s="99"/>
      <c r="BZ810" s="99"/>
      <c r="CA810" s="99"/>
      <c r="CB810" s="99"/>
      <c r="CC810" s="99"/>
      <c r="CD810" s="99"/>
      <c r="CE810" s="99"/>
      <c r="CF810" s="99"/>
      <c r="CG810" s="99"/>
      <c r="CH810" s="99"/>
      <c r="CI810" s="99"/>
      <c r="CJ810" s="621"/>
      <c r="CK810" s="621"/>
      <c r="CL810" s="621"/>
    </row>
    <row r="811" spans="27:90">
      <c r="AA811" s="350"/>
      <c r="AB811" s="62"/>
      <c r="AC811" s="62"/>
      <c r="AD811" s="62"/>
      <c r="AP811" s="88"/>
      <c r="AQ811" s="88"/>
      <c r="AR811" s="88"/>
      <c r="AS811" s="99"/>
      <c r="AT811" s="99"/>
      <c r="AU811" s="99"/>
      <c r="AV811" s="99"/>
      <c r="AW811" s="99"/>
      <c r="AX811" s="99"/>
      <c r="AY811" s="99"/>
      <c r="AZ811" s="99"/>
      <c r="BA811" s="99"/>
      <c r="BB811" s="99"/>
      <c r="BC811" s="99"/>
      <c r="BD811" s="99"/>
      <c r="BE811" s="99"/>
      <c r="BF811" s="99"/>
      <c r="BG811" s="99"/>
      <c r="BH811" s="99"/>
      <c r="BI811" s="99"/>
      <c r="BJ811" s="99"/>
      <c r="BK811" s="99"/>
      <c r="BL811" s="99"/>
      <c r="BM811" s="99"/>
      <c r="BN811" s="99"/>
      <c r="BO811" s="99"/>
      <c r="BP811" s="99"/>
      <c r="BQ811" s="99"/>
      <c r="BR811" s="99"/>
      <c r="BS811" s="99"/>
      <c r="BT811" s="99"/>
      <c r="BU811" s="99"/>
      <c r="BV811" s="99"/>
      <c r="BW811" s="99"/>
      <c r="BX811" s="99"/>
      <c r="BY811" s="99"/>
      <c r="BZ811" s="99"/>
      <c r="CA811" s="99"/>
      <c r="CB811" s="99"/>
      <c r="CC811" s="99"/>
      <c r="CD811" s="99"/>
      <c r="CE811" s="99"/>
      <c r="CF811" s="99"/>
      <c r="CG811" s="99"/>
      <c r="CH811" s="99"/>
      <c r="CI811" s="99"/>
      <c r="CJ811" s="621"/>
      <c r="CK811" s="621"/>
      <c r="CL811" s="621"/>
    </row>
    <row r="812" spans="27:90">
      <c r="AA812" s="350"/>
      <c r="AB812" s="62"/>
      <c r="AC812" s="62"/>
      <c r="AD812" s="62"/>
      <c r="AP812" s="88"/>
      <c r="AQ812" s="88"/>
      <c r="AR812" s="88"/>
      <c r="AS812" s="99"/>
      <c r="AT812" s="99"/>
      <c r="AU812" s="99"/>
      <c r="AV812" s="99"/>
      <c r="AW812" s="99"/>
      <c r="AX812" s="99"/>
      <c r="AY812" s="99"/>
      <c r="AZ812" s="99"/>
      <c r="BA812" s="99"/>
      <c r="BB812" s="99"/>
      <c r="BC812" s="99"/>
      <c r="BD812" s="99"/>
      <c r="BE812" s="99"/>
      <c r="BF812" s="99"/>
      <c r="BG812" s="99"/>
      <c r="BH812" s="99"/>
      <c r="BI812" s="99"/>
      <c r="BJ812" s="99"/>
      <c r="BK812" s="99"/>
      <c r="BL812" s="99"/>
      <c r="BM812" s="99"/>
      <c r="BN812" s="99"/>
      <c r="BO812" s="99"/>
      <c r="BP812" s="99"/>
      <c r="BQ812" s="99"/>
      <c r="BR812" s="99"/>
      <c r="BS812" s="99"/>
      <c r="BT812" s="99"/>
      <c r="BU812" s="99"/>
      <c r="BV812" s="99"/>
      <c r="BW812" s="99"/>
      <c r="BX812" s="99"/>
      <c r="BY812" s="99"/>
      <c r="BZ812" s="99"/>
      <c r="CA812" s="99"/>
      <c r="CB812" s="99"/>
      <c r="CC812" s="99"/>
      <c r="CD812" s="99"/>
      <c r="CE812" s="99"/>
      <c r="CF812" s="99"/>
      <c r="CG812" s="99"/>
      <c r="CH812" s="99"/>
      <c r="CI812" s="99"/>
      <c r="CJ812" s="621"/>
      <c r="CK812" s="621"/>
      <c r="CL812" s="621"/>
    </row>
    <row r="813" spans="27:90">
      <c r="AA813" s="350"/>
      <c r="AB813" s="62"/>
      <c r="AC813" s="62"/>
      <c r="AD813" s="62"/>
      <c r="AP813" s="88"/>
      <c r="AQ813" s="88"/>
      <c r="AR813" s="88"/>
      <c r="AS813" s="99"/>
      <c r="AT813" s="99"/>
      <c r="AU813" s="99"/>
      <c r="AV813" s="99"/>
      <c r="AW813" s="99"/>
      <c r="AX813" s="99"/>
      <c r="AY813" s="99"/>
      <c r="AZ813" s="99"/>
      <c r="BA813" s="99"/>
      <c r="BB813" s="99"/>
      <c r="BC813" s="99"/>
      <c r="BD813" s="99"/>
      <c r="BE813" s="99"/>
      <c r="BF813" s="99"/>
      <c r="BG813" s="99"/>
      <c r="BH813" s="99"/>
      <c r="BI813" s="99"/>
      <c r="BJ813" s="99"/>
      <c r="BK813" s="99"/>
      <c r="BL813" s="99"/>
      <c r="BM813" s="99"/>
      <c r="BN813" s="99"/>
      <c r="BO813" s="99"/>
      <c r="BP813" s="99"/>
      <c r="BQ813" s="99"/>
      <c r="BR813" s="99"/>
      <c r="BS813" s="99"/>
      <c r="BT813" s="99"/>
      <c r="BU813" s="99"/>
      <c r="BV813" s="99"/>
      <c r="BW813" s="99"/>
      <c r="BX813" s="99"/>
      <c r="BY813" s="99"/>
      <c r="BZ813" s="99"/>
      <c r="CA813" s="99"/>
      <c r="CB813" s="99"/>
      <c r="CC813" s="99"/>
      <c r="CD813" s="99"/>
      <c r="CE813" s="99"/>
      <c r="CF813" s="99"/>
      <c r="CG813" s="99"/>
      <c r="CH813" s="99"/>
      <c r="CI813" s="99"/>
      <c r="CJ813" s="621"/>
      <c r="CK813" s="621"/>
      <c r="CL813" s="621"/>
    </row>
    <row r="814" spans="27:90">
      <c r="AA814" s="350"/>
      <c r="AB814" s="62"/>
      <c r="AC814" s="62"/>
      <c r="AD814" s="62"/>
      <c r="AP814" s="88"/>
      <c r="AQ814" s="88"/>
      <c r="AR814" s="88"/>
      <c r="AS814" s="99"/>
      <c r="AT814" s="99"/>
      <c r="AU814" s="99"/>
      <c r="AV814" s="99"/>
      <c r="AW814" s="99"/>
      <c r="AX814" s="99"/>
      <c r="AY814" s="99"/>
      <c r="AZ814" s="99"/>
      <c r="BA814" s="99"/>
      <c r="BB814" s="99"/>
      <c r="BC814" s="99"/>
      <c r="BD814" s="99"/>
      <c r="BE814" s="99"/>
      <c r="BF814" s="99"/>
      <c r="BG814" s="99"/>
      <c r="BH814" s="99"/>
      <c r="BI814" s="99"/>
      <c r="BJ814" s="99"/>
      <c r="BK814" s="99"/>
      <c r="BL814" s="99"/>
      <c r="BM814" s="99"/>
      <c r="BN814" s="99"/>
      <c r="BO814" s="99"/>
      <c r="BP814" s="99"/>
      <c r="BQ814" s="99"/>
      <c r="BR814" s="99"/>
      <c r="BS814" s="99"/>
      <c r="BT814" s="99"/>
      <c r="BU814" s="99"/>
      <c r="BV814" s="99"/>
      <c r="BW814" s="99"/>
      <c r="BX814" s="99"/>
      <c r="BY814" s="99"/>
      <c r="BZ814" s="99"/>
      <c r="CA814" s="99"/>
      <c r="CB814" s="99"/>
      <c r="CC814" s="99"/>
      <c r="CD814" s="99"/>
      <c r="CE814" s="99"/>
      <c r="CF814" s="99"/>
      <c r="CG814" s="99"/>
      <c r="CH814" s="99"/>
      <c r="CI814" s="99"/>
      <c r="CJ814" s="621"/>
      <c r="CK814" s="621"/>
      <c r="CL814" s="621"/>
    </row>
    <row r="815" spans="27:90">
      <c r="AA815" s="350"/>
      <c r="AB815" s="62"/>
      <c r="AC815" s="62"/>
      <c r="AD815" s="62"/>
      <c r="AP815" s="88"/>
      <c r="AQ815" s="88"/>
      <c r="AR815" s="88"/>
      <c r="AS815" s="99"/>
      <c r="AT815" s="99"/>
      <c r="AU815" s="99"/>
      <c r="AV815" s="99"/>
      <c r="AW815" s="99"/>
      <c r="AX815" s="99"/>
      <c r="AY815" s="99"/>
      <c r="AZ815" s="99"/>
      <c r="BA815" s="99"/>
      <c r="BB815" s="99"/>
      <c r="BC815" s="99"/>
      <c r="BD815" s="99"/>
      <c r="BE815" s="99"/>
      <c r="BF815" s="99"/>
      <c r="BG815" s="99"/>
      <c r="BH815" s="99"/>
      <c r="BI815" s="99"/>
      <c r="BJ815" s="99"/>
      <c r="BK815" s="99"/>
      <c r="BL815" s="99"/>
      <c r="BM815" s="99"/>
      <c r="BN815" s="99"/>
      <c r="BO815" s="99"/>
      <c r="BP815" s="99"/>
      <c r="BQ815" s="99"/>
      <c r="BR815" s="99"/>
      <c r="BS815" s="99"/>
      <c r="BT815" s="99"/>
      <c r="BU815" s="99"/>
      <c r="BV815" s="99"/>
      <c r="BW815" s="99"/>
      <c r="BX815" s="99"/>
      <c r="BY815" s="99"/>
      <c r="BZ815" s="99"/>
      <c r="CA815" s="99"/>
      <c r="CB815" s="99"/>
      <c r="CC815" s="99"/>
      <c r="CD815" s="99"/>
      <c r="CE815" s="99"/>
      <c r="CF815" s="99"/>
      <c r="CG815" s="99"/>
      <c r="CH815" s="99"/>
      <c r="CI815" s="99"/>
      <c r="CJ815" s="621"/>
      <c r="CK815" s="621"/>
      <c r="CL815" s="621"/>
    </row>
    <row r="816" spans="27:90">
      <c r="AA816" s="350"/>
      <c r="AB816" s="62"/>
      <c r="AC816" s="62"/>
      <c r="AD816" s="62"/>
      <c r="AP816" s="88"/>
      <c r="AQ816" s="88"/>
      <c r="AR816" s="88"/>
      <c r="AS816" s="99"/>
      <c r="AT816" s="99"/>
      <c r="AU816" s="99"/>
      <c r="AV816" s="99"/>
      <c r="AW816" s="99"/>
      <c r="AX816" s="99"/>
      <c r="AY816" s="99"/>
      <c r="AZ816" s="99"/>
      <c r="BA816" s="99"/>
      <c r="BB816" s="99"/>
      <c r="BC816" s="99"/>
      <c r="BD816" s="99"/>
      <c r="BE816" s="99"/>
      <c r="BF816" s="99"/>
      <c r="BG816" s="99"/>
      <c r="BH816" s="99"/>
      <c r="BI816" s="99"/>
      <c r="BJ816" s="99"/>
      <c r="BK816" s="99"/>
      <c r="BL816" s="99"/>
      <c r="BM816" s="99"/>
      <c r="BN816" s="99"/>
      <c r="BO816" s="99"/>
      <c r="BP816" s="99"/>
      <c r="BQ816" s="99"/>
      <c r="BR816" s="99"/>
      <c r="BS816" s="99"/>
      <c r="BT816" s="99"/>
      <c r="BU816" s="99"/>
      <c r="BV816" s="99"/>
      <c r="BW816" s="99"/>
      <c r="BX816" s="99"/>
      <c r="BY816" s="99"/>
      <c r="BZ816" s="99"/>
      <c r="CA816" s="99"/>
      <c r="CB816" s="99"/>
      <c r="CC816" s="99"/>
      <c r="CD816" s="99"/>
      <c r="CE816" s="99"/>
      <c r="CF816" s="99"/>
      <c r="CG816" s="99"/>
      <c r="CH816" s="99"/>
      <c r="CI816" s="99"/>
      <c r="CJ816" s="621"/>
      <c r="CK816" s="621"/>
      <c r="CL816" s="621"/>
    </row>
    <row r="817" spans="27:90">
      <c r="AA817" s="350"/>
      <c r="AB817" s="62"/>
      <c r="AC817" s="62"/>
      <c r="AD817" s="62"/>
      <c r="AP817" s="88"/>
      <c r="AQ817" s="88"/>
      <c r="AR817" s="88"/>
      <c r="AS817" s="99"/>
      <c r="AT817" s="99"/>
      <c r="AU817" s="99"/>
      <c r="AV817" s="99"/>
      <c r="AW817" s="99"/>
      <c r="AX817" s="99"/>
      <c r="AY817" s="99"/>
      <c r="AZ817" s="99"/>
      <c r="BA817" s="99"/>
      <c r="BB817" s="99"/>
      <c r="BC817" s="99"/>
      <c r="BD817" s="99"/>
      <c r="BE817" s="99"/>
      <c r="BF817" s="99"/>
      <c r="BG817" s="99"/>
      <c r="BH817" s="99"/>
      <c r="BI817" s="99"/>
      <c r="BJ817" s="99"/>
      <c r="BK817" s="99"/>
      <c r="BL817" s="99"/>
      <c r="BM817" s="99"/>
      <c r="BN817" s="99"/>
      <c r="BO817" s="99"/>
      <c r="BP817" s="99"/>
      <c r="BQ817" s="99"/>
      <c r="BR817" s="99"/>
      <c r="BS817" s="99"/>
      <c r="BT817" s="99"/>
      <c r="BU817" s="99"/>
      <c r="BV817" s="99"/>
      <c r="BW817" s="99"/>
      <c r="BX817" s="99"/>
      <c r="BY817" s="99"/>
      <c r="BZ817" s="99"/>
      <c r="CA817" s="99"/>
      <c r="CB817" s="99"/>
      <c r="CC817" s="99"/>
      <c r="CD817" s="99"/>
      <c r="CE817" s="99"/>
      <c r="CF817" s="99"/>
      <c r="CG817" s="99"/>
      <c r="CH817" s="99"/>
      <c r="CI817" s="99"/>
      <c r="CJ817" s="621"/>
      <c r="CK817" s="621"/>
      <c r="CL817" s="621"/>
    </row>
    <row r="818" spans="27:90">
      <c r="AA818" s="350"/>
      <c r="AB818" s="62"/>
      <c r="AC818" s="62"/>
      <c r="AD818" s="62"/>
      <c r="AP818" s="88"/>
      <c r="AQ818" s="88"/>
      <c r="AR818" s="88"/>
      <c r="AS818" s="99"/>
      <c r="AT818" s="99"/>
      <c r="AU818" s="99"/>
      <c r="AV818" s="99"/>
      <c r="AW818" s="99"/>
      <c r="AX818" s="99"/>
      <c r="AY818" s="99"/>
      <c r="AZ818" s="99"/>
      <c r="BA818" s="99"/>
      <c r="BB818" s="99"/>
      <c r="BC818" s="99"/>
      <c r="BD818" s="99"/>
      <c r="BE818" s="99"/>
      <c r="BF818" s="99"/>
      <c r="BG818" s="99"/>
      <c r="BH818" s="99"/>
      <c r="BI818" s="99"/>
      <c r="BJ818" s="99"/>
      <c r="BK818" s="99"/>
      <c r="BL818" s="99"/>
      <c r="BM818" s="99"/>
      <c r="BN818" s="99"/>
      <c r="BO818" s="99"/>
      <c r="BP818" s="99"/>
      <c r="BQ818" s="99"/>
      <c r="BR818" s="99"/>
      <c r="BS818" s="99"/>
      <c r="BT818" s="99"/>
      <c r="BU818" s="99"/>
      <c r="BV818" s="99"/>
      <c r="BW818" s="99"/>
      <c r="BX818" s="99"/>
      <c r="BY818" s="99"/>
      <c r="BZ818" s="99"/>
      <c r="CA818" s="99"/>
      <c r="CB818" s="99"/>
      <c r="CC818" s="99"/>
      <c r="CD818" s="99"/>
      <c r="CE818" s="99"/>
      <c r="CF818" s="99"/>
      <c r="CG818" s="99"/>
      <c r="CH818" s="99"/>
      <c r="CI818" s="99"/>
      <c r="CJ818" s="621"/>
      <c r="CK818" s="621"/>
      <c r="CL818" s="621"/>
    </row>
    <row r="819" spans="27:90">
      <c r="AA819" s="350"/>
      <c r="AB819" s="62"/>
      <c r="AC819" s="62"/>
      <c r="AD819" s="62"/>
      <c r="AP819" s="88"/>
      <c r="AQ819" s="88"/>
      <c r="AR819" s="88"/>
      <c r="AS819" s="99"/>
      <c r="AT819" s="99"/>
      <c r="AU819" s="99"/>
      <c r="AV819" s="99"/>
      <c r="AW819" s="99"/>
      <c r="AX819" s="99"/>
      <c r="AY819" s="99"/>
      <c r="AZ819" s="99"/>
      <c r="BA819" s="99"/>
      <c r="BB819" s="99"/>
      <c r="BC819" s="99"/>
      <c r="BD819" s="99"/>
      <c r="BE819" s="99"/>
      <c r="BF819" s="99"/>
      <c r="BG819" s="99"/>
      <c r="BH819" s="99"/>
      <c r="BI819" s="99"/>
      <c r="BJ819" s="99"/>
      <c r="BK819" s="99"/>
      <c r="BL819" s="99"/>
      <c r="BM819" s="99"/>
      <c r="BN819" s="99"/>
      <c r="BO819" s="99"/>
      <c r="BP819" s="99"/>
      <c r="BQ819" s="99"/>
      <c r="BR819" s="99"/>
      <c r="BS819" s="99"/>
      <c r="BT819" s="99"/>
      <c r="BU819" s="99"/>
      <c r="BV819" s="99"/>
      <c r="BW819" s="99"/>
      <c r="BX819" s="99"/>
      <c r="BY819" s="99"/>
      <c r="BZ819" s="99"/>
      <c r="CA819" s="99"/>
      <c r="CB819" s="99"/>
      <c r="CC819" s="99"/>
      <c r="CD819" s="99"/>
      <c r="CE819" s="99"/>
      <c r="CF819" s="99"/>
      <c r="CG819" s="99"/>
      <c r="CH819" s="99"/>
      <c r="CI819" s="99"/>
      <c r="CJ819" s="621"/>
      <c r="CK819" s="621"/>
      <c r="CL819" s="621"/>
    </row>
    <row r="820" spans="27:90">
      <c r="AA820" s="350"/>
      <c r="AB820" s="62"/>
      <c r="AC820" s="62"/>
      <c r="AD820" s="62"/>
      <c r="AP820" s="88"/>
      <c r="AQ820" s="88"/>
      <c r="AR820" s="88"/>
      <c r="AS820" s="99"/>
      <c r="AT820" s="99"/>
      <c r="AU820" s="99"/>
      <c r="AV820" s="99"/>
      <c r="AW820" s="99"/>
      <c r="AX820" s="99"/>
      <c r="AY820" s="99"/>
      <c r="AZ820" s="99"/>
      <c r="BA820" s="99"/>
      <c r="BB820" s="99"/>
      <c r="BC820" s="99"/>
      <c r="BD820" s="99"/>
      <c r="BE820" s="99"/>
      <c r="BF820" s="99"/>
      <c r="BG820" s="99"/>
      <c r="BH820" s="99"/>
      <c r="BI820" s="99"/>
      <c r="BJ820" s="99"/>
      <c r="BK820" s="99"/>
      <c r="BL820" s="99"/>
      <c r="BM820" s="99"/>
      <c r="BN820" s="99"/>
      <c r="BO820" s="99"/>
      <c r="BP820" s="99"/>
      <c r="BQ820" s="99"/>
      <c r="BR820" s="99"/>
      <c r="BS820" s="99"/>
      <c r="BT820" s="99"/>
      <c r="BU820" s="99"/>
      <c r="BV820" s="99"/>
      <c r="BW820" s="99"/>
      <c r="BX820" s="99"/>
      <c r="BY820" s="99"/>
      <c r="BZ820" s="99"/>
      <c r="CA820" s="99"/>
      <c r="CB820" s="99"/>
      <c r="CC820" s="99"/>
      <c r="CD820" s="99"/>
      <c r="CE820" s="99"/>
      <c r="CF820" s="99"/>
      <c r="CG820" s="99"/>
      <c r="CH820" s="99"/>
      <c r="CI820" s="99"/>
      <c r="CJ820" s="621"/>
      <c r="CK820" s="621"/>
      <c r="CL820" s="621"/>
    </row>
    <row r="821" spans="27:90">
      <c r="AA821" s="350"/>
      <c r="AB821" s="62"/>
      <c r="AC821" s="62"/>
      <c r="AD821" s="62"/>
      <c r="AP821" s="88"/>
      <c r="AQ821" s="88"/>
      <c r="AR821" s="88"/>
      <c r="AS821" s="99"/>
      <c r="AT821" s="99"/>
      <c r="AU821" s="99"/>
      <c r="AV821" s="99"/>
      <c r="AW821" s="99"/>
      <c r="AX821" s="99"/>
      <c r="AY821" s="99"/>
      <c r="AZ821" s="99"/>
      <c r="BA821" s="99"/>
      <c r="BB821" s="99"/>
      <c r="BC821" s="99"/>
      <c r="BD821" s="99"/>
      <c r="BE821" s="99"/>
      <c r="BF821" s="99"/>
      <c r="BG821" s="99"/>
      <c r="BH821" s="99"/>
      <c r="BI821" s="99"/>
      <c r="BJ821" s="99"/>
      <c r="BK821" s="99"/>
      <c r="BL821" s="99"/>
      <c r="BM821" s="99"/>
      <c r="BN821" s="99"/>
      <c r="BO821" s="99"/>
      <c r="BP821" s="99"/>
      <c r="BQ821" s="99"/>
      <c r="BR821" s="99"/>
      <c r="BS821" s="99"/>
      <c r="BT821" s="99"/>
      <c r="BU821" s="99"/>
      <c r="BV821" s="99"/>
      <c r="BW821" s="99"/>
      <c r="BX821" s="99"/>
      <c r="BY821" s="99"/>
      <c r="BZ821" s="99"/>
      <c r="CA821" s="99"/>
      <c r="CB821" s="99"/>
      <c r="CC821" s="99"/>
      <c r="CD821" s="99"/>
      <c r="CE821" s="99"/>
      <c r="CF821" s="99"/>
      <c r="CG821" s="99"/>
      <c r="CH821" s="99"/>
      <c r="CI821" s="99"/>
      <c r="CJ821" s="621"/>
      <c r="CK821" s="621"/>
      <c r="CL821" s="621"/>
    </row>
    <row r="822" spans="27:90">
      <c r="AA822" s="350"/>
      <c r="AB822" s="62"/>
      <c r="AC822" s="62"/>
      <c r="AD822" s="62"/>
      <c r="AP822" s="88"/>
      <c r="AQ822" s="88"/>
      <c r="AR822" s="88"/>
      <c r="AS822" s="99"/>
      <c r="AT822" s="99"/>
      <c r="AU822" s="99"/>
      <c r="AV822" s="99"/>
      <c r="AW822" s="99"/>
      <c r="AX822" s="99"/>
      <c r="AY822" s="99"/>
      <c r="AZ822" s="99"/>
      <c r="BA822" s="99"/>
      <c r="BB822" s="99"/>
      <c r="BC822" s="99"/>
      <c r="BD822" s="99"/>
      <c r="BE822" s="99"/>
      <c r="BF822" s="99"/>
      <c r="BG822" s="99"/>
      <c r="BH822" s="99"/>
      <c r="BI822" s="99"/>
      <c r="BJ822" s="99"/>
      <c r="BK822" s="99"/>
      <c r="BL822" s="99"/>
      <c r="BM822" s="99"/>
      <c r="BN822" s="99"/>
      <c r="BO822" s="99"/>
      <c r="BP822" s="99"/>
      <c r="BQ822" s="99"/>
      <c r="BR822" s="99"/>
      <c r="BS822" s="99"/>
      <c r="BT822" s="99"/>
      <c r="BU822" s="99"/>
      <c r="BV822" s="99"/>
      <c r="BW822" s="99"/>
      <c r="BX822" s="99"/>
      <c r="BY822" s="99"/>
      <c r="BZ822" s="99"/>
      <c r="CA822" s="99"/>
      <c r="CB822" s="99"/>
      <c r="CC822" s="99"/>
      <c r="CD822" s="99"/>
      <c r="CE822" s="99"/>
      <c r="CF822" s="99"/>
      <c r="CG822" s="99"/>
      <c r="CH822" s="99"/>
      <c r="CI822" s="99"/>
      <c r="CJ822" s="621"/>
      <c r="CK822" s="621"/>
      <c r="CL822" s="621"/>
    </row>
    <row r="823" spans="27:90">
      <c r="AA823" s="350"/>
      <c r="AB823" s="62"/>
      <c r="AC823" s="62"/>
      <c r="AD823" s="62"/>
      <c r="AP823" s="88"/>
      <c r="AQ823" s="88"/>
      <c r="AR823" s="88"/>
      <c r="AS823" s="99"/>
      <c r="AT823" s="99"/>
      <c r="AU823" s="99"/>
      <c r="AV823" s="99"/>
      <c r="AW823" s="99"/>
      <c r="AX823" s="99"/>
      <c r="AY823" s="99"/>
      <c r="AZ823" s="99"/>
      <c r="BA823" s="99"/>
      <c r="BB823" s="99"/>
      <c r="BC823" s="99"/>
      <c r="BD823" s="99"/>
      <c r="BE823" s="99"/>
      <c r="BF823" s="99"/>
      <c r="BG823" s="99"/>
      <c r="BH823" s="99"/>
      <c r="BI823" s="99"/>
      <c r="BJ823" s="99"/>
      <c r="BK823" s="99"/>
      <c r="BL823" s="99"/>
      <c r="BM823" s="99"/>
      <c r="BN823" s="99"/>
      <c r="BO823" s="99"/>
      <c r="BP823" s="99"/>
      <c r="BQ823" s="99"/>
      <c r="BR823" s="99"/>
      <c r="BS823" s="99"/>
      <c r="BT823" s="99"/>
      <c r="BU823" s="99"/>
      <c r="BV823" s="99"/>
      <c r="BW823" s="99"/>
      <c r="BX823" s="99"/>
      <c r="BY823" s="99"/>
      <c r="BZ823" s="99"/>
      <c r="CA823" s="99"/>
      <c r="CB823" s="99"/>
      <c r="CC823" s="99"/>
      <c r="CD823" s="99"/>
      <c r="CE823" s="99"/>
      <c r="CF823" s="99"/>
      <c r="CG823" s="99"/>
      <c r="CH823" s="99"/>
      <c r="CI823" s="99"/>
      <c r="CJ823" s="621"/>
      <c r="CK823" s="621"/>
      <c r="CL823" s="621"/>
    </row>
    <row r="824" spans="27:90">
      <c r="AA824" s="350"/>
      <c r="AB824" s="62"/>
      <c r="AC824" s="62"/>
      <c r="AD824" s="62"/>
      <c r="AP824" s="88"/>
      <c r="AQ824" s="88"/>
      <c r="AR824" s="88"/>
      <c r="AS824" s="99"/>
      <c r="AT824" s="99"/>
      <c r="AU824" s="99"/>
      <c r="AV824" s="99"/>
      <c r="AW824" s="99"/>
      <c r="AX824" s="99"/>
      <c r="AY824" s="99"/>
      <c r="AZ824" s="99"/>
      <c r="BA824" s="99"/>
      <c r="BB824" s="99"/>
      <c r="BC824" s="99"/>
      <c r="BD824" s="99"/>
      <c r="BE824" s="99"/>
      <c r="BF824" s="99"/>
      <c r="BG824" s="99"/>
      <c r="BH824" s="99"/>
      <c r="BI824" s="99"/>
      <c r="BJ824" s="99"/>
      <c r="BK824" s="99"/>
      <c r="BL824" s="99"/>
      <c r="BM824" s="99"/>
      <c r="BN824" s="99"/>
      <c r="BO824" s="99"/>
      <c r="BP824" s="99"/>
      <c r="BQ824" s="99"/>
      <c r="BR824" s="99"/>
      <c r="BS824" s="99"/>
      <c r="BT824" s="99"/>
      <c r="BU824" s="99"/>
      <c r="BV824" s="99"/>
      <c r="BW824" s="99"/>
      <c r="BX824" s="99"/>
      <c r="BY824" s="99"/>
      <c r="BZ824" s="99"/>
      <c r="CA824" s="99"/>
      <c r="CB824" s="99"/>
      <c r="CC824" s="99"/>
      <c r="CD824" s="99"/>
      <c r="CE824" s="99"/>
      <c r="CF824" s="99"/>
      <c r="CG824" s="99"/>
      <c r="CH824" s="99"/>
      <c r="CI824" s="99"/>
      <c r="CJ824" s="621"/>
      <c r="CK824" s="621"/>
      <c r="CL824" s="621"/>
    </row>
    <row r="825" spans="27:90">
      <c r="AA825" s="350"/>
      <c r="AB825" s="62"/>
      <c r="AC825" s="62"/>
      <c r="AD825" s="62"/>
      <c r="AP825" s="88"/>
      <c r="AQ825" s="88"/>
      <c r="AR825" s="88"/>
      <c r="AS825" s="99"/>
      <c r="AT825" s="99"/>
      <c r="AU825" s="99"/>
      <c r="AV825" s="99"/>
      <c r="AW825" s="99"/>
      <c r="AX825" s="99"/>
      <c r="AY825" s="99"/>
      <c r="AZ825" s="99"/>
      <c r="BA825" s="99"/>
      <c r="BB825" s="99"/>
      <c r="BC825" s="99"/>
      <c r="BD825" s="99"/>
      <c r="BE825" s="99"/>
      <c r="BF825" s="99"/>
      <c r="BG825" s="99"/>
      <c r="BH825" s="99"/>
      <c r="BI825" s="99"/>
      <c r="BJ825" s="99"/>
      <c r="BK825" s="99"/>
      <c r="BL825" s="99"/>
      <c r="BM825" s="99"/>
      <c r="BN825" s="99"/>
      <c r="BO825" s="99"/>
      <c r="BP825" s="99"/>
      <c r="BQ825" s="99"/>
      <c r="BR825" s="99"/>
      <c r="BS825" s="99"/>
      <c r="BT825" s="99"/>
      <c r="BU825" s="99"/>
      <c r="BV825" s="99"/>
      <c r="BW825" s="99"/>
      <c r="BX825" s="99"/>
      <c r="BY825" s="99"/>
      <c r="BZ825" s="99"/>
      <c r="CA825" s="99"/>
      <c r="CB825" s="99"/>
      <c r="CC825" s="99"/>
      <c r="CD825" s="99"/>
      <c r="CE825" s="99"/>
      <c r="CF825" s="99"/>
      <c r="CG825" s="99"/>
      <c r="CH825" s="99"/>
      <c r="CI825" s="99"/>
      <c r="CJ825" s="621"/>
      <c r="CK825" s="621"/>
      <c r="CL825" s="621"/>
    </row>
    <row r="826" spans="27:90">
      <c r="AA826" s="350"/>
      <c r="AB826" s="62"/>
      <c r="AC826" s="62"/>
      <c r="AD826" s="62"/>
      <c r="AP826" s="88"/>
      <c r="AQ826" s="88"/>
      <c r="AR826" s="88"/>
      <c r="AS826" s="99"/>
      <c r="AT826" s="99"/>
      <c r="AU826" s="99"/>
      <c r="AV826" s="99"/>
      <c r="AW826" s="99"/>
      <c r="AX826" s="99"/>
      <c r="AY826" s="99"/>
      <c r="AZ826" s="99"/>
      <c r="BA826" s="99"/>
      <c r="BB826" s="99"/>
      <c r="BC826" s="99"/>
      <c r="BD826" s="99"/>
      <c r="BE826" s="99"/>
      <c r="BF826" s="99"/>
      <c r="BG826" s="99"/>
      <c r="BH826" s="99"/>
      <c r="BI826" s="99"/>
      <c r="BJ826" s="99"/>
      <c r="BK826" s="99"/>
      <c r="BL826" s="99"/>
      <c r="BM826" s="99"/>
      <c r="BN826" s="99"/>
      <c r="BO826" s="99"/>
      <c r="BP826" s="99"/>
      <c r="BQ826" s="99"/>
      <c r="BR826" s="99"/>
      <c r="BS826" s="99"/>
      <c r="BT826" s="99"/>
      <c r="BU826" s="99"/>
      <c r="BV826" s="99"/>
      <c r="BW826" s="99"/>
      <c r="BX826" s="99"/>
      <c r="BY826" s="99"/>
      <c r="BZ826" s="99"/>
      <c r="CA826" s="99"/>
      <c r="CB826" s="99"/>
      <c r="CC826" s="99"/>
      <c r="CD826" s="99"/>
      <c r="CE826" s="99"/>
      <c r="CF826" s="99"/>
      <c r="CG826" s="99"/>
      <c r="CH826" s="99"/>
      <c r="CI826" s="99"/>
      <c r="CJ826" s="621"/>
      <c r="CK826" s="621"/>
      <c r="CL826" s="621"/>
    </row>
    <row r="827" spans="27:90">
      <c r="AA827" s="350"/>
      <c r="AB827" s="62"/>
      <c r="AC827" s="62"/>
      <c r="AD827" s="62"/>
      <c r="AP827" s="88"/>
      <c r="AQ827" s="88"/>
      <c r="AR827" s="88"/>
      <c r="AS827" s="99"/>
      <c r="AT827" s="99"/>
      <c r="AU827" s="99"/>
      <c r="AV827" s="99"/>
      <c r="AW827" s="99"/>
      <c r="AX827" s="99"/>
      <c r="AY827" s="99"/>
      <c r="AZ827" s="99"/>
      <c r="BA827" s="99"/>
      <c r="BB827" s="99"/>
      <c r="BC827" s="99"/>
      <c r="BD827" s="99"/>
      <c r="BE827" s="99"/>
      <c r="BF827" s="99"/>
      <c r="BG827" s="99"/>
      <c r="BH827" s="99"/>
      <c r="BI827" s="99"/>
      <c r="BJ827" s="99"/>
      <c r="BK827" s="99"/>
      <c r="BL827" s="99"/>
      <c r="BM827" s="99"/>
      <c r="BN827" s="99"/>
      <c r="BO827" s="99"/>
      <c r="BP827" s="99"/>
      <c r="BQ827" s="99"/>
      <c r="BR827" s="99"/>
      <c r="BS827" s="99"/>
      <c r="BT827" s="99"/>
      <c r="BU827" s="99"/>
      <c r="BV827" s="99"/>
      <c r="BW827" s="99"/>
      <c r="BX827" s="99"/>
      <c r="BY827" s="99"/>
      <c r="BZ827" s="99"/>
      <c r="CA827" s="99"/>
      <c r="CB827" s="99"/>
      <c r="CC827" s="99"/>
      <c r="CD827" s="99"/>
      <c r="CE827" s="99"/>
      <c r="CF827" s="99"/>
      <c r="CG827" s="99"/>
      <c r="CH827" s="99"/>
      <c r="CI827" s="99"/>
      <c r="CJ827" s="621"/>
      <c r="CK827" s="621"/>
      <c r="CL827" s="621"/>
    </row>
    <row r="828" spans="27:90">
      <c r="AA828" s="350"/>
      <c r="AB828" s="62"/>
      <c r="AC828" s="62"/>
      <c r="AD828" s="62"/>
      <c r="AP828" s="88"/>
      <c r="AQ828" s="88"/>
      <c r="AR828" s="88"/>
      <c r="AS828" s="99"/>
      <c r="AT828" s="99"/>
      <c r="AU828" s="99"/>
      <c r="AV828" s="99"/>
      <c r="AW828" s="99"/>
      <c r="AX828" s="99"/>
      <c r="AY828" s="99"/>
      <c r="AZ828" s="99"/>
      <c r="BA828" s="99"/>
      <c r="BB828" s="99"/>
      <c r="BC828" s="99"/>
      <c r="BD828" s="99"/>
      <c r="BE828" s="99"/>
      <c r="BF828" s="99"/>
      <c r="BG828" s="99"/>
      <c r="BH828" s="99"/>
      <c r="BI828" s="99"/>
      <c r="BJ828" s="99"/>
      <c r="BK828" s="99"/>
      <c r="BL828" s="99"/>
      <c r="BM828" s="99"/>
      <c r="BN828" s="99"/>
      <c r="BO828" s="99"/>
      <c r="BP828" s="99"/>
      <c r="BQ828" s="99"/>
      <c r="BR828" s="99"/>
      <c r="BS828" s="99"/>
      <c r="BT828" s="99"/>
      <c r="BU828" s="99"/>
      <c r="BV828" s="99"/>
      <c r="BW828" s="99"/>
      <c r="BX828" s="99"/>
      <c r="BY828" s="99"/>
      <c r="BZ828" s="99"/>
      <c r="CA828" s="99"/>
      <c r="CB828" s="99"/>
      <c r="CC828" s="99"/>
      <c r="CD828" s="99"/>
      <c r="CE828" s="99"/>
      <c r="CF828" s="99"/>
      <c r="CG828" s="99"/>
      <c r="CH828" s="99"/>
      <c r="CI828" s="99"/>
      <c r="CJ828" s="621"/>
      <c r="CK828" s="621"/>
      <c r="CL828" s="621"/>
    </row>
    <row r="829" spans="27:90">
      <c r="AA829" s="350"/>
      <c r="AB829" s="62"/>
      <c r="AC829" s="62"/>
      <c r="AD829" s="62"/>
      <c r="AP829" s="88"/>
      <c r="AQ829" s="88"/>
      <c r="AR829" s="88"/>
      <c r="AS829" s="99"/>
      <c r="AT829" s="99"/>
      <c r="AU829" s="99"/>
      <c r="AV829" s="99"/>
      <c r="AW829" s="99"/>
      <c r="AX829" s="99"/>
      <c r="AY829" s="99"/>
      <c r="AZ829" s="99"/>
      <c r="BA829" s="99"/>
      <c r="BB829" s="99"/>
      <c r="BC829" s="99"/>
      <c r="BD829" s="99"/>
      <c r="BE829" s="99"/>
      <c r="BF829" s="99"/>
      <c r="BG829" s="99"/>
      <c r="BH829" s="99"/>
      <c r="BI829" s="99"/>
      <c r="BJ829" s="99"/>
      <c r="BK829" s="99"/>
      <c r="BL829" s="99"/>
      <c r="BM829" s="99"/>
      <c r="BN829" s="99"/>
      <c r="BO829" s="99"/>
      <c r="BP829" s="99"/>
      <c r="BQ829" s="99"/>
      <c r="BR829" s="99"/>
      <c r="BS829" s="99"/>
      <c r="BT829" s="99"/>
      <c r="BU829" s="99"/>
      <c r="BV829" s="99"/>
      <c r="BW829" s="99"/>
      <c r="BX829" s="99"/>
      <c r="BY829" s="99"/>
      <c r="BZ829" s="99"/>
      <c r="CA829" s="99"/>
      <c r="CB829" s="99"/>
      <c r="CC829" s="99"/>
      <c r="CD829" s="99"/>
      <c r="CE829" s="99"/>
      <c r="CF829" s="99"/>
      <c r="CG829" s="99"/>
      <c r="CH829" s="99"/>
      <c r="CI829" s="99"/>
      <c r="CJ829" s="621"/>
      <c r="CK829" s="621"/>
      <c r="CL829" s="621"/>
    </row>
    <row r="830" spans="27:90">
      <c r="AA830" s="350"/>
      <c r="AB830" s="62"/>
      <c r="AC830" s="62"/>
      <c r="AD830" s="62"/>
      <c r="AP830" s="88"/>
      <c r="AQ830" s="88"/>
      <c r="AR830" s="88"/>
      <c r="AS830" s="99"/>
      <c r="AT830" s="99"/>
      <c r="AU830" s="99"/>
      <c r="AV830" s="99"/>
      <c r="AW830" s="99"/>
      <c r="AX830" s="99"/>
      <c r="AY830" s="99"/>
      <c r="AZ830" s="99"/>
      <c r="BA830" s="99"/>
      <c r="BB830" s="99"/>
      <c r="BC830" s="99"/>
      <c r="BD830" s="99"/>
      <c r="BE830" s="99"/>
      <c r="BF830" s="99"/>
      <c r="BG830" s="99"/>
      <c r="BH830" s="99"/>
      <c r="BI830" s="99"/>
      <c r="BJ830" s="99"/>
      <c r="BK830" s="99"/>
      <c r="BL830" s="99"/>
      <c r="BM830" s="99"/>
      <c r="BN830" s="99"/>
      <c r="BO830" s="99"/>
      <c r="BP830" s="99"/>
      <c r="BQ830" s="99"/>
      <c r="BR830" s="99"/>
      <c r="BS830" s="99"/>
      <c r="BT830" s="99"/>
      <c r="BU830" s="99"/>
      <c r="BV830" s="99"/>
      <c r="BW830" s="99"/>
      <c r="BX830" s="99"/>
      <c r="BY830" s="99"/>
      <c r="BZ830" s="99"/>
      <c r="CA830" s="99"/>
      <c r="CB830" s="99"/>
      <c r="CC830" s="99"/>
      <c r="CD830" s="99"/>
      <c r="CE830" s="99"/>
      <c r="CF830" s="99"/>
      <c r="CG830" s="99"/>
      <c r="CH830" s="99"/>
      <c r="CI830" s="99"/>
      <c r="CJ830" s="621"/>
      <c r="CK830" s="621"/>
      <c r="CL830" s="621"/>
    </row>
    <row r="831" spans="27:90">
      <c r="AA831" s="350"/>
      <c r="AB831" s="62"/>
      <c r="AC831" s="62"/>
      <c r="AD831" s="62"/>
      <c r="AP831" s="88"/>
      <c r="AQ831" s="88"/>
      <c r="AR831" s="88"/>
      <c r="AS831" s="99"/>
      <c r="AT831" s="99"/>
      <c r="AU831" s="99"/>
      <c r="AV831" s="99"/>
      <c r="AW831" s="99"/>
      <c r="AX831" s="99"/>
      <c r="AY831" s="99"/>
      <c r="AZ831" s="99"/>
      <c r="BA831" s="99"/>
      <c r="BB831" s="99"/>
      <c r="BC831" s="99"/>
      <c r="BD831" s="99"/>
      <c r="BE831" s="99"/>
      <c r="BF831" s="99"/>
      <c r="BG831" s="99"/>
      <c r="BH831" s="99"/>
      <c r="BI831" s="99"/>
      <c r="BJ831" s="99"/>
      <c r="BK831" s="99"/>
      <c r="BL831" s="99"/>
      <c r="BM831" s="99"/>
      <c r="BN831" s="99"/>
      <c r="BO831" s="99"/>
      <c r="BP831" s="99"/>
      <c r="BQ831" s="99"/>
      <c r="BR831" s="99"/>
      <c r="BS831" s="99"/>
      <c r="BT831" s="99"/>
      <c r="BU831" s="99"/>
      <c r="BV831" s="99"/>
      <c r="BW831" s="99"/>
      <c r="BX831" s="99"/>
      <c r="BY831" s="99"/>
      <c r="BZ831" s="99"/>
      <c r="CA831" s="99"/>
      <c r="CB831" s="99"/>
      <c r="CC831" s="99"/>
      <c r="CD831" s="99"/>
      <c r="CE831" s="99"/>
      <c r="CF831" s="99"/>
      <c r="CG831" s="99"/>
      <c r="CH831" s="99"/>
      <c r="CI831" s="99"/>
      <c r="CJ831" s="621"/>
      <c r="CK831" s="621"/>
      <c r="CL831" s="621"/>
    </row>
    <row r="832" spans="27:90">
      <c r="AA832" s="350"/>
      <c r="AB832" s="62"/>
      <c r="AC832" s="62"/>
      <c r="AD832" s="62"/>
      <c r="AP832" s="88"/>
      <c r="AQ832" s="88"/>
      <c r="AR832" s="88"/>
      <c r="AS832" s="99"/>
      <c r="AT832" s="99"/>
      <c r="AU832" s="99"/>
      <c r="AV832" s="99"/>
      <c r="AW832" s="99"/>
      <c r="AX832" s="99"/>
      <c r="AY832" s="99"/>
      <c r="AZ832" s="99"/>
      <c r="BA832" s="99"/>
      <c r="BB832" s="99"/>
      <c r="BC832" s="99"/>
      <c r="BD832" s="99"/>
      <c r="BE832" s="99"/>
      <c r="BF832" s="99"/>
      <c r="BG832" s="99"/>
      <c r="BH832" s="99"/>
      <c r="BI832" s="99"/>
      <c r="BJ832" s="99"/>
      <c r="BK832" s="99"/>
      <c r="BL832" s="99"/>
      <c r="BM832" s="99"/>
      <c r="BN832" s="99"/>
      <c r="BO832" s="99"/>
      <c r="BP832" s="99"/>
      <c r="BQ832" s="99"/>
      <c r="BR832" s="99"/>
      <c r="BS832" s="99"/>
      <c r="BT832" s="99"/>
      <c r="BU832" s="99"/>
      <c r="BV832" s="99"/>
      <c r="BW832" s="99"/>
      <c r="BX832" s="99"/>
      <c r="BY832" s="99"/>
      <c r="BZ832" s="99"/>
      <c r="CA832" s="99"/>
      <c r="CB832" s="99"/>
      <c r="CC832" s="99"/>
      <c r="CD832" s="99"/>
      <c r="CE832" s="99"/>
      <c r="CF832" s="99"/>
      <c r="CG832" s="99"/>
      <c r="CH832" s="99"/>
      <c r="CI832" s="99"/>
      <c r="CJ832" s="621"/>
      <c r="CK832" s="621"/>
      <c r="CL832" s="621"/>
    </row>
    <row r="833" spans="27:90">
      <c r="AA833" s="350"/>
      <c r="AB833" s="62"/>
      <c r="AC833" s="62"/>
      <c r="AD833" s="62"/>
      <c r="AP833" s="88"/>
      <c r="AQ833" s="88"/>
      <c r="AR833" s="88"/>
      <c r="AS833" s="99"/>
      <c r="AT833" s="99"/>
      <c r="AU833" s="99"/>
      <c r="AV833" s="99"/>
      <c r="AW833" s="99"/>
      <c r="AX833" s="99"/>
      <c r="AY833" s="99"/>
      <c r="AZ833" s="99"/>
      <c r="BA833" s="99"/>
      <c r="BB833" s="99"/>
      <c r="BC833" s="99"/>
      <c r="BD833" s="99"/>
      <c r="BE833" s="99"/>
      <c r="BF833" s="99"/>
      <c r="BG833" s="99"/>
      <c r="BH833" s="99"/>
      <c r="BI833" s="99"/>
      <c r="BJ833" s="99"/>
      <c r="BK833" s="99"/>
      <c r="BL833" s="99"/>
      <c r="BM833" s="99"/>
      <c r="BN833" s="99"/>
      <c r="BO833" s="99"/>
      <c r="BP833" s="99"/>
      <c r="BQ833" s="99"/>
      <c r="BR833" s="99"/>
      <c r="BS833" s="99"/>
      <c r="BT833" s="99"/>
      <c r="BU833" s="99"/>
      <c r="BV833" s="99"/>
      <c r="BW833" s="99"/>
      <c r="BX833" s="99"/>
      <c r="BY833" s="99"/>
      <c r="BZ833" s="99"/>
      <c r="CA833" s="99"/>
      <c r="CB833" s="99"/>
      <c r="CC833" s="99"/>
      <c r="CD833" s="99"/>
      <c r="CE833" s="99"/>
      <c r="CF833" s="99"/>
      <c r="CG833" s="99"/>
      <c r="CH833" s="99"/>
      <c r="CI833" s="99"/>
      <c r="CJ833" s="621"/>
      <c r="CK833" s="621"/>
      <c r="CL833" s="621"/>
    </row>
    <row r="834" spans="27:90">
      <c r="AA834" s="350"/>
      <c r="AB834" s="62"/>
      <c r="AC834" s="62"/>
      <c r="AD834" s="62"/>
      <c r="AP834" s="88"/>
      <c r="AQ834" s="88"/>
      <c r="AR834" s="88"/>
      <c r="AS834" s="99"/>
      <c r="AT834" s="99"/>
      <c r="AU834" s="99"/>
      <c r="AV834" s="99"/>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621"/>
      <c r="CK834" s="621"/>
      <c r="CL834" s="621"/>
    </row>
    <row r="835" spans="27:90">
      <c r="AA835" s="350"/>
      <c r="AB835" s="62"/>
      <c r="AC835" s="62"/>
      <c r="AD835" s="62"/>
      <c r="AP835" s="88"/>
      <c r="AQ835" s="88"/>
      <c r="AR835" s="88"/>
      <c r="AS835" s="99"/>
      <c r="AT835" s="99"/>
      <c r="AU835" s="99"/>
      <c r="AV835" s="99"/>
      <c r="AW835" s="99"/>
      <c r="AX835" s="99"/>
      <c r="AY835" s="99"/>
      <c r="AZ835" s="99"/>
      <c r="BA835" s="99"/>
      <c r="BB835" s="99"/>
      <c r="BC835" s="99"/>
      <c r="BD835" s="99"/>
      <c r="BE835" s="99"/>
      <c r="BF835" s="99"/>
      <c r="BG835" s="99"/>
      <c r="BH835" s="99"/>
      <c r="BI835" s="99"/>
      <c r="BJ835" s="99"/>
      <c r="BK835" s="99"/>
      <c r="BL835" s="99"/>
      <c r="BM835" s="99"/>
      <c r="BN835" s="99"/>
      <c r="BO835" s="99"/>
      <c r="BP835" s="99"/>
      <c r="BQ835" s="99"/>
      <c r="BR835" s="99"/>
      <c r="BS835" s="99"/>
      <c r="BT835" s="99"/>
      <c r="BU835" s="99"/>
      <c r="BV835" s="99"/>
      <c r="BW835" s="99"/>
      <c r="BX835" s="99"/>
      <c r="BY835" s="99"/>
      <c r="BZ835" s="99"/>
      <c r="CA835" s="99"/>
      <c r="CB835" s="99"/>
      <c r="CC835" s="99"/>
      <c r="CD835" s="99"/>
      <c r="CE835" s="99"/>
      <c r="CF835" s="99"/>
      <c r="CG835" s="99"/>
      <c r="CH835" s="99"/>
      <c r="CI835" s="99"/>
      <c r="CJ835" s="621"/>
      <c r="CK835" s="621"/>
      <c r="CL835" s="621"/>
    </row>
    <row r="836" spans="27:90">
      <c r="AA836" s="350"/>
      <c r="AB836" s="62"/>
      <c r="AC836" s="62"/>
      <c r="AD836" s="62"/>
      <c r="AP836" s="88"/>
      <c r="AQ836" s="88"/>
      <c r="AR836" s="88"/>
      <c r="AS836" s="99"/>
      <c r="AT836" s="99"/>
      <c r="AU836" s="99"/>
      <c r="AV836" s="99"/>
      <c r="AW836" s="99"/>
      <c r="AX836" s="99"/>
      <c r="AY836" s="99"/>
      <c r="AZ836" s="99"/>
      <c r="BA836" s="99"/>
      <c r="BB836" s="99"/>
      <c r="BC836" s="99"/>
      <c r="BD836" s="99"/>
      <c r="BE836" s="99"/>
      <c r="BF836" s="99"/>
      <c r="BG836" s="99"/>
      <c r="BH836" s="99"/>
      <c r="BI836" s="99"/>
      <c r="BJ836" s="99"/>
      <c r="BK836" s="99"/>
      <c r="BL836" s="99"/>
      <c r="BM836" s="99"/>
      <c r="BN836" s="99"/>
      <c r="BO836" s="99"/>
      <c r="BP836" s="99"/>
      <c r="BQ836" s="99"/>
      <c r="BR836" s="99"/>
      <c r="BS836" s="99"/>
      <c r="BT836" s="99"/>
      <c r="BU836" s="99"/>
      <c r="BV836" s="99"/>
      <c r="BW836" s="99"/>
      <c r="BX836" s="99"/>
      <c r="BY836" s="99"/>
      <c r="BZ836" s="99"/>
      <c r="CA836" s="99"/>
      <c r="CB836" s="99"/>
      <c r="CC836" s="99"/>
      <c r="CD836" s="99"/>
      <c r="CE836" s="99"/>
      <c r="CF836" s="99"/>
      <c r="CG836" s="99"/>
      <c r="CH836" s="99"/>
      <c r="CI836" s="99"/>
      <c r="CJ836" s="621"/>
      <c r="CK836" s="621"/>
      <c r="CL836" s="621"/>
    </row>
    <row r="837" spans="27:90">
      <c r="AA837" s="350"/>
      <c r="AB837" s="62"/>
      <c r="AC837" s="62"/>
      <c r="AD837" s="62"/>
      <c r="AP837" s="88"/>
      <c r="AQ837" s="88"/>
      <c r="AR837" s="88"/>
      <c r="AS837" s="99"/>
      <c r="AT837" s="99"/>
      <c r="AU837" s="99"/>
      <c r="AV837" s="99"/>
      <c r="AW837" s="99"/>
      <c r="AX837" s="99"/>
      <c r="AY837" s="99"/>
      <c r="AZ837" s="99"/>
      <c r="BA837" s="99"/>
      <c r="BB837" s="99"/>
      <c r="BC837" s="99"/>
      <c r="BD837" s="99"/>
      <c r="BE837" s="99"/>
      <c r="BF837" s="99"/>
      <c r="BG837" s="99"/>
      <c r="BH837" s="99"/>
      <c r="BI837" s="99"/>
      <c r="BJ837" s="99"/>
      <c r="BK837" s="99"/>
      <c r="BL837" s="99"/>
      <c r="BM837" s="99"/>
      <c r="BN837" s="99"/>
      <c r="BO837" s="99"/>
      <c r="BP837" s="99"/>
      <c r="BQ837" s="99"/>
      <c r="BR837" s="99"/>
      <c r="BS837" s="99"/>
      <c r="BT837" s="99"/>
      <c r="BU837" s="99"/>
      <c r="BV837" s="99"/>
      <c r="BW837" s="99"/>
      <c r="BX837" s="99"/>
      <c r="BY837" s="99"/>
      <c r="BZ837" s="99"/>
      <c r="CA837" s="99"/>
      <c r="CB837" s="99"/>
      <c r="CC837" s="99"/>
      <c r="CD837" s="99"/>
      <c r="CE837" s="99"/>
      <c r="CF837" s="99"/>
      <c r="CG837" s="99"/>
      <c r="CH837" s="99"/>
      <c r="CI837" s="99"/>
      <c r="CJ837" s="621"/>
      <c r="CK837" s="621"/>
      <c r="CL837" s="621"/>
    </row>
    <row r="838" spans="27:90">
      <c r="AA838" s="350"/>
      <c r="AB838" s="62"/>
      <c r="AC838" s="62"/>
      <c r="AD838" s="62"/>
      <c r="AP838" s="88"/>
      <c r="AQ838" s="88"/>
      <c r="AR838" s="88"/>
      <c r="AS838" s="99"/>
      <c r="AT838" s="99"/>
      <c r="AU838" s="99"/>
      <c r="AV838" s="99"/>
      <c r="AW838" s="99"/>
      <c r="AX838" s="99"/>
      <c r="AY838" s="99"/>
      <c r="AZ838" s="99"/>
      <c r="BA838" s="99"/>
      <c r="BB838" s="99"/>
      <c r="BC838" s="99"/>
      <c r="BD838" s="99"/>
      <c r="BE838" s="99"/>
      <c r="BF838" s="99"/>
      <c r="BG838" s="99"/>
      <c r="BH838" s="99"/>
      <c r="BI838" s="99"/>
      <c r="BJ838" s="99"/>
      <c r="BK838" s="99"/>
      <c r="BL838" s="99"/>
      <c r="BM838" s="99"/>
      <c r="BN838" s="99"/>
      <c r="BO838" s="99"/>
      <c r="BP838" s="99"/>
      <c r="BQ838" s="99"/>
      <c r="BR838" s="99"/>
      <c r="BS838" s="99"/>
      <c r="BT838" s="99"/>
      <c r="BU838" s="99"/>
      <c r="BV838" s="99"/>
      <c r="BW838" s="99"/>
      <c r="BX838" s="99"/>
      <c r="BY838" s="99"/>
      <c r="BZ838" s="99"/>
      <c r="CA838" s="99"/>
      <c r="CB838" s="99"/>
      <c r="CC838" s="99"/>
      <c r="CD838" s="99"/>
      <c r="CE838" s="99"/>
      <c r="CF838" s="99"/>
      <c r="CG838" s="99"/>
      <c r="CH838" s="99"/>
      <c r="CI838" s="99"/>
      <c r="CJ838" s="621"/>
      <c r="CK838" s="621"/>
      <c r="CL838" s="621"/>
    </row>
    <row r="839" spans="27:90">
      <c r="AA839" s="350"/>
      <c r="AB839" s="62"/>
      <c r="AC839" s="62"/>
      <c r="AD839" s="62"/>
      <c r="AP839" s="88"/>
      <c r="AQ839" s="88"/>
      <c r="AR839" s="88"/>
      <c r="AS839" s="99"/>
      <c r="AT839" s="99"/>
      <c r="AU839" s="99"/>
      <c r="AV839" s="99"/>
      <c r="AW839" s="99"/>
      <c r="AX839" s="99"/>
      <c r="AY839" s="99"/>
      <c r="AZ839" s="99"/>
      <c r="BA839" s="99"/>
      <c r="BB839" s="99"/>
      <c r="BC839" s="99"/>
      <c r="BD839" s="99"/>
      <c r="BE839" s="99"/>
      <c r="BF839" s="99"/>
      <c r="BG839" s="99"/>
      <c r="BH839" s="99"/>
      <c r="BI839" s="99"/>
      <c r="BJ839" s="99"/>
      <c r="BK839" s="99"/>
      <c r="BL839" s="99"/>
      <c r="BM839" s="99"/>
      <c r="BN839" s="99"/>
      <c r="BO839" s="99"/>
      <c r="BP839" s="99"/>
      <c r="BQ839" s="99"/>
      <c r="BR839" s="99"/>
      <c r="BS839" s="99"/>
      <c r="BT839" s="99"/>
      <c r="BU839" s="99"/>
      <c r="BV839" s="99"/>
      <c r="BW839" s="99"/>
      <c r="BX839" s="99"/>
      <c r="BY839" s="99"/>
      <c r="BZ839" s="99"/>
      <c r="CA839" s="99"/>
      <c r="CB839" s="99"/>
      <c r="CC839" s="99"/>
      <c r="CD839" s="99"/>
      <c r="CE839" s="99"/>
      <c r="CF839" s="99"/>
      <c r="CG839" s="99"/>
      <c r="CH839" s="99"/>
      <c r="CI839" s="99"/>
      <c r="CJ839" s="621"/>
      <c r="CK839" s="621"/>
      <c r="CL839" s="621"/>
    </row>
    <row r="840" spans="27:90">
      <c r="AA840" s="350"/>
      <c r="AB840" s="62"/>
      <c r="AC840" s="62"/>
      <c r="AD840" s="62"/>
      <c r="AP840" s="88"/>
      <c r="AQ840" s="88"/>
      <c r="AR840" s="88"/>
      <c r="AS840" s="99"/>
      <c r="AT840" s="99"/>
      <c r="AU840" s="99"/>
      <c r="AV840" s="99"/>
      <c r="AW840" s="99"/>
      <c r="AX840" s="99"/>
      <c r="AY840" s="99"/>
      <c r="AZ840" s="99"/>
      <c r="BA840" s="99"/>
      <c r="BB840" s="99"/>
      <c r="BC840" s="99"/>
      <c r="BD840" s="99"/>
      <c r="BE840" s="99"/>
      <c r="BF840" s="99"/>
      <c r="BG840" s="99"/>
      <c r="BH840" s="99"/>
      <c r="BI840" s="99"/>
      <c r="BJ840" s="99"/>
      <c r="BK840" s="99"/>
      <c r="BL840" s="99"/>
      <c r="BM840" s="99"/>
      <c r="BN840" s="99"/>
      <c r="BO840" s="99"/>
      <c r="BP840" s="99"/>
      <c r="BQ840" s="99"/>
      <c r="BR840" s="99"/>
      <c r="BS840" s="99"/>
      <c r="BT840" s="99"/>
      <c r="BU840" s="99"/>
      <c r="BV840" s="99"/>
      <c r="BW840" s="99"/>
      <c r="BX840" s="99"/>
      <c r="BY840" s="99"/>
      <c r="BZ840" s="99"/>
      <c r="CA840" s="99"/>
      <c r="CB840" s="99"/>
      <c r="CC840" s="99"/>
      <c r="CD840" s="99"/>
      <c r="CE840" s="99"/>
      <c r="CF840" s="99"/>
      <c r="CG840" s="99"/>
      <c r="CH840" s="99"/>
      <c r="CI840" s="99"/>
      <c r="CJ840" s="621"/>
      <c r="CK840" s="621"/>
      <c r="CL840" s="621"/>
    </row>
    <row r="841" spans="27:90">
      <c r="AA841" s="350"/>
      <c r="AB841" s="62"/>
      <c r="AC841" s="62"/>
      <c r="AD841" s="62"/>
      <c r="AP841" s="88"/>
      <c r="AQ841" s="88"/>
      <c r="AR841" s="88"/>
      <c r="AS841" s="99"/>
      <c r="AT841" s="99"/>
      <c r="AU841" s="99"/>
      <c r="AV841" s="99"/>
      <c r="AW841" s="99"/>
      <c r="AX841" s="99"/>
      <c r="AY841" s="99"/>
      <c r="AZ841" s="99"/>
      <c r="BA841" s="99"/>
      <c r="BB841" s="99"/>
      <c r="BC841" s="99"/>
      <c r="BD841" s="99"/>
      <c r="BE841" s="99"/>
      <c r="BF841" s="99"/>
      <c r="BG841" s="99"/>
      <c r="BH841" s="99"/>
      <c r="BI841" s="99"/>
      <c r="BJ841" s="99"/>
      <c r="BK841" s="99"/>
      <c r="BL841" s="99"/>
      <c r="BM841" s="99"/>
      <c r="BN841" s="99"/>
      <c r="BO841" s="99"/>
      <c r="BP841" s="99"/>
      <c r="BQ841" s="99"/>
      <c r="BR841" s="99"/>
      <c r="BS841" s="99"/>
      <c r="BT841" s="99"/>
      <c r="BU841" s="99"/>
      <c r="BV841" s="99"/>
      <c r="BW841" s="99"/>
      <c r="BX841" s="99"/>
      <c r="BY841" s="99"/>
      <c r="BZ841" s="99"/>
      <c r="CA841" s="99"/>
      <c r="CB841" s="99"/>
      <c r="CC841" s="99"/>
      <c r="CD841" s="99"/>
      <c r="CE841" s="99"/>
      <c r="CF841" s="99"/>
      <c r="CG841" s="99"/>
      <c r="CH841" s="99"/>
      <c r="CI841" s="99"/>
      <c r="CJ841" s="621"/>
      <c r="CK841" s="621"/>
      <c r="CL841" s="621"/>
    </row>
    <row r="842" spans="27:90">
      <c r="AA842" s="350"/>
      <c r="AB842" s="62"/>
      <c r="AC842" s="62"/>
      <c r="AD842" s="62"/>
      <c r="AP842" s="88"/>
      <c r="AQ842" s="88"/>
      <c r="AR842" s="88"/>
      <c r="AS842" s="99"/>
      <c r="AT842" s="99"/>
      <c r="AU842" s="99"/>
      <c r="AV842" s="99"/>
      <c r="AW842" s="99"/>
      <c r="AX842" s="99"/>
      <c r="AY842" s="99"/>
      <c r="AZ842" s="99"/>
      <c r="BA842" s="99"/>
      <c r="BB842" s="99"/>
      <c r="BC842" s="99"/>
      <c r="BD842" s="99"/>
      <c r="BE842" s="99"/>
      <c r="BF842" s="99"/>
      <c r="BG842" s="99"/>
      <c r="BH842" s="99"/>
      <c r="BI842" s="99"/>
      <c r="BJ842" s="99"/>
      <c r="BK842" s="99"/>
      <c r="BL842" s="99"/>
      <c r="BM842" s="99"/>
      <c r="BN842" s="99"/>
      <c r="BO842" s="99"/>
      <c r="BP842" s="99"/>
      <c r="BQ842" s="99"/>
      <c r="BR842" s="99"/>
      <c r="BS842" s="99"/>
      <c r="BT842" s="99"/>
      <c r="BU842" s="99"/>
      <c r="BV842" s="99"/>
      <c r="BW842" s="99"/>
      <c r="BX842" s="99"/>
      <c r="BY842" s="99"/>
      <c r="BZ842" s="99"/>
      <c r="CA842" s="99"/>
      <c r="CB842" s="99"/>
      <c r="CC842" s="99"/>
      <c r="CD842" s="99"/>
      <c r="CE842" s="99"/>
      <c r="CF842" s="99"/>
      <c r="CG842" s="99"/>
      <c r="CH842" s="99"/>
      <c r="CI842" s="99"/>
      <c r="CJ842" s="621"/>
      <c r="CK842" s="621"/>
      <c r="CL842" s="621"/>
    </row>
    <row r="843" spans="27:90">
      <c r="AA843" s="350"/>
      <c r="AB843" s="62"/>
      <c r="AC843" s="62"/>
      <c r="AD843" s="62"/>
      <c r="AP843" s="88"/>
      <c r="AQ843" s="88"/>
      <c r="AR843" s="88"/>
      <c r="AS843" s="99"/>
      <c r="AT843" s="99"/>
      <c r="AU843" s="99"/>
      <c r="AV843" s="99"/>
      <c r="AW843" s="99"/>
      <c r="AX843" s="99"/>
      <c r="AY843" s="99"/>
      <c r="AZ843" s="99"/>
      <c r="BA843" s="99"/>
      <c r="BB843" s="99"/>
      <c r="BC843" s="99"/>
      <c r="BD843" s="99"/>
      <c r="BE843" s="99"/>
      <c r="BF843" s="99"/>
      <c r="BG843" s="99"/>
      <c r="BH843" s="99"/>
      <c r="BI843" s="99"/>
      <c r="BJ843" s="99"/>
      <c r="BK843" s="99"/>
      <c r="BL843" s="99"/>
      <c r="BM843" s="99"/>
      <c r="BN843" s="99"/>
      <c r="BO843" s="99"/>
      <c r="BP843" s="99"/>
      <c r="BQ843" s="99"/>
      <c r="BR843" s="99"/>
      <c r="BS843" s="99"/>
      <c r="BT843" s="99"/>
      <c r="BU843" s="99"/>
      <c r="BV843" s="99"/>
      <c r="BW843" s="99"/>
      <c r="BX843" s="99"/>
      <c r="BY843" s="99"/>
      <c r="BZ843" s="99"/>
      <c r="CA843" s="99"/>
      <c r="CB843" s="99"/>
      <c r="CC843" s="99"/>
      <c r="CD843" s="99"/>
      <c r="CE843" s="99"/>
      <c r="CF843" s="99"/>
      <c r="CG843" s="99"/>
      <c r="CH843" s="99"/>
      <c r="CI843" s="99"/>
      <c r="CJ843" s="621"/>
      <c r="CK843" s="621"/>
      <c r="CL843" s="621"/>
    </row>
    <row r="844" spans="27:90">
      <c r="AA844" s="350"/>
      <c r="AB844" s="62"/>
      <c r="AC844" s="62"/>
      <c r="AD844" s="62"/>
      <c r="AP844" s="88"/>
      <c r="AQ844" s="88"/>
      <c r="AR844" s="88"/>
      <c r="AS844" s="99"/>
      <c r="AT844" s="99"/>
      <c r="AU844" s="99"/>
      <c r="AV844" s="99"/>
      <c r="AW844" s="99"/>
      <c r="AX844" s="99"/>
      <c r="AY844" s="99"/>
      <c r="AZ844" s="99"/>
      <c r="BA844" s="99"/>
      <c r="BB844" s="99"/>
      <c r="BC844" s="99"/>
      <c r="BD844" s="99"/>
      <c r="BE844" s="99"/>
      <c r="BF844" s="99"/>
      <c r="BG844" s="99"/>
      <c r="BH844" s="99"/>
      <c r="BI844" s="99"/>
      <c r="BJ844" s="99"/>
      <c r="BK844" s="99"/>
      <c r="BL844" s="99"/>
      <c r="BM844" s="99"/>
      <c r="BN844" s="99"/>
      <c r="BO844" s="99"/>
      <c r="BP844" s="99"/>
      <c r="BQ844" s="99"/>
      <c r="BR844" s="99"/>
      <c r="BS844" s="99"/>
      <c r="BT844" s="99"/>
      <c r="BU844" s="99"/>
      <c r="BV844" s="99"/>
      <c r="BW844" s="99"/>
      <c r="BX844" s="99"/>
      <c r="BY844" s="99"/>
      <c r="BZ844" s="99"/>
      <c r="CA844" s="99"/>
      <c r="CB844" s="99"/>
      <c r="CC844" s="99"/>
      <c r="CD844" s="99"/>
      <c r="CE844" s="99"/>
      <c r="CF844" s="99"/>
      <c r="CG844" s="99"/>
      <c r="CH844" s="99"/>
      <c r="CI844" s="99"/>
      <c r="CJ844" s="621"/>
      <c r="CK844" s="621"/>
      <c r="CL844" s="621"/>
    </row>
    <row r="845" spans="27:90">
      <c r="AA845" s="350"/>
      <c r="AB845" s="62"/>
      <c r="AC845" s="62"/>
      <c r="AD845" s="62"/>
      <c r="AP845" s="88"/>
      <c r="AQ845" s="88"/>
      <c r="AR845" s="88"/>
      <c r="AS845" s="99"/>
      <c r="AT845" s="99"/>
      <c r="AU845" s="99"/>
      <c r="AV845" s="99"/>
      <c r="AW845" s="99"/>
      <c r="AX845" s="99"/>
      <c r="AY845" s="99"/>
      <c r="AZ845" s="99"/>
      <c r="BA845" s="99"/>
      <c r="BB845" s="99"/>
      <c r="BC845" s="99"/>
      <c r="BD845" s="99"/>
      <c r="BE845" s="99"/>
      <c r="BF845" s="99"/>
      <c r="BG845" s="99"/>
      <c r="BH845" s="99"/>
      <c r="BI845" s="99"/>
      <c r="BJ845" s="99"/>
      <c r="BK845" s="99"/>
      <c r="BL845" s="99"/>
      <c r="BM845" s="99"/>
      <c r="BN845" s="99"/>
      <c r="BO845" s="99"/>
      <c r="BP845" s="99"/>
      <c r="BQ845" s="99"/>
      <c r="BR845" s="99"/>
      <c r="BS845" s="99"/>
      <c r="BT845" s="99"/>
      <c r="BU845" s="99"/>
      <c r="BV845" s="99"/>
      <c r="BW845" s="99"/>
      <c r="BX845" s="99"/>
      <c r="BY845" s="99"/>
      <c r="BZ845" s="99"/>
      <c r="CA845" s="99"/>
      <c r="CB845" s="99"/>
      <c r="CC845" s="99"/>
      <c r="CD845" s="99"/>
      <c r="CE845" s="99"/>
      <c r="CF845" s="99"/>
      <c r="CG845" s="99"/>
      <c r="CH845" s="99"/>
      <c r="CI845" s="99"/>
      <c r="CJ845" s="621"/>
      <c r="CK845" s="621"/>
      <c r="CL845" s="621"/>
    </row>
    <row r="846" spans="27:90">
      <c r="AA846" s="350"/>
      <c r="AB846" s="62"/>
      <c r="AC846" s="62"/>
      <c r="AD846" s="62"/>
      <c r="AP846" s="88"/>
      <c r="AQ846" s="88"/>
      <c r="AR846" s="88"/>
      <c r="AS846" s="99"/>
      <c r="AT846" s="99"/>
      <c r="AU846" s="99"/>
      <c r="AV846" s="99"/>
      <c r="AW846" s="99"/>
      <c r="AX846" s="99"/>
      <c r="AY846" s="99"/>
      <c r="AZ846" s="99"/>
      <c r="BA846" s="99"/>
      <c r="BB846" s="99"/>
      <c r="BC846" s="99"/>
      <c r="BD846" s="99"/>
      <c r="BE846" s="99"/>
      <c r="BF846" s="99"/>
      <c r="BG846" s="99"/>
      <c r="BH846" s="99"/>
      <c r="BI846" s="99"/>
      <c r="BJ846" s="99"/>
      <c r="BK846" s="99"/>
      <c r="BL846" s="99"/>
      <c r="BM846" s="99"/>
      <c r="BN846" s="99"/>
      <c r="BO846" s="99"/>
      <c r="BP846" s="99"/>
      <c r="BQ846" s="99"/>
      <c r="BR846" s="99"/>
      <c r="BS846" s="99"/>
      <c r="BT846" s="99"/>
      <c r="BU846" s="99"/>
      <c r="BV846" s="99"/>
      <c r="BW846" s="99"/>
      <c r="BX846" s="99"/>
      <c r="BY846" s="99"/>
      <c r="BZ846" s="99"/>
      <c r="CA846" s="99"/>
      <c r="CB846" s="99"/>
      <c r="CC846" s="99"/>
      <c r="CD846" s="99"/>
      <c r="CE846" s="99"/>
      <c r="CF846" s="99"/>
      <c r="CG846" s="99"/>
      <c r="CH846" s="99"/>
      <c r="CI846" s="99"/>
      <c r="CJ846" s="621"/>
      <c r="CK846" s="621"/>
      <c r="CL846" s="621"/>
    </row>
    <row r="847" spans="27:90">
      <c r="AA847" s="350"/>
      <c r="AB847" s="62"/>
      <c r="AC847" s="62"/>
      <c r="AD847" s="62"/>
      <c r="AP847" s="88"/>
      <c r="AQ847" s="88"/>
      <c r="AR847" s="88"/>
      <c r="AS847" s="99"/>
      <c r="AT847" s="99"/>
      <c r="AU847" s="99"/>
      <c r="AV847" s="99"/>
      <c r="AW847" s="99"/>
      <c r="AX847" s="99"/>
      <c r="AY847" s="99"/>
      <c r="AZ847" s="99"/>
      <c r="BA847" s="99"/>
      <c r="BB847" s="99"/>
      <c r="BC847" s="99"/>
      <c r="BD847" s="99"/>
      <c r="BE847" s="99"/>
      <c r="BF847" s="99"/>
      <c r="BG847" s="99"/>
      <c r="BH847" s="99"/>
      <c r="BI847" s="99"/>
      <c r="BJ847" s="99"/>
      <c r="BK847" s="99"/>
      <c r="BL847" s="99"/>
      <c r="BM847" s="99"/>
      <c r="BN847" s="99"/>
      <c r="BO847" s="99"/>
      <c r="BP847" s="99"/>
      <c r="BQ847" s="99"/>
      <c r="BR847" s="99"/>
      <c r="BS847" s="99"/>
      <c r="BT847" s="99"/>
      <c r="BU847" s="99"/>
      <c r="BV847" s="99"/>
      <c r="BW847" s="99"/>
      <c r="BX847" s="99"/>
      <c r="BY847" s="99"/>
      <c r="BZ847" s="99"/>
      <c r="CA847" s="99"/>
      <c r="CB847" s="99"/>
      <c r="CC847" s="99"/>
      <c r="CD847" s="99"/>
      <c r="CE847" s="99"/>
      <c r="CF847" s="99"/>
      <c r="CG847" s="99"/>
      <c r="CH847" s="99"/>
      <c r="CI847" s="99"/>
      <c r="CJ847" s="621"/>
      <c r="CK847" s="621"/>
      <c r="CL847" s="621"/>
    </row>
    <row r="848" spans="27:90">
      <c r="AA848" s="350"/>
      <c r="AB848" s="62"/>
      <c r="AC848" s="62"/>
      <c r="AD848" s="62"/>
      <c r="AP848" s="88"/>
      <c r="AQ848" s="88"/>
      <c r="AR848" s="88"/>
      <c r="AS848" s="99"/>
      <c r="AT848" s="99"/>
      <c r="AU848" s="99"/>
      <c r="AV848" s="99"/>
      <c r="AW848" s="99"/>
      <c r="AX848" s="99"/>
      <c r="AY848" s="99"/>
      <c r="AZ848" s="99"/>
      <c r="BA848" s="99"/>
      <c r="BB848" s="99"/>
      <c r="BC848" s="99"/>
      <c r="BD848" s="99"/>
      <c r="BE848" s="99"/>
      <c r="BF848" s="99"/>
      <c r="BG848" s="99"/>
      <c r="BH848" s="99"/>
      <c r="BI848" s="99"/>
      <c r="BJ848" s="99"/>
      <c r="BK848" s="99"/>
      <c r="BL848" s="99"/>
      <c r="BM848" s="99"/>
      <c r="BN848" s="99"/>
      <c r="BO848" s="99"/>
      <c r="BP848" s="99"/>
      <c r="BQ848" s="99"/>
      <c r="BR848" s="99"/>
      <c r="BS848" s="99"/>
      <c r="BT848" s="99"/>
      <c r="BU848" s="99"/>
      <c r="BV848" s="99"/>
      <c r="BW848" s="99"/>
      <c r="BX848" s="99"/>
      <c r="BY848" s="99"/>
      <c r="BZ848" s="99"/>
      <c r="CA848" s="99"/>
      <c r="CB848" s="99"/>
      <c r="CC848" s="99"/>
      <c r="CD848" s="99"/>
      <c r="CE848" s="99"/>
      <c r="CF848" s="99"/>
      <c r="CG848" s="99"/>
      <c r="CH848" s="99"/>
      <c r="CI848" s="99"/>
      <c r="CJ848" s="621"/>
      <c r="CK848" s="621"/>
      <c r="CL848" s="621"/>
    </row>
    <row r="849" spans="27:90">
      <c r="AA849" s="350"/>
      <c r="AB849" s="62"/>
      <c r="AC849" s="62"/>
      <c r="AD849" s="62"/>
      <c r="AP849" s="88"/>
      <c r="AQ849" s="88"/>
      <c r="AR849" s="88"/>
      <c r="AS849" s="99"/>
      <c r="AT849" s="99"/>
      <c r="AU849" s="99"/>
      <c r="AV849" s="99"/>
      <c r="AW849" s="99"/>
      <c r="AX849" s="99"/>
      <c r="AY849" s="99"/>
      <c r="AZ849" s="99"/>
      <c r="BA849" s="99"/>
      <c r="BB849" s="99"/>
      <c r="BC849" s="99"/>
      <c r="BD849" s="99"/>
      <c r="BE849" s="99"/>
      <c r="BF849" s="99"/>
      <c r="BG849" s="99"/>
      <c r="BH849" s="99"/>
      <c r="BI849" s="99"/>
      <c r="BJ849" s="99"/>
      <c r="BK849" s="99"/>
      <c r="BL849" s="99"/>
      <c r="BM849" s="99"/>
      <c r="BN849" s="99"/>
      <c r="BO849" s="99"/>
      <c r="BP849" s="99"/>
      <c r="BQ849" s="99"/>
      <c r="BR849" s="99"/>
      <c r="BS849" s="99"/>
      <c r="BT849" s="99"/>
      <c r="BU849" s="99"/>
      <c r="BV849" s="99"/>
      <c r="BW849" s="99"/>
      <c r="BX849" s="99"/>
      <c r="BY849" s="99"/>
      <c r="BZ849" s="99"/>
      <c r="CA849" s="99"/>
      <c r="CB849" s="99"/>
      <c r="CC849" s="99"/>
      <c r="CD849" s="99"/>
      <c r="CE849" s="99"/>
      <c r="CF849" s="99"/>
      <c r="CG849" s="99"/>
      <c r="CH849" s="99"/>
      <c r="CI849" s="99"/>
      <c r="CJ849" s="621"/>
      <c r="CK849" s="621"/>
      <c r="CL849" s="621"/>
    </row>
    <row r="850" spans="27:90">
      <c r="AA850" s="350"/>
      <c r="AB850" s="62"/>
      <c r="AC850" s="62"/>
      <c r="AD850" s="62"/>
      <c r="AP850" s="88"/>
      <c r="AQ850" s="88"/>
      <c r="AR850" s="88"/>
      <c r="AS850" s="99"/>
      <c r="AT850" s="99"/>
      <c r="AU850" s="99"/>
      <c r="AV850" s="99"/>
      <c r="AW850" s="99"/>
      <c r="AX850" s="99"/>
      <c r="AY850" s="99"/>
      <c r="AZ850" s="99"/>
      <c r="BA850" s="99"/>
      <c r="BB850" s="99"/>
      <c r="BC850" s="99"/>
      <c r="BD850" s="99"/>
      <c r="BE850" s="99"/>
      <c r="BF850" s="99"/>
      <c r="BG850" s="99"/>
      <c r="BH850" s="99"/>
      <c r="BI850" s="99"/>
      <c r="BJ850" s="99"/>
      <c r="BK850" s="99"/>
      <c r="BL850" s="99"/>
      <c r="BM850" s="99"/>
      <c r="BN850" s="99"/>
      <c r="BO850" s="99"/>
      <c r="BP850" s="99"/>
      <c r="BQ850" s="99"/>
      <c r="BR850" s="99"/>
      <c r="BS850" s="99"/>
      <c r="BT850" s="99"/>
      <c r="BU850" s="99"/>
      <c r="BV850" s="99"/>
      <c r="BW850" s="99"/>
      <c r="BX850" s="99"/>
      <c r="BY850" s="99"/>
      <c r="BZ850" s="99"/>
      <c r="CA850" s="99"/>
      <c r="CB850" s="99"/>
      <c r="CC850" s="99"/>
      <c r="CD850" s="99"/>
      <c r="CE850" s="99"/>
      <c r="CF850" s="99"/>
      <c r="CG850" s="99"/>
      <c r="CH850" s="99"/>
      <c r="CI850" s="99"/>
      <c r="CJ850" s="621"/>
      <c r="CK850" s="621"/>
      <c r="CL850" s="621"/>
    </row>
    <row r="851" spans="27:90">
      <c r="AA851" s="350"/>
      <c r="AB851" s="62"/>
      <c r="AC851" s="62"/>
      <c r="AD851" s="62"/>
      <c r="AP851" s="88"/>
      <c r="AQ851" s="88"/>
      <c r="AR851" s="88"/>
      <c r="AS851" s="99"/>
      <c r="AT851" s="99"/>
      <c r="AU851" s="99"/>
      <c r="AV851" s="99"/>
      <c r="AW851" s="99"/>
      <c r="AX851" s="99"/>
      <c r="AY851" s="99"/>
      <c r="AZ851" s="99"/>
      <c r="BA851" s="99"/>
      <c r="BB851" s="99"/>
      <c r="BC851" s="99"/>
      <c r="BD851" s="99"/>
      <c r="BE851" s="99"/>
      <c r="BF851" s="99"/>
      <c r="BG851" s="99"/>
      <c r="BH851" s="99"/>
      <c r="BI851" s="99"/>
      <c r="BJ851" s="99"/>
      <c r="BK851" s="99"/>
      <c r="BL851" s="99"/>
      <c r="BM851" s="99"/>
      <c r="BN851" s="99"/>
      <c r="BO851" s="99"/>
      <c r="BP851" s="99"/>
      <c r="BQ851" s="99"/>
      <c r="BR851" s="99"/>
      <c r="BS851" s="99"/>
      <c r="BT851" s="99"/>
      <c r="BU851" s="99"/>
      <c r="BV851" s="99"/>
      <c r="BW851" s="99"/>
      <c r="BX851" s="99"/>
      <c r="BY851" s="99"/>
      <c r="BZ851" s="99"/>
      <c r="CA851" s="99"/>
      <c r="CB851" s="99"/>
      <c r="CC851" s="99"/>
      <c r="CD851" s="99"/>
      <c r="CE851" s="99"/>
      <c r="CF851" s="99"/>
      <c r="CG851" s="99"/>
      <c r="CH851" s="99"/>
      <c r="CI851" s="99"/>
      <c r="CJ851" s="621"/>
      <c r="CK851" s="621"/>
      <c r="CL851" s="621"/>
    </row>
    <row r="852" spans="27:90">
      <c r="AA852" s="350"/>
      <c r="AB852" s="62"/>
      <c r="AC852" s="62"/>
      <c r="AD852" s="62"/>
      <c r="AP852" s="88"/>
      <c r="AQ852" s="88"/>
      <c r="AR852" s="88"/>
      <c r="AS852" s="99"/>
      <c r="AT852" s="99"/>
      <c r="AU852" s="99"/>
      <c r="AV852" s="99"/>
      <c r="AW852" s="99"/>
      <c r="AX852" s="99"/>
      <c r="AY852" s="99"/>
      <c r="AZ852" s="99"/>
      <c r="BA852" s="99"/>
      <c r="BB852" s="99"/>
      <c r="BC852" s="99"/>
      <c r="BD852" s="99"/>
      <c r="BE852" s="99"/>
      <c r="BF852" s="99"/>
      <c r="BG852" s="99"/>
      <c r="BH852" s="99"/>
      <c r="BI852" s="99"/>
      <c r="BJ852" s="99"/>
      <c r="BK852" s="99"/>
      <c r="BL852" s="99"/>
      <c r="BM852" s="99"/>
      <c r="BN852" s="99"/>
      <c r="BO852" s="99"/>
      <c r="BP852" s="99"/>
      <c r="BQ852" s="99"/>
      <c r="BR852" s="99"/>
      <c r="BS852" s="99"/>
      <c r="BT852" s="99"/>
      <c r="BU852" s="99"/>
      <c r="BV852" s="99"/>
      <c r="BW852" s="99"/>
      <c r="BX852" s="99"/>
      <c r="BY852" s="99"/>
      <c r="BZ852" s="99"/>
      <c r="CA852" s="99"/>
      <c r="CB852" s="99"/>
      <c r="CC852" s="99"/>
      <c r="CD852" s="99"/>
      <c r="CE852" s="99"/>
      <c r="CF852" s="99"/>
      <c r="CG852" s="99"/>
      <c r="CH852" s="99"/>
      <c r="CI852" s="99"/>
      <c r="CJ852" s="621"/>
      <c r="CK852" s="621"/>
      <c r="CL852" s="621"/>
    </row>
    <row r="853" spans="27:90">
      <c r="AA853" s="350"/>
      <c r="AB853" s="62"/>
      <c r="AC853" s="62"/>
      <c r="AD853" s="62"/>
      <c r="AP853" s="88"/>
      <c r="AQ853" s="88"/>
      <c r="AR853" s="88"/>
      <c r="AS853" s="99"/>
      <c r="AT853" s="99"/>
      <c r="AU853" s="99"/>
      <c r="AV853" s="99"/>
      <c r="AW853" s="99"/>
      <c r="AX853" s="99"/>
      <c r="AY853" s="99"/>
      <c r="AZ853" s="99"/>
      <c r="BA853" s="99"/>
      <c r="BB853" s="99"/>
      <c r="BC853" s="99"/>
      <c r="BD853" s="99"/>
      <c r="BE853" s="99"/>
      <c r="BF853" s="99"/>
      <c r="BG853" s="99"/>
      <c r="BH853" s="99"/>
      <c r="BI853" s="99"/>
      <c r="BJ853" s="99"/>
      <c r="BK853" s="99"/>
      <c r="BL853" s="99"/>
      <c r="BM853" s="99"/>
      <c r="BN853" s="99"/>
      <c r="BO853" s="99"/>
      <c r="BP853" s="99"/>
      <c r="BQ853" s="99"/>
      <c r="BR853" s="99"/>
      <c r="BS853" s="99"/>
      <c r="BT853" s="99"/>
      <c r="BU853" s="99"/>
      <c r="BV853" s="99"/>
      <c r="BW853" s="99"/>
      <c r="BX853" s="99"/>
      <c r="BY853" s="99"/>
      <c r="BZ853" s="99"/>
      <c r="CA853" s="99"/>
      <c r="CB853" s="99"/>
      <c r="CC853" s="99"/>
      <c r="CD853" s="99"/>
      <c r="CE853" s="99"/>
      <c r="CF853" s="99"/>
      <c r="CG853" s="99"/>
      <c r="CH853" s="99"/>
      <c r="CI853" s="99"/>
      <c r="CJ853" s="621"/>
      <c r="CK853" s="621"/>
      <c r="CL853" s="621"/>
    </row>
    <row r="854" spans="27:90">
      <c r="AA854" s="350"/>
      <c r="AB854" s="62"/>
      <c r="AC854" s="62"/>
      <c r="AD854" s="62"/>
      <c r="AP854" s="88"/>
      <c r="AQ854" s="88"/>
      <c r="AR854" s="88"/>
      <c r="AS854" s="99"/>
      <c r="AT854" s="99"/>
      <c r="AU854" s="99"/>
      <c r="AV854" s="99"/>
      <c r="AW854" s="99"/>
      <c r="AX854" s="99"/>
      <c r="AY854" s="99"/>
      <c r="AZ854" s="99"/>
      <c r="BA854" s="99"/>
      <c r="BB854" s="99"/>
      <c r="BC854" s="99"/>
      <c r="BD854" s="99"/>
      <c r="BE854" s="99"/>
      <c r="BF854" s="99"/>
      <c r="BG854" s="99"/>
      <c r="BH854" s="99"/>
      <c r="BI854" s="99"/>
      <c r="BJ854" s="99"/>
      <c r="BK854" s="99"/>
      <c r="BL854" s="99"/>
      <c r="BM854" s="99"/>
      <c r="BN854" s="99"/>
      <c r="BO854" s="99"/>
      <c r="BP854" s="99"/>
      <c r="BQ854" s="99"/>
      <c r="BR854" s="99"/>
      <c r="BS854" s="99"/>
      <c r="BT854" s="99"/>
      <c r="BU854" s="99"/>
      <c r="BV854" s="99"/>
      <c r="BW854" s="99"/>
      <c r="BX854" s="99"/>
      <c r="BY854" s="99"/>
      <c r="BZ854" s="99"/>
      <c r="CA854" s="99"/>
      <c r="CB854" s="99"/>
      <c r="CC854" s="99"/>
      <c r="CD854" s="99"/>
      <c r="CE854" s="99"/>
      <c r="CF854" s="99"/>
      <c r="CG854" s="99"/>
      <c r="CH854" s="99"/>
      <c r="CI854" s="99"/>
      <c r="CJ854" s="621"/>
      <c r="CK854" s="621"/>
      <c r="CL854" s="621"/>
    </row>
    <row r="855" spans="27:90">
      <c r="AA855" s="350"/>
      <c r="AB855" s="62"/>
      <c r="AC855" s="62"/>
      <c r="AD855" s="62"/>
      <c r="AP855" s="88"/>
      <c r="AQ855" s="88"/>
      <c r="AR855" s="88"/>
      <c r="AS855" s="99"/>
      <c r="AT855" s="99"/>
      <c r="AU855" s="99"/>
      <c r="AV855" s="99"/>
      <c r="AW855" s="99"/>
      <c r="AX855" s="99"/>
      <c r="AY855" s="99"/>
      <c r="AZ855" s="99"/>
      <c r="BA855" s="99"/>
      <c r="BB855" s="99"/>
      <c r="BC855" s="99"/>
      <c r="BD855" s="99"/>
      <c r="BE855" s="99"/>
      <c r="BF855" s="99"/>
      <c r="BG855" s="99"/>
      <c r="BH855" s="99"/>
      <c r="BI855" s="99"/>
      <c r="BJ855" s="99"/>
      <c r="BK855" s="99"/>
      <c r="BL855" s="99"/>
      <c r="BM855" s="99"/>
      <c r="BN855" s="99"/>
      <c r="BO855" s="99"/>
      <c r="BP855" s="99"/>
      <c r="BQ855" s="99"/>
      <c r="BR855" s="99"/>
      <c r="BS855" s="99"/>
      <c r="BT855" s="99"/>
      <c r="BU855" s="99"/>
      <c r="BV855" s="99"/>
      <c r="BW855" s="99"/>
      <c r="BX855" s="99"/>
      <c r="BY855" s="99"/>
      <c r="BZ855" s="99"/>
      <c r="CA855" s="99"/>
      <c r="CB855" s="99"/>
      <c r="CC855" s="99"/>
      <c r="CD855" s="99"/>
      <c r="CE855" s="99"/>
      <c r="CF855" s="99"/>
      <c r="CG855" s="99"/>
      <c r="CH855" s="99"/>
      <c r="CI855" s="99"/>
      <c r="CJ855" s="621"/>
      <c r="CK855" s="621"/>
      <c r="CL855" s="621"/>
    </row>
    <row r="856" spans="27:90">
      <c r="AA856" s="350"/>
      <c r="AB856" s="62"/>
      <c r="AC856" s="62"/>
      <c r="AD856" s="62"/>
      <c r="AP856" s="88"/>
      <c r="AQ856" s="88"/>
      <c r="AR856" s="88"/>
      <c r="AS856" s="99"/>
      <c r="AT856" s="99"/>
      <c r="AU856" s="99"/>
      <c r="AV856" s="99"/>
      <c r="AW856" s="99"/>
      <c r="AX856" s="99"/>
      <c r="AY856" s="99"/>
      <c r="AZ856" s="99"/>
      <c r="BA856" s="99"/>
      <c r="BB856" s="99"/>
      <c r="BC856" s="99"/>
      <c r="BD856" s="99"/>
      <c r="BE856" s="99"/>
      <c r="BF856" s="99"/>
      <c r="BG856" s="99"/>
      <c r="BH856" s="99"/>
      <c r="BI856" s="99"/>
      <c r="BJ856" s="99"/>
      <c r="BK856" s="99"/>
      <c r="BL856" s="99"/>
      <c r="BM856" s="99"/>
      <c r="BN856" s="99"/>
      <c r="BO856" s="99"/>
      <c r="BP856" s="99"/>
      <c r="BQ856" s="99"/>
      <c r="BR856" s="99"/>
      <c r="BS856" s="99"/>
      <c r="BT856" s="99"/>
      <c r="BU856" s="99"/>
      <c r="BV856" s="99"/>
      <c r="BW856" s="99"/>
      <c r="BX856" s="99"/>
      <c r="BY856" s="99"/>
      <c r="BZ856" s="99"/>
      <c r="CA856" s="99"/>
      <c r="CB856" s="99"/>
      <c r="CC856" s="99"/>
      <c r="CD856" s="99"/>
      <c r="CE856" s="99"/>
      <c r="CF856" s="99"/>
      <c r="CG856" s="99"/>
      <c r="CH856" s="99"/>
      <c r="CI856" s="99"/>
      <c r="CJ856" s="621"/>
      <c r="CK856" s="621"/>
      <c r="CL856" s="621"/>
    </row>
    <row r="857" spans="27:90">
      <c r="AA857" s="350"/>
      <c r="AB857" s="62"/>
      <c r="AC857" s="62"/>
      <c r="AD857" s="62"/>
      <c r="AP857" s="88"/>
      <c r="AQ857" s="88"/>
      <c r="AR857" s="88"/>
      <c r="AS857" s="99"/>
      <c r="AT857" s="99"/>
      <c r="AU857" s="99"/>
      <c r="AV857" s="99"/>
      <c r="AW857" s="99"/>
      <c r="AX857" s="99"/>
      <c r="AY857" s="99"/>
      <c r="AZ857" s="99"/>
      <c r="BA857" s="99"/>
      <c r="BB857" s="99"/>
      <c r="BC857" s="99"/>
      <c r="BD857" s="99"/>
      <c r="BE857" s="99"/>
      <c r="BF857" s="99"/>
      <c r="BG857" s="99"/>
      <c r="BH857" s="99"/>
      <c r="BI857" s="99"/>
      <c r="BJ857" s="99"/>
      <c r="BK857" s="99"/>
      <c r="BL857" s="99"/>
      <c r="BM857" s="99"/>
      <c r="BN857" s="99"/>
      <c r="BO857" s="99"/>
      <c r="BP857" s="99"/>
      <c r="BQ857" s="99"/>
      <c r="BR857" s="99"/>
      <c r="BS857" s="99"/>
      <c r="BT857" s="99"/>
      <c r="BU857" s="99"/>
      <c r="BV857" s="99"/>
      <c r="BW857" s="99"/>
      <c r="BX857" s="99"/>
      <c r="BY857" s="99"/>
      <c r="BZ857" s="99"/>
      <c r="CA857" s="99"/>
      <c r="CB857" s="99"/>
      <c r="CC857" s="99"/>
      <c r="CD857" s="99"/>
      <c r="CE857" s="99"/>
      <c r="CF857" s="99"/>
      <c r="CG857" s="99"/>
      <c r="CH857" s="99"/>
      <c r="CI857" s="99"/>
      <c r="CJ857" s="621"/>
      <c r="CK857" s="621"/>
      <c r="CL857" s="621"/>
    </row>
    <row r="858" spans="27:90">
      <c r="AA858" s="350"/>
      <c r="AB858" s="62"/>
      <c r="AC858" s="62"/>
      <c r="AD858" s="62"/>
      <c r="AP858" s="88"/>
      <c r="AQ858" s="88"/>
      <c r="AR858" s="88"/>
      <c r="AS858" s="99"/>
      <c r="AT858" s="99"/>
      <c r="AU858" s="99"/>
      <c r="AV858" s="99"/>
      <c r="AW858" s="99"/>
      <c r="AX858" s="99"/>
      <c r="AY858" s="99"/>
      <c r="AZ858" s="99"/>
      <c r="BA858" s="99"/>
      <c r="BB858" s="99"/>
      <c r="BC858" s="99"/>
      <c r="BD858" s="99"/>
      <c r="BE858" s="99"/>
      <c r="BF858" s="99"/>
      <c r="BG858" s="99"/>
      <c r="BH858" s="99"/>
      <c r="BI858" s="99"/>
      <c r="BJ858" s="99"/>
      <c r="BK858" s="99"/>
      <c r="BL858" s="99"/>
      <c r="BM858" s="99"/>
      <c r="BN858" s="99"/>
      <c r="BO858" s="99"/>
      <c r="BP858" s="99"/>
      <c r="BQ858" s="99"/>
      <c r="BR858" s="99"/>
      <c r="BS858" s="99"/>
      <c r="BT858" s="99"/>
      <c r="BU858" s="99"/>
      <c r="BV858" s="99"/>
      <c r="BW858" s="99"/>
      <c r="BX858" s="99"/>
      <c r="BY858" s="99"/>
      <c r="BZ858" s="99"/>
      <c r="CA858" s="99"/>
      <c r="CB858" s="99"/>
      <c r="CC858" s="99"/>
      <c r="CD858" s="99"/>
      <c r="CE858" s="99"/>
      <c r="CF858" s="99"/>
      <c r="CG858" s="99"/>
      <c r="CH858" s="99"/>
      <c r="CI858" s="99"/>
      <c r="CJ858" s="621"/>
      <c r="CK858" s="621"/>
      <c r="CL858" s="621"/>
    </row>
    <row r="859" spans="27:90">
      <c r="AA859" s="350"/>
      <c r="AB859" s="62"/>
      <c r="AC859" s="62"/>
      <c r="AD859" s="62"/>
      <c r="AP859" s="88"/>
      <c r="AQ859" s="88"/>
      <c r="AR859" s="88"/>
      <c r="AS859" s="99"/>
      <c r="AT859" s="99"/>
      <c r="AU859" s="99"/>
      <c r="AV859" s="99"/>
      <c r="AW859" s="99"/>
      <c r="AX859" s="99"/>
      <c r="AY859" s="99"/>
      <c r="AZ859" s="99"/>
      <c r="BA859" s="99"/>
      <c r="BB859" s="99"/>
      <c r="BC859" s="99"/>
      <c r="BD859" s="99"/>
      <c r="BE859" s="99"/>
      <c r="BF859" s="99"/>
      <c r="BG859" s="99"/>
      <c r="BH859" s="99"/>
      <c r="BI859" s="99"/>
      <c r="BJ859" s="99"/>
      <c r="BK859" s="99"/>
      <c r="BL859" s="99"/>
      <c r="BM859" s="99"/>
      <c r="BN859" s="99"/>
      <c r="BO859" s="99"/>
      <c r="BP859" s="99"/>
      <c r="BQ859" s="99"/>
      <c r="BR859" s="99"/>
      <c r="BS859" s="99"/>
      <c r="BT859" s="99"/>
      <c r="BU859" s="99"/>
      <c r="BV859" s="99"/>
      <c r="BW859" s="99"/>
      <c r="BX859" s="99"/>
      <c r="BY859" s="99"/>
      <c r="BZ859" s="99"/>
      <c r="CA859" s="99"/>
      <c r="CB859" s="99"/>
      <c r="CC859" s="99"/>
      <c r="CD859" s="99"/>
      <c r="CE859" s="99"/>
      <c r="CF859" s="99"/>
      <c r="CG859" s="99"/>
      <c r="CH859" s="99"/>
      <c r="CI859" s="99"/>
      <c r="CJ859" s="621"/>
      <c r="CK859" s="621"/>
      <c r="CL859" s="621"/>
    </row>
    <row r="860" spans="27:90">
      <c r="AA860" s="350"/>
      <c r="AB860" s="62"/>
      <c r="AC860" s="62"/>
      <c r="AD860" s="62"/>
      <c r="AP860" s="88"/>
      <c r="AQ860" s="88"/>
      <c r="AR860" s="88"/>
      <c r="AS860" s="99"/>
      <c r="AT860" s="99"/>
      <c r="AU860" s="99"/>
      <c r="AV860" s="99"/>
      <c r="AW860" s="99"/>
      <c r="AX860" s="99"/>
      <c r="AY860" s="99"/>
      <c r="AZ860" s="99"/>
      <c r="BA860" s="99"/>
      <c r="BB860" s="99"/>
      <c r="BC860" s="99"/>
      <c r="BD860" s="99"/>
      <c r="BE860" s="99"/>
      <c r="BF860" s="99"/>
      <c r="BG860" s="99"/>
      <c r="BH860" s="99"/>
      <c r="BI860" s="99"/>
      <c r="BJ860" s="99"/>
      <c r="BK860" s="99"/>
      <c r="BL860" s="99"/>
      <c r="BM860" s="99"/>
      <c r="BN860" s="99"/>
      <c r="BO860" s="99"/>
      <c r="BP860" s="99"/>
      <c r="BQ860" s="99"/>
      <c r="BR860" s="99"/>
      <c r="BS860" s="99"/>
      <c r="BT860" s="99"/>
      <c r="BU860" s="99"/>
      <c r="BV860" s="99"/>
      <c r="BW860" s="99"/>
      <c r="BX860" s="99"/>
      <c r="BY860" s="99"/>
      <c r="BZ860" s="99"/>
      <c r="CA860" s="99"/>
      <c r="CB860" s="99"/>
      <c r="CC860" s="99"/>
      <c r="CD860" s="99"/>
      <c r="CE860" s="99"/>
      <c r="CF860" s="99"/>
      <c r="CG860" s="99"/>
      <c r="CH860" s="99"/>
      <c r="CI860" s="99"/>
      <c r="CJ860" s="621"/>
      <c r="CK860" s="621"/>
      <c r="CL860" s="621"/>
    </row>
    <row r="861" spans="27:90">
      <c r="AA861" s="350"/>
      <c r="AB861" s="62"/>
      <c r="AC861" s="62"/>
      <c r="AD861" s="62"/>
      <c r="AP861" s="88"/>
      <c r="AQ861" s="88"/>
      <c r="AR861" s="88"/>
      <c r="AS861" s="99"/>
      <c r="AT861" s="99"/>
      <c r="AU861" s="99"/>
      <c r="AV861" s="99"/>
      <c r="AW861" s="99"/>
      <c r="AX861" s="99"/>
      <c r="AY861" s="99"/>
      <c r="AZ861" s="99"/>
      <c r="BA861" s="99"/>
      <c r="BB861" s="99"/>
      <c r="BC861" s="99"/>
      <c r="BD861" s="99"/>
      <c r="BE861" s="99"/>
      <c r="BF861" s="99"/>
      <c r="BG861" s="99"/>
      <c r="BH861" s="99"/>
      <c r="BI861" s="99"/>
      <c r="BJ861" s="99"/>
      <c r="BK861" s="99"/>
      <c r="BL861" s="99"/>
      <c r="BM861" s="99"/>
      <c r="BN861" s="99"/>
      <c r="BO861" s="99"/>
      <c r="BP861" s="99"/>
      <c r="BQ861" s="99"/>
      <c r="BR861" s="99"/>
      <c r="BS861" s="99"/>
      <c r="BT861" s="99"/>
      <c r="BU861" s="99"/>
      <c r="BV861" s="99"/>
      <c r="BW861" s="99"/>
      <c r="BX861" s="99"/>
      <c r="BY861" s="99"/>
      <c r="BZ861" s="99"/>
      <c r="CA861" s="99"/>
      <c r="CB861" s="99"/>
      <c r="CC861" s="99"/>
      <c r="CD861" s="99"/>
      <c r="CE861" s="99"/>
      <c r="CF861" s="99"/>
      <c r="CG861" s="99"/>
      <c r="CH861" s="99"/>
      <c r="CI861" s="99"/>
      <c r="CJ861" s="621"/>
      <c r="CK861" s="621"/>
      <c r="CL861" s="621"/>
    </row>
    <row r="862" spans="27:90">
      <c r="AA862" s="350"/>
      <c r="AB862" s="62"/>
      <c r="AC862" s="62"/>
      <c r="AD862" s="62"/>
      <c r="AP862" s="88"/>
      <c r="AQ862" s="88"/>
      <c r="AR862" s="88"/>
      <c r="AS862" s="99"/>
      <c r="AT862" s="99"/>
      <c r="AU862" s="99"/>
      <c r="AV862" s="99"/>
      <c r="AW862" s="99"/>
      <c r="AX862" s="99"/>
      <c r="AY862" s="99"/>
      <c r="AZ862" s="99"/>
      <c r="BA862" s="99"/>
      <c r="BB862" s="99"/>
      <c r="BC862" s="99"/>
      <c r="BD862" s="99"/>
      <c r="BE862" s="99"/>
      <c r="BF862" s="99"/>
      <c r="BG862" s="99"/>
      <c r="BH862" s="99"/>
      <c r="BI862" s="99"/>
      <c r="BJ862" s="99"/>
      <c r="BK862" s="99"/>
      <c r="BL862" s="99"/>
      <c r="BM862" s="99"/>
      <c r="BN862" s="99"/>
      <c r="BO862" s="99"/>
      <c r="BP862" s="99"/>
      <c r="BQ862" s="99"/>
      <c r="BR862" s="99"/>
      <c r="BS862" s="99"/>
      <c r="BT862" s="99"/>
      <c r="BU862" s="99"/>
      <c r="BV862" s="99"/>
      <c r="BW862" s="99"/>
      <c r="BX862" s="99"/>
      <c r="BY862" s="99"/>
      <c r="BZ862" s="99"/>
      <c r="CA862" s="99"/>
      <c r="CB862" s="99"/>
      <c r="CC862" s="99"/>
      <c r="CD862" s="99"/>
      <c r="CE862" s="99"/>
      <c r="CF862" s="99"/>
      <c r="CG862" s="99"/>
      <c r="CH862" s="99"/>
      <c r="CI862" s="99"/>
      <c r="CJ862" s="621"/>
      <c r="CK862" s="621"/>
      <c r="CL862" s="621"/>
    </row>
    <row r="863" spans="27:90">
      <c r="AA863" s="350"/>
      <c r="AB863" s="62"/>
      <c r="AC863" s="62"/>
      <c r="AD863" s="62"/>
      <c r="AP863" s="88"/>
      <c r="AQ863" s="88"/>
      <c r="AR863" s="88"/>
      <c r="AS863" s="99"/>
      <c r="AT863" s="99"/>
      <c r="AU863" s="99"/>
      <c r="AV863" s="99"/>
      <c r="AW863" s="99"/>
      <c r="AX863" s="99"/>
      <c r="AY863" s="99"/>
      <c r="AZ863" s="99"/>
      <c r="BA863" s="99"/>
      <c r="BB863" s="99"/>
      <c r="BC863" s="99"/>
      <c r="BD863" s="99"/>
      <c r="BE863" s="99"/>
      <c r="BF863" s="99"/>
      <c r="BG863" s="99"/>
      <c r="BH863" s="99"/>
      <c r="BI863" s="99"/>
      <c r="BJ863" s="99"/>
      <c r="BK863" s="99"/>
      <c r="BL863" s="99"/>
      <c r="BM863" s="99"/>
      <c r="BN863" s="99"/>
      <c r="BO863" s="99"/>
      <c r="BP863" s="99"/>
      <c r="BQ863" s="99"/>
      <c r="BR863" s="99"/>
      <c r="BS863" s="99"/>
      <c r="BT863" s="99"/>
      <c r="BU863" s="99"/>
      <c r="BV863" s="99"/>
      <c r="BW863" s="99"/>
      <c r="BX863" s="99"/>
      <c r="BY863" s="99"/>
      <c r="BZ863" s="99"/>
      <c r="CA863" s="99"/>
      <c r="CB863" s="99"/>
      <c r="CC863" s="99"/>
      <c r="CD863" s="99"/>
      <c r="CE863" s="99"/>
      <c r="CF863" s="99"/>
      <c r="CG863" s="99"/>
      <c r="CH863" s="99"/>
      <c r="CI863" s="99"/>
      <c r="CJ863" s="621"/>
      <c r="CK863" s="621"/>
      <c r="CL863" s="621"/>
    </row>
    <row r="864" spans="27:90">
      <c r="AA864" s="350"/>
      <c r="AB864" s="62"/>
      <c r="AC864" s="62"/>
      <c r="AD864" s="62"/>
      <c r="AP864" s="88"/>
      <c r="AQ864" s="88"/>
      <c r="AR864" s="88"/>
      <c r="AS864" s="99"/>
      <c r="AT864" s="99"/>
      <c r="AU864" s="99"/>
      <c r="AV864" s="99"/>
      <c r="AW864" s="99"/>
      <c r="AX864" s="99"/>
      <c r="AY864" s="99"/>
      <c r="AZ864" s="99"/>
      <c r="BA864" s="99"/>
      <c r="BB864" s="99"/>
      <c r="BC864" s="99"/>
      <c r="BD864" s="99"/>
      <c r="BE864" s="99"/>
      <c r="BF864" s="99"/>
      <c r="BG864" s="99"/>
      <c r="BH864" s="99"/>
      <c r="BI864" s="99"/>
      <c r="BJ864" s="99"/>
      <c r="BK864" s="99"/>
      <c r="BL864" s="99"/>
      <c r="BM864" s="99"/>
      <c r="BN864" s="99"/>
      <c r="BO864" s="99"/>
      <c r="BP864" s="99"/>
      <c r="BQ864" s="99"/>
      <c r="BR864" s="99"/>
      <c r="BS864" s="99"/>
      <c r="BT864" s="99"/>
      <c r="BU864" s="99"/>
      <c r="BV864" s="99"/>
      <c r="BW864" s="99"/>
      <c r="BX864" s="99"/>
      <c r="BY864" s="99"/>
      <c r="BZ864" s="99"/>
      <c r="CA864" s="99"/>
      <c r="CB864" s="99"/>
      <c r="CC864" s="99"/>
      <c r="CD864" s="99"/>
      <c r="CE864" s="99"/>
      <c r="CF864" s="99"/>
      <c r="CG864" s="99"/>
      <c r="CH864" s="99"/>
      <c r="CI864" s="99"/>
      <c r="CJ864" s="621"/>
      <c r="CK864" s="621"/>
      <c r="CL864" s="621"/>
    </row>
    <row r="865" spans="27:90">
      <c r="AA865" s="350"/>
      <c r="AB865" s="62"/>
      <c r="AC865" s="62"/>
      <c r="AD865" s="62"/>
      <c r="AP865" s="88"/>
      <c r="AQ865" s="88"/>
      <c r="AR865" s="88"/>
      <c r="AS865" s="99"/>
      <c r="AT865" s="99"/>
      <c r="AU865" s="99"/>
      <c r="AV865" s="99"/>
      <c r="AW865" s="99"/>
      <c r="AX865" s="99"/>
      <c r="AY865" s="99"/>
      <c r="AZ865" s="99"/>
      <c r="BA865" s="99"/>
      <c r="BB865" s="99"/>
      <c r="BC865" s="99"/>
      <c r="BD865" s="99"/>
      <c r="BE865" s="99"/>
      <c r="BF865" s="99"/>
      <c r="BG865" s="99"/>
      <c r="BH865" s="99"/>
      <c r="BI865" s="99"/>
      <c r="BJ865" s="99"/>
      <c r="BK865" s="99"/>
      <c r="BL865" s="99"/>
      <c r="BM865" s="99"/>
      <c r="BN865" s="99"/>
      <c r="BO865" s="99"/>
      <c r="BP865" s="99"/>
      <c r="BQ865" s="99"/>
      <c r="BR865" s="99"/>
      <c r="BS865" s="99"/>
      <c r="BT865" s="99"/>
      <c r="BU865" s="99"/>
      <c r="BV865" s="99"/>
      <c r="BW865" s="99"/>
      <c r="BX865" s="99"/>
      <c r="BY865" s="99"/>
      <c r="BZ865" s="99"/>
      <c r="CA865" s="99"/>
      <c r="CB865" s="99"/>
      <c r="CC865" s="99"/>
      <c r="CD865" s="99"/>
      <c r="CE865" s="99"/>
      <c r="CF865" s="99"/>
      <c r="CG865" s="99"/>
      <c r="CH865" s="99"/>
      <c r="CI865" s="99"/>
      <c r="CJ865" s="621"/>
      <c r="CK865" s="621"/>
      <c r="CL865" s="621"/>
    </row>
    <row r="866" spans="27:90">
      <c r="AA866" s="350"/>
      <c r="AB866" s="62"/>
      <c r="AC866" s="62"/>
      <c r="AD866" s="62"/>
      <c r="AP866" s="88"/>
      <c r="AQ866" s="88"/>
      <c r="AR866" s="88"/>
      <c r="AS866" s="99"/>
      <c r="AT866" s="99"/>
      <c r="AU866" s="99"/>
      <c r="AV866" s="99"/>
      <c r="AW866" s="99"/>
      <c r="AX866" s="99"/>
      <c r="AY866" s="99"/>
      <c r="AZ866" s="99"/>
      <c r="BA866" s="99"/>
      <c r="BB866" s="99"/>
      <c r="BC866" s="99"/>
      <c r="BD866" s="99"/>
      <c r="BE866" s="99"/>
      <c r="BF866" s="99"/>
      <c r="BG866" s="99"/>
      <c r="BH866" s="99"/>
      <c r="BI866" s="99"/>
      <c r="BJ866" s="99"/>
      <c r="BK866" s="99"/>
      <c r="BL866" s="99"/>
      <c r="BM866" s="99"/>
      <c r="BN866" s="99"/>
      <c r="BO866" s="99"/>
      <c r="BP866" s="99"/>
      <c r="BQ866" s="99"/>
      <c r="BR866" s="99"/>
      <c r="BS866" s="99"/>
      <c r="BT866" s="99"/>
      <c r="BU866" s="99"/>
      <c r="BV866" s="99"/>
      <c r="BW866" s="99"/>
      <c r="BX866" s="99"/>
      <c r="BY866" s="99"/>
      <c r="BZ866" s="99"/>
      <c r="CA866" s="99"/>
      <c r="CB866" s="99"/>
      <c r="CC866" s="99"/>
      <c r="CD866" s="99"/>
      <c r="CE866" s="99"/>
      <c r="CF866" s="99"/>
      <c r="CG866" s="99"/>
      <c r="CH866" s="99"/>
      <c r="CI866" s="99"/>
      <c r="CJ866" s="621"/>
      <c r="CK866" s="621"/>
      <c r="CL866" s="621"/>
    </row>
    <row r="867" spans="27:90">
      <c r="AA867" s="350"/>
      <c r="AB867" s="62"/>
      <c r="AC867" s="62"/>
      <c r="AD867" s="62"/>
      <c r="AP867" s="88"/>
      <c r="AQ867" s="88"/>
      <c r="AR867" s="88"/>
      <c r="AS867" s="99"/>
      <c r="AT867" s="99"/>
      <c r="AU867" s="99"/>
      <c r="AV867" s="99"/>
      <c r="AW867" s="99"/>
      <c r="AX867" s="99"/>
      <c r="AY867" s="99"/>
      <c r="AZ867" s="99"/>
      <c r="BA867" s="99"/>
      <c r="BB867" s="99"/>
      <c r="BC867" s="99"/>
      <c r="BD867" s="99"/>
      <c r="BE867" s="99"/>
      <c r="BF867" s="99"/>
      <c r="BG867" s="99"/>
      <c r="BH867" s="99"/>
      <c r="BI867" s="99"/>
      <c r="BJ867" s="99"/>
      <c r="BK867" s="99"/>
      <c r="BL867" s="99"/>
      <c r="BM867" s="99"/>
      <c r="BN867" s="99"/>
      <c r="BO867" s="99"/>
      <c r="BP867" s="99"/>
      <c r="BQ867" s="99"/>
      <c r="BR867" s="99"/>
      <c r="BS867" s="99"/>
      <c r="BT867" s="99"/>
      <c r="BU867" s="99"/>
      <c r="BV867" s="99"/>
      <c r="BW867" s="99"/>
      <c r="BX867" s="99"/>
      <c r="BY867" s="99"/>
      <c r="BZ867" s="99"/>
      <c r="CA867" s="99"/>
      <c r="CB867" s="99"/>
      <c r="CC867" s="99"/>
      <c r="CD867" s="99"/>
      <c r="CE867" s="99"/>
      <c r="CF867" s="99"/>
      <c r="CG867" s="99"/>
      <c r="CH867" s="99"/>
      <c r="CI867" s="99"/>
      <c r="CJ867" s="621"/>
      <c r="CK867" s="621"/>
      <c r="CL867" s="621"/>
    </row>
    <row r="868" spans="27:90">
      <c r="AA868" s="350"/>
      <c r="AB868" s="62"/>
      <c r="AC868" s="62"/>
      <c r="AD868" s="62"/>
      <c r="AP868" s="88"/>
      <c r="AQ868" s="88"/>
      <c r="AR868" s="88"/>
      <c r="AS868" s="99"/>
      <c r="AT868" s="99"/>
      <c r="AU868" s="99"/>
      <c r="AV868" s="99"/>
      <c r="AW868" s="99"/>
      <c r="AX868" s="99"/>
      <c r="AY868" s="99"/>
      <c r="AZ868" s="99"/>
      <c r="BA868" s="99"/>
      <c r="BB868" s="99"/>
      <c r="BC868" s="99"/>
      <c r="BD868" s="99"/>
      <c r="BE868" s="99"/>
      <c r="BF868" s="99"/>
      <c r="BG868" s="99"/>
      <c r="BH868" s="99"/>
      <c r="BI868" s="99"/>
      <c r="BJ868" s="99"/>
      <c r="BK868" s="99"/>
      <c r="BL868" s="99"/>
      <c r="BM868" s="99"/>
      <c r="BN868" s="99"/>
      <c r="BO868" s="99"/>
      <c r="BP868" s="99"/>
      <c r="BQ868" s="99"/>
      <c r="BR868" s="99"/>
      <c r="BS868" s="99"/>
      <c r="BT868" s="99"/>
      <c r="BU868" s="99"/>
      <c r="BV868" s="99"/>
      <c r="BW868" s="99"/>
      <c r="BX868" s="99"/>
      <c r="BY868" s="99"/>
      <c r="BZ868" s="99"/>
      <c r="CA868" s="99"/>
      <c r="CB868" s="99"/>
      <c r="CC868" s="99"/>
      <c r="CD868" s="99"/>
      <c r="CE868" s="99"/>
      <c r="CF868" s="99"/>
      <c r="CG868" s="99"/>
      <c r="CH868" s="99"/>
      <c r="CI868" s="99"/>
      <c r="CJ868" s="621"/>
      <c r="CK868" s="621"/>
      <c r="CL868" s="621"/>
    </row>
    <row r="869" spans="27:90">
      <c r="AA869" s="350"/>
      <c r="AB869" s="62"/>
      <c r="AC869" s="62"/>
      <c r="AD869" s="62"/>
      <c r="AP869" s="88"/>
      <c r="AQ869" s="88"/>
      <c r="AR869" s="88"/>
      <c r="AS869" s="99"/>
      <c r="AT869" s="99"/>
      <c r="AU869" s="99"/>
      <c r="AV869" s="99"/>
      <c r="AW869" s="99"/>
      <c r="AX869" s="99"/>
      <c r="AY869" s="99"/>
      <c r="AZ869" s="99"/>
      <c r="BA869" s="99"/>
      <c r="BB869" s="99"/>
      <c r="BC869" s="99"/>
      <c r="BD869" s="99"/>
      <c r="BE869" s="99"/>
      <c r="BF869" s="99"/>
      <c r="BG869" s="99"/>
      <c r="BH869" s="99"/>
      <c r="BI869" s="99"/>
      <c r="BJ869" s="99"/>
      <c r="BK869" s="99"/>
      <c r="BL869" s="99"/>
      <c r="BM869" s="99"/>
      <c r="BN869" s="99"/>
      <c r="BO869" s="99"/>
      <c r="BP869" s="99"/>
      <c r="BQ869" s="99"/>
      <c r="BR869" s="99"/>
      <c r="BS869" s="99"/>
      <c r="BT869" s="99"/>
      <c r="BU869" s="99"/>
      <c r="BV869" s="99"/>
      <c r="BW869" s="99"/>
      <c r="BX869" s="99"/>
      <c r="BY869" s="99"/>
      <c r="BZ869" s="99"/>
      <c r="CA869" s="99"/>
      <c r="CB869" s="99"/>
      <c r="CC869" s="99"/>
      <c r="CD869" s="99"/>
      <c r="CE869" s="99"/>
      <c r="CF869" s="99"/>
      <c r="CG869" s="99"/>
      <c r="CH869" s="99"/>
      <c r="CI869" s="99"/>
      <c r="CJ869" s="621"/>
      <c r="CK869" s="621"/>
      <c r="CL869" s="621"/>
    </row>
    <row r="870" spans="27:90">
      <c r="AA870" s="350"/>
      <c r="AB870" s="62"/>
      <c r="AC870" s="62"/>
      <c r="AD870" s="62"/>
      <c r="AP870" s="88"/>
      <c r="AQ870" s="88"/>
      <c r="AR870" s="88"/>
      <c r="AS870" s="99"/>
      <c r="AT870" s="99"/>
      <c r="AU870" s="99"/>
      <c r="AV870" s="99"/>
      <c r="AW870" s="99"/>
      <c r="AX870" s="99"/>
      <c r="AY870" s="99"/>
      <c r="AZ870" s="99"/>
      <c r="BA870" s="99"/>
      <c r="BB870" s="99"/>
      <c r="BC870" s="99"/>
      <c r="BD870" s="99"/>
      <c r="BE870" s="99"/>
      <c r="BF870" s="99"/>
      <c r="BG870" s="99"/>
      <c r="BH870" s="99"/>
      <c r="BI870" s="99"/>
      <c r="BJ870" s="99"/>
      <c r="BK870" s="99"/>
      <c r="BL870" s="99"/>
      <c r="BM870" s="99"/>
      <c r="BN870" s="99"/>
      <c r="BO870" s="99"/>
      <c r="BP870" s="99"/>
      <c r="BQ870" s="99"/>
      <c r="BR870" s="99"/>
      <c r="BS870" s="99"/>
      <c r="BT870" s="99"/>
      <c r="BU870" s="99"/>
      <c r="BV870" s="99"/>
      <c r="BW870" s="99"/>
      <c r="BX870" s="99"/>
      <c r="BY870" s="99"/>
      <c r="BZ870" s="99"/>
      <c r="CA870" s="99"/>
      <c r="CB870" s="99"/>
      <c r="CC870" s="99"/>
      <c r="CD870" s="99"/>
      <c r="CE870" s="99"/>
      <c r="CF870" s="99"/>
      <c r="CG870" s="99"/>
      <c r="CH870" s="99"/>
      <c r="CI870" s="99"/>
      <c r="CJ870" s="621"/>
      <c r="CK870" s="621"/>
      <c r="CL870" s="621"/>
    </row>
    <row r="871" spans="27:90">
      <c r="AA871" s="350"/>
      <c r="AB871" s="62"/>
      <c r="AC871" s="62"/>
      <c r="AD871" s="62"/>
      <c r="AP871" s="88"/>
      <c r="AQ871" s="88"/>
      <c r="AR871" s="88"/>
      <c r="AS871" s="99"/>
      <c r="AT871" s="99"/>
      <c r="AU871" s="99"/>
      <c r="AV871" s="99"/>
      <c r="AW871" s="99"/>
      <c r="AX871" s="99"/>
      <c r="AY871" s="99"/>
      <c r="AZ871" s="99"/>
      <c r="BA871" s="99"/>
      <c r="BB871" s="99"/>
      <c r="BC871" s="99"/>
      <c r="BD871" s="99"/>
      <c r="BE871" s="99"/>
      <c r="BF871" s="99"/>
      <c r="BG871" s="99"/>
      <c r="BH871" s="99"/>
      <c r="BI871" s="99"/>
      <c r="BJ871" s="99"/>
      <c r="BK871" s="99"/>
      <c r="BL871" s="99"/>
      <c r="BM871" s="99"/>
      <c r="BN871" s="99"/>
      <c r="BO871" s="99"/>
      <c r="BP871" s="99"/>
      <c r="BQ871" s="99"/>
      <c r="BR871" s="99"/>
      <c r="BS871" s="99"/>
      <c r="BT871" s="99"/>
      <c r="BU871" s="99"/>
      <c r="BV871" s="99"/>
      <c r="BW871" s="99"/>
      <c r="BX871" s="99"/>
      <c r="BY871" s="99"/>
      <c r="BZ871" s="99"/>
      <c r="CA871" s="99"/>
      <c r="CB871" s="99"/>
      <c r="CC871" s="99"/>
      <c r="CD871" s="99"/>
      <c r="CE871" s="99"/>
      <c r="CF871" s="99"/>
      <c r="CG871" s="99"/>
      <c r="CH871" s="99"/>
      <c r="CI871" s="99"/>
      <c r="CJ871" s="621"/>
      <c r="CK871" s="621"/>
      <c r="CL871" s="621"/>
    </row>
    <row r="872" spans="27:90">
      <c r="AA872" s="350"/>
      <c r="AB872" s="62"/>
      <c r="AC872" s="62"/>
      <c r="AD872" s="62"/>
      <c r="AP872" s="88"/>
      <c r="AQ872" s="88"/>
      <c r="AR872" s="88"/>
      <c r="AS872" s="99"/>
      <c r="AT872" s="99"/>
      <c r="AU872" s="99"/>
      <c r="AV872" s="99"/>
      <c r="AW872" s="99"/>
      <c r="AX872" s="99"/>
      <c r="AY872" s="99"/>
      <c r="AZ872" s="99"/>
      <c r="BA872" s="99"/>
      <c r="BB872" s="99"/>
      <c r="BC872" s="99"/>
      <c r="BD872" s="99"/>
      <c r="BE872" s="99"/>
      <c r="BF872" s="99"/>
      <c r="BG872" s="99"/>
      <c r="BH872" s="99"/>
      <c r="BI872" s="99"/>
      <c r="BJ872" s="99"/>
      <c r="BK872" s="99"/>
      <c r="BL872" s="99"/>
      <c r="BM872" s="99"/>
      <c r="BN872" s="99"/>
      <c r="BO872" s="99"/>
      <c r="BP872" s="99"/>
      <c r="BQ872" s="99"/>
      <c r="BR872" s="99"/>
      <c r="BS872" s="99"/>
      <c r="BT872" s="99"/>
      <c r="BU872" s="99"/>
      <c r="BV872" s="99"/>
      <c r="BW872" s="99"/>
      <c r="BX872" s="99"/>
      <c r="BY872" s="99"/>
      <c r="BZ872" s="99"/>
      <c r="CA872" s="99"/>
      <c r="CB872" s="99"/>
      <c r="CC872" s="99"/>
      <c r="CD872" s="99"/>
      <c r="CE872" s="99"/>
      <c r="CF872" s="99"/>
      <c r="CG872" s="99"/>
      <c r="CH872" s="99"/>
      <c r="CI872" s="99"/>
      <c r="CJ872" s="621"/>
      <c r="CK872" s="621"/>
      <c r="CL872" s="621"/>
    </row>
    <row r="873" spans="27:90">
      <c r="AA873" s="350"/>
      <c r="AB873" s="62"/>
      <c r="AC873" s="62"/>
      <c r="AD873" s="62"/>
      <c r="AP873" s="88"/>
      <c r="AQ873" s="88"/>
      <c r="AR873" s="88"/>
      <c r="AS873" s="99"/>
      <c r="AT873" s="99"/>
      <c r="AU873" s="99"/>
      <c r="AV873" s="99"/>
      <c r="AW873" s="99"/>
      <c r="AX873" s="99"/>
      <c r="AY873" s="99"/>
      <c r="AZ873" s="99"/>
      <c r="BA873" s="99"/>
      <c r="BB873" s="99"/>
      <c r="BC873" s="99"/>
      <c r="BD873" s="99"/>
      <c r="BE873" s="99"/>
      <c r="BF873" s="99"/>
      <c r="BG873" s="99"/>
      <c r="BH873" s="99"/>
      <c r="BI873" s="99"/>
      <c r="BJ873" s="99"/>
      <c r="BK873" s="99"/>
      <c r="BL873" s="99"/>
      <c r="BM873" s="99"/>
      <c r="BN873" s="99"/>
      <c r="BO873" s="99"/>
      <c r="BP873" s="99"/>
      <c r="BQ873" s="99"/>
      <c r="BR873" s="99"/>
      <c r="BS873" s="99"/>
      <c r="BT873" s="99"/>
      <c r="BU873" s="99"/>
      <c r="BV873" s="99"/>
      <c r="BW873" s="99"/>
      <c r="BX873" s="99"/>
      <c r="BY873" s="99"/>
      <c r="BZ873" s="99"/>
      <c r="CA873" s="99"/>
      <c r="CB873" s="99"/>
      <c r="CC873" s="99"/>
      <c r="CD873" s="99"/>
      <c r="CE873" s="99"/>
      <c r="CF873" s="99"/>
      <c r="CG873" s="99"/>
      <c r="CH873" s="99"/>
      <c r="CI873" s="99"/>
      <c r="CJ873" s="621"/>
      <c r="CK873" s="621"/>
      <c r="CL873" s="621"/>
    </row>
    <row r="874" spans="27:90">
      <c r="AA874" s="350"/>
      <c r="AB874" s="62"/>
      <c r="AC874" s="62"/>
      <c r="AD874" s="62"/>
      <c r="AP874" s="88"/>
      <c r="AQ874" s="88"/>
      <c r="AR874" s="88"/>
      <c r="AS874" s="99"/>
      <c r="AT874" s="99"/>
      <c r="AU874" s="99"/>
      <c r="AV874" s="99"/>
      <c r="AW874" s="99"/>
      <c r="AX874" s="99"/>
      <c r="AY874" s="99"/>
      <c r="AZ874" s="99"/>
      <c r="BA874" s="99"/>
      <c r="BB874" s="99"/>
      <c r="BC874" s="99"/>
      <c r="BD874" s="99"/>
      <c r="BE874" s="99"/>
      <c r="BF874" s="99"/>
      <c r="BG874" s="99"/>
      <c r="BH874" s="99"/>
      <c r="BI874" s="99"/>
      <c r="BJ874" s="99"/>
      <c r="BK874" s="99"/>
      <c r="BL874" s="99"/>
      <c r="BM874" s="99"/>
      <c r="BN874" s="99"/>
      <c r="BO874" s="99"/>
      <c r="BP874" s="99"/>
      <c r="BQ874" s="99"/>
      <c r="BR874" s="99"/>
      <c r="BS874" s="99"/>
      <c r="BT874" s="99"/>
      <c r="BU874" s="99"/>
      <c r="BV874" s="99"/>
      <c r="BW874" s="99"/>
      <c r="BX874" s="99"/>
      <c r="BY874" s="99"/>
      <c r="BZ874" s="99"/>
      <c r="CA874" s="99"/>
      <c r="CB874" s="99"/>
      <c r="CC874" s="99"/>
      <c r="CD874" s="99"/>
      <c r="CE874" s="99"/>
      <c r="CF874" s="99"/>
      <c r="CG874" s="99"/>
      <c r="CH874" s="99"/>
      <c r="CI874" s="99"/>
      <c r="CJ874" s="621"/>
      <c r="CK874" s="621"/>
      <c r="CL874" s="621"/>
    </row>
    <row r="875" spans="27:90">
      <c r="AA875" s="350"/>
      <c r="AB875" s="62"/>
      <c r="AC875" s="62"/>
      <c r="AD875" s="62"/>
      <c r="AP875" s="88"/>
      <c r="AQ875" s="88"/>
      <c r="AR875" s="88"/>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621"/>
      <c r="CK875" s="621"/>
      <c r="CL875" s="621"/>
    </row>
    <row r="876" spans="27:90">
      <c r="AA876" s="350"/>
      <c r="AB876" s="62"/>
      <c r="AC876" s="62"/>
      <c r="AD876" s="62"/>
      <c r="AP876" s="88"/>
      <c r="AQ876" s="88"/>
      <c r="AR876" s="88"/>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621"/>
      <c r="CK876" s="621"/>
      <c r="CL876" s="621"/>
    </row>
    <row r="877" spans="27:90">
      <c r="AA877" s="350"/>
      <c r="AB877" s="62"/>
      <c r="AC877" s="62"/>
      <c r="AD877" s="62"/>
      <c r="AP877" s="88"/>
      <c r="AQ877" s="88"/>
      <c r="AR877" s="88"/>
      <c r="AS877" s="99"/>
      <c r="AT877" s="99"/>
      <c r="AU877" s="99"/>
      <c r="AV877" s="99"/>
      <c r="AW877" s="99"/>
      <c r="AX877" s="99"/>
      <c r="AY877" s="99"/>
      <c r="AZ877" s="99"/>
      <c r="BA877" s="99"/>
      <c r="BB877" s="99"/>
      <c r="BC877" s="99"/>
      <c r="BD877" s="99"/>
      <c r="BE877" s="99"/>
      <c r="BF877" s="99"/>
      <c r="BG877" s="99"/>
      <c r="BH877" s="99"/>
      <c r="BI877" s="99"/>
      <c r="BJ877" s="99"/>
      <c r="BK877" s="99"/>
      <c r="BL877" s="99"/>
      <c r="BM877" s="99"/>
      <c r="BN877" s="99"/>
      <c r="BO877" s="99"/>
      <c r="BP877" s="99"/>
      <c r="BQ877" s="99"/>
      <c r="BR877" s="99"/>
      <c r="BS877" s="99"/>
      <c r="BT877" s="99"/>
      <c r="BU877" s="99"/>
      <c r="BV877" s="99"/>
      <c r="BW877" s="99"/>
      <c r="BX877" s="99"/>
      <c r="BY877" s="99"/>
      <c r="BZ877" s="99"/>
      <c r="CA877" s="99"/>
      <c r="CB877" s="99"/>
      <c r="CC877" s="99"/>
      <c r="CD877" s="99"/>
      <c r="CE877" s="99"/>
      <c r="CF877" s="99"/>
      <c r="CG877" s="99"/>
      <c r="CH877" s="99"/>
      <c r="CI877" s="99"/>
      <c r="CJ877" s="621"/>
      <c r="CK877" s="621"/>
      <c r="CL877" s="621"/>
    </row>
    <row r="878" spans="27:90">
      <c r="AA878" s="350"/>
      <c r="AB878" s="62"/>
      <c r="AC878" s="62"/>
      <c r="AD878" s="62"/>
      <c r="AP878" s="88"/>
      <c r="AQ878" s="88"/>
      <c r="AR878" s="88"/>
      <c r="AS878" s="99"/>
      <c r="AT878" s="99"/>
      <c r="AU878" s="99"/>
      <c r="AV878" s="99"/>
      <c r="AW878" s="99"/>
      <c r="AX878" s="99"/>
      <c r="AY878" s="99"/>
      <c r="AZ878" s="99"/>
      <c r="BA878" s="99"/>
      <c r="BB878" s="99"/>
      <c r="BC878" s="99"/>
      <c r="BD878" s="99"/>
      <c r="BE878" s="99"/>
      <c r="BF878" s="99"/>
      <c r="BG878" s="99"/>
      <c r="BH878" s="99"/>
      <c r="BI878" s="99"/>
      <c r="BJ878" s="99"/>
      <c r="BK878" s="99"/>
      <c r="BL878" s="99"/>
      <c r="BM878" s="99"/>
      <c r="BN878" s="99"/>
      <c r="BO878" s="99"/>
      <c r="BP878" s="99"/>
      <c r="BQ878" s="99"/>
      <c r="BR878" s="99"/>
      <c r="BS878" s="99"/>
      <c r="BT878" s="99"/>
      <c r="BU878" s="99"/>
      <c r="BV878" s="99"/>
      <c r="BW878" s="99"/>
      <c r="BX878" s="99"/>
      <c r="BY878" s="99"/>
      <c r="BZ878" s="99"/>
      <c r="CA878" s="99"/>
      <c r="CB878" s="99"/>
      <c r="CC878" s="99"/>
      <c r="CD878" s="99"/>
      <c r="CE878" s="99"/>
      <c r="CF878" s="99"/>
      <c r="CG878" s="99"/>
      <c r="CH878" s="99"/>
      <c r="CI878" s="99"/>
      <c r="CJ878" s="621"/>
      <c r="CK878" s="621"/>
      <c r="CL878" s="621"/>
    </row>
    <row r="879" spans="27:90">
      <c r="AA879" s="350"/>
      <c r="AB879" s="62"/>
      <c r="AC879" s="62"/>
      <c r="AD879" s="62"/>
      <c r="AP879" s="88"/>
      <c r="AQ879" s="88"/>
      <c r="AR879" s="88"/>
      <c r="AS879" s="99"/>
      <c r="AT879" s="99"/>
      <c r="AU879" s="99"/>
      <c r="AV879" s="99"/>
      <c r="AW879" s="99"/>
      <c r="AX879" s="99"/>
      <c r="AY879" s="99"/>
      <c r="AZ879" s="99"/>
      <c r="BA879" s="99"/>
      <c r="BB879" s="99"/>
      <c r="BC879" s="99"/>
      <c r="BD879" s="99"/>
      <c r="BE879" s="99"/>
      <c r="BF879" s="99"/>
      <c r="BG879" s="99"/>
      <c r="BH879" s="99"/>
      <c r="BI879" s="99"/>
      <c r="BJ879" s="99"/>
      <c r="BK879" s="99"/>
      <c r="BL879" s="99"/>
      <c r="BM879" s="99"/>
      <c r="BN879" s="99"/>
      <c r="BO879" s="99"/>
      <c r="BP879" s="99"/>
      <c r="BQ879" s="99"/>
      <c r="BR879" s="99"/>
      <c r="BS879" s="99"/>
      <c r="BT879" s="99"/>
      <c r="BU879" s="99"/>
      <c r="BV879" s="99"/>
      <c r="BW879" s="99"/>
      <c r="BX879" s="99"/>
      <c r="BY879" s="99"/>
      <c r="BZ879" s="99"/>
      <c r="CA879" s="99"/>
      <c r="CB879" s="99"/>
      <c r="CC879" s="99"/>
      <c r="CD879" s="99"/>
      <c r="CE879" s="99"/>
      <c r="CF879" s="99"/>
      <c r="CG879" s="99"/>
      <c r="CH879" s="99"/>
      <c r="CI879" s="99"/>
      <c r="CJ879" s="621"/>
      <c r="CK879" s="621"/>
      <c r="CL879" s="621"/>
    </row>
    <row r="880" spans="27:90">
      <c r="AA880" s="350"/>
      <c r="AB880" s="62"/>
      <c r="AC880" s="62"/>
      <c r="AD880" s="62"/>
      <c r="AP880" s="88"/>
      <c r="AQ880" s="88"/>
      <c r="AR880" s="88"/>
      <c r="AS880" s="99"/>
      <c r="AT880" s="99"/>
      <c r="AU880" s="99"/>
      <c r="AV880" s="99"/>
      <c r="AW880" s="99"/>
      <c r="AX880" s="99"/>
      <c r="AY880" s="99"/>
      <c r="AZ880" s="99"/>
      <c r="BA880" s="99"/>
      <c r="BB880" s="99"/>
      <c r="BC880" s="99"/>
      <c r="BD880" s="99"/>
      <c r="BE880" s="99"/>
      <c r="BF880" s="99"/>
      <c r="BG880" s="99"/>
      <c r="BH880" s="99"/>
      <c r="BI880" s="99"/>
      <c r="BJ880" s="99"/>
      <c r="BK880" s="99"/>
      <c r="BL880" s="99"/>
      <c r="BM880" s="99"/>
      <c r="BN880" s="99"/>
      <c r="BO880" s="99"/>
      <c r="BP880" s="99"/>
      <c r="BQ880" s="99"/>
      <c r="BR880" s="99"/>
      <c r="BS880" s="99"/>
      <c r="BT880" s="99"/>
      <c r="BU880" s="99"/>
      <c r="BV880" s="99"/>
      <c r="BW880" s="99"/>
      <c r="BX880" s="99"/>
      <c r="BY880" s="99"/>
      <c r="BZ880" s="99"/>
      <c r="CA880" s="99"/>
      <c r="CB880" s="99"/>
      <c r="CC880" s="99"/>
      <c r="CD880" s="99"/>
      <c r="CE880" s="99"/>
      <c r="CF880" s="99"/>
      <c r="CG880" s="99"/>
      <c r="CH880" s="99"/>
      <c r="CI880" s="99"/>
      <c r="CJ880" s="621"/>
      <c r="CK880" s="621"/>
      <c r="CL880" s="621"/>
    </row>
    <row r="881" spans="27:90">
      <c r="AA881" s="350"/>
      <c r="AB881" s="62"/>
      <c r="AC881" s="62"/>
      <c r="AD881" s="62"/>
      <c r="AP881" s="88"/>
      <c r="AQ881" s="88"/>
      <c r="AR881" s="88"/>
      <c r="AS881" s="99"/>
      <c r="AT881" s="99"/>
      <c r="AU881" s="99"/>
      <c r="AV881" s="99"/>
      <c r="AW881" s="99"/>
      <c r="AX881" s="99"/>
      <c r="AY881" s="99"/>
      <c r="AZ881" s="99"/>
      <c r="BA881" s="99"/>
      <c r="BB881" s="99"/>
      <c r="BC881" s="99"/>
      <c r="BD881" s="99"/>
      <c r="BE881" s="99"/>
      <c r="BF881" s="99"/>
      <c r="BG881" s="99"/>
      <c r="BH881" s="99"/>
      <c r="BI881" s="99"/>
      <c r="BJ881" s="99"/>
      <c r="BK881" s="99"/>
      <c r="BL881" s="99"/>
      <c r="BM881" s="99"/>
      <c r="BN881" s="99"/>
      <c r="BO881" s="99"/>
      <c r="BP881" s="99"/>
      <c r="BQ881" s="99"/>
      <c r="BR881" s="99"/>
      <c r="BS881" s="99"/>
      <c r="BT881" s="99"/>
      <c r="BU881" s="99"/>
      <c r="BV881" s="99"/>
      <c r="BW881" s="99"/>
      <c r="BX881" s="99"/>
      <c r="BY881" s="99"/>
      <c r="BZ881" s="99"/>
      <c r="CA881" s="99"/>
      <c r="CB881" s="99"/>
      <c r="CC881" s="99"/>
      <c r="CD881" s="99"/>
      <c r="CE881" s="99"/>
      <c r="CF881" s="99"/>
      <c r="CG881" s="99"/>
      <c r="CH881" s="99"/>
      <c r="CI881" s="99"/>
      <c r="CJ881" s="621"/>
      <c r="CK881" s="621"/>
      <c r="CL881" s="621"/>
    </row>
    <row r="882" spans="27:90">
      <c r="AA882" s="350"/>
      <c r="AB882" s="62"/>
      <c r="AC882" s="62"/>
      <c r="AD882" s="62"/>
      <c r="AP882" s="88"/>
      <c r="AQ882" s="88"/>
      <c r="AR882" s="88"/>
      <c r="AS882" s="99"/>
      <c r="AT882" s="99"/>
      <c r="AU882" s="99"/>
      <c r="AV882" s="99"/>
      <c r="AW882" s="99"/>
      <c r="AX882" s="99"/>
      <c r="AY882" s="99"/>
      <c r="AZ882" s="99"/>
      <c r="BA882" s="99"/>
      <c r="BB882" s="99"/>
      <c r="BC882" s="99"/>
      <c r="BD882" s="99"/>
      <c r="BE882" s="99"/>
      <c r="BF882" s="99"/>
      <c r="BG882" s="99"/>
      <c r="BH882" s="99"/>
      <c r="BI882" s="99"/>
      <c r="BJ882" s="99"/>
      <c r="BK882" s="99"/>
      <c r="BL882" s="99"/>
      <c r="BM882" s="99"/>
      <c r="BN882" s="99"/>
      <c r="BO882" s="99"/>
      <c r="BP882" s="99"/>
      <c r="BQ882" s="99"/>
      <c r="BR882" s="99"/>
      <c r="BS882" s="99"/>
      <c r="BT882" s="99"/>
      <c r="BU882" s="99"/>
      <c r="BV882" s="99"/>
      <c r="BW882" s="99"/>
      <c r="BX882" s="99"/>
      <c r="BY882" s="99"/>
      <c r="BZ882" s="99"/>
      <c r="CA882" s="99"/>
      <c r="CB882" s="99"/>
      <c r="CC882" s="99"/>
      <c r="CD882" s="99"/>
      <c r="CE882" s="99"/>
      <c r="CF882" s="99"/>
      <c r="CG882" s="99"/>
      <c r="CH882" s="99"/>
      <c r="CI882" s="99"/>
      <c r="CJ882" s="621"/>
      <c r="CK882" s="621"/>
      <c r="CL882" s="621"/>
    </row>
    <row r="883" spans="27:90">
      <c r="AA883" s="350"/>
      <c r="AB883" s="62"/>
      <c r="AC883" s="62"/>
      <c r="AD883" s="62"/>
      <c r="AP883" s="88"/>
      <c r="AQ883" s="88"/>
      <c r="AR883" s="88"/>
      <c r="AS883" s="99"/>
      <c r="AT883" s="99"/>
      <c r="AU883" s="99"/>
      <c r="AV883" s="99"/>
      <c r="AW883" s="99"/>
      <c r="AX883" s="99"/>
      <c r="AY883" s="99"/>
      <c r="AZ883" s="99"/>
      <c r="BA883" s="99"/>
      <c r="BB883" s="99"/>
      <c r="BC883" s="99"/>
      <c r="BD883" s="99"/>
      <c r="BE883" s="99"/>
      <c r="BF883" s="99"/>
      <c r="BG883" s="99"/>
      <c r="BH883" s="99"/>
      <c r="BI883" s="99"/>
      <c r="BJ883" s="99"/>
      <c r="BK883" s="99"/>
      <c r="BL883" s="99"/>
      <c r="BM883" s="99"/>
      <c r="BN883" s="99"/>
      <c r="BO883" s="99"/>
      <c r="BP883" s="99"/>
      <c r="BQ883" s="99"/>
      <c r="BR883" s="99"/>
      <c r="BS883" s="99"/>
      <c r="BT883" s="99"/>
      <c r="BU883" s="99"/>
      <c r="BV883" s="99"/>
      <c r="BW883" s="99"/>
      <c r="BX883" s="99"/>
      <c r="BY883" s="99"/>
      <c r="BZ883" s="99"/>
      <c r="CA883" s="99"/>
      <c r="CB883" s="99"/>
      <c r="CC883" s="99"/>
      <c r="CD883" s="99"/>
      <c r="CE883" s="99"/>
      <c r="CF883" s="99"/>
      <c r="CG883" s="99"/>
      <c r="CH883" s="99"/>
      <c r="CI883" s="99"/>
      <c r="CJ883" s="621"/>
      <c r="CK883" s="621"/>
      <c r="CL883" s="621"/>
    </row>
    <row r="884" spans="27:90">
      <c r="AA884" s="350"/>
      <c r="AB884" s="62"/>
      <c r="AC884" s="62"/>
      <c r="AD884" s="62"/>
      <c r="AP884" s="88"/>
      <c r="AQ884" s="88"/>
      <c r="AR884" s="88"/>
      <c r="AS884" s="99"/>
      <c r="AT884" s="99"/>
      <c r="AU884" s="99"/>
      <c r="AV884" s="99"/>
      <c r="AW884" s="99"/>
      <c r="AX884" s="99"/>
      <c r="AY884" s="99"/>
      <c r="AZ884" s="99"/>
      <c r="BA884" s="99"/>
      <c r="BB884" s="99"/>
      <c r="BC884" s="99"/>
      <c r="BD884" s="99"/>
      <c r="BE884" s="99"/>
      <c r="BF884" s="99"/>
      <c r="BG884" s="99"/>
      <c r="BH884" s="99"/>
      <c r="BI884" s="99"/>
      <c r="BJ884" s="99"/>
      <c r="BK884" s="99"/>
      <c r="BL884" s="99"/>
      <c r="BM884" s="99"/>
      <c r="BN884" s="99"/>
      <c r="BO884" s="99"/>
      <c r="BP884" s="99"/>
      <c r="BQ884" s="99"/>
      <c r="BR884" s="99"/>
      <c r="BS884" s="99"/>
      <c r="BT884" s="99"/>
      <c r="BU884" s="99"/>
      <c r="BV884" s="99"/>
      <c r="BW884" s="99"/>
      <c r="BX884" s="99"/>
      <c r="BY884" s="99"/>
      <c r="BZ884" s="99"/>
      <c r="CA884" s="99"/>
      <c r="CB884" s="99"/>
      <c r="CC884" s="99"/>
      <c r="CD884" s="99"/>
      <c r="CE884" s="99"/>
      <c r="CF884" s="99"/>
      <c r="CG884" s="99"/>
      <c r="CH884" s="99"/>
      <c r="CI884" s="99"/>
      <c r="CJ884" s="621"/>
      <c r="CK884" s="621"/>
      <c r="CL884" s="621"/>
    </row>
    <row r="885" spans="27:90">
      <c r="AA885" s="350"/>
      <c r="AB885" s="62"/>
      <c r="AC885" s="62"/>
      <c r="AD885" s="62"/>
      <c r="AP885" s="88"/>
      <c r="AQ885" s="88"/>
      <c r="AR885" s="88"/>
      <c r="AS885" s="99"/>
      <c r="AT885" s="99"/>
      <c r="AU885" s="99"/>
      <c r="AV885" s="99"/>
      <c r="AW885" s="99"/>
      <c r="AX885" s="99"/>
      <c r="AY885" s="99"/>
      <c r="AZ885" s="99"/>
      <c r="BA885" s="99"/>
      <c r="BB885" s="99"/>
      <c r="BC885" s="99"/>
      <c r="BD885" s="99"/>
      <c r="BE885" s="99"/>
      <c r="BF885" s="99"/>
      <c r="BG885" s="99"/>
      <c r="BH885" s="99"/>
      <c r="BI885" s="99"/>
      <c r="BJ885" s="99"/>
      <c r="BK885" s="99"/>
      <c r="BL885" s="99"/>
      <c r="BM885" s="99"/>
      <c r="BN885" s="99"/>
      <c r="BO885" s="99"/>
      <c r="BP885" s="99"/>
      <c r="BQ885" s="99"/>
      <c r="BR885" s="99"/>
      <c r="BS885" s="99"/>
      <c r="BT885" s="99"/>
      <c r="BU885" s="99"/>
      <c r="BV885" s="99"/>
      <c r="BW885" s="99"/>
      <c r="BX885" s="99"/>
      <c r="BY885" s="99"/>
      <c r="BZ885" s="99"/>
      <c r="CA885" s="99"/>
      <c r="CB885" s="99"/>
      <c r="CC885" s="99"/>
      <c r="CD885" s="99"/>
      <c r="CE885" s="99"/>
      <c r="CF885" s="99"/>
      <c r="CG885" s="99"/>
      <c r="CH885" s="99"/>
      <c r="CI885" s="99"/>
      <c r="CJ885" s="621"/>
      <c r="CK885" s="621"/>
      <c r="CL885" s="621"/>
    </row>
    <row r="886" spans="27:90">
      <c r="AA886" s="350"/>
      <c r="AB886" s="62"/>
      <c r="AC886" s="62"/>
      <c r="AD886" s="62"/>
      <c r="AP886" s="88"/>
      <c r="AQ886" s="88"/>
      <c r="AR886" s="88"/>
      <c r="AS886" s="99"/>
      <c r="AT886" s="99"/>
      <c r="AU886" s="99"/>
      <c r="AV886" s="99"/>
      <c r="AW886" s="99"/>
      <c r="AX886" s="99"/>
      <c r="AY886" s="99"/>
      <c r="AZ886" s="99"/>
      <c r="BA886" s="99"/>
      <c r="BB886" s="99"/>
      <c r="BC886" s="99"/>
      <c r="BD886" s="99"/>
      <c r="BE886" s="99"/>
      <c r="BF886" s="99"/>
      <c r="BG886" s="99"/>
      <c r="BH886" s="99"/>
      <c r="BI886" s="99"/>
      <c r="BJ886" s="99"/>
      <c r="BK886" s="99"/>
      <c r="BL886" s="99"/>
      <c r="BM886" s="99"/>
      <c r="BN886" s="99"/>
      <c r="BO886" s="99"/>
      <c r="BP886" s="99"/>
      <c r="BQ886" s="99"/>
      <c r="BR886" s="99"/>
      <c r="BS886" s="99"/>
      <c r="BT886" s="99"/>
      <c r="BU886" s="99"/>
      <c r="BV886" s="99"/>
      <c r="BW886" s="99"/>
      <c r="BX886" s="99"/>
      <c r="BY886" s="99"/>
      <c r="BZ886" s="99"/>
      <c r="CA886" s="99"/>
      <c r="CB886" s="99"/>
      <c r="CC886" s="99"/>
      <c r="CD886" s="99"/>
      <c r="CE886" s="99"/>
      <c r="CF886" s="99"/>
      <c r="CG886" s="99"/>
      <c r="CH886" s="99"/>
      <c r="CI886" s="99"/>
      <c r="CJ886" s="621"/>
      <c r="CK886" s="621"/>
      <c r="CL886" s="621"/>
    </row>
    <row r="887" spans="27:90">
      <c r="AA887" s="350"/>
      <c r="AB887" s="62"/>
      <c r="AC887" s="62"/>
      <c r="AD887" s="62"/>
      <c r="AP887" s="88"/>
      <c r="AQ887" s="88"/>
      <c r="AR887" s="88"/>
      <c r="AS887" s="99"/>
      <c r="AT887" s="99"/>
      <c r="AU887" s="99"/>
      <c r="AV887" s="99"/>
      <c r="AW887" s="99"/>
      <c r="AX887" s="99"/>
      <c r="AY887" s="99"/>
      <c r="AZ887" s="99"/>
      <c r="BA887" s="99"/>
      <c r="BB887" s="99"/>
      <c r="BC887" s="99"/>
      <c r="BD887" s="99"/>
      <c r="BE887" s="99"/>
      <c r="BF887" s="99"/>
      <c r="BG887" s="99"/>
      <c r="BH887" s="99"/>
      <c r="BI887" s="99"/>
      <c r="BJ887" s="99"/>
      <c r="BK887" s="99"/>
      <c r="BL887" s="99"/>
      <c r="BM887" s="99"/>
      <c r="BN887" s="99"/>
      <c r="BO887" s="99"/>
      <c r="BP887" s="99"/>
      <c r="BQ887" s="99"/>
      <c r="BR887" s="99"/>
      <c r="BS887" s="99"/>
      <c r="BT887" s="99"/>
      <c r="BU887" s="99"/>
      <c r="BV887" s="99"/>
      <c r="BW887" s="99"/>
      <c r="BX887" s="99"/>
      <c r="BY887" s="99"/>
      <c r="BZ887" s="99"/>
      <c r="CA887" s="99"/>
      <c r="CB887" s="99"/>
      <c r="CC887" s="99"/>
      <c r="CD887" s="99"/>
      <c r="CE887" s="99"/>
      <c r="CF887" s="99"/>
      <c r="CG887" s="99"/>
      <c r="CH887" s="99"/>
      <c r="CI887" s="99"/>
      <c r="CJ887" s="621"/>
      <c r="CK887" s="621"/>
      <c r="CL887" s="621"/>
    </row>
    <row r="888" spans="27:90">
      <c r="AA888" s="350"/>
      <c r="AB888" s="62"/>
      <c r="AC888" s="62"/>
      <c r="AD888" s="62"/>
      <c r="AP888" s="88"/>
      <c r="AQ888" s="88"/>
      <c r="AR888" s="88"/>
      <c r="AS888" s="99"/>
      <c r="AT888" s="99"/>
      <c r="AU888" s="99"/>
      <c r="AV888" s="99"/>
      <c r="AW888" s="99"/>
      <c r="AX888" s="99"/>
      <c r="AY888" s="99"/>
      <c r="AZ888" s="99"/>
      <c r="BA888" s="99"/>
      <c r="BB888" s="99"/>
      <c r="BC888" s="99"/>
      <c r="BD888" s="99"/>
      <c r="BE888" s="99"/>
      <c r="BF888" s="99"/>
      <c r="BG888" s="99"/>
      <c r="BH888" s="99"/>
      <c r="BI888" s="99"/>
      <c r="BJ888" s="99"/>
      <c r="BK888" s="99"/>
      <c r="BL888" s="99"/>
      <c r="BM888" s="99"/>
      <c r="BN888" s="99"/>
      <c r="BO888" s="99"/>
      <c r="BP888" s="99"/>
      <c r="BQ888" s="99"/>
      <c r="BR888" s="99"/>
      <c r="BS888" s="99"/>
      <c r="BT888" s="99"/>
      <c r="BU888" s="99"/>
      <c r="BV888" s="99"/>
      <c r="BW888" s="99"/>
      <c r="BX888" s="99"/>
      <c r="BY888" s="99"/>
      <c r="BZ888" s="99"/>
      <c r="CA888" s="99"/>
      <c r="CB888" s="99"/>
      <c r="CC888" s="99"/>
      <c r="CD888" s="99"/>
      <c r="CE888" s="99"/>
      <c r="CF888" s="99"/>
      <c r="CG888" s="99"/>
      <c r="CH888" s="99"/>
      <c r="CI888" s="99"/>
      <c r="CJ888" s="621"/>
      <c r="CK888" s="621"/>
      <c r="CL888" s="621"/>
    </row>
    <row r="889" spans="27:90">
      <c r="AA889" s="350"/>
      <c r="AB889" s="62"/>
      <c r="AC889" s="62"/>
      <c r="AD889" s="62"/>
      <c r="AP889" s="88"/>
      <c r="AQ889" s="88"/>
      <c r="AR889" s="88"/>
      <c r="AS889" s="99"/>
      <c r="AT889" s="99"/>
      <c r="AU889" s="99"/>
      <c r="AV889" s="99"/>
      <c r="AW889" s="99"/>
      <c r="AX889" s="99"/>
      <c r="AY889" s="99"/>
      <c r="AZ889" s="99"/>
      <c r="BA889" s="99"/>
      <c r="BB889" s="99"/>
      <c r="BC889" s="99"/>
      <c r="BD889" s="99"/>
      <c r="BE889" s="99"/>
      <c r="BF889" s="99"/>
      <c r="BG889" s="99"/>
      <c r="BH889" s="99"/>
      <c r="BI889" s="99"/>
      <c r="BJ889" s="99"/>
      <c r="BK889" s="99"/>
      <c r="BL889" s="99"/>
      <c r="BM889" s="99"/>
      <c r="BN889" s="99"/>
      <c r="BO889" s="99"/>
      <c r="BP889" s="99"/>
      <c r="BQ889" s="99"/>
      <c r="BR889" s="99"/>
      <c r="BS889" s="99"/>
      <c r="BT889" s="99"/>
      <c r="BU889" s="99"/>
      <c r="BV889" s="99"/>
      <c r="BW889" s="99"/>
      <c r="BX889" s="99"/>
      <c r="BY889" s="99"/>
      <c r="BZ889" s="99"/>
      <c r="CA889" s="99"/>
      <c r="CB889" s="99"/>
      <c r="CC889" s="99"/>
      <c r="CD889" s="99"/>
      <c r="CE889" s="99"/>
      <c r="CF889" s="99"/>
      <c r="CG889" s="99"/>
      <c r="CH889" s="99"/>
      <c r="CI889" s="99"/>
      <c r="CJ889" s="621"/>
      <c r="CK889" s="621"/>
      <c r="CL889" s="621"/>
    </row>
    <row r="890" spans="27:90">
      <c r="AA890" s="350"/>
      <c r="AB890" s="62"/>
      <c r="AC890" s="62"/>
      <c r="AD890" s="62"/>
      <c r="AP890" s="88"/>
      <c r="AQ890" s="88"/>
      <c r="AR890" s="88"/>
      <c r="AS890" s="99"/>
      <c r="AT890" s="99"/>
      <c r="AU890" s="99"/>
      <c r="AV890" s="99"/>
      <c r="AW890" s="99"/>
      <c r="AX890" s="99"/>
      <c r="AY890" s="99"/>
      <c r="AZ890" s="99"/>
      <c r="BA890" s="99"/>
      <c r="BB890" s="99"/>
      <c r="BC890" s="99"/>
      <c r="BD890" s="99"/>
      <c r="BE890" s="99"/>
      <c r="BF890" s="99"/>
      <c r="BG890" s="99"/>
      <c r="BH890" s="99"/>
      <c r="BI890" s="99"/>
      <c r="BJ890" s="99"/>
      <c r="BK890" s="99"/>
      <c r="BL890" s="99"/>
      <c r="BM890" s="99"/>
      <c r="BN890" s="99"/>
      <c r="BO890" s="99"/>
      <c r="BP890" s="99"/>
      <c r="BQ890" s="99"/>
      <c r="BR890" s="99"/>
      <c r="BS890" s="99"/>
      <c r="BT890" s="99"/>
      <c r="BU890" s="99"/>
      <c r="BV890" s="99"/>
      <c r="BW890" s="99"/>
      <c r="BX890" s="99"/>
      <c r="BY890" s="99"/>
      <c r="BZ890" s="99"/>
      <c r="CA890" s="99"/>
      <c r="CB890" s="99"/>
      <c r="CC890" s="99"/>
      <c r="CD890" s="99"/>
      <c r="CE890" s="99"/>
      <c r="CF890" s="99"/>
      <c r="CG890" s="99"/>
      <c r="CH890" s="99"/>
      <c r="CI890" s="99"/>
      <c r="CJ890" s="621"/>
      <c r="CK890" s="621"/>
      <c r="CL890" s="621"/>
    </row>
    <row r="891" spans="27:90">
      <c r="AA891" s="350"/>
      <c r="AB891" s="62"/>
      <c r="AC891" s="62"/>
      <c r="AD891" s="62"/>
      <c r="AP891" s="88"/>
      <c r="AQ891" s="88"/>
      <c r="AR891" s="88"/>
      <c r="AS891" s="99"/>
      <c r="AT891" s="99"/>
      <c r="AU891" s="99"/>
      <c r="AV891" s="99"/>
      <c r="AW891" s="99"/>
      <c r="AX891" s="99"/>
      <c r="AY891" s="99"/>
      <c r="AZ891" s="99"/>
      <c r="BA891" s="99"/>
      <c r="BB891" s="99"/>
      <c r="BC891" s="99"/>
      <c r="BD891" s="99"/>
      <c r="BE891" s="99"/>
      <c r="BF891" s="99"/>
      <c r="BG891" s="99"/>
      <c r="BH891" s="99"/>
      <c r="BI891" s="99"/>
      <c r="BJ891" s="99"/>
      <c r="BK891" s="99"/>
      <c r="BL891" s="99"/>
      <c r="BM891" s="99"/>
      <c r="BN891" s="99"/>
      <c r="BO891" s="99"/>
      <c r="BP891" s="99"/>
      <c r="BQ891" s="99"/>
      <c r="BR891" s="99"/>
      <c r="BS891" s="99"/>
      <c r="BT891" s="99"/>
      <c r="BU891" s="99"/>
      <c r="BV891" s="99"/>
      <c r="BW891" s="99"/>
      <c r="BX891" s="99"/>
      <c r="BY891" s="99"/>
      <c r="BZ891" s="99"/>
      <c r="CA891" s="99"/>
      <c r="CB891" s="99"/>
      <c r="CC891" s="99"/>
      <c r="CD891" s="99"/>
      <c r="CE891" s="99"/>
      <c r="CF891" s="99"/>
      <c r="CG891" s="99"/>
      <c r="CH891" s="99"/>
      <c r="CI891" s="99"/>
      <c r="CJ891" s="621"/>
      <c r="CK891" s="621"/>
      <c r="CL891" s="621"/>
    </row>
    <row r="892" spans="27:90">
      <c r="AA892" s="350"/>
      <c r="AB892" s="62"/>
      <c r="AC892" s="62"/>
      <c r="AD892" s="62"/>
      <c r="AP892" s="88"/>
      <c r="AQ892" s="88"/>
      <c r="AR892" s="88"/>
      <c r="AS892" s="99"/>
      <c r="AT892" s="99"/>
      <c r="AU892" s="99"/>
      <c r="AV892" s="99"/>
      <c r="AW892" s="99"/>
      <c r="AX892" s="99"/>
      <c r="AY892" s="99"/>
      <c r="AZ892" s="99"/>
      <c r="BA892" s="99"/>
      <c r="BB892" s="99"/>
      <c r="BC892" s="99"/>
      <c r="BD892" s="99"/>
      <c r="BE892" s="99"/>
      <c r="BF892" s="99"/>
      <c r="BG892" s="99"/>
      <c r="BH892" s="99"/>
      <c r="BI892" s="99"/>
      <c r="BJ892" s="99"/>
      <c r="BK892" s="99"/>
      <c r="BL892" s="99"/>
      <c r="BM892" s="99"/>
      <c r="BN892" s="99"/>
      <c r="BO892" s="99"/>
      <c r="BP892" s="99"/>
      <c r="BQ892" s="99"/>
      <c r="BR892" s="99"/>
      <c r="BS892" s="99"/>
      <c r="BT892" s="99"/>
      <c r="BU892" s="99"/>
      <c r="BV892" s="99"/>
      <c r="BW892" s="99"/>
      <c r="BX892" s="99"/>
      <c r="BY892" s="99"/>
      <c r="BZ892" s="99"/>
      <c r="CA892" s="99"/>
      <c r="CB892" s="99"/>
      <c r="CC892" s="99"/>
      <c r="CD892" s="99"/>
      <c r="CE892" s="99"/>
      <c r="CF892" s="99"/>
      <c r="CG892" s="99"/>
      <c r="CH892" s="99"/>
      <c r="CI892" s="99"/>
      <c r="CJ892" s="621"/>
      <c r="CK892" s="621"/>
      <c r="CL892" s="621"/>
    </row>
    <row r="893" spans="27:90">
      <c r="AA893" s="350"/>
      <c r="AB893" s="62"/>
      <c r="AC893" s="62"/>
      <c r="AD893" s="62"/>
      <c r="AP893" s="88"/>
      <c r="AQ893" s="88"/>
      <c r="AR893" s="88"/>
      <c r="AS893" s="99"/>
      <c r="AT893" s="99"/>
      <c r="AU893" s="99"/>
      <c r="AV893" s="99"/>
      <c r="AW893" s="99"/>
      <c r="AX893" s="99"/>
      <c r="AY893" s="99"/>
      <c r="AZ893" s="99"/>
      <c r="BA893" s="99"/>
      <c r="BB893" s="99"/>
      <c r="BC893" s="99"/>
      <c r="BD893" s="99"/>
      <c r="BE893" s="99"/>
      <c r="BF893" s="99"/>
      <c r="BG893" s="99"/>
      <c r="BH893" s="99"/>
      <c r="BI893" s="99"/>
      <c r="BJ893" s="99"/>
      <c r="BK893" s="99"/>
      <c r="BL893" s="99"/>
      <c r="BM893" s="99"/>
      <c r="BN893" s="99"/>
      <c r="BO893" s="99"/>
      <c r="BP893" s="99"/>
      <c r="BQ893" s="99"/>
      <c r="BR893" s="99"/>
      <c r="BS893" s="99"/>
      <c r="BT893" s="99"/>
      <c r="BU893" s="99"/>
      <c r="BV893" s="99"/>
      <c r="BW893" s="99"/>
      <c r="BX893" s="99"/>
      <c r="BY893" s="99"/>
      <c r="BZ893" s="99"/>
      <c r="CA893" s="99"/>
      <c r="CB893" s="99"/>
      <c r="CC893" s="99"/>
      <c r="CD893" s="99"/>
      <c r="CE893" s="99"/>
      <c r="CF893" s="99"/>
      <c r="CG893" s="99"/>
      <c r="CH893" s="99"/>
      <c r="CI893" s="99"/>
      <c r="CJ893" s="621"/>
      <c r="CK893" s="621"/>
      <c r="CL893" s="621"/>
    </row>
    <row r="894" spans="27:90">
      <c r="AA894" s="350"/>
      <c r="AB894" s="62"/>
      <c r="AC894" s="62"/>
      <c r="AD894" s="62"/>
      <c r="AP894" s="88"/>
      <c r="AQ894" s="88"/>
      <c r="AR894" s="88"/>
      <c r="AS894" s="99"/>
      <c r="AT894" s="99"/>
      <c r="AU894" s="99"/>
      <c r="AV894" s="99"/>
      <c r="AW894" s="99"/>
      <c r="AX894" s="99"/>
      <c r="AY894" s="99"/>
      <c r="AZ894" s="99"/>
      <c r="BA894" s="99"/>
      <c r="BB894" s="99"/>
      <c r="BC894" s="99"/>
      <c r="BD894" s="99"/>
      <c r="BE894" s="99"/>
      <c r="BF894" s="99"/>
      <c r="BG894" s="99"/>
      <c r="BH894" s="99"/>
      <c r="BI894" s="99"/>
      <c r="BJ894" s="99"/>
      <c r="BK894" s="99"/>
      <c r="BL894" s="99"/>
      <c r="BM894" s="99"/>
      <c r="BN894" s="99"/>
      <c r="BO894" s="99"/>
      <c r="BP894" s="99"/>
      <c r="BQ894" s="99"/>
      <c r="BR894" s="99"/>
      <c r="BS894" s="99"/>
      <c r="BT894" s="99"/>
      <c r="BU894" s="99"/>
      <c r="BV894" s="99"/>
      <c r="BW894" s="99"/>
      <c r="BX894" s="99"/>
      <c r="BY894" s="99"/>
      <c r="BZ894" s="99"/>
      <c r="CA894" s="99"/>
      <c r="CB894" s="99"/>
      <c r="CC894" s="99"/>
      <c r="CD894" s="99"/>
      <c r="CE894" s="99"/>
      <c r="CF894" s="99"/>
      <c r="CG894" s="99"/>
      <c r="CH894" s="99"/>
      <c r="CI894" s="99"/>
      <c r="CJ894" s="621"/>
      <c r="CK894" s="621"/>
      <c r="CL894" s="621"/>
    </row>
    <row r="895" spans="27:90">
      <c r="AA895" s="350"/>
      <c r="AB895" s="62"/>
      <c r="AC895" s="62"/>
      <c r="AD895" s="62"/>
      <c r="AP895" s="88"/>
      <c r="AQ895" s="88"/>
      <c r="AR895" s="88"/>
      <c r="AS895" s="99"/>
      <c r="AT895" s="99"/>
      <c r="AU895" s="99"/>
      <c r="AV895" s="99"/>
      <c r="AW895" s="99"/>
      <c r="AX895" s="99"/>
      <c r="AY895" s="99"/>
      <c r="AZ895" s="99"/>
      <c r="BA895" s="99"/>
      <c r="BB895" s="99"/>
      <c r="BC895" s="99"/>
      <c r="BD895" s="99"/>
      <c r="BE895" s="99"/>
      <c r="BF895" s="99"/>
      <c r="BG895" s="99"/>
      <c r="BH895" s="99"/>
      <c r="BI895" s="99"/>
      <c r="BJ895" s="99"/>
      <c r="BK895" s="99"/>
      <c r="BL895" s="99"/>
      <c r="BM895" s="99"/>
      <c r="BN895" s="99"/>
      <c r="BO895" s="99"/>
      <c r="BP895" s="99"/>
      <c r="BQ895" s="99"/>
      <c r="BR895" s="99"/>
      <c r="BS895" s="99"/>
      <c r="BT895" s="99"/>
      <c r="BU895" s="99"/>
      <c r="BV895" s="99"/>
      <c r="BW895" s="99"/>
      <c r="BX895" s="99"/>
      <c r="BY895" s="99"/>
      <c r="BZ895" s="99"/>
      <c r="CA895" s="99"/>
      <c r="CB895" s="99"/>
      <c r="CC895" s="99"/>
      <c r="CD895" s="99"/>
      <c r="CE895" s="99"/>
      <c r="CF895" s="99"/>
      <c r="CG895" s="99"/>
      <c r="CH895" s="99"/>
      <c r="CI895" s="99"/>
      <c r="CJ895" s="621"/>
      <c r="CK895" s="621"/>
      <c r="CL895" s="621"/>
    </row>
    <row r="896" spans="27:90">
      <c r="AA896" s="350"/>
      <c r="AB896" s="62"/>
      <c r="AC896" s="62"/>
      <c r="AD896" s="62"/>
      <c r="AP896" s="88"/>
      <c r="AQ896" s="88"/>
      <c r="AR896" s="88"/>
      <c r="AS896" s="99"/>
      <c r="AT896" s="99"/>
      <c r="AU896" s="99"/>
      <c r="AV896" s="99"/>
      <c r="AW896" s="99"/>
      <c r="AX896" s="99"/>
      <c r="AY896" s="99"/>
      <c r="AZ896" s="99"/>
      <c r="BA896" s="99"/>
      <c r="BB896" s="99"/>
      <c r="BC896" s="99"/>
      <c r="BD896" s="99"/>
      <c r="BE896" s="99"/>
      <c r="BF896" s="99"/>
      <c r="BG896" s="99"/>
      <c r="BH896" s="99"/>
      <c r="BI896" s="99"/>
      <c r="BJ896" s="99"/>
      <c r="BK896" s="99"/>
      <c r="BL896" s="99"/>
      <c r="BM896" s="99"/>
      <c r="BN896" s="99"/>
      <c r="BO896" s="99"/>
      <c r="BP896" s="99"/>
      <c r="BQ896" s="99"/>
      <c r="BR896" s="99"/>
      <c r="BS896" s="99"/>
      <c r="BT896" s="99"/>
      <c r="BU896" s="99"/>
      <c r="BV896" s="99"/>
      <c r="BW896" s="99"/>
      <c r="BX896" s="99"/>
      <c r="BY896" s="99"/>
      <c r="BZ896" s="99"/>
      <c r="CA896" s="99"/>
      <c r="CB896" s="99"/>
      <c r="CC896" s="99"/>
      <c r="CD896" s="99"/>
      <c r="CE896" s="99"/>
      <c r="CF896" s="99"/>
      <c r="CG896" s="99"/>
      <c r="CH896" s="99"/>
      <c r="CI896" s="99"/>
      <c r="CJ896" s="621"/>
      <c r="CK896" s="621"/>
      <c r="CL896" s="621"/>
    </row>
    <row r="897" spans="27:90">
      <c r="AA897" s="350"/>
      <c r="AB897" s="62"/>
      <c r="AC897" s="62"/>
      <c r="AD897" s="62"/>
      <c r="AP897" s="88"/>
      <c r="AQ897" s="88"/>
      <c r="AR897" s="88"/>
      <c r="AS897" s="99"/>
      <c r="AT897" s="99"/>
      <c r="AU897" s="99"/>
      <c r="AV897" s="99"/>
      <c r="AW897" s="99"/>
      <c r="AX897" s="99"/>
      <c r="AY897" s="99"/>
      <c r="AZ897" s="99"/>
      <c r="BA897" s="99"/>
      <c r="BB897" s="99"/>
      <c r="BC897" s="99"/>
      <c r="BD897" s="99"/>
      <c r="BE897" s="99"/>
      <c r="BF897" s="99"/>
      <c r="BG897" s="99"/>
      <c r="BH897" s="99"/>
      <c r="BI897" s="99"/>
      <c r="BJ897" s="99"/>
      <c r="BK897" s="99"/>
      <c r="BL897" s="99"/>
      <c r="BM897" s="99"/>
      <c r="BN897" s="99"/>
      <c r="BO897" s="99"/>
      <c r="BP897" s="99"/>
      <c r="BQ897" s="99"/>
      <c r="BR897" s="99"/>
      <c r="BS897" s="99"/>
      <c r="BT897" s="99"/>
      <c r="BU897" s="99"/>
      <c r="BV897" s="99"/>
      <c r="BW897" s="99"/>
      <c r="BX897" s="99"/>
      <c r="BY897" s="99"/>
      <c r="BZ897" s="99"/>
      <c r="CA897" s="99"/>
      <c r="CB897" s="99"/>
      <c r="CC897" s="99"/>
      <c r="CD897" s="99"/>
      <c r="CE897" s="99"/>
      <c r="CF897" s="99"/>
      <c r="CG897" s="99"/>
      <c r="CH897" s="99"/>
      <c r="CI897" s="99"/>
      <c r="CJ897" s="621"/>
      <c r="CK897" s="621"/>
      <c r="CL897" s="621"/>
    </row>
    <row r="898" spans="27:90">
      <c r="AA898" s="350"/>
      <c r="AB898" s="62"/>
      <c r="AC898" s="62"/>
      <c r="AD898" s="62"/>
      <c r="AP898" s="88"/>
      <c r="AQ898" s="88"/>
      <c r="AR898" s="88"/>
      <c r="AS898" s="99"/>
      <c r="AT898" s="99"/>
      <c r="AU898" s="99"/>
      <c r="AV898" s="99"/>
      <c r="AW898" s="99"/>
      <c r="AX898" s="99"/>
      <c r="AY898" s="99"/>
      <c r="AZ898" s="99"/>
      <c r="BA898" s="99"/>
      <c r="BB898" s="99"/>
      <c r="BC898" s="99"/>
      <c r="BD898" s="99"/>
      <c r="BE898" s="99"/>
      <c r="BF898" s="99"/>
      <c r="BG898" s="99"/>
      <c r="BH898" s="99"/>
      <c r="BI898" s="99"/>
      <c r="BJ898" s="99"/>
      <c r="BK898" s="99"/>
      <c r="BL898" s="99"/>
      <c r="BM898" s="99"/>
      <c r="BN898" s="99"/>
      <c r="BO898" s="99"/>
      <c r="BP898" s="99"/>
      <c r="BQ898" s="99"/>
      <c r="BR898" s="99"/>
      <c r="BS898" s="99"/>
      <c r="BT898" s="99"/>
      <c r="BU898" s="99"/>
      <c r="BV898" s="99"/>
      <c r="BW898" s="99"/>
      <c r="BX898" s="99"/>
      <c r="BY898" s="99"/>
      <c r="BZ898" s="99"/>
      <c r="CA898" s="99"/>
      <c r="CB898" s="99"/>
      <c r="CC898" s="99"/>
      <c r="CD898" s="99"/>
      <c r="CE898" s="99"/>
      <c r="CF898" s="99"/>
      <c r="CG898" s="99"/>
      <c r="CH898" s="99"/>
      <c r="CI898" s="99"/>
      <c r="CJ898" s="621"/>
      <c r="CK898" s="621"/>
      <c r="CL898" s="621"/>
    </row>
    <row r="899" spans="27:90">
      <c r="AA899" s="350"/>
      <c r="AB899" s="62"/>
      <c r="AC899" s="62"/>
      <c r="AD899" s="62"/>
      <c r="AP899" s="88"/>
      <c r="AQ899" s="88"/>
      <c r="AR899" s="88"/>
      <c r="AS899" s="99"/>
      <c r="AT899" s="99"/>
      <c r="AU899" s="99"/>
      <c r="AV899" s="99"/>
      <c r="AW899" s="99"/>
      <c r="AX899" s="99"/>
      <c r="AY899" s="99"/>
      <c r="AZ899" s="99"/>
      <c r="BA899" s="99"/>
      <c r="BB899" s="99"/>
      <c r="BC899" s="99"/>
      <c r="BD899" s="99"/>
      <c r="BE899" s="99"/>
      <c r="BF899" s="99"/>
      <c r="BG899" s="99"/>
      <c r="BH899" s="99"/>
      <c r="BI899" s="99"/>
      <c r="BJ899" s="99"/>
      <c r="BK899" s="99"/>
      <c r="BL899" s="99"/>
      <c r="BM899" s="99"/>
      <c r="BN899" s="99"/>
      <c r="BO899" s="99"/>
      <c r="BP899" s="99"/>
      <c r="BQ899" s="99"/>
      <c r="BR899" s="99"/>
      <c r="BS899" s="99"/>
      <c r="BT899" s="99"/>
      <c r="BU899" s="99"/>
      <c r="BV899" s="99"/>
      <c r="BW899" s="99"/>
      <c r="BX899" s="99"/>
      <c r="BY899" s="99"/>
      <c r="BZ899" s="99"/>
      <c r="CA899" s="99"/>
      <c r="CB899" s="99"/>
      <c r="CC899" s="99"/>
      <c r="CD899" s="99"/>
      <c r="CE899" s="99"/>
      <c r="CF899" s="99"/>
      <c r="CG899" s="99"/>
      <c r="CH899" s="99"/>
      <c r="CI899" s="99"/>
      <c r="CJ899" s="621"/>
      <c r="CK899" s="621"/>
      <c r="CL899" s="621"/>
    </row>
    <row r="900" spans="27:90">
      <c r="AA900" s="350"/>
      <c r="AB900" s="62"/>
      <c r="AC900" s="62"/>
      <c r="AD900" s="62"/>
      <c r="AP900" s="88"/>
      <c r="AQ900" s="88"/>
      <c r="AR900" s="88"/>
      <c r="AS900" s="99"/>
      <c r="AT900" s="99"/>
      <c r="AU900" s="99"/>
      <c r="AV900" s="99"/>
      <c r="AW900" s="99"/>
      <c r="AX900" s="99"/>
      <c r="AY900" s="99"/>
      <c r="AZ900" s="99"/>
      <c r="BA900" s="99"/>
      <c r="BB900" s="99"/>
      <c r="BC900" s="99"/>
      <c r="BD900" s="99"/>
      <c r="BE900" s="99"/>
      <c r="BF900" s="99"/>
      <c r="BG900" s="99"/>
      <c r="BH900" s="99"/>
      <c r="BI900" s="99"/>
      <c r="BJ900" s="99"/>
      <c r="BK900" s="99"/>
      <c r="BL900" s="99"/>
      <c r="BM900" s="99"/>
      <c r="BN900" s="99"/>
      <c r="BO900" s="99"/>
      <c r="BP900" s="99"/>
      <c r="BQ900" s="99"/>
      <c r="BR900" s="99"/>
      <c r="BS900" s="99"/>
      <c r="BT900" s="99"/>
      <c r="BU900" s="99"/>
      <c r="BV900" s="99"/>
      <c r="BW900" s="99"/>
      <c r="BX900" s="99"/>
      <c r="BY900" s="99"/>
      <c r="BZ900" s="99"/>
      <c r="CA900" s="99"/>
      <c r="CB900" s="99"/>
      <c r="CC900" s="99"/>
      <c r="CD900" s="99"/>
      <c r="CE900" s="99"/>
      <c r="CF900" s="99"/>
      <c r="CG900" s="99"/>
      <c r="CH900" s="99"/>
      <c r="CI900" s="99"/>
      <c r="CJ900" s="621"/>
      <c r="CK900" s="621"/>
      <c r="CL900" s="621"/>
    </row>
    <row r="901" spans="27:90">
      <c r="AA901" s="350"/>
      <c r="AB901" s="62"/>
      <c r="AC901" s="62"/>
      <c r="AD901" s="62"/>
      <c r="AP901" s="88"/>
      <c r="AQ901" s="88"/>
      <c r="AR901" s="88"/>
      <c r="AS901" s="99"/>
      <c r="AT901" s="99"/>
      <c r="AU901" s="99"/>
      <c r="AV901" s="99"/>
      <c r="AW901" s="99"/>
      <c r="AX901" s="99"/>
      <c r="AY901" s="99"/>
      <c r="AZ901" s="99"/>
      <c r="BA901" s="99"/>
      <c r="BB901" s="99"/>
      <c r="BC901" s="99"/>
      <c r="BD901" s="99"/>
      <c r="BE901" s="99"/>
      <c r="BF901" s="99"/>
      <c r="BG901" s="99"/>
      <c r="BH901" s="99"/>
      <c r="BI901" s="99"/>
      <c r="BJ901" s="99"/>
      <c r="BK901" s="99"/>
      <c r="BL901" s="99"/>
      <c r="BM901" s="99"/>
      <c r="BN901" s="99"/>
      <c r="BO901" s="99"/>
      <c r="BP901" s="99"/>
      <c r="BQ901" s="99"/>
      <c r="BR901" s="99"/>
      <c r="BS901" s="99"/>
      <c r="BT901" s="99"/>
      <c r="BU901" s="99"/>
      <c r="BV901" s="99"/>
      <c r="BW901" s="99"/>
      <c r="BX901" s="99"/>
      <c r="BY901" s="99"/>
      <c r="BZ901" s="99"/>
      <c r="CA901" s="99"/>
      <c r="CB901" s="99"/>
      <c r="CC901" s="99"/>
      <c r="CD901" s="99"/>
      <c r="CE901" s="99"/>
      <c r="CF901" s="99"/>
      <c r="CG901" s="99"/>
      <c r="CH901" s="99"/>
      <c r="CI901" s="99"/>
      <c r="CJ901" s="621"/>
      <c r="CK901" s="621"/>
      <c r="CL901" s="621"/>
    </row>
    <row r="902" spans="27:90">
      <c r="AA902" s="350"/>
      <c r="AB902" s="62"/>
      <c r="AC902" s="62"/>
      <c r="AD902" s="62"/>
      <c r="AP902" s="88"/>
      <c r="AQ902" s="88"/>
      <c r="AR902" s="88"/>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621"/>
      <c r="CK902" s="621"/>
      <c r="CL902" s="621"/>
    </row>
    <row r="903" spans="27:90">
      <c r="AA903" s="350"/>
      <c r="AB903" s="62"/>
      <c r="AC903" s="62"/>
      <c r="AD903" s="62"/>
      <c r="AP903" s="88"/>
      <c r="AQ903" s="88"/>
      <c r="AR903" s="88"/>
      <c r="AS903" s="99"/>
      <c r="AT903" s="99"/>
      <c r="AU903" s="99"/>
      <c r="AV903" s="99"/>
      <c r="AW903" s="99"/>
      <c r="AX903" s="99"/>
      <c r="AY903" s="99"/>
      <c r="AZ903" s="99"/>
      <c r="BA903" s="99"/>
      <c r="BB903" s="99"/>
      <c r="BC903" s="99"/>
      <c r="BD903" s="99"/>
      <c r="BE903" s="99"/>
      <c r="BF903" s="99"/>
      <c r="BG903" s="99"/>
      <c r="BH903" s="99"/>
      <c r="BI903" s="99"/>
      <c r="BJ903" s="99"/>
      <c r="BK903" s="99"/>
      <c r="BL903" s="99"/>
      <c r="BM903" s="99"/>
      <c r="BN903" s="99"/>
      <c r="BO903" s="99"/>
      <c r="BP903" s="99"/>
      <c r="BQ903" s="99"/>
      <c r="BR903" s="99"/>
      <c r="BS903" s="99"/>
      <c r="BT903" s="99"/>
      <c r="BU903" s="99"/>
      <c r="BV903" s="99"/>
      <c r="BW903" s="99"/>
      <c r="BX903" s="99"/>
      <c r="BY903" s="99"/>
      <c r="BZ903" s="99"/>
      <c r="CA903" s="99"/>
      <c r="CB903" s="99"/>
      <c r="CC903" s="99"/>
      <c r="CD903" s="99"/>
      <c r="CE903" s="99"/>
      <c r="CF903" s="99"/>
      <c r="CG903" s="99"/>
      <c r="CH903" s="99"/>
      <c r="CI903" s="99"/>
      <c r="CJ903" s="621"/>
      <c r="CK903" s="621"/>
      <c r="CL903" s="621"/>
    </row>
    <row r="904" spans="27:90">
      <c r="AA904" s="350"/>
      <c r="AB904" s="62"/>
      <c r="AC904" s="62"/>
      <c r="AD904" s="62"/>
      <c r="AP904" s="88"/>
      <c r="AQ904" s="88"/>
      <c r="AR904" s="88"/>
      <c r="AS904" s="99"/>
      <c r="AT904" s="99"/>
      <c r="AU904" s="99"/>
      <c r="AV904" s="99"/>
      <c r="AW904" s="99"/>
      <c r="AX904" s="99"/>
      <c r="AY904" s="99"/>
      <c r="AZ904" s="99"/>
      <c r="BA904" s="99"/>
      <c r="BB904" s="99"/>
      <c r="BC904" s="99"/>
      <c r="BD904" s="99"/>
      <c r="BE904" s="99"/>
      <c r="BF904" s="99"/>
      <c r="BG904" s="99"/>
      <c r="BH904" s="99"/>
      <c r="BI904" s="99"/>
      <c r="BJ904" s="99"/>
      <c r="BK904" s="99"/>
      <c r="BL904" s="99"/>
      <c r="BM904" s="99"/>
      <c r="BN904" s="99"/>
      <c r="BO904" s="99"/>
      <c r="BP904" s="99"/>
      <c r="BQ904" s="99"/>
      <c r="BR904" s="99"/>
      <c r="BS904" s="99"/>
      <c r="BT904" s="99"/>
      <c r="BU904" s="99"/>
      <c r="BV904" s="99"/>
      <c r="BW904" s="99"/>
      <c r="BX904" s="99"/>
      <c r="BY904" s="99"/>
      <c r="BZ904" s="99"/>
      <c r="CA904" s="99"/>
      <c r="CB904" s="99"/>
      <c r="CC904" s="99"/>
      <c r="CD904" s="99"/>
      <c r="CE904" s="99"/>
      <c r="CF904" s="99"/>
      <c r="CG904" s="99"/>
      <c r="CH904" s="99"/>
      <c r="CI904" s="99"/>
      <c r="CJ904" s="621"/>
      <c r="CK904" s="621"/>
      <c r="CL904" s="621"/>
    </row>
    <row r="905" spans="27:90">
      <c r="AA905" s="350"/>
      <c r="AB905" s="62"/>
      <c r="AC905" s="62"/>
      <c r="AD905" s="62"/>
      <c r="AP905" s="88"/>
      <c r="AQ905" s="88"/>
      <c r="AR905" s="88"/>
      <c r="AS905" s="99"/>
      <c r="AT905" s="99"/>
      <c r="AU905" s="99"/>
      <c r="AV905" s="99"/>
      <c r="AW905" s="99"/>
      <c r="AX905" s="99"/>
      <c r="AY905" s="99"/>
      <c r="AZ905" s="99"/>
      <c r="BA905" s="99"/>
      <c r="BB905" s="99"/>
      <c r="BC905" s="99"/>
      <c r="BD905" s="99"/>
      <c r="BE905" s="99"/>
      <c r="BF905" s="99"/>
      <c r="BG905" s="99"/>
      <c r="BH905" s="99"/>
      <c r="BI905" s="99"/>
      <c r="BJ905" s="99"/>
      <c r="BK905" s="99"/>
      <c r="BL905" s="99"/>
      <c r="BM905" s="99"/>
      <c r="BN905" s="99"/>
      <c r="BO905" s="99"/>
      <c r="BP905" s="99"/>
      <c r="BQ905" s="99"/>
      <c r="BR905" s="99"/>
      <c r="BS905" s="99"/>
      <c r="BT905" s="99"/>
      <c r="BU905" s="99"/>
      <c r="BV905" s="99"/>
      <c r="BW905" s="99"/>
      <c r="BX905" s="99"/>
      <c r="BY905" s="99"/>
      <c r="BZ905" s="99"/>
      <c r="CA905" s="99"/>
      <c r="CB905" s="99"/>
      <c r="CC905" s="99"/>
      <c r="CD905" s="99"/>
      <c r="CE905" s="99"/>
      <c r="CF905" s="99"/>
      <c r="CG905" s="99"/>
      <c r="CH905" s="99"/>
      <c r="CI905" s="99"/>
      <c r="CJ905" s="621"/>
      <c r="CK905" s="621"/>
      <c r="CL905" s="621"/>
    </row>
    <row r="906" spans="27:90">
      <c r="AA906" s="350"/>
      <c r="AB906" s="62"/>
      <c r="AC906" s="62"/>
      <c r="AD906" s="62"/>
      <c r="AP906" s="88"/>
      <c r="AQ906" s="88"/>
      <c r="AR906" s="88"/>
      <c r="AS906" s="99"/>
      <c r="AT906" s="99"/>
      <c r="AU906" s="99"/>
      <c r="AV906" s="99"/>
      <c r="AW906" s="99"/>
      <c r="AX906" s="99"/>
      <c r="AY906" s="99"/>
      <c r="AZ906" s="99"/>
      <c r="BA906" s="99"/>
      <c r="BB906" s="99"/>
      <c r="BC906" s="99"/>
      <c r="BD906" s="99"/>
      <c r="BE906" s="99"/>
      <c r="BF906" s="99"/>
      <c r="BG906" s="99"/>
      <c r="BH906" s="99"/>
      <c r="BI906" s="99"/>
      <c r="BJ906" s="99"/>
      <c r="BK906" s="99"/>
      <c r="BL906" s="99"/>
      <c r="BM906" s="99"/>
      <c r="BN906" s="99"/>
      <c r="BO906" s="99"/>
      <c r="BP906" s="99"/>
      <c r="BQ906" s="99"/>
      <c r="BR906" s="99"/>
      <c r="BS906" s="99"/>
      <c r="BT906" s="99"/>
      <c r="BU906" s="99"/>
      <c r="BV906" s="99"/>
      <c r="BW906" s="99"/>
      <c r="BX906" s="99"/>
      <c r="BY906" s="99"/>
      <c r="BZ906" s="99"/>
      <c r="CA906" s="99"/>
      <c r="CB906" s="99"/>
      <c r="CC906" s="99"/>
      <c r="CD906" s="99"/>
      <c r="CE906" s="99"/>
      <c r="CF906" s="99"/>
      <c r="CG906" s="99"/>
      <c r="CH906" s="99"/>
      <c r="CI906" s="99"/>
      <c r="CJ906" s="621"/>
      <c r="CK906" s="621"/>
      <c r="CL906" s="621"/>
    </row>
    <row r="907" spans="27:90">
      <c r="AA907" s="350"/>
      <c r="AB907" s="62"/>
      <c r="AC907" s="62"/>
      <c r="AD907" s="62"/>
      <c r="AP907" s="88"/>
      <c r="AQ907" s="88"/>
      <c r="AR907" s="88"/>
      <c r="AS907" s="99"/>
      <c r="AT907" s="99"/>
      <c r="AU907" s="99"/>
      <c r="AV907" s="99"/>
      <c r="AW907" s="99"/>
      <c r="AX907" s="99"/>
      <c r="AY907" s="99"/>
      <c r="AZ907" s="99"/>
      <c r="BA907" s="99"/>
      <c r="BB907" s="99"/>
      <c r="BC907" s="99"/>
      <c r="BD907" s="99"/>
      <c r="BE907" s="99"/>
      <c r="BF907" s="99"/>
      <c r="BG907" s="99"/>
      <c r="BH907" s="99"/>
      <c r="BI907" s="99"/>
      <c r="BJ907" s="99"/>
      <c r="BK907" s="99"/>
      <c r="BL907" s="99"/>
      <c r="BM907" s="99"/>
      <c r="BN907" s="99"/>
      <c r="BO907" s="99"/>
      <c r="BP907" s="99"/>
      <c r="BQ907" s="99"/>
      <c r="BR907" s="99"/>
      <c r="BS907" s="99"/>
      <c r="BT907" s="99"/>
      <c r="BU907" s="99"/>
      <c r="BV907" s="99"/>
      <c r="BW907" s="99"/>
      <c r="BX907" s="99"/>
      <c r="BY907" s="99"/>
      <c r="BZ907" s="99"/>
      <c r="CA907" s="99"/>
      <c r="CB907" s="99"/>
      <c r="CC907" s="99"/>
      <c r="CD907" s="99"/>
      <c r="CE907" s="99"/>
      <c r="CF907" s="99"/>
      <c r="CG907" s="99"/>
      <c r="CH907" s="99"/>
      <c r="CI907" s="99"/>
      <c r="CJ907" s="621"/>
      <c r="CK907" s="621"/>
      <c r="CL907" s="621"/>
    </row>
    <row r="908" spans="27:90">
      <c r="AA908" s="350"/>
      <c r="AB908" s="62"/>
      <c r="AC908" s="62"/>
      <c r="AD908" s="62"/>
      <c r="AP908" s="88"/>
      <c r="AQ908" s="88"/>
      <c r="AR908" s="88"/>
      <c r="AS908" s="99"/>
      <c r="AT908" s="99"/>
      <c r="AU908" s="99"/>
      <c r="AV908" s="99"/>
      <c r="AW908" s="99"/>
      <c r="AX908" s="99"/>
      <c r="AY908" s="99"/>
      <c r="AZ908" s="99"/>
      <c r="BA908" s="99"/>
      <c r="BB908" s="99"/>
      <c r="BC908" s="99"/>
      <c r="BD908" s="99"/>
      <c r="BE908" s="99"/>
      <c r="BF908" s="99"/>
      <c r="BG908" s="99"/>
      <c r="BH908" s="99"/>
      <c r="BI908" s="99"/>
      <c r="BJ908" s="99"/>
      <c r="BK908" s="99"/>
      <c r="BL908" s="99"/>
      <c r="BM908" s="99"/>
      <c r="BN908" s="99"/>
      <c r="BO908" s="99"/>
      <c r="BP908" s="99"/>
      <c r="BQ908" s="99"/>
      <c r="BR908" s="99"/>
      <c r="BS908" s="99"/>
      <c r="BT908" s="99"/>
      <c r="BU908" s="99"/>
      <c r="BV908" s="99"/>
      <c r="BW908" s="99"/>
      <c r="BX908" s="99"/>
      <c r="BY908" s="99"/>
      <c r="BZ908" s="99"/>
      <c r="CA908" s="99"/>
      <c r="CB908" s="99"/>
      <c r="CC908" s="99"/>
      <c r="CD908" s="99"/>
      <c r="CE908" s="99"/>
      <c r="CF908" s="99"/>
      <c r="CG908" s="99"/>
      <c r="CH908" s="99"/>
      <c r="CI908" s="99"/>
      <c r="CJ908" s="621"/>
      <c r="CK908" s="621"/>
      <c r="CL908" s="621"/>
    </row>
    <row r="909" spans="27:90">
      <c r="AA909" s="350"/>
      <c r="AB909" s="62"/>
      <c r="AC909" s="62"/>
      <c r="AD909" s="62"/>
      <c r="AP909" s="88"/>
      <c r="AQ909" s="88"/>
      <c r="AR909" s="88"/>
      <c r="AS909" s="99"/>
      <c r="AT909" s="99"/>
      <c r="AU909" s="99"/>
      <c r="AV909" s="99"/>
      <c r="AW909" s="99"/>
      <c r="AX909" s="99"/>
      <c r="AY909" s="99"/>
      <c r="AZ909" s="99"/>
      <c r="BA909" s="99"/>
      <c r="BB909" s="99"/>
      <c r="BC909" s="99"/>
      <c r="BD909" s="99"/>
      <c r="BE909" s="99"/>
      <c r="BF909" s="99"/>
      <c r="BG909" s="99"/>
      <c r="BH909" s="99"/>
      <c r="BI909" s="99"/>
      <c r="BJ909" s="99"/>
      <c r="BK909" s="99"/>
      <c r="BL909" s="99"/>
      <c r="BM909" s="99"/>
      <c r="BN909" s="99"/>
      <c r="BO909" s="99"/>
      <c r="BP909" s="99"/>
      <c r="BQ909" s="99"/>
      <c r="BR909" s="99"/>
      <c r="BS909" s="99"/>
      <c r="BT909" s="99"/>
      <c r="BU909" s="99"/>
      <c r="BV909" s="99"/>
      <c r="BW909" s="99"/>
      <c r="BX909" s="99"/>
      <c r="BY909" s="99"/>
      <c r="BZ909" s="99"/>
      <c r="CA909" s="99"/>
      <c r="CB909" s="99"/>
      <c r="CC909" s="99"/>
      <c r="CD909" s="99"/>
      <c r="CE909" s="99"/>
      <c r="CF909" s="99"/>
      <c r="CG909" s="99"/>
      <c r="CH909" s="99"/>
      <c r="CI909" s="99"/>
      <c r="CJ909" s="621"/>
      <c r="CK909" s="621"/>
      <c r="CL909" s="621"/>
    </row>
    <row r="910" spans="27:90">
      <c r="AA910" s="350"/>
      <c r="AB910" s="62"/>
      <c r="AC910" s="62"/>
      <c r="AD910" s="62"/>
      <c r="AP910" s="88"/>
      <c r="AQ910" s="88"/>
      <c r="AR910" s="88"/>
      <c r="AS910" s="99"/>
      <c r="AT910" s="99"/>
      <c r="AU910" s="99"/>
      <c r="AV910" s="99"/>
      <c r="AW910" s="99"/>
      <c r="AX910" s="99"/>
      <c r="AY910" s="99"/>
      <c r="AZ910" s="99"/>
      <c r="BA910" s="99"/>
      <c r="BB910" s="99"/>
      <c r="BC910" s="99"/>
      <c r="BD910" s="99"/>
      <c r="BE910" s="99"/>
      <c r="BF910" s="99"/>
      <c r="BG910" s="99"/>
      <c r="BH910" s="99"/>
      <c r="BI910" s="99"/>
      <c r="BJ910" s="99"/>
      <c r="BK910" s="99"/>
      <c r="BL910" s="99"/>
      <c r="BM910" s="99"/>
      <c r="BN910" s="99"/>
      <c r="BO910" s="99"/>
      <c r="BP910" s="99"/>
      <c r="BQ910" s="99"/>
      <c r="BR910" s="99"/>
      <c r="BS910" s="99"/>
      <c r="BT910" s="99"/>
      <c r="BU910" s="99"/>
      <c r="BV910" s="99"/>
      <c r="BW910" s="99"/>
      <c r="BX910" s="99"/>
      <c r="BY910" s="99"/>
      <c r="BZ910" s="99"/>
      <c r="CA910" s="99"/>
      <c r="CB910" s="99"/>
      <c r="CC910" s="99"/>
      <c r="CD910" s="99"/>
      <c r="CE910" s="99"/>
      <c r="CF910" s="99"/>
      <c r="CG910" s="99"/>
      <c r="CH910" s="99"/>
      <c r="CI910" s="99"/>
      <c r="CJ910" s="621"/>
      <c r="CK910" s="621"/>
      <c r="CL910" s="621"/>
    </row>
    <row r="911" spans="27:90">
      <c r="AA911" s="350"/>
      <c r="AB911" s="62"/>
      <c r="AC911" s="62"/>
      <c r="AD911" s="62"/>
      <c r="AP911" s="88"/>
      <c r="AQ911" s="88"/>
      <c r="AR911" s="88"/>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621"/>
      <c r="CK911" s="621"/>
      <c r="CL911" s="621"/>
    </row>
    <row r="912" spans="27:90">
      <c r="AA912" s="350"/>
      <c r="AB912" s="62"/>
      <c r="AC912" s="62"/>
      <c r="AD912" s="62"/>
      <c r="AP912" s="88"/>
      <c r="AQ912" s="88"/>
      <c r="AR912" s="88"/>
      <c r="AS912" s="99"/>
      <c r="AT912" s="99"/>
      <c r="AU912" s="99"/>
      <c r="AV912" s="99"/>
      <c r="AW912" s="99"/>
      <c r="AX912" s="99"/>
      <c r="AY912" s="99"/>
      <c r="AZ912" s="99"/>
      <c r="BA912" s="99"/>
      <c r="BB912" s="99"/>
      <c r="BC912" s="99"/>
      <c r="BD912" s="99"/>
      <c r="BE912" s="99"/>
      <c r="BF912" s="99"/>
      <c r="BG912" s="99"/>
      <c r="BH912" s="99"/>
      <c r="BI912" s="99"/>
      <c r="BJ912" s="99"/>
      <c r="BK912" s="99"/>
      <c r="BL912" s="99"/>
      <c r="BM912" s="99"/>
      <c r="BN912" s="99"/>
      <c r="BO912" s="99"/>
      <c r="BP912" s="99"/>
      <c r="BQ912" s="99"/>
      <c r="BR912" s="99"/>
      <c r="BS912" s="99"/>
      <c r="BT912" s="99"/>
      <c r="BU912" s="99"/>
      <c r="BV912" s="99"/>
      <c r="BW912" s="99"/>
      <c r="BX912" s="99"/>
      <c r="BY912" s="99"/>
      <c r="BZ912" s="99"/>
      <c r="CA912" s="99"/>
      <c r="CB912" s="99"/>
      <c r="CC912" s="99"/>
      <c r="CD912" s="99"/>
      <c r="CE912" s="99"/>
      <c r="CF912" s="99"/>
      <c r="CG912" s="99"/>
      <c r="CH912" s="99"/>
      <c r="CI912" s="99"/>
      <c r="CJ912" s="621"/>
      <c r="CK912" s="621"/>
      <c r="CL912" s="621"/>
    </row>
    <row r="913" spans="27:90">
      <c r="AA913" s="350"/>
      <c r="AB913" s="62"/>
      <c r="AC913" s="62"/>
      <c r="AD913" s="62"/>
      <c r="AP913" s="88"/>
      <c r="AQ913" s="88"/>
      <c r="AR913" s="88"/>
      <c r="AS913" s="99"/>
      <c r="AT913" s="99"/>
      <c r="AU913" s="99"/>
      <c r="AV913" s="99"/>
      <c r="AW913" s="99"/>
      <c r="AX913" s="99"/>
      <c r="AY913" s="99"/>
      <c r="AZ913" s="99"/>
      <c r="BA913" s="99"/>
      <c r="BB913" s="99"/>
      <c r="BC913" s="99"/>
      <c r="BD913" s="99"/>
      <c r="BE913" s="99"/>
      <c r="BF913" s="99"/>
      <c r="BG913" s="99"/>
      <c r="BH913" s="99"/>
      <c r="BI913" s="99"/>
      <c r="BJ913" s="99"/>
      <c r="BK913" s="99"/>
      <c r="BL913" s="99"/>
      <c r="BM913" s="99"/>
      <c r="BN913" s="99"/>
      <c r="BO913" s="99"/>
      <c r="BP913" s="99"/>
      <c r="BQ913" s="99"/>
      <c r="BR913" s="99"/>
      <c r="BS913" s="99"/>
      <c r="BT913" s="99"/>
      <c r="BU913" s="99"/>
      <c r="BV913" s="99"/>
      <c r="BW913" s="99"/>
      <c r="BX913" s="99"/>
      <c r="BY913" s="99"/>
      <c r="BZ913" s="99"/>
      <c r="CA913" s="99"/>
      <c r="CB913" s="99"/>
      <c r="CC913" s="99"/>
      <c r="CD913" s="99"/>
      <c r="CE913" s="99"/>
      <c r="CF913" s="99"/>
      <c r="CG913" s="99"/>
      <c r="CH913" s="99"/>
      <c r="CI913" s="99"/>
      <c r="CJ913" s="621"/>
      <c r="CK913" s="621"/>
      <c r="CL913" s="621"/>
    </row>
    <row r="914" spans="27:90">
      <c r="AA914" s="350"/>
      <c r="AB914" s="62"/>
      <c r="AC914" s="62"/>
      <c r="AD914" s="62"/>
      <c r="AP914" s="88"/>
      <c r="AQ914" s="88"/>
      <c r="AR914" s="88"/>
      <c r="AS914" s="99"/>
      <c r="AT914" s="99"/>
      <c r="AU914" s="99"/>
      <c r="AV914" s="99"/>
      <c r="AW914" s="99"/>
      <c r="AX914" s="99"/>
      <c r="AY914" s="99"/>
      <c r="AZ914" s="99"/>
      <c r="BA914" s="99"/>
      <c r="BB914" s="99"/>
      <c r="BC914" s="99"/>
      <c r="BD914" s="99"/>
      <c r="BE914" s="99"/>
      <c r="BF914" s="99"/>
      <c r="BG914" s="99"/>
      <c r="BH914" s="99"/>
      <c r="BI914" s="99"/>
      <c r="BJ914" s="99"/>
      <c r="BK914" s="99"/>
      <c r="BL914" s="99"/>
      <c r="BM914" s="99"/>
      <c r="BN914" s="99"/>
      <c r="BO914" s="99"/>
      <c r="BP914" s="99"/>
      <c r="BQ914" s="99"/>
      <c r="BR914" s="99"/>
      <c r="BS914" s="99"/>
      <c r="BT914" s="99"/>
      <c r="BU914" s="99"/>
      <c r="BV914" s="99"/>
      <c r="BW914" s="99"/>
      <c r="BX914" s="99"/>
      <c r="BY914" s="99"/>
      <c r="BZ914" s="99"/>
      <c r="CA914" s="99"/>
      <c r="CB914" s="99"/>
      <c r="CC914" s="99"/>
      <c r="CD914" s="99"/>
      <c r="CE914" s="99"/>
      <c r="CF914" s="99"/>
      <c r="CG914" s="99"/>
      <c r="CH914" s="99"/>
      <c r="CI914" s="99"/>
      <c r="CJ914" s="621"/>
      <c r="CK914" s="621"/>
      <c r="CL914" s="621"/>
    </row>
    <row r="915" spans="27:90">
      <c r="AA915" s="350"/>
      <c r="AB915" s="62"/>
      <c r="AC915" s="62"/>
      <c r="AD915" s="62"/>
      <c r="AP915" s="88"/>
      <c r="AQ915" s="88"/>
      <c r="AR915" s="88"/>
      <c r="AS915" s="99"/>
      <c r="AT915" s="99"/>
      <c r="AU915" s="99"/>
      <c r="AV915" s="99"/>
      <c r="AW915" s="99"/>
      <c r="AX915" s="99"/>
      <c r="AY915" s="99"/>
      <c r="AZ915" s="99"/>
      <c r="BA915" s="99"/>
      <c r="BB915" s="99"/>
      <c r="BC915" s="99"/>
      <c r="BD915" s="99"/>
      <c r="BE915" s="99"/>
      <c r="BF915" s="99"/>
      <c r="BG915" s="99"/>
      <c r="BH915" s="99"/>
      <c r="BI915" s="99"/>
      <c r="BJ915" s="99"/>
      <c r="BK915" s="99"/>
      <c r="BL915" s="99"/>
      <c r="BM915" s="99"/>
      <c r="BN915" s="99"/>
      <c r="BO915" s="99"/>
      <c r="BP915" s="99"/>
      <c r="BQ915" s="99"/>
      <c r="BR915" s="99"/>
      <c r="BS915" s="99"/>
      <c r="BT915" s="99"/>
      <c r="BU915" s="99"/>
      <c r="BV915" s="99"/>
      <c r="BW915" s="99"/>
      <c r="BX915" s="99"/>
      <c r="BY915" s="99"/>
      <c r="BZ915" s="99"/>
      <c r="CA915" s="99"/>
      <c r="CB915" s="99"/>
      <c r="CC915" s="99"/>
      <c r="CD915" s="99"/>
      <c r="CE915" s="99"/>
      <c r="CF915" s="99"/>
      <c r="CG915" s="99"/>
      <c r="CH915" s="99"/>
      <c r="CI915" s="99"/>
      <c r="CJ915" s="621"/>
      <c r="CK915" s="621"/>
      <c r="CL915" s="621"/>
    </row>
    <row r="916" spans="27:90">
      <c r="AA916" s="350"/>
      <c r="AB916" s="62"/>
      <c r="AC916" s="62"/>
      <c r="AD916" s="62"/>
      <c r="AP916" s="88"/>
      <c r="AQ916" s="88"/>
      <c r="AR916" s="88"/>
      <c r="AS916" s="99"/>
      <c r="AT916" s="99"/>
      <c r="AU916" s="99"/>
      <c r="AV916" s="99"/>
      <c r="AW916" s="99"/>
      <c r="AX916" s="99"/>
      <c r="AY916" s="99"/>
      <c r="AZ916" s="99"/>
      <c r="BA916" s="99"/>
      <c r="BB916" s="99"/>
      <c r="BC916" s="99"/>
      <c r="BD916" s="99"/>
      <c r="BE916" s="99"/>
      <c r="BF916" s="99"/>
      <c r="BG916" s="99"/>
      <c r="BH916" s="99"/>
      <c r="BI916" s="99"/>
      <c r="BJ916" s="99"/>
      <c r="BK916" s="99"/>
      <c r="BL916" s="99"/>
      <c r="BM916" s="99"/>
      <c r="BN916" s="99"/>
      <c r="BO916" s="99"/>
      <c r="BP916" s="99"/>
      <c r="BQ916" s="99"/>
      <c r="BR916" s="99"/>
      <c r="BS916" s="99"/>
      <c r="BT916" s="99"/>
      <c r="BU916" s="99"/>
      <c r="BV916" s="99"/>
      <c r="BW916" s="99"/>
      <c r="BX916" s="99"/>
      <c r="BY916" s="99"/>
      <c r="BZ916" s="99"/>
      <c r="CA916" s="99"/>
      <c r="CB916" s="99"/>
      <c r="CC916" s="99"/>
      <c r="CD916" s="99"/>
      <c r="CE916" s="99"/>
      <c r="CF916" s="99"/>
      <c r="CG916" s="99"/>
      <c r="CH916" s="99"/>
      <c r="CI916" s="99"/>
      <c r="CJ916" s="621"/>
      <c r="CK916" s="621"/>
      <c r="CL916" s="621"/>
    </row>
    <row r="917" spans="27:90">
      <c r="AA917" s="350"/>
      <c r="AB917" s="62"/>
      <c r="AC917" s="62"/>
      <c r="AD917" s="62"/>
      <c r="AP917" s="88"/>
      <c r="AQ917" s="88"/>
      <c r="AR917" s="88"/>
      <c r="AS917" s="99"/>
      <c r="AT917" s="99"/>
      <c r="AU917" s="99"/>
      <c r="AV917" s="99"/>
      <c r="AW917" s="99"/>
      <c r="AX917" s="99"/>
      <c r="AY917" s="99"/>
      <c r="AZ917" s="99"/>
      <c r="BA917" s="99"/>
      <c r="BB917" s="99"/>
      <c r="BC917" s="99"/>
      <c r="BD917" s="99"/>
      <c r="BE917" s="99"/>
      <c r="BF917" s="99"/>
      <c r="BG917" s="99"/>
      <c r="BH917" s="99"/>
      <c r="BI917" s="99"/>
      <c r="BJ917" s="99"/>
      <c r="BK917" s="99"/>
      <c r="BL917" s="99"/>
      <c r="BM917" s="99"/>
      <c r="BN917" s="99"/>
      <c r="BO917" s="99"/>
      <c r="BP917" s="99"/>
      <c r="BQ917" s="99"/>
      <c r="BR917" s="99"/>
      <c r="BS917" s="99"/>
      <c r="BT917" s="99"/>
      <c r="BU917" s="99"/>
      <c r="BV917" s="99"/>
      <c r="BW917" s="99"/>
      <c r="BX917" s="99"/>
      <c r="BY917" s="99"/>
      <c r="BZ917" s="99"/>
      <c r="CA917" s="99"/>
      <c r="CB917" s="99"/>
      <c r="CC917" s="99"/>
      <c r="CD917" s="99"/>
      <c r="CE917" s="99"/>
      <c r="CF917" s="99"/>
      <c r="CG917" s="99"/>
      <c r="CH917" s="99"/>
      <c r="CI917" s="99"/>
      <c r="CJ917" s="621"/>
      <c r="CK917" s="621"/>
      <c r="CL917" s="621"/>
    </row>
    <row r="918" spans="27:90">
      <c r="AA918" s="350"/>
      <c r="AB918" s="62"/>
      <c r="AC918" s="62"/>
      <c r="AD918" s="62"/>
      <c r="AP918" s="88"/>
      <c r="AQ918" s="88"/>
      <c r="AR918" s="88"/>
      <c r="AS918" s="99"/>
      <c r="AT918" s="99"/>
      <c r="AU918" s="99"/>
      <c r="AV918" s="99"/>
      <c r="AW918" s="99"/>
      <c r="AX918" s="99"/>
      <c r="AY918" s="99"/>
      <c r="AZ918" s="99"/>
      <c r="BA918" s="99"/>
      <c r="BB918" s="99"/>
      <c r="BC918" s="99"/>
      <c r="BD918" s="99"/>
      <c r="BE918" s="99"/>
      <c r="BF918" s="99"/>
      <c r="BG918" s="99"/>
      <c r="BH918" s="99"/>
      <c r="BI918" s="99"/>
      <c r="BJ918" s="99"/>
      <c r="BK918" s="99"/>
      <c r="BL918" s="99"/>
      <c r="BM918" s="99"/>
      <c r="BN918" s="99"/>
      <c r="BO918" s="99"/>
      <c r="BP918" s="99"/>
      <c r="BQ918" s="99"/>
      <c r="BR918" s="99"/>
      <c r="BS918" s="99"/>
      <c r="BT918" s="99"/>
      <c r="BU918" s="99"/>
      <c r="BV918" s="99"/>
      <c r="BW918" s="99"/>
      <c r="BX918" s="99"/>
      <c r="BY918" s="99"/>
      <c r="BZ918" s="99"/>
      <c r="CA918" s="99"/>
      <c r="CB918" s="99"/>
      <c r="CC918" s="99"/>
      <c r="CD918" s="99"/>
      <c r="CE918" s="99"/>
      <c r="CF918" s="99"/>
      <c r="CG918" s="99"/>
      <c r="CH918" s="99"/>
      <c r="CI918" s="99"/>
      <c r="CJ918" s="621"/>
      <c r="CK918" s="621"/>
      <c r="CL918" s="621"/>
    </row>
    <row r="919" spans="27:90">
      <c r="AA919" s="350"/>
      <c r="AB919" s="62"/>
      <c r="AC919" s="62"/>
      <c r="AD919" s="62"/>
      <c r="AP919" s="88"/>
      <c r="AQ919" s="88"/>
      <c r="AR919" s="88"/>
      <c r="AS919" s="99"/>
      <c r="AT919" s="99"/>
      <c r="AU919" s="99"/>
      <c r="AV919" s="99"/>
      <c r="AW919" s="99"/>
      <c r="AX919" s="99"/>
      <c r="AY919" s="99"/>
      <c r="AZ919" s="99"/>
      <c r="BA919" s="99"/>
      <c r="BB919" s="99"/>
      <c r="BC919" s="99"/>
      <c r="BD919" s="99"/>
      <c r="BE919" s="99"/>
      <c r="BF919" s="99"/>
      <c r="BG919" s="99"/>
      <c r="BH919" s="99"/>
      <c r="BI919" s="99"/>
      <c r="BJ919" s="99"/>
      <c r="BK919" s="99"/>
      <c r="BL919" s="99"/>
      <c r="BM919" s="99"/>
      <c r="BN919" s="99"/>
      <c r="BO919" s="99"/>
      <c r="BP919" s="99"/>
      <c r="BQ919" s="99"/>
      <c r="BR919" s="99"/>
      <c r="BS919" s="99"/>
      <c r="BT919" s="99"/>
      <c r="BU919" s="99"/>
      <c r="BV919" s="99"/>
      <c r="BW919" s="99"/>
      <c r="BX919" s="99"/>
      <c r="BY919" s="99"/>
      <c r="BZ919" s="99"/>
      <c r="CA919" s="99"/>
      <c r="CB919" s="99"/>
      <c r="CC919" s="99"/>
      <c r="CD919" s="99"/>
      <c r="CE919" s="99"/>
      <c r="CF919" s="99"/>
      <c r="CG919" s="99"/>
      <c r="CH919" s="99"/>
      <c r="CI919" s="99"/>
      <c r="CJ919" s="621"/>
      <c r="CK919" s="621"/>
      <c r="CL919" s="621"/>
    </row>
    <row r="920" spans="27:90">
      <c r="AA920" s="350"/>
      <c r="AB920" s="62"/>
      <c r="AC920" s="62"/>
      <c r="AD920" s="62"/>
      <c r="AP920" s="88"/>
      <c r="AQ920" s="88"/>
      <c r="AR920" s="88"/>
      <c r="AS920" s="99"/>
      <c r="AT920" s="99"/>
      <c r="AU920" s="99"/>
      <c r="AV920" s="99"/>
      <c r="AW920" s="99"/>
      <c r="AX920" s="99"/>
      <c r="AY920" s="99"/>
      <c r="AZ920" s="99"/>
      <c r="BA920" s="99"/>
      <c r="BB920" s="99"/>
      <c r="BC920" s="99"/>
      <c r="BD920" s="99"/>
      <c r="BE920" s="99"/>
      <c r="BF920" s="99"/>
      <c r="BG920" s="99"/>
      <c r="BH920" s="99"/>
      <c r="BI920" s="99"/>
      <c r="BJ920" s="99"/>
      <c r="BK920" s="99"/>
      <c r="BL920" s="99"/>
      <c r="BM920" s="99"/>
      <c r="BN920" s="99"/>
      <c r="BO920" s="99"/>
      <c r="BP920" s="99"/>
      <c r="BQ920" s="99"/>
      <c r="BR920" s="99"/>
      <c r="BS920" s="99"/>
      <c r="BT920" s="99"/>
      <c r="BU920" s="99"/>
      <c r="BV920" s="99"/>
      <c r="BW920" s="99"/>
      <c r="BX920" s="99"/>
      <c r="BY920" s="99"/>
      <c r="BZ920" s="99"/>
      <c r="CA920" s="99"/>
      <c r="CB920" s="99"/>
      <c r="CC920" s="99"/>
      <c r="CD920" s="99"/>
      <c r="CE920" s="99"/>
      <c r="CF920" s="99"/>
      <c r="CG920" s="99"/>
      <c r="CH920" s="99"/>
      <c r="CI920" s="99"/>
      <c r="CJ920" s="621"/>
      <c r="CK920" s="621"/>
      <c r="CL920" s="621"/>
    </row>
    <row r="921" spans="27:90">
      <c r="AA921" s="350"/>
      <c r="AB921" s="62"/>
      <c r="AC921" s="62"/>
      <c r="AD921" s="62"/>
      <c r="AP921" s="88"/>
      <c r="AQ921" s="88"/>
      <c r="AR921" s="88"/>
      <c r="AS921" s="99"/>
      <c r="AT921" s="99"/>
      <c r="AU921" s="99"/>
      <c r="AV921" s="99"/>
      <c r="AW921" s="99"/>
      <c r="AX921" s="99"/>
      <c r="AY921" s="99"/>
      <c r="AZ921" s="99"/>
      <c r="BA921" s="99"/>
      <c r="BB921" s="99"/>
      <c r="BC921" s="99"/>
      <c r="BD921" s="99"/>
      <c r="BE921" s="99"/>
      <c r="BF921" s="99"/>
      <c r="BG921" s="99"/>
      <c r="BH921" s="99"/>
      <c r="BI921" s="99"/>
      <c r="BJ921" s="99"/>
      <c r="BK921" s="99"/>
      <c r="BL921" s="99"/>
      <c r="BM921" s="99"/>
      <c r="BN921" s="99"/>
      <c r="BO921" s="99"/>
      <c r="BP921" s="99"/>
      <c r="BQ921" s="99"/>
      <c r="BR921" s="99"/>
      <c r="BS921" s="99"/>
      <c r="BT921" s="99"/>
      <c r="BU921" s="99"/>
      <c r="BV921" s="99"/>
      <c r="BW921" s="99"/>
      <c r="BX921" s="99"/>
      <c r="BY921" s="99"/>
      <c r="BZ921" s="99"/>
      <c r="CA921" s="99"/>
      <c r="CB921" s="99"/>
      <c r="CC921" s="99"/>
      <c r="CD921" s="99"/>
      <c r="CE921" s="99"/>
      <c r="CF921" s="99"/>
      <c r="CG921" s="99"/>
      <c r="CH921" s="99"/>
      <c r="CI921" s="99"/>
      <c r="CJ921" s="621"/>
      <c r="CK921" s="621"/>
      <c r="CL921" s="621"/>
    </row>
    <row r="922" spans="27:90">
      <c r="AA922" s="350"/>
      <c r="AB922" s="62"/>
      <c r="AC922" s="62"/>
      <c r="AD922" s="62"/>
      <c r="AP922" s="88"/>
      <c r="AQ922" s="88"/>
      <c r="AR922" s="88"/>
      <c r="AS922" s="99"/>
      <c r="AT922" s="99"/>
      <c r="AU922" s="99"/>
      <c r="AV922" s="99"/>
      <c r="AW922" s="99"/>
      <c r="AX922" s="99"/>
      <c r="AY922" s="99"/>
      <c r="AZ922" s="99"/>
      <c r="BA922" s="99"/>
      <c r="BB922" s="99"/>
      <c r="BC922" s="99"/>
      <c r="BD922" s="99"/>
      <c r="BE922" s="99"/>
      <c r="BF922" s="99"/>
      <c r="BG922" s="99"/>
      <c r="BH922" s="99"/>
      <c r="BI922" s="99"/>
      <c r="BJ922" s="99"/>
      <c r="BK922" s="99"/>
      <c r="BL922" s="99"/>
      <c r="BM922" s="99"/>
      <c r="BN922" s="99"/>
      <c r="BO922" s="99"/>
      <c r="BP922" s="99"/>
      <c r="BQ922" s="99"/>
      <c r="BR922" s="99"/>
      <c r="BS922" s="99"/>
      <c r="BT922" s="99"/>
      <c r="BU922" s="99"/>
      <c r="BV922" s="99"/>
      <c r="BW922" s="99"/>
      <c r="BX922" s="99"/>
      <c r="BY922" s="99"/>
      <c r="BZ922" s="99"/>
      <c r="CA922" s="99"/>
      <c r="CB922" s="99"/>
      <c r="CC922" s="99"/>
      <c r="CD922" s="99"/>
      <c r="CE922" s="99"/>
      <c r="CF922" s="99"/>
      <c r="CG922" s="99"/>
      <c r="CH922" s="99"/>
      <c r="CI922" s="99"/>
      <c r="CJ922" s="621"/>
      <c r="CK922" s="621"/>
      <c r="CL922" s="621"/>
    </row>
    <row r="923" spans="27:90">
      <c r="AA923" s="350"/>
      <c r="AB923" s="62"/>
      <c r="AC923" s="62"/>
      <c r="AD923" s="62"/>
      <c r="AP923" s="88"/>
      <c r="AQ923" s="88"/>
      <c r="AR923" s="88"/>
      <c r="AS923" s="99"/>
      <c r="AT923" s="99"/>
      <c r="AU923" s="99"/>
      <c r="AV923" s="99"/>
      <c r="AW923" s="99"/>
      <c r="AX923" s="99"/>
      <c r="AY923" s="99"/>
      <c r="AZ923" s="99"/>
      <c r="BA923" s="99"/>
      <c r="BB923" s="99"/>
      <c r="BC923" s="99"/>
      <c r="BD923" s="99"/>
      <c r="BE923" s="99"/>
      <c r="BF923" s="99"/>
      <c r="BG923" s="99"/>
      <c r="BH923" s="99"/>
      <c r="BI923" s="99"/>
      <c r="BJ923" s="99"/>
      <c r="BK923" s="99"/>
      <c r="BL923" s="99"/>
      <c r="BM923" s="99"/>
      <c r="BN923" s="99"/>
      <c r="BO923" s="99"/>
      <c r="BP923" s="99"/>
      <c r="BQ923" s="99"/>
      <c r="BR923" s="99"/>
      <c r="BS923" s="99"/>
      <c r="BT923" s="99"/>
      <c r="BU923" s="99"/>
      <c r="BV923" s="99"/>
      <c r="BW923" s="99"/>
      <c r="BX923" s="99"/>
      <c r="BY923" s="99"/>
      <c r="BZ923" s="99"/>
      <c r="CA923" s="99"/>
      <c r="CB923" s="99"/>
      <c r="CC923" s="99"/>
      <c r="CD923" s="99"/>
      <c r="CE923" s="99"/>
      <c r="CF923" s="99"/>
      <c r="CG923" s="99"/>
      <c r="CH923" s="99"/>
      <c r="CI923" s="99"/>
      <c r="CJ923" s="621"/>
      <c r="CK923" s="621"/>
      <c r="CL923" s="621"/>
    </row>
    <row r="924" spans="27:90">
      <c r="AA924" s="350"/>
      <c r="AB924" s="62"/>
      <c r="AC924" s="62"/>
      <c r="AD924" s="62"/>
      <c r="AP924" s="88"/>
      <c r="AQ924" s="88"/>
      <c r="AR924" s="88"/>
      <c r="AS924" s="99"/>
      <c r="AT924" s="99"/>
      <c r="AU924" s="99"/>
      <c r="AV924" s="99"/>
      <c r="AW924" s="99"/>
      <c r="AX924" s="99"/>
      <c r="AY924" s="99"/>
      <c r="AZ924" s="99"/>
      <c r="BA924" s="99"/>
      <c r="BB924" s="99"/>
      <c r="BC924" s="99"/>
      <c r="BD924" s="99"/>
      <c r="BE924" s="99"/>
      <c r="BF924" s="99"/>
      <c r="BG924" s="99"/>
      <c r="BH924" s="99"/>
      <c r="BI924" s="99"/>
      <c r="BJ924" s="99"/>
      <c r="BK924" s="99"/>
      <c r="BL924" s="99"/>
      <c r="BM924" s="99"/>
      <c r="BN924" s="99"/>
      <c r="BO924" s="99"/>
      <c r="BP924" s="99"/>
      <c r="BQ924" s="99"/>
      <c r="BR924" s="99"/>
      <c r="BS924" s="99"/>
      <c r="BT924" s="99"/>
      <c r="BU924" s="99"/>
      <c r="BV924" s="99"/>
      <c r="BW924" s="99"/>
      <c r="BX924" s="99"/>
      <c r="BY924" s="99"/>
      <c r="BZ924" s="99"/>
      <c r="CA924" s="99"/>
      <c r="CB924" s="99"/>
      <c r="CC924" s="99"/>
      <c r="CD924" s="99"/>
      <c r="CE924" s="99"/>
      <c r="CF924" s="99"/>
      <c r="CG924" s="99"/>
      <c r="CH924" s="99"/>
      <c r="CI924" s="99"/>
      <c r="CJ924" s="621"/>
      <c r="CK924" s="621"/>
      <c r="CL924" s="621"/>
    </row>
    <row r="925" spans="27:90">
      <c r="AA925" s="350"/>
      <c r="AB925" s="62"/>
      <c r="AC925" s="62"/>
      <c r="AD925" s="62"/>
      <c r="AP925" s="88"/>
      <c r="AQ925" s="88"/>
      <c r="AR925" s="88"/>
      <c r="AS925" s="99"/>
      <c r="AT925" s="99"/>
      <c r="AU925" s="99"/>
      <c r="AV925" s="99"/>
      <c r="AW925" s="99"/>
      <c r="AX925" s="99"/>
      <c r="AY925" s="99"/>
      <c r="AZ925" s="99"/>
      <c r="BA925" s="99"/>
      <c r="BB925" s="99"/>
      <c r="BC925" s="99"/>
      <c r="BD925" s="99"/>
      <c r="BE925" s="99"/>
      <c r="BF925" s="99"/>
      <c r="BG925" s="99"/>
      <c r="BH925" s="99"/>
      <c r="BI925" s="99"/>
      <c r="BJ925" s="99"/>
      <c r="BK925" s="99"/>
      <c r="BL925" s="99"/>
      <c r="BM925" s="99"/>
      <c r="BN925" s="99"/>
      <c r="BO925" s="99"/>
      <c r="BP925" s="99"/>
      <c r="BQ925" s="99"/>
      <c r="BR925" s="99"/>
      <c r="BS925" s="99"/>
      <c r="BT925" s="99"/>
      <c r="BU925" s="99"/>
      <c r="BV925" s="99"/>
      <c r="BW925" s="99"/>
      <c r="BX925" s="99"/>
      <c r="BY925" s="99"/>
      <c r="BZ925" s="99"/>
      <c r="CA925" s="99"/>
      <c r="CB925" s="99"/>
      <c r="CC925" s="99"/>
      <c r="CD925" s="99"/>
      <c r="CE925" s="99"/>
      <c r="CF925" s="99"/>
      <c r="CG925" s="99"/>
      <c r="CH925" s="99"/>
      <c r="CI925" s="99"/>
      <c r="CJ925" s="621"/>
      <c r="CK925" s="621"/>
      <c r="CL925" s="621"/>
    </row>
    <row r="926" spans="27:90">
      <c r="AA926" s="350"/>
      <c r="AB926" s="62"/>
      <c r="AC926" s="62"/>
      <c r="AD926" s="62"/>
      <c r="AP926" s="88"/>
      <c r="AQ926" s="88"/>
      <c r="AR926" s="88"/>
      <c r="AS926" s="99"/>
      <c r="AT926" s="99"/>
      <c r="AU926" s="99"/>
      <c r="AV926" s="99"/>
      <c r="AW926" s="99"/>
      <c r="AX926" s="99"/>
      <c r="AY926" s="99"/>
      <c r="AZ926" s="99"/>
      <c r="BA926" s="99"/>
      <c r="BB926" s="99"/>
      <c r="BC926" s="99"/>
      <c r="BD926" s="99"/>
      <c r="BE926" s="99"/>
      <c r="BF926" s="99"/>
      <c r="BG926" s="99"/>
      <c r="BH926" s="99"/>
      <c r="BI926" s="99"/>
      <c r="BJ926" s="99"/>
      <c r="BK926" s="99"/>
      <c r="BL926" s="99"/>
      <c r="BM926" s="99"/>
      <c r="BN926" s="99"/>
      <c r="BO926" s="99"/>
      <c r="BP926" s="99"/>
      <c r="BQ926" s="99"/>
      <c r="BR926" s="99"/>
      <c r="BS926" s="99"/>
      <c r="BT926" s="99"/>
      <c r="BU926" s="99"/>
      <c r="BV926" s="99"/>
      <c r="BW926" s="99"/>
      <c r="BX926" s="99"/>
      <c r="BY926" s="99"/>
      <c r="BZ926" s="99"/>
      <c r="CA926" s="99"/>
      <c r="CB926" s="99"/>
      <c r="CC926" s="99"/>
      <c r="CD926" s="99"/>
      <c r="CE926" s="99"/>
      <c r="CF926" s="99"/>
      <c r="CG926" s="99"/>
      <c r="CH926" s="99"/>
      <c r="CI926" s="99"/>
      <c r="CJ926" s="621"/>
      <c r="CK926" s="621"/>
      <c r="CL926" s="621"/>
    </row>
    <row r="927" spans="27:90">
      <c r="AA927" s="350"/>
      <c r="AB927" s="62"/>
      <c r="AC927" s="62"/>
      <c r="AD927" s="62"/>
      <c r="AP927" s="88"/>
      <c r="AQ927" s="88"/>
      <c r="AR927" s="88"/>
      <c r="AS927" s="99"/>
      <c r="AT927" s="99"/>
      <c r="AU927" s="99"/>
      <c r="AV927" s="99"/>
      <c r="AW927" s="99"/>
      <c r="AX927" s="99"/>
      <c r="AY927" s="99"/>
      <c r="AZ927" s="99"/>
      <c r="BA927" s="99"/>
      <c r="BB927" s="99"/>
      <c r="BC927" s="99"/>
      <c r="BD927" s="99"/>
      <c r="BE927" s="99"/>
      <c r="BF927" s="99"/>
      <c r="BG927" s="99"/>
      <c r="BH927" s="99"/>
      <c r="BI927" s="99"/>
      <c r="BJ927" s="99"/>
      <c r="BK927" s="99"/>
      <c r="BL927" s="99"/>
      <c r="BM927" s="99"/>
      <c r="BN927" s="99"/>
      <c r="BO927" s="99"/>
      <c r="BP927" s="99"/>
      <c r="BQ927" s="99"/>
      <c r="BR927" s="99"/>
      <c r="BS927" s="99"/>
      <c r="BT927" s="99"/>
      <c r="BU927" s="99"/>
      <c r="BV927" s="99"/>
      <c r="BW927" s="99"/>
      <c r="BX927" s="99"/>
      <c r="BY927" s="99"/>
      <c r="BZ927" s="99"/>
      <c r="CA927" s="99"/>
      <c r="CB927" s="99"/>
      <c r="CC927" s="99"/>
      <c r="CD927" s="99"/>
      <c r="CE927" s="99"/>
      <c r="CF927" s="99"/>
      <c r="CG927" s="99"/>
      <c r="CH927" s="99"/>
      <c r="CI927" s="99"/>
      <c r="CJ927" s="621"/>
      <c r="CK927" s="621"/>
      <c r="CL927" s="621"/>
    </row>
    <row r="928" spans="27:90">
      <c r="AA928" s="350"/>
      <c r="AB928" s="62"/>
      <c r="AC928" s="62"/>
      <c r="AD928" s="62"/>
      <c r="AP928" s="88"/>
      <c r="AQ928" s="88"/>
      <c r="AR928" s="88"/>
      <c r="AS928" s="99"/>
      <c r="AT928" s="99"/>
      <c r="AU928" s="99"/>
      <c r="AV928" s="99"/>
      <c r="AW928" s="99"/>
      <c r="AX928" s="99"/>
      <c r="AY928" s="99"/>
      <c r="AZ928" s="99"/>
      <c r="BA928" s="99"/>
      <c r="BB928" s="99"/>
      <c r="BC928" s="99"/>
      <c r="BD928" s="99"/>
      <c r="BE928" s="99"/>
      <c r="BF928" s="99"/>
      <c r="BG928" s="99"/>
      <c r="BH928" s="99"/>
      <c r="BI928" s="99"/>
      <c r="BJ928" s="99"/>
      <c r="BK928" s="99"/>
      <c r="BL928" s="99"/>
      <c r="BM928" s="99"/>
      <c r="BN928" s="99"/>
      <c r="BO928" s="99"/>
      <c r="BP928" s="99"/>
      <c r="BQ928" s="99"/>
      <c r="BR928" s="99"/>
      <c r="BS928" s="99"/>
      <c r="BT928" s="99"/>
      <c r="BU928" s="99"/>
      <c r="BV928" s="99"/>
      <c r="BW928" s="99"/>
      <c r="BX928" s="99"/>
      <c r="BY928" s="99"/>
      <c r="BZ928" s="99"/>
      <c r="CA928" s="99"/>
      <c r="CB928" s="99"/>
      <c r="CC928" s="99"/>
      <c r="CD928" s="99"/>
      <c r="CE928" s="99"/>
      <c r="CF928" s="99"/>
      <c r="CG928" s="99"/>
      <c r="CH928" s="99"/>
      <c r="CI928" s="99"/>
      <c r="CJ928" s="621"/>
      <c r="CK928" s="621"/>
      <c r="CL928" s="621"/>
    </row>
    <row r="929" spans="27:90">
      <c r="AA929" s="350"/>
      <c r="AB929" s="62"/>
      <c r="AC929" s="62"/>
      <c r="AD929" s="62"/>
      <c r="AP929" s="88"/>
      <c r="AQ929" s="88"/>
      <c r="AR929" s="88"/>
      <c r="AS929" s="99"/>
      <c r="AT929" s="99"/>
      <c r="AU929" s="99"/>
      <c r="AV929" s="99"/>
      <c r="AW929" s="99"/>
      <c r="AX929" s="99"/>
      <c r="AY929" s="99"/>
      <c r="AZ929" s="99"/>
      <c r="BA929" s="99"/>
      <c r="BB929" s="99"/>
      <c r="BC929" s="99"/>
      <c r="BD929" s="99"/>
      <c r="BE929" s="99"/>
      <c r="BF929" s="99"/>
      <c r="BG929" s="99"/>
      <c r="BH929" s="99"/>
      <c r="BI929" s="99"/>
      <c r="BJ929" s="99"/>
      <c r="BK929" s="99"/>
      <c r="BL929" s="99"/>
      <c r="BM929" s="99"/>
      <c r="BN929" s="99"/>
      <c r="BO929" s="99"/>
      <c r="BP929" s="99"/>
      <c r="BQ929" s="99"/>
      <c r="BR929" s="99"/>
      <c r="BS929" s="99"/>
      <c r="BT929" s="99"/>
      <c r="BU929" s="99"/>
      <c r="BV929" s="99"/>
      <c r="BW929" s="99"/>
      <c r="BX929" s="99"/>
      <c r="BY929" s="99"/>
      <c r="BZ929" s="99"/>
      <c r="CA929" s="99"/>
      <c r="CB929" s="99"/>
      <c r="CC929" s="99"/>
      <c r="CD929" s="99"/>
      <c r="CE929" s="99"/>
      <c r="CF929" s="99"/>
      <c r="CG929" s="99"/>
      <c r="CH929" s="99"/>
      <c r="CI929" s="99"/>
      <c r="CJ929" s="621"/>
      <c r="CK929" s="621"/>
      <c r="CL929" s="621"/>
    </row>
    <row r="930" spans="27:90">
      <c r="AA930" s="350"/>
      <c r="AB930" s="62"/>
      <c r="AC930" s="62"/>
      <c r="AD930" s="62"/>
      <c r="AP930" s="88"/>
      <c r="AQ930" s="88"/>
      <c r="AR930" s="88"/>
      <c r="AS930" s="99"/>
      <c r="AT930" s="99"/>
      <c r="AU930" s="99"/>
      <c r="AV930" s="99"/>
      <c r="AW930" s="99"/>
      <c r="AX930" s="99"/>
      <c r="AY930" s="99"/>
      <c r="AZ930" s="99"/>
      <c r="BA930" s="99"/>
      <c r="BB930" s="99"/>
      <c r="BC930" s="99"/>
      <c r="BD930" s="99"/>
      <c r="BE930" s="99"/>
      <c r="BF930" s="99"/>
      <c r="BG930" s="99"/>
      <c r="BH930" s="99"/>
      <c r="BI930" s="99"/>
      <c r="BJ930" s="99"/>
      <c r="BK930" s="99"/>
      <c r="BL930" s="99"/>
      <c r="BM930" s="99"/>
      <c r="BN930" s="99"/>
      <c r="BO930" s="99"/>
      <c r="BP930" s="99"/>
      <c r="BQ930" s="99"/>
      <c r="BR930" s="99"/>
      <c r="BS930" s="99"/>
      <c r="BT930" s="99"/>
      <c r="BU930" s="99"/>
      <c r="BV930" s="99"/>
      <c r="BW930" s="99"/>
      <c r="BX930" s="99"/>
      <c r="BY930" s="99"/>
      <c r="BZ930" s="99"/>
      <c r="CA930" s="99"/>
      <c r="CB930" s="99"/>
      <c r="CC930" s="99"/>
      <c r="CD930" s="99"/>
      <c r="CE930" s="99"/>
      <c r="CF930" s="99"/>
      <c r="CG930" s="99"/>
      <c r="CH930" s="99"/>
      <c r="CI930" s="99"/>
      <c r="CJ930" s="621"/>
      <c r="CK930" s="621"/>
      <c r="CL930" s="621"/>
    </row>
    <row r="931" spans="27:90">
      <c r="AA931" s="350"/>
      <c r="AB931" s="62"/>
      <c r="AC931" s="62"/>
      <c r="AD931" s="62"/>
      <c r="AP931" s="88"/>
      <c r="AQ931" s="88"/>
      <c r="AR931" s="88"/>
      <c r="AS931" s="99"/>
      <c r="AT931" s="99"/>
      <c r="AU931" s="99"/>
      <c r="AV931" s="99"/>
      <c r="AW931" s="99"/>
      <c r="AX931" s="99"/>
      <c r="AY931" s="99"/>
      <c r="AZ931" s="99"/>
      <c r="BA931" s="99"/>
      <c r="BB931" s="99"/>
      <c r="BC931" s="99"/>
      <c r="BD931" s="99"/>
      <c r="BE931" s="99"/>
      <c r="BF931" s="99"/>
      <c r="BG931" s="99"/>
      <c r="BH931" s="99"/>
      <c r="BI931" s="99"/>
      <c r="BJ931" s="99"/>
      <c r="BK931" s="99"/>
      <c r="BL931" s="99"/>
      <c r="BM931" s="99"/>
      <c r="BN931" s="99"/>
      <c r="BO931" s="99"/>
      <c r="BP931" s="99"/>
      <c r="BQ931" s="99"/>
      <c r="BR931" s="99"/>
      <c r="BS931" s="99"/>
      <c r="BT931" s="99"/>
      <c r="BU931" s="99"/>
      <c r="BV931" s="99"/>
      <c r="BW931" s="99"/>
      <c r="BX931" s="99"/>
      <c r="BY931" s="99"/>
      <c r="BZ931" s="99"/>
      <c r="CA931" s="99"/>
      <c r="CB931" s="99"/>
      <c r="CC931" s="99"/>
      <c r="CD931" s="99"/>
      <c r="CE931" s="99"/>
      <c r="CF931" s="99"/>
      <c r="CG931" s="99"/>
      <c r="CH931" s="99"/>
      <c r="CI931" s="99"/>
      <c r="CJ931" s="621"/>
      <c r="CK931" s="621"/>
      <c r="CL931" s="621"/>
    </row>
    <row r="932" spans="27:90">
      <c r="AA932" s="350"/>
      <c r="AB932" s="62"/>
      <c r="AC932" s="62"/>
      <c r="AD932" s="62"/>
      <c r="AP932" s="88"/>
      <c r="AQ932" s="88"/>
      <c r="AR932" s="88"/>
      <c r="AS932" s="99"/>
      <c r="AT932" s="99"/>
      <c r="AU932" s="99"/>
      <c r="AV932" s="99"/>
      <c r="AW932" s="99"/>
      <c r="AX932" s="99"/>
      <c r="AY932" s="99"/>
      <c r="AZ932" s="99"/>
      <c r="BA932" s="99"/>
      <c r="BB932" s="99"/>
      <c r="BC932" s="99"/>
      <c r="BD932" s="99"/>
      <c r="BE932" s="99"/>
      <c r="BF932" s="99"/>
      <c r="BG932" s="99"/>
      <c r="BH932" s="99"/>
      <c r="BI932" s="99"/>
      <c r="BJ932" s="99"/>
      <c r="BK932" s="99"/>
      <c r="BL932" s="99"/>
      <c r="BM932" s="99"/>
      <c r="BN932" s="99"/>
      <c r="BO932" s="99"/>
      <c r="BP932" s="99"/>
      <c r="BQ932" s="99"/>
      <c r="BR932" s="99"/>
      <c r="BS932" s="99"/>
      <c r="BT932" s="99"/>
      <c r="BU932" s="99"/>
      <c r="BV932" s="99"/>
      <c r="BW932" s="99"/>
      <c r="BX932" s="99"/>
      <c r="BY932" s="99"/>
      <c r="BZ932" s="99"/>
      <c r="CA932" s="99"/>
      <c r="CB932" s="99"/>
      <c r="CC932" s="99"/>
      <c r="CD932" s="99"/>
      <c r="CE932" s="99"/>
      <c r="CF932" s="99"/>
      <c r="CG932" s="99"/>
      <c r="CH932" s="99"/>
      <c r="CI932" s="99"/>
      <c r="CJ932" s="621"/>
      <c r="CK932" s="621"/>
      <c r="CL932" s="621"/>
    </row>
    <row r="933" spans="27:90">
      <c r="AA933" s="350"/>
      <c r="AB933" s="62"/>
      <c r="AC933" s="62"/>
      <c r="AD933" s="62"/>
      <c r="AP933" s="88"/>
      <c r="AQ933" s="88"/>
      <c r="AR933" s="88"/>
      <c r="AS933" s="99"/>
      <c r="AT933" s="99"/>
      <c r="AU933" s="99"/>
      <c r="AV933" s="99"/>
      <c r="AW933" s="99"/>
      <c r="AX933" s="99"/>
      <c r="AY933" s="99"/>
      <c r="AZ933" s="99"/>
      <c r="BA933" s="99"/>
      <c r="BB933" s="99"/>
      <c r="BC933" s="99"/>
      <c r="BD933" s="99"/>
      <c r="BE933" s="99"/>
      <c r="BF933" s="99"/>
      <c r="BG933" s="99"/>
      <c r="BH933" s="99"/>
      <c r="BI933" s="99"/>
      <c r="BJ933" s="99"/>
      <c r="BK933" s="99"/>
      <c r="BL933" s="99"/>
      <c r="BM933" s="99"/>
      <c r="BN933" s="99"/>
      <c r="BO933" s="99"/>
      <c r="BP933" s="99"/>
      <c r="BQ933" s="99"/>
      <c r="BR933" s="99"/>
      <c r="BS933" s="99"/>
      <c r="BT933" s="99"/>
      <c r="BU933" s="99"/>
      <c r="BV933" s="99"/>
      <c r="BW933" s="99"/>
      <c r="BX933" s="99"/>
      <c r="BY933" s="99"/>
      <c r="BZ933" s="99"/>
      <c r="CA933" s="99"/>
      <c r="CB933" s="99"/>
      <c r="CC933" s="99"/>
      <c r="CD933" s="99"/>
      <c r="CE933" s="99"/>
      <c r="CF933" s="99"/>
      <c r="CG933" s="99"/>
      <c r="CH933" s="99"/>
      <c r="CI933" s="99"/>
      <c r="CJ933" s="621"/>
      <c r="CK933" s="621"/>
      <c r="CL933" s="621"/>
    </row>
    <row r="934" spans="27:90">
      <c r="AA934" s="350"/>
      <c r="AB934" s="62"/>
      <c r="AC934" s="62"/>
      <c r="AD934" s="62"/>
      <c r="AP934" s="88"/>
      <c r="AQ934" s="88"/>
      <c r="AR934" s="88"/>
      <c r="AS934" s="99"/>
      <c r="AT934" s="99"/>
      <c r="AU934" s="99"/>
      <c r="AV934" s="99"/>
      <c r="AW934" s="99"/>
      <c r="AX934" s="99"/>
      <c r="AY934" s="99"/>
      <c r="AZ934" s="99"/>
      <c r="BA934" s="99"/>
      <c r="BB934" s="99"/>
      <c r="BC934" s="99"/>
      <c r="BD934" s="99"/>
      <c r="BE934" s="99"/>
      <c r="BF934" s="99"/>
      <c r="BG934" s="99"/>
      <c r="BH934" s="99"/>
      <c r="BI934" s="99"/>
      <c r="BJ934" s="99"/>
      <c r="BK934" s="99"/>
      <c r="BL934" s="99"/>
      <c r="BM934" s="99"/>
      <c r="BN934" s="99"/>
      <c r="BO934" s="99"/>
      <c r="BP934" s="99"/>
      <c r="BQ934" s="99"/>
      <c r="BR934" s="99"/>
      <c r="BS934" s="99"/>
      <c r="BT934" s="99"/>
      <c r="BU934" s="99"/>
      <c r="BV934" s="99"/>
      <c r="BW934" s="99"/>
      <c r="BX934" s="99"/>
      <c r="BY934" s="99"/>
      <c r="BZ934" s="99"/>
      <c r="CA934" s="99"/>
      <c r="CB934" s="99"/>
      <c r="CC934" s="99"/>
      <c r="CD934" s="99"/>
      <c r="CE934" s="99"/>
      <c r="CF934" s="99"/>
      <c r="CG934" s="99"/>
      <c r="CH934" s="99"/>
      <c r="CI934" s="99"/>
      <c r="CJ934" s="621"/>
      <c r="CK934" s="621"/>
      <c r="CL934" s="621"/>
    </row>
    <row r="935" spans="27:90">
      <c r="AA935" s="350"/>
      <c r="AB935" s="62"/>
      <c r="AC935" s="62"/>
      <c r="AD935" s="62"/>
      <c r="AP935" s="88"/>
      <c r="AQ935" s="88"/>
      <c r="AR935" s="88"/>
      <c r="AS935" s="99"/>
      <c r="AT935" s="99"/>
      <c r="AU935" s="99"/>
      <c r="AV935" s="99"/>
      <c r="AW935" s="99"/>
      <c r="AX935" s="99"/>
      <c r="AY935" s="99"/>
      <c r="AZ935" s="99"/>
      <c r="BA935" s="99"/>
      <c r="BB935" s="99"/>
      <c r="BC935" s="99"/>
      <c r="BD935" s="99"/>
      <c r="BE935" s="99"/>
      <c r="BF935" s="99"/>
      <c r="BG935" s="99"/>
      <c r="BH935" s="99"/>
      <c r="BI935" s="99"/>
      <c r="BJ935" s="99"/>
      <c r="BK935" s="99"/>
      <c r="BL935" s="99"/>
      <c r="BM935" s="99"/>
      <c r="BN935" s="99"/>
      <c r="BO935" s="99"/>
      <c r="BP935" s="99"/>
      <c r="BQ935" s="99"/>
      <c r="BR935" s="99"/>
      <c r="BS935" s="99"/>
      <c r="BT935" s="99"/>
      <c r="BU935" s="99"/>
      <c r="BV935" s="99"/>
      <c r="BW935" s="99"/>
      <c r="BX935" s="99"/>
      <c r="BY935" s="99"/>
      <c r="BZ935" s="99"/>
      <c r="CA935" s="99"/>
      <c r="CB935" s="99"/>
      <c r="CC935" s="99"/>
      <c r="CD935" s="99"/>
      <c r="CE935" s="99"/>
      <c r="CF935" s="99"/>
      <c r="CG935" s="99"/>
      <c r="CH935" s="99"/>
      <c r="CI935" s="99"/>
      <c r="CJ935" s="621"/>
      <c r="CK935" s="621"/>
      <c r="CL935" s="621"/>
    </row>
    <row r="936" spans="27:90">
      <c r="AA936" s="350"/>
      <c r="AB936" s="62"/>
      <c r="AC936" s="62"/>
      <c r="AD936" s="62"/>
      <c r="AP936" s="88"/>
      <c r="AQ936" s="88"/>
      <c r="AR936" s="88"/>
      <c r="AS936" s="99"/>
      <c r="AT936" s="99"/>
      <c r="AU936" s="99"/>
      <c r="AV936" s="99"/>
      <c r="AW936" s="99"/>
      <c r="AX936" s="99"/>
      <c r="AY936" s="99"/>
      <c r="AZ936" s="99"/>
      <c r="BA936" s="99"/>
      <c r="BB936" s="99"/>
      <c r="BC936" s="99"/>
      <c r="BD936" s="99"/>
      <c r="BE936" s="99"/>
      <c r="BF936" s="99"/>
      <c r="BG936" s="99"/>
      <c r="BH936" s="99"/>
      <c r="BI936" s="99"/>
      <c r="BJ936" s="99"/>
      <c r="BK936" s="99"/>
      <c r="BL936" s="99"/>
      <c r="BM936" s="99"/>
      <c r="BN936" s="99"/>
      <c r="BO936" s="99"/>
      <c r="BP936" s="99"/>
      <c r="BQ936" s="99"/>
      <c r="BR936" s="99"/>
      <c r="BS936" s="99"/>
      <c r="BT936" s="99"/>
      <c r="BU936" s="99"/>
      <c r="BV936" s="99"/>
      <c r="BW936" s="99"/>
      <c r="BX936" s="99"/>
      <c r="BY936" s="99"/>
      <c r="BZ936" s="99"/>
      <c r="CA936" s="99"/>
      <c r="CB936" s="99"/>
      <c r="CC936" s="99"/>
      <c r="CD936" s="99"/>
      <c r="CE936" s="99"/>
      <c r="CF936" s="99"/>
      <c r="CG936" s="99"/>
      <c r="CH936" s="99"/>
      <c r="CI936" s="99"/>
      <c r="CJ936" s="621"/>
      <c r="CK936" s="621"/>
      <c r="CL936" s="621"/>
    </row>
    <row r="937" spans="27:90">
      <c r="AA937" s="350"/>
      <c r="AB937" s="62"/>
      <c r="AC937" s="62"/>
      <c r="AD937" s="62"/>
      <c r="AP937" s="88"/>
      <c r="AQ937" s="88"/>
      <c r="AR937" s="88"/>
      <c r="AS937" s="99"/>
      <c r="AT937" s="99"/>
      <c r="AU937" s="99"/>
      <c r="AV937" s="99"/>
      <c r="AW937" s="99"/>
      <c r="AX937" s="99"/>
      <c r="AY937" s="99"/>
      <c r="AZ937" s="99"/>
      <c r="BA937" s="99"/>
      <c r="BB937" s="99"/>
      <c r="BC937" s="99"/>
      <c r="BD937" s="99"/>
      <c r="BE937" s="99"/>
      <c r="BF937" s="99"/>
      <c r="BG937" s="99"/>
      <c r="BH937" s="99"/>
      <c r="BI937" s="99"/>
      <c r="BJ937" s="99"/>
      <c r="BK937" s="99"/>
      <c r="BL937" s="99"/>
      <c r="BM937" s="99"/>
      <c r="BN937" s="99"/>
      <c r="BO937" s="99"/>
      <c r="BP937" s="99"/>
      <c r="BQ937" s="99"/>
      <c r="BR937" s="99"/>
      <c r="BS937" s="99"/>
      <c r="BT937" s="99"/>
      <c r="BU937" s="99"/>
      <c r="BV937" s="99"/>
      <c r="BW937" s="99"/>
      <c r="BX937" s="99"/>
      <c r="BY937" s="99"/>
      <c r="BZ937" s="99"/>
      <c r="CA937" s="99"/>
      <c r="CB937" s="99"/>
      <c r="CC937" s="99"/>
      <c r="CD937" s="99"/>
      <c r="CE937" s="99"/>
      <c r="CF937" s="99"/>
      <c r="CG937" s="99"/>
      <c r="CH937" s="99"/>
      <c r="CI937" s="99"/>
      <c r="CJ937" s="621"/>
      <c r="CK937" s="621"/>
      <c r="CL937" s="621"/>
    </row>
    <row r="938" spans="27:90">
      <c r="AA938" s="350"/>
      <c r="AB938" s="62"/>
      <c r="AC938" s="62"/>
      <c r="AD938" s="62"/>
      <c r="AP938" s="88"/>
      <c r="AQ938" s="88"/>
      <c r="AR938" s="88"/>
      <c r="AS938" s="99"/>
      <c r="AT938" s="99"/>
      <c r="AU938" s="99"/>
      <c r="AV938" s="99"/>
      <c r="AW938" s="99"/>
      <c r="AX938" s="99"/>
      <c r="AY938" s="99"/>
      <c r="AZ938" s="99"/>
      <c r="BA938" s="99"/>
      <c r="BB938" s="99"/>
      <c r="BC938" s="99"/>
      <c r="BD938" s="99"/>
      <c r="BE938" s="99"/>
      <c r="BF938" s="99"/>
      <c r="BG938" s="99"/>
      <c r="BH938" s="99"/>
      <c r="BI938" s="99"/>
      <c r="BJ938" s="99"/>
      <c r="BK938" s="99"/>
      <c r="BL938" s="99"/>
      <c r="BM938" s="99"/>
      <c r="BN938" s="99"/>
      <c r="BO938" s="99"/>
      <c r="BP938" s="99"/>
      <c r="BQ938" s="99"/>
      <c r="BR938" s="99"/>
      <c r="BS938" s="99"/>
      <c r="BT938" s="99"/>
      <c r="BU938" s="99"/>
      <c r="BV938" s="99"/>
      <c r="BW938" s="99"/>
      <c r="BX938" s="99"/>
      <c r="BY938" s="99"/>
      <c r="BZ938" s="99"/>
      <c r="CA938" s="99"/>
      <c r="CB938" s="99"/>
      <c r="CC938" s="99"/>
      <c r="CD938" s="99"/>
      <c r="CE938" s="99"/>
      <c r="CF938" s="99"/>
      <c r="CG938" s="99"/>
      <c r="CH938" s="99"/>
      <c r="CI938" s="99"/>
      <c r="CJ938" s="621"/>
      <c r="CK938" s="621"/>
      <c r="CL938" s="621"/>
    </row>
    <row r="939" spans="27:90">
      <c r="AA939" s="350"/>
      <c r="AB939" s="62"/>
      <c r="AC939" s="62"/>
      <c r="AD939" s="62"/>
      <c r="AP939" s="88"/>
      <c r="AQ939" s="88"/>
      <c r="AR939" s="88"/>
      <c r="AS939" s="99"/>
      <c r="AT939" s="99"/>
      <c r="AU939" s="99"/>
      <c r="AV939" s="99"/>
      <c r="AW939" s="99"/>
      <c r="AX939" s="99"/>
      <c r="AY939" s="99"/>
      <c r="AZ939" s="99"/>
      <c r="BA939" s="99"/>
      <c r="BB939" s="99"/>
      <c r="BC939" s="99"/>
      <c r="BD939" s="99"/>
      <c r="BE939" s="99"/>
      <c r="BF939" s="99"/>
      <c r="BG939" s="99"/>
      <c r="BH939" s="99"/>
      <c r="BI939" s="99"/>
      <c r="BJ939" s="99"/>
      <c r="BK939" s="99"/>
      <c r="BL939" s="99"/>
      <c r="BM939" s="99"/>
      <c r="BN939" s="99"/>
      <c r="BO939" s="99"/>
      <c r="BP939" s="99"/>
      <c r="BQ939" s="99"/>
      <c r="BR939" s="99"/>
      <c r="BS939" s="99"/>
      <c r="BT939" s="99"/>
      <c r="BU939" s="99"/>
      <c r="BV939" s="99"/>
      <c r="BW939" s="99"/>
      <c r="BX939" s="99"/>
      <c r="BY939" s="99"/>
      <c r="BZ939" s="99"/>
      <c r="CA939" s="99"/>
      <c r="CB939" s="99"/>
      <c r="CC939" s="99"/>
      <c r="CD939" s="99"/>
      <c r="CE939" s="99"/>
      <c r="CF939" s="99"/>
      <c r="CG939" s="99"/>
      <c r="CH939" s="99"/>
      <c r="CI939" s="99"/>
      <c r="CJ939" s="621"/>
      <c r="CK939" s="621"/>
      <c r="CL939" s="621"/>
    </row>
    <row r="940" spans="27:90">
      <c r="AA940" s="350"/>
      <c r="AB940" s="62"/>
      <c r="AC940" s="62"/>
      <c r="AD940" s="62"/>
      <c r="AP940" s="88"/>
      <c r="AQ940" s="88"/>
      <c r="AR940" s="88"/>
      <c r="AS940" s="99"/>
      <c r="AT940" s="99"/>
      <c r="AU940" s="99"/>
      <c r="AV940" s="99"/>
      <c r="AW940" s="99"/>
      <c r="AX940" s="99"/>
      <c r="AY940" s="99"/>
      <c r="AZ940" s="99"/>
      <c r="BA940" s="99"/>
      <c r="BB940" s="99"/>
      <c r="BC940" s="99"/>
      <c r="BD940" s="99"/>
      <c r="BE940" s="99"/>
      <c r="BF940" s="99"/>
      <c r="BG940" s="99"/>
      <c r="BH940" s="99"/>
      <c r="BI940" s="99"/>
      <c r="BJ940" s="99"/>
      <c r="BK940" s="99"/>
      <c r="BL940" s="99"/>
      <c r="BM940" s="99"/>
      <c r="BN940" s="99"/>
      <c r="BO940" s="99"/>
      <c r="BP940" s="99"/>
      <c r="BQ940" s="99"/>
      <c r="BR940" s="99"/>
      <c r="BS940" s="99"/>
      <c r="BT940" s="99"/>
      <c r="BU940" s="99"/>
      <c r="BV940" s="99"/>
      <c r="BW940" s="99"/>
      <c r="BX940" s="99"/>
      <c r="BY940" s="99"/>
      <c r="BZ940" s="99"/>
      <c r="CA940" s="99"/>
      <c r="CB940" s="99"/>
      <c r="CC940" s="99"/>
      <c r="CD940" s="99"/>
      <c r="CE940" s="99"/>
      <c r="CF940" s="99"/>
      <c r="CG940" s="99"/>
      <c r="CH940" s="99"/>
      <c r="CI940" s="99"/>
      <c r="CJ940" s="621"/>
      <c r="CK940" s="621"/>
      <c r="CL940" s="621"/>
    </row>
    <row r="941" spans="27:90">
      <c r="AA941" s="350"/>
      <c r="AB941" s="62"/>
      <c r="AC941" s="62"/>
      <c r="AD941" s="62"/>
      <c r="AP941" s="88"/>
      <c r="AQ941" s="88"/>
      <c r="AR941" s="88"/>
      <c r="AS941" s="99"/>
      <c r="AT941" s="99"/>
      <c r="AU941" s="99"/>
      <c r="AV941" s="99"/>
      <c r="AW941" s="99"/>
      <c r="AX941" s="99"/>
      <c r="AY941" s="99"/>
      <c r="AZ941" s="99"/>
      <c r="BA941" s="99"/>
      <c r="BB941" s="99"/>
      <c r="BC941" s="99"/>
      <c r="BD941" s="99"/>
      <c r="BE941" s="99"/>
      <c r="BF941" s="99"/>
      <c r="BG941" s="99"/>
      <c r="BH941" s="99"/>
      <c r="BI941" s="99"/>
      <c r="BJ941" s="99"/>
      <c r="BK941" s="99"/>
      <c r="BL941" s="99"/>
      <c r="BM941" s="99"/>
      <c r="BN941" s="99"/>
      <c r="BO941" s="99"/>
      <c r="BP941" s="99"/>
      <c r="BQ941" s="99"/>
      <c r="BR941" s="99"/>
      <c r="BS941" s="99"/>
      <c r="BT941" s="99"/>
      <c r="BU941" s="99"/>
      <c r="BV941" s="99"/>
      <c r="BW941" s="99"/>
      <c r="BX941" s="99"/>
      <c r="BY941" s="99"/>
      <c r="BZ941" s="99"/>
      <c r="CA941" s="99"/>
      <c r="CB941" s="99"/>
      <c r="CC941" s="99"/>
      <c r="CD941" s="99"/>
      <c r="CE941" s="99"/>
      <c r="CF941" s="99"/>
      <c r="CG941" s="99"/>
      <c r="CH941" s="99"/>
      <c r="CI941" s="99"/>
      <c r="CJ941" s="621"/>
      <c r="CK941" s="621"/>
      <c r="CL941" s="621"/>
    </row>
    <row r="942" spans="27:90">
      <c r="AA942" s="350"/>
      <c r="AB942" s="62"/>
      <c r="AC942" s="62"/>
      <c r="AD942" s="62"/>
      <c r="AP942" s="88"/>
      <c r="AQ942" s="88"/>
      <c r="AR942" s="88"/>
      <c r="AS942" s="99"/>
      <c r="AT942" s="99"/>
      <c r="AU942" s="99"/>
      <c r="AV942" s="99"/>
      <c r="AW942" s="99"/>
      <c r="AX942" s="99"/>
      <c r="AY942" s="99"/>
      <c r="AZ942" s="99"/>
      <c r="BA942" s="99"/>
      <c r="BB942" s="99"/>
      <c r="BC942" s="99"/>
      <c r="BD942" s="99"/>
      <c r="BE942" s="99"/>
      <c r="BF942" s="99"/>
      <c r="BG942" s="99"/>
      <c r="BH942" s="99"/>
      <c r="BI942" s="99"/>
      <c r="BJ942" s="99"/>
      <c r="BK942" s="99"/>
      <c r="BL942" s="99"/>
      <c r="BM942" s="99"/>
      <c r="BN942" s="99"/>
      <c r="BO942" s="99"/>
      <c r="BP942" s="99"/>
      <c r="BQ942" s="99"/>
      <c r="BR942" s="99"/>
      <c r="BS942" s="99"/>
      <c r="BT942" s="99"/>
      <c r="BU942" s="99"/>
      <c r="BV942" s="99"/>
      <c r="BW942" s="99"/>
      <c r="BX942" s="99"/>
      <c r="BY942" s="99"/>
      <c r="BZ942" s="99"/>
      <c r="CA942" s="99"/>
      <c r="CB942" s="99"/>
      <c r="CC942" s="99"/>
      <c r="CD942" s="99"/>
      <c r="CE942" s="99"/>
      <c r="CF942" s="99"/>
      <c r="CG942" s="99"/>
      <c r="CH942" s="99"/>
      <c r="CI942" s="99"/>
      <c r="CJ942" s="621"/>
      <c r="CK942" s="621"/>
      <c r="CL942" s="621"/>
    </row>
    <row r="943" spans="27:90">
      <c r="AA943" s="350"/>
      <c r="AB943" s="62"/>
      <c r="AC943" s="62"/>
      <c r="AD943" s="62"/>
      <c r="AP943" s="88"/>
      <c r="AQ943" s="88"/>
      <c r="AR943" s="88"/>
      <c r="AS943" s="99"/>
      <c r="AT943" s="99"/>
      <c r="AU943" s="99"/>
      <c r="AV943" s="99"/>
      <c r="AW943" s="99"/>
      <c r="AX943" s="99"/>
      <c r="AY943" s="99"/>
      <c r="AZ943" s="99"/>
      <c r="BA943" s="99"/>
      <c r="BB943" s="99"/>
      <c r="BC943" s="99"/>
      <c r="BD943" s="99"/>
      <c r="BE943" s="99"/>
      <c r="BF943" s="99"/>
      <c r="BG943" s="99"/>
      <c r="BH943" s="99"/>
      <c r="BI943" s="99"/>
      <c r="BJ943" s="99"/>
      <c r="BK943" s="99"/>
      <c r="BL943" s="99"/>
      <c r="BM943" s="99"/>
      <c r="BN943" s="99"/>
      <c r="BO943" s="99"/>
      <c r="BP943" s="99"/>
      <c r="BQ943" s="99"/>
      <c r="BR943" s="99"/>
      <c r="BS943" s="99"/>
      <c r="BT943" s="99"/>
      <c r="BU943" s="99"/>
      <c r="BV943" s="99"/>
      <c r="BW943" s="99"/>
      <c r="BX943" s="99"/>
      <c r="BY943" s="99"/>
      <c r="BZ943" s="99"/>
      <c r="CA943" s="99"/>
      <c r="CB943" s="99"/>
      <c r="CC943" s="99"/>
      <c r="CD943" s="99"/>
      <c r="CE943" s="99"/>
      <c r="CF943" s="99"/>
      <c r="CG943" s="99"/>
      <c r="CH943" s="99"/>
      <c r="CI943" s="99"/>
      <c r="CJ943" s="621"/>
      <c r="CK943" s="621"/>
      <c r="CL943" s="621"/>
    </row>
    <row r="944" spans="27:90">
      <c r="AA944" s="350"/>
      <c r="AB944" s="62"/>
      <c r="AC944" s="62"/>
      <c r="AD944" s="62"/>
      <c r="AP944" s="88"/>
      <c r="AQ944" s="88"/>
      <c r="AR944" s="88"/>
      <c r="AS944" s="99"/>
      <c r="AT944" s="99"/>
      <c r="AU944" s="99"/>
      <c r="AV944" s="99"/>
      <c r="AW944" s="99"/>
      <c r="AX944" s="99"/>
      <c r="AY944" s="99"/>
      <c r="AZ944" s="99"/>
      <c r="BA944" s="99"/>
      <c r="BB944" s="99"/>
      <c r="BC944" s="99"/>
      <c r="BD944" s="99"/>
      <c r="BE944" s="99"/>
      <c r="BF944" s="99"/>
      <c r="BG944" s="99"/>
      <c r="BH944" s="99"/>
      <c r="BI944" s="99"/>
      <c r="BJ944" s="99"/>
      <c r="BK944" s="99"/>
      <c r="BL944" s="99"/>
      <c r="BM944" s="99"/>
      <c r="BN944" s="99"/>
      <c r="BO944" s="99"/>
      <c r="BP944" s="99"/>
      <c r="BQ944" s="99"/>
      <c r="BR944" s="99"/>
      <c r="BS944" s="99"/>
      <c r="BT944" s="99"/>
      <c r="BU944" s="99"/>
      <c r="BV944" s="99"/>
      <c r="BW944" s="99"/>
      <c r="BX944" s="99"/>
      <c r="BY944" s="99"/>
      <c r="BZ944" s="99"/>
      <c r="CA944" s="99"/>
      <c r="CB944" s="99"/>
      <c r="CC944" s="99"/>
      <c r="CD944" s="99"/>
      <c r="CE944" s="99"/>
      <c r="CF944" s="99"/>
      <c r="CG944" s="99"/>
      <c r="CH944" s="99"/>
      <c r="CI944" s="99"/>
      <c r="CJ944" s="621"/>
      <c r="CK944" s="621"/>
      <c r="CL944" s="621"/>
    </row>
    <row r="945" spans="27:90">
      <c r="AA945" s="350"/>
      <c r="AB945" s="62"/>
      <c r="AC945" s="62"/>
      <c r="AD945" s="62"/>
      <c r="AP945" s="88"/>
      <c r="AQ945" s="88"/>
      <c r="AR945" s="88"/>
      <c r="AS945" s="99"/>
      <c r="AT945" s="99"/>
      <c r="AU945" s="99"/>
      <c r="AV945" s="99"/>
      <c r="AW945" s="99"/>
      <c r="AX945" s="99"/>
      <c r="AY945" s="99"/>
      <c r="AZ945" s="99"/>
      <c r="BA945" s="99"/>
      <c r="BB945" s="99"/>
      <c r="BC945" s="99"/>
      <c r="BD945" s="99"/>
      <c r="BE945" s="99"/>
      <c r="BF945" s="99"/>
      <c r="BG945" s="99"/>
      <c r="BH945" s="99"/>
      <c r="BI945" s="99"/>
      <c r="BJ945" s="99"/>
      <c r="BK945" s="99"/>
      <c r="BL945" s="99"/>
      <c r="BM945" s="99"/>
      <c r="BN945" s="99"/>
      <c r="BO945" s="99"/>
      <c r="BP945" s="99"/>
      <c r="BQ945" s="99"/>
      <c r="BR945" s="99"/>
      <c r="BS945" s="99"/>
      <c r="BT945" s="99"/>
      <c r="BU945" s="99"/>
      <c r="BV945" s="99"/>
      <c r="BW945" s="99"/>
      <c r="BX945" s="99"/>
      <c r="BY945" s="99"/>
      <c r="BZ945" s="99"/>
      <c r="CA945" s="99"/>
      <c r="CB945" s="99"/>
      <c r="CC945" s="99"/>
      <c r="CD945" s="99"/>
      <c r="CE945" s="99"/>
      <c r="CF945" s="99"/>
      <c r="CG945" s="99"/>
      <c r="CH945" s="99"/>
      <c r="CI945" s="99"/>
      <c r="CJ945" s="621"/>
      <c r="CK945" s="621"/>
      <c r="CL945" s="621"/>
    </row>
    <row r="946" spans="27:90">
      <c r="AA946" s="350"/>
      <c r="AB946" s="62"/>
      <c r="AC946" s="62"/>
      <c r="AD946" s="62"/>
      <c r="AP946" s="88"/>
      <c r="AQ946" s="88"/>
      <c r="AR946" s="88"/>
      <c r="AS946" s="99"/>
      <c r="AT946" s="99"/>
      <c r="AU946" s="99"/>
      <c r="AV946" s="99"/>
      <c r="AW946" s="99"/>
      <c r="AX946" s="99"/>
      <c r="AY946" s="99"/>
      <c r="AZ946" s="99"/>
      <c r="BA946" s="99"/>
      <c r="BB946" s="99"/>
      <c r="BC946" s="99"/>
      <c r="BD946" s="99"/>
      <c r="BE946" s="99"/>
      <c r="BF946" s="99"/>
      <c r="BG946" s="99"/>
      <c r="BH946" s="99"/>
      <c r="BI946" s="99"/>
      <c r="BJ946" s="99"/>
      <c r="BK946" s="99"/>
      <c r="BL946" s="99"/>
      <c r="BM946" s="99"/>
      <c r="BN946" s="99"/>
      <c r="BO946" s="99"/>
      <c r="BP946" s="99"/>
      <c r="BQ946" s="99"/>
      <c r="BR946" s="99"/>
      <c r="BS946" s="99"/>
      <c r="BT946" s="99"/>
      <c r="BU946" s="99"/>
      <c r="BV946" s="99"/>
      <c r="BW946" s="99"/>
      <c r="BX946" s="99"/>
      <c r="BY946" s="99"/>
      <c r="BZ946" s="99"/>
      <c r="CA946" s="99"/>
      <c r="CB946" s="99"/>
      <c r="CC946" s="99"/>
      <c r="CD946" s="99"/>
      <c r="CE946" s="99"/>
      <c r="CF946" s="99"/>
      <c r="CG946" s="99"/>
      <c r="CH946" s="99"/>
      <c r="CI946" s="99"/>
      <c r="CJ946" s="621"/>
      <c r="CK946" s="621"/>
      <c r="CL946" s="621"/>
    </row>
    <row r="947" spans="27:90">
      <c r="AA947" s="350"/>
      <c r="AB947" s="62"/>
      <c r="AC947" s="62"/>
      <c r="AD947" s="62"/>
      <c r="AP947" s="88"/>
      <c r="AQ947" s="88"/>
      <c r="AR947" s="88"/>
      <c r="AS947" s="99"/>
      <c r="AT947" s="99"/>
      <c r="AU947" s="99"/>
      <c r="AV947" s="99"/>
      <c r="AW947" s="99"/>
      <c r="AX947" s="99"/>
      <c r="AY947" s="99"/>
      <c r="AZ947" s="99"/>
      <c r="BA947" s="99"/>
      <c r="BB947" s="99"/>
      <c r="BC947" s="99"/>
      <c r="BD947" s="99"/>
      <c r="BE947" s="99"/>
      <c r="BF947" s="99"/>
      <c r="BG947" s="99"/>
      <c r="BH947" s="99"/>
      <c r="BI947" s="99"/>
      <c r="BJ947" s="99"/>
      <c r="BK947" s="99"/>
      <c r="BL947" s="99"/>
      <c r="BM947" s="99"/>
      <c r="BN947" s="99"/>
      <c r="BO947" s="99"/>
      <c r="BP947" s="99"/>
      <c r="BQ947" s="99"/>
      <c r="BR947" s="99"/>
      <c r="BS947" s="99"/>
      <c r="BT947" s="99"/>
      <c r="BU947" s="99"/>
      <c r="BV947" s="99"/>
      <c r="BW947" s="99"/>
      <c r="BX947" s="99"/>
      <c r="BY947" s="99"/>
      <c r="BZ947" s="99"/>
      <c r="CA947" s="99"/>
      <c r="CB947" s="99"/>
      <c r="CC947" s="99"/>
      <c r="CD947" s="99"/>
      <c r="CE947" s="99"/>
      <c r="CF947" s="99"/>
      <c r="CG947" s="99"/>
      <c r="CH947" s="99"/>
      <c r="CI947" s="99"/>
      <c r="CJ947" s="621"/>
      <c r="CK947" s="621"/>
      <c r="CL947" s="621"/>
    </row>
    <row r="948" spans="27:90">
      <c r="AA948" s="350"/>
      <c r="AB948" s="62"/>
      <c r="AC948" s="62"/>
      <c r="AD948" s="62"/>
      <c r="AP948" s="88"/>
      <c r="AQ948" s="88"/>
      <c r="AR948" s="88"/>
      <c r="AS948" s="99"/>
      <c r="AT948" s="99"/>
      <c r="AU948" s="99"/>
      <c r="AV948" s="99"/>
      <c r="AW948" s="99"/>
      <c r="AX948" s="99"/>
      <c r="AY948" s="99"/>
      <c r="AZ948" s="99"/>
      <c r="BA948" s="99"/>
      <c r="BB948" s="99"/>
      <c r="BC948" s="99"/>
      <c r="BD948" s="99"/>
      <c r="BE948" s="99"/>
      <c r="BF948" s="99"/>
      <c r="BG948" s="99"/>
      <c r="BH948" s="99"/>
      <c r="BI948" s="99"/>
      <c r="BJ948" s="99"/>
      <c r="BK948" s="99"/>
      <c r="BL948" s="99"/>
      <c r="BM948" s="99"/>
      <c r="BN948" s="99"/>
      <c r="BO948" s="99"/>
      <c r="BP948" s="99"/>
      <c r="BQ948" s="99"/>
      <c r="BR948" s="99"/>
      <c r="BS948" s="99"/>
      <c r="BT948" s="99"/>
      <c r="BU948" s="99"/>
      <c r="BV948" s="99"/>
      <c r="BW948" s="99"/>
      <c r="BX948" s="99"/>
      <c r="BY948" s="99"/>
      <c r="BZ948" s="99"/>
      <c r="CA948" s="99"/>
      <c r="CB948" s="99"/>
      <c r="CC948" s="99"/>
      <c r="CD948" s="99"/>
      <c r="CE948" s="99"/>
      <c r="CF948" s="99"/>
      <c r="CG948" s="99"/>
      <c r="CH948" s="99"/>
      <c r="CI948" s="99"/>
      <c r="CJ948" s="621"/>
      <c r="CK948" s="621"/>
      <c r="CL948" s="621"/>
    </row>
    <row r="949" spans="27:90">
      <c r="AA949" s="350"/>
      <c r="AB949" s="62"/>
      <c r="AC949" s="62"/>
      <c r="AD949" s="62"/>
      <c r="AP949" s="88"/>
      <c r="AQ949" s="88"/>
      <c r="AR949" s="88"/>
      <c r="AS949" s="99"/>
      <c r="AT949" s="99"/>
      <c r="AU949" s="99"/>
      <c r="AV949" s="99"/>
      <c r="AW949" s="99"/>
      <c r="AX949" s="99"/>
      <c r="AY949" s="99"/>
      <c r="AZ949" s="99"/>
      <c r="BA949" s="99"/>
      <c r="BB949" s="99"/>
      <c r="BC949" s="99"/>
      <c r="BD949" s="99"/>
      <c r="BE949" s="99"/>
      <c r="BF949" s="99"/>
      <c r="BG949" s="99"/>
      <c r="BH949" s="99"/>
      <c r="BI949" s="99"/>
      <c r="BJ949" s="99"/>
      <c r="BK949" s="99"/>
      <c r="BL949" s="99"/>
      <c r="BM949" s="99"/>
      <c r="BN949" s="99"/>
      <c r="BO949" s="99"/>
      <c r="BP949" s="99"/>
      <c r="BQ949" s="99"/>
      <c r="BR949" s="99"/>
      <c r="BS949" s="99"/>
      <c r="BT949" s="99"/>
      <c r="BU949" s="99"/>
      <c r="BV949" s="99"/>
      <c r="BW949" s="99"/>
      <c r="BX949" s="99"/>
      <c r="BY949" s="99"/>
      <c r="BZ949" s="99"/>
      <c r="CA949" s="99"/>
      <c r="CB949" s="99"/>
      <c r="CC949" s="99"/>
      <c r="CD949" s="99"/>
      <c r="CE949" s="99"/>
      <c r="CF949" s="99"/>
      <c r="CG949" s="99"/>
      <c r="CH949" s="99"/>
      <c r="CI949" s="99"/>
      <c r="CJ949" s="621"/>
      <c r="CK949" s="621"/>
      <c r="CL949" s="621"/>
    </row>
    <row r="950" spans="27:90">
      <c r="AA950" s="350"/>
      <c r="AB950" s="62"/>
      <c r="AC950" s="62"/>
      <c r="AD950" s="62"/>
      <c r="AP950" s="88"/>
      <c r="AQ950" s="88"/>
      <c r="AR950" s="88"/>
      <c r="AS950" s="99"/>
      <c r="AT950" s="99"/>
      <c r="AU950" s="99"/>
      <c r="AV950" s="99"/>
      <c r="AW950" s="99"/>
      <c r="AX950" s="99"/>
      <c r="AY950" s="99"/>
      <c r="AZ950" s="99"/>
      <c r="BA950" s="99"/>
      <c r="BB950" s="99"/>
      <c r="BC950" s="99"/>
      <c r="BD950" s="99"/>
      <c r="BE950" s="99"/>
      <c r="BF950" s="99"/>
      <c r="BG950" s="99"/>
      <c r="BH950" s="99"/>
      <c r="BI950" s="99"/>
      <c r="BJ950" s="99"/>
      <c r="BK950" s="99"/>
      <c r="BL950" s="99"/>
      <c r="BM950" s="99"/>
      <c r="BN950" s="99"/>
      <c r="BO950" s="99"/>
      <c r="BP950" s="99"/>
      <c r="BQ950" s="99"/>
      <c r="BR950" s="99"/>
      <c r="BS950" s="99"/>
      <c r="BT950" s="99"/>
      <c r="BU950" s="99"/>
      <c r="BV950" s="99"/>
      <c r="BW950" s="99"/>
      <c r="BX950" s="99"/>
      <c r="BY950" s="99"/>
      <c r="BZ950" s="99"/>
      <c r="CA950" s="99"/>
      <c r="CB950" s="99"/>
      <c r="CC950" s="99"/>
      <c r="CD950" s="99"/>
      <c r="CE950" s="99"/>
      <c r="CF950" s="99"/>
      <c r="CG950" s="99"/>
      <c r="CH950" s="99"/>
      <c r="CI950" s="99"/>
      <c r="CJ950" s="621"/>
      <c r="CK950" s="621"/>
      <c r="CL950" s="621"/>
    </row>
    <row r="951" spans="27:90">
      <c r="AA951" s="350"/>
      <c r="AB951" s="62"/>
      <c r="AC951" s="62"/>
      <c r="AD951" s="62"/>
      <c r="AP951" s="88"/>
      <c r="AQ951" s="88"/>
      <c r="AR951" s="88"/>
      <c r="AS951" s="99"/>
      <c r="AT951" s="99"/>
      <c r="AU951" s="99"/>
      <c r="AV951" s="99"/>
      <c r="AW951" s="99"/>
      <c r="AX951" s="99"/>
      <c r="AY951" s="99"/>
      <c r="AZ951" s="99"/>
      <c r="BA951" s="99"/>
      <c r="BB951" s="99"/>
      <c r="BC951" s="99"/>
      <c r="BD951" s="99"/>
      <c r="BE951" s="99"/>
      <c r="BF951" s="99"/>
      <c r="BG951" s="99"/>
      <c r="BH951" s="99"/>
      <c r="BI951" s="99"/>
      <c r="BJ951" s="99"/>
      <c r="BK951" s="99"/>
      <c r="BL951" s="99"/>
      <c r="BM951" s="99"/>
      <c r="BN951" s="99"/>
      <c r="BO951" s="99"/>
      <c r="BP951" s="99"/>
      <c r="BQ951" s="99"/>
      <c r="BR951" s="99"/>
      <c r="BS951" s="99"/>
      <c r="BT951" s="99"/>
      <c r="BU951" s="99"/>
      <c r="BV951" s="99"/>
      <c r="BW951" s="99"/>
      <c r="BX951" s="99"/>
      <c r="BY951" s="99"/>
      <c r="BZ951" s="99"/>
      <c r="CA951" s="99"/>
      <c r="CB951" s="99"/>
      <c r="CC951" s="99"/>
      <c r="CD951" s="99"/>
      <c r="CE951" s="99"/>
      <c r="CF951" s="99"/>
      <c r="CG951" s="99"/>
      <c r="CH951" s="99"/>
      <c r="CI951" s="99"/>
      <c r="CJ951" s="621"/>
      <c r="CK951" s="621"/>
      <c r="CL951" s="621"/>
    </row>
    <row r="952" spans="27:90">
      <c r="AA952" s="350"/>
      <c r="AB952" s="62"/>
      <c r="AC952" s="62"/>
      <c r="AD952" s="62"/>
      <c r="AP952" s="88"/>
      <c r="AQ952" s="88"/>
      <c r="AR952" s="88"/>
      <c r="AS952" s="99"/>
      <c r="AT952" s="99"/>
      <c r="AU952" s="99"/>
      <c r="AV952" s="99"/>
      <c r="AW952" s="99"/>
      <c r="AX952" s="99"/>
      <c r="AY952" s="99"/>
      <c r="AZ952" s="99"/>
      <c r="BA952" s="99"/>
      <c r="BB952" s="99"/>
      <c r="BC952" s="99"/>
      <c r="BD952" s="99"/>
      <c r="BE952" s="99"/>
      <c r="BF952" s="99"/>
      <c r="BG952" s="99"/>
      <c r="BH952" s="99"/>
      <c r="BI952" s="99"/>
      <c r="BJ952" s="99"/>
      <c r="BK952" s="99"/>
      <c r="BL952" s="99"/>
      <c r="BM952" s="99"/>
      <c r="BN952" s="99"/>
      <c r="BO952" s="99"/>
      <c r="BP952" s="99"/>
      <c r="BQ952" s="99"/>
      <c r="BR952" s="99"/>
      <c r="BS952" s="99"/>
      <c r="BT952" s="99"/>
      <c r="BU952" s="99"/>
      <c r="BV952" s="99"/>
      <c r="BW952" s="99"/>
      <c r="BX952" s="99"/>
      <c r="BY952" s="99"/>
      <c r="BZ952" s="99"/>
      <c r="CA952" s="99"/>
      <c r="CB952" s="99"/>
      <c r="CC952" s="99"/>
      <c r="CD952" s="99"/>
      <c r="CE952" s="99"/>
      <c r="CF952" s="99"/>
      <c r="CG952" s="99"/>
      <c r="CH952" s="99"/>
      <c r="CI952" s="99"/>
      <c r="CJ952" s="621"/>
      <c r="CK952" s="621"/>
      <c r="CL952" s="621"/>
    </row>
    <row r="953" spans="27:90">
      <c r="AA953" s="350"/>
      <c r="AB953" s="62"/>
      <c r="AC953" s="62"/>
      <c r="AD953" s="62"/>
      <c r="AP953" s="88"/>
      <c r="AQ953" s="88"/>
      <c r="AR953" s="88"/>
      <c r="AS953" s="99"/>
      <c r="AT953" s="99"/>
      <c r="AU953" s="99"/>
      <c r="AV953" s="99"/>
      <c r="AW953" s="99"/>
      <c r="AX953" s="99"/>
      <c r="AY953" s="99"/>
      <c r="AZ953" s="99"/>
      <c r="BA953" s="99"/>
      <c r="BB953" s="99"/>
      <c r="BC953" s="99"/>
      <c r="BD953" s="99"/>
      <c r="BE953" s="99"/>
      <c r="BF953" s="99"/>
      <c r="BG953" s="99"/>
      <c r="BH953" s="99"/>
      <c r="BI953" s="99"/>
      <c r="BJ953" s="99"/>
      <c r="BK953" s="99"/>
      <c r="BL953" s="99"/>
      <c r="BM953" s="99"/>
      <c r="BN953" s="99"/>
      <c r="BO953" s="99"/>
      <c r="BP953" s="99"/>
      <c r="BQ953" s="99"/>
      <c r="BR953" s="99"/>
      <c r="BS953" s="99"/>
      <c r="BT953" s="99"/>
      <c r="BU953" s="99"/>
      <c r="BV953" s="99"/>
      <c r="BW953" s="99"/>
      <c r="BX953" s="99"/>
      <c r="BY953" s="99"/>
      <c r="BZ953" s="99"/>
      <c r="CA953" s="99"/>
      <c r="CB953" s="99"/>
      <c r="CC953" s="99"/>
      <c r="CD953" s="99"/>
      <c r="CE953" s="99"/>
      <c r="CF953" s="99"/>
      <c r="CG953" s="99"/>
      <c r="CH953" s="99"/>
      <c r="CI953" s="99"/>
      <c r="CJ953" s="621"/>
      <c r="CK953" s="621"/>
      <c r="CL953" s="621"/>
    </row>
    <row r="954" spans="27:90">
      <c r="AA954" s="350"/>
      <c r="AB954" s="62"/>
      <c r="AC954" s="62"/>
      <c r="AD954" s="62"/>
      <c r="AP954" s="88"/>
      <c r="AQ954" s="88"/>
      <c r="AR954" s="88"/>
      <c r="AS954" s="99"/>
      <c r="AT954" s="99"/>
      <c r="AU954" s="99"/>
      <c r="AV954" s="99"/>
      <c r="AW954" s="99"/>
      <c r="AX954" s="99"/>
      <c r="AY954" s="99"/>
      <c r="AZ954" s="99"/>
      <c r="BA954" s="99"/>
      <c r="BB954" s="99"/>
      <c r="BC954" s="99"/>
      <c r="BD954" s="99"/>
      <c r="BE954" s="99"/>
      <c r="BF954" s="99"/>
      <c r="BG954" s="99"/>
      <c r="BH954" s="99"/>
      <c r="BI954" s="99"/>
      <c r="BJ954" s="99"/>
      <c r="BK954" s="99"/>
      <c r="BL954" s="99"/>
      <c r="BM954" s="99"/>
      <c r="BN954" s="99"/>
      <c r="BO954" s="99"/>
      <c r="BP954" s="99"/>
      <c r="BQ954" s="99"/>
      <c r="BR954" s="99"/>
      <c r="BS954" s="99"/>
      <c r="BT954" s="99"/>
      <c r="BU954" s="99"/>
      <c r="BV954" s="99"/>
      <c r="BW954" s="99"/>
      <c r="BX954" s="99"/>
      <c r="BY954" s="99"/>
      <c r="BZ954" s="99"/>
      <c r="CA954" s="99"/>
      <c r="CB954" s="99"/>
      <c r="CC954" s="99"/>
      <c r="CD954" s="99"/>
      <c r="CE954" s="99"/>
      <c r="CF954" s="99"/>
      <c r="CG954" s="99"/>
      <c r="CH954" s="99"/>
      <c r="CI954" s="99"/>
      <c r="CJ954" s="621"/>
      <c r="CK954" s="621"/>
      <c r="CL954" s="621"/>
    </row>
    <row r="955" spans="27:90">
      <c r="AA955" s="350"/>
      <c r="AB955" s="62"/>
      <c r="AC955" s="62"/>
      <c r="AD955" s="62"/>
      <c r="AP955" s="88"/>
      <c r="AQ955" s="88"/>
      <c r="AR955" s="88"/>
      <c r="AS955" s="99"/>
      <c r="AT955" s="99"/>
      <c r="AU955" s="99"/>
      <c r="AV955" s="99"/>
      <c r="AW955" s="99"/>
      <c r="AX955" s="99"/>
      <c r="AY955" s="99"/>
      <c r="AZ955" s="99"/>
      <c r="BA955" s="99"/>
      <c r="BB955" s="99"/>
      <c r="BC955" s="99"/>
      <c r="BD955" s="99"/>
      <c r="BE955" s="99"/>
      <c r="BF955" s="99"/>
      <c r="BG955" s="99"/>
      <c r="BH955" s="99"/>
      <c r="BI955" s="99"/>
      <c r="BJ955" s="99"/>
      <c r="BK955" s="99"/>
      <c r="BL955" s="99"/>
      <c r="BM955" s="99"/>
      <c r="BN955" s="99"/>
      <c r="BO955" s="99"/>
      <c r="BP955" s="99"/>
      <c r="BQ955" s="99"/>
      <c r="BR955" s="99"/>
      <c r="BS955" s="99"/>
      <c r="BT955" s="99"/>
      <c r="BU955" s="99"/>
      <c r="BV955" s="99"/>
      <c r="BW955" s="99"/>
      <c r="BX955" s="99"/>
      <c r="BY955" s="99"/>
      <c r="BZ955" s="99"/>
      <c r="CA955" s="99"/>
      <c r="CB955" s="99"/>
      <c r="CC955" s="99"/>
      <c r="CD955" s="99"/>
      <c r="CE955" s="99"/>
      <c r="CF955" s="99"/>
      <c r="CG955" s="99"/>
      <c r="CH955" s="99"/>
      <c r="CI955" s="99"/>
      <c r="CJ955" s="621"/>
      <c r="CK955" s="621"/>
      <c r="CL955" s="621"/>
    </row>
    <row r="956" spans="27:90">
      <c r="AA956" s="350"/>
      <c r="AB956" s="62"/>
      <c r="AC956" s="62"/>
      <c r="AD956" s="62"/>
      <c r="AP956" s="88"/>
      <c r="AQ956" s="88"/>
      <c r="AR956" s="88"/>
      <c r="AS956" s="99"/>
      <c r="AT956" s="99"/>
      <c r="AU956" s="99"/>
      <c r="AV956" s="99"/>
      <c r="AW956" s="99"/>
      <c r="AX956" s="99"/>
      <c r="AY956" s="99"/>
      <c r="AZ956" s="99"/>
      <c r="BA956" s="99"/>
      <c r="BB956" s="99"/>
      <c r="BC956" s="99"/>
      <c r="BD956" s="99"/>
      <c r="BE956" s="99"/>
      <c r="BF956" s="99"/>
      <c r="BG956" s="99"/>
      <c r="BH956" s="99"/>
      <c r="BI956" s="99"/>
      <c r="BJ956" s="99"/>
      <c r="BK956" s="99"/>
      <c r="BL956" s="99"/>
      <c r="BM956" s="99"/>
      <c r="BN956" s="99"/>
      <c r="BO956" s="99"/>
      <c r="BP956" s="99"/>
      <c r="BQ956" s="99"/>
      <c r="BR956" s="99"/>
      <c r="BS956" s="99"/>
      <c r="BT956" s="99"/>
      <c r="BU956" s="99"/>
      <c r="BV956" s="99"/>
      <c r="BW956" s="99"/>
      <c r="BX956" s="99"/>
      <c r="BY956" s="99"/>
      <c r="BZ956" s="99"/>
      <c r="CA956" s="99"/>
      <c r="CB956" s="99"/>
      <c r="CC956" s="99"/>
      <c r="CD956" s="99"/>
      <c r="CE956" s="99"/>
      <c r="CF956" s="99"/>
      <c r="CG956" s="99"/>
      <c r="CH956" s="99"/>
      <c r="CI956" s="99"/>
      <c r="CJ956" s="621"/>
      <c r="CK956" s="621"/>
      <c r="CL956" s="621"/>
    </row>
    <row r="957" spans="27:90">
      <c r="AA957" s="350"/>
      <c r="AB957" s="62"/>
      <c r="AC957" s="62"/>
      <c r="AD957" s="62"/>
      <c r="AP957" s="88"/>
      <c r="AQ957" s="88"/>
      <c r="AR957" s="88"/>
      <c r="AS957" s="99"/>
      <c r="AT957" s="99"/>
      <c r="AU957" s="99"/>
      <c r="AV957" s="99"/>
      <c r="AW957" s="99"/>
      <c r="AX957" s="99"/>
      <c r="AY957" s="99"/>
      <c r="AZ957" s="99"/>
      <c r="BA957" s="99"/>
      <c r="BB957" s="99"/>
      <c r="BC957" s="99"/>
      <c r="BD957" s="99"/>
      <c r="BE957" s="99"/>
      <c r="BF957" s="99"/>
      <c r="BG957" s="99"/>
      <c r="BH957" s="99"/>
      <c r="BI957" s="99"/>
      <c r="BJ957" s="99"/>
      <c r="BK957" s="99"/>
      <c r="BL957" s="99"/>
      <c r="BM957" s="99"/>
      <c r="BN957" s="99"/>
      <c r="BO957" s="99"/>
      <c r="BP957" s="99"/>
      <c r="BQ957" s="99"/>
      <c r="BR957" s="99"/>
      <c r="BS957" s="99"/>
      <c r="BT957" s="99"/>
      <c r="BU957" s="99"/>
      <c r="BV957" s="99"/>
      <c r="BW957" s="99"/>
      <c r="BX957" s="99"/>
      <c r="BY957" s="99"/>
      <c r="BZ957" s="99"/>
      <c r="CA957" s="99"/>
      <c r="CB957" s="99"/>
      <c r="CC957" s="99"/>
      <c r="CD957" s="99"/>
      <c r="CE957" s="99"/>
      <c r="CF957" s="99"/>
      <c r="CG957" s="99"/>
      <c r="CH957" s="99"/>
      <c r="CI957" s="99"/>
      <c r="CJ957" s="621"/>
      <c r="CK957" s="621"/>
      <c r="CL957" s="621"/>
    </row>
    <row r="958" spans="27:90">
      <c r="AA958" s="350"/>
      <c r="AB958" s="62"/>
      <c r="AC958" s="62"/>
      <c r="AD958" s="62"/>
      <c r="AP958" s="88"/>
      <c r="AQ958" s="88"/>
      <c r="AR958" s="88"/>
      <c r="AS958" s="99"/>
      <c r="AT958" s="99"/>
      <c r="AU958" s="99"/>
      <c r="AV958" s="99"/>
      <c r="AW958" s="99"/>
      <c r="AX958" s="99"/>
      <c r="AY958" s="99"/>
      <c r="AZ958" s="99"/>
      <c r="BA958" s="99"/>
      <c r="BB958" s="99"/>
      <c r="BC958" s="99"/>
      <c r="BD958" s="99"/>
      <c r="BE958" s="99"/>
      <c r="BF958" s="99"/>
      <c r="BG958" s="99"/>
      <c r="BH958" s="99"/>
      <c r="BI958" s="99"/>
      <c r="BJ958" s="99"/>
      <c r="BK958" s="99"/>
      <c r="BL958" s="99"/>
      <c r="BM958" s="99"/>
      <c r="BN958" s="99"/>
      <c r="BO958" s="99"/>
      <c r="BP958" s="99"/>
      <c r="BQ958" s="99"/>
      <c r="BR958" s="99"/>
      <c r="BS958" s="99"/>
      <c r="BT958" s="99"/>
      <c r="BU958" s="99"/>
      <c r="BV958" s="99"/>
      <c r="BW958" s="99"/>
      <c r="BX958" s="99"/>
      <c r="BY958" s="99"/>
      <c r="BZ958" s="99"/>
      <c r="CA958" s="99"/>
      <c r="CB958" s="99"/>
      <c r="CC958" s="99"/>
      <c r="CD958" s="99"/>
      <c r="CE958" s="99"/>
      <c r="CF958" s="99"/>
      <c r="CG958" s="99"/>
      <c r="CH958" s="99"/>
      <c r="CI958" s="99"/>
      <c r="CJ958" s="621"/>
      <c r="CK958" s="621"/>
      <c r="CL958" s="621"/>
    </row>
    <row r="959" spans="27:90">
      <c r="AA959" s="350"/>
      <c r="AB959" s="62"/>
      <c r="AC959" s="62"/>
      <c r="AD959" s="62"/>
      <c r="AP959" s="88"/>
      <c r="AQ959" s="88"/>
      <c r="AR959" s="88"/>
      <c r="AS959" s="99"/>
      <c r="AT959" s="99"/>
      <c r="AU959" s="99"/>
      <c r="AV959" s="99"/>
      <c r="AW959" s="99"/>
      <c r="AX959" s="99"/>
      <c r="AY959" s="99"/>
      <c r="AZ959" s="99"/>
      <c r="BA959" s="99"/>
      <c r="BB959" s="99"/>
      <c r="BC959" s="99"/>
      <c r="BD959" s="99"/>
      <c r="BE959" s="99"/>
      <c r="BF959" s="99"/>
      <c r="BG959" s="99"/>
      <c r="BH959" s="99"/>
      <c r="BI959" s="99"/>
      <c r="BJ959" s="99"/>
      <c r="BK959" s="99"/>
      <c r="BL959" s="99"/>
      <c r="BM959" s="99"/>
      <c r="BN959" s="99"/>
      <c r="BO959" s="99"/>
      <c r="BP959" s="99"/>
      <c r="BQ959" s="99"/>
      <c r="BR959" s="99"/>
      <c r="BS959" s="99"/>
      <c r="BT959" s="99"/>
      <c r="BU959" s="99"/>
      <c r="BV959" s="99"/>
      <c r="BW959" s="99"/>
      <c r="BX959" s="99"/>
      <c r="BY959" s="99"/>
      <c r="BZ959" s="99"/>
      <c r="CA959" s="99"/>
      <c r="CB959" s="99"/>
      <c r="CC959" s="99"/>
      <c r="CD959" s="99"/>
      <c r="CE959" s="99"/>
      <c r="CF959" s="99"/>
      <c r="CG959" s="99"/>
      <c r="CH959" s="99"/>
      <c r="CI959" s="99"/>
      <c r="CJ959" s="621"/>
      <c r="CK959" s="621"/>
      <c r="CL959" s="621"/>
    </row>
    <row r="960" spans="27:90">
      <c r="AA960" s="350"/>
      <c r="AB960" s="62"/>
      <c r="AC960" s="62"/>
      <c r="AD960" s="62"/>
      <c r="AP960" s="88"/>
      <c r="AQ960" s="88"/>
      <c r="AR960" s="88"/>
      <c r="AS960" s="99"/>
      <c r="AT960" s="99"/>
      <c r="AU960" s="99"/>
      <c r="AV960" s="99"/>
      <c r="AW960" s="99"/>
      <c r="AX960" s="99"/>
      <c r="AY960" s="99"/>
      <c r="AZ960" s="99"/>
      <c r="BA960" s="99"/>
      <c r="BB960" s="99"/>
      <c r="BC960" s="99"/>
      <c r="BD960" s="99"/>
      <c r="BE960" s="99"/>
      <c r="BF960" s="99"/>
      <c r="BG960" s="99"/>
      <c r="BH960" s="99"/>
      <c r="BI960" s="99"/>
      <c r="BJ960" s="99"/>
      <c r="BK960" s="99"/>
      <c r="BL960" s="99"/>
      <c r="BM960" s="99"/>
      <c r="BN960" s="99"/>
      <c r="BO960" s="99"/>
      <c r="BP960" s="99"/>
      <c r="BQ960" s="99"/>
      <c r="BR960" s="99"/>
      <c r="BS960" s="99"/>
      <c r="BT960" s="99"/>
      <c r="BU960" s="99"/>
      <c r="BV960" s="99"/>
      <c r="BW960" s="99"/>
      <c r="BX960" s="99"/>
      <c r="BY960" s="99"/>
      <c r="BZ960" s="99"/>
      <c r="CA960" s="99"/>
      <c r="CB960" s="99"/>
      <c r="CC960" s="99"/>
      <c r="CD960" s="99"/>
      <c r="CE960" s="99"/>
      <c r="CF960" s="99"/>
      <c r="CG960" s="99"/>
      <c r="CH960" s="99"/>
      <c r="CI960" s="99"/>
      <c r="CJ960" s="621"/>
      <c r="CK960" s="621"/>
      <c r="CL960" s="621"/>
    </row>
    <row r="961" spans="27:90">
      <c r="AA961" s="350"/>
      <c r="AB961" s="62"/>
      <c r="AC961" s="62"/>
      <c r="AD961" s="62"/>
      <c r="AP961" s="88"/>
      <c r="AQ961" s="88"/>
      <c r="AR961" s="88"/>
      <c r="AS961" s="99"/>
      <c r="AT961" s="99"/>
      <c r="AU961" s="99"/>
      <c r="AV961" s="99"/>
      <c r="AW961" s="99"/>
      <c r="AX961" s="99"/>
      <c r="AY961" s="99"/>
      <c r="AZ961" s="99"/>
      <c r="BA961" s="99"/>
      <c r="BB961" s="99"/>
      <c r="BC961" s="99"/>
      <c r="BD961" s="99"/>
      <c r="BE961" s="99"/>
      <c r="BF961" s="99"/>
      <c r="BG961" s="99"/>
      <c r="BH961" s="99"/>
      <c r="BI961" s="99"/>
      <c r="BJ961" s="99"/>
      <c r="BK961" s="99"/>
      <c r="BL961" s="99"/>
      <c r="BM961" s="99"/>
      <c r="BN961" s="99"/>
      <c r="BO961" s="99"/>
      <c r="BP961" s="99"/>
      <c r="BQ961" s="99"/>
      <c r="BR961" s="99"/>
      <c r="BS961" s="99"/>
      <c r="BT961" s="99"/>
      <c r="BU961" s="99"/>
      <c r="BV961" s="99"/>
      <c r="BW961" s="99"/>
      <c r="BX961" s="99"/>
      <c r="BY961" s="99"/>
      <c r="BZ961" s="99"/>
      <c r="CA961" s="99"/>
      <c r="CB961" s="99"/>
      <c r="CC961" s="99"/>
      <c r="CD961" s="99"/>
      <c r="CE961" s="99"/>
      <c r="CF961" s="99"/>
      <c r="CG961" s="99"/>
      <c r="CH961" s="99"/>
      <c r="CI961" s="99"/>
      <c r="CJ961" s="621"/>
      <c r="CK961" s="621"/>
      <c r="CL961" s="621"/>
    </row>
    <row r="962" spans="27:90">
      <c r="AA962" s="350"/>
      <c r="AB962" s="62"/>
      <c r="AC962" s="62"/>
      <c r="AD962" s="62"/>
      <c r="AP962" s="88"/>
      <c r="AQ962" s="88"/>
      <c r="AR962" s="88"/>
      <c r="AS962" s="99"/>
      <c r="AT962" s="99"/>
      <c r="AU962" s="99"/>
      <c r="AV962" s="99"/>
      <c r="AW962" s="99"/>
      <c r="AX962" s="99"/>
      <c r="AY962" s="99"/>
      <c r="AZ962" s="99"/>
      <c r="BA962" s="99"/>
      <c r="BB962" s="99"/>
      <c r="BC962" s="99"/>
      <c r="BD962" s="99"/>
      <c r="BE962" s="99"/>
      <c r="BF962" s="99"/>
      <c r="BG962" s="99"/>
      <c r="BH962" s="99"/>
      <c r="BI962" s="99"/>
      <c r="BJ962" s="99"/>
      <c r="BK962" s="99"/>
      <c r="BL962" s="99"/>
      <c r="BM962" s="99"/>
      <c r="BN962" s="99"/>
      <c r="BO962" s="99"/>
      <c r="BP962" s="99"/>
      <c r="BQ962" s="99"/>
      <c r="BR962" s="99"/>
      <c r="BS962" s="99"/>
      <c r="BT962" s="99"/>
      <c r="BU962" s="99"/>
      <c r="BV962" s="99"/>
      <c r="BW962" s="99"/>
      <c r="BX962" s="99"/>
      <c r="BY962" s="99"/>
      <c r="BZ962" s="99"/>
      <c r="CA962" s="99"/>
      <c r="CB962" s="99"/>
      <c r="CC962" s="99"/>
      <c r="CD962" s="99"/>
      <c r="CE962" s="99"/>
      <c r="CF962" s="99"/>
      <c r="CG962" s="99"/>
      <c r="CH962" s="99"/>
      <c r="CI962" s="99"/>
      <c r="CJ962" s="621"/>
      <c r="CK962" s="621"/>
      <c r="CL962" s="621"/>
    </row>
    <row r="963" spans="27:90">
      <c r="AA963" s="350"/>
      <c r="AB963" s="62"/>
      <c r="AC963" s="62"/>
      <c r="AD963" s="62"/>
      <c r="AP963" s="88"/>
      <c r="AQ963" s="88"/>
      <c r="AR963" s="88"/>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621"/>
      <c r="CK963" s="621"/>
      <c r="CL963" s="621"/>
    </row>
    <row r="964" spans="27:90">
      <c r="AA964" s="350"/>
      <c r="AB964" s="62"/>
      <c r="AC964" s="62"/>
      <c r="AD964" s="62"/>
      <c r="AP964" s="88"/>
      <c r="AQ964" s="88"/>
      <c r="AR964" s="88"/>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99"/>
      <c r="CA964" s="99"/>
      <c r="CB964" s="99"/>
      <c r="CC964" s="99"/>
      <c r="CD964" s="99"/>
      <c r="CE964" s="99"/>
      <c r="CF964" s="99"/>
      <c r="CG964" s="99"/>
      <c r="CH964" s="99"/>
      <c r="CI964" s="99"/>
      <c r="CJ964" s="621"/>
      <c r="CK964" s="621"/>
      <c r="CL964" s="621"/>
    </row>
    <row r="965" spans="27:90">
      <c r="AA965" s="350"/>
      <c r="AB965" s="62"/>
      <c r="AC965" s="62"/>
      <c r="AD965" s="62"/>
      <c r="AP965" s="88"/>
      <c r="AQ965" s="88"/>
      <c r="AR965" s="88"/>
      <c r="AS965" s="99"/>
      <c r="AT965" s="99"/>
      <c r="AU965" s="99"/>
      <c r="AV965" s="99"/>
      <c r="AW965" s="99"/>
      <c r="AX965" s="99"/>
      <c r="AY965" s="99"/>
      <c r="AZ965" s="99"/>
      <c r="BA965" s="99"/>
      <c r="BB965" s="99"/>
      <c r="BC965" s="99"/>
      <c r="BD965" s="99"/>
      <c r="BE965" s="99"/>
      <c r="BF965" s="99"/>
      <c r="BG965" s="99"/>
      <c r="BH965" s="99"/>
      <c r="BI965" s="99"/>
      <c r="BJ965" s="99"/>
      <c r="BK965" s="99"/>
      <c r="BL965" s="99"/>
      <c r="BM965" s="99"/>
      <c r="BN965" s="99"/>
      <c r="BO965" s="99"/>
      <c r="BP965" s="99"/>
      <c r="BQ965" s="99"/>
      <c r="BR965" s="99"/>
      <c r="BS965" s="99"/>
      <c r="BT965" s="99"/>
      <c r="BU965" s="99"/>
      <c r="BV965" s="99"/>
      <c r="BW965" s="99"/>
      <c r="BX965" s="99"/>
      <c r="BY965" s="99"/>
      <c r="BZ965" s="99"/>
      <c r="CA965" s="99"/>
      <c r="CB965" s="99"/>
      <c r="CC965" s="99"/>
      <c r="CD965" s="99"/>
      <c r="CE965" s="99"/>
      <c r="CF965" s="99"/>
      <c r="CG965" s="99"/>
      <c r="CH965" s="99"/>
      <c r="CI965" s="99"/>
      <c r="CJ965" s="621"/>
      <c r="CK965" s="621"/>
      <c r="CL965" s="621"/>
    </row>
    <row r="966" spans="27:90">
      <c r="AA966" s="350"/>
      <c r="AB966" s="62"/>
      <c r="AC966" s="62"/>
      <c r="AD966" s="62"/>
      <c r="AP966" s="88"/>
      <c r="AQ966" s="88"/>
      <c r="AR966" s="88"/>
      <c r="AS966" s="99"/>
      <c r="AT966" s="99"/>
      <c r="AU966" s="99"/>
      <c r="AV966" s="99"/>
      <c r="AW966" s="99"/>
      <c r="AX966" s="99"/>
      <c r="AY966" s="99"/>
      <c r="AZ966" s="99"/>
      <c r="BA966" s="99"/>
      <c r="BB966" s="99"/>
      <c r="BC966" s="99"/>
      <c r="BD966" s="99"/>
      <c r="BE966" s="99"/>
      <c r="BF966" s="99"/>
      <c r="BG966" s="99"/>
      <c r="BH966" s="99"/>
      <c r="BI966" s="99"/>
      <c r="BJ966" s="99"/>
      <c r="BK966" s="99"/>
      <c r="BL966" s="99"/>
      <c r="BM966" s="99"/>
      <c r="BN966" s="99"/>
      <c r="BO966" s="99"/>
      <c r="BP966" s="99"/>
      <c r="BQ966" s="99"/>
      <c r="BR966" s="99"/>
      <c r="BS966" s="99"/>
      <c r="BT966" s="99"/>
      <c r="BU966" s="99"/>
      <c r="BV966" s="99"/>
      <c r="BW966" s="99"/>
      <c r="BX966" s="99"/>
      <c r="BY966" s="99"/>
      <c r="BZ966" s="99"/>
      <c r="CA966" s="99"/>
      <c r="CB966" s="99"/>
      <c r="CC966" s="99"/>
      <c r="CD966" s="99"/>
      <c r="CE966" s="99"/>
      <c r="CF966" s="99"/>
      <c r="CG966" s="99"/>
      <c r="CH966" s="99"/>
      <c r="CI966" s="99"/>
      <c r="CJ966" s="621"/>
      <c r="CK966" s="621"/>
      <c r="CL966" s="621"/>
    </row>
    <row r="967" spans="27:90">
      <c r="AA967" s="350"/>
      <c r="AB967" s="62"/>
      <c r="AC967" s="62"/>
      <c r="AD967" s="62"/>
      <c r="AP967" s="88"/>
      <c r="AQ967" s="88"/>
      <c r="AR967" s="88"/>
      <c r="AS967" s="99"/>
      <c r="AT967" s="99"/>
      <c r="AU967" s="99"/>
      <c r="AV967" s="99"/>
      <c r="AW967" s="99"/>
      <c r="AX967" s="99"/>
      <c r="AY967" s="99"/>
      <c r="AZ967" s="99"/>
      <c r="BA967" s="99"/>
      <c r="BB967" s="99"/>
      <c r="BC967" s="99"/>
      <c r="BD967" s="99"/>
      <c r="BE967" s="99"/>
      <c r="BF967" s="99"/>
      <c r="BG967" s="99"/>
      <c r="BH967" s="99"/>
      <c r="BI967" s="99"/>
      <c r="BJ967" s="99"/>
      <c r="BK967" s="99"/>
      <c r="BL967" s="99"/>
      <c r="BM967" s="99"/>
      <c r="BN967" s="99"/>
      <c r="BO967" s="99"/>
      <c r="BP967" s="99"/>
      <c r="BQ967" s="99"/>
      <c r="BR967" s="99"/>
      <c r="BS967" s="99"/>
      <c r="BT967" s="99"/>
      <c r="BU967" s="99"/>
      <c r="BV967" s="99"/>
      <c r="BW967" s="99"/>
      <c r="BX967" s="99"/>
      <c r="BY967" s="99"/>
      <c r="BZ967" s="99"/>
      <c r="CA967" s="99"/>
      <c r="CB967" s="99"/>
      <c r="CC967" s="99"/>
      <c r="CD967" s="99"/>
      <c r="CE967" s="99"/>
      <c r="CF967" s="99"/>
      <c r="CG967" s="99"/>
      <c r="CH967" s="99"/>
      <c r="CI967" s="99"/>
      <c r="CJ967" s="621"/>
      <c r="CK967" s="621"/>
      <c r="CL967" s="621"/>
    </row>
    <row r="968" spans="27:90">
      <c r="AA968" s="350"/>
      <c r="AB968" s="62"/>
      <c r="AC968" s="62"/>
      <c r="AD968" s="62"/>
      <c r="AP968" s="88"/>
      <c r="AQ968" s="88"/>
      <c r="AR968" s="88"/>
      <c r="AS968" s="99"/>
      <c r="AT968" s="99"/>
      <c r="AU968" s="99"/>
      <c r="AV968" s="99"/>
      <c r="AW968" s="99"/>
      <c r="AX968" s="99"/>
      <c r="AY968" s="99"/>
      <c r="AZ968" s="99"/>
      <c r="BA968" s="99"/>
      <c r="BB968" s="99"/>
      <c r="BC968" s="99"/>
      <c r="BD968" s="99"/>
      <c r="BE968" s="99"/>
      <c r="BF968" s="99"/>
      <c r="BG968" s="99"/>
      <c r="BH968" s="99"/>
      <c r="BI968" s="99"/>
      <c r="BJ968" s="99"/>
      <c r="BK968" s="99"/>
      <c r="BL968" s="99"/>
      <c r="BM968" s="99"/>
      <c r="BN968" s="99"/>
      <c r="BO968" s="99"/>
      <c r="BP968" s="99"/>
      <c r="BQ968" s="99"/>
      <c r="BR968" s="99"/>
      <c r="BS968" s="99"/>
      <c r="BT968" s="99"/>
      <c r="BU968" s="99"/>
      <c r="BV968" s="99"/>
      <c r="BW968" s="99"/>
      <c r="BX968" s="99"/>
      <c r="BY968" s="99"/>
      <c r="BZ968" s="99"/>
      <c r="CA968" s="99"/>
      <c r="CB968" s="99"/>
      <c r="CC968" s="99"/>
      <c r="CD968" s="99"/>
      <c r="CE968" s="99"/>
      <c r="CF968" s="99"/>
      <c r="CG968" s="99"/>
      <c r="CH968" s="99"/>
      <c r="CI968" s="99"/>
      <c r="CJ968" s="621"/>
      <c r="CK968" s="621"/>
      <c r="CL968" s="621"/>
    </row>
    <row r="969" spans="27:90">
      <c r="AA969" s="350"/>
      <c r="AB969" s="62"/>
      <c r="AC969" s="62"/>
      <c r="AD969" s="62"/>
      <c r="AP969" s="88"/>
      <c r="AQ969" s="88"/>
      <c r="AR969" s="88"/>
      <c r="AS969" s="99"/>
      <c r="AT969" s="99"/>
      <c r="AU969" s="99"/>
      <c r="AV969" s="99"/>
      <c r="AW969" s="99"/>
      <c r="AX969" s="99"/>
      <c r="AY969" s="99"/>
      <c r="AZ969" s="99"/>
      <c r="BA969" s="99"/>
      <c r="BB969" s="99"/>
      <c r="BC969" s="99"/>
      <c r="BD969" s="99"/>
      <c r="BE969" s="99"/>
      <c r="BF969" s="99"/>
      <c r="BG969" s="99"/>
      <c r="BH969" s="99"/>
      <c r="BI969" s="99"/>
      <c r="BJ969" s="99"/>
      <c r="BK969" s="99"/>
      <c r="BL969" s="99"/>
      <c r="BM969" s="99"/>
      <c r="BN969" s="99"/>
      <c r="BO969" s="99"/>
      <c r="BP969" s="99"/>
      <c r="BQ969" s="99"/>
      <c r="BR969" s="99"/>
      <c r="BS969" s="99"/>
      <c r="BT969" s="99"/>
      <c r="BU969" s="99"/>
      <c r="BV969" s="99"/>
      <c r="BW969" s="99"/>
      <c r="BX969" s="99"/>
      <c r="BY969" s="99"/>
      <c r="BZ969" s="99"/>
      <c r="CA969" s="99"/>
      <c r="CB969" s="99"/>
      <c r="CC969" s="99"/>
      <c r="CD969" s="99"/>
      <c r="CE969" s="99"/>
      <c r="CF969" s="99"/>
      <c r="CG969" s="99"/>
      <c r="CH969" s="99"/>
      <c r="CI969" s="99"/>
      <c r="CJ969" s="621"/>
      <c r="CK969" s="621"/>
      <c r="CL969" s="621"/>
    </row>
    <row r="970" spans="27:90">
      <c r="AA970" s="350"/>
      <c r="AB970" s="62"/>
      <c r="AC970" s="62"/>
      <c r="AD970" s="62"/>
      <c r="AP970" s="88"/>
      <c r="AQ970" s="88"/>
      <c r="AR970" s="88"/>
      <c r="AS970" s="99"/>
      <c r="AT970" s="99"/>
      <c r="AU970" s="99"/>
      <c r="AV970" s="99"/>
      <c r="AW970" s="99"/>
      <c r="AX970" s="99"/>
      <c r="AY970" s="99"/>
      <c r="AZ970" s="99"/>
      <c r="BA970" s="99"/>
      <c r="BB970" s="99"/>
      <c r="BC970" s="99"/>
      <c r="BD970" s="99"/>
      <c r="BE970" s="99"/>
      <c r="BF970" s="99"/>
      <c r="BG970" s="99"/>
      <c r="BH970" s="99"/>
      <c r="BI970" s="99"/>
      <c r="BJ970" s="99"/>
      <c r="BK970" s="99"/>
      <c r="BL970" s="99"/>
      <c r="BM970" s="99"/>
      <c r="BN970" s="99"/>
      <c r="BO970" s="99"/>
      <c r="BP970" s="99"/>
      <c r="BQ970" s="99"/>
      <c r="BR970" s="99"/>
      <c r="BS970" s="99"/>
      <c r="BT970" s="99"/>
      <c r="BU970" s="99"/>
      <c r="BV970" s="99"/>
      <c r="BW970" s="99"/>
      <c r="BX970" s="99"/>
      <c r="BY970" s="99"/>
      <c r="BZ970" s="99"/>
      <c r="CA970" s="99"/>
      <c r="CB970" s="99"/>
      <c r="CC970" s="99"/>
      <c r="CD970" s="99"/>
      <c r="CE970" s="99"/>
      <c r="CF970" s="99"/>
      <c r="CG970" s="99"/>
      <c r="CH970" s="99"/>
      <c r="CI970" s="99"/>
      <c r="CJ970" s="621"/>
      <c r="CK970" s="621"/>
      <c r="CL970" s="621"/>
    </row>
    <row r="971" spans="27:90">
      <c r="AA971" s="350"/>
      <c r="AB971" s="62"/>
      <c r="AC971" s="62"/>
      <c r="AD971" s="62"/>
      <c r="AP971" s="88"/>
      <c r="AQ971" s="88"/>
      <c r="AR971" s="88"/>
      <c r="AS971" s="99"/>
      <c r="AT971" s="99"/>
      <c r="AU971" s="99"/>
      <c r="AV971" s="99"/>
      <c r="AW971" s="99"/>
      <c r="AX971" s="99"/>
      <c r="AY971" s="99"/>
      <c r="AZ971" s="99"/>
      <c r="BA971" s="99"/>
      <c r="BB971" s="99"/>
      <c r="BC971" s="99"/>
      <c r="BD971" s="99"/>
      <c r="BE971" s="99"/>
      <c r="BF971" s="99"/>
      <c r="BG971" s="99"/>
      <c r="BH971" s="99"/>
      <c r="BI971" s="99"/>
      <c r="BJ971" s="99"/>
      <c r="BK971" s="99"/>
      <c r="BL971" s="99"/>
      <c r="BM971" s="99"/>
      <c r="BN971" s="99"/>
      <c r="BO971" s="99"/>
      <c r="BP971" s="99"/>
      <c r="BQ971" s="99"/>
      <c r="BR971" s="99"/>
      <c r="BS971" s="99"/>
      <c r="BT971" s="99"/>
      <c r="BU971" s="99"/>
      <c r="BV971" s="99"/>
      <c r="BW971" s="99"/>
      <c r="BX971" s="99"/>
      <c r="BY971" s="99"/>
      <c r="BZ971" s="99"/>
      <c r="CA971" s="99"/>
      <c r="CB971" s="99"/>
      <c r="CC971" s="99"/>
      <c r="CD971" s="99"/>
      <c r="CE971" s="99"/>
      <c r="CF971" s="99"/>
      <c r="CG971" s="99"/>
      <c r="CH971" s="99"/>
      <c r="CI971" s="99"/>
      <c r="CJ971" s="621"/>
      <c r="CK971" s="621"/>
      <c r="CL971" s="621"/>
    </row>
    <row r="972" spans="27:90">
      <c r="AA972" s="350"/>
      <c r="AB972" s="62"/>
      <c r="AC972" s="62"/>
      <c r="AD972" s="62"/>
      <c r="AP972" s="88"/>
      <c r="AQ972" s="88"/>
      <c r="AR972" s="88"/>
      <c r="AS972" s="99"/>
      <c r="AT972" s="99"/>
      <c r="AU972" s="99"/>
      <c r="AV972" s="99"/>
      <c r="AW972" s="99"/>
      <c r="AX972" s="99"/>
      <c r="AY972" s="99"/>
      <c r="AZ972" s="99"/>
      <c r="BA972" s="99"/>
      <c r="BB972" s="99"/>
      <c r="BC972" s="99"/>
      <c r="BD972" s="99"/>
      <c r="BE972" s="99"/>
      <c r="BF972" s="99"/>
      <c r="BG972" s="99"/>
      <c r="BH972" s="99"/>
      <c r="BI972" s="99"/>
      <c r="BJ972" s="99"/>
      <c r="BK972" s="99"/>
      <c r="BL972" s="99"/>
      <c r="BM972" s="99"/>
      <c r="BN972" s="99"/>
      <c r="BO972" s="99"/>
      <c r="BP972" s="99"/>
      <c r="BQ972" s="99"/>
      <c r="BR972" s="99"/>
      <c r="BS972" s="99"/>
      <c r="BT972" s="99"/>
      <c r="BU972" s="99"/>
      <c r="BV972" s="99"/>
      <c r="BW972" s="99"/>
      <c r="BX972" s="99"/>
      <c r="BY972" s="99"/>
      <c r="BZ972" s="99"/>
      <c r="CA972" s="99"/>
      <c r="CB972" s="99"/>
      <c r="CC972" s="99"/>
      <c r="CD972" s="99"/>
      <c r="CE972" s="99"/>
      <c r="CF972" s="99"/>
      <c r="CG972" s="99"/>
      <c r="CH972" s="99"/>
      <c r="CI972" s="99"/>
      <c r="CJ972" s="621"/>
      <c r="CK972" s="621"/>
      <c r="CL972" s="621"/>
    </row>
    <row r="973" spans="27:90">
      <c r="AA973" s="350"/>
      <c r="AB973" s="62"/>
      <c r="AC973" s="62"/>
      <c r="AD973" s="62"/>
      <c r="AP973" s="88"/>
      <c r="AQ973" s="88"/>
      <c r="AR973" s="88"/>
      <c r="AS973" s="99"/>
      <c r="AT973" s="99"/>
      <c r="AU973" s="99"/>
      <c r="AV973" s="99"/>
      <c r="AW973" s="99"/>
      <c r="AX973" s="99"/>
      <c r="AY973" s="99"/>
      <c r="AZ973" s="99"/>
      <c r="BA973" s="99"/>
      <c r="BB973" s="99"/>
      <c r="BC973" s="99"/>
      <c r="BD973" s="99"/>
      <c r="BE973" s="99"/>
      <c r="BF973" s="99"/>
      <c r="BG973" s="99"/>
      <c r="BH973" s="99"/>
      <c r="BI973" s="99"/>
      <c r="BJ973" s="99"/>
      <c r="BK973" s="99"/>
      <c r="BL973" s="99"/>
      <c r="BM973" s="99"/>
      <c r="BN973" s="99"/>
      <c r="BO973" s="99"/>
      <c r="BP973" s="99"/>
      <c r="BQ973" s="99"/>
      <c r="BR973" s="99"/>
      <c r="BS973" s="99"/>
      <c r="BT973" s="99"/>
      <c r="BU973" s="99"/>
      <c r="BV973" s="99"/>
      <c r="BW973" s="99"/>
      <c r="BX973" s="99"/>
      <c r="BY973" s="99"/>
      <c r="BZ973" s="99"/>
      <c r="CA973" s="99"/>
      <c r="CB973" s="99"/>
      <c r="CC973" s="99"/>
      <c r="CD973" s="99"/>
      <c r="CE973" s="99"/>
      <c r="CF973" s="99"/>
      <c r="CG973" s="99"/>
      <c r="CH973" s="99"/>
      <c r="CI973" s="99"/>
      <c r="CJ973" s="621"/>
      <c r="CK973" s="621"/>
      <c r="CL973" s="621"/>
    </row>
    <row r="974" spans="27:90">
      <c r="AA974" s="350"/>
      <c r="AB974" s="62"/>
      <c r="AC974" s="62"/>
      <c r="AD974" s="62"/>
      <c r="AP974" s="88"/>
      <c r="AQ974" s="88"/>
      <c r="AR974" s="88"/>
      <c r="AS974" s="99"/>
      <c r="AT974" s="99"/>
      <c r="AU974" s="99"/>
      <c r="AV974" s="99"/>
      <c r="AW974" s="99"/>
      <c r="AX974" s="99"/>
      <c r="AY974" s="99"/>
      <c r="AZ974" s="99"/>
      <c r="BA974" s="99"/>
      <c r="BB974" s="99"/>
      <c r="BC974" s="99"/>
      <c r="BD974" s="99"/>
      <c r="BE974" s="99"/>
      <c r="BF974" s="99"/>
      <c r="BG974" s="99"/>
      <c r="BH974" s="99"/>
      <c r="BI974" s="99"/>
      <c r="BJ974" s="99"/>
      <c r="BK974" s="99"/>
      <c r="BL974" s="99"/>
      <c r="BM974" s="99"/>
      <c r="BN974" s="99"/>
      <c r="BO974" s="99"/>
      <c r="BP974" s="99"/>
      <c r="BQ974" s="99"/>
      <c r="BR974" s="99"/>
      <c r="BS974" s="99"/>
      <c r="BT974" s="99"/>
      <c r="BU974" s="99"/>
      <c r="BV974" s="99"/>
      <c r="BW974" s="99"/>
      <c r="BX974" s="99"/>
      <c r="BY974" s="99"/>
      <c r="BZ974" s="99"/>
      <c r="CA974" s="99"/>
      <c r="CB974" s="99"/>
      <c r="CC974" s="99"/>
      <c r="CD974" s="99"/>
      <c r="CE974" s="99"/>
      <c r="CF974" s="99"/>
      <c r="CG974" s="99"/>
      <c r="CH974" s="99"/>
      <c r="CI974" s="99"/>
      <c r="CJ974" s="621"/>
      <c r="CK974" s="621"/>
      <c r="CL974" s="621"/>
    </row>
    <row r="975" spans="27:90">
      <c r="AA975" s="350"/>
      <c r="AB975" s="62"/>
      <c r="AC975" s="62"/>
      <c r="AD975" s="62"/>
      <c r="AP975" s="88"/>
      <c r="AQ975" s="88"/>
      <c r="AR975" s="88"/>
      <c r="AS975" s="99"/>
      <c r="AT975" s="99"/>
      <c r="AU975" s="99"/>
      <c r="AV975" s="99"/>
      <c r="AW975" s="99"/>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c r="BV975" s="99"/>
      <c r="BW975" s="99"/>
      <c r="BX975" s="99"/>
      <c r="BY975" s="99"/>
      <c r="BZ975" s="99"/>
      <c r="CA975" s="99"/>
      <c r="CB975" s="99"/>
      <c r="CC975" s="99"/>
      <c r="CD975" s="99"/>
      <c r="CE975" s="99"/>
      <c r="CF975" s="99"/>
      <c r="CG975" s="99"/>
      <c r="CH975" s="99"/>
      <c r="CI975" s="99"/>
      <c r="CJ975" s="621"/>
      <c r="CK975" s="621"/>
      <c r="CL975" s="621"/>
    </row>
    <row r="976" spans="27:90">
      <c r="AA976" s="350"/>
      <c r="AB976" s="62"/>
      <c r="AC976" s="62"/>
      <c r="AD976" s="62"/>
      <c r="AP976" s="88"/>
      <c r="AQ976" s="88"/>
      <c r="AR976" s="88"/>
      <c r="AS976" s="99"/>
      <c r="AT976" s="99"/>
      <c r="AU976" s="99"/>
      <c r="AV976" s="99"/>
      <c r="AW976" s="99"/>
      <c r="AX976" s="99"/>
      <c r="AY976" s="99"/>
      <c r="AZ976" s="99"/>
      <c r="BA976" s="99"/>
      <c r="BB976" s="99"/>
      <c r="BC976" s="99"/>
      <c r="BD976" s="99"/>
      <c r="BE976" s="99"/>
      <c r="BF976" s="99"/>
      <c r="BG976" s="99"/>
      <c r="BH976" s="99"/>
      <c r="BI976" s="99"/>
      <c r="BJ976" s="99"/>
      <c r="BK976" s="99"/>
      <c r="BL976" s="99"/>
      <c r="BM976" s="99"/>
      <c r="BN976" s="99"/>
      <c r="BO976" s="99"/>
      <c r="BP976" s="99"/>
      <c r="BQ976" s="99"/>
      <c r="BR976" s="99"/>
      <c r="BS976" s="99"/>
      <c r="BT976" s="99"/>
      <c r="BU976" s="99"/>
      <c r="BV976" s="99"/>
      <c r="BW976" s="99"/>
      <c r="BX976" s="99"/>
      <c r="BY976" s="99"/>
      <c r="BZ976" s="99"/>
      <c r="CA976" s="99"/>
      <c r="CB976" s="99"/>
      <c r="CC976" s="99"/>
      <c r="CD976" s="99"/>
      <c r="CE976" s="99"/>
      <c r="CF976" s="99"/>
      <c r="CG976" s="99"/>
      <c r="CH976" s="99"/>
      <c r="CI976" s="99"/>
      <c r="CJ976" s="621"/>
      <c r="CK976" s="621"/>
      <c r="CL976" s="621"/>
    </row>
    <row r="977" spans="27:90">
      <c r="AA977" s="350"/>
      <c r="AB977" s="62"/>
      <c r="AC977" s="62"/>
      <c r="AD977" s="62"/>
      <c r="AP977" s="88"/>
      <c r="AQ977" s="88"/>
      <c r="AR977" s="88"/>
      <c r="AS977" s="99"/>
      <c r="AT977" s="99"/>
      <c r="AU977" s="99"/>
      <c r="AV977" s="99"/>
      <c r="AW977" s="99"/>
      <c r="AX977" s="99"/>
      <c r="AY977" s="99"/>
      <c r="AZ977" s="99"/>
      <c r="BA977" s="99"/>
      <c r="BB977" s="99"/>
      <c r="BC977" s="99"/>
      <c r="BD977" s="99"/>
      <c r="BE977" s="99"/>
      <c r="BF977" s="99"/>
      <c r="BG977" s="99"/>
      <c r="BH977" s="99"/>
      <c r="BI977" s="99"/>
      <c r="BJ977" s="99"/>
      <c r="BK977" s="99"/>
      <c r="BL977" s="99"/>
      <c r="BM977" s="99"/>
      <c r="BN977" s="99"/>
      <c r="BO977" s="99"/>
      <c r="BP977" s="99"/>
      <c r="BQ977" s="99"/>
      <c r="BR977" s="99"/>
      <c r="BS977" s="99"/>
      <c r="BT977" s="99"/>
      <c r="BU977" s="99"/>
      <c r="BV977" s="99"/>
      <c r="BW977" s="99"/>
      <c r="BX977" s="99"/>
      <c r="BY977" s="99"/>
      <c r="BZ977" s="99"/>
      <c r="CA977" s="99"/>
      <c r="CB977" s="99"/>
      <c r="CC977" s="99"/>
      <c r="CD977" s="99"/>
      <c r="CE977" s="99"/>
      <c r="CF977" s="99"/>
      <c r="CG977" s="99"/>
      <c r="CH977" s="99"/>
      <c r="CI977" s="99"/>
      <c r="CJ977" s="621"/>
      <c r="CK977" s="621"/>
      <c r="CL977" s="621"/>
    </row>
    <row r="978" spans="27:90">
      <c r="AA978" s="350"/>
      <c r="AB978" s="62"/>
      <c r="AC978" s="62"/>
      <c r="AD978" s="62"/>
      <c r="AP978" s="88"/>
      <c r="AQ978" s="88"/>
      <c r="AR978" s="88"/>
      <c r="AS978" s="99"/>
      <c r="AT978" s="99"/>
      <c r="AU978" s="99"/>
      <c r="AV978" s="99"/>
      <c r="AW978" s="99"/>
      <c r="AX978" s="99"/>
      <c r="AY978" s="99"/>
      <c r="AZ978" s="99"/>
      <c r="BA978" s="99"/>
      <c r="BB978" s="99"/>
      <c r="BC978" s="99"/>
      <c r="BD978" s="99"/>
      <c r="BE978" s="99"/>
      <c r="BF978" s="99"/>
      <c r="BG978" s="99"/>
      <c r="BH978" s="99"/>
      <c r="BI978" s="99"/>
      <c r="BJ978" s="99"/>
      <c r="BK978" s="99"/>
      <c r="BL978" s="99"/>
      <c r="BM978" s="99"/>
      <c r="BN978" s="99"/>
      <c r="BO978" s="99"/>
      <c r="BP978" s="99"/>
      <c r="BQ978" s="99"/>
      <c r="BR978" s="99"/>
      <c r="BS978" s="99"/>
      <c r="BT978" s="99"/>
      <c r="BU978" s="99"/>
      <c r="BV978" s="99"/>
      <c r="BW978" s="99"/>
      <c r="BX978" s="99"/>
      <c r="BY978" s="99"/>
      <c r="BZ978" s="99"/>
      <c r="CA978" s="99"/>
      <c r="CB978" s="99"/>
      <c r="CC978" s="99"/>
      <c r="CD978" s="99"/>
      <c r="CE978" s="99"/>
      <c r="CF978" s="99"/>
      <c r="CG978" s="99"/>
      <c r="CH978" s="99"/>
      <c r="CI978" s="99"/>
      <c r="CJ978" s="621"/>
      <c r="CK978" s="621"/>
      <c r="CL978" s="621"/>
    </row>
    <row r="979" spans="27:90">
      <c r="AA979" s="350"/>
      <c r="AB979" s="62"/>
      <c r="AC979" s="62"/>
      <c r="AD979" s="62"/>
      <c r="AP979" s="88"/>
      <c r="AQ979" s="88"/>
      <c r="AR979" s="88"/>
      <c r="AS979" s="99"/>
      <c r="AT979" s="99"/>
      <c r="AU979" s="99"/>
      <c r="AV979" s="99"/>
      <c r="AW979" s="99"/>
      <c r="AX979" s="99"/>
      <c r="AY979" s="99"/>
      <c r="AZ979" s="99"/>
      <c r="BA979" s="99"/>
      <c r="BB979" s="99"/>
      <c r="BC979" s="99"/>
      <c r="BD979" s="99"/>
      <c r="BE979" s="99"/>
      <c r="BF979" s="99"/>
      <c r="BG979" s="99"/>
      <c r="BH979" s="99"/>
      <c r="BI979" s="99"/>
      <c r="BJ979" s="99"/>
      <c r="BK979" s="99"/>
      <c r="BL979" s="99"/>
      <c r="BM979" s="99"/>
      <c r="BN979" s="99"/>
      <c r="BO979" s="99"/>
      <c r="BP979" s="99"/>
      <c r="BQ979" s="99"/>
      <c r="BR979" s="99"/>
      <c r="BS979" s="99"/>
      <c r="BT979" s="99"/>
      <c r="BU979" s="99"/>
      <c r="BV979" s="99"/>
      <c r="BW979" s="99"/>
      <c r="BX979" s="99"/>
      <c r="BY979" s="99"/>
      <c r="BZ979" s="99"/>
      <c r="CA979" s="99"/>
      <c r="CB979" s="99"/>
      <c r="CC979" s="99"/>
      <c r="CD979" s="99"/>
      <c r="CE979" s="99"/>
      <c r="CF979" s="99"/>
      <c r="CG979" s="99"/>
      <c r="CH979" s="99"/>
      <c r="CI979" s="99"/>
      <c r="CJ979" s="621"/>
      <c r="CK979" s="621"/>
      <c r="CL979" s="621"/>
    </row>
    <row r="980" spans="27:90">
      <c r="AA980" s="350"/>
      <c r="AB980" s="62"/>
      <c r="AC980" s="62"/>
      <c r="AD980" s="62"/>
      <c r="AP980" s="88"/>
      <c r="AQ980" s="88"/>
      <c r="AR980" s="88"/>
      <c r="AS980" s="99"/>
      <c r="AT980" s="99"/>
      <c r="AU980" s="99"/>
      <c r="AV980" s="99"/>
      <c r="AW980" s="99"/>
      <c r="AX980" s="99"/>
      <c r="AY980" s="99"/>
      <c r="AZ980" s="99"/>
      <c r="BA980" s="99"/>
      <c r="BB980" s="99"/>
      <c r="BC980" s="99"/>
      <c r="BD980" s="99"/>
      <c r="BE980" s="99"/>
      <c r="BF980" s="99"/>
      <c r="BG980" s="99"/>
      <c r="BH980" s="99"/>
      <c r="BI980" s="99"/>
      <c r="BJ980" s="99"/>
      <c r="BK980" s="99"/>
      <c r="BL980" s="99"/>
      <c r="BM980" s="99"/>
      <c r="BN980" s="99"/>
      <c r="BO980" s="99"/>
      <c r="BP980" s="99"/>
      <c r="BQ980" s="99"/>
      <c r="BR980" s="99"/>
      <c r="BS980" s="99"/>
      <c r="BT980" s="99"/>
      <c r="BU980" s="99"/>
      <c r="BV980" s="99"/>
      <c r="BW980" s="99"/>
      <c r="BX980" s="99"/>
      <c r="BY980" s="99"/>
      <c r="BZ980" s="99"/>
      <c r="CA980" s="99"/>
      <c r="CB980" s="99"/>
      <c r="CC980" s="99"/>
      <c r="CD980" s="99"/>
      <c r="CE980" s="99"/>
      <c r="CF980" s="99"/>
      <c r="CG980" s="99"/>
      <c r="CH980" s="99"/>
      <c r="CI980" s="99"/>
      <c r="CJ980" s="621"/>
      <c r="CK980" s="621"/>
      <c r="CL980" s="621"/>
    </row>
    <row r="981" spans="27:90">
      <c r="AA981" s="350"/>
      <c r="AB981" s="62"/>
      <c r="AC981" s="62"/>
      <c r="AD981" s="62"/>
      <c r="AP981" s="88"/>
      <c r="AQ981" s="88"/>
      <c r="AR981" s="88"/>
      <c r="AS981" s="99"/>
      <c r="AT981" s="99"/>
      <c r="AU981" s="99"/>
      <c r="AV981" s="99"/>
      <c r="AW981" s="99"/>
      <c r="AX981" s="99"/>
      <c r="AY981" s="99"/>
      <c r="AZ981" s="99"/>
      <c r="BA981" s="99"/>
      <c r="BB981" s="99"/>
      <c r="BC981" s="99"/>
      <c r="BD981" s="99"/>
      <c r="BE981" s="99"/>
      <c r="BF981" s="99"/>
      <c r="BG981" s="99"/>
      <c r="BH981" s="99"/>
      <c r="BI981" s="99"/>
      <c r="BJ981" s="99"/>
      <c r="BK981" s="99"/>
      <c r="BL981" s="99"/>
      <c r="BM981" s="99"/>
      <c r="BN981" s="99"/>
      <c r="BO981" s="99"/>
      <c r="BP981" s="99"/>
      <c r="BQ981" s="99"/>
      <c r="BR981" s="99"/>
      <c r="BS981" s="99"/>
      <c r="BT981" s="99"/>
      <c r="BU981" s="99"/>
      <c r="BV981" s="99"/>
      <c r="BW981" s="99"/>
      <c r="BX981" s="99"/>
      <c r="BY981" s="99"/>
      <c r="BZ981" s="99"/>
      <c r="CA981" s="99"/>
      <c r="CB981" s="99"/>
      <c r="CC981" s="99"/>
      <c r="CD981" s="99"/>
      <c r="CE981" s="99"/>
      <c r="CF981" s="99"/>
      <c r="CG981" s="99"/>
      <c r="CH981" s="99"/>
      <c r="CI981" s="99"/>
      <c r="CJ981" s="621"/>
      <c r="CK981" s="621"/>
      <c r="CL981" s="621"/>
    </row>
    <row r="982" spans="27:90">
      <c r="AA982" s="350"/>
      <c r="AB982" s="62"/>
      <c r="AC982" s="62"/>
      <c r="AD982" s="62"/>
      <c r="AP982" s="88"/>
      <c r="AQ982" s="88"/>
      <c r="AR982" s="88"/>
      <c r="AS982" s="99"/>
      <c r="AT982" s="99"/>
      <c r="AU982" s="99"/>
      <c r="AV982" s="99"/>
      <c r="AW982" s="99"/>
      <c r="AX982" s="99"/>
      <c r="AY982" s="99"/>
      <c r="AZ982" s="99"/>
      <c r="BA982" s="99"/>
      <c r="BB982" s="99"/>
      <c r="BC982" s="99"/>
      <c r="BD982" s="99"/>
      <c r="BE982" s="99"/>
      <c r="BF982" s="99"/>
      <c r="BG982" s="99"/>
      <c r="BH982" s="99"/>
      <c r="BI982" s="99"/>
      <c r="BJ982" s="99"/>
      <c r="BK982" s="99"/>
      <c r="BL982" s="99"/>
      <c r="BM982" s="99"/>
      <c r="BN982" s="99"/>
      <c r="BO982" s="99"/>
      <c r="BP982" s="99"/>
      <c r="BQ982" s="99"/>
      <c r="BR982" s="99"/>
      <c r="BS982" s="99"/>
      <c r="BT982" s="99"/>
      <c r="BU982" s="99"/>
      <c r="BV982" s="99"/>
      <c r="BW982" s="99"/>
      <c r="BX982" s="99"/>
      <c r="BY982" s="99"/>
      <c r="BZ982" s="99"/>
      <c r="CA982" s="99"/>
      <c r="CB982" s="99"/>
      <c r="CC982" s="99"/>
      <c r="CD982" s="99"/>
      <c r="CE982" s="99"/>
      <c r="CF982" s="99"/>
      <c r="CG982" s="99"/>
      <c r="CH982" s="99"/>
      <c r="CI982" s="99"/>
      <c r="CJ982" s="621"/>
      <c r="CK982" s="621"/>
      <c r="CL982" s="621"/>
    </row>
    <row r="983" spans="27:90">
      <c r="AA983" s="350"/>
      <c r="AB983" s="62"/>
      <c r="AC983" s="62"/>
      <c r="AD983" s="62"/>
      <c r="AP983" s="88"/>
      <c r="AQ983" s="88"/>
      <c r="AR983" s="88"/>
      <c r="AS983" s="99"/>
      <c r="AT983" s="99"/>
      <c r="AU983" s="99"/>
      <c r="AV983" s="99"/>
      <c r="AW983" s="99"/>
      <c r="AX983" s="99"/>
      <c r="AY983" s="99"/>
      <c r="AZ983" s="99"/>
      <c r="BA983" s="99"/>
      <c r="BB983" s="99"/>
      <c r="BC983" s="99"/>
      <c r="BD983" s="99"/>
      <c r="BE983" s="99"/>
      <c r="BF983" s="99"/>
      <c r="BG983" s="99"/>
      <c r="BH983" s="99"/>
      <c r="BI983" s="99"/>
      <c r="BJ983" s="99"/>
      <c r="BK983" s="99"/>
      <c r="BL983" s="99"/>
      <c r="BM983" s="99"/>
      <c r="BN983" s="99"/>
      <c r="BO983" s="99"/>
      <c r="BP983" s="99"/>
      <c r="BQ983" s="99"/>
      <c r="BR983" s="99"/>
      <c r="BS983" s="99"/>
      <c r="BT983" s="99"/>
      <c r="BU983" s="99"/>
      <c r="BV983" s="99"/>
      <c r="BW983" s="99"/>
      <c r="BX983" s="99"/>
      <c r="BY983" s="99"/>
      <c r="BZ983" s="99"/>
      <c r="CA983" s="99"/>
      <c r="CB983" s="99"/>
      <c r="CC983" s="99"/>
      <c r="CD983" s="99"/>
      <c r="CE983" s="99"/>
      <c r="CF983" s="99"/>
      <c r="CG983" s="99"/>
      <c r="CH983" s="99"/>
      <c r="CI983" s="99"/>
      <c r="CJ983" s="621"/>
      <c r="CK983" s="621"/>
      <c r="CL983" s="621"/>
    </row>
    <row r="984" spans="27:90">
      <c r="AA984" s="350"/>
      <c r="AB984" s="62"/>
      <c r="AC984" s="62"/>
      <c r="AD984" s="62"/>
      <c r="AP984" s="88"/>
      <c r="AQ984" s="88"/>
      <c r="AR984" s="88"/>
      <c r="AS984" s="99"/>
      <c r="AT984" s="99"/>
      <c r="AU984" s="99"/>
      <c r="AV984" s="99"/>
      <c r="AW984" s="99"/>
      <c r="AX984" s="99"/>
      <c r="AY984" s="99"/>
      <c r="AZ984" s="99"/>
      <c r="BA984" s="99"/>
      <c r="BB984" s="99"/>
      <c r="BC984" s="99"/>
      <c r="BD984" s="99"/>
      <c r="BE984" s="99"/>
      <c r="BF984" s="99"/>
      <c r="BG984" s="99"/>
      <c r="BH984" s="99"/>
      <c r="BI984" s="99"/>
      <c r="BJ984" s="99"/>
      <c r="BK984" s="99"/>
      <c r="BL984" s="99"/>
      <c r="BM984" s="99"/>
      <c r="BN984" s="99"/>
      <c r="BO984" s="99"/>
      <c r="BP984" s="99"/>
      <c r="BQ984" s="99"/>
      <c r="BR984" s="99"/>
      <c r="BS984" s="99"/>
      <c r="BT984" s="99"/>
      <c r="BU984" s="99"/>
      <c r="BV984" s="99"/>
      <c r="BW984" s="99"/>
      <c r="BX984" s="99"/>
      <c r="BY984" s="99"/>
      <c r="BZ984" s="99"/>
      <c r="CA984" s="99"/>
      <c r="CB984" s="99"/>
      <c r="CC984" s="99"/>
      <c r="CD984" s="99"/>
      <c r="CE984" s="99"/>
      <c r="CF984" s="99"/>
      <c r="CG984" s="99"/>
      <c r="CH984" s="99"/>
      <c r="CI984" s="99"/>
      <c r="CJ984" s="621"/>
      <c r="CK984" s="621"/>
      <c r="CL984" s="621"/>
    </row>
    <row r="985" spans="27:90">
      <c r="AA985" s="350"/>
      <c r="AB985" s="62"/>
      <c r="AC985" s="62"/>
      <c r="AD985" s="62"/>
      <c r="AP985" s="88"/>
      <c r="AQ985" s="88"/>
      <c r="AR985" s="88"/>
      <c r="AS985" s="99"/>
      <c r="AT985" s="99"/>
      <c r="AU985" s="99"/>
      <c r="AV985" s="99"/>
      <c r="AW985" s="99"/>
      <c r="AX985" s="99"/>
      <c r="AY985" s="99"/>
      <c r="AZ985" s="99"/>
      <c r="BA985" s="99"/>
      <c r="BB985" s="99"/>
      <c r="BC985" s="99"/>
      <c r="BD985" s="99"/>
      <c r="BE985" s="99"/>
      <c r="BF985" s="99"/>
      <c r="BG985" s="99"/>
      <c r="BH985" s="99"/>
      <c r="BI985" s="99"/>
      <c r="BJ985" s="99"/>
      <c r="BK985" s="99"/>
      <c r="BL985" s="99"/>
      <c r="BM985" s="99"/>
      <c r="BN985" s="99"/>
      <c r="BO985" s="99"/>
      <c r="BP985" s="99"/>
      <c r="BQ985" s="99"/>
      <c r="BR985" s="99"/>
      <c r="BS985" s="99"/>
      <c r="BT985" s="99"/>
      <c r="BU985" s="99"/>
      <c r="BV985" s="99"/>
      <c r="BW985" s="99"/>
      <c r="BX985" s="99"/>
      <c r="BY985" s="99"/>
      <c r="BZ985" s="99"/>
      <c r="CA985" s="99"/>
      <c r="CB985" s="99"/>
      <c r="CC985" s="99"/>
      <c r="CD985" s="99"/>
      <c r="CE985" s="99"/>
      <c r="CF985" s="99"/>
      <c r="CG985" s="99"/>
      <c r="CH985" s="99"/>
      <c r="CI985" s="99"/>
      <c r="CJ985" s="621"/>
      <c r="CK985" s="621"/>
      <c r="CL985" s="621"/>
    </row>
    <row r="986" spans="27:90">
      <c r="AA986" s="350"/>
      <c r="AB986" s="62"/>
      <c r="AC986" s="62"/>
      <c r="AD986" s="62"/>
      <c r="AP986" s="88"/>
      <c r="AQ986" s="88"/>
      <c r="AR986" s="88"/>
      <c r="AS986" s="99"/>
      <c r="AT986" s="99"/>
      <c r="AU986" s="99"/>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c r="BV986" s="99"/>
      <c r="BW986" s="99"/>
      <c r="BX986" s="99"/>
      <c r="BY986" s="99"/>
      <c r="BZ986" s="99"/>
      <c r="CA986" s="99"/>
      <c r="CB986" s="99"/>
      <c r="CC986" s="99"/>
      <c r="CD986" s="99"/>
      <c r="CE986" s="99"/>
      <c r="CF986" s="99"/>
      <c r="CG986" s="99"/>
      <c r="CH986" s="99"/>
      <c r="CI986" s="99"/>
      <c r="CJ986" s="621"/>
      <c r="CK986" s="621"/>
      <c r="CL986" s="621"/>
    </row>
    <row r="987" spans="27:90">
      <c r="AA987" s="350"/>
      <c r="AB987" s="62"/>
      <c r="AC987" s="62"/>
      <c r="AD987" s="62"/>
      <c r="AP987" s="88"/>
      <c r="AQ987" s="88"/>
      <c r="AR987" s="88"/>
      <c r="AS987" s="99"/>
      <c r="AT987" s="99"/>
      <c r="AU987" s="99"/>
      <c r="AV987" s="99"/>
      <c r="AW987" s="99"/>
      <c r="AX987" s="99"/>
      <c r="AY987" s="99"/>
      <c r="AZ987" s="99"/>
      <c r="BA987" s="99"/>
      <c r="BB987" s="99"/>
      <c r="BC987" s="99"/>
      <c r="BD987" s="99"/>
      <c r="BE987" s="99"/>
      <c r="BF987" s="99"/>
      <c r="BG987" s="99"/>
      <c r="BH987" s="99"/>
      <c r="BI987" s="99"/>
      <c r="BJ987" s="99"/>
      <c r="BK987" s="99"/>
      <c r="BL987" s="99"/>
      <c r="BM987" s="99"/>
      <c r="BN987" s="99"/>
      <c r="BO987" s="99"/>
      <c r="BP987" s="99"/>
      <c r="BQ987" s="99"/>
      <c r="BR987" s="99"/>
      <c r="BS987" s="99"/>
      <c r="BT987" s="99"/>
      <c r="BU987" s="99"/>
      <c r="BV987" s="99"/>
      <c r="BW987" s="99"/>
      <c r="BX987" s="99"/>
      <c r="BY987" s="99"/>
      <c r="BZ987" s="99"/>
      <c r="CA987" s="99"/>
      <c r="CB987" s="99"/>
      <c r="CC987" s="99"/>
      <c r="CD987" s="99"/>
      <c r="CE987" s="99"/>
      <c r="CF987" s="99"/>
      <c r="CG987" s="99"/>
      <c r="CH987" s="99"/>
      <c r="CI987" s="99"/>
      <c r="CJ987" s="621"/>
      <c r="CK987" s="621"/>
      <c r="CL987" s="621"/>
    </row>
    <row r="988" spans="27:90">
      <c r="AA988" s="350"/>
      <c r="AB988" s="62"/>
      <c r="AC988" s="62"/>
      <c r="AD988" s="62"/>
      <c r="AP988" s="88"/>
      <c r="AQ988" s="88"/>
      <c r="AR988" s="88"/>
      <c r="AS988" s="99"/>
      <c r="AT988" s="99"/>
      <c r="AU988" s="99"/>
      <c r="AV988" s="99"/>
      <c r="AW988" s="99"/>
      <c r="AX988" s="99"/>
      <c r="AY988" s="99"/>
      <c r="AZ988" s="99"/>
      <c r="BA988" s="99"/>
      <c r="BB988" s="99"/>
      <c r="BC988" s="99"/>
      <c r="BD988" s="99"/>
      <c r="BE988" s="99"/>
      <c r="BF988" s="99"/>
      <c r="BG988" s="99"/>
      <c r="BH988" s="99"/>
      <c r="BI988" s="99"/>
      <c r="BJ988" s="99"/>
      <c r="BK988" s="99"/>
      <c r="BL988" s="99"/>
      <c r="BM988" s="99"/>
      <c r="BN988" s="99"/>
      <c r="BO988" s="99"/>
      <c r="BP988" s="99"/>
      <c r="BQ988" s="99"/>
      <c r="BR988" s="99"/>
      <c r="BS988" s="99"/>
      <c r="BT988" s="99"/>
      <c r="BU988" s="99"/>
      <c r="BV988" s="99"/>
      <c r="BW988" s="99"/>
      <c r="BX988" s="99"/>
      <c r="BY988" s="99"/>
      <c r="BZ988" s="99"/>
      <c r="CA988" s="99"/>
      <c r="CB988" s="99"/>
      <c r="CC988" s="99"/>
      <c r="CD988" s="99"/>
      <c r="CE988" s="99"/>
      <c r="CF988" s="99"/>
      <c r="CG988" s="99"/>
      <c r="CH988" s="99"/>
      <c r="CI988" s="99"/>
      <c r="CJ988" s="621"/>
      <c r="CK988" s="621"/>
      <c r="CL988" s="621"/>
    </row>
    <row r="989" spans="27:90">
      <c r="AA989" s="350"/>
      <c r="AB989" s="62"/>
      <c r="AC989" s="62"/>
      <c r="AD989" s="62"/>
      <c r="AP989" s="88"/>
      <c r="AQ989" s="88"/>
      <c r="AR989" s="88"/>
      <c r="AS989" s="99"/>
      <c r="AT989" s="99"/>
      <c r="AU989" s="99"/>
      <c r="AV989" s="99"/>
      <c r="AW989" s="99"/>
      <c r="AX989" s="99"/>
      <c r="AY989" s="99"/>
      <c r="AZ989" s="99"/>
      <c r="BA989" s="99"/>
      <c r="BB989" s="99"/>
      <c r="BC989" s="99"/>
      <c r="BD989" s="99"/>
      <c r="BE989" s="99"/>
      <c r="BF989" s="99"/>
      <c r="BG989" s="99"/>
      <c r="BH989" s="99"/>
      <c r="BI989" s="99"/>
      <c r="BJ989" s="99"/>
      <c r="BK989" s="99"/>
      <c r="BL989" s="99"/>
      <c r="BM989" s="99"/>
      <c r="BN989" s="99"/>
      <c r="BO989" s="99"/>
      <c r="BP989" s="99"/>
      <c r="BQ989" s="99"/>
      <c r="BR989" s="99"/>
      <c r="BS989" s="99"/>
      <c r="BT989" s="99"/>
      <c r="BU989" s="99"/>
      <c r="BV989" s="99"/>
      <c r="BW989" s="99"/>
      <c r="BX989" s="99"/>
      <c r="BY989" s="99"/>
      <c r="BZ989" s="99"/>
      <c r="CA989" s="99"/>
      <c r="CB989" s="99"/>
      <c r="CC989" s="99"/>
      <c r="CD989" s="99"/>
      <c r="CE989" s="99"/>
      <c r="CF989" s="99"/>
      <c r="CG989" s="99"/>
      <c r="CH989" s="99"/>
      <c r="CI989" s="99"/>
      <c r="CJ989" s="621"/>
      <c r="CK989" s="621"/>
      <c r="CL989" s="621"/>
    </row>
    <row r="990" spans="27:90">
      <c r="AA990" s="350"/>
      <c r="AB990" s="62"/>
      <c r="AC990" s="62"/>
      <c r="AD990" s="62"/>
      <c r="AP990" s="88"/>
      <c r="AQ990" s="88"/>
      <c r="AR990" s="88"/>
      <c r="AS990" s="99"/>
      <c r="AT990" s="99"/>
      <c r="AU990" s="99"/>
      <c r="AV990" s="99"/>
      <c r="AW990" s="99"/>
      <c r="AX990" s="99"/>
      <c r="AY990" s="99"/>
      <c r="AZ990" s="99"/>
      <c r="BA990" s="99"/>
      <c r="BB990" s="99"/>
      <c r="BC990" s="99"/>
      <c r="BD990" s="99"/>
      <c r="BE990" s="99"/>
      <c r="BF990" s="99"/>
      <c r="BG990" s="99"/>
      <c r="BH990" s="99"/>
      <c r="BI990" s="99"/>
      <c r="BJ990" s="99"/>
      <c r="BK990" s="99"/>
      <c r="BL990" s="99"/>
      <c r="BM990" s="99"/>
      <c r="BN990" s="99"/>
      <c r="BO990" s="99"/>
      <c r="BP990" s="99"/>
      <c r="BQ990" s="99"/>
      <c r="BR990" s="99"/>
      <c r="BS990" s="99"/>
      <c r="BT990" s="99"/>
      <c r="BU990" s="99"/>
      <c r="BV990" s="99"/>
      <c r="BW990" s="99"/>
      <c r="BX990" s="99"/>
      <c r="BY990" s="99"/>
      <c r="BZ990" s="99"/>
      <c r="CA990" s="99"/>
      <c r="CB990" s="99"/>
      <c r="CC990" s="99"/>
      <c r="CD990" s="99"/>
      <c r="CE990" s="99"/>
      <c r="CF990" s="99"/>
      <c r="CG990" s="99"/>
      <c r="CH990" s="99"/>
      <c r="CI990" s="99"/>
      <c r="CJ990" s="621"/>
      <c r="CK990" s="621"/>
      <c r="CL990" s="621"/>
    </row>
    <row r="991" spans="27:90">
      <c r="AA991" s="350"/>
      <c r="AB991" s="62"/>
      <c r="AC991" s="62"/>
      <c r="AD991" s="62"/>
      <c r="AP991" s="88"/>
      <c r="AQ991" s="88"/>
      <c r="AR991" s="88"/>
      <c r="AS991" s="99"/>
      <c r="AT991" s="99"/>
      <c r="AU991" s="99"/>
      <c r="AV991" s="99"/>
      <c r="AW991" s="99"/>
      <c r="AX991" s="99"/>
      <c r="AY991" s="99"/>
      <c r="AZ991" s="99"/>
      <c r="BA991" s="99"/>
      <c r="BB991" s="99"/>
      <c r="BC991" s="99"/>
      <c r="BD991" s="99"/>
      <c r="BE991" s="99"/>
      <c r="BF991" s="99"/>
      <c r="BG991" s="99"/>
      <c r="BH991" s="99"/>
      <c r="BI991" s="99"/>
      <c r="BJ991" s="99"/>
      <c r="BK991" s="99"/>
      <c r="BL991" s="99"/>
      <c r="BM991" s="99"/>
      <c r="BN991" s="99"/>
      <c r="BO991" s="99"/>
      <c r="BP991" s="99"/>
      <c r="BQ991" s="99"/>
      <c r="BR991" s="99"/>
      <c r="BS991" s="99"/>
      <c r="BT991" s="99"/>
      <c r="BU991" s="99"/>
      <c r="BV991" s="99"/>
      <c r="BW991" s="99"/>
      <c r="BX991" s="99"/>
      <c r="BY991" s="99"/>
      <c r="BZ991" s="99"/>
      <c r="CA991" s="99"/>
      <c r="CB991" s="99"/>
      <c r="CC991" s="99"/>
      <c r="CD991" s="99"/>
      <c r="CE991" s="99"/>
      <c r="CF991" s="99"/>
      <c r="CG991" s="99"/>
      <c r="CH991" s="99"/>
      <c r="CI991" s="99"/>
      <c r="CJ991" s="621"/>
      <c r="CK991" s="621"/>
      <c r="CL991" s="621"/>
    </row>
    <row r="992" spans="27:90">
      <c r="AA992" s="350"/>
      <c r="AB992" s="62"/>
      <c r="AC992" s="62"/>
      <c r="AD992" s="62"/>
      <c r="AP992" s="88"/>
      <c r="AQ992" s="88"/>
      <c r="AR992" s="88"/>
      <c r="AS992" s="99"/>
      <c r="AT992" s="99"/>
      <c r="AU992" s="99"/>
      <c r="AV992" s="99"/>
      <c r="AW992" s="99"/>
      <c r="AX992" s="99"/>
      <c r="AY992" s="99"/>
      <c r="AZ992" s="99"/>
      <c r="BA992" s="99"/>
      <c r="BB992" s="99"/>
      <c r="BC992" s="99"/>
      <c r="BD992" s="99"/>
      <c r="BE992" s="99"/>
      <c r="BF992" s="99"/>
      <c r="BG992" s="99"/>
      <c r="BH992" s="99"/>
      <c r="BI992" s="99"/>
      <c r="BJ992" s="99"/>
      <c r="BK992" s="99"/>
      <c r="BL992" s="99"/>
      <c r="BM992" s="99"/>
      <c r="BN992" s="99"/>
      <c r="BO992" s="99"/>
      <c r="BP992" s="99"/>
      <c r="BQ992" s="99"/>
      <c r="BR992" s="99"/>
      <c r="BS992" s="99"/>
      <c r="BT992" s="99"/>
      <c r="BU992" s="99"/>
      <c r="BV992" s="99"/>
      <c r="BW992" s="99"/>
      <c r="BX992" s="99"/>
      <c r="BY992" s="99"/>
      <c r="BZ992" s="99"/>
      <c r="CA992" s="99"/>
      <c r="CB992" s="99"/>
      <c r="CC992" s="99"/>
      <c r="CD992" s="99"/>
      <c r="CE992" s="99"/>
      <c r="CF992" s="99"/>
      <c r="CG992" s="99"/>
      <c r="CH992" s="99"/>
      <c r="CI992" s="99"/>
      <c r="CJ992" s="621"/>
      <c r="CK992" s="621"/>
      <c r="CL992" s="621"/>
    </row>
    <row r="993" spans="27:90">
      <c r="AA993" s="350"/>
      <c r="AB993" s="62"/>
      <c r="AC993" s="62"/>
      <c r="AD993" s="62"/>
      <c r="AP993" s="88"/>
      <c r="AQ993" s="88"/>
      <c r="AR993" s="88"/>
      <c r="AS993" s="99"/>
      <c r="AT993" s="99"/>
      <c r="AU993" s="99"/>
      <c r="AV993" s="99"/>
      <c r="AW993" s="99"/>
      <c r="AX993" s="99"/>
      <c r="AY993" s="99"/>
      <c r="AZ993" s="99"/>
      <c r="BA993" s="99"/>
      <c r="BB993" s="99"/>
      <c r="BC993" s="99"/>
      <c r="BD993" s="99"/>
      <c r="BE993" s="99"/>
      <c r="BF993" s="99"/>
      <c r="BG993" s="99"/>
      <c r="BH993" s="99"/>
      <c r="BI993" s="99"/>
      <c r="BJ993" s="99"/>
      <c r="BK993" s="99"/>
      <c r="BL993" s="99"/>
      <c r="BM993" s="99"/>
      <c r="BN993" s="99"/>
      <c r="BO993" s="99"/>
      <c r="BP993" s="99"/>
      <c r="BQ993" s="99"/>
      <c r="BR993" s="99"/>
      <c r="BS993" s="99"/>
      <c r="BT993" s="99"/>
      <c r="BU993" s="99"/>
      <c r="BV993" s="99"/>
      <c r="BW993" s="99"/>
      <c r="BX993" s="99"/>
      <c r="BY993" s="99"/>
      <c r="BZ993" s="99"/>
      <c r="CA993" s="99"/>
      <c r="CB993" s="99"/>
      <c r="CC993" s="99"/>
      <c r="CD993" s="99"/>
      <c r="CE993" s="99"/>
      <c r="CF993" s="99"/>
      <c r="CG993" s="99"/>
      <c r="CH993" s="99"/>
      <c r="CI993" s="99"/>
      <c r="CJ993" s="621"/>
      <c r="CK993" s="621"/>
      <c r="CL993" s="621"/>
    </row>
    <row r="994" spans="27:90">
      <c r="AA994" s="350"/>
      <c r="AB994" s="62"/>
      <c r="AC994" s="62"/>
      <c r="AD994" s="62"/>
      <c r="AP994" s="88"/>
      <c r="AQ994" s="88"/>
      <c r="AR994" s="88"/>
      <c r="AS994" s="99"/>
      <c r="AT994" s="99"/>
      <c r="AU994" s="99"/>
      <c r="AV994" s="99"/>
      <c r="AW994" s="99"/>
      <c r="AX994" s="99"/>
      <c r="AY994" s="99"/>
      <c r="AZ994" s="99"/>
      <c r="BA994" s="99"/>
      <c r="BB994" s="99"/>
      <c r="BC994" s="99"/>
      <c r="BD994" s="99"/>
      <c r="BE994" s="99"/>
      <c r="BF994" s="99"/>
      <c r="BG994" s="99"/>
      <c r="BH994" s="99"/>
      <c r="BI994" s="99"/>
      <c r="BJ994" s="99"/>
      <c r="BK994" s="99"/>
      <c r="BL994" s="99"/>
      <c r="BM994" s="99"/>
      <c r="BN994" s="99"/>
      <c r="BO994" s="99"/>
      <c r="BP994" s="99"/>
      <c r="BQ994" s="99"/>
      <c r="BR994" s="99"/>
      <c r="BS994" s="99"/>
      <c r="BT994" s="99"/>
      <c r="BU994" s="99"/>
      <c r="BV994" s="99"/>
      <c r="BW994" s="99"/>
      <c r="BX994" s="99"/>
      <c r="BY994" s="99"/>
      <c r="BZ994" s="99"/>
      <c r="CA994" s="99"/>
      <c r="CB994" s="99"/>
      <c r="CC994" s="99"/>
      <c r="CD994" s="99"/>
      <c r="CE994" s="99"/>
      <c r="CF994" s="99"/>
      <c r="CG994" s="99"/>
      <c r="CH994" s="99"/>
      <c r="CI994" s="99"/>
      <c r="CJ994" s="621"/>
      <c r="CK994" s="621"/>
      <c r="CL994" s="621"/>
    </row>
    <row r="995" spans="27:90">
      <c r="AA995" s="350"/>
      <c r="AB995" s="62"/>
      <c r="AC995" s="62"/>
      <c r="AD995" s="62"/>
      <c r="AP995" s="88"/>
      <c r="AQ995" s="88"/>
      <c r="AR995" s="88"/>
      <c r="AS995" s="99"/>
      <c r="AT995" s="99"/>
      <c r="AU995" s="99"/>
      <c r="AV995" s="99"/>
      <c r="AW995" s="99"/>
      <c r="AX995" s="99"/>
      <c r="AY995" s="99"/>
      <c r="AZ995" s="99"/>
      <c r="BA995" s="99"/>
      <c r="BB995" s="99"/>
      <c r="BC995" s="99"/>
      <c r="BD995" s="99"/>
      <c r="BE995" s="99"/>
      <c r="BF995" s="99"/>
      <c r="BG995" s="99"/>
      <c r="BH995" s="99"/>
      <c r="BI995" s="99"/>
      <c r="BJ995" s="99"/>
      <c r="BK995" s="99"/>
      <c r="BL995" s="99"/>
      <c r="BM995" s="99"/>
      <c r="BN995" s="99"/>
      <c r="BO995" s="99"/>
      <c r="BP995" s="99"/>
      <c r="BQ995" s="99"/>
      <c r="BR995" s="99"/>
      <c r="BS995" s="99"/>
      <c r="BT995" s="99"/>
      <c r="BU995" s="99"/>
      <c r="BV995" s="99"/>
      <c r="BW995" s="99"/>
      <c r="BX995" s="99"/>
      <c r="BY995" s="99"/>
      <c r="BZ995" s="99"/>
      <c r="CA995" s="99"/>
      <c r="CB995" s="99"/>
      <c r="CC995" s="99"/>
      <c r="CD995" s="99"/>
      <c r="CE995" s="99"/>
      <c r="CF995" s="99"/>
      <c r="CG995" s="99"/>
      <c r="CH995" s="99"/>
      <c r="CI995" s="99"/>
      <c r="CJ995" s="621"/>
      <c r="CK995" s="621"/>
      <c r="CL995" s="621"/>
    </row>
    <row r="996" spans="27:90">
      <c r="AA996" s="350"/>
      <c r="AB996" s="62"/>
      <c r="AC996" s="62"/>
      <c r="AD996" s="62"/>
      <c r="AP996" s="88"/>
      <c r="AQ996" s="88"/>
      <c r="AR996" s="88"/>
      <c r="AS996" s="99"/>
      <c r="AT996" s="99"/>
      <c r="AU996" s="99"/>
      <c r="AV996" s="99"/>
      <c r="AW996" s="99"/>
      <c r="AX996" s="99"/>
      <c r="AY996" s="99"/>
      <c r="AZ996" s="99"/>
      <c r="BA996" s="99"/>
      <c r="BB996" s="99"/>
      <c r="BC996" s="99"/>
      <c r="BD996" s="99"/>
      <c r="BE996" s="99"/>
      <c r="BF996" s="99"/>
      <c r="BG996" s="99"/>
      <c r="BH996" s="99"/>
      <c r="BI996" s="99"/>
      <c r="BJ996" s="99"/>
      <c r="BK996" s="99"/>
      <c r="BL996" s="99"/>
      <c r="BM996" s="99"/>
      <c r="BN996" s="99"/>
      <c r="BO996" s="99"/>
      <c r="BP996" s="99"/>
      <c r="BQ996" s="99"/>
      <c r="BR996" s="99"/>
      <c r="BS996" s="99"/>
      <c r="BT996" s="99"/>
      <c r="BU996" s="99"/>
      <c r="BV996" s="99"/>
      <c r="BW996" s="99"/>
      <c r="BX996" s="99"/>
      <c r="BY996" s="99"/>
      <c r="BZ996" s="99"/>
      <c r="CA996" s="99"/>
      <c r="CB996" s="99"/>
      <c r="CC996" s="99"/>
      <c r="CD996" s="99"/>
      <c r="CE996" s="99"/>
      <c r="CF996" s="99"/>
      <c r="CG996" s="99"/>
      <c r="CH996" s="99"/>
      <c r="CI996" s="99"/>
      <c r="CJ996" s="621"/>
      <c r="CK996" s="621"/>
      <c r="CL996" s="621"/>
    </row>
    <row r="997" spans="27:90">
      <c r="AA997" s="350"/>
      <c r="AB997" s="62"/>
      <c r="AC997" s="62"/>
      <c r="AD997" s="62"/>
      <c r="AP997" s="88"/>
      <c r="AQ997" s="88"/>
      <c r="AR997" s="88"/>
      <c r="AS997" s="99"/>
      <c r="AT997" s="99"/>
      <c r="AU997" s="99"/>
      <c r="AV997" s="99"/>
      <c r="AW997" s="99"/>
      <c r="AX997" s="99"/>
      <c r="AY997" s="99"/>
      <c r="AZ997" s="99"/>
      <c r="BA997" s="99"/>
      <c r="BB997" s="99"/>
      <c r="BC997" s="99"/>
      <c r="BD997" s="99"/>
      <c r="BE997" s="99"/>
      <c r="BF997" s="99"/>
      <c r="BG997" s="99"/>
      <c r="BH997" s="99"/>
      <c r="BI997" s="99"/>
      <c r="BJ997" s="99"/>
      <c r="BK997" s="99"/>
      <c r="BL997" s="99"/>
      <c r="BM997" s="99"/>
      <c r="BN997" s="99"/>
      <c r="BO997" s="99"/>
      <c r="BP997" s="99"/>
      <c r="BQ997" s="99"/>
      <c r="BR997" s="99"/>
      <c r="BS997" s="99"/>
      <c r="BT997" s="99"/>
      <c r="BU997" s="99"/>
      <c r="BV997" s="99"/>
      <c r="BW997" s="99"/>
      <c r="BX997" s="99"/>
      <c r="BY997" s="99"/>
      <c r="BZ997" s="99"/>
      <c r="CA997" s="99"/>
      <c r="CB997" s="99"/>
      <c r="CC997" s="99"/>
      <c r="CD997" s="99"/>
      <c r="CE997" s="99"/>
      <c r="CF997" s="99"/>
      <c r="CG997" s="99"/>
      <c r="CH997" s="99"/>
      <c r="CI997" s="99"/>
      <c r="CJ997" s="621"/>
      <c r="CK997" s="621"/>
      <c r="CL997" s="621"/>
    </row>
    <row r="998" spans="27:90">
      <c r="AA998" s="350"/>
      <c r="AB998" s="62"/>
      <c r="AC998" s="62"/>
      <c r="AD998" s="62"/>
      <c r="AP998" s="88"/>
      <c r="AQ998" s="88"/>
      <c r="AR998" s="88"/>
      <c r="AS998" s="99"/>
      <c r="AT998" s="99"/>
      <c r="AU998" s="99"/>
      <c r="AV998" s="99"/>
      <c r="AW998" s="99"/>
      <c r="AX998" s="99"/>
      <c r="AY998" s="99"/>
      <c r="AZ998" s="99"/>
      <c r="BA998" s="99"/>
      <c r="BB998" s="99"/>
      <c r="BC998" s="99"/>
      <c r="BD998" s="99"/>
      <c r="BE998" s="99"/>
      <c r="BF998" s="99"/>
      <c r="BG998" s="99"/>
      <c r="BH998" s="99"/>
      <c r="BI998" s="99"/>
      <c r="BJ998" s="99"/>
      <c r="BK998" s="99"/>
      <c r="BL998" s="99"/>
      <c r="BM998" s="99"/>
      <c r="BN998" s="99"/>
      <c r="BO998" s="99"/>
      <c r="BP998" s="99"/>
      <c r="BQ998" s="99"/>
      <c r="BR998" s="99"/>
      <c r="BS998" s="99"/>
      <c r="BT998" s="99"/>
      <c r="BU998" s="99"/>
      <c r="BV998" s="99"/>
      <c r="BW998" s="99"/>
      <c r="BX998" s="99"/>
      <c r="BY998" s="99"/>
      <c r="BZ998" s="99"/>
      <c r="CA998" s="99"/>
      <c r="CB998" s="99"/>
      <c r="CC998" s="99"/>
      <c r="CD998" s="99"/>
      <c r="CE998" s="99"/>
      <c r="CF998" s="99"/>
      <c r="CG998" s="99"/>
      <c r="CH998" s="99"/>
      <c r="CI998" s="99"/>
      <c r="CJ998" s="621"/>
      <c r="CK998" s="621"/>
      <c r="CL998" s="621"/>
    </row>
    <row r="999" spans="27:90">
      <c r="AA999" s="350"/>
      <c r="AB999" s="62"/>
      <c r="AC999" s="62"/>
      <c r="AD999" s="62"/>
      <c r="AP999" s="88"/>
      <c r="AQ999" s="88"/>
      <c r="AR999" s="88"/>
      <c r="AS999" s="99"/>
      <c r="AT999" s="99"/>
      <c r="AU999" s="99"/>
      <c r="AV999" s="99"/>
      <c r="AW999" s="99"/>
      <c r="AX999" s="99"/>
      <c r="AY999" s="99"/>
      <c r="AZ999" s="99"/>
      <c r="BA999" s="99"/>
      <c r="BB999" s="99"/>
      <c r="BC999" s="99"/>
      <c r="BD999" s="99"/>
      <c r="BE999" s="99"/>
      <c r="BF999" s="99"/>
      <c r="BG999" s="99"/>
      <c r="BH999" s="99"/>
      <c r="BI999" s="99"/>
      <c r="BJ999" s="99"/>
      <c r="BK999" s="99"/>
      <c r="BL999" s="99"/>
      <c r="BM999" s="99"/>
      <c r="BN999" s="99"/>
      <c r="BO999" s="99"/>
      <c r="BP999" s="99"/>
      <c r="BQ999" s="99"/>
      <c r="BR999" s="99"/>
      <c r="BS999" s="99"/>
      <c r="BT999" s="99"/>
      <c r="BU999" s="99"/>
      <c r="BV999" s="99"/>
      <c r="BW999" s="99"/>
      <c r="BX999" s="99"/>
      <c r="BY999" s="99"/>
      <c r="BZ999" s="99"/>
      <c r="CA999" s="99"/>
      <c r="CB999" s="99"/>
      <c r="CC999" s="99"/>
      <c r="CD999" s="99"/>
      <c r="CE999" s="99"/>
      <c r="CF999" s="99"/>
      <c r="CG999" s="99"/>
      <c r="CH999" s="99"/>
      <c r="CI999" s="99"/>
      <c r="CJ999" s="621"/>
      <c r="CK999" s="621"/>
      <c r="CL999" s="621"/>
    </row>
    <row r="1000" spans="27:90">
      <c r="AA1000" s="350"/>
      <c r="AB1000" s="62"/>
      <c r="AC1000" s="62"/>
      <c r="AD1000" s="62"/>
      <c r="AP1000" s="88"/>
      <c r="AQ1000" s="88"/>
      <c r="AR1000" s="88"/>
      <c r="AS1000" s="99"/>
      <c r="AT1000" s="99"/>
      <c r="AU1000" s="99"/>
      <c r="AV1000" s="99"/>
      <c r="AW1000" s="99"/>
      <c r="AX1000" s="99"/>
      <c r="AY1000" s="99"/>
      <c r="AZ1000" s="99"/>
      <c r="BA1000" s="99"/>
      <c r="BB1000" s="99"/>
      <c r="BC1000" s="99"/>
      <c r="BD1000" s="99"/>
      <c r="BE1000" s="99"/>
      <c r="BF1000" s="99"/>
      <c r="BG1000" s="99"/>
      <c r="BH1000" s="99"/>
      <c r="BI1000" s="99"/>
      <c r="BJ1000" s="99"/>
      <c r="BK1000" s="99"/>
      <c r="BL1000" s="99"/>
      <c r="BM1000" s="99"/>
      <c r="BN1000" s="99"/>
      <c r="BO1000" s="99"/>
      <c r="BP1000" s="99"/>
      <c r="BQ1000" s="99"/>
      <c r="BR1000" s="99"/>
      <c r="BS1000" s="99"/>
      <c r="BT1000" s="99"/>
      <c r="BU1000" s="99"/>
      <c r="BV1000" s="99"/>
      <c r="BW1000" s="99"/>
      <c r="BX1000" s="99"/>
      <c r="BY1000" s="99"/>
      <c r="BZ1000" s="99"/>
      <c r="CA1000" s="99"/>
      <c r="CB1000" s="99"/>
      <c r="CC1000" s="99"/>
      <c r="CD1000" s="99"/>
      <c r="CE1000" s="99"/>
      <c r="CF1000" s="99"/>
      <c r="CG1000" s="99"/>
      <c r="CH1000" s="99"/>
      <c r="CI1000" s="99"/>
      <c r="CJ1000" s="621"/>
      <c r="CK1000" s="621"/>
      <c r="CL1000" s="621"/>
    </row>
    <row r="1001" spans="27:90">
      <c r="AA1001" s="350"/>
      <c r="AB1001" s="62"/>
      <c r="AC1001" s="62"/>
      <c r="AD1001" s="62"/>
      <c r="AP1001" s="88"/>
      <c r="AQ1001" s="88"/>
      <c r="AR1001" s="88"/>
      <c r="AS1001" s="99"/>
      <c r="AT1001" s="99"/>
      <c r="AU1001" s="99"/>
      <c r="AV1001" s="99"/>
      <c r="AW1001" s="99"/>
      <c r="AX1001" s="99"/>
      <c r="AY1001" s="99"/>
      <c r="AZ1001" s="99"/>
      <c r="BA1001" s="99"/>
      <c r="BB1001" s="99"/>
      <c r="BC1001" s="99"/>
      <c r="BD1001" s="99"/>
      <c r="BE1001" s="99"/>
      <c r="BF1001" s="99"/>
      <c r="BG1001" s="99"/>
      <c r="BH1001" s="99"/>
      <c r="BI1001" s="99"/>
      <c r="BJ1001" s="99"/>
      <c r="BK1001" s="99"/>
      <c r="BL1001" s="99"/>
      <c r="BM1001" s="99"/>
      <c r="BN1001" s="99"/>
      <c r="BO1001" s="99"/>
      <c r="BP1001" s="99"/>
      <c r="BQ1001" s="99"/>
      <c r="BR1001" s="99"/>
      <c r="BS1001" s="99"/>
      <c r="BT1001" s="99"/>
      <c r="BU1001" s="99"/>
      <c r="BV1001" s="99"/>
      <c r="BW1001" s="99"/>
      <c r="BX1001" s="99"/>
      <c r="BY1001" s="99"/>
      <c r="BZ1001" s="99"/>
      <c r="CA1001" s="99"/>
      <c r="CB1001" s="99"/>
      <c r="CC1001" s="99"/>
      <c r="CD1001" s="99"/>
      <c r="CE1001" s="99"/>
      <c r="CF1001" s="99"/>
      <c r="CG1001" s="99"/>
      <c r="CH1001" s="99"/>
      <c r="CI1001" s="99"/>
      <c r="CJ1001" s="621"/>
      <c r="CK1001" s="621"/>
      <c r="CL1001" s="621"/>
    </row>
    <row r="1002" spans="27:90">
      <c r="AA1002" s="350"/>
      <c r="AB1002" s="62"/>
      <c r="AC1002" s="62"/>
      <c r="AD1002" s="62"/>
      <c r="AP1002" s="88"/>
      <c r="AQ1002" s="88"/>
      <c r="AR1002" s="88"/>
      <c r="AS1002" s="99"/>
      <c r="AT1002" s="99"/>
      <c r="AU1002" s="99"/>
      <c r="AV1002" s="99"/>
      <c r="AW1002" s="99"/>
      <c r="AX1002" s="99"/>
      <c r="AY1002" s="99"/>
      <c r="AZ1002" s="99"/>
      <c r="BA1002" s="99"/>
      <c r="BB1002" s="99"/>
      <c r="BC1002" s="99"/>
      <c r="BD1002" s="99"/>
      <c r="BE1002" s="99"/>
      <c r="BF1002" s="99"/>
      <c r="BG1002" s="99"/>
      <c r="BH1002" s="99"/>
      <c r="BI1002" s="99"/>
      <c r="BJ1002" s="99"/>
      <c r="BK1002" s="99"/>
      <c r="BL1002" s="99"/>
      <c r="BM1002" s="99"/>
      <c r="BN1002" s="99"/>
      <c r="BO1002" s="99"/>
      <c r="BP1002" s="99"/>
      <c r="BQ1002" s="99"/>
      <c r="BR1002" s="99"/>
      <c r="BS1002" s="99"/>
      <c r="BT1002" s="99"/>
      <c r="BU1002" s="99"/>
      <c r="BV1002" s="99"/>
      <c r="BW1002" s="99"/>
      <c r="BX1002" s="99"/>
      <c r="BY1002" s="99"/>
      <c r="BZ1002" s="99"/>
      <c r="CA1002" s="99"/>
      <c r="CB1002" s="99"/>
      <c r="CC1002" s="99"/>
      <c r="CD1002" s="99"/>
      <c r="CE1002" s="99"/>
      <c r="CF1002" s="99"/>
      <c r="CG1002" s="99"/>
      <c r="CH1002" s="99"/>
      <c r="CI1002" s="99"/>
      <c r="CJ1002" s="621"/>
      <c r="CK1002" s="621"/>
      <c r="CL1002" s="621"/>
    </row>
    <row r="1003" spans="27:90">
      <c r="AA1003" s="350"/>
      <c r="AB1003" s="62"/>
      <c r="AC1003" s="62"/>
      <c r="AD1003" s="62"/>
      <c r="AP1003" s="88"/>
      <c r="AQ1003" s="88"/>
      <c r="AR1003" s="88"/>
      <c r="AS1003" s="99"/>
      <c r="AT1003" s="99"/>
      <c r="AU1003" s="99"/>
      <c r="AV1003" s="99"/>
      <c r="AW1003" s="99"/>
      <c r="AX1003" s="99"/>
      <c r="AY1003" s="99"/>
      <c r="AZ1003" s="99"/>
      <c r="BA1003" s="99"/>
      <c r="BB1003" s="99"/>
      <c r="BC1003" s="99"/>
      <c r="BD1003" s="99"/>
      <c r="BE1003" s="99"/>
      <c r="BF1003" s="99"/>
      <c r="BG1003" s="99"/>
      <c r="BH1003" s="99"/>
      <c r="BI1003" s="99"/>
      <c r="BJ1003" s="99"/>
      <c r="BK1003" s="99"/>
      <c r="BL1003" s="99"/>
      <c r="BM1003" s="99"/>
      <c r="BN1003" s="99"/>
      <c r="BO1003" s="99"/>
      <c r="BP1003" s="99"/>
      <c r="BQ1003" s="99"/>
      <c r="BR1003" s="99"/>
      <c r="BS1003" s="99"/>
      <c r="BT1003" s="99"/>
      <c r="BU1003" s="99"/>
      <c r="BV1003" s="99"/>
      <c r="BW1003" s="99"/>
      <c r="BX1003" s="99"/>
      <c r="BY1003" s="99"/>
      <c r="BZ1003" s="99"/>
      <c r="CA1003" s="99"/>
      <c r="CB1003" s="99"/>
      <c r="CC1003" s="99"/>
      <c r="CD1003" s="99"/>
      <c r="CE1003" s="99"/>
      <c r="CF1003" s="99"/>
      <c r="CG1003" s="99"/>
      <c r="CH1003" s="99"/>
      <c r="CI1003" s="99"/>
      <c r="CJ1003" s="621"/>
      <c r="CK1003" s="621"/>
      <c r="CL1003" s="621"/>
    </row>
    <row r="1004" spans="27:90">
      <c r="AA1004" s="350"/>
      <c r="AB1004" s="62"/>
      <c r="AC1004" s="62"/>
      <c r="AD1004" s="62"/>
      <c r="AP1004" s="88"/>
      <c r="AQ1004" s="88"/>
      <c r="AR1004" s="88"/>
      <c r="AS1004" s="99"/>
      <c r="AT1004" s="99"/>
      <c r="AU1004" s="99"/>
      <c r="AV1004" s="99"/>
      <c r="AW1004" s="99"/>
      <c r="AX1004" s="99"/>
      <c r="AY1004" s="99"/>
      <c r="AZ1004" s="99"/>
      <c r="BA1004" s="99"/>
      <c r="BB1004" s="99"/>
      <c r="BC1004" s="99"/>
      <c r="BD1004" s="99"/>
      <c r="BE1004" s="99"/>
      <c r="BF1004" s="99"/>
      <c r="BG1004" s="99"/>
      <c r="BH1004" s="99"/>
      <c r="BI1004" s="99"/>
      <c r="BJ1004" s="99"/>
      <c r="BK1004" s="99"/>
      <c r="BL1004" s="99"/>
      <c r="BM1004" s="99"/>
      <c r="BN1004" s="99"/>
      <c r="BO1004" s="99"/>
      <c r="BP1004" s="99"/>
      <c r="BQ1004" s="99"/>
      <c r="BR1004" s="99"/>
      <c r="BS1004" s="99"/>
      <c r="BT1004" s="99"/>
      <c r="BU1004" s="99"/>
      <c r="BV1004" s="99"/>
      <c r="BW1004" s="99"/>
      <c r="BX1004" s="99"/>
      <c r="BY1004" s="99"/>
      <c r="BZ1004" s="99"/>
      <c r="CA1004" s="99"/>
      <c r="CB1004" s="99"/>
      <c r="CC1004" s="99"/>
      <c r="CD1004" s="99"/>
      <c r="CE1004" s="99"/>
      <c r="CF1004" s="99"/>
      <c r="CG1004" s="99"/>
      <c r="CH1004" s="99"/>
      <c r="CI1004" s="99"/>
      <c r="CJ1004" s="621"/>
      <c r="CK1004" s="621"/>
      <c r="CL1004" s="621"/>
    </row>
    <row r="1005" spans="27:90">
      <c r="AA1005" s="350"/>
      <c r="AB1005" s="62"/>
      <c r="AC1005" s="62"/>
      <c r="AD1005" s="62"/>
      <c r="AP1005" s="88"/>
      <c r="AQ1005" s="88"/>
      <c r="AR1005" s="88"/>
      <c r="AS1005" s="99"/>
      <c r="AT1005" s="99"/>
      <c r="AU1005" s="99"/>
      <c r="AV1005" s="99"/>
      <c r="AW1005" s="99"/>
      <c r="AX1005" s="99"/>
      <c r="AY1005" s="99"/>
      <c r="AZ1005" s="99"/>
      <c r="BA1005" s="99"/>
      <c r="BB1005" s="99"/>
      <c r="BC1005" s="99"/>
      <c r="BD1005" s="99"/>
      <c r="BE1005" s="99"/>
      <c r="BF1005" s="99"/>
      <c r="BG1005" s="99"/>
      <c r="BH1005" s="99"/>
      <c r="BI1005" s="99"/>
      <c r="BJ1005" s="99"/>
      <c r="BK1005" s="99"/>
      <c r="BL1005" s="99"/>
      <c r="BM1005" s="99"/>
      <c r="BN1005" s="99"/>
      <c r="BO1005" s="99"/>
      <c r="BP1005" s="99"/>
      <c r="BQ1005" s="99"/>
      <c r="BR1005" s="99"/>
      <c r="BS1005" s="99"/>
      <c r="BT1005" s="99"/>
      <c r="BU1005" s="99"/>
      <c r="BV1005" s="99"/>
      <c r="BW1005" s="99"/>
      <c r="BX1005" s="99"/>
      <c r="BY1005" s="99"/>
      <c r="BZ1005" s="99"/>
      <c r="CA1005" s="99"/>
      <c r="CB1005" s="99"/>
      <c r="CC1005" s="99"/>
      <c r="CD1005" s="99"/>
      <c r="CE1005" s="99"/>
      <c r="CF1005" s="99"/>
      <c r="CG1005" s="99"/>
      <c r="CH1005" s="99"/>
      <c r="CI1005" s="99"/>
      <c r="CJ1005" s="621"/>
      <c r="CK1005" s="621"/>
      <c r="CL1005" s="621"/>
    </row>
    <row r="1006" spans="27:90">
      <c r="AA1006" s="350"/>
      <c r="AB1006" s="62"/>
      <c r="AC1006" s="62"/>
      <c r="AD1006" s="62"/>
      <c r="AP1006" s="88"/>
      <c r="AQ1006" s="88"/>
      <c r="AR1006" s="88"/>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621"/>
      <c r="CK1006" s="621"/>
      <c r="CL1006" s="621"/>
    </row>
    <row r="1007" spans="27:90">
      <c r="AA1007" s="350"/>
      <c r="AB1007" s="62"/>
      <c r="AC1007" s="62"/>
      <c r="AD1007" s="62"/>
      <c r="AP1007" s="88"/>
      <c r="AQ1007" s="88"/>
      <c r="AR1007" s="88"/>
      <c r="AS1007" s="99"/>
      <c r="AT1007" s="99"/>
      <c r="AU1007" s="99"/>
      <c r="AV1007" s="99"/>
      <c r="AW1007" s="99"/>
      <c r="AX1007" s="99"/>
      <c r="AY1007" s="99"/>
      <c r="AZ1007" s="99"/>
      <c r="BA1007" s="99"/>
      <c r="BB1007" s="99"/>
      <c r="BC1007" s="99"/>
      <c r="BD1007" s="99"/>
      <c r="BE1007" s="99"/>
      <c r="BF1007" s="99"/>
      <c r="BG1007" s="99"/>
      <c r="BH1007" s="99"/>
      <c r="BI1007" s="99"/>
      <c r="BJ1007" s="99"/>
      <c r="BK1007" s="99"/>
      <c r="BL1007" s="99"/>
      <c r="BM1007" s="99"/>
      <c r="BN1007" s="99"/>
      <c r="BO1007" s="99"/>
      <c r="BP1007" s="99"/>
      <c r="BQ1007" s="99"/>
      <c r="BR1007" s="99"/>
      <c r="BS1007" s="99"/>
      <c r="BT1007" s="99"/>
      <c r="BU1007" s="99"/>
      <c r="BV1007" s="99"/>
      <c r="BW1007" s="99"/>
      <c r="BX1007" s="99"/>
      <c r="BY1007" s="99"/>
      <c r="BZ1007" s="99"/>
      <c r="CA1007" s="99"/>
      <c r="CB1007" s="99"/>
      <c r="CC1007" s="99"/>
      <c r="CD1007" s="99"/>
      <c r="CE1007" s="99"/>
      <c r="CF1007" s="99"/>
      <c r="CG1007" s="99"/>
      <c r="CH1007" s="99"/>
      <c r="CI1007" s="99"/>
      <c r="CJ1007" s="621"/>
      <c r="CK1007" s="621"/>
      <c r="CL1007" s="621"/>
    </row>
    <row r="1008" spans="27:90">
      <c r="AA1008" s="350"/>
      <c r="AB1008" s="62"/>
      <c r="AC1008" s="62"/>
      <c r="AD1008" s="62"/>
      <c r="AP1008" s="88"/>
      <c r="AQ1008" s="88"/>
      <c r="AR1008" s="88"/>
      <c r="AS1008" s="99"/>
      <c r="AT1008" s="99"/>
      <c r="AU1008" s="99"/>
      <c r="AV1008" s="99"/>
      <c r="AW1008" s="99"/>
      <c r="AX1008" s="99"/>
      <c r="AY1008" s="99"/>
      <c r="AZ1008" s="99"/>
      <c r="BA1008" s="99"/>
      <c r="BB1008" s="99"/>
      <c r="BC1008" s="99"/>
      <c r="BD1008" s="99"/>
      <c r="BE1008" s="99"/>
      <c r="BF1008" s="99"/>
      <c r="BG1008" s="99"/>
      <c r="BH1008" s="99"/>
      <c r="BI1008" s="99"/>
      <c r="BJ1008" s="99"/>
      <c r="BK1008" s="99"/>
      <c r="BL1008" s="99"/>
      <c r="BM1008" s="99"/>
      <c r="BN1008" s="99"/>
      <c r="BO1008" s="99"/>
      <c r="BP1008" s="99"/>
      <c r="BQ1008" s="99"/>
      <c r="BR1008" s="99"/>
      <c r="BS1008" s="99"/>
      <c r="BT1008" s="99"/>
      <c r="BU1008" s="99"/>
      <c r="BV1008" s="99"/>
      <c r="BW1008" s="99"/>
      <c r="BX1008" s="99"/>
      <c r="BY1008" s="99"/>
      <c r="BZ1008" s="99"/>
      <c r="CA1008" s="99"/>
      <c r="CB1008" s="99"/>
      <c r="CC1008" s="99"/>
      <c r="CD1008" s="99"/>
      <c r="CE1008" s="99"/>
      <c r="CF1008" s="99"/>
      <c r="CG1008" s="99"/>
      <c r="CH1008" s="99"/>
      <c r="CI1008" s="99"/>
      <c r="CJ1008" s="621"/>
      <c r="CK1008" s="621"/>
      <c r="CL1008" s="621"/>
    </row>
    <row r="1009" spans="27:90">
      <c r="AA1009" s="350"/>
      <c r="AB1009" s="62"/>
      <c r="AC1009" s="62"/>
      <c r="AD1009" s="62"/>
      <c r="AP1009" s="88"/>
      <c r="AQ1009" s="88"/>
      <c r="AR1009" s="88"/>
      <c r="AS1009" s="99"/>
      <c r="AT1009" s="99"/>
      <c r="AU1009" s="99"/>
      <c r="AV1009" s="99"/>
      <c r="AW1009" s="99"/>
      <c r="AX1009" s="99"/>
      <c r="AY1009" s="99"/>
      <c r="AZ1009" s="99"/>
      <c r="BA1009" s="99"/>
      <c r="BB1009" s="99"/>
      <c r="BC1009" s="99"/>
      <c r="BD1009" s="99"/>
      <c r="BE1009" s="99"/>
      <c r="BF1009" s="99"/>
      <c r="BG1009" s="99"/>
      <c r="BH1009" s="99"/>
      <c r="BI1009" s="99"/>
      <c r="BJ1009" s="99"/>
      <c r="BK1009" s="99"/>
      <c r="BL1009" s="99"/>
      <c r="BM1009" s="99"/>
      <c r="BN1009" s="99"/>
      <c r="BO1009" s="99"/>
      <c r="BP1009" s="99"/>
      <c r="BQ1009" s="99"/>
      <c r="BR1009" s="99"/>
      <c r="BS1009" s="99"/>
      <c r="BT1009" s="99"/>
      <c r="BU1009" s="99"/>
      <c r="BV1009" s="99"/>
      <c r="BW1009" s="99"/>
      <c r="BX1009" s="99"/>
      <c r="BY1009" s="99"/>
      <c r="BZ1009" s="99"/>
      <c r="CA1009" s="99"/>
      <c r="CB1009" s="99"/>
      <c r="CC1009" s="99"/>
      <c r="CD1009" s="99"/>
      <c r="CE1009" s="99"/>
      <c r="CF1009" s="99"/>
      <c r="CG1009" s="99"/>
      <c r="CH1009" s="99"/>
      <c r="CI1009" s="99"/>
      <c r="CJ1009" s="621"/>
      <c r="CK1009" s="621"/>
      <c r="CL1009" s="621"/>
    </row>
    <row r="1010" spans="27:90">
      <c r="AA1010" s="350"/>
      <c r="AB1010" s="62"/>
      <c r="AC1010" s="62"/>
      <c r="AD1010" s="62"/>
      <c r="AP1010" s="88"/>
      <c r="AQ1010" s="88"/>
      <c r="AR1010" s="88"/>
      <c r="AS1010" s="99"/>
      <c r="AT1010" s="99"/>
      <c r="AU1010" s="99"/>
      <c r="AV1010" s="99"/>
      <c r="AW1010" s="99"/>
      <c r="AX1010" s="99"/>
      <c r="AY1010" s="99"/>
      <c r="AZ1010" s="99"/>
      <c r="BA1010" s="99"/>
      <c r="BB1010" s="99"/>
      <c r="BC1010" s="99"/>
      <c r="BD1010" s="99"/>
      <c r="BE1010" s="99"/>
      <c r="BF1010" s="99"/>
      <c r="BG1010" s="99"/>
      <c r="BH1010" s="99"/>
      <c r="BI1010" s="99"/>
      <c r="BJ1010" s="99"/>
      <c r="BK1010" s="99"/>
      <c r="BL1010" s="99"/>
      <c r="BM1010" s="99"/>
      <c r="BN1010" s="99"/>
      <c r="BO1010" s="99"/>
      <c r="BP1010" s="99"/>
      <c r="BQ1010" s="99"/>
      <c r="BR1010" s="99"/>
      <c r="BS1010" s="99"/>
      <c r="BT1010" s="99"/>
      <c r="BU1010" s="99"/>
      <c r="BV1010" s="99"/>
      <c r="BW1010" s="99"/>
      <c r="BX1010" s="99"/>
      <c r="BY1010" s="99"/>
      <c r="BZ1010" s="99"/>
      <c r="CA1010" s="99"/>
      <c r="CB1010" s="99"/>
      <c r="CC1010" s="99"/>
      <c r="CD1010" s="99"/>
      <c r="CE1010" s="99"/>
      <c r="CF1010" s="99"/>
      <c r="CG1010" s="99"/>
      <c r="CH1010" s="99"/>
      <c r="CI1010" s="99"/>
      <c r="CJ1010" s="621"/>
      <c r="CK1010" s="621"/>
      <c r="CL1010" s="621"/>
    </row>
    <row r="1011" spans="27:90">
      <c r="AA1011" s="350"/>
      <c r="AB1011" s="62"/>
      <c r="AC1011" s="62"/>
      <c r="AD1011" s="62"/>
      <c r="AP1011" s="88"/>
      <c r="AQ1011" s="88"/>
      <c r="AR1011" s="88"/>
      <c r="AS1011" s="99"/>
      <c r="AT1011" s="99"/>
      <c r="AU1011" s="99"/>
      <c r="AV1011" s="99"/>
      <c r="AW1011" s="99"/>
      <c r="AX1011" s="99"/>
      <c r="AY1011" s="99"/>
      <c r="AZ1011" s="99"/>
      <c r="BA1011" s="99"/>
      <c r="BB1011" s="99"/>
      <c r="BC1011" s="99"/>
      <c r="BD1011" s="99"/>
      <c r="BE1011" s="99"/>
      <c r="BF1011" s="99"/>
      <c r="BG1011" s="99"/>
      <c r="BH1011" s="99"/>
      <c r="BI1011" s="99"/>
      <c r="BJ1011" s="99"/>
      <c r="BK1011" s="99"/>
      <c r="BL1011" s="99"/>
      <c r="BM1011" s="99"/>
      <c r="BN1011" s="99"/>
      <c r="BO1011" s="99"/>
      <c r="BP1011" s="99"/>
      <c r="BQ1011" s="99"/>
      <c r="BR1011" s="99"/>
      <c r="BS1011" s="99"/>
      <c r="BT1011" s="99"/>
      <c r="BU1011" s="99"/>
      <c r="BV1011" s="99"/>
      <c r="BW1011" s="99"/>
      <c r="BX1011" s="99"/>
      <c r="BY1011" s="99"/>
      <c r="BZ1011" s="99"/>
      <c r="CA1011" s="99"/>
      <c r="CB1011" s="99"/>
      <c r="CC1011" s="99"/>
      <c r="CD1011" s="99"/>
      <c r="CE1011" s="99"/>
      <c r="CF1011" s="99"/>
      <c r="CG1011" s="99"/>
      <c r="CH1011" s="99"/>
      <c r="CI1011" s="99"/>
      <c r="CJ1011" s="621"/>
      <c r="CK1011" s="621"/>
      <c r="CL1011" s="621"/>
    </row>
    <row r="1012" spans="27:90">
      <c r="AA1012" s="350"/>
      <c r="AB1012" s="62"/>
      <c r="AC1012" s="62"/>
      <c r="AD1012" s="62"/>
      <c r="AP1012" s="88"/>
      <c r="AQ1012" s="88"/>
      <c r="AR1012" s="88"/>
      <c r="AS1012" s="99"/>
      <c r="AT1012" s="99"/>
      <c r="AU1012" s="99"/>
      <c r="AV1012" s="99"/>
      <c r="AW1012" s="99"/>
      <c r="AX1012" s="99"/>
      <c r="AY1012" s="99"/>
      <c r="AZ1012" s="99"/>
      <c r="BA1012" s="99"/>
      <c r="BB1012" s="99"/>
      <c r="BC1012" s="99"/>
      <c r="BD1012" s="99"/>
      <c r="BE1012" s="99"/>
      <c r="BF1012" s="99"/>
      <c r="BG1012" s="99"/>
      <c r="BH1012" s="99"/>
      <c r="BI1012" s="99"/>
      <c r="BJ1012" s="99"/>
      <c r="BK1012" s="99"/>
      <c r="BL1012" s="99"/>
      <c r="BM1012" s="99"/>
      <c r="BN1012" s="99"/>
      <c r="BO1012" s="99"/>
      <c r="BP1012" s="99"/>
      <c r="BQ1012" s="99"/>
      <c r="BR1012" s="99"/>
      <c r="BS1012" s="99"/>
      <c r="BT1012" s="99"/>
      <c r="BU1012" s="99"/>
      <c r="BV1012" s="99"/>
      <c r="BW1012" s="99"/>
      <c r="BX1012" s="99"/>
      <c r="BY1012" s="99"/>
      <c r="BZ1012" s="99"/>
      <c r="CA1012" s="99"/>
      <c r="CB1012" s="99"/>
      <c r="CC1012" s="99"/>
      <c r="CD1012" s="99"/>
      <c r="CE1012" s="99"/>
      <c r="CF1012" s="99"/>
      <c r="CG1012" s="99"/>
      <c r="CH1012" s="99"/>
      <c r="CI1012" s="99"/>
      <c r="CJ1012" s="621"/>
      <c r="CK1012" s="621"/>
      <c r="CL1012" s="621"/>
    </row>
    <row r="1013" spans="27:90">
      <c r="AA1013" s="350"/>
      <c r="AB1013" s="62"/>
      <c r="AC1013" s="62"/>
      <c r="AD1013" s="62"/>
      <c r="AP1013" s="88"/>
      <c r="AQ1013" s="88"/>
      <c r="AR1013" s="88"/>
      <c r="AS1013" s="99"/>
      <c r="AT1013" s="99"/>
      <c r="AU1013" s="99"/>
      <c r="AV1013" s="99"/>
      <c r="AW1013" s="99"/>
      <c r="AX1013" s="99"/>
      <c r="AY1013" s="99"/>
      <c r="AZ1013" s="99"/>
      <c r="BA1013" s="99"/>
      <c r="BB1013" s="99"/>
      <c r="BC1013" s="99"/>
      <c r="BD1013" s="99"/>
      <c r="BE1013" s="99"/>
      <c r="BF1013" s="99"/>
      <c r="BG1013" s="99"/>
      <c r="BH1013" s="99"/>
      <c r="BI1013" s="99"/>
      <c r="BJ1013" s="99"/>
      <c r="BK1013" s="99"/>
      <c r="BL1013" s="99"/>
      <c r="BM1013" s="99"/>
      <c r="BN1013" s="99"/>
      <c r="BO1013" s="99"/>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621"/>
      <c r="CK1013" s="621"/>
      <c r="CL1013" s="621"/>
    </row>
    <row r="1014" spans="27:90">
      <c r="AA1014" s="350"/>
      <c r="AB1014" s="62"/>
      <c r="AC1014" s="62"/>
      <c r="AD1014" s="62"/>
      <c r="AP1014" s="88"/>
      <c r="AQ1014" s="88"/>
      <c r="AR1014" s="88"/>
      <c r="AS1014" s="99"/>
      <c r="AT1014" s="99"/>
      <c r="AU1014" s="99"/>
      <c r="AV1014" s="99"/>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621"/>
      <c r="CK1014" s="621"/>
      <c r="CL1014" s="621"/>
    </row>
    <row r="1015" spans="27:90">
      <c r="AA1015" s="350"/>
      <c r="AB1015" s="62"/>
      <c r="AC1015" s="62"/>
      <c r="AD1015" s="62"/>
      <c r="AP1015" s="88"/>
      <c r="AQ1015" s="88"/>
      <c r="AR1015" s="88"/>
      <c r="AS1015" s="99"/>
      <c r="AT1015" s="99"/>
      <c r="AU1015" s="99"/>
      <c r="AV1015" s="99"/>
      <c r="AW1015" s="99"/>
      <c r="AX1015" s="99"/>
      <c r="AY1015" s="99"/>
      <c r="AZ1015" s="99"/>
      <c r="BA1015" s="99"/>
      <c r="BB1015" s="99"/>
      <c r="BC1015" s="99"/>
      <c r="BD1015" s="99"/>
      <c r="BE1015" s="99"/>
      <c r="BF1015" s="99"/>
      <c r="BG1015" s="99"/>
      <c r="BH1015" s="99"/>
      <c r="BI1015" s="99"/>
      <c r="BJ1015" s="99"/>
      <c r="BK1015" s="99"/>
      <c r="BL1015" s="99"/>
      <c r="BM1015" s="99"/>
      <c r="BN1015" s="99"/>
      <c r="BO1015" s="99"/>
      <c r="BP1015" s="99"/>
      <c r="BQ1015" s="99"/>
      <c r="BR1015" s="99"/>
      <c r="BS1015" s="99"/>
      <c r="BT1015" s="99"/>
      <c r="BU1015" s="99"/>
      <c r="BV1015" s="99"/>
      <c r="BW1015" s="99"/>
      <c r="BX1015" s="99"/>
      <c r="BY1015" s="99"/>
      <c r="BZ1015" s="99"/>
      <c r="CA1015" s="99"/>
      <c r="CB1015" s="99"/>
      <c r="CC1015" s="99"/>
      <c r="CD1015" s="99"/>
      <c r="CE1015" s="99"/>
      <c r="CF1015" s="99"/>
      <c r="CG1015" s="99"/>
      <c r="CH1015" s="99"/>
      <c r="CI1015" s="99"/>
      <c r="CJ1015" s="621"/>
      <c r="CK1015" s="621"/>
      <c r="CL1015" s="621"/>
    </row>
    <row r="1016" spans="27:90">
      <c r="AA1016" s="350"/>
      <c r="AB1016" s="62"/>
      <c r="AC1016" s="62"/>
      <c r="AD1016" s="62"/>
      <c r="AP1016" s="88"/>
      <c r="AQ1016" s="88"/>
      <c r="AR1016" s="88"/>
      <c r="AS1016" s="99"/>
      <c r="AT1016" s="99"/>
      <c r="AU1016" s="99"/>
      <c r="AV1016" s="99"/>
      <c r="AW1016" s="99"/>
      <c r="AX1016" s="99"/>
      <c r="AY1016" s="99"/>
      <c r="AZ1016" s="99"/>
      <c r="BA1016" s="99"/>
      <c r="BB1016" s="99"/>
      <c r="BC1016" s="99"/>
      <c r="BD1016" s="99"/>
      <c r="BE1016" s="99"/>
      <c r="BF1016" s="99"/>
      <c r="BG1016" s="99"/>
      <c r="BH1016" s="99"/>
      <c r="BI1016" s="99"/>
      <c r="BJ1016" s="99"/>
      <c r="BK1016" s="99"/>
      <c r="BL1016" s="99"/>
      <c r="BM1016" s="99"/>
      <c r="BN1016" s="99"/>
      <c r="BO1016" s="99"/>
      <c r="BP1016" s="99"/>
      <c r="BQ1016" s="99"/>
      <c r="BR1016" s="99"/>
      <c r="BS1016" s="99"/>
      <c r="BT1016" s="99"/>
      <c r="BU1016" s="99"/>
      <c r="BV1016" s="99"/>
      <c r="BW1016" s="99"/>
      <c r="BX1016" s="99"/>
      <c r="BY1016" s="99"/>
      <c r="BZ1016" s="99"/>
      <c r="CA1016" s="99"/>
      <c r="CB1016" s="99"/>
      <c r="CC1016" s="99"/>
      <c r="CD1016" s="99"/>
      <c r="CE1016" s="99"/>
      <c r="CF1016" s="99"/>
      <c r="CG1016" s="99"/>
      <c r="CH1016" s="99"/>
      <c r="CI1016" s="99"/>
      <c r="CJ1016" s="621"/>
      <c r="CK1016" s="621"/>
      <c r="CL1016" s="621"/>
    </row>
    <row r="1017" spans="27:90">
      <c r="AA1017" s="350"/>
      <c r="AB1017" s="62"/>
      <c r="AC1017" s="62"/>
      <c r="AD1017" s="62"/>
      <c r="AP1017" s="88"/>
      <c r="AQ1017" s="88"/>
      <c r="AR1017" s="88"/>
      <c r="AS1017" s="99"/>
      <c r="AT1017" s="99"/>
      <c r="AU1017" s="99"/>
      <c r="AV1017" s="99"/>
      <c r="AW1017" s="99"/>
      <c r="AX1017" s="99"/>
      <c r="AY1017" s="99"/>
      <c r="AZ1017" s="99"/>
      <c r="BA1017" s="99"/>
      <c r="BB1017" s="99"/>
      <c r="BC1017" s="99"/>
      <c r="BD1017" s="99"/>
      <c r="BE1017" s="99"/>
      <c r="BF1017" s="99"/>
      <c r="BG1017" s="99"/>
      <c r="BH1017" s="99"/>
      <c r="BI1017" s="99"/>
      <c r="BJ1017" s="99"/>
      <c r="BK1017" s="99"/>
      <c r="BL1017" s="99"/>
      <c r="BM1017" s="99"/>
      <c r="BN1017" s="99"/>
      <c r="BO1017" s="99"/>
      <c r="BP1017" s="99"/>
      <c r="BQ1017" s="99"/>
      <c r="BR1017" s="99"/>
      <c r="BS1017" s="99"/>
      <c r="BT1017" s="99"/>
      <c r="BU1017" s="99"/>
      <c r="BV1017" s="99"/>
      <c r="BW1017" s="99"/>
      <c r="BX1017" s="99"/>
      <c r="BY1017" s="99"/>
      <c r="BZ1017" s="99"/>
      <c r="CA1017" s="99"/>
      <c r="CB1017" s="99"/>
      <c r="CC1017" s="99"/>
      <c r="CD1017" s="99"/>
      <c r="CE1017" s="99"/>
      <c r="CF1017" s="99"/>
      <c r="CG1017" s="99"/>
      <c r="CH1017" s="99"/>
      <c r="CI1017" s="99"/>
      <c r="CJ1017" s="621"/>
      <c r="CK1017" s="621"/>
      <c r="CL1017" s="621"/>
    </row>
    <row r="1018" spans="27:90">
      <c r="AA1018" s="350"/>
      <c r="AB1018" s="62"/>
      <c r="AC1018" s="62"/>
      <c r="AD1018" s="62"/>
      <c r="AP1018" s="88"/>
      <c r="AQ1018" s="88"/>
      <c r="AR1018" s="88"/>
      <c r="AS1018" s="99"/>
      <c r="AT1018" s="99"/>
      <c r="AU1018" s="99"/>
      <c r="AV1018" s="99"/>
      <c r="AW1018" s="99"/>
      <c r="AX1018" s="99"/>
      <c r="AY1018" s="99"/>
      <c r="AZ1018" s="99"/>
      <c r="BA1018" s="99"/>
      <c r="BB1018" s="99"/>
      <c r="BC1018" s="99"/>
      <c r="BD1018" s="99"/>
      <c r="BE1018" s="99"/>
      <c r="BF1018" s="99"/>
      <c r="BG1018" s="99"/>
      <c r="BH1018" s="99"/>
      <c r="BI1018" s="99"/>
      <c r="BJ1018" s="99"/>
      <c r="BK1018" s="99"/>
      <c r="BL1018" s="99"/>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c r="CJ1018" s="621"/>
      <c r="CK1018" s="621"/>
      <c r="CL1018" s="621"/>
    </row>
    <row r="1019" spans="27:90">
      <c r="AA1019" s="350"/>
      <c r="AB1019" s="62"/>
      <c r="AC1019" s="62"/>
      <c r="AD1019" s="62"/>
      <c r="AP1019" s="88"/>
      <c r="AQ1019" s="88"/>
      <c r="AR1019" s="88"/>
      <c r="AS1019" s="99"/>
      <c r="AT1019" s="99"/>
      <c r="AU1019" s="99"/>
      <c r="AV1019" s="99"/>
      <c r="AW1019" s="99"/>
      <c r="AX1019" s="99"/>
      <c r="AY1019" s="99"/>
      <c r="AZ1019" s="99"/>
      <c r="BA1019" s="99"/>
      <c r="BB1019" s="99"/>
      <c r="BC1019" s="99"/>
      <c r="BD1019" s="99"/>
      <c r="BE1019" s="99"/>
      <c r="BF1019" s="99"/>
      <c r="BG1019" s="99"/>
      <c r="BH1019" s="99"/>
      <c r="BI1019" s="99"/>
      <c r="BJ1019" s="99"/>
      <c r="BK1019" s="99"/>
      <c r="BL1019" s="99"/>
      <c r="BM1019" s="99"/>
      <c r="BN1019" s="99"/>
      <c r="BO1019" s="99"/>
      <c r="BP1019" s="99"/>
      <c r="BQ1019" s="99"/>
      <c r="BR1019" s="99"/>
      <c r="BS1019" s="99"/>
      <c r="BT1019" s="99"/>
      <c r="BU1019" s="99"/>
      <c r="BV1019" s="99"/>
      <c r="BW1019" s="99"/>
      <c r="BX1019" s="99"/>
      <c r="BY1019" s="99"/>
      <c r="BZ1019" s="99"/>
      <c r="CA1019" s="99"/>
      <c r="CB1019" s="99"/>
      <c r="CC1019" s="99"/>
      <c r="CD1019" s="99"/>
      <c r="CE1019" s="99"/>
      <c r="CF1019" s="99"/>
      <c r="CG1019" s="99"/>
      <c r="CH1019" s="99"/>
      <c r="CI1019" s="99"/>
      <c r="CJ1019" s="621"/>
      <c r="CK1019" s="621"/>
      <c r="CL1019" s="621"/>
    </row>
    <row r="1020" spans="27:90">
      <c r="AA1020" s="350"/>
      <c r="AB1020" s="62"/>
      <c r="AC1020" s="62"/>
      <c r="AD1020" s="62"/>
      <c r="AP1020" s="88"/>
      <c r="AQ1020" s="88"/>
      <c r="AR1020" s="88"/>
      <c r="AS1020" s="99"/>
      <c r="AT1020" s="99"/>
      <c r="AU1020" s="99"/>
      <c r="AV1020" s="99"/>
      <c r="AW1020" s="99"/>
      <c r="AX1020" s="99"/>
      <c r="AY1020" s="99"/>
      <c r="AZ1020" s="99"/>
      <c r="BA1020" s="99"/>
      <c r="BB1020" s="99"/>
      <c r="BC1020" s="99"/>
      <c r="BD1020" s="99"/>
      <c r="BE1020" s="99"/>
      <c r="BF1020" s="99"/>
      <c r="BG1020" s="99"/>
      <c r="BH1020" s="99"/>
      <c r="BI1020" s="99"/>
      <c r="BJ1020" s="99"/>
      <c r="BK1020" s="99"/>
      <c r="BL1020" s="99"/>
      <c r="BM1020" s="99"/>
      <c r="BN1020" s="99"/>
      <c r="BO1020" s="99"/>
      <c r="BP1020" s="99"/>
      <c r="BQ1020" s="99"/>
      <c r="BR1020" s="99"/>
      <c r="BS1020" s="99"/>
      <c r="BT1020" s="99"/>
      <c r="BU1020" s="99"/>
      <c r="BV1020" s="99"/>
      <c r="BW1020" s="99"/>
      <c r="BX1020" s="99"/>
      <c r="BY1020" s="99"/>
      <c r="BZ1020" s="99"/>
      <c r="CA1020" s="99"/>
      <c r="CB1020" s="99"/>
      <c r="CC1020" s="99"/>
      <c r="CD1020" s="99"/>
      <c r="CE1020" s="99"/>
      <c r="CF1020" s="99"/>
      <c r="CG1020" s="99"/>
      <c r="CH1020" s="99"/>
      <c r="CI1020" s="99"/>
      <c r="CJ1020" s="621"/>
      <c r="CK1020" s="621"/>
      <c r="CL1020" s="621"/>
    </row>
    <row r="1021" spans="27:90">
      <c r="AA1021" s="350"/>
      <c r="AB1021" s="62"/>
      <c r="AC1021" s="62"/>
      <c r="AD1021" s="62"/>
      <c r="AP1021" s="88"/>
      <c r="AQ1021" s="88"/>
      <c r="AR1021" s="88"/>
      <c r="AS1021" s="99"/>
      <c r="AT1021" s="99"/>
      <c r="AU1021" s="99"/>
      <c r="AV1021" s="99"/>
      <c r="AW1021" s="99"/>
      <c r="AX1021" s="99"/>
      <c r="AY1021" s="99"/>
      <c r="AZ1021" s="99"/>
      <c r="BA1021" s="99"/>
      <c r="BB1021" s="99"/>
      <c r="BC1021" s="99"/>
      <c r="BD1021" s="99"/>
      <c r="BE1021" s="99"/>
      <c r="BF1021" s="99"/>
      <c r="BG1021" s="99"/>
      <c r="BH1021" s="99"/>
      <c r="BI1021" s="99"/>
      <c r="BJ1021" s="99"/>
      <c r="BK1021" s="99"/>
      <c r="BL1021" s="99"/>
      <c r="BM1021" s="99"/>
      <c r="BN1021" s="99"/>
      <c r="BO1021" s="99"/>
      <c r="BP1021" s="99"/>
      <c r="BQ1021" s="99"/>
      <c r="BR1021" s="99"/>
      <c r="BS1021" s="99"/>
      <c r="BT1021" s="99"/>
      <c r="BU1021" s="99"/>
      <c r="BV1021" s="99"/>
      <c r="BW1021" s="99"/>
      <c r="BX1021" s="99"/>
      <c r="BY1021" s="99"/>
      <c r="BZ1021" s="99"/>
      <c r="CA1021" s="99"/>
      <c r="CB1021" s="99"/>
      <c r="CC1021" s="99"/>
      <c r="CD1021" s="99"/>
      <c r="CE1021" s="99"/>
      <c r="CF1021" s="99"/>
      <c r="CG1021" s="99"/>
      <c r="CH1021" s="99"/>
      <c r="CI1021" s="99"/>
      <c r="CJ1021" s="621"/>
      <c r="CK1021" s="621"/>
      <c r="CL1021" s="621"/>
    </row>
    <row r="1022" spans="27:90">
      <c r="AA1022" s="350"/>
      <c r="AB1022" s="62"/>
      <c r="AC1022" s="62"/>
      <c r="AD1022" s="62"/>
      <c r="AP1022" s="88"/>
      <c r="AQ1022" s="88"/>
      <c r="AR1022" s="88"/>
      <c r="AS1022" s="99"/>
      <c r="AT1022" s="99"/>
      <c r="AU1022" s="99"/>
      <c r="AV1022" s="99"/>
      <c r="AW1022" s="99"/>
      <c r="AX1022" s="99"/>
      <c r="AY1022" s="99"/>
      <c r="AZ1022" s="99"/>
      <c r="BA1022" s="99"/>
      <c r="BB1022" s="99"/>
      <c r="BC1022" s="99"/>
      <c r="BD1022" s="99"/>
      <c r="BE1022" s="99"/>
      <c r="BF1022" s="99"/>
      <c r="BG1022" s="99"/>
      <c r="BH1022" s="99"/>
      <c r="BI1022" s="99"/>
      <c r="BJ1022" s="99"/>
      <c r="BK1022" s="99"/>
      <c r="BL1022" s="99"/>
      <c r="BM1022" s="99"/>
      <c r="BN1022" s="99"/>
      <c r="BO1022" s="99"/>
      <c r="BP1022" s="99"/>
      <c r="BQ1022" s="99"/>
      <c r="BR1022" s="99"/>
      <c r="BS1022" s="99"/>
      <c r="BT1022" s="99"/>
      <c r="BU1022" s="99"/>
      <c r="BV1022" s="99"/>
      <c r="BW1022" s="99"/>
      <c r="BX1022" s="99"/>
      <c r="BY1022" s="99"/>
      <c r="BZ1022" s="99"/>
      <c r="CA1022" s="99"/>
      <c r="CB1022" s="99"/>
      <c r="CC1022" s="99"/>
      <c r="CD1022" s="99"/>
      <c r="CE1022" s="99"/>
      <c r="CF1022" s="99"/>
      <c r="CG1022" s="99"/>
      <c r="CH1022" s="99"/>
      <c r="CI1022" s="99"/>
      <c r="CJ1022" s="621"/>
      <c r="CK1022" s="621"/>
      <c r="CL1022" s="621"/>
    </row>
    <row r="1023" spans="27:90">
      <c r="AA1023" s="350"/>
      <c r="AB1023" s="62"/>
      <c r="AC1023" s="62"/>
      <c r="AD1023" s="62"/>
      <c r="AP1023" s="88"/>
      <c r="AQ1023" s="88"/>
      <c r="AR1023" s="88"/>
      <c r="AS1023" s="99"/>
      <c r="AT1023" s="99"/>
      <c r="AU1023" s="99"/>
      <c r="AV1023" s="99"/>
      <c r="AW1023" s="99"/>
      <c r="AX1023" s="99"/>
      <c r="AY1023" s="99"/>
      <c r="AZ1023" s="99"/>
      <c r="BA1023" s="99"/>
      <c r="BB1023" s="99"/>
      <c r="BC1023" s="99"/>
      <c r="BD1023" s="99"/>
      <c r="BE1023" s="99"/>
      <c r="BF1023" s="99"/>
      <c r="BG1023" s="99"/>
      <c r="BH1023" s="99"/>
      <c r="BI1023" s="99"/>
      <c r="BJ1023" s="99"/>
      <c r="BK1023" s="99"/>
      <c r="BL1023" s="99"/>
      <c r="BM1023" s="99"/>
      <c r="BN1023" s="99"/>
      <c r="BO1023" s="99"/>
      <c r="BP1023" s="99"/>
      <c r="BQ1023" s="99"/>
      <c r="BR1023" s="99"/>
      <c r="BS1023" s="99"/>
      <c r="BT1023" s="99"/>
      <c r="BU1023" s="99"/>
      <c r="BV1023" s="99"/>
      <c r="BW1023" s="99"/>
      <c r="BX1023" s="99"/>
      <c r="BY1023" s="99"/>
      <c r="BZ1023" s="99"/>
      <c r="CA1023" s="99"/>
      <c r="CB1023" s="99"/>
      <c r="CC1023" s="99"/>
      <c r="CD1023" s="99"/>
      <c r="CE1023" s="99"/>
      <c r="CF1023" s="99"/>
      <c r="CG1023" s="99"/>
      <c r="CH1023" s="99"/>
      <c r="CI1023" s="99"/>
      <c r="CJ1023" s="621"/>
      <c r="CK1023" s="621"/>
      <c r="CL1023" s="621"/>
    </row>
    <row r="1024" spans="27:90">
      <c r="AA1024" s="350"/>
      <c r="AB1024" s="62"/>
      <c r="AC1024" s="62"/>
      <c r="AD1024" s="62"/>
      <c r="AP1024" s="88"/>
      <c r="AQ1024" s="88"/>
      <c r="AR1024" s="88"/>
      <c r="AS1024" s="99"/>
      <c r="AT1024" s="99"/>
      <c r="AU1024" s="99"/>
      <c r="AV1024" s="99"/>
      <c r="AW1024" s="99"/>
      <c r="AX1024" s="99"/>
      <c r="AY1024" s="99"/>
      <c r="AZ1024" s="99"/>
      <c r="BA1024" s="99"/>
      <c r="BB1024" s="99"/>
      <c r="BC1024" s="99"/>
      <c r="BD1024" s="99"/>
      <c r="BE1024" s="99"/>
      <c r="BF1024" s="99"/>
      <c r="BG1024" s="99"/>
      <c r="BH1024" s="99"/>
      <c r="BI1024" s="99"/>
      <c r="BJ1024" s="99"/>
      <c r="BK1024" s="99"/>
      <c r="BL1024" s="99"/>
      <c r="BM1024" s="99"/>
      <c r="BN1024" s="99"/>
      <c r="BO1024" s="99"/>
      <c r="BP1024" s="99"/>
      <c r="BQ1024" s="99"/>
      <c r="BR1024" s="99"/>
      <c r="BS1024" s="99"/>
      <c r="BT1024" s="99"/>
      <c r="BU1024" s="99"/>
      <c r="BV1024" s="99"/>
      <c r="BW1024" s="99"/>
      <c r="BX1024" s="99"/>
      <c r="BY1024" s="99"/>
      <c r="BZ1024" s="99"/>
      <c r="CA1024" s="99"/>
      <c r="CB1024" s="99"/>
      <c r="CC1024" s="99"/>
      <c r="CD1024" s="99"/>
      <c r="CE1024" s="99"/>
      <c r="CF1024" s="99"/>
      <c r="CG1024" s="99"/>
      <c r="CH1024" s="99"/>
      <c r="CI1024" s="99"/>
      <c r="CJ1024" s="621"/>
      <c r="CK1024" s="621"/>
      <c r="CL1024" s="621"/>
    </row>
    <row r="1025" spans="27:90">
      <c r="AA1025" s="350"/>
      <c r="AB1025" s="62"/>
      <c r="AC1025" s="62"/>
      <c r="AD1025" s="62"/>
      <c r="AP1025" s="88"/>
      <c r="AQ1025" s="88"/>
      <c r="AR1025" s="88"/>
      <c r="AS1025" s="99"/>
      <c r="AT1025" s="99"/>
      <c r="AU1025" s="99"/>
      <c r="AV1025" s="99"/>
      <c r="AW1025" s="99"/>
      <c r="AX1025" s="99"/>
      <c r="AY1025" s="99"/>
      <c r="AZ1025" s="99"/>
      <c r="BA1025" s="99"/>
      <c r="BB1025" s="99"/>
      <c r="BC1025" s="99"/>
      <c r="BD1025" s="99"/>
      <c r="BE1025" s="99"/>
      <c r="BF1025" s="99"/>
      <c r="BG1025" s="99"/>
      <c r="BH1025" s="99"/>
      <c r="BI1025" s="99"/>
      <c r="BJ1025" s="99"/>
      <c r="BK1025" s="99"/>
      <c r="BL1025" s="99"/>
      <c r="BM1025" s="99"/>
      <c r="BN1025" s="99"/>
      <c r="BO1025" s="99"/>
      <c r="BP1025" s="99"/>
      <c r="BQ1025" s="99"/>
      <c r="BR1025" s="99"/>
      <c r="BS1025" s="99"/>
      <c r="BT1025" s="99"/>
      <c r="BU1025" s="99"/>
      <c r="BV1025" s="99"/>
      <c r="BW1025" s="99"/>
      <c r="BX1025" s="99"/>
      <c r="BY1025" s="99"/>
      <c r="BZ1025" s="99"/>
      <c r="CA1025" s="99"/>
      <c r="CB1025" s="99"/>
      <c r="CC1025" s="99"/>
      <c r="CD1025" s="99"/>
      <c r="CE1025" s="99"/>
      <c r="CF1025" s="99"/>
      <c r="CG1025" s="99"/>
      <c r="CH1025" s="99"/>
      <c r="CI1025" s="99"/>
      <c r="CJ1025" s="621"/>
      <c r="CK1025" s="621"/>
      <c r="CL1025" s="621"/>
    </row>
    <row r="1026" spans="27:90">
      <c r="AA1026" s="350"/>
      <c r="AB1026" s="62"/>
      <c r="AC1026" s="62"/>
      <c r="AD1026" s="62"/>
      <c r="AP1026" s="88"/>
      <c r="AQ1026" s="88"/>
      <c r="AR1026" s="88"/>
      <c r="AS1026" s="99"/>
      <c r="AT1026" s="99"/>
      <c r="AU1026" s="99"/>
      <c r="AV1026" s="99"/>
      <c r="AW1026" s="99"/>
      <c r="AX1026" s="99"/>
      <c r="AY1026" s="99"/>
      <c r="AZ1026" s="99"/>
      <c r="BA1026" s="99"/>
      <c r="BB1026" s="99"/>
      <c r="BC1026" s="99"/>
      <c r="BD1026" s="99"/>
      <c r="BE1026" s="99"/>
      <c r="BF1026" s="99"/>
      <c r="BG1026" s="99"/>
      <c r="BH1026" s="99"/>
      <c r="BI1026" s="99"/>
      <c r="BJ1026" s="99"/>
      <c r="BK1026" s="99"/>
      <c r="BL1026" s="99"/>
      <c r="BM1026" s="99"/>
      <c r="BN1026" s="99"/>
      <c r="BO1026" s="99"/>
      <c r="BP1026" s="99"/>
      <c r="BQ1026" s="99"/>
      <c r="BR1026" s="99"/>
      <c r="BS1026" s="99"/>
      <c r="BT1026" s="99"/>
      <c r="BU1026" s="99"/>
      <c r="BV1026" s="99"/>
      <c r="BW1026" s="99"/>
      <c r="BX1026" s="99"/>
      <c r="BY1026" s="99"/>
      <c r="BZ1026" s="99"/>
      <c r="CA1026" s="99"/>
      <c r="CB1026" s="99"/>
      <c r="CC1026" s="99"/>
      <c r="CD1026" s="99"/>
      <c r="CE1026" s="99"/>
      <c r="CF1026" s="99"/>
      <c r="CG1026" s="99"/>
      <c r="CH1026" s="99"/>
      <c r="CI1026" s="99"/>
      <c r="CJ1026" s="621"/>
      <c r="CK1026" s="621"/>
      <c r="CL1026" s="621"/>
    </row>
    <row r="1027" spans="27:90">
      <c r="AA1027" s="350"/>
      <c r="AB1027" s="62"/>
      <c r="AC1027" s="62"/>
      <c r="AD1027" s="62"/>
      <c r="AP1027" s="88"/>
      <c r="AQ1027" s="88"/>
      <c r="AR1027" s="88"/>
      <c r="AS1027" s="99"/>
      <c r="AT1027" s="99"/>
      <c r="AU1027" s="99"/>
      <c r="AV1027" s="99"/>
      <c r="AW1027" s="99"/>
      <c r="AX1027" s="99"/>
      <c r="AY1027" s="99"/>
      <c r="AZ1027" s="99"/>
      <c r="BA1027" s="99"/>
      <c r="BB1027" s="99"/>
      <c r="BC1027" s="99"/>
      <c r="BD1027" s="99"/>
      <c r="BE1027" s="99"/>
      <c r="BF1027" s="99"/>
      <c r="BG1027" s="99"/>
      <c r="BH1027" s="99"/>
      <c r="BI1027" s="99"/>
      <c r="BJ1027" s="99"/>
      <c r="BK1027" s="99"/>
      <c r="BL1027" s="99"/>
      <c r="BM1027" s="99"/>
      <c r="BN1027" s="99"/>
      <c r="BO1027" s="99"/>
      <c r="BP1027" s="99"/>
      <c r="BQ1027" s="99"/>
      <c r="BR1027" s="99"/>
      <c r="BS1027" s="99"/>
      <c r="BT1027" s="99"/>
      <c r="BU1027" s="99"/>
      <c r="BV1027" s="99"/>
      <c r="BW1027" s="99"/>
      <c r="BX1027" s="99"/>
      <c r="BY1027" s="99"/>
      <c r="BZ1027" s="99"/>
      <c r="CA1027" s="99"/>
      <c r="CB1027" s="99"/>
      <c r="CC1027" s="99"/>
      <c r="CD1027" s="99"/>
      <c r="CE1027" s="99"/>
      <c r="CF1027" s="99"/>
      <c r="CG1027" s="99"/>
      <c r="CH1027" s="99"/>
      <c r="CI1027" s="99"/>
      <c r="CJ1027" s="621"/>
      <c r="CK1027" s="621"/>
      <c r="CL1027" s="621"/>
    </row>
    <row r="1028" spans="27:90">
      <c r="AA1028" s="350"/>
      <c r="AB1028" s="62"/>
      <c r="AC1028" s="62"/>
      <c r="AD1028" s="62"/>
      <c r="AP1028" s="88"/>
      <c r="AQ1028" s="88"/>
      <c r="AR1028" s="88"/>
      <c r="AS1028" s="99"/>
      <c r="AT1028" s="99"/>
      <c r="AU1028" s="99"/>
      <c r="AV1028" s="99"/>
      <c r="AW1028" s="99"/>
      <c r="AX1028" s="99"/>
      <c r="AY1028" s="99"/>
      <c r="AZ1028" s="99"/>
      <c r="BA1028" s="99"/>
      <c r="BB1028" s="99"/>
      <c r="BC1028" s="99"/>
      <c r="BD1028" s="99"/>
      <c r="BE1028" s="99"/>
      <c r="BF1028" s="99"/>
      <c r="BG1028" s="99"/>
      <c r="BH1028" s="99"/>
      <c r="BI1028" s="99"/>
      <c r="BJ1028" s="99"/>
      <c r="BK1028" s="99"/>
      <c r="BL1028" s="99"/>
      <c r="BM1028" s="99"/>
      <c r="BN1028" s="99"/>
      <c r="BO1028" s="99"/>
      <c r="BP1028" s="99"/>
      <c r="BQ1028" s="99"/>
      <c r="BR1028" s="99"/>
      <c r="BS1028" s="99"/>
      <c r="BT1028" s="99"/>
      <c r="BU1028" s="99"/>
      <c r="BV1028" s="99"/>
      <c r="BW1028" s="99"/>
      <c r="BX1028" s="99"/>
      <c r="BY1028" s="99"/>
      <c r="BZ1028" s="99"/>
      <c r="CA1028" s="99"/>
      <c r="CB1028" s="99"/>
      <c r="CC1028" s="99"/>
      <c r="CD1028" s="99"/>
      <c r="CE1028" s="99"/>
      <c r="CF1028" s="99"/>
      <c r="CG1028" s="99"/>
      <c r="CH1028" s="99"/>
      <c r="CI1028" s="99"/>
      <c r="CJ1028" s="621"/>
      <c r="CK1028" s="621"/>
      <c r="CL1028" s="621"/>
    </row>
    <row r="1029" spans="27:90">
      <c r="AA1029" s="350"/>
      <c r="AB1029" s="62"/>
      <c r="AC1029" s="62"/>
      <c r="AD1029" s="62"/>
      <c r="AP1029" s="88"/>
      <c r="AQ1029" s="88"/>
      <c r="AR1029" s="88"/>
      <c r="AS1029" s="99"/>
      <c r="AT1029" s="99"/>
      <c r="AU1029" s="99"/>
      <c r="AV1029" s="99"/>
      <c r="AW1029" s="99"/>
      <c r="AX1029" s="99"/>
      <c r="AY1029" s="99"/>
      <c r="AZ1029" s="99"/>
      <c r="BA1029" s="99"/>
      <c r="BB1029" s="99"/>
      <c r="BC1029" s="99"/>
      <c r="BD1029" s="99"/>
      <c r="BE1029" s="99"/>
      <c r="BF1029" s="99"/>
      <c r="BG1029" s="99"/>
      <c r="BH1029" s="99"/>
      <c r="BI1029" s="99"/>
      <c r="BJ1029" s="99"/>
      <c r="BK1029" s="99"/>
      <c r="BL1029" s="99"/>
      <c r="BM1029" s="99"/>
      <c r="BN1029" s="99"/>
      <c r="BO1029" s="99"/>
      <c r="BP1029" s="99"/>
      <c r="BQ1029" s="99"/>
      <c r="BR1029" s="99"/>
      <c r="BS1029" s="99"/>
      <c r="BT1029" s="99"/>
      <c r="BU1029" s="99"/>
      <c r="BV1029" s="99"/>
      <c r="BW1029" s="99"/>
      <c r="BX1029" s="99"/>
      <c r="BY1029" s="99"/>
      <c r="BZ1029" s="99"/>
      <c r="CA1029" s="99"/>
      <c r="CB1029" s="99"/>
      <c r="CC1029" s="99"/>
      <c r="CD1029" s="99"/>
      <c r="CE1029" s="99"/>
      <c r="CF1029" s="99"/>
      <c r="CG1029" s="99"/>
      <c r="CH1029" s="99"/>
      <c r="CI1029" s="99"/>
      <c r="CJ1029" s="621"/>
      <c r="CK1029" s="621"/>
      <c r="CL1029" s="621"/>
    </row>
    <row r="1030" spans="27:90">
      <c r="AA1030" s="350"/>
      <c r="AB1030" s="62"/>
      <c r="AC1030" s="62"/>
      <c r="AD1030" s="62"/>
      <c r="AP1030" s="88"/>
      <c r="AQ1030" s="88"/>
      <c r="AR1030" s="88"/>
      <c r="AS1030" s="99"/>
      <c r="AT1030" s="99"/>
      <c r="AU1030" s="99"/>
      <c r="AV1030" s="99"/>
      <c r="AW1030" s="99"/>
      <c r="AX1030" s="99"/>
      <c r="AY1030" s="99"/>
      <c r="AZ1030" s="99"/>
      <c r="BA1030" s="99"/>
      <c r="BB1030" s="99"/>
      <c r="BC1030" s="99"/>
      <c r="BD1030" s="99"/>
      <c r="BE1030" s="99"/>
      <c r="BF1030" s="99"/>
      <c r="BG1030" s="99"/>
      <c r="BH1030" s="99"/>
      <c r="BI1030" s="99"/>
      <c r="BJ1030" s="99"/>
      <c r="BK1030" s="99"/>
      <c r="BL1030" s="99"/>
      <c r="BM1030" s="99"/>
      <c r="BN1030" s="99"/>
      <c r="BO1030" s="99"/>
      <c r="BP1030" s="99"/>
      <c r="BQ1030" s="99"/>
      <c r="BR1030" s="99"/>
      <c r="BS1030" s="99"/>
      <c r="BT1030" s="99"/>
      <c r="BU1030" s="99"/>
      <c r="BV1030" s="99"/>
      <c r="BW1030" s="99"/>
      <c r="BX1030" s="99"/>
      <c r="BY1030" s="99"/>
      <c r="BZ1030" s="99"/>
      <c r="CA1030" s="99"/>
      <c r="CB1030" s="99"/>
      <c r="CC1030" s="99"/>
      <c r="CD1030" s="99"/>
      <c r="CE1030" s="99"/>
      <c r="CF1030" s="99"/>
      <c r="CG1030" s="99"/>
      <c r="CH1030" s="99"/>
      <c r="CI1030" s="99"/>
      <c r="CJ1030" s="621"/>
      <c r="CK1030" s="621"/>
      <c r="CL1030" s="621"/>
    </row>
    <row r="1031" spans="27:90">
      <c r="AA1031" s="350"/>
      <c r="AB1031" s="62"/>
      <c r="AC1031" s="62"/>
      <c r="AD1031" s="62"/>
      <c r="AP1031" s="88"/>
      <c r="AQ1031" s="88"/>
      <c r="AR1031" s="88"/>
      <c r="AS1031" s="99"/>
      <c r="AT1031" s="99"/>
      <c r="AU1031" s="99"/>
      <c r="AV1031" s="99"/>
      <c r="AW1031" s="99"/>
      <c r="AX1031" s="99"/>
      <c r="AY1031" s="99"/>
      <c r="AZ1031" s="99"/>
      <c r="BA1031" s="99"/>
      <c r="BB1031" s="99"/>
      <c r="BC1031" s="99"/>
      <c r="BD1031" s="99"/>
      <c r="BE1031" s="99"/>
      <c r="BF1031" s="99"/>
      <c r="BG1031" s="99"/>
      <c r="BH1031" s="99"/>
      <c r="BI1031" s="99"/>
      <c r="BJ1031" s="99"/>
      <c r="BK1031" s="99"/>
      <c r="BL1031" s="99"/>
      <c r="BM1031" s="99"/>
      <c r="BN1031" s="99"/>
      <c r="BO1031" s="99"/>
      <c r="BP1031" s="99"/>
      <c r="BQ1031" s="99"/>
      <c r="BR1031" s="99"/>
      <c r="BS1031" s="99"/>
      <c r="BT1031" s="99"/>
      <c r="BU1031" s="99"/>
      <c r="BV1031" s="99"/>
      <c r="BW1031" s="99"/>
      <c r="BX1031" s="99"/>
      <c r="BY1031" s="99"/>
      <c r="BZ1031" s="99"/>
      <c r="CA1031" s="99"/>
      <c r="CB1031" s="99"/>
      <c r="CC1031" s="99"/>
      <c r="CD1031" s="99"/>
      <c r="CE1031" s="99"/>
      <c r="CF1031" s="99"/>
      <c r="CG1031" s="99"/>
      <c r="CH1031" s="99"/>
      <c r="CI1031" s="99"/>
      <c r="CJ1031" s="621"/>
      <c r="CK1031" s="621"/>
      <c r="CL1031" s="621"/>
    </row>
    <row r="1032" spans="27:90">
      <c r="AA1032" s="350"/>
      <c r="AB1032" s="62"/>
      <c r="AC1032" s="62"/>
      <c r="AD1032" s="62"/>
      <c r="AP1032" s="88"/>
      <c r="AQ1032" s="88"/>
      <c r="AR1032" s="88"/>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621"/>
      <c r="CK1032" s="621"/>
      <c r="CL1032" s="621"/>
    </row>
    <row r="1033" spans="27:90">
      <c r="AA1033" s="350"/>
      <c r="AB1033" s="62"/>
      <c r="AC1033" s="62"/>
      <c r="AD1033" s="62"/>
      <c r="AP1033" s="88"/>
      <c r="AQ1033" s="88"/>
      <c r="AR1033" s="88"/>
      <c r="AS1033" s="99"/>
      <c r="AT1033" s="99"/>
      <c r="AU1033" s="99"/>
      <c r="AV1033" s="99"/>
      <c r="AW1033" s="99"/>
      <c r="AX1033" s="99"/>
      <c r="AY1033" s="99"/>
      <c r="AZ1033" s="99"/>
      <c r="BA1033" s="99"/>
      <c r="BB1033" s="99"/>
      <c r="BC1033" s="99"/>
      <c r="BD1033" s="99"/>
      <c r="BE1033" s="99"/>
      <c r="BF1033" s="99"/>
      <c r="BG1033" s="99"/>
      <c r="BH1033" s="99"/>
      <c r="BI1033" s="99"/>
      <c r="BJ1033" s="99"/>
      <c r="BK1033" s="99"/>
      <c r="BL1033" s="99"/>
      <c r="BM1033" s="99"/>
      <c r="BN1033" s="99"/>
      <c r="BO1033" s="99"/>
      <c r="BP1033" s="99"/>
      <c r="BQ1033" s="99"/>
      <c r="BR1033" s="99"/>
      <c r="BS1033" s="99"/>
      <c r="BT1033" s="99"/>
      <c r="BU1033" s="99"/>
      <c r="BV1033" s="99"/>
      <c r="BW1033" s="99"/>
      <c r="BX1033" s="99"/>
      <c r="BY1033" s="99"/>
      <c r="BZ1033" s="99"/>
      <c r="CA1033" s="99"/>
      <c r="CB1033" s="99"/>
      <c r="CC1033" s="99"/>
      <c r="CD1033" s="99"/>
      <c r="CE1033" s="99"/>
      <c r="CF1033" s="99"/>
      <c r="CG1033" s="99"/>
      <c r="CH1033" s="99"/>
      <c r="CI1033" s="99"/>
      <c r="CJ1033" s="621"/>
      <c r="CK1033" s="621"/>
      <c r="CL1033" s="621"/>
    </row>
    <row r="1034" spans="27:90">
      <c r="AA1034" s="350"/>
      <c r="AB1034" s="62"/>
      <c r="AC1034" s="62"/>
      <c r="AD1034" s="62"/>
      <c r="AP1034" s="88"/>
      <c r="AQ1034" s="88"/>
      <c r="AR1034" s="88"/>
      <c r="AS1034" s="99"/>
      <c r="AT1034" s="99"/>
      <c r="AU1034" s="99"/>
      <c r="AV1034" s="99"/>
      <c r="AW1034" s="99"/>
      <c r="AX1034" s="99"/>
      <c r="AY1034" s="99"/>
      <c r="AZ1034" s="99"/>
      <c r="BA1034" s="99"/>
      <c r="BB1034" s="99"/>
      <c r="BC1034" s="99"/>
      <c r="BD1034" s="99"/>
      <c r="BE1034" s="99"/>
      <c r="BF1034" s="99"/>
      <c r="BG1034" s="99"/>
      <c r="BH1034" s="99"/>
      <c r="BI1034" s="99"/>
      <c r="BJ1034" s="99"/>
      <c r="BK1034" s="99"/>
      <c r="BL1034" s="99"/>
      <c r="BM1034" s="99"/>
      <c r="BN1034" s="99"/>
      <c r="BO1034" s="99"/>
      <c r="BP1034" s="99"/>
      <c r="BQ1034" s="99"/>
      <c r="BR1034" s="99"/>
      <c r="BS1034" s="99"/>
      <c r="BT1034" s="99"/>
      <c r="BU1034" s="99"/>
      <c r="BV1034" s="99"/>
      <c r="BW1034" s="99"/>
      <c r="BX1034" s="99"/>
      <c r="BY1034" s="99"/>
      <c r="BZ1034" s="99"/>
      <c r="CA1034" s="99"/>
      <c r="CB1034" s="99"/>
      <c r="CC1034" s="99"/>
      <c r="CD1034" s="99"/>
      <c r="CE1034" s="99"/>
      <c r="CF1034" s="99"/>
      <c r="CG1034" s="99"/>
      <c r="CH1034" s="99"/>
      <c r="CI1034" s="99"/>
      <c r="CJ1034" s="621"/>
      <c r="CK1034" s="621"/>
      <c r="CL1034" s="621"/>
    </row>
    <row r="1035" spans="27:90">
      <c r="AA1035" s="350"/>
      <c r="AB1035" s="62"/>
      <c r="AC1035" s="62"/>
      <c r="AD1035" s="62"/>
      <c r="AP1035" s="88"/>
      <c r="AQ1035" s="88"/>
      <c r="AR1035" s="88"/>
      <c r="AS1035" s="99"/>
      <c r="AT1035" s="99"/>
      <c r="AU1035" s="99"/>
      <c r="AV1035" s="99"/>
      <c r="AW1035" s="99"/>
      <c r="AX1035" s="99"/>
      <c r="AY1035" s="99"/>
      <c r="AZ1035" s="99"/>
      <c r="BA1035" s="99"/>
      <c r="BB1035" s="99"/>
      <c r="BC1035" s="99"/>
      <c r="BD1035" s="99"/>
      <c r="BE1035" s="99"/>
      <c r="BF1035" s="99"/>
      <c r="BG1035" s="99"/>
      <c r="BH1035" s="99"/>
      <c r="BI1035" s="99"/>
      <c r="BJ1035" s="99"/>
      <c r="BK1035" s="99"/>
      <c r="BL1035" s="99"/>
      <c r="BM1035" s="99"/>
      <c r="BN1035" s="99"/>
      <c r="BO1035" s="99"/>
      <c r="BP1035" s="99"/>
      <c r="BQ1035" s="99"/>
      <c r="BR1035" s="99"/>
      <c r="BS1035" s="99"/>
      <c r="BT1035" s="99"/>
      <c r="BU1035" s="99"/>
      <c r="BV1035" s="99"/>
      <c r="BW1035" s="99"/>
      <c r="BX1035" s="99"/>
      <c r="BY1035" s="99"/>
      <c r="BZ1035" s="99"/>
      <c r="CA1035" s="99"/>
      <c r="CB1035" s="99"/>
      <c r="CC1035" s="99"/>
      <c r="CD1035" s="99"/>
      <c r="CE1035" s="99"/>
      <c r="CF1035" s="99"/>
      <c r="CG1035" s="99"/>
      <c r="CH1035" s="99"/>
      <c r="CI1035" s="99"/>
      <c r="CJ1035" s="621"/>
      <c r="CK1035" s="621"/>
      <c r="CL1035" s="621"/>
    </row>
    <row r="1036" spans="27:90">
      <c r="AA1036" s="350"/>
      <c r="AB1036" s="62"/>
      <c r="AC1036" s="62"/>
      <c r="AD1036" s="62"/>
      <c r="AP1036" s="88"/>
      <c r="AQ1036" s="88"/>
      <c r="AR1036" s="88"/>
      <c r="AS1036" s="99"/>
      <c r="AT1036" s="99"/>
      <c r="AU1036" s="99"/>
      <c r="AV1036" s="99"/>
      <c r="AW1036" s="99"/>
      <c r="AX1036" s="99"/>
      <c r="AY1036" s="99"/>
      <c r="AZ1036" s="99"/>
      <c r="BA1036" s="99"/>
      <c r="BB1036" s="99"/>
      <c r="BC1036" s="99"/>
      <c r="BD1036" s="99"/>
      <c r="BE1036" s="99"/>
      <c r="BF1036" s="99"/>
      <c r="BG1036" s="99"/>
      <c r="BH1036" s="99"/>
      <c r="BI1036" s="99"/>
      <c r="BJ1036" s="99"/>
      <c r="BK1036" s="99"/>
      <c r="BL1036" s="99"/>
      <c r="BM1036" s="99"/>
      <c r="BN1036" s="99"/>
      <c r="BO1036" s="99"/>
      <c r="BP1036" s="99"/>
      <c r="BQ1036" s="99"/>
      <c r="BR1036" s="99"/>
      <c r="BS1036" s="99"/>
      <c r="BT1036" s="99"/>
      <c r="BU1036" s="99"/>
      <c r="BV1036" s="99"/>
      <c r="BW1036" s="99"/>
      <c r="BX1036" s="99"/>
      <c r="BY1036" s="99"/>
      <c r="BZ1036" s="99"/>
      <c r="CA1036" s="99"/>
      <c r="CB1036" s="99"/>
      <c r="CC1036" s="99"/>
      <c r="CD1036" s="99"/>
      <c r="CE1036" s="99"/>
      <c r="CF1036" s="99"/>
      <c r="CG1036" s="99"/>
      <c r="CH1036" s="99"/>
      <c r="CI1036" s="99"/>
      <c r="CJ1036" s="621"/>
      <c r="CK1036" s="621"/>
      <c r="CL1036" s="621"/>
    </row>
    <row r="1037" spans="27:90">
      <c r="AA1037" s="350"/>
      <c r="AB1037" s="62"/>
      <c r="AC1037" s="62"/>
      <c r="AD1037" s="62"/>
      <c r="AP1037" s="88"/>
      <c r="AQ1037" s="88"/>
      <c r="AR1037" s="88"/>
      <c r="AS1037" s="99"/>
      <c r="AT1037" s="99"/>
      <c r="AU1037" s="99"/>
      <c r="AV1037" s="99"/>
      <c r="AW1037" s="99"/>
      <c r="AX1037" s="99"/>
      <c r="AY1037" s="99"/>
      <c r="AZ1037" s="99"/>
      <c r="BA1037" s="99"/>
      <c r="BB1037" s="99"/>
      <c r="BC1037" s="99"/>
      <c r="BD1037" s="99"/>
      <c r="BE1037" s="99"/>
      <c r="BF1037" s="99"/>
      <c r="BG1037" s="99"/>
      <c r="BH1037" s="99"/>
      <c r="BI1037" s="99"/>
      <c r="BJ1037" s="99"/>
      <c r="BK1037" s="99"/>
      <c r="BL1037" s="99"/>
      <c r="BM1037" s="99"/>
      <c r="BN1037" s="99"/>
      <c r="BO1037" s="99"/>
      <c r="BP1037" s="99"/>
      <c r="BQ1037" s="99"/>
      <c r="BR1037" s="99"/>
      <c r="BS1037" s="99"/>
      <c r="BT1037" s="99"/>
      <c r="BU1037" s="99"/>
      <c r="BV1037" s="99"/>
      <c r="BW1037" s="99"/>
      <c r="BX1037" s="99"/>
      <c r="BY1037" s="99"/>
      <c r="BZ1037" s="99"/>
      <c r="CA1037" s="99"/>
      <c r="CB1037" s="99"/>
      <c r="CC1037" s="99"/>
      <c r="CD1037" s="99"/>
      <c r="CE1037" s="99"/>
      <c r="CF1037" s="99"/>
      <c r="CG1037" s="99"/>
      <c r="CH1037" s="99"/>
      <c r="CI1037" s="99"/>
      <c r="CJ1037" s="621"/>
      <c r="CK1037" s="621"/>
      <c r="CL1037" s="621"/>
    </row>
    <row r="1038" spans="27:90">
      <c r="AA1038" s="350"/>
      <c r="AB1038" s="62"/>
      <c r="AC1038" s="62"/>
      <c r="AD1038" s="62"/>
      <c r="AP1038" s="88"/>
      <c r="AQ1038" s="88"/>
      <c r="AR1038" s="88"/>
      <c r="AS1038" s="99"/>
      <c r="AT1038" s="99"/>
      <c r="AU1038" s="99"/>
      <c r="AV1038" s="99"/>
      <c r="AW1038" s="99"/>
      <c r="AX1038" s="99"/>
      <c r="AY1038" s="99"/>
      <c r="AZ1038" s="99"/>
      <c r="BA1038" s="99"/>
      <c r="BB1038" s="99"/>
      <c r="BC1038" s="99"/>
      <c r="BD1038" s="99"/>
      <c r="BE1038" s="99"/>
      <c r="BF1038" s="99"/>
      <c r="BG1038" s="99"/>
      <c r="BH1038" s="99"/>
      <c r="BI1038" s="99"/>
      <c r="BJ1038" s="99"/>
      <c r="BK1038" s="99"/>
      <c r="BL1038" s="99"/>
      <c r="BM1038" s="99"/>
      <c r="BN1038" s="99"/>
      <c r="BO1038" s="99"/>
      <c r="BP1038" s="99"/>
      <c r="BQ1038" s="99"/>
      <c r="BR1038" s="99"/>
      <c r="BS1038" s="99"/>
      <c r="BT1038" s="99"/>
      <c r="BU1038" s="99"/>
      <c r="BV1038" s="99"/>
      <c r="BW1038" s="99"/>
      <c r="BX1038" s="99"/>
      <c r="BY1038" s="99"/>
      <c r="BZ1038" s="99"/>
      <c r="CA1038" s="99"/>
      <c r="CB1038" s="99"/>
      <c r="CC1038" s="99"/>
      <c r="CD1038" s="99"/>
      <c r="CE1038" s="99"/>
      <c r="CF1038" s="99"/>
      <c r="CG1038" s="99"/>
      <c r="CH1038" s="99"/>
      <c r="CI1038" s="99"/>
      <c r="CJ1038" s="621"/>
      <c r="CK1038" s="621"/>
      <c r="CL1038" s="621"/>
    </row>
    <row r="1039" spans="27:90">
      <c r="AA1039" s="350"/>
      <c r="AB1039" s="62"/>
      <c r="AC1039" s="62"/>
      <c r="AD1039" s="62"/>
      <c r="AP1039" s="88"/>
      <c r="AQ1039" s="88"/>
      <c r="AR1039" s="88"/>
      <c r="AS1039" s="99"/>
      <c r="AT1039" s="99"/>
      <c r="AU1039" s="99"/>
      <c r="AV1039" s="99"/>
      <c r="AW1039" s="99"/>
      <c r="AX1039" s="99"/>
      <c r="AY1039" s="99"/>
      <c r="AZ1039" s="99"/>
      <c r="BA1039" s="99"/>
      <c r="BB1039" s="99"/>
      <c r="BC1039" s="99"/>
      <c r="BD1039" s="99"/>
      <c r="BE1039" s="99"/>
      <c r="BF1039" s="99"/>
      <c r="BG1039" s="99"/>
      <c r="BH1039" s="99"/>
      <c r="BI1039" s="99"/>
      <c r="BJ1039" s="99"/>
      <c r="BK1039" s="99"/>
      <c r="BL1039" s="99"/>
      <c r="BM1039" s="99"/>
      <c r="BN1039" s="99"/>
      <c r="BO1039" s="99"/>
      <c r="BP1039" s="99"/>
      <c r="BQ1039" s="99"/>
      <c r="BR1039" s="99"/>
      <c r="BS1039" s="99"/>
      <c r="BT1039" s="99"/>
      <c r="BU1039" s="99"/>
      <c r="BV1039" s="99"/>
      <c r="BW1039" s="99"/>
      <c r="BX1039" s="99"/>
      <c r="BY1039" s="99"/>
      <c r="BZ1039" s="99"/>
      <c r="CA1039" s="99"/>
      <c r="CB1039" s="99"/>
      <c r="CC1039" s="99"/>
      <c r="CD1039" s="99"/>
      <c r="CE1039" s="99"/>
      <c r="CF1039" s="99"/>
      <c r="CG1039" s="99"/>
      <c r="CH1039" s="99"/>
      <c r="CI1039" s="99"/>
      <c r="CJ1039" s="621"/>
      <c r="CK1039" s="621"/>
      <c r="CL1039" s="621"/>
    </row>
    <row r="1040" spans="27:90">
      <c r="AA1040" s="350"/>
      <c r="AB1040" s="62"/>
      <c r="AC1040" s="62"/>
      <c r="AD1040" s="62"/>
      <c r="AP1040" s="88"/>
      <c r="AQ1040" s="88"/>
      <c r="AR1040" s="88"/>
      <c r="AS1040" s="99"/>
      <c r="AT1040" s="99"/>
      <c r="AU1040" s="99"/>
      <c r="AV1040" s="99"/>
      <c r="AW1040" s="99"/>
      <c r="AX1040" s="99"/>
      <c r="AY1040" s="99"/>
      <c r="AZ1040" s="99"/>
      <c r="BA1040" s="99"/>
      <c r="BB1040" s="99"/>
      <c r="BC1040" s="99"/>
      <c r="BD1040" s="99"/>
      <c r="BE1040" s="99"/>
      <c r="BF1040" s="99"/>
      <c r="BG1040" s="99"/>
      <c r="BH1040" s="99"/>
      <c r="BI1040" s="99"/>
      <c r="BJ1040" s="99"/>
      <c r="BK1040" s="99"/>
      <c r="BL1040" s="99"/>
      <c r="BM1040" s="99"/>
      <c r="BN1040" s="99"/>
      <c r="BO1040" s="99"/>
      <c r="BP1040" s="99"/>
      <c r="BQ1040" s="99"/>
      <c r="BR1040" s="99"/>
      <c r="BS1040" s="99"/>
      <c r="BT1040" s="99"/>
      <c r="BU1040" s="99"/>
      <c r="BV1040" s="99"/>
      <c r="BW1040" s="99"/>
      <c r="BX1040" s="99"/>
      <c r="BY1040" s="99"/>
      <c r="BZ1040" s="99"/>
      <c r="CA1040" s="99"/>
      <c r="CB1040" s="99"/>
      <c r="CC1040" s="99"/>
      <c r="CD1040" s="99"/>
      <c r="CE1040" s="99"/>
      <c r="CF1040" s="99"/>
      <c r="CG1040" s="99"/>
      <c r="CH1040" s="99"/>
      <c r="CI1040" s="99"/>
      <c r="CJ1040" s="621"/>
      <c r="CK1040" s="621"/>
      <c r="CL1040" s="621"/>
    </row>
    <row r="1041" spans="27:90">
      <c r="AA1041" s="350"/>
      <c r="AB1041" s="62"/>
      <c r="AC1041" s="62"/>
      <c r="AD1041" s="62"/>
      <c r="AP1041" s="88"/>
      <c r="AQ1041" s="88"/>
      <c r="AR1041" s="88"/>
      <c r="AS1041" s="99"/>
      <c r="AT1041" s="99"/>
      <c r="AU1041" s="99"/>
      <c r="AV1041" s="99"/>
      <c r="AW1041" s="99"/>
      <c r="AX1041" s="99"/>
      <c r="AY1041" s="99"/>
      <c r="AZ1041" s="99"/>
      <c r="BA1041" s="99"/>
      <c r="BB1041" s="99"/>
      <c r="BC1041" s="99"/>
      <c r="BD1041" s="99"/>
      <c r="BE1041" s="99"/>
      <c r="BF1041" s="99"/>
      <c r="BG1041" s="99"/>
      <c r="BH1041" s="99"/>
      <c r="BI1041" s="99"/>
      <c r="BJ1041" s="99"/>
      <c r="BK1041" s="99"/>
      <c r="BL1041" s="99"/>
      <c r="BM1041" s="99"/>
      <c r="BN1041" s="99"/>
      <c r="BO1041" s="99"/>
      <c r="BP1041" s="99"/>
      <c r="BQ1041" s="99"/>
      <c r="BR1041" s="99"/>
      <c r="BS1041" s="99"/>
      <c r="BT1041" s="99"/>
      <c r="BU1041" s="99"/>
      <c r="BV1041" s="99"/>
      <c r="BW1041" s="99"/>
      <c r="BX1041" s="99"/>
      <c r="BY1041" s="99"/>
      <c r="BZ1041" s="99"/>
      <c r="CA1041" s="99"/>
      <c r="CB1041" s="99"/>
      <c r="CC1041" s="99"/>
      <c r="CD1041" s="99"/>
      <c r="CE1041" s="99"/>
      <c r="CF1041" s="99"/>
      <c r="CG1041" s="99"/>
      <c r="CH1041" s="99"/>
      <c r="CI1041" s="99"/>
      <c r="CJ1041" s="621"/>
      <c r="CK1041" s="621"/>
      <c r="CL1041" s="621"/>
    </row>
    <row r="1042" spans="27:90">
      <c r="AA1042" s="350"/>
      <c r="AB1042" s="62"/>
      <c r="AC1042" s="62"/>
      <c r="AD1042" s="62"/>
      <c r="AP1042" s="88"/>
      <c r="AQ1042" s="88"/>
      <c r="AR1042" s="88"/>
      <c r="AS1042" s="99"/>
      <c r="AT1042" s="99"/>
      <c r="AU1042" s="99"/>
      <c r="AV1042" s="99"/>
      <c r="AW1042" s="99"/>
      <c r="AX1042" s="99"/>
      <c r="AY1042" s="99"/>
      <c r="AZ1042" s="99"/>
      <c r="BA1042" s="99"/>
      <c r="BB1042" s="99"/>
      <c r="BC1042" s="99"/>
      <c r="BD1042" s="99"/>
      <c r="BE1042" s="99"/>
      <c r="BF1042" s="99"/>
      <c r="BG1042" s="99"/>
      <c r="BH1042" s="99"/>
      <c r="BI1042" s="99"/>
      <c r="BJ1042" s="99"/>
      <c r="BK1042" s="99"/>
      <c r="BL1042" s="99"/>
      <c r="BM1042" s="99"/>
      <c r="BN1042" s="99"/>
      <c r="BO1042" s="99"/>
      <c r="BP1042" s="99"/>
      <c r="BQ1042" s="99"/>
      <c r="BR1042" s="99"/>
      <c r="BS1042" s="99"/>
      <c r="BT1042" s="99"/>
      <c r="BU1042" s="99"/>
      <c r="BV1042" s="99"/>
      <c r="BW1042" s="99"/>
      <c r="BX1042" s="99"/>
      <c r="BY1042" s="99"/>
      <c r="BZ1042" s="99"/>
      <c r="CA1042" s="99"/>
      <c r="CB1042" s="99"/>
      <c r="CC1042" s="99"/>
      <c r="CD1042" s="99"/>
      <c r="CE1042" s="99"/>
      <c r="CF1042" s="99"/>
      <c r="CG1042" s="99"/>
      <c r="CH1042" s="99"/>
      <c r="CI1042" s="99"/>
      <c r="CJ1042" s="621"/>
      <c r="CK1042" s="621"/>
      <c r="CL1042" s="621"/>
    </row>
    <row r="1043" spans="27:90">
      <c r="AA1043" s="350"/>
      <c r="AB1043" s="62"/>
      <c r="AC1043" s="62"/>
      <c r="AD1043" s="62"/>
      <c r="AP1043" s="88"/>
      <c r="AQ1043" s="88"/>
      <c r="AR1043" s="88"/>
      <c r="AS1043" s="99"/>
      <c r="AT1043" s="99"/>
      <c r="AU1043" s="99"/>
      <c r="AV1043" s="99"/>
      <c r="AW1043" s="99"/>
      <c r="AX1043" s="99"/>
      <c r="AY1043" s="99"/>
      <c r="AZ1043" s="99"/>
      <c r="BA1043" s="99"/>
      <c r="BB1043" s="99"/>
      <c r="BC1043" s="99"/>
      <c r="BD1043" s="99"/>
      <c r="BE1043" s="99"/>
      <c r="BF1043" s="99"/>
      <c r="BG1043" s="99"/>
      <c r="BH1043" s="99"/>
      <c r="BI1043" s="99"/>
      <c r="BJ1043" s="99"/>
      <c r="BK1043" s="99"/>
      <c r="BL1043" s="99"/>
      <c r="BM1043" s="99"/>
      <c r="BN1043" s="99"/>
      <c r="BO1043" s="99"/>
      <c r="BP1043" s="99"/>
      <c r="BQ1043" s="99"/>
      <c r="BR1043" s="99"/>
      <c r="BS1043" s="99"/>
      <c r="BT1043" s="99"/>
      <c r="BU1043" s="99"/>
      <c r="BV1043" s="99"/>
      <c r="BW1043" s="99"/>
      <c r="BX1043" s="99"/>
      <c r="BY1043" s="99"/>
      <c r="BZ1043" s="99"/>
      <c r="CA1043" s="99"/>
      <c r="CB1043" s="99"/>
      <c r="CC1043" s="99"/>
      <c r="CD1043" s="99"/>
      <c r="CE1043" s="99"/>
      <c r="CF1043" s="99"/>
      <c r="CG1043" s="99"/>
      <c r="CH1043" s="99"/>
      <c r="CI1043" s="99"/>
      <c r="CJ1043" s="621"/>
      <c r="CK1043" s="621"/>
      <c r="CL1043" s="621"/>
    </row>
    <row r="1044" spans="27:90">
      <c r="AA1044" s="350"/>
      <c r="AB1044" s="62"/>
      <c r="AC1044" s="62"/>
      <c r="AD1044" s="62"/>
      <c r="AP1044" s="88"/>
      <c r="AQ1044" s="88"/>
      <c r="AR1044" s="88"/>
      <c r="AS1044" s="99"/>
      <c r="AT1044" s="99"/>
      <c r="AU1044" s="99"/>
      <c r="AV1044" s="99"/>
      <c r="AW1044" s="99"/>
      <c r="AX1044" s="99"/>
      <c r="AY1044" s="99"/>
      <c r="AZ1044" s="99"/>
      <c r="BA1044" s="99"/>
      <c r="BB1044" s="99"/>
      <c r="BC1044" s="99"/>
      <c r="BD1044" s="99"/>
      <c r="BE1044" s="99"/>
      <c r="BF1044" s="99"/>
      <c r="BG1044" s="99"/>
      <c r="BH1044" s="99"/>
      <c r="BI1044" s="99"/>
      <c r="BJ1044" s="99"/>
      <c r="BK1044" s="99"/>
      <c r="BL1044" s="99"/>
      <c r="BM1044" s="99"/>
      <c r="BN1044" s="99"/>
      <c r="BO1044" s="99"/>
      <c r="BP1044" s="99"/>
      <c r="BQ1044" s="99"/>
      <c r="BR1044" s="99"/>
      <c r="BS1044" s="99"/>
      <c r="BT1044" s="99"/>
      <c r="BU1044" s="99"/>
      <c r="BV1044" s="99"/>
      <c r="BW1044" s="99"/>
      <c r="BX1044" s="99"/>
      <c r="BY1044" s="99"/>
      <c r="BZ1044" s="99"/>
      <c r="CA1044" s="99"/>
      <c r="CB1044" s="99"/>
      <c r="CC1044" s="99"/>
      <c r="CD1044" s="99"/>
      <c r="CE1044" s="99"/>
      <c r="CF1044" s="99"/>
      <c r="CG1044" s="99"/>
      <c r="CH1044" s="99"/>
      <c r="CI1044" s="99"/>
      <c r="CJ1044" s="621"/>
      <c r="CK1044" s="621"/>
      <c r="CL1044" s="621"/>
    </row>
    <row r="1045" spans="27:90">
      <c r="AA1045" s="350"/>
      <c r="AB1045" s="62"/>
      <c r="AC1045" s="62"/>
      <c r="AD1045" s="62"/>
      <c r="AP1045" s="88"/>
      <c r="AQ1045" s="88"/>
      <c r="AR1045" s="88"/>
      <c r="AS1045" s="99"/>
      <c r="AT1045" s="99"/>
      <c r="AU1045" s="99"/>
      <c r="AV1045" s="99"/>
      <c r="AW1045" s="99"/>
      <c r="AX1045" s="99"/>
      <c r="AY1045" s="99"/>
      <c r="AZ1045" s="99"/>
      <c r="BA1045" s="99"/>
      <c r="BB1045" s="99"/>
      <c r="BC1045" s="99"/>
      <c r="BD1045" s="99"/>
      <c r="BE1045" s="99"/>
      <c r="BF1045" s="99"/>
      <c r="BG1045" s="99"/>
      <c r="BH1045" s="99"/>
      <c r="BI1045" s="99"/>
      <c r="BJ1045" s="99"/>
      <c r="BK1045" s="99"/>
      <c r="BL1045" s="99"/>
      <c r="BM1045" s="99"/>
      <c r="BN1045" s="99"/>
      <c r="BO1045" s="99"/>
      <c r="BP1045" s="99"/>
      <c r="BQ1045" s="99"/>
      <c r="BR1045" s="99"/>
      <c r="BS1045" s="99"/>
      <c r="BT1045" s="99"/>
      <c r="BU1045" s="99"/>
      <c r="BV1045" s="99"/>
      <c r="BW1045" s="99"/>
      <c r="BX1045" s="99"/>
      <c r="BY1045" s="99"/>
      <c r="BZ1045" s="99"/>
      <c r="CA1045" s="99"/>
      <c r="CB1045" s="99"/>
      <c r="CC1045" s="99"/>
      <c r="CD1045" s="99"/>
      <c r="CE1045" s="99"/>
      <c r="CF1045" s="99"/>
      <c r="CG1045" s="99"/>
      <c r="CH1045" s="99"/>
      <c r="CI1045" s="99"/>
      <c r="CJ1045" s="621"/>
      <c r="CK1045" s="621"/>
      <c r="CL1045" s="621"/>
    </row>
    <row r="1046" spans="27:90">
      <c r="AA1046" s="350"/>
      <c r="AB1046" s="62"/>
      <c r="AC1046" s="62"/>
      <c r="AD1046" s="62"/>
      <c r="AP1046" s="88"/>
      <c r="AQ1046" s="88"/>
      <c r="AR1046" s="88"/>
      <c r="AS1046" s="99"/>
      <c r="AT1046" s="99"/>
      <c r="AU1046" s="99"/>
      <c r="AV1046" s="99"/>
      <c r="AW1046" s="99"/>
      <c r="AX1046" s="99"/>
      <c r="AY1046" s="99"/>
      <c r="AZ1046" s="99"/>
      <c r="BA1046" s="99"/>
      <c r="BB1046" s="99"/>
      <c r="BC1046" s="99"/>
      <c r="BD1046" s="99"/>
      <c r="BE1046" s="99"/>
      <c r="BF1046" s="99"/>
      <c r="BG1046" s="99"/>
      <c r="BH1046" s="99"/>
      <c r="BI1046" s="99"/>
      <c r="BJ1046" s="99"/>
      <c r="BK1046" s="99"/>
      <c r="BL1046" s="99"/>
      <c r="BM1046" s="99"/>
      <c r="BN1046" s="99"/>
      <c r="BO1046" s="99"/>
      <c r="BP1046" s="99"/>
      <c r="BQ1046" s="99"/>
      <c r="BR1046" s="99"/>
      <c r="BS1046" s="99"/>
      <c r="BT1046" s="99"/>
      <c r="BU1046" s="99"/>
      <c r="BV1046" s="99"/>
      <c r="BW1046" s="99"/>
      <c r="BX1046" s="99"/>
      <c r="BY1046" s="99"/>
      <c r="BZ1046" s="99"/>
      <c r="CA1046" s="99"/>
      <c r="CB1046" s="99"/>
      <c r="CC1046" s="99"/>
      <c r="CD1046" s="99"/>
      <c r="CE1046" s="99"/>
      <c r="CF1046" s="99"/>
      <c r="CG1046" s="99"/>
      <c r="CH1046" s="99"/>
      <c r="CI1046" s="99"/>
      <c r="CJ1046" s="621"/>
      <c r="CK1046" s="621"/>
      <c r="CL1046" s="621"/>
    </row>
    <row r="1047" spans="27:90">
      <c r="AA1047" s="350"/>
      <c r="AB1047" s="62"/>
      <c r="AC1047" s="62"/>
      <c r="AD1047" s="62"/>
      <c r="AP1047" s="88"/>
      <c r="AQ1047" s="88"/>
      <c r="AR1047" s="88"/>
      <c r="AS1047" s="99"/>
      <c r="AT1047" s="99"/>
      <c r="AU1047" s="99"/>
      <c r="AV1047" s="99"/>
      <c r="AW1047" s="99"/>
      <c r="AX1047" s="99"/>
      <c r="AY1047" s="99"/>
      <c r="AZ1047" s="99"/>
      <c r="BA1047" s="99"/>
      <c r="BB1047" s="99"/>
      <c r="BC1047" s="99"/>
      <c r="BD1047" s="99"/>
      <c r="BE1047" s="99"/>
      <c r="BF1047" s="99"/>
      <c r="BG1047" s="99"/>
      <c r="BH1047" s="99"/>
      <c r="BI1047" s="99"/>
      <c r="BJ1047" s="99"/>
      <c r="BK1047" s="99"/>
      <c r="BL1047" s="99"/>
      <c r="BM1047" s="99"/>
      <c r="BN1047" s="99"/>
      <c r="BO1047" s="99"/>
      <c r="BP1047" s="99"/>
      <c r="BQ1047" s="99"/>
      <c r="BR1047" s="99"/>
      <c r="BS1047" s="99"/>
      <c r="BT1047" s="99"/>
      <c r="BU1047" s="99"/>
      <c r="BV1047" s="99"/>
      <c r="BW1047" s="99"/>
      <c r="BX1047" s="99"/>
      <c r="BY1047" s="99"/>
      <c r="BZ1047" s="99"/>
      <c r="CA1047" s="99"/>
      <c r="CB1047" s="99"/>
      <c r="CC1047" s="99"/>
      <c r="CD1047" s="99"/>
      <c r="CE1047" s="99"/>
      <c r="CF1047" s="99"/>
      <c r="CG1047" s="99"/>
      <c r="CH1047" s="99"/>
      <c r="CI1047" s="99"/>
      <c r="CJ1047" s="621"/>
      <c r="CK1047" s="621"/>
      <c r="CL1047" s="621"/>
    </row>
    <row r="1048" spans="27:90">
      <c r="AA1048" s="350"/>
      <c r="AB1048" s="62"/>
      <c r="AC1048" s="62"/>
      <c r="AD1048" s="62"/>
      <c r="AP1048" s="88"/>
      <c r="AQ1048" s="88"/>
      <c r="AR1048" s="88"/>
      <c r="AS1048" s="99"/>
      <c r="AT1048" s="99"/>
      <c r="AU1048" s="99"/>
      <c r="AV1048" s="99"/>
      <c r="AW1048" s="99"/>
      <c r="AX1048" s="99"/>
      <c r="AY1048" s="99"/>
      <c r="AZ1048" s="99"/>
      <c r="BA1048" s="99"/>
      <c r="BB1048" s="99"/>
      <c r="BC1048" s="99"/>
      <c r="BD1048" s="99"/>
      <c r="BE1048" s="99"/>
      <c r="BF1048" s="99"/>
      <c r="BG1048" s="99"/>
      <c r="BH1048" s="99"/>
      <c r="BI1048" s="99"/>
      <c r="BJ1048" s="99"/>
      <c r="BK1048" s="99"/>
      <c r="BL1048" s="99"/>
      <c r="BM1048" s="99"/>
      <c r="BN1048" s="99"/>
      <c r="BO1048" s="99"/>
      <c r="BP1048" s="99"/>
      <c r="BQ1048" s="99"/>
      <c r="BR1048" s="99"/>
      <c r="BS1048" s="99"/>
      <c r="BT1048" s="99"/>
      <c r="BU1048" s="99"/>
      <c r="BV1048" s="99"/>
      <c r="BW1048" s="99"/>
      <c r="BX1048" s="99"/>
      <c r="BY1048" s="99"/>
      <c r="BZ1048" s="99"/>
      <c r="CA1048" s="99"/>
      <c r="CB1048" s="99"/>
      <c r="CC1048" s="99"/>
      <c r="CD1048" s="99"/>
      <c r="CE1048" s="99"/>
      <c r="CF1048" s="99"/>
      <c r="CG1048" s="99"/>
      <c r="CH1048" s="99"/>
      <c r="CI1048" s="99"/>
      <c r="CJ1048" s="621"/>
      <c r="CK1048" s="621"/>
      <c r="CL1048" s="621"/>
    </row>
    <row r="1049" spans="27:90">
      <c r="AA1049" s="350"/>
      <c r="AB1049" s="62"/>
      <c r="AC1049" s="62"/>
      <c r="AD1049" s="62"/>
      <c r="AP1049" s="88"/>
      <c r="AQ1049" s="88"/>
      <c r="AR1049" s="88"/>
      <c r="AS1049" s="99"/>
      <c r="AT1049" s="99"/>
      <c r="AU1049" s="99"/>
      <c r="AV1049" s="99"/>
      <c r="AW1049" s="99"/>
      <c r="AX1049" s="99"/>
      <c r="AY1049" s="99"/>
      <c r="AZ1049" s="99"/>
      <c r="BA1049" s="99"/>
      <c r="BB1049" s="99"/>
      <c r="BC1049" s="99"/>
      <c r="BD1049" s="99"/>
      <c r="BE1049" s="99"/>
      <c r="BF1049" s="99"/>
      <c r="BG1049" s="99"/>
      <c r="BH1049" s="99"/>
      <c r="BI1049" s="99"/>
      <c r="BJ1049" s="99"/>
      <c r="BK1049" s="99"/>
      <c r="BL1049" s="99"/>
      <c r="BM1049" s="99"/>
      <c r="BN1049" s="99"/>
      <c r="BO1049" s="99"/>
      <c r="BP1049" s="99"/>
      <c r="BQ1049" s="99"/>
      <c r="BR1049" s="99"/>
      <c r="BS1049" s="99"/>
      <c r="BT1049" s="99"/>
      <c r="BU1049" s="99"/>
      <c r="BV1049" s="99"/>
      <c r="BW1049" s="99"/>
      <c r="BX1049" s="99"/>
      <c r="BY1049" s="99"/>
      <c r="BZ1049" s="99"/>
      <c r="CA1049" s="99"/>
      <c r="CB1049" s="99"/>
      <c r="CC1049" s="99"/>
      <c r="CD1049" s="99"/>
      <c r="CE1049" s="99"/>
      <c r="CF1049" s="99"/>
      <c r="CG1049" s="99"/>
      <c r="CH1049" s="99"/>
      <c r="CI1049" s="99"/>
      <c r="CJ1049" s="621"/>
      <c r="CK1049" s="621"/>
      <c r="CL1049" s="621"/>
    </row>
    <row r="1050" spans="27:90">
      <c r="AA1050" s="350"/>
      <c r="AB1050" s="62"/>
      <c r="AC1050" s="62"/>
      <c r="AD1050" s="62"/>
      <c r="AP1050" s="88"/>
      <c r="AQ1050" s="88"/>
      <c r="AR1050" s="88"/>
      <c r="AS1050" s="99"/>
      <c r="AT1050" s="99"/>
      <c r="AU1050" s="99"/>
      <c r="AV1050" s="99"/>
      <c r="AW1050" s="99"/>
      <c r="AX1050" s="99"/>
      <c r="AY1050" s="99"/>
      <c r="AZ1050" s="99"/>
      <c r="BA1050" s="99"/>
      <c r="BB1050" s="99"/>
      <c r="BC1050" s="99"/>
      <c r="BD1050" s="99"/>
      <c r="BE1050" s="99"/>
      <c r="BF1050" s="99"/>
      <c r="BG1050" s="99"/>
      <c r="BH1050" s="99"/>
      <c r="BI1050" s="99"/>
      <c r="BJ1050" s="99"/>
      <c r="BK1050" s="99"/>
      <c r="BL1050" s="99"/>
      <c r="BM1050" s="99"/>
      <c r="BN1050" s="99"/>
      <c r="BO1050" s="99"/>
      <c r="BP1050" s="99"/>
      <c r="BQ1050" s="99"/>
      <c r="BR1050" s="99"/>
      <c r="BS1050" s="99"/>
      <c r="BT1050" s="99"/>
      <c r="BU1050" s="99"/>
      <c r="BV1050" s="99"/>
      <c r="BW1050" s="99"/>
      <c r="BX1050" s="99"/>
      <c r="BY1050" s="99"/>
      <c r="BZ1050" s="99"/>
      <c r="CA1050" s="99"/>
      <c r="CB1050" s="99"/>
      <c r="CC1050" s="99"/>
      <c r="CD1050" s="99"/>
      <c r="CE1050" s="99"/>
      <c r="CF1050" s="99"/>
      <c r="CG1050" s="99"/>
      <c r="CH1050" s="99"/>
      <c r="CI1050" s="99"/>
      <c r="CJ1050" s="621"/>
      <c r="CK1050" s="621"/>
      <c r="CL1050" s="621"/>
    </row>
    <row r="1051" spans="27:90">
      <c r="AA1051" s="350"/>
      <c r="AB1051" s="62"/>
      <c r="AC1051" s="62"/>
      <c r="AD1051" s="62"/>
      <c r="AP1051" s="88"/>
      <c r="AQ1051" s="88"/>
      <c r="AR1051" s="88"/>
      <c r="AS1051" s="99"/>
      <c r="AT1051" s="99"/>
      <c r="AU1051" s="99"/>
      <c r="AV1051" s="99"/>
      <c r="AW1051" s="99"/>
      <c r="AX1051" s="99"/>
      <c r="AY1051" s="99"/>
      <c r="AZ1051" s="99"/>
      <c r="BA1051" s="99"/>
      <c r="BB1051" s="99"/>
      <c r="BC1051" s="99"/>
      <c r="BD1051" s="99"/>
      <c r="BE1051" s="99"/>
      <c r="BF1051" s="99"/>
      <c r="BG1051" s="99"/>
      <c r="BH1051" s="99"/>
      <c r="BI1051" s="99"/>
      <c r="BJ1051" s="99"/>
      <c r="BK1051" s="99"/>
      <c r="BL1051" s="99"/>
      <c r="BM1051" s="99"/>
      <c r="BN1051" s="99"/>
      <c r="BO1051" s="99"/>
      <c r="BP1051" s="99"/>
      <c r="BQ1051" s="99"/>
      <c r="BR1051" s="99"/>
      <c r="BS1051" s="99"/>
      <c r="BT1051" s="99"/>
      <c r="BU1051" s="99"/>
      <c r="BV1051" s="99"/>
      <c r="BW1051" s="99"/>
      <c r="BX1051" s="99"/>
      <c r="BY1051" s="99"/>
      <c r="BZ1051" s="99"/>
      <c r="CA1051" s="99"/>
      <c r="CB1051" s="99"/>
      <c r="CC1051" s="99"/>
      <c r="CD1051" s="99"/>
      <c r="CE1051" s="99"/>
      <c r="CF1051" s="99"/>
      <c r="CG1051" s="99"/>
      <c r="CH1051" s="99"/>
      <c r="CI1051" s="99"/>
      <c r="CJ1051" s="621"/>
      <c r="CK1051" s="621"/>
      <c r="CL1051" s="621"/>
    </row>
    <row r="1052" spans="27:90">
      <c r="AA1052" s="350"/>
      <c r="AB1052" s="62"/>
      <c r="AC1052" s="62"/>
      <c r="AD1052" s="62"/>
      <c r="AP1052" s="88"/>
      <c r="AQ1052" s="88"/>
      <c r="AR1052" s="88"/>
      <c r="AS1052" s="99"/>
      <c r="AT1052" s="99"/>
      <c r="AU1052" s="99"/>
      <c r="AV1052" s="99"/>
      <c r="AW1052" s="99"/>
      <c r="AX1052" s="99"/>
      <c r="AY1052" s="99"/>
      <c r="AZ1052" s="99"/>
      <c r="BA1052" s="99"/>
      <c r="BB1052" s="99"/>
      <c r="BC1052" s="99"/>
      <c r="BD1052" s="99"/>
      <c r="BE1052" s="99"/>
      <c r="BF1052" s="99"/>
      <c r="BG1052" s="99"/>
      <c r="BH1052" s="99"/>
      <c r="BI1052" s="99"/>
      <c r="BJ1052" s="99"/>
      <c r="BK1052" s="99"/>
      <c r="BL1052" s="99"/>
      <c r="BM1052" s="99"/>
      <c r="BN1052" s="99"/>
      <c r="BO1052" s="99"/>
      <c r="BP1052" s="99"/>
      <c r="BQ1052" s="99"/>
      <c r="BR1052" s="99"/>
      <c r="BS1052" s="99"/>
      <c r="BT1052" s="99"/>
      <c r="BU1052" s="99"/>
      <c r="BV1052" s="99"/>
      <c r="BW1052" s="99"/>
      <c r="BX1052" s="99"/>
      <c r="BY1052" s="99"/>
      <c r="BZ1052" s="99"/>
      <c r="CA1052" s="99"/>
      <c r="CB1052" s="99"/>
      <c r="CC1052" s="99"/>
      <c r="CD1052" s="99"/>
      <c r="CE1052" s="99"/>
      <c r="CF1052" s="99"/>
      <c r="CG1052" s="99"/>
      <c r="CH1052" s="99"/>
      <c r="CI1052" s="99"/>
      <c r="CJ1052" s="621"/>
      <c r="CK1052" s="621"/>
      <c r="CL1052" s="621"/>
    </row>
    <row r="1053" spans="27:90">
      <c r="AA1053" s="350"/>
      <c r="AB1053" s="62"/>
      <c r="AC1053" s="62"/>
      <c r="AD1053" s="62"/>
      <c r="AP1053" s="88"/>
      <c r="AQ1053" s="88"/>
      <c r="AR1053" s="88"/>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621"/>
      <c r="CK1053" s="621"/>
      <c r="CL1053" s="621"/>
    </row>
    <row r="1054" spans="27:90">
      <c r="AA1054" s="350"/>
      <c r="AB1054" s="62"/>
      <c r="AC1054" s="62"/>
      <c r="AD1054" s="62"/>
      <c r="AP1054" s="88"/>
      <c r="AQ1054" s="88"/>
      <c r="AR1054" s="88"/>
      <c r="AS1054" s="99"/>
      <c r="AT1054" s="99"/>
      <c r="AU1054" s="99"/>
      <c r="AV1054" s="99"/>
      <c r="AW1054" s="99"/>
      <c r="AX1054" s="99"/>
      <c r="AY1054" s="99"/>
      <c r="AZ1054" s="99"/>
      <c r="BA1054" s="99"/>
      <c r="BB1054" s="99"/>
      <c r="BC1054" s="99"/>
      <c r="BD1054" s="99"/>
      <c r="BE1054" s="99"/>
      <c r="BF1054" s="99"/>
      <c r="BG1054" s="99"/>
      <c r="BH1054" s="99"/>
      <c r="BI1054" s="99"/>
      <c r="BJ1054" s="99"/>
      <c r="BK1054" s="99"/>
      <c r="BL1054" s="99"/>
      <c r="BM1054" s="99"/>
      <c r="BN1054" s="99"/>
      <c r="BO1054" s="99"/>
      <c r="BP1054" s="99"/>
      <c r="BQ1054" s="99"/>
      <c r="BR1054" s="99"/>
      <c r="BS1054" s="99"/>
      <c r="BT1054" s="99"/>
      <c r="BU1054" s="99"/>
      <c r="BV1054" s="99"/>
      <c r="BW1054" s="99"/>
      <c r="BX1054" s="99"/>
      <c r="BY1054" s="99"/>
      <c r="BZ1054" s="99"/>
      <c r="CA1054" s="99"/>
      <c r="CB1054" s="99"/>
      <c r="CC1054" s="99"/>
      <c r="CD1054" s="99"/>
      <c r="CE1054" s="99"/>
      <c r="CF1054" s="99"/>
      <c r="CG1054" s="99"/>
      <c r="CH1054" s="99"/>
      <c r="CI1054" s="99"/>
      <c r="CJ1054" s="621"/>
      <c r="CK1054" s="621"/>
      <c r="CL1054" s="621"/>
    </row>
    <row r="1055" spans="27:90">
      <c r="AA1055" s="350"/>
      <c r="AB1055" s="62"/>
      <c r="AC1055" s="62"/>
      <c r="AD1055" s="62"/>
      <c r="AP1055" s="88"/>
      <c r="AQ1055" s="88"/>
      <c r="AR1055" s="88"/>
      <c r="AS1055" s="99"/>
      <c r="AT1055" s="99"/>
      <c r="AU1055" s="99"/>
      <c r="AV1055" s="99"/>
      <c r="AW1055" s="99"/>
      <c r="AX1055" s="99"/>
      <c r="AY1055" s="99"/>
      <c r="AZ1055" s="99"/>
      <c r="BA1055" s="99"/>
      <c r="BB1055" s="99"/>
      <c r="BC1055" s="99"/>
      <c r="BD1055" s="99"/>
      <c r="BE1055" s="99"/>
      <c r="BF1055" s="99"/>
      <c r="BG1055" s="99"/>
      <c r="BH1055" s="99"/>
      <c r="BI1055" s="99"/>
      <c r="BJ1055" s="99"/>
      <c r="BK1055" s="99"/>
      <c r="BL1055" s="99"/>
      <c r="BM1055" s="99"/>
      <c r="BN1055" s="99"/>
      <c r="BO1055" s="99"/>
      <c r="BP1055" s="99"/>
      <c r="BQ1055" s="99"/>
      <c r="BR1055" s="99"/>
      <c r="BS1055" s="99"/>
      <c r="BT1055" s="99"/>
      <c r="BU1055" s="99"/>
      <c r="BV1055" s="99"/>
      <c r="BW1055" s="99"/>
      <c r="BX1055" s="99"/>
      <c r="BY1055" s="99"/>
      <c r="BZ1055" s="99"/>
      <c r="CA1055" s="99"/>
      <c r="CB1055" s="99"/>
      <c r="CC1055" s="99"/>
      <c r="CD1055" s="99"/>
      <c r="CE1055" s="99"/>
      <c r="CF1055" s="99"/>
      <c r="CG1055" s="99"/>
      <c r="CH1055" s="99"/>
      <c r="CI1055" s="99"/>
      <c r="CJ1055" s="621"/>
      <c r="CK1055" s="621"/>
      <c r="CL1055" s="621"/>
    </row>
    <row r="1056" spans="27:90">
      <c r="AA1056" s="350"/>
      <c r="AB1056" s="62"/>
      <c r="AC1056" s="62"/>
      <c r="AD1056" s="62"/>
      <c r="AP1056" s="88"/>
      <c r="AQ1056" s="88"/>
      <c r="AR1056" s="88"/>
      <c r="AS1056" s="99"/>
      <c r="AT1056" s="99"/>
      <c r="AU1056" s="99"/>
      <c r="AV1056" s="99"/>
      <c r="AW1056" s="99"/>
      <c r="AX1056" s="99"/>
      <c r="AY1056" s="99"/>
      <c r="AZ1056" s="99"/>
      <c r="BA1056" s="99"/>
      <c r="BB1056" s="99"/>
      <c r="BC1056" s="99"/>
      <c r="BD1056" s="99"/>
      <c r="BE1056" s="99"/>
      <c r="BF1056" s="99"/>
      <c r="BG1056" s="99"/>
      <c r="BH1056" s="99"/>
      <c r="BI1056" s="99"/>
      <c r="BJ1056" s="99"/>
      <c r="BK1056" s="99"/>
      <c r="BL1056" s="99"/>
      <c r="BM1056" s="99"/>
      <c r="BN1056" s="99"/>
      <c r="BO1056" s="99"/>
      <c r="BP1056" s="99"/>
      <c r="BQ1056" s="99"/>
      <c r="BR1056" s="99"/>
      <c r="BS1056" s="99"/>
      <c r="BT1056" s="99"/>
      <c r="BU1056" s="99"/>
      <c r="BV1056" s="99"/>
      <c r="BW1056" s="99"/>
      <c r="BX1056" s="99"/>
      <c r="BY1056" s="99"/>
      <c r="BZ1056" s="99"/>
      <c r="CA1056" s="99"/>
      <c r="CB1056" s="99"/>
      <c r="CC1056" s="99"/>
      <c r="CD1056" s="99"/>
      <c r="CE1056" s="99"/>
      <c r="CF1056" s="99"/>
      <c r="CG1056" s="99"/>
      <c r="CH1056" s="99"/>
      <c r="CI1056" s="99"/>
      <c r="CJ1056" s="621"/>
      <c r="CK1056" s="621"/>
      <c r="CL1056" s="621"/>
    </row>
    <row r="1057" spans="27:90">
      <c r="AA1057" s="350"/>
      <c r="AB1057" s="62"/>
      <c r="AC1057" s="62"/>
      <c r="AD1057" s="62"/>
      <c r="AP1057" s="88"/>
      <c r="AQ1057" s="88"/>
      <c r="AR1057" s="88"/>
      <c r="AS1057" s="99"/>
      <c r="AT1057" s="99"/>
      <c r="AU1057" s="99"/>
      <c r="AV1057" s="99"/>
      <c r="AW1057" s="99"/>
      <c r="AX1057" s="99"/>
      <c r="AY1057" s="99"/>
      <c r="AZ1057" s="99"/>
      <c r="BA1057" s="99"/>
      <c r="BB1057" s="99"/>
      <c r="BC1057" s="99"/>
      <c r="BD1057" s="99"/>
      <c r="BE1057" s="99"/>
      <c r="BF1057" s="99"/>
      <c r="BG1057" s="99"/>
      <c r="BH1057" s="99"/>
      <c r="BI1057" s="99"/>
      <c r="BJ1057" s="99"/>
      <c r="BK1057" s="99"/>
      <c r="BL1057" s="99"/>
      <c r="BM1057" s="99"/>
      <c r="BN1057" s="99"/>
      <c r="BO1057" s="99"/>
      <c r="BP1057" s="99"/>
      <c r="BQ1057" s="99"/>
      <c r="BR1057" s="99"/>
      <c r="BS1057" s="99"/>
      <c r="BT1057" s="99"/>
      <c r="BU1057" s="99"/>
      <c r="BV1057" s="99"/>
      <c r="BW1057" s="99"/>
      <c r="BX1057" s="99"/>
      <c r="BY1057" s="99"/>
      <c r="BZ1057" s="99"/>
      <c r="CA1057" s="99"/>
      <c r="CB1057" s="99"/>
      <c r="CC1057" s="99"/>
      <c r="CD1057" s="99"/>
      <c r="CE1057" s="99"/>
      <c r="CF1057" s="99"/>
      <c r="CG1057" s="99"/>
      <c r="CH1057" s="99"/>
      <c r="CI1057" s="99"/>
      <c r="CJ1057" s="621"/>
      <c r="CK1057" s="621"/>
      <c r="CL1057" s="621"/>
    </row>
    <row r="1058" spans="27:90">
      <c r="AA1058" s="350"/>
      <c r="AB1058" s="62"/>
      <c r="AC1058" s="62"/>
      <c r="AD1058" s="62"/>
      <c r="AP1058" s="88"/>
      <c r="AQ1058" s="88"/>
      <c r="AR1058" s="88"/>
      <c r="AS1058" s="99"/>
      <c r="AT1058" s="99"/>
      <c r="AU1058" s="99"/>
      <c r="AV1058" s="99"/>
      <c r="AW1058" s="99"/>
      <c r="AX1058" s="99"/>
      <c r="AY1058" s="99"/>
      <c r="AZ1058" s="99"/>
      <c r="BA1058" s="99"/>
      <c r="BB1058" s="99"/>
      <c r="BC1058" s="99"/>
      <c r="BD1058" s="99"/>
      <c r="BE1058" s="99"/>
      <c r="BF1058" s="99"/>
      <c r="BG1058" s="99"/>
      <c r="BH1058" s="99"/>
      <c r="BI1058" s="99"/>
      <c r="BJ1058" s="99"/>
      <c r="BK1058" s="99"/>
      <c r="BL1058" s="99"/>
      <c r="BM1058" s="99"/>
      <c r="BN1058" s="99"/>
      <c r="BO1058" s="99"/>
      <c r="BP1058" s="99"/>
      <c r="BQ1058" s="99"/>
      <c r="BR1058" s="99"/>
      <c r="BS1058" s="99"/>
      <c r="BT1058" s="99"/>
      <c r="BU1058" s="99"/>
      <c r="BV1058" s="99"/>
      <c r="BW1058" s="99"/>
      <c r="BX1058" s="99"/>
      <c r="BY1058" s="99"/>
      <c r="BZ1058" s="99"/>
      <c r="CA1058" s="99"/>
      <c r="CB1058" s="99"/>
      <c r="CC1058" s="99"/>
      <c r="CD1058" s="99"/>
      <c r="CE1058" s="99"/>
      <c r="CF1058" s="99"/>
      <c r="CG1058" s="99"/>
      <c r="CH1058" s="99"/>
      <c r="CI1058" s="99"/>
      <c r="CJ1058" s="621"/>
      <c r="CK1058" s="621"/>
      <c r="CL1058" s="621"/>
    </row>
    <row r="1059" spans="27:90">
      <c r="AA1059" s="350"/>
      <c r="AB1059" s="62"/>
      <c r="AC1059" s="62"/>
      <c r="AD1059" s="62"/>
      <c r="AP1059" s="88"/>
      <c r="AQ1059" s="88"/>
      <c r="AR1059" s="88"/>
      <c r="AS1059" s="99"/>
      <c r="AT1059" s="99"/>
      <c r="AU1059" s="99"/>
      <c r="AV1059" s="99"/>
      <c r="AW1059" s="99"/>
      <c r="AX1059" s="99"/>
      <c r="AY1059" s="99"/>
      <c r="AZ1059" s="99"/>
      <c r="BA1059" s="99"/>
      <c r="BB1059" s="99"/>
      <c r="BC1059" s="99"/>
      <c r="BD1059" s="99"/>
      <c r="BE1059" s="99"/>
      <c r="BF1059" s="99"/>
      <c r="BG1059" s="99"/>
      <c r="BH1059" s="99"/>
      <c r="BI1059" s="99"/>
      <c r="BJ1059" s="99"/>
      <c r="BK1059" s="99"/>
      <c r="BL1059" s="99"/>
      <c r="BM1059" s="99"/>
      <c r="BN1059" s="99"/>
      <c r="BO1059" s="99"/>
      <c r="BP1059" s="99"/>
      <c r="BQ1059" s="99"/>
      <c r="BR1059" s="99"/>
      <c r="BS1059" s="99"/>
      <c r="BT1059" s="99"/>
      <c r="BU1059" s="99"/>
      <c r="BV1059" s="99"/>
      <c r="BW1059" s="99"/>
      <c r="BX1059" s="99"/>
      <c r="BY1059" s="99"/>
      <c r="BZ1059" s="99"/>
      <c r="CA1059" s="99"/>
      <c r="CB1059" s="99"/>
      <c r="CC1059" s="99"/>
      <c r="CD1059" s="99"/>
      <c r="CE1059" s="99"/>
      <c r="CF1059" s="99"/>
      <c r="CG1059" s="99"/>
      <c r="CH1059" s="99"/>
      <c r="CI1059" s="99"/>
      <c r="CJ1059" s="621"/>
      <c r="CK1059" s="621"/>
      <c r="CL1059" s="621"/>
    </row>
    <row r="1060" spans="27:90">
      <c r="AA1060" s="350"/>
      <c r="AB1060" s="62"/>
      <c r="AC1060" s="62"/>
      <c r="AD1060" s="62"/>
      <c r="AP1060" s="88"/>
      <c r="AQ1060" s="88"/>
      <c r="AR1060" s="88"/>
      <c r="AS1060" s="99"/>
      <c r="AT1060" s="99"/>
      <c r="AU1060" s="99"/>
      <c r="AV1060" s="99"/>
      <c r="AW1060" s="99"/>
      <c r="AX1060" s="99"/>
      <c r="AY1060" s="99"/>
      <c r="AZ1060" s="99"/>
      <c r="BA1060" s="99"/>
      <c r="BB1060" s="99"/>
      <c r="BC1060" s="99"/>
      <c r="BD1060" s="99"/>
      <c r="BE1060" s="99"/>
      <c r="BF1060" s="99"/>
      <c r="BG1060" s="99"/>
      <c r="BH1060" s="99"/>
      <c r="BI1060" s="99"/>
      <c r="BJ1060" s="99"/>
      <c r="BK1060" s="99"/>
      <c r="BL1060" s="99"/>
      <c r="BM1060" s="99"/>
      <c r="BN1060" s="99"/>
      <c r="BO1060" s="99"/>
      <c r="BP1060" s="99"/>
      <c r="BQ1060" s="99"/>
      <c r="BR1060" s="99"/>
      <c r="BS1060" s="99"/>
      <c r="BT1060" s="99"/>
      <c r="BU1060" s="99"/>
      <c r="BV1060" s="99"/>
      <c r="BW1060" s="99"/>
      <c r="BX1060" s="99"/>
      <c r="BY1060" s="99"/>
      <c r="BZ1060" s="99"/>
      <c r="CA1060" s="99"/>
      <c r="CB1060" s="99"/>
      <c r="CC1060" s="99"/>
      <c r="CD1060" s="99"/>
      <c r="CE1060" s="99"/>
      <c r="CF1060" s="99"/>
      <c r="CG1060" s="99"/>
      <c r="CH1060" s="99"/>
      <c r="CI1060" s="99"/>
      <c r="CJ1060" s="621"/>
      <c r="CK1060" s="621"/>
      <c r="CL1060" s="621"/>
    </row>
    <row r="1061" spans="27:90">
      <c r="AA1061" s="350"/>
      <c r="AB1061" s="62"/>
      <c r="AC1061" s="62"/>
      <c r="AD1061" s="62"/>
      <c r="AP1061" s="88"/>
      <c r="AQ1061" s="88"/>
      <c r="AR1061" s="88"/>
      <c r="AS1061" s="99"/>
      <c r="AT1061" s="99"/>
      <c r="AU1061" s="99"/>
      <c r="AV1061" s="99"/>
      <c r="AW1061" s="99"/>
      <c r="AX1061" s="99"/>
      <c r="AY1061" s="99"/>
      <c r="AZ1061" s="99"/>
      <c r="BA1061" s="99"/>
      <c r="BB1061" s="99"/>
      <c r="BC1061" s="99"/>
      <c r="BD1061" s="99"/>
      <c r="BE1061" s="99"/>
      <c r="BF1061" s="99"/>
      <c r="BG1061" s="99"/>
      <c r="BH1061" s="99"/>
      <c r="BI1061" s="99"/>
      <c r="BJ1061" s="99"/>
      <c r="BK1061" s="99"/>
      <c r="BL1061" s="99"/>
      <c r="BM1061" s="99"/>
      <c r="BN1061" s="99"/>
      <c r="BO1061" s="99"/>
      <c r="BP1061" s="99"/>
      <c r="BQ1061" s="99"/>
      <c r="BR1061" s="99"/>
      <c r="BS1061" s="99"/>
      <c r="BT1061" s="99"/>
      <c r="BU1061" s="99"/>
      <c r="BV1061" s="99"/>
      <c r="BW1061" s="99"/>
      <c r="BX1061" s="99"/>
      <c r="BY1061" s="99"/>
      <c r="BZ1061" s="99"/>
      <c r="CA1061" s="99"/>
      <c r="CB1061" s="99"/>
      <c r="CC1061" s="99"/>
      <c r="CD1061" s="99"/>
      <c r="CE1061" s="99"/>
      <c r="CF1061" s="99"/>
      <c r="CG1061" s="99"/>
      <c r="CH1061" s="99"/>
      <c r="CI1061" s="99"/>
      <c r="CJ1061" s="621"/>
      <c r="CK1061" s="621"/>
      <c r="CL1061" s="621"/>
    </row>
    <row r="1062" spans="27:90">
      <c r="AA1062" s="350"/>
      <c r="AB1062" s="62"/>
      <c r="AC1062" s="62"/>
      <c r="AD1062" s="62"/>
      <c r="AP1062" s="88"/>
      <c r="AQ1062" s="88"/>
      <c r="AR1062" s="88"/>
      <c r="AS1062" s="99"/>
      <c r="AT1062" s="99"/>
      <c r="AU1062" s="99"/>
      <c r="AV1062" s="99"/>
      <c r="AW1062" s="99"/>
      <c r="AX1062" s="99"/>
      <c r="AY1062" s="99"/>
      <c r="AZ1062" s="99"/>
      <c r="BA1062" s="99"/>
      <c r="BB1062" s="99"/>
      <c r="BC1062" s="99"/>
      <c r="BD1062" s="99"/>
      <c r="BE1062" s="99"/>
      <c r="BF1062" s="99"/>
      <c r="BG1062" s="99"/>
      <c r="BH1062" s="99"/>
      <c r="BI1062" s="99"/>
      <c r="BJ1062" s="99"/>
      <c r="BK1062" s="99"/>
      <c r="BL1062" s="99"/>
      <c r="BM1062" s="99"/>
      <c r="BN1062" s="99"/>
      <c r="BO1062" s="99"/>
      <c r="BP1062" s="99"/>
      <c r="BQ1062" s="99"/>
      <c r="BR1062" s="99"/>
      <c r="BS1062" s="99"/>
      <c r="BT1062" s="99"/>
      <c r="BU1062" s="99"/>
      <c r="BV1062" s="99"/>
      <c r="BW1062" s="99"/>
      <c r="BX1062" s="99"/>
      <c r="BY1062" s="99"/>
      <c r="BZ1062" s="99"/>
      <c r="CA1062" s="99"/>
      <c r="CB1062" s="99"/>
      <c r="CC1062" s="99"/>
      <c r="CD1062" s="99"/>
      <c r="CE1062" s="99"/>
      <c r="CF1062" s="99"/>
      <c r="CG1062" s="99"/>
      <c r="CH1062" s="99"/>
      <c r="CI1062" s="99"/>
      <c r="CJ1062" s="621"/>
      <c r="CK1062" s="621"/>
      <c r="CL1062" s="621"/>
    </row>
    <row r="1063" spans="27:90">
      <c r="AA1063" s="350"/>
      <c r="AB1063" s="62"/>
      <c r="AC1063" s="62"/>
      <c r="AD1063" s="62"/>
      <c r="AP1063" s="88"/>
      <c r="AQ1063" s="88"/>
      <c r="AR1063" s="88"/>
      <c r="AS1063" s="99"/>
      <c r="AT1063" s="99"/>
      <c r="AU1063" s="99"/>
      <c r="AV1063" s="99"/>
      <c r="AW1063" s="99"/>
      <c r="AX1063" s="99"/>
      <c r="AY1063" s="99"/>
      <c r="AZ1063" s="99"/>
      <c r="BA1063" s="99"/>
      <c r="BB1063" s="99"/>
      <c r="BC1063" s="99"/>
      <c r="BD1063" s="99"/>
      <c r="BE1063" s="99"/>
      <c r="BF1063" s="99"/>
      <c r="BG1063" s="99"/>
      <c r="BH1063" s="99"/>
      <c r="BI1063" s="99"/>
      <c r="BJ1063" s="99"/>
      <c r="BK1063" s="99"/>
      <c r="BL1063" s="99"/>
      <c r="BM1063" s="99"/>
      <c r="BN1063" s="99"/>
      <c r="BO1063" s="99"/>
      <c r="BP1063" s="99"/>
      <c r="BQ1063" s="99"/>
      <c r="BR1063" s="99"/>
      <c r="BS1063" s="99"/>
      <c r="BT1063" s="99"/>
      <c r="BU1063" s="99"/>
      <c r="BV1063" s="99"/>
      <c r="BW1063" s="99"/>
      <c r="BX1063" s="99"/>
      <c r="BY1063" s="99"/>
      <c r="BZ1063" s="99"/>
      <c r="CA1063" s="99"/>
      <c r="CB1063" s="99"/>
      <c r="CC1063" s="99"/>
      <c r="CD1063" s="99"/>
      <c r="CE1063" s="99"/>
      <c r="CF1063" s="99"/>
      <c r="CG1063" s="99"/>
      <c r="CH1063" s="99"/>
      <c r="CI1063" s="99"/>
      <c r="CJ1063" s="621"/>
      <c r="CK1063" s="621"/>
      <c r="CL1063" s="621"/>
    </row>
    <row r="1064" spans="27:90">
      <c r="AA1064" s="350"/>
      <c r="AB1064" s="62"/>
      <c r="AC1064" s="62"/>
      <c r="AD1064" s="62"/>
      <c r="AP1064" s="88"/>
      <c r="AQ1064" s="88"/>
      <c r="AR1064" s="88"/>
      <c r="AS1064" s="99"/>
      <c r="AT1064" s="99"/>
      <c r="AU1064" s="99"/>
      <c r="AV1064" s="99"/>
      <c r="AW1064" s="99"/>
      <c r="AX1064" s="99"/>
      <c r="AY1064" s="99"/>
      <c r="AZ1064" s="99"/>
      <c r="BA1064" s="99"/>
      <c r="BB1064" s="99"/>
      <c r="BC1064" s="99"/>
      <c r="BD1064" s="99"/>
      <c r="BE1064" s="99"/>
      <c r="BF1064" s="99"/>
      <c r="BG1064" s="99"/>
      <c r="BH1064" s="99"/>
      <c r="BI1064" s="99"/>
      <c r="BJ1064" s="99"/>
      <c r="BK1064" s="99"/>
      <c r="BL1064" s="99"/>
      <c r="BM1064" s="99"/>
      <c r="BN1064" s="99"/>
      <c r="BO1064" s="99"/>
      <c r="BP1064" s="99"/>
      <c r="BQ1064" s="99"/>
      <c r="BR1064" s="99"/>
      <c r="BS1064" s="99"/>
      <c r="BT1064" s="99"/>
      <c r="BU1064" s="99"/>
      <c r="BV1064" s="99"/>
      <c r="BW1064" s="99"/>
      <c r="BX1064" s="99"/>
      <c r="BY1064" s="99"/>
      <c r="BZ1064" s="99"/>
      <c r="CA1064" s="99"/>
      <c r="CB1064" s="99"/>
      <c r="CC1064" s="99"/>
      <c r="CD1064" s="99"/>
      <c r="CE1064" s="99"/>
      <c r="CF1064" s="99"/>
      <c r="CG1064" s="99"/>
      <c r="CH1064" s="99"/>
      <c r="CI1064" s="99"/>
      <c r="CJ1064" s="621"/>
      <c r="CK1064" s="621"/>
      <c r="CL1064" s="621"/>
    </row>
    <row r="1065" spans="27:90">
      <c r="AA1065" s="350"/>
      <c r="AB1065" s="62"/>
      <c r="AC1065" s="62"/>
      <c r="AD1065" s="62"/>
      <c r="AP1065" s="88"/>
      <c r="AQ1065" s="88"/>
      <c r="AR1065" s="88"/>
      <c r="AS1065" s="99"/>
      <c r="AT1065" s="99"/>
      <c r="AU1065" s="99"/>
      <c r="AV1065" s="99"/>
      <c r="AW1065" s="99"/>
      <c r="AX1065" s="99"/>
      <c r="AY1065" s="99"/>
      <c r="AZ1065" s="99"/>
      <c r="BA1065" s="99"/>
      <c r="BB1065" s="99"/>
      <c r="BC1065" s="99"/>
      <c r="BD1065" s="99"/>
      <c r="BE1065" s="99"/>
      <c r="BF1065" s="99"/>
      <c r="BG1065" s="99"/>
      <c r="BH1065" s="99"/>
      <c r="BI1065" s="99"/>
      <c r="BJ1065" s="99"/>
      <c r="BK1065" s="99"/>
      <c r="BL1065" s="99"/>
      <c r="BM1065" s="99"/>
      <c r="BN1065" s="99"/>
      <c r="BO1065" s="99"/>
      <c r="BP1065" s="99"/>
      <c r="BQ1065" s="99"/>
      <c r="BR1065" s="99"/>
      <c r="BS1065" s="99"/>
      <c r="BT1065" s="99"/>
      <c r="BU1065" s="99"/>
      <c r="BV1065" s="99"/>
      <c r="BW1065" s="99"/>
      <c r="BX1065" s="99"/>
      <c r="BY1065" s="99"/>
      <c r="BZ1065" s="99"/>
      <c r="CA1065" s="99"/>
      <c r="CB1065" s="99"/>
      <c r="CC1065" s="99"/>
      <c r="CD1065" s="99"/>
      <c r="CE1065" s="99"/>
      <c r="CF1065" s="99"/>
      <c r="CG1065" s="99"/>
      <c r="CH1065" s="99"/>
      <c r="CI1065" s="99"/>
      <c r="CJ1065" s="621"/>
      <c r="CK1065" s="621"/>
      <c r="CL1065" s="621"/>
    </row>
    <row r="1066" spans="27:90">
      <c r="AA1066" s="350"/>
      <c r="AB1066" s="62"/>
      <c r="AC1066" s="62"/>
      <c r="AD1066" s="62"/>
      <c r="AP1066" s="88"/>
      <c r="AQ1066" s="88"/>
      <c r="AR1066" s="88"/>
      <c r="AS1066" s="99"/>
      <c r="AT1066" s="99"/>
      <c r="AU1066" s="99"/>
      <c r="AV1066" s="99"/>
      <c r="AW1066" s="99"/>
      <c r="AX1066" s="99"/>
      <c r="AY1066" s="99"/>
      <c r="AZ1066" s="99"/>
      <c r="BA1066" s="99"/>
      <c r="BB1066" s="99"/>
      <c r="BC1066" s="99"/>
      <c r="BD1066" s="99"/>
      <c r="BE1066" s="99"/>
      <c r="BF1066" s="99"/>
      <c r="BG1066" s="99"/>
      <c r="BH1066" s="99"/>
      <c r="BI1066" s="99"/>
      <c r="BJ1066" s="99"/>
      <c r="BK1066" s="99"/>
      <c r="BL1066" s="99"/>
      <c r="BM1066" s="99"/>
      <c r="BN1066" s="99"/>
      <c r="BO1066" s="99"/>
      <c r="BP1066" s="99"/>
      <c r="BQ1066" s="99"/>
      <c r="BR1066" s="99"/>
      <c r="BS1066" s="99"/>
      <c r="BT1066" s="99"/>
      <c r="BU1066" s="99"/>
      <c r="BV1066" s="99"/>
      <c r="BW1066" s="99"/>
      <c r="BX1066" s="99"/>
      <c r="BY1066" s="99"/>
      <c r="BZ1066" s="99"/>
      <c r="CA1066" s="99"/>
      <c r="CB1066" s="99"/>
      <c r="CC1066" s="99"/>
      <c r="CD1066" s="99"/>
      <c r="CE1066" s="99"/>
      <c r="CF1066" s="99"/>
      <c r="CG1066" s="99"/>
      <c r="CH1066" s="99"/>
      <c r="CI1066" s="99"/>
      <c r="CJ1066" s="621"/>
      <c r="CK1066" s="621"/>
      <c r="CL1066" s="621"/>
    </row>
    <row r="1067" spans="27:90">
      <c r="AA1067" s="350"/>
      <c r="AB1067" s="62"/>
      <c r="AC1067" s="62"/>
      <c r="AD1067" s="62"/>
      <c r="AP1067" s="88"/>
      <c r="AQ1067" s="88"/>
      <c r="AR1067" s="88"/>
      <c r="AS1067" s="99"/>
      <c r="AT1067" s="99"/>
      <c r="AU1067" s="99"/>
      <c r="AV1067" s="99"/>
      <c r="AW1067" s="99"/>
      <c r="AX1067" s="99"/>
      <c r="AY1067" s="99"/>
      <c r="AZ1067" s="99"/>
      <c r="BA1067" s="99"/>
      <c r="BB1067" s="99"/>
      <c r="BC1067" s="99"/>
      <c r="BD1067" s="99"/>
      <c r="BE1067" s="99"/>
      <c r="BF1067" s="99"/>
      <c r="BG1067" s="99"/>
      <c r="BH1067" s="99"/>
      <c r="BI1067" s="99"/>
      <c r="BJ1067" s="99"/>
      <c r="BK1067" s="99"/>
      <c r="BL1067" s="99"/>
      <c r="BM1067" s="99"/>
      <c r="BN1067" s="99"/>
      <c r="BO1067" s="99"/>
      <c r="BP1067" s="99"/>
      <c r="BQ1067" s="99"/>
      <c r="BR1067" s="99"/>
      <c r="BS1067" s="99"/>
      <c r="BT1067" s="99"/>
      <c r="BU1067" s="99"/>
      <c r="BV1067" s="99"/>
      <c r="BW1067" s="99"/>
      <c r="BX1067" s="99"/>
      <c r="BY1067" s="99"/>
      <c r="BZ1067" s="99"/>
      <c r="CA1067" s="99"/>
      <c r="CB1067" s="99"/>
      <c r="CC1067" s="99"/>
      <c r="CD1067" s="99"/>
      <c r="CE1067" s="99"/>
      <c r="CF1067" s="99"/>
      <c r="CG1067" s="99"/>
      <c r="CH1067" s="99"/>
      <c r="CI1067" s="99"/>
      <c r="CJ1067" s="621"/>
      <c r="CK1067" s="621"/>
      <c r="CL1067" s="621"/>
    </row>
    <row r="1068" spans="27:90">
      <c r="AA1068" s="350"/>
      <c r="AB1068" s="62"/>
      <c r="AC1068" s="62"/>
      <c r="AD1068" s="62"/>
      <c r="AP1068" s="88"/>
      <c r="AQ1068" s="88"/>
      <c r="AR1068" s="88"/>
      <c r="AS1068" s="99"/>
      <c r="AT1068" s="99"/>
      <c r="AU1068" s="99"/>
      <c r="AV1068" s="99"/>
      <c r="AW1068" s="99"/>
      <c r="AX1068" s="99"/>
      <c r="AY1068" s="99"/>
      <c r="AZ1068" s="99"/>
      <c r="BA1068" s="99"/>
      <c r="BB1068" s="99"/>
      <c r="BC1068" s="99"/>
      <c r="BD1068" s="99"/>
      <c r="BE1068" s="99"/>
      <c r="BF1068" s="99"/>
      <c r="BG1068" s="99"/>
      <c r="BH1068" s="99"/>
      <c r="BI1068" s="99"/>
      <c r="BJ1068" s="99"/>
      <c r="BK1068" s="99"/>
      <c r="BL1068" s="99"/>
      <c r="BM1068" s="99"/>
      <c r="BN1068" s="99"/>
      <c r="BO1068" s="99"/>
      <c r="BP1068" s="99"/>
      <c r="BQ1068" s="99"/>
      <c r="BR1068" s="99"/>
      <c r="BS1068" s="99"/>
      <c r="BT1068" s="99"/>
      <c r="BU1068" s="99"/>
      <c r="BV1068" s="99"/>
      <c r="BW1068" s="99"/>
      <c r="BX1068" s="99"/>
      <c r="BY1068" s="99"/>
      <c r="BZ1068" s="99"/>
      <c r="CA1068" s="99"/>
      <c r="CB1068" s="99"/>
      <c r="CC1068" s="99"/>
      <c r="CD1068" s="99"/>
      <c r="CE1068" s="99"/>
      <c r="CF1068" s="99"/>
      <c r="CG1068" s="99"/>
      <c r="CH1068" s="99"/>
      <c r="CI1068" s="99"/>
      <c r="CJ1068" s="621"/>
      <c r="CK1068" s="621"/>
      <c r="CL1068" s="621"/>
    </row>
    <row r="1069" spans="27:90">
      <c r="AA1069" s="350"/>
      <c r="AB1069" s="62"/>
      <c r="AC1069" s="62"/>
      <c r="AD1069" s="62"/>
      <c r="AP1069" s="88"/>
      <c r="AQ1069" s="88"/>
      <c r="AR1069" s="88"/>
      <c r="AS1069" s="99"/>
      <c r="AT1069" s="99"/>
      <c r="AU1069" s="99"/>
      <c r="AV1069" s="99"/>
      <c r="AW1069" s="99"/>
      <c r="AX1069" s="99"/>
      <c r="AY1069" s="99"/>
      <c r="AZ1069" s="99"/>
      <c r="BA1069" s="99"/>
      <c r="BB1069" s="99"/>
      <c r="BC1069" s="99"/>
      <c r="BD1069" s="99"/>
      <c r="BE1069" s="99"/>
      <c r="BF1069" s="99"/>
      <c r="BG1069" s="99"/>
      <c r="BH1069" s="99"/>
      <c r="BI1069" s="99"/>
      <c r="BJ1069" s="99"/>
      <c r="BK1069" s="99"/>
      <c r="BL1069" s="99"/>
      <c r="BM1069" s="99"/>
      <c r="BN1069" s="99"/>
      <c r="BO1069" s="99"/>
      <c r="BP1069" s="99"/>
      <c r="BQ1069" s="99"/>
      <c r="BR1069" s="99"/>
      <c r="BS1069" s="99"/>
      <c r="BT1069" s="99"/>
      <c r="BU1069" s="99"/>
      <c r="BV1069" s="99"/>
      <c r="BW1069" s="99"/>
      <c r="BX1069" s="99"/>
      <c r="BY1069" s="99"/>
      <c r="BZ1069" s="99"/>
      <c r="CA1069" s="99"/>
      <c r="CB1069" s="99"/>
      <c r="CC1069" s="99"/>
      <c r="CD1069" s="99"/>
      <c r="CE1069" s="99"/>
      <c r="CF1069" s="99"/>
      <c r="CG1069" s="99"/>
      <c r="CH1069" s="99"/>
      <c r="CI1069" s="99"/>
      <c r="CJ1069" s="621"/>
      <c r="CK1069" s="621"/>
      <c r="CL1069" s="621"/>
    </row>
    <row r="1070" spans="27:90">
      <c r="AA1070" s="350"/>
      <c r="AB1070" s="62"/>
      <c r="AC1070" s="62"/>
      <c r="AD1070" s="62"/>
      <c r="AP1070" s="88"/>
      <c r="AQ1070" s="88"/>
      <c r="AR1070" s="88"/>
      <c r="AS1070" s="99"/>
      <c r="AT1070" s="99"/>
      <c r="AU1070" s="99"/>
      <c r="AV1070" s="99"/>
      <c r="AW1070" s="99"/>
      <c r="AX1070" s="99"/>
      <c r="AY1070" s="99"/>
      <c r="AZ1070" s="99"/>
      <c r="BA1070" s="99"/>
      <c r="BB1070" s="99"/>
      <c r="BC1070" s="99"/>
      <c r="BD1070" s="99"/>
      <c r="BE1070" s="99"/>
      <c r="BF1070" s="99"/>
      <c r="BG1070" s="99"/>
      <c r="BH1070" s="99"/>
      <c r="BI1070" s="99"/>
      <c r="BJ1070" s="99"/>
      <c r="BK1070" s="99"/>
      <c r="BL1070" s="99"/>
      <c r="BM1070" s="99"/>
      <c r="BN1070" s="99"/>
      <c r="BO1070" s="99"/>
      <c r="BP1070" s="99"/>
      <c r="BQ1070" s="99"/>
      <c r="BR1070" s="99"/>
      <c r="BS1070" s="99"/>
      <c r="BT1070" s="99"/>
      <c r="BU1070" s="99"/>
      <c r="BV1070" s="99"/>
      <c r="BW1070" s="99"/>
      <c r="BX1070" s="99"/>
      <c r="BY1070" s="99"/>
      <c r="BZ1070" s="99"/>
      <c r="CA1070" s="99"/>
      <c r="CB1070" s="99"/>
      <c r="CC1070" s="99"/>
      <c r="CD1070" s="99"/>
      <c r="CE1070" s="99"/>
      <c r="CF1070" s="99"/>
      <c r="CG1070" s="99"/>
      <c r="CH1070" s="99"/>
      <c r="CI1070" s="99"/>
      <c r="CJ1070" s="621"/>
      <c r="CK1070" s="621"/>
      <c r="CL1070" s="621"/>
    </row>
    <row r="1071" spans="27:90">
      <c r="AA1071" s="350"/>
      <c r="AB1071" s="62"/>
      <c r="AC1071" s="62"/>
      <c r="AD1071" s="62"/>
      <c r="AP1071" s="88"/>
      <c r="AQ1071" s="88"/>
      <c r="AR1071" s="88"/>
      <c r="AS1071" s="99"/>
      <c r="AT1071" s="99"/>
      <c r="AU1071" s="99"/>
      <c r="AV1071" s="99"/>
      <c r="AW1071" s="99"/>
      <c r="AX1071" s="99"/>
      <c r="AY1071" s="99"/>
      <c r="AZ1071" s="99"/>
      <c r="BA1071" s="99"/>
      <c r="BB1071" s="99"/>
      <c r="BC1071" s="99"/>
      <c r="BD1071" s="99"/>
      <c r="BE1071" s="99"/>
      <c r="BF1071" s="99"/>
      <c r="BG1071" s="99"/>
      <c r="BH1071" s="99"/>
      <c r="BI1071" s="99"/>
      <c r="BJ1071" s="99"/>
      <c r="BK1071" s="99"/>
      <c r="BL1071" s="99"/>
      <c r="BM1071" s="99"/>
      <c r="BN1071" s="99"/>
      <c r="BO1071" s="99"/>
      <c r="BP1071" s="99"/>
      <c r="BQ1071" s="99"/>
      <c r="BR1071" s="99"/>
      <c r="BS1071" s="99"/>
      <c r="BT1071" s="99"/>
      <c r="BU1071" s="99"/>
      <c r="BV1071" s="99"/>
      <c r="BW1071" s="99"/>
      <c r="BX1071" s="99"/>
      <c r="BY1071" s="99"/>
      <c r="BZ1071" s="99"/>
      <c r="CA1071" s="99"/>
      <c r="CB1071" s="99"/>
      <c r="CC1071" s="99"/>
      <c r="CD1071" s="99"/>
      <c r="CE1071" s="99"/>
      <c r="CF1071" s="99"/>
      <c r="CG1071" s="99"/>
      <c r="CH1071" s="99"/>
      <c r="CI1071" s="99"/>
      <c r="CJ1071" s="621"/>
      <c r="CK1071" s="621"/>
      <c r="CL1071" s="621"/>
    </row>
    <row r="1072" spans="27:90">
      <c r="AA1072" s="350"/>
      <c r="AB1072" s="62"/>
      <c r="AC1072" s="62"/>
      <c r="AD1072" s="62"/>
      <c r="AP1072" s="88"/>
      <c r="AQ1072" s="88"/>
      <c r="AR1072" s="88"/>
      <c r="AS1072" s="99"/>
      <c r="AT1072" s="99"/>
      <c r="AU1072" s="99"/>
      <c r="AV1072" s="99"/>
      <c r="AW1072" s="99"/>
      <c r="AX1072" s="99"/>
      <c r="AY1072" s="99"/>
      <c r="AZ1072" s="99"/>
      <c r="BA1072" s="99"/>
      <c r="BB1072" s="99"/>
      <c r="BC1072" s="99"/>
      <c r="BD1072" s="99"/>
      <c r="BE1072" s="99"/>
      <c r="BF1072" s="99"/>
      <c r="BG1072" s="99"/>
      <c r="BH1072" s="99"/>
      <c r="BI1072" s="99"/>
      <c r="BJ1072" s="99"/>
      <c r="BK1072" s="99"/>
      <c r="BL1072" s="99"/>
      <c r="BM1072" s="99"/>
      <c r="BN1072" s="99"/>
      <c r="BO1072" s="99"/>
      <c r="BP1072" s="99"/>
      <c r="BQ1072" s="99"/>
      <c r="BR1072" s="99"/>
      <c r="BS1072" s="99"/>
      <c r="BT1072" s="99"/>
      <c r="BU1072" s="99"/>
      <c r="BV1072" s="99"/>
      <c r="BW1072" s="99"/>
      <c r="BX1072" s="99"/>
      <c r="BY1072" s="99"/>
      <c r="BZ1072" s="99"/>
      <c r="CA1072" s="99"/>
      <c r="CB1072" s="99"/>
      <c r="CC1072" s="99"/>
      <c r="CD1072" s="99"/>
      <c r="CE1072" s="99"/>
      <c r="CF1072" s="99"/>
      <c r="CG1072" s="99"/>
      <c r="CH1072" s="99"/>
      <c r="CI1072" s="99"/>
      <c r="CJ1072" s="621"/>
      <c r="CK1072" s="621"/>
      <c r="CL1072" s="621"/>
    </row>
    <row r="1073" spans="27:90">
      <c r="AA1073" s="350"/>
      <c r="AB1073" s="62"/>
      <c r="AC1073" s="62"/>
      <c r="AD1073" s="62"/>
      <c r="AP1073" s="88"/>
      <c r="AQ1073" s="88"/>
      <c r="AR1073" s="88"/>
      <c r="AS1073" s="99"/>
      <c r="AT1073" s="99"/>
      <c r="AU1073" s="99"/>
      <c r="AV1073" s="99"/>
      <c r="AW1073" s="99"/>
      <c r="AX1073" s="99"/>
      <c r="AY1073" s="99"/>
      <c r="AZ1073" s="99"/>
      <c r="BA1073" s="99"/>
      <c r="BB1073" s="99"/>
      <c r="BC1073" s="99"/>
      <c r="BD1073" s="99"/>
      <c r="BE1073" s="99"/>
      <c r="BF1073" s="99"/>
      <c r="BG1073" s="99"/>
      <c r="BH1073" s="99"/>
      <c r="BI1073" s="99"/>
      <c r="BJ1073" s="99"/>
      <c r="BK1073" s="99"/>
      <c r="BL1073" s="99"/>
      <c r="BM1073" s="99"/>
      <c r="BN1073" s="99"/>
      <c r="BO1073" s="99"/>
      <c r="BP1073" s="99"/>
      <c r="BQ1073" s="99"/>
      <c r="BR1073" s="99"/>
      <c r="BS1073" s="99"/>
      <c r="BT1073" s="99"/>
      <c r="BU1073" s="99"/>
      <c r="BV1073" s="99"/>
      <c r="BW1073" s="99"/>
      <c r="BX1073" s="99"/>
      <c r="BY1073" s="99"/>
      <c r="BZ1073" s="99"/>
      <c r="CA1073" s="99"/>
      <c r="CB1073" s="99"/>
      <c r="CC1073" s="99"/>
      <c r="CD1073" s="99"/>
      <c r="CE1073" s="99"/>
      <c r="CF1073" s="99"/>
      <c r="CG1073" s="99"/>
      <c r="CH1073" s="99"/>
      <c r="CI1073" s="99"/>
      <c r="CJ1073" s="621"/>
      <c r="CK1073" s="621"/>
      <c r="CL1073" s="621"/>
    </row>
    <row r="1074" spans="27:90">
      <c r="AA1074" s="350"/>
      <c r="AB1074" s="62"/>
      <c r="AC1074" s="62"/>
      <c r="AD1074" s="62"/>
      <c r="AP1074" s="88"/>
      <c r="AQ1074" s="88"/>
      <c r="AR1074" s="88"/>
      <c r="AS1074" s="99"/>
      <c r="AT1074" s="99"/>
      <c r="AU1074" s="99"/>
      <c r="AV1074" s="99"/>
      <c r="AW1074" s="99"/>
      <c r="AX1074" s="99"/>
      <c r="AY1074" s="99"/>
      <c r="AZ1074" s="99"/>
      <c r="BA1074" s="99"/>
      <c r="BB1074" s="99"/>
      <c r="BC1074" s="99"/>
      <c r="BD1074" s="99"/>
      <c r="BE1074" s="99"/>
      <c r="BF1074" s="99"/>
      <c r="BG1074" s="99"/>
      <c r="BH1074" s="99"/>
      <c r="BI1074" s="99"/>
      <c r="BJ1074" s="99"/>
      <c r="BK1074" s="99"/>
      <c r="BL1074" s="99"/>
      <c r="BM1074" s="99"/>
      <c r="BN1074" s="99"/>
      <c r="BO1074" s="99"/>
      <c r="BP1074" s="99"/>
      <c r="BQ1074" s="99"/>
      <c r="BR1074" s="99"/>
      <c r="BS1074" s="99"/>
      <c r="BT1074" s="99"/>
      <c r="BU1074" s="99"/>
      <c r="BV1074" s="99"/>
      <c r="BW1074" s="99"/>
      <c r="BX1074" s="99"/>
      <c r="BY1074" s="99"/>
      <c r="BZ1074" s="99"/>
      <c r="CA1074" s="99"/>
      <c r="CB1074" s="99"/>
      <c r="CC1074" s="99"/>
      <c r="CD1074" s="99"/>
      <c r="CE1074" s="99"/>
      <c r="CF1074" s="99"/>
      <c r="CG1074" s="99"/>
      <c r="CH1074" s="99"/>
      <c r="CI1074" s="99"/>
      <c r="CJ1074" s="621"/>
      <c r="CK1074" s="621"/>
      <c r="CL1074" s="621"/>
    </row>
    <row r="1075" spans="27:90">
      <c r="AA1075" s="350"/>
      <c r="AB1075" s="62"/>
      <c r="AC1075" s="62"/>
      <c r="AD1075" s="62"/>
      <c r="AP1075" s="88"/>
      <c r="AQ1075" s="88"/>
      <c r="AR1075" s="88"/>
      <c r="AS1075" s="99"/>
      <c r="AT1075" s="99"/>
      <c r="AU1075" s="99"/>
      <c r="AV1075" s="99"/>
      <c r="AW1075" s="99"/>
      <c r="AX1075" s="99"/>
      <c r="AY1075" s="99"/>
      <c r="AZ1075" s="99"/>
      <c r="BA1075" s="99"/>
      <c r="BB1075" s="99"/>
      <c r="BC1075" s="99"/>
      <c r="BD1075" s="99"/>
      <c r="BE1075" s="99"/>
      <c r="BF1075" s="99"/>
      <c r="BG1075" s="99"/>
      <c r="BH1075" s="99"/>
      <c r="BI1075" s="99"/>
      <c r="BJ1075" s="99"/>
      <c r="BK1075" s="99"/>
      <c r="BL1075" s="99"/>
      <c r="BM1075" s="99"/>
      <c r="BN1075" s="99"/>
      <c r="BO1075" s="99"/>
      <c r="BP1075" s="99"/>
      <c r="BQ1075" s="99"/>
      <c r="BR1075" s="99"/>
      <c r="BS1075" s="99"/>
      <c r="BT1075" s="99"/>
      <c r="BU1075" s="99"/>
      <c r="BV1075" s="99"/>
      <c r="BW1075" s="99"/>
      <c r="BX1075" s="99"/>
      <c r="BY1075" s="99"/>
      <c r="BZ1075" s="99"/>
      <c r="CA1075" s="99"/>
      <c r="CB1075" s="99"/>
      <c r="CC1075" s="99"/>
      <c r="CD1075" s="99"/>
      <c r="CE1075" s="99"/>
      <c r="CF1075" s="99"/>
      <c r="CG1075" s="99"/>
      <c r="CH1075" s="99"/>
      <c r="CI1075" s="99"/>
      <c r="CJ1075" s="621"/>
      <c r="CK1075" s="621"/>
      <c r="CL1075" s="621"/>
    </row>
    <row r="1076" spans="27:90">
      <c r="AA1076" s="350"/>
      <c r="AB1076" s="62"/>
      <c r="AC1076" s="62"/>
      <c r="AD1076" s="62"/>
      <c r="AP1076" s="88"/>
      <c r="AQ1076" s="88"/>
      <c r="AR1076" s="88"/>
      <c r="AS1076" s="99"/>
      <c r="AT1076" s="99"/>
      <c r="AU1076" s="99"/>
      <c r="AV1076" s="99"/>
      <c r="AW1076" s="99"/>
      <c r="AX1076" s="99"/>
      <c r="AY1076" s="99"/>
      <c r="AZ1076" s="99"/>
      <c r="BA1076" s="99"/>
      <c r="BB1076" s="99"/>
      <c r="BC1076" s="99"/>
      <c r="BD1076" s="99"/>
      <c r="BE1076" s="99"/>
      <c r="BF1076" s="99"/>
      <c r="BG1076" s="99"/>
      <c r="BH1076" s="99"/>
      <c r="BI1076" s="99"/>
      <c r="BJ1076" s="99"/>
      <c r="BK1076" s="99"/>
      <c r="BL1076" s="99"/>
      <c r="BM1076" s="99"/>
      <c r="BN1076" s="99"/>
      <c r="BO1076" s="99"/>
      <c r="BP1076" s="99"/>
      <c r="BQ1076" s="99"/>
      <c r="BR1076" s="99"/>
      <c r="BS1076" s="99"/>
      <c r="BT1076" s="99"/>
      <c r="BU1076" s="99"/>
      <c r="BV1076" s="99"/>
      <c r="BW1076" s="99"/>
      <c r="BX1076" s="99"/>
      <c r="BY1076" s="99"/>
      <c r="BZ1076" s="99"/>
      <c r="CA1076" s="99"/>
      <c r="CB1076" s="99"/>
      <c r="CC1076" s="99"/>
      <c r="CD1076" s="99"/>
      <c r="CE1076" s="99"/>
      <c r="CF1076" s="99"/>
      <c r="CG1076" s="99"/>
      <c r="CH1076" s="99"/>
      <c r="CI1076" s="99"/>
      <c r="CJ1076" s="621"/>
      <c r="CK1076" s="621"/>
      <c r="CL1076" s="621"/>
    </row>
    <row r="1077" spans="27:90">
      <c r="AA1077" s="350"/>
      <c r="AB1077" s="62"/>
      <c r="AC1077" s="62"/>
      <c r="AD1077" s="62"/>
      <c r="AP1077" s="88"/>
      <c r="AQ1077" s="88"/>
      <c r="AR1077" s="88"/>
      <c r="AS1077" s="99"/>
      <c r="AT1077" s="99"/>
      <c r="AU1077" s="99"/>
      <c r="AV1077" s="99"/>
      <c r="AW1077" s="99"/>
      <c r="AX1077" s="99"/>
      <c r="AY1077" s="99"/>
      <c r="AZ1077" s="99"/>
      <c r="BA1077" s="99"/>
      <c r="BB1077" s="99"/>
      <c r="BC1077" s="99"/>
      <c r="BD1077" s="99"/>
      <c r="BE1077" s="99"/>
      <c r="BF1077" s="99"/>
      <c r="BG1077" s="99"/>
      <c r="BH1077" s="99"/>
      <c r="BI1077" s="99"/>
      <c r="BJ1077" s="99"/>
      <c r="BK1077" s="99"/>
      <c r="BL1077" s="99"/>
      <c r="BM1077" s="99"/>
      <c r="BN1077" s="99"/>
      <c r="BO1077" s="99"/>
      <c r="BP1077" s="99"/>
      <c r="BQ1077" s="99"/>
      <c r="BR1077" s="99"/>
      <c r="BS1077" s="99"/>
      <c r="BT1077" s="99"/>
      <c r="BU1077" s="99"/>
      <c r="BV1077" s="99"/>
      <c r="BW1077" s="99"/>
      <c r="BX1077" s="99"/>
      <c r="BY1077" s="99"/>
      <c r="BZ1077" s="99"/>
      <c r="CA1077" s="99"/>
      <c r="CB1077" s="99"/>
      <c r="CC1077" s="99"/>
      <c r="CD1077" s="99"/>
      <c r="CE1077" s="99"/>
      <c r="CF1077" s="99"/>
      <c r="CG1077" s="99"/>
      <c r="CH1077" s="99"/>
      <c r="CI1077" s="99"/>
      <c r="CJ1077" s="621"/>
      <c r="CK1077" s="621"/>
      <c r="CL1077" s="621"/>
    </row>
    <row r="1078" spans="27:90">
      <c r="AA1078" s="350"/>
      <c r="AB1078" s="62"/>
      <c r="AC1078" s="62"/>
      <c r="AD1078" s="62"/>
      <c r="AP1078" s="88"/>
      <c r="AQ1078" s="88"/>
      <c r="AR1078" s="88"/>
      <c r="AS1078" s="99"/>
      <c r="AT1078" s="99"/>
      <c r="AU1078" s="99"/>
      <c r="AV1078" s="99"/>
      <c r="AW1078" s="99"/>
      <c r="AX1078" s="99"/>
      <c r="AY1078" s="99"/>
      <c r="AZ1078" s="99"/>
      <c r="BA1078" s="99"/>
      <c r="BB1078" s="99"/>
      <c r="BC1078" s="99"/>
      <c r="BD1078" s="99"/>
      <c r="BE1078" s="99"/>
      <c r="BF1078" s="99"/>
      <c r="BG1078" s="99"/>
      <c r="BH1078" s="99"/>
      <c r="BI1078" s="99"/>
      <c r="BJ1078" s="99"/>
      <c r="BK1078" s="99"/>
      <c r="BL1078" s="99"/>
      <c r="BM1078" s="99"/>
      <c r="BN1078" s="99"/>
      <c r="BO1078" s="99"/>
      <c r="BP1078" s="99"/>
      <c r="BQ1078" s="99"/>
      <c r="BR1078" s="99"/>
      <c r="BS1078" s="99"/>
      <c r="BT1078" s="99"/>
      <c r="BU1078" s="99"/>
      <c r="BV1078" s="99"/>
      <c r="BW1078" s="99"/>
      <c r="BX1078" s="99"/>
      <c r="BY1078" s="99"/>
      <c r="BZ1078" s="99"/>
      <c r="CA1078" s="99"/>
      <c r="CB1078" s="99"/>
      <c r="CC1078" s="99"/>
      <c r="CD1078" s="99"/>
      <c r="CE1078" s="99"/>
      <c r="CF1078" s="99"/>
      <c r="CG1078" s="99"/>
      <c r="CH1078" s="99"/>
      <c r="CI1078" s="99"/>
      <c r="CJ1078" s="621"/>
      <c r="CK1078" s="621"/>
      <c r="CL1078" s="621"/>
    </row>
    <row r="1079" spans="27:90">
      <c r="AA1079" s="350"/>
      <c r="AB1079" s="62"/>
      <c r="AC1079" s="62"/>
      <c r="AD1079" s="62"/>
      <c r="AP1079" s="88"/>
      <c r="AQ1079" s="88"/>
      <c r="AR1079" s="88"/>
      <c r="AS1079" s="99"/>
      <c r="AT1079" s="99"/>
      <c r="AU1079" s="99"/>
      <c r="AV1079" s="99"/>
      <c r="AW1079" s="99"/>
      <c r="AX1079" s="99"/>
      <c r="AY1079" s="99"/>
      <c r="AZ1079" s="99"/>
      <c r="BA1079" s="99"/>
      <c r="BB1079" s="99"/>
      <c r="BC1079" s="99"/>
      <c r="BD1079" s="99"/>
      <c r="BE1079" s="99"/>
      <c r="BF1079" s="99"/>
      <c r="BG1079" s="99"/>
      <c r="BH1079" s="99"/>
      <c r="BI1079" s="99"/>
      <c r="BJ1079" s="99"/>
      <c r="BK1079" s="99"/>
      <c r="BL1079" s="99"/>
      <c r="BM1079" s="99"/>
      <c r="BN1079" s="99"/>
      <c r="BO1079" s="99"/>
      <c r="BP1079" s="99"/>
      <c r="BQ1079" s="99"/>
      <c r="BR1079" s="99"/>
      <c r="BS1079" s="99"/>
      <c r="BT1079" s="99"/>
      <c r="BU1079" s="99"/>
      <c r="BV1079" s="99"/>
      <c r="BW1079" s="99"/>
      <c r="BX1079" s="99"/>
      <c r="BY1079" s="99"/>
      <c r="BZ1079" s="99"/>
      <c r="CA1079" s="99"/>
      <c r="CB1079" s="99"/>
      <c r="CC1079" s="99"/>
      <c r="CD1079" s="99"/>
      <c r="CE1079" s="99"/>
      <c r="CF1079" s="99"/>
      <c r="CG1079" s="99"/>
      <c r="CH1079" s="99"/>
      <c r="CI1079" s="99"/>
      <c r="CJ1079" s="621"/>
      <c r="CK1079" s="621"/>
      <c r="CL1079" s="621"/>
    </row>
    <row r="1080" spans="27:90">
      <c r="AA1080" s="350"/>
      <c r="AB1080" s="62"/>
      <c r="AC1080" s="62"/>
      <c r="AD1080" s="62"/>
      <c r="AP1080" s="88"/>
      <c r="AQ1080" s="88"/>
      <c r="AR1080" s="88"/>
      <c r="AS1080" s="99"/>
      <c r="AT1080" s="99"/>
      <c r="AU1080" s="99"/>
      <c r="AV1080" s="99"/>
      <c r="AW1080" s="99"/>
      <c r="AX1080" s="99"/>
      <c r="AY1080" s="99"/>
      <c r="AZ1080" s="99"/>
      <c r="BA1080" s="99"/>
      <c r="BB1080" s="99"/>
      <c r="BC1080" s="99"/>
      <c r="BD1080" s="99"/>
      <c r="BE1080" s="99"/>
      <c r="BF1080" s="99"/>
      <c r="BG1080" s="99"/>
      <c r="BH1080" s="99"/>
      <c r="BI1080" s="99"/>
      <c r="BJ1080" s="99"/>
      <c r="BK1080" s="99"/>
      <c r="BL1080" s="99"/>
      <c r="BM1080" s="99"/>
      <c r="BN1080" s="99"/>
      <c r="BO1080" s="99"/>
      <c r="BP1080" s="99"/>
      <c r="BQ1080" s="99"/>
      <c r="BR1080" s="99"/>
      <c r="BS1080" s="99"/>
      <c r="BT1080" s="99"/>
      <c r="BU1080" s="99"/>
      <c r="BV1080" s="99"/>
      <c r="BW1080" s="99"/>
      <c r="BX1080" s="99"/>
      <c r="BY1080" s="99"/>
      <c r="BZ1080" s="99"/>
      <c r="CA1080" s="99"/>
      <c r="CB1080" s="99"/>
      <c r="CC1080" s="99"/>
      <c r="CD1080" s="99"/>
      <c r="CE1080" s="99"/>
      <c r="CF1080" s="99"/>
      <c r="CG1080" s="99"/>
      <c r="CH1080" s="99"/>
      <c r="CI1080" s="99"/>
      <c r="CJ1080" s="621"/>
      <c r="CK1080" s="621"/>
      <c r="CL1080" s="621"/>
    </row>
    <row r="1081" spans="27:90">
      <c r="AA1081" s="350"/>
      <c r="AB1081" s="62"/>
      <c r="AC1081" s="62"/>
      <c r="AD1081" s="62"/>
      <c r="AP1081" s="88"/>
      <c r="AQ1081" s="88"/>
      <c r="AR1081" s="88"/>
      <c r="AS1081" s="99"/>
      <c r="AT1081" s="99"/>
      <c r="AU1081" s="99"/>
      <c r="AV1081" s="99"/>
      <c r="AW1081" s="99"/>
      <c r="AX1081" s="99"/>
      <c r="AY1081" s="99"/>
      <c r="AZ1081" s="99"/>
      <c r="BA1081" s="99"/>
      <c r="BB1081" s="99"/>
      <c r="BC1081" s="99"/>
      <c r="BD1081" s="99"/>
      <c r="BE1081" s="99"/>
      <c r="BF1081" s="99"/>
      <c r="BG1081" s="99"/>
      <c r="BH1081" s="99"/>
      <c r="BI1081" s="99"/>
      <c r="BJ1081" s="99"/>
      <c r="BK1081" s="99"/>
      <c r="BL1081" s="99"/>
      <c r="BM1081" s="99"/>
      <c r="BN1081" s="99"/>
      <c r="BO1081" s="99"/>
      <c r="BP1081" s="99"/>
      <c r="BQ1081" s="99"/>
      <c r="BR1081" s="99"/>
      <c r="BS1081" s="99"/>
      <c r="BT1081" s="99"/>
      <c r="BU1081" s="99"/>
      <c r="BV1081" s="99"/>
      <c r="BW1081" s="99"/>
      <c r="BX1081" s="99"/>
      <c r="BY1081" s="99"/>
      <c r="BZ1081" s="99"/>
      <c r="CA1081" s="99"/>
      <c r="CB1081" s="99"/>
      <c r="CC1081" s="99"/>
      <c r="CD1081" s="99"/>
      <c r="CE1081" s="99"/>
      <c r="CF1081" s="99"/>
      <c r="CG1081" s="99"/>
      <c r="CH1081" s="99"/>
      <c r="CI1081" s="99"/>
      <c r="CJ1081" s="621"/>
      <c r="CK1081" s="621"/>
      <c r="CL1081" s="621"/>
    </row>
    <row r="1082" spans="27:90">
      <c r="AA1082" s="350"/>
      <c r="AB1082" s="62"/>
      <c r="AC1082" s="62"/>
      <c r="AD1082" s="62"/>
      <c r="AP1082" s="88"/>
      <c r="AQ1082" s="88"/>
      <c r="AR1082" s="88"/>
      <c r="AS1082" s="99"/>
      <c r="AT1082" s="99"/>
      <c r="AU1082" s="99"/>
      <c r="AV1082" s="99"/>
      <c r="AW1082" s="99"/>
      <c r="AX1082" s="99"/>
      <c r="AY1082" s="99"/>
      <c r="AZ1082" s="99"/>
      <c r="BA1082" s="99"/>
      <c r="BB1082" s="99"/>
      <c r="BC1082" s="99"/>
      <c r="BD1082" s="99"/>
      <c r="BE1082" s="99"/>
      <c r="BF1082" s="99"/>
      <c r="BG1082" s="99"/>
      <c r="BH1082" s="99"/>
      <c r="BI1082" s="99"/>
      <c r="BJ1082" s="99"/>
      <c r="BK1082" s="99"/>
      <c r="BL1082" s="99"/>
      <c r="BM1082" s="99"/>
      <c r="BN1082" s="99"/>
      <c r="BO1082" s="99"/>
      <c r="BP1082" s="99"/>
      <c r="BQ1082" s="99"/>
      <c r="BR1082" s="99"/>
      <c r="BS1082" s="99"/>
      <c r="BT1082" s="99"/>
      <c r="BU1082" s="99"/>
      <c r="BV1082" s="99"/>
      <c r="BW1082" s="99"/>
      <c r="BX1082" s="99"/>
      <c r="BY1082" s="99"/>
      <c r="BZ1082" s="99"/>
      <c r="CA1082" s="99"/>
      <c r="CB1082" s="99"/>
      <c r="CC1082" s="99"/>
      <c r="CD1082" s="99"/>
      <c r="CE1082" s="99"/>
      <c r="CF1082" s="99"/>
      <c r="CG1082" s="99"/>
      <c r="CH1082" s="99"/>
      <c r="CI1082" s="99"/>
      <c r="CJ1082" s="621"/>
      <c r="CK1082" s="621"/>
      <c r="CL1082" s="621"/>
    </row>
    <row r="1083" spans="27:90">
      <c r="AA1083" s="350"/>
      <c r="AB1083" s="62"/>
      <c r="AC1083" s="62"/>
      <c r="AD1083" s="62"/>
      <c r="AP1083" s="88"/>
      <c r="AQ1083" s="88"/>
      <c r="AR1083" s="88"/>
      <c r="AS1083" s="99"/>
      <c r="AT1083" s="99"/>
      <c r="AU1083" s="99"/>
      <c r="AV1083" s="99"/>
      <c r="AW1083" s="99"/>
      <c r="AX1083" s="99"/>
      <c r="AY1083" s="99"/>
      <c r="AZ1083" s="99"/>
      <c r="BA1083" s="99"/>
      <c r="BB1083" s="99"/>
      <c r="BC1083" s="99"/>
      <c r="BD1083" s="99"/>
      <c r="BE1083" s="99"/>
      <c r="BF1083" s="99"/>
      <c r="BG1083" s="99"/>
      <c r="BH1083" s="99"/>
      <c r="BI1083" s="99"/>
      <c r="BJ1083" s="99"/>
      <c r="BK1083" s="99"/>
      <c r="BL1083" s="99"/>
      <c r="BM1083" s="99"/>
      <c r="BN1083" s="99"/>
      <c r="BO1083" s="99"/>
      <c r="BP1083" s="99"/>
      <c r="BQ1083" s="99"/>
      <c r="BR1083" s="99"/>
      <c r="BS1083" s="99"/>
      <c r="BT1083" s="99"/>
      <c r="BU1083" s="99"/>
      <c r="BV1083" s="99"/>
      <c r="BW1083" s="99"/>
      <c r="BX1083" s="99"/>
      <c r="BY1083" s="99"/>
      <c r="BZ1083" s="99"/>
      <c r="CA1083" s="99"/>
      <c r="CB1083" s="99"/>
      <c r="CC1083" s="99"/>
      <c r="CD1083" s="99"/>
      <c r="CE1083" s="99"/>
      <c r="CF1083" s="99"/>
      <c r="CG1083" s="99"/>
      <c r="CH1083" s="99"/>
      <c r="CI1083" s="99"/>
      <c r="CJ1083" s="621"/>
      <c r="CK1083" s="621"/>
      <c r="CL1083" s="621"/>
    </row>
    <row r="1084" spans="27:90">
      <c r="AA1084" s="350"/>
      <c r="AB1084" s="62"/>
      <c r="AC1084" s="62"/>
      <c r="AD1084" s="62"/>
      <c r="AP1084" s="88"/>
      <c r="AQ1084" s="88"/>
      <c r="AR1084" s="88"/>
      <c r="AS1084" s="99"/>
      <c r="AT1084" s="99"/>
      <c r="AU1084" s="99"/>
      <c r="AV1084" s="99"/>
      <c r="AW1084" s="99"/>
      <c r="AX1084" s="99"/>
      <c r="AY1084" s="99"/>
      <c r="AZ1084" s="99"/>
      <c r="BA1084" s="99"/>
      <c r="BB1084" s="99"/>
      <c r="BC1084" s="99"/>
      <c r="BD1084" s="99"/>
      <c r="BE1084" s="99"/>
      <c r="BF1084" s="99"/>
      <c r="BG1084" s="99"/>
      <c r="BH1084" s="99"/>
      <c r="BI1084" s="99"/>
      <c r="BJ1084" s="99"/>
      <c r="BK1084" s="99"/>
      <c r="BL1084" s="99"/>
      <c r="BM1084" s="99"/>
      <c r="BN1084" s="99"/>
      <c r="BO1084" s="99"/>
      <c r="BP1084" s="99"/>
      <c r="BQ1084" s="99"/>
      <c r="BR1084" s="99"/>
      <c r="BS1084" s="99"/>
      <c r="BT1084" s="99"/>
      <c r="BU1084" s="99"/>
      <c r="BV1084" s="99"/>
      <c r="BW1084" s="99"/>
      <c r="BX1084" s="99"/>
      <c r="BY1084" s="99"/>
      <c r="BZ1084" s="99"/>
      <c r="CA1084" s="99"/>
      <c r="CB1084" s="99"/>
      <c r="CC1084" s="99"/>
      <c r="CD1084" s="99"/>
      <c r="CE1084" s="99"/>
      <c r="CF1084" s="99"/>
      <c r="CG1084" s="99"/>
      <c r="CH1084" s="99"/>
      <c r="CI1084" s="99"/>
      <c r="CJ1084" s="621"/>
      <c r="CK1084" s="621"/>
      <c r="CL1084" s="621"/>
    </row>
    <row r="1085" spans="27:90">
      <c r="AA1085" s="350"/>
      <c r="AB1085" s="62"/>
      <c r="AC1085" s="62"/>
      <c r="AD1085" s="62"/>
      <c r="AP1085" s="88"/>
      <c r="AQ1085" s="88"/>
      <c r="AR1085" s="88"/>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621"/>
      <c r="CK1085" s="621"/>
      <c r="CL1085" s="621"/>
    </row>
    <row r="1086" spans="27:90">
      <c r="AA1086" s="350"/>
      <c r="AB1086" s="62"/>
      <c r="AC1086" s="62"/>
      <c r="AD1086" s="62"/>
      <c r="AP1086" s="88"/>
      <c r="AQ1086" s="88"/>
      <c r="AR1086" s="88"/>
      <c r="AS1086" s="99"/>
      <c r="AT1086" s="99"/>
      <c r="AU1086" s="99"/>
      <c r="AV1086" s="99"/>
      <c r="AW1086" s="99"/>
      <c r="AX1086" s="99"/>
      <c r="AY1086" s="99"/>
      <c r="AZ1086" s="99"/>
      <c r="BA1086" s="99"/>
      <c r="BB1086" s="99"/>
      <c r="BC1086" s="99"/>
      <c r="BD1086" s="99"/>
      <c r="BE1086" s="99"/>
      <c r="BF1086" s="99"/>
      <c r="BG1086" s="99"/>
      <c r="BH1086" s="99"/>
      <c r="BI1086" s="99"/>
      <c r="BJ1086" s="99"/>
      <c r="BK1086" s="99"/>
      <c r="BL1086" s="99"/>
      <c r="BM1086" s="99"/>
      <c r="BN1086" s="99"/>
      <c r="BO1086" s="99"/>
      <c r="BP1086" s="99"/>
      <c r="BQ1086" s="99"/>
      <c r="BR1086" s="99"/>
      <c r="BS1086" s="99"/>
      <c r="BT1086" s="99"/>
      <c r="BU1086" s="99"/>
      <c r="BV1086" s="99"/>
      <c r="BW1086" s="99"/>
      <c r="BX1086" s="99"/>
      <c r="BY1086" s="99"/>
      <c r="BZ1086" s="99"/>
      <c r="CA1086" s="99"/>
      <c r="CB1086" s="99"/>
      <c r="CC1086" s="99"/>
      <c r="CD1086" s="99"/>
      <c r="CE1086" s="99"/>
      <c r="CF1086" s="99"/>
      <c r="CG1086" s="99"/>
      <c r="CH1086" s="99"/>
      <c r="CI1086" s="99"/>
      <c r="CJ1086" s="621"/>
      <c r="CK1086" s="621"/>
      <c r="CL1086" s="621"/>
    </row>
    <row r="1087" spans="27:90">
      <c r="AA1087" s="350"/>
      <c r="AB1087" s="62"/>
      <c r="AC1087" s="62"/>
      <c r="AD1087" s="62"/>
      <c r="AP1087" s="88"/>
      <c r="AQ1087" s="88"/>
      <c r="AR1087" s="88"/>
      <c r="AS1087" s="99"/>
      <c r="AT1087" s="99"/>
      <c r="AU1087" s="99"/>
      <c r="AV1087" s="99"/>
      <c r="AW1087" s="99"/>
      <c r="AX1087" s="99"/>
      <c r="AY1087" s="99"/>
      <c r="AZ1087" s="99"/>
      <c r="BA1087" s="99"/>
      <c r="BB1087" s="99"/>
      <c r="BC1087" s="99"/>
      <c r="BD1087" s="99"/>
      <c r="BE1087" s="99"/>
      <c r="BF1087" s="99"/>
      <c r="BG1087" s="99"/>
      <c r="BH1087" s="99"/>
      <c r="BI1087" s="99"/>
      <c r="BJ1087" s="99"/>
      <c r="BK1087" s="99"/>
      <c r="BL1087" s="99"/>
      <c r="BM1087" s="99"/>
      <c r="BN1087" s="99"/>
      <c r="BO1087" s="99"/>
      <c r="BP1087" s="99"/>
      <c r="BQ1087" s="99"/>
      <c r="BR1087" s="99"/>
      <c r="BS1087" s="99"/>
      <c r="BT1087" s="99"/>
      <c r="BU1087" s="99"/>
      <c r="BV1087" s="99"/>
      <c r="BW1087" s="99"/>
      <c r="BX1087" s="99"/>
      <c r="BY1087" s="99"/>
      <c r="BZ1087" s="99"/>
      <c r="CA1087" s="99"/>
      <c r="CB1087" s="99"/>
      <c r="CC1087" s="99"/>
      <c r="CD1087" s="99"/>
      <c r="CE1087" s="99"/>
      <c r="CF1087" s="99"/>
      <c r="CG1087" s="99"/>
      <c r="CH1087" s="99"/>
      <c r="CI1087" s="99"/>
      <c r="CJ1087" s="621"/>
      <c r="CK1087" s="621"/>
      <c r="CL1087" s="621"/>
    </row>
    <row r="1088" spans="27:90">
      <c r="AA1088" s="350"/>
      <c r="AB1088" s="62"/>
      <c r="AC1088" s="62"/>
      <c r="AD1088" s="62"/>
      <c r="AP1088" s="88"/>
      <c r="AQ1088" s="88"/>
      <c r="AR1088" s="88"/>
      <c r="AS1088" s="99"/>
      <c r="AT1088" s="99"/>
      <c r="AU1088" s="99"/>
      <c r="AV1088" s="99"/>
      <c r="AW1088" s="99"/>
      <c r="AX1088" s="99"/>
      <c r="AY1088" s="99"/>
      <c r="AZ1088" s="99"/>
      <c r="BA1088" s="99"/>
      <c r="BB1088" s="99"/>
      <c r="BC1088" s="99"/>
      <c r="BD1088" s="99"/>
      <c r="BE1088" s="99"/>
      <c r="BF1088" s="99"/>
      <c r="BG1088" s="99"/>
      <c r="BH1088" s="99"/>
      <c r="BI1088" s="99"/>
      <c r="BJ1088" s="99"/>
      <c r="BK1088" s="99"/>
      <c r="BL1088" s="99"/>
      <c r="BM1088" s="99"/>
      <c r="BN1088" s="99"/>
      <c r="BO1088" s="99"/>
      <c r="BP1088" s="99"/>
      <c r="BQ1088" s="99"/>
      <c r="BR1088" s="99"/>
      <c r="BS1088" s="99"/>
      <c r="BT1088" s="99"/>
      <c r="BU1088" s="99"/>
      <c r="BV1088" s="99"/>
      <c r="BW1088" s="99"/>
      <c r="BX1088" s="99"/>
      <c r="BY1088" s="99"/>
      <c r="BZ1088" s="99"/>
      <c r="CA1088" s="99"/>
      <c r="CB1088" s="99"/>
      <c r="CC1088" s="99"/>
      <c r="CD1088" s="99"/>
      <c r="CE1088" s="99"/>
      <c r="CF1088" s="99"/>
      <c r="CG1088" s="99"/>
      <c r="CH1088" s="99"/>
      <c r="CI1088" s="99"/>
      <c r="CJ1088" s="621"/>
      <c r="CK1088" s="621"/>
      <c r="CL1088" s="621"/>
    </row>
    <row r="1089" spans="27:90">
      <c r="AA1089" s="350"/>
      <c r="AB1089" s="62"/>
      <c r="AC1089" s="62"/>
      <c r="AD1089" s="62"/>
      <c r="AP1089" s="88"/>
      <c r="AQ1089" s="88"/>
      <c r="AR1089" s="88"/>
      <c r="AS1089" s="99"/>
      <c r="AT1089" s="99"/>
      <c r="AU1089" s="99"/>
      <c r="AV1089" s="99"/>
      <c r="AW1089" s="99"/>
      <c r="AX1089" s="99"/>
      <c r="AY1089" s="99"/>
      <c r="AZ1089" s="99"/>
      <c r="BA1089" s="99"/>
      <c r="BB1089" s="99"/>
      <c r="BC1089" s="99"/>
      <c r="BD1089" s="99"/>
      <c r="BE1089" s="99"/>
      <c r="BF1089" s="99"/>
      <c r="BG1089" s="99"/>
      <c r="BH1089" s="99"/>
      <c r="BI1089" s="99"/>
      <c r="BJ1089" s="99"/>
      <c r="BK1089" s="99"/>
      <c r="BL1089" s="99"/>
      <c r="BM1089" s="99"/>
      <c r="BN1089" s="99"/>
      <c r="BO1089" s="99"/>
      <c r="BP1089" s="99"/>
      <c r="BQ1089" s="99"/>
      <c r="BR1089" s="99"/>
      <c r="BS1089" s="99"/>
      <c r="BT1089" s="99"/>
      <c r="BU1089" s="99"/>
      <c r="BV1089" s="99"/>
      <c r="BW1089" s="99"/>
      <c r="BX1089" s="99"/>
      <c r="BY1089" s="99"/>
      <c r="BZ1089" s="99"/>
      <c r="CA1089" s="99"/>
      <c r="CB1089" s="99"/>
      <c r="CC1089" s="99"/>
      <c r="CD1089" s="99"/>
      <c r="CE1089" s="99"/>
      <c r="CF1089" s="99"/>
      <c r="CG1089" s="99"/>
      <c r="CH1089" s="99"/>
      <c r="CI1089" s="99"/>
      <c r="CJ1089" s="621"/>
      <c r="CK1089" s="621"/>
      <c r="CL1089" s="621"/>
    </row>
    <row r="1090" spans="27:90">
      <c r="AA1090" s="350"/>
      <c r="AB1090" s="62"/>
      <c r="AC1090" s="62"/>
      <c r="AD1090" s="62"/>
      <c r="AP1090" s="88"/>
      <c r="AQ1090" s="88"/>
      <c r="AR1090" s="88"/>
      <c r="AS1090" s="99"/>
      <c r="AT1090" s="99"/>
      <c r="AU1090" s="99"/>
      <c r="AV1090" s="99"/>
      <c r="AW1090" s="99"/>
      <c r="AX1090" s="99"/>
      <c r="AY1090" s="99"/>
      <c r="AZ1090" s="99"/>
      <c r="BA1090" s="99"/>
      <c r="BB1090" s="99"/>
      <c r="BC1090" s="99"/>
      <c r="BD1090" s="99"/>
      <c r="BE1090" s="99"/>
      <c r="BF1090" s="99"/>
      <c r="BG1090" s="99"/>
      <c r="BH1090" s="99"/>
      <c r="BI1090" s="99"/>
      <c r="BJ1090" s="99"/>
      <c r="BK1090" s="99"/>
      <c r="BL1090" s="99"/>
      <c r="BM1090" s="99"/>
      <c r="BN1090" s="99"/>
      <c r="BO1090" s="99"/>
      <c r="BP1090" s="99"/>
      <c r="BQ1090" s="99"/>
      <c r="BR1090" s="99"/>
      <c r="BS1090" s="99"/>
      <c r="BT1090" s="99"/>
      <c r="BU1090" s="99"/>
      <c r="BV1090" s="99"/>
      <c r="BW1090" s="99"/>
      <c r="BX1090" s="99"/>
      <c r="BY1090" s="99"/>
      <c r="BZ1090" s="99"/>
      <c r="CA1090" s="99"/>
      <c r="CB1090" s="99"/>
      <c r="CC1090" s="99"/>
      <c r="CD1090" s="99"/>
      <c r="CE1090" s="99"/>
      <c r="CF1090" s="99"/>
      <c r="CG1090" s="99"/>
      <c r="CH1090" s="99"/>
      <c r="CI1090" s="99"/>
      <c r="CJ1090" s="621"/>
      <c r="CK1090" s="621"/>
      <c r="CL1090" s="621"/>
    </row>
    <row r="1091" spans="27:90">
      <c r="AA1091" s="350"/>
      <c r="AB1091" s="62"/>
      <c r="AC1091" s="62"/>
      <c r="AD1091" s="62"/>
      <c r="AP1091" s="88"/>
      <c r="AQ1091" s="88"/>
      <c r="AR1091" s="88"/>
      <c r="AS1091" s="99"/>
      <c r="AT1091" s="99"/>
      <c r="AU1091" s="99"/>
      <c r="AV1091" s="99"/>
      <c r="AW1091" s="99"/>
      <c r="AX1091" s="99"/>
      <c r="AY1091" s="99"/>
      <c r="AZ1091" s="99"/>
      <c r="BA1091" s="99"/>
      <c r="BB1091" s="99"/>
      <c r="BC1091" s="99"/>
      <c r="BD1091" s="99"/>
      <c r="BE1091" s="99"/>
      <c r="BF1091" s="99"/>
      <c r="BG1091" s="99"/>
      <c r="BH1091" s="99"/>
      <c r="BI1091" s="99"/>
      <c r="BJ1091" s="99"/>
      <c r="BK1091" s="99"/>
      <c r="BL1091" s="99"/>
      <c r="BM1091" s="99"/>
      <c r="BN1091" s="99"/>
      <c r="BO1091" s="99"/>
      <c r="BP1091" s="99"/>
      <c r="BQ1091" s="99"/>
      <c r="BR1091" s="99"/>
      <c r="BS1091" s="99"/>
      <c r="BT1091" s="99"/>
      <c r="BU1091" s="99"/>
      <c r="BV1091" s="99"/>
      <c r="BW1091" s="99"/>
      <c r="BX1091" s="99"/>
      <c r="BY1091" s="99"/>
      <c r="BZ1091" s="99"/>
      <c r="CA1091" s="99"/>
      <c r="CB1091" s="99"/>
      <c r="CC1091" s="99"/>
      <c r="CD1091" s="99"/>
      <c r="CE1091" s="99"/>
      <c r="CF1091" s="99"/>
      <c r="CG1091" s="99"/>
      <c r="CH1091" s="99"/>
      <c r="CI1091" s="99"/>
      <c r="CJ1091" s="621"/>
      <c r="CK1091" s="621"/>
      <c r="CL1091" s="621"/>
    </row>
    <row r="1092" spans="27:90">
      <c r="AA1092" s="350"/>
      <c r="AB1092" s="62"/>
      <c r="AC1092" s="62"/>
      <c r="AD1092" s="62"/>
      <c r="AP1092" s="88"/>
      <c r="AQ1092" s="88"/>
      <c r="AR1092" s="88"/>
      <c r="AS1092" s="99"/>
      <c r="AT1092" s="99"/>
      <c r="AU1092" s="99"/>
      <c r="AV1092" s="99"/>
      <c r="AW1092" s="99"/>
      <c r="AX1092" s="99"/>
      <c r="AY1092" s="99"/>
      <c r="AZ1092" s="99"/>
      <c r="BA1092" s="99"/>
      <c r="BB1092" s="99"/>
      <c r="BC1092" s="99"/>
      <c r="BD1092" s="99"/>
      <c r="BE1092" s="99"/>
      <c r="BF1092" s="99"/>
      <c r="BG1092" s="99"/>
      <c r="BH1092" s="99"/>
      <c r="BI1092" s="99"/>
      <c r="BJ1092" s="99"/>
      <c r="BK1092" s="99"/>
      <c r="BL1092" s="99"/>
      <c r="BM1092" s="99"/>
      <c r="BN1092" s="99"/>
      <c r="BO1092" s="99"/>
      <c r="BP1092" s="99"/>
      <c r="BQ1092" s="99"/>
      <c r="BR1092" s="99"/>
      <c r="BS1092" s="99"/>
      <c r="BT1092" s="99"/>
      <c r="BU1092" s="99"/>
      <c r="BV1092" s="99"/>
      <c r="BW1092" s="99"/>
      <c r="BX1092" s="99"/>
      <c r="BY1092" s="99"/>
      <c r="BZ1092" s="99"/>
      <c r="CA1092" s="99"/>
      <c r="CB1092" s="99"/>
      <c r="CC1092" s="99"/>
      <c r="CD1092" s="99"/>
      <c r="CE1092" s="99"/>
      <c r="CF1092" s="99"/>
      <c r="CG1092" s="99"/>
      <c r="CH1092" s="99"/>
      <c r="CI1092" s="99"/>
      <c r="CJ1092" s="621"/>
      <c r="CK1092" s="621"/>
      <c r="CL1092" s="621"/>
    </row>
    <row r="1093" spans="27:90">
      <c r="AA1093" s="350"/>
      <c r="AB1093" s="62"/>
      <c r="AC1093" s="62"/>
      <c r="AD1093" s="62"/>
      <c r="AP1093" s="88"/>
      <c r="AQ1093" s="88"/>
      <c r="AR1093" s="88"/>
      <c r="AS1093" s="99"/>
      <c r="AT1093" s="99"/>
      <c r="AU1093" s="99"/>
      <c r="AV1093" s="99"/>
      <c r="AW1093" s="99"/>
      <c r="AX1093" s="99"/>
      <c r="AY1093" s="99"/>
      <c r="AZ1093" s="99"/>
      <c r="BA1093" s="99"/>
      <c r="BB1093" s="99"/>
      <c r="BC1093" s="99"/>
      <c r="BD1093" s="99"/>
      <c r="BE1093" s="99"/>
      <c r="BF1093" s="99"/>
      <c r="BG1093" s="99"/>
      <c r="BH1093" s="99"/>
      <c r="BI1093" s="99"/>
      <c r="BJ1093" s="99"/>
      <c r="BK1093" s="99"/>
      <c r="BL1093" s="99"/>
      <c r="BM1093" s="99"/>
      <c r="BN1093" s="99"/>
      <c r="BO1093" s="99"/>
      <c r="BP1093" s="99"/>
      <c r="BQ1093" s="99"/>
      <c r="BR1093" s="99"/>
      <c r="BS1093" s="99"/>
      <c r="BT1093" s="99"/>
      <c r="BU1093" s="99"/>
      <c r="BV1093" s="99"/>
      <c r="BW1093" s="99"/>
      <c r="BX1093" s="99"/>
      <c r="BY1093" s="99"/>
      <c r="BZ1093" s="99"/>
      <c r="CA1093" s="99"/>
      <c r="CB1093" s="99"/>
      <c r="CC1093" s="99"/>
      <c r="CD1093" s="99"/>
      <c r="CE1093" s="99"/>
      <c r="CF1093" s="99"/>
      <c r="CG1093" s="99"/>
      <c r="CH1093" s="99"/>
      <c r="CI1093" s="99"/>
      <c r="CJ1093" s="621"/>
      <c r="CK1093" s="621"/>
      <c r="CL1093" s="621"/>
    </row>
    <row r="1094" spans="27:90">
      <c r="AA1094" s="350"/>
      <c r="AB1094" s="62"/>
      <c r="AC1094" s="62"/>
      <c r="AD1094" s="62"/>
      <c r="AP1094" s="88"/>
      <c r="AQ1094" s="88"/>
      <c r="AR1094" s="88"/>
      <c r="AS1094" s="99"/>
      <c r="AT1094" s="99"/>
      <c r="AU1094" s="99"/>
      <c r="AV1094" s="99"/>
      <c r="AW1094" s="99"/>
      <c r="AX1094" s="99"/>
      <c r="AY1094" s="99"/>
      <c r="AZ1094" s="99"/>
      <c r="BA1094" s="99"/>
      <c r="BB1094" s="99"/>
      <c r="BC1094" s="99"/>
      <c r="BD1094" s="99"/>
      <c r="BE1094" s="99"/>
      <c r="BF1094" s="99"/>
      <c r="BG1094" s="99"/>
      <c r="BH1094" s="99"/>
      <c r="BI1094" s="99"/>
      <c r="BJ1094" s="99"/>
      <c r="BK1094" s="99"/>
      <c r="BL1094" s="99"/>
      <c r="BM1094" s="99"/>
      <c r="BN1094" s="99"/>
      <c r="BO1094" s="99"/>
      <c r="BP1094" s="99"/>
      <c r="BQ1094" s="99"/>
      <c r="BR1094" s="99"/>
      <c r="BS1094" s="99"/>
      <c r="BT1094" s="99"/>
      <c r="BU1094" s="99"/>
      <c r="BV1094" s="99"/>
      <c r="BW1094" s="99"/>
      <c r="BX1094" s="99"/>
      <c r="BY1094" s="99"/>
      <c r="BZ1094" s="99"/>
      <c r="CA1094" s="99"/>
      <c r="CB1094" s="99"/>
      <c r="CC1094" s="99"/>
      <c r="CD1094" s="99"/>
      <c r="CE1094" s="99"/>
      <c r="CF1094" s="99"/>
      <c r="CG1094" s="99"/>
      <c r="CH1094" s="99"/>
      <c r="CI1094" s="99"/>
      <c r="CJ1094" s="621"/>
      <c r="CK1094" s="621"/>
      <c r="CL1094" s="621"/>
    </row>
    <row r="1095" spans="27:90">
      <c r="AA1095" s="350"/>
      <c r="AB1095" s="62"/>
      <c r="AC1095" s="62"/>
      <c r="AD1095" s="62"/>
      <c r="AP1095" s="88"/>
      <c r="AQ1095" s="88"/>
      <c r="AR1095" s="88"/>
      <c r="AS1095" s="99"/>
      <c r="AT1095" s="99"/>
      <c r="AU1095" s="99"/>
      <c r="AV1095" s="99"/>
      <c r="AW1095" s="99"/>
      <c r="AX1095" s="99"/>
      <c r="AY1095" s="99"/>
      <c r="AZ1095" s="99"/>
      <c r="BA1095" s="99"/>
      <c r="BB1095" s="99"/>
      <c r="BC1095" s="99"/>
      <c r="BD1095" s="99"/>
      <c r="BE1095" s="99"/>
      <c r="BF1095" s="99"/>
      <c r="BG1095" s="99"/>
      <c r="BH1095" s="99"/>
      <c r="BI1095" s="99"/>
      <c r="BJ1095" s="99"/>
      <c r="BK1095" s="99"/>
      <c r="BL1095" s="99"/>
      <c r="BM1095" s="99"/>
      <c r="BN1095" s="99"/>
      <c r="BO1095" s="99"/>
      <c r="BP1095" s="99"/>
      <c r="BQ1095" s="99"/>
      <c r="BR1095" s="99"/>
      <c r="BS1095" s="99"/>
      <c r="BT1095" s="99"/>
      <c r="BU1095" s="99"/>
      <c r="BV1095" s="99"/>
      <c r="BW1095" s="99"/>
      <c r="BX1095" s="99"/>
      <c r="BY1095" s="99"/>
      <c r="BZ1095" s="99"/>
      <c r="CA1095" s="99"/>
      <c r="CB1095" s="99"/>
      <c r="CC1095" s="99"/>
      <c r="CD1095" s="99"/>
      <c r="CE1095" s="99"/>
      <c r="CF1095" s="99"/>
      <c r="CG1095" s="99"/>
      <c r="CH1095" s="99"/>
      <c r="CI1095" s="99"/>
      <c r="CJ1095" s="621"/>
      <c r="CK1095" s="621"/>
      <c r="CL1095" s="621"/>
    </row>
    <row r="1096" spans="27:90">
      <c r="AA1096" s="350"/>
      <c r="AB1096" s="62"/>
      <c r="AC1096" s="62"/>
      <c r="AD1096" s="62"/>
      <c r="AP1096" s="88"/>
      <c r="AQ1096" s="88"/>
      <c r="AR1096" s="88"/>
      <c r="AS1096" s="99"/>
      <c r="AT1096" s="99"/>
      <c r="AU1096" s="99"/>
      <c r="AV1096" s="99"/>
      <c r="AW1096" s="99"/>
      <c r="AX1096" s="99"/>
      <c r="AY1096" s="99"/>
      <c r="AZ1096" s="99"/>
      <c r="BA1096" s="99"/>
      <c r="BB1096" s="99"/>
      <c r="BC1096" s="99"/>
      <c r="BD1096" s="99"/>
      <c r="BE1096" s="99"/>
      <c r="BF1096" s="99"/>
      <c r="BG1096" s="99"/>
      <c r="BH1096" s="99"/>
      <c r="BI1096" s="99"/>
      <c r="BJ1096" s="99"/>
      <c r="BK1096" s="99"/>
      <c r="BL1096" s="99"/>
      <c r="BM1096" s="99"/>
      <c r="BN1096" s="99"/>
      <c r="BO1096" s="99"/>
      <c r="BP1096" s="99"/>
      <c r="BQ1096" s="99"/>
      <c r="BR1096" s="99"/>
      <c r="BS1096" s="99"/>
      <c r="BT1096" s="99"/>
      <c r="BU1096" s="99"/>
      <c r="BV1096" s="99"/>
      <c r="BW1096" s="99"/>
      <c r="BX1096" s="99"/>
      <c r="BY1096" s="99"/>
      <c r="BZ1096" s="99"/>
      <c r="CA1096" s="99"/>
      <c r="CB1096" s="99"/>
      <c r="CC1096" s="99"/>
      <c r="CD1096" s="99"/>
      <c r="CE1096" s="99"/>
      <c r="CF1096" s="99"/>
      <c r="CG1096" s="99"/>
      <c r="CH1096" s="99"/>
      <c r="CI1096" s="99"/>
      <c r="CJ1096" s="621"/>
      <c r="CK1096" s="621"/>
      <c r="CL1096" s="621"/>
    </row>
    <row r="1097" spans="27:90">
      <c r="AA1097" s="350"/>
      <c r="AB1097" s="62"/>
      <c r="AC1097" s="62"/>
      <c r="AD1097" s="62"/>
      <c r="AP1097" s="88"/>
      <c r="AQ1097" s="88"/>
      <c r="AR1097" s="88"/>
      <c r="AS1097" s="99"/>
      <c r="AT1097" s="99"/>
      <c r="AU1097" s="99"/>
      <c r="AV1097" s="99"/>
      <c r="AW1097" s="99"/>
      <c r="AX1097" s="99"/>
      <c r="AY1097" s="99"/>
      <c r="AZ1097" s="99"/>
      <c r="BA1097" s="99"/>
      <c r="BB1097" s="99"/>
      <c r="BC1097" s="99"/>
      <c r="BD1097" s="99"/>
      <c r="BE1097" s="99"/>
      <c r="BF1097" s="99"/>
      <c r="BG1097" s="99"/>
      <c r="BH1097" s="99"/>
      <c r="BI1097" s="99"/>
      <c r="BJ1097" s="99"/>
      <c r="BK1097" s="99"/>
      <c r="BL1097" s="99"/>
      <c r="BM1097" s="99"/>
      <c r="BN1097" s="99"/>
      <c r="BO1097" s="99"/>
      <c r="BP1097" s="99"/>
      <c r="BQ1097" s="99"/>
      <c r="BR1097" s="99"/>
      <c r="BS1097" s="99"/>
      <c r="BT1097" s="99"/>
      <c r="BU1097" s="99"/>
      <c r="BV1097" s="99"/>
      <c r="BW1097" s="99"/>
      <c r="BX1097" s="99"/>
      <c r="BY1097" s="99"/>
      <c r="BZ1097" s="99"/>
      <c r="CA1097" s="99"/>
      <c r="CB1097" s="99"/>
      <c r="CC1097" s="99"/>
      <c r="CD1097" s="99"/>
      <c r="CE1097" s="99"/>
      <c r="CF1097" s="99"/>
      <c r="CG1097" s="99"/>
      <c r="CH1097" s="99"/>
      <c r="CI1097" s="99"/>
      <c r="CJ1097" s="621"/>
      <c r="CK1097" s="621"/>
      <c r="CL1097" s="621"/>
    </row>
    <row r="1098" spans="27:90">
      <c r="AA1098" s="350"/>
      <c r="AB1098" s="62"/>
      <c r="AC1098" s="62"/>
      <c r="AD1098" s="62"/>
      <c r="AP1098" s="88"/>
      <c r="AQ1098" s="88"/>
      <c r="AR1098" s="88"/>
      <c r="AS1098" s="99"/>
      <c r="AT1098" s="99"/>
      <c r="AU1098" s="99"/>
      <c r="AV1098" s="99"/>
      <c r="AW1098" s="99"/>
      <c r="AX1098" s="99"/>
      <c r="AY1098" s="99"/>
      <c r="AZ1098" s="99"/>
      <c r="BA1098" s="99"/>
      <c r="BB1098" s="99"/>
      <c r="BC1098" s="99"/>
      <c r="BD1098" s="99"/>
      <c r="BE1098" s="99"/>
      <c r="BF1098" s="99"/>
      <c r="BG1098" s="99"/>
      <c r="BH1098" s="99"/>
      <c r="BI1098" s="99"/>
      <c r="BJ1098" s="99"/>
      <c r="BK1098" s="99"/>
      <c r="BL1098" s="99"/>
      <c r="BM1098" s="99"/>
      <c r="BN1098" s="99"/>
      <c r="BO1098" s="99"/>
      <c r="BP1098" s="99"/>
      <c r="BQ1098" s="99"/>
      <c r="BR1098" s="99"/>
      <c r="BS1098" s="99"/>
      <c r="BT1098" s="99"/>
      <c r="BU1098" s="99"/>
      <c r="BV1098" s="99"/>
      <c r="BW1098" s="99"/>
      <c r="BX1098" s="99"/>
      <c r="BY1098" s="99"/>
      <c r="BZ1098" s="99"/>
      <c r="CA1098" s="99"/>
      <c r="CB1098" s="99"/>
      <c r="CC1098" s="99"/>
      <c r="CD1098" s="99"/>
      <c r="CE1098" s="99"/>
      <c r="CF1098" s="99"/>
      <c r="CG1098" s="99"/>
      <c r="CH1098" s="99"/>
      <c r="CI1098" s="99"/>
      <c r="CJ1098" s="621"/>
      <c r="CK1098" s="621"/>
      <c r="CL1098" s="621"/>
    </row>
    <row r="1099" spans="27:90">
      <c r="AA1099" s="350"/>
      <c r="AB1099" s="62"/>
      <c r="AC1099" s="62"/>
      <c r="AD1099" s="62"/>
      <c r="AP1099" s="88"/>
      <c r="AQ1099" s="88"/>
      <c r="AR1099" s="88"/>
      <c r="AS1099" s="99"/>
      <c r="AT1099" s="99"/>
      <c r="AU1099" s="99"/>
      <c r="AV1099" s="99"/>
      <c r="AW1099" s="99"/>
      <c r="AX1099" s="99"/>
      <c r="AY1099" s="99"/>
      <c r="AZ1099" s="99"/>
      <c r="BA1099" s="99"/>
      <c r="BB1099" s="99"/>
      <c r="BC1099" s="99"/>
      <c r="BD1099" s="99"/>
      <c r="BE1099" s="99"/>
      <c r="BF1099" s="99"/>
      <c r="BG1099" s="99"/>
      <c r="BH1099" s="99"/>
      <c r="BI1099" s="99"/>
      <c r="BJ1099" s="99"/>
      <c r="BK1099" s="99"/>
      <c r="BL1099" s="99"/>
      <c r="BM1099" s="99"/>
      <c r="BN1099" s="99"/>
      <c r="BO1099" s="99"/>
      <c r="BP1099" s="99"/>
      <c r="BQ1099" s="99"/>
      <c r="BR1099" s="99"/>
      <c r="BS1099" s="99"/>
      <c r="BT1099" s="99"/>
      <c r="BU1099" s="99"/>
      <c r="BV1099" s="99"/>
      <c r="BW1099" s="99"/>
      <c r="BX1099" s="99"/>
      <c r="BY1099" s="99"/>
      <c r="BZ1099" s="99"/>
      <c r="CA1099" s="99"/>
      <c r="CB1099" s="99"/>
      <c r="CC1099" s="99"/>
      <c r="CD1099" s="99"/>
      <c r="CE1099" s="99"/>
      <c r="CF1099" s="99"/>
      <c r="CG1099" s="99"/>
      <c r="CH1099" s="99"/>
      <c r="CI1099" s="99"/>
      <c r="CJ1099" s="621"/>
      <c r="CK1099" s="621"/>
      <c r="CL1099" s="621"/>
    </row>
    <row r="1100" spans="27:90">
      <c r="AA1100" s="350"/>
      <c r="AB1100" s="62"/>
      <c r="AC1100" s="62"/>
      <c r="AD1100" s="62"/>
      <c r="AP1100" s="88"/>
      <c r="AQ1100" s="88"/>
      <c r="AR1100" s="88"/>
      <c r="AS1100" s="99"/>
      <c r="AT1100" s="99"/>
      <c r="AU1100" s="99"/>
      <c r="AV1100" s="99"/>
      <c r="AW1100" s="99"/>
      <c r="AX1100" s="99"/>
      <c r="AY1100" s="99"/>
      <c r="AZ1100" s="99"/>
      <c r="BA1100" s="99"/>
      <c r="BB1100" s="99"/>
      <c r="BC1100" s="99"/>
      <c r="BD1100" s="99"/>
      <c r="BE1100" s="99"/>
      <c r="BF1100" s="99"/>
      <c r="BG1100" s="99"/>
      <c r="BH1100" s="99"/>
      <c r="BI1100" s="99"/>
      <c r="BJ1100" s="99"/>
      <c r="BK1100" s="99"/>
      <c r="BL1100" s="99"/>
      <c r="BM1100" s="99"/>
      <c r="BN1100" s="99"/>
      <c r="BO1100" s="99"/>
      <c r="BP1100" s="99"/>
      <c r="BQ1100" s="99"/>
      <c r="BR1100" s="99"/>
      <c r="BS1100" s="99"/>
      <c r="BT1100" s="99"/>
      <c r="BU1100" s="99"/>
      <c r="BV1100" s="99"/>
      <c r="BW1100" s="99"/>
      <c r="BX1100" s="99"/>
      <c r="BY1100" s="99"/>
      <c r="BZ1100" s="99"/>
      <c r="CA1100" s="99"/>
      <c r="CB1100" s="99"/>
      <c r="CC1100" s="99"/>
      <c r="CD1100" s="99"/>
      <c r="CE1100" s="99"/>
      <c r="CF1100" s="99"/>
      <c r="CG1100" s="99"/>
      <c r="CH1100" s="99"/>
      <c r="CI1100" s="99"/>
      <c r="CJ1100" s="621"/>
      <c r="CK1100" s="621"/>
      <c r="CL1100" s="621"/>
    </row>
    <row r="1101" spans="27:90">
      <c r="AA1101" s="350"/>
      <c r="AB1101" s="62"/>
      <c r="AC1101" s="62"/>
      <c r="AD1101" s="62"/>
      <c r="AP1101" s="88"/>
      <c r="AQ1101" s="88"/>
      <c r="AR1101" s="88"/>
      <c r="AS1101" s="99"/>
      <c r="AT1101" s="99"/>
      <c r="AU1101" s="99"/>
      <c r="AV1101" s="99"/>
      <c r="AW1101" s="99"/>
      <c r="AX1101" s="99"/>
      <c r="AY1101" s="99"/>
      <c r="AZ1101" s="99"/>
      <c r="BA1101" s="99"/>
      <c r="BB1101" s="99"/>
      <c r="BC1101" s="99"/>
      <c r="BD1101" s="99"/>
      <c r="BE1101" s="99"/>
      <c r="BF1101" s="99"/>
      <c r="BG1101" s="99"/>
      <c r="BH1101" s="99"/>
      <c r="BI1101" s="99"/>
      <c r="BJ1101" s="99"/>
      <c r="BK1101" s="99"/>
      <c r="BL1101" s="99"/>
      <c r="BM1101" s="99"/>
      <c r="BN1101" s="99"/>
      <c r="BO1101" s="99"/>
      <c r="BP1101" s="99"/>
      <c r="BQ1101" s="99"/>
      <c r="BR1101" s="99"/>
      <c r="BS1101" s="99"/>
      <c r="BT1101" s="99"/>
      <c r="BU1101" s="99"/>
      <c r="BV1101" s="99"/>
      <c r="BW1101" s="99"/>
      <c r="BX1101" s="99"/>
      <c r="BY1101" s="99"/>
      <c r="BZ1101" s="99"/>
      <c r="CA1101" s="99"/>
      <c r="CB1101" s="99"/>
      <c r="CC1101" s="99"/>
      <c r="CD1101" s="99"/>
      <c r="CE1101" s="99"/>
      <c r="CF1101" s="99"/>
      <c r="CG1101" s="99"/>
      <c r="CH1101" s="99"/>
      <c r="CI1101" s="99"/>
      <c r="CJ1101" s="621"/>
      <c r="CK1101" s="621"/>
      <c r="CL1101" s="621"/>
    </row>
    <row r="1102" spans="27:90">
      <c r="AA1102" s="350"/>
      <c r="AB1102" s="62"/>
      <c r="AC1102" s="62"/>
      <c r="AD1102" s="62"/>
      <c r="AP1102" s="88"/>
      <c r="AQ1102" s="88"/>
      <c r="AR1102" s="88"/>
      <c r="AS1102" s="99"/>
      <c r="AT1102" s="99"/>
      <c r="AU1102" s="99"/>
      <c r="AV1102" s="99"/>
      <c r="AW1102" s="99"/>
      <c r="AX1102" s="99"/>
      <c r="AY1102" s="99"/>
      <c r="AZ1102" s="99"/>
      <c r="BA1102" s="99"/>
      <c r="BB1102" s="99"/>
      <c r="BC1102" s="99"/>
      <c r="BD1102" s="99"/>
      <c r="BE1102" s="99"/>
      <c r="BF1102" s="99"/>
      <c r="BG1102" s="99"/>
      <c r="BH1102" s="99"/>
      <c r="BI1102" s="99"/>
      <c r="BJ1102" s="99"/>
      <c r="BK1102" s="99"/>
      <c r="BL1102" s="99"/>
      <c r="BM1102" s="99"/>
      <c r="BN1102" s="99"/>
      <c r="BO1102" s="99"/>
      <c r="BP1102" s="99"/>
      <c r="BQ1102" s="99"/>
      <c r="BR1102" s="99"/>
      <c r="BS1102" s="99"/>
      <c r="BT1102" s="99"/>
      <c r="BU1102" s="99"/>
      <c r="BV1102" s="99"/>
      <c r="BW1102" s="99"/>
      <c r="BX1102" s="99"/>
      <c r="BY1102" s="99"/>
      <c r="BZ1102" s="99"/>
      <c r="CA1102" s="99"/>
      <c r="CB1102" s="99"/>
      <c r="CC1102" s="99"/>
      <c r="CD1102" s="99"/>
      <c r="CE1102" s="99"/>
      <c r="CF1102" s="99"/>
      <c r="CG1102" s="99"/>
      <c r="CH1102" s="99"/>
      <c r="CI1102" s="99"/>
      <c r="CJ1102" s="621"/>
      <c r="CK1102" s="621"/>
      <c r="CL1102" s="621"/>
    </row>
    <row r="1103" spans="27:90">
      <c r="AA1103" s="350"/>
      <c r="AB1103" s="62"/>
      <c r="AC1103" s="62"/>
      <c r="AD1103" s="62"/>
      <c r="AP1103" s="88"/>
      <c r="AQ1103" s="88"/>
      <c r="AR1103" s="88"/>
      <c r="AS1103" s="99"/>
      <c r="AT1103" s="99"/>
      <c r="AU1103" s="99"/>
      <c r="AV1103" s="99"/>
      <c r="AW1103" s="99"/>
      <c r="AX1103" s="99"/>
      <c r="AY1103" s="99"/>
      <c r="AZ1103" s="99"/>
      <c r="BA1103" s="99"/>
      <c r="BB1103" s="99"/>
      <c r="BC1103" s="99"/>
      <c r="BD1103" s="99"/>
      <c r="BE1103" s="99"/>
      <c r="BF1103" s="99"/>
      <c r="BG1103" s="99"/>
      <c r="BH1103" s="99"/>
      <c r="BI1103" s="99"/>
      <c r="BJ1103" s="99"/>
      <c r="BK1103" s="99"/>
      <c r="BL1103" s="99"/>
      <c r="BM1103" s="99"/>
      <c r="BN1103" s="99"/>
      <c r="BO1103" s="99"/>
      <c r="BP1103" s="99"/>
      <c r="BQ1103" s="99"/>
      <c r="BR1103" s="99"/>
      <c r="BS1103" s="99"/>
      <c r="BT1103" s="99"/>
      <c r="BU1103" s="99"/>
      <c r="BV1103" s="99"/>
      <c r="BW1103" s="99"/>
      <c r="BX1103" s="99"/>
      <c r="BY1103" s="99"/>
      <c r="BZ1103" s="99"/>
      <c r="CA1103" s="99"/>
      <c r="CB1103" s="99"/>
      <c r="CC1103" s="99"/>
      <c r="CD1103" s="99"/>
      <c r="CE1103" s="99"/>
      <c r="CF1103" s="99"/>
      <c r="CG1103" s="99"/>
      <c r="CH1103" s="99"/>
      <c r="CI1103" s="99"/>
      <c r="CJ1103" s="621"/>
      <c r="CK1103" s="621"/>
      <c r="CL1103" s="621"/>
    </row>
    <row r="1104" spans="27:90">
      <c r="AA1104" s="350"/>
      <c r="AB1104" s="62"/>
      <c r="AC1104" s="62"/>
      <c r="AD1104" s="62"/>
      <c r="AP1104" s="88"/>
      <c r="AQ1104" s="88"/>
      <c r="AR1104" s="88"/>
      <c r="AS1104" s="99"/>
      <c r="AT1104" s="99"/>
      <c r="AU1104" s="99"/>
      <c r="AV1104" s="99"/>
      <c r="AW1104" s="99"/>
      <c r="AX1104" s="99"/>
      <c r="AY1104" s="99"/>
      <c r="AZ1104" s="99"/>
      <c r="BA1104" s="99"/>
      <c r="BB1104" s="99"/>
      <c r="BC1104" s="99"/>
      <c r="BD1104" s="99"/>
      <c r="BE1104" s="99"/>
      <c r="BF1104" s="99"/>
      <c r="BG1104" s="99"/>
      <c r="BH1104" s="99"/>
      <c r="BI1104" s="99"/>
      <c r="BJ1104" s="99"/>
      <c r="BK1104" s="99"/>
      <c r="BL1104" s="99"/>
      <c r="BM1104" s="99"/>
      <c r="BN1104" s="99"/>
      <c r="BO1104" s="99"/>
      <c r="BP1104" s="99"/>
      <c r="BQ1104" s="99"/>
      <c r="BR1104" s="99"/>
      <c r="BS1104" s="99"/>
      <c r="BT1104" s="99"/>
      <c r="BU1104" s="99"/>
      <c r="BV1104" s="99"/>
      <c r="BW1104" s="99"/>
      <c r="BX1104" s="99"/>
      <c r="BY1104" s="99"/>
      <c r="BZ1104" s="99"/>
      <c r="CA1104" s="99"/>
      <c r="CB1104" s="99"/>
      <c r="CC1104" s="99"/>
      <c r="CD1104" s="99"/>
      <c r="CE1104" s="99"/>
      <c r="CF1104" s="99"/>
      <c r="CG1104" s="99"/>
      <c r="CH1104" s="99"/>
      <c r="CI1104" s="99"/>
      <c r="CJ1104" s="621"/>
      <c r="CK1104" s="621"/>
      <c r="CL1104" s="621"/>
    </row>
    <row r="1105" spans="27:90">
      <c r="AA1105" s="350"/>
      <c r="AB1105" s="62"/>
      <c r="AC1105" s="62"/>
      <c r="AD1105" s="62"/>
      <c r="AP1105" s="88"/>
      <c r="AQ1105" s="88"/>
      <c r="AR1105" s="88"/>
      <c r="AS1105" s="99"/>
      <c r="AT1105" s="99"/>
      <c r="AU1105" s="99"/>
      <c r="AV1105" s="99"/>
      <c r="AW1105" s="99"/>
      <c r="AX1105" s="99"/>
      <c r="AY1105" s="99"/>
      <c r="AZ1105" s="99"/>
      <c r="BA1105" s="99"/>
      <c r="BB1105" s="99"/>
      <c r="BC1105" s="99"/>
      <c r="BD1105" s="99"/>
      <c r="BE1105" s="99"/>
      <c r="BF1105" s="99"/>
      <c r="BG1105" s="99"/>
      <c r="BH1105" s="99"/>
      <c r="BI1105" s="99"/>
      <c r="BJ1105" s="99"/>
      <c r="BK1105" s="99"/>
      <c r="BL1105" s="99"/>
      <c r="BM1105" s="99"/>
      <c r="BN1105" s="99"/>
      <c r="BO1105" s="99"/>
      <c r="BP1105" s="99"/>
      <c r="BQ1105" s="99"/>
      <c r="BR1105" s="99"/>
      <c r="BS1105" s="99"/>
      <c r="BT1105" s="99"/>
      <c r="BU1105" s="99"/>
      <c r="BV1105" s="99"/>
      <c r="BW1105" s="99"/>
      <c r="BX1105" s="99"/>
      <c r="BY1105" s="99"/>
      <c r="BZ1105" s="99"/>
      <c r="CA1105" s="99"/>
      <c r="CB1105" s="99"/>
      <c r="CC1105" s="99"/>
      <c r="CD1105" s="99"/>
      <c r="CE1105" s="99"/>
      <c r="CF1105" s="99"/>
      <c r="CG1105" s="99"/>
      <c r="CH1105" s="99"/>
      <c r="CI1105" s="99"/>
      <c r="CJ1105" s="621"/>
      <c r="CK1105" s="621"/>
      <c r="CL1105" s="621"/>
    </row>
    <row r="1106" spans="27:90">
      <c r="AA1106" s="350"/>
      <c r="AB1106" s="62"/>
      <c r="AC1106" s="62"/>
      <c r="AD1106" s="62"/>
      <c r="AP1106" s="88"/>
      <c r="AQ1106" s="88"/>
      <c r="AR1106" s="88"/>
      <c r="AS1106" s="99"/>
      <c r="AT1106" s="99"/>
      <c r="AU1106" s="99"/>
      <c r="AV1106" s="99"/>
      <c r="AW1106" s="99"/>
      <c r="AX1106" s="99"/>
      <c r="AY1106" s="99"/>
      <c r="AZ1106" s="99"/>
      <c r="BA1106" s="99"/>
      <c r="BB1106" s="99"/>
      <c r="BC1106" s="99"/>
      <c r="BD1106" s="99"/>
      <c r="BE1106" s="99"/>
      <c r="BF1106" s="99"/>
      <c r="BG1106" s="99"/>
      <c r="BH1106" s="99"/>
      <c r="BI1106" s="99"/>
      <c r="BJ1106" s="99"/>
      <c r="BK1106" s="99"/>
      <c r="BL1106" s="99"/>
      <c r="BM1106" s="99"/>
      <c r="BN1106" s="99"/>
      <c r="BO1106" s="99"/>
      <c r="BP1106" s="99"/>
      <c r="BQ1106" s="99"/>
      <c r="BR1106" s="99"/>
      <c r="BS1106" s="99"/>
      <c r="BT1106" s="99"/>
      <c r="BU1106" s="99"/>
      <c r="BV1106" s="99"/>
      <c r="BW1106" s="99"/>
      <c r="BX1106" s="99"/>
      <c r="BY1106" s="99"/>
      <c r="BZ1106" s="99"/>
      <c r="CA1106" s="99"/>
      <c r="CB1106" s="99"/>
      <c r="CC1106" s="99"/>
      <c r="CD1106" s="99"/>
      <c r="CE1106" s="99"/>
      <c r="CF1106" s="99"/>
      <c r="CG1106" s="99"/>
      <c r="CH1106" s="99"/>
      <c r="CI1106" s="99"/>
      <c r="CJ1106" s="621"/>
      <c r="CK1106" s="621"/>
      <c r="CL1106" s="621"/>
    </row>
    <row r="1107" spans="27:90">
      <c r="AA1107" s="350"/>
      <c r="AB1107" s="62"/>
      <c r="AC1107" s="62"/>
      <c r="AD1107" s="62"/>
      <c r="AP1107" s="88"/>
      <c r="AQ1107" s="88"/>
      <c r="AR1107" s="88"/>
      <c r="AS1107" s="99"/>
      <c r="AT1107" s="99"/>
      <c r="AU1107" s="99"/>
      <c r="AV1107" s="99"/>
      <c r="AW1107" s="99"/>
      <c r="AX1107" s="99"/>
      <c r="AY1107" s="99"/>
      <c r="AZ1107" s="99"/>
      <c r="BA1107" s="99"/>
      <c r="BB1107" s="99"/>
      <c r="BC1107" s="99"/>
      <c r="BD1107" s="99"/>
      <c r="BE1107" s="99"/>
      <c r="BF1107" s="99"/>
      <c r="BG1107" s="99"/>
      <c r="BH1107" s="99"/>
      <c r="BI1107" s="99"/>
      <c r="BJ1107" s="99"/>
      <c r="BK1107" s="99"/>
      <c r="BL1107" s="99"/>
      <c r="BM1107" s="99"/>
      <c r="BN1107" s="99"/>
      <c r="BO1107" s="99"/>
      <c r="BP1107" s="99"/>
      <c r="BQ1107" s="99"/>
      <c r="BR1107" s="99"/>
      <c r="BS1107" s="99"/>
      <c r="BT1107" s="99"/>
      <c r="BU1107" s="99"/>
      <c r="BV1107" s="99"/>
      <c r="BW1107" s="99"/>
      <c r="BX1107" s="99"/>
      <c r="BY1107" s="99"/>
      <c r="BZ1107" s="99"/>
      <c r="CA1107" s="99"/>
      <c r="CB1107" s="99"/>
      <c r="CC1107" s="99"/>
      <c r="CD1107" s="99"/>
      <c r="CE1107" s="99"/>
      <c r="CF1107" s="99"/>
      <c r="CG1107" s="99"/>
      <c r="CH1107" s="99"/>
      <c r="CI1107" s="99"/>
      <c r="CJ1107" s="621"/>
      <c r="CK1107" s="621"/>
      <c r="CL1107" s="621"/>
    </row>
    <row r="1108" spans="27:90">
      <c r="AA1108" s="350"/>
      <c r="AB1108" s="62"/>
      <c r="AC1108" s="62"/>
      <c r="AD1108" s="62"/>
      <c r="AP1108" s="88"/>
      <c r="AQ1108" s="88"/>
      <c r="AR1108" s="88"/>
      <c r="AS1108" s="99"/>
      <c r="AT1108" s="99"/>
      <c r="AU1108" s="99"/>
      <c r="AV1108" s="99"/>
      <c r="AW1108" s="99"/>
      <c r="AX1108" s="99"/>
      <c r="AY1108" s="99"/>
      <c r="AZ1108" s="99"/>
      <c r="BA1108" s="99"/>
      <c r="BB1108" s="99"/>
      <c r="BC1108" s="99"/>
      <c r="BD1108" s="99"/>
      <c r="BE1108" s="99"/>
      <c r="BF1108" s="99"/>
      <c r="BG1108" s="99"/>
      <c r="BH1108" s="99"/>
      <c r="BI1108" s="99"/>
      <c r="BJ1108" s="99"/>
      <c r="BK1108" s="99"/>
      <c r="BL1108" s="99"/>
      <c r="BM1108" s="99"/>
      <c r="BN1108" s="99"/>
      <c r="BO1108" s="99"/>
      <c r="BP1108" s="99"/>
      <c r="BQ1108" s="99"/>
      <c r="BR1108" s="99"/>
      <c r="BS1108" s="99"/>
      <c r="BT1108" s="99"/>
      <c r="BU1108" s="99"/>
      <c r="BV1108" s="99"/>
      <c r="BW1108" s="99"/>
      <c r="BX1108" s="99"/>
      <c r="BY1108" s="99"/>
      <c r="BZ1108" s="99"/>
      <c r="CA1108" s="99"/>
      <c r="CB1108" s="99"/>
      <c r="CC1108" s="99"/>
      <c r="CD1108" s="99"/>
      <c r="CE1108" s="99"/>
      <c r="CF1108" s="99"/>
      <c r="CG1108" s="99"/>
      <c r="CH1108" s="99"/>
      <c r="CI1108" s="99"/>
      <c r="CJ1108" s="621"/>
      <c r="CK1108" s="621"/>
      <c r="CL1108" s="621"/>
    </row>
    <row r="1109" spans="27:90">
      <c r="AA1109" s="350"/>
      <c r="AB1109" s="62"/>
      <c r="AC1109" s="62"/>
      <c r="AD1109" s="62"/>
      <c r="AP1109" s="88"/>
      <c r="AQ1109" s="88"/>
      <c r="AR1109" s="88"/>
      <c r="AS1109" s="99"/>
      <c r="AT1109" s="99"/>
      <c r="AU1109" s="99"/>
      <c r="AV1109" s="99"/>
      <c r="AW1109" s="99"/>
      <c r="AX1109" s="99"/>
      <c r="AY1109" s="99"/>
      <c r="AZ1109" s="99"/>
      <c r="BA1109" s="99"/>
      <c r="BB1109" s="99"/>
      <c r="BC1109" s="99"/>
      <c r="BD1109" s="99"/>
      <c r="BE1109" s="99"/>
      <c r="BF1109" s="99"/>
      <c r="BG1109" s="99"/>
      <c r="BH1109" s="99"/>
      <c r="BI1109" s="99"/>
      <c r="BJ1109" s="99"/>
      <c r="BK1109" s="99"/>
      <c r="BL1109" s="99"/>
      <c r="BM1109" s="99"/>
      <c r="BN1109" s="99"/>
      <c r="BO1109" s="99"/>
      <c r="BP1109" s="99"/>
      <c r="BQ1109" s="99"/>
      <c r="BR1109" s="99"/>
      <c r="BS1109" s="99"/>
      <c r="BT1109" s="99"/>
      <c r="BU1109" s="99"/>
      <c r="BV1109" s="99"/>
      <c r="BW1109" s="99"/>
      <c r="BX1109" s="99"/>
      <c r="BY1109" s="99"/>
      <c r="BZ1109" s="99"/>
      <c r="CA1109" s="99"/>
      <c r="CB1109" s="99"/>
      <c r="CC1109" s="99"/>
      <c r="CD1109" s="99"/>
      <c r="CE1109" s="99"/>
      <c r="CF1109" s="99"/>
      <c r="CG1109" s="99"/>
      <c r="CH1109" s="99"/>
      <c r="CI1109" s="99"/>
      <c r="CJ1109" s="621"/>
      <c r="CK1109" s="621"/>
      <c r="CL1109" s="621"/>
    </row>
    <row r="1110" spans="27:90">
      <c r="AA1110" s="350"/>
      <c r="AB1110" s="62"/>
      <c r="AC1110" s="62"/>
      <c r="AD1110" s="62"/>
      <c r="AP1110" s="88"/>
      <c r="AQ1110" s="88"/>
      <c r="AR1110" s="88"/>
      <c r="AS1110" s="99"/>
      <c r="AT1110" s="99"/>
      <c r="AU1110" s="99"/>
      <c r="AV1110" s="99"/>
      <c r="AW1110" s="99"/>
      <c r="AX1110" s="99"/>
      <c r="AY1110" s="99"/>
      <c r="AZ1110" s="99"/>
      <c r="BA1110" s="99"/>
      <c r="BB1110" s="99"/>
      <c r="BC1110" s="99"/>
      <c r="BD1110" s="99"/>
      <c r="BE1110" s="99"/>
      <c r="BF1110" s="99"/>
      <c r="BG1110" s="99"/>
      <c r="BH1110" s="99"/>
      <c r="BI1110" s="99"/>
      <c r="BJ1110" s="99"/>
      <c r="BK1110" s="99"/>
      <c r="BL1110" s="99"/>
      <c r="BM1110" s="99"/>
      <c r="BN1110" s="99"/>
      <c r="BO1110" s="99"/>
      <c r="BP1110" s="99"/>
      <c r="BQ1110" s="99"/>
      <c r="BR1110" s="99"/>
      <c r="BS1110" s="99"/>
      <c r="BT1110" s="99"/>
      <c r="BU1110" s="99"/>
      <c r="BV1110" s="99"/>
      <c r="BW1110" s="99"/>
      <c r="BX1110" s="99"/>
      <c r="BY1110" s="99"/>
      <c r="BZ1110" s="99"/>
      <c r="CA1110" s="99"/>
      <c r="CB1110" s="99"/>
      <c r="CC1110" s="99"/>
      <c r="CD1110" s="99"/>
      <c r="CE1110" s="99"/>
      <c r="CF1110" s="99"/>
      <c r="CG1110" s="99"/>
      <c r="CH1110" s="99"/>
      <c r="CI1110" s="99"/>
      <c r="CJ1110" s="621"/>
      <c r="CK1110" s="621"/>
      <c r="CL1110" s="621"/>
    </row>
    <row r="1111" spans="27:90">
      <c r="AA1111" s="350"/>
      <c r="AB1111" s="62"/>
      <c r="AC1111" s="62"/>
      <c r="AD1111" s="62"/>
      <c r="AP1111" s="88"/>
      <c r="AQ1111" s="88"/>
      <c r="AR1111" s="88"/>
      <c r="AS1111" s="99"/>
      <c r="AT1111" s="99"/>
      <c r="AU1111" s="99"/>
      <c r="AV1111" s="99"/>
      <c r="AW1111" s="99"/>
      <c r="AX1111" s="99"/>
      <c r="AY1111" s="99"/>
      <c r="AZ1111" s="99"/>
      <c r="BA1111" s="99"/>
      <c r="BB1111" s="99"/>
      <c r="BC1111" s="99"/>
      <c r="BD1111" s="99"/>
      <c r="BE1111" s="99"/>
      <c r="BF1111" s="99"/>
      <c r="BG1111" s="99"/>
      <c r="BH1111" s="99"/>
      <c r="BI1111" s="99"/>
      <c r="BJ1111" s="99"/>
      <c r="BK1111" s="99"/>
      <c r="BL1111" s="99"/>
      <c r="BM1111" s="99"/>
      <c r="BN1111" s="99"/>
      <c r="BO1111" s="99"/>
      <c r="BP1111" s="99"/>
      <c r="BQ1111" s="99"/>
      <c r="BR1111" s="99"/>
      <c r="BS1111" s="99"/>
      <c r="BT1111" s="99"/>
      <c r="BU1111" s="99"/>
      <c r="BV1111" s="99"/>
      <c r="BW1111" s="99"/>
      <c r="BX1111" s="99"/>
      <c r="BY1111" s="99"/>
      <c r="BZ1111" s="99"/>
      <c r="CA1111" s="99"/>
      <c r="CB1111" s="99"/>
      <c r="CC1111" s="99"/>
      <c r="CD1111" s="99"/>
      <c r="CE1111" s="99"/>
      <c r="CF1111" s="99"/>
      <c r="CG1111" s="99"/>
      <c r="CH1111" s="99"/>
      <c r="CI1111" s="99"/>
      <c r="CJ1111" s="621"/>
      <c r="CK1111" s="621"/>
      <c r="CL1111" s="621"/>
    </row>
    <row r="1112" spans="27:90">
      <c r="AA1112" s="350"/>
      <c r="AB1112" s="62"/>
      <c r="AC1112" s="62"/>
      <c r="AD1112" s="62"/>
      <c r="AP1112" s="88"/>
      <c r="AQ1112" s="88"/>
      <c r="AR1112" s="88"/>
      <c r="AS1112" s="99"/>
      <c r="AT1112" s="99"/>
      <c r="AU1112" s="99"/>
      <c r="AV1112" s="99"/>
      <c r="AW1112" s="99"/>
      <c r="AX1112" s="99"/>
      <c r="AY1112" s="99"/>
      <c r="AZ1112" s="99"/>
      <c r="BA1112" s="99"/>
      <c r="BB1112" s="99"/>
      <c r="BC1112" s="99"/>
      <c r="BD1112" s="99"/>
      <c r="BE1112" s="99"/>
      <c r="BF1112" s="99"/>
      <c r="BG1112" s="99"/>
      <c r="BH1112" s="99"/>
      <c r="BI1112" s="99"/>
      <c r="BJ1112" s="99"/>
      <c r="BK1112" s="99"/>
      <c r="BL1112" s="99"/>
      <c r="BM1112" s="99"/>
      <c r="BN1112" s="99"/>
      <c r="BO1112" s="99"/>
      <c r="BP1112" s="99"/>
      <c r="BQ1112" s="99"/>
      <c r="BR1112" s="99"/>
      <c r="BS1112" s="99"/>
      <c r="BT1112" s="99"/>
      <c r="BU1112" s="99"/>
      <c r="BV1112" s="99"/>
      <c r="BW1112" s="99"/>
      <c r="BX1112" s="99"/>
      <c r="BY1112" s="99"/>
      <c r="BZ1112" s="99"/>
      <c r="CA1112" s="99"/>
      <c r="CB1112" s="99"/>
      <c r="CC1112" s="99"/>
      <c r="CD1112" s="99"/>
      <c r="CE1112" s="99"/>
      <c r="CF1112" s="99"/>
      <c r="CG1112" s="99"/>
      <c r="CH1112" s="99"/>
      <c r="CI1112" s="99"/>
      <c r="CJ1112" s="621"/>
      <c r="CK1112" s="621"/>
      <c r="CL1112" s="621"/>
    </row>
    <row r="1113" spans="27:90">
      <c r="AA1113" s="350"/>
      <c r="AB1113" s="62"/>
      <c r="AC1113" s="62"/>
      <c r="AD1113" s="62"/>
      <c r="AP1113" s="88"/>
      <c r="AQ1113" s="88"/>
      <c r="AR1113" s="88"/>
      <c r="AS1113" s="99"/>
      <c r="AT1113" s="99"/>
      <c r="AU1113" s="99"/>
      <c r="AV1113" s="99"/>
      <c r="AW1113" s="99"/>
      <c r="AX1113" s="99"/>
      <c r="AY1113" s="99"/>
      <c r="AZ1113" s="99"/>
      <c r="BA1113" s="99"/>
      <c r="BB1113" s="99"/>
      <c r="BC1113" s="99"/>
      <c r="BD1113" s="99"/>
      <c r="BE1113" s="99"/>
      <c r="BF1113" s="99"/>
      <c r="BG1113" s="99"/>
      <c r="BH1113" s="99"/>
      <c r="BI1113" s="99"/>
      <c r="BJ1113" s="99"/>
      <c r="BK1113" s="99"/>
      <c r="BL1113" s="99"/>
      <c r="BM1113" s="99"/>
      <c r="BN1113" s="99"/>
      <c r="BO1113" s="99"/>
      <c r="BP1113" s="99"/>
      <c r="BQ1113" s="99"/>
      <c r="BR1113" s="99"/>
      <c r="BS1113" s="99"/>
      <c r="BT1113" s="99"/>
      <c r="BU1113" s="99"/>
      <c r="BV1113" s="99"/>
      <c r="BW1113" s="99"/>
      <c r="BX1113" s="99"/>
      <c r="BY1113" s="99"/>
      <c r="BZ1113" s="99"/>
      <c r="CA1113" s="99"/>
      <c r="CB1113" s="99"/>
      <c r="CC1113" s="99"/>
      <c r="CD1113" s="99"/>
      <c r="CE1113" s="99"/>
      <c r="CF1113" s="99"/>
      <c r="CG1113" s="99"/>
      <c r="CH1113" s="99"/>
      <c r="CI1113" s="99"/>
      <c r="CJ1113" s="621"/>
      <c r="CK1113" s="621"/>
      <c r="CL1113" s="621"/>
    </row>
    <row r="1114" spans="27:90">
      <c r="AA1114" s="350"/>
      <c r="AB1114" s="62"/>
      <c r="AC1114" s="62"/>
      <c r="AD1114" s="62"/>
      <c r="AP1114" s="88"/>
      <c r="AQ1114" s="88"/>
      <c r="AR1114" s="88"/>
      <c r="AS1114" s="99"/>
      <c r="AT1114" s="99"/>
      <c r="AU1114" s="99"/>
      <c r="AV1114" s="99"/>
      <c r="AW1114" s="99"/>
      <c r="AX1114" s="99"/>
      <c r="AY1114" s="99"/>
      <c r="AZ1114" s="99"/>
      <c r="BA1114" s="99"/>
      <c r="BB1114" s="99"/>
      <c r="BC1114" s="99"/>
      <c r="BD1114" s="99"/>
      <c r="BE1114" s="99"/>
      <c r="BF1114" s="99"/>
      <c r="BG1114" s="99"/>
      <c r="BH1114" s="99"/>
      <c r="BI1114" s="99"/>
      <c r="BJ1114" s="99"/>
      <c r="BK1114" s="99"/>
      <c r="BL1114" s="99"/>
      <c r="BM1114" s="99"/>
      <c r="BN1114" s="99"/>
      <c r="BO1114" s="99"/>
      <c r="BP1114" s="99"/>
      <c r="BQ1114" s="99"/>
      <c r="BR1114" s="99"/>
      <c r="BS1114" s="99"/>
      <c r="BT1114" s="99"/>
      <c r="BU1114" s="99"/>
      <c r="BV1114" s="99"/>
      <c r="BW1114" s="99"/>
      <c r="BX1114" s="99"/>
      <c r="BY1114" s="99"/>
      <c r="BZ1114" s="99"/>
      <c r="CA1114" s="99"/>
      <c r="CB1114" s="99"/>
      <c r="CC1114" s="99"/>
      <c r="CD1114" s="99"/>
      <c r="CE1114" s="99"/>
      <c r="CF1114" s="99"/>
      <c r="CG1114" s="99"/>
      <c r="CH1114" s="99"/>
      <c r="CI1114" s="99"/>
      <c r="CJ1114" s="621"/>
      <c r="CK1114" s="621"/>
      <c r="CL1114" s="621"/>
    </row>
    <row r="1115" spans="27:90">
      <c r="AA1115" s="350"/>
      <c r="AB1115" s="62"/>
      <c r="AC1115" s="62"/>
      <c r="AD1115" s="62"/>
      <c r="AP1115" s="88"/>
      <c r="AQ1115" s="88"/>
      <c r="AR1115" s="88"/>
      <c r="AS1115" s="99"/>
      <c r="AT1115" s="99"/>
      <c r="AU1115" s="99"/>
      <c r="AV1115" s="99"/>
      <c r="AW1115" s="99"/>
      <c r="AX1115" s="99"/>
      <c r="AY1115" s="99"/>
      <c r="AZ1115" s="99"/>
      <c r="BA1115" s="99"/>
      <c r="BB1115" s="99"/>
      <c r="BC1115" s="99"/>
      <c r="BD1115" s="99"/>
      <c r="BE1115" s="99"/>
      <c r="BF1115" s="99"/>
      <c r="BG1115" s="99"/>
      <c r="BH1115" s="99"/>
      <c r="BI1115" s="99"/>
      <c r="BJ1115" s="99"/>
      <c r="BK1115" s="99"/>
      <c r="BL1115" s="99"/>
      <c r="BM1115" s="99"/>
      <c r="BN1115" s="99"/>
      <c r="BO1115" s="99"/>
      <c r="BP1115" s="99"/>
      <c r="BQ1115" s="99"/>
      <c r="BR1115" s="99"/>
      <c r="BS1115" s="99"/>
      <c r="BT1115" s="99"/>
      <c r="BU1115" s="99"/>
      <c r="BV1115" s="99"/>
      <c r="BW1115" s="99"/>
      <c r="BX1115" s="99"/>
      <c r="BY1115" s="99"/>
      <c r="BZ1115" s="99"/>
      <c r="CA1115" s="99"/>
      <c r="CB1115" s="99"/>
      <c r="CC1115" s="99"/>
      <c r="CD1115" s="99"/>
      <c r="CE1115" s="99"/>
      <c r="CF1115" s="99"/>
      <c r="CG1115" s="99"/>
      <c r="CH1115" s="99"/>
      <c r="CI1115" s="99"/>
      <c r="CJ1115" s="621"/>
      <c r="CK1115" s="621"/>
      <c r="CL1115" s="621"/>
    </row>
    <row r="1116" spans="27:90">
      <c r="AA1116" s="350"/>
      <c r="AB1116" s="62"/>
      <c r="AC1116" s="62"/>
      <c r="AD1116" s="62"/>
      <c r="AP1116" s="88"/>
      <c r="AQ1116" s="88"/>
      <c r="AR1116" s="88"/>
      <c r="AS1116" s="99"/>
      <c r="AT1116" s="99"/>
      <c r="AU1116" s="99"/>
      <c r="AV1116" s="99"/>
      <c r="AW1116" s="99"/>
      <c r="AX1116" s="99"/>
      <c r="AY1116" s="99"/>
      <c r="AZ1116" s="99"/>
      <c r="BA1116" s="99"/>
      <c r="BB1116" s="99"/>
      <c r="BC1116" s="99"/>
      <c r="BD1116" s="99"/>
      <c r="BE1116" s="99"/>
      <c r="BF1116" s="99"/>
      <c r="BG1116" s="99"/>
      <c r="BH1116" s="99"/>
      <c r="BI1116" s="99"/>
      <c r="BJ1116" s="99"/>
      <c r="BK1116" s="99"/>
      <c r="BL1116" s="99"/>
      <c r="BM1116" s="99"/>
      <c r="BN1116" s="99"/>
      <c r="BO1116" s="99"/>
      <c r="BP1116" s="99"/>
      <c r="BQ1116" s="99"/>
      <c r="BR1116" s="99"/>
      <c r="BS1116" s="99"/>
      <c r="BT1116" s="99"/>
      <c r="BU1116" s="99"/>
      <c r="BV1116" s="99"/>
      <c r="BW1116" s="99"/>
      <c r="BX1116" s="99"/>
      <c r="BY1116" s="99"/>
      <c r="BZ1116" s="99"/>
      <c r="CA1116" s="99"/>
      <c r="CB1116" s="99"/>
      <c r="CC1116" s="99"/>
      <c r="CD1116" s="99"/>
      <c r="CE1116" s="99"/>
      <c r="CF1116" s="99"/>
      <c r="CG1116" s="99"/>
      <c r="CH1116" s="99"/>
      <c r="CI1116" s="99"/>
      <c r="CJ1116" s="621"/>
      <c r="CK1116" s="621"/>
      <c r="CL1116" s="621"/>
    </row>
    <row r="1117" spans="27:90">
      <c r="AA1117" s="350"/>
      <c r="AB1117" s="62"/>
      <c r="AC1117" s="62"/>
      <c r="AD1117" s="62"/>
      <c r="AP1117" s="88"/>
      <c r="AQ1117" s="88"/>
      <c r="AR1117" s="88"/>
      <c r="AS1117" s="99"/>
      <c r="AT1117" s="99"/>
      <c r="AU1117" s="99"/>
      <c r="AV1117" s="99"/>
      <c r="AW1117" s="99"/>
      <c r="AX1117" s="99"/>
      <c r="AY1117" s="99"/>
      <c r="AZ1117" s="99"/>
      <c r="BA1117" s="99"/>
      <c r="BB1117" s="99"/>
      <c r="BC1117" s="99"/>
      <c r="BD1117" s="99"/>
      <c r="BE1117" s="99"/>
      <c r="BF1117" s="99"/>
      <c r="BG1117" s="99"/>
      <c r="BH1117" s="99"/>
      <c r="BI1117" s="99"/>
      <c r="BJ1117" s="99"/>
      <c r="BK1117" s="99"/>
      <c r="BL1117" s="99"/>
      <c r="BM1117" s="99"/>
      <c r="BN1117" s="99"/>
      <c r="BO1117" s="99"/>
      <c r="BP1117" s="99"/>
      <c r="BQ1117" s="99"/>
      <c r="BR1117" s="99"/>
      <c r="BS1117" s="99"/>
      <c r="BT1117" s="99"/>
      <c r="BU1117" s="99"/>
      <c r="BV1117" s="99"/>
      <c r="BW1117" s="99"/>
      <c r="BX1117" s="99"/>
      <c r="BY1117" s="99"/>
      <c r="BZ1117" s="99"/>
      <c r="CA1117" s="99"/>
      <c r="CB1117" s="99"/>
      <c r="CC1117" s="99"/>
      <c r="CD1117" s="99"/>
      <c r="CE1117" s="99"/>
      <c r="CF1117" s="99"/>
      <c r="CG1117" s="99"/>
      <c r="CH1117" s="99"/>
      <c r="CI1117" s="99"/>
      <c r="CJ1117" s="621"/>
      <c r="CK1117" s="621"/>
      <c r="CL1117" s="621"/>
    </row>
    <row r="1118" spans="27:90">
      <c r="AA1118" s="350"/>
      <c r="AB1118" s="62"/>
      <c r="AC1118" s="62"/>
      <c r="AD1118" s="62"/>
      <c r="AP1118" s="88"/>
      <c r="AQ1118" s="88"/>
      <c r="AR1118" s="88"/>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621"/>
      <c r="CK1118" s="621"/>
      <c r="CL1118" s="621"/>
    </row>
    <row r="1119" spans="27:90">
      <c r="AA1119" s="350"/>
      <c r="AB1119" s="62"/>
      <c r="AC1119" s="62"/>
      <c r="AD1119" s="62"/>
      <c r="AP1119" s="88"/>
      <c r="AQ1119" s="88"/>
      <c r="AR1119" s="88"/>
      <c r="AS1119" s="99"/>
      <c r="AT1119" s="99"/>
      <c r="AU1119" s="99"/>
      <c r="AV1119" s="99"/>
      <c r="AW1119" s="99"/>
      <c r="AX1119" s="99"/>
      <c r="AY1119" s="99"/>
      <c r="AZ1119" s="99"/>
      <c r="BA1119" s="99"/>
      <c r="BB1119" s="99"/>
      <c r="BC1119" s="99"/>
      <c r="BD1119" s="99"/>
      <c r="BE1119" s="99"/>
      <c r="BF1119" s="99"/>
      <c r="BG1119" s="99"/>
      <c r="BH1119" s="99"/>
      <c r="BI1119" s="99"/>
      <c r="BJ1119" s="99"/>
      <c r="BK1119" s="99"/>
      <c r="BL1119" s="99"/>
      <c r="BM1119" s="99"/>
      <c r="BN1119" s="99"/>
      <c r="BO1119" s="99"/>
      <c r="BP1119" s="99"/>
      <c r="BQ1119" s="99"/>
      <c r="BR1119" s="99"/>
      <c r="BS1119" s="99"/>
      <c r="BT1119" s="99"/>
      <c r="BU1119" s="99"/>
      <c r="BV1119" s="99"/>
      <c r="BW1119" s="99"/>
      <c r="BX1119" s="99"/>
      <c r="BY1119" s="99"/>
      <c r="BZ1119" s="99"/>
      <c r="CA1119" s="99"/>
      <c r="CB1119" s="99"/>
      <c r="CC1119" s="99"/>
      <c r="CD1119" s="99"/>
      <c r="CE1119" s="99"/>
      <c r="CF1119" s="99"/>
      <c r="CG1119" s="99"/>
      <c r="CH1119" s="99"/>
      <c r="CI1119" s="99"/>
      <c r="CJ1119" s="621"/>
      <c r="CK1119" s="621"/>
      <c r="CL1119" s="621"/>
    </row>
    <row r="1120" spans="27:90">
      <c r="AA1120" s="350"/>
      <c r="AB1120" s="62"/>
      <c r="AC1120" s="62"/>
      <c r="AD1120" s="62"/>
      <c r="AP1120" s="88"/>
      <c r="AQ1120" s="88"/>
      <c r="AR1120" s="88"/>
      <c r="AS1120" s="99"/>
      <c r="AT1120" s="99"/>
      <c r="AU1120" s="99"/>
      <c r="AV1120" s="99"/>
      <c r="AW1120" s="99"/>
      <c r="AX1120" s="99"/>
      <c r="AY1120" s="99"/>
      <c r="AZ1120" s="99"/>
      <c r="BA1120" s="99"/>
      <c r="BB1120" s="99"/>
      <c r="BC1120" s="99"/>
      <c r="BD1120" s="99"/>
      <c r="BE1120" s="99"/>
      <c r="BF1120" s="99"/>
      <c r="BG1120" s="99"/>
      <c r="BH1120" s="99"/>
      <c r="BI1120" s="99"/>
      <c r="BJ1120" s="99"/>
      <c r="BK1120" s="99"/>
      <c r="BL1120" s="99"/>
      <c r="BM1120" s="99"/>
      <c r="BN1120" s="99"/>
      <c r="BO1120" s="99"/>
      <c r="BP1120" s="99"/>
      <c r="BQ1120" s="99"/>
      <c r="BR1120" s="99"/>
      <c r="BS1120" s="99"/>
      <c r="BT1120" s="99"/>
      <c r="BU1120" s="99"/>
      <c r="BV1120" s="99"/>
      <c r="BW1120" s="99"/>
      <c r="BX1120" s="99"/>
      <c r="BY1120" s="99"/>
      <c r="BZ1120" s="99"/>
      <c r="CA1120" s="99"/>
      <c r="CB1120" s="99"/>
      <c r="CC1120" s="99"/>
      <c r="CD1120" s="99"/>
      <c r="CE1120" s="99"/>
      <c r="CF1120" s="99"/>
      <c r="CG1120" s="99"/>
      <c r="CH1120" s="99"/>
      <c r="CI1120" s="99"/>
      <c r="CJ1120" s="621"/>
      <c r="CK1120" s="621"/>
      <c r="CL1120" s="621"/>
    </row>
    <row r="1121" spans="27:90">
      <c r="AA1121" s="350"/>
      <c r="AB1121" s="62"/>
      <c r="AC1121" s="62"/>
      <c r="AD1121" s="62"/>
      <c r="AP1121" s="88"/>
      <c r="AQ1121" s="88"/>
      <c r="AR1121" s="88"/>
      <c r="AS1121" s="99"/>
      <c r="AT1121" s="99"/>
      <c r="AU1121" s="99"/>
      <c r="AV1121" s="99"/>
      <c r="AW1121" s="99"/>
      <c r="AX1121" s="99"/>
      <c r="AY1121" s="99"/>
      <c r="AZ1121" s="99"/>
      <c r="BA1121" s="99"/>
      <c r="BB1121" s="99"/>
      <c r="BC1121" s="99"/>
      <c r="BD1121" s="99"/>
      <c r="BE1121" s="99"/>
      <c r="BF1121" s="99"/>
      <c r="BG1121" s="99"/>
      <c r="BH1121" s="99"/>
      <c r="BI1121" s="99"/>
      <c r="BJ1121" s="99"/>
      <c r="BK1121" s="99"/>
      <c r="BL1121" s="99"/>
      <c r="BM1121" s="99"/>
      <c r="BN1121" s="99"/>
      <c r="BO1121" s="99"/>
      <c r="BP1121" s="99"/>
      <c r="BQ1121" s="99"/>
      <c r="BR1121" s="99"/>
      <c r="BS1121" s="99"/>
      <c r="BT1121" s="99"/>
      <c r="BU1121" s="99"/>
      <c r="BV1121" s="99"/>
      <c r="BW1121" s="99"/>
      <c r="BX1121" s="99"/>
      <c r="BY1121" s="99"/>
      <c r="BZ1121" s="99"/>
      <c r="CA1121" s="99"/>
      <c r="CB1121" s="99"/>
      <c r="CC1121" s="99"/>
      <c r="CD1121" s="99"/>
      <c r="CE1121" s="99"/>
      <c r="CF1121" s="99"/>
      <c r="CG1121" s="99"/>
      <c r="CH1121" s="99"/>
      <c r="CI1121" s="99"/>
      <c r="CJ1121" s="621"/>
      <c r="CK1121" s="621"/>
      <c r="CL1121" s="621"/>
    </row>
    <row r="1122" spans="27:90">
      <c r="AA1122" s="350"/>
      <c r="AB1122" s="62"/>
      <c r="AC1122" s="62"/>
      <c r="AD1122" s="62"/>
      <c r="AP1122" s="88"/>
      <c r="AQ1122" s="88"/>
      <c r="AR1122" s="88"/>
      <c r="AS1122" s="99"/>
      <c r="AT1122" s="99"/>
      <c r="AU1122" s="99"/>
      <c r="AV1122" s="99"/>
      <c r="AW1122" s="99"/>
      <c r="AX1122" s="99"/>
      <c r="AY1122" s="99"/>
      <c r="AZ1122" s="99"/>
      <c r="BA1122" s="99"/>
      <c r="BB1122" s="99"/>
      <c r="BC1122" s="99"/>
      <c r="BD1122" s="99"/>
      <c r="BE1122" s="99"/>
      <c r="BF1122" s="99"/>
      <c r="BG1122" s="99"/>
      <c r="BH1122" s="99"/>
      <c r="BI1122" s="99"/>
      <c r="BJ1122" s="99"/>
      <c r="BK1122" s="99"/>
      <c r="BL1122" s="99"/>
      <c r="BM1122" s="99"/>
      <c r="BN1122" s="99"/>
      <c r="BO1122" s="99"/>
      <c r="BP1122" s="99"/>
      <c r="BQ1122" s="99"/>
      <c r="BR1122" s="99"/>
      <c r="BS1122" s="99"/>
      <c r="BT1122" s="99"/>
      <c r="BU1122" s="99"/>
      <c r="BV1122" s="99"/>
      <c r="BW1122" s="99"/>
      <c r="BX1122" s="99"/>
      <c r="BY1122" s="99"/>
      <c r="BZ1122" s="99"/>
      <c r="CA1122" s="99"/>
      <c r="CB1122" s="99"/>
      <c r="CC1122" s="99"/>
      <c r="CD1122" s="99"/>
      <c r="CE1122" s="99"/>
      <c r="CF1122" s="99"/>
      <c r="CG1122" s="99"/>
      <c r="CH1122" s="99"/>
      <c r="CI1122" s="99"/>
      <c r="CJ1122" s="621"/>
      <c r="CK1122" s="621"/>
      <c r="CL1122" s="621"/>
    </row>
    <row r="1123" spans="27:90">
      <c r="AA1123" s="350"/>
      <c r="AB1123" s="62"/>
      <c r="AC1123" s="62"/>
      <c r="AD1123" s="62"/>
      <c r="AP1123" s="88"/>
      <c r="AQ1123" s="88"/>
      <c r="AR1123" s="88"/>
      <c r="AS1123" s="99"/>
      <c r="AT1123" s="99"/>
      <c r="AU1123" s="99"/>
      <c r="AV1123" s="99"/>
      <c r="AW1123" s="99"/>
      <c r="AX1123" s="99"/>
      <c r="AY1123" s="99"/>
      <c r="AZ1123" s="99"/>
      <c r="BA1123" s="99"/>
      <c r="BB1123" s="99"/>
      <c r="BC1123" s="99"/>
      <c r="BD1123" s="99"/>
      <c r="BE1123" s="99"/>
      <c r="BF1123" s="99"/>
      <c r="BG1123" s="99"/>
      <c r="BH1123" s="99"/>
      <c r="BI1123" s="99"/>
      <c r="BJ1123" s="99"/>
      <c r="BK1123" s="99"/>
      <c r="BL1123" s="99"/>
      <c r="BM1123" s="99"/>
      <c r="BN1123" s="99"/>
      <c r="BO1123" s="99"/>
      <c r="BP1123" s="99"/>
      <c r="BQ1123" s="99"/>
      <c r="BR1123" s="99"/>
      <c r="BS1123" s="99"/>
      <c r="BT1123" s="99"/>
      <c r="BU1123" s="99"/>
      <c r="BV1123" s="99"/>
      <c r="BW1123" s="99"/>
      <c r="BX1123" s="99"/>
      <c r="BY1123" s="99"/>
      <c r="BZ1123" s="99"/>
      <c r="CA1123" s="99"/>
      <c r="CB1123" s="99"/>
      <c r="CC1123" s="99"/>
      <c r="CD1123" s="99"/>
      <c r="CE1123" s="99"/>
      <c r="CF1123" s="99"/>
      <c r="CG1123" s="99"/>
      <c r="CH1123" s="99"/>
      <c r="CI1123" s="99"/>
      <c r="CJ1123" s="621"/>
      <c r="CK1123" s="621"/>
      <c r="CL1123" s="621"/>
    </row>
    <row r="1124" spans="27:90">
      <c r="AA1124" s="350"/>
      <c r="AB1124" s="62"/>
      <c r="AC1124" s="62"/>
      <c r="AD1124" s="62"/>
      <c r="AP1124" s="88"/>
      <c r="AQ1124" s="88"/>
      <c r="AR1124" s="88"/>
      <c r="AS1124" s="99"/>
      <c r="AT1124" s="99"/>
      <c r="AU1124" s="99"/>
      <c r="AV1124" s="99"/>
      <c r="AW1124" s="99"/>
      <c r="AX1124" s="99"/>
      <c r="AY1124" s="99"/>
      <c r="AZ1124" s="99"/>
      <c r="BA1124" s="99"/>
      <c r="BB1124" s="99"/>
      <c r="BC1124" s="99"/>
      <c r="BD1124" s="99"/>
      <c r="BE1124" s="99"/>
      <c r="BF1124" s="99"/>
      <c r="BG1124" s="99"/>
      <c r="BH1124" s="99"/>
      <c r="BI1124" s="99"/>
      <c r="BJ1124" s="99"/>
      <c r="BK1124" s="99"/>
      <c r="BL1124" s="99"/>
      <c r="BM1124" s="99"/>
      <c r="BN1124" s="99"/>
      <c r="BO1124" s="99"/>
      <c r="BP1124" s="99"/>
      <c r="BQ1124" s="99"/>
      <c r="BR1124" s="99"/>
      <c r="BS1124" s="99"/>
      <c r="BT1124" s="99"/>
      <c r="BU1124" s="99"/>
      <c r="BV1124" s="99"/>
      <c r="BW1124" s="99"/>
      <c r="BX1124" s="99"/>
      <c r="BY1124" s="99"/>
      <c r="BZ1124" s="99"/>
      <c r="CA1124" s="99"/>
      <c r="CB1124" s="99"/>
      <c r="CC1124" s="99"/>
      <c r="CD1124" s="99"/>
      <c r="CE1124" s="99"/>
      <c r="CF1124" s="99"/>
      <c r="CG1124" s="99"/>
      <c r="CH1124" s="99"/>
      <c r="CI1124" s="99"/>
      <c r="CJ1124" s="621"/>
      <c r="CK1124" s="621"/>
      <c r="CL1124" s="621"/>
    </row>
    <row r="1125" spans="27:90">
      <c r="AA1125" s="350"/>
      <c r="AB1125" s="62"/>
      <c r="AC1125" s="62"/>
      <c r="AD1125" s="62"/>
      <c r="AP1125" s="88"/>
      <c r="AQ1125" s="88"/>
      <c r="AR1125" s="88"/>
      <c r="AS1125" s="99"/>
      <c r="AT1125" s="99"/>
      <c r="AU1125" s="99"/>
      <c r="AV1125" s="99"/>
      <c r="AW1125" s="99"/>
      <c r="AX1125" s="99"/>
      <c r="AY1125" s="99"/>
      <c r="AZ1125" s="99"/>
      <c r="BA1125" s="99"/>
      <c r="BB1125" s="99"/>
      <c r="BC1125" s="99"/>
      <c r="BD1125" s="99"/>
      <c r="BE1125" s="99"/>
      <c r="BF1125" s="99"/>
      <c r="BG1125" s="99"/>
      <c r="BH1125" s="99"/>
      <c r="BI1125" s="99"/>
      <c r="BJ1125" s="99"/>
      <c r="BK1125" s="99"/>
      <c r="BL1125" s="99"/>
      <c r="BM1125" s="99"/>
      <c r="BN1125" s="99"/>
      <c r="BO1125" s="99"/>
      <c r="BP1125" s="99"/>
      <c r="BQ1125" s="99"/>
      <c r="BR1125" s="99"/>
      <c r="BS1125" s="99"/>
      <c r="BT1125" s="99"/>
      <c r="BU1125" s="99"/>
      <c r="BV1125" s="99"/>
      <c r="BW1125" s="99"/>
      <c r="BX1125" s="99"/>
      <c r="BY1125" s="99"/>
      <c r="BZ1125" s="99"/>
      <c r="CA1125" s="99"/>
      <c r="CB1125" s="99"/>
      <c r="CC1125" s="99"/>
      <c r="CD1125" s="99"/>
      <c r="CE1125" s="99"/>
      <c r="CF1125" s="99"/>
      <c r="CG1125" s="99"/>
      <c r="CH1125" s="99"/>
      <c r="CI1125" s="99"/>
      <c r="CJ1125" s="621"/>
      <c r="CK1125" s="621"/>
      <c r="CL1125" s="621"/>
    </row>
    <row r="1126" spans="27:90">
      <c r="AA1126" s="350"/>
      <c r="AB1126" s="62"/>
      <c r="AC1126" s="62"/>
      <c r="AD1126" s="62"/>
      <c r="AP1126" s="88"/>
      <c r="AQ1126" s="88"/>
      <c r="AR1126" s="88"/>
      <c r="AS1126" s="99"/>
      <c r="AT1126" s="99"/>
      <c r="AU1126" s="99"/>
      <c r="AV1126" s="99"/>
      <c r="AW1126" s="99"/>
      <c r="AX1126" s="99"/>
      <c r="AY1126" s="99"/>
      <c r="AZ1126" s="99"/>
      <c r="BA1126" s="99"/>
      <c r="BB1126" s="99"/>
      <c r="BC1126" s="99"/>
      <c r="BD1126" s="99"/>
      <c r="BE1126" s="99"/>
      <c r="BF1126" s="99"/>
      <c r="BG1126" s="99"/>
      <c r="BH1126" s="99"/>
      <c r="BI1126" s="99"/>
      <c r="BJ1126" s="99"/>
      <c r="BK1126" s="99"/>
      <c r="BL1126" s="99"/>
      <c r="BM1126" s="99"/>
      <c r="BN1126" s="99"/>
      <c r="BO1126" s="99"/>
      <c r="BP1126" s="99"/>
      <c r="BQ1126" s="99"/>
      <c r="BR1126" s="99"/>
      <c r="BS1126" s="99"/>
      <c r="BT1126" s="99"/>
      <c r="BU1126" s="99"/>
      <c r="BV1126" s="99"/>
      <c r="BW1126" s="99"/>
      <c r="BX1126" s="99"/>
      <c r="BY1126" s="99"/>
      <c r="BZ1126" s="99"/>
      <c r="CA1126" s="99"/>
      <c r="CB1126" s="99"/>
      <c r="CC1126" s="99"/>
      <c r="CD1126" s="99"/>
      <c r="CE1126" s="99"/>
      <c r="CF1126" s="99"/>
      <c r="CG1126" s="99"/>
      <c r="CH1126" s="99"/>
      <c r="CI1126" s="99"/>
      <c r="CJ1126" s="621"/>
      <c r="CK1126" s="621"/>
      <c r="CL1126" s="621"/>
    </row>
    <row r="1127" spans="27:90">
      <c r="AA1127" s="350"/>
      <c r="AB1127" s="62"/>
      <c r="AC1127" s="62"/>
      <c r="AD1127" s="62"/>
      <c r="AP1127" s="88"/>
      <c r="AQ1127" s="88"/>
      <c r="AR1127" s="88"/>
      <c r="AS1127" s="99"/>
      <c r="AT1127" s="99"/>
      <c r="AU1127" s="99"/>
      <c r="AV1127" s="99"/>
      <c r="AW1127" s="99"/>
      <c r="AX1127" s="99"/>
      <c r="AY1127" s="99"/>
      <c r="AZ1127" s="99"/>
      <c r="BA1127" s="99"/>
      <c r="BB1127" s="99"/>
      <c r="BC1127" s="99"/>
      <c r="BD1127" s="99"/>
      <c r="BE1127" s="99"/>
      <c r="BF1127" s="99"/>
      <c r="BG1127" s="99"/>
      <c r="BH1127" s="99"/>
      <c r="BI1127" s="99"/>
      <c r="BJ1127" s="99"/>
      <c r="BK1127" s="99"/>
      <c r="BL1127" s="99"/>
      <c r="BM1127" s="99"/>
      <c r="BN1127" s="99"/>
      <c r="BO1127" s="99"/>
      <c r="BP1127" s="99"/>
      <c r="BQ1127" s="99"/>
      <c r="BR1127" s="99"/>
      <c r="BS1127" s="99"/>
      <c r="BT1127" s="99"/>
      <c r="BU1127" s="99"/>
      <c r="BV1127" s="99"/>
      <c r="BW1127" s="99"/>
      <c r="BX1127" s="99"/>
      <c r="BY1127" s="99"/>
      <c r="BZ1127" s="99"/>
      <c r="CA1127" s="99"/>
      <c r="CB1127" s="99"/>
      <c r="CC1127" s="99"/>
      <c r="CD1127" s="99"/>
      <c r="CE1127" s="99"/>
      <c r="CF1127" s="99"/>
      <c r="CG1127" s="99"/>
      <c r="CH1127" s="99"/>
      <c r="CI1127" s="99"/>
      <c r="CJ1127" s="621"/>
      <c r="CK1127" s="621"/>
      <c r="CL1127" s="621"/>
    </row>
    <row r="1128" spans="27:90">
      <c r="AA1128" s="350"/>
      <c r="AB1128" s="62"/>
      <c r="AC1128" s="62"/>
      <c r="AD1128" s="62"/>
      <c r="AP1128" s="88"/>
      <c r="AQ1128" s="88"/>
      <c r="AR1128" s="88"/>
      <c r="AS1128" s="99"/>
      <c r="AT1128" s="99"/>
      <c r="AU1128" s="99"/>
      <c r="AV1128" s="99"/>
      <c r="AW1128" s="99"/>
      <c r="AX1128" s="99"/>
      <c r="AY1128" s="99"/>
      <c r="AZ1128" s="99"/>
      <c r="BA1128" s="99"/>
      <c r="BB1128" s="99"/>
      <c r="BC1128" s="99"/>
      <c r="BD1128" s="99"/>
      <c r="BE1128" s="99"/>
      <c r="BF1128" s="99"/>
      <c r="BG1128" s="99"/>
      <c r="BH1128" s="99"/>
      <c r="BI1128" s="99"/>
      <c r="BJ1128" s="99"/>
      <c r="BK1128" s="99"/>
      <c r="BL1128" s="99"/>
      <c r="BM1128" s="99"/>
      <c r="BN1128" s="99"/>
      <c r="BO1128" s="99"/>
      <c r="BP1128" s="99"/>
      <c r="BQ1128" s="99"/>
      <c r="BR1128" s="99"/>
      <c r="BS1128" s="99"/>
      <c r="BT1128" s="99"/>
      <c r="BU1128" s="99"/>
      <c r="BV1128" s="99"/>
      <c r="BW1128" s="99"/>
      <c r="BX1128" s="99"/>
      <c r="BY1128" s="99"/>
      <c r="BZ1128" s="99"/>
      <c r="CA1128" s="99"/>
      <c r="CB1128" s="99"/>
      <c r="CC1128" s="99"/>
      <c r="CD1128" s="99"/>
      <c r="CE1128" s="99"/>
      <c r="CF1128" s="99"/>
      <c r="CG1128" s="99"/>
      <c r="CH1128" s="99"/>
      <c r="CI1128" s="99"/>
      <c r="CJ1128" s="621"/>
      <c r="CK1128" s="621"/>
      <c r="CL1128" s="621"/>
    </row>
    <row r="1129" spans="27:90">
      <c r="AA1129" s="350"/>
      <c r="AB1129" s="62"/>
      <c r="AC1129" s="62"/>
      <c r="AD1129" s="62"/>
      <c r="AP1129" s="88"/>
      <c r="AQ1129" s="88"/>
      <c r="AR1129" s="88"/>
      <c r="AS1129" s="99"/>
      <c r="AT1129" s="99"/>
      <c r="AU1129" s="99"/>
      <c r="AV1129" s="99"/>
      <c r="AW1129" s="99"/>
      <c r="AX1129" s="99"/>
      <c r="AY1129" s="99"/>
      <c r="AZ1129" s="99"/>
      <c r="BA1129" s="99"/>
      <c r="BB1129" s="99"/>
      <c r="BC1129" s="99"/>
      <c r="BD1129" s="99"/>
      <c r="BE1129" s="99"/>
      <c r="BF1129" s="99"/>
      <c r="BG1129" s="99"/>
      <c r="BH1129" s="99"/>
      <c r="BI1129" s="99"/>
      <c r="BJ1129" s="99"/>
      <c r="BK1129" s="99"/>
      <c r="BL1129" s="99"/>
      <c r="BM1129" s="99"/>
      <c r="BN1129" s="99"/>
      <c r="BO1129" s="99"/>
      <c r="BP1129" s="99"/>
      <c r="BQ1129" s="99"/>
      <c r="BR1129" s="99"/>
      <c r="BS1129" s="99"/>
      <c r="BT1129" s="99"/>
      <c r="BU1129" s="99"/>
      <c r="BV1129" s="99"/>
      <c r="BW1129" s="99"/>
      <c r="BX1129" s="99"/>
      <c r="BY1129" s="99"/>
      <c r="BZ1129" s="99"/>
      <c r="CA1129" s="99"/>
      <c r="CB1129" s="99"/>
      <c r="CC1129" s="99"/>
      <c r="CD1129" s="99"/>
      <c r="CE1129" s="99"/>
      <c r="CF1129" s="99"/>
      <c r="CG1129" s="99"/>
      <c r="CH1129" s="99"/>
      <c r="CI1129" s="99"/>
      <c r="CJ1129" s="621"/>
      <c r="CK1129" s="621"/>
      <c r="CL1129" s="621"/>
    </row>
    <row r="1130" spans="27:90">
      <c r="AA1130" s="350"/>
      <c r="AB1130" s="62"/>
      <c r="AC1130" s="62"/>
      <c r="AD1130" s="62"/>
      <c r="AP1130" s="88"/>
      <c r="AQ1130" s="88"/>
      <c r="AR1130" s="88"/>
      <c r="AS1130" s="99"/>
      <c r="AT1130" s="99"/>
      <c r="AU1130" s="99"/>
      <c r="AV1130" s="99"/>
      <c r="AW1130" s="99"/>
      <c r="AX1130" s="99"/>
      <c r="AY1130" s="99"/>
      <c r="AZ1130" s="99"/>
      <c r="BA1130" s="99"/>
      <c r="BB1130" s="99"/>
      <c r="BC1130" s="99"/>
      <c r="BD1130" s="99"/>
      <c r="BE1130" s="99"/>
      <c r="BF1130" s="99"/>
      <c r="BG1130" s="99"/>
      <c r="BH1130" s="99"/>
      <c r="BI1130" s="99"/>
      <c r="BJ1130" s="99"/>
      <c r="BK1130" s="99"/>
      <c r="BL1130" s="99"/>
      <c r="BM1130" s="99"/>
      <c r="BN1130" s="99"/>
      <c r="BO1130" s="99"/>
      <c r="BP1130" s="99"/>
      <c r="BQ1130" s="99"/>
      <c r="BR1130" s="99"/>
      <c r="BS1130" s="99"/>
      <c r="BT1130" s="99"/>
      <c r="BU1130" s="99"/>
      <c r="BV1130" s="99"/>
      <c r="BW1130" s="99"/>
      <c r="BX1130" s="99"/>
      <c r="BY1130" s="99"/>
      <c r="BZ1130" s="99"/>
      <c r="CA1130" s="99"/>
      <c r="CB1130" s="99"/>
      <c r="CC1130" s="99"/>
      <c r="CD1130" s="99"/>
      <c r="CE1130" s="99"/>
      <c r="CF1130" s="99"/>
      <c r="CG1130" s="99"/>
      <c r="CH1130" s="99"/>
      <c r="CI1130" s="99"/>
      <c r="CJ1130" s="621"/>
      <c r="CK1130" s="621"/>
      <c r="CL1130" s="621"/>
    </row>
    <row r="1131" spans="27:90">
      <c r="AA1131" s="350"/>
      <c r="AB1131" s="62"/>
      <c r="AC1131" s="62"/>
      <c r="AD1131" s="62"/>
      <c r="AP1131" s="88"/>
      <c r="AQ1131" s="88"/>
      <c r="AR1131" s="88"/>
      <c r="AS1131" s="99"/>
      <c r="AT1131" s="99"/>
      <c r="AU1131" s="99"/>
      <c r="AV1131" s="99"/>
      <c r="AW1131" s="99"/>
      <c r="AX1131" s="99"/>
      <c r="AY1131" s="99"/>
      <c r="AZ1131" s="99"/>
      <c r="BA1131" s="99"/>
      <c r="BB1131" s="99"/>
      <c r="BC1131" s="99"/>
      <c r="BD1131" s="99"/>
      <c r="BE1131" s="99"/>
      <c r="BF1131" s="99"/>
      <c r="BG1131" s="99"/>
      <c r="BH1131" s="99"/>
      <c r="BI1131" s="99"/>
      <c r="BJ1131" s="99"/>
      <c r="BK1131" s="99"/>
      <c r="BL1131" s="99"/>
      <c r="BM1131" s="99"/>
      <c r="BN1131" s="99"/>
      <c r="BO1131" s="99"/>
      <c r="BP1131" s="99"/>
      <c r="BQ1131" s="99"/>
      <c r="BR1131" s="99"/>
      <c r="BS1131" s="99"/>
      <c r="BT1131" s="99"/>
      <c r="BU1131" s="99"/>
      <c r="BV1131" s="99"/>
      <c r="BW1131" s="99"/>
      <c r="BX1131" s="99"/>
      <c r="BY1131" s="99"/>
      <c r="BZ1131" s="99"/>
      <c r="CA1131" s="99"/>
      <c r="CB1131" s="99"/>
      <c r="CC1131" s="99"/>
      <c r="CD1131" s="99"/>
      <c r="CE1131" s="99"/>
      <c r="CF1131" s="99"/>
      <c r="CG1131" s="99"/>
      <c r="CH1131" s="99"/>
      <c r="CI1131" s="99"/>
      <c r="CJ1131" s="621"/>
      <c r="CK1131" s="621"/>
      <c r="CL1131" s="621"/>
    </row>
    <row r="1132" spans="27:90">
      <c r="AA1132" s="350"/>
      <c r="AB1132" s="62"/>
      <c r="AC1132" s="62"/>
      <c r="AD1132" s="62"/>
      <c r="AP1132" s="88"/>
      <c r="AQ1132" s="88"/>
      <c r="AR1132" s="88"/>
      <c r="AS1132" s="99"/>
      <c r="AT1132" s="99"/>
      <c r="AU1132" s="99"/>
      <c r="AV1132" s="99"/>
      <c r="AW1132" s="99"/>
      <c r="AX1132" s="99"/>
      <c r="AY1132" s="99"/>
      <c r="AZ1132" s="99"/>
      <c r="BA1132" s="99"/>
      <c r="BB1132" s="99"/>
      <c r="BC1132" s="99"/>
      <c r="BD1132" s="99"/>
      <c r="BE1132" s="99"/>
      <c r="BF1132" s="99"/>
      <c r="BG1132" s="99"/>
      <c r="BH1132" s="99"/>
      <c r="BI1132" s="99"/>
      <c r="BJ1132" s="99"/>
      <c r="BK1132" s="99"/>
      <c r="BL1132" s="99"/>
      <c r="BM1132" s="99"/>
      <c r="BN1132" s="99"/>
      <c r="BO1132" s="99"/>
      <c r="BP1132" s="99"/>
      <c r="BQ1132" s="99"/>
      <c r="BR1132" s="99"/>
      <c r="BS1132" s="99"/>
      <c r="BT1132" s="99"/>
      <c r="BU1132" s="99"/>
      <c r="BV1132" s="99"/>
      <c r="BW1132" s="99"/>
      <c r="BX1132" s="99"/>
      <c r="BY1132" s="99"/>
      <c r="BZ1132" s="99"/>
      <c r="CA1132" s="99"/>
      <c r="CB1132" s="99"/>
      <c r="CC1132" s="99"/>
      <c r="CD1132" s="99"/>
      <c r="CE1132" s="99"/>
      <c r="CF1132" s="99"/>
      <c r="CG1132" s="99"/>
      <c r="CH1132" s="99"/>
      <c r="CI1132" s="99"/>
      <c r="CJ1132" s="621"/>
      <c r="CK1132" s="621"/>
      <c r="CL1132" s="621"/>
    </row>
    <row r="1133" spans="27:90">
      <c r="AA1133" s="350"/>
      <c r="AB1133" s="62"/>
      <c r="AC1133" s="62"/>
      <c r="AD1133" s="62"/>
      <c r="AP1133" s="88"/>
      <c r="AQ1133" s="88"/>
      <c r="AR1133" s="88"/>
      <c r="AS1133" s="99"/>
      <c r="AT1133" s="99"/>
      <c r="AU1133" s="99"/>
      <c r="AV1133" s="99"/>
      <c r="AW1133" s="99"/>
      <c r="AX1133" s="99"/>
      <c r="AY1133" s="99"/>
      <c r="AZ1133" s="99"/>
      <c r="BA1133" s="99"/>
      <c r="BB1133" s="99"/>
      <c r="BC1133" s="99"/>
      <c r="BD1133" s="99"/>
      <c r="BE1133" s="99"/>
      <c r="BF1133" s="99"/>
      <c r="BG1133" s="99"/>
      <c r="BH1133" s="99"/>
      <c r="BI1133" s="99"/>
      <c r="BJ1133" s="99"/>
      <c r="BK1133" s="99"/>
      <c r="BL1133" s="99"/>
      <c r="BM1133" s="99"/>
      <c r="BN1133" s="99"/>
      <c r="BO1133" s="99"/>
      <c r="BP1133" s="99"/>
      <c r="BQ1133" s="99"/>
      <c r="BR1133" s="99"/>
      <c r="BS1133" s="99"/>
      <c r="BT1133" s="99"/>
      <c r="BU1133" s="99"/>
      <c r="BV1133" s="99"/>
      <c r="BW1133" s="99"/>
      <c r="BX1133" s="99"/>
      <c r="BY1133" s="99"/>
      <c r="BZ1133" s="99"/>
      <c r="CA1133" s="99"/>
      <c r="CB1133" s="99"/>
      <c r="CC1133" s="99"/>
      <c r="CD1133" s="99"/>
      <c r="CE1133" s="99"/>
      <c r="CF1133" s="99"/>
      <c r="CG1133" s="99"/>
      <c r="CH1133" s="99"/>
      <c r="CI1133" s="99"/>
      <c r="CJ1133" s="621"/>
      <c r="CK1133" s="621"/>
      <c r="CL1133" s="621"/>
    </row>
    <row r="1134" spans="27:90">
      <c r="AA1134" s="350"/>
      <c r="AB1134" s="62"/>
      <c r="AC1134" s="62"/>
      <c r="AD1134" s="62"/>
      <c r="AP1134" s="88"/>
      <c r="AQ1134" s="88"/>
      <c r="AR1134" s="88"/>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621"/>
      <c r="CK1134" s="621"/>
      <c r="CL1134" s="621"/>
    </row>
    <row r="1135" spans="27:90">
      <c r="AA1135" s="350"/>
      <c r="AB1135" s="62"/>
      <c r="AC1135" s="62"/>
      <c r="AD1135" s="62"/>
      <c r="AP1135" s="88"/>
      <c r="AQ1135" s="88"/>
      <c r="AR1135" s="88"/>
      <c r="AS1135" s="99"/>
      <c r="AT1135" s="99"/>
      <c r="AU1135" s="99"/>
      <c r="AV1135" s="99"/>
      <c r="AW1135" s="99"/>
      <c r="AX1135" s="99"/>
      <c r="AY1135" s="99"/>
      <c r="AZ1135" s="99"/>
      <c r="BA1135" s="99"/>
      <c r="BB1135" s="99"/>
      <c r="BC1135" s="99"/>
      <c r="BD1135" s="99"/>
      <c r="BE1135" s="99"/>
      <c r="BF1135" s="99"/>
      <c r="BG1135" s="99"/>
      <c r="BH1135" s="99"/>
      <c r="BI1135" s="99"/>
      <c r="BJ1135" s="99"/>
      <c r="BK1135" s="99"/>
      <c r="BL1135" s="99"/>
      <c r="BM1135" s="99"/>
      <c r="BN1135" s="99"/>
      <c r="BO1135" s="99"/>
      <c r="BP1135" s="99"/>
      <c r="BQ1135" s="99"/>
      <c r="BR1135" s="99"/>
      <c r="BS1135" s="99"/>
      <c r="BT1135" s="99"/>
      <c r="BU1135" s="99"/>
      <c r="BV1135" s="99"/>
      <c r="BW1135" s="99"/>
      <c r="BX1135" s="99"/>
      <c r="BY1135" s="99"/>
      <c r="BZ1135" s="99"/>
      <c r="CA1135" s="99"/>
      <c r="CB1135" s="99"/>
      <c r="CC1135" s="99"/>
      <c r="CD1135" s="99"/>
      <c r="CE1135" s="99"/>
      <c r="CF1135" s="99"/>
      <c r="CG1135" s="99"/>
      <c r="CH1135" s="99"/>
      <c r="CI1135" s="99"/>
      <c r="CJ1135" s="621"/>
      <c r="CK1135" s="621"/>
      <c r="CL1135" s="621"/>
    </row>
    <row r="1136" spans="27:90">
      <c r="AA1136" s="350"/>
      <c r="AB1136" s="62"/>
      <c r="AC1136" s="62"/>
      <c r="AD1136" s="62"/>
      <c r="AP1136" s="88"/>
      <c r="AQ1136" s="88"/>
      <c r="AR1136" s="88"/>
      <c r="AS1136" s="99"/>
      <c r="AT1136" s="99"/>
      <c r="AU1136" s="99"/>
      <c r="AV1136" s="99"/>
      <c r="AW1136" s="99"/>
      <c r="AX1136" s="99"/>
      <c r="AY1136" s="99"/>
      <c r="AZ1136" s="99"/>
      <c r="BA1136" s="99"/>
      <c r="BB1136" s="99"/>
      <c r="BC1136" s="99"/>
      <c r="BD1136" s="99"/>
      <c r="BE1136" s="99"/>
      <c r="BF1136" s="99"/>
      <c r="BG1136" s="99"/>
      <c r="BH1136" s="99"/>
      <c r="BI1136" s="99"/>
      <c r="BJ1136" s="99"/>
      <c r="BK1136" s="99"/>
      <c r="BL1136" s="99"/>
      <c r="BM1136" s="99"/>
      <c r="BN1136" s="99"/>
      <c r="BO1136" s="99"/>
      <c r="BP1136" s="99"/>
      <c r="BQ1136" s="99"/>
      <c r="BR1136" s="99"/>
      <c r="BS1136" s="99"/>
      <c r="BT1136" s="99"/>
      <c r="BU1136" s="99"/>
      <c r="BV1136" s="99"/>
      <c r="BW1136" s="99"/>
      <c r="BX1136" s="99"/>
      <c r="BY1136" s="99"/>
      <c r="BZ1136" s="99"/>
      <c r="CA1136" s="99"/>
      <c r="CB1136" s="99"/>
      <c r="CC1136" s="99"/>
      <c r="CD1136" s="99"/>
      <c r="CE1136" s="99"/>
      <c r="CF1136" s="99"/>
      <c r="CG1136" s="99"/>
      <c r="CH1136" s="99"/>
      <c r="CI1136" s="99"/>
      <c r="CJ1136" s="621"/>
      <c r="CK1136" s="621"/>
      <c r="CL1136" s="621"/>
    </row>
    <row r="1137" spans="27:90">
      <c r="AA1137" s="350"/>
      <c r="AB1137" s="62"/>
      <c r="AC1137" s="62"/>
      <c r="AD1137" s="62"/>
      <c r="AP1137" s="88"/>
      <c r="AQ1137" s="88"/>
      <c r="AR1137" s="88"/>
      <c r="AS1137" s="99"/>
      <c r="AT1137" s="99"/>
      <c r="AU1137" s="99"/>
      <c r="AV1137" s="99"/>
      <c r="AW1137" s="99"/>
      <c r="AX1137" s="99"/>
      <c r="AY1137" s="99"/>
      <c r="AZ1137" s="99"/>
      <c r="BA1137" s="99"/>
      <c r="BB1137" s="99"/>
      <c r="BC1137" s="99"/>
      <c r="BD1137" s="99"/>
      <c r="BE1137" s="99"/>
      <c r="BF1137" s="99"/>
      <c r="BG1137" s="99"/>
      <c r="BH1137" s="99"/>
      <c r="BI1137" s="99"/>
      <c r="BJ1137" s="99"/>
      <c r="BK1137" s="99"/>
      <c r="BL1137" s="99"/>
      <c r="BM1137" s="99"/>
      <c r="BN1137" s="99"/>
      <c r="BO1137" s="99"/>
      <c r="BP1137" s="99"/>
      <c r="BQ1137" s="99"/>
      <c r="BR1137" s="99"/>
      <c r="BS1137" s="99"/>
      <c r="BT1137" s="99"/>
      <c r="BU1137" s="99"/>
      <c r="BV1137" s="99"/>
      <c r="BW1137" s="99"/>
      <c r="BX1137" s="99"/>
      <c r="BY1137" s="99"/>
      <c r="BZ1137" s="99"/>
      <c r="CA1137" s="99"/>
      <c r="CB1137" s="99"/>
      <c r="CC1137" s="99"/>
      <c r="CD1137" s="99"/>
      <c r="CE1137" s="99"/>
      <c r="CF1137" s="99"/>
      <c r="CG1137" s="99"/>
      <c r="CH1137" s="99"/>
      <c r="CI1137" s="99"/>
      <c r="CJ1137" s="621"/>
      <c r="CK1137" s="621"/>
      <c r="CL1137" s="621"/>
    </row>
    <row r="1138" spans="27:90">
      <c r="AA1138" s="350"/>
      <c r="AB1138" s="62"/>
      <c r="AC1138" s="62"/>
      <c r="AD1138" s="62"/>
      <c r="AP1138" s="88"/>
      <c r="AQ1138" s="88"/>
      <c r="AR1138" s="88"/>
      <c r="AS1138" s="99"/>
      <c r="AT1138" s="99"/>
      <c r="AU1138" s="99"/>
      <c r="AV1138" s="99"/>
      <c r="AW1138" s="99"/>
      <c r="AX1138" s="99"/>
      <c r="AY1138" s="99"/>
      <c r="AZ1138" s="99"/>
      <c r="BA1138" s="99"/>
      <c r="BB1138" s="99"/>
      <c r="BC1138" s="99"/>
      <c r="BD1138" s="99"/>
      <c r="BE1138" s="99"/>
      <c r="BF1138" s="99"/>
      <c r="BG1138" s="99"/>
      <c r="BH1138" s="99"/>
      <c r="BI1138" s="99"/>
      <c r="BJ1138" s="99"/>
      <c r="BK1138" s="99"/>
      <c r="BL1138" s="99"/>
      <c r="BM1138" s="99"/>
      <c r="BN1138" s="99"/>
      <c r="BO1138" s="99"/>
      <c r="BP1138" s="99"/>
      <c r="BQ1138" s="99"/>
      <c r="BR1138" s="99"/>
      <c r="BS1138" s="99"/>
      <c r="BT1138" s="99"/>
      <c r="BU1138" s="99"/>
      <c r="BV1138" s="99"/>
      <c r="BW1138" s="99"/>
      <c r="BX1138" s="99"/>
      <c r="BY1138" s="99"/>
      <c r="BZ1138" s="99"/>
      <c r="CA1138" s="99"/>
      <c r="CB1138" s="99"/>
      <c r="CC1138" s="99"/>
      <c r="CD1138" s="99"/>
      <c r="CE1138" s="99"/>
      <c r="CF1138" s="99"/>
      <c r="CG1138" s="99"/>
      <c r="CH1138" s="99"/>
      <c r="CI1138" s="99"/>
      <c r="CJ1138" s="621"/>
      <c r="CK1138" s="621"/>
      <c r="CL1138" s="621"/>
    </row>
    <row r="1139" spans="27:90">
      <c r="AA1139" s="350"/>
      <c r="AB1139" s="62"/>
      <c r="AC1139" s="62"/>
      <c r="AD1139" s="62"/>
      <c r="AP1139" s="88"/>
      <c r="AQ1139" s="88"/>
      <c r="AR1139" s="88"/>
      <c r="AS1139" s="99"/>
      <c r="AT1139" s="99"/>
      <c r="AU1139" s="99"/>
      <c r="AV1139" s="99"/>
      <c r="AW1139" s="99"/>
      <c r="AX1139" s="99"/>
      <c r="AY1139" s="99"/>
      <c r="AZ1139" s="99"/>
      <c r="BA1139" s="99"/>
      <c r="BB1139" s="99"/>
      <c r="BC1139" s="99"/>
      <c r="BD1139" s="99"/>
      <c r="BE1139" s="99"/>
      <c r="BF1139" s="99"/>
      <c r="BG1139" s="99"/>
      <c r="BH1139" s="99"/>
      <c r="BI1139" s="99"/>
      <c r="BJ1139" s="99"/>
      <c r="BK1139" s="99"/>
      <c r="BL1139" s="99"/>
      <c r="BM1139" s="99"/>
      <c r="BN1139" s="99"/>
      <c r="BO1139" s="99"/>
      <c r="BP1139" s="99"/>
      <c r="BQ1139" s="99"/>
      <c r="BR1139" s="99"/>
      <c r="BS1139" s="99"/>
      <c r="BT1139" s="99"/>
      <c r="BU1139" s="99"/>
      <c r="BV1139" s="99"/>
      <c r="BW1139" s="99"/>
      <c r="BX1139" s="99"/>
      <c r="BY1139" s="99"/>
      <c r="BZ1139" s="99"/>
      <c r="CA1139" s="99"/>
      <c r="CB1139" s="99"/>
      <c r="CC1139" s="99"/>
      <c r="CD1139" s="99"/>
      <c r="CE1139" s="99"/>
      <c r="CF1139" s="99"/>
      <c r="CG1139" s="99"/>
      <c r="CH1139" s="99"/>
      <c r="CI1139" s="99"/>
      <c r="CJ1139" s="621"/>
      <c r="CK1139" s="621"/>
      <c r="CL1139" s="621"/>
    </row>
    <row r="1140" spans="27:90">
      <c r="AA1140" s="350"/>
      <c r="AB1140" s="62"/>
      <c r="AC1140" s="62"/>
      <c r="AD1140" s="62"/>
      <c r="AP1140" s="88"/>
      <c r="AQ1140" s="88"/>
      <c r="AR1140" s="88"/>
      <c r="AS1140" s="99"/>
      <c r="AT1140" s="99"/>
      <c r="AU1140" s="99"/>
      <c r="AV1140" s="99"/>
      <c r="AW1140" s="99"/>
      <c r="AX1140" s="99"/>
      <c r="AY1140" s="99"/>
      <c r="AZ1140" s="99"/>
      <c r="BA1140" s="99"/>
      <c r="BB1140" s="99"/>
      <c r="BC1140" s="99"/>
      <c r="BD1140" s="99"/>
      <c r="BE1140" s="99"/>
      <c r="BF1140" s="99"/>
      <c r="BG1140" s="99"/>
      <c r="BH1140" s="99"/>
      <c r="BI1140" s="99"/>
      <c r="BJ1140" s="99"/>
      <c r="BK1140" s="99"/>
      <c r="BL1140" s="99"/>
      <c r="BM1140" s="99"/>
      <c r="BN1140" s="99"/>
      <c r="BO1140" s="99"/>
      <c r="BP1140" s="99"/>
      <c r="BQ1140" s="99"/>
      <c r="BR1140" s="99"/>
      <c r="BS1140" s="99"/>
      <c r="BT1140" s="99"/>
      <c r="BU1140" s="99"/>
      <c r="BV1140" s="99"/>
      <c r="BW1140" s="99"/>
      <c r="BX1140" s="99"/>
      <c r="BY1140" s="99"/>
      <c r="BZ1140" s="99"/>
      <c r="CA1140" s="99"/>
      <c r="CB1140" s="99"/>
      <c r="CC1140" s="99"/>
      <c r="CD1140" s="99"/>
      <c r="CE1140" s="99"/>
      <c r="CF1140" s="99"/>
      <c r="CG1140" s="99"/>
      <c r="CH1140" s="99"/>
      <c r="CI1140" s="99"/>
      <c r="CJ1140" s="621"/>
      <c r="CK1140" s="621"/>
      <c r="CL1140" s="621"/>
    </row>
    <row r="1141" spans="27:90">
      <c r="AA1141" s="350"/>
      <c r="AB1141" s="62"/>
      <c r="AC1141" s="62"/>
      <c r="AD1141" s="62"/>
      <c r="AP1141" s="88"/>
      <c r="AQ1141" s="88"/>
      <c r="AR1141" s="88"/>
      <c r="AS1141" s="99"/>
      <c r="AT1141" s="99"/>
      <c r="AU1141" s="99"/>
      <c r="AV1141" s="99"/>
      <c r="AW1141" s="99"/>
      <c r="AX1141" s="99"/>
      <c r="AY1141" s="99"/>
      <c r="AZ1141" s="99"/>
      <c r="BA1141" s="99"/>
      <c r="BB1141" s="99"/>
      <c r="BC1141" s="99"/>
      <c r="BD1141" s="99"/>
      <c r="BE1141" s="99"/>
      <c r="BF1141" s="99"/>
      <c r="BG1141" s="99"/>
      <c r="BH1141" s="99"/>
      <c r="BI1141" s="99"/>
      <c r="BJ1141" s="99"/>
      <c r="BK1141" s="99"/>
      <c r="BL1141" s="99"/>
      <c r="BM1141" s="99"/>
      <c r="BN1141" s="99"/>
      <c r="BO1141" s="99"/>
      <c r="BP1141" s="99"/>
      <c r="BQ1141" s="99"/>
      <c r="BR1141" s="99"/>
      <c r="BS1141" s="99"/>
      <c r="BT1141" s="99"/>
      <c r="BU1141" s="99"/>
      <c r="BV1141" s="99"/>
      <c r="BW1141" s="99"/>
      <c r="BX1141" s="99"/>
      <c r="BY1141" s="99"/>
      <c r="BZ1141" s="99"/>
      <c r="CA1141" s="99"/>
      <c r="CB1141" s="99"/>
      <c r="CC1141" s="99"/>
      <c r="CD1141" s="99"/>
      <c r="CE1141" s="99"/>
      <c r="CF1141" s="99"/>
      <c r="CG1141" s="99"/>
      <c r="CH1141" s="99"/>
      <c r="CI1141" s="99"/>
      <c r="CJ1141" s="621"/>
      <c r="CK1141" s="621"/>
      <c r="CL1141" s="621"/>
    </row>
    <row r="1142" spans="27:90">
      <c r="AA1142" s="350"/>
      <c r="AB1142" s="62"/>
      <c r="AC1142" s="62"/>
      <c r="AD1142" s="62"/>
      <c r="AP1142" s="88"/>
      <c r="AQ1142" s="88"/>
      <c r="AR1142" s="88"/>
      <c r="AS1142" s="99"/>
      <c r="AT1142" s="99"/>
      <c r="AU1142" s="99"/>
      <c r="AV1142" s="99"/>
      <c r="AW1142" s="99"/>
      <c r="AX1142" s="99"/>
      <c r="AY1142" s="99"/>
      <c r="AZ1142" s="99"/>
      <c r="BA1142" s="99"/>
      <c r="BB1142" s="99"/>
      <c r="BC1142" s="99"/>
      <c r="BD1142" s="99"/>
      <c r="BE1142" s="99"/>
      <c r="BF1142" s="99"/>
      <c r="BG1142" s="99"/>
      <c r="BH1142" s="99"/>
      <c r="BI1142" s="99"/>
      <c r="BJ1142" s="99"/>
      <c r="BK1142" s="99"/>
      <c r="BL1142" s="99"/>
      <c r="BM1142" s="99"/>
      <c r="BN1142" s="99"/>
      <c r="BO1142" s="99"/>
      <c r="BP1142" s="99"/>
      <c r="BQ1142" s="99"/>
      <c r="BR1142" s="99"/>
      <c r="BS1142" s="99"/>
      <c r="BT1142" s="99"/>
      <c r="BU1142" s="99"/>
      <c r="BV1142" s="99"/>
      <c r="BW1142" s="99"/>
      <c r="BX1142" s="99"/>
      <c r="BY1142" s="99"/>
      <c r="BZ1142" s="99"/>
      <c r="CA1142" s="99"/>
      <c r="CB1142" s="99"/>
      <c r="CC1142" s="99"/>
      <c r="CD1142" s="99"/>
      <c r="CE1142" s="99"/>
      <c r="CF1142" s="99"/>
      <c r="CG1142" s="99"/>
      <c r="CH1142" s="99"/>
      <c r="CI1142" s="99"/>
      <c r="CJ1142" s="621"/>
      <c r="CK1142" s="621"/>
      <c r="CL1142" s="621"/>
    </row>
    <row r="1143" spans="27:90">
      <c r="AA1143" s="350"/>
      <c r="AB1143" s="62"/>
      <c r="AC1143" s="62"/>
      <c r="AD1143" s="62"/>
      <c r="AP1143" s="88"/>
      <c r="AQ1143" s="88"/>
      <c r="AR1143" s="88"/>
      <c r="AS1143" s="99"/>
      <c r="AT1143" s="99"/>
      <c r="AU1143" s="99"/>
      <c r="AV1143" s="99"/>
      <c r="AW1143" s="99"/>
      <c r="AX1143" s="99"/>
      <c r="AY1143" s="99"/>
      <c r="AZ1143" s="99"/>
      <c r="BA1143" s="99"/>
      <c r="BB1143" s="99"/>
      <c r="BC1143" s="99"/>
      <c r="BD1143" s="99"/>
      <c r="BE1143" s="99"/>
      <c r="BF1143" s="99"/>
      <c r="BG1143" s="99"/>
      <c r="BH1143" s="99"/>
      <c r="BI1143" s="99"/>
      <c r="BJ1143" s="99"/>
      <c r="BK1143" s="99"/>
      <c r="BL1143" s="99"/>
      <c r="BM1143" s="99"/>
      <c r="BN1143" s="99"/>
      <c r="BO1143" s="99"/>
      <c r="BP1143" s="99"/>
      <c r="BQ1143" s="99"/>
      <c r="BR1143" s="99"/>
      <c r="BS1143" s="99"/>
      <c r="BT1143" s="99"/>
      <c r="BU1143" s="99"/>
      <c r="BV1143" s="99"/>
      <c r="BW1143" s="99"/>
      <c r="BX1143" s="99"/>
      <c r="BY1143" s="99"/>
      <c r="BZ1143" s="99"/>
      <c r="CA1143" s="99"/>
      <c r="CB1143" s="99"/>
      <c r="CC1143" s="99"/>
      <c r="CD1143" s="99"/>
      <c r="CE1143" s="99"/>
      <c r="CF1143" s="99"/>
      <c r="CG1143" s="99"/>
      <c r="CH1143" s="99"/>
      <c r="CI1143" s="99"/>
      <c r="CJ1143" s="621"/>
      <c r="CK1143" s="621"/>
      <c r="CL1143" s="621"/>
    </row>
    <row r="1144" spans="27:90">
      <c r="AA1144" s="350"/>
      <c r="AB1144" s="62"/>
      <c r="AC1144" s="62"/>
      <c r="AD1144" s="62"/>
      <c r="AP1144" s="88"/>
      <c r="AQ1144" s="88"/>
      <c r="AR1144" s="88"/>
      <c r="AS1144" s="99"/>
      <c r="AT1144" s="99"/>
      <c r="AU1144" s="99"/>
      <c r="AV1144" s="99"/>
      <c r="AW1144" s="99"/>
      <c r="AX1144" s="99"/>
      <c r="AY1144" s="99"/>
      <c r="AZ1144" s="99"/>
      <c r="BA1144" s="99"/>
      <c r="BB1144" s="99"/>
      <c r="BC1144" s="99"/>
      <c r="BD1144" s="99"/>
      <c r="BE1144" s="99"/>
      <c r="BF1144" s="99"/>
      <c r="BG1144" s="99"/>
      <c r="BH1144" s="99"/>
      <c r="BI1144" s="99"/>
      <c r="BJ1144" s="99"/>
      <c r="BK1144" s="99"/>
      <c r="BL1144" s="99"/>
      <c r="BM1144" s="99"/>
      <c r="BN1144" s="99"/>
      <c r="BO1144" s="99"/>
      <c r="BP1144" s="99"/>
      <c r="BQ1144" s="99"/>
      <c r="BR1144" s="99"/>
      <c r="BS1144" s="99"/>
      <c r="BT1144" s="99"/>
      <c r="BU1144" s="99"/>
      <c r="BV1144" s="99"/>
      <c r="BW1144" s="99"/>
      <c r="BX1144" s="99"/>
      <c r="BY1144" s="99"/>
      <c r="BZ1144" s="99"/>
      <c r="CA1144" s="99"/>
      <c r="CB1144" s="99"/>
      <c r="CC1144" s="99"/>
      <c r="CD1144" s="99"/>
      <c r="CE1144" s="99"/>
      <c r="CF1144" s="99"/>
      <c r="CG1144" s="99"/>
      <c r="CH1144" s="99"/>
      <c r="CI1144" s="99"/>
      <c r="CJ1144" s="621"/>
      <c r="CK1144" s="621"/>
      <c r="CL1144" s="621"/>
    </row>
    <row r="1145" spans="27:90">
      <c r="AA1145" s="350"/>
      <c r="AB1145" s="62"/>
      <c r="AC1145" s="62"/>
      <c r="AD1145" s="62"/>
      <c r="AP1145" s="88"/>
      <c r="AQ1145" s="88"/>
      <c r="AR1145" s="88"/>
      <c r="AS1145" s="99"/>
      <c r="AT1145" s="99"/>
      <c r="AU1145" s="99"/>
      <c r="AV1145" s="99"/>
      <c r="AW1145" s="99"/>
      <c r="AX1145" s="99"/>
      <c r="AY1145" s="99"/>
      <c r="AZ1145" s="99"/>
      <c r="BA1145" s="99"/>
      <c r="BB1145" s="99"/>
      <c r="BC1145" s="99"/>
      <c r="BD1145" s="99"/>
      <c r="BE1145" s="99"/>
      <c r="BF1145" s="99"/>
      <c r="BG1145" s="99"/>
      <c r="BH1145" s="99"/>
      <c r="BI1145" s="99"/>
      <c r="BJ1145" s="99"/>
      <c r="BK1145" s="99"/>
      <c r="BL1145" s="99"/>
      <c r="BM1145" s="99"/>
      <c r="BN1145" s="99"/>
      <c r="BO1145" s="99"/>
      <c r="BP1145" s="99"/>
      <c r="BQ1145" s="99"/>
      <c r="BR1145" s="99"/>
      <c r="BS1145" s="99"/>
      <c r="BT1145" s="99"/>
      <c r="BU1145" s="99"/>
      <c r="BV1145" s="99"/>
      <c r="BW1145" s="99"/>
      <c r="BX1145" s="99"/>
      <c r="BY1145" s="99"/>
      <c r="BZ1145" s="99"/>
      <c r="CA1145" s="99"/>
      <c r="CB1145" s="99"/>
      <c r="CC1145" s="99"/>
      <c r="CD1145" s="99"/>
      <c r="CE1145" s="99"/>
      <c r="CF1145" s="99"/>
      <c r="CG1145" s="99"/>
      <c r="CH1145" s="99"/>
      <c r="CI1145" s="99"/>
      <c r="CJ1145" s="621"/>
      <c r="CK1145" s="621"/>
      <c r="CL1145" s="621"/>
    </row>
    <row r="1146" spans="27:90">
      <c r="AA1146" s="350"/>
      <c r="AB1146" s="62"/>
      <c r="AC1146" s="62"/>
      <c r="AD1146" s="62"/>
      <c r="AP1146" s="88"/>
      <c r="AQ1146" s="88"/>
      <c r="AR1146" s="88"/>
      <c r="AS1146" s="99"/>
      <c r="AT1146" s="99"/>
      <c r="AU1146" s="99"/>
      <c r="AV1146" s="99"/>
      <c r="AW1146" s="99"/>
      <c r="AX1146" s="99"/>
      <c r="AY1146" s="99"/>
      <c r="AZ1146" s="99"/>
      <c r="BA1146" s="99"/>
      <c r="BB1146" s="99"/>
      <c r="BC1146" s="99"/>
      <c r="BD1146" s="99"/>
      <c r="BE1146" s="99"/>
      <c r="BF1146" s="99"/>
      <c r="BG1146" s="99"/>
      <c r="BH1146" s="99"/>
      <c r="BI1146" s="99"/>
      <c r="BJ1146" s="99"/>
      <c r="BK1146" s="99"/>
      <c r="BL1146" s="99"/>
      <c r="BM1146" s="99"/>
      <c r="BN1146" s="99"/>
      <c r="BO1146" s="99"/>
      <c r="BP1146" s="99"/>
      <c r="BQ1146" s="99"/>
      <c r="BR1146" s="99"/>
      <c r="BS1146" s="99"/>
      <c r="BT1146" s="99"/>
      <c r="BU1146" s="99"/>
      <c r="BV1146" s="99"/>
      <c r="BW1146" s="99"/>
      <c r="BX1146" s="99"/>
      <c r="BY1146" s="99"/>
      <c r="BZ1146" s="99"/>
      <c r="CA1146" s="99"/>
      <c r="CB1146" s="99"/>
      <c r="CC1146" s="99"/>
      <c r="CD1146" s="99"/>
      <c r="CE1146" s="99"/>
      <c r="CF1146" s="99"/>
      <c r="CG1146" s="99"/>
      <c r="CH1146" s="99"/>
      <c r="CI1146" s="99"/>
      <c r="CJ1146" s="621"/>
      <c r="CK1146" s="621"/>
      <c r="CL1146" s="621"/>
    </row>
    <row r="1147" spans="27:90">
      <c r="AA1147" s="350"/>
      <c r="AB1147" s="62"/>
      <c r="AC1147" s="62"/>
      <c r="AD1147" s="62"/>
      <c r="AP1147" s="88"/>
      <c r="AQ1147" s="88"/>
      <c r="AR1147" s="88"/>
      <c r="AS1147" s="99"/>
      <c r="AT1147" s="99"/>
      <c r="AU1147" s="99"/>
      <c r="AV1147" s="99"/>
      <c r="AW1147" s="99"/>
      <c r="AX1147" s="99"/>
      <c r="AY1147" s="99"/>
      <c r="AZ1147" s="99"/>
      <c r="BA1147" s="99"/>
      <c r="BB1147" s="99"/>
      <c r="BC1147" s="99"/>
      <c r="BD1147" s="99"/>
      <c r="BE1147" s="99"/>
      <c r="BF1147" s="99"/>
      <c r="BG1147" s="99"/>
      <c r="BH1147" s="99"/>
      <c r="BI1147" s="99"/>
      <c r="BJ1147" s="99"/>
      <c r="BK1147" s="99"/>
      <c r="BL1147" s="99"/>
      <c r="BM1147" s="99"/>
      <c r="BN1147" s="99"/>
      <c r="BO1147" s="99"/>
      <c r="BP1147" s="99"/>
      <c r="BQ1147" s="99"/>
      <c r="BR1147" s="99"/>
      <c r="BS1147" s="99"/>
      <c r="BT1147" s="99"/>
      <c r="BU1147" s="99"/>
      <c r="BV1147" s="99"/>
      <c r="BW1147" s="99"/>
      <c r="BX1147" s="99"/>
      <c r="BY1147" s="99"/>
      <c r="BZ1147" s="99"/>
      <c r="CA1147" s="99"/>
      <c r="CB1147" s="99"/>
      <c r="CC1147" s="99"/>
      <c r="CD1147" s="99"/>
      <c r="CE1147" s="99"/>
      <c r="CF1147" s="99"/>
      <c r="CG1147" s="99"/>
      <c r="CH1147" s="99"/>
      <c r="CI1147" s="99"/>
      <c r="CJ1147" s="621"/>
      <c r="CK1147" s="621"/>
      <c r="CL1147" s="621"/>
    </row>
    <row r="1148" spans="27:90">
      <c r="AA1148" s="350"/>
      <c r="AB1148" s="62"/>
      <c r="AC1148" s="62"/>
      <c r="AD1148" s="62"/>
      <c r="AP1148" s="88"/>
      <c r="AQ1148" s="88"/>
      <c r="AR1148" s="88"/>
      <c r="AS1148" s="99"/>
      <c r="AT1148" s="99"/>
      <c r="AU1148" s="99"/>
      <c r="AV1148" s="99"/>
      <c r="AW1148" s="99"/>
      <c r="AX1148" s="99"/>
      <c r="AY1148" s="99"/>
      <c r="AZ1148" s="99"/>
      <c r="BA1148" s="99"/>
      <c r="BB1148" s="99"/>
      <c r="BC1148" s="99"/>
      <c r="BD1148" s="99"/>
      <c r="BE1148" s="99"/>
      <c r="BF1148" s="99"/>
      <c r="BG1148" s="99"/>
      <c r="BH1148" s="99"/>
      <c r="BI1148" s="99"/>
      <c r="BJ1148" s="99"/>
      <c r="BK1148" s="99"/>
      <c r="BL1148" s="99"/>
      <c r="BM1148" s="99"/>
      <c r="BN1148" s="99"/>
      <c r="BO1148" s="99"/>
      <c r="BP1148" s="99"/>
      <c r="BQ1148" s="99"/>
      <c r="BR1148" s="99"/>
      <c r="BS1148" s="99"/>
      <c r="BT1148" s="99"/>
      <c r="BU1148" s="99"/>
      <c r="BV1148" s="99"/>
      <c r="BW1148" s="99"/>
      <c r="BX1148" s="99"/>
      <c r="BY1148" s="99"/>
      <c r="BZ1148" s="99"/>
      <c r="CA1148" s="99"/>
      <c r="CB1148" s="99"/>
      <c r="CC1148" s="99"/>
      <c r="CD1148" s="99"/>
      <c r="CE1148" s="99"/>
      <c r="CF1148" s="99"/>
      <c r="CG1148" s="99"/>
      <c r="CH1148" s="99"/>
      <c r="CI1148" s="99"/>
      <c r="CJ1148" s="621"/>
      <c r="CK1148" s="621"/>
      <c r="CL1148" s="621"/>
    </row>
    <row r="1149" spans="27:90">
      <c r="AA1149" s="350"/>
      <c r="AB1149" s="62"/>
      <c r="AC1149" s="62"/>
      <c r="AD1149" s="62"/>
      <c r="AP1149" s="88"/>
      <c r="AQ1149" s="88"/>
      <c r="AR1149" s="88"/>
      <c r="AS1149" s="99"/>
      <c r="AT1149" s="99"/>
      <c r="AU1149" s="99"/>
      <c r="AV1149" s="99"/>
      <c r="AW1149" s="99"/>
      <c r="AX1149" s="99"/>
      <c r="AY1149" s="99"/>
      <c r="AZ1149" s="99"/>
      <c r="BA1149" s="99"/>
      <c r="BB1149" s="99"/>
      <c r="BC1149" s="99"/>
      <c r="BD1149" s="99"/>
      <c r="BE1149" s="99"/>
      <c r="BF1149" s="99"/>
      <c r="BG1149" s="99"/>
      <c r="BH1149" s="99"/>
      <c r="BI1149" s="99"/>
      <c r="BJ1149" s="99"/>
      <c r="BK1149" s="99"/>
      <c r="BL1149" s="99"/>
      <c r="BM1149" s="99"/>
      <c r="BN1149" s="99"/>
      <c r="BO1149" s="99"/>
      <c r="BP1149" s="99"/>
      <c r="BQ1149" s="99"/>
      <c r="BR1149" s="99"/>
      <c r="BS1149" s="99"/>
      <c r="BT1149" s="99"/>
      <c r="BU1149" s="99"/>
      <c r="BV1149" s="99"/>
      <c r="BW1149" s="99"/>
      <c r="BX1149" s="99"/>
      <c r="BY1149" s="99"/>
      <c r="BZ1149" s="99"/>
      <c r="CA1149" s="99"/>
      <c r="CB1149" s="99"/>
      <c r="CC1149" s="99"/>
      <c r="CD1149" s="99"/>
      <c r="CE1149" s="99"/>
      <c r="CF1149" s="99"/>
      <c r="CG1149" s="99"/>
      <c r="CH1149" s="99"/>
      <c r="CI1149" s="99"/>
      <c r="CJ1149" s="621"/>
      <c r="CK1149" s="621"/>
      <c r="CL1149" s="621"/>
    </row>
    <row r="1150" spans="27:90">
      <c r="AA1150" s="350"/>
      <c r="AB1150" s="62"/>
      <c r="AC1150" s="62"/>
      <c r="AD1150" s="62"/>
      <c r="AP1150" s="88"/>
      <c r="AQ1150" s="88"/>
      <c r="AR1150" s="88"/>
      <c r="AS1150" s="99"/>
      <c r="AT1150" s="99"/>
      <c r="AU1150" s="99"/>
      <c r="AV1150" s="99"/>
      <c r="AW1150" s="99"/>
      <c r="AX1150" s="99"/>
      <c r="AY1150" s="99"/>
      <c r="AZ1150" s="99"/>
      <c r="BA1150" s="99"/>
      <c r="BB1150" s="99"/>
      <c r="BC1150" s="99"/>
      <c r="BD1150" s="99"/>
      <c r="BE1150" s="99"/>
      <c r="BF1150" s="99"/>
      <c r="BG1150" s="99"/>
      <c r="BH1150" s="99"/>
      <c r="BI1150" s="99"/>
      <c r="BJ1150" s="99"/>
      <c r="BK1150" s="99"/>
      <c r="BL1150" s="99"/>
      <c r="BM1150" s="99"/>
      <c r="BN1150" s="99"/>
      <c r="BO1150" s="99"/>
      <c r="BP1150" s="99"/>
      <c r="BQ1150" s="99"/>
      <c r="BR1150" s="99"/>
      <c r="BS1150" s="99"/>
      <c r="BT1150" s="99"/>
      <c r="BU1150" s="99"/>
      <c r="BV1150" s="99"/>
      <c r="BW1150" s="99"/>
      <c r="BX1150" s="99"/>
      <c r="BY1150" s="99"/>
      <c r="BZ1150" s="99"/>
      <c r="CA1150" s="99"/>
      <c r="CB1150" s="99"/>
      <c r="CC1150" s="99"/>
      <c r="CD1150" s="99"/>
      <c r="CE1150" s="99"/>
      <c r="CF1150" s="99"/>
      <c r="CG1150" s="99"/>
      <c r="CH1150" s="99"/>
      <c r="CI1150" s="99"/>
      <c r="CJ1150" s="621"/>
      <c r="CK1150" s="621"/>
      <c r="CL1150" s="621"/>
    </row>
    <row r="1151" spans="27:90">
      <c r="AA1151" s="350"/>
      <c r="AB1151" s="62"/>
      <c r="AC1151" s="62"/>
      <c r="AD1151" s="62"/>
      <c r="AP1151" s="88"/>
      <c r="AQ1151" s="88"/>
      <c r="AR1151" s="88"/>
      <c r="AS1151" s="99"/>
      <c r="AT1151" s="99"/>
      <c r="AU1151" s="99"/>
      <c r="AV1151" s="99"/>
      <c r="AW1151" s="99"/>
      <c r="AX1151" s="99"/>
      <c r="AY1151" s="99"/>
      <c r="AZ1151" s="99"/>
      <c r="BA1151" s="99"/>
      <c r="BB1151" s="99"/>
      <c r="BC1151" s="99"/>
      <c r="BD1151" s="99"/>
      <c r="BE1151" s="99"/>
      <c r="BF1151" s="99"/>
      <c r="BG1151" s="99"/>
      <c r="BH1151" s="99"/>
      <c r="BI1151" s="99"/>
      <c r="BJ1151" s="99"/>
      <c r="BK1151" s="99"/>
      <c r="BL1151" s="99"/>
      <c r="BM1151" s="99"/>
      <c r="BN1151" s="99"/>
      <c r="BO1151" s="99"/>
      <c r="BP1151" s="99"/>
      <c r="BQ1151" s="99"/>
      <c r="BR1151" s="99"/>
      <c r="BS1151" s="99"/>
      <c r="BT1151" s="99"/>
      <c r="BU1151" s="99"/>
      <c r="BV1151" s="99"/>
      <c r="BW1151" s="99"/>
      <c r="BX1151" s="99"/>
      <c r="BY1151" s="99"/>
      <c r="BZ1151" s="99"/>
      <c r="CA1151" s="99"/>
      <c r="CB1151" s="99"/>
      <c r="CC1151" s="99"/>
      <c r="CD1151" s="99"/>
      <c r="CE1151" s="99"/>
      <c r="CF1151" s="99"/>
      <c r="CG1151" s="99"/>
      <c r="CH1151" s="99"/>
      <c r="CI1151" s="99"/>
      <c r="CJ1151" s="621"/>
      <c r="CK1151" s="621"/>
      <c r="CL1151" s="621"/>
    </row>
    <row r="1152" spans="27:90">
      <c r="AA1152" s="350"/>
      <c r="AB1152" s="62"/>
      <c r="AC1152" s="62"/>
      <c r="AD1152" s="62"/>
      <c r="AP1152" s="88"/>
      <c r="AQ1152" s="88"/>
      <c r="AR1152" s="88"/>
      <c r="AS1152" s="99"/>
      <c r="AT1152" s="99"/>
      <c r="AU1152" s="99"/>
      <c r="AV1152" s="99"/>
      <c r="AW1152" s="99"/>
      <c r="AX1152" s="99"/>
      <c r="AY1152" s="99"/>
      <c r="AZ1152" s="99"/>
      <c r="BA1152" s="99"/>
      <c r="BB1152" s="99"/>
      <c r="BC1152" s="99"/>
      <c r="BD1152" s="99"/>
      <c r="BE1152" s="99"/>
      <c r="BF1152" s="99"/>
      <c r="BG1152" s="99"/>
      <c r="BH1152" s="99"/>
      <c r="BI1152" s="99"/>
      <c r="BJ1152" s="99"/>
      <c r="BK1152" s="99"/>
      <c r="BL1152" s="99"/>
      <c r="BM1152" s="99"/>
      <c r="BN1152" s="99"/>
      <c r="BO1152" s="99"/>
      <c r="BP1152" s="99"/>
      <c r="BQ1152" s="99"/>
      <c r="BR1152" s="99"/>
      <c r="BS1152" s="99"/>
      <c r="BT1152" s="99"/>
      <c r="BU1152" s="99"/>
      <c r="BV1152" s="99"/>
      <c r="BW1152" s="99"/>
      <c r="BX1152" s="99"/>
      <c r="BY1152" s="99"/>
      <c r="BZ1152" s="99"/>
      <c r="CA1152" s="99"/>
      <c r="CB1152" s="99"/>
      <c r="CC1152" s="99"/>
      <c r="CD1152" s="99"/>
      <c r="CE1152" s="99"/>
      <c r="CF1152" s="99"/>
      <c r="CG1152" s="99"/>
      <c r="CH1152" s="99"/>
      <c r="CI1152" s="99"/>
      <c r="CJ1152" s="621"/>
      <c r="CK1152" s="621"/>
      <c r="CL1152" s="621"/>
    </row>
    <row r="1153" spans="27:90">
      <c r="AA1153" s="350"/>
      <c r="AB1153" s="62"/>
      <c r="AC1153" s="62"/>
      <c r="AD1153" s="62"/>
      <c r="AP1153" s="88"/>
      <c r="AQ1153" s="88"/>
      <c r="AR1153" s="88"/>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621"/>
      <c r="CK1153" s="621"/>
      <c r="CL1153" s="621"/>
    </row>
    <row r="1154" spans="27:90">
      <c r="AA1154" s="350"/>
      <c r="AB1154" s="62"/>
      <c r="AC1154" s="62"/>
      <c r="AD1154" s="62"/>
      <c r="AP1154" s="88"/>
      <c r="AQ1154" s="88"/>
      <c r="AR1154" s="88"/>
      <c r="AS1154" s="99"/>
      <c r="AT1154" s="99"/>
      <c r="AU1154" s="99"/>
      <c r="AV1154" s="99"/>
      <c r="AW1154" s="99"/>
      <c r="AX1154" s="99"/>
      <c r="AY1154" s="99"/>
      <c r="AZ1154" s="99"/>
      <c r="BA1154" s="99"/>
      <c r="BB1154" s="99"/>
      <c r="BC1154" s="99"/>
      <c r="BD1154" s="99"/>
      <c r="BE1154" s="99"/>
      <c r="BF1154" s="99"/>
      <c r="BG1154" s="99"/>
      <c r="BH1154" s="99"/>
      <c r="BI1154" s="99"/>
      <c r="BJ1154" s="99"/>
      <c r="BK1154" s="99"/>
      <c r="BL1154" s="99"/>
      <c r="BM1154" s="99"/>
      <c r="BN1154" s="99"/>
      <c r="BO1154" s="99"/>
      <c r="BP1154" s="99"/>
      <c r="BQ1154" s="99"/>
      <c r="BR1154" s="99"/>
      <c r="BS1154" s="99"/>
      <c r="BT1154" s="99"/>
      <c r="BU1154" s="99"/>
      <c r="BV1154" s="99"/>
      <c r="BW1154" s="99"/>
      <c r="BX1154" s="99"/>
      <c r="BY1154" s="99"/>
      <c r="BZ1154" s="99"/>
      <c r="CA1154" s="99"/>
      <c r="CB1154" s="99"/>
      <c r="CC1154" s="99"/>
      <c r="CD1154" s="99"/>
      <c r="CE1154" s="99"/>
      <c r="CF1154" s="99"/>
      <c r="CG1154" s="99"/>
      <c r="CH1154" s="99"/>
      <c r="CI1154" s="99"/>
      <c r="CJ1154" s="621"/>
      <c r="CK1154" s="621"/>
      <c r="CL1154" s="621"/>
    </row>
    <row r="1155" spans="27:90">
      <c r="AA1155" s="350"/>
      <c r="AB1155" s="62"/>
      <c r="AC1155" s="62"/>
      <c r="AD1155" s="62"/>
      <c r="AP1155" s="88"/>
      <c r="AQ1155" s="88"/>
      <c r="AR1155" s="88"/>
      <c r="AS1155" s="99"/>
      <c r="AT1155" s="99"/>
      <c r="AU1155" s="99"/>
      <c r="AV1155" s="99"/>
      <c r="AW1155" s="99"/>
      <c r="AX1155" s="99"/>
      <c r="AY1155" s="99"/>
      <c r="AZ1155" s="99"/>
      <c r="BA1155" s="99"/>
      <c r="BB1155" s="99"/>
      <c r="BC1155" s="99"/>
      <c r="BD1155" s="99"/>
      <c r="BE1155" s="99"/>
      <c r="BF1155" s="99"/>
      <c r="BG1155" s="99"/>
      <c r="BH1155" s="99"/>
      <c r="BI1155" s="99"/>
      <c r="BJ1155" s="99"/>
      <c r="BK1155" s="99"/>
      <c r="BL1155" s="99"/>
      <c r="BM1155" s="99"/>
      <c r="BN1155" s="99"/>
      <c r="BO1155" s="99"/>
      <c r="BP1155" s="99"/>
      <c r="BQ1155" s="99"/>
      <c r="BR1155" s="99"/>
      <c r="BS1155" s="99"/>
      <c r="BT1155" s="99"/>
      <c r="BU1155" s="99"/>
      <c r="BV1155" s="99"/>
      <c r="BW1155" s="99"/>
      <c r="BX1155" s="99"/>
      <c r="BY1155" s="99"/>
      <c r="BZ1155" s="99"/>
      <c r="CA1155" s="99"/>
      <c r="CB1155" s="99"/>
      <c r="CC1155" s="99"/>
      <c r="CD1155" s="99"/>
      <c r="CE1155" s="99"/>
      <c r="CF1155" s="99"/>
      <c r="CG1155" s="99"/>
      <c r="CH1155" s="99"/>
      <c r="CI1155" s="99"/>
      <c r="CJ1155" s="621"/>
      <c r="CK1155" s="621"/>
      <c r="CL1155" s="621"/>
    </row>
    <row r="1156" spans="27:90">
      <c r="AA1156" s="350"/>
      <c r="AB1156" s="62"/>
      <c r="AC1156" s="62"/>
      <c r="AD1156" s="62"/>
      <c r="AP1156" s="88"/>
      <c r="AQ1156" s="88"/>
      <c r="AR1156" s="88"/>
      <c r="AS1156" s="99"/>
      <c r="AT1156" s="99"/>
      <c r="AU1156" s="99"/>
      <c r="AV1156" s="99"/>
      <c r="AW1156" s="99"/>
      <c r="AX1156" s="99"/>
      <c r="AY1156" s="99"/>
      <c r="AZ1156" s="99"/>
      <c r="BA1156" s="99"/>
      <c r="BB1156" s="99"/>
      <c r="BC1156" s="99"/>
      <c r="BD1156" s="99"/>
      <c r="BE1156" s="99"/>
      <c r="BF1156" s="99"/>
      <c r="BG1156" s="99"/>
      <c r="BH1156" s="99"/>
      <c r="BI1156" s="99"/>
      <c r="BJ1156" s="99"/>
      <c r="BK1156" s="99"/>
      <c r="BL1156" s="99"/>
      <c r="BM1156" s="99"/>
      <c r="BN1156" s="99"/>
      <c r="BO1156" s="99"/>
      <c r="BP1156" s="99"/>
      <c r="BQ1156" s="99"/>
      <c r="BR1156" s="99"/>
      <c r="BS1156" s="99"/>
      <c r="BT1156" s="99"/>
      <c r="BU1156" s="99"/>
      <c r="BV1156" s="99"/>
      <c r="BW1156" s="99"/>
      <c r="BX1156" s="99"/>
      <c r="BY1156" s="99"/>
      <c r="BZ1156" s="99"/>
      <c r="CA1156" s="99"/>
      <c r="CB1156" s="99"/>
      <c r="CC1156" s="99"/>
      <c r="CD1156" s="99"/>
      <c r="CE1156" s="99"/>
      <c r="CF1156" s="99"/>
      <c r="CG1156" s="99"/>
      <c r="CH1156" s="99"/>
      <c r="CI1156" s="99"/>
      <c r="CJ1156" s="621"/>
      <c r="CK1156" s="621"/>
      <c r="CL1156" s="621"/>
    </row>
    <row r="1157" spans="27:90">
      <c r="AA1157" s="350"/>
      <c r="AB1157" s="62"/>
      <c r="AC1157" s="62"/>
      <c r="AD1157" s="62"/>
      <c r="AP1157" s="88"/>
      <c r="AQ1157" s="88"/>
      <c r="AR1157" s="88"/>
      <c r="AS1157" s="99"/>
      <c r="AT1157" s="99"/>
      <c r="AU1157" s="99"/>
      <c r="AV1157" s="99"/>
      <c r="AW1157" s="99"/>
      <c r="AX1157" s="99"/>
      <c r="AY1157" s="99"/>
      <c r="AZ1157" s="99"/>
      <c r="BA1157" s="99"/>
      <c r="BB1157" s="99"/>
      <c r="BC1157" s="99"/>
      <c r="BD1157" s="99"/>
      <c r="BE1157" s="99"/>
      <c r="BF1157" s="99"/>
      <c r="BG1157" s="99"/>
      <c r="BH1157" s="99"/>
      <c r="BI1157" s="99"/>
      <c r="BJ1157" s="99"/>
      <c r="BK1157" s="99"/>
      <c r="BL1157" s="99"/>
      <c r="BM1157" s="99"/>
      <c r="BN1157" s="99"/>
      <c r="BO1157" s="99"/>
      <c r="BP1157" s="99"/>
      <c r="BQ1157" s="99"/>
      <c r="BR1157" s="99"/>
      <c r="BS1157" s="99"/>
      <c r="BT1157" s="99"/>
      <c r="BU1157" s="99"/>
      <c r="BV1157" s="99"/>
      <c r="BW1157" s="99"/>
      <c r="BX1157" s="99"/>
      <c r="BY1157" s="99"/>
      <c r="BZ1157" s="99"/>
      <c r="CA1157" s="99"/>
      <c r="CB1157" s="99"/>
      <c r="CC1157" s="99"/>
      <c r="CD1157" s="99"/>
      <c r="CE1157" s="99"/>
      <c r="CF1157" s="99"/>
      <c r="CG1157" s="99"/>
      <c r="CH1157" s="99"/>
      <c r="CI1157" s="99"/>
      <c r="CJ1157" s="621"/>
      <c r="CK1157" s="621"/>
      <c r="CL1157" s="621"/>
    </row>
    <row r="1158" spans="27:90">
      <c r="AA1158" s="350"/>
      <c r="AB1158" s="62"/>
      <c r="AC1158" s="62"/>
      <c r="AD1158" s="62"/>
      <c r="AP1158" s="88"/>
      <c r="AQ1158" s="88"/>
      <c r="AR1158" s="88"/>
      <c r="AS1158" s="99"/>
      <c r="AT1158" s="99"/>
      <c r="AU1158" s="99"/>
      <c r="AV1158" s="99"/>
      <c r="AW1158" s="99"/>
      <c r="AX1158" s="99"/>
      <c r="AY1158" s="99"/>
      <c r="AZ1158" s="99"/>
      <c r="BA1158" s="99"/>
      <c r="BB1158" s="99"/>
      <c r="BC1158" s="99"/>
      <c r="BD1158" s="99"/>
      <c r="BE1158" s="99"/>
      <c r="BF1158" s="99"/>
      <c r="BG1158" s="99"/>
      <c r="BH1158" s="99"/>
      <c r="BI1158" s="99"/>
      <c r="BJ1158" s="99"/>
      <c r="BK1158" s="99"/>
      <c r="BL1158" s="99"/>
      <c r="BM1158" s="99"/>
      <c r="BN1158" s="99"/>
      <c r="BO1158" s="99"/>
      <c r="BP1158" s="99"/>
      <c r="BQ1158" s="99"/>
      <c r="BR1158" s="99"/>
      <c r="BS1158" s="99"/>
      <c r="BT1158" s="99"/>
      <c r="BU1158" s="99"/>
      <c r="BV1158" s="99"/>
      <c r="BW1158" s="99"/>
      <c r="BX1158" s="99"/>
      <c r="BY1158" s="99"/>
      <c r="BZ1158" s="99"/>
      <c r="CA1158" s="99"/>
      <c r="CB1158" s="99"/>
      <c r="CC1158" s="99"/>
      <c r="CD1158" s="99"/>
      <c r="CE1158" s="99"/>
      <c r="CF1158" s="99"/>
      <c r="CG1158" s="99"/>
      <c r="CH1158" s="99"/>
      <c r="CI1158" s="99"/>
      <c r="CJ1158" s="621"/>
      <c r="CK1158" s="621"/>
      <c r="CL1158" s="621"/>
    </row>
    <row r="1159" spans="27:90">
      <c r="AA1159" s="350"/>
      <c r="AB1159" s="62"/>
      <c r="AC1159" s="62"/>
      <c r="AD1159" s="62"/>
      <c r="AP1159" s="88"/>
      <c r="AQ1159" s="88"/>
      <c r="AR1159" s="88"/>
      <c r="AS1159" s="99"/>
      <c r="AT1159" s="99"/>
      <c r="AU1159" s="99"/>
      <c r="AV1159" s="99"/>
      <c r="AW1159" s="99"/>
      <c r="AX1159" s="99"/>
      <c r="AY1159" s="99"/>
      <c r="AZ1159" s="99"/>
      <c r="BA1159" s="99"/>
      <c r="BB1159" s="99"/>
      <c r="BC1159" s="99"/>
      <c r="BD1159" s="99"/>
      <c r="BE1159" s="99"/>
      <c r="BF1159" s="99"/>
      <c r="BG1159" s="99"/>
      <c r="BH1159" s="99"/>
      <c r="BI1159" s="99"/>
      <c r="BJ1159" s="99"/>
      <c r="BK1159" s="99"/>
      <c r="BL1159" s="99"/>
      <c r="BM1159" s="99"/>
      <c r="BN1159" s="99"/>
      <c r="BO1159" s="99"/>
      <c r="BP1159" s="99"/>
      <c r="BQ1159" s="99"/>
      <c r="BR1159" s="99"/>
      <c r="BS1159" s="99"/>
      <c r="BT1159" s="99"/>
      <c r="BU1159" s="99"/>
      <c r="BV1159" s="99"/>
      <c r="BW1159" s="99"/>
      <c r="BX1159" s="99"/>
      <c r="BY1159" s="99"/>
      <c r="BZ1159" s="99"/>
      <c r="CA1159" s="99"/>
      <c r="CB1159" s="99"/>
      <c r="CC1159" s="99"/>
      <c r="CD1159" s="99"/>
      <c r="CE1159" s="99"/>
      <c r="CF1159" s="99"/>
      <c r="CG1159" s="99"/>
      <c r="CH1159" s="99"/>
      <c r="CI1159" s="99"/>
      <c r="CJ1159" s="621"/>
      <c r="CK1159" s="621"/>
      <c r="CL1159" s="621"/>
    </row>
    <row r="1160" spans="27:90">
      <c r="AA1160" s="350"/>
      <c r="AB1160" s="62"/>
      <c r="AC1160" s="62"/>
      <c r="AD1160" s="62"/>
      <c r="AP1160" s="88"/>
      <c r="AQ1160" s="88"/>
      <c r="AR1160" s="88"/>
      <c r="AS1160" s="99"/>
      <c r="AT1160" s="99"/>
      <c r="AU1160" s="99"/>
      <c r="AV1160" s="99"/>
      <c r="AW1160" s="99"/>
      <c r="AX1160" s="99"/>
      <c r="AY1160" s="99"/>
      <c r="AZ1160" s="99"/>
      <c r="BA1160" s="99"/>
      <c r="BB1160" s="99"/>
      <c r="BC1160" s="99"/>
      <c r="BD1160" s="99"/>
      <c r="BE1160" s="99"/>
      <c r="BF1160" s="99"/>
      <c r="BG1160" s="99"/>
      <c r="BH1160" s="99"/>
      <c r="BI1160" s="99"/>
      <c r="BJ1160" s="99"/>
      <c r="BK1160" s="99"/>
      <c r="BL1160" s="99"/>
      <c r="BM1160" s="99"/>
      <c r="BN1160" s="99"/>
      <c r="BO1160" s="99"/>
      <c r="BP1160" s="99"/>
      <c r="BQ1160" s="99"/>
      <c r="BR1160" s="99"/>
      <c r="BS1160" s="99"/>
      <c r="BT1160" s="99"/>
      <c r="BU1160" s="99"/>
      <c r="BV1160" s="99"/>
      <c r="BW1160" s="99"/>
      <c r="BX1160" s="99"/>
      <c r="BY1160" s="99"/>
      <c r="BZ1160" s="99"/>
      <c r="CA1160" s="99"/>
      <c r="CB1160" s="99"/>
      <c r="CC1160" s="99"/>
      <c r="CD1160" s="99"/>
      <c r="CE1160" s="99"/>
      <c r="CF1160" s="99"/>
      <c r="CG1160" s="99"/>
      <c r="CH1160" s="99"/>
      <c r="CI1160" s="99"/>
      <c r="CJ1160" s="621"/>
      <c r="CK1160" s="621"/>
      <c r="CL1160" s="621"/>
    </row>
    <row r="1161" spans="27:90">
      <c r="AA1161" s="350"/>
      <c r="AB1161" s="62"/>
      <c r="AC1161" s="62"/>
      <c r="AD1161" s="62"/>
      <c r="AP1161" s="88"/>
      <c r="AQ1161" s="88"/>
      <c r="AR1161" s="88"/>
      <c r="AS1161" s="99"/>
      <c r="AT1161" s="99"/>
      <c r="AU1161" s="99"/>
      <c r="AV1161" s="99"/>
      <c r="AW1161" s="99"/>
      <c r="AX1161" s="99"/>
      <c r="AY1161" s="99"/>
      <c r="AZ1161" s="99"/>
      <c r="BA1161" s="99"/>
      <c r="BB1161" s="99"/>
      <c r="BC1161" s="99"/>
      <c r="BD1161" s="99"/>
      <c r="BE1161" s="99"/>
      <c r="BF1161" s="99"/>
      <c r="BG1161" s="99"/>
      <c r="BH1161" s="99"/>
      <c r="BI1161" s="99"/>
      <c r="BJ1161" s="99"/>
      <c r="BK1161" s="99"/>
      <c r="BL1161" s="99"/>
      <c r="BM1161" s="99"/>
      <c r="BN1161" s="99"/>
      <c r="BO1161" s="99"/>
      <c r="BP1161" s="99"/>
      <c r="BQ1161" s="99"/>
      <c r="BR1161" s="99"/>
      <c r="BS1161" s="99"/>
      <c r="BT1161" s="99"/>
      <c r="BU1161" s="99"/>
      <c r="BV1161" s="99"/>
      <c r="BW1161" s="99"/>
      <c r="BX1161" s="99"/>
      <c r="BY1161" s="99"/>
      <c r="BZ1161" s="99"/>
      <c r="CA1161" s="99"/>
      <c r="CB1161" s="99"/>
      <c r="CC1161" s="99"/>
      <c r="CD1161" s="99"/>
      <c r="CE1161" s="99"/>
      <c r="CF1161" s="99"/>
      <c r="CG1161" s="99"/>
      <c r="CH1161" s="99"/>
      <c r="CI1161" s="99"/>
      <c r="CJ1161" s="621"/>
      <c r="CK1161" s="621"/>
      <c r="CL1161" s="621"/>
    </row>
    <row r="1162" spans="27:90">
      <c r="AA1162" s="350"/>
      <c r="AB1162" s="62"/>
      <c r="AC1162" s="62"/>
      <c r="AD1162" s="62"/>
      <c r="AP1162" s="88"/>
      <c r="AQ1162" s="88"/>
      <c r="AR1162" s="88"/>
      <c r="AS1162" s="99"/>
      <c r="AT1162" s="99"/>
      <c r="AU1162" s="99"/>
      <c r="AV1162" s="99"/>
      <c r="AW1162" s="99"/>
      <c r="AX1162" s="99"/>
      <c r="AY1162" s="99"/>
      <c r="AZ1162" s="99"/>
      <c r="BA1162" s="99"/>
      <c r="BB1162" s="99"/>
      <c r="BC1162" s="99"/>
      <c r="BD1162" s="99"/>
      <c r="BE1162" s="99"/>
      <c r="BF1162" s="99"/>
      <c r="BG1162" s="99"/>
      <c r="BH1162" s="99"/>
      <c r="BI1162" s="99"/>
      <c r="BJ1162" s="99"/>
      <c r="BK1162" s="99"/>
      <c r="BL1162" s="99"/>
      <c r="BM1162" s="99"/>
      <c r="BN1162" s="99"/>
      <c r="BO1162" s="99"/>
      <c r="BP1162" s="99"/>
      <c r="BQ1162" s="99"/>
      <c r="BR1162" s="99"/>
      <c r="BS1162" s="99"/>
      <c r="BT1162" s="99"/>
      <c r="BU1162" s="99"/>
      <c r="BV1162" s="99"/>
      <c r="BW1162" s="99"/>
      <c r="BX1162" s="99"/>
      <c r="BY1162" s="99"/>
      <c r="BZ1162" s="99"/>
      <c r="CA1162" s="99"/>
      <c r="CB1162" s="99"/>
      <c r="CC1162" s="99"/>
      <c r="CD1162" s="99"/>
      <c r="CE1162" s="99"/>
      <c r="CF1162" s="99"/>
      <c r="CG1162" s="99"/>
      <c r="CH1162" s="99"/>
      <c r="CI1162" s="99"/>
      <c r="CJ1162" s="621"/>
      <c r="CK1162" s="621"/>
      <c r="CL1162" s="621"/>
    </row>
    <row r="1163" spans="27:90">
      <c r="AA1163" s="350"/>
      <c r="AB1163" s="62"/>
      <c r="AC1163" s="62"/>
      <c r="AD1163" s="62"/>
      <c r="AP1163" s="88"/>
      <c r="AQ1163" s="88"/>
      <c r="AR1163" s="88"/>
      <c r="AS1163" s="99"/>
      <c r="AT1163" s="99"/>
      <c r="AU1163" s="99"/>
      <c r="AV1163" s="99"/>
      <c r="AW1163" s="99"/>
      <c r="AX1163" s="99"/>
      <c r="AY1163" s="99"/>
      <c r="AZ1163" s="99"/>
      <c r="BA1163" s="99"/>
      <c r="BB1163" s="99"/>
      <c r="BC1163" s="99"/>
      <c r="BD1163" s="99"/>
      <c r="BE1163" s="99"/>
      <c r="BF1163" s="99"/>
      <c r="BG1163" s="99"/>
      <c r="BH1163" s="99"/>
      <c r="BI1163" s="99"/>
      <c r="BJ1163" s="99"/>
      <c r="BK1163" s="99"/>
      <c r="BL1163" s="99"/>
      <c r="BM1163" s="99"/>
      <c r="BN1163" s="99"/>
      <c r="BO1163" s="99"/>
      <c r="BP1163" s="99"/>
      <c r="BQ1163" s="99"/>
      <c r="BR1163" s="99"/>
      <c r="BS1163" s="99"/>
      <c r="BT1163" s="99"/>
      <c r="BU1163" s="99"/>
      <c r="BV1163" s="99"/>
      <c r="BW1163" s="99"/>
      <c r="BX1163" s="99"/>
      <c r="BY1163" s="99"/>
      <c r="BZ1163" s="99"/>
      <c r="CA1163" s="99"/>
      <c r="CB1163" s="99"/>
      <c r="CC1163" s="99"/>
      <c r="CD1163" s="99"/>
      <c r="CE1163" s="99"/>
      <c r="CF1163" s="99"/>
      <c r="CG1163" s="99"/>
      <c r="CH1163" s="99"/>
      <c r="CI1163" s="99"/>
      <c r="CJ1163" s="621"/>
      <c r="CK1163" s="621"/>
      <c r="CL1163" s="621"/>
    </row>
    <row r="1164" spans="27:90">
      <c r="AA1164" s="350"/>
      <c r="AB1164" s="62"/>
      <c r="AC1164" s="62"/>
      <c r="AD1164" s="62"/>
      <c r="AP1164" s="88"/>
      <c r="AQ1164" s="88"/>
      <c r="AR1164" s="88"/>
      <c r="AS1164" s="99"/>
      <c r="AT1164" s="99"/>
      <c r="AU1164" s="99"/>
      <c r="AV1164" s="99"/>
      <c r="AW1164" s="99"/>
      <c r="AX1164" s="99"/>
      <c r="AY1164" s="99"/>
      <c r="AZ1164" s="99"/>
      <c r="BA1164" s="99"/>
      <c r="BB1164" s="99"/>
      <c r="BC1164" s="99"/>
      <c r="BD1164" s="99"/>
      <c r="BE1164" s="99"/>
      <c r="BF1164" s="99"/>
      <c r="BG1164" s="99"/>
      <c r="BH1164" s="99"/>
      <c r="BI1164" s="99"/>
      <c r="BJ1164" s="99"/>
      <c r="BK1164" s="99"/>
      <c r="BL1164" s="99"/>
      <c r="BM1164" s="99"/>
      <c r="BN1164" s="99"/>
      <c r="BO1164" s="99"/>
      <c r="BP1164" s="99"/>
      <c r="BQ1164" s="99"/>
      <c r="BR1164" s="99"/>
      <c r="BS1164" s="99"/>
      <c r="BT1164" s="99"/>
      <c r="BU1164" s="99"/>
      <c r="BV1164" s="99"/>
      <c r="BW1164" s="99"/>
      <c r="BX1164" s="99"/>
      <c r="BY1164" s="99"/>
      <c r="BZ1164" s="99"/>
      <c r="CA1164" s="99"/>
      <c r="CB1164" s="99"/>
      <c r="CC1164" s="99"/>
      <c r="CD1164" s="99"/>
      <c r="CE1164" s="99"/>
      <c r="CF1164" s="99"/>
      <c r="CG1164" s="99"/>
      <c r="CH1164" s="99"/>
      <c r="CI1164" s="99"/>
      <c r="CJ1164" s="621"/>
      <c r="CK1164" s="621"/>
      <c r="CL1164" s="621"/>
    </row>
    <row r="1165" spans="27:90">
      <c r="AA1165" s="350"/>
      <c r="AB1165" s="62"/>
      <c r="AC1165" s="62"/>
      <c r="AD1165" s="62"/>
      <c r="AP1165" s="88"/>
      <c r="AQ1165" s="88"/>
      <c r="AR1165" s="88"/>
      <c r="AS1165" s="99"/>
      <c r="AT1165" s="99"/>
      <c r="AU1165" s="99"/>
      <c r="AV1165" s="99"/>
      <c r="AW1165" s="99"/>
      <c r="AX1165" s="99"/>
      <c r="AY1165" s="99"/>
      <c r="AZ1165" s="99"/>
      <c r="BA1165" s="99"/>
      <c r="BB1165" s="99"/>
      <c r="BC1165" s="99"/>
      <c r="BD1165" s="99"/>
      <c r="BE1165" s="99"/>
      <c r="BF1165" s="99"/>
      <c r="BG1165" s="99"/>
      <c r="BH1165" s="99"/>
      <c r="BI1165" s="99"/>
      <c r="BJ1165" s="99"/>
      <c r="BK1165" s="99"/>
      <c r="BL1165" s="99"/>
      <c r="BM1165" s="99"/>
      <c r="BN1165" s="99"/>
      <c r="BO1165" s="99"/>
      <c r="BP1165" s="99"/>
      <c r="BQ1165" s="99"/>
      <c r="BR1165" s="99"/>
      <c r="BS1165" s="99"/>
      <c r="BT1165" s="99"/>
      <c r="BU1165" s="99"/>
      <c r="BV1165" s="99"/>
      <c r="BW1165" s="99"/>
      <c r="BX1165" s="99"/>
      <c r="BY1165" s="99"/>
      <c r="BZ1165" s="99"/>
      <c r="CA1165" s="99"/>
      <c r="CB1165" s="99"/>
      <c r="CC1165" s="99"/>
      <c r="CD1165" s="99"/>
      <c r="CE1165" s="99"/>
      <c r="CF1165" s="99"/>
      <c r="CG1165" s="99"/>
      <c r="CH1165" s="99"/>
      <c r="CI1165" s="99"/>
      <c r="CJ1165" s="621"/>
      <c r="CK1165" s="621"/>
      <c r="CL1165" s="621"/>
    </row>
    <row r="1166" spans="27:90">
      <c r="AA1166" s="350"/>
      <c r="AB1166" s="62"/>
      <c r="AC1166" s="62"/>
      <c r="AD1166" s="62"/>
      <c r="AP1166" s="88"/>
      <c r="AQ1166" s="88"/>
      <c r="AR1166" s="88"/>
      <c r="AS1166" s="99"/>
      <c r="AT1166" s="99"/>
      <c r="AU1166" s="99"/>
      <c r="AV1166" s="99"/>
      <c r="AW1166" s="99"/>
      <c r="AX1166" s="99"/>
      <c r="AY1166" s="99"/>
      <c r="AZ1166" s="99"/>
      <c r="BA1166" s="99"/>
      <c r="BB1166" s="99"/>
      <c r="BC1166" s="99"/>
      <c r="BD1166" s="99"/>
      <c r="BE1166" s="99"/>
      <c r="BF1166" s="99"/>
      <c r="BG1166" s="99"/>
      <c r="BH1166" s="99"/>
      <c r="BI1166" s="99"/>
      <c r="BJ1166" s="99"/>
      <c r="BK1166" s="99"/>
      <c r="BL1166" s="99"/>
      <c r="BM1166" s="99"/>
      <c r="BN1166" s="99"/>
      <c r="BO1166" s="99"/>
      <c r="BP1166" s="99"/>
      <c r="BQ1166" s="99"/>
      <c r="BR1166" s="99"/>
      <c r="BS1166" s="99"/>
      <c r="BT1166" s="99"/>
      <c r="BU1166" s="99"/>
      <c r="BV1166" s="99"/>
      <c r="BW1166" s="99"/>
      <c r="BX1166" s="99"/>
      <c r="BY1166" s="99"/>
      <c r="BZ1166" s="99"/>
      <c r="CA1166" s="99"/>
      <c r="CB1166" s="99"/>
      <c r="CC1166" s="99"/>
      <c r="CD1166" s="99"/>
      <c r="CE1166" s="99"/>
      <c r="CF1166" s="99"/>
      <c r="CG1166" s="99"/>
      <c r="CH1166" s="99"/>
      <c r="CI1166" s="99"/>
      <c r="CJ1166" s="621"/>
      <c r="CK1166" s="621"/>
      <c r="CL1166" s="621"/>
    </row>
    <row r="1167" spans="27:90">
      <c r="AA1167" s="350"/>
      <c r="AB1167" s="62"/>
      <c r="AC1167" s="62"/>
      <c r="AD1167" s="62"/>
      <c r="AP1167" s="88"/>
      <c r="AQ1167" s="88"/>
      <c r="AR1167" s="88"/>
      <c r="AS1167" s="99"/>
      <c r="AT1167" s="99"/>
      <c r="AU1167" s="99"/>
      <c r="AV1167" s="99"/>
      <c r="AW1167" s="99"/>
      <c r="AX1167" s="99"/>
      <c r="AY1167" s="99"/>
      <c r="AZ1167" s="99"/>
      <c r="BA1167" s="99"/>
      <c r="BB1167" s="99"/>
      <c r="BC1167" s="99"/>
      <c r="BD1167" s="99"/>
      <c r="BE1167" s="99"/>
      <c r="BF1167" s="99"/>
      <c r="BG1167" s="99"/>
      <c r="BH1167" s="99"/>
      <c r="BI1167" s="99"/>
      <c r="BJ1167" s="99"/>
      <c r="BK1167" s="99"/>
      <c r="BL1167" s="99"/>
      <c r="BM1167" s="99"/>
      <c r="BN1167" s="99"/>
      <c r="BO1167" s="99"/>
      <c r="BP1167" s="99"/>
      <c r="BQ1167" s="99"/>
      <c r="BR1167" s="99"/>
      <c r="BS1167" s="99"/>
      <c r="BT1167" s="99"/>
      <c r="BU1167" s="99"/>
      <c r="BV1167" s="99"/>
      <c r="BW1167" s="99"/>
      <c r="BX1167" s="99"/>
      <c r="BY1167" s="99"/>
      <c r="BZ1167" s="99"/>
      <c r="CA1167" s="99"/>
      <c r="CB1167" s="99"/>
      <c r="CC1167" s="99"/>
      <c r="CD1167" s="99"/>
      <c r="CE1167" s="99"/>
      <c r="CF1167" s="99"/>
      <c r="CG1167" s="99"/>
      <c r="CH1167" s="99"/>
      <c r="CI1167" s="99"/>
      <c r="CJ1167" s="621"/>
      <c r="CK1167" s="621"/>
      <c r="CL1167" s="621"/>
    </row>
    <row r="1168" spans="27:90">
      <c r="AA1168" s="350"/>
      <c r="AB1168" s="62"/>
      <c r="AC1168" s="62"/>
      <c r="AD1168" s="62"/>
      <c r="AP1168" s="88"/>
      <c r="AQ1168" s="88"/>
      <c r="AR1168" s="88"/>
      <c r="AS1168" s="99"/>
      <c r="AT1168" s="99"/>
      <c r="AU1168" s="99"/>
      <c r="AV1168" s="99"/>
      <c r="AW1168" s="99"/>
      <c r="AX1168" s="99"/>
      <c r="AY1168" s="99"/>
      <c r="AZ1168" s="99"/>
      <c r="BA1168" s="99"/>
      <c r="BB1168" s="99"/>
      <c r="BC1168" s="99"/>
      <c r="BD1168" s="99"/>
      <c r="BE1168" s="99"/>
      <c r="BF1168" s="99"/>
      <c r="BG1168" s="99"/>
      <c r="BH1168" s="99"/>
      <c r="BI1168" s="99"/>
      <c r="BJ1168" s="99"/>
      <c r="BK1168" s="99"/>
      <c r="BL1168" s="99"/>
      <c r="BM1168" s="99"/>
      <c r="BN1168" s="99"/>
      <c r="BO1168" s="99"/>
      <c r="BP1168" s="99"/>
      <c r="BQ1168" s="99"/>
      <c r="BR1168" s="99"/>
      <c r="BS1168" s="99"/>
      <c r="BT1168" s="99"/>
      <c r="BU1168" s="99"/>
      <c r="BV1168" s="99"/>
      <c r="BW1168" s="99"/>
      <c r="BX1168" s="99"/>
      <c r="BY1168" s="99"/>
      <c r="BZ1168" s="99"/>
      <c r="CA1168" s="99"/>
      <c r="CB1168" s="99"/>
      <c r="CC1168" s="99"/>
      <c r="CD1168" s="99"/>
      <c r="CE1168" s="99"/>
      <c r="CF1168" s="99"/>
      <c r="CG1168" s="99"/>
      <c r="CH1168" s="99"/>
      <c r="CI1168" s="99"/>
      <c r="CJ1168" s="621"/>
      <c r="CK1168" s="621"/>
      <c r="CL1168" s="621"/>
    </row>
    <row r="1169" spans="27:90">
      <c r="AA1169" s="350"/>
      <c r="AB1169" s="62"/>
      <c r="AC1169" s="62"/>
      <c r="AD1169" s="62"/>
      <c r="AP1169" s="88"/>
      <c r="AQ1169" s="88"/>
      <c r="AR1169" s="88"/>
      <c r="AS1169" s="99"/>
      <c r="AT1169" s="99"/>
      <c r="AU1169" s="99"/>
      <c r="AV1169" s="99"/>
      <c r="AW1169" s="99"/>
      <c r="AX1169" s="99"/>
      <c r="AY1169" s="99"/>
      <c r="AZ1169" s="99"/>
      <c r="BA1169" s="99"/>
      <c r="BB1169" s="99"/>
      <c r="BC1169" s="99"/>
      <c r="BD1169" s="99"/>
      <c r="BE1169" s="99"/>
      <c r="BF1169" s="99"/>
      <c r="BG1169" s="99"/>
      <c r="BH1169" s="99"/>
      <c r="BI1169" s="99"/>
      <c r="BJ1169" s="99"/>
      <c r="BK1169" s="99"/>
      <c r="BL1169" s="99"/>
      <c r="BM1169" s="99"/>
      <c r="BN1169" s="99"/>
      <c r="BO1169" s="99"/>
      <c r="BP1169" s="99"/>
      <c r="BQ1169" s="99"/>
      <c r="BR1169" s="99"/>
      <c r="BS1169" s="99"/>
      <c r="BT1169" s="99"/>
      <c r="BU1169" s="99"/>
      <c r="BV1169" s="99"/>
      <c r="BW1169" s="99"/>
      <c r="BX1169" s="99"/>
      <c r="BY1169" s="99"/>
      <c r="BZ1169" s="99"/>
      <c r="CA1169" s="99"/>
      <c r="CB1169" s="99"/>
      <c r="CC1169" s="99"/>
      <c r="CD1169" s="99"/>
      <c r="CE1169" s="99"/>
      <c r="CF1169" s="99"/>
      <c r="CG1169" s="99"/>
      <c r="CH1169" s="99"/>
      <c r="CI1169" s="99"/>
      <c r="CJ1169" s="621"/>
      <c r="CK1169" s="621"/>
      <c r="CL1169" s="621"/>
    </row>
    <row r="1170" spans="27:90">
      <c r="AA1170" s="350"/>
      <c r="AB1170" s="62"/>
      <c r="AC1170" s="62"/>
      <c r="AD1170" s="62"/>
      <c r="AP1170" s="88"/>
      <c r="AQ1170" s="88"/>
      <c r="AR1170" s="88"/>
      <c r="AS1170" s="99"/>
      <c r="AT1170" s="99"/>
      <c r="AU1170" s="99"/>
      <c r="AV1170" s="99"/>
      <c r="AW1170" s="99"/>
      <c r="AX1170" s="99"/>
      <c r="AY1170" s="99"/>
      <c r="AZ1170" s="99"/>
      <c r="BA1170" s="99"/>
      <c r="BB1170" s="99"/>
      <c r="BC1170" s="99"/>
      <c r="BD1170" s="99"/>
      <c r="BE1170" s="99"/>
      <c r="BF1170" s="99"/>
      <c r="BG1170" s="99"/>
      <c r="BH1170" s="99"/>
      <c r="BI1170" s="99"/>
      <c r="BJ1170" s="99"/>
      <c r="BK1170" s="99"/>
      <c r="BL1170" s="99"/>
      <c r="BM1170" s="99"/>
      <c r="BN1170" s="99"/>
      <c r="BO1170" s="99"/>
      <c r="BP1170" s="99"/>
      <c r="BQ1170" s="99"/>
      <c r="BR1170" s="99"/>
      <c r="BS1170" s="99"/>
      <c r="BT1170" s="99"/>
      <c r="BU1170" s="99"/>
      <c r="BV1170" s="99"/>
      <c r="BW1170" s="99"/>
      <c r="BX1170" s="99"/>
      <c r="BY1170" s="99"/>
      <c r="BZ1170" s="99"/>
      <c r="CA1170" s="99"/>
      <c r="CB1170" s="99"/>
      <c r="CC1170" s="99"/>
      <c r="CD1170" s="99"/>
      <c r="CE1170" s="99"/>
      <c r="CF1170" s="99"/>
      <c r="CG1170" s="99"/>
      <c r="CH1170" s="99"/>
      <c r="CI1170" s="99"/>
      <c r="CJ1170" s="621"/>
      <c r="CK1170" s="621"/>
      <c r="CL1170" s="621"/>
    </row>
    <row r="1171" spans="27:90">
      <c r="AA1171" s="350"/>
      <c r="AB1171" s="62"/>
      <c r="AC1171" s="62"/>
      <c r="AD1171" s="62"/>
      <c r="AP1171" s="88"/>
      <c r="AQ1171" s="88"/>
      <c r="AR1171" s="88"/>
      <c r="AS1171" s="99"/>
      <c r="AT1171" s="99"/>
      <c r="AU1171" s="99"/>
      <c r="AV1171" s="99"/>
      <c r="AW1171" s="99"/>
      <c r="AX1171" s="99"/>
      <c r="AY1171" s="99"/>
      <c r="AZ1171" s="99"/>
      <c r="BA1171" s="99"/>
      <c r="BB1171" s="99"/>
      <c r="BC1171" s="99"/>
      <c r="BD1171" s="99"/>
      <c r="BE1171" s="99"/>
      <c r="BF1171" s="99"/>
      <c r="BG1171" s="99"/>
      <c r="BH1171" s="99"/>
      <c r="BI1171" s="99"/>
      <c r="BJ1171" s="99"/>
      <c r="BK1171" s="99"/>
      <c r="BL1171" s="99"/>
      <c r="BM1171" s="99"/>
      <c r="BN1171" s="99"/>
      <c r="BO1171" s="99"/>
      <c r="BP1171" s="99"/>
      <c r="BQ1171" s="99"/>
      <c r="BR1171" s="99"/>
      <c r="BS1171" s="99"/>
      <c r="BT1171" s="99"/>
      <c r="BU1171" s="99"/>
      <c r="BV1171" s="99"/>
      <c r="BW1171" s="99"/>
      <c r="BX1171" s="99"/>
      <c r="BY1171" s="99"/>
      <c r="BZ1171" s="99"/>
      <c r="CA1171" s="99"/>
      <c r="CB1171" s="99"/>
      <c r="CC1171" s="99"/>
      <c r="CD1171" s="99"/>
      <c r="CE1171" s="99"/>
      <c r="CF1171" s="99"/>
      <c r="CG1171" s="99"/>
      <c r="CH1171" s="99"/>
      <c r="CI1171" s="99"/>
      <c r="CJ1171" s="621"/>
      <c r="CK1171" s="621"/>
      <c r="CL1171" s="621"/>
    </row>
    <row r="1172" spans="27:90">
      <c r="AA1172" s="350"/>
      <c r="AB1172" s="62"/>
      <c r="AC1172" s="62"/>
      <c r="AD1172" s="62"/>
      <c r="AP1172" s="88"/>
      <c r="AQ1172" s="88"/>
      <c r="AR1172" s="88"/>
      <c r="AS1172" s="99"/>
      <c r="AT1172" s="99"/>
      <c r="AU1172" s="99"/>
      <c r="AV1172" s="99"/>
      <c r="AW1172" s="99"/>
      <c r="AX1172" s="99"/>
      <c r="AY1172" s="99"/>
      <c r="AZ1172" s="99"/>
      <c r="BA1172" s="99"/>
      <c r="BB1172" s="99"/>
      <c r="BC1172" s="99"/>
      <c r="BD1172" s="99"/>
      <c r="BE1172" s="99"/>
      <c r="BF1172" s="99"/>
      <c r="BG1172" s="99"/>
      <c r="BH1172" s="99"/>
      <c r="BI1172" s="99"/>
      <c r="BJ1172" s="99"/>
      <c r="BK1172" s="99"/>
      <c r="BL1172" s="99"/>
      <c r="BM1172" s="99"/>
      <c r="BN1172" s="99"/>
      <c r="BO1172" s="99"/>
      <c r="BP1172" s="99"/>
      <c r="BQ1172" s="99"/>
      <c r="BR1172" s="99"/>
      <c r="BS1172" s="99"/>
      <c r="BT1172" s="99"/>
      <c r="BU1172" s="99"/>
      <c r="BV1172" s="99"/>
      <c r="BW1172" s="99"/>
      <c r="BX1172" s="99"/>
      <c r="BY1172" s="99"/>
      <c r="BZ1172" s="99"/>
      <c r="CA1172" s="99"/>
      <c r="CB1172" s="99"/>
      <c r="CC1172" s="99"/>
      <c r="CD1172" s="99"/>
      <c r="CE1172" s="99"/>
      <c r="CF1172" s="99"/>
      <c r="CG1172" s="99"/>
      <c r="CH1172" s="99"/>
      <c r="CI1172" s="99"/>
      <c r="CJ1172" s="621"/>
      <c r="CK1172" s="621"/>
      <c r="CL1172" s="621"/>
    </row>
    <row r="1173" spans="27:90">
      <c r="AA1173" s="350"/>
      <c r="AB1173" s="62"/>
      <c r="AC1173" s="62"/>
      <c r="AD1173" s="62"/>
      <c r="AP1173" s="88"/>
      <c r="AQ1173" s="88"/>
      <c r="AR1173" s="88"/>
      <c r="AS1173" s="99"/>
      <c r="AT1173" s="99"/>
      <c r="AU1173" s="99"/>
      <c r="AV1173" s="99"/>
      <c r="AW1173" s="99"/>
      <c r="AX1173" s="99"/>
      <c r="AY1173" s="99"/>
      <c r="AZ1173" s="99"/>
      <c r="BA1173" s="99"/>
      <c r="BB1173" s="99"/>
      <c r="BC1173" s="99"/>
      <c r="BD1173" s="99"/>
      <c r="BE1173" s="99"/>
      <c r="BF1173" s="99"/>
      <c r="BG1173" s="99"/>
      <c r="BH1173" s="99"/>
      <c r="BI1173" s="99"/>
      <c r="BJ1173" s="99"/>
      <c r="BK1173" s="99"/>
      <c r="BL1173" s="99"/>
      <c r="BM1173" s="99"/>
      <c r="BN1173" s="99"/>
      <c r="BO1173" s="99"/>
      <c r="BP1173" s="99"/>
      <c r="BQ1173" s="99"/>
      <c r="BR1173" s="99"/>
      <c r="BS1173" s="99"/>
      <c r="BT1173" s="99"/>
      <c r="BU1173" s="99"/>
      <c r="BV1173" s="99"/>
      <c r="BW1173" s="99"/>
      <c r="BX1173" s="99"/>
      <c r="BY1173" s="99"/>
      <c r="BZ1173" s="99"/>
      <c r="CA1173" s="99"/>
      <c r="CB1173" s="99"/>
      <c r="CC1173" s="99"/>
      <c r="CD1173" s="99"/>
      <c r="CE1173" s="99"/>
      <c r="CF1173" s="99"/>
      <c r="CG1173" s="99"/>
      <c r="CH1173" s="99"/>
      <c r="CI1173" s="99"/>
      <c r="CJ1173" s="621"/>
      <c r="CK1173" s="621"/>
      <c r="CL1173" s="621"/>
    </row>
    <row r="1174" spans="27:90">
      <c r="AA1174" s="350"/>
      <c r="AB1174" s="62"/>
      <c r="AC1174" s="62"/>
      <c r="AD1174" s="62"/>
      <c r="AP1174" s="88"/>
      <c r="AQ1174" s="88"/>
      <c r="AR1174" s="88"/>
      <c r="AS1174" s="99"/>
      <c r="AT1174" s="99"/>
      <c r="AU1174" s="99"/>
      <c r="AV1174" s="99"/>
      <c r="AW1174" s="99"/>
      <c r="AX1174" s="99"/>
      <c r="AY1174" s="99"/>
      <c r="AZ1174" s="99"/>
      <c r="BA1174" s="99"/>
      <c r="BB1174" s="99"/>
      <c r="BC1174" s="99"/>
      <c r="BD1174" s="99"/>
      <c r="BE1174" s="99"/>
      <c r="BF1174" s="99"/>
      <c r="BG1174" s="99"/>
      <c r="BH1174" s="99"/>
      <c r="BI1174" s="99"/>
      <c r="BJ1174" s="99"/>
      <c r="BK1174" s="99"/>
      <c r="BL1174" s="99"/>
      <c r="BM1174" s="99"/>
      <c r="BN1174" s="99"/>
      <c r="BO1174" s="99"/>
      <c r="BP1174" s="99"/>
      <c r="BQ1174" s="99"/>
      <c r="BR1174" s="99"/>
      <c r="BS1174" s="99"/>
      <c r="BT1174" s="99"/>
      <c r="BU1174" s="99"/>
      <c r="BV1174" s="99"/>
      <c r="BW1174" s="99"/>
      <c r="BX1174" s="99"/>
      <c r="BY1174" s="99"/>
      <c r="BZ1174" s="99"/>
      <c r="CA1174" s="99"/>
      <c r="CB1174" s="99"/>
      <c r="CC1174" s="99"/>
      <c r="CD1174" s="99"/>
      <c r="CE1174" s="99"/>
      <c r="CF1174" s="99"/>
      <c r="CG1174" s="99"/>
      <c r="CH1174" s="99"/>
      <c r="CI1174" s="99"/>
      <c r="CJ1174" s="621"/>
      <c r="CK1174" s="621"/>
      <c r="CL1174" s="621"/>
    </row>
    <row r="1175" spans="27:90">
      <c r="AA1175" s="350"/>
      <c r="AB1175" s="62"/>
      <c r="AC1175" s="62"/>
      <c r="AD1175" s="62"/>
      <c r="AP1175" s="88"/>
      <c r="AQ1175" s="88"/>
      <c r="AR1175" s="88"/>
      <c r="AS1175" s="99"/>
      <c r="AT1175" s="99"/>
      <c r="AU1175" s="99"/>
      <c r="AV1175" s="99"/>
      <c r="AW1175" s="99"/>
      <c r="AX1175" s="99"/>
      <c r="AY1175" s="99"/>
      <c r="AZ1175" s="99"/>
      <c r="BA1175" s="99"/>
      <c r="BB1175" s="99"/>
      <c r="BC1175" s="99"/>
      <c r="BD1175" s="99"/>
      <c r="BE1175" s="99"/>
      <c r="BF1175" s="99"/>
      <c r="BG1175" s="99"/>
      <c r="BH1175" s="99"/>
      <c r="BI1175" s="99"/>
      <c r="BJ1175" s="99"/>
      <c r="BK1175" s="99"/>
      <c r="BL1175" s="99"/>
      <c r="BM1175" s="99"/>
      <c r="BN1175" s="99"/>
      <c r="BO1175" s="99"/>
      <c r="BP1175" s="99"/>
      <c r="BQ1175" s="99"/>
      <c r="BR1175" s="99"/>
      <c r="BS1175" s="99"/>
      <c r="BT1175" s="99"/>
      <c r="BU1175" s="99"/>
      <c r="BV1175" s="99"/>
      <c r="BW1175" s="99"/>
      <c r="BX1175" s="99"/>
      <c r="BY1175" s="99"/>
      <c r="BZ1175" s="99"/>
      <c r="CA1175" s="99"/>
      <c r="CB1175" s="99"/>
      <c r="CC1175" s="99"/>
      <c r="CD1175" s="99"/>
      <c r="CE1175" s="99"/>
      <c r="CF1175" s="99"/>
      <c r="CG1175" s="99"/>
      <c r="CH1175" s="99"/>
      <c r="CI1175" s="99"/>
      <c r="CJ1175" s="621"/>
      <c r="CK1175" s="621"/>
      <c r="CL1175" s="621"/>
    </row>
    <row r="1176" spans="27:90">
      <c r="AA1176" s="350"/>
      <c r="AB1176" s="62"/>
      <c r="AC1176" s="62"/>
      <c r="AD1176" s="62"/>
      <c r="AP1176" s="88"/>
      <c r="AQ1176" s="88"/>
      <c r="AR1176" s="88"/>
      <c r="AS1176" s="99"/>
      <c r="AT1176" s="99"/>
      <c r="AU1176" s="99"/>
      <c r="AV1176" s="99"/>
      <c r="AW1176" s="99"/>
      <c r="AX1176" s="99"/>
      <c r="AY1176" s="99"/>
      <c r="AZ1176" s="99"/>
      <c r="BA1176" s="99"/>
      <c r="BB1176" s="99"/>
      <c r="BC1176" s="99"/>
      <c r="BD1176" s="99"/>
      <c r="BE1176" s="99"/>
      <c r="BF1176" s="99"/>
      <c r="BG1176" s="99"/>
      <c r="BH1176" s="99"/>
      <c r="BI1176" s="99"/>
      <c r="BJ1176" s="99"/>
      <c r="BK1176" s="99"/>
      <c r="BL1176" s="99"/>
      <c r="BM1176" s="99"/>
      <c r="BN1176" s="99"/>
      <c r="BO1176" s="99"/>
      <c r="BP1176" s="99"/>
      <c r="BQ1176" s="99"/>
      <c r="BR1176" s="99"/>
      <c r="BS1176" s="99"/>
      <c r="BT1176" s="99"/>
      <c r="BU1176" s="99"/>
      <c r="BV1176" s="99"/>
      <c r="BW1176" s="99"/>
      <c r="BX1176" s="99"/>
      <c r="BY1176" s="99"/>
      <c r="BZ1176" s="99"/>
      <c r="CA1176" s="99"/>
      <c r="CB1176" s="99"/>
      <c r="CC1176" s="99"/>
      <c r="CD1176" s="99"/>
      <c r="CE1176" s="99"/>
      <c r="CF1176" s="99"/>
      <c r="CG1176" s="99"/>
      <c r="CH1176" s="99"/>
      <c r="CI1176" s="99"/>
      <c r="CJ1176" s="621"/>
      <c r="CK1176" s="621"/>
      <c r="CL1176" s="621"/>
    </row>
    <row r="1177" spans="27:90">
      <c r="AA1177" s="350"/>
      <c r="AB1177" s="62"/>
      <c r="AC1177" s="62"/>
      <c r="AD1177" s="62"/>
      <c r="AP1177" s="88"/>
      <c r="AQ1177" s="88"/>
      <c r="AR1177" s="88"/>
      <c r="AS1177" s="99"/>
      <c r="AT1177" s="99"/>
      <c r="AU1177" s="99"/>
      <c r="AV1177" s="99"/>
      <c r="AW1177" s="99"/>
      <c r="AX1177" s="99"/>
      <c r="AY1177" s="99"/>
      <c r="AZ1177" s="99"/>
      <c r="BA1177" s="99"/>
      <c r="BB1177" s="99"/>
      <c r="BC1177" s="99"/>
      <c r="BD1177" s="99"/>
      <c r="BE1177" s="99"/>
      <c r="BF1177" s="99"/>
      <c r="BG1177" s="99"/>
      <c r="BH1177" s="99"/>
      <c r="BI1177" s="99"/>
      <c r="BJ1177" s="99"/>
      <c r="BK1177" s="99"/>
      <c r="BL1177" s="99"/>
      <c r="BM1177" s="99"/>
      <c r="BN1177" s="99"/>
      <c r="BO1177" s="99"/>
      <c r="BP1177" s="99"/>
      <c r="BQ1177" s="99"/>
      <c r="BR1177" s="99"/>
      <c r="BS1177" s="99"/>
      <c r="BT1177" s="99"/>
      <c r="BU1177" s="99"/>
      <c r="BV1177" s="99"/>
      <c r="BW1177" s="99"/>
      <c r="BX1177" s="99"/>
      <c r="BY1177" s="99"/>
      <c r="BZ1177" s="99"/>
      <c r="CA1177" s="99"/>
      <c r="CB1177" s="99"/>
      <c r="CC1177" s="99"/>
      <c r="CD1177" s="99"/>
      <c r="CE1177" s="99"/>
      <c r="CF1177" s="99"/>
      <c r="CG1177" s="99"/>
      <c r="CH1177" s="99"/>
      <c r="CI1177" s="99"/>
      <c r="CJ1177" s="621"/>
      <c r="CK1177" s="621"/>
      <c r="CL1177" s="621"/>
    </row>
    <row r="1178" spans="27:90">
      <c r="AA1178" s="350"/>
      <c r="AB1178" s="62"/>
      <c r="AC1178" s="62"/>
      <c r="AD1178" s="62"/>
      <c r="AP1178" s="88"/>
      <c r="AQ1178" s="88"/>
      <c r="AR1178" s="88"/>
      <c r="AS1178" s="99"/>
      <c r="AT1178" s="99"/>
      <c r="AU1178" s="99"/>
      <c r="AV1178" s="99"/>
      <c r="AW1178" s="99"/>
      <c r="AX1178" s="99"/>
      <c r="AY1178" s="99"/>
      <c r="AZ1178" s="99"/>
      <c r="BA1178" s="99"/>
      <c r="BB1178" s="99"/>
      <c r="BC1178" s="99"/>
      <c r="BD1178" s="99"/>
      <c r="BE1178" s="99"/>
      <c r="BF1178" s="99"/>
      <c r="BG1178" s="99"/>
      <c r="BH1178" s="99"/>
      <c r="BI1178" s="99"/>
      <c r="BJ1178" s="99"/>
      <c r="BK1178" s="99"/>
      <c r="BL1178" s="99"/>
      <c r="BM1178" s="99"/>
      <c r="BN1178" s="99"/>
      <c r="BO1178" s="99"/>
      <c r="BP1178" s="99"/>
      <c r="BQ1178" s="99"/>
      <c r="BR1178" s="99"/>
      <c r="BS1178" s="99"/>
      <c r="BT1178" s="99"/>
      <c r="BU1178" s="99"/>
      <c r="BV1178" s="99"/>
      <c r="BW1178" s="99"/>
      <c r="BX1178" s="99"/>
      <c r="BY1178" s="99"/>
      <c r="BZ1178" s="99"/>
      <c r="CA1178" s="99"/>
      <c r="CB1178" s="99"/>
      <c r="CC1178" s="99"/>
      <c r="CD1178" s="99"/>
      <c r="CE1178" s="99"/>
      <c r="CF1178" s="99"/>
      <c r="CG1178" s="99"/>
      <c r="CH1178" s="99"/>
      <c r="CI1178" s="99"/>
      <c r="CJ1178" s="621"/>
      <c r="CK1178" s="621"/>
      <c r="CL1178" s="621"/>
    </row>
    <row r="1179" spans="27:90">
      <c r="AA1179" s="350"/>
      <c r="AB1179" s="62"/>
      <c r="AC1179" s="62"/>
      <c r="AD1179" s="62"/>
      <c r="AP1179" s="88"/>
      <c r="AQ1179" s="88"/>
      <c r="AR1179" s="88"/>
      <c r="AS1179" s="99"/>
      <c r="AT1179" s="99"/>
      <c r="AU1179" s="99"/>
      <c r="AV1179" s="99"/>
      <c r="AW1179" s="99"/>
      <c r="AX1179" s="99"/>
      <c r="AY1179" s="99"/>
      <c r="AZ1179" s="99"/>
      <c r="BA1179" s="99"/>
      <c r="BB1179" s="99"/>
      <c r="BC1179" s="99"/>
      <c r="BD1179" s="99"/>
      <c r="BE1179" s="99"/>
      <c r="BF1179" s="99"/>
      <c r="BG1179" s="99"/>
      <c r="BH1179" s="99"/>
      <c r="BI1179" s="99"/>
      <c r="BJ1179" s="99"/>
      <c r="BK1179" s="99"/>
      <c r="BL1179" s="99"/>
      <c r="BM1179" s="99"/>
      <c r="BN1179" s="99"/>
      <c r="BO1179" s="99"/>
      <c r="BP1179" s="99"/>
      <c r="BQ1179" s="99"/>
      <c r="BR1179" s="99"/>
      <c r="BS1179" s="99"/>
      <c r="BT1179" s="99"/>
      <c r="BU1179" s="99"/>
      <c r="BV1179" s="99"/>
      <c r="BW1179" s="99"/>
      <c r="BX1179" s="99"/>
      <c r="BY1179" s="99"/>
      <c r="BZ1179" s="99"/>
      <c r="CA1179" s="99"/>
      <c r="CB1179" s="99"/>
      <c r="CC1179" s="99"/>
      <c r="CD1179" s="99"/>
      <c r="CE1179" s="99"/>
      <c r="CF1179" s="99"/>
      <c r="CG1179" s="99"/>
      <c r="CH1179" s="99"/>
      <c r="CI1179" s="99"/>
      <c r="CJ1179" s="621"/>
      <c r="CK1179" s="621"/>
      <c r="CL1179" s="621"/>
    </row>
    <row r="1180" spans="27:90">
      <c r="AA1180" s="350"/>
      <c r="AB1180" s="62"/>
      <c r="AC1180" s="62"/>
      <c r="AD1180" s="62"/>
      <c r="AP1180" s="88"/>
      <c r="AQ1180" s="88"/>
      <c r="AR1180" s="88"/>
      <c r="AS1180" s="99"/>
      <c r="AT1180" s="99"/>
      <c r="AU1180" s="99"/>
      <c r="AV1180" s="99"/>
      <c r="AW1180" s="99"/>
      <c r="AX1180" s="99"/>
      <c r="AY1180" s="99"/>
      <c r="AZ1180" s="99"/>
      <c r="BA1180" s="99"/>
      <c r="BB1180" s="99"/>
      <c r="BC1180" s="99"/>
      <c r="BD1180" s="99"/>
      <c r="BE1180" s="99"/>
      <c r="BF1180" s="99"/>
      <c r="BG1180" s="99"/>
      <c r="BH1180" s="99"/>
      <c r="BI1180" s="99"/>
      <c r="BJ1180" s="99"/>
      <c r="BK1180" s="99"/>
      <c r="BL1180" s="99"/>
      <c r="BM1180" s="99"/>
      <c r="BN1180" s="99"/>
      <c r="BO1180" s="99"/>
      <c r="BP1180" s="99"/>
      <c r="BQ1180" s="99"/>
      <c r="BR1180" s="99"/>
      <c r="BS1180" s="99"/>
      <c r="BT1180" s="99"/>
      <c r="BU1180" s="99"/>
      <c r="BV1180" s="99"/>
      <c r="BW1180" s="99"/>
      <c r="BX1180" s="99"/>
      <c r="BY1180" s="99"/>
      <c r="BZ1180" s="99"/>
      <c r="CA1180" s="99"/>
      <c r="CB1180" s="99"/>
      <c r="CC1180" s="99"/>
      <c r="CD1180" s="99"/>
      <c r="CE1180" s="99"/>
      <c r="CF1180" s="99"/>
      <c r="CG1180" s="99"/>
      <c r="CH1180" s="99"/>
      <c r="CI1180" s="99"/>
      <c r="CJ1180" s="621"/>
      <c r="CK1180" s="621"/>
      <c r="CL1180" s="621"/>
    </row>
    <row r="1181" spans="27:90">
      <c r="AA1181" s="350"/>
      <c r="AB1181" s="62"/>
      <c r="AC1181" s="62"/>
      <c r="AD1181" s="62"/>
      <c r="AP1181" s="88"/>
      <c r="AQ1181" s="88"/>
      <c r="AR1181" s="88"/>
      <c r="AS1181" s="99"/>
      <c r="AT1181" s="99"/>
      <c r="AU1181" s="99"/>
      <c r="AV1181" s="99"/>
      <c r="AW1181" s="99"/>
      <c r="AX1181" s="99"/>
      <c r="AY1181" s="99"/>
      <c r="AZ1181" s="99"/>
      <c r="BA1181" s="99"/>
      <c r="BB1181" s="99"/>
      <c r="BC1181" s="99"/>
      <c r="BD1181" s="99"/>
      <c r="BE1181" s="99"/>
      <c r="BF1181" s="99"/>
      <c r="BG1181" s="99"/>
      <c r="BH1181" s="99"/>
      <c r="BI1181" s="99"/>
      <c r="BJ1181" s="99"/>
      <c r="BK1181" s="99"/>
      <c r="BL1181" s="99"/>
      <c r="BM1181" s="99"/>
      <c r="BN1181" s="99"/>
      <c r="BO1181" s="99"/>
      <c r="BP1181" s="99"/>
      <c r="BQ1181" s="99"/>
      <c r="BR1181" s="99"/>
      <c r="BS1181" s="99"/>
      <c r="BT1181" s="99"/>
      <c r="BU1181" s="99"/>
      <c r="BV1181" s="99"/>
      <c r="BW1181" s="99"/>
      <c r="BX1181" s="99"/>
      <c r="BY1181" s="99"/>
      <c r="BZ1181" s="99"/>
      <c r="CA1181" s="99"/>
      <c r="CB1181" s="99"/>
      <c r="CC1181" s="99"/>
      <c r="CD1181" s="99"/>
      <c r="CE1181" s="99"/>
      <c r="CF1181" s="99"/>
      <c r="CG1181" s="99"/>
      <c r="CH1181" s="99"/>
      <c r="CI1181" s="99"/>
      <c r="CJ1181" s="621"/>
      <c r="CK1181" s="621"/>
      <c r="CL1181" s="621"/>
    </row>
    <row r="1182" spans="27:90">
      <c r="AA1182" s="350"/>
      <c r="AB1182" s="62"/>
      <c r="AC1182" s="62"/>
      <c r="AD1182" s="62"/>
      <c r="AP1182" s="88"/>
      <c r="AQ1182" s="88"/>
      <c r="AR1182" s="88"/>
      <c r="AS1182" s="99"/>
      <c r="AT1182" s="99"/>
      <c r="AU1182" s="99"/>
      <c r="AV1182" s="99"/>
      <c r="AW1182" s="99"/>
      <c r="AX1182" s="99"/>
      <c r="AY1182" s="99"/>
      <c r="AZ1182" s="99"/>
      <c r="BA1182" s="99"/>
      <c r="BB1182" s="99"/>
      <c r="BC1182" s="99"/>
      <c r="BD1182" s="99"/>
      <c r="BE1182" s="99"/>
      <c r="BF1182" s="99"/>
      <c r="BG1182" s="99"/>
      <c r="BH1182" s="99"/>
      <c r="BI1182" s="99"/>
      <c r="BJ1182" s="99"/>
      <c r="BK1182" s="99"/>
      <c r="BL1182" s="99"/>
      <c r="BM1182" s="99"/>
      <c r="BN1182" s="99"/>
      <c r="BO1182" s="99"/>
      <c r="BP1182" s="99"/>
      <c r="BQ1182" s="99"/>
      <c r="BR1182" s="99"/>
      <c r="BS1182" s="99"/>
      <c r="BT1182" s="99"/>
      <c r="BU1182" s="99"/>
      <c r="BV1182" s="99"/>
      <c r="BW1182" s="99"/>
      <c r="BX1182" s="99"/>
      <c r="BY1182" s="99"/>
      <c r="BZ1182" s="99"/>
      <c r="CA1182" s="99"/>
      <c r="CB1182" s="99"/>
      <c r="CC1182" s="99"/>
      <c r="CD1182" s="99"/>
      <c r="CE1182" s="99"/>
      <c r="CF1182" s="99"/>
      <c r="CG1182" s="99"/>
      <c r="CH1182" s="99"/>
      <c r="CI1182" s="99"/>
      <c r="CJ1182" s="621"/>
      <c r="CK1182" s="621"/>
      <c r="CL1182" s="621"/>
    </row>
    <row r="1183" spans="27:90">
      <c r="AA1183" s="350"/>
      <c r="AB1183" s="62"/>
      <c r="AC1183" s="62"/>
      <c r="AD1183" s="62"/>
      <c r="AP1183" s="88"/>
      <c r="AQ1183" s="88"/>
      <c r="AR1183" s="88"/>
      <c r="AS1183" s="99"/>
      <c r="AT1183" s="99"/>
      <c r="AU1183" s="99"/>
      <c r="AV1183" s="99"/>
      <c r="AW1183" s="99"/>
      <c r="AX1183" s="99"/>
      <c r="AY1183" s="99"/>
      <c r="AZ1183" s="99"/>
      <c r="BA1183" s="99"/>
      <c r="BB1183" s="99"/>
      <c r="BC1183" s="99"/>
      <c r="BD1183" s="99"/>
      <c r="BE1183" s="99"/>
      <c r="BF1183" s="99"/>
      <c r="BG1183" s="99"/>
      <c r="BH1183" s="99"/>
      <c r="BI1183" s="99"/>
      <c r="BJ1183" s="99"/>
      <c r="BK1183" s="99"/>
      <c r="BL1183" s="99"/>
      <c r="BM1183" s="99"/>
      <c r="BN1183" s="99"/>
      <c r="BO1183" s="99"/>
      <c r="BP1183" s="99"/>
      <c r="BQ1183" s="99"/>
      <c r="BR1183" s="99"/>
      <c r="BS1183" s="99"/>
      <c r="BT1183" s="99"/>
      <c r="BU1183" s="99"/>
      <c r="BV1183" s="99"/>
      <c r="BW1183" s="99"/>
      <c r="BX1183" s="99"/>
      <c r="BY1183" s="99"/>
      <c r="BZ1183" s="99"/>
      <c r="CA1183" s="99"/>
      <c r="CB1183" s="99"/>
      <c r="CC1183" s="99"/>
      <c r="CD1183" s="99"/>
      <c r="CE1183" s="99"/>
      <c r="CF1183" s="99"/>
      <c r="CG1183" s="99"/>
      <c r="CH1183" s="99"/>
      <c r="CI1183" s="99"/>
      <c r="CJ1183" s="621"/>
      <c r="CK1183" s="621"/>
      <c r="CL1183" s="621"/>
    </row>
    <row r="1184" spans="27:90">
      <c r="AA1184" s="350"/>
      <c r="AB1184" s="62"/>
      <c r="AC1184" s="62"/>
      <c r="AD1184" s="62"/>
      <c r="AP1184" s="88"/>
      <c r="AQ1184" s="88"/>
      <c r="AR1184" s="88"/>
      <c r="AS1184" s="99"/>
      <c r="AT1184" s="99"/>
      <c r="AU1184" s="99"/>
      <c r="AV1184" s="99"/>
      <c r="AW1184" s="99"/>
      <c r="AX1184" s="99"/>
      <c r="AY1184" s="99"/>
      <c r="AZ1184" s="99"/>
      <c r="BA1184" s="99"/>
      <c r="BB1184" s="99"/>
      <c r="BC1184" s="99"/>
      <c r="BD1184" s="99"/>
      <c r="BE1184" s="99"/>
      <c r="BF1184" s="99"/>
      <c r="BG1184" s="99"/>
      <c r="BH1184" s="99"/>
      <c r="BI1184" s="99"/>
      <c r="BJ1184" s="99"/>
      <c r="BK1184" s="99"/>
      <c r="BL1184" s="99"/>
      <c r="BM1184" s="99"/>
      <c r="BN1184" s="99"/>
      <c r="BO1184" s="99"/>
      <c r="BP1184" s="99"/>
      <c r="BQ1184" s="99"/>
      <c r="BR1184" s="99"/>
      <c r="BS1184" s="99"/>
      <c r="BT1184" s="99"/>
      <c r="BU1184" s="99"/>
      <c r="BV1184" s="99"/>
      <c r="BW1184" s="99"/>
      <c r="BX1184" s="99"/>
      <c r="BY1184" s="99"/>
      <c r="BZ1184" s="99"/>
      <c r="CA1184" s="99"/>
      <c r="CB1184" s="99"/>
      <c r="CC1184" s="99"/>
      <c r="CD1184" s="99"/>
      <c r="CE1184" s="99"/>
      <c r="CF1184" s="99"/>
      <c r="CG1184" s="99"/>
      <c r="CH1184" s="99"/>
      <c r="CI1184" s="99"/>
      <c r="CJ1184" s="621"/>
      <c r="CK1184" s="621"/>
      <c r="CL1184" s="621"/>
    </row>
    <row r="1185" spans="27:90">
      <c r="AA1185" s="350"/>
      <c r="AB1185" s="62"/>
      <c r="AC1185" s="62"/>
      <c r="AD1185" s="62"/>
      <c r="AP1185" s="88"/>
      <c r="AQ1185" s="88"/>
      <c r="AR1185" s="88"/>
      <c r="AS1185" s="99"/>
      <c r="AT1185" s="99"/>
      <c r="AU1185" s="99"/>
      <c r="AV1185" s="99"/>
      <c r="AW1185" s="99"/>
      <c r="AX1185" s="99"/>
      <c r="AY1185" s="99"/>
      <c r="AZ1185" s="99"/>
      <c r="BA1185" s="99"/>
      <c r="BB1185" s="99"/>
      <c r="BC1185" s="99"/>
      <c r="BD1185" s="99"/>
      <c r="BE1185" s="99"/>
      <c r="BF1185" s="99"/>
      <c r="BG1185" s="99"/>
      <c r="BH1185" s="99"/>
      <c r="BI1185" s="99"/>
      <c r="BJ1185" s="99"/>
      <c r="BK1185" s="99"/>
      <c r="BL1185" s="99"/>
      <c r="BM1185" s="99"/>
      <c r="BN1185" s="99"/>
      <c r="BO1185" s="99"/>
      <c r="BP1185" s="99"/>
      <c r="BQ1185" s="99"/>
      <c r="BR1185" s="99"/>
      <c r="BS1185" s="99"/>
      <c r="BT1185" s="99"/>
      <c r="BU1185" s="99"/>
      <c r="BV1185" s="99"/>
      <c r="BW1185" s="99"/>
      <c r="BX1185" s="99"/>
      <c r="BY1185" s="99"/>
      <c r="BZ1185" s="99"/>
      <c r="CA1185" s="99"/>
      <c r="CB1185" s="99"/>
      <c r="CC1185" s="99"/>
      <c r="CD1185" s="99"/>
      <c r="CE1185" s="99"/>
      <c r="CF1185" s="99"/>
      <c r="CG1185" s="99"/>
      <c r="CH1185" s="99"/>
      <c r="CI1185" s="99"/>
      <c r="CJ1185" s="621"/>
      <c r="CK1185" s="621"/>
      <c r="CL1185" s="621"/>
    </row>
    <row r="1186" spans="27:90">
      <c r="AA1186" s="350"/>
      <c r="AB1186" s="62"/>
      <c r="AC1186" s="62"/>
      <c r="AD1186" s="62"/>
      <c r="AP1186" s="88"/>
      <c r="AQ1186" s="88"/>
      <c r="AR1186" s="88"/>
      <c r="AS1186" s="99"/>
      <c r="AT1186" s="99"/>
      <c r="AU1186" s="99"/>
      <c r="AV1186" s="99"/>
      <c r="AW1186" s="99"/>
      <c r="AX1186" s="99"/>
      <c r="AY1186" s="99"/>
      <c r="AZ1186" s="99"/>
      <c r="BA1186" s="99"/>
      <c r="BB1186" s="99"/>
      <c r="BC1186" s="99"/>
      <c r="BD1186" s="99"/>
      <c r="BE1186" s="99"/>
      <c r="BF1186" s="99"/>
      <c r="BG1186" s="99"/>
      <c r="BH1186" s="99"/>
      <c r="BI1186" s="99"/>
      <c r="BJ1186" s="99"/>
      <c r="BK1186" s="99"/>
      <c r="BL1186" s="99"/>
      <c r="BM1186" s="99"/>
      <c r="BN1186" s="99"/>
      <c r="BO1186" s="99"/>
      <c r="BP1186" s="99"/>
      <c r="BQ1186" s="99"/>
      <c r="BR1186" s="99"/>
      <c r="BS1186" s="99"/>
      <c r="BT1186" s="99"/>
      <c r="BU1186" s="99"/>
      <c r="BV1186" s="99"/>
      <c r="BW1186" s="99"/>
      <c r="BX1186" s="99"/>
      <c r="BY1186" s="99"/>
      <c r="BZ1186" s="99"/>
      <c r="CA1186" s="99"/>
      <c r="CB1186" s="99"/>
      <c r="CC1186" s="99"/>
      <c r="CD1186" s="99"/>
      <c r="CE1186" s="99"/>
      <c r="CF1186" s="99"/>
      <c r="CG1186" s="99"/>
      <c r="CH1186" s="99"/>
      <c r="CI1186" s="99"/>
      <c r="CJ1186" s="621"/>
      <c r="CK1186" s="621"/>
      <c r="CL1186" s="621"/>
    </row>
    <row r="1187" spans="27:90">
      <c r="AA1187" s="350"/>
      <c r="AB1187" s="62"/>
      <c r="AC1187" s="62"/>
      <c r="AD1187" s="62"/>
      <c r="AP1187" s="88"/>
      <c r="AQ1187" s="88"/>
      <c r="AR1187" s="88"/>
      <c r="AS1187" s="99"/>
      <c r="AT1187" s="99"/>
      <c r="AU1187" s="99"/>
      <c r="AV1187" s="99"/>
      <c r="AW1187" s="99"/>
      <c r="AX1187" s="99"/>
      <c r="AY1187" s="99"/>
      <c r="AZ1187" s="99"/>
      <c r="BA1187" s="99"/>
      <c r="BB1187" s="99"/>
      <c r="BC1187" s="99"/>
      <c r="BD1187" s="99"/>
      <c r="BE1187" s="99"/>
      <c r="BF1187" s="99"/>
      <c r="BG1187" s="99"/>
      <c r="BH1187" s="99"/>
      <c r="BI1187" s="99"/>
      <c r="BJ1187" s="99"/>
      <c r="BK1187" s="99"/>
      <c r="BL1187" s="99"/>
      <c r="BM1187" s="99"/>
      <c r="BN1187" s="99"/>
      <c r="BO1187" s="99"/>
      <c r="BP1187" s="99"/>
      <c r="BQ1187" s="99"/>
      <c r="BR1187" s="99"/>
      <c r="BS1187" s="99"/>
      <c r="BT1187" s="99"/>
      <c r="BU1187" s="99"/>
      <c r="BV1187" s="99"/>
      <c r="BW1187" s="99"/>
      <c r="BX1187" s="99"/>
      <c r="BY1187" s="99"/>
      <c r="BZ1187" s="99"/>
      <c r="CA1187" s="99"/>
      <c r="CB1187" s="99"/>
      <c r="CC1187" s="99"/>
      <c r="CD1187" s="99"/>
      <c r="CE1187" s="99"/>
      <c r="CF1187" s="99"/>
      <c r="CG1187" s="99"/>
      <c r="CH1187" s="99"/>
      <c r="CI1187" s="99"/>
      <c r="CJ1187" s="621"/>
      <c r="CK1187" s="621"/>
      <c r="CL1187" s="621"/>
    </row>
    <row r="1188" spans="27:90">
      <c r="AA1188" s="350"/>
      <c r="AB1188" s="62"/>
      <c r="AC1188" s="62"/>
      <c r="AD1188" s="62"/>
      <c r="AP1188" s="88"/>
      <c r="AQ1188" s="88"/>
      <c r="AR1188" s="88"/>
      <c r="AS1188" s="99"/>
      <c r="AT1188" s="99"/>
      <c r="AU1188" s="99"/>
      <c r="AV1188" s="99"/>
      <c r="AW1188" s="99"/>
      <c r="AX1188" s="99"/>
      <c r="AY1188" s="99"/>
      <c r="AZ1188" s="99"/>
      <c r="BA1188" s="99"/>
      <c r="BB1188" s="99"/>
      <c r="BC1188" s="99"/>
      <c r="BD1188" s="99"/>
      <c r="BE1188" s="99"/>
      <c r="BF1188" s="99"/>
      <c r="BG1188" s="99"/>
      <c r="BH1188" s="99"/>
      <c r="BI1188" s="99"/>
      <c r="BJ1188" s="99"/>
      <c r="BK1188" s="99"/>
      <c r="BL1188" s="99"/>
      <c r="BM1188" s="99"/>
      <c r="BN1188" s="99"/>
      <c r="BO1188" s="99"/>
      <c r="BP1188" s="99"/>
      <c r="BQ1188" s="99"/>
      <c r="BR1188" s="99"/>
      <c r="BS1188" s="99"/>
      <c r="BT1188" s="99"/>
      <c r="BU1188" s="99"/>
      <c r="BV1188" s="99"/>
      <c r="BW1188" s="99"/>
      <c r="BX1188" s="99"/>
      <c r="BY1188" s="99"/>
      <c r="BZ1188" s="99"/>
      <c r="CA1188" s="99"/>
      <c r="CB1188" s="99"/>
      <c r="CC1188" s="99"/>
      <c r="CD1188" s="99"/>
      <c r="CE1188" s="99"/>
      <c r="CF1188" s="99"/>
      <c r="CG1188" s="99"/>
      <c r="CH1188" s="99"/>
      <c r="CI1188" s="99"/>
      <c r="CJ1188" s="621"/>
      <c r="CK1188" s="621"/>
      <c r="CL1188" s="621"/>
    </row>
    <row r="1189" spans="27:90">
      <c r="AA1189" s="350"/>
      <c r="AB1189" s="62"/>
      <c r="AC1189" s="62"/>
      <c r="AD1189" s="62"/>
      <c r="AP1189" s="88"/>
      <c r="AQ1189" s="88"/>
      <c r="AR1189" s="88"/>
      <c r="AS1189" s="99"/>
      <c r="AT1189" s="99"/>
      <c r="AU1189" s="99"/>
      <c r="AV1189" s="99"/>
      <c r="AW1189" s="99"/>
      <c r="AX1189" s="99"/>
      <c r="AY1189" s="99"/>
      <c r="AZ1189" s="99"/>
      <c r="BA1189" s="99"/>
      <c r="BB1189" s="99"/>
      <c r="BC1189" s="99"/>
      <c r="BD1189" s="99"/>
      <c r="BE1189" s="99"/>
      <c r="BF1189" s="99"/>
      <c r="BG1189" s="99"/>
      <c r="BH1189" s="99"/>
      <c r="BI1189" s="99"/>
      <c r="BJ1189" s="99"/>
      <c r="BK1189" s="99"/>
      <c r="BL1189" s="99"/>
      <c r="BM1189" s="99"/>
      <c r="BN1189" s="99"/>
      <c r="BO1189" s="99"/>
      <c r="BP1189" s="99"/>
      <c r="BQ1189" s="99"/>
      <c r="BR1189" s="99"/>
      <c r="BS1189" s="99"/>
      <c r="BT1189" s="99"/>
      <c r="BU1189" s="99"/>
      <c r="BV1189" s="99"/>
      <c r="BW1189" s="99"/>
      <c r="BX1189" s="99"/>
      <c r="BY1189" s="99"/>
      <c r="BZ1189" s="99"/>
      <c r="CA1189" s="99"/>
      <c r="CB1189" s="99"/>
      <c r="CC1189" s="99"/>
      <c r="CD1189" s="99"/>
      <c r="CE1189" s="99"/>
      <c r="CF1189" s="99"/>
      <c r="CG1189" s="99"/>
      <c r="CH1189" s="99"/>
      <c r="CI1189" s="99"/>
      <c r="CJ1189" s="621"/>
      <c r="CK1189" s="621"/>
      <c r="CL1189" s="621"/>
    </row>
    <row r="1190" spans="27:90">
      <c r="AA1190" s="350"/>
      <c r="AB1190" s="62"/>
      <c r="AC1190" s="62"/>
      <c r="AD1190" s="62"/>
      <c r="AP1190" s="88"/>
      <c r="AQ1190" s="88"/>
      <c r="AR1190" s="88"/>
      <c r="AS1190" s="99"/>
      <c r="AT1190" s="99"/>
      <c r="AU1190" s="99"/>
      <c r="AV1190" s="99"/>
      <c r="AW1190" s="99"/>
      <c r="AX1190" s="99"/>
      <c r="AY1190" s="99"/>
      <c r="AZ1190" s="99"/>
      <c r="BA1190" s="99"/>
      <c r="BB1190" s="99"/>
      <c r="BC1190" s="99"/>
      <c r="BD1190" s="99"/>
      <c r="BE1190" s="99"/>
      <c r="BF1190" s="99"/>
      <c r="BG1190" s="99"/>
      <c r="BH1190" s="99"/>
      <c r="BI1190" s="99"/>
      <c r="BJ1190" s="99"/>
      <c r="BK1190" s="99"/>
      <c r="BL1190" s="99"/>
      <c r="BM1190" s="99"/>
      <c r="BN1190" s="99"/>
      <c r="BO1190" s="99"/>
      <c r="BP1190" s="99"/>
      <c r="BQ1190" s="99"/>
      <c r="BR1190" s="99"/>
      <c r="BS1190" s="99"/>
      <c r="BT1190" s="99"/>
      <c r="BU1190" s="99"/>
      <c r="BV1190" s="99"/>
      <c r="BW1190" s="99"/>
      <c r="BX1190" s="99"/>
      <c r="BY1190" s="99"/>
      <c r="BZ1190" s="99"/>
      <c r="CA1190" s="99"/>
      <c r="CB1190" s="99"/>
      <c r="CC1190" s="99"/>
      <c r="CD1190" s="99"/>
      <c r="CE1190" s="99"/>
      <c r="CF1190" s="99"/>
      <c r="CG1190" s="99"/>
      <c r="CH1190" s="99"/>
      <c r="CI1190" s="99"/>
      <c r="CJ1190" s="621"/>
      <c r="CK1190" s="621"/>
      <c r="CL1190" s="621"/>
    </row>
    <row r="1191" spans="27:90">
      <c r="AA1191" s="350"/>
      <c r="AB1191" s="62"/>
      <c r="AC1191" s="62"/>
      <c r="AD1191" s="62"/>
      <c r="AP1191" s="88"/>
      <c r="AQ1191" s="88"/>
      <c r="AR1191" s="88"/>
      <c r="AS1191" s="99"/>
      <c r="AT1191" s="99"/>
      <c r="AU1191" s="99"/>
      <c r="AV1191" s="99"/>
      <c r="AW1191" s="99"/>
      <c r="AX1191" s="99"/>
      <c r="AY1191" s="99"/>
      <c r="AZ1191" s="99"/>
      <c r="BA1191" s="99"/>
      <c r="BB1191" s="99"/>
      <c r="BC1191" s="99"/>
      <c r="BD1191" s="99"/>
      <c r="BE1191" s="99"/>
      <c r="BF1191" s="99"/>
      <c r="BG1191" s="99"/>
      <c r="BH1191" s="99"/>
      <c r="BI1191" s="99"/>
      <c r="BJ1191" s="99"/>
      <c r="BK1191" s="99"/>
      <c r="BL1191" s="99"/>
      <c r="BM1191" s="99"/>
      <c r="BN1191" s="99"/>
      <c r="BO1191" s="99"/>
      <c r="BP1191" s="99"/>
      <c r="BQ1191" s="99"/>
      <c r="BR1191" s="99"/>
      <c r="BS1191" s="99"/>
      <c r="BT1191" s="99"/>
      <c r="BU1191" s="99"/>
      <c r="BV1191" s="99"/>
      <c r="BW1191" s="99"/>
      <c r="BX1191" s="99"/>
      <c r="BY1191" s="99"/>
      <c r="BZ1191" s="99"/>
      <c r="CA1191" s="99"/>
      <c r="CB1191" s="99"/>
      <c r="CC1191" s="99"/>
      <c r="CD1191" s="99"/>
      <c r="CE1191" s="99"/>
      <c r="CF1191" s="99"/>
      <c r="CG1191" s="99"/>
      <c r="CH1191" s="99"/>
      <c r="CI1191" s="99"/>
      <c r="CJ1191" s="621"/>
      <c r="CK1191" s="621"/>
      <c r="CL1191" s="621"/>
    </row>
    <row r="1192" spans="27:90">
      <c r="AA1192" s="350"/>
      <c r="AB1192" s="62"/>
      <c r="AC1192" s="62"/>
      <c r="AD1192" s="62"/>
      <c r="AP1192" s="88"/>
      <c r="AQ1192" s="88"/>
      <c r="AR1192" s="88"/>
      <c r="AS1192" s="99"/>
      <c r="AT1192" s="99"/>
      <c r="AU1192" s="99"/>
      <c r="AV1192" s="99"/>
      <c r="AW1192" s="99"/>
      <c r="AX1192" s="99"/>
      <c r="AY1192" s="99"/>
      <c r="AZ1192" s="99"/>
      <c r="BA1192" s="99"/>
      <c r="BB1192" s="99"/>
      <c r="BC1192" s="99"/>
      <c r="BD1192" s="99"/>
      <c r="BE1192" s="99"/>
      <c r="BF1192" s="99"/>
      <c r="BG1192" s="99"/>
      <c r="BH1192" s="99"/>
      <c r="BI1192" s="99"/>
      <c r="BJ1192" s="99"/>
      <c r="BK1192" s="99"/>
      <c r="BL1192" s="99"/>
      <c r="BM1192" s="99"/>
      <c r="BN1192" s="99"/>
      <c r="BO1192" s="99"/>
      <c r="BP1192" s="99"/>
      <c r="BQ1192" s="99"/>
      <c r="BR1192" s="99"/>
      <c r="BS1192" s="99"/>
      <c r="BT1192" s="99"/>
      <c r="BU1192" s="99"/>
      <c r="BV1192" s="99"/>
      <c r="BW1192" s="99"/>
      <c r="BX1192" s="99"/>
      <c r="BY1192" s="99"/>
      <c r="BZ1192" s="99"/>
      <c r="CA1192" s="99"/>
      <c r="CB1192" s="99"/>
      <c r="CC1192" s="99"/>
      <c r="CD1192" s="99"/>
      <c r="CE1192" s="99"/>
      <c r="CF1192" s="99"/>
      <c r="CG1192" s="99"/>
      <c r="CH1192" s="99"/>
      <c r="CI1192" s="99"/>
      <c r="CJ1192" s="621"/>
      <c r="CK1192" s="621"/>
      <c r="CL1192" s="621"/>
    </row>
    <row r="1193" spans="27:90">
      <c r="AA1193" s="350"/>
      <c r="AB1193" s="62"/>
      <c r="AC1193" s="62"/>
      <c r="AD1193" s="62"/>
      <c r="AP1193" s="88"/>
      <c r="AQ1193" s="88"/>
      <c r="AR1193" s="88"/>
      <c r="AS1193" s="99"/>
      <c r="AT1193" s="99"/>
      <c r="AU1193" s="99"/>
      <c r="AV1193" s="99"/>
      <c r="AW1193" s="99"/>
      <c r="AX1193" s="99"/>
      <c r="AY1193" s="99"/>
      <c r="AZ1193" s="99"/>
      <c r="BA1193" s="99"/>
      <c r="BB1193" s="99"/>
      <c r="BC1193" s="99"/>
      <c r="BD1193" s="99"/>
      <c r="BE1193" s="99"/>
      <c r="BF1193" s="99"/>
      <c r="BG1193" s="99"/>
      <c r="BH1193" s="99"/>
      <c r="BI1193" s="99"/>
      <c r="BJ1193" s="99"/>
      <c r="BK1193" s="99"/>
      <c r="BL1193" s="99"/>
      <c r="BM1193" s="99"/>
      <c r="BN1193" s="99"/>
      <c r="BO1193" s="99"/>
      <c r="BP1193" s="99"/>
      <c r="BQ1193" s="99"/>
      <c r="BR1193" s="99"/>
      <c r="BS1193" s="99"/>
      <c r="BT1193" s="99"/>
      <c r="BU1193" s="99"/>
      <c r="BV1193" s="99"/>
      <c r="BW1193" s="99"/>
      <c r="BX1193" s="99"/>
      <c r="BY1193" s="99"/>
      <c r="BZ1193" s="99"/>
      <c r="CA1193" s="99"/>
      <c r="CB1193" s="99"/>
      <c r="CC1193" s="99"/>
      <c r="CD1193" s="99"/>
      <c r="CE1193" s="99"/>
      <c r="CF1193" s="99"/>
      <c r="CG1193" s="99"/>
      <c r="CH1193" s="99"/>
      <c r="CI1193" s="99"/>
      <c r="CJ1193" s="621"/>
      <c r="CK1193" s="621"/>
      <c r="CL1193" s="621"/>
    </row>
    <row r="1194" spans="27:90">
      <c r="AA1194" s="350"/>
      <c r="AB1194" s="62"/>
      <c r="AC1194" s="62"/>
      <c r="AD1194" s="62"/>
      <c r="AP1194" s="88"/>
      <c r="AQ1194" s="88"/>
      <c r="AR1194" s="88"/>
      <c r="AS1194" s="99"/>
      <c r="AT1194" s="99"/>
      <c r="AU1194" s="99"/>
      <c r="AV1194" s="99"/>
      <c r="AW1194" s="99"/>
      <c r="AX1194" s="99"/>
      <c r="AY1194" s="99"/>
      <c r="AZ1194" s="99"/>
      <c r="BA1194" s="99"/>
      <c r="BB1194" s="99"/>
      <c r="BC1194" s="99"/>
      <c r="BD1194" s="99"/>
      <c r="BE1194" s="99"/>
      <c r="BF1194" s="99"/>
      <c r="BG1194" s="99"/>
      <c r="BH1194" s="99"/>
      <c r="BI1194" s="99"/>
      <c r="BJ1194" s="99"/>
      <c r="BK1194" s="99"/>
      <c r="BL1194" s="99"/>
      <c r="BM1194" s="99"/>
      <c r="BN1194" s="99"/>
      <c r="BO1194" s="99"/>
      <c r="BP1194" s="99"/>
      <c r="BQ1194" s="99"/>
      <c r="BR1194" s="99"/>
      <c r="BS1194" s="99"/>
      <c r="BT1194" s="99"/>
      <c r="BU1194" s="99"/>
      <c r="BV1194" s="99"/>
      <c r="BW1194" s="99"/>
      <c r="BX1194" s="99"/>
      <c r="BY1194" s="99"/>
      <c r="BZ1194" s="99"/>
      <c r="CA1194" s="99"/>
      <c r="CB1194" s="99"/>
      <c r="CC1194" s="99"/>
      <c r="CD1194" s="99"/>
      <c r="CE1194" s="99"/>
      <c r="CF1194" s="99"/>
      <c r="CG1194" s="99"/>
      <c r="CH1194" s="99"/>
      <c r="CI1194" s="99"/>
      <c r="CJ1194" s="621"/>
      <c r="CK1194" s="621"/>
      <c r="CL1194" s="621"/>
    </row>
    <row r="1195" spans="27:90">
      <c r="AA1195" s="350"/>
      <c r="AB1195" s="62"/>
      <c r="AC1195" s="62"/>
      <c r="AD1195" s="62"/>
      <c r="AP1195" s="88"/>
      <c r="AQ1195" s="88"/>
      <c r="AR1195" s="88"/>
      <c r="AS1195" s="99"/>
      <c r="AT1195" s="99"/>
      <c r="AU1195" s="99"/>
      <c r="AV1195" s="99"/>
      <c r="AW1195" s="99"/>
      <c r="AX1195" s="99"/>
      <c r="AY1195" s="99"/>
      <c r="AZ1195" s="99"/>
      <c r="BA1195" s="99"/>
      <c r="BB1195" s="99"/>
      <c r="BC1195" s="99"/>
      <c r="BD1195" s="99"/>
      <c r="BE1195" s="99"/>
      <c r="BF1195" s="99"/>
      <c r="BG1195" s="99"/>
      <c r="BH1195" s="99"/>
      <c r="BI1195" s="99"/>
      <c r="BJ1195" s="99"/>
      <c r="BK1195" s="99"/>
      <c r="BL1195" s="99"/>
      <c r="BM1195" s="99"/>
      <c r="BN1195" s="99"/>
      <c r="BO1195" s="99"/>
      <c r="BP1195" s="99"/>
      <c r="BQ1195" s="99"/>
      <c r="BR1195" s="99"/>
      <c r="BS1195" s="99"/>
      <c r="BT1195" s="99"/>
      <c r="BU1195" s="99"/>
      <c r="BV1195" s="99"/>
      <c r="BW1195" s="99"/>
      <c r="BX1195" s="99"/>
      <c r="BY1195" s="99"/>
      <c r="BZ1195" s="99"/>
      <c r="CA1195" s="99"/>
      <c r="CB1195" s="99"/>
      <c r="CC1195" s="99"/>
      <c r="CD1195" s="99"/>
      <c r="CE1195" s="99"/>
      <c r="CF1195" s="99"/>
      <c r="CG1195" s="99"/>
      <c r="CH1195" s="99"/>
      <c r="CI1195" s="99"/>
      <c r="CJ1195" s="621"/>
      <c r="CK1195" s="621"/>
      <c r="CL1195" s="621"/>
    </row>
    <row r="1196" spans="27:90">
      <c r="AA1196" s="350"/>
      <c r="AB1196" s="62"/>
      <c r="AC1196" s="62"/>
      <c r="AD1196" s="62"/>
      <c r="AP1196" s="88"/>
      <c r="AQ1196" s="88"/>
      <c r="AR1196" s="88"/>
      <c r="AS1196" s="99"/>
      <c r="AT1196" s="99"/>
      <c r="AU1196" s="99"/>
      <c r="AV1196" s="99"/>
      <c r="AW1196" s="99"/>
      <c r="AX1196" s="99"/>
      <c r="AY1196" s="99"/>
      <c r="AZ1196" s="99"/>
      <c r="BA1196" s="99"/>
      <c r="BB1196" s="99"/>
      <c r="BC1196" s="99"/>
      <c r="BD1196" s="99"/>
      <c r="BE1196" s="99"/>
      <c r="BF1196" s="99"/>
      <c r="BG1196" s="99"/>
      <c r="BH1196" s="99"/>
      <c r="BI1196" s="99"/>
      <c r="BJ1196" s="99"/>
      <c r="BK1196" s="99"/>
      <c r="BL1196" s="99"/>
      <c r="BM1196" s="99"/>
      <c r="BN1196" s="99"/>
      <c r="BO1196" s="99"/>
      <c r="BP1196" s="99"/>
      <c r="BQ1196" s="99"/>
      <c r="BR1196" s="99"/>
      <c r="BS1196" s="99"/>
      <c r="BT1196" s="99"/>
      <c r="BU1196" s="99"/>
      <c r="BV1196" s="99"/>
      <c r="BW1196" s="99"/>
      <c r="BX1196" s="99"/>
      <c r="BY1196" s="99"/>
      <c r="BZ1196" s="99"/>
      <c r="CA1196" s="99"/>
      <c r="CB1196" s="99"/>
      <c r="CC1196" s="99"/>
      <c r="CD1196" s="99"/>
      <c r="CE1196" s="99"/>
      <c r="CF1196" s="99"/>
      <c r="CG1196" s="99"/>
      <c r="CH1196" s="99"/>
      <c r="CI1196" s="99"/>
      <c r="CJ1196" s="621"/>
      <c r="CK1196" s="621"/>
      <c r="CL1196" s="621"/>
    </row>
    <row r="1197" spans="27:90">
      <c r="AA1197" s="350"/>
      <c r="AB1197" s="62"/>
      <c r="AC1197" s="62"/>
      <c r="AD1197" s="62"/>
      <c r="AP1197" s="88"/>
      <c r="AQ1197" s="88"/>
      <c r="AR1197" s="88"/>
      <c r="AS1197" s="99"/>
      <c r="AT1197" s="99"/>
      <c r="AU1197" s="99"/>
      <c r="AV1197" s="99"/>
      <c r="AW1197" s="99"/>
      <c r="AX1197" s="99"/>
      <c r="AY1197" s="99"/>
      <c r="AZ1197" s="99"/>
      <c r="BA1197" s="99"/>
      <c r="BB1197" s="99"/>
      <c r="BC1197" s="99"/>
      <c r="BD1197" s="99"/>
      <c r="BE1197" s="99"/>
      <c r="BF1197" s="99"/>
      <c r="BG1197" s="99"/>
      <c r="BH1197" s="99"/>
      <c r="BI1197" s="99"/>
      <c r="BJ1197" s="99"/>
      <c r="BK1197" s="99"/>
      <c r="BL1197" s="99"/>
      <c r="BM1197" s="99"/>
      <c r="BN1197" s="99"/>
      <c r="BO1197" s="99"/>
      <c r="BP1197" s="99"/>
      <c r="BQ1197" s="99"/>
      <c r="BR1197" s="99"/>
      <c r="BS1197" s="99"/>
      <c r="BT1197" s="99"/>
      <c r="BU1197" s="99"/>
      <c r="BV1197" s="99"/>
      <c r="BW1197" s="99"/>
      <c r="BX1197" s="99"/>
      <c r="BY1197" s="99"/>
      <c r="BZ1197" s="99"/>
      <c r="CA1197" s="99"/>
      <c r="CB1197" s="99"/>
      <c r="CC1197" s="99"/>
      <c r="CD1197" s="99"/>
      <c r="CE1197" s="99"/>
      <c r="CF1197" s="99"/>
      <c r="CG1197" s="99"/>
      <c r="CH1197" s="99"/>
      <c r="CI1197" s="99"/>
      <c r="CJ1197" s="621"/>
      <c r="CK1197" s="621"/>
      <c r="CL1197" s="621"/>
    </row>
    <row r="1198" spans="27:90">
      <c r="AA1198" s="350"/>
      <c r="AB1198" s="62"/>
      <c r="AC1198" s="62"/>
      <c r="AD1198" s="62"/>
      <c r="AP1198" s="88"/>
      <c r="AQ1198" s="88"/>
      <c r="AR1198" s="88"/>
      <c r="AS1198" s="99"/>
      <c r="AT1198" s="99"/>
      <c r="AU1198" s="99"/>
      <c r="AV1198" s="99"/>
      <c r="AW1198" s="99"/>
      <c r="AX1198" s="99"/>
      <c r="AY1198" s="99"/>
      <c r="AZ1198" s="99"/>
      <c r="BA1198" s="99"/>
      <c r="BB1198" s="99"/>
      <c r="BC1198" s="99"/>
      <c r="BD1198" s="99"/>
      <c r="BE1198" s="99"/>
      <c r="BF1198" s="99"/>
      <c r="BG1198" s="99"/>
      <c r="BH1198" s="99"/>
      <c r="BI1198" s="99"/>
      <c r="BJ1198" s="99"/>
      <c r="BK1198" s="99"/>
      <c r="BL1198" s="99"/>
      <c r="BM1198" s="99"/>
      <c r="BN1198" s="99"/>
      <c r="BO1198" s="99"/>
      <c r="BP1198" s="99"/>
      <c r="BQ1198" s="99"/>
      <c r="BR1198" s="99"/>
      <c r="BS1198" s="99"/>
      <c r="BT1198" s="99"/>
      <c r="BU1198" s="99"/>
      <c r="BV1198" s="99"/>
      <c r="BW1198" s="99"/>
      <c r="BX1198" s="99"/>
      <c r="BY1198" s="99"/>
      <c r="BZ1198" s="99"/>
      <c r="CA1198" s="99"/>
      <c r="CB1198" s="99"/>
      <c r="CC1198" s="99"/>
      <c r="CD1198" s="99"/>
      <c r="CE1198" s="99"/>
      <c r="CF1198" s="99"/>
      <c r="CG1198" s="99"/>
      <c r="CH1198" s="99"/>
      <c r="CI1198" s="99"/>
      <c r="CJ1198" s="621"/>
      <c r="CK1198" s="621"/>
      <c r="CL1198" s="621"/>
    </row>
    <row r="1199" spans="27:90">
      <c r="AA1199" s="350"/>
      <c r="AB1199" s="62"/>
      <c r="AC1199" s="62"/>
      <c r="AD1199" s="62"/>
      <c r="AP1199" s="88"/>
      <c r="AQ1199" s="88"/>
      <c r="AR1199" s="88"/>
      <c r="AS1199" s="99"/>
      <c r="AT1199" s="99"/>
      <c r="AU1199" s="99"/>
      <c r="AV1199" s="99"/>
      <c r="AW1199" s="99"/>
      <c r="AX1199" s="99"/>
      <c r="AY1199" s="99"/>
      <c r="AZ1199" s="99"/>
      <c r="BA1199" s="99"/>
      <c r="BB1199" s="99"/>
      <c r="BC1199" s="99"/>
      <c r="BD1199" s="99"/>
      <c r="BE1199" s="99"/>
      <c r="BF1199" s="99"/>
      <c r="BG1199" s="99"/>
      <c r="BH1199" s="99"/>
      <c r="BI1199" s="99"/>
      <c r="BJ1199" s="99"/>
      <c r="BK1199" s="99"/>
      <c r="BL1199" s="99"/>
      <c r="BM1199" s="99"/>
      <c r="BN1199" s="99"/>
      <c r="BO1199" s="99"/>
      <c r="BP1199" s="99"/>
      <c r="BQ1199" s="99"/>
      <c r="BR1199" s="99"/>
      <c r="BS1199" s="99"/>
      <c r="BT1199" s="99"/>
      <c r="BU1199" s="99"/>
      <c r="BV1199" s="99"/>
      <c r="BW1199" s="99"/>
      <c r="BX1199" s="99"/>
      <c r="BY1199" s="99"/>
      <c r="BZ1199" s="99"/>
      <c r="CA1199" s="99"/>
      <c r="CB1199" s="99"/>
      <c r="CC1199" s="99"/>
      <c r="CD1199" s="99"/>
      <c r="CE1199" s="99"/>
      <c r="CF1199" s="99"/>
      <c r="CG1199" s="99"/>
      <c r="CH1199" s="99"/>
      <c r="CI1199" s="99"/>
      <c r="CJ1199" s="621"/>
      <c r="CK1199" s="621"/>
      <c r="CL1199" s="621"/>
    </row>
    <row r="1200" spans="27:90">
      <c r="AA1200" s="350"/>
      <c r="AB1200" s="62"/>
      <c r="AC1200" s="62"/>
      <c r="AD1200" s="62"/>
      <c r="AP1200" s="88"/>
      <c r="AQ1200" s="88"/>
      <c r="AR1200" s="88"/>
      <c r="AS1200" s="99"/>
      <c r="AT1200" s="99"/>
      <c r="AU1200" s="99"/>
      <c r="AV1200" s="99"/>
      <c r="AW1200" s="99"/>
      <c r="AX1200" s="99"/>
      <c r="AY1200" s="99"/>
      <c r="AZ1200" s="99"/>
      <c r="BA1200" s="99"/>
      <c r="BB1200" s="99"/>
      <c r="BC1200" s="99"/>
      <c r="BD1200" s="99"/>
      <c r="BE1200" s="99"/>
      <c r="BF1200" s="99"/>
      <c r="BG1200" s="99"/>
      <c r="BH1200" s="99"/>
      <c r="BI1200" s="99"/>
      <c r="BJ1200" s="99"/>
      <c r="BK1200" s="99"/>
      <c r="BL1200" s="99"/>
      <c r="BM1200" s="99"/>
      <c r="BN1200" s="99"/>
      <c r="BO1200" s="99"/>
      <c r="BP1200" s="99"/>
      <c r="BQ1200" s="99"/>
      <c r="BR1200" s="99"/>
      <c r="BS1200" s="99"/>
      <c r="BT1200" s="99"/>
      <c r="BU1200" s="99"/>
      <c r="BV1200" s="99"/>
      <c r="BW1200" s="99"/>
      <c r="BX1200" s="99"/>
      <c r="BY1200" s="99"/>
      <c r="BZ1200" s="99"/>
      <c r="CA1200" s="99"/>
      <c r="CB1200" s="99"/>
      <c r="CC1200" s="99"/>
      <c r="CD1200" s="99"/>
      <c r="CE1200" s="99"/>
      <c r="CF1200" s="99"/>
      <c r="CG1200" s="99"/>
      <c r="CH1200" s="99"/>
      <c r="CI1200" s="99"/>
      <c r="CJ1200" s="621"/>
      <c r="CK1200" s="621"/>
      <c r="CL1200" s="621"/>
    </row>
    <row r="1201" spans="27:90">
      <c r="AA1201" s="350"/>
      <c r="AB1201" s="62"/>
      <c r="AC1201" s="62"/>
      <c r="AD1201" s="62"/>
      <c r="AP1201" s="88"/>
      <c r="AQ1201" s="88"/>
      <c r="AR1201" s="88"/>
      <c r="AS1201" s="99"/>
      <c r="AT1201" s="99"/>
      <c r="AU1201" s="99"/>
      <c r="AV1201" s="99"/>
      <c r="AW1201" s="99"/>
      <c r="AX1201" s="99"/>
      <c r="AY1201" s="99"/>
      <c r="AZ1201" s="99"/>
      <c r="BA1201" s="99"/>
      <c r="BB1201" s="99"/>
      <c r="BC1201" s="99"/>
      <c r="BD1201" s="99"/>
      <c r="BE1201" s="99"/>
      <c r="BF1201" s="99"/>
      <c r="BG1201" s="99"/>
      <c r="BH1201" s="99"/>
      <c r="BI1201" s="99"/>
      <c r="BJ1201" s="99"/>
      <c r="BK1201" s="99"/>
      <c r="BL1201" s="99"/>
      <c r="BM1201" s="99"/>
      <c r="BN1201" s="99"/>
      <c r="BO1201" s="99"/>
      <c r="BP1201" s="99"/>
      <c r="BQ1201" s="99"/>
      <c r="BR1201" s="99"/>
      <c r="BS1201" s="99"/>
      <c r="BT1201" s="99"/>
      <c r="BU1201" s="99"/>
      <c r="BV1201" s="99"/>
      <c r="BW1201" s="99"/>
      <c r="BX1201" s="99"/>
      <c r="BY1201" s="99"/>
      <c r="BZ1201" s="99"/>
      <c r="CA1201" s="99"/>
      <c r="CB1201" s="99"/>
      <c r="CC1201" s="99"/>
      <c r="CD1201" s="99"/>
      <c r="CE1201" s="99"/>
      <c r="CF1201" s="99"/>
      <c r="CG1201" s="99"/>
      <c r="CH1201" s="99"/>
      <c r="CI1201" s="99"/>
      <c r="CJ1201" s="621"/>
      <c r="CK1201" s="621"/>
      <c r="CL1201" s="621"/>
    </row>
    <row r="1202" spans="27:90">
      <c r="AA1202" s="350"/>
      <c r="AB1202" s="62"/>
      <c r="AC1202" s="62"/>
      <c r="AD1202" s="62"/>
      <c r="AP1202" s="88"/>
      <c r="AQ1202" s="88"/>
      <c r="AR1202" s="88"/>
      <c r="AS1202" s="99"/>
      <c r="AT1202" s="99"/>
      <c r="AU1202" s="99"/>
      <c r="AV1202" s="99"/>
      <c r="AW1202" s="99"/>
      <c r="AX1202" s="99"/>
      <c r="AY1202" s="99"/>
      <c r="AZ1202" s="99"/>
      <c r="BA1202" s="99"/>
      <c r="BB1202" s="99"/>
      <c r="BC1202" s="99"/>
      <c r="BD1202" s="99"/>
      <c r="BE1202" s="99"/>
      <c r="BF1202" s="99"/>
      <c r="BG1202" s="99"/>
      <c r="BH1202" s="99"/>
      <c r="BI1202" s="99"/>
      <c r="BJ1202" s="99"/>
      <c r="BK1202" s="99"/>
      <c r="BL1202" s="99"/>
      <c r="BM1202" s="99"/>
      <c r="BN1202" s="99"/>
      <c r="BO1202" s="99"/>
      <c r="BP1202" s="99"/>
      <c r="BQ1202" s="99"/>
      <c r="BR1202" s="99"/>
      <c r="BS1202" s="99"/>
      <c r="BT1202" s="99"/>
      <c r="BU1202" s="99"/>
      <c r="BV1202" s="99"/>
      <c r="BW1202" s="99"/>
      <c r="BX1202" s="99"/>
      <c r="BY1202" s="99"/>
      <c r="BZ1202" s="99"/>
      <c r="CA1202" s="99"/>
      <c r="CB1202" s="99"/>
      <c r="CC1202" s="99"/>
      <c r="CD1202" s="99"/>
      <c r="CE1202" s="99"/>
      <c r="CF1202" s="99"/>
      <c r="CG1202" s="99"/>
      <c r="CH1202" s="99"/>
      <c r="CI1202" s="99"/>
      <c r="CJ1202" s="621"/>
      <c r="CK1202" s="621"/>
      <c r="CL1202" s="621"/>
    </row>
    <row r="1203" spans="27:90">
      <c r="AA1203" s="350"/>
      <c r="AB1203" s="62"/>
      <c r="AC1203" s="62"/>
      <c r="AD1203" s="62"/>
      <c r="AP1203" s="88"/>
      <c r="AQ1203" s="88"/>
      <c r="AR1203" s="88"/>
      <c r="AS1203" s="99"/>
      <c r="AT1203" s="99"/>
      <c r="AU1203" s="99"/>
      <c r="AV1203" s="99"/>
      <c r="AW1203" s="99"/>
      <c r="AX1203" s="99"/>
      <c r="AY1203" s="99"/>
      <c r="AZ1203" s="99"/>
      <c r="BA1203" s="99"/>
      <c r="BB1203" s="99"/>
      <c r="BC1203" s="99"/>
      <c r="BD1203" s="99"/>
      <c r="BE1203" s="99"/>
      <c r="BF1203" s="99"/>
      <c r="BG1203" s="99"/>
      <c r="BH1203" s="99"/>
      <c r="BI1203" s="99"/>
      <c r="BJ1203" s="99"/>
      <c r="BK1203" s="99"/>
      <c r="BL1203" s="99"/>
      <c r="BM1203" s="99"/>
      <c r="BN1203" s="99"/>
      <c r="BO1203" s="99"/>
      <c r="BP1203" s="99"/>
      <c r="BQ1203" s="99"/>
      <c r="BR1203" s="99"/>
      <c r="BS1203" s="99"/>
      <c r="BT1203" s="99"/>
      <c r="BU1203" s="99"/>
      <c r="BV1203" s="99"/>
      <c r="BW1203" s="99"/>
      <c r="BX1203" s="99"/>
      <c r="BY1203" s="99"/>
      <c r="BZ1203" s="99"/>
      <c r="CA1203" s="99"/>
      <c r="CB1203" s="99"/>
      <c r="CC1203" s="99"/>
      <c r="CD1203" s="99"/>
      <c r="CE1203" s="99"/>
      <c r="CF1203" s="99"/>
      <c r="CG1203" s="99"/>
      <c r="CH1203" s="99"/>
      <c r="CI1203" s="99"/>
      <c r="CJ1203" s="621"/>
      <c r="CK1203" s="621"/>
      <c r="CL1203" s="621"/>
    </row>
    <row r="1204" spans="27:90">
      <c r="AA1204" s="350"/>
      <c r="AB1204" s="62"/>
      <c r="AC1204" s="62"/>
      <c r="AD1204" s="62"/>
      <c r="AP1204" s="88"/>
      <c r="AQ1204" s="88"/>
      <c r="AR1204" s="88"/>
      <c r="AS1204" s="99"/>
      <c r="AT1204" s="99"/>
      <c r="AU1204" s="99"/>
      <c r="AV1204" s="99"/>
      <c r="AW1204" s="99"/>
      <c r="AX1204" s="99"/>
      <c r="AY1204" s="99"/>
      <c r="AZ1204" s="99"/>
      <c r="BA1204" s="99"/>
      <c r="BB1204" s="99"/>
      <c r="BC1204" s="99"/>
      <c r="BD1204" s="99"/>
      <c r="BE1204" s="99"/>
      <c r="BF1204" s="99"/>
      <c r="BG1204" s="99"/>
      <c r="BH1204" s="99"/>
      <c r="BI1204" s="99"/>
      <c r="BJ1204" s="99"/>
      <c r="BK1204" s="99"/>
      <c r="BL1204" s="99"/>
      <c r="BM1204" s="99"/>
      <c r="BN1204" s="99"/>
      <c r="BO1204" s="99"/>
      <c r="BP1204" s="99"/>
      <c r="BQ1204" s="99"/>
      <c r="BR1204" s="99"/>
      <c r="BS1204" s="99"/>
      <c r="BT1204" s="99"/>
      <c r="BU1204" s="99"/>
      <c r="BV1204" s="99"/>
      <c r="BW1204" s="99"/>
      <c r="BX1204" s="99"/>
      <c r="BY1204" s="99"/>
      <c r="BZ1204" s="99"/>
      <c r="CA1204" s="99"/>
      <c r="CB1204" s="99"/>
      <c r="CC1204" s="99"/>
      <c r="CD1204" s="99"/>
      <c r="CE1204" s="99"/>
      <c r="CF1204" s="99"/>
      <c r="CG1204" s="99"/>
      <c r="CH1204" s="99"/>
      <c r="CI1204" s="99"/>
      <c r="CJ1204" s="621"/>
      <c r="CK1204" s="621"/>
      <c r="CL1204" s="621"/>
    </row>
    <row r="1205" spans="27:90">
      <c r="AA1205" s="350"/>
      <c r="AB1205" s="62"/>
      <c r="AC1205" s="62"/>
      <c r="AD1205" s="62"/>
      <c r="AP1205" s="88"/>
      <c r="AQ1205" s="88"/>
      <c r="AR1205" s="88"/>
      <c r="AS1205" s="99"/>
      <c r="AT1205" s="99"/>
      <c r="AU1205" s="99"/>
      <c r="AV1205" s="99"/>
      <c r="AW1205" s="99"/>
      <c r="AX1205" s="99"/>
      <c r="AY1205" s="99"/>
      <c r="AZ1205" s="99"/>
      <c r="BA1205" s="99"/>
      <c r="BB1205" s="99"/>
      <c r="BC1205" s="99"/>
      <c r="BD1205" s="99"/>
      <c r="BE1205" s="99"/>
      <c r="BF1205" s="99"/>
      <c r="BG1205" s="99"/>
      <c r="BH1205" s="99"/>
      <c r="BI1205" s="99"/>
      <c r="BJ1205" s="99"/>
      <c r="BK1205" s="99"/>
      <c r="BL1205" s="99"/>
      <c r="BM1205" s="99"/>
      <c r="BN1205" s="99"/>
      <c r="BO1205" s="99"/>
      <c r="BP1205" s="99"/>
      <c r="BQ1205" s="99"/>
      <c r="BR1205" s="99"/>
      <c r="BS1205" s="99"/>
      <c r="BT1205" s="99"/>
      <c r="BU1205" s="99"/>
      <c r="BV1205" s="99"/>
      <c r="BW1205" s="99"/>
      <c r="BX1205" s="99"/>
      <c r="BY1205" s="99"/>
      <c r="BZ1205" s="99"/>
      <c r="CA1205" s="99"/>
      <c r="CB1205" s="99"/>
      <c r="CC1205" s="99"/>
      <c r="CD1205" s="99"/>
      <c r="CE1205" s="99"/>
      <c r="CF1205" s="99"/>
      <c r="CG1205" s="99"/>
      <c r="CH1205" s="99"/>
      <c r="CI1205" s="99"/>
      <c r="CJ1205" s="621"/>
      <c r="CK1205" s="621"/>
      <c r="CL1205" s="621"/>
    </row>
    <row r="1206" spans="27:90">
      <c r="AA1206" s="350"/>
      <c r="AB1206" s="62"/>
      <c r="AC1206" s="62"/>
      <c r="AD1206" s="62"/>
      <c r="AP1206" s="88"/>
      <c r="AQ1206" s="88"/>
      <c r="AR1206" s="88"/>
      <c r="AS1206" s="99"/>
      <c r="AT1206" s="99"/>
      <c r="AU1206" s="99"/>
      <c r="AV1206" s="99"/>
      <c r="AW1206" s="99"/>
      <c r="AX1206" s="99"/>
      <c r="AY1206" s="99"/>
      <c r="AZ1206" s="99"/>
      <c r="BA1206" s="99"/>
      <c r="BB1206" s="99"/>
      <c r="BC1206" s="99"/>
      <c r="BD1206" s="99"/>
      <c r="BE1206" s="99"/>
      <c r="BF1206" s="99"/>
      <c r="BG1206" s="99"/>
      <c r="BH1206" s="99"/>
      <c r="BI1206" s="99"/>
      <c r="BJ1206" s="99"/>
      <c r="BK1206" s="99"/>
      <c r="BL1206" s="99"/>
      <c r="BM1206" s="99"/>
      <c r="BN1206" s="99"/>
      <c r="BO1206" s="99"/>
      <c r="BP1206" s="99"/>
      <c r="BQ1206" s="99"/>
      <c r="BR1206" s="99"/>
      <c r="BS1206" s="99"/>
      <c r="BT1206" s="99"/>
      <c r="BU1206" s="99"/>
      <c r="BV1206" s="99"/>
      <c r="BW1206" s="99"/>
      <c r="BX1206" s="99"/>
      <c r="BY1206" s="99"/>
      <c r="BZ1206" s="99"/>
      <c r="CA1206" s="99"/>
      <c r="CB1206" s="99"/>
      <c r="CC1206" s="99"/>
      <c r="CD1206" s="99"/>
      <c r="CE1206" s="99"/>
      <c r="CF1206" s="99"/>
      <c r="CG1206" s="99"/>
      <c r="CH1206" s="99"/>
      <c r="CI1206" s="99"/>
      <c r="CJ1206" s="621"/>
      <c r="CK1206" s="621"/>
      <c r="CL1206" s="621"/>
    </row>
    <row r="1207" spans="27:90">
      <c r="AA1207" s="350"/>
      <c r="AB1207" s="62"/>
      <c r="AC1207" s="62"/>
      <c r="AD1207" s="62"/>
      <c r="AP1207" s="88"/>
      <c r="AQ1207" s="88"/>
      <c r="AR1207" s="88"/>
      <c r="AS1207" s="99"/>
      <c r="AT1207" s="99"/>
      <c r="AU1207" s="99"/>
      <c r="AV1207" s="99"/>
      <c r="AW1207" s="99"/>
      <c r="AX1207" s="99"/>
      <c r="AY1207" s="99"/>
      <c r="AZ1207" s="99"/>
      <c r="BA1207" s="99"/>
      <c r="BB1207" s="99"/>
      <c r="BC1207" s="99"/>
      <c r="BD1207" s="99"/>
      <c r="BE1207" s="99"/>
      <c r="BF1207" s="99"/>
      <c r="BG1207" s="99"/>
      <c r="BH1207" s="99"/>
      <c r="BI1207" s="99"/>
      <c r="BJ1207" s="99"/>
      <c r="BK1207" s="99"/>
      <c r="BL1207" s="99"/>
      <c r="BM1207" s="99"/>
      <c r="BN1207" s="99"/>
      <c r="BO1207" s="99"/>
      <c r="BP1207" s="99"/>
      <c r="BQ1207" s="99"/>
      <c r="BR1207" s="99"/>
      <c r="BS1207" s="99"/>
      <c r="BT1207" s="99"/>
      <c r="BU1207" s="99"/>
      <c r="BV1207" s="99"/>
      <c r="BW1207" s="99"/>
      <c r="BX1207" s="99"/>
      <c r="BY1207" s="99"/>
      <c r="BZ1207" s="99"/>
      <c r="CA1207" s="99"/>
      <c r="CB1207" s="99"/>
      <c r="CC1207" s="99"/>
      <c r="CD1207" s="99"/>
      <c r="CE1207" s="99"/>
      <c r="CF1207" s="99"/>
      <c r="CG1207" s="99"/>
      <c r="CH1207" s="99"/>
      <c r="CI1207" s="99"/>
      <c r="CJ1207" s="621"/>
      <c r="CK1207" s="621"/>
      <c r="CL1207" s="621"/>
    </row>
    <row r="1208" spans="27:90">
      <c r="AA1208" s="350"/>
      <c r="AB1208" s="62"/>
      <c r="AC1208" s="62"/>
      <c r="AD1208" s="62"/>
      <c r="AP1208" s="88"/>
      <c r="AQ1208" s="88"/>
      <c r="AR1208" s="88"/>
      <c r="AS1208" s="99"/>
      <c r="AT1208" s="99"/>
      <c r="AU1208" s="99"/>
      <c r="AV1208" s="99"/>
      <c r="AW1208" s="99"/>
      <c r="AX1208" s="99"/>
      <c r="AY1208" s="99"/>
      <c r="AZ1208" s="99"/>
      <c r="BA1208" s="99"/>
      <c r="BB1208" s="99"/>
      <c r="BC1208" s="99"/>
      <c r="BD1208" s="99"/>
      <c r="BE1208" s="99"/>
      <c r="BF1208" s="99"/>
      <c r="BG1208" s="99"/>
      <c r="BH1208" s="99"/>
      <c r="BI1208" s="99"/>
      <c r="BJ1208" s="99"/>
      <c r="BK1208" s="99"/>
      <c r="BL1208" s="99"/>
      <c r="BM1208" s="99"/>
      <c r="BN1208" s="99"/>
      <c r="BO1208" s="99"/>
      <c r="BP1208" s="99"/>
      <c r="BQ1208" s="99"/>
      <c r="BR1208" s="99"/>
      <c r="BS1208" s="99"/>
      <c r="BT1208" s="99"/>
      <c r="BU1208" s="99"/>
      <c r="BV1208" s="99"/>
      <c r="BW1208" s="99"/>
      <c r="BX1208" s="99"/>
      <c r="BY1208" s="99"/>
      <c r="BZ1208" s="99"/>
      <c r="CA1208" s="99"/>
      <c r="CB1208" s="99"/>
      <c r="CC1208" s="99"/>
      <c r="CD1208" s="99"/>
      <c r="CE1208" s="99"/>
      <c r="CF1208" s="99"/>
      <c r="CG1208" s="99"/>
      <c r="CH1208" s="99"/>
      <c r="CI1208" s="99"/>
      <c r="CJ1208" s="621"/>
      <c r="CK1208" s="621"/>
      <c r="CL1208" s="621"/>
    </row>
    <row r="1209" spans="27:90">
      <c r="AA1209" s="350"/>
      <c r="AB1209" s="62"/>
      <c r="AC1209" s="62"/>
      <c r="AD1209" s="62"/>
      <c r="AP1209" s="88"/>
      <c r="AQ1209" s="88"/>
      <c r="AR1209" s="88"/>
      <c r="AS1209" s="99"/>
      <c r="AT1209" s="99"/>
      <c r="AU1209" s="99"/>
      <c r="AV1209" s="99"/>
      <c r="AW1209" s="99"/>
      <c r="AX1209" s="99"/>
      <c r="AY1209" s="99"/>
      <c r="AZ1209" s="99"/>
      <c r="BA1209" s="99"/>
      <c r="BB1209" s="99"/>
      <c r="BC1209" s="99"/>
      <c r="BD1209" s="99"/>
      <c r="BE1209" s="99"/>
      <c r="BF1209" s="99"/>
      <c r="BG1209" s="99"/>
      <c r="BH1209" s="99"/>
      <c r="BI1209" s="99"/>
      <c r="BJ1209" s="99"/>
      <c r="BK1209" s="99"/>
      <c r="BL1209" s="99"/>
      <c r="BM1209" s="99"/>
      <c r="BN1209" s="99"/>
      <c r="BO1209" s="99"/>
      <c r="BP1209" s="99"/>
      <c r="BQ1209" s="99"/>
      <c r="BR1209" s="99"/>
      <c r="BS1209" s="99"/>
      <c r="BT1209" s="99"/>
      <c r="BU1209" s="99"/>
      <c r="BV1209" s="99"/>
      <c r="BW1209" s="99"/>
      <c r="BX1209" s="99"/>
      <c r="BY1209" s="99"/>
      <c r="BZ1209" s="99"/>
      <c r="CA1209" s="99"/>
      <c r="CB1209" s="99"/>
      <c r="CC1209" s="99"/>
      <c r="CD1209" s="99"/>
      <c r="CE1209" s="99"/>
      <c r="CF1209" s="99"/>
      <c r="CG1209" s="99"/>
      <c r="CH1209" s="99"/>
      <c r="CI1209" s="99"/>
      <c r="CJ1209" s="621"/>
      <c r="CK1209" s="621"/>
      <c r="CL1209" s="621"/>
    </row>
    <row r="1210" spans="27:90">
      <c r="AA1210" s="350"/>
      <c r="AB1210" s="62"/>
      <c r="AC1210" s="62"/>
      <c r="AD1210" s="62"/>
      <c r="AP1210" s="88"/>
      <c r="AQ1210" s="88"/>
      <c r="AR1210" s="88"/>
      <c r="AS1210" s="99"/>
      <c r="AT1210" s="99"/>
      <c r="AU1210" s="99"/>
      <c r="AV1210" s="99"/>
      <c r="AW1210" s="99"/>
      <c r="AX1210" s="99"/>
      <c r="AY1210" s="99"/>
      <c r="AZ1210" s="99"/>
      <c r="BA1210" s="99"/>
      <c r="BB1210" s="99"/>
      <c r="BC1210" s="99"/>
      <c r="BD1210" s="99"/>
      <c r="BE1210" s="99"/>
      <c r="BF1210" s="99"/>
      <c r="BG1210" s="99"/>
      <c r="BH1210" s="99"/>
      <c r="BI1210" s="99"/>
      <c r="BJ1210" s="99"/>
      <c r="BK1210" s="99"/>
      <c r="BL1210" s="99"/>
      <c r="BM1210" s="99"/>
      <c r="BN1210" s="99"/>
      <c r="BO1210" s="99"/>
      <c r="BP1210" s="99"/>
      <c r="BQ1210" s="99"/>
      <c r="BR1210" s="99"/>
      <c r="BS1210" s="99"/>
      <c r="BT1210" s="99"/>
      <c r="BU1210" s="99"/>
      <c r="BV1210" s="99"/>
      <c r="BW1210" s="99"/>
      <c r="BX1210" s="99"/>
      <c r="BY1210" s="99"/>
      <c r="BZ1210" s="99"/>
      <c r="CA1210" s="99"/>
      <c r="CB1210" s="99"/>
      <c r="CC1210" s="99"/>
      <c r="CD1210" s="99"/>
      <c r="CE1210" s="99"/>
      <c r="CF1210" s="99"/>
      <c r="CG1210" s="99"/>
      <c r="CH1210" s="99"/>
      <c r="CI1210" s="99"/>
      <c r="CJ1210" s="621"/>
      <c r="CK1210" s="621"/>
      <c r="CL1210" s="621"/>
    </row>
    <row r="1211" spans="27:90">
      <c r="AA1211" s="350"/>
      <c r="AB1211" s="62"/>
      <c r="AC1211" s="62"/>
      <c r="AD1211" s="62"/>
      <c r="AP1211" s="88"/>
      <c r="AQ1211" s="88"/>
      <c r="AR1211" s="88"/>
      <c r="AS1211" s="99"/>
      <c r="AT1211" s="99"/>
      <c r="AU1211" s="99"/>
      <c r="AV1211" s="99"/>
      <c r="AW1211" s="99"/>
      <c r="AX1211" s="99"/>
      <c r="AY1211" s="99"/>
      <c r="AZ1211" s="99"/>
      <c r="BA1211" s="99"/>
      <c r="BB1211" s="99"/>
      <c r="BC1211" s="99"/>
      <c r="BD1211" s="99"/>
      <c r="BE1211" s="99"/>
      <c r="BF1211" s="99"/>
      <c r="BG1211" s="99"/>
      <c r="BH1211" s="99"/>
      <c r="BI1211" s="99"/>
      <c r="BJ1211" s="99"/>
      <c r="BK1211" s="99"/>
      <c r="BL1211" s="99"/>
      <c r="BM1211" s="99"/>
      <c r="BN1211" s="99"/>
      <c r="BO1211" s="99"/>
      <c r="BP1211" s="99"/>
      <c r="BQ1211" s="99"/>
      <c r="BR1211" s="99"/>
      <c r="BS1211" s="99"/>
      <c r="BT1211" s="99"/>
      <c r="BU1211" s="99"/>
      <c r="BV1211" s="99"/>
      <c r="BW1211" s="99"/>
      <c r="BX1211" s="99"/>
      <c r="BY1211" s="99"/>
      <c r="BZ1211" s="99"/>
      <c r="CA1211" s="99"/>
      <c r="CB1211" s="99"/>
      <c r="CC1211" s="99"/>
      <c r="CD1211" s="99"/>
      <c r="CE1211" s="99"/>
      <c r="CF1211" s="99"/>
      <c r="CG1211" s="99"/>
      <c r="CH1211" s="99"/>
      <c r="CI1211" s="99"/>
      <c r="CJ1211" s="621"/>
      <c r="CK1211" s="621"/>
      <c r="CL1211" s="621"/>
    </row>
    <row r="1212" spans="27:90">
      <c r="AA1212" s="350"/>
      <c r="AB1212" s="62"/>
      <c r="AC1212" s="62"/>
      <c r="AD1212" s="62"/>
      <c r="AP1212" s="88"/>
      <c r="AQ1212" s="88"/>
      <c r="AR1212" s="88"/>
      <c r="AS1212" s="99"/>
      <c r="AT1212" s="99"/>
      <c r="AU1212" s="99"/>
      <c r="AV1212" s="99"/>
      <c r="AW1212" s="99"/>
      <c r="AX1212" s="99"/>
      <c r="AY1212" s="99"/>
      <c r="AZ1212" s="99"/>
      <c r="BA1212" s="99"/>
      <c r="BB1212" s="99"/>
      <c r="BC1212" s="99"/>
      <c r="BD1212" s="99"/>
      <c r="BE1212" s="99"/>
      <c r="BF1212" s="99"/>
      <c r="BG1212" s="99"/>
      <c r="BH1212" s="99"/>
      <c r="BI1212" s="99"/>
      <c r="BJ1212" s="99"/>
      <c r="BK1212" s="99"/>
      <c r="BL1212" s="99"/>
      <c r="BM1212" s="99"/>
      <c r="BN1212" s="99"/>
      <c r="BO1212" s="99"/>
      <c r="BP1212" s="99"/>
      <c r="BQ1212" s="99"/>
      <c r="BR1212" s="99"/>
      <c r="BS1212" s="99"/>
      <c r="BT1212" s="99"/>
      <c r="BU1212" s="99"/>
      <c r="BV1212" s="99"/>
      <c r="BW1212" s="99"/>
      <c r="BX1212" s="99"/>
      <c r="BY1212" s="99"/>
      <c r="BZ1212" s="99"/>
      <c r="CA1212" s="99"/>
      <c r="CB1212" s="99"/>
      <c r="CC1212" s="99"/>
      <c r="CD1212" s="99"/>
      <c r="CE1212" s="99"/>
      <c r="CF1212" s="99"/>
      <c r="CG1212" s="99"/>
      <c r="CH1212" s="99"/>
      <c r="CI1212" s="99"/>
      <c r="CJ1212" s="621"/>
      <c r="CK1212" s="621"/>
      <c r="CL1212" s="621"/>
    </row>
    <row r="1213" spans="27:90">
      <c r="AA1213" s="350"/>
      <c r="AB1213" s="62"/>
      <c r="AC1213" s="62"/>
      <c r="AD1213" s="62"/>
      <c r="AP1213" s="88"/>
      <c r="AQ1213" s="88"/>
      <c r="AR1213" s="88"/>
      <c r="AS1213" s="99"/>
      <c r="AT1213" s="99"/>
      <c r="AU1213" s="99"/>
      <c r="AV1213" s="99"/>
      <c r="AW1213" s="99"/>
      <c r="AX1213" s="99"/>
      <c r="AY1213" s="99"/>
      <c r="AZ1213" s="99"/>
      <c r="BA1213" s="99"/>
      <c r="BB1213" s="99"/>
      <c r="BC1213" s="99"/>
      <c r="BD1213" s="99"/>
      <c r="BE1213" s="99"/>
      <c r="BF1213" s="99"/>
      <c r="BG1213" s="99"/>
      <c r="BH1213" s="99"/>
      <c r="BI1213" s="99"/>
      <c r="BJ1213" s="99"/>
      <c r="BK1213" s="99"/>
      <c r="BL1213" s="99"/>
      <c r="BM1213" s="99"/>
      <c r="BN1213" s="99"/>
      <c r="BO1213" s="99"/>
      <c r="BP1213" s="99"/>
      <c r="BQ1213" s="99"/>
      <c r="BR1213" s="99"/>
      <c r="BS1213" s="99"/>
      <c r="BT1213" s="99"/>
      <c r="BU1213" s="99"/>
      <c r="BV1213" s="99"/>
      <c r="BW1213" s="99"/>
      <c r="BX1213" s="99"/>
      <c r="BY1213" s="99"/>
      <c r="BZ1213" s="99"/>
      <c r="CA1213" s="99"/>
      <c r="CB1213" s="99"/>
      <c r="CC1213" s="99"/>
      <c r="CD1213" s="99"/>
      <c r="CE1213" s="99"/>
      <c r="CF1213" s="99"/>
      <c r="CG1213" s="99"/>
      <c r="CH1213" s="99"/>
      <c r="CI1213" s="99"/>
      <c r="CJ1213" s="621"/>
      <c r="CK1213" s="621"/>
      <c r="CL1213" s="621"/>
    </row>
    <row r="1214" spans="27:90">
      <c r="AA1214" s="350"/>
      <c r="AB1214" s="62"/>
      <c r="AC1214" s="62"/>
      <c r="AD1214" s="62"/>
      <c r="AP1214" s="88"/>
      <c r="AQ1214" s="88"/>
      <c r="AR1214" s="88"/>
      <c r="AS1214" s="99"/>
      <c r="AT1214" s="99"/>
      <c r="AU1214" s="99"/>
      <c r="AV1214" s="99"/>
      <c r="AW1214" s="99"/>
      <c r="AX1214" s="99"/>
      <c r="AY1214" s="99"/>
      <c r="AZ1214" s="99"/>
      <c r="BA1214" s="99"/>
      <c r="BB1214" s="99"/>
      <c r="BC1214" s="99"/>
      <c r="BD1214" s="99"/>
      <c r="BE1214" s="99"/>
      <c r="BF1214" s="99"/>
      <c r="BG1214" s="99"/>
      <c r="BH1214" s="99"/>
      <c r="BI1214" s="99"/>
      <c r="BJ1214" s="99"/>
      <c r="BK1214" s="99"/>
      <c r="BL1214" s="99"/>
      <c r="BM1214" s="99"/>
      <c r="BN1214" s="99"/>
      <c r="BO1214" s="99"/>
      <c r="BP1214" s="99"/>
      <c r="BQ1214" s="99"/>
      <c r="BR1214" s="99"/>
      <c r="BS1214" s="99"/>
      <c r="BT1214" s="99"/>
      <c r="BU1214" s="99"/>
      <c r="BV1214" s="99"/>
      <c r="BW1214" s="99"/>
      <c r="BX1214" s="99"/>
      <c r="BY1214" s="99"/>
      <c r="BZ1214" s="99"/>
      <c r="CA1214" s="99"/>
      <c r="CB1214" s="99"/>
      <c r="CC1214" s="99"/>
      <c r="CD1214" s="99"/>
      <c r="CE1214" s="99"/>
      <c r="CF1214" s="99"/>
      <c r="CG1214" s="99"/>
      <c r="CH1214" s="99"/>
      <c r="CI1214" s="99"/>
      <c r="CJ1214" s="621"/>
      <c r="CK1214" s="621"/>
      <c r="CL1214" s="621"/>
    </row>
    <row r="1215" spans="27:90">
      <c r="AA1215" s="350"/>
      <c r="AB1215" s="62"/>
      <c r="AC1215" s="62"/>
      <c r="AD1215" s="62"/>
      <c r="AP1215" s="88"/>
      <c r="AQ1215" s="88"/>
      <c r="AR1215" s="88"/>
      <c r="AS1215" s="99"/>
      <c r="AT1215" s="99"/>
      <c r="AU1215" s="99"/>
      <c r="AV1215" s="99"/>
      <c r="AW1215" s="99"/>
      <c r="AX1215" s="99"/>
      <c r="AY1215" s="99"/>
      <c r="AZ1215" s="99"/>
      <c r="BA1215" s="99"/>
      <c r="BB1215" s="99"/>
      <c r="BC1215" s="99"/>
      <c r="BD1215" s="99"/>
      <c r="BE1215" s="99"/>
      <c r="BF1215" s="99"/>
      <c r="BG1215" s="99"/>
      <c r="BH1215" s="99"/>
      <c r="BI1215" s="99"/>
      <c r="BJ1215" s="99"/>
      <c r="BK1215" s="99"/>
      <c r="BL1215" s="99"/>
      <c r="BM1215" s="99"/>
      <c r="BN1215" s="99"/>
      <c r="BO1215" s="99"/>
      <c r="BP1215" s="99"/>
      <c r="BQ1215" s="99"/>
      <c r="BR1215" s="99"/>
      <c r="BS1215" s="99"/>
      <c r="BT1215" s="99"/>
      <c r="BU1215" s="99"/>
      <c r="BV1215" s="99"/>
      <c r="BW1215" s="99"/>
      <c r="BX1215" s="99"/>
      <c r="BY1215" s="99"/>
      <c r="BZ1215" s="99"/>
      <c r="CA1215" s="99"/>
      <c r="CB1215" s="99"/>
      <c r="CC1215" s="99"/>
      <c r="CD1215" s="99"/>
      <c r="CE1215" s="99"/>
      <c r="CF1215" s="99"/>
      <c r="CG1215" s="99"/>
      <c r="CH1215" s="99"/>
      <c r="CI1215" s="99"/>
      <c r="CJ1215" s="621"/>
      <c r="CK1215" s="621"/>
      <c r="CL1215" s="621"/>
    </row>
    <row r="1216" spans="27:90">
      <c r="AA1216" s="350"/>
      <c r="AB1216" s="62"/>
      <c r="AC1216" s="62"/>
      <c r="AD1216" s="62"/>
      <c r="AP1216" s="88"/>
      <c r="AQ1216" s="88"/>
      <c r="AR1216" s="88"/>
      <c r="AS1216" s="99"/>
      <c r="AT1216" s="99"/>
      <c r="AU1216" s="99"/>
      <c r="AV1216" s="99"/>
      <c r="AW1216" s="99"/>
      <c r="AX1216" s="99"/>
      <c r="AY1216" s="99"/>
      <c r="AZ1216" s="99"/>
      <c r="BA1216" s="99"/>
      <c r="BB1216" s="99"/>
      <c r="BC1216" s="99"/>
      <c r="BD1216" s="99"/>
      <c r="BE1216" s="99"/>
      <c r="BF1216" s="99"/>
      <c r="BG1216" s="99"/>
      <c r="BH1216" s="99"/>
      <c r="BI1216" s="99"/>
      <c r="BJ1216" s="99"/>
      <c r="BK1216" s="99"/>
      <c r="BL1216" s="99"/>
      <c r="BM1216" s="99"/>
      <c r="BN1216" s="99"/>
      <c r="BO1216" s="99"/>
      <c r="BP1216" s="99"/>
      <c r="BQ1216" s="99"/>
      <c r="BR1216" s="99"/>
      <c r="BS1216" s="99"/>
      <c r="BT1216" s="99"/>
      <c r="BU1216" s="99"/>
      <c r="BV1216" s="99"/>
      <c r="BW1216" s="99"/>
      <c r="BX1216" s="99"/>
      <c r="BY1216" s="99"/>
      <c r="BZ1216" s="99"/>
      <c r="CA1216" s="99"/>
      <c r="CB1216" s="99"/>
      <c r="CC1216" s="99"/>
      <c r="CD1216" s="99"/>
      <c r="CE1216" s="99"/>
      <c r="CF1216" s="99"/>
      <c r="CG1216" s="99"/>
      <c r="CH1216" s="99"/>
      <c r="CI1216" s="99"/>
      <c r="CJ1216" s="621"/>
      <c r="CK1216" s="621"/>
      <c r="CL1216" s="621"/>
    </row>
    <row r="1217" spans="27:90">
      <c r="AA1217" s="350"/>
      <c r="AB1217" s="62"/>
      <c r="AC1217" s="62"/>
      <c r="AD1217" s="62"/>
      <c r="AP1217" s="88"/>
      <c r="AQ1217" s="88"/>
      <c r="AR1217" s="88"/>
      <c r="AS1217" s="99"/>
      <c r="AT1217" s="99"/>
      <c r="AU1217" s="99"/>
      <c r="AV1217" s="99"/>
      <c r="AW1217" s="99"/>
      <c r="AX1217" s="99"/>
      <c r="AY1217" s="99"/>
      <c r="AZ1217" s="99"/>
      <c r="BA1217" s="99"/>
      <c r="BB1217" s="99"/>
      <c r="BC1217" s="99"/>
      <c r="BD1217" s="99"/>
      <c r="BE1217" s="99"/>
      <c r="BF1217" s="99"/>
      <c r="BG1217" s="99"/>
      <c r="BH1217" s="99"/>
      <c r="BI1217" s="99"/>
      <c r="BJ1217" s="99"/>
      <c r="BK1217" s="99"/>
      <c r="BL1217" s="99"/>
      <c r="BM1217" s="99"/>
      <c r="BN1217" s="99"/>
      <c r="BO1217" s="99"/>
      <c r="BP1217" s="99"/>
      <c r="BQ1217" s="99"/>
      <c r="BR1217" s="99"/>
      <c r="BS1217" s="99"/>
      <c r="BT1217" s="99"/>
      <c r="BU1217" s="99"/>
      <c r="BV1217" s="99"/>
      <c r="BW1217" s="99"/>
      <c r="BX1217" s="99"/>
      <c r="BY1217" s="99"/>
      <c r="BZ1217" s="99"/>
      <c r="CA1217" s="99"/>
      <c r="CB1217" s="99"/>
      <c r="CC1217" s="99"/>
      <c r="CD1217" s="99"/>
      <c r="CE1217" s="99"/>
      <c r="CF1217" s="99"/>
      <c r="CG1217" s="99"/>
      <c r="CH1217" s="99"/>
      <c r="CI1217" s="99"/>
      <c r="CJ1217" s="621"/>
      <c r="CK1217" s="621"/>
      <c r="CL1217" s="621"/>
    </row>
    <row r="1218" spans="27:90">
      <c r="AA1218" s="350"/>
      <c r="AB1218" s="62"/>
      <c r="AC1218" s="62"/>
      <c r="AD1218" s="62"/>
      <c r="AP1218" s="88"/>
      <c r="AQ1218" s="88"/>
      <c r="AR1218" s="88"/>
      <c r="AS1218" s="99"/>
      <c r="AT1218" s="99"/>
      <c r="AU1218" s="99"/>
      <c r="AV1218" s="99"/>
      <c r="AW1218" s="99"/>
      <c r="AX1218" s="99"/>
      <c r="AY1218" s="99"/>
      <c r="AZ1218" s="99"/>
      <c r="BA1218" s="99"/>
      <c r="BB1218" s="99"/>
      <c r="BC1218" s="99"/>
      <c r="BD1218" s="99"/>
      <c r="BE1218" s="99"/>
      <c r="BF1218" s="99"/>
      <c r="BG1218" s="99"/>
      <c r="BH1218" s="99"/>
      <c r="BI1218" s="99"/>
      <c r="BJ1218" s="99"/>
      <c r="BK1218" s="99"/>
      <c r="BL1218" s="99"/>
      <c r="BM1218" s="99"/>
      <c r="BN1218" s="99"/>
      <c r="BO1218" s="99"/>
      <c r="BP1218" s="99"/>
      <c r="BQ1218" s="99"/>
      <c r="BR1218" s="99"/>
      <c r="BS1218" s="99"/>
      <c r="BT1218" s="99"/>
      <c r="BU1218" s="99"/>
      <c r="BV1218" s="99"/>
      <c r="BW1218" s="99"/>
      <c r="BX1218" s="99"/>
      <c r="BY1218" s="99"/>
      <c r="BZ1218" s="99"/>
      <c r="CA1218" s="99"/>
      <c r="CB1218" s="99"/>
      <c r="CC1218" s="99"/>
      <c r="CD1218" s="99"/>
      <c r="CE1218" s="99"/>
      <c r="CF1218" s="99"/>
      <c r="CG1218" s="99"/>
      <c r="CH1218" s="99"/>
      <c r="CI1218" s="99"/>
      <c r="CJ1218" s="621"/>
      <c r="CK1218" s="621"/>
      <c r="CL1218" s="621"/>
    </row>
    <row r="1219" spans="27:90">
      <c r="AA1219" s="350"/>
      <c r="AB1219" s="62"/>
      <c r="AC1219" s="62"/>
      <c r="AD1219" s="62"/>
      <c r="AP1219" s="88"/>
      <c r="AQ1219" s="88"/>
      <c r="AR1219" s="88"/>
      <c r="AS1219" s="99"/>
      <c r="AT1219" s="99"/>
      <c r="AU1219" s="99"/>
      <c r="AV1219" s="99"/>
      <c r="AW1219" s="99"/>
      <c r="AX1219" s="99"/>
      <c r="AY1219" s="99"/>
      <c r="AZ1219" s="99"/>
      <c r="BA1219" s="99"/>
      <c r="BB1219" s="99"/>
      <c r="BC1219" s="99"/>
      <c r="BD1219" s="99"/>
      <c r="BE1219" s="99"/>
      <c r="BF1219" s="99"/>
      <c r="BG1219" s="99"/>
      <c r="BH1219" s="99"/>
      <c r="BI1219" s="99"/>
      <c r="BJ1219" s="99"/>
      <c r="BK1219" s="99"/>
      <c r="BL1219" s="99"/>
      <c r="BM1219" s="99"/>
      <c r="BN1219" s="99"/>
      <c r="BO1219" s="99"/>
      <c r="BP1219" s="99"/>
      <c r="BQ1219" s="99"/>
      <c r="BR1219" s="99"/>
      <c r="BS1219" s="99"/>
      <c r="BT1219" s="99"/>
      <c r="BU1219" s="99"/>
      <c r="BV1219" s="99"/>
      <c r="BW1219" s="99"/>
      <c r="BX1219" s="99"/>
      <c r="BY1219" s="99"/>
      <c r="BZ1219" s="99"/>
      <c r="CA1219" s="99"/>
      <c r="CB1219" s="99"/>
      <c r="CC1219" s="99"/>
      <c r="CD1219" s="99"/>
      <c r="CE1219" s="99"/>
      <c r="CF1219" s="99"/>
      <c r="CG1219" s="99"/>
      <c r="CH1219" s="99"/>
      <c r="CI1219" s="99"/>
      <c r="CJ1219" s="621"/>
      <c r="CK1219" s="621"/>
      <c r="CL1219" s="621"/>
    </row>
    <row r="1220" spans="27:90">
      <c r="AA1220" s="350"/>
      <c r="AB1220" s="62"/>
      <c r="AC1220" s="62"/>
      <c r="AD1220" s="62"/>
      <c r="AP1220" s="88"/>
      <c r="AQ1220" s="88"/>
      <c r="AR1220" s="88"/>
      <c r="AS1220" s="99"/>
      <c r="AT1220" s="99"/>
      <c r="AU1220" s="99"/>
      <c r="AV1220" s="99"/>
      <c r="AW1220" s="99"/>
      <c r="AX1220" s="99"/>
      <c r="AY1220" s="99"/>
      <c r="AZ1220" s="99"/>
      <c r="BA1220" s="99"/>
      <c r="BB1220" s="99"/>
      <c r="BC1220" s="99"/>
      <c r="BD1220" s="99"/>
      <c r="BE1220" s="99"/>
      <c r="BF1220" s="99"/>
      <c r="BG1220" s="99"/>
      <c r="BH1220" s="99"/>
      <c r="BI1220" s="99"/>
      <c r="BJ1220" s="99"/>
      <c r="BK1220" s="99"/>
      <c r="BL1220" s="99"/>
      <c r="BM1220" s="99"/>
      <c r="BN1220" s="99"/>
      <c r="BO1220" s="99"/>
      <c r="BP1220" s="99"/>
      <c r="BQ1220" s="99"/>
      <c r="BR1220" s="99"/>
      <c r="BS1220" s="99"/>
      <c r="BT1220" s="99"/>
      <c r="BU1220" s="99"/>
      <c r="BV1220" s="99"/>
      <c r="BW1220" s="99"/>
      <c r="BX1220" s="99"/>
      <c r="BY1220" s="99"/>
      <c r="BZ1220" s="99"/>
      <c r="CA1220" s="99"/>
      <c r="CB1220" s="99"/>
      <c r="CC1220" s="99"/>
      <c r="CD1220" s="99"/>
      <c r="CE1220" s="99"/>
      <c r="CF1220" s="99"/>
      <c r="CG1220" s="99"/>
      <c r="CH1220" s="99"/>
      <c r="CI1220" s="99"/>
      <c r="CJ1220" s="621"/>
      <c r="CK1220" s="621"/>
      <c r="CL1220" s="621"/>
    </row>
    <row r="1221" spans="27:90">
      <c r="AA1221" s="350"/>
      <c r="AB1221" s="62"/>
      <c r="AC1221" s="62"/>
      <c r="AD1221" s="62"/>
      <c r="AP1221" s="88"/>
      <c r="AQ1221" s="88"/>
      <c r="AR1221" s="88"/>
      <c r="AS1221" s="99"/>
      <c r="AT1221" s="99"/>
      <c r="AU1221" s="99"/>
      <c r="AV1221" s="99"/>
      <c r="AW1221" s="99"/>
      <c r="AX1221" s="99"/>
      <c r="AY1221" s="99"/>
      <c r="AZ1221" s="99"/>
      <c r="BA1221" s="99"/>
      <c r="BB1221" s="99"/>
      <c r="BC1221" s="99"/>
      <c r="BD1221" s="99"/>
      <c r="BE1221" s="99"/>
      <c r="BF1221" s="99"/>
      <c r="BG1221" s="99"/>
      <c r="BH1221" s="99"/>
      <c r="BI1221" s="99"/>
      <c r="BJ1221" s="99"/>
      <c r="BK1221" s="99"/>
      <c r="BL1221" s="99"/>
      <c r="BM1221" s="99"/>
      <c r="BN1221" s="99"/>
      <c r="BO1221" s="99"/>
      <c r="BP1221" s="99"/>
      <c r="BQ1221" s="99"/>
      <c r="BR1221" s="99"/>
      <c r="BS1221" s="99"/>
      <c r="BT1221" s="99"/>
      <c r="BU1221" s="99"/>
      <c r="BV1221" s="99"/>
      <c r="BW1221" s="99"/>
      <c r="BX1221" s="99"/>
      <c r="BY1221" s="99"/>
      <c r="BZ1221" s="99"/>
      <c r="CA1221" s="99"/>
      <c r="CB1221" s="99"/>
      <c r="CC1221" s="99"/>
      <c r="CD1221" s="99"/>
      <c r="CE1221" s="99"/>
      <c r="CF1221" s="99"/>
      <c r="CG1221" s="99"/>
      <c r="CH1221" s="99"/>
      <c r="CI1221" s="99"/>
      <c r="CJ1221" s="621"/>
      <c r="CK1221" s="621"/>
      <c r="CL1221" s="621"/>
    </row>
    <row r="1222" spans="27:90">
      <c r="AA1222" s="350"/>
      <c r="AB1222" s="62"/>
      <c r="AC1222" s="62"/>
      <c r="AD1222" s="62"/>
      <c r="AP1222" s="88"/>
      <c r="AQ1222" s="88"/>
      <c r="AR1222" s="88"/>
      <c r="AS1222" s="99"/>
      <c r="AT1222" s="99"/>
      <c r="AU1222" s="99"/>
      <c r="AV1222" s="99"/>
      <c r="AW1222" s="99"/>
      <c r="AX1222" s="99"/>
      <c r="AY1222" s="99"/>
      <c r="AZ1222" s="99"/>
      <c r="BA1222" s="99"/>
      <c r="BB1222" s="99"/>
      <c r="BC1222" s="99"/>
      <c r="BD1222" s="99"/>
      <c r="BE1222" s="99"/>
      <c r="BF1222" s="99"/>
      <c r="BG1222" s="99"/>
      <c r="BH1222" s="99"/>
      <c r="BI1222" s="99"/>
      <c r="BJ1222" s="99"/>
      <c r="BK1222" s="99"/>
      <c r="BL1222" s="99"/>
      <c r="BM1222" s="99"/>
      <c r="BN1222" s="99"/>
      <c r="BO1222" s="99"/>
      <c r="BP1222" s="99"/>
      <c r="BQ1222" s="99"/>
      <c r="BR1222" s="99"/>
      <c r="BS1222" s="99"/>
      <c r="BT1222" s="99"/>
      <c r="BU1222" s="99"/>
      <c r="BV1222" s="99"/>
      <c r="BW1222" s="99"/>
      <c r="BX1222" s="99"/>
      <c r="BY1222" s="99"/>
      <c r="BZ1222" s="99"/>
      <c r="CA1222" s="99"/>
      <c r="CB1222" s="99"/>
      <c r="CC1222" s="99"/>
      <c r="CD1222" s="99"/>
      <c r="CE1222" s="99"/>
      <c r="CF1222" s="99"/>
      <c r="CG1222" s="99"/>
      <c r="CH1222" s="99"/>
      <c r="CI1222" s="99"/>
      <c r="CJ1222" s="621"/>
      <c r="CK1222" s="621"/>
      <c r="CL1222" s="621"/>
    </row>
    <row r="1223" spans="27:90">
      <c r="AA1223" s="350"/>
      <c r="AB1223" s="62"/>
      <c r="AC1223" s="62"/>
      <c r="AD1223" s="62"/>
      <c r="AP1223" s="88"/>
      <c r="AQ1223" s="88"/>
      <c r="AR1223" s="88"/>
      <c r="AS1223" s="99"/>
      <c r="AT1223" s="99"/>
      <c r="AU1223" s="99"/>
      <c r="AV1223" s="99"/>
      <c r="AW1223" s="99"/>
      <c r="AX1223" s="99"/>
      <c r="AY1223" s="99"/>
      <c r="AZ1223" s="99"/>
      <c r="BA1223" s="99"/>
      <c r="BB1223" s="99"/>
      <c r="BC1223" s="99"/>
      <c r="BD1223" s="99"/>
      <c r="BE1223" s="99"/>
      <c r="BF1223" s="99"/>
      <c r="BG1223" s="99"/>
      <c r="BH1223" s="99"/>
      <c r="BI1223" s="99"/>
      <c r="BJ1223" s="99"/>
      <c r="BK1223" s="99"/>
      <c r="BL1223" s="99"/>
      <c r="BM1223" s="99"/>
      <c r="BN1223" s="99"/>
      <c r="BO1223" s="99"/>
      <c r="BP1223" s="99"/>
      <c r="BQ1223" s="99"/>
      <c r="BR1223" s="99"/>
      <c r="BS1223" s="99"/>
      <c r="BT1223" s="99"/>
      <c r="BU1223" s="99"/>
      <c r="BV1223" s="99"/>
      <c r="BW1223" s="99"/>
      <c r="BX1223" s="99"/>
      <c r="BY1223" s="99"/>
      <c r="BZ1223" s="99"/>
      <c r="CA1223" s="99"/>
      <c r="CB1223" s="99"/>
      <c r="CC1223" s="99"/>
      <c r="CD1223" s="99"/>
      <c r="CE1223" s="99"/>
      <c r="CF1223" s="99"/>
      <c r="CG1223" s="99"/>
      <c r="CH1223" s="99"/>
      <c r="CI1223" s="99"/>
      <c r="CJ1223" s="621"/>
      <c r="CK1223" s="621"/>
      <c r="CL1223" s="621"/>
    </row>
    <row r="1224" spans="27:90">
      <c r="AA1224" s="350"/>
      <c r="AB1224" s="62"/>
      <c r="AC1224" s="62"/>
      <c r="AD1224" s="62"/>
      <c r="AP1224" s="88"/>
      <c r="AQ1224" s="88"/>
      <c r="AR1224" s="88"/>
      <c r="AS1224" s="99"/>
      <c r="AT1224" s="99"/>
      <c r="AU1224" s="99"/>
      <c r="AV1224" s="99"/>
      <c r="AW1224" s="99"/>
      <c r="AX1224" s="99"/>
      <c r="AY1224" s="99"/>
      <c r="AZ1224" s="99"/>
      <c r="BA1224" s="99"/>
      <c r="BB1224" s="99"/>
      <c r="BC1224" s="99"/>
      <c r="BD1224" s="99"/>
      <c r="BE1224" s="99"/>
      <c r="BF1224" s="99"/>
      <c r="BG1224" s="99"/>
      <c r="BH1224" s="99"/>
      <c r="BI1224" s="99"/>
      <c r="BJ1224" s="99"/>
      <c r="BK1224" s="99"/>
      <c r="BL1224" s="99"/>
      <c r="BM1224" s="99"/>
      <c r="BN1224" s="99"/>
      <c r="BO1224" s="99"/>
      <c r="BP1224" s="99"/>
      <c r="BQ1224" s="99"/>
      <c r="BR1224" s="99"/>
      <c r="BS1224" s="99"/>
      <c r="BT1224" s="99"/>
      <c r="BU1224" s="99"/>
      <c r="BV1224" s="99"/>
      <c r="BW1224" s="99"/>
      <c r="BX1224" s="99"/>
      <c r="BY1224" s="99"/>
      <c r="BZ1224" s="99"/>
      <c r="CA1224" s="99"/>
      <c r="CB1224" s="99"/>
      <c r="CC1224" s="99"/>
      <c r="CD1224" s="99"/>
      <c r="CE1224" s="99"/>
      <c r="CF1224" s="99"/>
      <c r="CG1224" s="99"/>
      <c r="CH1224" s="99"/>
      <c r="CI1224" s="99"/>
      <c r="CJ1224" s="621"/>
      <c r="CK1224" s="621"/>
      <c r="CL1224" s="621"/>
    </row>
    <row r="1225" spans="27:90">
      <c r="AA1225" s="350"/>
      <c r="AB1225" s="62"/>
      <c r="AC1225" s="62"/>
      <c r="AD1225" s="62"/>
      <c r="AP1225" s="88"/>
      <c r="AQ1225" s="88"/>
      <c r="AR1225" s="88"/>
      <c r="AS1225" s="99"/>
      <c r="AT1225" s="99"/>
      <c r="AU1225" s="99"/>
      <c r="AV1225" s="99"/>
      <c r="AW1225" s="99"/>
      <c r="AX1225" s="99"/>
      <c r="AY1225" s="99"/>
      <c r="AZ1225" s="99"/>
      <c r="BA1225" s="99"/>
      <c r="BB1225" s="99"/>
      <c r="BC1225" s="99"/>
      <c r="BD1225" s="99"/>
      <c r="BE1225" s="99"/>
      <c r="BF1225" s="99"/>
      <c r="BG1225" s="99"/>
      <c r="BH1225" s="99"/>
      <c r="BI1225" s="99"/>
      <c r="BJ1225" s="99"/>
      <c r="BK1225" s="99"/>
      <c r="BL1225" s="99"/>
      <c r="BM1225" s="99"/>
      <c r="BN1225" s="99"/>
      <c r="BO1225" s="99"/>
      <c r="BP1225" s="99"/>
      <c r="BQ1225" s="99"/>
      <c r="BR1225" s="99"/>
      <c r="BS1225" s="99"/>
      <c r="BT1225" s="99"/>
      <c r="BU1225" s="99"/>
      <c r="BV1225" s="99"/>
      <c r="BW1225" s="99"/>
      <c r="BX1225" s="99"/>
      <c r="BY1225" s="99"/>
      <c r="BZ1225" s="99"/>
      <c r="CA1225" s="99"/>
      <c r="CB1225" s="99"/>
      <c r="CC1225" s="99"/>
      <c r="CD1225" s="99"/>
      <c r="CE1225" s="99"/>
      <c r="CF1225" s="99"/>
      <c r="CG1225" s="99"/>
      <c r="CH1225" s="99"/>
      <c r="CI1225" s="99"/>
      <c r="CJ1225" s="621"/>
      <c r="CK1225" s="621"/>
      <c r="CL1225" s="621"/>
    </row>
    <row r="1226" spans="27:90">
      <c r="AA1226" s="350"/>
      <c r="AB1226" s="62"/>
      <c r="AC1226" s="62"/>
      <c r="AD1226" s="62"/>
      <c r="AP1226" s="88"/>
      <c r="AQ1226" s="88"/>
      <c r="AR1226" s="88"/>
      <c r="AS1226" s="99"/>
      <c r="AT1226" s="99"/>
      <c r="AU1226" s="99"/>
      <c r="AV1226" s="99"/>
      <c r="AW1226" s="99"/>
      <c r="AX1226" s="99"/>
      <c r="AY1226" s="99"/>
      <c r="AZ1226" s="99"/>
      <c r="BA1226" s="99"/>
      <c r="BB1226" s="99"/>
      <c r="BC1226" s="99"/>
      <c r="BD1226" s="99"/>
      <c r="BE1226" s="99"/>
      <c r="BF1226" s="99"/>
      <c r="BG1226" s="99"/>
      <c r="BH1226" s="99"/>
      <c r="BI1226" s="99"/>
      <c r="BJ1226" s="99"/>
      <c r="BK1226" s="99"/>
      <c r="BL1226" s="99"/>
      <c r="BM1226" s="99"/>
      <c r="BN1226" s="99"/>
      <c r="BO1226" s="99"/>
      <c r="BP1226" s="99"/>
      <c r="BQ1226" s="99"/>
      <c r="BR1226" s="99"/>
      <c r="BS1226" s="99"/>
      <c r="BT1226" s="99"/>
      <c r="BU1226" s="99"/>
      <c r="BV1226" s="99"/>
      <c r="BW1226" s="99"/>
      <c r="BX1226" s="99"/>
      <c r="BY1226" s="99"/>
      <c r="BZ1226" s="99"/>
      <c r="CA1226" s="99"/>
      <c r="CB1226" s="99"/>
      <c r="CC1226" s="99"/>
      <c r="CD1226" s="99"/>
      <c r="CE1226" s="99"/>
      <c r="CF1226" s="99"/>
      <c r="CG1226" s="99"/>
      <c r="CH1226" s="99"/>
      <c r="CI1226" s="99"/>
      <c r="CJ1226" s="621"/>
      <c r="CK1226" s="621"/>
      <c r="CL1226" s="621"/>
    </row>
    <row r="1227" spans="27:90">
      <c r="AA1227" s="350"/>
      <c r="AB1227" s="62"/>
      <c r="AC1227" s="62"/>
      <c r="AD1227" s="62"/>
      <c r="AP1227" s="88"/>
      <c r="AQ1227" s="88"/>
      <c r="AR1227" s="88"/>
      <c r="AS1227" s="99"/>
      <c r="AT1227" s="99"/>
      <c r="AU1227" s="99"/>
      <c r="AV1227" s="99"/>
      <c r="AW1227" s="99"/>
      <c r="AX1227" s="99"/>
      <c r="AY1227" s="99"/>
      <c r="AZ1227" s="99"/>
      <c r="BA1227" s="99"/>
      <c r="BB1227" s="99"/>
      <c r="BC1227" s="99"/>
      <c r="BD1227" s="99"/>
      <c r="BE1227" s="99"/>
      <c r="BF1227" s="99"/>
      <c r="BG1227" s="99"/>
      <c r="BH1227" s="99"/>
      <c r="BI1227" s="99"/>
      <c r="BJ1227" s="99"/>
      <c r="BK1227" s="99"/>
      <c r="BL1227" s="99"/>
      <c r="BM1227" s="99"/>
      <c r="BN1227" s="99"/>
      <c r="BO1227" s="99"/>
      <c r="BP1227" s="99"/>
      <c r="BQ1227" s="99"/>
      <c r="BR1227" s="99"/>
      <c r="BS1227" s="99"/>
      <c r="BT1227" s="99"/>
      <c r="BU1227" s="99"/>
      <c r="BV1227" s="99"/>
      <c r="BW1227" s="99"/>
      <c r="BX1227" s="99"/>
      <c r="BY1227" s="99"/>
      <c r="BZ1227" s="99"/>
      <c r="CA1227" s="99"/>
      <c r="CB1227" s="99"/>
      <c r="CC1227" s="99"/>
      <c r="CD1227" s="99"/>
      <c r="CE1227" s="99"/>
      <c r="CF1227" s="99"/>
      <c r="CG1227" s="99"/>
      <c r="CH1227" s="99"/>
      <c r="CI1227" s="99"/>
      <c r="CJ1227" s="621"/>
      <c r="CK1227" s="621"/>
      <c r="CL1227" s="621"/>
    </row>
    <row r="1228" spans="27:90">
      <c r="AA1228" s="350"/>
      <c r="AB1228" s="62"/>
      <c r="AC1228" s="62"/>
      <c r="AD1228" s="62"/>
      <c r="AP1228" s="88"/>
      <c r="AQ1228" s="88"/>
      <c r="AR1228" s="88"/>
      <c r="AS1228" s="99"/>
      <c r="AT1228" s="99"/>
      <c r="AU1228" s="99"/>
      <c r="AV1228" s="99"/>
      <c r="AW1228" s="99"/>
      <c r="AX1228" s="99"/>
      <c r="AY1228" s="99"/>
      <c r="AZ1228" s="99"/>
      <c r="BA1228" s="99"/>
      <c r="BB1228" s="99"/>
      <c r="BC1228" s="99"/>
      <c r="BD1228" s="99"/>
      <c r="BE1228" s="99"/>
      <c r="BF1228" s="99"/>
      <c r="BG1228" s="99"/>
      <c r="BH1228" s="99"/>
      <c r="BI1228" s="99"/>
      <c r="BJ1228" s="99"/>
      <c r="BK1228" s="99"/>
      <c r="BL1228" s="99"/>
      <c r="BM1228" s="99"/>
      <c r="BN1228" s="99"/>
      <c r="BO1228" s="99"/>
      <c r="BP1228" s="99"/>
      <c r="BQ1228" s="99"/>
      <c r="BR1228" s="99"/>
      <c r="BS1228" s="99"/>
      <c r="BT1228" s="99"/>
      <c r="BU1228" s="99"/>
      <c r="BV1228" s="99"/>
      <c r="BW1228" s="99"/>
      <c r="BX1228" s="99"/>
      <c r="BY1228" s="99"/>
      <c r="BZ1228" s="99"/>
      <c r="CA1228" s="99"/>
      <c r="CB1228" s="99"/>
      <c r="CC1228" s="99"/>
      <c r="CD1228" s="99"/>
      <c r="CE1228" s="99"/>
      <c r="CF1228" s="99"/>
      <c r="CG1228" s="99"/>
      <c r="CH1228" s="99"/>
      <c r="CI1228" s="99"/>
      <c r="CJ1228" s="621"/>
      <c r="CK1228" s="621"/>
      <c r="CL1228" s="621"/>
    </row>
    <row r="1229" spans="27:90">
      <c r="AA1229" s="350"/>
      <c r="AB1229" s="62"/>
      <c r="AC1229" s="62"/>
      <c r="AD1229" s="62"/>
      <c r="AP1229" s="88"/>
      <c r="AQ1229" s="88"/>
      <c r="AR1229" s="88"/>
      <c r="AS1229" s="99"/>
      <c r="AT1229" s="99"/>
      <c r="AU1229" s="99"/>
      <c r="AV1229" s="99"/>
      <c r="AW1229" s="99"/>
      <c r="AX1229" s="99"/>
      <c r="AY1229" s="99"/>
      <c r="AZ1229" s="99"/>
      <c r="BA1229" s="99"/>
      <c r="BB1229" s="99"/>
      <c r="BC1229" s="99"/>
      <c r="BD1229" s="99"/>
      <c r="BE1229" s="99"/>
      <c r="BF1229" s="99"/>
      <c r="BG1229" s="99"/>
      <c r="BH1229" s="99"/>
      <c r="BI1229" s="99"/>
      <c r="BJ1229" s="99"/>
      <c r="BK1229" s="99"/>
      <c r="BL1229" s="99"/>
      <c r="BM1229" s="99"/>
      <c r="BN1229" s="99"/>
      <c r="BO1229" s="99"/>
      <c r="BP1229" s="99"/>
      <c r="BQ1229" s="99"/>
      <c r="BR1229" s="99"/>
      <c r="BS1229" s="99"/>
      <c r="BT1229" s="99"/>
      <c r="BU1229" s="99"/>
      <c r="BV1229" s="99"/>
      <c r="BW1229" s="99"/>
      <c r="BX1229" s="99"/>
      <c r="BY1229" s="99"/>
      <c r="BZ1229" s="99"/>
      <c r="CA1229" s="99"/>
      <c r="CB1229" s="99"/>
      <c r="CC1229" s="99"/>
      <c r="CD1229" s="99"/>
      <c r="CE1229" s="99"/>
      <c r="CF1229" s="99"/>
      <c r="CG1229" s="99"/>
      <c r="CH1229" s="99"/>
      <c r="CI1229" s="99"/>
      <c r="CJ1229" s="621"/>
      <c r="CK1229" s="621"/>
      <c r="CL1229" s="621"/>
    </row>
    <row r="1230" spans="27:90">
      <c r="AA1230" s="350"/>
      <c r="AB1230" s="62"/>
      <c r="AC1230" s="62"/>
      <c r="AD1230" s="62"/>
      <c r="AP1230" s="88"/>
      <c r="AQ1230" s="88"/>
      <c r="AR1230" s="88"/>
      <c r="AS1230" s="99"/>
      <c r="AT1230" s="99"/>
      <c r="AU1230" s="99"/>
      <c r="AV1230" s="99"/>
      <c r="AW1230" s="99"/>
      <c r="AX1230" s="99"/>
      <c r="AY1230" s="99"/>
      <c r="AZ1230" s="99"/>
      <c r="BA1230" s="99"/>
      <c r="BB1230" s="99"/>
      <c r="BC1230" s="99"/>
      <c r="BD1230" s="99"/>
      <c r="BE1230" s="99"/>
      <c r="BF1230" s="99"/>
      <c r="BG1230" s="99"/>
      <c r="BH1230" s="99"/>
      <c r="BI1230" s="99"/>
      <c r="BJ1230" s="99"/>
      <c r="BK1230" s="99"/>
      <c r="BL1230" s="99"/>
      <c r="BM1230" s="99"/>
      <c r="BN1230" s="99"/>
      <c r="BO1230" s="99"/>
      <c r="BP1230" s="99"/>
      <c r="BQ1230" s="99"/>
      <c r="BR1230" s="99"/>
      <c r="BS1230" s="99"/>
      <c r="BT1230" s="99"/>
      <c r="BU1230" s="99"/>
      <c r="BV1230" s="99"/>
      <c r="BW1230" s="99"/>
      <c r="BX1230" s="99"/>
      <c r="BY1230" s="99"/>
      <c r="BZ1230" s="99"/>
      <c r="CA1230" s="99"/>
      <c r="CB1230" s="99"/>
      <c r="CC1230" s="99"/>
      <c r="CD1230" s="99"/>
      <c r="CE1230" s="99"/>
      <c r="CF1230" s="99"/>
      <c r="CG1230" s="99"/>
      <c r="CH1230" s="99"/>
      <c r="CI1230" s="99"/>
      <c r="CJ1230" s="621"/>
      <c r="CK1230" s="621"/>
      <c r="CL1230" s="621"/>
    </row>
    <row r="1231" spans="27:90">
      <c r="AA1231" s="350"/>
      <c r="AB1231" s="62"/>
      <c r="AC1231" s="62"/>
      <c r="AD1231" s="62"/>
      <c r="AP1231" s="88"/>
      <c r="AQ1231" s="88"/>
      <c r="AR1231" s="88"/>
      <c r="AS1231" s="99"/>
      <c r="AT1231" s="99"/>
      <c r="AU1231" s="99"/>
      <c r="AV1231" s="99"/>
      <c r="AW1231" s="99"/>
      <c r="AX1231" s="99"/>
      <c r="AY1231" s="99"/>
      <c r="AZ1231" s="99"/>
      <c r="BA1231" s="99"/>
      <c r="BB1231" s="99"/>
      <c r="BC1231" s="99"/>
      <c r="BD1231" s="99"/>
      <c r="BE1231" s="99"/>
      <c r="BF1231" s="99"/>
      <c r="BG1231" s="99"/>
      <c r="BH1231" s="99"/>
      <c r="BI1231" s="99"/>
      <c r="BJ1231" s="99"/>
      <c r="BK1231" s="99"/>
      <c r="BL1231" s="99"/>
      <c r="BM1231" s="99"/>
      <c r="BN1231" s="99"/>
      <c r="BO1231" s="99"/>
      <c r="BP1231" s="99"/>
      <c r="BQ1231" s="99"/>
      <c r="BR1231" s="99"/>
      <c r="BS1231" s="99"/>
      <c r="BT1231" s="99"/>
      <c r="BU1231" s="99"/>
      <c r="BV1231" s="99"/>
      <c r="BW1231" s="99"/>
      <c r="BX1231" s="99"/>
      <c r="BY1231" s="99"/>
      <c r="BZ1231" s="99"/>
      <c r="CA1231" s="99"/>
      <c r="CB1231" s="99"/>
      <c r="CC1231" s="99"/>
      <c r="CD1231" s="99"/>
      <c r="CE1231" s="99"/>
      <c r="CF1231" s="99"/>
      <c r="CG1231" s="99"/>
      <c r="CH1231" s="99"/>
      <c r="CI1231" s="99"/>
      <c r="CJ1231" s="621"/>
      <c r="CK1231" s="621"/>
      <c r="CL1231" s="621"/>
    </row>
    <row r="1232" spans="27:90">
      <c r="AA1232" s="350"/>
      <c r="AB1232" s="62"/>
      <c r="AC1232" s="62"/>
      <c r="AD1232" s="62"/>
      <c r="AP1232" s="88"/>
      <c r="AQ1232" s="88"/>
      <c r="AR1232" s="88"/>
      <c r="AS1232" s="99"/>
      <c r="AT1232" s="99"/>
      <c r="AU1232" s="99"/>
      <c r="AV1232" s="99"/>
      <c r="AW1232" s="99"/>
      <c r="AX1232" s="99"/>
      <c r="AY1232" s="99"/>
      <c r="AZ1232" s="99"/>
      <c r="BA1232" s="99"/>
      <c r="BB1232" s="99"/>
      <c r="BC1232" s="99"/>
      <c r="BD1232" s="99"/>
      <c r="BE1232" s="99"/>
      <c r="BF1232" s="99"/>
      <c r="BG1232" s="99"/>
      <c r="BH1232" s="99"/>
      <c r="BI1232" s="99"/>
      <c r="BJ1232" s="99"/>
      <c r="BK1232" s="99"/>
      <c r="BL1232" s="99"/>
      <c r="BM1232" s="99"/>
      <c r="BN1232" s="99"/>
      <c r="BO1232" s="99"/>
      <c r="BP1232" s="99"/>
      <c r="BQ1232" s="99"/>
      <c r="BR1232" s="99"/>
      <c r="BS1232" s="99"/>
      <c r="BT1232" s="99"/>
      <c r="BU1232" s="99"/>
      <c r="BV1232" s="99"/>
      <c r="BW1232" s="99"/>
      <c r="BX1232" s="99"/>
      <c r="BY1232" s="99"/>
      <c r="BZ1232" s="99"/>
      <c r="CA1232" s="99"/>
      <c r="CB1232" s="99"/>
      <c r="CC1232" s="99"/>
      <c r="CD1232" s="99"/>
      <c r="CE1232" s="99"/>
      <c r="CF1232" s="99"/>
      <c r="CG1232" s="99"/>
      <c r="CH1232" s="99"/>
      <c r="CI1232" s="99"/>
      <c r="CJ1232" s="621"/>
      <c r="CK1232" s="621"/>
      <c r="CL1232" s="621"/>
    </row>
    <row r="1233" spans="27:90">
      <c r="AA1233" s="350"/>
      <c r="AB1233" s="62"/>
      <c r="AC1233" s="62"/>
      <c r="AD1233" s="62"/>
      <c r="AP1233" s="88"/>
      <c r="AQ1233" s="88"/>
      <c r="AR1233" s="88"/>
      <c r="AS1233" s="99"/>
      <c r="AT1233" s="99"/>
      <c r="AU1233" s="99"/>
      <c r="AV1233" s="99"/>
      <c r="AW1233" s="99"/>
      <c r="AX1233" s="99"/>
      <c r="AY1233" s="99"/>
      <c r="AZ1233" s="99"/>
      <c r="BA1233" s="99"/>
      <c r="BB1233" s="99"/>
      <c r="BC1233" s="99"/>
      <c r="BD1233" s="99"/>
      <c r="BE1233" s="99"/>
      <c r="BF1233" s="99"/>
      <c r="BG1233" s="99"/>
      <c r="BH1233" s="99"/>
      <c r="BI1233" s="99"/>
      <c r="BJ1233" s="99"/>
      <c r="BK1233" s="99"/>
      <c r="BL1233" s="99"/>
      <c r="BM1233" s="99"/>
      <c r="BN1233" s="99"/>
      <c r="BO1233" s="99"/>
      <c r="BP1233" s="99"/>
      <c r="BQ1233" s="99"/>
      <c r="BR1233" s="99"/>
      <c r="BS1233" s="99"/>
      <c r="BT1233" s="99"/>
      <c r="BU1233" s="99"/>
      <c r="BV1233" s="99"/>
      <c r="BW1233" s="99"/>
      <c r="BX1233" s="99"/>
      <c r="BY1233" s="99"/>
      <c r="BZ1233" s="99"/>
      <c r="CA1233" s="99"/>
      <c r="CB1233" s="99"/>
      <c r="CC1233" s="99"/>
      <c r="CD1233" s="99"/>
      <c r="CE1233" s="99"/>
      <c r="CF1233" s="99"/>
      <c r="CG1233" s="99"/>
      <c r="CH1233" s="99"/>
      <c r="CI1233" s="99"/>
      <c r="CJ1233" s="621"/>
      <c r="CK1233" s="621"/>
      <c r="CL1233" s="621"/>
    </row>
    <row r="1234" spans="27:90">
      <c r="AA1234" s="350"/>
      <c r="AB1234" s="62"/>
      <c r="AC1234" s="62"/>
      <c r="AD1234" s="62"/>
      <c r="AP1234" s="88"/>
      <c r="AQ1234" s="88"/>
      <c r="AR1234" s="88"/>
      <c r="AS1234" s="99"/>
      <c r="AT1234" s="99"/>
      <c r="AU1234" s="99"/>
      <c r="AV1234" s="99"/>
      <c r="AW1234" s="99"/>
      <c r="AX1234" s="99"/>
      <c r="AY1234" s="99"/>
      <c r="AZ1234" s="99"/>
      <c r="BA1234" s="99"/>
      <c r="BB1234" s="99"/>
      <c r="BC1234" s="99"/>
      <c r="BD1234" s="99"/>
      <c r="BE1234" s="99"/>
      <c r="BF1234" s="99"/>
      <c r="BG1234" s="99"/>
      <c r="BH1234" s="99"/>
      <c r="BI1234" s="99"/>
      <c r="BJ1234" s="99"/>
      <c r="BK1234" s="99"/>
      <c r="BL1234" s="99"/>
      <c r="BM1234" s="99"/>
      <c r="BN1234" s="99"/>
      <c r="BO1234" s="99"/>
      <c r="BP1234" s="99"/>
      <c r="BQ1234" s="99"/>
      <c r="BR1234" s="99"/>
      <c r="BS1234" s="99"/>
      <c r="BT1234" s="99"/>
      <c r="BU1234" s="99"/>
      <c r="BV1234" s="99"/>
      <c r="BW1234" s="99"/>
      <c r="BX1234" s="99"/>
      <c r="BY1234" s="99"/>
      <c r="BZ1234" s="99"/>
      <c r="CA1234" s="99"/>
      <c r="CB1234" s="99"/>
      <c r="CC1234" s="99"/>
      <c r="CD1234" s="99"/>
      <c r="CE1234" s="99"/>
      <c r="CF1234" s="99"/>
      <c r="CG1234" s="99"/>
      <c r="CH1234" s="99"/>
      <c r="CI1234" s="99"/>
      <c r="CJ1234" s="621"/>
      <c r="CK1234" s="621"/>
      <c r="CL1234" s="621"/>
    </row>
    <row r="1235" spans="27:90">
      <c r="AA1235" s="350"/>
      <c r="AB1235" s="62"/>
      <c r="AC1235" s="62"/>
      <c r="AD1235" s="62"/>
      <c r="AP1235" s="88"/>
      <c r="AQ1235" s="88"/>
      <c r="AR1235" s="88"/>
      <c r="AS1235" s="99"/>
      <c r="AT1235" s="99"/>
      <c r="AU1235" s="99"/>
      <c r="AV1235" s="99"/>
      <c r="AW1235" s="99"/>
      <c r="AX1235" s="99"/>
      <c r="AY1235" s="99"/>
      <c r="AZ1235" s="99"/>
      <c r="BA1235" s="99"/>
      <c r="BB1235" s="99"/>
      <c r="BC1235" s="99"/>
      <c r="BD1235" s="99"/>
      <c r="BE1235" s="99"/>
      <c r="BF1235" s="99"/>
      <c r="BG1235" s="99"/>
      <c r="BH1235" s="99"/>
      <c r="BI1235" s="99"/>
      <c r="BJ1235" s="99"/>
      <c r="BK1235" s="99"/>
      <c r="BL1235" s="99"/>
      <c r="BM1235" s="99"/>
      <c r="BN1235" s="99"/>
      <c r="BO1235" s="99"/>
      <c r="BP1235" s="99"/>
      <c r="BQ1235" s="99"/>
      <c r="BR1235" s="99"/>
      <c r="BS1235" s="99"/>
      <c r="BT1235" s="99"/>
      <c r="BU1235" s="99"/>
      <c r="BV1235" s="99"/>
      <c r="BW1235" s="99"/>
      <c r="BX1235" s="99"/>
      <c r="BY1235" s="99"/>
      <c r="BZ1235" s="99"/>
      <c r="CA1235" s="99"/>
      <c r="CB1235" s="99"/>
      <c r="CC1235" s="99"/>
      <c r="CD1235" s="99"/>
      <c r="CE1235" s="99"/>
      <c r="CF1235" s="99"/>
      <c r="CG1235" s="99"/>
      <c r="CH1235" s="99"/>
      <c r="CI1235" s="99"/>
      <c r="CJ1235" s="621"/>
      <c r="CK1235" s="621"/>
      <c r="CL1235" s="621"/>
    </row>
    <row r="1236" spans="27:90">
      <c r="AA1236" s="350"/>
      <c r="AB1236" s="62"/>
      <c r="AC1236" s="62"/>
      <c r="AD1236" s="62"/>
      <c r="AP1236" s="88"/>
      <c r="AQ1236" s="88"/>
      <c r="AR1236" s="88"/>
      <c r="AS1236" s="99"/>
      <c r="AT1236" s="99"/>
      <c r="AU1236" s="99"/>
      <c r="AV1236" s="99"/>
      <c r="AW1236" s="99"/>
      <c r="AX1236" s="99"/>
      <c r="AY1236" s="99"/>
      <c r="AZ1236" s="99"/>
      <c r="BA1236" s="99"/>
      <c r="BB1236" s="99"/>
      <c r="BC1236" s="99"/>
      <c r="BD1236" s="99"/>
      <c r="BE1236" s="99"/>
      <c r="BF1236" s="99"/>
      <c r="BG1236" s="99"/>
      <c r="BH1236" s="99"/>
      <c r="BI1236" s="99"/>
      <c r="BJ1236" s="99"/>
      <c r="BK1236" s="99"/>
      <c r="BL1236" s="99"/>
      <c r="BM1236" s="99"/>
      <c r="BN1236" s="99"/>
      <c r="BO1236" s="99"/>
      <c r="BP1236" s="99"/>
      <c r="BQ1236" s="99"/>
      <c r="BR1236" s="99"/>
      <c r="BS1236" s="99"/>
      <c r="BT1236" s="99"/>
      <c r="BU1236" s="99"/>
      <c r="BV1236" s="99"/>
      <c r="BW1236" s="99"/>
      <c r="BX1236" s="99"/>
      <c r="BY1236" s="99"/>
      <c r="BZ1236" s="99"/>
      <c r="CA1236" s="99"/>
      <c r="CB1236" s="99"/>
      <c r="CC1236" s="99"/>
      <c r="CD1236" s="99"/>
      <c r="CE1236" s="99"/>
      <c r="CF1236" s="99"/>
      <c r="CG1236" s="99"/>
      <c r="CH1236" s="99"/>
      <c r="CI1236" s="99"/>
      <c r="CJ1236" s="621"/>
      <c r="CK1236" s="621"/>
      <c r="CL1236" s="621"/>
    </row>
    <row r="1237" spans="27:90">
      <c r="AA1237" s="350"/>
      <c r="AB1237" s="62"/>
      <c r="AC1237" s="62"/>
      <c r="AD1237" s="62"/>
      <c r="AP1237" s="88"/>
      <c r="AQ1237" s="88"/>
      <c r="AR1237" s="88"/>
      <c r="AS1237" s="99"/>
      <c r="AT1237" s="99"/>
      <c r="AU1237" s="99"/>
      <c r="AV1237" s="99"/>
      <c r="AW1237" s="99"/>
      <c r="AX1237" s="99"/>
      <c r="AY1237" s="99"/>
      <c r="AZ1237" s="99"/>
      <c r="BA1237" s="99"/>
      <c r="BB1237" s="99"/>
      <c r="BC1237" s="99"/>
      <c r="BD1237" s="99"/>
      <c r="BE1237" s="99"/>
      <c r="BF1237" s="99"/>
      <c r="BG1237" s="99"/>
      <c r="BH1237" s="99"/>
      <c r="BI1237" s="99"/>
      <c r="BJ1237" s="99"/>
      <c r="BK1237" s="99"/>
      <c r="BL1237" s="99"/>
      <c r="BM1237" s="99"/>
      <c r="BN1237" s="99"/>
      <c r="BO1237" s="99"/>
      <c r="BP1237" s="99"/>
      <c r="BQ1237" s="99"/>
      <c r="BR1237" s="99"/>
      <c r="BS1237" s="99"/>
      <c r="BT1237" s="99"/>
      <c r="BU1237" s="99"/>
      <c r="BV1237" s="99"/>
      <c r="BW1237" s="99"/>
      <c r="BX1237" s="99"/>
      <c r="BY1237" s="99"/>
      <c r="BZ1237" s="99"/>
      <c r="CA1237" s="99"/>
      <c r="CB1237" s="99"/>
      <c r="CC1237" s="99"/>
      <c r="CD1237" s="99"/>
      <c r="CE1237" s="99"/>
      <c r="CF1237" s="99"/>
      <c r="CG1237" s="99"/>
      <c r="CH1237" s="99"/>
      <c r="CI1237" s="99"/>
      <c r="CJ1237" s="621"/>
      <c r="CK1237" s="621"/>
      <c r="CL1237" s="621"/>
    </row>
    <row r="1238" spans="27:90">
      <c r="AA1238" s="350"/>
      <c r="AB1238" s="62"/>
      <c r="AC1238" s="62"/>
      <c r="AD1238" s="62"/>
      <c r="AP1238" s="88"/>
      <c r="AQ1238" s="88"/>
      <c r="AR1238" s="88"/>
      <c r="AS1238" s="99"/>
      <c r="AT1238" s="99"/>
      <c r="AU1238" s="99"/>
      <c r="AV1238" s="99"/>
      <c r="AW1238" s="99"/>
      <c r="AX1238" s="99"/>
      <c r="AY1238" s="99"/>
      <c r="AZ1238" s="99"/>
      <c r="BA1238" s="99"/>
      <c r="BB1238" s="99"/>
      <c r="BC1238" s="99"/>
      <c r="BD1238" s="99"/>
      <c r="BE1238" s="99"/>
      <c r="BF1238" s="99"/>
      <c r="BG1238" s="99"/>
      <c r="BH1238" s="99"/>
      <c r="BI1238" s="99"/>
      <c r="BJ1238" s="99"/>
      <c r="BK1238" s="99"/>
      <c r="BL1238" s="99"/>
      <c r="BM1238" s="99"/>
      <c r="BN1238" s="99"/>
      <c r="BO1238" s="99"/>
      <c r="BP1238" s="99"/>
      <c r="BQ1238" s="99"/>
      <c r="BR1238" s="99"/>
      <c r="BS1238" s="99"/>
      <c r="BT1238" s="99"/>
      <c r="BU1238" s="99"/>
      <c r="BV1238" s="99"/>
      <c r="BW1238" s="99"/>
      <c r="BX1238" s="99"/>
      <c r="BY1238" s="99"/>
      <c r="BZ1238" s="99"/>
      <c r="CA1238" s="99"/>
      <c r="CB1238" s="99"/>
      <c r="CC1238" s="99"/>
      <c r="CD1238" s="99"/>
      <c r="CE1238" s="99"/>
      <c r="CF1238" s="99"/>
      <c r="CG1238" s="99"/>
      <c r="CH1238" s="99"/>
      <c r="CI1238" s="99"/>
      <c r="CJ1238" s="621"/>
      <c r="CK1238" s="621"/>
      <c r="CL1238" s="621"/>
    </row>
    <row r="1239" spans="27:90">
      <c r="AA1239" s="350"/>
      <c r="AB1239" s="62"/>
      <c r="AC1239" s="62"/>
      <c r="AD1239" s="62"/>
      <c r="AP1239" s="88"/>
      <c r="AQ1239" s="88"/>
      <c r="AR1239" s="88"/>
      <c r="AS1239" s="99"/>
      <c r="AT1239" s="99"/>
      <c r="AU1239" s="99"/>
      <c r="AV1239" s="99"/>
      <c r="AW1239" s="99"/>
      <c r="AX1239" s="99"/>
      <c r="AY1239" s="99"/>
      <c r="AZ1239" s="99"/>
      <c r="BA1239" s="99"/>
      <c r="BB1239" s="99"/>
      <c r="BC1239" s="99"/>
      <c r="BD1239" s="99"/>
      <c r="BE1239" s="99"/>
      <c r="BF1239" s="99"/>
      <c r="BG1239" s="99"/>
      <c r="BH1239" s="99"/>
      <c r="BI1239" s="99"/>
      <c r="BJ1239" s="99"/>
      <c r="BK1239" s="99"/>
      <c r="BL1239" s="99"/>
      <c r="BM1239" s="99"/>
      <c r="BN1239" s="99"/>
      <c r="BO1239" s="99"/>
      <c r="BP1239" s="99"/>
      <c r="BQ1239" s="99"/>
      <c r="BR1239" s="99"/>
      <c r="BS1239" s="99"/>
      <c r="BT1239" s="99"/>
      <c r="BU1239" s="99"/>
      <c r="BV1239" s="99"/>
      <c r="BW1239" s="99"/>
      <c r="BX1239" s="99"/>
      <c r="BY1239" s="99"/>
      <c r="BZ1239" s="99"/>
      <c r="CA1239" s="99"/>
      <c r="CB1239" s="99"/>
      <c r="CC1239" s="99"/>
      <c r="CD1239" s="99"/>
      <c r="CE1239" s="99"/>
      <c r="CF1239" s="99"/>
      <c r="CG1239" s="99"/>
      <c r="CH1239" s="99"/>
      <c r="CI1239" s="99"/>
      <c r="CJ1239" s="621"/>
      <c r="CK1239" s="621"/>
      <c r="CL1239" s="621"/>
    </row>
    <row r="1240" spans="27:90">
      <c r="AA1240" s="350"/>
      <c r="AB1240" s="62"/>
      <c r="AC1240" s="62"/>
      <c r="AD1240" s="62"/>
      <c r="AP1240" s="88"/>
      <c r="AQ1240" s="88"/>
      <c r="AR1240" s="88"/>
      <c r="AS1240" s="99"/>
      <c r="AT1240" s="99"/>
      <c r="AU1240" s="99"/>
      <c r="AV1240" s="99"/>
      <c r="AW1240" s="99"/>
      <c r="AX1240" s="99"/>
      <c r="AY1240" s="99"/>
      <c r="AZ1240" s="99"/>
      <c r="BA1240" s="99"/>
      <c r="BB1240" s="99"/>
      <c r="BC1240" s="99"/>
      <c r="BD1240" s="99"/>
      <c r="BE1240" s="99"/>
      <c r="BF1240" s="99"/>
      <c r="BG1240" s="99"/>
      <c r="BH1240" s="99"/>
      <c r="BI1240" s="99"/>
      <c r="BJ1240" s="99"/>
      <c r="BK1240" s="99"/>
      <c r="BL1240" s="99"/>
      <c r="BM1240" s="99"/>
      <c r="BN1240" s="99"/>
      <c r="BO1240" s="99"/>
      <c r="BP1240" s="99"/>
      <c r="BQ1240" s="99"/>
      <c r="BR1240" s="99"/>
      <c r="BS1240" s="99"/>
      <c r="BT1240" s="99"/>
      <c r="BU1240" s="99"/>
      <c r="BV1240" s="99"/>
      <c r="BW1240" s="99"/>
      <c r="BX1240" s="99"/>
      <c r="BY1240" s="99"/>
      <c r="BZ1240" s="99"/>
      <c r="CA1240" s="99"/>
      <c r="CB1240" s="99"/>
      <c r="CC1240" s="99"/>
      <c r="CD1240" s="99"/>
      <c r="CE1240" s="99"/>
      <c r="CF1240" s="99"/>
      <c r="CG1240" s="99"/>
      <c r="CH1240" s="99"/>
      <c r="CI1240" s="99"/>
      <c r="CJ1240" s="621"/>
      <c r="CK1240" s="621"/>
      <c r="CL1240" s="621"/>
    </row>
    <row r="1241" spans="27:90">
      <c r="AA1241" s="350"/>
      <c r="AB1241" s="62"/>
      <c r="AC1241" s="62"/>
      <c r="AD1241" s="62"/>
      <c r="AP1241" s="88"/>
      <c r="AQ1241" s="88"/>
      <c r="AR1241" s="88"/>
      <c r="AS1241" s="99"/>
      <c r="AT1241" s="99"/>
      <c r="AU1241" s="99"/>
      <c r="AV1241" s="99"/>
      <c r="AW1241" s="99"/>
      <c r="AX1241" s="99"/>
      <c r="AY1241" s="99"/>
      <c r="AZ1241" s="99"/>
      <c r="BA1241" s="99"/>
      <c r="BB1241" s="99"/>
      <c r="BC1241" s="99"/>
      <c r="BD1241" s="99"/>
      <c r="BE1241" s="99"/>
      <c r="BF1241" s="99"/>
      <c r="BG1241" s="99"/>
      <c r="BH1241" s="99"/>
      <c r="BI1241" s="99"/>
      <c r="BJ1241" s="99"/>
      <c r="BK1241" s="99"/>
      <c r="BL1241" s="99"/>
      <c r="BM1241" s="99"/>
      <c r="BN1241" s="99"/>
      <c r="BO1241" s="99"/>
      <c r="BP1241" s="99"/>
      <c r="BQ1241" s="99"/>
      <c r="BR1241" s="99"/>
      <c r="BS1241" s="99"/>
      <c r="BT1241" s="99"/>
      <c r="BU1241" s="99"/>
      <c r="BV1241" s="99"/>
      <c r="BW1241" s="99"/>
      <c r="BX1241" s="99"/>
      <c r="BY1241" s="99"/>
      <c r="BZ1241" s="99"/>
      <c r="CA1241" s="99"/>
      <c r="CB1241" s="99"/>
      <c r="CC1241" s="99"/>
      <c r="CD1241" s="99"/>
      <c r="CE1241" s="99"/>
      <c r="CF1241" s="99"/>
      <c r="CG1241" s="99"/>
      <c r="CH1241" s="99"/>
      <c r="CI1241" s="99"/>
      <c r="CJ1241" s="621"/>
      <c r="CK1241" s="621"/>
      <c r="CL1241" s="621"/>
    </row>
    <row r="1242" spans="27:90">
      <c r="AA1242" s="350"/>
      <c r="AB1242" s="62"/>
      <c r="AC1242" s="62"/>
      <c r="AD1242" s="62"/>
      <c r="AP1242" s="88"/>
      <c r="AQ1242" s="88"/>
      <c r="AR1242" s="88"/>
      <c r="AS1242" s="99"/>
      <c r="AT1242" s="99"/>
      <c r="AU1242" s="99"/>
      <c r="AV1242" s="99"/>
      <c r="AW1242" s="99"/>
      <c r="AX1242" s="99"/>
      <c r="AY1242" s="99"/>
      <c r="AZ1242" s="99"/>
      <c r="BA1242" s="99"/>
      <c r="BB1242" s="99"/>
      <c r="BC1242" s="99"/>
      <c r="BD1242" s="99"/>
      <c r="BE1242" s="99"/>
      <c r="BF1242" s="99"/>
      <c r="BG1242" s="99"/>
      <c r="BH1242" s="99"/>
      <c r="BI1242" s="99"/>
      <c r="BJ1242" s="99"/>
      <c r="BK1242" s="99"/>
      <c r="BL1242" s="99"/>
      <c r="BM1242" s="99"/>
      <c r="BN1242" s="99"/>
      <c r="BO1242" s="99"/>
      <c r="BP1242" s="99"/>
      <c r="BQ1242" s="99"/>
      <c r="BR1242" s="99"/>
      <c r="BS1242" s="99"/>
      <c r="BT1242" s="99"/>
      <c r="BU1242" s="99"/>
      <c r="BV1242" s="99"/>
      <c r="BW1242" s="99"/>
      <c r="BX1242" s="99"/>
      <c r="BY1242" s="99"/>
      <c r="BZ1242" s="99"/>
      <c r="CA1242" s="99"/>
      <c r="CB1242" s="99"/>
      <c r="CC1242" s="99"/>
      <c r="CD1242" s="99"/>
      <c r="CE1242" s="99"/>
      <c r="CF1242" s="99"/>
      <c r="CG1242" s="99"/>
      <c r="CH1242" s="99"/>
      <c r="CI1242" s="99"/>
      <c r="CJ1242" s="621"/>
      <c r="CK1242" s="621"/>
      <c r="CL1242" s="621"/>
    </row>
    <row r="1243" spans="27:90">
      <c r="AA1243" s="350"/>
      <c r="AB1243" s="62"/>
      <c r="AC1243" s="62"/>
      <c r="AD1243" s="62"/>
      <c r="AP1243" s="88"/>
      <c r="AQ1243" s="88"/>
      <c r="AR1243" s="88"/>
      <c r="AS1243" s="99"/>
      <c r="AT1243" s="99"/>
      <c r="AU1243" s="99"/>
      <c r="AV1243" s="99"/>
      <c r="AW1243" s="99"/>
      <c r="AX1243" s="99"/>
      <c r="AY1243" s="99"/>
      <c r="AZ1243" s="99"/>
      <c r="BA1243" s="99"/>
      <c r="BB1243" s="99"/>
      <c r="BC1243" s="99"/>
      <c r="BD1243" s="99"/>
      <c r="BE1243" s="99"/>
      <c r="BF1243" s="99"/>
      <c r="BG1243" s="99"/>
      <c r="BH1243" s="99"/>
      <c r="BI1243" s="99"/>
      <c r="BJ1243" s="99"/>
      <c r="BK1243" s="99"/>
      <c r="BL1243" s="99"/>
      <c r="BM1243" s="99"/>
      <c r="BN1243" s="99"/>
      <c r="BO1243" s="99"/>
      <c r="BP1243" s="99"/>
      <c r="BQ1243" s="99"/>
      <c r="BR1243" s="99"/>
      <c r="BS1243" s="99"/>
      <c r="BT1243" s="99"/>
      <c r="BU1243" s="99"/>
      <c r="BV1243" s="99"/>
      <c r="BW1243" s="99"/>
      <c r="BX1243" s="99"/>
      <c r="BY1243" s="99"/>
      <c r="BZ1243" s="99"/>
      <c r="CA1243" s="99"/>
      <c r="CB1243" s="99"/>
      <c r="CC1243" s="99"/>
      <c r="CD1243" s="99"/>
      <c r="CE1243" s="99"/>
      <c r="CF1243" s="99"/>
      <c r="CG1243" s="99"/>
      <c r="CH1243" s="99"/>
      <c r="CI1243" s="99"/>
      <c r="CJ1243" s="621"/>
      <c r="CK1243" s="621"/>
      <c r="CL1243" s="621"/>
    </row>
    <row r="1244" spans="27:90">
      <c r="AA1244" s="350"/>
      <c r="AB1244" s="62"/>
      <c r="AC1244" s="62"/>
      <c r="AD1244" s="62"/>
      <c r="AP1244" s="88"/>
      <c r="AQ1244" s="88"/>
      <c r="AR1244" s="88"/>
      <c r="AS1244" s="99"/>
      <c r="AT1244" s="99"/>
      <c r="AU1244" s="99"/>
      <c r="AV1244" s="99"/>
      <c r="AW1244" s="99"/>
      <c r="AX1244" s="99"/>
      <c r="AY1244" s="99"/>
      <c r="AZ1244" s="99"/>
      <c r="BA1244" s="99"/>
      <c r="BB1244" s="99"/>
      <c r="BC1244" s="99"/>
      <c r="BD1244" s="99"/>
      <c r="BE1244" s="99"/>
      <c r="BF1244" s="99"/>
      <c r="BG1244" s="99"/>
      <c r="BH1244" s="99"/>
      <c r="BI1244" s="99"/>
      <c r="BJ1244" s="99"/>
      <c r="BK1244" s="99"/>
      <c r="BL1244" s="99"/>
      <c r="BM1244" s="99"/>
      <c r="BN1244" s="99"/>
      <c r="BO1244" s="99"/>
      <c r="BP1244" s="99"/>
      <c r="BQ1244" s="99"/>
      <c r="BR1244" s="99"/>
      <c r="BS1244" s="99"/>
      <c r="BT1244" s="99"/>
      <c r="BU1244" s="99"/>
      <c r="BV1244" s="99"/>
      <c r="BW1244" s="99"/>
      <c r="BX1244" s="99"/>
      <c r="BY1244" s="99"/>
      <c r="BZ1244" s="99"/>
      <c r="CA1244" s="99"/>
      <c r="CB1244" s="99"/>
      <c r="CC1244" s="99"/>
      <c r="CD1244" s="99"/>
      <c r="CE1244" s="99"/>
      <c r="CF1244" s="99"/>
      <c r="CG1244" s="99"/>
      <c r="CH1244" s="99"/>
      <c r="CI1244" s="99"/>
      <c r="CJ1244" s="621"/>
      <c r="CK1244" s="621"/>
      <c r="CL1244" s="621"/>
    </row>
    <row r="1245" spans="27:90">
      <c r="AA1245" s="350"/>
      <c r="AB1245" s="62"/>
      <c r="AC1245" s="62"/>
      <c r="AD1245" s="62"/>
      <c r="AP1245" s="88"/>
      <c r="AQ1245" s="88"/>
      <c r="AR1245" s="88"/>
      <c r="AS1245" s="99"/>
      <c r="AT1245" s="99"/>
      <c r="AU1245" s="99"/>
      <c r="AV1245" s="99"/>
      <c r="AW1245" s="99"/>
      <c r="AX1245" s="99"/>
      <c r="AY1245" s="99"/>
      <c r="AZ1245" s="99"/>
      <c r="BA1245" s="99"/>
      <c r="BB1245" s="99"/>
      <c r="BC1245" s="99"/>
      <c r="BD1245" s="99"/>
      <c r="BE1245" s="99"/>
      <c r="BF1245" s="99"/>
      <c r="BG1245" s="99"/>
      <c r="BH1245" s="99"/>
      <c r="BI1245" s="99"/>
      <c r="BJ1245" s="99"/>
      <c r="BK1245" s="99"/>
      <c r="BL1245" s="99"/>
      <c r="BM1245" s="99"/>
      <c r="BN1245" s="99"/>
      <c r="BO1245" s="99"/>
      <c r="BP1245" s="99"/>
      <c r="BQ1245" s="99"/>
      <c r="BR1245" s="99"/>
      <c r="BS1245" s="99"/>
      <c r="BT1245" s="99"/>
      <c r="BU1245" s="99"/>
      <c r="BV1245" s="99"/>
      <c r="BW1245" s="99"/>
      <c r="BX1245" s="99"/>
      <c r="BY1245" s="99"/>
      <c r="BZ1245" s="99"/>
      <c r="CA1245" s="99"/>
      <c r="CB1245" s="99"/>
      <c r="CC1245" s="99"/>
      <c r="CD1245" s="99"/>
      <c r="CE1245" s="99"/>
      <c r="CF1245" s="99"/>
      <c r="CG1245" s="99"/>
      <c r="CH1245" s="99"/>
      <c r="CI1245" s="99"/>
      <c r="CJ1245" s="621"/>
      <c r="CK1245" s="621"/>
      <c r="CL1245" s="621"/>
    </row>
    <row r="1246" spans="27:90">
      <c r="AA1246" s="350"/>
      <c r="AB1246" s="62"/>
      <c r="AC1246" s="62"/>
      <c r="AD1246" s="62"/>
      <c r="AP1246" s="88"/>
      <c r="AQ1246" s="88"/>
      <c r="AR1246" s="88"/>
      <c r="AS1246" s="99"/>
      <c r="AT1246" s="99"/>
      <c r="AU1246" s="99"/>
      <c r="AV1246" s="99"/>
      <c r="AW1246" s="99"/>
      <c r="AX1246" s="99"/>
      <c r="AY1246" s="99"/>
      <c r="AZ1246" s="99"/>
      <c r="BA1246" s="99"/>
      <c r="BB1246" s="99"/>
      <c r="BC1246" s="99"/>
      <c r="BD1246" s="99"/>
      <c r="BE1246" s="99"/>
      <c r="BF1246" s="99"/>
      <c r="BG1246" s="99"/>
      <c r="BH1246" s="99"/>
      <c r="BI1246" s="99"/>
      <c r="BJ1246" s="99"/>
      <c r="BK1246" s="99"/>
      <c r="BL1246" s="99"/>
      <c r="BM1246" s="99"/>
      <c r="BN1246" s="99"/>
      <c r="BO1246" s="99"/>
      <c r="BP1246" s="99"/>
      <c r="BQ1246" s="99"/>
      <c r="BR1246" s="99"/>
      <c r="BS1246" s="99"/>
      <c r="BT1246" s="99"/>
      <c r="BU1246" s="99"/>
      <c r="BV1246" s="99"/>
      <c r="BW1246" s="99"/>
      <c r="BX1246" s="99"/>
      <c r="BY1246" s="99"/>
      <c r="BZ1246" s="99"/>
      <c r="CA1246" s="99"/>
      <c r="CB1246" s="99"/>
      <c r="CC1246" s="99"/>
      <c r="CD1246" s="99"/>
      <c r="CE1246" s="99"/>
      <c r="CF1246" s="99"/>
      <c r="CG1246" s="99"/>
      <c r="CH1246" s="99"/>
      <c r="CI1246" s="99"/>
      <c r="CJ1246" s="621"/>
      <c r="CK1246" s="621"/>
      <c r="CL1246" s="621"/>
    </row>
    <row r="1247" spans="27:90">
      <c r="AA1247" s="350"/>
      <c r="AB1247" s="62"/>
      <c r="AC1247" s="62"/>
      <c r="AD1247" s="62"/>
      <c r="AP1247" s="88"/>
      <c r="AQ1247" s="88"/>
      <c r="AR1247" s="88"/>
      <c r="AS1247" s="99"/>
      <c r="AT1247" s="99"/>
      <c r="AU1247" s="99"/>
      <c r="AV1247" s="99"/>
      <c r="AW1247" s="99"/>
      <c r="AX1247" s="99"/>
      <c r="AY1247" s="99"/>
      <c r="AZ1247" s="99"/>
      <c r="BA1247" s="99"/>
      <c r="BB1247" s="99"/>
      <c r="BC1247" s="99"/>
      <c r="BD1247" s="99"/>
      <c r="BE1247" s="99"/>
      <c r="BF1247" s="99"/>
      <c r="BG1247" s="99"/>
      <c r="BH1247" s="99"/>
      <c r="BI1247" s="99"/>
      <c r="BJ1247" s="99"/>
      <c r="BK1247" s="99"/>
      <c r="BL1247" s="99"/>
      <c r="BM1247" s="99"/>
      <c r="BN1247" s="99"/>
      <c r="BO1247" s="99"/>
      <c r="BP1247" s="99"/>
      <c r="BQ1247" s="99"/>
      <c r="BR1247" s="99"/>
      <c r="BS1247" s="99"/>
      <c r="BT1247" s="99"/>
      <c r="BU1247" s="99"/>
      <c r="BV1247" s="99"/>
      <c r="BW1247" s="99"/>
      <c r="BX1247" s="99"/>
      <c r="BY1247" s="99"/>
      <c r="BZ1247" s="99"/>
      <c r="CA1247" s="99"/>
      <c r="CB1247" s="99"/>
      <c r="CC1247" s="99"/>
      <c r="CD1247" s="99"/>
      <c r="CE1247" s="99"/>
      <c r="CF1247" s="99"/>
      <c r="CG1247" s="99"/>
      <c r="CH1247" s="99"/>
      <c r="CI1247" s="99"/>
      <c r="CJ1247" s="621"/>
      <c r="CK1247" s="621"/>
      <c r="CL1247" s="621"/>
    </row>
    <row r="1248" spans="27:90">
      <c r="AA1248" s="350"/>
      <c r="AB1248" s="62"/>
      <c r="AC1248" s="62"/>
      <c r="AD1248" s="62"/>
      <c r="AP1248" s="88"/>
      <c r="AQ1248" s="88"/>
      <c r="AR1248" s="88"/>
      <c r="AS1248" s="99"/>
      <c r="AT1248" s="99"/>
      <c r="AU1248" s="99"/>
      <c r="AV1248" s="99"/>
      <c r="AW1248" s="99"/>
      <c r="AX1248" s="99"/>
      <c r="AY1248" s="99"/>
      <c r="AZ1248" s="99"/>
      <c r="BA1248" s="99"/>
      <c r="BB1248" s="99"/>
      <c r="BC1248" s="99"/>
      <c r="BD1248" s="99"/>
      <c r="BE1248" s="99"/>
      <c r="BF1248" s="99"/>
      <c r="BG1248" s="99"/>
      <c r="BH1248" s="99"/>
      <c r="BI1248" s="99"/>
      <c r="BJ1248" s="99"/>
      <c r="BK1248" s="99"/>
      <c r="BL1248" s="99"/>
      <c r="BM1248" s="99"/>
      <c r="BN1248" s="99"/>
      <c r="BO1248" s="99"/>
      <c r="BP1248" s="99"/>
      <c r="BQ1248" s="99"/>
      <c r="BR1248" s="99"/>
      <c r="BS1248" s="99"/>
      <c r="BT1248" s="99"/>
      <c r="BU1248" s="99"/>
      <c r="BV1248" s="99"/>
      <c r="BW1248" s="99"/>
      <c r="BX1248" s="99"/>
      <c r="BY1248" s="99"/>
      <c r="BZ1248" s="99"/>
      <c r="CA1248" s="99"/>
      <c r="CB1248" s="99"/>
      <c r="CC1248" s="99"/>
      <c r="CD1248" s="99"/>
      <c r="CE1248" s="99"/>
      <c r="CF1248" s="99"/>
      <c r="CG1248" s="99"/>
      <c r="CH1248" s="99"/>
      <c r="CI1248" s="99"/>
      <c r="CJ1248" s="621"/>
      <c r="CK1248" s="621"/>
      <c r="CL1248" s="621"/>
    </row>
    <row r="1249" spans="27:90">
      <c r="AA1249" s="350"/>
      <c r="AB1249" s="62"/>
      <c r="AC1249" s="62"/>
      <c r="AD1249" s="62"/>
      <c r="AP1249" s="88"/>
      <c r="AQ1249" s="88"/>
      <c r="AR1249" s="88"/>
      <c r="AS1249" s="99"/>
      <c r="AT1249" s="99"/>
      <c r="AU1249" s="99"/>
      <c r="AV1249" s="99"/>
      <c r="AW1249" s="99"/>
      <c r="AX1249" s="99"/>
      <c r="AY1249" s="99"/>
      <c r="AZ1249" s="99"/>
      <c r="BA1249" s="99"/>
      <c r="BB1249" s="99"/>
      <c r="BC1249" s="99"/>
      <c r="BD1249" s="99"/>
      <c r="BE1249" s="99"/>
      <c r="BF1249" s="99"/>
      <c r="BG1249" s="99"/>
      <c r="BH1249" s="99"/>
      <c r="BI1249" s="99"/>
      <c r="BJ1249" s="99"/>
      <c r="BK1249" s="99"/>
      <c r="BL1249" s="99"/>
      <c r="BM1249" s="99"/>
      <c r="BN1249" s="99"/>
      <c r="BO1249" s="99"/>
      <c r="BP1249" s="99"/>
      <c r="BQ1249" s="99"/>
      <c r="BR1249" s="99"/>
      <c r="BS1249" s="99"/>
      <c r="BT1249" s="99"/>
      <c r="BU1249" s="99"/>
      <c r="BV1249" s="99"/>
      <c r="BW1249" s="99"/>
      <c r="BX1249" s="99"/>
      <c r="BY1249" s="99"/>
      <c r="BZ1249" s="99"/>
      <c r="CA1249" s="99"/>
      <c r="CB1249" s="99"/>
      <c r="CC1249" s="99"/>
      <c r="CD1249" s="99"/>
      <c r="CE1249" s="99"/>
      <c r="CF1249" s="99"/>
      <c r="CG1249" s="99"/>
      <c r="CH1249" s="99"/>
      <c r="CI1249" s="99"/>
      <c r="CJ1249" s="621"/>
      <c r="CK1249" s="621"/>
      <c r="CL1249" s="621"/>
    </row>
    <row r="1250" spans="27:90">
      <c r="AA1250" s="350"/>
      <c r="AB1250" s="62"/>
      <c r="AC1250" s="62"/>
      <c r="AD1250" s="62"/>
      <c r="AP1250" s="88"/>
      <c r="AQ1250" s="88"/>
      <c r="AR1250" s="88"/>
      <c r="AS1250" s="99"/>
      <c r="AT1250" s="99"/>
      <c r="AU1250" s="99"/>
      <c r="AV1250" s="99"/>
      <c r="AW1250" s="99"/>
      <c r="AX1250" s="99"/>
      <c r="AY1250" s="99"/>
      <c r="AZ1250" s="99"/>
      <c r="BA1250" s="99"/>
      <c r="BB1250" s="99"/>
      <c r="BC1250" s="99"/>
      <c r="BD1250" s="99"/>
      <c r="BE1250" s="99"/>
      <c r="BF1250" s="99"/>
      <c r="BG1250" s="99"/>
      <c r="BH1250" s="99"/>
      <c r="BI1250" s="99"/>
      <c r="BJ1250" s="99"/>
      <c r="BK1250" s="99"/>
      <c r="BL1250" s="99"/>
      <c r="BM1250" s="99"/>
      <c r="BN1250" s="99"/>
      <c r="BO1250" s="99"/>
      <c r="BP1250" s="99"/>
      <c r="BQ1250" s="99"/>
      <c r="BR1250" s="99"/>
      <c r="BS1250" s="99"/>
      <c r="BT1250" s="99"/>
      <c r="BU1250" s="99"/>
      <c r="BV1250" s="99"/>
      <c r="BW1250" s="99"/>
      <c r="BX1250" s="99"/>
      <c r="BY1250" s="99"/>
      <c r="BZ1250" s="99"/>
      <c r="CA1250" s="99"/>
      <c r="CB1250" s="99"/>
      <c r="CC1250" s="99"/>
      <c r="CD1250" s="99"/>
      <c r="CE1250" s="99"/>
      <c r="CF1250" s="99"/>
      <c r="CG1250" s="99"/>
      <c r="CH1250" s="99"/>
      <c r="CI1250" s="99"/>
      <c r="CJ1250" s="621"/>
      <c r="CK1250" s="621"/>
      <c r="CL1250" s="621"/>
    </row>
    <row r="1251" spans="27:90">
      <c r="AA1251" s="350"/>
      <c r="AB1251" s="62"/>
      <c r="AC1251" s="62"/>
      <c r="AD1251" s="62"/>
      <c r="AP1251" s="88"/>
      <c r="AQ1251" s="88"/>
      <c r="AR1251" s="88"/>
      <c r="AS1251" s="99"/>
      <c r="AT1251" s="99"/>
      <c r="AU1251" s="99"/>
      <c r="AV1251" s="99"/>
      <c r="AW1251" s="99"/>
      <c r="AX1251" s="99"/>
      <c r="AY1251" s="99"/>
      <c r="AZ1251" s="99"/>
      <c r="BA1251" s="99"/>
      <c r="BB1251" s="99"/>
      <c r="BC1251" s="99"/>
      <c r="BD1251" s="99"/>
      <c r="BE1251" s="99"/>
      <c r="BF1251" s="99"/>
      <c r="BG1251" s="99"/>
      <c r="BH1251" s="99"/>
      <c r="BI1251" s="99"/>
      <c r="BJ1251" s="99"/>
      <c r="BK1251" s="99"/>
      <c r="BL1251" s="99"/>
      <c r="BM1251" s="99"/>
      <c r="BN1251" s="99"/>
      <c r="BO1251" s="99"/>
      <c r="BP1251" s="99"/>
      <c r="BQ1251" s="99"/>
      <c r="BR1251" s="99"/>
      <c r="BS1251" s="99"/>
      <c r="BT1251" s="99"/>
      <c r="BU1251" s="99"/>
      <c r="BV1251" s="99"/>
      <c r="BW1251" s="99"/>
      <c r="BX1251" s="99"/>
      <c r="BY1251" s="99"/>
      <c r="BZ1251" s="99"/>
      <c r="CA1251" s="99"/>
      <c r="CB1251" s="99"/>
      <c r="CC1251" s="99"/>
      <c r="CD1251" s="99"/>
      <c r="CE1251" s="99"/>
      <c r="CF1251" s="99"/>
      <c r="CG1251" s="99"/>
      <c r="CH1251" s="99"/>
      <c r="CI1251" s="99"/>
      <c r="CJ1251" s="621"/>
      <c r="CK1251" s="621"/>
      <c r="CL1251" s="621"/>
    </row>
    <row r="1252" spans="27:90">
      <c r="AA1252" s="350"/>
      <c r="AB1252" s="62"/>
      <c r="AC1252" s="62"/>
      <c r="AD1252" s="62"/>
      <c r="AP1252" s="88"/>
      <c r="AQ1252" s="88"/>
      <c r="AR1252" s="88"/>
      <c r="AS1252" s="99"/>
      <c r="AT1252" s="99"/>
      <c r="AU1252" s="99"/>
      <c r="AV1252" s="99"/>
      <c r="AW1252" s="99"/>
      <c r="AX1252" s="99"/>
      <c r="AY1252" s="99"/>
      <c r="AZ1252" s="99"/>
      <c r="BA1252" s="99"/>
      <c r="BB1252" s="99"/>
      <c r="BC1252" s="99"/>
      <c r="BD1252" s="99"/>
      <c r="BE1252" s="99"/>
      <c r="BF1252" s="99"/>
      <c r="BG1252" s="99"/>
      <c r="BH1252" s="99"/>
      <c r="BI1252" s="99"/>
      <c r="BJ1252" s="99"/>
      <c r="BK1252" s="99"/>
      <c r="BL1252" s="99"/>
      <c r="BM1252" s="99"/>
      <c r="BN1252" s="99"/>
      <c r="BO1252" s="99"/>
      <c r="BP1252" s="99"/>
      <c r="BQ1252" s="99"/>
      <c r="BR1252" s="99"/>
      <c r="BS1252" s="99"/>
      <c r="BT1252" s="99"/>
      <c r="BU1252" s="99"/>
      <c r="BV1252" s="99"/>
      <c r="BW1252" s="99"/>
      <c r="BX1252" s="99"/>
      <c r="BY1252" s="99"/>
      <c r="BZ1252" s="99"/>
      <c r="CA1252" s="99"/>
      <c r="CB1252" s="99"/>
      <c r="CC1252" s="99"/>
      <c r="CD1252" s="99"/>
      <c r="CE1252" s="99"/>
      <c r="CF1252" s="99"/>
      <c r="CG1252" s="99"/>
      <c r="CH1252" s="99"/>
      <c r="CI1252" s="99"/>
      <c r="CJ1252" s="621"/>
      <c r="CK1252" s="621"/>
      <c r="CL1252" s="621"/>
    </row>
    <row r="1253" spans="27:90">
      <c r="AA1253" s="350"/>
      <c r="AB1253" s="62"/>
      <c r="AC1253" s="62"/>
      <c r="AD1253" s="62"/>
      <c r="AP1253" s="88"/>
      <c r="AQ1253" s="88"/>
      <c r="AR1253" s="88"/>
      <c r="AS1253" s="99"/>
      <c r="AT1253" s="99"/>
      <c r="AU1253" s="99"/>
      <c r="AV1253" s="99"/>
      <c r="AW1253" s="99"/>
      <c r="AX1253" s="99"/>
      <c r="AY1253" s="99"/>
      <c r="AZ1253" s="99"/>
      <c r="BA1253" s="99"/>
      <c r="BB1253" s="99"/>
      <c r="BC1253" s="99"/>
      <c r="BD1253" s="99"/>
      <c r="BE1253" s="99"/>
      <c r="BF1253" s="99"/>
      <c r="BG1253" s="99"/>
      <c r="BH1253" s="99"/>
      <c r="BI1253" s="99"/>
      <c r="BJ1253" s="99"/>
      <c r="BK1253" s="99"/>
      <c r="BL1253" s="99"/>
      <c r="BM1253" s="99"/>
      <c r="BN1253" s="99"/>
      <c r="BO1253" s="99"/>
      <c r="BP1253" s="99"/>
      <c r="BQ1253" s="99"/>
      <c r="BR1253" s="99"/>
      <c r="BS1253" s="99"/>
      <c r="BT1253" s="99"/>
      <c r="BU1253" s="99"/>
      <c r="BV1253" s="99"/>
      <c r="BW1253" s="99"/>
      <c r="BX1253" s="99"/>
      <c r="BY1253" s="99"/>
      <c r="BZ1253" s="99"/>
      <c r="CA1253" s="99"/>
      <c r="CB1253" s="99"/>
      <c r="CC1253" s="99"/>
      <c r="CD1253" s="99"/>
      <c r="CE1253" s="99"/>
      <c r="CF1253" s="99"/>
      <c r="CG1253" s="99"/>
      <c r="CH1253" s="99"/>
      <c r="CI1253" s="99"/>
      <c r="CJ1253" s="621"/>
      <c r="CK1253" s="621"/>
      <c r="CL1253" s="621"/>
    </row>
    <row r="1254" spans="27:90">
      <c r="AA1254" s="350"/>
      <c r="AB1254" s="62"/>
      <c r="AC1254" s="62"/>
      <c r="AD1254" s="62"/>
      <c r="AP1254" s="88"/>
      <c r="AQ1254" s="88"/>
      <c r="AR1254" s="88"/>
      <c r="AS1254" s="99"/>
      <c r="AT1254" s="99"/>
      <c r="AU1254" s="99"/>
      <c r="AV1254" s="99"/>
      <c r="AW1254" s="99"/>
      <c r="AX1254" s="99"/>
      <c r="AY1254" s="99"/>
      <c r="AZ1254" s="99"/>
      <c r="BA1254" s="99"/>
      <c r="BB1254" s="99"/>
      <c r="BC1254" s="99"/>
      <c r="BD1254" s="99"/>
      <c r="BE1254" s="99"/>
      <c r="BF1254" s="99"/>
      <c r="BG1254" s="99"/>
      <c r="BH1254" s="99"/>
      <c r="BI1254" s="99"/>
      <c r="BJ1254" s="99"/>
      <c r="BK1254" s="99"/>
      <c r="BL1254" s="99"/>
      <c r="BM1254" s="99"/>
      <c r="BN1254" s="99"/>
      <c r="BO1254" s="99"/>
      <c r="BP1254" s="99"/>
      <c r="BQ1254" s="99"/>
      <c r="BR1254" s="99"/>
      <c r="BS1254" s="99"/>
      <c r="BT1254" s="99"/>
      <c r="BU1254" s="99"/>
      <c r="BV1254" s="99"/>
      <c r="BW1254" s="99"/>
      <c r="BX1254" s="99"/>
      <c r="BY1254" s="99"/>
      <c r="BZ1254" s="99"/>
      <c r="CA1254" s="99"/>
      <c r="CB1254" s="99"/>
      <c r="CC1254" s="99"/>
      <c r="CD1254" s="99"/>
      <c r="CE1254" s="99"/>
      <c r="CF1254" s="99"/>
      <c r="CG1254" s="99"/>
      <c r="CH1254" s="99"/>
      <c r="CI1254" s="99"/>
      <c r="CJ1254" s="621"/>
      <c r="CK1254" s="621"/>
      <c r="CL1254" s="621"/>
    </row>
    <row r="1255" spans="27:90">
      <c r="AA1255" s="350"/>
      <c r="AB1255" s="62"/>
      <c r="AC1255" s="62"/>
      <c r="AD1255" s="62"/>
      <c r="AP1255" s="88"/>
      <c r="AQ1255" s="88"/>
      <c r="AR1255" s="88"/>
      <c r="AS1255" s="99"/>
      <c r="AT1255" s="99"/>
      <c r="AU1255" s="99"/>
      <c r="AV1255" s="99"/>
      <c r="AW1255" s="99"/>
      <c r="AX1255" s="99"/>
      <c r="AY1255" s="99"/>
      <c r="AZ1255" s="99"/>
      <c r="BA1255" s="99"/>
      <c r="BB1255" s="99"/>
      <c r="BC1255" s="99"/>
      <c r="BD1255" s="99"/>
      <c r="BE1255" s="99"/>
      <c r="BF1255" s="99"/>
      <c r="BG1255" s="99"/>
      <c r="BH1255" s="99"/>
      <c r="BI1255" s="99"/>
      <c r="BJ1255" s="99"/>
      <c r="BK1255" s="99"/>
      <c r="BL1255" s="99"/>
      <c r="BM1255" s="99"/>
      <c r="BN1255" s="99"/>
      <c r="BO1255" s="99"/>
      <c r="BP1255" s="99"/>
      <c r="BQ1255" s="99"/>
      <c r="BR1255" s="99"/>
      <c r="BS1255" s="99"/>
      <c r="BT1255" s="99"/>
      <c r="BU1255" s="99"/>
      <c r="BV1255" s="99"/>
      <c r="BW1255" s="99"/>
      <c r="BX1255" s="99"/>
      <c r="BY1255" s="99"/>
      <c r="BZ1255" s="99"/>
      <c r="CA1255" s="99"/>
      <c r="CB1255" s="99"/>
      <c r="CC1255" s="99"/>
      <c r="CD1255" s="99"/>
      <c r="CE1255" s="99"/>
      <c r="CF1255" s="99"/>
      <c r="CG1255" s="99"/>
      <c r="CH1255" s="99"/>
      <c r="CI1255" s="99"/>
      <c r="CJ1255" s="621"/>
      <c r="CK1255" s="621"/>
      <c r="CL1255" s="621"/>
    </row>
    <row r="1256" spans="27:90">
      <c r="AA1256" s="350"/>
      <c r="AB1256" s="62"/>
      <c r="AC1256" s="62"/>
      <c r="AD1256" s="62"/>
      <c r="AP1256" s="88"/>
      <c r="AQ1256" s="88"/>
      <c r="AR1256" s="88"/>
      <c r="AS1256" s="99"/>
      <c r="AT1256" s="99"/>
      <c r="AU1256" s="99"/>
      <c r="AV1256" s="99"/>
      <c r="AW1256" s="99"/>
      <c r="AX1256" s="99"/>
      <c r="AY1256" s="99"/>
      <c r="AZ1256" s="99"/>
      <c r="BA1256" s="99"/>
      <c r="BB1256" s="99"/>
      <c r="BC1256" s="99"/>
      <c r="BD1256" s="99"/>
      <c r="BE1256" s="99"/>
      <c r="BF1256" s="99"/>
      <c r="BG1256" s="99"/>
      <c r="BH1256" s="99"/>
      <c r="BI1256" s="99"/>
      <c r="BJ1256" s="99"/>
      <c r="BK1256" s="99"/>
      <c r="BL1256" s="99"/>
      <c r="BM1256" s="99"/>
      <c r="BN1256" s="99"/>
      <c r="BO1256" s="99"/>
      <c r="BP1256" s="99"/>
      <c r="BQ1256" s="99"/>
      <c r="BR1256" s="99"/>
      <c r="BS1256" s="99"/>
      <c r="BT1256" s="99"/>
      <c r="BU1256" s="99"/>
      <c r="BV1256" s="99"/>
      <c r="BW1256" s="99"/>
      <c r="BX1256" s="99"/>
      <c r="BY1256" s="99"/>
      <c r="BZ1256" s="99"/>
      <c r="CA1256" s="99"/>
      <c r="CB1256" s="99"/>
      <c r="CC1256" s="99"/>
      <c r="CD1256" s="99"/>
      <c r="CE1256" s="99"/>
      <c r="CF1256" s="99"/>
      <c r="CG1256" s="99"/>
      <c r="CH1256" s="99"/>
      <c r="CI1256" s="99"/>
      <c r="CJ1256" s="621"/>
      <c r="CK1256" s="621"/>
      <c r="CL1256" s="621"/>
    </row>
    <row r="1257" spans="27:90">
      <c r="AA1257" s="350"/>
      <c r="AB1257" s="62"/>
      <c r="AC1257" s="62"/>
      <c r="AD1257" s="62"/>
      <c r="AP1257" s="88"/>
      <c r="AQ1257" s="88"/>
      <c r="AR1257" s="88"/>
      <c r="AS1257" s="99"/>
      <c r="AT1257" s="99"/>
      <c r="AU1257" s="99"/>
      <c r="AV1257" s="99"/>
      <c r="AW1257" s="99"/>
      <c r="AX1257" s="99"/>
      <c r="AY1257" s="99"/>
      <c r="AZ1257" s="99"/>
      <c r="BA1257" s="99"/>
      <c r="BB1257" s="99"/>
      <c r="BC1257" s="99"/>
      <c r="BD1257" s="99"/>
      <c r="BE1257" s="99"/>
      <c r="BF1257" s="99"/>
      <c r="BG1257" s="99"/>
      <c r="BH1257" s="99"/>
      <c r="BI1257" s="99"/>
      <c r="BJ1257" s="99"/>
      <c r="BK1257" s="99"/>
      <c r="BL1257" s="99"/>
      <c r="BM1257" s="99"/>
      <c r="BN1257" s="99"/>
      <c r="BO1257" s="99"/>
      <c r="BP1257" s="99"/>
      <c r="BQ1257" s="99"/>
      <c r="BR1257" s="99"/>
      <c r="BS1257" s="99"/>
      <c r="BT1257" s="99"/>
      <c r="BU1257" s="99"/>
      <c r="BV1257" s="99"/>
      <c r="BW1257" s="99"/>
      <c r="BX1257" s="99"/>
      <c r="BY1257" s="99"/>
      <c r="BZ1257" s="99"/>
      <c r="CA1257" s="99"/>
      <c r="CB1257" s="99"/>
      <c r="CC1257" s="99"/>
      <c r="CD1257" s="99"/>
      <c r="CE1257" s="99"/>
      <c r="CF1257" s="99"/>
      <c r="CG1257" s="99"/>
      <c r="CH1257" s="99"/>
      <c r="CI1257" s="99"/>
      <c r="CJ1257" s="621"/>
      <c r="CK1257" s="621"/>
      <c r="CL1257" s="621"/>
    </row>
    <row r="1258" spans="27:90">
      <c r="AA1258" s="350"/>
      <c r="AB1258" s="62"/>
      <c r="AC1258" s="62"/>
      <c r="AD1258" s="62"/>
      <c r="AP1258" s="88"/>
      <c r="AQ1258" s="88"/>
      <c r="AR1258" s="88"/>
      <c r="AS1258" s="99"/>
      <c r="AT1258" s="99"/>
      <c r="AU1258" s="99"/>
      <c r="AV1258" s="99"/>
      <c r="AW1258" s="99"/>
      <c r="AX1258" s="99"/>
      <c r="AY1258" s="99"/>
      <c r="AZ1258" s="99"/>
      <c r="BA1258" s="99"/>
      <c r="BB1258" s="99"/>
      <c r="BC1258" s="99"/>
      <c r="BD1258" s="99"/>
      <c r="BE1258" s="99"/>
      <c r="BF1258" s="99"/>
      <c r="BG1258" s="99"/>
      <c r="BH1258" s="99"/>
      <c r="BI1258" s="99"/>
      <c r="BJ1258" s="99"/>
      <c r="BK1258" s="99"/>
      <c r="BL1258" s="99"/>
      <c r="BM1258" s="99"/>
      <c r="BN1258" s="99"/>
      <c r="BO1258" s="99"/>
      <c r="BP1258" s="99"/>
      <c r="BQ1258" s="99"/>
      <c r="BR1258" s="99"/>
      <c r="BS1258" s="99"/>
      <c r="BT1258" s="99"/>
      <c r="BU1258" s="99"/>
      <c r="BV1258" s="99"/>
      <c r="BW1258" s="99"/>
      <c r="BX1258" s="99"/>
      <c r="BY1258" s="99"/>
      <c r="BZ1258" s="99"/>
      <c r="CA1258" s="99"/>
      <c r="CB1258" s="99"/>
      <c r="CC1258" s="99"/>
      <c r="CD1258" s="99"/>
      <c r="CE1258" s="99"/>
      <c r="CF1258" s="99"/>
      <c r="CG1258" s="99"/>
      <c r="CH1258" s="99"/>
      <c r="CI1258" s="99"/>
      <c r="CJ1258" s="621"/>
      <c r="CK1258" s="621"/>
      <c r="CL1258" s="621"/>
    </row>
    <row r="1259" spans="27:90">
      <c r="AA1259" s="350"/>
      <c r="AB1259" s="62"/>
      <c r="AC1259" s="62"/>
      <c r="AD1259" s="62"/>
      <c r="AP1259" s="88"/>
      <c r="AQ1259" s="88"/>
      <c r="AR1259" s="88"/>
      <c r="AS1259" s="99"/>
      <c r="AT1259" s="99"/>
      <c r="AU1259" s="99"/>
      <c r="AV1259" s="99"/>
      <c r="AW1259" s="99"/>
      <c r="AX1259" s="99"/>
      <c r="AY1259" s="99"/>
      <c r="AZ1259" s="99"/>
      <c r="BA1259" s="99"/>
      <c r="BB1259" s="99"/>
      <c r="BC1259" s="99"/>
      <c r="BD1259" s="99"/>
      <c r="BE1259" s="99"/>
      <c r="BF1259" s="99"/>
      <c r="BG1259" s="99"/>
      <c r="BH1259" s="99"/>
      <c r="BI1259" s="99"/>
      <c r="BJ1259" s="99"/>
      <c r="BK1259" s="99"/>
      <c r="BL1259" s="99"/>
      <c r="BM1259" s="99"/>
      <c r="BN1259" s="99"/>
      <c r="BO1259" s="99"/>
      <c r="BP1259" s="99"/>
      <c r="BQ1259" s="99"/>
      <c r="BR1259" s="99"/>
      <c r="BS1259" s="99"/>
      <c r="BT1259" s="99"/>
      <c r="BU1259" s="99"/>
      <c r="BV1259" s="99"/>
      <c r="BW1259" s="99"/>
      <c r="BX1259" s="99"/>
      <c r="BY1259" s="99"/>
      <c r="BZ1259" s="99"/>
      <c r="CA1259" s="99"/>
      <c r="CB1259" s="99"/>
      <c r="CC1259" s="99"/>
      <c r="CD1259" s="99"/>
      <c r="CE1259" s="99"/>
      <c r="CF1259" s="99"/>
      <c r="CG1259" s="99"/>
      <c r="CH1259" s="99"/>
      <c r="CI1259" s="99"/>
      <c r="CJ1259" s="621"/>
      <c r="CK1259" s="621"/>
      <c r="CL1259" s="621"/>
    </row>
    <row r="1260" spans="27:90">
      <c r="AA1260" s="350"/>
      <c r="AB1260" s="62"/>
      <c r="AC1260" s="62"/>
      <c r="AD1260" s="62"/>
      <c r="AP1260" s="88"/>
      <c r="AQ1260" s="88"/>
      <c r="AR1260" s="88"/>
      <c r="AS1260" s="99"/>
      <c r="AT1260" s="99"/>
      <c r="AU1260" s="99"/>
      <c r="AV1260" s="99"/>
      <c r="AW1260" s="99"/>
      <c r="AX1260" s="99"/>
      <c r="AY1260" s="99"/>
      <c r="AZ1260" s="99"/>
      <c r="BA1260" s="99"/>
      <c r="BB1260" s="99"/>
      <c r="BC1260" s="99"/>
      <c r="BD1260" s="99"/>
      <c r="BE1260" s="99"/>
      <c r="BF1260" s="99"/>
      <c r="BG1260" s="99"/>
      <c r="BH1260" s="99"/>
      <c r="BI1260" s="99"/>
      <c r="BJ1260" s="99"/>
      <c r="BK1260" s="99"/>
      <c r="BL1260" s="99"/>
      <c r="BM1260" s="99"/>
      <c r="BN1260" s="99"/>
      <c r="BO1260" s="99"/>
      <c r="BP1260" s="99"/>
      <c r="BQ1260" s="99"/>
      <c r="BR1260" s="99"/>
      <c r="BS1260" s="99"/>
      <c r="BT1260" s="99"/>
      <c r="BU1260" s="99"/>
      <c r="BV1260" s="99"/>
      <c r="BW1260" s="99"/>
      <c r="BX1260" s="99"/>
      <c r="BY1260" s="99"/>
      <c r="BZ1260" s="99"/>
      <c r="CA1260" s="99"/>
      <c r="CB1260" s="99"/>
      <c r="CC1260" s="99"/>
      <c r="CD1260" s="99"/>
      <c r="CE1260" s="99"/>
      <c r="CF1260" s="99"/>
      <c r="CG1260" s="99"/>
      <c r="CH1260" s="99"/>
      <c r="CI1260" s="99"/>
      <c r="CJ1260" s="621"/>
      <c r="CK1260" s="621"/>
      <c r="CL1260" s="621"/>
    </row>
    <row r="1261" spans="27:90">
      <c r="AA1261" s="350"/>
      <c r="AB1261" s="62"/>
      <c r="AC1261" s="62"/>
      <c r="AD1261" s="62"/>
      <c r="AP1261" s="88"/>
      <c r="AQ1261" s="88"/>
      <c r="AR1261" s="88"/>
      <c r="AS1261" s="99"/>
      <c r="AT1261" s="99"/>
      <c r="AU1261" s="99"/>
      <c r="AV1261" s="99"/>
      <c r="AW1261" s="99"/>
      <c r="AX1261" s="99"/>
      <c r="AY1261" s="99"/>
      <c r="AZ1261" s="99"/>
      <c r="BA1261" s="99"/>
      <c r="BB1261" s="99"/>
      <c r="BC1261" s="99"/>
      <c r="BD1261" s="99"/>
      <c r="BE1261" s="99"/>
      <c r="BF1261" s="99"/>
      <c r="BG1261" s="99"/>
      <c r="BH1261" s="99"/>
      <c r="BI1261" s="99"/>
      <c r="BJ1261" s="99"/>
      <c r="BK1261" s="99"/>
      <c r="BL1261" s="99"/>
      <c r="BM1261" s="99"/>
      <c r="BN1261" s="99"/>
      <c r="BO1261" s="99"/>
      <c r="BP1261" s="99"/>
      <c r="BQ1261" s="99"/>
      <c r="BR1261" s="99"/>
      <c r="BS1261" s="99"/>
      <c r="BT1261" s="99"/>
      <c r="BU1261" s="99"/>
      <c r="BV1261" s="99"/>
      <c r="BW1261" s="99"/>
      <c r="BX1261" s="99"/>
      <c r="BY1261" s="99"/>
      <c r="BZ1261" s="99"/>
      <c r="CA1261" s="99"/>
      <c r="CB1261" s="99"/>
      <c r="CC1261" s="99"/>
      <c r="CD1261" s="99"/>
      <c r="CE1261" s="99"/>
      <c r="CF1261" s="99"/>
      <c r="CG1261" s="99"/>
      <c r="CH1261" s="99"/>
      <c r="CI1261" s="99"/>
      <c r="CJ1261" s="621"/>
      <c r="CK1261" s="621"/>
      <c r="CL1261" s="621"/>
    </row>
    <row r="1262" spans="27:90">
      <c r="AA1262" s="350"/>
      <c r="AB1262" s="62"/>
      <c r="AC1262" s="62"/>
      <c r="AD1262" s="62"/>
      <c r="AP1262" s="88"/>
      <c r="AQ1262" s="88"/>
      <c r="AR1262" s="88"/>
      <c r="AS1262" s="99"/>
      <c r="AT1262" s="99"/>
      <c r="AU1262" s="99"/>
      <c r="AV1262" s="99"/>
      <c r="AW1262" s="99"/>
      <c r="AX1262" s="99"/>
      <c r="AY1262" s="99"/>
      <c r="AZ1262" s="99"/>
      <c r="BA1262" s="99"/>
      <c r="BB1262" s="99"/>
      <c r="BC1262" s="99"/>
      <c r="BD1262" s="99"/>
      <c r="BE1262" s="99"/>
      <c r="BF1262" s="99"/>
      <c r="BG1262" s="99"/>
      <c r="BH1262" s="99"/>
      <c r="BI1262" s="99"/>
      <c r="BJ1262" s="99"/>
      <c r="BK1262" s="99"/>
      <c r="BL1262" s="99"/>
      <c r="BM1262" s="99"/>
      <c r="BN1262" s="99"/>
      <c r="BO1262" s="99"/>
      <c r="BP1262" s="99"/>
      <c r="BQ1262" s="99"/>
      <c r="BR1262" s="99"/>
      <c r="BS1262" s="99"/>
      <c r="BT1262" s="99"/>
      <c r="BU1262" s="99"/>
      <c r="BV1262" s="99"/>
      <c r="BW1262" s="99"/>
      <c r="BX1262" s="99"/>
      <c r="BY1262" s="99"/>
      <c r="BZ1262" s="99"/>
      <c r="CA1262" s="99"/>
      <c r="CB1262" s="99"/>
      <c r="CC1262" s="99"/>
      <c r="CD1262" s="99"/>
      <c r="CE1262" s="99"/>
      <c r="CF1262" s="99"/>
      <c r="CG1262" s="99"/>
      <c r="CH1262" s="99"/>
      <c r="CI1262" s="99"/>
      <c r="CJ1262" s="621"/>
      <c r="CK1262" s="621"/>
      <c r="CL1262" s="621"/>
    </row>
    <row r="1263" spans="27:90">
      <c r="AA1263" s="350"/>
      <c r="AB1263" s="62"/>
      <c r="AC1263" s="62"/>
      <c r="AD1263" s="62"/>
      <c r="AP1263" s="88"/>
      <c r="AQ1263" s="88"/>
      <c r="AR1263" s="88"/>
      <c r="AS1263" s="99"/>
      <c r="AT1263" s="99"/>
      <c r="AU1263" s="99"/>
      <c r="AV1263" s="99"/>
      <c r="AW1263" s="99"/>
      <c r="AX1263" s="99"/>
      <c r="AY1263" s="99"/>
      <c r="AZ1263" s="99"/>
      <c r="BA1263" s="99"/>
      <c r="BB1263" s="99"/>
      <c r="BC1263" s="99"/>
      <c r="BD1263" s="99"/>
      <c r="BE1263" s="99"/>
      <c r="BF1263" s="99"/>
      <c r="BG1263" s="99"/>
      <c r="BH1263" s="99"/>
      <c r="BI1263" s="99"/>
      <c r="BJ1263" s="99"/>
      <c r="BK1263" s="99"/>
      <c r="BL1263" s="99"/>
      <c r="BM1263" s="99"/>
      <c r="BN1263" s="99"/>
      <c r="BO1263" s="99"/>
      <c r="BP1263" s="99"/>
      <c r="BQ1263" s="99"/>
      <c r="BR1263" s="99"/>
      <c r="BS1263" s="99"/>
      <c r="BT1263" s="99"/>
      <c r="BU1263" s="99"/>
      <c r="BV1263" s="99"/>
      <c r="BW1263" s="99"/>
      <c r="BX1263" s="99"/>
      <c r="BY1263" s="99"/>
      <c r="BZ1263" s="99"/>
      <c r="CA1263" s="99"/>
      <c r="CB1263" s="99"/>
      <c r="CC1263" s="99"/>
      <c r="CD1263" s="99"/>
      <c r="CE1263" s="99"/>
      <c r="CF1263" s="99"/>
      <c r="CG1263" s="99"/>
      <c r="CH1263" s="99"/>
      <c r="CI1263" s="99"/>
      <c r="CJ1263" s="621"/>
      <c r="CK1263" s="621"/>
      <c r="CL1263" s="621"/>
    </row>
    <row r="1264" spans="27:90">
      <c r="AA1264" s="350"/>
      <c r="AB1264" s="62"/>
      <c r="AC1264" s="62"/>
      <c r="AD1264" s="62"/>
      <c r="AP1264" s="88"/>
      <c r="AQ1264" s="88"/>
      <c r="AR1264" s="88"/>
      <c r="AS1264" s="99"/>
      <c r="AT1264" s="99"/>
      <c r="AU1264" s="99"/>
      <c r="AV1264" s="99"/>
      <c r="AW1264" s="99"/>
      <c r="AX1264" s="99"/>
      <c r="AY1264" s="99"/>
      <c r="AZ1264" s="99"/>
      <c r="BA1264" s="99"/>
      <c r="BB1264" s="99"/>
      <c r="BC1264" s="99"/>
      <c r="BD1264" s="99"/>
      <c r="BE1264" s="99"/>
      <c r="BF1264" s="99"/>
      <c r="BG1264" s="99"/>
      <c r="BH1264" s="99"/>
      <c r="BI1264" s="99"/>
      <c r="BJ1264" s="99"/>
      <c r="BK1264" s="99"/>
      <c r="BL1264" s="99"/>
      <c r="BM1264" s="99"/>
      <c r="BN1264" s="99"/>
      <c r="BO1264" s="99"/>
      <c r="BP1264" s="99"/>
      <c r="BQ1264" s="99"/>
      <c r="BR1264" s="99"/>
      <c r="BS1264" s="99"/>
      <c r="BT1264" s="99"/>
      <c r="BU1264" s="99"/>
      <c r="BV1264" s="99"/>
      <c r="BW1264" s="99"/>
      <c r="BX1264" s="99"/>
      <c r="BY1264" s="99"/>
      <c r="BZ1264" s="99"/>
      <c r="CA1264" s="99"/>
      <c r="CB1264" s="99"/>
      <c r="CC1264" s="99"/>
      <c r="CD1264" s="99"/>
      <c r="CE1264" s="99"/>
      <c r="CF1264" s="99"/>
      <c r="CG1264" s="99"/>
      <c r="CH1264" s="99"/>
      <c r="CI1264" s="99"/>
      <c r="CJ1264" s="621"/>
      <c r="CK1264" s="621"/>
      <c r="CL1264" s="621"/>
    </row>
    <row r="1265" spans="27:90">
      <c r="AA1265" s="350"/>
      <c r="AB1265" s="62"/>
      <c r="AC1265" s="62"/>
      <c r="AD1265" s="62"/>
      <c r="AP1265" s="88"/>
      <c r="AQ1265" s="88"/>
      <c r="AR1265" s="88"/>
      <c r="AS1265" s="99"/>
      <c r="AT1265" s="99"/>
      <c r="AU1265" s="99"/>
      <c r="AV1265" s="99"/>
      <c r="AW1265" s="99"/>
      <c r="AX1265" s="99"/>
      <c r="AY1265" s="99"/>
      <c r="AZ1265" s="99"/>
      <c r="BA1265" s="99"/>
      <c r="BB1265" s="99"/>
      <c r="BC1265" s="99"/>
      <c r="BD1265" s="99"/>
      <c r="BE1265" s="99"/>
      <c r="BF1265" s="99"/>
      <c r="BG1265" s="99"/>
      <c r="BH1265" s="99"/>
      <c r="BI1265" s="99"/>
      <c r="BJ1265" s="99"/>
      <c r="BK1265" s="99"/>
      <c r="BL1265" s="99"/>
      <c r="BM1265" s="99"/>
      <c r="BN1265" s="99"/>
      <c r="BO1265" s="99"/>
      <c r="BP1265" s="99"/>
      <c r="BQ1265" s="99"/>
      <c r="BR1265" s="99"/>
      <c r="BS1265" s="99"/>
      <c r="BT1265" s="99"/>
      <c r="BU1265" s="99"/>
      <c r="BV1265" s="99"/>
      <c r="BW1265" s="99"/>
      <c r="BX1265" s="99"/>
      <c r="BY1265" s="99"/>
      <c r="BZ1265" s="99"/>
      <c r="CA1265" s="99"/>
      <c r="CB1265" s="99"/>
      <c r="CC1265" s="99"/>
      <c r="CD1265" s="99"/>
      <c r="CE1265" s="99"/>
      <c r="CF1265" s="99"/>
      <c r="CG1265" s="99"/>
      <c r="CH1265" s="99"/>
      <c r="CI1265" s="99"/>
      <c r="CJ1265" s="621"/>
      <c r="CK1265" s="621"/>
      <c r="CL1265" s="621"/>
    </row>
    <row r="1266" spans="27:90">
      <c r="AA1266" s="350"/>
      <c r="AB1266" s="62"/>
      <c r="AC1266" s="62"/>
      <c r="AD1266" s="62"/>
      <c r="AP1266" s="88"/>
      <c r="AQ1266" s="88"/>
      <c r="AR1266" s="88"/>
      <c r="AS1266" s="99"/>
      <c r="AT1266" s="99"/>
      <c r="AU1266" s="99"/>
      <c r="AV1266" s="99"/>
      <c r="AW1266" s="99"/>
      <c r="AX1266" s="99"/>
      <c r="AY1266" s="99"/>
      <c r="AZ1266" s="99"/>
      <c r="BA1266" s="99"/>
      <c r="BB1266" s="99"/>
      <c r="BC1266" s="99"/>
      <c r="BD1266" s="99"/>
      <c r="BE1266" s="99"/>
      <c r="BF1266" s="99"/>
      <c r="BG1266" s="99"/>
      <c r="BH1266" s="99"/>
      <c r="BI1266" s="99"/>
      <c r="BJ1266" s="99"/>
      <c r="BK1266" s="99"/>
      <c r="BL1266" s="99"/>
      <c r="BM1266" s="99"/>
      <c r="BN1266" s="99"/>
      <c r="BO1266" s="99"/>
      <c r="BP1266" s="99"/>
      <c r="BQ1266" s="99"/>
      <c r="BR1266" s="99"/>
      <c r="BS1266" s="99"/>
      <c r="BT1266" s="99"/>
      <c r="BU1266" s="99"/>
      <c r="BV1266" s="99"/>
      <c r="BW1266" s="99"/>
      <c r="BX1266" s="99"/>
      <c r="BY1266" s="99"/>
      <c r="BZ1266" s="99"/>
      <c r="CA1266" s="99"/>
      <c r="CB1266" s="99"/>
      <c r="CC1266" s="99"/>
      <c r="CD1266" s="99"/>
      <c r="CE1266" s="99"/>
      <c r="CF1266" s="99"/>
      <c r="CG1266" s="99"/>
      <c r="CH1266" s="99"/>
      <c r="CI1266" s="99"/>
      <c r="CJ1266" s="621"/>
      <c r="CK1266" s="621"/>
      <c r="CL1266" s="621"/>
    </row>
    <row r="1267" spans="27:90">
      <c r="AA1267" s="350"/>
      <c r="AB1267" s="62"/>
      <c r="AC1267" s="62"/>
      <c r="AD1267" s="62"/>
      <c r="AP1267" s="88"/>
      <c r="AQ1267" s="88"/>
      <c r="AR1267" s="88"/>
      <c r="AS1267" s="99"/>
      <c r="AT1267" s="99"/>
      <c r="AU1267" s="99"/>
      <c r="AV1267" s="99"/>
      <c r="AW1267" s="99"/>
      <c r="AX1267" s="99"/>
      <c r="AY1267" s="99"/>
      <c r="AZ1267" s="99"/>
      <c r="BA1267" s="99"/>
      <c r="BB1267" s="99"/>
      <c r="BC1267" s="99"/>
      <c r="BD1267" s="99"/>
      <c r="BE1267" s="99"/>
      <c r="BF1267" s="99"/>
      <c r="BG1267" s="99"/>
      <c r="BH1267" s="99"/>
      <c r="BI1267" s="99"/>
      <c r="BJ1267" s="99"/>
      <c r="BK1267" s="99"/>
      <c r="BL1267" s="99"/>
      <c r="BM1267" s="99"/>
      <c r="BN1267" s="99"/>
      <c r="BO1267" s="99"/>
      <c r="BP1267" s="99"/>
      <c r="BQ1267" s="99"/>
      <c r="BR1267" s="99"/>
      <c r="BS1267" s="99"/>
      <c r="BT1267" s="99"/>
      <c r="BU1267" s="99"/>
      <c r="BV1267" s="99"/>
      <c r="BW1267" s="99"/>
      <c r="BX1267" s="99"/>
      <c r="BY1267" s="99"/>
      <c r="BZ1267" s="99"/>
      <c r="CA1267" s="99"/>
      <c r="CB1267" s="99"/>
      <c r="CC1267" s="99"/>
      <c r="CD1267" s="99"/>
      <c r="CE1267" s="99"/>
      <c r="CF1267" s="99"/>
      <c r="CG1267" s="99"/>
      <c r="CH1267" s="99"/>
      <c r="CI1267" s="99"/>
      <c r="CJ1267" s="621"/>
      <c r="CK1267" s="621"/>
      <c r="CL1267" s="621"/>
    </row>
    <row r="1268" spans="27:90">
      <c r="AA1268" s="350"/>
      <c r="AB1268" s="62"/>
      <c r="AC1268" s="62"/>
      <c r="AD1268" s="62"/>
      <c r="AP1268" s="88"/>
      <c r="AQ1268" s="88"/>
      <c r="AR1268" s="88"/>
      <c r="AS1268" s="99"/>
      <c r="AT1268" s="99"/>
      <c r="AU1268" s="99"/>
      <c r="AV1268" s="99"/>
      <c r="AW1268" s="99"/>
      <c r="AX1268" s="99"/>
      <c r="AY1268" s="99"/>
      <c r="AZ1268" s="99"/>
      <c r="BA1268" s="99"/>
      <c r="BB1268" s="99"/>
      <c r="BC1268" s="99"/>
      <c r="BD1268" s="99"/>
      <c r="BE1268" s="99"/>
      <c r="BF1268" s="99"/>
      <c r="BG1268" s="99"/>
      <c r="BH1268" s="99"/>
      <c r="BI1268" s="99"/>
      <c r="BJ1268" s="99"/>
      <c r="BK1268" s="99"/>
      <c r="BL1268" s="99"/>
      <c r="BM1268" s="99"/>
      <c r="BN1268" s="99"/>
      <c r="BO1268" s="99"/>
      <c r="BP1268" s="99"/>
      <c r="BQ1268" s="99"/>
      <c r="BR1268" s="99"/>
      <c r="BS1268" s="99"/>
      <c r="BT1268" s="99"/>
      <c r="BU1268" s="99"/>
      <c r="BV1268" s="99"/>
      <c r="BW1268" s="99"/>
      <c r="BX1268" s="99"/>
      <c r="BY1268" s="99"/>
      <c r="BZ1268" s="99"/>
      <c r="CA1268" s="99"/>
      <c r="CB1268" s="99"/>
      <c r="CC1268" s="99"/>
      <c r="CD1268" s="99"/>
      <c r="CE1268" s="99"/>
      <c r="CF1268" s="99"/>
      <c r="CG1268" s="99"/>
      <c r="CH1268" s="99"/>
      <c r="CI1268" s="99"/>
      <c r="CJ1268" s="621"/>
      <c r="CK1268" s="621"/>
      <c r="CL1268" s="621"/>
    </row>
    <row r="1269" spans="27:90">
      <c r="AA1269" s="350"/>
      <c r="AB1269" s="62"/>
      <c r="AC1269" s="62"/>
      <c r="AD1269" s="62"/>
      <c r="AP1269" s="88"/>
      <c r="AQ1269" s="88"/>
      <c r="AR1269" s="88"/>
      <c r="AS1269" s="99"/>
      <c r="AT1269" s="99"/>
      <c r="AU1269" s="99"/>
      <c r="AV1269" s="99"/>
      <c r="AW1269" s="99"/>
      <c r="AX1269" s="99"/>
      <c r="AY1269" s="99"/>
      <c r="AZ1269" s="99"/>
      <c r="BA1269" s="99"/>
      <c r="BB1269" s="99"/>
      <c r="BC1269" s="99"/>
      <c r="BD1269" s="99"/>
      <c r="BE1269" s="99"/>
      <c r="BF1269" s="99"/>
      <c r="BG1269" s="99"/>
      <c r="BH1269" s="99"/>
      <c r="BI1269" s="99"/>
      <c r="BJ1269" s="99"/>
      <c r="BK1269" s="99"/>
      <c r="BL1269" s="99"/>
      <c r="BM1269" s="99"/>
      <c r="BN1269" s="99"/>
      <c r="BO1269" s="99"/>
      <c r="BP1269" s="99"/>
      <c r="BQ1269" s="99"/>
      <c r="BR1269" s="99"/>
      <c r="BS1269" s="99"/>
      <c r="BT1269" s="99"/>
      <c r="BU1269" s="99"/>
      <c r="BV1269" s="99"/>
      <c r="BW1269" s="99"/>
      <c r="BX1269" s="99"/>
      <c r="BY1269" s="99"/>
      <c r="BZ1269" s="99"/>
      <c r="CA1269" s="99"/>
      <c r="CB1269" s="99"/>
      <c r="CC1269" s="99"/>
      <c r="CD1269" s="99"/>
      <c r="CE1269" s="99"/>
      <c r="CF1269" s="99"/>
      <c r="CG1269" s="99"/>
      <c r="CH1269" s="99"/>
      <c r="CI1269" s="99"/>
      <c r="CJ1269" s="621"/>
      <c r="CK1269" s="621"/>
      <c r="CL1269" s="621"/>
    </row>
    <row r="1270" spans="27:90">
      <c r="AA1270" s="350"/>
      <c r="AB1270" s="62"/>
      <c r="AC1270" s="62"/>
      <c r="AD1270" s="62"/>
      <c r="AP1270" s="88"/>
      <c r="AQ1270" s="88"/>
      <c r="AR1270" s="88"/>
      <c r="AS1270" s="99"/>
      <c r="AT1270" s="99"/>
      <c r="AU1270" s="99"/>
      <c r="AV1270" s="99"/>
      <c r="AW1270" s="99"/>
      <c r="AX1270" s="99"/>
      <c r="AY1270" s="99"/>
      <c r="AZ1270" s="99"/>
      <c r="BA1270" s="99"/>
      <c r="BB1270" s="99"/>
      <c r="BC1270" s="99"/>
      <c r="BD1270" s="99"/>
      <c r="BE1270" s="99"/>
      <c r="BF1270" s="99"/>
      <c r="BG1270" s="99"/>
      <c r="BH1270" s="99"/>
      <c r="BI1270" s="99"/>
      <c r="BJ1270" s="99"/>
      <c r="BK1270" s="99"/>
      <c r="BL1270" s="99"/>
      <c r="BM1270" s="99"/>
      <c r="BN1270" s="99"/>
      <c r="BO1270" s="99"/>
      <c r="BP1270" s="99"/>
      <c r="BQ1270" s="99"/>
      <c r="BR1270" s="99"/>
      <c r="BS1270" s="99"/>
      <c r="BT1270" s="99"/>
      <c r="BU1270" s="99"/>
      <c r="BV1270" s="99"/>
      <c r="BW1270" s="99"/>
      <c r="BX1270" s="99"/>
      <c r="BY1270" s="99"/>
      <c r="BZ1270" s="99"/>
      <c r="CA1270" s="99"/>
      <c r="CB1270" s="99"/>
      <c r="CC1270" s="99"/>
      <c r="CD1270" s="99"/>
      <c r="CE1270" s="99"/>
      <c r="CF1270" s="99"/>
      <c r="CG1270" s="99"/>
      <c r="CH1270" s="99"/>
      <c r="CI1270" s="99"/>
      <c r="CJ1270" s="621"/>
      <c r="CK1270" s="621"/>
      <c r="CL1270" s="621"/>
    </row>
    <row r="1271" spans="27:90">
      <c r="AA1271" s="350"/>
      <c r="AB1271" s="62"/>
      <c r="AC1271" s="62"/>
      <c r="AD1271" s="62"/>
      <c r="AP1271" s="88"/>
      <c r="AQ1271" s="88"/>
      <c r="AR1271" s="88"/>
      <c r="AS1271" s="99"/>
      <c r="AT1271" s="99"/>
      <c r="AU1271" s="99"/>
      <c r="AV1271" s="99"/>
      <c r="AW1271" s="99"/>
      <c r="AX1271" s="99"/>
      <c r="AY1271" s="99"/>
      <c r="AZ1271" s="99"/>
      <c r="BA1271" s="99"/>
      <c r="BB1271" s="99"/>
      <c r="BC1271" s="99"/>
      <c r="BD1271" s="99"/>
      <c r="BE1271" s="99"/>
      <c r="BF1271" s="99"/>
      <c r="BG1271" s="99"/>
      <c r="BH1271" s="99"/>
      <c r="BI1271" s="99"/>
      <c r="BJ1271" s="99"/>
      <c r="BK1271" s="99"/>
      <c r="BL1271" s="99"/>
      <c r="BM1271" s="99"/>
      <c r="BN1271" s="99"/>
      <c r="BO1271" s="99"/>
      <c r="BP1271" s="99"/>
      <c r="BQ1271" s="99"/>
      <c r="BR1271" s="99"/>
      <c r="BS1271" s="99"/>
      <c r="BT1271" s="99"/>
      <c r="BU1271" s="99"/>
      <c r="BV1271" s="99"/>
      <c r="BW1271" s="99"/>
      <c r="BX1271" s="99"/>
      <c r="BY1271" s="99"/>
      <c r="BZ1271" s="99"/>
      <c r="CA1271" s="99"/>
      <c r="CB1271" s="99"/>
      <c r="CC1271" s="99"/>
      <c r="CD1271" s="99"/>
      <c r="CE1271" s="99"/>
      <c r="CF1271" s="99"/>
      <c r="CG1271" s="99"/>
      <c r="CH1271" s="99"/>
      <c r="CI1271" s="99"/>
      <c r="CJ1271" s="621"/>
      <c r="CK1271" s="621"/>
      <c r="CL1271" s="621"/>
    </row>
    <row r="1272" spans="27:90">
      <c r="AA1272" s="350"/>
      <c r="AB1272" s="62"/>
      <c r="AC1272" s="62"/>
      <c r="AD1272" s="62"/>
      <c r="AP1272" s="88"/>
      <c r="AQ1272" s="88"/>
      <c r="AR1272" s="88"/>
      <c r="AS1272" s="99"/>
      <c r="AT1272" s="99"/>
      <c r="AU1272" s="99"/>
      <c r="AV1272" s="99"/>
      <c r="AW1272" s="99"/>
      <c r="AX1272" s="99"/>
      <c r="AY1272" s="99"/>
      <c r="AZ1272" s="99"/>
      <c r="BA1272" s="99"/>
      <c r="BB1272" s="99"/>
      <c r="BC1272" s="99"/>
      <c r="BD1272" s="99"/>
      <c r="BE1272" s="99"/>
      <c r="BF1272" s="99"/>
      <c r="BG1272" s="99"/>
      <c r="BH1272" s="99"/>
      <c r="BI1272" s="99"/>
      <c r="BJ1272" s="99"/>
      <c r="BK1272" s="99"/>
      <c r="BL1272" s="99"/>
      <c r="BM1272" s="99"/>
      <c r="BN1272" s="99"/>
      <c r="BO1272" s="99"/>
      <c r="BP1272" s="99"/>
      <c r="BQ1272" s="99"/>
      <c r="BR1272" s="99"/>
      <c r="BS1272" s="99"/>
      <c r="BT1272" s="99"/>
      <c r="BU1272" s="99"/>
      <c r="BV1272" s="99"/>
      <c r="BW1272" s="99"/>
      <c r="BX1272" s="99"/>
      <c r="BY1272" s="99"/>
      <c r="BZ1272" s="99"/>
      <c r="CA1272" s="99"/>
      <c r="CB1272" s="99"/>
      <c r="CC1272" s="99"/>
      <c r="CD1272" s="99"/>
      <c r="CE1272" s="99"/>
      <c r="CF1272" s="99"/>
      <c r="CG1272" s="99"/>
      <c r="CH1272" s="99"/>
      <c r="CI1272" s="99"/>
      <c r="CJ1272" s="621"/>
      <c r="CK1272" s="621"/>
      <c r="CL1272" s="621"/>
    </row>
    <row r="1273" spans="27:90">
      <c r="AA1273" s="350"/>
      <c r="AB1273" s="62"/>
      <c r="AC1273" s="62"/>
      <c r="AD1273" s="62"/>
      <c r="AP1273" s="88"/>
      <c r="AQ1273" s="88"/>
      <c r="AR1273" s="88"/>
      <c r="AS1273" s="99"/>
      <c r="AT1273" s="99"/>
      <c r="AU1273" s="99"/>
      <c r="AV1273" s="99"/>
      <c r="AW1273" s="99"/>
      <c r="AX1273" s="99"/>
      <c r="AY1273" s="99"/>
      <c r="AZ1273" s="99"/>
      <c r="BA1273" s="99"/>
      <c r="BB1273" s="99"/>
      <c r="BC1273" s="99"/>
      <c r="BD1273" s="99"/>
      <c r="BE1273" s="99"/>
      <c r="BF1273" s="99"/>
      <c r="BG1273" s="99"/>
      <c r="BH1273" s="99"/>
      <c r="BI1273" s="99"/>
      <c r="BJ1273" s="99"/>
      <c r="BK1273" s="99"/>
      <c r="BL1273" s="99"/>
      <c r="BM1273" s="99"/>
      <c r="BN1273" s="99"/>
      <c r="BO1273" s="99"/>
      <c r="BP1273" s="99"/>
      <c r="BQ1273" s="99"/>
      <c r="BR1273" s="99"/>
      <c r="BS1273" s="99"/>
      <c r="BT1273" s="99"/>
      <c r="BU1273" s="99"/>
      <c r="BV1273" s="99"/>
      <c r="BW1273" s="99"/>
      <c r="BX1273" s="99"/>
      <c r="BY1273" s="99"/>
      <c r="BZ1273" s="99"/>
      <c r="CA1273" s="99"/>
      <c r="CB1273" s="99"/>
      <c r="CC1273" s="99"/>
      <c r="CD1273" s="99"/>
      <c r="CE1273" s="99"/>
      <c r="CF1273" s="99"/>
      <c r="CG1273" s="99"/>
      <c r="CH1273" s="99"/>
      <c r="CI1273" s="99"/>
      <c r="CJ1273" s="621"/>
      <c r="CK1273" s="621"/>
      <c r="CL1273" s="621"/>
    </row>
    <row r="1274" spans="27:90">
      <c r="AA1274" s="350"/>
      <c r="AB1274" s="62"/>
      <c r="AC1274" s="62"/>
      <c r="AD1274" s="62"/>
      <c r="AP1274" s="88"/>
      <c r="AQ1274" s="88"/>
      <c r="AR1274" s="88"/>
      <c r="AS1274" s="99"/>
      <c r="AT1274" s="99"/>
      <c r="AU1274" s="99"/>
      <c r="AV1274" s="99"/>
      <c r="AW1274" s="99"/>
      <c r="AX1274" s="99"/>
      <c r="AY1274" s="99"/>
      <c r="AZ1274" s="99"/>
      <c r="BA1274" s="99"/>
      <c r="BB1274" s="99"/>
      <c r="BC1274" s="99"/>
      <c r="BD1274" s="99"/>
      <c r="BE1274" s="99"/>
      <c r="BF1274" s="99"/>
      <c r="BG1274" s="99"/>
      <c r="BH1274" s="99"/>
      <c r="BI1274" s="99"/>
      <c r="BJ1274" s="99"/>
      <c r="BK1274" s="99"/>
      <c r="BL1274" s="99"/>
      <c r="BM1274" s="99"/>
      <c r="BN1274" s="99"/>
      <c r="BO1274" s="99"/>
      <c r="BP1274" s="99"/>
      <c r="BQ1274" s="99"/>
      <c r="BR1274" s="99"/>
      <c r="BS1274" s="99"/>
      <c r="BT1274" s="99"/>
      <c r="BU1274" s="99"/>
      <c r="BV1274" s="99"/>
      <c r="BW1274" s="99"/>
      <c r="BX1274" s="99"/>
      <c r="BY1274" s="99"/>
      <c r="BZ1274" s="99"/>
      <c r="CA1274" s="99"/>
      <c r="CB1274" s="99"/>
      <c r="CC1274" s="99"/>
      <c r="CD1274" s="99"/>
      <c r="CE1274" s="99"/>
      <c r="CF1274" s="99"/>
      <c r="CG1274" s="99"/>
      <c r="CH1274" s="99"/>
      <c r="CI1274" s="99"/>
      <c r="CJ1274" s="621"/>
      <c r="CK1274" s="621"/>
      <c r="CL1274" s="621"/>
    </row>
    <row r="1275" spans="27:90">
      <c r="AA1275" s="350"/>
      <c r="AB1275" s="62"/>
      <c r="AC1275" s="62"/>
      <c r="AD1275" s="62"/>
      <c r="AP1275" s="88"/>
      <c r="AQ1275" s="88"/>
      <c r="AR1275" s="88"/>
      <c r="AS1275" s="99"/>
      <c r="AT1275" s="99"/>
      <c r="AU1275" s="99"/>
      <c r="AV1275" s="99"/>
      <c r="AW1275" s="99"/>
      <c r="AX1275" s="99"/>
      <c r="AY1275" s="99"/>
      <c r="AZ1275" s="99"/>
      <c r="BA1275" s="99"/>
      <c r="BB1275" s="99"/>
      <c r="BC1275" s="99"/>
      <c r="BD1275" s="99"/>
      <c r="BE1275" s="99"/>
      <c r="BF1275" s="99"/>
      <c r="BG1275" s="99"/>
      <c r="BH1275" s="99"/>
      <c r="BI1275" s="99"/>
      <c r="BJ1275" s="99"/>
      <c r="BK1275" s="99"/>
      <c r="BL1275" s="99"/>
      <c r="BM1275" s="99"/>
      <c r="BN1275" s="99"/>
      <c r="BO1275" s="99"/>
      <c r="BP1275" s="99"/>
      <c r="BQ1275" s="99"/>
      <c r="BR1275" s="99"/>
      <c r="BS1275" s="99"/>
      <c r="BT1275" s="99"/>
      <c r="BU1275" s="99"/>
      <c r="BV1275" s="99"/>
      <c r="BW1275" s="99"/>
      <c r="BX1275" s="99"/>
      <c r="BY1275" s="99"/>
      <c r="BZ1275" s="99"/>
      <c r="CA1275" s="99"/>
      <c r="CB1275" s="99"/>
      <c r="CC1275" s="99"/>
      <c r="CD1275" s="99"/>
      <c r="CE1275" s="99"/>
      <c r="CF1275" s="99"/>
      <c r="CG1275" s="99"/>
      <c r="CH1275" s="99"/>
      <c r="CI1275" s="99"/>
      <c r="CJ1275" s="621"/>
      <c r="CK1275" s="621"/>
      <c r="CL1275" s="621"/>
    </row>
    <row r="1276" spans="27:90">
      <c r="AA1276" s="350"/>
      <c r="AB1276" s="62"/>
      <c r="AC1276" s="62"/>
      <c r="AD1276" s="62"/>
      <c r="AP1276" s="88"/>
      <c r="AQ1276" s="88"/>
      <c r="AR1276" s="88"/>
      <c r="AS1276" s="99"/>
      <c r="AT1276" s="99"/>
      <c r="AU1276" s="99"/>
      <c r="AV1276" s="99"/>
      <c r="AW1276" s="99"/>
      <c r="AX1276" s="99"/>
      <c r="AY1276" s="99"/>
      <c r="AZ1276" s="99"/>
      <c r="BA1276" s="99"/>
      <c r="BB1276" s="99"/>
      <c r="BC1276" s="99"/>
      <c r="BD1276" s="99"/>
      <c r="BE1276" s="99"/>
      <c r="BF1276" s="99"/>
      <c r="BG1276" s="99"/>
      <c r="BH1276" s="99"/>
      <c r="BI1276" s="99"/>
      <c r="BJ1276" s="99"/>
      <c r="BK1276" s="99"/>
      <c r="BL1276" s="99"/>
      <c r="BM1276" s="99"/>
      <c r="BN1276" s="99"/>
      <c r="BO1276" s="99"/>
      <c r="BP1276" s="99"/>
      <c r="BQ1276" s="99"/>
      <c r="BR1276" s="99"/>
      <c r="BS1276" s="99"/>
      <c r="BT1276" s="99"/>
      <c r="BU1276" s="99"/>
      <c r="BV1276" s="99"/>
      <c r="BW1276" s="99"/>
      <c r="BX1276" s="99"/>
      <c r="BY1276" s="99"/>
      <c r="BZ1276" s="99"/>
      <c r="CA1276" s="99"/>
      <c r="CB1276" s="99"/>
      <c r="CC1276" s="99"/>
      <c r="CD1276" s="99"/>
      <c r="CE1276" s="99"/>
      <c r="CF1276" s="99"/>
      <c r="CG1276" s="99"/>
      <c r="CH1276" s="99"/>
      <c r="CI1276" s="99"/>
      <c r="CJ1276" s="621"/>
      <c r="CK1276" s="621"/>
      <c r="CL1276" s="621"/>
    </row>
    <row r="1277" spans="27:90">
      <c r="AA1277" s="350"/>
      <c r="AB1277" s="62"/>
      <c r="AC1277" s="62"/>
      <c r="AD1277" s="62"/>
      <c r="AP1277" s="88"/>
      <c r="AQ1277" s="88"/>
      <c r="AR1277" s="88"/>
      <c r="AS1277" s="99"/>
      <c r="AT1277" s="99"/>
      <c r="AU1277" s="99"/>
      <c r="AV1277" s="99"/>
      <c r="AW1277" s="99"/>
      <c r="AX1277" s="99"/>
      <c r="AY1277" s="99"/>
      <c r="AZ1277" s="99"/>
      <c r="BA1277" s="99"/>
      <c r="BB1277" s="99"/>
      <c r="BC1277" s="99"/>
      <c r="BD1277" s="99"/>
      <c r="BE1277" s="99"/>
      <c r="BF1277" s="99"/>
      <c r="BG1277" s="99"/>
      <c r="BH1277" s="99"/>
      <c r="BI1277" s="99"/>
      <c r="BJ1277" s="99"/>
      <c r="BK1277" s="99"/>
      <c r="BL1277" s="99"/>
      <c r="BM1277" s="99"/>
      <c r="BN1277" s="99"/>
      <c r="BO1277" s="99"/>
      <c r="BP1277" s="99"/>
      <c r="BQ1277" s="99"/>
      <c r="BR1277" s="99"/>
      <c r="BS1277" s="99"/>
      <c r="BT1277" s="99"/>
      <c r="BU1277" s="99"/>
      <c r="BV1277" s="99"/>
      <c r="BW1277" s="99"/>
      <c r="BX1277" s="99"/>
      <c r="BY1277" s="99"/>
      <c r="BZ1277" s="99"/>
      <c r="CA1277" s="99"/>
      <c r="CB1277" s="99"/>
      <c r="CC1277" s="99"/>
      <c r="CD1277" s="99"/>
      <c r="CE1277" s="99"/>
      <c r="CF1277" s="99"/>
      <c r="CG1277" s="99"/>
      <c r="CH1277" s="99"/>
      <c r="CI1277" s="99"/>
      <c r="CJ1277" s="621"/>
      <c r="CK1277" s="621"/>
      <c r="CL1277" s="621"/>
    </row>
    <row r="1278" spans="27:90">
      <c r="AA1278" s="350"/>
      <c r="AB1278" s="62"/>
      <c r="AC1278" s="62"/>
      <c r="AD1278" s="62"/>
      <c r="AP1278" s="88"/>
      <c r="AQ1278" s="88"/>
      <c r="AR1278" s="88"/>
      <c r="AS1278" s="99"/>
      <c r="AT1278" s="99"/>
      <c r="AU1278" s="99"/>
      <c r="AV1278" s="99"/>
      <c r="AW1278" s="99"/>
      <c r="AX1278" s="99"/>
      <c r="AY1278" s="99"/>
      <c r="AZ1278" s="99"/>
      <c r="BA1278" s="99"/>
      <c r="BB1278" s="99"/>
      <c r="BC1278" s="99"/>
      <c r="BD1278" s="99"/>
      <c r="BE1278" s="99"/>
      <c r="BF1278" s="99"/>
      <c r="BG1278" s="99"/>
      <c r="BH1278" s="99"/>
      <c r="BI1278" s="99"/>
      <c r="BJ1278" s="99"/>
      <c r="BK1278" s="99"/>
      <c r="BL1278" s="99"/>
      <c r="BM1278" s="99"/>
      <c r="BN1278" s="99"/>
      <c r="BO1278" s="99"/>
      <c r="BP1278" s="99"/>
      <c r="BQ1278" s="99"/>
      <c r="BR1278" s="99"/>
      <c r="BS1278" s="99"/>
      <c r="BT1278" s="99"/>
      <c r="BU1278" s="99"/>
      <c r="BV1278" s="99"/>
      <c r="BW1278" s="99"/>
      <c r="BX1278" s="99"/>
      <c r="BY1278" s="99"/>
      <c r="BZ1278" s="99"/>
      <c r="CA1278" s="99"/>
      <c r="CB1278" s="99"/>
      <c r="CC1278" s="99"/>
      <c r="CD1278" s="99"/>
      <c r="CE1278" s="99"/>
      <c r="CF1278" s="99"/>
      <c r="CG1278" s="99"/>
      <c r="CH1278" s="99"/>
      <c r="CI1278" s="99"/>
      <c r="CJ1278" s="621"/>
      <c r="CK1278" s="621"/>
      <c r="CL1278" s="621"/>
    </row>
    <row r="1279" spans="27:90">
      <c r="AA1279" s="350"/>
      <c r="AB1279" s="62"/>
      <c r="AC1279" s="62"/>
      <c r="AD1279" s="62"/>
      <c r="AP1279" s="88"/>
      <c r="AQ1279" s="88"/>
      <c r="AR1279" s="88"/>
      <c r="AS1279" s="99"/>
      <c r="AT1279" s="99"/>
      <c r="AU1279" s="99"/>
      <c r="AV1279" s="99"/>
      <c r="AW1279" s="99"/>
      <c r="AX1279" s="99"/>
      <c r="AY1279" s="99"/>
      <c r="AZ1279" s="99"/>
      <c r="BA1279" s="99"/>
      <c r="BB1279" s="99"/>
      <c r="BC1279" s="99"/>
      <c r="BD1279" s="99"/>
      <c r="BE1279" s="99"/>
      <c r="BF1279" s="99"/>
      <c r="BG1279" s="99"/>
      <c r="BH1279" s="99"/>
      <c r="BI1279" s="99"/>
      <c r="BJ1279" s="99"/>
      <c r="BK1279" s="99"/>
      <c r="BL1279" s="99"/>
      <c r="BM1279" s="99"/>
      <c r="BN1279" s="99"/>
      <c r="BO1279" s="99"/>
      <c r="BP1279" s="99"/>
      <c r="BQ1279" s="99"/>
      <c r="BR1279" s="99"/>
      <c r="BS1279" s="99"/>
      <c r="BT1279" s="99"/>
      <c r="BU1279" s="99"/>
      <c r="BV1279" s="99"/>
      <c r="BW1279" s="99"/>
      <c r="BX1279" s="99"/>
      <c r="BY1279" s="99"/>
      <c r="BZ1279" s="99"/>
      <c r="CA1279" s="99"/>
      <c r="CB1279" s="99"/>
      <c r="CC1279" s="99"/>
      <c r="CD1279" s="99"/>
      <c r="CE1279" s="99"/>
      <c r="CF1279" s="99"/>
      <c r="CG1279" s="99"/>
      <c r="CH1279" s="99"/>
      <c r="CI1279" s="99"/>
      <c r="CJ1279" s="621"/>
      <c r="CK1279" s="621"/>
      <c r="CL1279" s="621"/>
    </row>
    <row r="1280" spans="27:90">
      <c r="AA1280" s="350"/>
      <c r="AB1280" s="62"/>
      <c r="AC1280" s="62"/>
      <c r="AD1280" s="62"/>
      <c r="AP1280" s="88"/>
      <c r="AQ1280" s="88"/>
      <c r="AR1280" s="88"/>
      <c r="AS1280" s="99"/>
      <c r="AT1280" s="99"/>
      <c r="AU1280" s="99"/>
      <c r="AV1280" s="99"/>
      <c r="AW1280" s="99"/>
      <c r="AX1280" s="99"/>
      <c r="AY1280" s="99"/>
      <c r="AZ1280" s="99"/>
      <c r="BA1280" s="99"/>
      <c r="BB1280" s="99"/>
      <c r="BC1280" s="99"/>
      <c r="BD1280" s="99"/>
      <c r="BE1280" s="99"/>
      <c r="BF1280" s="99"/>
      <c r="BG1280" s="99"/>
      <c r="BH1280" s="99"/>
      <c r="BI1280" s="99"/>
      <c r="BJ1280" s="99"/>
      <c r="BK1280" s="99"/>
      <c r="BL1280" s="99"/>
      <c r="BM1280" s="99"/>
      <c r="BN1280" s="99"/>
      <c r="BO1280" s="99"/>
      <c r="BP1280" s="99"/>
      <c r="BQ1280" s="99"/>
      <c r="BR1280" s="99"/>
      <c r="BS1280" s="99"/>
      <c r="BT1280" s="99"/>
      <c r="BU1280" s="99"/>
      <c r="BV1280" s="99"/>
      <c r="BW1280" s="99"/>
      <c r="BX1280" s="99"/>
      <c r="BY1280" s="99"/>
      <c r="BZ1280" s="99"/>
      <c r="CA1280" s="99"/>
      <c r="CB1280" s="99"/>
      <c r="CC1280" s="99"/>
      <c r="CD1280" s="99"/>
      <c r="CE1280" s="99"/>
      <c r="CF1280" s="99"/>
      <c r="CG1280" s="99"/>
      <c r="CH1280" s="99"/>
      <c r="CI1280" s="99"/>
      <c r="CJ1280" s="621"/>
      <c r="CK1280" s="621"/>
      <c r="CL1280" s="621"/>
    </row>
    <row r="1281" spans="27:90">
      <c r="AA1281" s="350"/>
      <c r="AB1281" s="62"/>
      <c r="AC1281" s="62"/>
      <c r="AD1281" s="62"/>
      <c r="AP1281" s="88"/>
      <c r="AQ1281" s="88"/>
      <c r="AR1281" s="88"/>
      <c r="AS1281" s="99"/>
      <c r="AT1281" s="99"/>
      <c r="AU1281" s="99"/>
      <c r="AV1281" s="99"/>
      <c r="AW1281" s="99"/>
      <c r="AX1281" s="99"/>
      <c r="AY1281" s="99"/>
      <c r="AZ1281" s="99"/>
      <c r="BA1281" s="99"/>
      <c r="BB1281" s="99"/>
      <c r="BC1281" s="99"/>
      <c r="BD1281" s="99"/>
      <c r="BE1281" s="99"/>
      <c r="BF1281" s="99"/>
      <c r="BG1281" s="99"/>
      <c r="BH1281" s="99"/>
      <c r="BI1281" s="99"/>
      <c r="BJ1281" s="99"/>
      <c r="BK1281" s="99"/>
      <c r="BL1281" s="99"/>
      <c r="BM1281" s="99"/>
      <c r="BN1281" s="99"/>
      <c r="BO1281" s="99"/>
      <c r="BP1281" s="99"/>
      <c r="BQ1281" s="99"/>
      <c r="BR1281" s="99"/>
      <c r="BS1281" s="99"/>
      <c r="BT1281" s="99"/>
      <c r="BU1281" s="99"/>
      <c r="BV1281" s="99"/>
      <c r="BW1281" s="99"/>
      <c r="BX1281" s="99"/>
      <c r="BY1281" s="99"/>
      <c r="BZ1281" s="99"/>
      <c r="CA1281" s="99"/>
      <c r="CB1281" s="99"/>
      <c r="CC1281" s="99"/>
      <c r="CD1281" s="99"/>
      <c r="CE1281" s="99"/>
      <c r="CF1281" s="99"/>
      <c r="CG1281" s="99"/>
      <c r="CH1281" s="99"/>
      <c r="CI1281" s="99"/>
      <c r="CJ1281" s="621"/>
      <c r="CK1281" s="621"/>
      <c r="CL1281" s="621"/>
    </row>
    <row r="1282" spans="27:90">
      <c r="AA1282" s="350"/>
      <c r="AB1282" s="62"/>
      <c r="AC1282" s="62"/>
      <c r="AD1282" s="62"/>
      <c r="AP1282" s="88"/>
      <c r="AQ1282" s="88"/>
      <c r="AR1282" s="88"/>
      <c r="AS1282" s="99"/>
      <c r="AT1282" s="99"/>
      <c r="AU1282" s="99"/>
      <c r="AV1282" s="99"/>
      <c r="AW1282" s="99"/>
      <c r="AX1282" s="99"/>
      <c r="AY1282" s="99"/>
      <c r="AZ1282" s="99"/>
      <c r="BA1282" s="99"/>
      <c r="BB1282" s="99"/>
      <c r="BC1282" s="99"/>
      <c r="BD1282" s="99"/>
      <c r="BE1282" s="99"/>
      <c r="BF1282" s="99"/>
      <c r="BG1282" s="99"/>
      <c r="BH1282" s="99"/>
      <c r="BI1282" s="99"/>
      <c r="BJ1282" s="99"/>
      <c r="BK1282" s="99"/>
      <c r="BL1282" s="99"/>
      <c r="BM1282" s="99"/>
      <c r="BN1282" s="99"/>
      <c r="BO1282" s="99"/>
      <c r="BP1282" s="99"/>
      <c r="BQ1282" s="99"/>
      <c r="BR1282" s="99"/>
      <c r="BS1282" s="99"/>
      <c r="BT1282" s="99"/>
      <c r="BU1282" s="99"/>
      <c r="BV1282" s="99"/>
      <c r="BW1282" s="99"/>
      <c r="BX1282" s="99"/>
      <c r="BY1282" s="99"/>
      <c r="BZ1282" s="99"/>
      <c r="CA1282" s="99"/>
      <c r="CB1282" s="99"/>
      <c r="CC1282" s="99"/>
      <c r="CD1282" s="99"/>
      <c r="CE1282" s="99"/>
      <c r="CF1282" s="99"/>
      <c r="CG1282" s="99"/>
      <c r="CH1282" s="99"/>
      <c r="CI1282" s="99"/>
      <c r="CJ1282" s="621"/>
      <c r="CK1282" s="621"/>
      <c r="CL1282" s="621"/>
    </row>
    <row r="1283" spans="27:90">
      <c r="AA1283" s="350"/>
      <c r="AB1283" s="62"/>
      <c r="AC1283" s="62"/>
      <c r="AD1283" s="62"/>
      <c r="AP1283" s="88"/>
      <c r="AQ1283" s="88"/>
      <c r="AR1283" s="88"/>
      <c r="AS1283" s="99"/>
      <c r="AT1283" s="99"/>
      <c r="AU1283" s="99"/>
      <c r="AV1283" s="99"/>
      <c r="AW1283" s="99"/>
      <c r="AX1283" s="99"/>
      <c r="AY1283" s="99"/>
      <c r="AZ1283" s="99"/>
      <c r="BA1283" s="99"/>
      <c r="BB1283" s="99"/>
      <c r="BC1283" s="99"/>
      <c r="BD1283" s="99"/>
      <c r="BE1283" s="99"/>
      <c r="BF1283" s="99"/>
      <c r="BG1283" s="99"/>
      <c r="BH1283" s="99"/>
      <c r="BI1283" s="99"/>
      <c r="BJ1283" s="99"/>
      <c r="BK1283" s="99"/>
      <c r="BL1283" s="99"/>
      <c r="BM1283" s="99"/>
      <c r="BN1283" s="99"/>
      <c r="BO1283" s="99"/>
      <c r="BP1283" s="99"/>
      <c r="BQ1283" s="99"/>
      <c r="BR1283" s="99"/>
      <c r="BS1283" s="99"/>
      <c r="BT1283" s="99"/>
      <c r="BU1283" s="99"/>
      <c r="BV1283" s="99"/>
      <c r="BW1283" s="99"/>
      <c r="BX1283" s="99"/>
      <c r="BY1283" s="99"/>
      <c r="BZ1283" s="99"/>
      <c r="CA1283" s="99"/>
      <c r="CB1283" s="99"/>
      <c r="CC1283" s="99"/>
      <c r="CD1283" s="99"/>
      <c r="CE1283" s="99"/>
      <c r="CF1283" s="99"/>
      <c r="CG1283" s="99"/>
      <c r="CH1283" s="99"/>
      <c r="CI1283" s="99"/>
      <c r="CJ1283" s="621"/>
      <c r="CK1283" s="621"/>
      <c r="CL1283" s="621"/>
    </row>
    <row r="1284" spans="27:90">
      <c r="AA1284" s="350"/>
      <c r="AB1284" s="62"/>
      <c r="AC1284" s="62"/>
      <c r="AD1284" s="62"/>
      <c r="AP1284" s="88"/>
      <c r="AQ1284" s="88"/>
      <c r="AR1284" s="88"/>
      <c r="AS1284" s="99"/>
      <c r="AT1284" s="99"/>
      <c r="AU1284" s="99"/>
      <c r="AV1284" s="99"/>
      <c r="AW1284" s="99"/>
      <c r="AX1284" s="99"/>
      <c r="AY1284" s="99"/>
      <c r="AZ1284" s="99"/>
      <c r="BA1284" s="99"/>
      <c r="BB1284" s="99"/>
      <c r="BC1284" s="99"/>
      <c r="BD1284" s="99"/>
      <c r="BE1284" s="99"/>
      <c r="BF1284" s="99"/>
      <c r="BG1284" s="99"/>
      <c r="BH1284" s="99"/>
      <c r="BI1284" s="99"/>
      <c r="BJ1284" s="99"/>
      <c r="BK1284" s="99"/>
      <c r="BL1284" s="99"/>
      <c r="BM1284" s="99"/>
      <c r="BN1284" s="99"/>
      <c r="BO1284" s="99"/>
      <c r="BP1284" s="99"/>
      <c r="BQ1284" s="99"/>
      <c r="BR1284" s="99"/>
      <c r="BS1284" s="99"/>
      <c r="BT1284" s="99"/>
      <c r="BU1284" s="99"/>
      <c r="BV1284" s="99"/>
      <c r="BW1284" s="99"/>
      <c r="BX1284" s="99"/>
      <c r="BY1284" s="99"/>
      <c r="BZ1284" s="99"/>
      <c r="CA1284" s="99"/>
      <c r="CB1284" s="99"/>
      <c r="CC1284" s="99"/>
      <c r="CD1284" s="99"/>
      <c r="CE1284" s="99"/>
      <c r="CF1284" s="99"/>
      <c r="CG1284" s="99"/>
      <c r="CH1284" s="99"/>
      <c r="CI1284" s="99"/>
      <c r="CJ1284" s="621"/>
      <c r="CK1284" s="621"/>
      <c r="CL1284" s="621"/>
    </row>
    <row r="1285" spans="27:90">
      <c r="AA1285" s="350"/>
      <c r="AB1285" s="62"/>
      <c r="AC1285" s="62"/>
      <c r="AD1285" s="62"/>
      <c r="AP1285" s="88"/>
      <c r="AQ1285" s="88"/>
      <c r="AR1285" s="88"/>
      <c r="AS1285" s="99"/>
      <c r="AT1285" s="99"/>
      <c r="AU1285" s="99"/>
      <c r="AV1285" s="99"/>
      <c r="AW1285" s="99"/>
      <c r="AX1285" s="99"/>
      <c r="AY1285" s="99"/>
      <c r="AZ1285" s="99"/>
      <c r="BA1285" s="99"/>
      <c r="BB1285" s="99"/>
      <c r="BC1285" s="99"/>
      <c r="BD1285" s="99"/>
      <c r="BE1285" s="99"/>
      <c r="BF1285" s="99"/>
      <c r="BG1285" s="99"/>
      <c r="BH1285" s="99"/>
      <c r="BI1285" s="99"/>
      <c r="BJ1285" s="99"/>
      <c r="BK1285" s="99"/>
      <c r="BL1285" s="99"/>
      <c r="BM1285" s="99"/>
      <c r="BN1285" s="99"/>
      <c r="BO1285" s="99"/>
      <c r="BP1285" s="99"/>
      <c r="BQ1285" s="99"/>
      <c r="BR1285" s="99"/>
      <c r="BS1285" s="99"/>
      <c r="BT1285" s="99"/>
      <c r="BU1285" s="99"/>
      <c r="BV1285" s="99"/>
      <c r="BW1285" s="99"/>
      <c r="BX1285" s="99"/>
      <c r="BY1285" s="99"/>
      <c r="BZ1285" s="99"/>
      <c r="CA1285" s="99"/>
      <c r="CB1285" s="99"/>
      <c r="CC1285" s="99"/>
      <c r="CD1285" s="99"/>
      <c r="CE1285" s="99"/>
      <c r="CF1285" s="99"/>
      <c r="CG1285" s="99"/>
      <c r="CH1285" s="99"/>
      <c r="CI1285" s="99"/>
      <c r="CJ1285" s="621"/>
      <c r="CK1285" s="621"/>
      <c r="CL1285" s="621"/>
    </row>
    <row r="1286" spans="27:90">
      <c r="AA1286" s="350"/>
      <c r="AB1286" s="62"/>
      <c r="AC1286" s="62"/>
      <c r="AD1286" s="62"/>
      <c r="AP1286" s="88"/>
      <c r="AQ1286" s="88"/>
      <c r="AR1286" s="88"/>
      <c r="AS1286" s="99"/>
      <c r="AT1286" s="99"/>
      <c r="AU1286" s="99"/>
      <c r="AV1286" s="99"/>
      <c r="AW1286" s="99"/>
      <c r="AX1286" s="99"/>
      <c r="AY1286" s="99"/>
      <c r="AZ1286" s="99"/>
      <c r="BA1286" s="99"/>
      <c r="BB1286" s="99"/>
      <c r="BC1286" s="99"/>
      <c r="BD1286" s="99"/>
      <c r="BE1286" s="99"/>
      <c r="BF1286" s="99"/>
      <c r="BG1286" s="99"/>
      <c r="BH1286" s="99"/>
      <c r="BI1286" s="99"/>
      <c r="BJ1286" s="99"/>
      <c r="BK1286" s="99"/>
      <c r="BL1286" s="99"/>
      <c r="BM1286" s="99"/>
      <c r="BN1286" s="99"/>
      <c r="BO1286" s="99"/>
      <c r="BP1286" s="99"/>
      <c r="BQ1286" s="99"/>
      <c r="BR1286" s="99"/>
      <c r="BS1286" s="99"/>
      <c r="BT1286" s="99"/>
      <c r="BU1286" s="99"/>
      <c r="BV1286" s="99"/>
      <c r="BW1286" s="99"/>
      <c r="BX1286" s="99"/>
      <c r="BY1286" s="99"/>
      <c r="BZ1286" s="99"/>
      <c r="CA1286" s="99"/>
      <c r="CB1286" s="99"/>
      <c r="CC1286" s="99"/>
      <c r="CD1286" s="99"/>
      <c r="CE1286" s="99"/>
      <c r="CF1286" s="99"/>
      <c r="CG1286" s="99"/>
      <c r="CH1286" s="99"/>
      <c r="CI1286" s="99"/>
      <c r="CJ1286" s="621"/>
      <c r="CK1286" s="621"/>
      <c r="CL1286" s="621"/>
    </row>
    <row r="1287" spans="27:90">
      <c r="AA1287" s="350"/>
      <c r="AB1287" s="62"/>
      <c r="AC1287" s="62"/>
      <c r="AD1287" s="62"/>
      <c r="AP1287" s="88"/>
      <c r="AQ1287" s="88"/>
      <c r="AR1287" s="88"/>
      <c r="AS1287" s="99"/>
      <c r="AT1287" s="99"/>
      <c r="AU1287" s="99"/>
      <c r="AV1287" s="99"/>
      <c r="AW1287" s="99"/>
      <c r="AX1287" s="99"/>
      <c r="AY1287" s="99"/>
      <c r="AZ1287" s="99"/>
      <c r="BA1287" s="99"/>
      <c r="BB1287" s="99"/>
      <c r="BC1287" s="99"/>
      <c r="BD1287" s="99"/>
      <c r="BE1287" s="99"/>
      <c r="BF1287" s="99"/>
      <c r="BG1287" s="99"/>
      <c r="BH1287" s="99"/>
      <c r="BI1287" s="99"/>
      <c r="BJ1287" s="99"/>
      <c r="BK1287" s="99"/>
      <c r="BL1287" s="99"/>
      <c r="BM1287" s="99"/>
      <c r="BN1287" s="99"/>
      <c r="BO1287" s="99"/>
      <c r="BP1287" s="99"/>
      <c r="BQ1287" s="99"/>
      <c r="BR1287" s="99"/>
      <c r="BS1287" s="99"/>
      <c r="BT1287" s="99"/>
      <c r="BU1287" s="99"/>
      <c r="BV1287" s="99"/>
      <c r="BW1287" s="99"/>
      <c r="BX1287" s="99"/>
      <c r="BY1287" s="99"/>
      <c r="BZ1287" s="99"/>
      <c r="CA1287" s="99"/>
      <c r="CB1287" s="99"/>
      <c r="CC1287" s="99"/>
      <c r="CD1287" s="99"/>
      <c r="CE1287" s="99"/>
      <c r="CF1287" s="99"/>
      <c r="CG1287" s="99"/>
      <c r="CH1287" s="99"/>
      <c r="CI1287" s="99"/>
      <c r="CJ1287" s="621"/>
      <c r="CK1287" s="621"/>
      <c r="CL1287" s="621"/>
    </row>
    <row r="1288" spans="27:90">
      <c r="AA1288" s="350"/>
      <c r="AB1288" s="62"/>
      <c r="AC1288" s="62"/>
      <c r="AD1288" s="62"/>
      <c r="AP1288" s="88"/>
      <c r="AQ1288" s="88"/>
      <c r="AR1288" s="88"/>
      <c r="AS1288" s="99"/>
      <c r="AT1288" s="99"/>
      <c r="AU1288" s="99"/>
      <c r="AV1288" s="99"/>
      <c r="AW1288" s="99"/>
      <c r="AX1288" s="99"/>
      <c r="AY1288" s="99"/>
      <c r="AZ1288" s="99"/>
      <c r="BA1288" s="99"/>
      <c r="BB1288" s="99"/>
      <c r="BC1288" s="99"/>
      <c r="BD1288" s="99"/>
      <c r="BE1288" s="99"/>
      <c r="BF1288" s="99"/>
      <c r="BG1288" s="99"/>
      <c r="BH1288" s="99"/>
      <c r="BI1288" s="99"/>
      <c r="BJ1288" s="99"/>
      <c r="BK1288" s="99"/>
      <c r="BL1288" s="99"/>
      <c r="BM1288" s="99"/>
      <c r="BN1288" s="99"/>
      <c r="BO1288" s="99"/>
      <c r="BP1288" s="99"/>
      <c r="BQ1288" s="99"/>
      <c r="BR1288" s="99"/>
      <c r="BS1288" s="99"/>
      <c r="BT1288" s="99"/>
      <c r="BU1288" s="99"/>
      <c r="BV1288" s="99"/>
      <c r="BW1288" s="99"/>
      <c r="BX1288" s="99"/>
      <c r="BY1288" s="99"/>
      <c r="BZ1288" s="99"/>
      <c r="CA1288" s="99"/>
      <c r="CB1288" s="99"/>
      <c r="CC1288" s="99"/>
      <c r="CD1288" s="99"/>
      <c r="CE1288" s="99"/>
      <c r="CF1288" s="99"/>
      <c r="CG1288" s="99"/>
      <c r="CH1288" s="99"/>
      <c r="CI1288" s="99"/>
      <c r="CJ1288" s="621"/>
      <c r="CK1288" s="621"/>
      <c r="CL1288" s="621"/>
    </row>
    <row r="1289" spans="27:90">
      <c r="AA1289" s="350"/>
      <c r="AB1289" s="62"/>
      <c r="AC1289" s="62"/>
      <c r="AD1289" s="62"/>
      <c r="AP1289" s="88"/>
      <c r="AQ1289" s="88"/>
      <c r="AR1289" s="88"/>
      <c r="AS1289" s="99"/>
      <c r="AT1289" s="99"/>
      <c r="AU1289" s="99"/>
      <c r="AV1289" s="99"/>
      <c r="AW1289" s="99"/>
      <c r="AX1289" s="99"/>
      <c r="AY1289" s="99"/>
      <c r="AZ1289" s="99"/>
      <c r="BA1289" s="99"/>
      <c r="BB1289" s="99"/>
      <c r="BC1289" s="99"/>
      <c r="BD1289" s="99"/>
      <c r="BE1289" s="99"/>
      <c r="BF1289" s="99"/>
      <c r="BG1289" s="99"/>
      <c r="BH1289" s="99"/>
      <c r="BI1289" s="99"/>
      <c r="BJ1289" s="99"/>
      <c r="BK1289" s="99"/>
      <c r="BL1289" s="99"/>
      <c r="BM1289" s="99"/>
      <c r="BN1289" s="99"/>
      <c r="BO1289" s="99"/>
      <c r="BP1289" s="99"/>
      <c r="BQ1289" s="99"/>
      <c r="BR1289" s="99"/>
      <c r="BS1289" s="99"/>
      <c r="BT1289" s="99"/>
      <c r="BU1289" s="99"/>
      <c r="BV1289" s="99"/>
      <c r="BW1289" s="99"/>
      <c r="BX1289" s="99"/>
      <c r="BY1289" s="99"/>
      <c r="BZ1289" s="99"/>
      <c r="CA1289" s="99"/>
      <c r="CB1289" s="99"/>
      <c r="CC1289" s="99"/>
      <c r="CD1289" s="99"/>
      <c r="CE1289" s="99"/>
      <c r="CF1289" s="99"/>
      <c r="CG1289" s="99"/>
      <c r="CH1289" s="99"/>
      <c r="CI1289" s="99"/>
      <c r="CJ1289" s="621"/>
      <c r="CK1289" s="621"/>
      <c r="CL1289" s="621"/>
    </row>
    <row r="1290" spans="27:90">
      <c r="AA1290" s="350"/>
      <c r="AB1290" s="62"/>
      <c r="AC1290" s="62"/>
      <c r="AD1290" s="62"/>
      <c r="AP1290" s="88"/>
      <c r="AQ1290" s="88"/>
      <c r="AR1290" s="88"/>
      <c r="AS1290" s="99"/>
      <c r="AT1290" s="99"/>
      <c r="AU1290" s="99"/>
      <c r="AV1290" s="99"/>
      <c r="AW1290" s="99"/>
      <c r="AX1290" s="99"/>
      <c r="AY1290" s="99"/>
      <c r="AZ1290" s="99"/>
      <c r="BA1290" s="99"/>
      <c r="BB1290" s="99"/>
      <c r="BC1290" s="99"/>
      <c r="BD1290" s="99"/>
      <c r="BE1290" s="99"/>
      <c r="BF1290" s="99"/>
      <c r="BG1290" s="99"/>
      <c r="BH1290" s="99"/>
      <c r="BI1290" s="99"/>
      <c r="BJ1290" s="99"/>
      <c r="BK1290" s="99"/>
      <c r="BL1290" s="99"/>
      <c r="BM1290" s="99"/>
      <c r="BN1290" s="99"/>
      <c r="BO1290" s="99"/>
      <c r="BP1290" s="99"/>
      <c r="BQ1290" s="99"/>
      <c r="BR1290" s="99"/>
      <c r="BS1290" s="99"/>
      <c r="BT1290" s="99"/>
      <c r="BU1290" s="99"/>
      <c r="BV1290" s="99"/>
      <c r="BW1290" s="99"/>
      <c r="BX1290" s="99"/>
      <c r="BY1290" s="99"/>
      <c r="BZ1290" s="99"/>
      <c r="CA1290" s="99"/>
      <c r="CB1290" s="99"/>
      <c r="CC1290" s="99"/>
      <c r="CD1290" s="99"/>
      <c r="CE1290" s="99"/>
      <c r="CF1290" s="99"/>
      <c r="CG1290" s="99"/>
      <c r="CH1290" s="99"/>
      <c r="CI1290" s="99"/>
      <c r="CJ1290" s="621"/>
      <c r="CK1290" s="621"/>
      <c r="CL1290" s="621"/>
    </row>
    <row r="1291" spans="27:90">
      <c r="AA1291" s="350"/>
      <c r="AB1291" s="62"/>
      <c r="AC1291" s="62"/>
      <c r="AD1291" s="62"/>
      <c r="AP1291" s="88"/>
      <c r="AQ1291" s="88"/>
      <c r="AR1291" s="88"/>
      <c r="AS1291" s="99"/>
      <c r="AT1291" s="99"/>
      <c r="AU1291" s="99"/>
      <c r="AV1291" s="99"/>
      <c r="AW1291" s="99"/>
      <c r="AX1291" s="99"/>
      <c r="AY1291" s="99"/>
      <c r="AZ1291" s="99"/>
      <c r="BA1291" s="99"/>
      <c r="BB1291" s="99"/>
      <c r="BC1291" s="99"/>
      <c r="BD1291" s="99"/>
      <c r="BE1291" s="99"/>
      <c r="BF1291" s="99"/>
      <c r="BG1291" s="99"/>
      <c r="BH1291" s="99"/>
      <c r="BI1291" s="99"/>
      <c r="BJ1291" s="99"/>
      <c r="BK1291" s="99"/>
      <c r="BL1291" s="99"/>
      <c r="BM1291" s="99"/>
      <c r="BN1291" s="99"/>
      <c r="BO1291" s="99"/>
      <c r="BP1291" s="99"/>
      <c r="BQ1291" s="99"/>
      <c r="BR1291" s="99"/>
      <c r="BS1291" s="99"/>
      <c r="BT1291" s="99"/>
      <c r="BU1291" s="99"/>
      <c r="BV1291" s="99"/>
      <c r="BW1291" s="99"/>
      <c r="BX1291" s="99"/>
      <c r="BY1291" s="99"/>
      <c r="BZ1291" s="99"/>
      <c r="CA1291" s="99"/>
      <c r="CB1291" s="99"/>
      <c r="CC1291" s="99"/>
      <c r="CD1291" s="99"/>
      <c r="CE1291" s="99"/>
      <c r="CF1291" s="99"/>
      <c r="CG1291" s="99"/>
      <c r="CH1291" s="99"/>
      <c r="CI1291" s="99"/>
      <c r="CJ1291" s="621"/>
      <c r="CK1291" s="621"/>
      <c r="CL1291" s="621"/>
    </row>
    <row r="1292" spans="27:90">
      <c r="AA1292" s="350"/>
      <c r="AB1292" s="62"/>
      <c r="AC1292" s="62"/>
      <c r="AD1292" s="62"/>
      <c r="AP1292" s="88"/>
      <c r="AQ1292" s="88"/>
      <c r="AR1292" s="88"/>
      <c r="AS1292" s="99"/>
      <c r="AT1292" s="99"/>
      <c r="AU1292" s="99"/>
      <c r="AV1292" s="99"/>
      <c r="AW1292" s="99"/>
      <c r="AX1292" s="99"/>
      <c r="AY1292" s="99"/>
      <c r="AZ1292" s="99"/>
      <c r="BA1292" s="99"/>
      <c r="BB1292" s="99"/>
      <c r="BC1292" s="99"/>
      <c r="BD1292" s="99"/>
      <c r="BE1292" s="99"/>
      <c r="BF1292" s="99"/>
      <c r="BG1292" s="99"/>
      <c r="BH1292" s="99"/>
      <c r="BI1292" s="99"/>
      <c r="BJ1292" s="99"/>
      <c r="BK1292" s="99"/>
      <c r="BL1292" s="99"/>
      <c r="BM1292" s="99"/>
      <c r="BN1292" s="99"/>
      <c r="BO1292" s="99"/>
      <c r="BP1292" s="99"/>
      <c r="BQ1292" s="99"/>
      <c r="BR1292" s="99"/>
      <c r="BS1292" s="99"/>
      <c r="BT1292" s="99"/>
      <c r="BU1292" s="99"/>
      <c r="BV1292" s="99"/>
      <c r="BW1292" s="99"/>
      <c r="BX1292" s="99"/>
      <c r="BY1292" s="99"/>
      <c r="BZ1292" s="99"/>
      <c r="CA1292" s="99"/>
      <c r="CB1292" s="99"/>
      <c r="CC1292" s="99"/>
      <c r="CD1292" s="99"/>
      <c r="CE1292" s="99"/>
      <c r="CF1292" s="99"/>
      <c r="CG1292" s="99"/>
      <c r="CH1292" s="99"/>
      <c r="CI1292" s="99"/>
      <c r="CJ1292" s="621"/>
      <c r="CK1292" s="621"/>
      <c r="CL1292" s="621"/>
    </row>
    <row r="1293" spans="27:90">
      <c r="AA1293" s="350"/>
      <c r="AB1293" s="62"/>
      <c r="AC1293" s="62"/>
      <c r="AD1293" s="62"/>
      <c r="AP1293" s="88"/>
      <c r="AQ1293" s="88"/>
      <c r="AR1293" s="88"/>
      <c r="AS1293" s="99"/>
      <c r="AT1293" s="99"/>
      <c r="AU1293" s="99"/>
      <c r="AV1293" s="99"/>
      <c r="AW1293" s="99"/>
      <c r="AX1293" s="99"/>
      <c r="AY1293" s="99"/>
      <c r="AZ1293" s="99"/>
      <c r="BA1293" s="99"/>
      <c r="BB1293" s="99"/>
      <c r="BC1293" s="99"/>
      <c r="BD1293" s="99"/>
      <c r="BE1293" s="99"/>
      <c r="BF1293" s="99"/>
      <c r="BG1293" s="99"/>
      <c r="BH1293" s="99"/>
      <c r="BI1293" s="99"/>
      <c r="BJ1293" s="99"/>
      <c r="BK1293" s="99"/>
      <c r="BL1293" s="99"/>
      <c r="BM1293" s="99"/>
      <c r="BN1293" s="99"/>
      <c r="BO1293" s="99"/>
      <c r="BP1293" s="99"/>
      <c r="BQ1293" s="99"/>
      <c r="BR1293" s="99"/>
      <c r="BS1293" s="99"/>
      <c r="BT1293" s="99"/>
      <c r="BU1293" s="99"/>
      <c r="BV1293" s="99"/>
      <c r="BW1293" s="99"/>
      <c r="BX1293" s="99"/>
      <c r="BY1293" s="99"/>
      <c r="BZ1293" s="99"/>
      <c r="CA1293" s="99"/>
      <c r="CB1293" s="99"/>
      <c r="CC1293" s="99"/>
      <c r="CD1293" s="99"/>
      <c r="CE1293" s="99"/>
      <c r="CF1293" s="99"/>
      <c r="CG1293" s="99"/>
      <c r="CH1293" s="99"/>
      <c r="CI1293" s="99"/>
      <c r="CJ1293" s="621"/>
      <c r="CK1293" s="621"/>
      <c r="CL1293" s="621"/>
    </row>
    <row r="1294" spans="27:90">
      <c r="AA1294" s="350"/>
      <c r="AB1294" s="62"/>
      <c r="AC1294" s="62"/>
      <c r="AD1294" s="62"/>
      <c r="AP1294" s="88"/>
      <c r="AQ1294" s="88"/>
      <c r="AR1294" s="88"/>
      <c r="AS1294" s="99"/>
      <c r="AT1294" s="99"/>
      <c r="AU1294" s="99"/>
      <c r="AV1294" s="99"/>
      <c r="AW1294" s="99"/>
      <c r="AX1294" s="99"/>
      <c r="AY1294" s="99"/>
      <c r="AZ1294" s="99"/>
      <c r="BA1294" s="99"/>
      <c r="BB1294" s="99"/>
      <c r="BC1294" s="99"/>
      <c r="BD1294" s="99"/>
      <c r="BE1294" s="99"/>
      <c r="BF1294" s="99"/>
      <c r="BG1294" s="99"/>
      <c r="BH1294" s="99"/>
      <c r="BI1294" s="99"/>
      <c r="BJ1294" s="99"/>
      <c r="BK1294" s="99"/>
      <c r="BL1294" s="99"/>
      <c r="BM1294" s="99"/>
      <c r="BN1294" s="99"/>
      <c r="BO1294" s="99"/>
      <c r="BP1294" s="99"/>
      <c r="BQ1294" s="99"/>
      <c r="BR1294" s="99"/>
      <c r="BS1294" s="99"/>
      <c r="BT1294" s="99"/>
      <c r="BU1294" s="99"/>
      <c r="BV1294" s="99"/>
      <c r="BW1294" s="99"/>
      <c r="BX1294" s="99"/>
      <c r="BY1294" s="99"/>
      <c r="BZ1294" s="99"/>
      <c r="CA1294" s="99"/>
      <c r="CB1294" s="99"/>
      <c r="CC1294" s="99"/>
      <c r="CD1294" s="99"/>
      <c r="CE1294" s="99"/>
      <c r="CF1294" s="99"/>
      <c r="CG1294" s="99"/>
      <c r="CH1294" s="99"/>
      <c r="CI1294" s="99"/>
      <c r="CJ1294" s="621"/>
      <c r="CK1294" s="621"/>
      <c r="CL1294" s="621"/>
    </row>
    <row r="1295" spans="27:90">
      <c r="AA1295" s="350"/>
      <c r="AB1295" s="62"/>
      <c r="AC1295" s="62"/>
      <c r="AD1295" s="62"/>
      <c r="AP1295" s="88"/>
      <c r="AQ1295" s="88"/>
      <c r="AR1295" s="88"/>
      <c r="AS1295" s="99"/>
      <c r="AT1295" s="99"/>
      <c r="AU1295" s="99"/>
      <c r="AV1295" s="99"/>
      <c r="AW1295" s="99"/>
      <c r="AX1295" s="99"/>
      <c r="AY1295" s="99"/>
      <c r="AZ1295" s="99"/>
      <c r="BA1295" s="99"/>
      <c r="BB1295" s="99"/>
      <c r="BC1295" s="99"/>
      <c r="BD1295" s="99"/>
      <c r="BE1295" s="99"/>
      <c r="BF1295" s="99"/>
      <c r="BG1295" s="99"/>
      <c r="BH1295" s="99"/>
      <c r="BI1295" s="99"/>
      <c r="BJ1295" s="99"/>
      <c r="BK1295" s="99"/>
      <c r="BL1295" s="99"/>
      <c r="BM1295" s="99"/>
      <c r="BN1295" s="99"/>
      <c r="BO1295" s="99"/>
      <c r="BP1295" s="99"/>
      <c r="BQ1295" s="99"/>
      <c r="BR1295" s="99"/>
      <c r="BS1295" s="99"/>
      <c r="BT1295" s="99"/>
      <c r="BU1295" s="99"/>
      <c r="BV1295" s="99"/>
      <c r="BW1295" s="99"/>
      <c r="BX1295" s="99"/>
      <c r="BY1295" s="99"/>
      <c r="BZ1295" s="99"/>
      <c r="CA1295" s="99"/>
      <c r="CB1295" s="99"/>
      <c r="CC1295" s="99"/>
      <c r="CD1295" s="99"/>
      <c r="CE1295" s="99"/>
      <c r="CF1295" s="99"/>
      <c r="CG1295" s="99"/>
      <c r="CH1295" s="99"/>
      <c r="CI1295" s="99"/>
      <c r="CJ1295" s="621"/>
      <c r="CK1295" s="621"/>
      <c r="CL1295" s="621"/>
    </row>
    <row r="1296" spans="27:90">
      <c r="AA1296" s="350"/>
      <c r="AB1296" s="62"/>
      <c r="AC1296" s="62"/>
      <c r="AD1296" s="62"/>
      <c r="AP1296" s="88"/>
      <c r="AQ1296" s="88"/>
      <c r="AR1296" s="88"/>
      <c r="AS1296" s="99"/>
      <c r="AT1296" s="99"/>
      <c r="AU1296" s="99"/>
      <c r="AV1296" s="99"/>
      <c r="AW1296" s="99"/>
      <c r="AX1296" s="99"/>
      <c r="AY1296" s="99"/>
      <c r="AZ1296" s="99"/>
      <c r="BA1296" s="99"/>
      <c r="BB1296" s="99"/>
      <c r="BC1296" s="99"/>
      <c r="BD1296" s="99"/>
      <c r="BE1296" s="99"/>
      <c r="BF1296" s="99"/>
      <c r="BG1296" s="99"/>
      <c r="BH1296" s="99"/>
      <c r="BI1296" s="99"/>
      <c r="BJ1296" s="99"/>
      <c r="BK1296" s="99"/>
      <c r="BL1296" s="99"/>
      <c r="BM1296" s="99"/>
      <c r="BN1296" s="99"/>
      <c r="BO1296" s="99"/>
      <c r="BP1296" s="99"/>
      <c r="BQ1296" s="99"/>
      <c r="BR1296" s="99"/>
      <c r="BS1296" s="99"/>
      <c r="BT1296" s="99"/>
      <c r="BU1296" s="99"/>
      <c r="BV1296" s="99"/>
      <c r="BW1296" s="99"/>
      <c r="BX1296" s="99"/>
      <c r="BY1296" s="99"/>
      <c r="BZ1296" s="99"/>
      <c r="CA1296" s="99"/>
      <c r="CB1296" s="99"/>
      <c r="CC1296" s="99"/>
      <c r="CD1296" s="99"/>
      <c r="CE1296" s="99"/>
      <c r="CF1296" s="99"/>
      <c r="CG1296" s="99"/>
      <c r="CH1296" s="99"/>
      <c r="CI1296" s="99"/>
      <c r="CJ1296" s="621"/>
      <c r="CK1296" s="621"/>
      <c r="CL1296" s="621"/>
    </row>
    <row r="1297" spans="27:90">
      <c r="AA1297" s="350"/>
      <c r="AB1297" s="62"/>
      <c r="AC1297" s="62"/>
      <c r="AD1297" s="62"/>
      <c r="AP1297" s="88"/>
      <c r="AQ1297" s="88"/>
      <c r="AR1297" s="88"/>
      <c r="AS1297" s="99"/>
      <c r="AT1297" s="99"/>
      <c r="AU1297" s="99"/>
      <c r="AV1297" s="99"/>
      <c r="AW1297" s="99"/>
      <c r="AX1297" s="99"/>
      <c r="AY1297" s="99"/>
      <c r="AZ1297" s="99"/>
      <c r="BA1297" s="99"/>
      <c r="BB1297" s="99"/>
      <c r="BC1297" s="99"/>
      <c r="BD1297" s="99"/>
      <c r="BE1297" s="99"/>
      <c r="BF1297" s="99"/>
      <c r="BG1297" s="99"/>
      <c r="BH1297" s="99"/>
      <c r="BI1297" s="99"/>
      <c r="BJ1297" s="99"/>
      <c r="BK1297" s="99"/>
      <c r="BL1297" s="99"/>
      <c r="BM1297" s="99"/>
      <c r="BN1297" s="99"/>
      <c r="BO1297" s="99"/>
      <c r="BP1297" s="99"/>
      <c r="BQ1297" s="99"/>
      <c r="BR1297" s="99"/>
      <c r="BS1297" s="99"/>
      <c r="BT1297" s="99"/>
      <c r="BU1297" s="99"/>
      <c r="BV1297" s="99"/>
      <c r="BW1297" s="99"/>
      <c r="BX1297" s="99"/>
      <c r="BY1297" s="99"/>
      <c r="BZ1297" s="99"/>
      <c r="CA1297" s="99"/>
      <c r="CB1297" s="99"/>
      <c r="CC1297" s="99"/>
      <c r="CD1297" s="99"/>
      <c r="CE1297" s="99"/>
      <c r="CF1297" s="99"/>
      <c r="CG1297" s="99"/>
      <c r="CH1297" s="99"/>
      <c r="CI1297" s="99"/>
      <c r="CJ1297" s="621"/>
      <c r="CK1297" s="621"/>
      <c r="CL1297" s="621"/>
    </row>
    <row r="1298" spans="27:90">
      <c r="AA1298" s="350"/>
      <c r="AB1298" s="62"/>
      <c r="AC1298" s="62"/>
      <c r="AD1298" s="62"/>
      <c r="AP1298" s="88"/>
      <c r="AQ1298" s="88"/>
      <c r="AR1298" s="88"/>
      <c r="AS1298" s="99"/>
      <c r="AT1298" s="99"/>
      <c r="AU1298" s="99"/>
      <c r="AV1298" s="99"/>
      <c r="AW1298" s="99"/>
      <c r="AX1298" s="99"/>
      <c r="AY1298" s="99"/>
      <c r="AZ1298" s="99"/>
      <c r="BA1298" s="99"/>
      <c r="BB1298" s="99"/>
      <c r="BC1298" s="99"/>
      <c r="BD1298" s="99"/>
      <c r="BE1298" s="99"/>
      <c r="BF1298" s="99"/>
      <c r="BG1298" s="99"/>
      <c r="BH1298" s="99"/>
      <c r="BI1298" s="99"/>
      <c r="BJ1298" s="99"/>
      <c r="BK1298" s="99"/>
      <c r="BL1298" s="99"/>
      <c r="BM1298" s="99"/>
      <c r="BN1298" s="99"/>
      <c r="BO1298" s="99"/>
      <c r="BP1298" s="99"/>
      <c r="BQ1298" s="99"/>
      <c r="BR1298" s="99"/>
      <c r="BS1298" s="99"/>
      <c r="BT1298" s="99"/>
      <c r="BU1298" s="99"/>
      <c r="BV1298" s="99"/>
      <c r="BW1298" s="99"/>
      <c r="BX1298" s="99"/>
      <c r="BY1298" s="99"/>
      <c r="BZ1298" s="99"/>
      <c r="CA1298" s="99"/>
      <c r="CB1298" s="99"/>
      <c r="CC1298" s="99"/>
      <c r="CD1298" s="99"/>
      <c r="CE1298" s="99"/>
      <c r="CF1298" s="99"/>
      <c r="CG1298" s="99"/>
      <c r="CH1298" s="99"/>
      <c r="CI1298" s="99"/>
      <c r="CJ1298" s="621"/>
      <c r="CK1298" s="621"/>
      <c r="CL1298" s="621"/>
    </row>
    <row r="1299" spans="27:90">
      <c r="AA1299" s="350"/>
      <c r="AB1299" s="62"/>
      <c r="AC1299" s="62"/>
      <c r="AD1299" s="62"/>
      <c r="AP1299" s="88"/>
      <c r="AQ1299" s="88"/>
      <c r="AR1299" s="88"/>
      <c r="AS1299" s="99"/>
      <c r="AT1299" s="99"/>
      <c r="AU1299" s="99"/>
      <c r="AV1299" s="99"/>
      <c r="AW1299" s="99"/>
      <c r="AX1299" s="99"/>
      <c r="AY1299" s="99"/>
      <c r="AZ1299" s="99"/>
      <c r="BA1299" s="99"/>
      <c r="BB1299" s="99"/>
      <c r="BC1299" s="99"/>
      <c r="BD1299" s="99"/>
      <c r="BE1299" s="99"/>
      <c r="BF1299" s="99"/>
      <c r="BG1299" s="99"/>
      <c r="BH1299" s="99"/>
      <c r="BI1299" s="99"/>
      <c r="BJ1299" s="99"/>
      <c r="BK1299" s="99"/>
      <c r="BL1299" s="99"/>
      <c r="BM1299" s="99"/>
      <c r="BN1299" s="99"/>
      <c r="BO1299" s="99"/>
      <c r="BP1299" s="99"/>
      <c r="BQ1299" s="99"/>
      <c r="BR1299" s="99"/>
      <c r="BS1299" s="99"/>
      <c r="BT1299" s="99"/>
      <c r="BU1299" s="99"/>
      <c r="BV1299" s="99"/>
      <c r="BW1299" s="99"/>
      <c r="BX1299" s="99"/>
      <c r="BY1299" s="99"/>
      <c r="BZ1299" s="99"/>
      <c r="CA1299" s="99"/>
      <c r="CB1299" s="99"/>
      <c r="CC1299" s="99"/>
      <c r="CD1299" s="99"/>
      <c r="CE1299" s="99"/>
      <c r="CF1299" s="99"/>
      <c r="CG1299" s="99"/>
      <c r="CH1299" s="99"/>
      <c r="CI1299" s="99"/>
      <c r="CJ1299" s="621"/>
      <c r="CK1299" s="621"/>
      <c r="CL1299" s="621"/>
    </row>
    <row r="1300" spans="27:90">
      <c r="AA1300" s="350"/>
      <c r="AB1300" s="62"/>
      <c r="AC1300" s="62"/>
      <c r="AD1300" s="62"/>
      <c r="AP1300" s="88"/>
      <c r="AQ1300" s="88"/>
      <c r="AR1300" s="88"/>
      <c r="AS1300" s="99"/>
      <c r="AT1300" s="99"/>
      <c r="AU1300" s="99"/>
      <c r="AV1300" s="99"/>
      <c r="AW1300" s="99"/>
      <c r="AX1300" s="99"/>
      <c r="AY1300" s="99"/>
      <c r="AZ1300" s="99"/>
      <c r="BA1300" s="99"/>
      <c r="BB1300" s="99"/>
      <c r="BC1300" s="99"/>
      <c r="BD1300" s="99"/>
      <c r="BE1300" s="99"/>
      <c r="BF1300" s="99"/>
      <c r="BG1300" s="99"/>
      <c r="BH1300" s="99"/>
      <c r="BI1300" s="99"/>
      <c r="BJ1300" s="99"/>
      <c r="BK1300" s="99"/>
      <c r="BL1300" s="99"/>
      <c r="BM1300" s="99"/>
      <c r="BN1300" s="99"/>
      <c r="BO1300" s="99"/>
      <c r="BP1300" s="99"/>
      <c r="BQ1300" s="99"/>
      <c r="BR1300" s="99"/>
      <c r="BS1300" s="99"/>
      <c r="BT1300" s="99"/>
      <c r="BU1300" s="99"/>
      <c r="BV1300" s="99"/>
      <c r="BW1300" s="99"/>
      <c r="BX1300" s="99"/>
      <c r="BY1300" s="99"/>
      <c r="BZ1300" s="99"/>
      <c r="CA1300" s="99"/>
      <c r="CB1300" s="99"/>
      <c r="CC1300" s="99"/>
      <c r="CD1300" s="99"/>
      <c r="CE1300" s="99"/>
      <c r="CF1300" s="99"/>
      <c r="CG1300" s="99"/>
      <c r="CH1300" s="99"/>
      <c r="CI1300" s="99"/>
      <c r="CJ1300" s="621"/>
      <c r="CK1300" s="621"/>
      <c r="CL1300" s="621"/>
    </row>
    <row r="1301" spans="27:90">
      <c r="AA1301" s="350"/>
      <c r="AB1301" s="62"/>
      <c r="AC1301" s="62"/>
      <c r="AD1301" s="62"/>
      <c r="AP1301" s="88"/>
      <c r="AQ1301" s="88"/>
      <c r="AR1301" s="88"/>
      <c r="AS1301" s="99"/>
      <c r="AT1301" s="99"/>
      <c r="AU1301" s="99"/>
      <c r="AV1301" s="99"/>
      <c r="AW1301" s="99"/>
      <c r="AX1301" s="99"/>
      <c r="AY1301" s="99"/>
      <c r="AZ1301" s="99"/>
      <c r="BA1301" s="99"/>
      <c r="BB1301" s="99"/>
      <c r="BC1301" s="99"/>
      <c r="BD1301" s="99"/>
      <c r="BE1301" s="99"/>
      <c r="BF1301" s="99"/>
      <c r="BG1301" s="99"/>
      <c r="BH1301" s="99"/>
      <c r="BI1301" s="99"/>
      <c r="BJ1301" s="99"/>
      <c r="BK1301" s="99"/>
      <c r="BL1301" s="99"/>
      <c r="BM1301" s="99"/>
      <c r="BN1301" s="99"/>
      <c r="BO1301" s="99"/>
      <c r="BP1301" s="99"/>
      <c r="BQ1301" s="99"/>
      <c r="BR1301" s="99"/>
      <c r="BS1301" s="99"/>
      <c r="BT1301" s="99"/>
      <c r="BU1301" s="99"/>
      <c r="BV1301" s="99"/>
      <c r="BW1301" s="99"/>
      <c r="BX1301" s="99"/>
      <c r="BY1301" s="99"/>
      <c r="BZ1301" s="99"/>
      <c r="CA1301" s="99"/>
      <c r="CB1301" s="99"/>
      <c r="CC1301" s="99"/>
      <c r="CD1301" s="99"/>
      <c r="CE1301" s="99"/>
      <c r="CF1301" s="99"/>
      <c r="CG1301" s="99"/>
      <c r="CH1301" s="99"/>
      <c r="CI1301" s="99"/>
      <c r="CJ1301" s="621"/>
      <c r="CK1301" s="621"/>
      <c r="CL1301" s="621"/>
    </row>
    <row r="1302" spans="27:90">
      <c r="AA1302" s="350"/>
      <c r="AB1302" s="62"/>
      <c r="AC1302" s="62"/>
      <c r="AD1302" s="62"/>
      <c r="AP1302" s="88"/>
      <c r="AQ1302" s="88"/>
      <c r="AR1302" s="88"/>
      <c r="AS1302" s="99"/>
      <c r="AT1302" s="99"/>
      <c r="AU1302" s="99"/>
      <c r="AV1302" s="99"/>
      <c r="AW1302" s="99"/>
      <c r="AX1302" s="99"/>
      <c r="AY1302" s="99"/>
      <c r="AZ1302" s="99"/>
      <c r="BA1302" s="99"/>
      <c r="BB1302" s="99"/>
      <c r="BC1302" s="99"/>
      <c r="BD1302" s="99"/>
      <c r="BE1302" s="99"/>
      <c r="BF1302" s="99"/>
      <c r="BG1302" s="99"/>
      <c r="BH1302" s="99"/>
      <c r="BI1302" s="99"/>
      <c r="BJ1302" s="99"/>
      <c r="BK1302" s="99"/>
      <c r="BL1302" s="99"/>
      <c r="BM1302" s="99"/>
      <c r="BN1302" s="99"/>
      <c r="BO1302" s="99"/>
      <c r="BP1302" s="99"/>
      <c r="BQ1302" s="99"/>
      <c r="BR1302" s="99"/>
      <c r="BS1302" s="99"/>
      <c r="BT1302" s="99"/>
      <c r="BU1302" s="99"/>
      <c r="BV1302" s="99"/>
      <c r="BW1302" s="99"/>
      <c r="BX1302" s="99"/>
      <c r="BY1302" s="99"/>
      <c r="BZ1302" s="99"/>
      <c r="CA1302" s="99"/>
      <c r="CB1302" s="99"/>
      <c r="CC1302" s="99"/>
      <c r="CD1302" s="99"/>
      <c r="CE1302" s="99"/>
      <c r="CF1302" s="99"/>
      <c r="CG1302" s="99"/>
      <c r="CH1302" s="99"/>
      <c r="CI1302" s="99"/>
      <c r="CJ1302" s="621"/>
      <c r="CK1302" s="621"/>
      <c r="CL1302" s="621"/>
    </row>
    <row r="1303" spans="27:90">
      <c r="AA1303" s="350"/>
      <c r="AB1303" s="62"/>
      <c r="AC1303" s="62"/>
      <c r="AD1303" s="62"/>
      <c r="AP1303" s="88"/>
      <c r="AQ1303" s="88"/>
      <c r="AR1303" s="88"/>
      <c r="AS1303" s="99"/>
      <c r="AT1303" s="99"/>
      <c r="AU1303" s="99"/>
      <c r="AV1303" s="99"/>
      <c r="AW1303" s="99"/>
      <c r="AX1303" s="99"/>
      <c r="AY1303" s="99"/>
      <c r="AZ1303" s="99"/>
      <c r="BA1303" s="99"/>
      <c r="BB1303" s="99"/>
      <c r="BC1303" s="99"/>
      <c r="BD1303" s="99"/>
      <c r="BE1303" s="99"/>
      <c r="BF1303" s="99"/>
      <c r="BG1303" s="99"/>
      <c r="BH1303" s="99"/>
      <c r="BI1303" s="99"/>
      <c r="BJ1303" s="99"/>
      <c r="BK1303" s="99"/>
      <c r="BL1303" s="99"/>
      <c r="BM1303" s="99"/>
      <c r="BN1303" s="99"/>
      <c r="BO1303" s="99"/>
      <c r="BP1303" s="99"/>
      <c r="BQ1303" s="99"/>
      <c r="BR1303" s="99"/>
      <c r="BS1303" s="99"/>
      <c r="BT1303" s="99"/>
      <c r="BU1303" s="99"/>
      <c r="BV1303" s="99"/>
      <c r="BW1303" s="99"/>
      <c r="BX1303" s="99"/>
      <c r="BY1303" s="99"/>
      <c r="BZ1303" s="99"/>
      <c r="CA1303" s="99"/>
      <c r="CB1303" s="99"/>
      <c r="CC1303" s="99"/>
      <c r="CD1303" s="99"/>
      <c r="CE1303" s="99"/>
      <c r="CF1303" s="99"/>
      <c r="CG1303" s="99"/>
      <c r="CH1303" s="99"/>
      <c r="CI1303" s="99"/>
      <c r="CJ1303" s="621"/>
      <c r="CK1303" s="621"/>
      <c r="CL1303" s="621"/>
    </row>
    <row r="1304" spans="27:90">
      <c r="AA1304" s="350"/>
      <c r="AB1304" s="62"/>
      <c r="AC1304" s="62"/>
      <c r="AD1304" s="62"/>
      <c r="AP1304" s="88"/>
      <c r="AQ1304" s="88"/>
      <c r="AR1304" s="88"/>
      <c r="AS1304" s="99"/>
      <c r="AT1304" s="99"/>
      <c r="AU1304" s="99"/>
      <c r="AV1304" s="99"/>
      <c r="AW1304" s="99"/>
      <c r="AX1304" s="99"/>
      <c r="AY1304" s="99"/>
      <c r="AZ1304" s="99"/>
      <c r="BA1304" s="99"/>
      <c r="BB1304" s="99"/>
      <c r="BC1304" s="99"/>
      <c r="BD1304" s="99"/>
      <c r="BE1304" s="99"/>
      <c r="BF1304" s="99"/>
      <c r="BG1304" s="99"/>
      <c r="BH1304" s="99"/>
      <c r="BI1304" s="99"/>
      <c r="BJ1304" s="99"/>
      <c r="BK1304" s="99"/>
      <c r="BL1304" s="99"/>
      <c r="BM1304" s="99"/>
      <c r="BN1304" s="99"/>
      <c r="BO1304" s="99"/>
      <c r="BP1304" s="99"/>
      <c r="BQ1304" s="99"/>
      <c r="BR1304" s="99"/>
      <c r="BS1304" s="99"/>
      <c r="BT1304" s="99"/>
      <c r="BU1304" s="99"/>
      <c r="BV1304" s="99"/>
      <c r="BW1304" s="99"/>
      <c r="BX1304" s="99"/>
      <c r="BY1304" s="99"/>
      <c r="BZ1304" s="99"/>
      <c r="CA1304" s="99"/>
      <c r="CB1304" s="99"/>
      <c r="CC1304" s="99"/>
      <c r="CD1304" s="99"/>
      <c r="CE1304" s="99"/>
      <c r="CF1304" s="99"/>
      <c r="CG1304" s="99"/>
      <c r="CH1304" s="99"/>
      <c r="CI1304" s="99"/>
      <c r="CJ1304" s="621"/>
      <c r="CK1304" s="621"/>
      <c r="CL1304" s="621"/>
    </row>
    <row r="1305" spans="27:90">
      <c r="AA1305" s="350"/>
      <c r="AB1305" s="62"/>
      <c r="AC1305" s="62"/>
      <c r="AD1305" s="62"/>
      <c r="AP1305" s="88"/>
      <c r="AQ1305" s="88"/>
      <c r="AR1305" s="88"/>
      <c r="AS1305" s="99"/>
      <c r="AT1305" s="99"/>
      <c r="AU1305" s="99"/>
      <c r="AV1305" s="99"/>
      <c r="AW1305" s="99"/>
      <c r="AX1305" s="99"/>
      <c r="AY1305" s="99"/>
      <c r="AZ1305" s="99"/>
      <c r="BA1305" s="99"/>
      <c r="BB1305" s="99"/>
      <c r="BC1305" s="99"/>
      <c r="BD1305" s="99"/>
      <c r="BE1305" s="99"/>
      <c r="BF1305" s="99"/>
      <c r="BG1305" s="99"/>
      <c r="BH1305" s="99"/>
      <c r="BI1305" s="99"/>
      <c r="BJ1305" s="99"/>
      <c r="BK1305" s="99"/>
      <c r="BL1305" s="99"/>
      <c r="BM1305" s="99"/>
      <c r="BN1305" s="99"/>
      <c r="BO1305" s="99"/>
      <c r="BP1305" s="99"/>
      <c r="BQ1305" s="99"/>
      <c r="BR1305" s="99"/>
      <c r="BS1305" s="99"/>
      <c r="BT1305" s="99"/>
      <c r="BU1305" s="99"/>
      <c r="BV1305" s="99"/>
      <c r="BW1305" s="99"/>
      <c r="BX1305" s="99"/>
      <c r="BY1305" s="99"/>
      <c r="BZ1305" s="99"/>
      <c r="CA1305" s="99"/>
      <c r="CB1305" s="99"/>
      <c r="CC1305" s="99"/>
      <c r="CD1305" s="99"/>
      <c r="CE1305" s="99"/>
      <c r="CF1305" s="99"/>
      <c r="CG1305" s="99"/>
      <c r="CH1305" s="99"/>
      <c r="CI1305" s="99"/>
      <c r="CJ1305" s="621"/>
      <c r="CK1305" s="621"/>
      <c r="CL1305" s="621"/>
    </row>
    <row r="1306" spans="27:90">
      <c r="AA1306" s="350"/>
      <c r="AB1306" s="62"/>
      <c r="AC1306" s="62"/>
      <c r="AD1306" s="62"/>
      <c r="AP1306" s="88"/>
      <c r="AQ1306" s="88"/>
      <c r="AR1306" s="88"/>
      <c r="AS1306" s="99"/>
      <c r="AT1306" s="99"/>
      <c r="AU1306" s="99"/>
      <c r="AV1306" s="99"/>
      <c r="AW1306" s="99"/>
      <c r="AX1306" s="99"/>
      <c r="AY1306" s="99"/>
      <c r="AZ1306" s="99"/>
      <c r="BA1306" s="99"/>
      <c r="BB1306" s="99"/>
      <c r="BC1306" s="99"/>
      <c r="BD1306" s="99"/>
      <c r="BE1306" s="99"/>
      <c r="BF1306" s="99"/>
      <c r="BG1306" s="99"/>
      <c r="BH1306" s="99"/>
      <c r="BI1306" s="99"/>
      <c r="BJ1306" s="99"/>
      <c r="BK1306" s="99"/>
      <c r="BL1306" s="99"/>
      <c r="BM1306" s="99"/>
      <c r="BN1306" s="99"/>
      <c r="BO1306" s="99"/>
      <c r="BP1306" s="99"/>
      <c r="BQ1306" s="99"/>
      <c r="BR1306" s="99"/>
      <c r="BS1306" s="99"/>
      <c r="BT1306" s="99"/>
      <c r="BU1306" s="99"/>
      <c r="BV1306" s="99"/>
      <c r="BW1306" s="99"/>
      <c r="BX1306" s="99"/>
      <c r="BY1306" s="99"/>
      <c r="BZ1306" s="99"/>
      <c r="CA1306" s="99"/>
      <c r="CB1306" s="99"/>
      <c r="CC1306" s="99"/>
      <c r="CD1306" s="99"/>
      <c r="CE1306" s="99"/>
      <c r="CF1306" s="99"/>
      <c r="CG1306" s="99"/>
      <c r="CH1306" s="99"/>
      <c r="CI1306" s="99"/>
      <c r="CJ1306" s="621"/>
      <c r="CK1306" s="621"/>
      <c r="CL1306" s="621"/>
    </row>
    <row r="1307" spans="27:90">
      <c r="AA1307" s="350"/>
      <c r="AB1307" s="62"/>
      <c r="AC1307" s="62"/>
      <c r="AD1307" s="62"/>
      <c r="AP1307" s="88"/>
      <c r="AQ1307" s="88"/>
      <c r="AR1307" s="88"/>
      <c r="AS1307" s="99"/>
      <c r="AT1307" s="99"/>
      <c r="AU1307" s="99"/>
      <c r="AV1307" s="99"/>
      <c r="AW1307" s="99"/>
      <c r="AX1307" s="99"/>
      <c r="AY1307" s="99"/>
      <c r="AZ1307" s="99"/>
      <c r="BA1307" s="99"/>
      <c r="BB1307" s="99"/>
      <c r="BC1307" s="99"/>
      <c r="BD1307" s="99"/>
      <c r="BE1307" s="99"/>
      <c r="BF1307" s="99"/>
      <c r="BG1307" s="99"/>
      <c r="BH1307" s="99"/>
      <c r="BI1307" s="99"/>
      <c r="BJ1307" s="99"/>
      <c r="BK1307" s="99"/>
      <c r="BL1307" s="99"/>
      <c r="BM1307" s="99"/>
      <c r="BN1307" s="99"/>
      <c r="BO1307" s="99"/>
      <c r="BP1307" s="99"/>
      <c r="BQ1307" s="99"/>
      <c r="BR1307" s="99"/>
      <c r="BS1307" s="99"/>
      <c r="BT1307" s="99"/>
      <c r="BU1307" s="99"/>
      <c r="BV1307" s="99"/>
      <c r="BW1307" s="99"/>
      <c r="BX1307" s="99"/>
      <c r="BY1307" s="99"/>
      <c r="BZ1307" s="99"/>
      <c r="CA1307" s="99"/>
      <c r="CB1307" s="99"/>
      <c r="CC1307" s="99"/>
      <c r="CD1307" s="99"/>
      <c r="CE1307" s="99"/>
      <c r="CF1307" s="99"/>
      <c r="CG1307" s="99"/>
      <c r="CH1307" s="99"/>
      <c r="CI1307" s="99"/>
      <c r="CJ1307" s="621"/>
      <c r="CK1307" s="621"/>
      <c r="CL1307" s="621"/>
    </row>
    <row r="1308" spans="27:90">
      <c r="AA1308" s="350"/>
      <c r="AB1308" s="62"/>
      <c r="AC1308" s="62"/>
      <c r="AD1308" s="62"/>
      <c r="AP1308" s="88"/>
      <c r="AQ1308" s="88"/>
      <c r="AR1308" s="88"/>
      <c r="AS1308" s="99"/>
      <c r="AT1308" s="99"/>
      <c r="AU1308" s="99"/>
      <c r="AV1308" s="99"/>
      <c r="AW1308" s="99"/>
      <c r="AX1308" s="99"/>
      <c r="AY1308" s="99"/>
      <c r="AZ1308" s="99"/>
      <c r="BA1308" s="99"/>
      <c r="BB1308" s="99"/>
      <c r="BC1308" s="99"/>
      <c r="BD1308" s="99"/>
      <c r="BE1308" s="99"/>
      <c r="BF1308" s="99"/>
      <c r="BG1308" s="99"/>
      <c r="BH1308" s="99"/>
      <c r="BI1308" s="99"/>
      <c r="BJ1308" s="99"/>
      <c r="BK1308" s="99"/>
      <c r="BL1308" s="99"/>
      <c r="BM1308" s="99"/>
      <c r="BN1308" s="99"/>
      <c r="BO1308" s="99"/>
      <c r="BP1308" s="99"/>
      <c r="BQ1308" s="99"/>
      <c r="BR1308" s="99"/>
      <c r="BS1308" s="99"/>
      <c r="BT1308" s="99"/>
      <c r="BU1308" s="99"/>
      <c r="BV1308" s="99"/>
      <c r="BW1308" s="99"/>
      <c r="BX1308" s="99"/>
      <c r="BY1308" s="99"/>
      <c r="BZ1308" s="99"/>
      <c r="CA1308" s="99"/>
      <c r="CB1308" s="99"/>
      <c r="CC1308" s="99"/>
      <c r="CD1308" s="99"/>
      <c r="CE1308" s="99"/>
      <c r="CF1308" s="99"/>
      <c r="CG1308" s="99"/>
      <c r="CH1308" s="99"/>
      <c r="CI1308" s="99"/>
      <c r="CJ1308" s="621"/>
      <c r="CK1308" s="621"/>
      <c r="CL1308" s="621"/>
    </row>
    <row r="1309" spans="27:90">
      <c r="AA1309" s="350"/>
      <c r="AB1309" s="62"/>
      <c r="AC1309" s="62"/>
      <c r="AD1309" s="62"/>
      <c r="AP1309" s="88"/>
      <c r="AQ1309" s="88"/>
      <c r="AR1309" s="88"/>
      <c r="AS1309" s="99"/>
      <c r="AT1309" s="99"/>
      <c r="AU1309" s="99"/>
      <c r="AV1309" s="99"/>
      <c r="AW1309" s="99"/>
      <c r="AX1309" s="99"/>
      <c r="AY1309" s="99"/>
      <c r="AZ1309" s="99"/>
      <c r="BA1309" s="99"/>
      <c r="BB1309" s="99"/>
      <c r="BC1309" s="99"/>
      <c r="BD1309" s="99"/>
      <c r="BE1309" s="99"/>
      <c r="BF1309" s="99"/>
      <c r="BG1309" s="99"/>
      <c r="BH1309" s="99"/>
      <c r="BI1309" s="99"/>
      <c r="BJ1309" s="99"/>
      <c r="BK1309" s="99"/>
      <c r="BL1309" s="99"/>
      <c r="BM1309" s="99"/>
      <c r="BN1309" s="99"/>
      <c r="BO1309" s="99"/>
      <c r="BP1309" s="99"/>
      <c r="BQ1309" s="99"/>
      <c r="BR1309" s="99"/>
      <c r="BS1309" s="99"/>
      <c r="BT1309" s="99"/>
      <c r="BU1309" s="99"/>
      <c r="BV1309" s="99"/>
      <c r="BW1309" s="99"/>
      <c r="BX1309" s="99"/>
      <c r="BY1309" s="99"/>
      <c r="BZ1309" s="99"/>
      <c r="CA1309" s="99"/>
      <c r="CB1309" s="99"/>
      <c r="CC1309" s="99"/>
      <c r="CD1309" s="99"/>
      <c r="CE1309" s="99"/>
      <c r="CF1309" s="99"/>
      <c r="CG1309" s="99"/>
      <c r="CH1309" s="99"/>
      <c r="CI1309" s="99"/>
      <c r="CJ1309" s="621"/>
      <c r="CK1309" s="621"/>
      <c r="CL1309" s="621"/>
    </row>
    <row r="1310" spans="27:90">
      <c r="AA1310" s="350"/>
      <c r="AB1310" s="62"/>
      <c r="AC1310" s="62"/>
      <c r="AD1310" s="62"/>
      <c r="AP1310" s="88"/>
      <c r="AQ1310" s="88"/>
      <c r="AR1310" s="88"/>
      <c r="AS1310" s="99"/>
      <c r="AT1310" s="99"/>
      <c r="AU1310" s="99"/>
      <c r="AV1310" s="99"/>
      <c r="AW1310" s="99"/>
      <c r="AX1310" s="99"/>
      <c r="AY1310" s="99"/>
      <c r="AZ1310" s="99"/>
      <c r="BA1310" s="99"/>
      <c r="BB1310" s="99"/>
      <c r="BC1310" s="99"/>
      <c r="BD1310" s="99"/>
      <c r="BE1310" s="99"/>
      <c r="BF1310" s="99"/>
      <c r="BG1310" s="99"/>
      <c r="BH1310" s="99"/>
      <c r="BI1310" s="99"/>
      <c r="BJ1310" s="99"/>
      <c r="BK1310" s="99"/>
      <c r="BL1310" s="99"/>
      <c r="BM1310" s="99"/>
      <c r="BN1310" s="99"/>
      <c r="BO1310" s="99"/>
      <c r="BP1310" s="99"/>
      <c r="BQ1310" s="99"/>
      <c r="BR1310" s="99"/>
      <c r="BS1310" s="99"/>
      <c r="BT1310" s="99"/>
      <c r="BU1310" s="99"/>
      <c r="BV1310" s="99"/>
      <c r="BW1310" s="99"/>
      <c r="BX1310" s="99"/>
      <c r="BY1310" s="99"/>
      <c r="BZ1310" s="99"/>
      <c r="CA1310" s="99"/>
      <c r="CB1310" s="99"/>
      <c r="CC1310" s="99"/>
      <c r="CD1310" s="99"/>
      <c r="CE1310" s="99"/>
      <c r="CF1310" s="99"/>
      <c r="CG1310" s="99"/>
      <c r="CH1310" s="99"/>
      <c r="CI1310" s="99"/>
      <c r="CJ1310" s="621"/>
      <c r="CK1310" s="621"/>
      <c r="CL1310" s="621"/>
    </row>
    <row r="1311" spans="27:90">
      <c r="AA1311" s="350"/>
      <c r="AB1311" s="62"/>
      <c r="AC1311" s="62"/>
      <c r="AD1311" s="62"/>
      <c r="AP1311" s="88"/>
      <c r="AQ1311" s="88"/>
      <c r="AR1311" s="88"/>
      <c r="AS1311" s="99"/>
      <c r="AT1311" s="99"/>
      <c r="AU1311" s="99"/>
      <c r="AV1311" s="99"/>
      <c r="AW1311" s="99"/>
      <c r="AX1311" s="99"/>
      <c r="AY1311" s="99"/>
      <c r="AZ1311" s="99"/>
      <c r="BA1311" s="99"/>
      <c r="BB1311" s="99"/>
      <c r="BC1311" s="99"/>
      <c r="BD1311" s="99"/>
      <c r="BE1311" s="99"/>
      <c r="BF1311" s="99"/>
      <c r="BG1311" s="99"/>
      <c r="BH1311" s="99"/>
      <c r="BI1311" s="99"/>
      <c r="BJ1311" s="99"/>
      <c r="BK1311" s="99"/>
      <c r="BL1311" s="99"/>
      <c r="BM1311" s="99"/>
      <c r="BN1311" s="99"/>
      <c r="BO1311" s="99"/>
      <c r="BP1311" s="99"/>
      <c r="BQ1311" s="99"/>
      <c r="BR1311" s="99"/>
      <c r="BS1311" s="99"/>
      <c r="BT1311" s="99"/>
      <c r="BU1311" s="99"/>
      <c r="BV1311" s="99"/>
      <c r="BW1311" s="99"/>
      <c r="BX1311" s="99"/>
      <c r="BY1311" s="99"/>
      <c r="BZ1311" s="99"/>
      <c r="CA1311" s="99"/>
      <c r="CB1311" s="99"/>
      <c r="CC1311" s="99"/>
      <c r="CD1311" s="99"/>
      <c r="CE1311" s="99"/>
      <c r="CF1311" s="99"/>
      <c r="CG1311" s="99"/>
      <c r="CH1311" s="99"/>
      <c r="CI1311" s="99"/>
      <c r="CJ1311" s="621"/>
      <c r="CK1311" s="621"/>
      <c r="CL1311" s="621"/>
    </row>
    <row r="1312" spans="27:90">
      <c r="AA1312" s="350"/>
      <c r="AB1312" s="62"/>
      <c r="AC1312" s="62"/>
      <c r="AD1312" s="62"/>
      <c r="AP1312" s="88"/>
      <c r="AQ1312" s="88"/>
      <c r="AR1312" s="88"/>
      <c r="AS1312" s="99"/>
      <c r="AT1312" s="99"/>
      <c r="AU1312" s="99"/>
      <c r="AV1312" s="99"/>
      <c r="AW1312" s="99"/>
      <c r="AX1312" s="99"/>
      <c r="AY1312" s="99"/>
      <c r="AZ1312" s="99"/>
      <c r="BA1312" s="99"/>
      <c r="BB1312" s="99"/>
      <c r="BC1312" s="99"/>
      <c r="BD1312" s="99"/>
      <c r="BE1312" s="99"/>
      <c r="BF1312" s="99"/>
      <c r="BG1312" s="99"/>
      <c r="BH1312" s="99"/>
      <c r="BI1312" s="99"/>
      <c r="BJ1312" s="99"/>
      <c r="BK1312" s="99"/>
      <c r="BL1312" s="99"/>
      <c r="BM1312" s="99"/>
      <c r="BN1312" s="99"/>
      <c r="BO1312" s="99"/>
      <c r="BP1312" s="99"/>
      <c r="BQ1312" s="99"/>
      <c r="BR1312" s="99"/>
      <c r="BS1312" s="99"/>
      <c r="BT1312" s="99"/>
      <c r="BU1312" s="99"/>
      <c r="BV1312" s="99"/>
      <c r="BW1312" s="99"/>
      <c r="BX1312" s="99"/>
      <c r="BY1312" s="99"/>
      <c r="BZ1312" s="99"/>
      <c r="CA1312" s="99"/>
      <c r="CB1312" s="99"/>
      <c r="CC1312" s="99"/>
      <c r="CD1312" s="99"/>
      <c r="CE1312" s="99"/>
      <c r="CF1312" s="99"/>
      <c r="CG1312" s="99"/>
      <c r="CH1312" s="99"/>
      <c r="CI1312" s="99"/>
      <c r="CJ1312" s="621"/>
      <c r="CK1312" s="621"/>
      <c r="CL1312" s="621"/>
    </row>
    <row r="1313" spans="27:90">
      <c r="AA1313" s="350"/>
      <c r="AB1313" s="62"/>
      <c r="AC1313" s="62"/>
      <c r="AD1313" s="62"/>
      <c r="AP1313" s="88"/>
      <c r="AQ1313" s="88"/>
      <c r="AR1313" s="88"/>
      <c r="AS1313" s="99"/>
      <c r="AT1313" s="99"/>
      <c r="AU1313" s="99"/>
      <c r="AV1313" s="99"/>
      <c r="AW1313" s="99"/>
      <c r="AX1313" s="99"/>
      <c r="AY1313" s="99"/>
      <c r="AZ1313" s="99"/>
      <c r="BA1313" s="99"/>
      <c r="BB1313" s="99"/>
      <c r="BC1313" s="99"/>
      <c r="BD1313" s="99"/>
      <c r="BE1313" s="99"/>
      <c r="BF1313" s="99"/>
      <c r="BG1313" s="99"/>
      <c r="BH1313" s="99"/>
      <c r="BI1313" s="99"/>
      <c r="BJ1313" s="99"/>
      <c r="BK1313" s="99"/>
      <c r="BL1313" s="99"/>
      <c r="BM1313" s="99"/>
      <c r="BN1313" s="99"/>
      <c r="BO1313" s="99"/>
      <c r="BP1313" s="99"/>
      <c r="BQ1313" s="99"/>
      <c r="BR1313" s="99"/>
      <c r="BS1313" s="99"/>
      <c r="BT1313" s="99"/>
      <c r="BU1313" s="99"/>
      <c r="BV1313" s="99"/>
      <c r="BW1313" s="99"/>
      <c r="BX1313" s="99"/>
      <c r="BY1313" s="99"/>
      <c r="BZ1313" s="99"/>
      <c r="CA1313" s="99"/>
      <c r="CB1313" s="99"/>
      <c r="CC1313" s="99"/>
      <c r="CD1313" s="99"/>
      <c r="CE1313" s="99"/>
      <c r="CF1313" s="99"/>
      <c r="CG1313" s="99"/>
      <c r="CH1313" s="99"/>
      <c r="CI1313" s="99"/>
      <c r="CJ1313" s="621"/>
      <c r="CK1313" s="621"/>
      <c r="CL1313" s="621"/>
    </row>
    <row r="1314" spans="27:90">
      <c r="AA1314" s="350"/>
      <c r="AB1314" s="62"/>
      <c r="AC1314" s="62"/>
      <c r="AD1314" s="62"/>
      <c r="AP1314" s="88"/>
      <c r="AQ1314" s="88"/>
      <c r="AR1314" s="88"/>
      <c r="AS1314" s="99"/>
      <c r="AT1314" s="99"/>
      <c r="AU1314" s="99"/>
      <c r="AV1314" s="99"/>
      <c r="AW1314" s="99"/>
      <c r="AX1314" s="99"/>
      <c r="AY1314" s="99"/>
      <c r="AZ1314" s="99"/>
      <c r="BA1314" s="99"/>
      <c r="BB1314" s="99"/>
      <c r="BC1314" s="99"/>
      <c r="BD1314" s="99"/>
      <c r="BE1314" s="99"/>
      <c r="BF1314" s="99"/>
      <c r="BG1314" s="99"/>
      <c r="BH1314" s="99"/>
      <c r="BI1314" s="99"/>
      <c r="BJ1314" s="99"/>
      <c r="BK1314" s="99"/>
      <c r="BL1314" s="99"/>
      <c r="BM1314" s="99"/>
      <c r="BN1314" s="99"/>
      <c r="BO1314" s="99"/>
      <c r="BP1314" s="99"/>
      <c r="BQ1314" s="99"/>
      <c r="BR1314" s="99"/>
      <c r="BS1314" s="99"/>
      <c r="BT1314" s="99"/>
      <c r="BU1314" s="99"/>
      <c r="BV1314" s="99"/>
      <c r="BW1314" s="99"/>
      <c r="BX1314" s="99"/>
      <c r="BY1314" s="99"/>
      <c r="BZ1314" s="99"/>
      <c r="CA1314" s="99"/>
      <c r="CB1314" s="99"/>
      <c r="CC1314" s="99"/>
      <c r="CD1314" s="99"/>
      <c r="CE1314" s="99"/>
      <c r="CF1314" s="99"/>
      <c r="CG1314" s="99"/>
      <c r="CH1314" s="99"/>
      <c r="CI1314" s="99"/>
      <c r="CJ1314" s="621"/>
      <c r="CK1314" s="621"/>
      <c r="CL1314" s="621"/>
    </row>
    <row r="1315" spans="27:90">
      <c r="AA1315" s="350"/>
      <c r="AB1315" s="62"/>
      <c r="AC1315" s="62"/>
      <c r="AD1315" s="62"/>
      <c r="AP1315" s="88"/>
      <c r="AQ1315" s="88"/>
      <c r="AR1315" s="88"/>
      <c r="AS1315" s="99"/>
      <c r="AT1315" s="99"/>
      <c r="AU1315" s="99"/>
      <c r="AV1315" s="99"/>
      <c r="AW1315" s="99"/>
      <c r="AX1315" s="99"/>
      <c r="AY1315" s="99"/>
      <c r="AZ1315" s="99"/>
      <c r="BA1315" s="99"/>
      <c r="BB1315" s="99"/>
      <c r="BC1315" s="99"/>
      <c r="BD1315" s="99"/>
      <c r="BE1315" s="99"/>
      <c r="BF1315" s="99"/>
      <c r="BG1315" s="99"/>
      <c r="BH1315" s="99"/>
      <c r="BI1315" s="99"/>
      <c r="BJ1315" s="99"/>
      <c r="BK1315" s="99"/>
      <c r="BL1315" s="99"/>
      <c r="BM1315" s="99"/>
      <c r="BN1315" s="99"/>
      <c r="BO1315" s="99"/>
      <c r="BP1315" s="99"/>
      <c r="BQ1315" s="99"/>
      <c r="BR1315" s="99"/>
      <c r="BS1315" s="99"/>
      <c r="BT1315" s="99"/>
      <c r="BU1315" s="99"/>
      <c r="BV1315" s="99"/>
      <c r="BW1315" s="99"/>
      <c r="BX1315" s="99"/>
      <c r="BY1315" s="99"/>
      <c r="BZ1315" s="99"/>
      <c r="CA1315" s="99"/>
      <c r="CB1315" s="99"/>
      <c r="CC1315" s="99"/>
      <c r="CD1315" s="99"/>
      <c r="CE1315" s="99"/>
      <c r="CF1315" s="99"/>
      <c r="CG1315" s="99"/>
      <c r="CH1315" s="99"/>
      <c r="CI1315" s="99"/>
      <c r="CJ1315" s="621"/>
      <c r="CK1315" s="621"/>
      <c r="CL1315" s="621"/>
    </row>
    <row r="1316" spans="27:90">
      <c r="AA1316" s="350"/>
      <c r="AB1316" s="62"/>
      <c r="AC1316" s="62"/>
      <c r="AD1316" s="62"/>
      <c r="AP1316" s="88"/>
      <c r="AQ1316" s="88"/>
      <c r="AR1316" s="88"/>
      <c r="AS1316" s="99"/>
      <c r="AT1316" s="99"/>
      <c r="AU1316" s="99"/>
      <c r="AV1316" s="99"/>
      <c r="AW1316" s="99"/>
      <c r="AX1316" s="99"/>
      <c r="AY1316" s="99"/>
      <c r="AZ1316" s="99"/>
      <c r="BA1316" s="99"/>
      <c r="BB1316" s="99"/>
      <c r="BC1316" s="99"/>
      <c r="BD1316" s="99"/>
      <c r="BE1316" s="99"/>
      <c r="BF1316" s="99"/>
      <c r="BG1316" s="99"/>
      <c r="BH1316" s="99"/>
      <c r="BI1316" s="99"/>
      <c r="BJ1316" s="99"/>
      <c r="BK1316" s="99"/>
      <c r="BL1316" s="99"/>
      <c r="BM1316" s="99"/>
      <c r="BN1316" s="99"/>
      <c r="BO1316" s="99"/>
      <c r="BP1316" s="99"/>
      <c r="BQ1316" s="99"/>
      <c r="BR1316" s="99"/>
      <c r="BS1316" s="99"/>
      <c r="BT1316" s="99"/>
      <c r="BU1316" s="99"/>
      <c r="BV1316" s="99"/>
      <c r="BW1316" s="99"/>
      <c r="BX1316" s="99"/>
      <c r="BY1316" s="99"/>
      <c r="BZ1316" s="99"/>
      <c r="CA1316" s="99"/>
      <c r="CB1316" s="99"/>
      <c r="CC1316" s="99"/>
      <c r="CD1316" s="99"/>
      <c r="CE1316" s="99"/>
      <c r="CF1316" s="99"/>
      <c r="CG1316" s="99"/>
      <c r="CH1316" s="99"/>
      <c r="CI1316" s="99"/>
      <c r="CJ1316" s="621"/>
      <c r="CK1316" s="621"/>
      <c r="CL1316" s="621"/>
    </row>
    <row r="1317" spans="27:90">
      <c r="AA1317" s="350"/>
      <c r="AB1317" s="62"/>
      <c r="AC1317" s="62"/>
      <c r="AD1317" s="62"/>
      <c r="AP1317" s="88"/>
      <c r="AQ1317" s="88"/>
      <c r="AR1317" s="88"/>
      <c r="AS1317" s="99"/>
      <c r="AT1317" s="99"/>
      <c r="AU1317" s="99"/>
      <c r="AV1317" s="99"/>
      <c r="AW1317" s="99"/>
      <c r="AX1317" s="99"/>
      <c r="AY1317" s="99"/>
      <c r="AZ1317" s="99"/>
      <c r="BA1317" s="99"/>
      <c r="BB1317" s="99"/>
      <c r="BC1317" s="99"/>
      <c r="BD1317" s="99"/>
      <c r="BE1317" s="99"/>
      <c r="BF1317" s="99"/>
      <c r="BG1317" s="99"/>
      <c r="BH1317" s="99"/>
      <c r="BI1317" s="99"/>
      <c r="BJ1317" s="99"/>
      <c r="BK1317" s="99"/>
      <c r="BL1317" s="99"/>
      <c r="BM1317" s="99"/>
      <c r="BN1317" s="99"/>
      <c r="BO1317" s="99"/>
      <c r="BP1317" s="99"/>
      <c r="BQ1317" s="99"/>
      <c r="BR1317" s="99"/>
      <c r="BS1317" s="99"/>
      <c r="BT1317" s="99"/>
      <c r="BU1317" s="99"/>
      <c r="BV1317" s="99"/>
      <c r="BW1317" s="99"/>
      <c r="BX1317" s="99"/>
      <c r="BY1317" s="99"/>
      <c r="BZ1317" s="99"/>
      <c r="CA1317" s="99"/>
      <c r="CB1317" s="99"/>
      <c r="CC1317" s="99"/>
      <c r="CD1317" s="99"/>
      <c r="CE1317" s="99"/>
      <c r="CF1317" s="99"/>
      <c r="CG1317" s="99"/>
      <c r="CH1317" s="99"/>
      <c r="CI1317" s="99"/>
      <c r="CJ1317" s="621"/>
      <c r="CK1317" s="621"/>
      <c r="CL1317" s="621"/>
    </row>
    <row r="1318" spans="27:90">
      <c r="AA1318" s="350"/>
      <c r="AB1318" s="62"/>
      <c r="AC1318" s="62"/>
      <c r="AD1318" s="62"/>
      <c r="AP1318" s="88"/>
      <c r="AQ1318" s="88"/>
      <c r="AR1318" s="88"/>
      <c r="AS1318" s="99"/>
      <c r="AT1318" s="99"/>
      <c r="AU1318" s="99"/>
      <c r="AV1318" s="99"/>
      <c r="AW1318" s="99"/>
      <c r="AX1318" s="99"/>
      <c r="AY1318" s="99"/>
      <c r="AZ1318" s="99"/>
      <c r="BA1318" s="99"/>
      <c r="BB1318" s="99"/>
      <c r="BC1318" s="99"/>
      <c r="BD1318" s="99"/>
      <c r="BE1318" s="99"/>
      <c r="BF1318" s="99"/>
      <c r="BG1318" s="99"/>
      <c r="BH1318" s="99"/>
      <c r="BI1318" s="99"/>
      <c r="BJ1318" s="99"/>
      <c r="BK1318" s="99"/>
      <c r="BL1318" s="99"/>
      <c r="BM1318" s="99"/>
      <c r="BN1318" s="99"/>
      <c r="BO1318" s="99"/>
      <c r="BP1318" s="99"/>
      <c r="BQ1318" s="99"/>
      <c r="BR1318" s="99"/>
      <c r="BS1318" s="99"/>
      <c r="BT1318" s="99"/>
      <c r="BU1318" s="99"/>
      <c r="BV1318" s="99"/>
      <c r="BW1318" s="99"/>
      <c r="BX1318" s="99"/>
      <c r="BY1318" s="99"/>
      <c r="BZ1318" s="99"/>
      <c r="CA1318" s="99"/>
      <c r="CB1318" s="99"/>
      <c r="CC1318" s="99"/>
      <c r="CD1318" s="99"/>
      <c r="CE1318" s="99"/>
      <c r="CF1318" s="99"/>
      <c r="CG1318" s="99"/>
      <c r="CH1318" s="99"/>
      <c r="CI1318" s="99"/>
      <c r="CJ1318" s="621"/>
      <c r="CK1318" s="621"/>
      <c r="CL1318" s="621"/>
    </row>
    <row r="1319" spans="27:90">
      <c r="AA1319" s="350"/>
      <c r="AB1319" s="62"/>
      <c r="AC1319" s="62"/>
      <c r="AD1319" s="62"/>
      <c r="AP1319" s="88"/>
      <c r="AQ1319" s="88"/>
      <c r="AR1319" s="88"/>
      <c r="AS1319" s="99"/>
      <c r="AT1319" s="99"/>
      <c r="AU1319" s="99"/>
      <c r="AV1319" s="99"/>
      <c r="AW1319" s="99"/>
      <c r="AX1319" s="99"/>
      <c r="AY1319" s="99"/>
      <c r="AZ1319" s="99"/>
      <c r="BA1319" s="99"/>
      <c r="BB1319" s="99"/>
      <c r="BC1319" s="99"/>
      <c r="BD1319" s="99"/>
      <c r="BE1319" s="99"/>
      <c r="BF1319" s="99"/>
      <c r="BG1319" s="99"/>
      <c r="BH1319" s="99"/>
      <c r="BI1319" s="99"/>
      <c r="BJ1319" s="99"/>
      <c r="BK1319" s="99"/>
      <c r="BL1319" s="99"/>
      <c r="BM1319" s="99"/>
      <c r="BN1319" s="99"/>
      <c r="BO1319" s="99"/>
      <c r="BP1319" s="99"/>
      <c r="BQ1319" s="99"/>
      <c r="BR1319" s="99"/>
      <c r="BS1319" s="99"/>
      <c r="BT1319" s="99"/>
      <c r="BU1319" s="99"/>
      <c r="BV1319" s="99"/>
      <c r="BW1319" s="99"/>
      <c r="BX1319" s="99"/>
      <c r="BY1319" s="99"/>
      <c r="BZ1319" s="99"/>
      <c r="CA1319" s="99"/>
      <c r="CB1319" s="99"/>
      <c r="CC1319" s="99"/>
      <c r="CD1319" s="99"/>
      <c r="CE1319" s="99"/>
      <c r="CF1319" s="99"/>
      <c r="CG1319" s="99"/>
      <c r="CH1319" s="99"/>
      <c r="CI1319" s="99"/>
      <c r="CJ1319" s="621"/>
      <c r="CK1319" s="621"/>
      <c r="CL1319" s="621"/>
    </row>
    <row r="1320" spans="27:90">
      <c r="AA1320" s="350"/>
      <c r="AB1320" s="62"/>
      <c r="AC1320" s="62"/>
      <c r="AD1320" s="62"/>
      <c r="AP1320" s="88"/>
      <c r="AQ1320" s="88"/>
      <c r="AR1320" s="88"/>
      <c r="AS1320" s="99"/>
      <c r="AT1320" s="99"/>
      <c r="AU1320" s="99"/>
      <c r="AV1320" s="99"/>
      <c r="AW1320" s="99"/>
      <c r="AX1320" s="99"/>
      <c r="AY1320" s="99"/>
      <c r="AZ1320" s="99"/>
      <c r="BA1320" s="99"/>
      <c r="BB1320" s="99"/>
      <c r="BC1320" s="99"/>
      <c r="BD1320" s="99"/>
      <c r="BE1320" s="99"/>
      <c r="BF1320" s="99"/>
      <c r="BG1320" s="99"/>
      <c r="BH1320" s="99"/>
      <c r="BI1320" s="99"/>
      <c r="BJ1320" s="99"/>
      <c r="BK1320" s="99"/>
      <c r="BL1320" s="99"/>
      <c r="BM1320" s="99"/>
      <c r="BN1320" s="99"/>
      <c r="BO1320" s="99"/>
      <c r="BP1320" s="99"/>
      <c r="BQ1320" s="99"/>
      <c r="BR1320" s="99"/>
      <c r="BS1320" s="99"/>
      <c r="BT1320" s="99"/>
      <c r="BU1320" s="99"/>
      <c r="BV1320" s="99"/>
      <c r="BW1320" s="99"/>
      <c r="BX1320" s="99"/>
      <c r="BY1320" s="99"/>
      <c r="BZ1320" s="99"/>
      <c r="CA1320" s="99"/>
      <c r="CB1320" s="99"/>
      <c r="CC1320" s="99"/>
      <c r="CD1320" s="99"/>
      <c r="CE1320" s="99"/>
      <c r="CF1320" s="99"/>
      <c r="CG1320" s="99"/>
      <c r="CH1320" s="99"/>
      <c r="CI1320" s="99"/>
      <c r="CJ1320" s="621"/>
      <c r="CK1320" s="621"/>
      <c r="CL1320" s="621"/>
    </row>
    <row r="1321" spans="27:90">
      <c r="AA1321" s="350"/>
      <c r="AB1321" s="62"/>
      <c r="AC1321" s="62"/>
      <c r="AD1321" s="62"/>
      <c r="AP1321" s="88"/>
      <c r="AQ1321" s="88"/>
      <c r="AR1321" s="88"/>
      <c r="AS1321" s="99"/>
      <c r="AT1321" s="99"/>
      <c r="AU1321" s="99"/>
      <c r="AV1321" s="99"/>
      <c r="AW1321" s="99"/>
      <c r="AX1321" s="99"/>
      <c r="AY1321" s="99"/>
      <c r="AZ1321" s="99"/>
      <c r="BA1321" s="99"/>
      <c r="BB1321" s="99"/>
      <c r="BC1321" s="99"/>
      <c r="BD1321" s="99"/>
      <c r="BE1321" s="99"/>
      <c r="BF1321" s="99"/>
      <c r="BG1321" s="99"/>
      <c r="BH1321" s="99"/>
      <c r="BI1321" s="99"/>
      <c r="BJ1321" s="99"/>
      <c r="BK1321" s="99"/>
      <c r="BL1321" s="99"/>
      <c r="BM1321" s="99"/>
      <c r="BN1321" s="99"/>
      <c r="BO1321" s="99"/>
      <c r="BP1321" s="99"/>
      <c r="BQ1321" s="99"/>
      <c r="BR1321" s="99"/>
      <c r="BS1321" s="99"/>
      <c r="BT1321" s="99"/>
      <c r="BU1321" s="99"/>
      <c r="BV1321" s="99"/>
      <c r="BW1321" s="99"/>
      <c r="BX1321" s="99"/>
      <c r="BY1321" s="99"/>
      <c r="BZ1321" s="99"/>
      <c r="CA1321" s="99"/>
      <c r="CB1321" s="99"/>
      <c r="CC1321" s="99"/>
      <c r="CD1321" s="99"/>
      <c r="CE1321" s="99"/>
      <c r="CF1321" s="99"/>
      <c r="CG1321" s="99"/>
      <c r="CH1321" s="99"/>
      <c r="CI1321" s="99"/>
      <c r="CJ1321" s="621"/>
      <c r="CK1321" s="621"/>
      <c r="CL1321" s="621"/>
    </row>
    <row r="1322" spans="27:90">
      <c r="AA1322" s="350"/>
      <c r="AB1322" s="62"/>
      <c r="AC1322" s="62"/>
      <c r="AD1322" s="62"/>
      <c r="AP1322" s="88"/>
      <c r="AQ1322" s="88"/>
      <c r="AR1322" s="88"/>
      <c r="AS1322" s="99"/>
      <c r="AT1322" s="99"/>
      <c r="AU1322" s="99"/>
      <c r="AV1322" s="99"/>
      <c r="AW1322" s="99"/>
      <c r="AX1322" s="99"/>
      <c r="AY1322" s="99"/>
      <c r="AZ1322" s="99"/>
      <c r="BA1322" s="99"/>
      <c r="BB1322" s="99"/>
      <c r="BC1322" s="99"/>
      <c r="BD1322" s="99"/>
      <c r="BE1322" s="99"/>
      <c r="BF1322" s="99"/>
      <c r="BG1322" s="99"/>
      <c r="BH1322" s="99"/>
      <c r="BI1322" s="99"/>
      <c r="BJ1322" s="99"/>
      <c r="BK1322" s="99"/>
      <c r="BL1322" s="99"/>
      <c r="BM1322" s="99"/>
      <c r="BN1322" s="99"/>
      <c r="BO1322" s="99"/>
      <c r="BP1322" s="99"/>
      <c r="BQ1322" s="99"/>
      <c r="BR1322" s="99"/>
      <c r="BS1322" s="99"/>
      <c r="BT1322" s="99"/>
      <c r="BU1322" s="99"/>
      <c r="BV1322" s="99"/>
      <c r="BW1322" s="99"/>
      <c r="BX1322" s="99"/>
      <c r="BY1322" s="99"/>
      <c r="BZ1322" s="99"/>
      <c r="CA1322" s="99"/>
      <c r="CB1322" s="99"/>
      <c r="CC1322" s="99"/>
      <c r="CD1322" s="99"/>
      <c r="CE1322" s="99"/>
      <c r="CF1322" s="99"/>
      <c r="CG1322" s="99"/>
      <c r="CH1322" s="99"/>
      <c r="CI1322" s="99"/>
      <c r="CJ1322" s="621"/>
      <c r="CK1322" s="621"/>
      <c r="CL1322" s="621"/>
    </row>
    <row r="1323" spans="27:90">
      <c r="AA1323" s="350"/>
      <c r="AB1323" s="62"/>
      <c r="AC1323" s="62"/>
      <c r="AD1323" s="62"/>
      <c r="AP1323" s="88"/>
      <c r="AQ1323" s="88"/>
      <c r="AR1323" s="88"/>
      <c r="AS1323" s="99"/>
      <c r="AT1323" s="99"/>
      <c r="AU1323" s="99"/>
      <c r="AV1323" s="99"/>
      <c r="AW1323" s="99"/>
      <c r="AX1323" s="99"/>
      <c r="AY1323" s="99"/>
      <c r="AZ1323" s="99"/>
      <c r="BA1323" s="99"/>
      <c r="BB1323" s="99"/>
      <c r="BC1323" s="99"/>
      <c r="BD1323" s="99"/>
      <c r="BE1323" s="99"/>
      <c r="BF1323" s="99"/>
      <c r="BG1323" s="99"/>
      <c r="BH1323" s="99"/>
      <c r="BI1323" s="99"/>
      <c r="BJ1323" s="99"/>
      <c r="BK1323" s="99"/>
      <c r="BL1323" s="99"/>
      <c r="BM1323" s="99"/>
      <c r="BN1323" s="99"/>
      <c r="BO1323" s="99"/>
      <c r="BP1323" s="99"/>
      <c r="BQ1323" s="99"/>
      <c r="BR1323" s="99"/>
      <c r="BS1323" s="99"/>
      <c r="BT1323" s="99"/>
      <c r="BU1323" s="99"/>
      <c r="BV1323" s="99"/>
      <c r="BW1323" s="99"/>
      <c r="BX1323" s="99"/>
      <c r="BY1323" s="99"/>
      <c r="BZ1323" s="99"/>
      <c r="CA1323" s="99"/>
      <c r="CB1323" s="99"/>
      <c r="CC1323" s="99"/>
      <c r="CD1323" s="99"/>
      <c r="CE1323" s="99"/>
      <c r="CF1323" s="99"/>
      <c r="CG1323" s="99"/>
      <c r="CH1323" s="99"/>
      <c r="CI1323" s="99"/>
      <c r="CJ1323" s="621"/>
      <c r="CK1323" s="621"/>
      <c r="CL1323" s="621"/>
    </row>
    <row r="1324" spans="27:90">
      <c r="AA1324" s="350"/>
      <c r="AB1324" s="62"/>
      <c r="AC1324" s="62"/>
      <c r="AD1324" s="62"/>
      <c r="AP1324" s="88"/>
      <c r="AQ1324" s="88"/>
      <c r="AR1324" s="88"/>
      <c r="AS1324" s="99"/>
      <c r="AT1324" s="99"/>
      <c r="AU1324" s="99"/>
      <c r="AV1324" s="99"/>
      <c r="AW1324" s="99"/>
      <c r="AX1324" s="99"/>
      <c r="AY1324" s="99"/>
      <c r="AZ1324" s="99"/>
      <c r="BA1324" s="99"/>
      <c r="BB1324" s="99"/>
      <c r="BC1324" s="99"/>
      <c r="BD1324" s="99"/>
      <c r="BE1324" s="99"/>
      <c r="BF1324" s="99"/>
      <c r="BG1324" s="99"/>
      <c r="BH1324" s="99"/>
      <c r="BI1324" s="99"/>
      <c r="BJ1324" s="99"/>
      <c r="BK1324" s="99"/>
      <c r="BL1324" s="99"/>
      <c r="BM1324" s="99"/>
      <c r="BN1324" s="99"/>
      <c r="BO1324" s="99"/>
      <c r="BP1324" s="99"/>
      <c r="BQ1324" s="99"/>
      <c r="BR1324" s="99"/>
      <c r="BS1324" s="99"/>
      <c r="BT1324" s="99"/>
      <c r="BU1324" s="99"/>
      <c r="BV1324" s="99"/>
      <c r="BW1324" s="99"/>
      <c r="BX1324" s="99"/>
      <c r="BY1324" s="99"/>
      <c r="BZ1324" s="99"/>
      <c r="CA1324" s="99"/>
      <c r="CB1324" s="99"/>
      <c r="CC1324" s="99"/>
      <c r="CD1324" s="99"/>
      <c r="CE1324" s="99"/>
      <c r="CF1324" s="99"/>
      <c r="CG1324" s="99"/>
      <c r="CH1324" s="99"/>
      <c r="CI1324" s="99"/>
      <c r="CJ1324" s="621"/>
      <c r="CK1324" s="621"/>
      <c r="CL1324" s="621"/>
    </row>
    <row r="1325" spans="27:90">
      <c r="AA1325" s="350"/>
      <c r="AB1325" s="62"/>
      <c r="AC1325" s="62"/>
      <c r="AD1325" s="62"/>
      <c r="AP1325" s="88"/>
      <c r="AQ1325" s="88"/>
      <c r="AR1325" s="88"/>
      <c r="AS1325" s="99"/>
      <c r="AT1325" s="99"/>
      <c r="AU1325" s="99"/>
      <c r="AV1325" s="99"/>
      <c r="AW1325" s="99"/>
      <c r="AX1325" s="99"/>
      <c r="AY1325" s="99"/>
      <c r="AZ1325" s="99"/>
      <c r="BA1325" s="99"/>
      <c r="BB1325" s="99"/>
      <c r="BC1325" s="99"/>
      <c r="BD1325" s="99"/>
      <c r="BE1325" s="99"/>
      <c r="BF1325" s="99"/>
      <c r="BG1325" s="99"/>
      <c r="BH1325" s="99"/>
      <c r="BI1325" s="99"/>
      <c r="BJ1325" s="99"/>
      <c r="BK1325" s="99"/>
      <c r="BL1325" s="99"/>
      <c r="BM1325" s="99"/>
      <c r="BN1325" s="99"/>
      <c r="BO1325" s="99"/>
      <c r="BP1325" s="99"/>
      <c r="BQ1325" s="99"/>
      <c r="BR1325" s="99"/>
      <c r="BS1325" s="99"/>
      <c r="BT1325" s="99"/>
      <c r="BU1325" s="99"/>
      <c r="BV1325" s="99"/>
      <c r="BW1325" s="99"/>
      <c r="BX1325" s="99"/>
      <c r="BY1325" s="99"/>
      <c r="BZ1325" s="99"/>
      <c r="CA1325" s="99"/>
      <c r="CB1325" s="99"/>
      <c r="CC1325" s="99"/>
      <c r="CD1325" s="99"/>
      <c r="CE1325" s="99"/>
      <c r="CF1325" s="99"/>
      <c r="CG1325" s="99"/>
      <c r="CH1325" s="99"/>
      <c r="CI1325" s="99"/>
      <c r="CJ1325" s="621"/>
      <c r="CK1325" s="621"/>
      <c r="CL1325" s="621"/>
    </row>
    <row r="1326" spans="27:90">
      <c r="AA1326" s="350"/>
      <c r="AB1326" s="62"/>
      <c r="AC1326" s="62"/>
      <c r="AD1326" s="62"/>
      <c r="AP1326" s="88"/>
      <c r="AQ1326" s="88"/>
      <c r="AR1326" s="88"/>
      <c r="AS1326" s="99"/>
      <c r="AT1326" s="99"/>
      <c r="AU1326" s="99"/>
      <c r="AV1326" s="99"/>
      <c r="AW1326" s="99"/>
      <c r="AX1326" s="99"/>
      <c r="AY1326" s="99"/>
      <c r="AZ1326" s="99"/>
      <c r="BA1326" s="99"/>
      <c r="BB1326" s="99"/>
      <c r="BC1326" s="99"/>
      <c r="BD1326" s="99"/>
      <c r="BE1326" s="99"/>
      <c r="BF1326" s="99"/>
      <c r="BG1326" s="99"/>
      <c r="BH1326" s="99"/>
      <c r="BI1326" s="99"/>
      <c r="BJ1326" s="99"/>
      <c r="BK1326" s="99"/>
      <c r="BL1326" s="99"/>
      <c r="BM1326" s="99"/>
      <c r="BN1326" s="99"/>
      <c r="BO1326" s="99"/>
      <c r="BP1326" s="99"/>
      <c r="BQ1326" s="99"/>
      <c r="BR1326" s="99"/>
      <c r="BS1326" s="99"/>
      <c r="BT1326" s="99"/>
      <c r="BU1326" s="99"/>
      <c r="BV1326" s="99"/>
      <c r="BW1326" s="99"/>
      <c r="BX1326" s="99"/>
      <c r="BY1326" s="99"/>
      <c r="BZ1326" s="99"/>
      <c r="CA1326" s="99"/>
      <c r="CB1326" s="99"/>
      <c r="CC1326" s="99"/>
      <c r="CD1326" s="99"/>
      <c r="CE1326" s="99"/>
      <c r="CF1326" s="99"/>
      <c r="CG1326" s="99"/>
      <c r="CH1326" s="99"/>
      <c r="CI1326" s="99"/>
      <c r="CJ1326" s="621"/>
      <c r="CK1326" s="621"/>
      <c r="CL1326" s="621"/>
    </row>
    <row r="1327" spans="27:90">
      <c r="AA1327" s="350"/>
      <c r="AB1327" s="62"/>
      <c r="AC1327" s="62"/>
      <c r="AD1327" s="62"/>
      <c r="AP1327" s="88"/>
      <c r="AQ1327" s="88"/>
      <c r="AR1327" s="88"/>
      <c r="AS1327" s="99"/>
      <c r="AT1327" s="99"/>
      <c r="AU1327" s="99"/>
      <c r="AV1327" s="99"/>
      <c r="AW1327" s="99"/>
      <c r="AX1327" s="99"/>
      <c r="AY1327" s="99"/>
      <c r="AZ1327" s="99"/>
      <c r="BA1327" s="99"/>
      <c r="BB1327" s="99"/>
      <c r="BC1327" s="99"/>
      <c r="BD1327" s="99"/>
      <c r="BE1327" s="99"/>
      <c r="BF1327" s="99"/>
      <c r="BG1327" s="99"/>
      <c r="BH1327" s="99"/>
      <c r="BI1327" s="99"/>
      <c r="BJ1327" s="99"/>
      <c r="BK1327" s="99"/>
      <c r="BL1327" s="99"/>
      <c r="BM1327" s="99"/>
      <c r="BN1327" s="99"/>
      <c r="BO1327" s="99"/>
      <c r="BP1327" s="99"/>
      <c r="BQ1327" s="99"/>
      <c r="BR1327" s="99"/>
      <c r="BS1327" s="99"/>
      <c r="BT1327" s="99"/>
      <c r="BU1327" s="99"/>
      <c r="BV1327" s="99"/>
      <c r="BW1327" s="99"/>
      <c r="BX1327" s="99"/>
      <c r="BY1327" s="99"/>
      <c r="BZ1327" s="99"/>
      <c r="CA1327" s="99"/>
      <c r="CB1327" s="99"/>
      <c r="CC1327" s="99"/>
      <c r="CD1327" s="99"/>
      <c r="CE1327" s="99"/>
      <c r="CF1327" s="99"/>
      <c r="CG1327" s="99"/>
      <c r="CH1327" s="99"/>
      <c r="CI1327" s="99"/>
      <c r="CJ1327" s="621"/>
      <c r="CK1327" s="621"/>
      <c r="CL1327" s="621"/>
    </row>
    <row r="1328" spans="27:90">
      <c r="AA1328" s="350"/>
      <c r="AB1328" s="62"/>
      <c r="AC1328" s="62"/>
      <c r="AD1328" s="62"/>
      <c r="AP1328" s="88"/>
      <c r="AQ1328" s="88"/>
      <c r="AR1328" s="88"/>
      <c r="AS1328" s="99"/>
      <c r="AT1328" s="99"/>
      <c r="AU1328" s="99"/>
      <c r="AV1328" s="99"/>
      <c r="AW1328" s="99"/>
      <c r="AX1328" s="99"/>
      <c r="AY1328" s="99"/>
      <c r="AZ1328" s="99"/>
      <c r="BA1328" s="99"/>
      <c r="BB1328" s="99"/>
      <c r="BC1328" s="99"/>
      <c r="BD1328" s="99"/>
      <c r="BE1328" s="99"/>
      <c r="BF1328" s="99"/>
      <c r="BG1328" s="99"/>
      <c r="BH1328" s="99"/>
      <c r="BI1328" s="99"/>
      <c r="BJ1328" s="99"/>
      <c r="BK1328" s="99"/>
      <c r="BL1328" s="99"/>
      <c r="BM1328" s="99"/>
      <c r="BN1328" s="99"/>
      <c r="BO1328" s="99"/>
      <c r="BP1328" s="99"/>
      <c r="BQ1328" s="99"/>
      <c r="BR1328" s="99"/>
      <c r="BS1328" s="99"/>
      <c r="BT1328" s="99"/>
      <c r="BU1328" s="99"/>
      <c r="BV1328" s="99"/>
      <c r="BW1328" s="99"/>
      <c r="BX1328" s="99"/>
      <c r="BY1328" s="99"/>
      <c r="BZ1328" s="99"/>
      <c r="CA1328" s="99"/>
      <c r="CB1328" s="99"/>
      <c r="CC1328" s="99"/>
      <c r="CD1328" s="99"/>
      <c r="CE1328" s="99"/>
      <c r="CF1328" s="99"/>
      <c r="CG1328" s="99"/>
      <c r="CH1328" s="99"/>
      <c r="CI1328" s="99"/>
      <c r="CJ1328" s="621"/>
      <c r="CK1328" s="621"/>
      <c r="CL1328" s="621"/>
    </row>
    <row r="1329" spans="27:90">
      <c r="AA1329" s="350"/>
      <c r="AB1329" s="62"/>
      <c r="AC1329" s="62"/>
      <c r="AD1329" s="62"/>
      <c r="AP1329" s="88"/>
      <c r="AQ1329" s="88"/>
      <c r="AR1329" s="88"/>
      <c r="AS1329" s="99"/>
      <c r="AT1329" s="99"/>
      <c r="AU1329" s="99"/>
      <c r="AV1329" s="99"/>
      <c r="AW1329" s="99"/>
      <c r="AX1329" s="99"/>
      <c r="AY1329" s="99"/>
      <c r="AZ1329" s="99"/>
      <c r="BA1329" s="99"/>
      <c r="BB1329" s="99"/>
      <c r="BC1329" s="99"/>
      <c r="BD1329" s="99"/>
      <c r="BE1329" s="99"/>
      <c r="BF1329" s="99"/>
      <c r="BG1329" s="99"/>
      <c r="BH1329" s="99"/>
      <c r="BI1329" s="99"/>
      <c r="BJ1329" s="99"/>
      <c r="BK1329" s="99"/>
      <c r="BL1329" s="99"/>
      <c r="BM1329" s="99"/>
      <c r="BN1329" s="99"/>
      <c r="BO1329" s="99"/>
      <c r="BP1329" s="99"/>
      <c r="BQ1329" s="99"/>
      <c r="BR1329" s="99"/>
      <c r="BS1329" s="99"/>
      <c r="BT1329" s="99"/>
      <c r="BU1329" s="99"/>
      <c r="BV1329" s="99"/>
      <c r="BW1329" s="99"/>
      <c r="BX1329" s="99"/>
      <c r="BY1329" s="99"/>
      <c r="BZ1329" s="99"/>
      <c r="CA1329" s="99"/>
      <c r="CB1329" s="99"/>
      <c r="CC1329" s="99"/>
      <c r="CD1329" s="99"/>
      <c r="CE1329" s="99"/>
      <c r="CF1329" s="99"/>
      <c r="CG1329" s="99"/>
      <c r="CH1329" s="99"/>
      <c r="CI1329" s="99"/>
      <c r="CJ1329" s="621"/>
      <c r="CK1329" s="621"/>
      <c r="CL1329" s="621"/>
    </row>
    <row r="1330" spans="27:90">
      <c r="AA1330" s="350"/>
      <c r="AB1330" s="62"/>
      <c r="AC1330" s="62"/>
      <c r="AD1330" s="62"/>
      <c r="AP1330" s="88"/>
      <c r="AQ1330" s="88"/>
      <c r="AR1330" s="88"/>
      <c r="AS1330" s="99"/>
      <c r="AT1330" s="99"/>
      <c r="AU1330" s="99"/>
      <c r="AV1330" s="99"/>
      <c r="AW1330" s="99"/>
      <c r="AX1330" s="99"/>
      <c r="AY1330" s="99"/>
      <c r="AZ1330" s="99"/>
      <c r="BA1330" s="99"/>
      <c r="BB1330" s="99"/>
      <c r="BC1330" s="99"/>
      <c r="BD1330" s="99"/>
      <c r="BE1330" s="99"/>
      <c r="BF1330" s="99"/>
      <c r="BG1330" s="99"/>
      <c r="BH1330" s="99"/>
      <c r="BI1330" s="99"/>
      <c r="BJ1330" s="99"/>
      <c r="BK1330" s="99"/>
      <c r="BL1330" s="99"/>
      <c r="BM1330" s="99"/>
      <c r="BN1330" s="99"/>
      <c r="BO1330" s="99"/>
      <c r="BP1330" s="99"/>
      <c r="BQ1330" s="99"/>
      <c r="BR1330" s="99"/>
      <c r="BS1330" s="99"/>
      <c r="BT1330" s="99"/>
      <c r="BU1330" s="99"/>
      <c r="BV1330" s="99"/>
      <c r="BW1330" s="99"/>
      <c r="BX1330" s="99"/>
      <c r="BY1330" s="99"/>
      <c r="BZ1330" s="99"/>
      <c r="CA1330" s="99"/>
      <c r="CB1330" s="99"/>
      <c r="CC1330" s="99"/>
      <c r="CD1330" s="99"/>
      <c r="CE1330" s="99"/>
      <c r="CF1330" s="99"/>
      <c r="CG1330" s="99"/>
      <c r="CH1330" s="99"/>
      <c r="CI1330" s="99"/>
      <c r="CJ1330" s="621"/>
      <c r="CK1330" s="621"/>
      <c r="CL1330" s="621"/>
    </row>
    <row r="1331" spans="27:90">
      <c r="AA1331" s="350"/>
      <c r="AB1331" s="62"/>
      <c r="AC1331" s="62"/>
      <c r="AD1331" s="62"/>
      <c r="AP1331" s="88"/>
      <c r="AQ1331" s="88"/>
      <c r="AR1331" s="88"/>
      <c r="AS1331" s="99"/>
      <c r="AT1331" s="99"/>
      <c r="AU1331" s="99"/>
      <c r="AV1331" s="99"/>
      <c r="AW1331" s="99"/>
      <c r="AX1331" s="99"/>
      <c r="AY1331" s="99"/>
      <c r="AZ1331" s="99"/>
      <c r="BA1331" s="99"/>
      <c r="BB1331" s="99"/>
      <c r="BC1331" s="99"/>
      <c r="BD1331" s="99"/>
      <c r="BE1331" s="99"/>
      <c r="BF1331" s="99"/>
      <c r="BG1331" s="99"/>
      <c r="BH1331" s="99"/>
      <c r="BI1331" s="99"/>
      <c r="BJ1331" s="99"/>
      <c r="BK1331" s="99"/>
      <c r="BL1331" s="99"/>
      <c r="BM1331" s="99"/>
      <c r="BN1331" s="99"/>
      <c r="BO1331" s="99"/>
      <c r="BP1331" s="99"/>
      <c r="BQ1331" s="99"/>
      <c r="BR1331" s="99"/>
      <c r="BS1331" s="99"/>
      <c r="BT1331" s="99"/>
      <c r="BU1331" s="99"/>
      <c r="BV1331" s="99"/>
      <c r="BW1331" s="99"/>
      <c r="BX1331" s="99"/>
      <c r="BY1331" s="99"/>
      <c r="BZ1331" s="99"/>
      <c r="CA1331" s="99"/>
      <c r="CB1331" s="99"/>
      <c r="CC1331" s="99"/>
      <c r="CD1331" s="99"/>
      <c r="CE1331" s="99"/>
      <c r="CF1331" s="99"/>
      <c r="CG1331" s="99"/>
      <c r="CH1331" s="99"/>
      <c r="CI1331" s="99"/>
      <c r="CJ1331" s="621"/>
      <c r="CK1331" s="621"/>
      <c r="CL1331" s="621"/>
    </row>
    <row r="1332" spans="27:90">
      <c r="AA1332" s="350"/>
      <c r="AB1332" s="62"/>
      <c r="AC1332" s="62"/>
      <c r="AD1332" s="62"/>
      <c r="AP1332" s="88"/>
      <c r="AQ1332" s="88"/>
      <c r="AR1332" s="88"/>
      <c r="AS1332" s="99"/>
      <c r="AT1332" s="99"/>
      <c r="AU1332" s="99"/>
      <c r="AV1332" s="99"/>
      <c r="AW1332" s="99"/>
      <c r="AX1332" s="99"/>
      <c r="AY1332" s="99"/>
      <c r="AZ1332" s="99"/>
      <c r="BA1332" s="99"/>
      <c r="BB1332" s="99"/>
      <c r="BC1332" s="99"/>
      <c r="BD1332" s="99"/>
      <c r="BE1332" s="99"/>
      <c r="BF1332" s="99"/>
      <c r="BG1332" s="99"/>
      <c r="BH1332" s="99"/>
      <c r="BI1332" s="99"/>
      <c r="BJ1332" s="99"/>
      <c r="BK1332" s="99"/>
      <c r="BL1332" s="99"/>
      <c r="BM1332" s="99"/>
      <c r="BN1332" s="99"/>
      <c r="BO1332" s="99"/>
      <c r="BP1332" s="99"/>
      <c r="BQ1332" s="99"/>
      <c r="BR1332" s="99"/>
      <c r="BS1332" s="99"/>
      <c r="BT1332" s="99"/>
      <c r="BU1332" s="99"/>
      <c r="BV1332" s="99"/>
      <c r="BW1332" s="99"/>
      <c r="BX1332" s="99"/>
      <c r="BY1332" s="99"/>
      <c r="BZ1332" s="99"/>
      <c r="CA1332" s="99"/>
      <c r="CB1332" s="99"/>
      <c r="CC1332" s="99"/>
      <c r="CD1332" s="99"/>
      <c r="CE1332" s="99"/>
      <c r="CF1332" s="99"/>
      <c r="CG1332" s="99"/>
      <c r="CH1332" s="99"/>
      <c r="CI1332" s="99"/>
      <c r="CJ1332" s="621"/>
      <c r="CK1332" s="621"/>
      <c r="CL1332" s="621"/>
    </row>
    <row r="1333" spans="27:90">
      <c r="AA1333" s="350"/>
      <c r="AB1333" s="62"/>
      <c r="AC1333" s="62"/>
      <c r="AD1333" s="62"/>
      <c r="AP1333" s="88"/>
      <c r="AQ1333" s="88"/>
      <c r="AR1333" s="88"/>
      <c r="AS1333" s="99"/>
      <c r="AT1333" s="99"/>
      <c r="AU1333" s="99"/>
      <c r="AV1333" s="99"/>
      <c r="AW1333" s="99"/>
      <c r="AX1333" s="99"/>
      <c r="AY1333" s="99"/>
      <c r="AZ1333" s="99"/>
      <c r="BA1333" s="99"/>
      <c r="BB1333" s="99"/>
      <c r="BC1333" s="99"/>
      <c r="BD1333" s="99"/>
      <c r="BE1333" s="99"/>
      <c r="BF1333" s="99"/>
      <c r="BG1333" s="99"/>
      <c r="BH1333" s="99"/>
      <c r="BI1333" s="99"/>
      <c r="BJ1333" s="99"/>
      <c r="BK1333" s="99"/>
      <c r="BL1333" s="99"/>
      <c r="BM1333" s="99"/>
      <c r="BN1333" s="99"/>
      <c r="BO1333" s="99"/>
      <c r="BP1333" s="99"/>
      <c r="BQ1333" s="99"/>
      <c r="BR1333" s="99"/>
      <c r="BS1333" s="99"/>
      <c r="BT1333" s="99"/>
      <c r="BU1333" s="99"/>
      <c r="BV1333" s="99"/>
      <c r="BW1333" s="99"/>
      <c r="BX1333" s="99"/>
      <c r="BY1333" s="99"/>
      <c r="BZ1333" s="99"/>
      <c r="CA1333" s="99"/>
      <c r="CB1333" s="99"/>
      <c r="CC1333" s="99"/>
      <c r="CD1333" s="99"/>
      <c r="CE1333" s="99"/>
      <c r="CF1333" s="99"/>
      <c r="CG1333" s="99"/>
      <c r="CH1333" s="99"/>
      <c r="CI1333" s="99"/>
      <c r="CJ1333" s="621"/>
      <c r="CK1333" s="621"/>
      <c r="CL1333" s="621"/>
    </row>
    <row r="1334" spans="27:90">
      <c r="AA1334" s="350"/>
      <c r="AB1334" s="62"/>
      <c r="AC1334" s="62"/>
      <c r="AD1334" s="62"/>
      <c r="AP1334" s="88"/>
      <c r="AQ1334" s="88"/>
      <c r="AR1334" s="88"/>
      <c r="AS1334" s="99"/>
      <c r="AT1334" s="99"/>
      <c r="AU1334" s="99"/>
      <c r="AV1334" s="99"/>
      <c r="AW1334" s="99"/>
      <c r="AX1334" s="99"/>
      <c r="AY1334" s="99"/>
      <c r="AZ1334" s="99"/>
      <c r="BA1334" s="99"/>
      <c r="BB1334" s="99"/>
      <c r="BC1334" s="99"/>
      <c r="BD1334" s="99"/>
      <c r="BE1334" s="99"/>
      <c r="BF1334" s="99"/>
      <c r="BG1334" s="99"/>
      <c r="BH1334" s="99"/>
      <c r="BI1334" s="99"/>
      <c r="BJ1334" s="99"/>
      <c r="BK1334" s="99"/>
      <c r="BL1334" s="99"/>
      <c r="BM1334" s="99"/>
      <c r="BN1334" s="99"/>
      <c r="BO1334" s="99"/>
      <c r="BP1334" s="99"/>
      <c r="BQ1334" s="99"/>
      <c r="BR1334" s="99"/>
      <c r="BS1334" s="99"/>
      <c r="BT1334" s="99"/>
      <c r="BU1334" s="99"/>
      <c r="BV1334" s="99"/>
      <c r="BW1334" s="99"/>
      <c r="BX1334" s="99"/>
      <c r="BY1334" s="99"/>
      <c r="BZ1334" s="99"/>
      <c r="CA1334" s="99"/>
      <c r="CB1334" s="99"/>
      <c r="CC1334" s="99"/>
      <c r="CD1334" s="99"/>
      <c r="CE1334" s="99"/>
      <c r="CF1334" s="99"/>
      <c r="CG1334" s="99"/>
      <c r="CH1334" s="99"/>
      <c r="CI1334" s="99"/>
      <c r="CJ1334" s="621"/>
      <c r="CK1334" s="621"/>
      <c r="CL1334" s="621"/>
    </row>
    <row r="1335" spans="27:90">
      <c r="AA1335" s="350"/>
      <c r="AB1335" s="62"/>
      <c r="AC1335" s="62"/>
      <c r="AD1335" s="62"/>
      <c r="AP1335" s="88"/>
      <c r="AQ1335" s="88"/>
      <c r="AR1335" s="88"/>
      <c r="AS1335" s="99"/>
      <c r="AT1335" s="99"/>
      <c r="AU1335" s="99"/>
      <c r="AV1335" s="99"/>
      <c r="AW1335" s="99"/>
      <c r="AX1335" s="99"/>
      <c r="AY1335" s="99"/>
      <c r="AZ1335" s="99"/>
      <c r="BA1335" s="99"/>
      <c r="BB1335" s="99"/>
      <c r="BC1335" s="99"/>
      <c r="BD1335" s="99"/>
      <c r="BE1335" s="99"/>
      <c r="BF1335" s="99"/>
      <c r="BG1335" s="99"/>
      <c r="BH1335" s="99"/>
      <c r="BI1335" s="99"/>
      <c r="BJ1335" s="99"/>
      <c r="BK1335" s="99"/>
      <c r="BL1335" s="99"/>
      <c r="BM1335" s="99"/>
      <c r="BN1335" s="99"/>
      <c r="BO1335" s="99"/>
      <c r="BP1335" s="99"/>
      <c r="BQ1335" s="99"/>
      <c r="BR1335" s="99"/>
      <c r="BS1335" s="99"/>
      <c r="BT1335" s="99"/>
      <c r="BU1335" s="99"/>
      <c r="BV1335" s="99"/>
      <c r="BW1335" s="99"/>
      <c r="BX1335" s="99"/>
      <c r="BY1335" s="99"/>
      <c r="BZ1335" s="99"/>
      <c r="CA1335" s="99"/>
      <c r="CB1335" s="99"/>
      <c r="CC1335" s="99"/>
      <c r="CD1335" s="99"/>
      <c r="CE1335" s="99"/>
      <c r="CF1335" s="99"/>
      <c r="CG1335" s="99"/>
      <c r="CH1335" s="99"/>
      <c r="CI1335" s="99"/>
      <c r="CJ1335" s="621"/>
      <c r="CK1335" s="621"/>
      <c r="CL1335" s="621"/>
    </row>
    <row r="1336" spans="27:90">
      <c r="AA1336" s="350"/>
      <c r="AB1336" s="62"/>
      <c r="AC1336" s="62"/>
      <c r="AD1336" s="62"/>
      <c r="AP1336" s="88"/>
      <c r="AQ1336" s="88"/>
      <c r="AR1336" s="88"/>
      <c r="AS1336" s="99"/>
      <c r="AT1336" s="99"/>
      <c r="AU1336" s="99"/>
      <c r="AV1336" s="99"/>
      <c r="AW1336" s="99"/>
      <c r="AX1336" s="99"/>
      <c r="AY1336" s="99"/>
      <c r="AZ1336" s="99"/>
      <c r="BA1336" s="99"/>
      <c r="BB1336" s="99"/>
      <c r="BC1336" s="99"/>
      <c r="BD1336" s="99"/>
      <c r="BE1336" s="99"/>
      <c r="BF1336" s="99"/>
      <c r="BG1336" s="99"/>
      <c r="BH1336" s="99"/>
      <c r="BI1336" s="99"/>
      <c r="BJ1336" s="99"/>
      <c r="BK1336" s="99"/>
      <c r="BL1336" s="99"/>
      <c r="BM1336" s="99"/>
      <c r="BN1336" s="99"/>
      <c r="BO1336" s="99"/>
      <c r="BP1336" s="99"/>
      <c r="BQ1336" s="99"/>
      <c r="BR1336" s="99"/>
      <c r="BS1336" s="99"/>
      <c r="BT1336" s="99"/>
      <c r="BU1336" s="99"/>
      <c r="BV1336" s="99"/>
      <c r="BW1336" s="99"/>
      <c r="BX1336" s="99"/>
      <c r="BY1336" s="99"/>
      <c r="BZ1336" s="99"/>
      <c r="CA1336" s="99"/>
      <c r="CB1336" s="99"/>
      <c r="CC1336" s="99"/>
      <c r="CD1336" s="99"/>
      <c r="CE1336" s="99"/>
      <c r="CF1336" s="99"/>
      <c r="CG1336" s="99"/>
      <c r="CH1336" s="99"/>
      <c r="CI1336" s="99"/>
      <c r="CJ1336" s="621"/>
      <c r="CK1336" s="621"/>
      <c r="CL1336" s="621"/>
    </row>
    <row r="1337" spans="27:90">
      <c r="AA1337" s="350"/>
      <c r="AB1337" s="62"/>
      <c r="AC1337" s="62"/>
      <c r="AD1337" s="62"/>
      <c r="AP1337" s="88"/>
      <c r="AQ1337" s="88"/>
      <c r="AR1337" s="88"/>
      <c r="AS1337" s="99"/>
      <c r="AT1337" s="99"/>
      <c r="AU1337" s="99"/>
      <c r="AV1337" s="99"/>
      <c r="AW1337" s="99"/>
      <c r="AX1337" s="99"/>
      <c r="AY1337" s="99"/>
      <c r="AZ1337" s="99"/>
      <c r="BA1337" s="99"/>
      <c r="BB1337" s="99"/>
      <c r="BC1337" s="99"/>
      <c r="BD1337" s="99"/>
      <c r="BE1337" s="99"/>
      <c r="BF1337" s="99"/>
      <c r="BG1337" s="99"/>
      <c r="BH1337" s="99"/>
      <c r="BI1337" s="99"/>
      <c r="BJ1337" s="99"/>
      <c r="BK1337" s="99"/>
      <c r="BL1337" s="99"/>
      <c r="BM1337" s="99"/>
      <c r="BN1337" s="99"/>
      <c r="BO1337" s="99"/>
      <c r="BP1337" s="99"/>
      <c r="BQ1337" s="99"/>
      <c r="BR1337" s="99"/>
      <c r="BS1337" s="99"/>
      <c r="BT1337" s="99"/>
      <c r="BU1337" s="99"/>
      <c r="BV1337" s="99"/>
      <c r="BW1337" s="99"/>
      <c r="BX1337" s="99"/>
      <c r="BY1337" s="99"/>
      <c r="BZ1337" s="99"/>
      <c r="CA1337" s="99"/>
      <c r="CB1337" s="99"/>
      <c r="CC1337" s="99"/>
      <c r="CD1337" s="99"/>
      <c r="CE1337" s="99"/>
      <c r="CF1337" s="99"/>
      <c r="CG1337" s="99"/>
      <c r="CH1337" s="99"/>
      <c r="CI1337" s="99"/>
      <c r="CJ1337" s="621"/>
      <c r="CK1337" s="621"/>
      <c r="CL1337" s="621"/>
    </row>
    <row r="1338" spans="27:90">
      <c r="AA1338" s="350"/>
      <c r="AB1338" s="62"/>
      <c r="AC1338" s="62"/>
      <c r="AD1338" s="62"/>
      <c r="AP1338" s="88"/>
      <c r="AQ1338" s="88"/>
      <c r="AR1338" s="88"/>
      <c r="AS1338" s="99"/>
      <c r="AT1338" s="99"/>
      <c r="AU1338" s="99"/>
      <c r="AV1338" s="99"/>
      <c r="AW1338" s="99"/>
      <c r="AX1338" s="99"/>
      <c r="AY1338" s="99"/>
      <c r="AZ1338" s="99"/>
      <c r="BA1338" s="99"/>
      <c r="BB1338" s="99"/>
      <c r="BC1338" s="99"/>
      <c r="BD1338" s="99"/>
      <c r="BE1338" s="99"/>
      <c r="BF1338" s="99"/>
      <c r="BG1338" s="99"/>
      <c r="BH1338" s="99"/>
      <c r="BI1338" s="99"/>
      <c r="BJ1338" s="99"/>
      <c r="BK1338" s="99"/>
      <c r="BL1338" s="99"/>
      <c r="BM1338" s="99"/>
      <c r="BN1338" s="99"/>
      <c r="BO1338" s="99"/>
      <c r="BP1338" s="99"/>
      <c r="BQ1338" s="99"/>
      <c r="BR1338" s="99"/>
      <c r="BS1338" s="99"/>
      <c r="BT1338" s="99"/>
      <c r="BU1338" s="99"/>
      <c r="BV1338" s="99"/>
      <c r="BW1338" s="99"/>
      <c r="BX1338" s="99"/>
      <c r="BY1338" s="99"/>
      <c r="BZ1338" s="99"/>
      <c r="CA1338" s="99"/>
      <c r="CB1338" s="99"/>
      <c r="CC1338" s="99"/>
      <c r="CD1338" s="99"/>
      <c r="CE1338" s="99"/>
      <c r="CF1338" s="99"/>
      <c r="CG1338" s="99"/>
      <c r="CH1338" s="99"/>
      <c r="CI1338" s="99"/>
      <c r="CJ1338" s="621"/>
      <c r="CK1338" s="621"/>
      <c r="CL1338" s="621"/>
    </row>
    <row r="1339" spans="27:90">
      <c r="AA1339" s="350"/>
      <c r="AB1339" s="62"/>
      <c r="AC1339" s="62"/>
      <c r="AD1339" s="62"/>
      <c r="AP1339" s="88"/>
      <c r="AQ1339" s="88"/>
      <c r="AR1339" s="88"/>
      <c r="AS1339" s="99"/>
      <c r="AT1339" s="99"/>
      <c r="AU1339" s="99"/>
      <c r="AV1339" s="99"/>
      <c r="AW1339" s="99"/>
      <c r="AX1339" s="99"/>
      <c r="AY1339" s="99"/>
      <c r="AZ1339" s="99"/>
      <c r="BA1339" s="99"/>
      <c r="BB1339" s="99"/>
      <c r="BC1339" s="99"/>
      <c r="BD1339" s="99"/>
      <c r="BE1339" s="99"/>
      <c r="BF1339" s="99"/>
      <c r="BG1339" s="99"/>
      <c r="BH1339" s="99"/>
      <c r="BI1339" s="99"/>
      <c r="BJ1339" s="99"/>
      <c r="BK1339" s="99"/>
      <c r="BL1339" s="99"/>
      <c r="BM1339" s="99"/>
      <c r="BN1339" s="99"/>
      <c r="BO1339" s="99"/>
      <c r="BP1339" s="99"/>
      <c r="BQ1339" s="99"/>
      <c r="BR1339" s="99"/>
      <c r="BS1339" s="99"/>
      <c r="BT1339" s="99"/>
      <c r="BU1339" s="99"/>
      <c r="BV1339" s="99"/>
      <c r="BW1339" s="99"/>
      <c r="BX1339" s="99"/>
      <c r="BY1339" s="99"/>
      <c r="BZ1339" s="99"/>
      <c r="CA1339" s="99"/>
      <c r="CB1339" s="99"/>
      <c r="CC1339" s="99"/>
      <c r="CD1339" s="99"/>
      <c r="CE1339" s="99"/>
      <c r="CF1339" s="99"/>
      <c r="CG1339" s="99"/>
      <c r="CH1339" s="99"/>
      <c r="CI1339" s="99"/>
      <c r="CJ1339" s="621"/>
      <c r="CK1339" s="621"/>
      <c r="CL1339" s="621"/>
    </row>
    <row r="1340" spans="27:90">
      <c r="AA1340" s="350"/>
      <c r="AB1340" s="62"/>
      <c r="AC1340" s="62"/>
      <c r="AD1340" s="62"/>
      <c r="AP1340" s="88"/>
      <c r="AQ1340" s="88"/>
      <c r="AR1340" s="88"/>
      <c r="AS1340" s="99"/>
      <c r="AT1340" s="99"/>
      <c r="AU1340" s="99"/>
      <c r="AV1340" s="99"/>
      <c r="AW1340" s="99"/>
      <c r="AX1340" s="99"/>
      <c r="AY1340" s="99"/>
      <c r="AZ1340" s="99"/>
      <c r="BA1340" s="99"/>
      <c r="BB1340" s="99"/>
      <c r="BC1340" s="99"/>
      <c r="BD1340" s="99"/>
      <c r="BE1340" s="99"/>
      <c r="BF1340" s="99"/>
      <c r="BG1340" s="99"/>
      <c r="BH1340" s="99"/>
      <c r="BI1340" s="99"/>
      <c r="BJ1340" s="99"/>
      <c r="BK1340" s="99"/>
      <c r="BL1340" s="99"/>
      <c r="BM1340" s="99"/>
      <c r="BN1340" s="99"/>
      <c r="BO1340" s="99"/>
      <c r="BP1340" s="99"/>
      <c r="BQ1340" s="99"/>
      <c r="BR1340" s="99"/>
      <c r="BS1340" s="99"/>
      <c r="BT1340" s="99"/>
      <c r="BU1340" s="99"/>
      <c r="BV1340" s="99"/>
      <c r="BW1340" s="99"/>
      <c r="BX1340" s="99"/>
      <c r="BY1340" s="99"/>
      <c r="BZ1340" s="99"/>
      <c r="CA1340" s="99"/>
      <c r="CB1340" s="99"/>
      <c r="CC1340" s="99"/>
      <c r="CD1340" s="99"/>
      <c r="CE1340" s="99"/>
      <c r="CF1340" s="99"/>
      <c r="CG1340" s="99"/>
      <c r="CH1340" s="99"/>
      <c r="CI1340" s="99"/>
      <c r="CJ1340" s="621"/>
      <c r="CK1340" s="621"/>
      <c r="CL1340" s="621"/>
    </row>
    <row r="1341" spans="27:90">
      <c r="AA1341" s="350"/>
      <c r="AB1341" s="62"/>
      <c r="AC1341" s="62"/>
      <c r="AD1341" s="62"/>
      <c r="AP1341" s="88"/>
      <c r="AQ1341" s="88"/>
      <c r="AR1341" s="88"/>
      <c r="AS1341" s="99"/>
      <c r="AT1341" s="99"/>
      <c r="AU1341" s="99"/>
      <c r="AV1341" s="99"/>
      <c r="AW1341" s="99"/>
      <c r="AX1341" s="99"/>
      <c r="AY1341" s="99"/>
      <c r="AZ1341" s="99"/>
      <c r="BA1341" s="99"/>
      <c r="BB1341" s="99"/>
      <c r="BC1341" s="99"/>
      <c r="BD1341" s="99"/>
      <c r="BE1341" s="99"/>
      <c r="BF1341" s="99"/>
      <c r="BG1341" s="99"/>
      <c r="BH1341" s="99"/>
      <c r="BI1341" s="99"/>
      <c r="BJ1341" s="99"/>
      <c r="BK1341" s="99"/>
      <c r="BL1341" s="99"/>
      <c r="BM1341" s="99"/>
      <c r="BN1341" s="99"/>
      <c r="BO1341" s="99"/>
      <c r="BP1341" s="99"/>
      <c r="BQ1341" s="99"/>
      <c r="BR1341" s="99"/>
      <c r="BS1341" s="99"/>
      <c r="BT1341" s="99"/>
      <c r="BU1341" s="99"/>
      <c r="BV1341" s="99"/>
      <c r="BW1341" s="99"/>
      <c r="BX1341" s="99"/>
      <c r="BY1341" s="99"/>
      <c r="BZ1341" s="99"/>
      <c r="CA1341" s="99"/>
      <c r="CB1341" s="99"/>
      <c r="CC1341" s="99"/>
      <c r="CD1341" s="99"/>
      <c r="CE1341" s="99"/>
      <c r="CF1341" s="99"/>
      <c r="CG1341" s="99"/>
      <c r="CH1341" s="99"/>
      <c r="CI1341" s="99"/>
      <c r="CJ1341" s="621"/>
      <c r="CK1341" s="621"/>
      <c r="CL1341" s="621"/>
    </row>
    <row r="1342" spans="27:90">
      <c r="AA1342" s="350"/>
      <c r="AB1342" s="62"/>
      <c r="AC1342" s="62"/>
      <c r="AD1342" s="62"/>
      <c r="AP1342" s="88"/>
      <c r="AQ1342" s="88"/>
      <c r="AR1342" s="88"/>
      <c r="AS1342" s="99"/>
      <c r="AT1342" s="99"/>
      <c r="AU1342" s="99"/>
      <c r="AV1342" s="99"/>
      <c r="AW1342" s="99"/>
      <c r="AX1342" s="99"/>
      <c r="AY1342" s="99"/>
      <c r="AZ1342" s="99"/>
      <c r="BA1342" s="99"/>
      <c r="BB1342" s="99"/>
      <c r="BC1342" s="99"/>
      <c r="BD1342" s="99"/>
      <c r="BE1342" s="99"/>
      <c r="BF1342" s="99"/>
      <c r="BG1342" s="99"/>
      <c r="BH1342" s="99"/>
      <c r="BI1342" s="99"/>
      <c r="BJ1342" s="99"/>
      <c r="BK1342" s="99"/>
      <c r="BL1342" s="99"/>
      <c r="BM1342" s="99"/>
      <c r="BN1342" s="99"/>
      <c r="BO1342" s="99"/>
      <c r="BP1342" s="99"/>
      <c r="BQ1342" s="99"/>
      <c r="BR1342" s="99"/>
      <c r="BS1342" s="99"/>
      <c r="BT1342" s="99"/>
      <c r="BU1342" s="99"/>
      <c r="BV1342" s="99"/>
      <c r="BW1342" s="99"/>
      <c r="BX1342" s="99"/>
      <c r="BY1342" s="99"/>
      <c r="BZ1342" s="99"/>
      <c r="CA1342" s="99"/>
      <c r="CB1342" s="99"/>
      <c r="CC1342" s="99"/>
      <c r="CD1342" s="99"/>
      <c r="CE1342" s="99"/>
      <c r="CF1342" s="99"/>
      <c r="CG1342" s="99"/>
      <c r="CH1342" s="99"/>
      <c r="CI1342" s="99"/>
      <c r="CJ1342" s="621"/>
      <c r="CK1342" s="621"/>
      <c r="CL1342" s="621"/>
    </row>
    <row r="1343" spans="27:90">
      <c r="AA1343" s="350"/>
      <c r="AB1343" s="62"/>
      <c r="AC1343" s="62"/>
      <c r="AD1343" s="62"/>
      <c r="AP1343" s="88"/>
      <c r="AQ1343" s="88"/>
      <c r="AR1343" s="88"/>
      <c r="AS1343" s="99"/>
      <c r="AT1343" s="99"/>
      <c r="AU1343" s="99"/>
      <c r="AV1343" s="99"/>
      <c r="AW1343" s="99"/>
      <c r="AX1343" s="99"/>
      <c r="AY1343" s="99"/>
      <c r="AZ1343" s="99"/>
      <c r="BA1343" s="99"/>
      <c r="BB1343" s="99"/>
      <c r="BC1343" s="99"/>
      <c r="BD1343" s="99"/>
      <c r="BE1343" s="99"/>
      <c r="BF1343" s="99"/>
      <c r="BG1343" s="99"/>
      <c r="BH1343" s="99"/>
      <c r="BI1343" s="99"/>
      <c r="BJ1343" s="99"/>
      <c r="BK1343" s="99"/>
      <c r="BL1343" s="99"/>
      <c r="BM1343" s="99"/>
      <c r="BN1343" s="99"/>
      <c r="BO1343" s="99"/>
      <c r="BP1343" s="99"/>
      <c r="BQ1343" s="99"/>
      <c r="BR1343" s="99"/>
      <c r="BS1343" s="99"/>
      <c r="BT1343" s="99"/>
      <c r="BU1343" s="99"/>
      <c r="BV1343" s="99"/>
      <c r="BW1343" s="99"/>
      <c r="BX1343" s="99"/>
      <c r="BY1343" s="99"/>
      <c r="BZ1343" s="99"/>
      <c r="CA1343" s="99"/>
      <c r="CB1343" s="99"/>
      <c r="CC1343" s="99"/>
      <c r="CD1343" s="99"/>
      <c r="CE1343" s="99"/>
      <c r="CF1343" s="99"/>
      <c r="CG1343" s="99"/>
      <c r="CH1343" s="99"/>
      <c r="CI1343" s="99"/>
      <c r="CJ1343" s="621"/>
      <c r="CK1343" s="621"/>
      <c r="CL1343" s="621"/>
    </row>
    <row r="1344" spans="27:90">
      <c r="AA1344" s="350"/>
      <c r="AB1344" s="62"/>
      <c r="AC1344" s="62"/>
      <c r="AD1344" s="62"/>
      <c r="AP1344" s="88"/>
      <c r="AQ1344" s="88"/>
      <c r="AR1344" s="88"/>
      <c r="AS1344" s="99"/>
      <c r="AT1344" s="99"/>
      <c r="AU1344" s="99"/>
      <c r="AV1344" s="99"/>
      <c r="AW1344" s="99"/>
      <c r="AX1344" s="99"/>
      <c r="AY1344" s="99"/>
      <c r="AZ1344" s="99"/>
      <c r="BA1344" s="99"/>
      <c r="BB1344" s="99"/>
      <c r="BC1344" s="99"/>
      <c r="BD1344" s="99"/>
      <c r="BE1344" s="99"/>
      <c r="BF1344" s="99"/>
      <c r="BG1344" s="99"/>
      <c r="BH1344" s="99"/>
      <c r="BI1344" s="99"/>
      <c r="BJ1344" s="99"/>
      <c r="BK1344" s="99"/>
      <c r="BL1344" s="99"/>
      <c r="BM1344" s="99"/>
      <c r="BN1344" s="99"/>
      <c r="BO1344" s="99"/>
      <c r="BP1344" s="99"/>
      <c r="BQ1344" s="99"/>
      <c r="BR1344" s="99"/>
      <c r="BS1344" s="99"/>
      <c r="BT1344" s="99"/>
      <c r="BU1344" s="99"/>
      <c r="BV1344" s="99"/>
      <c r="BW1344" s="99"/>
      <c r="BX1344" s="99"/>
      <c r="BY1344" s="99"/>
      <c r="BZ1344" s="99"/>
      <c r="CA1344" s="99"/>
      <c r="CB1344" s="99"/>
      <c r="CC1344" s="99"/>
      <c r="CD1344" s="99"/>
      <c r="CE1344" s="99"/>
      <c r="CF1344" s="99"/>
      <c r="CG1344" s="99"/>
      <c r="CH1344" s="99"/>
      <c r="CI1344" s="99"/>
      <c r="CJ1344" s="621"/>
      <c r="CK1344" s="621"/>
      <c r="CL1344" s="621"/>
    </row>
    <row r="1345" spans="27:90">
      <c r="AA1345" s="350"/>
      <c r="AB1345" s="62"/>
      <c r="AC1345" s="62"/>
      <c r="AD1345" s="62"/>
      <c r="AP1345" s="88"/>
      <c r="AQ1345" s="88"/>
      <c r="AR1345" s="88"/>
      <c r="AS1345" s="99"/>
      <c r="AT1345" s="99"/>
      <c r="AU1345" s="99"/>
      <c r="AV1345" s="99"/>
      <c r="AW1345" s="99"/>
      <c r="AX1345" s="99"/>
      <c r="AY1345" s="99"/>
      <c r="AZ1345" s="99"/>
      <c r="BA1345" s="99"/>
      <c r="BB1345" s="99"/>
      <c r="BC1345" s="99"/>
      <c r="BD1345" s="99"/>
      <c r="BE1345" s="99"/>
      <c r="BF1345" s="99"/>
      <c r="BG1345" s="99"/>
      <c r="BH1345" s="99"/>
      <c r="BI1345" s="99"/>
      <c r="BJ1345" s="99"/>
      <c r="BK1345" s="99"/>
      <c r="BL1345" s="99"/>
      <c r="BM1345" s="99"/>
      <c r="BN1345" s="99"/>
      <c r="BO1345" s="99"/>
      <c r="BP1345" s="99"/>
      <c r="BQ1345" s="99"/>
      <c r="BR1345" s="99"/>
      <c r="BS1345" s="99"/>
      <c r="BT1345" s="99"/>
      <c r="BU1345" s="99"/>
      <c r="BV1345" s="99"/>
      <c r="BW1345" s="99"/>
      <c r="BX1345" s="99"/>
      <c r="BY1345" s="99"/>
      <c r="BZ1345" s="99"/>
      <c r="CA1345" s="99"/>
      <c r="CB1345" s="99"/>
      <c r="CC1345" s="99"/>
      <c r="CD1345" s="99"/>
      <c r="CE1345" s="99"/>
      <c r="CF1345" s="99"/>
      <c r="CG1345" s="99"/>
      <c r="CH1345" s="99"/>
      <c r="CI1345" s="99"/>
      <c r="CJ1345" s="621"/>
      <c r="CK1345" s="621"/>
      <c r="CL1345" s="621"/>
    </row>
    <row r="1346" spans="27:90">
      <c r="AA1346" s="350"/>
      <c r="AB1346" s="62"/>
      <c r="AC1346" s="62"/>
      <c r="AD1346" s="62"/>
      <c r="AP1346" s="88"/>
      <c r="AQ1346" s="88"/>
      <c r="AR1346" s="88"/>
      <c r="AS1346" s="99"/>
      <c r="AT1346" s="99"/>
      <c r="AU1346" s="99"/>
      <c r="AV1346" s="99"/>
      <c r="AW1346" s="99"/>
      <c r="AX1346" s="99"/>
      <c r="AY1346" s="99"/>
      <c r="AZ1346" s="99"/>
      <c r="BA1346" s="99"/>
      <c r="BB1346" s="99"/>
      <c r="BC1346" s="99"/>
      <c r="BD1346" s="99"/>
      <c r="BE1346" s="99"/>
      <c r="BF1346" s="99"/>
      <c r="BG1346" s="99"/>
      <c r="BH1346" s="99"/>
      <c r="BI1346" s="99"/>
      <c r="BJ1346" s="99"/>
      <c r="BK1346" s="99"/>
      <c r="BL1346" s="99"/>
      <c r="BM1346" s="99"/>
      <c r="BN1346" s="99"/>
      <c r="BO1346" s="99"/>
      <c r="BP1346" s="99"/>
      <c r="BQ1346" s="99"/>
      <c r="BR1346" s="99"/>
      <c r="BS1346" s="99"/>
      <c r="BT1346" s="99"/>
      <c r="BU1346" s="99"/>
      <c r="BV1346" s="99"/>
      <c r="BW1346" s="99"/>
      <c r="BX1346" s="99"/>
      <c r="BY1346" s="99"/>
      <c r="BZ1346" s="99"/>
      <c r="CA1346" s="99"/>
      <c r="CB1346" s="99"/>
      <c r="CC1346" s="99"/>
      <c r="CD1346" s="99"/>
      <c r="CE1346" s="99"/>
      <c r="CF1346" s="99"/>
      <c r="CG1346" s="99"/>
      <c r="CH1346" s="99"/>
      <c r="CI1346" s="99"/>
      <c r="CJ1346" s="621"/>
      <c r="CK1346" s="621"/>
      <c r="CL1346" s="621"/>
    </row>
    <row r="1347" spans="27:90">
      <c r="AA1347" s="350"/>
      <c r="AB1347" s="62"/>
      <c r="AC1347" s="62"/>
      <c r="AD1347" s="62"/>
      <c r="AP1347" s="88"/>
      <c r="AQ1347" s="88"/>
      <c r="AR1347" s="88"/>
      <c r="AS1347" s="99"/>
      <c r="AT1347" s="99"/>
      <c r="AU1347" s="99"/>
      <c r="AV1347" s="99"/>
      <c r="AW1347" s="99"/>
      <c r="AX1347" s="99"/>
      <c r="AY1347" s="99"/>
      <c r="AZ1347" s="99"/>
      <c r="BA1347" s="99"/>
      <c r="BB1347" s="99"/>
      <c r="BC1347" s="99"/>
      <c r="BD1347" s="99"/>
      <c r="BE1347" s="99"/>
      <c r="BF1347" s="99"/>
      <c r="BG1347" s="99"/>
      <c r="BH1347" s="99"/>
      <c r="BI1347" s="99"/>
      <c r="BJ1347" s="99"/>
      <c r="BK1347" s="99"/>
      <c r="BL1347" s="99"/>
      <c r="BM1347" s="99"/>
      <c r="BN1347" s="99"/>
      <c r="BO1347" s="99"/>
      <c r="BP1347" s="99"/>
      <c r="BQ1347" s="99"/>
      <c r="BR1347" s="99"/>
      <c r="BS1347" s="99"/>
      <c r="BT1347" s="99"/>
      <c r="BU1347" s="99"/>
      <c r="BV1347" s="99"/>
      <c r="BW1347" s="99"/>
      <c r="BX1347" s="99"/>
      <c r="BY1347" s="99"/>
      <c r="BZ1347" s="99"/>
      <c r="CA1347" s="99"/>
      <c r="CB1347" s="99"/>
      <c r="CC1347" s="99"/>
      <c r="CD1347" s="99"/>
      <c r="CE1347" s="99"/>
      <c r="CF1347" s="99"/>
      <c r="CG1347" s="99"/>
      <c r="CH1347" s="99"/>
      <c r="CI1347" s="99"/>
      <c r="CJ1347" s="621"/>
      <c r="CK1347" s="621"/>
      <c r="CL1347" s="621"/>
    </row>
    <row r="1348" spans="27:90">
      <c r="AA1348" s="350"/>
      <c r="AB1348" s="62"/>
      <c r="AC1348" s="62"/>
      <c r="AD1348" s="62"/>
      <c r="AP1348" s="88"/>
      <c r="AQ1348" s="88"/>
      <c r="AR1348" s="88"/>
      <c r="AS1348" s="99"/>
      <c r="AT1348" s="99"/>
      <c r="AU1348" s="99"/>
      <c r="AV1348" s="99"/>
      <c r="AW1348" s="99"/>
      <c r="AX1348" s="99"/>
      <c r="AY1348" s="99"/>
      <c r="AZ1348" s="99"/>
      <c r="BA1348" s="99"/>
      <c r="BB1348" s="99"/>
      <c r="BC1348" s="99"/>
      <c r="BD1348" s="99"/>
      <c r="BE1348" s="99"/>
      <c r="BF1348" s="99"/>
      <c r="BG1348" s="99"/>
      <c r="BH1348" s="99"/>
      <c r="BI1348" s="99"/>
      <c r="BJ1348" s="99"/>
      <c r="BK1348" s="99"/>
      <c r="BL1348" s="99"/>
      <c r="BM1348" s="99"/>
      <c r="BN1348" s="99"/>
      <c r="BO1348" s="99"/>
      <c r="BP1348" s="99"/>
      <c r="BQ1348" s="99"/>
      <c r="BR1348" s="99"/>
      <c r="BS1348" s="99"/>
      <c r="BT1348" s="99"/>
      <c r="BU1348" s="99"/>
      <c r="BV1348" s="99"/>
      <c r="BW1348" s="99"/>
      <c r="BX1348" s="99"/>
      <c r="BY1348" s="99"/>
      <c r="BZ1348" s="99"/>
      <c r="CA1348" s="99"/>
      <c r="CB1348" s="99"/>
      <c r="CC1348" s="99"/>
      <c r="CD1348" s="99"/>
      <c r="CE1348" s="99"/>
      <c r="CF1348" s="99"/>
      <c r="CG1348" s="99"/>
      <c r="CH1348" s="99"/>
      <c r="CI1348" s="99"/>
      <c r="CJ1348" s="621"/>
      <c r="CK1348" s="621"/>
      <c r="CL1348" s="621"/>
    </row>
    <row r="1349" spans="27:90">
      <c r="AA1349" s="350"/>
      <c r="AB1349" s="62"/>
      <c r="AC1349" s="62"/>
      <c r="AD1349" s="62"/>
      <c r="AP1349" s="88"/>
      <c r="AQ1349" s="88"/>
      <c r="AR1349" s="88"/>
      <c r="AS1349" s="99"/>
      <c r="AT1349" s="99"/>
      <c r="AU1349" s="99"/>
      <c r="AV1349" s="99"/>
      <c r="AW1349" s="99"/>
      <c r="AX1349" s="99"/>
      <c r="AY1349" s="99"/>
      <c r="AZ1349" s="99"/>
      <c r="BA1349" s="99"/>
      <c r="BB1349" s="99"/>
      <c r="BC1349" s="99"/>
      <c r="BD1349" s="99"/>
      <c r="BE1349" s="99"/>
      <c r="BF1349" s="99"/>
      <c r="BG1349" s="99"/>
      <c r="BH1349" s="99"/>
      <c r="BI1349" s="99"/>
      <c r="BJ1349" s="99"/>
      <c r="BK1349" s="99"/>
      <c r="BL1349" s="99"/>
      <c r="BM1349" s="99"/>
      <c r="BN1349" s="99"/>
      <c r="BO1349" s="99"/>
      <c r="BP1349" s="99"/>
      <c r="BQ1349" s="99"/>
      <c r="BR1349" s="99"/>
      <c r="BS1349" s="99"/>
      <c r="BT1349" s="99"/>
      <c r="BU1349" s="99"/>
      <c r="BV1349" s="99"/>
      <c r="BW1349" s="99"/>
      <c r="BX1349" s="99"/>
      <c r="BY1349" s="99"/>
      <c r="BZ1349" s="99"/>
      <c r="CA1349" s="99"/>
      <c r="CB1349" s="99"/>
      <c r="CC1349" s="99"/>
      <c r="CD1349" s="99"/>
      <c r="CE1349" s="99"/>
      <c r="CF1349" s="99"/>
      <c r="CG1349" s="99"/>
      <c r="CH1349" s="99"/>
      <c r="CI1349" s="99"/>
      <c r="CJ1349" s="621"/>
      <c r="CK1349" s="621"/>
      <c r="CL1349" s="621"/>
    </row>
    <row r="1350" spans="27:90">
      <c r="AA1350" s="350"/>
      <c r="AB1350" s="62"/>
      <c r="AC1350" s="62"/>
      <c r="AD1350" s="62"/>
      <c r="AP1350" s="88"/>
      <c r="AQ1350" s="88"/>
      <c r="AR1350" s="88"/>
      <c r="AS1350" s="99"/>
      <c r="AT1350" s="99"/>
      <c r="AU1350" s="99"/>
      <c r="AV1350" s="99"/>
      <c r="AW1350" s="99"/>
      <c r="AX1350" s="99"/>
      <c r="AY1350" s="99"/>
      <c r="AZ1350" s="99"/>
      <c r="BA1350" s="99"/>
      <c r="BB1350" s="99"/>
      <c r="BC1350" s="99"/>
      <c r="BD1350" s="99"/>
      <c r="BE1350" s="99"/>
      <c r="BF1350" s="99"/>
      <c r="BG1350" s="99"/>
      <c r="BH1350" s="99"/>
      <c r="BI1350" s="99"/>
      <c r="BJ1350" s="99"/>
      <c r="BK1350" s="99"/>
      <c r="BL1350" s="99"/>
      <c r="BM1350" s="99"/>
      <c r="BN1350" s="99"/>
      <c r="BO1350" s="99"/>
      <c r="BP1350" s="99"/>
      <c r="BQ1350" s="99"/>
      <c r="BR1350" s="99"/>
      <c r="BS1350" s="99"/>
      <c r="BT1350" s="99"/>
      <c r="BU1350" s="99"/>
      <c r="BV1350" s="99"/>
      <c r="BW1350" s="99"/>
      <c r="BX1350" s="99"/>
      <c r="BY1350" s="99"/>
      <c r="BZ1350" s="99"/>
      <c r="CA1350" s="99"/>
      <c r="CB1350" s="99"/>
      <c r="CC1350" s="99"/>
      <c r="CD1350" s="99"/>
      <c r="CE1350" s="99"/>
      <c r="CF1350" s="99"/>
      <c r="CG1350" s="99"/>
      <c r="CH1350" s="99"/>
      <c r="CI1350" s="99"/>
      <c r="CJ1350" s="621"/>
      <c r="CK1350" s="621"/>
      <c r="CL1350" s="621"/>
    </row>
    <row r="1351" spans="27:90">
      <c r="AA1351" s="350"/>
      <c r="AB1351" s="62"/>
      <c r="AC1351" s="62"/>
      <c r="AD1351" s="62"/>
      <c r="AP1351" s="88"/>
      <c r="AQ1351" s="88"/>
      <c r="AR1351" s="88"/>
      <c r="AS1351" s="99"/>
      <c r="AT1351" s="99"/>
      <c r="AU1351" s="99"/>
      <c r="AV1351" s="99"/>
      <c r="AW1351" s="99"/>
      <c r="AX1351" s="99"/>
      <c r="AY1351" s="99"/>
      <c r="AZ1351" s="99"/>
      <c r="BA1351" s="99"/>
      <c r="BB1351" s="99"/>
      <c r="BC1351" s="99"/>
      <c r="BD1351" s="99"/>
      <c r="BE1351" s="99"/>
      <c r="BF1351" s="99"/>
      <c r="BG1351" s="99"/>
      <c r="BH1351" s="99"/>
      <c r="BI1351" s="99"/>
      <c r="BJ1351" s="99"/>
      <c r="BK1351" s="99"/>
      <c r="BL1351" s="99"/>
      <c r="BM1351" s="99"/>
      <c r="BN1351" s="99"/>
      <c r="BO1351" s="99"/>
      <c r="BP1351" s="99"/>
      <c r="BQ1351" s="99"/>
      <c r="BR1351" s="99"/>
      <c r="BS1351" s="99"/>
      <c r="BT1351" s="99"/>
      <c r="BU1351" s="99"/>
      <c r="BV1351" s="99"/>
      <c r="BW1351" s="99"/>
      <c r="BX1351" s="99"/>
      <c r="BY1351" s="99"/>
      <c r="BZ1351" s="99"/>
      <c r="CA1351" s="99"/>
      <c r="CB1351" s="99"/>
      <c r="CC1351" s="99"/>
      <c r="CD1351" s="99"/>
      <c r="CE1351" s="99"/>
      <c r="CF1351" s="99"/>
      <c r="CG1351" s="99"/>
      <c r="CH1351" s="99"/>
      <c r="CI1351" s="99"/>
      <c r="CJ1351" s="621"/>
      <c r="CK1351" s="621"/>
      <c r="CL1351" s="621"/>
    </row>
    <row r="1352" spans="27:90">
      <c r="AA1352" s="350"/>
      <c r="AB1352" s="62"/>
      <c r="AC1352" s="62"/>
      <c r="AD1352" s="62"/>
      <c r="AP1352" s="88"/>
      <c r="AQ1352" s="88"/>
      <c r="AR1352" s="88"/>
      <c r="AS1352" s="99"/>
      <c r="AT1352" s="99"/>
      <c r="AU1352" s="99"/>
      <c r="AV1352" s="99"/>
      <c r="AW1352" s="99"/>
      <c r="AX1352" s="99"/>
      <c r="AY1352" s="99"/>
      <c r="AZ1352" s="99"/>
      <c r="BA1352" s="99"/>
      <c r="BB1352" s="99"/>
      <c r="BC1352" s="99"/>
      <c r="BD1352" s="99"/>
      <c r="BE1352" s="99"/>
      <c r="BF1352" s="99"/>
      <c r="BG1352" s="99"/>
      <c r="BH1352" s="99"/>
      <c r="BI1352" s="99"/>
      <c r="BJ1352" s="99"/>
      <c r="BK1352" s="99"/>
      <c r="BL1352" s="99"/>
      <c r="BM1352" s="99"/>
      <c r="BN1352" s="99"/>
      <c r="BO1352" s="99"/>
      <c r="BP1352" s="99"/>
      <c r="BQ1352" s="99"/>
      <c r="BR1352" s="99"/>
      <c r="BS1352" s="99"/>
      <c r="BT1352" s="99"/>
      <c r="BU1352" s="99"/>
      <c r="BV1352" s="99"/>
      <c r="BW1352" s="99"/>
      <c r="BX1352" s="99"/>
      <c r="BY1352" s="99"/>
      <c r="BZ1352" s="99"/>
      <c r="CA1352" s="99"/>
      <c r="CB1352" s="99"/>
      <c r="CC1352" s="99"/>
      <c r="CD1352" s="99"/>
      <c r="CE1352" s="99"/>
      <c r="CF1352" s="99"/>
      <c r="CG1352" s="99"/>
      <c r="CH1352" s="99"/>
      <c r="CI1352" s="99"/>
      <c r="CJ1352" s="621"/>
      <c r="CK1352" s="621"/>
      <c r="CL1352" s="621"/>
    </row>
    <row r="1353" spans="27:90">
      <c r="AA1353" s="350"/>
      <c r="AB1353" s="62"/>
      <c r="AC1353" s="62"/>
      <c r="AD1353" s="62"/>
      <c r="AP1353" s="88"/>
      <c r="AQ1353" s="88"/>
      <c r="AR1353" s="88"/>
      <c r="AS1353" s="99"/>
      <c r="AT1353" s="99"/>
      <c r="AU1353" s="99"/>
      <c r="AV1353" s="99"/>
      <c r="AW1353" s="99"/>
      <c r="AX1353" s="99"/>
      <c r="AY1353" s="99"/>
      <c r="AZ1353" s="99"/>
      <c r="BA1353" s="99"/>
      <c r="BB1353" s="99"/>
      <c r="BC1353" s="99"/>
      <c r="BD1353" s="99"/>
      <c r="BE1353" s="99"/>
      <c r="BF1353" s="99"/>
      <c r="BG1353" s="99"/>
      <c r="BH1353" s="99"/>
      <c r="BI1353" s="99"/>
      <c r="BJ1353" s="99"/>
      <c r="BK1353" s="99"/>
      <c r="BL1353" s="99"/>
      <c r="BM1353" s="99"/>
      <c r="BN1353" s="99"/>
      <c r="BO1353" s="99"/>
      <c r="BP1353" s="99"/>
      <c r="BQ1353" s="99"/>
      <c r="BR1353" s="99"/>
      <c r="BS1353" s="99"/>
      <c r="BT1353" s="99"/>
      <c r="BU1353" s="99"/>
      <c r="BV1353" s="99"/>
      <c r="BW1353" s="99"/>
      <c r="BX1353" s="99"/>
      <c r="BY1353" s="99"/>
      <c r="BZ1353" s="99"/>
      <c r="CA1353" s="99"/>
      <c r="CB1353" s="99"/>
      <c r="CC1353" s="99"/>
      <c r="CD1353" s="99"/>
      <c r="CE1353" s="99"/>
      <c r="CF1353" s="99"/>
      <c r="CG1353" s="99"/>
      <c r="CH1353" s="99"/>
      <c r="CI1353" s="99"/>
      <c r="CJ1353" s="621"/>
      <c r="CK1353" s="621"/>
      <c r="CL1353" s="621"/>
    </row>
    <row r="1354" spans="27:90">
      <c r="AA1354" s="350"/>
      <c r="AB1354" s="62"/>
      <c r="AC1354" s="62"/>
      <c r="AD1354" s="62"/>
      <c r="AP1354" s="88"/>
      <c r="AQ1354" s="88"/>
      <c r="AR1354" s="88"/>
      <c r="AS1354" s="99"/>
      <c r="AT1354" s="99"/>
      <c r="AU1354" s="99"/>
      <c r="AV1354" s="99"/>
      <c r="AW1354" s="99"/>
      <c r="AX1354" s="99"/>
      <c r="AY1354" s="99"/>
      <c r="AZ1354" s="99"/>
      <c r="BA1354" s="99"/>
      <c r="BB1354" s="99"/>
      <c r="BC1354" s="99"/>
      <c r="BD1354" s="99"/>
      <c r="BE1354" s="99"/>
      <c r="BF1354" s="99"/>
      <c r="BG1354" s="99"/>
      <c r="BH1354" s="99"/>
      <c r="BI1354" s="99"/>
      <c r="BJ1354" s="99"/>
      <c r="BK1354" s="99"/>
      <c r="BL1354" s="99"/>
      <c r="BM1354" s="99"/>
      <c r="BN1354" s="99"/>
      <c r="BO1354" s="99"/>
      <c r="BP1354" s="99"/>
      <c r="BQ1354" s="99"/>
      <c r="BR1354" s="99"/>
      <c r="BS1354" s="99"/>
      <c r="BT1354" s="99"/>
      <c r="BU1354" s="99"/>
      <c r="BV1354" s="99"/>
      <c r="BW1354" s="99"/>
      <c r="BX1354" s="99"/>
      <c r="BY1354" s="99"/>
      <c r="BZ1354" s="99"/>
      <c r="CA1354" s="99"/>
      <c r="CB1354" s="99"/>
      <c r="CC1354" s="99"/>
      <c r="CD1354" s="99"/>
      <c r="CE1354" s="99"/>
      <c r="CF1354" s="99"/>
      <c r="CG1354" s="99"/>
      <c r="CH1354" s="99"/>
      <c r="CI1354" s="99"/>
      <c r="CJ1354" s="621"/>
      <c r="CK1354" s="621"/>
      <c r="CL1354" s="621"/>
    </row>
    <row r="1355" spans="27:90">
      <c r="AA1355" s="350"/>
      <c r="AB1355" s="62"/>
      <c r="AC1355" s="62"/>
      <c r="AD1355" s="62"/>
      <c r="AP1355" s="88"/>
      <c r="AQ1355" s="88"/>
      <c r="AR1355" s="88"/>
      <c r="AS1355" s="99"/>
      <c r="AT1355" s="99"/>
      <c r="AU1355" s="99"/>
      <c r="AV1355" s="99"/>
      <c r="AW1355" s="99"/>
      <c r="AX1355" s="99"/>
      <c r="AY1355" s="99"/>
      <c r="AZ1355" s="99"/>
      <c r="BA1355" s="99"/>
      <c r="BB1355" s="99"/>
      <c r="BC1355" s="99"/>
      <c r="BD1355" s="99"/>
      <c r="BE1355" s="99"/>
      <c r="BF1355" s="99"/>
      <c r="BG1355" s="99"/>
      <c r="BH1355" s="99"/>
      <c r="BI1355" s="99"/>
      <c r="BJ1355" s="99"/>
      <c r="BK1355" s="99"/>
      <c r="BL1355" s="99"/>
      <c r="BM1355" s="99"/>
      <c r="BN1355" s="99"/>
      <c r="BO1355" s="99"/>
      <c r="BP1355" s="99"/>
      <c r="BQ1355" s="99"/>
      <c r="BR1355" s="99"/>
      <c r="BS1355" s="99"/>
      <c r="BT1355" s="99"/>
      <c r="BU1355" s="99"/>
      <c r="BV1355" s="99"/>
      <c r="BW1355" s="99"/>
      <c r="BX1355" s="99"/>
      <c r="BY1355" s="99"/>
      <c r="BZ1355" s="99"/>
      <c r="CA1355" s="99"/>
      <c r="CB1355" s="99"/>
      <c r="CC1355" s="99"/>
      <c r="CD1355" s="99"/>
      <c r="CE1355" s="99"/>
      <c r="CF1355" s="99"/>
      <c r="CG1355" s="99"/>
      <c r="CH1355" s="99"/>
      <c r="CI1355" s="99"/>
      <c r="CJ1355" s="621"/>
      <c r="CK1355" s="621"/>
      <c r="CL1355" s="621"/>
    </row>
    <row r="1356" spans="27:90">
      <c r="AA1356" s="350"/>
      <c r="AB1356" s="62"/>
      <c r="AC1356" s="62"/>
      <c r="AD1356" s="62"/>
      <c r="AP1356" s="88"/>
      <c r="AQ1356" s="88"/>
      <c r="AR1356" s="88"/>
      <c r="AS1356" s="99"/>
      <c r="AT1356" s="99"/>
      <c r="AU1356" s="99"/>
      <c r="AV1356" s="99"/>
      <c r="AW1356" s="99"/>
      <c r="AX1356" s="99"/>
      <c r="AY1356" s="99"/>
      <c r="AZ1356" s="99"/>
      <c r="BA1356" s="99"/>
      <c r="BB1356" s="99"/>
      <c r="BC1356" s="99"/>
      <c r="BD1356" s="99"/>
      <c r="BE1356" s="99"/>
      <c r="BF1356" s="99"/>
      <c r="BG1356" s="99"/>
      <c r="BH1356" s="99"/>
      <c r="BI1356" s="99"/>
      <c r="BJ1356" s="99"/>
      <c r="BK1356" s="99"/>
      <c r="BL1356" s="99"/>
      <c r="BM1356" s="99"/>
      <c r="BN1356" s="99"/>
      <c r="BO1356" s="99"/>
      <c r="BP1356" s="99"/>
      <c r="BQ1356" s="99"/>
      <c r="BR1356" s="99"/>
      <c r="BS1356" s="99"/>
      <c r="BT1356" s="99"/>
      <c r="BU1356" s="99"/>
      <c r="BV1356" s="99"/>
      <c r="BW1356" s="99"/>
      <c r="BX1356" s="99"/>
      <c r="BY1356" s="99"/>
      <c r="BZ1356" s="99"/>
      <c r="CA1356" s="99"/>
      <c r="CB1356" s="99"/>
      <c r="CC1356" s="99"/>
      <c r="CD1356" s="99"/>
      <c r="CE1356" s="99"/>
      <c r="CF1356" s="99"/>
      <c r="CG1356" s="99"/>
      <c r="CH1356" s="99"/>
      <c r="CI1356" s="99"/>
      <c r="CJ1356" s="621"/>
      <c r="CK1356" s="621"/>
      <c r="CL1356" s="621"/>
    </row>
    <row r="1357" spans="27:90">
      <c r="AA1357" s="350"/>
      <c r="AB1357" s="62"/>
      <c r="AC1357" s="62"/>
      <c r="AD1357" s="62"/>
      <c r="AP1357" s="88"/>
      <c r="AQ1357" s="88"/>
      <c r="AR1357" s="88"/>
      <c r="AS1357" s="99"/>
      <c r="AT1357" s="99"/>
      <c r="AU1357" s="99"/>
      <c r="AV1357" s="99"/>
      <c r="AW1357" s="99"/>
      <c r="AX1357" s="99"/>
      <c r="AY1357" s="99"/>
      <c r="AZ1357" s="99"/>
      <c r="BA1357" s="99"/>
      <c r="BB1357" s="99"/>
      <c r="BC1357" s="99"/>
      <c r="BD1357" s="99"/>
      <c r="BE1357" s="99"/>
      <c r="BF1357" s="99"/>
      <c r="BG1357" s="99"/>
      <c r="BH1357" s="99"/>
      <c r="BI1357" s="99"/>
      <c r="BJ1357" s="99"/>
      <c r="BK1357" s="99"/>
      <c r="BL1357" s="99"/>
      <c r="BM1357" s="99"/>
      <c r="BN1357" s="99"/>
      <c r="BO1357" s="99"/>
      <c r="BP1357" s="99"/>
      <c r="BQ1357" s="99"/>
      <c r="BR1357" s="99"/>
      <c r="BS1357" s="99"/>
      <c r="BT1357" s="99"/>
      <c r="BU1357" s="99"/>
      <c r="BV1357" s="99"/>
      <c r="BW1357" s="99"/>
      <c r="BX1357" s="99"/>
      <c r="BY1357" s="99"/>
      <c r="BZ1357" s="99"/>
      <c r="CA1357" s="99"/>
      <c r="CB1357" s="99"/>
      <c r="CC1357" s="99"/>
      <c r="CD1357" s="99"/>
      <c r="CE1357" s="99"/>
      <c r="CF1357" s="99"/>
      <c r="CG1357" s="99"/>
      <c r="CH1357" s="99"/>
      <c r="CI1357" s="99"/>
      <c r="CJ1357" s="621"/>
      <c r="CK1357" s="621"/>
      <c r="CL1357" s="621"/>
    </row>
    <row r="1358" spans="27:90">
      <c r="AA1358" s="350"/>
      <c r="AB1358" s="62"/>
      <c r="AC1358" s="62"/>
      <c r="AD1358" s="62"/>
      <c r="AP1358" s="88"/>
      <c r="AQ1358" s="88"/>
      <c r="AR1358" s="88"/>
      <c r="AS1358" s="99"/>
      <c r="AT1358" s="99"/>
      <c r="AU1358" s="99"/>
      <c r="AV1358" s="99"/>
      <c r="AW1358" s="99"/>
      <c r="AX1358" s="99"/>
      <c r="AY1358" s="99"/>
      <c r="AZ1358" s="99"/>
      <c r="BA1358" s="99"/>
      <c r="BB1358" s="99"/>
      <c r="BC1358" s="99"/>
      <c r="BD1358" s="99"/>
      <c r="BE1358" s="99"/>
      <c r="BF1358" s="99"/>
      <c r="BG1358" s="99"/>
      <c r="BH1358" s="99"/>
      <c r="BI1358" s="99"/>
      <c r="BJ1358" s="99"/>
      <c r="BK1358" s="99"/>
      <c r="BL1358" s="99"/>
      <c r="BM1358" s="99"/>
      <c r="BN1358" s="99"/>
      <c r="BO1358" s="99"/>
      <c r="BP1358" s="99"/>
      <c r="BQ1358" s="99"/>
      <c r="BR1358" s="99"/>
      <c r="BS1358" s="99"/>
      <c r="BT1358" s="99"/>
      <c r="BU1358" s="99"/>
      <c r="BV1358" s="99"/>
      <c r="BW1358" s="99"/>
      <c r="BX1358" s="99"/>
      <c r="BY1358" s="99"/>
      <c r="BZ1358" s="99"/>
      <c r="CA1358" s="99"/>
      <c r="CB1358" s="99"/>
      <c r="CC1358" s="99"/>
      <c r="CD1358" s="99"/>
      <c r="CE1358" s="99"/>
      <c r="CF1358" s="99"/>
      <c r="CG1358" s="99"/>
      <c r="CH1358" s="99"/>
      <c r="CI1358" s="99"/>
      <c r="CJ1358" s="621"/>
      <c r="CK1358" s="621"/>
      <c r="CL1358" s="621"/>
    </row>
    <row r="1359" spans="27:90">
      <c r="AA1359" s="350"/>
      <c r="AB1359" s="62"/>
      <c r="AC1359" s="62"/>
      <c r="AD1359" s="62"/>
      <c r="AP1359" s="88"/>
      <c r="AQ1359" s="88"/>
      <c r="AR1359" s="88"/>
      <c r="AS1359" s="99"/>
      <c r="AT1359" s="99"/>
      <c r="AU1359" s="99"/>
      <c r="AV1359" s="99"/>
      <c r="AW1359" s="99"/>
      <c r="AX1359" s="99"/>
      <c r="AY1359" s="99"/>
      <c r="AZ1359" s="99"/>
      <c r="BA1359" s="99"/>
      <c r="BB1359" s="99"/>
      <c r="BC1359" s="99"/>
      <c r="BD1359" s="99"/>
      <c r="BE1359" s="99"/>
      <c r="BF1359" s="99"/>
      <c r="BG1359" s="99"/>
      <c r="BH1359" s="99"/>
      <c r="BI1359" s="99"/>
      <c r="BJ1359" s="99"/>
      <c r="BK1359" s="99"/>
      <c r="BL1359" s="99"/>
      <c r="BM1359" s="99"/>
      <c r="BN1359" s="99"/>
      <c r="BO1359" s="99"/>
      <c r="BP1359" s="99"/>
      <c r="BQ1359" s="99"/>
      <c r="BR1359" s="99"/>
      <c r="BS1359" s="99"/>
      <c r="BT1359" s="99"/>
      <c r="BU1359" s="99"/>
      <c r="BV1359" s="99"/>
      <c r="BW1359" s="99"/>
      <c r="BX1359" s="99"/>
      <c r="BY1359" s="99"/>
      <c r="BZ1359" s="99"/>
      <c r="CA1359" s="99"/>
      <c r="CB1359" s="99"/>
      <c r="CC1359" s="99"/>
      <c r="CD1359" s="99"/>
      <c r="CE1359" s="99"/>
      <c r="CF1359" s="99"/>
      <c r="CG1359" s="99"/>
      <c r="CH1359" s="99"/>
      <c r="CI1359" s="99"/>
      <c r="CJ1359" s="621"/>
      <c r="CK1359" s="621"/>
      <c r="CL1359" s="621"/>
    </row>
    <row r="1360" spans="27:90">
      <c r="AA1360" s="350"/>
      <c r="AB1360" s="62"/>
      <c r="AC1360" s="62"/>
      <c r="AD1360" s="62"/>
      <c r="AP1360" s="88"/>
      <c r="AQ1360" s="88"/>
      <c r="AR1360" s="88"/>
      <c r="AS1360" s="99"/>
      <c r="AT1360" s="99"/>
      <c r="AU1360" s="99"/>
      <c r="AV1360" s="99"/>
      <c r="AW1360" s="99"/>
      <c r="AX1360" s="99"/>
      <c r="AY1360" s="99"/>
      <c r="AZ1360" s="99"/>
      <c r="BA1360" s="99"/>
      <c r="BB1360" s="99"/>
      <c r="BC1360" s="99"/>
      <c r="BD1360" s="99"/>
      <c r="BE1360" s="99"/>
      <c r="BF1360" s="99"/>
      <c r="BG1360" s="99"/>
      <c r="BH1360" s="99"/>
      <c r="BI1360" s="99"/>
      <c r="BJ1360" s="99"/>
      <c r="BK1360" s="99"/>
      <c r="BL1360" s="99"/>
      <c r="BM1360" s="99"/>
      <c r="BN1360" s="99"/>
      <c r="BO1360" s="99"/>
      <c r="BP1360" s="99"/>
      <c r="BQ1360" s="99"/>
      <c r="BR1360" s="99"/>
      <c r="BS1360" s="99"/>
      <c r="BT1360" s="99"/>
      <c r="BU1360" s="99"/>
      <c r="BV1360" s="99"/>
      <c r="BW1360" s="99"/>
      <c r="BX1360" s="99"/>
      <c r="BY1360" s="99"/>
      <c r="BZ1360" s="99"/>
      <c r="CA1360" s="99"/>
      <c r="CB1360" s="99"/>
      <c r="CC1360" s="99"/>
      <c r="CD1360" s="99"/>
      <c r="CE1360" s="99"/>
      <c r="CF1360" s="99"/>
      <c r="CG1360" s="99"/>
      <c r="CH1360" s="99"/>
      <c r="CI1360" s="99"/>
      <c r="CJ1360" s="621"/>
      <c r="CK1360" s="621"/>
      <c r="CL1360" s="621"/>
    </row>
    <row r="1361" spans="27:90">
      <c r="AA1361" s="350"/>
      <c r="AB1361" s="62"/>
      <c r="AC1361" s="62"/>
      <c r="AD1361" s="62"/>
      <c r="AP1361" s="88"/>
      <c r="AQ1361" s="88"/>
      <c r="AR1361" s="88"/>
      <c r="AS1361" s="99"/>
      <c r="AT1361" s="99"/>
      <c r="AU1361" s="99"/>
      <c r="AV1361" s="99"/>
      <c r="AW1361" s="99"/>
      <c r="AX1361" s="99"/>
      <c r="AY1361" s="99"/>
      <c r="AZ1361" s="99"/>
      <c r="BA1361" s="99"/>
      <c r="BB1361" s="99"/>
      <c r="BC1361" s="99"/>
      <c r="BD1361" s="99"/>
      <c r="BE1361" s="99"/>
      <c r="BF1361" s="99"/>
      <c r="BG1361" s="99"/>
      <c r="BH1361" s="99"/>
      <c r="BI1361" s="99"/>
      <c r="BJ1361" s="99"/>
      <c r="BK1361" s="99"/>
      <c r="BL1361" s="99"/>
      <c r="BM1361" s="99"/>
      <c r="BN1361" s="99"/>
      <c r="BO1361" s="99"/>
      <c r="BP1361" s="99"/>
      <c r="BQ1361" s="99"/>
      <c r="BR1361" s="99"/>
      <c r="BS1361" s="99"/>
      <c r="BT1361" s="99"/>
      <c r="BU1361" s="99"/>
      <c r="BV1361" s="99"/>
      <c r="BW1361" s="99"/>
      <c r="BX1361" s="99"/>
      <c r="BY1361" s="99"/>
      <c r="BZ1361" s="99"/>
      <c r="CA1361" s="99"/>
      <c r="CB1361" s="99"/>
      <c r="CC1361" s="99"/>
      <c r="CD1361" s="99"/>
      <c r="CE1361" s="99"/>
      <c r="CF1361" s="99"/>
      <c r="CG1361" s="99"/>
      <c r="CH1361" s="99"/>
      <c r="CI1361" s="99"/>
      <c r="CJ1361" s="621"/>
      <c r="CK1361" s="621"/>
      <c r="CL1361" s="621"/>
    </row>
    <row r="1362" spans="27:90">
      <c r="AA1362" s="350"/>
      <c r="AB1362" s="62"/>
      <c r="AC1362" s="62"/>
      <c r="AD1362" s="62"/>
      <c r="AP1362" s="88"/>
      <c r="AQ1362" s="88"/>
      <c r="AR1362" s="88"/>
      <c r="AS1362" s="99"/>
      <c r="AT1362" s="99"/>
      <c r="AU1362" s="99"/>
      <c r="AV1362" s="99"/>
      <c r="AW1362" s="99"/>
      <c r="AX1362" s="99"/>
      <c r="AY1362" s="99"/>
      <c r="AZ1362" s="99"/>
      <c r="BA1362" s="99"/>
      <c r="BB1362" s="99"/>
      <c r="BC1362" s="99"/>
      <c r="BD1362" s="99"/>
      <c r="BE1362" s="99"/>
      <c r="BF1362" s="99"/>
      <c r="BG1362" s="99"/>
      <c r="BH1362" s="99"/>
      <c r="BI1362" s="99"/>
      <c r="BJ1362" s="99"/>
      <c r="BK1362" s="99"/>
      <c r="BL1362" s="99"/>
      <c r="BM1362" s="99"/>
      <c r="BN1362" s="99"/>
      <c r="BO1362" s="99"/>
      <c r="BP1362" s="99"/>
      <c r="BQ1362" s="99"/>
      <c r="BR1362" s="99"/>
      <c r="BS1362" s="99"/>
      <c r="BT1362" s="99"/>
      <c r="BU1362" s="99"/>
      <c r="BV1362" s="99"/>
      <c r="BW1362" s="99"/>
      <c r="BX1362" s="99"/>
      <c r="BY1362" s="99"/>
      <c r="BZ1362" s="99"/>
      <c r="CA1362" s="99"/>
      <c r="CB1362" s="99"/>
      <c r="CC1362" s="99"/>
      <c r="CD1362" s="99"/>
      <c r="CE1362" s="99"/>
      <c r="CF1362" s="99"/>
      <c r="CG1362" s="99"/>
      <c r="CH1362" s="99"/>
      <c r="CI1362" s="99"/>
      <c r="CJ1362" s="621"/>
      <c r="CK1362" s="621"/>
      <c r="CL1362" s="621"/>
    </row>
    <row r="1363" spans="27:90">
      <c r="AA1363" s="350"/>
      <c r="AB1363" s="62"/>
      <c r="AC1363" s="62"/>
      <c r="AD1363" s="62"/>
      <c r="AP1363" s="88"/>
      <c r="AQ1363" s="88"/>
      <c r="AR1363" s="88"/>
      <c r="AS1363" s="99"/>
      <c r="AT1363" s="99"/>
      <c r="AU1363" s="99"/>
      <c r="AV1363" s="99"/>
      <c r="AW1363" s="99"/>
      <c r="AX1363" s="99"/>
      <c r="AY1363" s="99"/>
      <c r="AZ1363" s="99"/>
      <c r="BA1363" s="99"/>
      <c r="BB1363" s="99"/>
      <c r="BC1363" s="99"/>
      <c r="BD1363" s="99"/>
      <c r="BE1363" s="99"/>
      <c r="BF1363" s="99"/>
      <c r="BG1363" s="99"/>
      <c r="BH1363" s="99"/>
      <c r="BI1363" s="99"/>
      <c r="BJ1363" s="99"/>
      <c r="BK1363" s="99"/>
      <c r="BL1363" s="99"/>
      <c r="BM1363" s="99"/>
      <c r="BN1363" s="99"/>
      <c r="BO1363" s="99"/>
      <c r="BP1363" s="99"/>
      <c r="BQ1363" s="99"/>
      <c r="BR1363" s="99"/>
      <c r="BS1363" s="99"/>
      <c r="BT1363" s="99"/>
      <c r="BU1363" s="99"/>
      <c r="BV1363" s="99"/>
      <c r="BW1363" s="99"/>
      <c r="BX1363" s="99"/>
      <c r="BY1363" s="99"/>
      <c r="BZ1363" s="99"/>
      <c r="CA1363" s="99"/>
      <c r="CB1363" s="99"/>
      <c r="CC1363" s="99"/>
      <c r="CD1363" s="99"/>
      <c r="CE1363" s="99"/>
      <c r="CF1363" s="99"/>
      <c r="CG1363" s="99"/>
      <c r="CH1363" s="99"/>
      <c r="CI1363" s="99"/>
      <c r="CJ1363" s="621"/>
      <c r="CK1363" s="621"/>
      <c r="CL1363" s="621"/>
    </row>
    <row r="1364" spans="27:90">
      <c r="AA1364" s="350"/>
      <c r="AB1364" s="62"/>
      <c r="AC1364" s="62"/>
      <c r="AD1364" s="62"/>
      <c r="AP1364" s="88"/>
      <c r="AQ1364" s="88"/>
      <c r="AR1364" s="88"/>
      <c r="AS1364" s="99"/>
      <c r="AT1364" s="99"/>
      <c r="AU1364" s="99"/>
      <c r="AV1364" s="99"/>
      <c r="AW1364" s="99"/>
      <c r="AX1364" s="99"/>
      <c r="AY1364" s="99"/>
      <c r="AZ1364" s="99"/>
      <c r="BA1364" s="99"/>
      <c r="BB1364" s="99"/>
      <c r="BC1364" s="99"/>
      <c r="BD1364" s="99"/>
      <c r="BE1364" s="99"/>
      <c r="BF1364" s="99"/>
      <c r="BG1364" s="99"/>
      <c r="BH1364" s="99"/>
      <c r="BI1364" s="99"/>
      <c r="BJ1364" s="99"/>
      <c r="BK1364" s="99"/>
      <c r="BL1364" s="99"/>
      <c r="BM1364" s="99"/>
      <c r="BN1364" s="99"/>
      <c r="BO1364" s="99"/>
      <c r="BP1364" s="99"/>
      <c r="BQ1364" s="99"/>
      <c r="BR1364" s="99"/>
      <c r="BS1364" s="99"/>
      <c r="BT1364" s="99"/>
      <c r="BU1364" s="99"/>
      <c r="BV1364" s="99"/>
      <c r="BW1364" s="99"/>
      <c r="BX1364" s="99"/>
      <c r="BY1364" s="99"/>
      <c r="BZ1364" s="99"/>
      <c r="CA1364" s="99"/>
      <c r="CB1364" s="99"/>
      <c r="CC1364" s="99"/>
      <c r="CD1364" s="99"/>
      <c r="CE1364" s="99"/>
      <c r="CF1364" s="99"/>
      <c r="CG1364" s="99"/>
      <c r="CH1364" s="99"/>
      <c r="CI1364" s="99"/>
      <c r="CJ1364" s="621"/>
      <c r="CK1364" s="621"/>
      <c r="CL1364" s="621"/>
    </row>
    <row r="1365" spans="27:90">
      <c r="AA1365" s="350"/>
      <c r="AB1365" s="62"/>
      <c r="AC1365" s="62"/>
      <c r="AD1365" s="62"/>
      <c r="AP1365" s="88"/>
      <c r="AQ1365" s="88"/>
      <c r="AR1365" s="88"/>
      <c r="AS1365" s="99"/>
      <c r="AT1365" s="99"/>
      <c r="AU1365" s="99"/>
      <c r="AV1365" s="99"/>
      <c r="AW1365" s="99"/>
      <c r="AX1365" s="99"/>
      <c r="AY1365" s="99"/>
      <c r="AZ1365" s="99"/>
      <c r="BA1365" s="99"/>
      <c r="BB1365" s="99"/>
      <c r="BC1365" s="99"/>
      <c r="BD1365" s="99"/>
      <c r="BE1365" s="99"/>
      <c r="BF1365" s="99"/>
      <c r="BG1365" s="99"/>
      <c r="BH1365" s="99"/>
      <c r="BI1365" s="99"/>
      <c r="BJ1365" s="99"/>
      <c r="BK1365" s="99"/>
      <c r="BL1365" s="99"/>
      <c r="BM1365" s="99"/>
      <c r="BN1365" s="99"/>
      <c r="BO1365" s="99"/>
      <c r="BP1365" s="99"/>
      <c r="BQ1365" s="99"/>
      <c r="BR1365" s="99"/>
      <c r="BS1365" s="99"/>
      <c r="BT1365" s="99"/>
      <c r="BU1365" s="99"/>
      <c r="BV1365" s="99"/>
      <c r="BW1365" s="99"/>
      <c r="BX1365" s="99"/>
      <c r="BY1365" s="99"/>
      <c r="BZ1365" s="99"/>
      <c r="CA1365" s="99"/>
      <c r="CB1365" s="99"/>
      <c r="CC1365" s="99"/>
      <c r="CD1365" s="99"/>
      <c r="CE1365" s="99"/>
      <c r="CF1365" s="99"/>
      <c r="CG1365" s="99"/>
      <c r="CH1365" s="99"/>
      <c r="CI1365" s="99"/>
      <c r="CJ1365" s="621"/>
      <c r="CK1365" s="621"/>
      <c r="CL1365" s="621"/>
    </row>
    <row r="1366" spans="27:90">
      <c r="AA1366" s="350"/>
      <c r="AB1366" s="62"/>
      <c r="AC1366" s="62"/>
      <c r="AD1366" s="62"/>
      <c r="AP1366" s="88"/>
      <c r="AQ1366" s="88"/>
      <c r="AR1366" s="88"/>
      <c r="AS1366" s="99"/>
      <c r="AT1366" s="99"/>
      <c r="AU1366" s="99"/>
      <c r="AV1366" s="99"/>
      <c r="AW1366" s="99"/>
      <c r="AX1366" s="99"/>
      <c r="AY1366" s="99"/>
      <c r="AZ1366" s="99"/>
      <c r="BA1366" s="99"/>
      <c r="BB1366" s="99"/>
      <c r="BC1366" s="99"/>
      <c r="BD1366" s="99"/>
      <c r="BE1366" s="99"/>
      <c r="BF1366" s="99"/>
      <c r="BG1366" s="99"/>
      <c r="BH1366" s="99"/>
      <c r="BI1366" s="99"/>
      <c r="BJ1366" s="99"/>
      <c r="BK1366" s="99"/>
      <c r="BL1366" s="99"/>
      <c r="BM1366" s="99"/>
      <c r="BN1366" s="99"/>
      <c r="BO1366" s="99"/>
      <c r="BP1366" s="99"/>
      <c r="BQ1366" s="99"/>
      <c r="BR1366" s="99"/>
      <c r="BS1366" s="99"/>
      <c r="BT1366" s="99"/>
      <c r="BU1366" s="99"/>
      <c r="BV1366" s="99"/>
      <c r="BW1366" s="99"/>
      <c r="BX1366" s="99"/>
      <c r="BY1366" s="99"/>
      <c r="BZ1366" s="99"/>
      <c r="CA1366" s="99"/>
      <c r="CB1366" s="99"/>
      <c r="CC1366" s="99"/>
      <c r="CD1366" s="99"/>
      <c r="CE1366" s="99"/>
      <c r="CF1366" s="99"/>
      <c r="CG1366" s="99"/>
      <c r="CH1366" s="99"/>
      <c r="CI1366" s="99"/>
      <c r="CJ1366" s="621"/>
      <c r="CK1366" s="621"/>
      <c r="CL1366" s="621"/>
    </row>
    <row r="1367" spans="27:90">
      <c r="AA1367" s="350"/>
      <c r="AB1367" s="62"/>
      <c r="AC1367" s="62"/>
      <c r="AD1367" s="62"/>
      <c r="AP1367" s="88"/>
      <c r="AQ1367" s="88"/>
      <c r="AR1367" s="88"/>
      <c r="AS1367" s="99"/>
      <c r="AT1367" s="99"/>
      <c r="AU1367" s="99"/>
      <c r="AV1367" s="99"/>
      <c r="AW1367" s="99"/>
      <c r="AX1367" s="99"/>
      <c r="AY1367" s="99"/>
      <c r="AZ1367" s="99"/>
      <c r="BA1367" s="99"/>
      <c r="BB1367" s="99"/>
      <c r="BC1367" s="99"/>
      <c r="BD1367" s="99"/>
      <c r="BE1367" s="99"/>
      <c r="BF1367" s="99"/>
      <c r="BG1367" s="99"/>
      <c r="BH1367" s="99"/>
      <c r="BI1367" s="99"/>
      <c r="BJ1367" s="99"/>
      <c r="BK1367" s="99"/>
      <c r="BL1367" s="99"/>
      <c r="BM1367" s="99"/>
      <c r="BN1367" s="99"/>
      <c r="BO1367" s="99"/>
      <c r="BP1367" s="99"/>
      <c r="BQ1367" s="99"/>
      <c r="BR1367" s="99"/>
      <c r="BS1367" s="99"/>
      <c r="BT1367" s="99"/>
      <c r="BU1367" s="99"/>
      <c r="BV1367" s="99"/>
      <c r="BW1367" s="99"/>
      <c r="BX1367" s="99"/>
      <c r="BY1367" s="99"/>
      <c r="BZ1367" s="99"/>
      <c r="CA1367" s="99"/>
      <c r="CB1367" s="99"/>
      <c r="CC1367" s="99"/>
      <c r="CD1367" s="99"/>
      <c r="CE1367" s="99"/>
      <c r="CF1367" s="99"/>
      <c r="CG1367" s="99"/>
      <c r="CH1367" s="99"/>
      <c r="CI1367" s="99"/>
      <c r="CJ1367" s="621"/>
      <c r="CK1367" s="621"/>
      <c r="CL1367" s="621"/>
    </row>
    <row r="1368" spans="27:90">
      <c r="AA1368" s="350"/>
      <c r="AB1368" s="62"/>
      <c r="AC1368" s="62"/>
      <c r="AD1368" s="62"/>
      <c r="AP1368" s="88"/>
      <c r="AQ1368" s="88"/>
      <c r="AR1368" s="88"/>
      <c r="AS1368" s="99"/>
      <c r="AT1368" s="99"/>
      <c r="AU1368" s="99"/>
      <c r="AV1368" s="99"/>
      <c r="AW1368" s="99"/>
      <c r="AX1368" s="99"/>
      <c r="AY1368" s="99"/>
      <c r="AZ1368" s="99"/>
      <c r="BA1368" s="99"/>
      <c r="BB1368" s="99"/>
      <c r="BC1368" s="99"/>
      <c r="BD1368" s="99"/>
      <c r="BE1368" s="99"/>
      <c r="BF1368" s="99"/>
      <c r="BG1368" s="99"/>
      <c r="BH1368" s="99"/>
      <c r="BI1368" s="99"/>
      <c r="BJ1368" s="99"/>
      <c r="BK1368" s="99"/>
      <c r="BL1368" s="99"/>
      <c r="BM1368" s="99"/>
      <c r="BN1368" s="99"/>
      <c r="BO1368" s="99"/>
      <c r="BP1368" s="99"/>
      <c r="BQ1368" s="99"/>
      <c r="BR1368" s="99"/>
      <c r="BS1368" s="99"/>
      <c r="BT1368" s="99"/>
      <c r="BU1368" s="99"/>
      <c r="BV1368" s="99"/>
      <c r="BW1368" s="99"/>
      <c r="BX1368" s="99"/>
      <c r="BY1368" s="99"/>
      <c r="BZ1368" s="99"/>
      <c r="CA1368" s="99"/>
      <c r="CB1368" s="99"/>
      <c r="CC1368" s="99"/>
      <c r="CD1368" s="99"/>
      <c r="CE1368" s="99"/>
      <c r="CF1368" s="99"/>
      <c r="CG1368" s="99"/>
      <c r="CH1368" s="99"/>
      <c r="CI1368" s="99"/>
      <c r="CJ1368" s="621"/>
      <c r="CK1368" s="621"/>
      <c r="CL1368" s="621"/>
    </row>
    <row r="1369" spans="27:90">
      <c r="AA1369" s="350"/>
      <c r="AB1369" s="62"/>
      <c r="AC1369" s="62"/>
      <c r="AD1369" s="62"/>
      <c r="AP1369" s="88"/>
      <c r="AQ1369" s="88"/>
      <c r="AR1369" s="88"/>
      <c r="AS1369" s="99"/>
      <c r="AT1369" s="99"/>
      <c r="AU1369" s="99"/>
      <c r="AV1369" s="99"/>
      <c r="AW1369" s="99"/>
      <c r="AX1369" s="99"/>
      <c r="AY1369" s="99"/>
      <c r="AZ1369" s="99"/>
      <c r="BA1369" s="99"/>
      <c r="BB1369" s="99"/>
      <c r="BC1369" s="99"/>
      <c r="BD1369" s="99"/>
      <c r="BE1369" s="99"/>
      <c r="BF1369" s="99"/>
      <c r="BG1369" s="99"/>
      <c r="BH1369" s="99"/>
      <c r="BI1369" s="99"/>
      <c r="BJ1369" s="99"/>
      <c r="BK1369" s="99"/>
      <c r="BL1369" s="99"/>
      <c r="BM1369" s="99"/>
      <c r="BN1369" s="99"/>
      <c r="BO1369" s="99"/>
      <c r="BP1369" s="99"/>
      <c r="BQ1369" s="99"/>
      <c r="BR1369" s="99"/>
      <c r="BS1369" s="99"/>
      <c r="BT1369" s="99"/>
      <c r="BU1369" s="99"/>
      <c r="BV1369" s="99"/>
      <c r="BW1369" s="99"/>
      <c r="BX1369" s="99"/>
      <c r="BY1369" s="99"/>
      <c r="BZ1369" s="99"/>
      <c r="CA1369" s="99"/>
      <c r="CB1369" s="99"/>
      <c r="CC1369" s="99"/>
      <c r="CD1369" s="99"/>
      <c r="CE1369" s="99"/>
      <c r="CF1369" s="99"/>
      <c r="CG1369" s="99"/>
      <c r="CH1369" s="99"/>
      <c r="CI1369" s="99"/>
      <c r="CJ1369" s="621"/>
      <c r="CK1369" s="621"/>
      <c r="CL1369" s="621"/>
    </row>
    <row r="1370" spans="27:90">
      <c r="AA1370" s="350"/>
      <c r="AB1370" s="62"/>
      <c r="AC1370" s="62"/>
      <c r="AD1370" s="62"/>
      <c r="AP1370" s="88"/>
      <c r="AQ1370" s="88"/>
      <c r="AR1370" s="88"/>
      <c r="AS1370" s="99"/>
      <c r="AT1370" s="99"/>
      <c r="AU1370" s="99"/>
      <c r="AV1370" s="99"/>
      <c r="AW1370" s="99"/>
      <c r="AX1370" s="99"/>
      <c r="AY1370" s="99"/>
      <c r="AZ1370" s="99"/>
      <c r="BA1370" s="99"/>
      <c r="BB1370" s="99"/>
      <c r="BC1370" s="99"/>
      <c r="BD1370" s="99"/>
      <c r="BE1370" s="99"/>
      <c r="BF1370" s="99"/>
      <c r="BG1370" s="99"/>
      <c r="BH1370" s="99"/>
      <c r="BI1370" s="99"/>
      <c r="BJ1370" s="99"/>
      <c r="BK1370" s="99"/>
      <c r="BL1370" s="99"/>
      <c r="BM1370" s="99"/>
      <c r="BN1370" s="99"/>
      <c r="BO1370" s="99"/>
      <c r="BP1370" s="99"/>
      <c r="BQ1370" s="99"/>
      <c r="BR1370" s="99"/>
      <c r="BS1370" s="99"/>
      <c r="BT1370" s="99"/>
      <c r="BU1370" s="99"/>
      <c r="BV1370" s="99"/>
      <c r="BW1370" s="99"/>
      <c r="BX1370" s="99"/>
      <c r="BY1370" s="99"/>
      <c r="BZ1370" s="99"/>
      <c r="CA1370" s="99"/>
      <c r="CB1370" s="99"/>
      <c r="CC1370" s="99"/>
      <c r="CD1370" s="99"/>
      <c r="CE1370" s="99"/>
      <c r="CF1370" s="99"/>
      <c r="CG1370" s="99"/>
      <c r="CH1370" s="99"/>
      <c r="CI1370" s="99"/>
      <c r="CJ1370" s="621"/>
      <c r="CK1370" s="621"/>
      <c r="CL1370" s="621"/>
    </row>
    <row r="1371" spans="27:90">
      <c r="AA1371" s="350"/>
      <c r="AB1371" s="62"/>
      <c r="AC1371" s="62"/>
      <c r="AD1371" s="62"/>
      <c r="AP1371" s="88"/>
      <c r="AQ1371" s="88"/>
      <c r="AR1371" s="88"/>
      <c r="AS1371" s="99"/>
      <c r="AT1371" s="99"/>
      <c r="AU1371" s="99"/>
      <c r="AV1371" s="99"/>
      <c r="AW1371" s="99"/>
      <c r="AX1371" s="99"/>
      <c r="AY1371" s="99"/>
      <c r="AZ1371" s="99"/>
      <c r="BA1371" s="99"/>
      <c r="BB1371" s="99"/>
      <c r="BC1371" s="99"/>
      <c r="BD1371" s="99"/>
      <c r="BE1371" s="99"/>
      <c r="BF1371" s="99"/>
      <c r="BG1371" s="99"/>
      <c r="BH1371" s="99"/>
      <c r="BI1371" s="99"/>
      <c r="BJ1371" s="99"/>
      <c r="BK1371" s="99"/>
      <c r="BL1371" s="99"/>
      <c r="BM1371" s="99"/>
      <c r="BN1371" s="99"/>
      <c r="BO1371" s="99"/>
      <c r="BP1371" s="99"/>
      <c r="BQ1371" s="99"/>
      <c r="BR1371" s="99"/>
      <c r="BS1371" s="99"/>
      <c r="BT1371" s="99"/>
      <c r="BU1371" s="99"/>
      <c r="BV1371" s="99"/>
      <c r="BW1371" s="99"/>
      <c r="BX1371" s="99"/>
      <c r="BY1371" s="99"/>
      <c r="BZ1371" s="99"/>
      <c r="CA1371" s="99"/>
      <c r="CB1371" s="99"/>
      <c r="CC1371" s="99"/>
      <c r="CD1371" s="99"/>
      <c r="CE1371" s="99"/>
      <c r="CF1371" s="99"/>
      <c r="CG1371" s="99"/>
      <c r="CH1371" s="99"/>
      <c r="CI1371" s="99"/>
      <c r="CJ1371" s="621"/>
      <c r="CK1371" s="621"/>
      <c r="CL1371" s="621"/>
    </row>
    <row r="1372" spans="27:90">
      <c r="AA1372" s="350"/>
      <c r="AB1372" s="62"/>
      <c r="AC1372" s="62"/>
      <c r="AD1372" s="62"/>
      <c r="AP1372" s="88"/>
      <c r="AQ1372" s="88"/>
      <c r="AR1372" s="88"/>
      <c r="AS1372" s="99"/>
      <c r="AT1372" s="99"/>
      <c r="AU1372" s="99"/>
      <c r="AV1372" s="99"/>
      <c r="AW1372" s="99"/>
      <c r="AX1372" s="99"/>
      <c r="AY1372" s="99"/>
      <c r="AZ1372" s="99"/>
      <c r="BA1372" s="99"/>
      <c r="BB1372" s="99"/>
      <c r="BC1372" s="99"/>
      <c r="BD1372" s="99"/>
      <c r="BE1372" s="99"/>
      <c r="BF1372" s="99"/>
      <c r="BG1372" s="99"/>
      <c r="BH1372" s="99"/>
      <c r="BI1372" s="99"/>
      <c r="BJ1372" s="99"/>
      <c r="BK1372" s="99"/>
      <c r="BL1372" s="99"/>
      <c r="BM1372" s="99"/>
      <c r="BN1372" s="99"/>
      <c r="BO1372" s="99"/>
      <c r="BP1372" s="99"/>
      <c r="BQ1372" s="99"/>
      <c r="BR1372" s="99"/>
      <c r="BS1372" s="99"/>
      <c r="BT1372" s="99"/>
      <c r="BU1372" s="99"/>
      <c r="BV1372" s="99"/>
      <c r="BW1372" s="99"/>
      <c r="BX1372" s="99"/>
      <c r="BY1372" s="99"/>
      <c r="BZ1372" s="99"/>
      <c r="CA1372" s="99"/>
      <c r="CB1372" s="99"/>
      <c r="CC1372" s="99"/>
      <c r="CD1372" s="99"/>
      <c r="CE1372" s="99"/>
      <c r="CF1372" s="99"/>
      <c r="CG1372" s="99"/>
      <c r="CH1372" s="99"/>
      <c r="CI1372" s="99"/>
      <c r="CJ1372" s="621"/>
      <c r="CK1372" s="621"/>
      <c r="CL1372" s="621"/>
    </row>
    <row r="1373" spans="27:90">
      <c r="AA1373" s="350"/>
      <c r="AB1373" s="62"/>
      <c r="AC1373" s="62"/>
      <c r="AD1373" s="62"/>
      <c r="AP1373" s="88"/>
      <c r="AQ1373" s="88"/>
      <c r="AR1373" s="88"/>
      <c r="AS1373" s="99"/>
      <c r="AT1373" s="99"/>
      <c r="AU1373" s="99"/>
      <c r="AV1373" s="99"/>
      <c r="AW1373" s="99"/>
      <c r="AX1373" s="99"/>
      <c r="AY1373" s="99"/>
      <c r="AZ1373" s="99"/>
      <c r="BA1373" s="99"/>
      <c r="BB1373" s="99"/>
      <c r="BC1373" s="99"/>
      <c r="BD1373" s="99"/>
      <c r="BE1373" s="99"/>
      <c r="BF1373" s="99"/>
      <c r="BG1373" s="99"/>
      <c r="BH1373" s="99"/>
      <c r="BI1373" s="99"/>
      <c r="BJ1373" s="99"/>
      <c r="BK1373" s="99"/>
      <c r="BL1373" s="99"/>
      <c r="BM1373" s="99"/>
      <c r="BN1373" s="99"/>
      <c r="BO1373" s="99"/>
      <c r="BP1373" s="99"/>
      <c r="BQ1373" s="99"/>
      <c r="BR1373" s="99"/>
      <c r="BS1373" s="99"/>
      <c r="BT1373" s="99"/>
      <c r="BU1373" s="99"/>
      <c r="BV1373" s="99"/>
      <c r="BW1373" s="99"/>
      <c r="BX1373" s="99"/>
      <c r="BY1373" s="99"/>
      <c r="BZ1373" s="99"/>
      <c r="CA1373" s="99"/>
      <c r="CB1373" s="99"/>
      <c r="CC1373" s="99"/>
      <c r="CD1373" s="99"/>
      <c r="CE1373" s="99"/>
      <c r="CF1373" s="99"/>
      <c r="CG1373" s="99"/>
      <c r="CH1373" s="99"/>
      <c r="CI1373" s="99"/>
      <c r="CJ1373" s="621"/>
      <c r="CK1373" s="621"/>
      <c r="CL1373" s="621"/>
    </row>
    <row r="1374" spans="27:90">
      <c r="AA1374" s="350"/>
      <c r="AB1374" s="62"/>
      <c r="AC1374" s="62"/>
      <c r="AD1374" s="62"/>
      <c r="AP1374" s="88"/>
      <c r="AQ1374" s="88"/>
      <c r="AR1374" s="88"/>
      <c r="AS1374" s="99"/>
      <c r="AT1374" s="99"/>
      <c r="AU1374" s="99"/>
      <c r="AV1374" s="99"/>
      <c r="AW1374" s="99"/>
      <c r="AX1374" s="99"/>
      <c r="AY1374" s="99"/>
      <c r="AZ1374" s="99"/>
      <c r="BA1374" s="99"/>
      <c r="BB1374" s="99"/>
      <c r="BC1374" s="99"/>
      <c r="BD1374" s="99"/>
      <c r="BE1374" s="99"/>
      <c r="BF1374" s="99"/>
      <c r="BG1374" s="99"/>
      <c r="BH1374" s="99"/>
      <c r="BI1374" s="99"/>
      <c r="BJ1374" s="99"/>
      <c r="BK1374" s="99"/>
      <c r="BL1374" s="99"/>
      <c r="BM1374" s="99"/>
      <c r="BN1374" s="99"/>
      <c r="BO1374" s="99"/>
      <c r="BP1374" s="99"/>
      <c r="BQ1374" s="99"/>
      <c r="BR1374" s="99"/>
      <c r="BS1374" s="99"/>
      <c r="BT1374" s="99"/>
      <c r="BU1374" s="99"/>
      <c r="BV1374" s="99"/>
      <c r="BW1374" s="99"/>
      <c r="BX1374" s="99"/>
      <c r="BY1374" s="99"/>
      <c r="BZ1374" s="99"/>
      <c r="CA1374" s="99"/>
      <c r="CB1374" s="99"/>
      <c r="CC1374" s="99"/>
      <c r="CD1374" s="99"/>
      <c r="CE1374" s="99"/>
      <c r="CF1374" s="99"/>
      <c r="CG1374" s="99"/>
      <c r="CH1374" s="99"/>
      <c r="CI1374" s="99"/>
      <c r="CJ1374" s="621"/>
      <c r="CK1374" s="621"/>
      <c r="CL1374" s="621"/>
    </row>
    <row r="1375" spans="27:90">
      <c r="AA1375" s="350"/>
      <c r="AB1375" s="62"/>
      <c r="AC1375" s="62"/>
      <c r="AD1375" s="62"/>
      <c r="AP1375" s="88"/>
      <c r="AQ1375" s="88"/>
      <c r="AR1375" s="88"/>
      <c r="AS1375" s="99"/>
      <c r="AT1375" s="99"/>
      <c r="AU1375" s="99"/>
      <c r="AV1375" s="99"/>
      <c r="AW1375" s="99"/>
      <c r="AX1375" s="99"/>
      <c r="AY1375" s="99"/>
      <c r="AZ1375" s="99"/>
      <c r="BA1375" s="99"/>
      <c r="BB1375" s="99"/>
      <c r="BC1375" s="99"/>
      <c r="BD1375" s="99"/>
      <c r="BE1375" s="99"/>
      <c r="BF1375" s="99"/>
      <c r="BG1375" s="99"/>
      <c r="BH1375" s="99"/>
      <c r="BI1375" s="99"/>
      <c r="BJ1375" s="99"/>
      <c r="BK1375" s="99"/>
      <c r="BL1375" s="99"/>
      <c r="BM1375" s="99"/>
      <c r="BN1375" s="99"/>
      <c r="BO1375" s="99"/>
      <c r="BP1375" s="99"/>
      <c r="BQ1375" s="99"/>
      <c r="BR1375" s="99"/>
      <c r="BS1375" s="99"/>
      <c r="BT1375" s="99"/>
      <c r="BU1375" s="99"/>
      <c r="BV1375" s="99"/>
      <c r="BW1375" s="99"/>
      <c r="BX1375" s="99"/>
      <c r="BY1375" s="99"/>
      <c r="BZ1375" s="99"/>
      <c r="CA1375" s="99"/>
      <c r="CB1375" s="99"/>
      <c r="CC1375" s="99"/>
      <c r="CD1375" s="99"/>
      <c r="CE1375" s="99"/>
      <c r="CF1375" s="99"/>
      <c r="CG1375" s="99"/>
      <c r="CH1375" s="99"/>
      <c r="CI1375" s="99"/>
      <c r="CJ1375" s="621"/>
      <c r="CK1375" s="621"/>
      <c r="CL1375" s="621"/>
    </row>
    <row r="1376" spans="27:90">
      <c r="AA1376" s="350"/>
      <c r="AB1376" s="62"/>
      <c r="AC1376" s="62"/>
      <c r="AD1376" s="62"/>
      <c r="AP1376" s="88"/>
      <c r="AQ1376" s="88"/>
      <c r="AR1376" s="88"/>
      <c r="AS1376" s="99"/>
      <c r="AT1376" s="99"/>
      <c r="AU1376" s="99"/>
      <c r="AV1376" s="99"/>
      <c r="AW1376" s="99"/>
      <c r="AX1376" s="99"/>
      <c r="AY1376" s="99"/>
      <c r="AZ1376" s="99"/>
      <c r="BA1376" s="99"/>
      <c r="BB1376" s="99"/>
      <c r="BC1376" s="99"/>
      <c r="BD1376" s="99"/>
      <c r="BE1376" s="99"/>
      <c r="BF1376" s="99"/>
      <c r="BG1376" s="99"/>
      <c r="BH1376" s="99"/>
      <c r="BI1376" s="99"/>
      <c r="BJ1376" s="99"/>
      <c r="BK1376" s="99"/>
      <c r="BL1376" s="99"/>
      <c r="BM1376" s="99"/>
      <c r="BN1376" s="99"/>
      <c r="BO1376" s="99"/>
      <c r="BP1376" s="99"/>
      <c r="BQ1376" s="99"/>
      <c r="BR1376" s="99"/>
      <c r="BS1376" s="99"/>
      <c r="BT1376" s="99"/>
      <c r="BU1376" s="99"/>
      <c r="BV1376" s="99"/>
      <c r="BW1376" s="99"/>
      <c r="BX1376" s="99"/>
      <c r="BY1376" s="99"/>
      <c r="BZ1376" s="99"/>
      <c r="CA1376" s="99"/>
      <c r="CB1376" s="99"/>
      <c r="CC1376" s="99"/>
      <c r="CD1376" s="99"/>
      <c r="CE1376" s="99"/>
      <c r="CF1376" s="99"/>
      <c r="CG1376" s="99"/>
      <c r="CH1376" s="99"/>
      <c r="CI1376" s="99"/>
      <c r="CJ1376" s="621"/>
      <c r="CK1376" s="621"/>
      <c r="CL1376" s="621"/>
    </row>
    <row r="1377" spans="27:90">
      <c r="AA1377" s="350"/>
      <c r="AB1377" s="62"/>
      <c r="AC1377" s="62"/>
      <c r="AD1377" s="62"/>
      <c r="AP1377" s="88"/>
      <c r="AQ1377" s="88"/>
      <c r="AR1377" s="88"/>
      <c r="AS1377" s="99"/>
      <c r="AT1377" s="99"/>
      <c r="AU1377" s="99"/>
      <c r="AV1377" s="99"/>
      <c r="AW1377" s="99"/>
      <c r="AX1377" s="99"/>
      <c r="AY1377" s="99"/>
      <c r="AZ1377" s="99"/>
      <c r="BA1377" s="99"/>
      <c r="BB1377" s="99"/>
      <c r="BC1377" s="99"/>
      <c r="BD1377" s="99"/>
      <c r="BE1377" s="99"/>
      <c r="BF1377" s="99"/>
      <c r="BG1377" s="99"/>
      <c r="BH1377" s="99"/>
      <c r="BI1377" s="99"/>
      <c r="BJ1377" s="99"/>
      <c r="BK1377" s="99"/>
      <c r="BL1377" s="99"/>
      <c r="BM1377" s="99"/>
      <c r="BN1377" s="99"/>
      <c r="BO1377" s="99"/>
      <c r="BP1377" s="99"/>
      <c r="BQ1377" s="99"/>
      <c r="BR1377" s="99"/>
      <c r="BS1377" s="99"/>
      <c r="BT1377" s="99"/>
      <c r="BU1377" s="99"/>
      <c r="BV1377" s="99"/>
      <c r="BW1377" s="99"/>
      <c r="BX1377" s="99"/>
      <c r="BY1377" s="99"/>
      <c r="BZ1377" s="99"/>
      <c r="CA1377" s="99"/>
      <c r="CB1377" s="99"/>
      <c r="CC1377" s="99"/>
      <c r="CD1377" s="99"/>
      <c r="CE1377" s="99"/>
      <c r="CF1377" s="99"/>
      <c r="CG1377" s="99"/>
      <c r="CH1377" s="99"/>
      <c r="CI1377" s="99"/>
      <c r="CJ1377" s="621"/>
      <c r="CK1377" s="621"/>
      <c r="CL1377" s="621"/>
    </row>
    <row r="1378" spans="27:90">
      <c r="AA1378" s="350"/>
      <c r="AB1378" s="62"/>
      <c r="AC1378" s="62"/>
      <c r="AD1378" s="62"/>
      <c r="AP1378" s="88"/>
      <c r="AQ1378" s="88"/>
      <c r="AR1378" s="88"/>
      <c r="AS1378" s="99"/>
      <c r="AT1378" s="99"/>
      <c r="AU1378" s="99"/>
      <c r="AV1378" s="99"/>
      <c r="AW1378" s="99"/>
      <c r="AX1378" s="99"/>
      <c r="AY1378" s="99"/>
      <c r="AZ1378" s="99"/>
      <c r="BA1378" s="99"/>
      <c r="BB1378" s="99"/>
      <c r="BC1378" s="99"/>
      <c r="BD1378" s="99"/>
      <c r="BE1378" s="99"/>
      <c r="BF1378" s="99"/>
      <c r="BG1378" s="99"/>
      <c r="BH1378" s="99"/>
      <c r="BI1378" s="99"/>
      <c r="BJ1378" s="99"/>
      <c r="BK1378" s="99"/>
      <c r="BL1378" s="99"/>
      <c r="BM1378" s="99"/>
      <c r="BN1378" s="99"/>
      <c r="BO1378" s="99"/>
      <c r="BP1378" s="99"/>
      <c r="BQ1378" s="99"/>
      <c r="BR1378" s="99"/>
      <c r="BS1378" s="99"/>
      <c r="BT1378" s="99"/>
      <c r="BU1378" s="99"/>
      <c r="BV1378" s="99"/>
      <c r="BW1378" s="99"/>
      <c r="BX1378" s="99"/>
      <c r="BY1378" s="99"/>
      <c r="BZ1378" s="99"/>
      <c r="CA1378" s="99"/>
      <c r="CB1378" s="99"/>
      <c r="CC1378" s="99"/>
      <c r="CD1378" s="99"/>
      <c r="CE1378" s="99"/>
      <c r="CF1378" s="99"/>
      <c r="CG1378" s="99"/>
      <c r="CH1378" s="99"/>
      <c r="CI1378" s="99"/>
      <c r="CJ1378" s="621"/>
      <c r="CK1378" s="621"/>
      <c r="CL1378" s="621"/>
    </row>
    <row r="1379" spans="27:90">
      <c r="AA1379" s="350"/>
      <c r="AB1379" s="62"/>
      <c r="AC1379" s="62"/>
      <c r="AD1379" s="62"/>
      <c r="AP1379" s="88"/>
      <c r="AQ1379" s="88"/>
      <c r="AR1379" s="88"/>
      <c r="AS1379" s="99"/>
      <c r="AT1379" s="99"/>
      <c r="AU1379" s="99"/>
      <c r="AV1379" s="99"/>
      <c r="AW1379" s="99"/>
      <c r="AX1379" s="99"/>
      <c r="AY1379" s="99"/>
      <c r="AZ1379" s="99"/>
      <c r="BA1379" s="99"/>
      <c r="BB1379" s="99"/>
      <c r="BC1379" s="99"/>
      <c r="BD1379" s="99"/>
      <c r="BE1379" s="99"/>
      <c r="BF1379" s="99"/>
      <c r="BG1379" s="99"/>
      <c r="BH1379" s="99"/>
      <c r="BI1379" s="99"/>
      <c r="BJ1379" s="99"/>
      <c r="BK1379" s="99"/>
      <c r="BL1379" s="99"/>
      <c r="BM1379" s="99"/>
      <c r="BN1379" s="99"/>
      <c r="BO1379" s="99"/>
      <c r="BP1379" s="99"/>
      <c r="BQ1379" s="99"/>
      <c r="BR1379" s="99"/>
      <c r="BS1379" s="99"/>
      <c r="BT1379" s="99"/>
      <c r="BU1379" s="99"/>
      <c r="BV1379" s="99"/>
      <c r="BW1379" s="99"/>
      <c r="BX1379" s="99"/>
      <c r="BY1379" s="99"/>
      <c r="BZ1379" s="99"/>
      <c r="CA1379" s="99"/>
      <c r="CB1379" s="99"/>
      <c r="CC1379" s="99"/>
      <c r="CD1379" s="99"/>
      <c r="CE1379" s="99"/>
      <c r="CF1379" s="99"/>
      <c r="CG1379" s="99"/>
      <c r="CH1379" s="99"/>
      <c r="CI1379" s="99"/>
      <c r="CJ1379" s="621"/>
      <c r="CK1379" s="621"/>
      <c r="CL1379" s="621"/>
    </row>
    <row r="1380" spans="27:90">
      <c r="AA1380" s="350"/>
      <c r="AB1380" s="62"/>
      <c r="AC1380" s="62"/>
      <c r="AD1380" s="62"/>
      <c r="AP1380" s="88"/>
      <c r="AQ1380" s="88"/>
      <c r="AR1380" s="88"/>
      <c r="AS1380" s="99"/>
      <c r="AT1380" s="99"/>
      <c r="AU1380" s="99"/>
      <c r="AV1380" s="99"/>
      <c r="AW1380" s="99"/>
      <c r="AX1380" s="99"/>
      <c r="AY1380" s="99"/>
      <c r="AZ1380" s="99"/>
      <c r="BA1380" s="99"/>
      <c r="BB1380" s="99"/>
      <c r="BC1380" s="99"/>
      <c r="BD1380" s="99"/>
      <c r="BE1380" s="99"/>
      <c r="BF1380" s="99"/>
      <c r="BG1380" s="99"/>
      <c r="BH1380" s="99"/>
      <c r="BI1380" s="99"/>
      <c r="BJ1380" s="99"/>
      <c r="BK1380" s="99"/>
      <c r="BL1380" s="99"/>
      <c r="BM1380" s="99"/>
      <c r="BN1380" s="99"/>
      <c r="BO1380" s="99"/>
      <c r="BP1380" s="99"/>
      <c r="BQ1380" s="99"/>
      <c r="BR1380" s="99"/>
      <c r="BS1380" s="99"/>
      <c r="BT1380" s="99"/>
      <c r="BU1380" s="99"/>
      <c r="BV1380" s="99"/>
      <c r="BW1380" s="99"/>
      <c r="BX1380" s="99"/>
      <c r="BY1380" s="99"/>
      <c r="BZ1380" s="99"/>
      <c r="CA1380" s="99"/>
      <c r="CB1380" s="99"/>
      <c r="CC1380" s="99"/>
      <c r="CD1380" s="99"/>
      <c r="CE1380" s="99"/>
      <c r="CF1380" s="99"/>
      <c r="CG1380" s="99"/>
      <c r="CH1380" s="99"/>
      <c r="CI1380" s="99"/>
      <c r="CJ1380" s="621"/>
      <c r="CK1380" s="621"/>
      <c r="CL1380" s="621"/>
    </row>
    <row r="1381" spans="27:90">
      <c r="AA1381" s="350"/>
      <c r="AB1381" s="62"/>
      <c r="AC1381" s="62"/>
      <c r="AD1381" s="62"/>
      <c r="AP1381" s="88"/>
      <c r="AQ1381" s="88"/>
      <c r="AR1381" s="88"/>
      <c r="AS1381" s="99"/>
      <c r="AT1381" s="99"/>
      <c r="AU1381" s="99"/>
      <c r="AV1381" s="99"/>
      <c r="AW1381" s="99"/>
      <c r="AX1381" s="99"/>
      <c r="AY1381" s="99"/>
      <c r="AZ1381" s="99"/>
      <c r="BA1381" s="99"/>
      <c r="BB1381" s="99"/>
      <c r="BC1381" s="99"/>
      <c r="BD1381" s="99"/>
      <c r="BE1381" s="99"/>
      <c r="BF1381" s="99"/>
      <c r="BG1381" s="99"/>
      <c r="BH1381" s="99"/>
      <c r="BI1381" s="99"/>
      <c r="BJ1381" s="99"/>
      <c r="BK1381" s="99"/>
      <c r="BL1381" s="99"/>
      <c r="BM1381" s="99"/>
      <c r="BN1381" s="99"/>
      <c r="BO1381" s="99"/>
      <c r="BP1381" s="99"/>
      <c r="BQ1381" s="99"/>
      <c r="BR1381" s="99"/>
      <c r="BS1381" s="99"/>
      <c r="BT1381" s="99"/>
      <c r="BU1381" s="99"/>
      <c r="BV1381" s="99"/>
      <c r="BW1381" s="99"/>
      <c r="BX1381" s="99"/>
      <c r="BY1381" s="99"/>
      <c r="BZ1381" s="99"/>
      <c r="CA1381" s="99"/>
      <c r="CB1381" s="99"/>
      <c r="CC1381" s="99"/>
      <c r="CD1381" s="99"/>
      <c r="CE1381" s="99"/>
      <c r="CF1381" s="99"/>
      <c r="CG1381" s="99"/>
      <c r="CH1381" s="99"/>
      <c r="CI1381" s="99"/>
      <c r="CJ1381" s="621"/>
      <c r="CK1381" s="621"/>
      <c r="CL1381" s="621"/>
    </row>
    <row r="1382" spans="27:90">
      <c r="AA1382" s="350"/>
      <c r="AB1382" s="62"/>
      <c r="AC1382" s="62"/>
      <c r="AD1382" s="62"/>
      <c r="AP1382" s="88"/>
      <c r="AQ1382" s="88"/>
      <c r="AR1382" s="88"/>
      <c r="AS1382" s="99"/>
      <c r="AT1382" s="99"/>
      <c r="AU1382" s="99"/>
      <c r="AV1382" s="99"/>
      <c r="AW1382" s="99"/>
      <c r="AX1382" s="99"/>
      <c r="AY1382" s="99"/>
      <c r="AZ1382" s="99"/>
      <c r="BA1382" s="99"/>
      <c r="BB1382" s="99"/>
      <c r="BC1382" s="99"/>
      <c r="BD1382" s="99"/>
      <c r="BE1382" s="99"/>
      <c r="BF1382" s="99"/>
      <c r="BG1382" s="99"/>
      <c r="BH1382" s="99"/>
      <c r="BI1382" s="99"/>
      <c r="BJ1382" s="99"/>
      <c r="BK1382" s="99"/>
      <c r="BL1382" s="99"/>
      <c r="BM1382" s="99"/>
      <c r="BN1382" s="99"/>
      <c r="BO1382" s="99"/>
      <c r="BP1382" s="99"/>
      <c r="BQ1382" s="99"/>
      <c r="BR1382" s="99"/>
      <c r="BS1382" s="99"/>
      <c r="BT1382" s="99"/>
      <c r="BU1382" s="99"/>
      <c r="BV1382" s="99"/>
      <c r="BW1382" s="99"/>
      <c r="BX1382" s="99"/>
      <c r="BY1382" s="99"/>
      <c r="BZ1382" s="99"/>
      <c r="CA1382" s="99"/>
      <c r="CB1382" s="99"/>
      <c r="CC1382" s="99"/>
      <c r="CD1382" s="99"/>
      <c r="CE1382" s="99"/>
      <c r="CF1382" s="99"/>
      <c r="CG1382" s="99"/>
      <c r="CH1382" s="99"/>
      <c r="CI1382" s="99"/>
      <c r="CJ1382" s="621"/>
      <c r="CK1382" s="621"/>
      <c r="CL1382" s="621"/>
    </row>
    <row r="1383" spans="27:90">
      <c r="AA1383" s="350"/>
      <c r="AB1383" s="62"/>
      <c r="AC1383" s="62"/>
      <c r="AD1383" s="62"/>
      <c r="AP1383" s="88"/>
      <c r="AQ1383" s="88"/>
      <c r="AR1383" s="88"/>
      <c r="AS1383" s="99"/>
      <c r="AT1383" s="99"/>
      <c r="AU1383" s="99"/>
      <c r="AV1383" s="99"/>
      <c r="AW1383" s="99"/>
      <c r="AX1383" s="99"/>
      <c r="AY1383" s="99"/>
      <c r="AZ1383" s="99"/>
      <c r="BA1383" s="99"/>
      <c r="BB1383" s="99"/>
      <c r="BC1383" s="99"/>
      <c r="BD1383" s="99"/>
      <c r="BE1383" s="99"/>
      <c r="BF1383" s="99"/>
      <c r="BG1383" s="99"/>
      <c r="BH1383" s="99"/>
      <c r="BI1383" s="99"/>
      <c r="BJ1383" s="99"/>
      <c r="BK1383" s="99"/>
      <c r="BL1383" s="99"/>
      <c r="BM1383" s="99"/>
      <c r="BN1383" s="99"/>
      <c r="BO1383" s="99"/>
      <c r="BP1383" s="99"/>
      <c r="BQ1383" s="99"/>
      <c r="BR1383" s="99"/>
      <c r="BS1383" s="99"/>
      <c r="BT1383" s="99"/>
      <c r="BU1383" s="99"/>
      <c r="BV1383" s="99"/>
      <c r="BW1383" s="99"/>
      <c r="BX1383" s="99"/>
      <c r="BY1383" s="99"/>
      <c r="BZ1383" s="99"/>
      <c r="CA1383" s="99"/>
      <c r="CB1383" s="99"/>
      <c r="CC1383" s="99"/>
      <c r="CD1383" s="99"/>
      <c r="CE1383" s="99"/>
      <c r="CF1383" s="99"/>
      <c r="CG1383" s="99"/>
      <c r="CH1383" s="99"/>
      <c r="CI1383" s="99"/>
      <c r="CJ1383" s="621"/>
      <c r="CK1383" s="621"/>
      <c r="CL1383" s="621"/>
    </row>
    <row r="1384" spans="27:90">
      <c r="AA1384" s="350"/>
      <c r="AB1384" s="62"/>
      <c r="AC1384" s="62"/>
      <c r="AD1384" s="62"/>
      <c r="AP1384" s="88"/>
      <c r="AQ1384" s="88"/>
      <c r="AR1384" s="88"/>
      <c r="AS1384" s="99"/>
      <c r="AT1384" s="99"/>
      <c r="AU1384" s="99"/>
      <c r="AV1384" s="99"/>
      <c r="AW1384" s="99"/>
      <c r="AX1384" s="99"/>
      <c r="AY1384" s="99"/>
      <c r="AZ1384" s="99"/>
      <c r="BA1384" s="99"/>
      <c r="BB1384" s="99"/>
      <c r="BC1384" s="99"/>
      <c r="BD1384" s="99"/>
      <c r="BE1384" s="99"/>
      <c r="BF1384" s="99"/>
      <c r="BG1384" s="99"/>
      <c r="BH1384" s="99"/>
      <c r="BI1384" s="99"/>
      <c r="BJ1384" s="99"/>
      <c r="BK1384" s="99"/>
      <c r="BL1384" s="99"/>
      <c r="BM1384" s="99"/>
      <c r="BN1384" s="99"/>
      <c r="BO1384" s="99"/>
      <c r="BP1384" s="99"/>
      <c r="BQ1384" s="99"/>
      <c r="BR1384" s="99"/>
      <c r="BS1384" s="99"/>
      <c r="BT1384" s="99"/>
      <c r="BU1384" s="99"/>
      <c r="BV1384" s="99"/>
      <c r="BW1384" s="99"/>
      <c r="BX1384" s="99"/>
      <c r="BY1384" s="99"/>
      <c r="BZ1384" s="99"/>
      <c r="CA1384" s="99"/>
      <c r="CB1384" s="99"/>
      <c r="CC1384" s="99"/>
      <c r="CD1384" s="99"/>
      <c r="CE1384" s="99"/>
      <c r="CF1384" s="99"/>
      <c r="CG1384" s="99"/>
      <c r="CH1384" s="99"/>
      <c r="CI1384" s="99"/>
      <c r="CJ1384" s="621"/>
      <c r="CK1384" s="621"/>
      <c r="CL1384" s="621"/>
    </row>
    <row r="1385" spans="27:90">
      <c r="AA1385" s="350"/>
      <c r="AB1385" s="62"/>
      <c r="AC1385" s="62"/>
      <c r="AD1385" s="62"/>
      <c r="AP1385" s="88"/>
      <c r="AQ1385" s="88"/>
      <c r="AR1385" s="88"/>
      <c r="AS1385" s="99"/>
      <c r="AT1385" s="99"/>
      <c r="AU1385" s="99"/>
      <c r="AV1385" s="99"/>
      <c r="AW1385" s="99"/>
      <c r="AX1385" s="99"/>
      <c r="AY1385" s="99"/>
      <c r="AZ1385" s="99"/>
      <c r="BA1385" s="99"/>
      <c r="BB1385" s="99"/>
      <c r="BC1385" s="99"/>
      <c r="BD1385" s="99"/>
      <c r="BE1385" s="99"/>
      <c r="BF1385" s="99"/>
      <c r="BG1385" s="99"/>
      <c r="BH1385" s="99"/>
      <c r="BI1385" s="99"/>
      <c r="BJ1385" s="99"/>
      <c r="BK1385" s="99"/>
      <c r="BL1385" s="99"/>
      <c r="BM1385" s="99"/>
      <c r="BN1385" s="99"/>
      <c r="BO1385" s="99"/>
      <c r="BP1385" s="99"/>
      <c r="BQ1385" s="99"/>
      <c r="BR1385" s="99"/>
      <c r="BS1385" s="99"/>
      <c r="BT1385" s="99"/>
      <c r="BU1385" s="99"/>
      <c r="BV1385" s="99"/>
      <c r="BW1385" s="99"/>
      <c r="BX1385" s="99"/>
      <c r="BY1385" s="99"/>
      <c r="BZ1385" s="99"/>
      <c r="CA1385" s="99"/>
      <c r="CB1385" s="99"/>
      <c r="CC1385" s="99"/>
      <c r="CD1385" s="99"/>
      <c r="CE1385" s="99"/>
      <c r="CF1385" s="99"/>
      <c r="CG1385" s="99"/>
      <c r="CH1385" s="99"/>
      <c r="CI1385" s="99"/>
      <c r="CJ1385" s="621"/>
      <c r="CK1385" s="621"/>
      <c r="CL1385" s="621"/>
    </row>
    <row r="1386" spans="27:90">
      <c r="AA1386" s="350"/>
      <c r="AB1386" s="62"/>
      <c r="AC1386" s="62"/>
      <c r="AD1386" s="62"/>
      <c r="AP1386" s="88"/>
      <c r="AQ1386" s="88"/>
      <c r="AR1386" s="88"/>
      <c r="AS1386" s="99"/>
      <c r="AT1386" s="99"/>
      <c r="AU1386" s="99"/>
      <c r="AV1386" s="99"/>
      <c r="AW1386" s="99"/>
      <c r="AX1386" s="99"/>
      <c r="AY1386" s="99"/>
      <c r="AZ1386" s="99"/>
      <c r="BA1386" s="99"/>
      <c r="BB1386" s="99"/>
      <c r="BC1386" s="99"/>
      <c r="BD1386" s="99"/>
      <c r="BE1386" s="99"/>
      <c r="BF1386" s="99"/>
      <c r="BG1386" s="99"/>
      <c r="BH1386" s="99"/>
      <c r="BI1386" s="99"/>
      <c r="BJ1386" s="99"/>
      <c r="BK1386" s="99"/>
      <c r="BL1386" s="99"/>
      <c r="BM1386" s="99"/>
      <c r="BN1386" s="99"/>
      <c r="BO1386" s="99"/>
      <c r="BP1386" s="99"/>
      <c r="BQ1386" s="99"/>
      <c r="BR1386" s="99"/>
      <c r="BS1386" s="99"/>
      <c r="BT1386" s="99"/>
      <c r="BU1386" s="99"/>
      <c r="BV1386" s="99"/>
      <c r="BW1386" s="99"/>
      <c r="BX1386" s="99"/>
      <c r="BY1386" s="99"/>
      <c r="BZ1386" s="99"/>
      <c r="CA1386" s="99"/>
      <c r="CB1386" s="99"/>
      <c r="CC1386" s="99"/>
      <c r="CD1386" s="99"/>
      <c r="CE1386" s="99"/>
      <c r="CF1386" s="99"/>
      <c r="CG1386" s="99"/>
      <c r="CH1386" s="99"/>
      <c r="CI1386" s="99"/>
      <c r="CJ1386" s="621"/>
      <c r="CK1386" s="621"/>
      <c r="CL1386" s="621"/>
    </row>
    <row r="1387" spans="27:90">
      <c r="AA1387" s="350"/>
      <c r="AB1387" s="62"/>
      <c r="AC1387" s="62"/>
      <c r="AD1387" s="62"/>
      <c r="AP1387" s="88"/>
      <c r="AQ1387" s="88"/>
      <c r="AR1387" s="88"/>
      <c r="AS1387" s="99"/>
      <c r="AT1387" s="99"/>
      <c r="AU1387" s="99"/>
      <c r="AV1387" s="99"/>
      <c r="AW1387" s="99"/>
      <c r="AX1387" s="99"/>
      <c r="AY1387" s="99"/>
      <c r="AZ1387" s="99"/>
      <c r="BA1387" s="99"/>
      <c r="BB1387" s="99"/>
      <c r="BC1387" s="99"/>
      <c r="BD1387" s="99"/>
      <c r="BE1387" s="99"/>
      <c r="BF1387" s="99"/>
      <c r="BG1387" s="99"/>
      <c r="BH1387" s="99"/>
      <c r="BI1387" s="99"/>
      <c r="BJ1387" s="99"/>
      <c r="BK1387" s="99"/>
      <c r="BL1387" s="99"/>
      <c r="BM1387" s="99"/>
      <c r="BN1387" s="99"/>
      <c r="BO1387" s="99"/>
      <c r="BP1387" s="99"/>
      <c r="BQ1387" s="99"/>
      <c r="BR1387" s="99"/>
      <c r="BS1387" s="99"/>
      <c r="BT1387" s="99"/>
      <c r="BU1387" s="99"/>
      <c r="BV1387" s="99"/>
      <c r="BW1387" s="99"/>
      <c r="BX1387" s="99"/>
      <c r="BY1387" s="99"/>
      <c r="BZ1387" s="99"/>
      <c r="CA1387" s="99"/>
      <c r="CB1387" s="99"/>
      <c r="CC1387" s="99"/>
      <c r="CD1387" s="99"/>
      <c r="CE1387" s="99"/>
      <c r="CF1387" s="99"/>
      <c r="CG1387" s="99"/>
      <c r="CH1387" s="99"/>
      <c r="CI1387" s="99"/>
      <c r="CJ1387" s="621"/>
      <c r="CK1387" s="621"/>
      <c r="CL1387" s="621"/>
    </row>
    <row r="1388" spans="27:90">
      <c r="AA1388" s="350"/>
      <c r="AB1388" s="62"/>
      <c r="AC1388" s="62"/>
      <c r="AD1388" s="62"/>
      <c r="AP1388" s="88"/>
      <c r="AQ1388" s="88"/>
      <c r="AR1388" s="88"/>
      <c r="AS1388" s="99"/>
      <c r="AT1388" s="99"/>
      <c r="AU1388" s="99"/>
      <c r="AV1388" s="99"/>
      <c r="AW1388" s="99"/>
      <c r="AX1388" s="99"/>
      <c r="AY1388" s="99"/>
      <c r="AZ1388" s="99"/>
      <c r="BA1388" s="99"/>
      <c r="BB1388" s="99"/>
      <c r="BC1388" s="99"/>
      <c r="BD1388" s="99"/>
      <c r="BE1388" s="99"/>
      <c r="BF1388" s="99"/>
      <c r="BG1388" s="99"/>
      <c r="BH1388" s="99"/>
      <c r="BI1388" s="99"/>
      <c r="BJ1388" s="99"/>
      <c r="BK1388" s="99"/>
      <c r="BL1388" s="99"/>
      <c r="BM1388" s="99"/>
      <c r="BN1388" s="99"/>
      <c r="BO1388" s="99"/>
      <c r="BP1388" s="99"/>
      <c r="BQ1388" s="99"/>
      <c r="BR1388" s="99"/>
      <c r="BS1388" s="99"/>
      <c r="BT1388" s="99"/>
      <c r="BU1388" s="99"/>
      <c r="BV1388" s="99"/>
      <c r="BW1388" s="99"/>
      <c r="BX1388" s="99"/>
      <c r="BY1388" s="99"/>
      <c r="BZ1388" s="99"/>
      <c r="CA1388" s="99"/>
      <c r="CB1388" s="99"/>
      <c r="CC1388" s="99"/>
      <c r="CD1388" s="99"/>
      <c r="CE1388" s="99"/>
      <c r="CF1388" s="99"/>
      <c r="CG1388" s="99"/>
      <c r="CH1388" s="99"/>
      <c r="CI1388" s="99"/>
      <c r="CJ1388" s="621"/>
      <c r="CK1388" s="621"/>
      <c r="CL1388" s="621"/>
    </row>
    <row r="1389" spans="27:90">
      <c r="AA1389" s="350"/>
      <c r="AB1389" s="62"/>
      <c r="AC1389" s="62"/>
      <c r="AD1389" s="62"/>
      <c r="AP1389" s="88"/>
      <c r="AQ1389" s="88"/>
      <c r="AR1389" s="88"/>
      <c r="AS1389" s="99"/>
      <c r="AT1389" s="99"/>
      <c r="AU1389" s="99"/>
      <c r="AV1389" s="99"/>
      <c r="AW1389" s="99"/>
      <c r="AX1389" s="99"/>
      <c r="AY1389" s="99"/>
      <c r="AZ1389" s="99"/>
      <c r="BA1389" s="99"/>
      <c r="BB1389" s="99"/>
      <c r="BC1389" s="99"/>
      <c r="BD1389" s="99"/>
      <c r="BE1389" s="99"/>
      <c r="BF1389" s="99"/>
      <c r="BG1389" s="99"/>
      <c r="BH1389" s="99"/>
      <c r="BI1389" s="99"/>
      <c r="BJ1389" s="99"/>
      <c r="BK1389" s="99"/>
      <c r="BL1389" s="99"/>
      <c r="BM1389" s="99"/>
      <c r="BN1389" s="99"/>
      <c r="BO1389" s="99"/>
      <c r="BP1389" s="99"/>
      <c r="BQ1389" s="99"/>
      <c r="BR1389" s="99"/>
      <c r="BS1389" s="99"/>
      <c r="BT1389" s="99"/>
      <c r="BU1389" s="99"/>
      <c r="BV1389" s="99"/>
      <c r="BW1389" s="99"/>
      <c r="BX1389" s="99"/>
      <c r="BY1389" s="99"/>
      <c r="BZ1389" s="99"/>
      <c r="CA1389" s="99"/>
      <c r="CB1389" s="99"/>
      <c r="CC1389" s="99"/>
      <c r="CD1389" s="99"/>
      <c r="CE1389" s="99"/>
      <c r="CF1389" s="99"/>
      <c r="CG1389" s="99"/>
      <c r="CH1389" s="99"/>
      <c r="CI1389" s="99"/>
      <c r="CJ1389" s="621"/>
      <c r="CK1389" s="621"/>
      <c r="CL1389" s="621"/>
    </row>
    <row r="1390" spans="27:90">
      <c r="AA1390" s="350"/>
      <c r="AB1390" s="62"/>
      <c r="AC1390" s="62"/>
      <c r="AD1390" s="62"/>
      <c r="AP1390" s="88"/>
      <c r="AQ1390" s="88"/>
      <c r="AR1390" s="88"/>
      <c r="AS1390" s="99"/>
      <c r="AT1390" s="99"/>
      <c r="AU1390" s="99"/>
      <c r="AV1390" s="99"/>
      <c r="AW1390" s="99"/>
      <c r="AX1390" s="99"/>
      <c r="AY1390" s="99"/>
      <c r="AZ1390" s="99"/>
      <c r="BA1390" s="99"/>
      <c r="BB1390" s="99"/>
      <c r="BC1390" s="99"/>
      <c r="BD1390" s="99"/>
      <c r="BE1390" s="99"/>
      <c r="BF1390" s="99"/>
      <c r="BG1390" s="99"/>
      <c r="BH1390" s="99"/>
      <c r="BI1390" s="99"/>
      <c r="BJ1390" s="99"/>
      <c r="BK1390" s="99"/>
      <c r="BL1390" s="99"/>
      <c r="BM1390" s="99"/>
      <c r="BN1390" s="99"/>
      <c r="BO1390" s="99"/>
      <c r="BP1390" s="99"/>
      <c r="BQ1390" s="99"/>
      <c r="BR1390" s="99"/>
      <c r="BS1390" s="99"/>
      <c r="BT1390" s="99"/>
      <c r="BU1390" s="99"/>
      <c r="BV1390" s="99"/>
      <c r="BW1390" s="99"/>
      <c r="BX1390" s="99"/>
      <c r="BY1390" s="99"/>
      <c r="BZ1390" s="99"/>
      <c r="CA1390" s="99"/>
      <c r="CB1390" s="99"/>
      <c r="CC1390" s="99"/>
      <c r="CD1390" s="99"/>
      <c r="CE1390" s="99"/>
      <c r="CF1390" s="99"/>
      <c r="CG1390" s="99"/>
      <c r="CH1390" s="99"/>
      <c r="CI1390" s="99"/>
      <c r="CJ1390" s="621"/>
      <c r="CK1390" s="621"/>
      <c r="CL1390" s="621"/>
    </row>
    <row r="1391" spans="27:90">
      <c r="AA1391" s="350"/>
      <c r="AB1391" s="62"/>
      <c r="AC1391" s="62"/>
      <c r="AD1391" s="62"/>
      <c r="AP1391" s="88"/>
      <c r="AQ1391" s="88"/>
      <c r="AR1391" s="88"/>
      <c r="AS1391" s="99"/>
      <c r="AT1391" s="99"/>
      <c r="AU1391" s="99"/>
      <c r="AV1391" s="99"/>
      <c r="AW1391" s="99"/>
      <c r="AX1391" s="99"/>
      <c r="AY1391" s="99"/>
      <c r="AZ1391" s="99"/>
      <c r="BA1391" s="99"/>
      <c r="BB1391" s="99"/>
      <c r="BC1391" s="99"/>
      <c r="BD1391" s="99"/>
      <c r="BE1391" s="99"/>
      <c r="BF1391" s="99"/>
      <c r="BG1391" s="99"/>
      <c r="BH1391" s="99"/>
      <c r="BI1391" s="99"/>
      <c r="BJ1391" s="99"/>
      <c r="BK1391" s="99"/>
      <c r="BL1391" s="99"/>
      <c r="BM1391" s="99"/>
      <c r="BN1391" s="99"/>
      <c r="BO1391" s="99"/>
      <c r="BP1391" s="99"/>
      <c r="BQ1391" s="99"/>
      <c r="BR1391" s="99"/>
      <c r="BS1391" s="99"/>
      <c r="BT1391" s="99"/>
      <c r="BU1391" s="99"/>
      <c r="BV1391" s="99"/>
      <c r="BW1391" s="99"/>
      <c r="BX1391" s="99"/>
      <c r="BY1391" s="99"/>
      <c r="BZ1391" s="99"/>
      <c r="CA1391" s="99"/>
      <c r="CB1391" s="99"/>
      <c r="CC1391" s="99"/>
      <c r="CD1391" s="99"/>
      <c r="CE1391" s="99"/>
      <c r="CF1391" s="99"/>
      <c r="CG1391" s="99"/>
      <c r="CH1391" s="99"/>
      <c r="CI1391" s="99"/>
      <c r="CJ1391" s="621"/>
      <c r="CK1391" s="621"/>
      <c r="CL1391" s="621"/>
    </row>
    <row r="1392" spans="27:90">
      <c r="AA1392" s="350"/>
      <c r="AB1392" s="62"/>
      <c r="AC1392" s="62"/>
      <c r="AD1392" s="62"/>
      <c r="AP1392" s="88"/>
      <c r="AQ1392" s="88"/>
      <c r="AR1392" s="88"/>
      <c r="AS1392" s="99"/>
      <c r="AT1392" s="99"/>
      <c r="AU1392" s="99"/>
      <c r="AV1392" s="99"/>
      <c r="AW1392" s="99"/>
      <c r="AX1392" s="99"/>
      <c r="AY1392" s="99"/>
      <c r="AZ1392" s="99"/>
      <c r="BA1392" s="99"/>
      <c r="BB1392" s="99"/>
      <c r="BC1392" s="99"/>
      <c r="BD1392" s="99"/>
      <c r="BE1392" s="99"/>
      <c r="BF1392" s="99"/>
      <c r="BG1392" s="99"/>
      <c r="BH1392" s="99"/>
      <c r="BI1392" s="99"/>
      <c r="BJ1392" s="99"/>
      <c r="BK1392" s="99"/>
      <c r="BL1392" s="99"/>
      <c r="BM1392" s="99"/>
      <c r="BN1392" s="99"/>
      <c r="BO1392" s="99"/>
      <c r="BP1392" s="99"/>
      <c r="BQ1392" s="99"/>
      <c r="BR1392" s="99"/>
      <c r="BS1392" s="99"/>
      <c r="BT1392" s="99"/>
      <c r="BU1392" s="99"/>
      <c r="BV1392" s="99"/>
      <c r="BW1392" s="99"/>
      <c r="BX1392" s="99"/>
      <c r="BY1392" s="99"/>
      <c r="BZ1392" s="99"/>
      <c r="CA1392" s="99"/>
      <c r="CB1392" s="99"/>
      <c r="CC1392" s="99"/>
      <c r="CD1392" s="99"/>
      <c r="CE1392" s="99"/>
      <c r="CF1392" s="99"/>
      <c r="CG1392" s="99"/>
      <c r="CH1392" s="99"/>
      <c r="CI1392" s="99"/>
      <c r="CJ1392" s="621"/>
      <c r="CK1392" s="621"/>
      <c r="CL1392" s="621"/>
    </row>
    <row r="1393" spans="27:90">
      <c r="AA1393" s="350"/>
      <c r="AB1393" s="62"/>
      <c r="AC1393" s="62"/>
      <c r="AD1393" s="62"/>
      <c r="AP1393" s="88"/>
      <c r="AQ1393" s="88"/>
      <c r="AR1393" s="88"/>
      <c r="AS1393" s="99"/>
      <c r="AT1393" s="99"/>
      <c r="AU1393" s="99"/>
      <c r="AV1393" s="99"/>
      <c r="AW1393" s="99"/>
      <c r="AX1393" s="99"/>
      <c r="AY1393" s="99"/>
      <c r="AZ1393" s="99"/>
      <c r="BA1393" s="99"/>
      <c r="BB1393" s="99"/>
      <c r="BC1393" s="99"/>
      <c r="BD1393" s="99"/>
      <c r="BE1393" s="99"/>
      <c r="BF1393" s="99"/>
      <c r="BG1393" s="99"/>
      <c r="BH1393" s="99"/>
      <c r="BI1393" s="99"/>
      <c r="BJ1393" s="99"/>
      <c r="BK1393" s="99"/>
      <c r="BL1393" s="99"/>
      <c r="BM1393" s="99"/>
      <c r="BN1393" s="99"/>
      <c r="BO1393" s="99"/>
      <c r="BP1393" s="99"/>
      <c r="BQ1393" s="99"/>
      <c r="BR1393" s="99"/>
      <c r="BS1393" s="99"/>
      <c r="BT1393" s="99"/>
      <c r="BU1393" s="99"/>
      <c r="BV1393" s="99"/>
      <c r="BW1393" s="99"/>
      <c r="BX1393" s="99"/>
      <c r="BY1393" s="99"/>
      <c r="BZ1393" s="99"/>
      <c r="CA1393" s="99"/>
      <c r="CB1393" s="99"/>
      <c r="CC1393" s="99"/>
      <c r="CD1393" s="99"/>
      <c r="CE1393" s="99"/>
      <c r="CF1393" s="99"/>
      <c r="CG1393" s="99"/>
      <c r="CH1393" s="99"/>
      <c r="CI1393" s="99"/>
      <c r="CJ1393" s="621"/>
      <c r="CK1393" s="621"/>
      <c r="CL1393" s="621"/>
    </row>
    <row r="1394" spans="27:90">
      <c r="AA1394" s="350"/>
      <c r="AB1394" s="62"/>
      <c r="AC1394" s="62"/>
      <c r="AD1394" s="62"/>
      <c r="AP1394" s="88"/>
      <c r="AQ1394" s="88"/>
      <c r="AR1394" s="88"/>
      <c r="AS1394" s="99"/>
      <c r="AT1394" s="99"/>
      <c r="AU1394" s="99"/>
      <c r="AV1394" s="99"/>
      <c r="AW1394" s="99"/>
      <c r="AX1394" s="99"/>
      <c r="AY1394" s="99"/>
      <c r="AZ1394" s="99"/>
      <c r="BA1394" s="99"/>
      <c r="BB1394" s="99"/>
      <c r="BC1394" s="99"/>
      <c r="BD1394" s="99"/>
      <c r="BE1394" s="99"/>
      <c r="BF1394" s="99"/>
      <c r="BG1394" s="99"/>
      <c r="BH1394" s="99"/>
      <c r="BI1394" s="99"/>
      <c r="BJ1394" s="99"/>
      <c r="BK1394" s="99"/>
      <c r="BL1394" s="99"/>
      <c r="BM1394" s="99"/>
      <c r="BN1394" s="99"/>
      <c r="BO1394" s="99"/>
      <c r="BP1394" s="99"/>
      <c r="BQ1394" s="99"/>
      <c r="BR1394" s="99"/>
      <c r="BS1394" s="99"/>
      <c r="BT1394" s="99"/>
      <c r="BU1394" s="99"/>
      <c r="BV1394" s="99"/>
      <c r="BW1394" s="99"/>
      <c r="BX1394" s="99"/>
      <c r="BY1394" s="99"/>
      <c r="BZ1394" s="99"/>
      <c r="CA1394" s="99"/>
      <c r="CB1394" s="99"/>
      <c r="CC1394" s="99"/>
      <c r="CD1394" s="99"/>
      <c r="CE1394" s="99"/>
      <c r="CF1394" s="99"/>
      <c r="CG1394" s="99"/>
      <c r="CH1394" s="99"/>
      <c r="CI1394" s="99"/>
      <c r="CJ1394" s="621"/>
      <c r="CK1394" s="621"/>
      <c r="CL1394" s="621"/>
    </row>
    <row r="1395" spans="27:90">
      <c r="AA1395" s="350"/>
      <c r="AB1395" s="62"/>
      <c r="AC1395" s="62"/>
      <c r="AD1395" s="62"/>
      <c r="AP1395" s="88"/>
      <c r="AQ1395" s="88"/>
      <c r="AR1395" s="88"/>
      <c r="AS1395" s="99"/>
      <c r="AT1395" s="99"/>
      <c r="AU1395" s="99"/>
      <c r="AV1395" s="99"/>
      <c r="AW1395" s="99"/>
      <c r="AX1395" s="99"/>
      <c r="AY1395" s="99"/>
      <c r="AZ1395" s="99"/>
      <c r="BA1395" s="99"/>
      <c r="BB1395" s="99"/>
      <c r="BC1395" s="99"/>
      <c r="BD1395" s="99"/>
      <c r="BE1395" s="99"/>
      <c r="BF1395" s="99"/>
      <c r="BG1395" s="99"/>
      <c r="BH1395" s="99"/>
      <c r="BI1395" s="99"/>
      <c r="BJ1395" s="99"/>
      <c r="BK1395" s="99"/>
      <c r="BL1395" s="99"/>
      <c r="BM1395" s="99"/>
      <c r="BN1395" s="99"/>
      <c r="BO1395" s="99"/>
      <c r="BP1395" s="99"/>
      <c r="BQ1395" s="99"/>
      <c r="BR1395" s="99"/>
      <c r="BS1395" s="99"/>
      <c r="BT1395" s="99"/>
      <c r="BU1395" s="99"/>
      <c r="BV1395" s="99"/>
      <c r="BW1395" s="99"/>
      <c r="BX1395" s="99"/>
      <c r="BY1395" s="99"/>
      <c r="BZ1395" s="99"/>
      <c r="CA1395" s="99"/>
      <c r="CB1395" s="99"/>
      <c r="CC1395" s="99"/>
      <c r="CD1395" s="99"/>
      <c r="CE1395" s="99"/>
      <c r="CF1395" s="99"/>
      <c r="CG1395" s="99"/>
      <c r="CH1395" s="99"/>
      <c r="CI1395" s="99"/>
      <c r="CJ1395" s="621"/>
      <c r="CK1395" s="621"/>
      <c r="CL1395" s="621"/>
    </row>
    <row r="1396" spans="27:90">
      <c r="AA1396" s="350"/>
      <c r="AB1396" s="62"/>
      <c r="AC1396" s="62"/>
      <c r="AD1396" s="62"/>
      <c r="AP1396" s="88"/>
      <c r="AQ1396" s="88"/>
      <c r="AR1396" s="88"/>
      <c r="AS1396" s="99"/>
      <c r="AT1396" s="99"/>
      <c r="AU1396" s="99"/>
      <c r="AV1396" s="99"/>
      <c r="AW1396" s="99"/>
      <c r="AX1396" s="99"/>
      <c r="AY1396" s="99"/>
      <c r="AZ1396" s="99"/>
      <c r="BA1396" s="99"/>
      <c r="BB1396" s="99"/>
      <c r="BC1396" s="99"/>
      <c r="BD1396" s="99"/>
      <c r="BE1396" s="99"/>
      <c r="BF1396" s="99"/>
      <c r="BG1396" s="99"/>
      <c r="BH1396" s="99"/>
      <c r="BI1396" s="99"/>
      <c r="BJ1396" s="99"/>
      <c r="BK1396" s="99"/>
      <c r="BL1396" s="99"/>
      <c r="BM1396" s="99"/>
      <c r="BN1396" s="99"/>
      <c r="BO1396" s="99"/>
      <c r="BP1396" s="99"/>
      <c r="BQ1396" s="99"/>
      <c r="BR1396" s="99"/>
      <c r="BS1396" s="99"/>
      <c r="BT1396" s="99"/>
      <c r="BU1396" s="99"/>
      <c r="BV1396" s="99"/>
      <c r="BW1396" s="99"/>
      <c r="BX1396" s="99"/>
      <c r="BY1396" s="99"/>
      <c r="BZ1396" s="99"/>
      <c r="CA1396" s="99"/>
      <c r="CB1396" s="99"/>
      <c r="CC1396" s="99"/>
      <c r="CD1396" s="99"/>
      <c r="CE1396" s="99"/>
      <c r="CF1396" s="99"/>
      <c r="CG1396" s="99"/>
      <c r="CH1396" s="99"/>
      <c r="CI1396" s="99"/>
      <c r="CJ1396" s="621"/>
      <c r="CK1396" s="621"/>
      <c r="CL1396" s="621"/>
    </row>
    <row r="1397" spans="27:90">
      <c r="AA1397" s="350"/>
      <c r="AB1397" s="62"/>
      <c r="AC1397" s="62"/>
      <c r="AD1397" s="62"/>
      <c r="AP1397" s="88"/>
      <c r="AQ1397" s="88"/>
      <c r="AR1397" s="88"/>
      <c r="AS1397" s="99"/>
      <c r="AT1397" s="99"/>
      <c r="AU1397" s="99"/>
      <c r="AV1397" s="99"/>
      <c r="AW1397" s="99"/>
      <c r="AX1397" s="99"/>
      <c r="AY1397" s="99"/>
      <c r="AZ1397" s="99"/>
      <c r="BA1397" s="99"/>
      <c r="BB1397" s="99"/>
      <c r="BC1397" s="99"/>
      <c r="BD1397" s="99"/>
      <c r="BE1397" s="99"/>
      <c r="BF1397" s="99"/>
      <c r="BG1397" s="99"/>
      <c r="BH1397" s="99"/>
      <c r="BI1397" s="99"/>
      <c r="BJ1397" s="99"/>
      <c r="BK1397" s="99"/>
      <c r="BL1397" s="99"/>
      <c r="BM1397" s="99"/>
      <c r="BN1397" s="99"/>
      <c r="BO1397" s="99"/>
      <c r="BP1397" s="99"/>
      <c r="BQ1397" s="99"/>
      <c r="BR1397" s="99"/>
      <c r="BS1397" s="99"/>
      <c r="BT1397" s="99"/>
      <c r="BU1397" s="99"/>
      <c r="BV1397" s="99"/>
      <c r="BW1397" s="99"/>
      <c r="BX1397" s="99"/>
      <c r="BY1397" s="99"/>
      <c r="BZ1397" s="99"/>
      <c r="CA1397" s="99"/>
      <c r="CB1397" s="99"/>
      <c r="CC1397" s="99"/>
      <c r="CD1397" s="99"/>
      <c r="CE1397" s="99"/>
      <c r="CF1397" s="99"/>
      <c r="CG1397" s="99"/>
      <c r="CH1397" s="99"/>
      <c r="CI1397" s="99"/>
      <c r="CJ1397" s="621"/>
      <c r="CK1397" s="621"/>
      <c r="CL1397" s="621"/>
    </row>
    <row r="1398" spans="27:90">
      <c r="AA1398" s="350"/>
      <c r="AB1398" s="62"/>
      <c r="AC1398" s="62"/>
      <c r="AD1398" s="62"/>
      <c r="AP1398" s="88"/>
      <c r="AQ1398" s="88"/>
      <c r="AR1398" s="88"/>
      <c r="AS1398" s="99"/>
      <c r="AT1398" s="99"/>
      <c r="AU1398" s="99"/>
      <c r="AV1398" s="99"/>
      <c r="AW1398" s="99"/>
      <c r="AX1398" s="99"/>
      <c r="AY1398" s="99"/>
      <c r="AZ1398" s="99"/>
      <c r="BA1398" s="99"/>
      <c r="BB1398" s="99"/>
      <c r="BC1398" s="99"/>
      <c r="BD1398" s="99"/>
      <c r="BE1398" s="99"/>
      <c r="BF1398" s="99"/>
      <c r="BG1398" s="99"/>
      <c r="BH1398" s="99"/>
      <c r="BI1398" s="99"/>
      <c r="BJ1398" s="99"/>
      <c r="BK1398" s="99"/>
      <c r="BL1398" s="99"/>
      <c r="BM1398" s="99"/>
      <c r="BN1398" s="99"/>
      <c r="BO1398" s="99"/>
      <c r="BP1398" s="99"/>
      <c r="BQ1398" s="99"/>
      <c r="BR1398" s="99"/>
      <c r="BS1398" s="99"/>
      <c r="BT1398" s="99"/>
      <c r="BU1398" s="99"/>
      <c r="BV1398" s="99"/>
      <c r="BW1398" s="99"/>
      <c r="BX1398" s="99"/>
      <c r="BY1398" s="99"/>
      <c r="BZ1398" s="99"/>
      <c r="CA1398" s="99"/>
      <c r="CB1398" s="99"/>
      <c r="CC1398" s="99"/>
      <c r="CD1398" s="99"/>
      <c r="CE1398" s="99"/>
      <c r="CF1398" s="99"/>
      <c r="CG1398" s="99"/>
      <c r="CH1398" s="99"/>
      <c r="CI1398" s="99"/>
      <c r="CJ1398" s="621"/>
      <c r="CK1398" s="621"/>
      <c r="CL1398" s="621"/>
    </row>
    <row r="1399" spans="27:90">
      <c r="AA1399" s="350"/>
      <c r="AB1399" s="62"/>
      <c r="AC1399" s="62"/>
      <c r="AD1399" s="62"/>
      <c r="AP1399" s="88"/>
      <c r="AQ1399" s="88"/>
      <c r="AR1399" s="88"/>
      <c r="AS1399" s="99"/>
      <c r="AT1399" s="99"/>
      <c r="AU1399" s="99"/>
      <c r="AV1399" s="99"/>
      <c r="AW1399" s="99"/>
      <c r="AX1399" s="99"/>
      <c r="AY1399" s="99"/>
      <c r="AZ1399" s="99"/>
      <c r="BA1399" s="99"/>
      <c r="BB1399" s="99"/>
      <c r="BC1399" s="99"/>
      <c r="BD1399" s="99"/>
      <c r="BE1399" s="99"/>
      <c r="BF1399" s="99"/>
      <c r="BG1399" s="99"/>
      <c r="BH1399" s="99"/>
      <c r="BI1399" s="99"/>
      <c r="BJ1399" s="99"/>
      <c r="BK1399" s="99"/>
      <c r="BL1399" s="99"/>
      <c r="BM1399" s="99"/>
      <c r="BN1399" s="99"/>
      <c r="BO1399" s="99"/>
      <c r="BP1399" s="99"/>
      <c r="BQ1399" s="99"/>
      <c r="BR1399" s="99"/>
      <c r="BS1399" s="99"/>
      <c r="BT1399" s="99"/>
      <c r="BU1399" s="99"/>
      <c r="BV1399" s="99"/>
      <c r="BW1399" s="99"/>
      <c r="BX1399" s="99"/>
      <c r="BY1399" s="99"/>
      <c r="BZ1399" s="99"/>
      <c r="CA1399" s="99"/>
      <c r="CB1399" s="99"/>
      <c r="CC1399" s="99"/>
      <c r="CD1399" s="99"/>
      <c r="CE1399" s="99"/>
      <c r="CF1399" s="99"/>
      <c r="CG1399" s="99"/>
      <c r="CH1399" s="99"/>
      <c r="CI1399" s="99"/>
      <c r="CJ1399" s="621"/>
      <c r="CK1399" s="621"/>
      <c r="CL1399" s="621"/>
    </row>
    <row r="1400" spans="27:90">
      <c r="AA1400" s="350"/>
      <c r="AB1400" s="62"/>
      <c r="AC1400" s="62"/>
      <c r="AD1400" s="62"/>
      <c r="AP1400" s="88"/>
      <c r="AQ1400" s="88"/>
      <c r="AR1400" s="88"/>
      <c r="AS1400" s="99"/>
      <c r="AT1400" s="99"/>
      <c r="AU1400" s="99"/>
      <c r="AV1400" s="99"/>
      <c r="AW1400" s="99"/>
      <c r="AX1400" s="99"/>
      <c r="AY1400" s="99"/>
      <c r="AZ1400" s="99"/>
      <c r="BA1400" s="99"/>
      <c r="BB1400" s="99"/>
      <c r="BC1400" s="99"/>
      <c r="BD1400" s="99"/>
      <c r="BE1400" s="99"/>
      <c r="BF1400" s="99"/>
      <c r="BG1400" s="99"/>
      <c r="BH1400" s="99"/>
      <c r="BI1400" s="99"/>
      <c r="BJ1400" s="99"/>
      <c r="BK1400" s="99"/>
      <c r="BL1400" s="99"/>
      <c r="BM1400" s="99"/>
      <c r="BN1400" s="99"/>
      <c r="BO1400" s="99"/>
      <c r="BP1400" s="99"/>
      <c r="BQ1400" s="99"/>
      <c r="BR1400" s="99"/>
      <c r="BS1400" s="99"/>
      <c r="BT1400" s="99"/>
      <c r="BU1400" s="99"/>
      <c r="BV1400" s="99"/>
      <c r="BW1400" s="99"/>
      <c r="BX1400" s="99"/>
      <c r="BY1400" s="99"/>
      <c r="BZ1400" s="99"/>
      <c r="CA1400" s="99"/>
      <c r="CB1400" s="99"/>
      <c r="CC1400" s="99"/>
      <c r="CD1400" s="99"/>
      <c r="CE1400" s="99"/>
      <c r="CF1400" s="99"/>
      <c r="CG1400" s="99"/>
      <c r="CH1400" s="99"/>
      <c r="CI1400" s="99"/>
      <c r="CJ1400" s="621"/>
      <c r="CK1400" s="621"/>
      <c r="CL1400" s="621"/>
    </row>
    <row r="1401" spans="27:90">
      <c r="AA1401" s="350"/>
      <c r="AB1401" s="62"/>
      <c r="AC1401" s="62"/>
      <c r="AD1401" s="62"/>
      <c r="AP1401" s="88"/>
      <c r="AQ1401" s="88"/>
      <c r="AR1401" s="88"/>
      <c r="AS1401" s="99"/>
      <c r="AT1401" s="99"/>
      <c r="AU1401" s="99"/>
      <c r="AV1401" s="99"/>
      <c r="AW1401" s="99"/>
      <c r="AX1401" s="99"/>
      <c r="AY1401" s="99"/>
      <c r="AZ1401" s="99"/>
      <c r="BA1401" s="99"/>
      <c r="BB1401" s="99"/>
      <c r="BC1401" s="99"/>
      <c r="BD1401" s="99"/>
      <c r="BE1401" s="99"/>
      <c r="BF1401" s="99"/>
      <c r="BG1401" s="99"/>
      <c r="BH1401" s="99"/>
      <c r="BI1401" s="99"/>
      <c r="BJ1401" s="99"/>
      <c r="BK1401" s="99"/>
      <c r="BL1401" s="99"/>
      <c r="BM1401" s="99"/>
      <c r="BN1401" s="99"/>
      <c r="BO1401" s="99"/>
      <c r="BP1401" s="99"/>
      <c r="BQ1401" s="99"/>
      <c r="BR1401" s="99"/>
      <c r="BS1401" s="99"/>
      <c r="BT1401" s="99"/>
      <c r="BU1401" s="99"/>
      <c r="BV1401" s="99"/>
      <c r="BW1401" s="99"/>
      <c r="BX1401" s="99"/>
      <c r="BY1401" s="99"/>
      <c r="BZ1401" s="99"/>
      <c r="CA1401" s="99"/>
      <c r="CB1401" s="99"/>
      <c r="CC1401" s="99"/>
      <c r="CD1401" s="99"/>
      <c r="CE1401" s="99"/>
      <c r="CF1401" s="99"/>
      <c r="CG1401" s="99"/>
      <c r="CH1401" s="99"/>
      <c r="CI1401" s="99"/>
      <c r="CJ1401" s="621"/>
      <c r="CK1401" s="621"/>
      <c r="CL1401" s="621"/>
    </row>
    <row r="1402" spans="27:90">
      <c r="AA1402" s="350"/>
      <c r="AB1402" s="62"/>
      <c r="AC1402" s="62"/>
      <c r="AD1402" s="62"/>
      <c r="AP1402" s="88"/>
      <c r="AQ1402" s="88"/>
      <c r="AR1402" s="88"/>
      <c r="AS1402" s="99"/>
      <c r="AT1402" s="99"/>
      <c r="AU1402" s="99"/>
      <c r="AV1402" s="99"/>
      <c r="AW1402" s="99"/>
      <c r="AX1402" s="99"/>
      <c r="AY1402" s="99"/>
      <c r="AZ1402" s="99"/>
      <c r="BA1402" s="99"/>
      <c r="BB1402" s="99"/>
      <c r="BC1402" s="99"/>
      <c r="BD1402" s="99"/>
      <c r="BE1402" s="99"/>
      <c r="BF1402" s="99"/>
      <c r="BG1402" s="99"/>
      <c r="BH1402" s="99"/>
      <c r="BI1402" s="99"/>
      <c r="BJ1402" s="99"/>
      <c r="BK1402" s="99"/>
      <c r="BL1402" s="99"/>
      <c r="BM1402" s="99"/>
      <c r="BN1402" s="99"/>
      <c r="BO1402" s="99"/>
      <c r="BP1402" s="99"/>
      <c r="BQ1402" s="99"/>
      <c r="BR1402" s="99"/>
      <c r="BS1402" s="99"/>
      <c r="BT1402" s="99"/>
      <c r="BU1402" s="99"/>
      <c r="BV1402" s="99"/>
      <c r="BW1402" s="99"/>
      <c r="BX1402" s="99"/>
      <c r="BY1402" s="99"/>
      <c r="BZ1402" s="99"/>
      <c r="CA1402" s="99"/>
      <c r="CB1402" s="99"/>
      <c r="CC1402" s="99"/>
      <c r="CD1402" s="99"/>
      <c r="CE1402" s="99"/>
      <c r="CF1402" s="99"/>
      <c r="CG1402" s="99"/>
      <c r="CH1402" s="99"/>
      <c r="CI1402" s="99"/>
      <c r="CJ1402" s="621"/>
      <c r="CK1402" s="621"/>
      <c r="CL1402" s="621"/>
    </row>
    <row r="1403" spans="27:90">
      <c r="AA1403" s="350"/>
      <c r="AB1403" s="62"/>
      <c r="AC1403" s="62"/>
      <c r="AD1403" s="62"/>
      <c r="AP1403" s="88"/>
      <c r="AQ1403" s="88"/>
      <c r="AR1403" s="88"/>
      <c r="AS1403" s="99"/>
      <c r="AT1403" s="99"/>
      <c r="AU1403" s="99"/>
      <c r="AV1403" s="99"/>
      <c r="AW1403" s="99"/>
      <c r="AX1403" s="99"/>
      <c r="AY1403" s="99"/>
      <c r="AZ1403" s="99"/>
      <c r="BA1403" s="99"/>
      <c r="BB1403" s="99"/>
      <c r="BC1403" s="99"/>
      <c r="BD1403" s="99"/>
      <c r="BE1403" s="99"/>
      <c r="BF1403" s="99"/>
      <c r="BG1403" s="99"/>
      <c r="BH1403" s="99"/>
      <c r="BI1403" s="99"/>
      <c r="BJ1403" s="99"/>
      <c r="BK1403" s="99"/>
      <c r="BL1403" s="99"/>
      <c r="BM1403" s="99"/>
      <c r="BN1403" s="99"/>
      <c r="BO1403" s="99"/>
      <c r="BP1403" s="99"/>
      <c r="BQ1403" s="99"/>
      <c r="BR1403" s="99"/>
      <c r="BS1403" s="99"/>
      <c r="BT1403" s="99"/>
      <c r="BU1403" s="99"/>
      <c r="BV1403" s="99"/>
      <c r="BW1403" s="99"/>
      <c r="BX1403" s="99"/>
      <c r="BY1403" s="99"/>
      <c r="BZ1403" s="99"/>
      <c r="CA1403" s="99"/>
      <c r="CB1403" s="99"/>
      <c r="CC1403" s="99"/>
      <c r="CD1403" s="99"/>
      <c r="CE1403" s="99"/>
      <c r="CF1403" s="99"/>
      <c r="CG1403" s="99"/>
      <c r="CH1403" s="99"/>
      <c r="CI1403" s="99"/>
      <c r="CJ1403" s="621"/>
      <c r="CK1403" s="621"/>
      <c r="CL1403" s="621"/>
    </row>
    <row r="1404" spans="27:90">
      <c r="AA1404" s="350"/>
      <c r="AB1404" s="62"/>
      <c r="AC1404" s="62"/>
      <c r="AD1404" s="62"/>
      <c r="AP1404" s="88"/>
      <c r="AQ1404" s="88"/>
      <c r="AR1404" s="88"/>
      <c r="AS1404" s="99"/>
      <c r="AT1404" s="99"/>
      <c r="AU1404" s="99"/>
      <c r="AV1404" s="99"/>
      <c r="AW1404" s="99"/>
      <c r="AX1404" s="99"/>
      <c r="AY1404" s="99"/>
      <c r="AZ1404" s="99"/>
      <c r="BA1404" s="99"/>
      <c r="BB1404" s="99"/>
      <c r="BC1404" s="99"/>
      <c r="BD1404" s="99"/>
      <c r="BE1404" s="99"/>
      <c r="BF1404" s="99"/>
      <c r="BG1404" s="99"/>
      <c r="BH1404" s="99"/>
      <c r="BI1404" s="99"/>
      <c r="BJ1404" s="99"/>
      <c r="BK1404" s="99"/>
      <c r="BL1404" s="99"/>
      <c r="BM1404" s="99"/>
      <c r="BN1404" s="99"/>
      <c r="BO1404" s="99"/>
      <c r="BP1404" s="99"/>
      <c r="BQ1404" s="99"/>
      <c r="BR1404" s="99"/>
      <c r="BS1404" s="99"/>
      <c r="BT1404" s="99"/>
      <c r="BU1404" s="99"/>
      <c r="BV1404" s="99"/>
      <c r="BW1404" s="99"/>
      <c r="BX1404" s="99"/>
      <c r="BY1404" s="99"/>
      <c r="BZ1404" s="99"/>
      <c r="CA1404" s="99"/>
      <c r="CB1404" s="99"/>
      <c r="CC1404" s="99"/>
      <c r="CD1404" s="99"/>
      <c r="CE1404" s="99"/>
      <c r="CF1404" s="99"/>
      <c r="CG1404" s="99"/>
      <c r="CH1404" s="99"/>
      <c r="CI1404" s="99"/>
      <c r="CJ1404" s="621"/>
      <c r="CK1404" s="621"/>
      <c r="CL1404" s="621"/>
    </row>
    <row r="1405" spans="27:90">
      <c r="AA1405" s="350"/>
      <c r="AB1405" s="62"/>
      <c r="AC1405" s="62"/>
      <c r="AD1405" s="62"/>
      <c r="AP1405" s="88"/>
      <c r="AQ1405" s="88"/>
      <c r="AR1405" s="88"/>
      <c r="AS1405" s="99"/>
      <c r="AT1405" s="99"/>
      <c r="AU1405" s="99"/>
      <c r="AV1405" s="99"/>
      <c r="AW1405" s="99"/>
      <c r="AX1405" s="99"/>
      <c r="AY1405" s="99"/>
      <c r="AZ1405" s="99"/>
      <c r="BA1405" s="99"/>
      <c r="BB1405" s="99"/>
      <c r="BC1405" s="99"/>
      <c r="BD1405" s="99"/>
      <c r="BE1405" s="99"/>
      <c r="BF1405" s="99"/>
      <c r="BG1405" s="99"/>
      <c r="BH1405" s="99"/>
      <c r="BI1405" s="99"/>
      <c r="BJ1405" s="99"/>
      <c r="BK1405" s="99"/>
      <c r="BL1405" s="99"/>
      <c r="BM1405" s="99"/>
      <c r="BN1405" s="99"/>
      <c r="BO1405" s="99"/>
      <c r="BP1405" s="99"/>
      <c r="BQ1405" s="99"/>
      <c r="BR1405" s="99"/>
      <c r="BS1405" s="99"/>
      <c r="BT1405" s="99"/>
      <c r="BU1405" s="99"/>
      <c r="BV1405" s="99"/>
      <c r="BW1405" s="99"/>
      <c r="BX1405" s="99"/>
      <c r="BY1405" s="99"/>
      <c r="BZ1405" s="99"/>
      <c r="CA1405" s="99"/>
      <c r="CB1405" s="99"/>
      <c r="CC1405" s="99"/>
      <c r="CD1405" s="99"/>
      <c r="CE1405" s="99"/>
      <c r="CF1405" s="99"/>
      <c r="CG1405" s="99"/>
      <c r="CH1405" s="99"/>
      <c r="CI1405" s="99"/>
      <c r="CJ1405" s="621"/>
      <c r="CK1405" s="621"/>
      <c r="CL1405" s="621"/>
    </row>
    <row r="1406" spans="27:90">
      <c r="AA1406" s="350"/>
      <c r="AB1406" s="62"/>
      <c r="AC1406" s="62"/>
      <c r="AD1406" s="62"/>
      <c r="AP1406" s="88"/>
      <c r="AQ1406" s="88"/>
      <c r="AR1406" s="88"/>
      <c r="AS1406" s="99"/>
      <c r="AT1406" s="99"/>
      <c r="AU1406" s="99"/>
      <c r="AV1406" s="99"/>
      <c r="AW1406" s="99"/>
      <c r="AX1406" s="99"/>
      <c r="AY1406" s="99"/>
      <c r="AZ1406" s="99"/>
      <c r="BA1406" s="99"/>
      <c r="BB1406" s="99"/>
      <c r="BC1406" s="99"/>
      <c r="BD1406" s="99"/>
      <c r="BE1406" s="99"/>
      <c r="BF1406" s="99"/>
      <c r="BG1406" s="99"/>
      <c r="BH1406" s="99"/>
      <c r="BI1406" s="99"/>
      <c r="BJ1406" s="99"/>
      <c r="BK1406" s="99"/>
      <c r="BL1406" s="99"/>
      <c r="BM1406" s="99"/>
      <c r="BN1406" s="99"/>
      <c r="BO1406" s="99"/>
      <c r="BP1406" s="99"/>
      <c r="BQ1406" s="99"/>
      <c r="BR1406" s="99"/>
      <c r="BS1406" s="99"/>
      <c r="BT1406" s="99"/>
      <c r="BU1406" s="99"/>
      <c r="BV1406" s="99"/>
      <c r="BW1406" s="99"/>
      <c r="BX1406" s="99"/>
      <c r="BY1406" s="99"/>
      <c r="BZ1406" s="99"/>
      <c r="CA1406" s="99"/>
      <c r="CB1406" s="99"/>
      <c r="CC1406" s="99"/>
      <c r="CD1406" s="99"/>
      <c r="CE1406" s="99"/>
      <c r="CF1406" s="99"/>
      <c r="CG1406" s="99"/>
      <c r="CH1406" s="99"/>
      <c r="CI1406" s="99"/>
      <c r="CJ1406" s="621"/>
      <c r="CK1406" s="621"/>
      <c r="CL1406" s="621"/>
    </row>
    <row r="1407" spans="27:90">
      <c r="AA1407" s="350"/>
      <c r="AB1407" s="62"/>
      <c r="AC1407" s="62"/>
      <c r="AD1407" s="62"/>
      <c r="AP1407" s="88"/>
      <c r="AQ1407" s="88"/>
      <c r="AR1407" s="88"/>
      <c r="AS1407" s="99"/>
      <c r="AT1407" s="99"/>
      <c r="AU1407" s="99"/>
      <c r="AV1407" s="99"/>
      <c r="AW1407" s="99"/>
      <c r="AX1407" s="99"/>
      <c r="AY1407" s="99"/>
      <c r="AZ1407" s="99"/>
      <c r="BA1407" s="99"/>
      <c r="BB1407" s="99"/>
      <c r="BC1407" s="99"/>
      <c r="BD1407" s="99"/>
      <c r="BE1407" s="99"/>
      <c r="BF1407" s="99"/>
      <c r="BG1407" s="99"/>
      <c r="BH1407" s="99"/>
      <c r="BI1407" s="99"/>
      <c r="BJ1407" s="99"/>
      <c r="BK1407" s="99"/>
      <c r="BL1407" s="99"/>
      <c r="BM1407" s="99"/>
      <c r="BN1407" s="99"/>
      <c r="BO1407" s="99"/>
      <c r="BP1407" s="99"/>
      <c r="BQ1407" s="99"/>
      <c r="BR1407" s="99"/>
      <c r="BS1407" s="99"/>
      <c r="BT1407" s="99"/>
      <c r="BU1407" s="99"/>
      <c r="BV1407" s="99"/>
      <c r="BW1407" s="99"/>
      <c r="BX1407" s="99"/>
      <c r="BY1407" s="99"/>
      <c r="BZ1407" s="99"/>
      <c r="CA1407" s="99"/>
      <c r="CB1407" s="99"/>
      <c r="CC1407" s="99"/>
      <c r="CD1407" s="99"/>
      <c r="CE1407" s="99"/>
      <c r="CF1407" s="99"/>
      <c r="CG1407" s="99"/>
      <c r="CH1407" s="99"/>
      <c r="CI1407" s="99"/>
      <c r="CJ1407" s="621"/>
      <c r="CK1407" s="621"/>
      <c r="CL1407" s="621"/>
    </row>
    <row r="1408" spans="27:90">
      <c r="AA1408" s="350"/>
      <c r="AB1408" s="62"/>
      <c r="AC1408" s="62"/>
      <c r="AD1408" s="62"/>
      <c r="AP1408" s="88"/>
      <c r="AQ1408" s="88"/>
      <c r="AR1408" s="88"/>
      <c r="AS1408" s="99"/>
      <c r="AT1408" s="99"/>
      <c r="AU1408" s="99"/>
      <c r="AV1408" s="99"/>
      <c r="AW1408" s="99"/>
      <c r="AX1408" s="99"/>
      <c r="AY1408" s="99"/>
      <c r="AZ1408" s="99"/>
      <c r="BA1408" s="99"/>
      <c r="BB1408" s="99"/>
      <c r="BC1408" s="99"/>
      <c r="BD1408" s="99"/>
      <c r="BE1408" s="99"/>
      <c r="BF1408" s="99"/>
      <c r="BG1408" s="99"/>
      <c r="BH1408" s="99"/>
      <c r="BI1408" s="99"/>
      <c r="BJ1408" s="99"/>
      <c r="BK1408" s="99"/>
      <c r="BL1408" s="99"/>
      <c r="BM1408" s="99"/>
      <c r="BN1408" s="99"/>
      <c r="BO1408" s="99"/>
      <c r="BP1408" s="99"/>
      <c r="BQ1408" s="99"/>
      <c r="BR1408" s="99"/>
      <c r="BS1408" s="99"/>
      <c r="BT1408" s="99"/>
      <c r="BU1408" s="99"/>
      <c r="BV1408" s="99"/>
      <c r="BW1408" s="99"/>
      <c r="BX1408" s="99"/>
      <c r="BY1408" s="99"/>
      <c r="BZ1408" s="99"/>
      <c r="CA1408" s="99"/>
      <c r="CB1408" s="99"/>
      <c r="CC1408" s="99"/>
      <c r="CD1408" s="99"/>
      <c r="CE1408" s="99"/>
      <c r="CF1408" s="99"/>
      <c r="CG1408" s="99"/>
      <c r="CH1408" s="99"/>
      <c r="CI1408" s="99"/>
      <c r="CJ1408" s="621"/>
      <c r="CK1408" s="621"/>
      <c r="CL1408" s="621"/>
    </row>
    <row r="1409" spans="27:90">
      <c r="AA1409" s="350"/>
      <c r="AB1409" s="62"/>
      <c r="AC1409" s="62"/>
      <c r="AD1409" s="62"/>
      <c r="AP1409" s="88"/>
      <c r="AQ1409" s="88"/>
      <c r="AR1409" s="88"/>
      <c r="AS1409" s="99"/>
      <c r="AT1409" s="99"/>
      <c r="AU1409" s="99"/>
      <c r="AV1409" s="99"/>
      <c r="AW1409" s="99"/>
      <c r="AX1409" s="99"/>
      <c r="AY1409" s="99"/>
      <c r="AZ1409" s="99"/>
      <c r="BA1409" s="99"/>
      <c r="BB1409" s="99"/>
      <c r="BC1409" s="99"/>
      <c r="BD1409" s="99"/>
      <c r="BE1409" s="99"/>
      <c r="BF1409" s="99"/>
      <c r="BG1409" s="99"/>
      <c r="BH1409" s="99"/>
      <c r="BI1409" s="99"/>
      <c r="BJ1409" s="99"/>
      <c r="BK1409" s="99"/>
      <c r="BL1409" s="99"/>
      <c r="BM1409" s="99"/>
      <c r="BN1409" s="99"/>
      <c r="BO1409" s="99"/>
      <c r="BP1409" s="99"/>
      <c r="BQ1409" s="99"/>
      <c r="BR1409" s="99"/>
      <c r="BS1409" s="99"/>
      <c r="BT1409" s="99"/>
      <c r="BU1409" s="99"/>
      <c r="BV1409" s="99"/>
      <c r="BW1409" s="99"/>
      <c r="BX1409" s="99"/>
      <c r="BY1409" s="99"/>
      <c r="BZ1409" s="99"/>
      <c r="CA1409" s="99"/>
      <c r="CB1409" s="99"/>
      <c r="CC1409" s="99"/>
      <c r="CD1409" s="99"/>
      <c r="CE1409" s="99"/>
      <c r="CF1409" s="99"/>
      <c r="CG1409" s="99"/>
      <c r="CH1409" s="99"/>
      <c r="CI1409" s="99"/>
      <c r="CJ1409" s="621"/>
      <c r="CK1409" s="621"/>
      <c r="CL1409" s="621"/>
    </row>
    <row r="1410" spans="27:90">
      <c r="AA1410" s="350"/>
      <c r="AB1410" s="62"/>
      <c r="AC1410" s="62"/>
      <c r="AD1410" s="62"/>
      <c r="AP1410" s="88"/>
      <c r="AQ1410" s="88"/>
      <c r="AR1410" s="88"/>
      <c r="AS1410" s="99"/>
      <c r="AT1410" s="99"/>
      <c r="AU1410" s="99"/>
      <c r="AV1410" s="99"/>
      <c r="AW1410" s="99"/>
      <c r="AX1410" s="99"/>
      <c r="AY1410" s="99"/>
      <c r="AZ1410" s="99"/>
      <c r="BA1410" s="99"/>
      <c r="BB1410" s="99"/>
      <c r="BC1410" s="99"/>
      <c r="BD1410" s="99"/>
      <c r="BE1410" s="99"/>
      <c r="BF1410" s="99"/>
      <c r="BG1410" s="99"/>
      <c r="BH1410" s="99"/>
      <c r="BI1410" s="99"/>
      <c r="BJ1410" s="99"/>
      <c r="BK1410" s="99"/>
      <c r="BL1410" s="99"/>
      <c r="BM1410" s="99"/>
      <c r="BN1410" s="99"/>
      <c r="BO1410" s="99"/>
      <c r="BP1410" s="99"/>
      <c r="BQ1410" s="99"/>
      <c r="BR1410" s="99"/>
      <c r="BS1410" s="99"/>
      <c r="BT1410" s="99"/>
      <c r="BU1410" s="99"/>
      <c r="BV1410" s="99"/>
      <c r="BW1410" s="99"/>
      <c r="BX1410" s="99"/>
      <c r="BY1410" s="99"/>
      <c r="BZ1410" s="99"/>
      <c r="CA1410" s="99"/>
      <c r="CB1410" s="99"/>
      <c r="CC1410" s="99"/>
      <c r="CD1410" s="99"/>
      <c r="CE1410" s="99"/>
      <c r="CF1410" s="99"/>
      <c r="CG1410" s="99"/>
      <c r="CH1410" s="99"/>
      <c r="CI1410" s="99"/>
      <c r="CJ1410" s="621"/>
      <c r="CK1410" s="621"/>
      <c r="CL1410" s="621"/>
    </row>
    <row r="1411" spans="27:90">
      <c r="AA1411" s="350"/>
      <c r="AB1411" s="62"/>
      <c r="AC1411" s="62"/>
      <c r="AD1411" s="62"/>
      <c r="AP1411" s="88"/>
      <c r="AQ1411" s="88"/>
      <c r="AR1411" s="88"/>
      <c r="AS1411" s="99"/>
      <c r="AT1411" s="99"/>
      <c r="AU1411" s="99"/>
      <c r="AV1411" s="99"/>
      <c r="AW1411" s="99"/>
      <c r="AX1411" s="99"/>
      <c r="AY1411" s="99"/>
      <c r="AZ1411" s="99"/>
      <c r="BA1411" s="99"/>
      <c r="BB1411" s="99"/>
      <c r="BC1411" s="99"/>
      <c r="BD1411" s="99"/>
      <c r="BE1411" s="99"/>
      <c r="BF1411" s="99"/>
      <c r="BG1411" s="99"/>
      <c r="BH1411" s="99"/>
      <c r="BI1411" s="99"/>
      <c r="BJ1411" s="99"/>
      <c r="BK1411" s="99"/>
      <c r="BL1411" s="99"/>
      <c r="BM1411" s="99"/>
      <c r="BN1411" s="99"/>
      <c r="BO1411" s="99"/>
      <c r="BP1411" s="99"/>
      <c r="BQ1411" s="99"/>
      <c r="BR1411" s="99"/>
      <c r="BS1411" s="99"/>
      <c r="BT1411" s="99"/>
      <c r="BU1411" s="99"/>
      <c r="BV1411" s="99"/>
      <c r="BW1411" s="99"/>
      <c r="BX1411" s="99"/>
      <c r="BY1411" s="99"/>
      <c r="BZ1411" s="99"/>
      <c r="CA1411" s="99"/>
      <c r="CB1411" s="99"/>
      <c r="CC1411" s="99"/>
      <c r="CD1411" s="99"/>
      <c r="CE1411" s="99"/>
      <c r="CF1411" s="99"/>
      <c r="CG1411" s="99"/>
      <c r="CH1411" s="99"/>
      <c r="CI1411" s="99"/>
      <c r="CJ1411" s="621"/>
      <c r="CK1411" s="621"/>
      <c r="CL1411" s="621"/>
    </row>
    <row r="1412" spans="27:90">
      <c r="AA1412" s="350"/>
      <c r="AB1412" s="62"/>
      <c r="AC1412" s="62"/>
      <c r="AD1412" s="62"/>
      <c r="AP1412" s="88"/>
      <c r="AQ1412" s="88"/>
      <c r="AR1412" s="88"/>
      <c r="AS1412" s="99"/>
      <c r="AT1412" s="99"/>
      <c r="AU1412" s="99"/>
      <c r="AV1412" s="99"/>
      <c r="AW1412" s="99"/>
      <c r="AX1412" s="99"/>
      <c r="AY1412" s="99"/>
      <c r="AZ1412" s="99"/>
      <c r="BA1412" s="99"/>
      <c r="BB1412" s="99"/>
      <c r="BC1412" s="99"/>
      <c r="BD1412" s="99"/>
      <c r="BE1412" s="99"/>
      <c r="BF1412" s="99"/>
      <c r="BG1412" s="99"/>
      <c r="BH1412" s="99"/>
      <c r="BI1412" s="99"/>
      <c r="BJ1412" s="99"/>
      <c r="BK1412" s="99"/>
      <c r="BL1412" s="99"/>
      <c r="BM1412" s="99"/>
      <c r="BN1412" s="99"/>
      <c r="BO1412" s="99"/>
      <c r="BP1412" s="99"/>
      <c r="BQ1412" s="99"/>
      <c r="BR1412" s="99"/>
      <c r="BS1412" s="99"/>
      <c r="BT1412" s="99"/>
      <c r="BU1412" s="99"/>
      <c r="BV1412" s="99"/>
      <c r="BW1412" s="99"/>
      <c r="BX1412" s="99"/>
      <c r="BY1412" s="99"/>
      <c r="BZ1412" s="99"/>
      <c r="CA1412" s="99"/>
      <c r="CB1412" s="99"/>
      <c r="CC1412" s="99"/>
      <c r="CD1412" s="99"/>
      <c r="CE1412" s="99"/>
      <c r="CF1412" s="99"/>
      <c r="CG1412" s="99"/>
      <c r="CH1412" s="99"/>
      <c r="CI1412" s="99"/>
      <c r="CJ1412" s="621"/>
      <c r="CK1412" s="621"/>
      <c r="CL1412" s="621"/>
    </row>
    <row r="1413" spans="27:90">
      <c r="AA1413" s="350"/>
      <c r="AB1413" s="62"/>
      <c r="AC1413" s="62"/>
      <c r="AD1413" s="62"/>
      <c r="AP1413" s="88"/>
      <c r="AQ1413" s="88"/>
      <c r="AR1413" s="88"/>
      <c r="AS1413" s="99"/>
      <c r="AT1413" s="99"/>
      <c r="AU1413" s="99"/>
      <c r="AV1413" s="99"/>
      <c r="AW1413" s="99"/>
      <c r="AX1413" s="99"/>
      <c r="AY1413" s="99"/>
      <c r="AZ1413" s="99"/>
      <c r="BA1413" s="99"/>
      <c r="BB1413" s="99"/>
      <c r="BC1413" s="99"/>
      <c r="BD1413" s="99"/>
      <c r="BE1413" s="99"/>
      <c r="BF1413" s="99"/>
      <c r="BG1413" s="99"/>
      <c r="BH1413" s="99"/>
      <c r="BI1413" s="99"/>
      <c r="BJ1413" s="99"/>
      <c r="BK1413" s="99"/>
      <c r="BL1413" s="99"/>
      <c r="BM1413" s="99"/>
      <c r="BN1413" s="99"/>
      <c r="BO1413" s="99"/>
      <c r="BP1413" s="99"/>
      <c r="BQ1413" s="99"/>
      <c r="BR1413" s="99"/>
      <c r="BS1413" s="99"/>
      <c r="BT1413" s="99"/>
      <c r="BU1413" s="99"/>
      <c r="BV1413" s="99"/>
      <c r="BW1413" s="99"/>
      <c r="BX1413" s="99"/>
      <c r="BY1413" s="99"/>
      <c r="BZ1413" s="99"/>
      <c r="CA1413" s="99"/>
      <c r="CB1413" s="99"/>
      <c r="CC1413" s="99"/>
      <c r="CD1413" s="99"/>
      <c r="CE1413" s="99"/>
      <c r="CF1413" s="99"/>
      <c r="CG1413" s="99"/>
      <c r="CH1413" s="99"/>
      <c r="CI1413" s="99"/>
      <c r="CJ1413" s="621"/>
      <c r="CK1413" s="621"/>
      <c r="CL1413" s="621"/>
    </row>
    <row r="1414" spans="27:90">
      <c r="AA1414" s="350"/>
      <c r="AB1414" s="62"/>
      <c r="AC1414" s="62"/>
      <c r="AD1414" s="62"/>
      <c r="AP1414" s="88"/>
      <c r="AQ1414" s="88"/>
      <c r="AR1414" s="88"/>
      <c r="AS1414" s="99"/>
      <c r="AT1414" s="99"/>
      <c r="AU1414" s="99"/>
      <c r="AV1414" s="99"/>
      <c r="AW1414" s="99"/>
      <c r="AX1414" s="99"/>
      <c r="AY1414" s="99"/>
      <c r="AZ1414" s="99"/>
      <c r="BA1414" s="99"/>
      <c r="BB1414" s="99"/>
      <c r="BC1414" s="99"/>
      <c r="BD1414" s="99"/>
      <c r="BE1414" s="99"/>
      <c r="BF1414" s="99"/>
      <c r="BG1414" s="99"/>
      <c r="BH1414" s="99"/>
      <c r="BI1414" s="99"/>
      <c r="BJ1414" s="99"/>
      <c r="BK1414" s="99"/>
      <c r="BL1414" s="99"/>
      <c r="BM1414" s="99"/>
      <c r="BN1414" s="99"/>
      <c r="BO1414" s="99"/>
      <c r="BP1414" s="99"/>
      <c r="BQ1414" s="99"/>
      <c r="BR1414" s="99"/>
      <c r="BS1414" s="99"/>
      <c r="BT1414" s="99"/>
      <c r="BU1414" s="99"/>
      <c r="BV1414" s="99"/>
      <c r="BW1414" s="99"/>
      <c r="BX1414" s="99"/>
      <c r="BY1414" s="99"/>
      <c r="BZ1414" s="99"/>
      <c r="CA1414" s="99"/>
      <c r="CB1414" s="99"/>
      <c r="CC1414" s="99"/>
      <c r="CD1414" s="99"/>
      <c r="CE1414" s="99"/>
      <c r="CF1414" s="99"/>
      <c r="CG1414" s="99"/>
      <c r="CH1414" s="99"/>
      <c r="CI1414" s="99"/>
      <c r="CJ1414" s="621"/>
      <c r="CK1414" s="621"/>
      <c r="CL1414" s="621"/>
    </row>
    <row r="1415" spans="27:90">
      <c r="AA1415" s="350"/>
      <c r="AB1415" s="62"/>
      <c r="AC1415" s="62"/>
      <c r="AD1415" s="62"/>
      <c r="AP1415" s="88"/>
      <c r="AQ1415" s="88"/>
      <c r="AR1415" s="88"/>
      <c r="AS1415" s="99"/>
      <c r="AT1415" s="99"/>
      <c r="AU1415" s="99"/>
      <c r="AV1415" s="99"/>
      <c r="AW1415" s="99"/>
      <c r="AX1415" s="99"/>
      <c r="AY1415" s="99"/>
      <c r="AZ1415" s="99"/>
      <c r="BA1415" s="99"/>
      <c r="BB1415" s="99"/>
      <c r="BC1415" s="99"/>
      <c r="BD1415" s="99"/>
      <c r="BE1415" s="99"/>
      <c r="BF1415" s="99"/>
      <c r="BG1415" s="99"/>
      <c r="BH1415" s="99"/>
      <c r="BI1415" s="99"/>
      <c r="BJ1415" s="99"/>
      <c r="BK1415" s="99"/>
      <c r="BL1415" s="99"/>
      <c r="BM1415" s="99"/>
      <c r="BN1415" s="99"/>
      <c r="BO1415" s="99"/>
      <c r="BP1415" s="99"/>
      <c r="BQ1415" s="99"/>
      <c r="BR1415" s="99"/>
      <c r="BS1415" s="99"/>
      <c r="BT1415" s="99"/>
      <c r="BU1415" s="99"/>
      <c r="BV1415" s="99"/>
      <c r="BW1415" s="99"/>
      <c r="BX1415" s="99"/>
      <c r="BY1415" s="99"/>
      <c r="BZ1415" s="99"/>
      <c r="CA1415" s="99"/>
      <c r="CB1415" s="99"/>
      <c r="CC1415" s="99"/>
      <c r="CD1415" s="99"/>
      <c r="CE1415" s="99"/>
      <c r="CF1415" s="99"/>
      <c r="CG1415" s="99"/>
      <c r="CH1415" s="99"/>
      <c r="CI1415" s="99"/>
      <c r="CJ1415" s="621"/>
      <c r="CK1415" s="621"/>
      <c r="CL1415" s="621"/>
    </row>
    <row r="1416" spans="27:90">
      <c r="AA1416" s="350"/>
      <c r="AB1416" s="62"/>
      <c r="AC1416" s="62"/>
      <c r="AD1416" s="62"/>
      <c r="AP1416" s="88"/>
      <c r="AQ1416" s="88"/>
      <c r="AR1416" s="88"/>
      <c r="AS1416" s="99"/>
      <c r="AT1416" s="99"/>
      <c r="AU1416" s="99"/>
      <c r="AV1416" s="99"/>
      <c r="AW1416" s="99"/>
      <c r="AX1416" s="99"/>
      <c r="AY1416" s="99"/>
      <c r="AZ1416" s="99"/>
      <c r="BA1416" s="99"/>
      <c r="BB1416" s="99"/>
      <c r="BC1416" s="99"/>
      <c r="BD1416" s="99"/>
      <c r="BE1416" s="99"/>
      <c r="BF1416" s="99"/>
      <c r="BG1416" s="99"/>
      <c r="BH1416" s="99"/>
      <c r="BI1416" s="99"/>
      <c r="BJ1416" s="99"/>
      <c r="BK1416" s="99"/>
      <c r="BL1416" s="99"/>
      <c r="BM1416" s="99"/>
      <c r="BN1416" s="99"/>
      <c r="BO1416" s="99"/>
      <c r="BP1416" s="99"/>
      <c r="BQ1416" s="99"/>
      <c r="BR1416" s="99"/>
      <c r="BS1416" s="99"/>
      <c r="BT1416" s="99"/>
      <c r="BU1416" s="99"/>
      <c r="BV1416" s="99"/>
      <c r="BW1416" s="99"/>
      <c r="BX1416" s="99"/>
      <c r="BY1416" s="99"/>
      <c r="BZ1416" s="99"/>
      <c r="CA1416" s="99"/>
      <c r="CB1416" s="99"/>
      <c r="CC1416" s="99"/>
      <c r="CD1416" s="99"/>
      <c r="CE1416" s="99"/>
      <c r="CF1416" s="99"/>
      <c r="CG1416" s="99"/>
      <c r="CH1416" s="99"/>
      <c r="CI1416" s="99"/>
      <c r="CJ1416" s="621"/>
      <c r="CK1416" s="621"/>
      <c r="CL1416" s="621"/>
    </row>
    <row r="1417" spans="27:90">
      <c r="AA1417" s="350"/>
      <c r="AB1417" s="62"/>
      <c r="AC1417" s="62"/>
      <c r="AD1417" s="62"/>
      <c r="AP1417" s="88"/>
      <c r="AQ1417" s="88"/>
      <c r="AR1417" s="88"/>
      <c r="AS1417" s="99"/>
      <c r="AT1417" s="99"/>
      <c r="AU1417" s="99"/>
      <c r="AV1417" s="99"/>
      <c r="AW1417" s="99"/>
      <c r="AX1417" s="99"/>
      <c r="AY1417" s="99"/>
      <c r="AZ1417" s="99"/>
      <c r="BA1417" s="99"/>
      <c r="BB1417" s="99"/>
      <c r="BC1417" s="99"/>
      <c r="BD1417" s="99"/>
      <c r="BE1417" s="99"/>
      <c r="BF1417" s="99"/>
      <c r="BG1417" s="99"/>
      <c r="BH1417" s="99"/>
      <c r="BI1417" s="99"/>
      <c r="BJ1417" s="99"/>
      <c r="BK1417" s="99"/>
      <c r="BL1417" s="99"/>
      <c r="BM1417" s="99"/>
      <c r="BN1417" s="99"/>
      <c r="BO1417" s="99"/>
      <c r="BP1417" s="99"/>
      <c r="BQ1417" s="99"/>
      <c r="BR1417" s="99"/>
      <c r="BS1417" s="99"/>
      <c r="BT1417" s="99"/>
      <c r="BU1417" s="99"/>
      <c r="BV1417" s="99"/>
      <c r="BW1417" s="99"/>
      <c r="BX1417" s="99"/>
      <c r="BY1417" s="99"/>
      <c r="BZ1417" s="99"/>
      <c r="CA1417" s="99"/>
      <c r="CB1417" s="99"/>
      <c r="CC1417" s="99"/>
      <c r="CD1417" s="99"/>
      <c r="CE1417" s="99"/>
      <c r="CF1417" s="99"/>
      <c r="CG1417" s="99"/>
      <c r="CH1417" s="99"/>
      <c r="CI1417" s="99"/>
      <c r="CJ1417" s="621"/>
      <c r="CK1417" s="621"/>
      <c r="CL1417" s="621"/>
    </row>
    <row r="1418" spans="27:90">
      <c r="AA1418" s="350"/>
      <c r="AB1418" s="62"/>
      <c r="AC1418" s="62"/>
      <c r="AD1418" s="62"/>
      <c r="AP1418" s="88"/>
      <c r="AQ1418" s="88"/>
      <c r="AR1418" s="88"/>
      <c r="AS1418" s="99"/>
      <c r="AT1418" s="99"/>
      <c r="AU1418" s="99"/>
      <c r="AV1418" s="99"/>
      <c r="AW1418" s="99"/>
      <c r="AX1418" s="99"/>
      <c r="AY1418" s="99"/>
      <c r="AZ1418" s="99"/>
      <c r="BA1418" s="99"/>
      <c r="BB1418" s="99"/>
      <c r="BC1418" s="99"/>
      <c r="BD1418" s="99"/>
      <c r="BE1418" s="99"/>
      <c r="BF1418" s="99"/>
      <c r="BG1418" s="99"/>
      <c r="BH1418" s="99"/>
      <c r="BI1418" s="99"/>
      <c r="BJ1418" s="99"/>
      <c r="BK1418" s="99"/>
      <c r="BL1418" s="99"/>
      <c r="BM1418" s="99"/>
      <c r="BN1418" s="99"/>
      <c r="BO1418" s="99"/>
      <c r="BP1418" s="99"/>
      <c r="BQ1418" s="99"/>
      <c r="BR1418" s="99"/>
      <c r="BS1418" s="99"/>
      <c r="BT1418" s="99"/>
      <c r="BU1418" s="99"/>
      <c r="BV1418" s="99"/>
      <c r="BW1418" s="99"/>
      <c r="BX1418" s="99"/>
      <c r="BY1418" s="99"/>
      <c r="BZ1418" s="99"/>
      <c r="CA1418" s="99"/>
      <c r="CB1418" s="99"/>
      <c r="CC1418" s="99"/>
      <c r="CD1418" s="99"/>
      <c r="CE1418" s="99"/>
      <c r="CF1418" s="99"/>
      <c r="CG1418" s="99"/>
      <c r="CH1418" s="99"/>
      <c r="CI1418" s="99"/>
      <c r="CJ1418" s="621"/>
      <c r="CK1418" s="621"/>
      <c r="CL1418" s="621"/>
    </row>
    <row r="1419" spans="27:90">
      <c r="AA1419" s="350"/>
      <c r="AB1419" s="62"/>
      <c r="AC1419" s="62"/>
      <c r="AD1419" s="62"/>
      <c r="AP1419" s="88"/>
      <c r="AQ1419" s="88"/>
      <c r="AR1419" s="88"/>
      <c r="AS1419" s="99"/>
      <c r="AT1419" s="99"/>
      <c r="AU1419" s="99"/>
      <c r="AV1419" s="99"/>
      <c r="AW1419" s="99"/>
      <c r="AX1419" s="99"/>
      <c r="AY1419" s="99"/>
      <c r="AZ1419" s="99"/>
      <c r="BA1419" s="99"/>
      <c r="BB1419" s="99"/>
      <c r="BC1419" s="99"/>
      <c r="BD1419" s="99"/>
      <c r="BE1419" s="99"/>
      <c r="BF1419" s="99"/>
      <c r="BG1419" s="99"/>
      <c r="BH1419" s="99"/>
      <c r="BI1419" s="99"/>
      <c r="BJ1419" s="99"/>
      <c r="BK1419" s="99"/>
      <c r="BL1419" s="99"/>
      <c r="BM1419" s="99"/>
      <c r="BN1419" s="99"/>
      <c r="BO1419" s="99"/>
      <c r="BP1419" s="99"/>
      <c r="BQ1419" s="99"/>
      <c r="BR1419" s="99"/>
      <c r="BS1419" s="99"/>
      <c r="BT1419" s="99"/>
      <c r="BU1419" s="99"/>
      <c r="BV1419" s="99"/>
      <c r="BW1419" s="99"/>
      <c r="BX1419" s="99"/>
      <c r="BY1419" s="99"/>
      <c r="BZ1419" s="99"/>
      <c r="CA1419" s="99"/>
      <c r="CB1419" s="99"/>
      <c r="CC1419" s="99"/>
      <c r="CD1419" s="99"/>
      <c r="CE1419" s="99"/>
      <c r="CF1419" s="99"/>
      <c r="CG1419" s="99"/>
      <c r="CH1419" s="99"/>
      <c r="CI1419" s="99"/>
      <c r="CJ1419" s="621"/>
      <c r="CK1419" s="621"/>
      <c r="CL1419" s="621"/>
    </row>
    <row r="1420" spans="27:90">
      <c r="AA1420" s="350"/>
      <c r="AB1420" s="62"/>
      <c r="AC1420" s="62"/>
      <c r="AD1420" s="62"/>
      <c r="AP1420" s="88"/>
      <c r="AQ1420" s="88"/>
      <c r="AR1420" s="88"/>
      <c r="AS1420" s="99"/>
      <c r="AT1420" s="99"/>
      <c r="AU1420" s="99"/>
      <c r="AV1420" s="99"/>
      <c r="AW1420" s="99"/>
      <c r="AX1420" s="99"/>
      <c r="AY1420" s="99"/>
      <c r="AZ1420" s="99"/>
      <c r="BA1420" s="99"/>
      <c r="BB1420" s="99"/>
      <c r="BC1420" s="99"/>
      <c r="BD1420" s="99"/>
      <c r="BE1420" s="99"/>
      <c r="BF1420" s="99"/>
      <c r="BG1420" s="99"/>
      <c r="BH1420" s="99"/>
      <c r="BI1420" s="99"/>
      <c r="BJ1420" s="99"/>
      <c r="BK1420" s="99"/>
      <c r="BL1420" s="99"/>
      <c r="BM1420" s="99"/>
      <c r="BN1420" s="99"/>
      <c r="BO1420" s="99"/>
      <c r="BP1420" s="99"/>
      <c r="BQ1420" s="99"/>
      <c r="BR1420" s="99"/>
      <c r="BS1420" s="99"/>
      <c r="BT1420" s="99"/>
      <c r="BU1420" s="99"/>
      <c r="BV1420" s="99"/>
      <c r="BW1420" s="99"/>
      <c r="BX1420" s="99"/>
      <c r="BY1420" s="99"/>
      <c r="BZ1420" s="99"/>
      <c r="CA1420" s="99"/>
      <c r="CB1420" s="99"/>
      <c r="CC1420" s="99"/>
      <c r="CD1420" s="99"/>
      <c r="CE1420" s="99"/>
      <c r="CF1420" s="99"/>
      <c r="CG1420" s="99"/>
      <c r="CH1420" s="99"/>
      <c r="CI1420" s="99"/>
      <c r="CJ1420" s="621"/>
      <c r="CK1420" s="621"/>
      <c r="CL1420" s="621"/>
    </row>
    <row r="1421" spans="27:90">
      <c r="AA1421" s="350"/>
      <c r="AB1421" s="62"/>
      <c r="AC1421" s="62"/>
      <c r="AD1421" s="62"/>
      <c r="AP1421" s="88"/>
      <c r="AQ1421" s="88"/>
      <c r="AR1421" s="88"/>
      <c r="AS1421" s="99"/>
      <c r="AT1421" s="99"/>
      <c r="AU1421" s="99"/>
      <c r="AV1421" s="99"/>
      <c r="AW1421" s="99"/>
      <c r="AX1421" s="99"/>
      <c r="AY1421" s="99"/>
      <c r="AZ1421" s="99"/>
      <c r="BA1421" s="99"/>
      <c r="BB1421" s="99"/>
      <c r="BC1421" s="99"/>
      <c r="BD1421" s="99"/>
      <c r="BE1421" s="99"/>
      <c r="BF1421" s="99"/>
      <c r="BG1421" s="99"/>
      <c r="BH1421" s="99"/>
      <c r="BI1421" s="99"/>
      <c r="BJ1421" s="99"/>
      <c r="BK1421" s="99"/>
      <c r="BL1421" s="99"/>
      <c r="BM1421" s="99"/>
      <c r="BN1421" s="99"/>
      <c r="BO1421" s="99"/>
      <c r="BP1421" s="99"/>
      <c r="BQ1421" s="99"/>
      <c r="BR1421" s="99"/>
      <c r="BS1421" s="99"/>
      <c r="BT1421" s="99"/>
      <c r="BU1421" s="99"/>
      <c r="BV1421" s="99"/>
      <c r="BW1421" s="99"/>
      <c r="BX1421" s="99"/>
      <c r="BY1421" s="99"/>
      <c r="BZ1421" s="99"/>
      <c r="CA1421" s="99"/>
      <c r="CB1421" s="99"/>
      <c r="CC1421" s="99"/>
      <c r="CD1421" s="99"/>
      <c r="CE1421" s="99"/>
      <c r="CF1421" s="99"/>
      <c r="CG1421" s="99"/>
      <c r="CH1421" s="99"/>
      <c r="CI1421" s="99"/>
      <c r="CJ1421" s="621"/>
      <c r="CK1421" s="621"/>
      <c r="CL1421" s="621"/>
    </row>
    <row r="1422" spans="27:90">
      <c r="AA1422" s="350"/>
      <c r="AB1422" s="62"/>
      <c r="AC1422" s="62"/>
      <c r="AD1422" s="62"/>
      <c r="AP1422" s="88"/>
      <c r="AQ1422" s="88"/>
      <c r="AR1422" s="88"/>
      <c r="AS1422" s="99"/>
      <c r="AT1422" s="99"/>
      <c r="AU1422" s="99"/>
      <c r="AV1422" s="99"/>
      <c r="AW1422" s="99"/>
      <c r="AX1422" s="99"/>
      <c r="AY1422" s="99"/>
      <c r="AZ1422" s="99"/>
      <c r="BA1422" s="99"/>
      <c r="BB1422" s="99"/>
      <c r="BC1422" s="99"/>
      <c r="BD1422" s="99"/>
      <c r="BE1422" s="99"/>
      <c r="BF1422" s="99"/>
      <c r="BG1422" s="99"/>
      <c r="BH1422" s="99"/>
      <c r="BI1422" s="99"/>
      <c r="BJ1422" s="99"/>
      <c r="BK1422" s="99"/>
      <c r="BL1422" s="99"/>
      <c r="BM1422" s="99"/>
      <c r="BN1422" s="99"/>
      <c r="BO1422" s="99"/>
      <c r="BP1422" s="99"/>
      <c r="BQ1422" s="99"/>
      <c r="BR1422" s="99"/>
      <c r="BS1422" s="99"/>
      <c r="BT1422" s="99"/>
      <c r="BU1422" s="99"/>
      <c r="BV1422" s="99"/>
      <c r="BW1422" s="99"/>
      <c r="BX1422" s="99"/>
      <c r="BY1422" s="99"/>
      <c r="BZ1422" s="99"/>
      <c r="CA1422" s="99"/>
      <c r="CB1422" s="99"/>
      <c r="CC1422" s="99"/>
      <c r="CD1422" s="99"/>
      <c r="CE1422" s="99"/>
      <c r="CF1422" s="99"/>
      <c r="CG1422" s="99"/>
      <c r="CH1422" s="99"/>
      <c r="CI1422" s="99"/>
      <c r="CJ1422" s="621"/>
      <c r="CK1422" s="621"/>
      <c r="CL1422" s="621"/>
    </row>
    <row r="1423" spans="27:90">
      <c r="AA1423" s="350"/>
      <c r="AB1423" s="62"/>
      <c r="AC1423" s="62"/>
      <c r="AD1423" s="62"/>
      <c r="AP1423" s="88"/>
      <c r="AQ1423" s="88"/>
      <c r="AR1423" s="88"/>
      <c r="AS1423" s="99"/>
      <c r="AT1423" s="99"/>
      <c r="AU1423" s="99"/>
      <c r="AV1423" s="99"/>
      <c r="AW1423" s="99"/>
      <c r="AX1423" s="99"/>
      <c r="AY1423" s="99"/>
      <c r="AZ1423" s="99"/>
      <c r="BA1423" s="99"/>
      <c r="BB1423" s="99"/>
      <c r="BC1423" s="99"/>
      <c r="BD1423" s="99"/>
      <c r="BE1423" s="99"/>
      <c r="BF1423" s="99"/>
      <c r="BG1423" s="99"/>
      <c r="BH1423" s="99"/>
      <c r="BI1423" s="99"/>
      <c r="BJ1423" s="99"/>
      <c r="BK1423" s="99"/>
      <c r="BL1423" s="99"/>
      <c r="BM1423" s="99"/>
      <c r="BN1423" s="99"/>
      <c r="BO1423" s="99"/>
      <c r="BP1423" s="99"/>
      <c r="BQ1423" s="99"/>
      <c r="BR1423" s="99"/>
      <c r="BS1423" s="99"/>
      <c r="BT1423" s="99"/>
      <c r="BU1423" s="99"/>
      <c r="BV1423" s="99"/>
      <c r="BW1423" s="99"/>
      <c r="BX1423" s="99"/>
      <c r="BY1423" s="99"/>
      <c r="BZ1423" s="99"/>
      <c r="CA1423" s="99"/>
      <c r="CB1423" s="99"/>
      <c r="CC1423" s="99"/>
      <c r="CD1423" s="99"/>
      <c r="CE1423" s="99"/>
      <c r="CF1423" s="99"/>
      <c r="CG1423" s="99"/>
      <c r="CH1423" s="99"/>
      <c r="CI1423" s="99"/>
      <c r="CJ1423" s="621"/>
      <c r="CK1423" s="621"/>
      <c r="CL1423" s="621"/>
    </row>
    <row r="1424" spans="27:90">
      <c r="AA1424" s="350"/>
      <c r="AB1424" s="62"/>
      <c r="AC1424" s="62"/>
      <c r="AD1424" s="62"/>
      <c r="AP1424" s="88"/>
      <c r="AQ1424" s="88"/>
      <c r="AR1424" s="88"/>
      <c r="AS1424" s="99"/>
      <c r="AT1424" s="99"/>
      <c r="AU1424" s="99"/>
      <c r="AV1424" s="99"/>
      <c r="AW1424" s="99"/>
      <c r="AX1424" s="99"/>
      <c r="AY1424" s="99"/>
      <c r="AZ1424" s="99"/>
      <c r="BA1424" s="99"/>
      <c r="BB1424" s="99"/>
      <c r="BC1424" s="99"/>
      <c r="BD1424" s="99"/>
      <c r="BE1424" s="99"/>
      <c r="BF1424" s="99"/>
      <c r="BG1424" s="99"/>
      <c r="BH1424" s="99"/>
      <c r="BI1424" s="99"/>
      <c r="BJ1424" s="99"/>
      <c r="BK1424" s="99"/>
      <c r="BL1424" s="99"/>
      <c r="BM1424" s="99"/>
      <c r="BN1424" s="99"/>
      <c r="BO1424" s="99"/>
      <c r="BP1424" s="99"/>
      <c r="BQ1424" s="99"/>
      <c r="BR1424" s="99"/>
      <c r="BS1424" s="99"/>
      <c r="BT1424" s="99"/>
      <c r="BU1424" s="99"/>
      <c r="BV1424" s="99"/>
      <c r="BW1424" s="99"/>
      <c r="BX1424" s="99"/>
      <c r="BY1424" s="99"/>
      <c r="BZ1424" s="99"/>
      <c r="CA1424" s="99"/>
      <c r="CB1424" s="99"/>
      <c r="CC1424" s="99"/>
      <c r="CD1424" s="99"/>
      <c r="CE1424" s="99"/>
      <c r="CF1424" s="99"/>
      <c r="CG1424" s="99"/>
      <c r="CH1424" s="99"/>
      <c r="CI1424" s="99"/>
      <c r="CJ1424" s="621"/>
      <c r="CK1424" s="621"/>
      <c r="CL1424" s="621"/>
    </row>
    <row r="1425" spans="27:90">
      <c r="AA1425" s="350"/>
      <c r="AB1425" s="62"/>
      <c r="AC1425" s="62"/>
      <c r="AD1425" s="62"/>
      <c r="AP1425" s="88"/>
      <c r="AQ1425" s="88"/>
      <c r="AR1425" s="88"/>
      <c r="AS1425" s="99"/>
      <c r="AT1425" s="99"/>
      <c r="AU1425" s="99"/>
      <c r="AV1425" s="99"/>
      <c r="AW1425" s="99"/>
      <c r="AX1425" s="99"/>
      <c r="AY1425" s="99"/>
      <c r="AZ1425" s="99"/>
      <c r="BA1425" s="99"/>
      <c r="BB1425" s="99"/>
      <c r="BC1425" s="99"/>
      <c r="BD1425" s="99"/>
      <c r="BE1425" s="99"/>
      <c r="BF1425" s="99"/>
      <c r="BG1425" s="99"/>
      <c r="BH1425" s="99"/>
      <c r="BI1425" s="99"/>
      <c r="BJ1425" s="99"/>
      <c r="BK1425" s="99"/>
      <c r="BL1425" s="99"/>
      <c r="BM1425" s="99"/>
      <c r="BN1425" s="99"/>
      <c r="BO1425" s="99"/>
      <c r="BP1425" s="99"/>
      <c r="BQ1425" s="99"/>
      <c r="BR1425" s="99"/>
      <c r="BS1425" s="99"/>
      <c r="BT1425" s="99"/>
      <c r="BU1425" s="99"/>
      <c r="BV1425" s="99"/>
      <c r="BW1425" s="99"/>
      <c r="BX1425" s="99"/>
      <c r="BY1425" s="99"/>
      <c r="BZ1425" s="99"/>
      <c r="CA1425" s="99"/>
      <c r="CB1425" s="99"/>
      <c r="CC1425" s="99"/>
      <c r="CD1425" s="99"/>
      <c r="CE1425" s="99"/>
      <c r="CF1425" s="99"/>
      <c r="CG1425" s="99"/>
      <c r="CH1425" s="99"/>
      <c r="CI1425" s="99"/>
      <c r="CJ1425" s="621"/>
      <c r="CK1425" s="621"/>
      <c r="CL1425" s="621"/>
    </row>
    <row r="1426" spans="27:90">
      <c r="AA1426" s="350"/>
      <c r="AB1426" s="62"/>
      <c r="AC1426" s="62"/>
      <c r="AD1426" s="62"/>
      <c r="AP1426" s="88"/>
      <c r="AQ1426" s="88"/>
      <c r="AR1426" s="88"/>
      <c r="AS1426" s="99"/>
      <c r="AT1426" s="99"/>
      <c r="AU1426" s="99"/>
      <c r="AV1426" s="99"/>
      <c r="AW1426" s="99"/>
      <c r="AX1426" s="99"/>
      <c r="AY1426" s="99"/>
      <c r="AZ1426" s="99"/>
      <c r="BA1426" s="99"/>
      <c r="BB1426" s="99"/>
      <c r="BC1426" s="99"/>
      <c r="BD1426" s="99"/>
      <c r="BE1426" s="99"/>
      <c r="BF1426" s="99"/>
      <c r="BG1426" s="99"/>
      <c r="BH1426" s="99"/>
      <c r="BI1426" s="99"/>
      <c r="BJ1426" s="99"/>
      <c r="BK1426" s="99"/>
      <c r="BL1426" s="99"/>
      <c r="BM1426" s="99"/>
      <c r="BN1426" s="99"/>
      <c r="BO1426" s="99"/>
      <c r="BP1426" s="99"/>
      <c r="BQ1426" s="99"/>
      <c r="BR1426" s="99"/>
      <c r="BS1426" s="99"/>
      <c r="BT1426" s="99"/>
      <c r="BU1426" s="99"/>
      <c r="BV1426" s="99"/>
      <c r="BW1426" s="99"/>
      <c r="BX1426" s="99"/>
      <c r="BY1426" s="99"/>
      <c r="BZ1426" s="99"/>
      <c r="CA1426" s="99"/>
      <c r="CB1426" s="99"/>
      <c r="CC1426" s="99"/>
      <c r="CD1426" s="99"/>
      <c r="CE1426" s="99"/>
      <c r="CF1426" s="99"/>
      <c r="CG1426" s="99"/>
      <c r="CH1426" s="99"/>
      <c r="CI1426" s="99"/>
      <c r="CJ1426" s="621"/>
      <c r="CK1426" s="621"/>
      <c r="CL1426" s="621"/>
    </row>
    <row r="1427" spans="27:90">
      <c r="AA1427" s="350"/>
      <c r="AB1427" s="62"/>
      <c r="AC1427" s="62"/>
      <c r="AD1427" s="62"/>
      <c r="AP1427" s="88"/>
      <c r="AQ1427" s="88"/>
      <c r="AR1427" s="88"/>
      <c r="AS1427" s="99"/>
      <c r="AT1427" s="99"/>
      <c r="AU1427" s="99"/>
      <c r="AV1427" s="99"/>
      <c r="AW1427" s="99"/>
      <c r="AX1427" s="99"/>
      <c r="AY1427" s="99"/>
      <c r="AZ1427" s="99"/>
      <c r="BA1427" s="99"/>
      <c r="BB1427" s="99"/>
      <c r="BC1427" s="99"/>
      <c r="BD1427" s="99"/>
      <c r="BE1427" s="99"/>
      <c r="BF1427" s="99"/>
      <c r="BG1427" s="99"/>
      <c r="BH1427" s="99"/>
      <c r="BI1427" s="99"/>
      <c r="BJ1427" s="99"/>
      <c r="BK1427" s="99"/>
      <c r="BL1427" s="99"/>
      <c r="BM1427" s="99"/>
      <c r="BN1427" s="99"/>
      <c r="BO1427" s="99"/>
      <c r="BP1427" s="99"/>
      <c r="BQ1427" s="99"/>
      <c r="BR1427" s="99"/>
      <c r="BS1427" s="99"/>
      <c r="BT1427" s="99"/>
      <c r="BU1427" s="99"/>
      <c r="BV1427" s="99"/>
      <c r="BW1427" s="99"/>
      <c r="BX1427" s="99"/>
      <c r="BY1427" s="99"/>
      <c r="BZ1427" s="99"/>
      <c r="CA1427" s="99"/>
      <c r="CB1427" s="99"/>
      <c r="CC1427" s="99"/>
      <c r="CD1427" s="99"/>
      <c r="CE1427" s="99"/>
      <c r="CF1427" s="99"/>
      <c r="CG1427" s="99"/>
      <c r="CH1427" s="99"/>
      <c r="CI1427" s="99"/>
      <c r="CJ1427" s="621"/>
      <c r="CK1427" s="621"/>
      <c r="CL1427" s="621"/>
    </row>
    <row r="1428" spans="27:90">
      <c r="AA1428" s="350"/>
      <c r="AB1428" s="62"/>
      <c r="AC1428" s="62"/>
      <c r="AD1428" s="62"/>
      <c r="AP1428" s="88"/>
      <c r="AQ1428" s="88"/>
      <c r="AR1428" s="88"/>
      <c r="AS1428" s="99"/>
      <c r="AT1428" s="99"/>
      <c r="AU1428" s="99"/>
      <c r="AV1428" s="99"/>
      <c r="AW1428" s="99"/>
      <c r="AX1428" s="99"/>
      <c r="AY1428" s="99"/>
      <c r="AZ1428" s="99"/>
      <c r="BA1428" s="99"/>
      <c r="BB1428" s="99"/>
      <c r="BC1428" s="99"/>
      <c r="BD1428" s="99"/>
      <c r="BE1428" s="99"/>
      <c r="BF1428" s="99"/>
      <c r="BG1428" s="99"/>
      <c r="BH1428" s="99"/>
      <c r="BI1428" s="99"/>
      <c r="BJ1428" s="99"/>
      <c r="BK1428" s="99"/>
      <c r="BL1428" s="99"/>
      <c r="BM1428" s="99"/>
      <c r="BN1428" s="99"/>
      <c r="BO1428" s="99"/>
      <c r="BP1428" s="99"/>
      <c r="BQ1428" s="99"/>
      <c r="BR1428" s="99"/>
      <c r="BS1428" s="99"/>
      <c r="BT1428" s="99"/>
      <c r="BU1428" s="99"/>
      <c r="BV1428" s="99"/>
      <c r="BW1428" s="99"/>
      <c r="BX1428" s="99"/>
      <c r="BY1428" s="99"/>
      <c r="BZ1428" s="99"/>
      <c r="CA1428" s="99"/>
      <c r="CB1428" s="99"/>
      <c r="CC1428" s="99"/>
      <c r="CD1428" s="99"/>
      <c r="CE1428" s="99"/>
      <c r="CF1428" s="99"/>
      <c r="CG1428" s="99"/>
      <c r="CH1428" s="99"/>
      <c r="CI1428" s="99"/>
      <c r="CJ1428" s="621"/>
      <c r="CK1428" s="621"/>
      <c r="CL1428" s="621"/>
    </row>
    <row r="1429" spans="27:90">
      <c r="AA1429" s="350"/>
      <c r="AB1429" s="62"/>
      <c r="AC1429" s="62"/>
      <c r="AD1429" s="62"/>
      <c r="AP1429" s="88"/>
      <c r="AQ1429" s="88"/>
      <c r="AR1429" s="88"/>
      <c r="AS1429" s="99"/>
      <c r="AT1429" s="99"/>
      <c r="AU1429" s="99"/>
      <c r="AV1429" s="99"/>
      <c r="AW1429" s="99"/>
      <c r="AX1429" s="99"/>
      <c r="AY1429" s="99"/>
      <c r="AZ1429" s="99"/>
      <c r="BA1429" s="99"/>
      <c r="BB1429" s="99"/>
      <c r="BC1429" s="99"/>
      <c r="BD1429" s="99"/>
      <c r="BE1429" s="99"/>
      <c r="BF1429" s="99"/>
      <c r="BG1429" s="99"/>
      <c r="BH1429" s="99"/>
      <c r="BI1429" s="99"/>
      <c r="BJ1429" s="99"/>
      <c r="BK1429" s="99"/>
      <c r="BL1429" s="99"/>
      <c r="BM1429" s="99"/>
      <c r="BN1429" s="99"/>
      <c r="BO1429" s="99"/>
      <c r="BP1429" s="99"/>
      <c r="BQ1429" s="99"/>
      <c r="BR1429" s="99"/>
      <c r="BS1429" s="99"/>
      <c r="BT1429" s="99"/>
      <c r="BU1429" s="99"/>
      <c r="BV1429" s="99"/>
      <c r="BW1429" s="99"/>
      <c r="BX1429" s="99"/>
      <c r="BY1429" s="99"/>
      <c r="BZ1429" s="99"/>
      <c r="CA1429" s="99"/>
      <c r="CB1429" s="99"/>
      <c r="CC1429" s="99"/>
      <c r="CD1429" s="99"/>
      <c r="CE1429" s="99"/>
      <c r="CF1429" s="99"/>
      <c r="CG1429" s="99"/>
      <c r="CH1429" s="99"/>
      <c r="CI1429" s="99"/>
      <c r="CJ1429" s="621"/>
      <c r="CK1429" s="621"/>
      <c r="CL1429" s="621"/>
    </row>
    <row r="1430" spans="27:90">
      <c r="AA1430" s="350"/>
      <c r="AB1430" s="62"/>
      <c r="AC1430" s="62"/>
      <c r="AD1430" s="62"/>
      <c r="AP1430" s="88"/>
      <c r="AQ1430" s="88"/>
      <c r="AR1430" s="88"/>
      <c r="AS1430" s="99"/>
      <c r="AT1430" s="99"/>
      <c r="AU1430" s="99"/>
      <c r="AV1430" s="99"/>
      <c r="AW1430" s="99"/>
      <c r="AX1430" s="99"/>
      <c r="AY1430" s="99"/>
      <c r="AZ1430" s="99"/>
      <c r="BA1430" s="99"/>
      <c r="BB1430" s="99"/>
      <c r="BC1430" s="99"/>
      <c r="BD1430" s="99"/>
      <c r="BE1430" s="99"/>
      <c r="BF1430" s="99"/>
      <c r="BG1430" s="99"/>
      <c r="BH1430" s="99"/>
      <c r="BI1430" s="99"/>
      <c r="BJ1430" s="99"/>
      <c r="BK1430" s="99"/>
      <c r="BL1430" s="99"/>
      <c r="BM1430" s="99"/>
      <c r="BN1430" s="99"/>
      <c r="BO1430" s="99"/>
      <c r="BP1430" s="99"/>
      <c r="BQ1430" s="99"/>
      <c r="BR1430" s="99"/>
      <c r="BS1430" s="99"/>
      <c r="BT1430" s="99"/>
      <c r="BU1430" s="99"/>
      <c r="BV1430" s="99"/>
      <c r="BW1430" s="99"/>
      <c r="BX1430" s="99"/>
      <c r="BY1430" s="99"/>
      <c r="BZ1430" s="99"/>
      <c r="CA1430" s="99"/>
      <c r="CB1430" s="99"/>
      <c r="CC1430" s="99"/>
      <c r="CD1430" s="99"/>
      <c r="CE1430" s="99"/>
      <c r="CF1430" s="99"/>
      <c r="CG1430" s="99"/>
      <c r="CH1430" s="99"/>
      <c r="CI1430" s="99"/>
      <c r="CJ1430" s="621"/>
      <c r="CK1430" s="621"/>
      <c r="CL1430" s="621"/>
    </row>
    <row r="1431" spans="27:90">
      <c r="AA1431" s="350"/>
      <c r="AB1431" s="62"/>
      <c r="AC1431" s="62"/>
      <c r="AD1431" s="62"/>
      <c r="AP1431" s="88"/>
      <c r="AQ1431" s="88"/>
      <c r="AR1431" s="88"/>
      <c r="AS1431" s="99"/>
      <c r="AT1431" s="99"/>
      <c r="AU1431" s="99"/>
      <c r="AV1431" s="99"/>
      <c r="AW1431" s="99"/>
      <c r="AX1431" s="99"/>
      <c r="AY1431" s="99"/>
      <c r="AZ1431" s="99"/>
      <c r="BA1431" s="99"/>
      <c r="BB1431" s="99"/>
      <c r="BC1431" s="99"/>
      <c r="BD1431" s="99"/>
      <c r="BE1431" s="99"/>
      <c r="BF1431" s="99"/>
      <c r="BG1431" s="99"/>
      <c r="BH1431" s="99"/>
      <c r="BI1431" s="99"/>
      <c r="BJ1431" s="99"/>
      <c r="BK1431" s="99"/>
      <c r="BL1431" s="99"/>
      <c r="BM1431" s="99"/>
      <c r="BN1431" s="99"/>
      <c r="BO1431" s="99"/>
      <c r="BP1431" s="99"/>
      <c r="BQ1431" s="99"/>
      <c r="BR1431" s="99"/>
      <c r="BS1431" s="99"/>
      <c r="BT1431" s="99"/>
      <c r="BU1431" s="99"/>
      <c r="BV1431" s="99"/>
      <c r="BW1431" s="99"/>
      <c r="BX1431" s="99"/>
      <c r="BY1431" s="99"/>
      <c r="BZ1431" s="99"/>
      <c r="CA1431" s="99"/>
      <c r="CB1431" s="99"/>
      <c r="CC1431" s="99"/>
      <c r="CD1431" s="99"/>
      <c r="CE1431" s="99"/>
      <c r="CF1431" s="99"/>
      <c r="CG1431" s="99"/>
      <c r="CH1431" s="99"/>
      <c r="CI1431" s="99"/>
      <c r="CJ1431" s="621"/>
      <c r="CK1431" s="621"/>
      <c r="CL1431" s="621"/>
    </row>
    <row r="1432" spans="27:90">
      <c r="AA1432" s="350"/>
      <c r="AB1432" s="62"/>
      <c r="AC1432" s="62"/>
      <c r="AD1432" s="62"/>
      <c r="AP1432" s="88"/>
      <c r="AQ1432" s="88"/>
      <c r="AR1432" s="88"/>
      <c r="AS1432" s="99"/>
      <c r="AT1432" s="99"/>
      <c r="AU1432" s="99"/>
      <c r="AV1432" s="99"/>
      <c r="AW1432" s="99"/>
      <c r="AX1432" s="99"/>
      <c r="AY1432" s="99"/>
      <c r="AZ1432" s="99"/>
      <c r="BA1432" s="99"/>
      <c r="BB1432" s="99"/>
      <c r="BC1432" s="99"/>
      <c r="BD1432" s="99"/>
      <c r="BE1432" s="99"/>
      <c r="BF1432" s="99"/>
      <c r="BG1432" s="99"/>
      <c r="BH1432" s="99"/>
      <c r="BI1432" s="99"/>
      <c r="BJ1432" s="99"/>
      <c r="BK1432" s="99"/>
      <c r="BL1432" s="99"/>
      <c r="BM1432" s="99"/>
      <c r="BN1432" s="99"/>
      <c r="BO1432" s="99"/>
      <c r="BP1432" s="99"/>
      <c r="BQ1432" s="99"/>
      <c r="BR1432" s="99"/>
      <c r="BS1432" s="99"/>
      <c r="BT1432" s="99"/>
      <c r="BU1432" s="99"/>
      <c r="BV1432" s="99"/>
      <c r="BW1432" s="99"/>
      <c r="BX1432" s="99"/>
      <c r="BY1432" s="99"/>
      <c r="BZ1432" s="99"/>
      <c r="CA1432" s="99"/>
      <c r="CB1432" s="99"/>
      <c r="CC1432" s="99"/>
      <c r="CD1432" s="99"/>
      <c r="CE1432" s="99"/>
      <c r="CF1432" s="99"/>
      <c r="CG1432" s="99"/>
      <c r="CH1432" s="99"/>
      <c r="CI1432" s="99"/>
      <c r="CJ1432" s="621"/>
      <c r="CK1432" s="621"/>
      <c r="CL1432" s="621"/>
    </row>
    <row r="1433" spans="27:90">
      <c r="AA1433" s="350"/>
      <c r="AB1433" s="62"/>
      <c r="AC1433" s="62"/>
      <c r="AD1433" s="62"/>
      <c r="AP1433" s="88"/>
      <c r="AQ1433" s="88"/>
      <c r="AR1433" s="88"/>
      <c r="AS1433" s="99"/>
      <c r="AT1433" s="99"/>
      <c r="AU1433" s="99"/>
      <c r="AV1433" s="99"/>
      <c r="AW1433" s="99"/>
      <c r="AX1433" s="99"/>
      <c r="AY1433" s="99"/>
      <c r="AZ1433" s="99"/>
      <c r="BA1433" s="99"/>
      <c r="BB1433" s="99"/>
      <c r="BC1433" s="99"/>
      <c r="BD1433" s="99"/>
      <c r="BE1433" s="99"/>
      <c r="BF1433" s="99"/>
      <c r="BG1433" s="99"/>
      <c r="BH1433" s="99"/>
      <c r="BI1433" s="99"/>
      <c r="BJ1433" s="99"/>
      <c r="BK1433" s="99"/>
      <c r="BL1433" s="99"/>
      <c r="BM1433" s="99"/>
      <c r="BN1433" s="99"/>
      <c r="BO1433" s="99"/>
      <c r="BP1433" s="99"/>
      <c r="BQ1433" s="99"/>
      <c r="BR1433" s="99"/>
      <c r="BS1433" s="99"/>
      <c r="BT1433" s="99"/>
      <c r="BU1433" s="99"/>
      <c r="BV1433" s="99"/>
      <c r="BW1433" s="99"/>
      <c r="BX1433" s="99"/>
      <c r="BY1433" s="99"/>
      <c r="BZ1433" s="99"/>
      <c r="CA1433" s="99"/>
      <c r="CB1433" s="99"/>
      <c r="CC1433" s="99"/>
      <c r="CD1433" s="99"/>
      <c r="CE1433" s="99"/>
      <c r="CF1433" s="99"/>
      <c r="CG1433" s="99"/>
      <c r="CH1433" s="99"/>
      <c r="CI1433" s="99"/>
      <c r="CJ1433" s="621"/>
      <c r="CK1433" s="621"/>
      <c r="CL1433" s="621"/>
    </row>
    <row r="1434" spans="27:90">
      <c r="AA1434" s="350"/>
      <c r="AB1434" s="62"/>
      <c r="AC1434" s="62"/>
      <c r="AD1434" s="62"/>
      <c r="AP1434" s="88"/>
      <c r="AQ1434" s="88"/>
      <c r="AR1434" s="88"/>
      <c r="AS1434" s="99"/>
      <c r="AT1434" s="99"/>
      <c r="AU1434" s="99"/>
      <c r="AV1434" s="99"/>
      <c r="AW1434" s="99"/>
      <c r="AX1434" s="99"/>
      <c r="AY1434" s="99"/>
      <c r="AZ1434" s="99"/>
      <c r="BA1434" s="99"/>
      <c r="BB1434" s="99"/>
      <c r="BC1434" s="99"/>
      <c r="BD1434" s="99"/>
      <c r="BE1434" s="99"/>
      <c r="BF1434" s="99"/>
      <c r="BG1434" s="99"/>
      <c r="BH1434" s="99"/>
      <c r="BI1434" s="99"/>
      <c r="BJ1434" s="99"/>
      <c r="BK1434" s="99"/>
      <c r="BL1434" s="99"/>
      <c r="BM1434" s="99"/>
      <c r="BN1434" s="99"/>
      <c r="BO1434" s="99"/>
      <c r="BP1434" s="99"/>
      <c r="BQ1434" s="99"/>
      <c r="BR1434" s="99"/>
      <c r="BS1434" s="99"/>
      <c r="BT1434" s="99"/>
      <c r="BU1434" s="99"/>
      <c r="BV1434" s="99"/>
      <c r="BW1434" s="99"/>
      <c r="BX1434" s="99"/>
      <c r="BY1434" s="99"/>
      <c r="BZ1434" s="99"/>
      <c r="CA1434" s="99"/>
      <c r="CB1434" s="99"/>
      <c r="CC1434" s="99"/>
      <c r="CD1434" s="99"/>
      <c r="CE1434" s="99"/>
      <c r="CF1434" s="99"/>
      <c r="CG1434" s="99"/>
      <c r="CH1434" s="99"/>
      <c r="CI1434" s="99"/>
      <c r="CJ1434" s="621"/>
      <c r="CK1434" s="621"/>
      <c r="CL1434" s="621"/>
    </row>
    <row r="1435" spans="27:90">
      <c r="AA1435" s="350"/>
      <c r="AB1435" s="62"/>
      <c r="AC1435" s="62"/>
      <c r="AD1435" s="62"/>
      <c r="AP1435" s="88"/>
      <c r="AQ1435" s="88"/>
      <c r="AR1435" s="88"/>
      <c r="AS1435" s="99"/>
      <c r="AT1435" s="99"/>
      <c r="AU1435" s="99"/>
      <c r="AV1435" s="99"/>
      <c r="AW1435" s="99"/>
      <c r="AX1435" s="99"/>
      <c r="AY1435" s="99"/>
      <c r="AZ1435" s="99"/>
      <c r="BA1435" s="99"/>
      <c r="BB1435" s="99"/>
      <c r="BC1435" s="99"/>
      <c r="BD1435" s="99"/>
      <c r="BE1435" s="99"/>
      <c r="BF1435" s="99"/>
      <c r="BG1435" s="99"/>
      <c r="BH1435" s="99"/>
      <c r="BI1435" s="99"/>
      <c r="BJ1435" s="99"/>
      <c r="BK1435" s="99"/>
      <c r="BL1435" s="99"/>
      <c r="BM1435" s="99"/>
      <c r="BN1435" s="99"/>
      <c r="BO1435" s="99"/>
      <c r="BP1435" s="99"/>
      <c r="BQ1435" s="99"/>
      <c r="BR1435" s="99"/>
      <c r="BS1435" s="99"/>
      <c r="BT1435" s="99"/>
      <c r="BU1435" s="99"/>
      <c r="BV1435" s="99"/>
      <c r="BW1435" s="99"/>
      <c r="BX1435" s="99"/>
      <c r="BY1435" s="99"/>
      <c r="BZ1435" s="99"/>
      <c r="CA1435" s="99"/>
      <c r="CB1435" s="99"/>
      <c r="CC1435" s="99"/>
      <c r="CD1435" s="99"/>
      <c r="CE1435" s="99"/>
      <c r="CF1435" s="99"/>
      <c r="CG1435" s="99"/>
      <c r="CH1435" s="99"/>
      <c r="CI1435" s="99"/>
      <c r="CJ1435" s="621"/>
      <c r="CK1435" s="621"/>
      <c r="CL1435" s="621"/>
    </row>
    <row r="1436" spans="27:90">
      <c r="AA1436" s="350"/>
      <c r="AB1436" s="62"/>
      <c r="AC1436" s="62"/>
      <c r="AD1436" s="62"/>
      <c r="AP1436" s="88"/>
      <c r="AQ1436" s="88"/>
      <c r="AR1436" s="88"/>
      <c r="AS1436" s="99"/>
      <c r="AT1436" s="99"/>
      <c r="AU1436" s="99"/>
      <c r="AV1436" s="99"/>
      <c r="AW1436" s="99"/>
      <c r="AX1436" s="99"/>
      <c r="AY1436" s="99"/>
      <c r="AZ1436" s="99"/>
      <c r="BA1436" s="99"/>
      <c r="BB1436" s="99"/>
      <c r="BC1436" s="99"/>
      <c r="BD1436" s="99"/>
      <c r="BE1436" s="99"/>
      <c r="BF1436" s="99"/>
      <c r="BG1436" s="99"/>
      <c r="BH1436" s="99"/>
      <c r="BI1436" s="99"/>
      <c r="BJ1436" s="99"/>
      <c r="BK1436" s="99"/>
      <c r="BL1436" s="99"/>
      <c r="BM1436" s="99"/>
      <c r="BN1436" s="99"/>
      <c r="BO1436" s="99"/>
      <c r="BP1436" s="99"/>
      <c r="BQ1436" s="99"/>
      <c r="BR1436" s="99"/>
      <c r="BS1436" s="99"/>
      <c r="BT1436" s="99"/>
      <c r="BU1436" s="99"/>
      <c r="BV1436" s="99"/>
      <c r="BW1436" s="99"/>
      <c r="BX1436" s="99"/>
      <c r="BY1436" s="99"/>
      <c r="BZ1436" s="99"/>
      <c r="CA1436" s="99"/>
      <c r="CB1436" s="99"/>
      <c r="CC1436" s="99"/>
      <c r="CD1436" s="99"/>
      <c r="CE1436" s="99"/>
      <c r="CF1436" s="99"/>
      <c r="CG1436" s="99"/>
      <c r="CH1436" s="99"/>
      <c r="CI1436" s="99"/>
      <c r="CJ1436" s="621"/>
      <c r="CK1436" s="621"/>
      <c r="CL1436" s="621"/>
    </row>
    <row r="1437" spans="27:90">
      <c r="AA1437" s="350"/>
      <c r="AB1437" s="62"/>
      <c r="AC1437" s="62"/>
      <c r="AD1437" s="62"/>
      <c r="AP1437" s="88"/>
      <c r="AQ1437" s="88"/>
      <c r="AR1437" s="88"/>
      <c r="AS1437" s="99"/>
      <c r="AT1437" s="99"/>
      <c r="AU1437" s="99"/>
      <c r="AV1437" s="99"/>
      <c r="AW1437" s="99"/>
      <c r="AX1437" s="99"/>
      <c r="AY1437" s="99"/>
      <c r="AZ1437" s="99"/>
      <c r="BA1437" s="99"/>
      <c r="BB1437" s="99"/>
      <c r="BC1437" s="99"/>
      <c r="BD1437" s="99"/>
      <c r="BE1437" s="99"/>
      <c r="BF1437" s="99"/>
      <c r="BG1437" s="99"/>
      <c r="BH1437" s="99"/>
      <c r="BI1437" s="99"/>
      <c r="BJ1437" s="99"/>
      <c r="BK1437" s="99"/>
      <c r="BL1437" s="99"/>
      <c r="BM1437" s="99"/>
      <c r="BN1437" s="99"/>
      <c r="BO1437" s="99"/>
      <c r="BP1437" s="99"/>
      <c r="BQ1437" s="99"/>
      <c r="BR1437" s="99"/>
      <c r="BS1437" s="99"/>
      <c r="BT1437" s="99"/>
      <c r="BU1437" s="99"/>
      <c r="BV1437" s="99"/>
      <c r="BW1437" s="99"/>
      <c r="BX1437" s="99"/>
      <c r="BY1437" s="99"/>
      <c r="BZ1437" s="99"/>
      <c r="CA1437" s="99"/>
      <c r="CB1437" s="99"/>
      <c r="CC1437" s="99"/>
      <c r="CD1437" s="99"/>
      <c r="CE1437" s="99"/>
      <c r="CF1437" s="99"/>
      <c r="CG1437" s="99"/>
      <c r="CH1437" s="99"/>
      <c r="CI1437" s="99"/>
      <c r="CJ1437" s="621"/>
      <c r="CK1437" s="621"/>
      <c r="CL1437" s="621"/>
    </row>
    <row r="1438" spans="27:90">
      <c r="AA1438" s="350"/>
      <c r="AB1438" s="62"/>
      <c r="AC1438" s="62"/>
      <c r="AD1438" s="62"/>
      <c r="AP1438" s="88"/>
      <c r="AQ1438" s="88"/>
      <c r="AR1438" s="88"/>
      <c r="AS1438" s="99"/>
      <c r="AT1438" s="99"/>
      <c r="AU1438" s="99"/>
      <c r="AV1438" s="99"/>
      <c r="AW1438" s="99"/>
      <c r="AX1438" s="99"/>
      <c r="AY1438" s="99"/>
      <c r="AZ1438" s="99"/>
      <c r="BA1438" s="99"/>
      <c r="BB1438" s="99"/>
      <c r="BC1438" s="99"/>
      <c r="BD1438" s="99"/>
      <c r="BE1438" s="99"/>
      <c r="BF1438" s="99"/>
      <c r="BG1438" s="99"/>
      <c r="BH1438" s="99"/>
      <c r="BI1438" s="99"/>
      <c r="BJ1438" s="99"/>
      <c r="BK1438" s="99"/>
      <c r="BL1438" s="99"/>
      <c r="BM1438" s="99"/>
      <c r="BN1438" s="99"/>
      <c r="BO1438" s="99"/>
      <c r="BP1438" s="99"/>
      <c r="BQ1438" s="99"/>
      <c r="BR1438" s="99"/>
      <c r="BS1438" s="99"/>
      <c r="BT1438" s="99"/>
      <c r="BU1438" s="99"/>
      <c r="BV1438" s="99"/>
      <c r="BW1438" s="99"/>
      <c r="BX1438" s="99"/>
      <c r="BY1438" s="99"/>
      <c r="BZ1438" s="99"/>
      <c r="CA1438" s="99"/>
      <c r="CB1438" s="99"/>
      <c r="CC1438" s="99"/>
      <c r="CD1438" s="99"/>
      <c r="CE1438" s="99"/>
      <c r="CF1438" s="99"/>
      <c r="CG1438" s="99"/>
      <c r="CH1438" s="99"/>
      <c r="CI1438" s="99"/>
      <c r="CJ1438" s="621"/>
      <c r="CK1438" s="621"/>
      <c r="CL1438" s="621"/>
    </row>
    <row r="1439" spans="27:90">
      <c r="AA1439" s="350"/>
      <c r="AB1439" s="62"/>
      <c r="AC1439" s="62"/>
      <c r="AD1439" s="62"/>
      <c r="AP1439" s="88"/>
      <c r="AQ1439" s="88"/>
      <c r="AR1439" s="88"/>
      <c r="AS1439" s="99"/>
      <c r="AT1439" s="99"/>
      <c r="AU1439" s="99"/>
      <c r="AV1439" s="99"/>
      <c r="AW1439" s="99"/>
      <c r="AX1439" s="99"/>
      <c r="AY1439" s="99"/>
      <c r="AZ1439" s="99"/>
      <c r="BA1439" s="99"/>
      <c r="BB1439" s="99"/>
      <c r="BC1439" s="99"/>
      <c r="BD1439" s="99"/>
      <c r="BE1439" s="99"/>
      <c r="BF1439" s="99"/>
      <c r="BG1439" s="99"/>
      <c r="BH1439" s="99"/>
      <c r="BI1439" s="99"/>
      <c r="BJ1439" s="99"/>
      <c r="BK1439" s="99"/>
      <c r="BL1439" s="99"/>
      <c r="BM1439" s="99"/>
      <c r="BN1439" s="99"/>
      <c r="BO1439" s="99"/>
      <c r="BP1439" s="99"/>
      <c r="BQ1439" s="99"/>
      <c r="BR1439" s="99"/>
      <c r="BS1439" s="99"/>
      <c r="BT1439" s="99"/>
      <c r="BU1439" s="99"/>
      <c r="BV1439" s="99"/>
      <c r="BW1439" s="99"/>
      <c r="BX1439" s="99"/>
      <c r="BY1439" s="99"/>
      <c r="BZ1439" s="99"/>
      <c r="CA1439" s="99"/>
      <c r="CB1439" s="99"/>
      <c r="CC1439" s="99"/>
      <c r="CD1439" s="99"/>
      <c r="CE1439" s="99"/>
      <c r="CF1439" s="99"/>
      <c r="CG1439" s="99"/>
      <c r="CH1439" s="99"/>
      <c r="CI1439" s="99"/>
      <c r="CJ1439" s="621"/>
      <c r="CK1439" s="621"/>
      <c r="CL1439" s="621"/>
    </row>
    <row r="1440" spans="27:90">
      <c r="AA1440" s="350"/>
      <c r="AB1440" s="62"/>
      <c r="AC1440" s="62"/>
      <c r="AD1440" s="62"/>
      <c r="AP1440" s="88"/>
      <c r="AQ1440" s="88"/>
      <c r="AR1440" s="88"/>
      <c r="AS1440" s="99"/>
      <c r="AT1440" s="99"/>
      <c r="AU1440" s="99"/>
      <c r="AV1440" s="99"/>
      <c r="AW1440" s="99"/>
      <c r="AX1440" s="99"/>
      <c r="AY1440" s="99"/>
      <c r="AZ1440" s="99"/>
      <c r="BA1440" s="99"/>
      <c r="BB1440" s="99"/>
      <c r="BC1440" s="99"/>
      <c r="BD1440" s="99"/>
      <c r="BE1440" s="99"/>
      <c r="BF1440" s="99"/>
      <c r="BG1440" s="99"/>
      <c r="BH1440" s="99"/>
      <c r="BI1440" s="99"/>
      <c r="BJ1440" s="99"/>
      <c r="BK1440" s="99"/>
      <c r="BL1440" s="99"/>
      <c r="BM1440" s="99"/>
      <c r="BN1440" s="99"/>
      <c r="BO1440" s="99"/>
      <c r="BP1440" s="99"/>
      <c r="BQ1440" s="99"/>
      <c r="BR1440" s="99"/>
      <c r="BS1440" s="99"/>
      <c r="BT1440" s="99"/>
      <c r="BU1440" s="99"/>
      <c r="BV1440" s="99"/>
      <c r="BW1440" s="99"/>
      <c r="BX1440" s="99"/>
      <c r="BY1440" s="99"/>
      <c r="BZ1440" s="99"/>
      <c r="CA1440" s="99"/>
      <c r="CB1440" s="99"/>
      <c r="CC1440" s="99"/>
      <c r="CD1440" s="99"/>
      <c r="CE1440" s="99"/>
      <c r="CF1440" s="99"/>
      <c r="CG1440" s="99"/>
      <c r="CH1440" s="99"/>
      <c r="CI1440" s="99"/>
      <c r="CJ1440" s="621"/>
      <c r="CK1440" s="621"/>
      <c r="CL1440" s="621"/>
    </row>
    <row r="1441" spans="27:90">
      <c r="AA1441" s="350"/>
      <c r="AB1441" s="62"/>
      <c r="AC1441" s="62"/>
      <c r="AD1441" s="62"/>
      <c r="AP1441" s="88"/>
      <c r="AQ1441" s="88"/>
      <c r="AR1441" s="88"/>
      <c r="AS1441" s="99"/>
      <c r="AT1441" s="99"/>
      <c r="AU1441" s="99"/>
      <c r="AV1441" s="99"/>
      <c r="AW1441" s="99"/>
      <c r="AX1441" s="99"/>
      <c r="AY1441" s="99"/>
      <c r="AZ1441" s="99"/>
      <c r="BA1441" s="99"/>
      <c r="BB1441" s="99"/>
      <c r="BC1441" s="99"/>
      <c r="BD1441" s="99"/>
      <c r="BE1441" s="99"/>
      <c r="BF1441" s="99"/>
      <c r="BG1441" s="99"/>
      <c r="BH1441" s="99"/>
      <c r="BI1441" s="99"/>
      <c r="BJ1441" s="99"/>
      <c r="BK1441" s="99"/>
      <c r="BL1441" s="99"/>
      <c r="BM1441" s="99"/>
      <c r="BN1441" s="99"/>
      <c r="BO1441" s="99"/>
      <c r="BP1441" s="99"/>
      <c r="BQ1441" s="99"/>
      <c r="BR1441" s="99"/>
      <c r="BS1441" s="99"/>
      <c r="BT1441" s="99"/>
      <c r="BU1441" s="99"/>
      <c r="BV1441" s="99"/>
      <c r="BW1441" s="99"/>
      <c r="BX1441" s="99"/>
      <c r="BY1441" s="99"/>
      <c r="BZ1441" s="99"/>
      <c r="CA1441" s="99"/>
      <c r="CB1441" s="99"/>
      <c r="CC1441" s="99"/>
      <c r="CD1441" s="99"/>
      <c r="CE1441" s="99"/>
      <c r="CF1441" s="99"/>
      <c r="CG1441" s="99"/>
      <c r="CH1441" s="99"/>
      <c r="CI1441" s="99"/>
      <c r="CJ1441" s="621"/>
      <c r="CK1441" s="621"/>
      <c r="CL1441" s="621"/>
    </row>
    <row r="1442" spans="27:90">
      <c r="AA1442" s="350"/>
      <c r="AB1442" s="62"/>
      <c r="AC1442" s="62"/>
      <c r="AD1442" s="62"/>
      <c r="AP1442" s="88"/>
      <c r="AQ1442" s="88"/>
      <c r="AR1442" s="88"/>
      <c r="AS1442" s="99"/>
      <c r="AT1442" s="99"/>
      <c r="AU1442" s="99"/>
      <c r="AV1442" s="99"/>
      <c r="AW1442" s="99"/>
      <c r="AX1442" s="99"/>
      <c r="AY1442" s="99"/>
      <c r="AZ1442" s="99"/>
      <c r="BA1442" s="99"/>
      <c r="BB1442" s="99"/>
      <c r="BC1442" s="99"/>
      <c r="BD1442" s="99"/>
      <c r="BE1442" s="99"/>
      <c r="BF1442" s="99"/>
      <c r="BG1442" s="99"/>
      <c r="BH1442" s="99"/>
      <c r="BI1442" s="99"/>
      <c r="BJ1442" s="99"/>
      <c r="BK1442" s="99"/>
      <c r="BL1442" s="99"/>
      <c r="BM1442" s="99"/>
      <c r="BN1442" s="99"/>
      <c r="BO1442" s="99"/>
      <c r="BP1442" s="99"/>
      <c r="BQ1442" s="99"/>
      <c r="BR1442" s="99"/>
      <c r="BS1442" s="99"/>
      <c r="BT1442" s="99"/>
      <c r="BU1442" s="99"/>
      <c r="BV1442" s="99"/>
      <c r="BW1442" s="99"/>
      <c r="BX1442" s="99"/>
      <c r="BY1442" s="99"/>
      <c r="BZ1442" s="99"/>
      <c r="CA1442" s="99"/>
      <c r="CB1442" s="99"/>
      <c r="CC1442" s="99"/>
      <c r="CD1442" s="99"/>
      <c r="CE1442" s="99"/>
      <c r="CF1442" s="99"/>
      <c r="CG1442" s="99"/>
      <c r="CH1442" s="99"/>
      <c r="CI1442" s="99"/>
      <c r="CJ1442" s="621"/>
      <c r="CK1442" s="621"/>
      <c r="CL1442" s="621"/>
    </row>
    <row r="1443" spans="27:90">
      <c r="AA1443" s="350"/>
      <c r="AB1443" s="62"/>
      <c r="AC1443" s="62"/>
      <c r="AD1443" s="62"/>
      <c r="AP1443" s="88"/>
      <c r="AQ1443" s="88"/>
      <c r="AR1443" s="88"/>
      <c r="AS1443" s="99"/>
      <c r="AT1443" s="99"/>
      <c r="AU1443" s="99"/>
      <c r="AV1443" s="99"/>
      <c r="AW1443" s="99"/>
      <c r="AX1443" s="99"/>
      <c r="AY1443" s="99"/>
      <c r="AZ1443" s="99"/>
      <c r="BA1443" s="99"/>
      <c r="BB1443" s="99"/>
      <c r="BC1443" s="99"/>
      <c r="BD1443" s="99"/>
      <c r="BE1443" s="99"/>
      <c r="BF1443" s="99"/>
      <c r="BG1443" s="99"/>
      <c r="BH1443" s="99"/>
      <c r="BI1443" s="99"/>
      <c r="BJ1443" s="99"/>
      <c r="BK1443" s="99"/>
      <c r="BL1443" s="99"/>
      <c r="BM1443" s="99"/>
      <c r="BN1443" s="99"/>
      <c r="BO1443" s="99"/>
      <c r="BP1443" s="99"/>
      <c r="BQ1443" s="99"/>
      <c r="BR1443" s="99"/>
      <c r="BS1443" s="99"/>
      <c r="BT1443" s="99"/>
      <c r="BU1443" s="99"/>
      <c r="BV1443" s="99"/>
      <c r="BW1443" s="99"/>
      <c r="BX1443" s="99"/>
      <c r="BY1443" s="99"/>
      <c r="BZ1443" s="99"/>
      <c r="CA1443" s="99"/>
      <c r="CB1443" s="99"/>
      <c r="CC1443" s="99"/>
      <c r="CD1443" s="99"/>
      <c r="CE1443" s="99"/>
      <c r="CF1443" s="99"/>
      <c r="CG1443" s="99"/>
      <c r="CH1443" s="99"/>
      <c r="CI1443" s="99"/>
      <c r="CJ1443" s="621"/>
      <c r="CK1443" s="621"/>
      <c r="CL1443" s="621"/>
    </row>
    <row r="1444" spans="27:90">
      <c r="AA1444" s="350"/>
      <c r="AB1444" s="62"/>
      <c r="AC1444" s="62"/>
      <c r="AD1444" s="62"/>
      <c r="AP1444" s="88"/>
      <c r="AQ1444" s="88"/>
      <c r="AR1444" s="88"/>
      <c r="AS1444" s="99"/>
      <c r="AT1444" s="99"/>
      <c r="AU1444" s="99"/>
      <c r="AV1444" s="99"/>
      <c r="AW1444" s="99"/>
      <c r="AX1444" s="99"/>
      <c r="AY1444" s="99"/>
      <c r="AZ1444" s="99"/>
      <c r="BA1444" s="99"/>
      <c r="BB1444" s="99"/>
      <c r="BC1444" s="99"/>
      <c r="BD1444" s="99"/>
      <c r="BE1444" s="99"/>
      <c r="BF1444" s="99"/>
      <c r="BG1444" s="99"/>
      <c r="BH1444" s="99"/>
      <c r="BI1444" s="99"/>
      <c r="BJ1444" s="99"/>
      <c r="BK1444" s="99"/>
      <c r="BL1444" s="99"/>
      <c r="BM1444" s="99"/>
      <c r="BN1444" s="99"/>
      <c r="BO1444" s="99"/>
      <c r="BP1444" s="99"/>
      <c r="BQ1444" s="99"/>
      <c r="BR1444" s="99"/>
      <c r="BS1444" s="99"/>
      <c r="BT1444" s="99"/>
      <c r="BU1444" s="99"/>
      <c r="BV1444" s="99"/>
      <c r="BW1444" s="99"/>
      <c r="BX1444" s="99"/>
      <c r="BY1444" s="99"/>
      <c r="BZ1444" s="99"/>
      <c r="CA1444" s="99"/>
      <c r="CB1444" s="99"/>
      <c r="CC1444" s="99"/>
      <c r="CD1444" s="99"/>
      <c r="CE1444" s="99"/>
      <c r="CF1444" s="99"/>
      <c r="CG1444" s="99"/>
      <c r="CH1444" s="99"/>
      <c r="CI1444" s="99"/>
      <c r="CJ1444" s="621"/>
      <c r="CK1444" s="621"/>
      <c r="CL1444" s="621"/>
    </row>
    <row r="1445" spans="27:90">
      <c r="AA1445" s="350"/>
      <c r="AB1445" s="62"/>
      <c r="AC1445" s="62"/>
      <c r="AD1445" s="62"/>
      <c r="AP1445" s="88"/>
      <c r="AQ1445" s="88"/>
      <c r="AR1445" s="88"/>
      <c r="AS1445" s="99"/>
      <c r="AT1445" s="99"/>
      <c r="AU1445" s="99"/>
      <c r="AV1445" s="99"/>
      <c r="AW1445" s="99"/>
      <c r="AX1445" s="99"/>
      <c r="AY1445" s="99"/>
      <c r="AZ1445" s="99"/>
      <c r="BA1445" s="99"/>
      <c r="BB1445" s="99"/>
      <c r="BC1445" s="99"/>
      <c r="BD1445" s="99"/>
      <c r="BE1445" s="99"/>
      <c r="BF1445" s="99"/>
      <c r="BG1445" s="99"/>
      <c r="BH1445" s="99"/>
      <c r="BI1445" s="99"/>
      <c r="BJ1445" s="99"/>
      <c r="BK1445" s="99"/>
      <c r="BL1445" s="99"/>
      <c r="BM1445" s="99"/>
      <c r="BN1445" s="99"/>
      <c r="BO1445" s="99"/>
      <c r="BP1445" s="99"/>
      <c r="BQ1445" s="99"/>
      <c r="BR1445" s="99"/>
      <c r="BS1445" s="99"/>
      <c r="BT1445" s="99"/>
      <c r="BU1445" s="99"/>
      <c r="BV1445" s="99"/>
      <c r="BW1445" s="99"/>
      <c r="BX1445" s="99"/>
      <c r="BY1445" s="99"/>
      <c r="BZ1445" s="99"/>
      <c r="CA1445" s="99"/>
      <c r="CB1445" s="99"/>
      <c r="CC1445" s="99"/>
      <c r="CD1445" s="99"/>
      <c r="CE1445" s="99"/>
      <c r="CF1445" s="99"/>
      <c r="CG1445" s="99"/>
      <c r="CH1445" s="99"/>
      <c r="CI1445" s="99"/>
      <c r="CJ1445" s="621"/>
      <c r="CK1445" s="621"/>
      <c r="CL1445" s="621"/>
    </row>
    <row r="1446" spans="27:90">
      <c r="AA1446" s="350"/>
      <c r="AB1446" s="62"/>
      <c r="AC1446" s="62"/>
      <c r="AD1446" s="62"/>
      <c r="AP1446" s="88"/>
      <c r="AQ1446" s="88"/>
      <c r="AR1446" s="88"/>
      <c r="AS1446" s="99"/>
      <c r="AT1446" s="99"/>
      <c r="AU1446" s="99"/>
      <c r="AV1446" s="99"/>
      <c r="AW1446" s="99"/>
      <c r="AX1446" s="99"/>
      <c r="AY1446" s="99"/>
      <c r="AZ1446" s="99"/>
      <c r="BA1446" s="99"/>
      <c r="BB1446" s="99"/>
      <c r="BC1446" s="99"/>
      <c r="BD1446" s="99"/>
      <c r="BE1446" s="99"/>
      <c r="BF1446" s="99"/>
      <c r="BG1446" s="99"/>
      <c r="BH1446" s="99"/>
      <c r="BI1446" s="99"/>
      <c r="BJ1446" s="99"/>
      <c r="BK1446" s="99"/>
      <c r="BL1446" s="99"/>
      <c r="BM1446" s="99"/>
      <c r="BN1446" s="99"/>
      <c r="BO1446" s="99"/>
      <c r="BP1446" s="99"/>
      <c r="BQ1446" s="99"/>
      <c r="BR1446" s="99"/>
      <c r="BS1446" s="99"/>
      <c r="BT1446" s="99"/>
      <c r="BU1446" s="99"/>
      <c r="BV1446" s="99"/>
      <c r="BW1446" s="99"/>
      <c r="BX1446" s="99"/>
      <c r="BY1446" s="99"/>
      <c r="BZ1446" s="99"/>
      <c r="CA1446" s="99"/>
      <c r="CB1446" s="99"/>
      <c r="CC1446" s="99"/>
      <c r="CD1446" s="99"/>
      <c r="CE1446" s="99"/>
      <c r="CF1446" s="99"/>
      <c r="CG1446" s="99"/>
      <c r="CH1446" s="99"/>
      <c r="CI1446" s="99"/>
      <c r="CJ1446" s="621"/>
      <c r="CK1446" s="621"/>
      <c r="CL1446" s="621"/>
    </row>
    <row r="1447" spans="27:90">
      <c r="AA1447" s="350"/>
      <c r="AB1447" s="62"/>
      <c r="AC1447" s="62"/>
      <c r="AD1447" s="62"/>
      <c r="AP1447" s="88"/>
      <c r="AQ1447" s="88"/>
      <c r="AR1447" s="88"/>
      <c r="AS1447" s="99"/>
      <c r="AT1447" s="99"/>
      <c r="AU1447" s="99"/>
      <c r="AV1447" s="99"/>
      <c r="AW1447" s="99"/>
      <c r="AX1447" s="99"/>
      <c r="AY1447" s="99"/>
      <c r="AZ1447" s="99"/>
      <c r="BA1447" s="99"/>
      <c r="BB1447" s="99"/>
      <c r="BC1447" s="99"/>
      <c r="BD1447" s="99"/>
      <c r="BE1447" s="99"/>
      <c r="BF1447" s="99"/>
      <c r="BG1447" s="99"/>
      <c r="BH1447" s="99"/>
      <c r="BI1447" s="99"/>
      <c r="BJ1447" s="99"/>
      <c r="BK1447" s="99"/>
      <c r="BL1447" s="99"/>
      <c r="BM1447" s="99"/>
      <c r="BN1447" s="99"/>
      <c r="BO1447" s="99"/>
      <c r="BP1447" s="99"/>
      <c r="BQ1447" s="99"/>
      <c r="BR1447" s="99"/>
      <c r="BS1447" s="99"/>
      <c r="BT1447" s="99"/>
      <c r="BU1447" s="99"/>
      <c r="BV1447" s="99"/>
      <c r="BW1447" s="99"/>
      <c r="BX1447" s="99"/>
      <c r="BY1447" s="99"/>
      <c r="BZ1447" s="99"/>
      <c r="CA1447" s="99"/>
      <c r="CB1447" s="99"/>
      <c r="CC1447" s="99"/>
      <c r="CD1447" s="99"/>
      <c r="CE1447" s="99"/>
      <c r="CF1447" s="99"/>
      <c r="CG1447" s="99"/>
      <c r="CH1447" s="99"/>
      <c r="CI1447" s="99"/>
      <c r="CJ1447" s="621"/>
      <c r="CK1447" s="621"/>
      <c r="CL1447" s="621"/>
    </row>
    <row r="1448" spans="27:90">
      <c r="AA1448" s="350"/>
      <c r="AB1448" s="62"/>
      <c r="AC1448" s="62"/>
      <c r="AD1448" s="62"/>
      <c r="AP1448" s="88"/>
      <c r="AQ1448" s="88"/>
      <c r="AR1448" s="88"/>
      <c r="AS1448" s="99"/>
      <c r="AT1448" s="99"/>
      <c r="AU1448" s="99"/>
      <c r="AV1448" s="99"/>
      <c r="AW1448" s="99"/>
      <c r="AX1448" s="99"/>
      <c r="AY1448" s="99"/>
      <c r="AZ1448" s="99"/>
      <c r="BA1448" s="99"/>
      <c r="BB1448" s="99"/>
      <c r="BC1448" s="99"/>
      <c r="BD1448" s="99"/>
      <c r="BE1448" s="99"/>
      <c r="BF1448" s="99"/>
      <c r="BG1448" s="99"/>
      <c r="BH1448" s="99"/>
      <c r="BI1448" s="99"/>
      <c r="BJ1448" s="99"/>
      <c r="BK1448" s="99"/>
      <c r="BL1448" s="99"/>
      <c r="BM1448" s="99"/>
      <c r="BN1448" s="99"/>
      <c r="BO1448" s="99"/>
      <c r="BP1448" s="99"/>
      <c r="BQ1448" s="99"/>
      <c r="BR1448" s="99"/>
      <c r="BS1448" s="99"/>
      <c r="BT1448" s="99"/>
      <c r="BU1448" s="99"/>
      <c r="BV1448" s="99"/>
      <c r="BW1448" s="99"/>
      <c r="BX1448" s="99"/>
      <c r="BY1448" s="99"/>
      <c r="BZ1448" s="99"/>
      <c r="CA1448" s="99"/>
      <c r="CB1448" s="99"/>
      <c r="CC1448" s="99"/>
      <c r="CD1448" s="99"/>
      <c r="CE1448" s="99"/>
      <c r="CF1448" s="99"/>
      <c r="CG1448" s="99"/>
      <c r="CH1448" s="99"/>
      <c r="CI1448" s="99"/>
      <c r="CJ1448" s="621"/>
      <c r="CK1448" s="621"/>
      <c r="CL1448" s="621"/>
    </row>
    <row r="1449" spans="27:90">
      <c r="AA1449" s="350"/>
      <c r="AB1449" s="62"/>
      <c r="AC1449" s="62"/>
      <c r="AD1449" s="62"/>
      <c r="AP1449" s="88"/>
      <c r="AQ1449" s="88"/>
      <c r="AR1449" s="88"/>
      <c r="AS1449" s="99"/>
      <c r="AT1449" s="99"/>
      <c r="AU1449" s="99"/>
      <c r="AV1449" s="99"/>
      <c r="AW1449" s="99"/>
      <c r="AX1449" s="99"/>
      <c r="AY1449" s="99"/>
      <c r="AZ1449" s="99"/>
      <c r="BA1449" s="99"/>
      <c r="BB1449" s="99"/>
      <c r="BC1449" s="99"/>
      <c r="BD1449" s="99"/>
      <c r="BE1449" s="99"/>
      <c r="BF1449" s="99"/>
      <c r="BG1449" s="99"/>
      <c r="BH1449" s="99"/>
      <c r="BI1449" s="99"/>
      <c r="BJ1449" s="99"/>
      <c r="BK1449" s="99"/>
      <c r="BL1449" s="99"/>
      <c r="BM1449" s="99"/>
      <c r="BN1449" s="99"/>
      <c r="BO1449" s="99"/>
      <c r="BP1449" s="99"/>
      <c r="BQ1449" s="99"/>
      <c r="BR1449" s="99"/>
      <c r="BS1449" s="99"/>
      <c r="BT1449" s="99"/>
      <c r="BU1449" s="99"/>
      <c r="BV1449" s="99"/>
      <c r="BW1449" s="99"/>
      <c r="BX1449" s="99"/>
      <c r="BY1449" s="99"/>
      <c r="BZ1449" s="99"/>
      <c r="CA1449" s="99"/>
      <c r="CB1449" s="99"/>
      <c r="CC1449" s="99"/>
      <c r="CD1449" s="99"/>
      <c r="CE1449" s="99"/>
      <c r="CF1449" s="99"/>
      <c r="CG1449" s="99"/>
      <c r="CH1449" s="99"/>
      <c r="CI1449" s="99"/>
      <c r="CJ1449" s="621"/>
      <c r="CK1449" s="621"/>
      <c r="CL1449" s="621"/>
    </row>
    <row r="1450" spans="27:90">
      <c r="AA1450" s="350"/>
      <c r="AB1450" s="62"/>
      <c r="AC1450" s="62"/>
      <c r="AD1450" s="62"/>
      <c r="AP1450" s="88"/>
      <c r="AQ1450" s="88"/>
      <c r="AR1450" s="88"/>
      <c r="AS1450" s="99"/>
      <c r="AT1450" s="99"/>
      <c r="AU1450" s="99"/>
      <c r="AV1450" s="99"/>
      <c r="AW1450" s="99"/>
      <c r="AX1450" s="99"/>
      <c r="AY1450" s="99"/>
      <c r="AZ1450" s="99"/>
      <c r="BA1450" s="99"/>
      <c r="BB1450" s="99"/>
      <c r="BC1450" s="99"/>
      <c r="BD1450" s="99"/>
      <c r="BE1450" s="99"/>
      <c r="BF1450" s="99"/>
      <c r="BG1450" s="99"/>
      <c r="BH1450" s="99"/>
      <c r="BI1450" s="99"/>
      <c r="BJ1450" s="99"/>
      <c r="BK1450" s="99"/>
      <c r="BL1450" s="99"/>
      <c r="BM1450" s="99"/>
      <c r="BN1450" s="99"/>
      <c r="BO1450" s="99"/>
      <c r="BP1450" s="99"/>
      <c r="BQ1450" s="99"/>
      <c r="BR1450" s="99"/>
      <c r="BS1450" s="99"/>
      <c r="BT1450" s="99"/>
      <c r="BU1450" s="99"/>
      <c r="BV1450" s="99"/>
      <c r="BW1450" s="99"/>
      <c r="BX1450" s="99"/>
      <c r="BY1450" s="99"/>
      <c r="BZ1450" s="99"/>
      <c r="CA1450" s="99"/>
      <c r="CB1450" s="99"/>
      <c r="CC1450" s="99"/>
      <c r="CD1450" s="99"/>
      <c r="CE1450" s="99"/>
      <c r="CF1450" s="99"/>
      <c r="CG1450" s="99"/>
      <c r="CH1450" s="99"/>
      <c r="CI1450" s="99"/>
      <c r="CJ1450" s="621"/>
      <c r="CK1450" s="621"/>
      <c r="CL1450" s="621"/>
    </row>
    <row r="1451" spans="27:90">
      <c r="AA1451" s="350"/>
      <c r="AB1451" s="62"/>
      <c r="AC1451" s="62"/>
      <c r="AD1451" s="62"/>
      <c r="AP1451" s="88"/>
      <c r="AQ1451" s="88"/>
      <c r="AR1451" s="88"/>
      <c r="AS1451" s="99"/>
      <c r="AT1451" s="99"/>
      <c r="AU1451" s="99"/>
      <c r="AV1451" s="99"/>
      <c r="AW1451" s="99"/>
      <c r="AX1451" s="99"/>
      <c r="AY1451" s="99"/>
      <c r="AZ1451" s="99"/>
      <c r="BA1451" s="99"/>
      <c r="BB1451" s="99"/>
      <c r="BC1451" s="99"/>
      <c r="BD1451" s="99"/>
      <c r="BE1451" s="99"/>
      <c r="BF1451" s="99"/>
      <c r="BG1451" s="99"/>
      <c r="BH1451" s="99"/>
      <c r="BI1451" s="99"/>
      <c r="BJ1451" s="99"/>
      <c r="BK1451" s="99"/>
      <c r="BL1451" s="99"/>
      <c r="BM1451" s="99"/>
      <c r="BN1451" s="99"/>
      <c r="BO1451" s="99"/>
      <c r="BP1451" s="99"/>
      <c r="BQ1451" s="99"/>
      <c r="BR1451" s="99"/>
      <c r="BS1451" s="99"/>
      <c r="BT1451" s="99"/>
      <c r="BU1451" s="99"/>
      <c r="BV1451" s="99"/>
      <c r="BW1451" s="99"/>
      <c r="BX1451" s="99"/>
      <c r="BY1451" s="99"/>
      <c r="BZ1451" s="99"/>
      <c r="CA1451" s="99"/>
      <c r="CB1451" s="99"/>
      <c r="CC1451" s="99"/>
      <c r="CD1451" s="99"/>
      <c r="CE1451" s="99"/>
      <c r="CF1451" s="99"/>
      <c r="CG1451" s="99"/>
      <c r="CH1451" s="99"/>
      <c r="CI1451" s="99"/>
      <c r="CJ1451" s="621"/>
      <c r="CK1451" s="621"/>
      <c r="CL1451" s="621"/>
    </row>
    <row r="1452" spans="27:90">
      <c r="AA1452" s="350"/>
      <c r="AB1452" s="62"/>
      <c r="AC1452" s="62"/>
      <c r="AD1452" s="62"/>
      <c r="AP1452" s="88"/>
      <c r="AQ1452" s="88"/>
      <c r="AR1452" s="88"/>
      <c r="AS1452" s="99"/>
      <c r="AT1452" s="99"/>
      <c r="AU1452" s="99"/>
      <c r="AV1452" s="99"/>
      <c r="AW1452" s="99"/>
      <c r="AX1452" s="99"/>
      <c r="AY1452" s="99"/>
      <c r="AZ1452" s="99"/>
      <c r="BA1452" s="99"/>
      <c r="BB1452" s="99"/>
      <c r="BC1452" s="99"/>
      <c r="BD1452" s="99"/>
      <c r="BE1452" s="99"/>
      <c r="BF1452" s="99"/>
      <c r="BG1452" s="99"/>
      <c r="BH1452" s="99"/>
      <c r="BI1452" s="99"/>
      <c r="BJ1452" s="99"/>
      <c r="BK1452" s="99"/>
      <c r="BL1452" s="99"/>
      <c r="BM1452" s="99"/>
      <c r="BN1452" s="99"/>
      <c r="BO1452" s="99"/>
      <c r="BP1452" s="99"/>
      <c r="BQ1452" s="99"/>
      <c r="BR1452" s="99"/>
      <c r="BS1452" s="99"/>
      <c r="BT1452" s="99"/>
      <c r="BU1452" s="99"/>
      <c r="BV1452" s="99"/>
      <c r="BW1452" s="99"/>
      <c r="BX1452" s="99"/>
      <c r="BY1452" s="99"/>
      <c r="BZ1452" s="99"/>
      <c r="CA1452" s="99"/>
      <c r="CB1452" s="99"/>
      <c r="CC1452" s="99"/>
      <c r="CD1452" s="99"/>
      <c r="CE1452" s="99"/>
      <c r="CF1452" s="99"/>
      <c r="CG1452" s="99"/>
      <c r="CH1452" s="99"/>
      <c r="CI1452" s="99"/>
      <c r="CJ1452" s="621"/>
      <c r="CK1452" s="621"/>
      <c r="CL1452" s="621"/>
    </row>
    <row r="1453" spans="27:90">
      <c r="AA1453" s="350"/>
      <c r="AB1453" s="62"/>
      <c r="AC1453" s="62"/>
      <c r="AD1453" s="62"/>
      <c r="AP1453" s="88"/>
      <c r="AQ1453" s="88"/>
      <c r="AR1453" s="88"/>
      <c r="AS1453" s="99"/>
      <c r="AT1453" s="99"/>
      <c r="AU1453" s="99"/>
      <c r="AV1453" s="99"/>
      <c r="AW1453" s="99"/>
      <c r="AX1453" s="99"/>
      <c r="AY1453" s="99"/>
      <c r="AZ1453" s="99"/>
      <c r="BA1453" s="99"/>
      <c r="BB1453" s="99"/>
      <c r="BC1453" s="99"/>
      <c r="BD1453" s="99"/>
      <c r="BE1453" s="99"/>
      <c r="BF1453" s="99"/>
      <c r="BG1453" s="99"/>
      <c r="BH1453" s="99"/>
      <c r="BI1453" s="99"/>
      <c r="BJ1453" s="99"/>
      <c r="BK1453" s="99"/>
      <c r="BL1453" s="99"/>
      <c r="BM1453" s="99"/>
      <c r="BN1453" s="99"/>
      <c r="BO1453" s="99"/>
      <c r="BP1453" s="99"/>
      <c r="BQ1453" s="99"/>
      <c r="BR1453" s="99"/>
      <c r="BS1453" s="99"/>
      <c r="BT1453" s="99"/>
      <c r="BU1453" s="99"/>
      <c r="BV1453" s="99"/>
      <c r="BW1453" s="99"/>
      <c r="BX1453" s="99"/>
      <c r="BY1453" s="99"/>
      <c r="BZ1453" s="99"/>
      <c r="CA1453" s="99"/>
      <c r="CB1453" s="99"/>
      <c r="CC1453" s="99"/>
      <c r="CD1453" s="99"/>
      <c r="CE1453" s="99"/>
      <c r="CF1453" s="99"/>
      <c r="CG1453" s="99"/>
      <c r="CH1453" s="99"/>
      <c r="CI1453" s="99"/>
      <c r="CJ1453" s="621"/>
      <c r="CK1453" s="621"/>
      <c r="CL1453" s="621"/>
    </row>
    <row r="1454" spans="27:90">
      <c r="AA1454" s="350"/>
      <c r="AB1454" s="62"/>
      <c r="AC1454" s="62"/>
      <c r="AD1454" s="62"/>
      <c r="AP1454" s="88"/>
      <c r="AQ1454" s="88"/>
      <c r="AR1454" s="88"/>
      <c r="AS1454" s="99"/>
      <c r="AT1454" s="99"/>
      <c r="AU1454" s="99"/>
      <c r="AV1454" s="99"/>
      <c r="AW1454" s="99"/>
      <c r="AX1454" s="99"/>
      <c r="AY1454" s="99"/>
      <c r="AZ1454" s="99"/>
      <c r="BA1454" s="99"/>
      <c r="BB1454" s="99"/>
      <c r="BC1454" s="99"/>
      <c r="BD1454" s="99"/>
      <c r="BE1454" s="99"/>
      <c r="BF1454" s="99"/>
      <c r="BG1454" s="99"/>
      <c r="BH1454" s="99"/>
      <c r="BI1454" s="99"/>
      <c r="BJ1454" s="99"/>
      <c r="BK1454" s="99"/>
      <c r="BL1454" s="99"/>
      <c r="BM1454" s="99"/>
      <c r="BN1454" s="99"/>
      <c r="BO1454" s="99"/>
      <c r="BP1454" s="99"/>
      <c r="BQ1454" s="99"/>
      <c r="BR1454" s="99"/>
      <c r="BS1454" s="99"/>
      <c r="BT1454" s="99"/>
      <c r="BU1454" s="99"/>
      <c r="BV1454" s="99"/>
      <c r="BW1454" s="99"/>
      <c r="BX1454" s="99"/>
      <c r="BY1454" s="99"/>
      <c r="BZ1454" s="99"/>
      <c r="CA1454" s="99"/>
      <c r="CB1454" s="99"/>
      <c r="CC1454" s="99"/>
      <c r="CD1454" s="99"/>
      <c r="CE1454" s="99"/>
      <c r="CF1454" s="99"/>
      <c r="CG1454" s="99"/>
      <c r="CH1454" s="99"/>
      <c r="CI1454" s="99"/>
      <c r="CJ1454" s="621"/>
      <c r="CK1454" s="621"/>
      <c r="CL1454" s="621"/>
    </row>
    <row r="1455" spans="27:90">
      <c r="AA1455" s="350"/>
      <c r="AB1455" s="62"/>
      <c r="AC1455" s="62"/>
      <c r="AD1455" s="62"/>
      <c r="AP1455" s="88"/>
      <c r="AQ1455" s="88"/>
      <c r="AR1455" s="88"/>
      <c r="AS1455" s="99"/>
      <c r="AT1455" s="99"/>
      <c r="AU1455" s="99"/>
      <c r="AV1455" s="99"/>
      <c r="AW1455" s="99"/>
      <c r="AX1455" s="99"/>
      <c r="AY1455" s="99"/>
      <c r="AZ1455" s="99"/>
      <c r="BA1455" s="99"/>
      <c r="BB1455" s="99"/>
      <c r="BC1455" s="99"/>
      <c r="BD1455" s="99"/>
      <c r="BE1455" s="99"/>
      <c r="BF1455" s="99"/>
      <c r="BG1455" s="99"/>
      <c r="BH1455" s="99"/>
      <c r="BI1455" s="99"/>
      <c r="BJ1455" s="99"/>
      <c r="BK1455" s="99"/>
      <c r="BL1455" s="99"/>
      <c r="BM1455" s="99"/>
      <c r="BN1455" s="99"/>
      <c r="BO1455" s="99"/>
      <c r="BP1455" s="99"/>
      <c r="BQ1455" s="99"/>
      <c r="BR1455" s="99"/>
      <c r="BS1455" s="99"/>
      <c r="BT1455" s="99"/>
      <c r="BU1455" s="99"/>
      <c r="BV1455" s="99"/>
      <c r="BW1455" s="99"/>
      <c r="BX1455" s="99"/>
      <c r="BY1455" s="99"/>
      <c r="BZ1455" s="99"/>
      <c r="CA1455" s="99"/>
      <c r="CB1455" s="99"/>
      <c r="CC1455" s="99"/>
      <c r="CD1455" s="99"/>
      <c r="CE1455" s="99"/>
      <c r="CF1455" s="99"/>
      <c r="CG1455" s="99"/>
      <c r="CH1455" s="99"/>
      <c r="CI1455" s="99"/>
      <c r="CJ1455" s="621"/>
      <c r="CK1455" s="621"/>
      <c r="CL1455" s="621"/>
    </row>
    <row r="1456" spans="27:90">
      <c r="AA1456" s="350"/>
      <c r="AB1456" s="62"/>
      <c r="AC1456" s="62"/>
      <c r="AD1456" s="62"/>
      <c r="AP1456" s="88"/>
      <c r="AQ1456" s="88"/>
      <c r="AR1456" s="88"/>
      <c r="AS1456" s="99"/>
      <c r="AT1456" s="99"/>
      <c r="AU1456" s="99"/>
      <c r="AV1456" s="99"/>
      <c r="AW1456" s="99"/>
      <c r="AX1456" s="99"/>
      <c r="AY1456" s="99"/>
      <c r="AZ1456" s="99"/>
      <c r="BA1456" s="99"/>
      <c r="BB1456" s="99"/>
      <c r="BC1456" s="99"/>
      <c r="BD1456" s="99"/>
      <c r="BE1456" s="99"/>
      <c r="BF1456" s="99"/>
      <c r="BG1456" s="99"/>
      <c r="BH1456" s="99"/>
      <c r="BI1456" s="99"/>
      <c r="BJ1456" s="99"/>
      <c r="BK1456" s="99"/>
      <c r="BL1456" s="99"/>
      <c r="BM1456" s="99"/>
      <c r="BN1456" s="99"/>
      <c r="BO1456" s="99"/>
      <c r="BP1456" s="99"/>
      <c r="BQ1456" s="99"/>
      <c r="BR1456" s="99"/>
      <c r="BS1456" s="99"/>
      <c r="BT1456" s="99"/>
      <c r="BU1456" s="99"/>
      <c r="BV1456" s="99"/>
      <c r="BW1456" s="99"/>
      <c r="BX1456" s="99"/>
      <c r="BY1456" s="99"/>
      <c r="BZ1456" s="99"/>
      <c r="CA1456" s="99"/>
      <c r="CB1456" s="99"/>
      <c r="CC1456" s="99"/>
      <c r="CD1456" s="99"/>
      <c r="CE1456" s="99"/>
      <c r="CF1456" s="99"/>
      <c r="CG1456" s="99"/>
      <c r="CH1456" s="99"/>
      <c r="CI1456" s="99"/>
      <c r="CJ1456" s="621"/>
      <c r="CK1456" s="621"/>
      <c r="CL1456" s="621"/>
    </row>
    <row r="1457" spans="27:90">
      <c r="AA1457" s="350"/>
      <c r="AB1457" s="62"/>
      <c r="AC1457" s="62"/>
      <c r="AD1457" s="62"/>
      <c r="AP1457" s="88"/>
      <c r="AQ1457" s="88"/>
      <c r="AR1457" s="88"/>
      <c r="AS1457" s="99"/>
      <c r="AT1457" s="99"/>
      <c r="AU1457" s="99"/>
      <c r="AV1457" s="99"/>
      <c r="AW1457" s="99"/>
      <c r="AX1457" s="99"/>
      <c r="AY1457" s="99"/>
      <c r="AZ1457" s="99"/>
      <c r="BA1457" s="99"/>
      <c r="BB1457" s="99"/>
      <c r="BC1457" s="99"/>
      <c r="BD1457" s="99"/>
      <c r="BE1457" s="99"/>
      <c r="BF1457" s="99"/>
      <c r="BG1457" s="99"/>
      <c r="BH1457" s="99"/>
      <c r="BI1457" s="99"/>
      <c r="BJ1457" s="99"/>
      <c r="BK1457" s="99"/>
      <c r="BL1457" s="99"/>
      <c r="BM1457" s="99"/>
      <c r="BN1457" s="99"/>
      <c r="BO1457" s="99"/>
      <c r="BP1457" s="99"/>
      <c r="BQ1457" s="99"/>
      <c r="BR1457" s="99"/>
      <c r="BS1457" s="99"/>
      <c r="BT1457" s="99"/>
      <c r="BU1457" s="99"/>
      <c r="BV1457" s="99"/>
      <c r="BW1457" s="99"/>
      <c r="BX1457" s="99"/>
      <c r="BY1457" s="99"/>
      <c r="BZ1457" s="99"/>
      <c r="CA1457" s="99"/>
      <c r="CB1457" s="99"/>
      <c r="CC1457" s="99"/>
      <c r="CD1457" s="99"/>
      <c r="CE1457" s="99"/>
      <c r="CF1457" s="99"/>
      <c r="CG1457" s="99"/>
      <c r="CH1457" s="99"/>
      <c r="CI1457" s="99"/>
      <c r="CJ1457" s="621"/>
      <c r="CK1457" s="621"/>
      <c r="CL1457" s="621"/>
    </row>
    <row r="1458" spans="27:90">
      <c r="AA1458" s="350"/>
      <c r="AB1458" s="62"/>
      <c r="AC1458" s="62"/>
      <c r="AD1458" s="62"/>
      <c r="AP1458" s="88"/>
      <c r="AQ1458" s="88"/>
      <c r="AR1458" s="88"/>
      <c r="AS1458" s="99"/>
      <c r="AT1458" s="99"/>
      <c r="AU1458" s="99"/>
      <c r="AV1458" s="99"/>
      <c r="AW1458" s="99"/>
      <c r="AX1458" s="99"/>
      <c r="AY1458" s="99"/>
      <c r="AZ1458" s="99"/>
      <c r="BA1458" s="99"/>
      <c r="BB1458" s="99"/>
      <c r="BC1458" s="99"/>
      <c r="BD1458" s="99"/>
      <c r="BE1458" s="99"/>
      <c r="BF1458" s="99"/>
      <c r="BG1458" s="99"/>
      <c r="BH1458" s="99"/>
      <c r="BI1458" s="99"/>
      <c r="BJ1458" s="99"/>
      <c r="BK1458" s="99"/>
      <c r="BL1458" s="99"/>
      <c r="BM1458" s="99"/>
      <c r="BN1458" s="99"/>
      <c r="BO1458" s="99"/>
      <c r="BP1458" s="99"/>
      <c r="BQ1458" s="99"/>
      <c r="BR1458" s="99"/>
      <c r="BS1458" s="99"/>
      <c r="BT1458" s="99"/>
      <c r="BU1458" s="99"/>
      <c r="BV1458" s="99"/>
      <c r="BW1458" s="99"/>
      <c r="BX1458" s="99"/>
      <c r="BY1458" s="99"/>
      <c r="BZ1458" s="99"/>
      <c r="CA1458" s="99"/>
      <c r="CB1458" s="99"/>
      <c r="CC1458" s="99"/>
      <c r="CD1458" s="99"/>
      <c r="CE1458" s="99"/>
      <c r="CF1458" s="99"/>
      <c r="CG1458" s="99"/>
      <c r="CH1458" s="99"/>
      <c r="CI1458" s="99"/>
      <c r="CJ1458" s="621"/>
      <c r="CK1458" s="621"/>
      <c r="CL1458" s="621"/>
    </row>
    <row r="1459" spans="27:90">
      <c r="AA1459" s="350"/>
      <c r="AB1459" s="62"/>
      <c r="AC1459" s="62"/>
      <c r="AD1459" s="62"/>
      <c r="AP1459" s="88"/>
      <c r="AQ1459" s="88"/>
      <c r="AR1459" s="88"/>
      <c r="AS1459" s="99"/>
      <c r="AT1459" s="99"/>
      <c r="AU1459" s="99"/>
      <c r="AV1459" s="99"/>
      <c r="AW1459" s="99"/>
      <c r="AX1459" s="99"/>
      <c r="AY1459" s="99"/>
      <c r="AZ1459" s="99"/>
      <c r="BA1459" s="99"/>
      <c r="BB1459" s="99"/>
      <c r="BC1459" s="99"/>
      <c r="BD1459" s="99"/>
      <c r="BE1459" s="99"/>
      <c r="BF1459" s="99"/>
      <c r="BG1459" s="99"/>
      <c r="BH1459" s="99"/>
      <c r="BI1459" s="99"/>
      <c r="BJ1459" s="99"/>
      <c r="BK1459" s="99"/>
      <c r="BL1459" s="99"/>
      <c r="BM1459" s="99"/>
      <c r="BN1459" s="99"/>
      <c r="BO1459" s="99"/>
      <c r="BP1459" s="99"/>
      <c r="BQ1459" s="99"/>
      <c r="BR1459" s="99"/>
      <c r="BS1459" s="99"/>
      <c r="BT1459" s="99"/>
      <c r="BU1459" s="99"/>
      <c r="BV1459" s="99"/>
      <c r="BW1459" s="99"/>
      <c r="BX1459" s="99"/>
      <c r="BY1459" s="99"/>
      <c r="BZ1459" s="99"/>
      <c r="CA1459" s="99"/>
      <c r="CB1459" s="99"/>
      <c r="CC1459" s="99"/>
      <c r="CD1459" s="99"/>
      <c r="CE1459" s="99"/>
      <c r="CF1459" s="99"/>
      <c r="CG1459" s="99"/>
      <c r="CH1459" s="99"/>
      <c r="CI1459" s="99"/>
      <c r="CJ1459" s="621"/>
      <c r="CK1459" s="621"/>
      <c r="CL1459" s="621"/>
    </row>
    <row r="1460" spans="27:90">
      <c r="AA1460" s="350"/>
      <c r="AB1460" s="62"/>
      <c r="AC1460" s="62"/>
      <c r="AD1460" s="62"/>
      <c r="AP1460" s="88"/>
      <c r="AQ1460" s="88"/>
      <c r="AR1460" s="88"/>
      <c r="AS1460" s="99"/>
      <c r="AT1460" s="99"/>
      <c r="AU1460" s="99"/>
      <c r="AV1460" s="99"/>
      <c r="AW1460" s="99"/>
      <c r="AX1460" s="99"/>
      <c r="AY1460" s="99"/>
      <c r="AZ1460" s="99"/>
      <c r="BA1460" s="99"/>
      <c r="BB1460" s="99"/>
      <c r="BC1460" s="99"/>
      <c r="BD1460" s="99"/>
      <c r="BE1460" s="99"/>
      <c r="BF1460" s="99"/>
      <c r="BG1460" s="99"/>
      <c r="BH1460" s="99"/>
      <c r="BI1460" s="99"/>
      <c r="BJ1460" s="99"/>
      <c r="BK1460" s="99"/>
      <c r="BL1460" s="99"/>
      <c r="BM1460" s="99"/>
      <c r="BN1460" s="99"/>
      <c r="BO1460" s="99"/>
      <c r="BP1460" s="99"/>
      <c r="BQ1460" s="99"/>
      <c r="BR1460" s="99"/>
      <c r="BS1460" s="99"/>
      <c r="BT1460" s="99"/>
      <c r="BU1460" s="99"/>
      <c r="BV1460" s="99"/>
      <c r="BW1460" s="99"/>
      <c r="BX1460" s="99"/>
      <c r="BY1460" s="99"/>
      <c r="BZ1460" s="99"/>
      <c r="CA1460" s="99"/>
      <c r="CB1460" s="99"/>
      <c r="CC1460" s="99"/>
      <c r="CD1460" s="99"/>
      <c r="CE1460" s="99"/>
      <c r="CF1460" s="99"/>
      <c r="CG1460" s="99"/>
      <c r="CH1460" s="99"/>
      <c r="CI1460" s="99"/>
      <c r="CJ1460" s="621"/>
      <c r="CK1460" s="621"/>
      <c r="CL1460" s="621"/>
    </row>
    <row r="1461" spans="27:90">
      <c r="AA1461" s="350"/>
      <c r="AB1461" s="62"/>
      <c r="AC1461" s="62"/>
      <c r="AD1461" s="62"/>
      <c r="AP1461" s="88"/>
      <c r="AQ1461" s="88"/>
      <c r="AR1461" s="88"/>
      <c r="AS1461" s="99"/>
      <c r="AT1461" s="99"/>
      <c r="AU1461" s="99"/>
      <c r="AV1461" s="99"/>
      <c r="AW1461" s="99"/>
      <c r="AX1461" s="99"/>
      <c r="AY1461" s="99"/>
      <c r="AZ1461" s="99"/>
      <c r="BA1461" s="99"/>
      <c r="BB1461" s="99"/>
      <c r="BC1461" s="99"/>
      <c r="BD1461" s="99"/>
      <c r="BE1461" s="99"/>
      <c r="BF1461" s="99"/>
      <c r="BG1461" s="99"/>
      <c r="BH1461" s="99"/>
      <c r="BI1461" s="99"/>
      <c r="BJ1461" s="99"/>
      <c r="BK1461" s="99"/>
      <c r="BL1461" s="99"/>
      <c r="BM1461" s="99"/>
      <c r="BN1461" s="99"/>
      <c r="BO1461" s="99"/>
      <c r="BP1461" s="99"/>
      <c r="BQ1461" s="99"/>
      <c r="BR1461" s="99"/>
      <c r="BS1461" s="99"/>
      <c r="BT1461" s="99"/>
      <c r="BU1461" s="99"/>
      <c r="BV1461" s="99"/>
      <c r="BW1461" s="99"/>
      <c r="BX1461" s="99"/>
      <c r="BY1461" s="99"/>
      <c r="BZ1461" s="99"/>
      <c r="CA1461" s="99"/>
      <c r="CB1461" s="99"/>
      <c r="CC1461" s="99"/>
      <c r="CD1461" s="99"/>
      <c r="CE1461" s="99"/>
      <c r="CF1461" s="99"/>
      <c r="CG1461" s="99"/>
      <c r="CH1461" s="99"/>
      <c r="CI1461" s="99"/>
      <c r="CJ1461" s="621"/>
      <c r="CK1461" s="621"/>
      <c r="CL1461" s="621"/>
    </row>
    <row r="1462" spans="27:90">
      <c r="AA1462" s="350"/>
      <c r="AB1462" s="62"/>
      <c r="AC1462" s="62"/>
      <c r="AD1462" s="62"/>
      <c r="AP1462" s="88"/>
      <c r="AQ1462" s="88"/>
      <c r="AR1462" s="88"/>
      <c r="AS1462" s="99"/>
      <c r="AT1462" s="99"/>
      <c r="AU1462" s="99"/>
      <c r="AV1462" s="99"/>
      <c r="AW1462" s="99"/>
      <c r="AX1462" s="99"/>
      <c r="AY1462" s="99"/>
      <c r="AZ1462" s="99"/>
      <c r="BA1462" s="99"/>
      <c r="BB1462" s="99"/>
      <c r="BC1462" s="99"/>
      <c r="BD1462" s="99"/>
      <c r="BE1462" s="99"/>
      <c r="BF1462" s="99"/>
      <c r="BG1462" s="99"/>
      <c r="BH1462" s="99"/>
      <c r="BI1462" s="99"/>
      <c r="BJ1462" s="99"/>
      <c r="BK1462" s="99"/>
      <c r="BL1462" s="99"/>
      <c r="BM1462" s="99"/>
      <c r="BN1462" s="99"/>
      <c r="BO1462" s="99"/>
      <c r="BP1462" s="99"/>
      <c r="BQ1462" s="99"/>
      <c r="BR1462" s="99"/>
      <c r="BS1462" s="99"/>
      <c r="BT1462" s="99"/>
      <c r="BU1462" s="99"/>
      <c r="BV1462" s="99"/>
      <c r="BW1462" s="99"/>
      <c r="BX1462" s="99"/>
      <c r="BY1462" s="99"/>
      <c r="BZ1462" s="99"/>
      <c r="CA1462" s="99"/>
      <c r="CB1462" s="99"/>
      <c r="CC1462" s="99"/>
      <c r="CD1462" s="99"/>
      <c r="CE1462" s="99"/>
      <c r="CF1462" s="99"/>
      <c r="CG1462" s="99"/>
      <c r="CH1462" s="99"/>
      <c r="CI1462" s="99"/>
      <c r="CJ1462" s="621"/>
      <c r="CK1462" s="621"/>
      <c r="CL1462" s="621"/>
    </row>
    <row r="1463" spans="27:90">
      <c r="AA1463" s="350"/>
      <c r="AB1463" s="62"/>
      <c r="AC1463" s="62"/>
      <c r="AD1463" s="62"/>
      <c r="AP1463" s="88"/>
      <c r="AQ1463" s="88"/>
      <c r="AR1463" s="88"/>
      <c r="AS1463" s="99"/>
      <c r="AT1463" s="99"/>
      <c r="AU1463" s="99"/>
      <c r="AV1463" s="99"/>
      <c r="AW1463" s="99"/>
      <c r="AX1463" s="99"/>
      <c r="AY1463" s="99"/>
      <c r="AZ1463" s="99"/>
      <c r="BA1463" s="99"/>
      <c r="BB1463" s="99"/>
      <c r="BC1463" s="99"/>
      <c r="BD1463" s="99"/>
      <c r="BE1463" s="99"/>
      <c r="BF1463" s="99"/>
      <c r="BG1463" s="99"/>
      <c r="BH1463" s="99"/>
      <c r="BI1463" s="99"/>
      <c r="BJ1463" s="99"/>
      <c r="BK1463" s="99"/>
      <c r="BL1463" s="99"/>
      <c r="BM1463" s="99"/>
      <c r="BN1463" s="99"/>
      <c r="BO1463" s="99"/>
      <c r="BP1463" s="99"/>
      <c r="BQ1463" s="99"/>
      <c r="BR1463" s="99"/>
      <c r="BS1463" s="99"/>
      <c r="BT1463" s="99"/>
      <c r="BU1463" s="99"/>
      <c r="BV1463" s="99"/>
      <c r="BW1463" s="99"/>
      <c r="BX1463" s="99"/>
      <c r="BY1463" s="99"/>
      <c r="BZ1463" s="99"/>
      <c r="CA1463" s="99"/>
      <c r="CB1463" s="99"/>
      <c r="CC1463" s="99"/>
      <c r="CD1463" s="99"/>
      <c r="CE1463" s="99"/>
      <c r="CF1463" s="99"/>
      <c r="CG1463" s="99"/>
      <c r="CH1463" s="99"/>
      <c r="CI1463" s="99"/>
      <c r="CJ1463" s="621"/>
      <c r="CK1463" s="621"/>
      <c r="CL1463" s="621"/>
    </row>
    <row r="1464" spans="27:90">
      <c r="AA1464" s="350"/>
      <c r="AB1464" s="62"/>
      <c r="AC1464" s="62"/>
      <c r="AD1464" s="62"/>
      <c r="AP1464" s="88"/>
      <c r="AQ1464" s="88"/>
      <c r="AR1464" s="88"/>
      <c r="AS1464" s="99"/>
      <c r="AT1464" s="99"/>
      <c r="AU1464" s="99"/>
      <c r="AV1464" s="99"/>
      <c r="AW1464" s="99"/>
      <c r="AX1464" s="99"/>
      <c r="AY1464" s="99"/>
      <c r="AZ1464" s="99"/>
      <c r="BA1464" s="99"/>
      <c r="BB1464" s="99"/>
      <c r="BC1464" s="99"/>
      <c r="BD1464" s="99"/>
      <c r="BE1464" s="99"/>
      <c r="BF1464" s="99"/>
      <c r="BG1464" s="99"/>
      <c r="BH1464" s="99"/>
      <c r="BI1464" s="99"/>
      <c r="BJ1464" s="99"/>
      <c r="BK1464" s="99"/>
      <c r="BL1464" s="99"/>
      <c r="BM1464" s="99"/>
      <c r="BN1464" s="99"/>
      <c r="BO1464" s="99"/>
      <c r="BP1464" s="99"/>
      <c r="BQ1464" s="99"/>
      <c r="BR1464" s="99"/>
      <c r="BS1464" s="99"/>
      <c r="BT1464" s="99"/>
      <c r="BU1464" s="99"/>
      <c r="BV1464" s="99"/>
      <c r="BW1464" s="99"/>
      <c r="BX1464" s="99"/>
      <c r="BY1464" s="99"/>
      <c r="BZ1464" s="99"/>
      <c r="CA1464" s="99"/>
      <c r="CB1464" s="99"/>
      <c r="CC1464" s="99"/>
      <c r="CD1464" s="99"/>
      <c r="CE1464" s="99"/>
      <c r="CF1464" s="99"/>
      <c r="CG1464" s="99"/>
      <c r="CH1464" s="99"/>
      <c r="CI1464" s="99"/>
      <c r="CJ1464" s="621"/>
      <c r="CK1464" s="621"/>
      <c r="CL1464" s="621"/>
    </row>
    <row r="1465" spans="27:90">
      <c r="AA1465" s="350"/>
      <c r="AB1465" s="62"/>
      <c r="AC1465" s="62"/>
      <c r="AD1465" s="62"/>
      <c r="AP1465" s="88"/>
      <c r="AQ1465" s="88"/>
      <c r="AR1465" s="88"/>
      <c r="AS1465" s="99"/>
      <c r="AT1465" s="99"/>
      <c r="AU1465" s="99"/>
      <c r="AV1465" s="99"/>
      <c r="AW1465" s="99"/>
      <c r="AX1465" s="99"/>
      <c r="AY1465" s="99"/>
      <c r="AZ1465" s="99"/>
      <c r="BA1465" s="99"/>
      <c r="BB1465" s="99"/>
      <c r="BC1465" s="99"/>
      <c r="BD1465" s="99"/>
      <c r="BE1465" s="99"/>
      <c r="BF1465" s="99"/>
      <c r="BG1465" s="99"/>
      <c r="BH1465" s="99"/>
      <c r="BI1465" s="99"/>
      <c r="BJ1465" s="99"/>
      <c r="BK1465" s="99"/>
      <c r="BL1465" s="99"/>
      <c r="BM1465" s="99"/>
      <c r="BN1465" s="99"/>
      <c r="BO1465" s="99"/>
      <c r="BP1465" s="99"/>
      <c r="BQ1465" s="99"/>
      <c r="BR1465" s="99"/>
      <c r="BS1465" s="99"/>
      <c r="BT1465" s="99"/>
      <c r="BU1465" s="99"/>
      <c r="BV1465" s="99"/>
      <c r="BW1465" s="99"/>
      <c r="BX1465" s="99"/>
      <c r="BY1465" s="99"/>
      <c r="BZ1465" s="99"/>
      <c r="CA1465" s="99"/>
      <c r="CB1465" s="99"/>
      <c r="CC1465" s="99"/>
      <c r="CD1465" s="99"/>
      <c r="CE1465" s="99"/>
      <c r="CF1465" s="99"/>
      <c r="CG1465" s="99"/>
      <c r="CH1465" s="99"/>
      <c r="CI1465" s="99"/>
      <c r="CJ1465" s="621"/>
      <c r="CK1465" s="621"/>
      <c r="CL1465" s="621"/>
    </row>
    <row r="1466" spans="27:90">
      <c r="AA1466" s="350"/>
      <c r="AB1466" s="62"/>
      <c r="AC1466" s="62"/>
      <c r="AD1466" s="62"/>
      <c r="AP1466" s="88"/>
      <c r="AQ1466" s="88"/>
      <c r="AR1466" s="88"/>
      <c r="AS1466" s="99"/>
      <c r="AT1466" s="99"/>
      <c r="AU1466" s="99"/>
      <c r="AV1466" s="99"/>
      <c r="AW1466" s="99"/>
      <c r="AX1466" s="99"/>
      <c r="AY1466" s="99"/>
      <c r="AZ1466" s="99"/>
      <c r="BA1466" s="99"/>
      <c r="BB1466" s="99"/>
      <c r="BC1466" s="99"/>
      <c r="BD1466" s="99"/>
      <c r="BE1466" s="99"/>
      <c r="BF1466" s="99"/>
      <c r="BG1466" s="99"/>
      <c r="BH1466" s="99"/>
      <c r="BI1466" s="99"/>
      <c r="BJ1466" s="99"/>
      <c r="BK1466" s="99"/>
      <c r="BL1466" s="99"/>
      <c r="BM1466" s="99"/>
      <c r="BN1466" s="99"/>
      <c r="BO1466" s="99"/>
      <c r="BP1466" s="99"/>
      <c r="BQ1466" s="99"/>
      <c r="BR1466" s="99"/>
      <c r="BS1466" s="99"/>
      <c r="BT1466" s="99"/>
      <c r="BU1466" s="99"/>
      <c r="BV1466" s="99"/>
      <c r="BW1466" s="99"/>
      <c r="BX1466" s="99"/>
      <c r="BY1466" s="99"/>
      <c r="BZ1466" s="99"/>
      <c r="CA1466" s="99"/>
      <c r="CB1466" s="99"/>
      <c r="CC1466" s="99"/>
      <c r="CD1466" s="99"/>
      <c r="CE1466" s="99"/>
      <c r="CF1466" s="99"/>
      <c r="CG1466" s="99"/>
      <c r="CH1466" s="99"/>
      <c r="CI1466" s="99"/>
      <c r="CJ1466" s="621"/>
      <c r="CK1466" s="621"/>
      <c r="CL1466" s="621"/>
    </row>
    <row r="1467" spans="27:90">
      <c r="AA1467" s="350"/>
      <c r="AB1467" s="62"/>
      <c r="AC1467" s="62"/>
      <c r="AD1467" s="62"/>
      <c r="AP1467" s="88"/>
      <c r="AQ1467" s="88"/>
      <c r="AR1467" s="88"/>
      <c r="AS1467" s="99"/>
      <c r="AT1467" s="99"/>
      <c r="AU1467" s="99"/>
      <c r="AV1467" s="99"/>
      <c r="AW1467" s="99"/>
      <c r="AX1467" s="99"/>
      <c r="AY1467" s="99"/>
      <c r="AZ1467" s="99"/>
      <c r="BA1467" s="99"/>
      <c r="BB1467" s="99"/>
      <c r="BC1467" s="99"/>
      <c r="BD1467" s="99"/>
      <c r="BE1467" s="99"/>
      <c r="BF1467" s="99"/>
      <c r="BG1467" s="99"/>
      <c r="BH1467" s="99"/>
      <c r="BI1467" s="99"/>
      <c r="BJ1467" s="99"/>
      <c r="BK1467" s="99"/>
      <c r="BL1467" s="99"/>
      <c r="BM1467" s="99"/>
      <c r="BN1467" s="99"/>
      <c r="BO1467" s="99"/>
      <c r="BP1467" s="99"/>
      <c r="BQ1467" s="99"/>
      <c r="BR1467" s="99"/>
      <c r="BS1467" s="99"/>
      <c r="BT1467" s="99"/>
      <c r="BU1467" s="99"/>
      <c r="BV1467" s="99"/>
      <c r="BW1467" s="99"/>
      <c r="BX1467" s="99"/>
      <c r="BY1467" s="99"/>
      <c r="BZ1467" s="99"/>
      <c r="CA1467" s="99"/>
      <c r="CB1467" s="99"/>
      <c r="CC1467" s="99"/>
      <c r="CD1467" s="99"/>
      <c r="CE1467" s="99"/>
      <c r="CF1467" s="99"/>
      <c r="CG1467" s="99"/>
      <c r="CH1467" s="99"/>
      <c r="CI1467" s="99"/>
      <c r="CJ1467" s="621"/>
      <c r="CK1467" s="621"/>
      <c r="CL1467" s="621"/>
    </row>
    <row r="1468" spans="27:90">
      <c r="AA1468" s="350"/>
      <c r="AB1468" s="62"/>
      <c r="AC1468" s="62"/>
      <c r="AD1468" s="62"/>
      <c r="AP1468" s="88"/>
      <c r="AQ1468" s="88"/>
      <c r="AR1468" s="88"/>
      <c r="AS1468" s="99"/>
      <c r="AT1468" s="99"/>
      <c r="AU1468" s="99"/>
      <c r="AV1468" s="99"/>
      <c r="AW1468" s="99"/>
      <c r="AX1468" s="99"/>
      <c r="AY1468" s="99"/>
      <c r="AZ1468" s="99"/>
      <c r="BA1468" s="99"/>
      <c r="BB1468" s="99"/>
      <c r="BC1468" s="99"/>
      <c r="BD1468" s="99"/>
      <c r="BE1468" s="99"/>
      <c r="BF1468" s="99"/>
      <c r="BG1468" s="99"/>
      <c r="BH1468" s="99"/>
      <c r="BI1468" s="99"/>
      <c r="BJ1468" s="99"/>
      <c r="BK1468" s="99"/>
      <c r="BL1468" s="99"/>
      <c r="BM1468" s="99"/>
      <c r="BN1468" s="99"/>
      <c r="BO1468" s="99"/>
      <c r="BP1468" s="99"/>
      <c r="BQ1468" s="99"/>
      <c r="BR1468" s="99"/>
      <c r="BS1468" s="99"/>
      <c r="BT1468" s="99"/>
      <c r="BU1468" s="99"/>
      <c r="BV1468" s="99"/>
      <c r="BW1468" s="99"/>
      <c r="BX1468" s="99"/>
      <c r="BY1468" s="99"/>
      <c r="BZ1468" s="99"/>
      <c r="CA1468" s="99"/>
      <c r="CB1468" s="99"/>
      <c r="CC1468" s="99"/>
      <c r="CD1468" s="99"/>
      <c r="CE1468" s="99"/>
      <c r="CF1468" s="99"/>
      <c r="CG1468" s="99"/>
      <c r="CH1468" s="99"/>
      <c r="CI1468" s="99"/>
      <c r="CJ1468" s="621"/>
      <c r="CK1468" s="621"/>
      <c r="CL1468" s="621"/>
    </row>
    <row r="1469" spans="27:90">
      <c r="AA1469" s="350"/>
      <c r="AB1469" s="62"/>
      <c r="AC1469" s="62"/>
      <c r="AD1469" s="62"/>
      <c r="AP1469" s="88"/>
      <c r="AQ1469" s="88"/>
      <c r="AR1469" s="88"/>
      <c r="AS1469" s="99"/>
      <c r="AT1469" s="99"/>
      <c r="AU1469" s="99"/>
      <c r="AV1469" s="99"/>
      <c r="AW1469" s="99"/>
      <c r="AX1469" s="99"/>
      <c r="AY1469" s="99"/>
      <c r="AZ1469" s="99"/>
      <c r="BA1469" s="99"/>
      <c r="BB1469" s="99"/>
      <c r="BC1469" s="99"/>
      <c r="BD1469" s="99"/>
      <c r="BE1469" s="99"/>
      <c r="BF1469" s="99"/>
      <c r="BG1469" s="99"/>
      <c r="BH1469" s="99"/>
      <c r="BI1469" s="99"/>
      <c r="BJ1469" s="99"/>
      <c r="BK1469" s="99"/>
      <c r="BL1469" s="99"/>
      <c r="BM1469" s="99"/>
      <c r="BN1469" s="99"/>
      <c r="BO1469" s="99"/>
      <c r="BP1469" s="99"/>
      <c r="BQ1469" s="99"/>
      <c r="BR1469" s="99"/>
      <c r="BS1469" s="99"/>
      <c r="BT1469" s="99"/>
      <c r="BU1469" s="99"/>
      <c r="BV1469" s="99"/>
      <c r="BW1469" s="99"/>
      <c r="BX1469" s="99"/>
      <c r="BY1469" s="99"/>
      <c r="BZ1469" s="99"/>
      <c r="CA1469" s="99"/>
      <c r="CB1469" s="99"/>
      <c r="CC1469" s="99"/>
      <c r="CD1469" s="99"/>
      <c r="CE1469" s="99"/>
      <c r="CF1469" s="99"/>
      <c r="CG1469" s="99"/>
      <c r="CH1469" s="99"/>
      <c r="CI1469" s="99"/>
      <c r="CJ1469" s="621"/>
      <c r="CK1469" s="621"/>
      <c r="CL1469" s="621"/>
    </row>
    <row r="1470" spans="27:90">
      <c r="AA1470" s="350"/>
      <c r="AB1470" s="62"/>
      <c r="AC1470" s="62"/>
      <c r="AD1470" s="62"/>
      <c r="AP1470" s="88"/>
      <c r="AQ1470" s="88"/>
      <c r="AR1470" s="88"/>
      <c r="AS1470" s="99"/>
      <c r="AT1470" s="99"/>
      <c r="AU1470" s="99"/>
      <c r="AV1470" s="99"/>
      <c r="AW1470" s="99"/>
      <c r="AX1470" s="99"/>
      <c r="AY1470" s="99"/>
      <c r="AZ1470" s="99"/>
      <c r="BA1470" s="99"/>
      <c r="BB1470" s="99"/>
      <c r="BC1470" s="99"/>
      <c r="BD1470" s="99"/>
      <c r="BE1470" s="99"/>
      <c r="BF1470" s="99"/>
      <c r="BG1470" s="99"/>
      <c r="BH1470" s="99"/>
      <c r="BI1470" s="99"/>
      <c r="BJ1470" s="99"/>
      <c r="BK1470" s="99"/>
      <c r="BL1470" s="99"/>
      <c r="BM1470" s="99"/>
      <c r="BN1470" s="99"/>
      <c r="BO1470" s="99"/>
      <c r="BP1470" s="99"/>
      <c r="BQ1470" s="99"/>
      <c r="BR1470" s="99"/>
      <c r="BS1470" s="99"/>
      <c r="BT1470" s="99"/>
      <c r="BU1470" s="99"/>
      <c r="BV1470" s="99"/>
      <c r="BW1470" s="99"/>
      <c r="BX1470" s="99"/>
      <c r="BY1470" s="99"/>
      <c r="BZ1470" s="99"/>
      <c r="CA1470" s="99"/>
      <c r="CB1470" s="99"/>
      <c r="CC1470" s="99"/>
      <c r="CD1470" s="99"/>
      <c r="CE1470" s="99"/>
      <c r="CF1470" s="99"/>
      <c r="CG1470" s="99"/>
      <c r="CH1470" s="99"/>
      <c r="CI1470" s="99"/>
      <c r="CJ1470" s="621"/>
      <c r="CK1470" s="621"/>
      <c r="CL1470" s="621"/>
    </row>
    <row r="1471" spans="27:90">
      <c r="AA1471" s="350"/>
      <c r="AB1471" s="62"/>
      <c r="AC1471" s="62"/>
      <c r="AD1471" s="62"/>
      <c r="AP1471" s="88"/>
      <c r="AQ1471" s="88"/>
      <c r="AR1471" s="88"/>
      <c r="AS1471" s="99"/>
      <c r="AT1471" s="99"/>
      <c r="AU1471" s="99"/>
      <c r="AV1471" s="99"/>
      <c r="AW1471" s="99"/>
      <c r="AX1471" s="99"/>
      <c r="AY1471" s="99"/>
      <c r="AZ1471" s="99"/>
      <c r="BA1471" s="99"/>
      <c r="BB1471" s="99"/>
      <c r="BC1471" s="99"/>
      <c r="BD1471" s="99"/>
      <c r="BE1471" s="99"/>
      <c r="BF1471" s="99"/>
      <c r="BG1471" s="99"/>
      <c r="BH1471" s="99"/>
      <c r="BI1471" s="99"/>
      <c r="BJ1471" s="99"/>
      <c r="BK1471" s="99"/>
      <c r="BL1471" s="99"/>
      <c r="BM1471" s="99"/>
      <c r="BN1471" s="99"/>
      <c r="BO1471" s="99"/>
      <c r="BP1471" s="99"/>
      <c r="BQ1471" s="99"/>
      <c r="BR1471" s="99"/>
      <c r="BS1471" s="99"/>
      <c r="BT1471" s="99"/>
      <c r="BU1471" s="99"/>
      <c r="BV1471" s="99"/>
      <c r="BW1471" s="99"/>
      <c r="BX1471" s="99"/>
      <c r="BY1471" s="99"/>
      <c r="BZ1471" s="99"/>
      <c r="CA1471" s="99"/>
      <c r="CB1471" s="99"/>
      <c r="CC1471" s="99"/>
      <c r="CD1471" s="99"/>
      <c r="CE1471" s="99"/>
      <c r="CF1471" s="99"/>
      <c r="CG1471" s="99"/>
      <c r="CH1471" s="99"/>
      <c r="CI1471" s="99"/>
      <c r="CJ1471" s="621"/>
      <c r="CK1471" s="621"/>
      <c r="CL1471" s="621"/>
    </row>
    <row r="1472" spans="27:90">
      <c r="AA1472" s="350"/>
      <c r="AB1472" s="62"/>
      <c r="AC1472" s="62"/>
      <c r="AD1472" s="62"/>
      <c r="AP1472" s="88"/>
      <c r="AQ1472" s="88"/>
      <c r="AR1472" s="88"/>
      <c r="AS1472" s="99"/>
      <c r="AT1472" s="99"/>
      <c r="AU1472" s="99"/>
      <c r="AV1472" s="99"/>
      <c r="AW1472" s="99"/>
      <c r="AX1472" s="99"/>
      <c r="AY1472" s="99"/>
      <c r="AZ1472" s="99"/>
      <c r="BA1472" s="99"/>
      <c r="BB1472" s="99"/>
      <c r="BC1472" s="99"/>
      <c r="BD1472" s="99"/>
      <c r="BE1472" s="99"/>
      <c r="BF1472" s="99"/>
      <c r="BG1472" s="99"/>
      <c r="BH1472" s="99"/>
      <c r="BI1472" s="99"/>
      <c r="BJ1472" s="99"/>
      <c r="BK1472" s="99"/>
      <c r="BL1472" s="99"/>
      <c r="BM1472" s="99"/>
      <c r="BN1472" s="99"/>
      <c r="BO1472" s="99"/>
      <c r="BP1472" s="99"/>
      <c r="BQ1472" s="99"/>
      <c r="BR1472" s="99"/>
      <c r="BS1472" s="99"/>
      <c r="BT1472" s="99"/>
      <c r="BU1472" s="99"/>
      <c r="BV1472" s="99"/>
      <c r="BW1472" s="99"/>
      <c r="BX1472" s="99"/>
      <c r="BY1472" s="99"/>
      <c r="BZ1472" s="99"/>
      <c r="CA1472" s="99"/>
      <c r="CB1472" s="99"/>
      <c r="CC1472" s="99"/>
      <c r="CD1472" s="99"/>
      <c r="CE1472" s="99"/>
      <c r="CF1472" s="99"/>
      <c r="CG1472" s="99"/>
      <c r="CH1472" s="99"/>
      <c r="CI1472" s="99"/>
      <c r="CJ1472" s="621"/>
      <c r="CK1472" s="621"/>
      <c r="CL1472" s="621"/>
    </row>
    <row r="1473" spans="27:90">
      <c r="AA1473" s="350"/>
      <c r="AB1473" s="62"/>
      <c r="AC1473" s="62"/>
      <c r="AD1473" s="62"/>
      <c r="AP1473" s="88"/>
      <c r="AQ1473" s="88"/>
      <c r="AR1473" s="88"/>
      <c r="AS1473" s="99"/>
      <c r="AT1473" s="99"/>
      <c r="AU1473" s="99"/>
      <c r="AV1473" s="99"/>
      <c r="AW1473" s="99"/>
      <c r="AX1473" s="99"/>
      <c r="AY1473" s="99"/>
      <c r="AZ1473" s="99"/>
      <c r="BA1473" s="99"/>
      <c r="BB1473" s="99"/>
      <c r="BC1473" s="99"/>
      <c r="BD1473" s="99"/>
      <c r="BE1473" s="99"/>
      <c r="BF1473" s="99"/>
      <c r="BG1473" s="99"/>
      <c r="BH1473" s="99"/>
      <c r="BI1473" s="99"/>
      <c r="BJ1473" s="99"/>
      <c r="BK1473" s="99"/>
      <c r="BL1473" s="99"/>
      <c r="BM1473" s="99"/>
      <c r="BN1473" s="99"/>
      <c r="BO1473" s="99"/>
      <c r="BP1473" s="99"/>
      <c r="BQ1473" s="99"/>
      <c r="BR1473" s="99"/>
      <c r="BS1473" s="99"/>
      <c r="BT1473" s="99"/>
      <c r="BU1473" s="99"/>
      <c r="BV1473" s="99"/>
      <c r="BW1473" s="99"/>
      <c r="BX1473" s="99"/>
      <c r="BY1473" s="99"/>
      <c r="BZ1473" s="99"/>
      <c r="CA1473" s="99"/>
      <c r="CB1473" s="99"/>
      <c r="CC1473" s="99"/>
      <c r="CD1473" s="99"/>
      <c r="CE1473" s="99"/>
      <c r="CF1473" s="99"/>
      <c r="CG1473" s="99"/>
      <c r="CH1473" s="99"/>
      <c r="CI1473" s="99"/>
      <c r="CJ1473" s="621"/>
      <c r="CK1473" s="621"/>
      <c r="CL1473" s="621"/>
    </row>
    <row r="1474" spans="27:90">
      <c r="AA1474" s="350"/>
      <c r="AB1474" s="62"/>
      <c r="AC1474" s="62"/>
      <c r="AD1474" s="62"/>
      <c r="AP1474" s="88"/>
      <c r="AQ1474" s="88"/>
      <c r="AR1474" s="88"/>
      <c r="AS1474" s="99"/>
      <c r="AT1474" s="99"/>
      <c r="AU1474" s="99"/>
      <c r="AV1474" s="99"/>
      <c r="AW1474" s="99"/>
      <c r="AX1474" s="99"/>
      <c r="AY1474" s="99"/>
      <c r="AZ1474" s="99"/>
      <c r="BA1474" s="99"/>
      <c r="BB1474" s="99"/>
      <c r="BC1474" s="99"/>
      <c r="BD1474" s="99"/>
      <c r="BE1474" s="99"/>
      <c r="BF1474" s="99"/>
      <c r="BG1474" s="99"/>
      <c r="BH1474" s="99"/>
      <c r="BI1474" s="99"/>
      <c r="BJ1474" s="99"/>
      <c r="BK1474" s="99"/>
      <c r="BL1474" s="99"/>
      <c r="BM1474" s="99"/>
      <c r="BN1474" s="99"/>
      <c r="BO1474" s="99"/>
      <c r="BP1474" s="99"/>
      <c r="BQ1474" s="99"/>
      <c r="BR1474" s="99"/>
      <c r="BS1474" s="99"/>
      <c r="BT1474" s="99"/>
      <c r="BU1474" s="99"/>
      <c r="BV1474" s="99"/>
      <c r="BW1474" s="99"/>
      <c r="BX1474" s="99"/>
      <c r="BY1474" s="99"/>
      <c r="BZ1474" s="99"/>
      <c r="CA1474" s="99"/>
      <c r="CB1474" s="99"/>
      <c r="CC1474" s="99"/>
      <c r="CD1474" s="99"/>
      <c r="CE1474" s="99"/>
      <c r="CF1474" s="99"/>
      <c r="CG1474" s="99"/>
      <c r="CH1474" s="99"/>
      <c r="CI1474" s="99"/>
      <c r="CJ1474" s="621"/>
      <c r="CK1474" s="621"/>
      <c r="CL1474" s="621"/>
    </row>
    <row r="1475" spans="27:90">
      <c r="AA1475" s="350"/>
      <c r="AB1475" s="62"/>
      <c r="AC1475" s="62"/>
      <c r="AD1475" s="62"/>
      <c r="AP1475" s="88"/>
      <c r="AQ1475" s="88"/>
      <c r="AR1475" s="88"/>
      <c r="AS1475" s="99"/>
      <c r="AT1475" s="99"/>
      <c r="AU1475" s="99"/>
      <c r="AV1475" s="99"/>
      <c r="AW1475" s="99"/>
      <c r="AX1475" s="99"/>
      <c r="AY1475" s="99"/>
      <c r="AZ1475" s="99"/>
      <c r="BA1475" s="99"/>
      <c r="BB1475" s="99"/>
      <c r="BC1475" s="99"/>
      <c r="BD1475" s="99"/>
      <c r="BE1475" s="99"/>
      <c r="BF1475" s="99"/>
      <c r="BG1475" s="99"/>
      <c r="BH1475" s="99"/>
      <c r="BI1475" s="99"/>
      <c r="BJ1475" s="99"/>
      <c r="BK1475" s="99"/>
      <c r="BL1475" s="99"/>
      <c r="BM1475" s="99"/>
      <c r="BN1475" s="99"/>
      <c r="BO1475" s="99"/>
      <c r="BP1475" s="99"/>
      <c r="BQ1475" s="99"/>
      <c r="BR1475" s="99"/>
      <c r="BS1475" s="99"/>
      <c r="BT1475" s="99"/>
      <c r="BU1475" s="99"/>
      <c r="BV1475" s="99"/>
      <c r="BW1475" s="99"/>
      <c r="BX1475" s="99"/>
      <c r="BY1475" s="99"/>
      <c r="BZ1475" s="99"/>
      <c r="CA1475" s="99"/>
      <c r="CB1475" s="99"/>
      <c r="CC1475" s="99"/>
      <c r="CD1475" s="99"/>
      <c r="CE1475" s="99"/>
      <c r="CF1475" s="99"/>
      <c r="CG1475" s="99"/>
      <c r="CH1475" s="99"/>
      <c r="CI1475" s="99"/>
      <c r="CJ1475" s="621"/>
      <c r="CK1475" s="621"/>
      <c r="CL1475" s="621"/>
    </row>
    <row r="1476" spans="27:90">
      <c r="AA1476" s="350"/>
      <c r="AB1476" s="62"/>
      <c r="AC1476" s="62"/>
      <c r="AD1476" s="62"/>
      <c r="AP1476" s="88"/>
      <c r="AQ1476" s="88"/>
      <c r="AR1476" s="88"/>
      <c r="AS1476" s="99"/>
      <c r="AT1476" s="99"/>
      <c r="AU1476" s="99"/>
      <c r="AV1476" s="99"/>
      <c r="AW1476" s="99"/>
      <c r="AX1476" s="99"/>
      <c r="AY1476" s="99"/>
      <c r="AZ1476" s="99"/>
      <c r="BA1476" s="99"/>
      <c r="BB1476" s="99"/>
      <c r="BC1476" s="99"/>
      <c r="BD1476" s="99"/>
      <c r="BE1476" s="99"/>
      <c r="BF1476" s="99"/>
      <c r="BG1476" s="99"/>
      <c r="BH1476" s="99"/>
      <c r="BI1476" s="99"/>
      <c r="BJ1476" s="99"/>
      <c r="BK1476" s="99"/>
      <c r="BL1476" s="99"/>
      <c r="BM1476" s="99"/>
      <c r="BN1476" s="99"/>
      <c r="BO1476" s="99"/>
      <c r="BP1476" s="99"/>
      <c r="BQ1476" s="99"/>
      <c r="BR1476" s="99"/>
      <c r="BS1476" s="99"/>
      <c r="BT1476" s="99"/>
      <c r="BU1476" s="99"/>
      <c r="BV1476" s="99"/>
      <c r="BW1476" s="99"/>
      <c r="BX1476" s="99"/>
      <c r="BY1476" s="99"/>
      <c r="BZ1476" s="99"/>
      <c r="CA1476" s="99"/>
      <c r="CB1476" s="99"/>
      <c r="CC1476" s="99"/>
      <c r="CD1476" s="99"/>
      <c r="CE1476" s="99"/>
      <c r="CF1476" s="99"/>
      <c r="CG1476" s="99"/>
      <c r="CH1476" s="99"/>
      <c r="CI1476" s="99"/>
      <c r="CJ1476" s="621"/>
      <c r="CK1476" s="621"/>
      <c r="CL1476" s="621"/>
    </row>
    <row r="1477" spans="27:90">
      <c r="AA1477" s="350"/>
      <c r="AB1477" s="62"/>
      <c r="AC1477" s="62"/>
      <c r="AD1477" s="62"/>
      <c r="AP1477" s="88"/>
      <c r="AQ1477" s="88"/>
      <c r="AR1477" s="88"/>
      <c r="AS1477" s="99"/>
      <c r="AT1477" s="99"/>
      <c r="AU1477" s="99"/>
      <c r="AV1477" s="99"/>
      <c r="AW1477" s="99"/>
      <c r="AX1477" s="99"/>
      <c r="AY1477" s="99"/>
      <c r="AZ1477" s="99"/>
      <c r="BA1477" s="99"/>
      <c r="BB1477" s="99"/>
      <c r="BC1477" s="99"/>
      <c r="BD1477" s="99"/>
      <c r="BE1477" s="99"/>
      <c r="BF1477" s="99"/>
      <c r="BG1477" s="99"/>
      <c r="BH1477" s="99"/>
      <c r="BI1477" s="99"/>
      <c r="BJ1477" s="99"/>
      <c r="BK1477" s="99"/>
      <c r="BL1477" s="99"/>
      <c r="BM1477" s="99"/>
      <c r="BN1477" s="99"/>
      <c r="BO1477" s="99"/>
      <c r="BP1477" s="99"/>
      <c r="BQ1477" s="99"/>
      <c r="BR1477" s="99"/>
      <c r="BS1477" s="99"/>
      <c r="BT1477" s="99"/>
      <c r="BU1477" s="99"/>
      <c r="BV1477" s="99"/>
      <c r="BW1477" s="99"/>
      <c r="BX1477" s="99"/>
      <c r="BY1477" s="99"/>
      <c r="BZ1477" s="99"/>
      <c r="CA1477" s="99"/>
      <c r="CB1477" s="99"/>
      <c r="CC1477" s="99"/>
      <c r="CD1477" s="99"/>
      <c r="CE1477" s="99"/>
      <c r="CF1477" s="99"/>
      <c r="CG1477" s="99"/>
      <c r="CH1477" s="99"/>
      <c r="CI1477" s="99"/>
      <c r="CJ1477" s="621"/>
      <c r="CK1477" s="621"/>
      <c r="CL1477" s="621"/>
    </row>
    <row r="1478" spans="27:90">
      <c r="AA1478" s="350"/>
      <c r="AB1478" s="62"/>
      <c r="AC1478" s="62"/>
      <c r="AD1478" s="62"/>
      <c r="AP1478" s="88"/>
      <c r="AQ1478" s="88"/>
      <c r="AR1478" s="88"/>
      <c r="AS1478" s="99"/>
      <c r="AT1478" s="99"/>
      <c r="AU1478" s="99"/>
      <c r="AV1478" s="99"/>
      <c r="AW1478" s="99"/>
      <c r="AX1478" s="99"/>
      <c r="AY1478" s="99"/>
      <c r="AZ1478" s="99"/>
      <c r="BA1478" s="99"/>
      <c r="BB1478" s="99"/>
      <c r="BC1478" s="99"/>
      <c r="BD1478" s="99"/>
      <c r="BE1478" s="99"/>
      <c r="BF1478" s="99"/>
      <c r="BG1478" s="99"/>
      <c r="BH1478" s="99"/>
      <c r="BI1478" s="99"/>
      <c r="BJ1478" s="99"/>
      <c r="BK1478" s="99"/>
      <c r="BL1478" s="99"/>
      <c r="BM1478" s="99"/>
      <c r="BN1478" s="99"/>
      <c r="BO1478" s="99"/>
      <c r="BP1478" s="99"/>
      <c r="BQ1478" s="99"/>
      <c r="BR1478" s="99"/>
      <c r="BS1478" s="99"/>
      <c r="BT1478" s="99"/>
      <c r="BU1478" s="99"/>
      <c r="BV1478" s="99"/>
      <c r="BW1478" s="99"/>
      <c r="BX1478" s="99"/>
      <c r="BY1478" s="99"/>
      <c r="BZ1478" s="99"/>
      <c r="CA1478" s="99"/>
      <c r="CB1478" s="99"/>
      <c r="CC1478" s="99"/>
      <c r="CD1478" s="99"/>
      <c r="CE1478" s="99"/>
      <c r="CF1478" s="99"/>
      <c r="CG1478" s="99"/>
      <c r="CH1478" s="99"/>
      <c r="CI1478" s="99"/>
      <c r="CJ1478" s="621"/>
      <c r="CK1478" s="621"/>
      <c r="CL1478" s="621"/>
    </row>
    <row r="1479" spans="27:90">
      <c r="AA1479" s="350"/>
      <c r="AB1479" s="62"/>
      <c r="AC1479" s="62"/>
      <c r="AD1479" s="62"/>
      <c r="AP1479" s="88"/>
      <c r="AQ1479" s="88"/>
      <c r="AR1479" s="88"/>
      <c r="AS1479" s="99"/>
      <c r="AT1479" s="99"/>
      <c r="AU1479" s="99"/>
      <c r="AV1479" s="99"/>
      <c r="AW1479" s="99"/>
      <c r="AX1479" s="99"/>
      <c r="AY1479" s="99"/>
      <c r="AZ1479" s="99"/>
      <c r="BA1479" s="99"/>
      <c r="BB1479" s="99"/>
      <c r="BC1479" s="99"/>
      <c r="BD1479" s="99"/>
      <c r="BE1479" s="99"/>
      <c r="BF1479" s="99"/>
      <c r="BG1479" s="99"/>
      <c r="BH1479" s="99"/>
      <c r="BI1479" s="99"/>
      <c r="BJ1479" s="99"/>
      <c r="BK1479" s="99"/>
      <c r="BL1479" s="99"/>
      <c r="BM1479" s="99"/>
      <c r="BN1479" s="99"/>
      <c r="BO1479" s="99"/>
      <c r="BP1479" s="99"/>
      <c r="BQ1479" s="99"/>
      <c r="BR1479" s="99"/>
      <c r="BS1479" s="99"/>
      <c r="BT1479" s="99"/>
      <c r="BU1479" s="99"/>
      <c r="BV1479" s="99"/>
      <c r="BW1479" s="99"/>
      <c r="BX1479" s="99"/>
      <c r="BY1479" s="99"/>
      <c r="BZ1479" s="99"/>
      <c r="CA1479" s="99"/>
      <c r="CB1479" s="99"/>
      <c r="CC1479" s="99"/>
      <c r="CD1479" s="99"/>
      <c r="CE1479" s="99"/>
      <c r="CF1479" s="99"/>
      <c r="CG1479" s="99"/>
      <c r="CH1479" s="99"/>
      <c r="CI1479" s="99"/>
      <c r="CJ1479" s="621"/>
      <c r="CK1479" s="621"/>
      <c r="CL1479" s="621"/>
    </row>
    <row r="1480" spans="27:90">
      <c r="AA1480" s="350"/>
      <c r="AB1480" s="62"/>
      <c r="AC1480" s="62"/>
      <c r="AD1480" s="62"/>
      <c r="AP1480" s="88"/>
      <c r="AQ1480" s="88"/>
      <c r="AR1480" s="88"/>
      <c r="AS1480" s="99"/>
      <c r="AT1480" s="99"/>
      <c r="AU1480" s="99"/>
      <c r="AV1480" s="99"/>
      <c r="AW1480" s="99"/>
      <c r="AX1480" s="99"/>
      <c r="AY1480" s="99"/>
      <c r="AZ1480" s="99"/>
      <c r="BA1480" s="99"/>
      <c r="BB1480" s="99"/>
      <c r="BC1480" s="99"/>
      <c r="BD1480" s="99"/>
      <c r="BE1480" s="99"/>
      <c r="BF1480" s="99"/>
      <c r="BG1480" s="99"/>
      <c r="BH1480" s="99"/>
      <c r="BI1480" s="99"/>
      <c r="BJ1480" s="99"/>
      <c r="BK1480" s="99"/>
      <c r="BL1480" s="99"/>
      <c r="BM1480" s="99"/>
      <c r="BN1480" s="99"/>
      <c r="BO1480" s="99"/>
      <c r="BP1480" s="99"/>
      <c r="BQ1480" s="99"/>
      <c r="BR1480" s="99"/>
      <c r="BS1480" s="99"/>
      <c r="BT1480" s="99"/>
      <c r="BU1480" s="99"/>
      <c r="BV1480" s="99"/>
      <c r="BW1480" s="99"/>
      <c r="BX1480" s="99"/>
      <c r="BY1480" s="99"/>
      <c r="BZ1480" s="99"/>
      <c r="CA1480" s="99"/>
      <c r="CB1480" s="99"/>
      <c r="CC1480" s="99"/>
      <c r="CD1480" s="99"/>
      <c r="CE1480" s="99"/>
      <c r="CF1480" s="99"/>
      <c r="CG1480" s="99"/>
      <c r="CH1480" s="99"/>
      <c r="CI1480" s="99"/>
      <c r="CJ1480" s="621"/>
      <c r="CK1480" s="621"/>
      <c r="CL1480" s="621"/>
    </row>
    <row r="1481" spans="27:90">
      <c r="AA1481" s="350"/>
      <c r="AB1481" s="62"/>
      <c r="AC1481" s="62"/>
      <c r="AD1481" s="62"/>
      <c r="AP1481" s="88"/>
      <c r="AQ1481" s="88"/>
      <c r="AR1481" s="88"/>
      <c r="AS1481" s="99"/>
      <c r="AT1481" s="99"/>
      <c r="AU1481" s="99"/>
      <c r="AV1481" s="99"/>
      <c r="AW1481" s="99"/>
      <c r="AX1481" s="99"/>
      <c r="AY1481" s="99"/>
      <c r="AZ1481" s="99"/>
      <c r="BA1481" s="99"/>
      <c r="BB1481" s="99"/>
      <c r="BC1481" s="99"/>
      <c r="BD1481" s="99"/>
      <c r="BE1481" s="99"/>
      <c r="BF1481" s="99"/>
      <c r="BG1481" s="99"/>
      <c r="BH1481" s="99"/>
      <c r="BI1481" s="99"/>
      <c r="BJ1481" s="99"/>
      <c r="BK1481" s="99"/>
      <c r="BL1481" s="99"/>
      <c r="BM1481" s="99"/>
      <c r="BN1481" s="99"/>
      <c r="BO1481" s="99"/>
      <c r="BP1481" s="99"/>
      <c r="BQ1481" s="99"/>
      <c r="BR1481" s="99"/>
      <c r="BS1481" s="99"/>
      <c r="BT1481" s="99"/>
      <c r="BU1481" s="99"/>
      <c r="BV1481" s="99"/>
      <c r="BW1481" s="99"/>
      <c r="BX1481" s="99"/>
      <c r="BY1481" s="99"/>
      <c r="BZ1481" s="99"/>
      <c r="CA1481" s="99"/>
      <c r="CB1481" s="99"/>
      <c r="CC1481" s="99"/>
      <c r="CD1481" s="99"/>
      <c r="CE1481" s="99"/>
      <c r="CF1481" s="99"/>
      <c r="CG1481" s="99"/>
      <c r="CH1481" s="99"/>
      <c r="CI1481" s="99"/>
      <c r="CJ1481" s="621"/>
      <c r="CK1481" s="621"/>
      <c r="CL1481" s="621"/>
    </row>
    <row r="1482" spans="27:90">
      <c r="AA1482" s="350"/>
      <c r="AB1482" s="62"/>
      <c r="AC1482" s="62"/>
      <c r="AD1482" s="62"/>
      <c r="AP1482" s="88"/>
      <c r="AQ1482" s="88"/>
      <c r="AR1482" s="88"/>
      <c r="AS1482" s="99"/>
      <c r="AT1482" s="99"/>
      <c r="AU1482" s="99"/>
      <c r="AV1482" s="99"/>
      <c r="AW1482" s="99"/>
      <c r="AX1482" s="99"/>
      <c r="AY1482" s="99"/>
      <c r="AZ1482" s="99"/>
      <c r="BA1482" s="99"/>
      <c r="BB1482" s="99"/>
      <c r="BC1482" s="99"/>
      <c r="BD1482" s="99"/>
      <c r="BE1482" s="99"/>
      <c r="BF1482" s="99"/>
      <c r="BG1482" s="99"/>
      <c r="BH1482" s="99"/>
      <c r="BI1482" s="99"/>
      <c r="BJ1482" s="99"/>
      <c r="BK1482" s="99"/>
      <c r="BL1482" s="99"/>
      <c r="BM1482" s="99"/>
      <c r="BN1482" s="99"/>
      <c r="BO1482" s="99"/>
      <c r="BP1482" s="99"/>
      <c r="BQ1482" s="99"/>
      <c r="BR1482" s="99"/>
      <c r="BS1482" s="99"/>
      <c r="BT1482" s="99"/>
      <c r="BU1482" s="99"/>
      <c r="BV1482" s="99"/>
      <c r="BW1482" s="99"/>
      <c r="BX1482" s="99"/>
      <c r="BY1482" s="99"/>
      <c r="BZ1482" s="99"/>
      <c r="CA1482" s="99"/>
      <c r="CB1482" s="99"/>
      <c r="CC1482" s="99"/>
      <c r="CD1482" s="99"/>
      <c r="CE1482" s="99"/>
      <c r="CF1482" s="99"/>
      <c r="CG1482" s="99"/>
      <c r="CH1482" s="99"/>
      <c r="CI1482" s="99"/>
      <c r="CJ1482" s="621"/>
      <c r="CK1482" s="621"/>
      <c r="CL1482" s="621"/>
    </row>
    <row r="1483" spans="27:90">
      <c r="AA1483" s="350"/>
      <c r="AB1483" s="62"/>
      <c r="AC1483" s="62"/>
      <c r="AD1483" s="62"/>
      <c r="AP1483" s="88"/>
      <c r="AQ1483" s="88"/>
      <c r="AR1483" s="88"/>
      <c r="AS1483" s="99"/>
      <c r="AT1483" s="99"/>
      <c r="AU1483" s="99"/>
      <c r="AV1483" s="99"/>
      <c r="AW1483" s="99"/>
      <c r="AX1483" s="99"/>
      <c r="AY1483" s="99"/>
      <c r="AZ1483" s="99"/>
      <c r="BA1483" s="99"/>
      <c r="BB1483" s="99"/>
      <c r="BC1483" s="99"/>
      <c r="BD1483" s="99"/>
      <c r="BE1483" s="99"/>
      <c r="BF1483" s="99"/>
      <c r="BG1483" s="99"/>
      <c r="BH1483" s="99"/>
      <c r="BI1483" s="99"/>
      <c r="BJ1483" s="99"/>
      <c r="BK1483" s="99"/>
      <c r="BL1483" s="99"/>
      <c r="BM1483" s="99"/>
      <c r="BN1483" s="99"/>
      <c r="BO1483" s="99"/>
      <c r="BP1483" s="99"/>
      <c r="BQ1483" s="99"/>
      <c r="BR1483" s="99"/>
      <c r="BS1483" s="99"/>
      <c r="BT1483" s="99"/>
      <c r="BU1483" s="99"/>
      <c r="BV1483" s="99"/>
      <c r="BW1483" s="99"/>
      <c r="BX1483" s="99"/>
      <c r="BY1483" s="99"/>
      <c r="BZ1483" s="99"/>
      <c r="CA1483" s="99"/>
      <c r="CB1483" s="99"/>
      <c r="CC1483" s="99"/>
      <c r="CD1483" s="99"/>
      <c r="CE1483" s="99"/>
      <c r="CF1483" s="99"/>
      <c r="CG1483" s="99"/>
      <c r="CH1483" s="99"/>
      <c r="CI1483" s="99"/>
      <c r="CJ1483" s="621"/>
      <c r="CK1483" s="621"/>
      <c r="CL1483" s="621"/>
    </row>
    <row r="1484" spans="27:90">
      <c r="AA1484" s="350"/>
      <c r="AB1484" s="62"/>
      <c r="AC1484" s="62"/>
      <c r="AD1484" s="62"/>
      <c r="AP1484" s="88"/>
      <c r="AQ1484" s="88"/>
      <c r="AR1484" s="88"/>
      <c r="AS1484" s="99"/>
      <c r="AT1484" s="99"/>
      <c r="AU1484" s="99"/>
      <c r="AV1484" s="99"/>
      <c r="AW1484" s="99"/>
      <c r="AX1484" s="99"/>
      <c r="AY1484" s="99"/>
      <c r="AZ1484" s="99"/>
      <c r="BA1484" s="99"/>
      <c r="BB1484" s="99"/>
      <c r="BC1484" s="99"/>
      <c r="BD1484" s="99"/>
      <c r="BE1484" s="99"/>
      <c r="BF1484" s="99"/>
      <c r="BG1484" s="99"/>
      <c r="BH1484" s="99"/>
      <c r="BI1484" s="99"/>
      <c r="BJ1484" s="99"/>
      <c r="BK1484" s="99"/>
      <c r="BL1484" s="99"/>
      <c r="BM1484" s="99"/>
      <c r="BN1484" s="99"/>
      <c r="BO1484" s="99"/>
      <c r="BP1484" s="99"/>
      <c r="BQ1484" s="99"/>
      <c r="BR1484" s="99"/>
      <c r="BS1484" s="99"/>
      <c r="BT1484" s="99"/>
      <c r="BU1484" s="99"/>
      <c r="BV1484" s="99"/>
      <c r="BW1484" s="99"/>
      <c r="BX1484" s="99"/>
      <c r="BY1484" s="99"/>
      <c r="BZ1484" s="99"/>
      <c r="CA1484" s="99"/>
      <c r="CB1484" s="99"/>
      <c r="CC1484" s="99"/>
      <c r="CD1484" s="99"/>
      <c r="CE1484" s="99"/>
      <c r="CF1484" s="99"/>
      <c r="CG1484" s="99"/>
      <c r="CH1484" s="99"/>
      <c r="CI1484" s="99"/>
      <c r="CJ1484" s="621"/>
      <c r="CK1484" s="621"/>
      <c r="CL1484" s="621"/>
    </row>
    <row r="1485" spans="27:90">
      <c r="AA1485" s="350"/>
      <c r="AB1485" s="62"/>
      <c r="AC1485" s="62"/>
      <c r="AD1485" s="62"/>
      <c r="AP1485" s="88"/>
      <c r="AQ1485" s="88"/>
      <c r="AR1485" s="88"/>
      <c r="AS1485" s="99"/>
      <c r="AT1485" s="99"/>
      <c r="AU1485" s="99"/>
      <c r="AV1485" s="99"/>
      <c r="AW1485" s="99"/>
      <c r="AX1485" s="99"/>
      <c r="AY1485" s="99"/>
      <c r="AZ1485" s="99"/>
      <c r="BA1485" s="99"/>
      <c r="BB1485" s="99"/>
      <c r="BC1485" s="99"/>
      <c r="BD1485" s="99"/>
      <c r="BE1485" s="99"/>
      <c r="BF1485" s="99"/>
      <c r="BG1485" s="99"/>
      <c r="BH1485" s="99"/>
      <c r="BI1485" s="99"/>
      <c r="BJ1485" s="99"/>
      <c r="BK1485" s="99"/>
      <c r="BL1485" s="99"/>
      <c r="BM1485" s="99"/>
      <c r="BN1485" s="99"/>
      <c r="BO1485" s="99"/>
      <c r="BP1485" s="99"/>
      <c r="BQ1485" s="99"/>
      <c r="BR1485" s="99"/>
      <c r="BS1485" s="99"/>
      <c r="BT1485" s="99"/>
      <c r="BU1485" s="99"/>
      <c r="BV1485" s="99"/>
      <c r="BW1485" s="99"/>
      <c r="BX1485" s="99"/>
      <c r="BY1485" s="99"/>
      <c r="BZ1485" s="99"/>
      <c r="CA1485" s="99"/>
      <c r="CB1485" s="99"/>
      <c r="CC1485" s="99"/>
      <c r="CD1485" s="99"/>
      <c r="CE1485" s="99"/>
      <c r="CF1485" s="99"/>
      <c r="CG1485" s="99"/>
      <c r="CH1485" s="99"/>
      <c r="CI1485" s="99"/>
      <c r="CJ1485" s="621"/>
      <c r="CK1485" s="621"/>
      <c r="CL1485" s="621"/>
    </row>
    <row r="1486" spans="27:90">
      <c r="AA1486" s="350"/>
      <c r="AB1486" s="62"/>
      <c r="AC1486" s="62"/>
      <c r="AD1486" s="62"/>
      <c r="AP1486" s="88"/>
      <c r="AQ1486" s="88"/>
      <c r="AR1486" s="88"/>
      <c r="AS1486" s="99"/>
      <c r="AT1486" s="99"/>
      <c r="AU1486" s="99"/>
      <c r="AV1486" s="99"/>
      <c r="AW1486" s="99"/>
      <c r="AX1486" s="99"/>
      <c r="AY1486" s="99"/>
      <c r="AZ1486" s="99"/>
      <c r="BA1486" s="99"/>
      <c r="BB1486" s="99"/>
      <c r="BC1486" s="99"/>
      <c r="BD1486" s="99"/>
      <c r="BE1486" s="99"/>
      <c r="BF1486" s="99"/>
      <c r="BG1486" s="99"/>
      <c r="BH1486" s="99"/>
      <c r="BI1486" s="99"/>
      <c r="BJ1486" s="99"/>
      <c r="BK1486" s="99"/>
      <c r="BL1486" s="99"/>
      <c r="BM1486" s="99"/>
      <c r="BN1486" s="99"/>
      <c r="BO1486" s="99"/>
      <c r="BP1486" s="99"/>
      <c r="BQ1486" s="99"/>
      <c r="BR1486" s="99"/>
      <c r="BS1486" s="99"/>
      <c r="BT1486" s="99"/>
      <c r="BU1486" s="99"/>
      <c r="BV1486" s="99"/>
      <c r="BW1486" s="99"/>
      <c r="BX1486" s="99"/>
      <c r="BY1486" s="99"/>
      <c r="BZ1486" s="99"/>
      <c r="CA1486" s="99"/>
      <c r="CB1486" s="99"/>
      <c r="CC1486" s="99"/>
      <c r="CD1486" s="99"/>
      <c r="CE1486" s="99"/>
      <c r="CF1486" s="99"/>
      <c r="CG1486" s="99"/>
      <c r="CH1486" s="99"/>
      <c r="CI1486" s="99"/>
      <c r="CJ1486" s="621"/>
      <c r="CK1486" s="621"/>
      <c r="CL1486" s="621"/>
    </row>
    <row r="1487" spans="27:90">
      <c r="AA1487" s="350"/>
      <c r="AB1487" s="62"/>
      <c r="AC1487" s="62"/>
      <c r="AD1487" s="62"/>
      <c r="AP1487" s="88"/>
      <c r="AQ1487" s="88"/>
      <c r="AR1487" s="88"/>
      <c r="AS1487" s="99"/>
      <c r="AT1487" s="99"/>
      <c r="AU1487" s="99"/>
      <c r="AV1487" s="99"/>
      <c r="AW1487" s="99"/>
      <c r="AX1487" s="99"/>
      <c r="AY1487" s="99"/>
      <c r="AZ1487" s="99"/>
      <c r="BA1487" s="99"/>
      <c r="BB1487" s="99"/>
      <c r="BC1487" s="99"/>
      <c r="BD1487" s="99"/>
      <c r="BE1487" s="99"/>
      <c r="BF1487" s="99"/>
      <c r="BG1487" s="99"/>
      <c r="BH1487" s="99"/>
      <c r="BI1487" s="99"/>
      <c r="BJ1487" s="99"/>
      <c r="BK1487" s="99"/>
      <c r="BL1487" s="99"/>
      <c r="BM1487" s="99"/>
      <c r="BN1487" s="99"/>
      <c r="BO1487" s="99"/>
      <c r="BP1487" s="99"/>
      <c r="BQ1487" s="99"/>
      <c r="BR1487" s="99"/>
      <c r="BS1487" s="99"/>
      <c r="BT1487" s="99"/>
      <c r="BU1487" s="99"/>
      <c r="BV1487" s="99"/>
      <c r="BW1487" s="99"/>
      <c r="BX1487" s="99"/>
      <c r="BY1487" s="99"/>
      <c r="BZ1487" s="99"/>
      <c r="CA1487" s="99"/>
      <c r="CB1487" s="99"/>
      <c r="CC1487" s="99"/>
      <c r="CD1487" s="99"/>
      <c r="CE1487" s="99"/>
      <c r="CF1487" s="99"/>
      <c r="CG1487" s="99"/>
      <c r="CH1487" s="99"/>
      <c r="CI1487" s="99"/>
      <c r="CJ1487" s="621"/>
      <c r="CK1487" s="621"/>
      <c r="CL1487" s="621"/>
    </row>
    <row r="1488" spans="27:90">
      <c r="AA1488" s="350"/>
      <c r="AB1488" s="62"/>
      <c r="AC1488" s="62"/>
      <c r="AD1488" s="62"/>
      <c r="AP1488" s="88"/>
      <c r="AQ1488" s="88"/>
      <c r="AR1488" s="88"/>
      <c r="AS1488" s="99"/>
      <c r="AT1488" s="99"/>
      <c r="AU1488" s="99"/>
      <c r="AV1488" s="99"/>
      <c r="AW1488" s="99"/>
      <c r="AX1488" s="99"/>
      <c r="AY1488" s="99"/>
      <c r="AZ1488" s="99"/>
      <c r="BA1488" s="99"/>
      <c r="BB1488" s="99"/>
      <c r="BC1488" s="99"/>
      <c r="BD1488" s="99"/>
      <c r="BE1488" s="99"/>
      <c r="BF1488" s="99"/>
      <c r="BG1488" s="99"/>
      <c r="BH1488" s="99"/>
      <c r="BI1488" s="99"/>
      <c r="BJ1488" s="99"/>
      <c r="BK1488" s="99"/>
      <c r="BL1488" s="99"/>
      <c r="BM1488" s="99"/>
      <c r="BN1488" s="99"/>
      <c r="BO1488" s="99"/>
      <c r="BP1488" s="99"/>
      <c r="BQ1488" s="99"/>
      <c r="BR1488" s="99"/>
      <c r="BS1488" s="99"/>
      <c r="BT1488" s="99"/>
      <c r="BU1488" s="99"/>
      <c r="BV1488" s="99"/>
      <c r="BW1488" s="99"/>
      <c r="BX1488" s="99"/>
      <c r="BY1488" s="99"/>
      <c r="BZ1488" s="99"/>
      <c r="CA1488" s="99"/>
      <c r="CB1488" s="99"/>
      <c r="CC1488" s="99"/>
      <c r="CD1488" s="99"/>
      <c r="CE1488" s="99"/>
      <c r="CF1488" s="99"/>
      <c r="CG1488" s="99"/>
      <c r="CH1488" s="99"/>
      <c r="CI1488" s="99"/>
      <c r="CJ1488" s="621"/>
      <c r="CK1488" s="621"/>
      <c r="CL1488" s="621"/>
    </row>
    <row r="1489" spans="27:90">
      <c r="AA1489" s="350"/>
      <c r="AB1489" s="62"/>
      <c r="AC1489" s="62"/>
      <c r="AD1489" s="62"/>
      <c r="AP1489" s="88"/>
      <c r="AQ1489" s="88"/>
      <c r="AR1489" s="88"/>
      <c r="AS1489" s="99"/>
      <c r="AT1489" s="99"/>
      <c r="AU1489" s="99"/>
      <c r="AV1489" s="99"/>
      <c r="AW1489" s="99"/>
      <c r="AX1489" s="99"/>
      <c r="AY1489" s="99"/>
      <c r="AZ1489" s="99"/>
      <c r="BA1489" s="99"/>
      <c r="BB1489" s="99"/>
      <c r="BC1489" s="99"/>
      <c r="BD1489" s="99"/>
      <c r="BE1489" s="99"/>
      <c r="BF1489" s="99"/>
      <c r="BG1489" s="99"/>
      <c r="BH1489" s="99"/>
      <c r="BI1489" s="99"/>
      <c r="BJ1489" s="99"/>
      <c r="BK1489" s="99"/>
      <c r="BL1489" s="99"/>
      <c r="BM1489" s="99"/>
      <c r="BN1489" s="99"/>
      <c r="BO1489" s="99"/>
      <c r="BP1489" s="99"/>
      <c r="BQ1489" s="99"/>
      <c r="BR1489" s="99"/>
      <c r="BS1489" s="99"/>
      <c r="BT1489" s="99"/>
      <c r="BU1489" s="99"/>
      <c r="BV1489" s="99"/>
      <c r="BW1489" s="99"/>
      <c r="BX1489" s="99"/>
      <c r="BY1489" s="99"/>
      <c r="BZ1489" s="99"/>
      <c r="CA1489" s="99"/>
      <c r="CB1489" s="99"/>
      <c r="CC1489" s="99"/>
      <c r="CD1489" s="99"/>
      <c r="CE1489" s="99"/>
      <c r="CF1489" s="99"/>
      <c r="CG1489" s="99"/>
      <c r="CH1489" s="99"/>
      <c r="CI1489" s="99"/>
      <c r="CJ1489" s="621"/>
      <c r="CK1489" s="621"/>
      <c r="CL1489" s="621"/>
    </row>
    <row r="1490" spans="27:90">
      <c r="AA1490" s="350"/>
      <c r="AB1490" s="62"/>
      <c r="AC1490" s="62"/>
      <c r="AD1490" s="62"/>
      <c r="AP1490" s="88"/>
      <c r="AQ1490" s="88"/>
      <c r="AR1490" s="88"/>
      <c r="AS1490" s="99"/>
      <c r="AT1490" s="99"/>
      <c r="AU1490" s="99"/>
      <c r="AV1490" s="99"/>
      <c r="AW1490" s="99"/>
      <c r="AX1490" s="99"/>
      <c r="AY1490" s="99"/>
      <c r="AZ1490" s="99"/>
      <c r="BA1490" s="99"/>
      <c r="BB1490" s="99"/>
      <c r="BC1490" s="99"/>
      <c r="BD1490" s="99"/>
      <c r="BE1490" s="99"/>
      <c r="BF1490" s="99"/>
      <c r="BG1490" s="99"/>
      <c r="BH1490" s="99"/>
      <c r="BI1490" s="99"/>
      <c r="BJ1490" s="99"/>
      <c r="BK1490" s="99"/>
      <c r="BL1490" s="99"/>
      <c r="BM1490" s="99"/>
      <c r="BN1490" s="99"/>
      <c r="BO1490" s="99"/>
      <c r="BP1490" s="99"/>
      <c r="BQ1490" s="99"/>
      <c r="BR1490" s="99"/>
      <c r="BS1490" s="99"/>
      <c r="BT1490" s="99"/>
      <c r="BU1490" s="99"/>
      <c r="BV1490" s="99"/>
      <c r="BW1490" s="99"/>
      <c r="BX1490" s="99"/>
      <c r="BY1490" s="99"/>
      <c r="BZ1490" s="99"/>
      <c r="CA1490" s="99"/>
      <c r="CB1490" s="99"/>
      <c r="CC1490" s="99"/>
      <c r="CD1490" s="99"/>
      <c r="CE1490" s="99"/>
      <c r="CF1490" s="99"/>
      <c r="CG1490" s="99"/>
      <c r="CH1490" s="99"/>
      <c r="CI1490" s="99"/>
      <c r="CJ1490" s="621"/>
      <c r="CK1490" s="621"/>
      <c r="CL1490" s="621"/>
    </row>
    <row r="1491" spans="27:90">
      <c r="AA1491" s="350"/>
      <c r="AB1491" s="62"/>
      <c r="AC1491" s="62"/>
      <c r="AD1491" s="62"/>
      <c r="AP1491" s="88"/>
      <c r="AQ1491" s="88"/>
      <c r="AR1491" s="88"/>
      <c r="AS1491" s="99"/>
      <c r="AT1491" s="99"/>
      <c r="AU1491" s="99"/>
      <c r="AV1491" s="99"/>
      <c r="AW1491" s="99"/>
      <c r="AX1491" s="99"/>
      <c r="AY1491" s="99"/>
      <c r="AZ1491" s="99"/>
      <c r="BA1491" s="99"/>
      <c r="BB1491" s="99"/>
      <c r="BC1491" s="99"/>
      <c r="BD1491" s="99"/>
      <c r="BE1491" s="99"/>
      <c r="BF1491" s="99"/>
      <c r="BG1491" s="99"/>
      <c r="BH1491" s="99"/>
      <c r="BI1491" s="99"/>
      <c r="BJ1491" s="99"/>
      <c r="BK1491" s="99"/>
      <c r="BL1491" s="99"/>
      <c r="BM1491" s="99"/>
      <c r="BN1491" s="99"/>
      <c r="BO1491" s="99"/>
      <c r="BP1491" s="99"/>
      <c r="BQ1491" s="99"/>
      <c r="BR1491" s="99"/>
      <c r="BS1491" s="99"/>
      <c r="BT1491" s="99"/>
      <c r="BU1491" s="99"/>
      <c r="BV1491" s="99"/>
      <c r="BW1491" s="99"/>
      <c r="BX1491" s="99"/>
      <c r="BY1491" s="99"/>
      <c r="BZ1491" s="99"/>
      <c r="CA1491" s="99"/>
      <c r="CB1491" s="99"/>
      <c r="CC1491" s="99"/>
      <c r="CD1491" s="99"/>
      <c r="CE1491" s="99"/>
      <c r="CF1491" s="99"/>
      <c r="CG1491" s="99"/>
      <c r="CH1491" s="99"/>
      <c r="CI1491" s="99"/>
      <c r="CJ1491" s="621"/>
      <c r="CK1491" s="621"/>
      <c r="CL1491" s="621"/>
    </row>
    <row r="1492" spans="27:90">
      <c r="AA1492" s="350"/>
      <c r="AB1492" s="62"/>
      <c r="AC1492" s="62"/>
      <c r="AD1492" s="62"/>
      <c r="AP1492" s="88"/>
      <c r="AQ1492" s="88"/>
      <c r="AR1492" s="88"/>
      <c r="AS1492" s="99"/>
      <c r="AT1492" s="99"/>
      <c r="AU1492" s="99"/>
      <c r="AV1492" s="99"/>
      <c r="AW1492" s="99"/>
      <c r="AX1492" s="99"/>
      <c r="AY1492" s="99"/>
      <c r="AZ1492" s="99"/>
      <c r="BA1492" s="99"/>
      <c r="BB1492" s="99"/>
      <c r="BC1492" s="99"/>
      <c r="BD1492" s="99"/>
      <c r="BE1492" s="99"/>
      <c r="BF1492" s="99"/>
      <c r="BG1492" s="99"/>
      <c r="BH1492" s="99"/>
      <c r="BI1492" s="99"/>
      <c r="BJ1492" s="99"/>
      <c r="BK1492" s="99"/>
      <c r="BL1492" s="99"/>
      <c r="BM1492" s="99"/>
      <c r="BN1492" s="99"/>
      <c r="BO1492" s="99"/>
      <c r="BP1492" s="99"/>
      <c r="BQ1492" s="99"/>
      <c r="BR1492" s="99"/>
      <c r="BS1492" s="99"/>
      <c r="BT1492" s="99"/>
      <c r="BU1492" s="99"/>
      <c r="BV1492" s="99"/>
      <c r="BW1492" s="99"/>
      <c r="BX1492" s="99"/>
      <c r="BY1492" s="99"/>
      <c r="BZ1492" s="99"/>
      <c r="CA1492" s="99"/>
      <c r="CB1492" s="99"/>
      <c r="CC1492" s="99"/>
      <c r="CD1492" s="99"/>
      <c r="CE1492" s="99"/>
      <c r="CF1492" s="99"/>
      <c r="CG1492" s="99"/>
      <c r="CH1492" s="99"/>
      <c r="CI1492" s="99"/>
      <c r="CJ1492" s="621"/>
      <c r="CK1492" s="621"/>
      <c r="CL1492" s="621"/>
    </row>
    <row r="1493" spans="27:90">
      <c r="AA1493" s="350"/>
      <c r="AB1493" s="62"/>
      <c r="AC1493" s="62"/>
      <c r="AD1493" s="62"/>
      <c r="AP1493" s="88"/>
      <c r="AQ1493" s="88"/>
      <c r="AR1493" s="88"/>
      <c r="AS1493" s="99"/>
      <c r="AT1493" s="99"/>
      <c r="AU1493" s="99"/>
      <c r="AV1493" s="99"/>
      <c r="AW1493" s="99"/>
      <c r="AX1493" s="99"/>
      <c r="AY1493" s="99"/>
      <c r="AZ1493" s="99"/>
      <c r="BA1493" s="99"/>
      <c r="BB1493" s="99"/>
      <c r="BC1493" s="99"/>
      <c r="BD1493" s="99"/>
      <c r="BE1493" s="99"/>
      <c r="BF1493" s="99"/>
      <c r="BG1493" s="99"/>
      <c r="BH1493" s="99"/>
      <c r="BI1493" s="99"/>
      <c r="BJ1493" s="99"/>
      <c r="BK1493" s="99"/>
      <c r="BL1493" s="99"/>
      <c r="BM1493" s="99"/>
      <c r="BN1493" s="99"/>
      <c r="BO1493" s="99"/>
      <c r="BP1493" s="99"/>
      <c r="BQ1493" s="99"/>
      <c r="BR1493" s="99"/>
      <c r="BS1493" s="99"/>
      <c r="BT1493" s="99"/>
      <c r="BU1493" s="99"/>
      <c r="BV1493" s="99"/>
      <c r="BW1493" s="99"/>
      <c r="BX1493" s="99"/>
      <c r="BY1493" s="99"/>
      <c r="BZ1493" s="99"/>
      <c r="CA1493" s="99"/>
      <c r="CB1493" s="99"/>
      <c r="CC1493" s="99"/>
      <c r="CD1493" s="99"/>
      <c r="CE1493" s="99"/>
      <c r="CF1493" s="99"/>
      <c r="CG1493" s="99"/>
      <c r="CH1493" s="99"/>
      <c r="CI1493" s="99"/>
      <c r="CJ1493" s="621"/>
      <c r="CK1493" s="621"/>
      <c r="CL1493" s="621"/>
    </row>
    <row r="1494" spans="27:90">
      <c r="AA1494" s="350"/>
      <c r="AB1494" s="62"/>
      <c r="AC1494" s="62"/>
      <c r="AD1494" s="62"/>
      <c r="AP1494" s="88"/>
      <c r="AQ1494" s="88"/>
      <c r="AR1494" s="88"/>
      <c r="AS1494" s="99"/>
      <c r="AT1494" s="99"/>
      <c r="AU1494" s="99"/>
      <c r="AV1494" s="99"/>
      <c r="AW1494" s="99"/>
      <c r="AX1494" s="99"/>
      <c r="AY1494" s="99"/>
      <c r="AZ1494" s="99"/>
      <c r="BA1494" s="99"/>
      <c r="BB1494" s="99"/>
      <c r="BC1494" s="99"/>
      <c r="BD1494" s="99"/>
      <c r="BE1494" s="99"/>
      <c r="BF1494" s="99"/>
      <c r="BG1494" s="99"/>
      <c r="BH1494" s="99"/>
      <c r="BI1494" s="99"/>
      <c r="BJ1494" s="99"/>
      <c r="BK1494" s="99"/>
      <c r="BL1494" s="99"/>
      <c r="BM1494" s="99"/>
      <c r="BN1494" s="99"/>
      <c r="BO1494" s="99"/>
      <c r="BP1494" s="99"/>
      <c r="BQ1494" s="99"/>
      <c r="BR1494" s="99"/>
      <c r="BS1494" s="99"/>
      <c r="BT1494" s="99"/>
      <c r="BU1494" s="99"/>
      <c r="BV1494" s="99"/>
      <c r="BW1494" s="99"/>
      <c r="BX1494" s="99"/>
      <c r="BY1494" s="99"/>
      <c r="BZ1494" s="99"/>
      <c r="CA1494" s="99"/>
      <c r="CB1494" s="99"/>
      <c r="CC1494" s="99"/>
      <c r="CD1494" s="99"/>
      <c r="CE1494" s="99"/>
      <c r="CF1494" s="99"/>
      <c r="CG1494" s="99"/>
      <c r="CH1494" s="99"/>
      <c r="CI1494" s="99"/>
      <c r="CJ1494" s="621"/>
      <c r="CK1494" s="621"/>
      <c r="CL1494" s="621"/>
    </row>
    <row r="1495" spans="27:90">
      <c r="AA1495" s="350"/>
      <c r="AB1495" s="62"/>
      <c r="AC1495" s="62"/>
      <c r="AD1495" s="62"/>
      <c r="AP1495" s="88"/>
      <c r="AQ1495" s="88"/>
      <c r="AR1495" s="88"/>
      <c r="AS1495" s="99"/>
      <c r="AT1495" s="99"/>
      <c r="AU1495" s="99"/>
      <c r="AV1495" s="99"/>
      <c r="AW1495" s="99"/>
      <c r="AX1495" s="99"/>
      <c r="AY1495" s="99"/>
      <c r="AZ1495" s="99"/>
      <c r="BA1495" s="99"/>
      <c r="BB1495" s="99"/>
      <c r="BC1495" s="99"/>
      <c r="BD1495" s="99"/>
      <c r="BE1495" s="99"/>
      <c r="BF1495" s="99"/>
      <c r="BG1495" s="99"/>
      <c r="BH1495" s="99"/>
      <c r="BI1495" s="99"/>
      <c r="BJ1495" s="99"/>
      <c r="BK1495" s="99"/>
      <c r="BL1495" s="99"/>
      <c r="BM1495" s="99"/>
      <c r="BN1495" s="99"/>
      <c r="BO1495" s="99"/>
      <c r="BP1495" s="99"/>
      <c r="BQ1495" s="99"/>
      <c r="BR1495" s="99"/>
      <c r="BS1495" s="99"/>
      <c r="BT1495" s="99"/>
      <c r="BU1495" s="99"/>
      <c r="BV1495" s="99"/>
      <c r="BW1495" s="99"/>
      <c r="BX1495" s="99"/>
      <c r="BY1495" s="99"/>
      <c r="BZ1495" s="99"/>
      <c r="CA1495" s="99"/>
      <c r="CB1495" s="99"/>
      <c r="CC1495" s="99"/>
      <c r="CD1495" s="99"/>
      <c r="CE1495" s="99"/>
      <c r="CF1495" s="99"/>
      <c r="CG1495" s="99"/>
      <c r="CH1495" s="99"/>
      <c r="CI1495" s="99"/>
      <c r="CJ1495" s="621"/>
      <c r="CK1495" s="621"/>
      <c r="CL1495" s="621"/>
    </row>
    <row r="1496" spans="27:90">
      <c r="AA1496" s="350"/>
      <c r="AB1496" s="62"/>
      <c r="AC1496" s="62"/>
      <c r="AD1496" s="62"/>
      <c r="AP1496" s="88"/>
      <c r="AQ1496" s="88"/>
      <c r="AR1496" s="88"/>
      <c r="AS1496" s="99"/>
      <c r="AT1496" s="99"/>
      <c r="AU1496" s="99"/>
      <c r="AV1496" s="99"/>
      <c r="AW1496" s="99"/>
      <c r="AX1496" s="99"/>
      <c r="AY1496" s="99"/>
      <c r="AZ1496" s="99"/>
      <c r="BA1496" s="99"/>
      <c r="BB1496" s="99"/>
      <c r="BC1496" s="99"/>
      <c r="BD1496" s="99"/>
      <c r="BE1496" s="99"/>
      <c r="BF1496" s="99"/>
      <c r="BG1496" s="99"/>
      <c r="BH1496" s="99"/>
      <c r="BI1496" s="99"/>
      <c r="BJ1496" s="99"/>
      <c r="BK1496" s="99"/>
      <c r="BL1496" s="99"/>
      <c r="BM1496" s="99"/>
      <c r="BN1496" s="99"/>
      <c r="BO1496" s="99"/>
      <c r="BP1496" s="99"/>
      <c r="BQ1496" s="99"/>
      <c r="BR1496" s="99"/>
      <c r="BS1496" s="99"/>
      <c r="BT1496" s="99"/>
      <c r="BU1496" s="99"/>
      <c r="BV1496" s="99"/>
      <c r="BW1496" s="99"/>
      <c r="BX1496" s="99"/>
      <c r="BY1496" s="99"/>
      <c r="BZ1496" s="99"/>
      <c r="CA1496" s="99"/>
      <c r="CB1496" s="99"/>
      <c r="CC1496" s="99"/>
      <c r="CD1496" s="99"/>
      <c r="CE1496" s="99"/>
      <c r="CF1496" s="99"/>
      <c r="CG1496" s="99"/>
      <c r="CH1496" s="99"/>
      <c r="CI1496" s="99"/>
      <c r="CJ1496" s="621"/>
      <c r="CK1496" s="621"/>
      <c r="CL1496" s="621"/>
    </row>
    <row r="1497" spans="27:90">
      <c r="AA1497" s="350"/>
      <c r="AB1497" s="62"/>
      <c r="AC1497" s="62"/>
      <c r="AD1497" s="62"/>
      <c r="AP1497" s="88"/>
      <c r="AQ1497" s="88"/>
      <c r="AR1497" s="88"/>
      <c r="AS1497" s="99"/>
      <c r="AT1497" s="99"/>
      <c r="AU1497" s="99"/>
      <c r="AV1497" s="99"/>
      <c r="AW1497" s="99"/>
      <c r="AX1497" s="99"/>
      <c r="AY1497" s="99"/>
      <c r="AZ1497" s="99"/>
      <c r="BA1497" s="99"/>
      <c r="BB1497" s="99"/>
      <c r="BC1497" s="99"/>
      <c r="BD1497" s="99"/>
      <c r="BE1497" s="99"/>
      <c r="BF1497" s="99"/>
      <c r="BG1497" s="99"/>
      <c r="BH1497" s="99"/>
      <c r="BI1497" s="99"/>
      <c r="BJ1497" s="99"/>
      <c r="BK1497" s="99"/>
      <c r="BL1497" s="99"/>
      <c r="BM1497" s="99"/>
      <c r="BN1497" s="99"/>
      <c r="BO1497" s="99"/>
      <c r="BP1497" s="99"/>
      <c r="BQ1497" s="99"/>
      <c r="BR1497" s="99"/>
      <c r="BS1497" s="99"/>
      <c r="BT1497" s="99"/>
      <c r="BU1497" s="99"/>
      <c r="BV1497" s="99"/>
      <c r="BW1497" s="99"/>
      <c r="BX1497" s="99"/>
      <c r="BY1497" s="99"/>
      <c r="BZ1497" s="99"/>
      <c r="CA1497" s="99"/>
      <c r="CB1497" s="99"/>
      <c r="CC1497" s="99"/>
      <c r="CD1497" s="99"/>
      <c r="CE1497" s="99"/>
      <c r="CF1497" s="99"/>
      <c r="CG1497" s="99"/>
      <c r="CH1497" s="99"/>
      <c r="CI1497" s="99"/>
      <c r="CJ1497" s="621"/>
      <c r="CK1497" s="621"/>
      <c r="CL1497" s="621"/>
    </row>
    <row r="1498" spans="27:90">
      <c r="AA1498" s="350"/>
      <c r="AB1498" s="62"/>
      <c r="AC1498" s="62"/>
      <c r="AD1498" s="62"/>
      <c r="AP1498" s="88"/>
      <c r="AQ1498" s="88"/>
      <c r="AR1498" s="88"/>
      <c r="AS1498" s="99"/>
      <c r="AT1498" s="99"/>
      <c r="AU1498" s="99"/>
      <c r="AV1498" s="99"/>
      <c r="AW1498" s="99"/>
      <c r="AX1498" s="99"/>
      <c r="AY1498" s="99"/>
      <c r="AZ1498" s="99"/>
      <c r="BA1498" s="99"/>
      <c r="BB1498" s="99"/>
      <c r="BC1498" s="99"/>
      <c r="BD1498" s="99"/>
      <c r="BE1498" s="99"/>
      <c r="BF1498" s="99"/>
      <c r="BG1498" s="99"/>
      <c r="BH1498" s="99"/>
      <c r="BI1498" s="99"/>
      <c r="BJ1498" s="99"/>
      <c r="BK1498" s="99"/>
      <c r="BL1498" s="99"/>
      <c r="BM1498" s="99"/>
      <c r="BN1498" s="99"/>
      <c r="BO1498" s="99"/>
      <c r="BP1498" s="99"/>
      <c r="BQ1498" s="99"/>
      <c r="BR1498" s="99"/>
      <c r="BS1498" s="99"/>
      <c r="BT1498" s="99"/>
      <c r="BU1498" s="99"/>
      <c r="BV1498" s="99"/>
      <c r="BW1498" s="99"/>
      <c r="BX1498" s="99"/>
      <c r="BY1498" s="99"/>
      <c r="BZ1498" s="99"/>
      <c r="CA1498" s="99"/>
      <c r="CB1498" s="99"/>
      <c r="CC1498" s="99"/>
      <c r="CD1498" s="99"/>
      <c r="CE1498" s="99"/>
      <c r="CF1498" s="99"/>
      <c r="CG1498" s="99"/>
      <c r="CH1498" s="99"/>
      <c r="CI1498" s="99"/>
      <c r="CJ1498" s="621"/>
      <c r="CK1498" s="621"/>
      <c r="CL1498" s="621"/>
    </row>
    <row r="1499" spans="27:90">
      <c r="AA1499" s="350"/>
      <c r="AB1499" s="62"/>
      <c r="AC1499" s="62"/>
      <c r="AD1499" s="62"/>
      <c r="AP1499" s="88"/>
      <c r="AQ1499" s="88"/>
      <c r="AR1499" s="88"/>
      <c r="AS1499" s="99"/>
      <c r="AT1499" s="99"/>
      <c r="AU1499" s="99"/>
      <c r="AV1499" s="99"/>
      <c r="AW1499" s="99"/>
      <c r="AX1499" s="99"/>
      <c r="AY1499" s="99"/>
      <c r="AZ1499" s="99"/>
      <c r="BA1499" s="99"/>
      <c r="BB1499" s="99"/>
      <c r="BC1499" s="99"/>
      <c r="BD1499" s="99"/>
      <c r="BE1499" s="99"/>
      <c r="BF1499" s="99"/>
      <c r="BG1499" s="99"/>
      <c r="BH1499" s="99"/>
      <c r="BI1499" s="99"/>
      <c r="BJ1499" s="99"/>
      <c r="BK1499" s="99"/>
      <c r="BL1499" s="99"/>
      <c r="BM1499" s="99"/>
      <c r="BN1499" s="99"/>
      <c r="BO1499" s="99"/>
      <c r="BP1499" s="99"/>
      <c r="BQ1499" s="99"/>
      <c r="BR1499" s="99"/>
      <c r="BS1499" s="99"/>
      <c r="BT1499" s="99"/>
      <c r="BU1499" s="99"/>
      <c r="BV1499" s="99"/>
      <c r="BW1499" s="99"/>
      <c r="BX1499" s="99"/>
      <c r="BY1499" s="99"/>
      <c r="BZ1499" s="99"/>
      <c r="CA1499" s="99"/>
      <c r="CB1499" s="99"/>
      <c r="CC1499" s="99"/>
      <c r="CD1499" s="99"/>
      <c r="CE1499" s="99"/>
      <c r="CF1499" s="99"/>
      <c r="CG1499" s="99"/>
      <c r="CH1499" s="99"/>
      <c r="CI1499" s="99"/>
      <c r="CJ1499" s="621"/>
      <c r="CK1499" s="621"/>
      <c r="CL1499" s="621"/>
    </row>
    <row r="1500" spans="27:90">
      <c r="AA1500" s="350"/>
      <c r="AB1500" s="62"/>
      <c r="AC1500" s="62"/>
      <c r="AD1500" s="62"/>
      <c r="AP1500" s="88"/>
      <c r="AQ1500" s="88"/>
      <c r="AR1500" s="88"/>
      <c r="AS1500" s="99"/>
      <c r="AT1500" s="99"/>
      <c r="AU1500" s="99"/>
      <c r="AV1500" s="99"/>
      <c r="AW1500" s="99"/>
      <c r="AX1500" s="99"/>
      <c r="AY1500" s="99"/>
      <c r="AZ1500" s="99"/>
      <c r="BA1500" s="99"/>
      <c r="BB1500" s="99"/>
      <c r="BC1500" s="99"/>
      <c r="BD1500" s="99"/>
      <c r="BE1500" s="99"/>
      <c r="BF1500" s="99"/>
      <c r="BG1500" s="99"/>
      <c r="BH1500" s="99"/>
      <c r="BI1500" s="99"/>
      <c r="BJ1500" s="99"/>
      <c r="BK1500" s="99"/>
      <c r="BL1500" s="99"/>
      <c r="BM1500" s="99"/>
      <c r="BN1500" s="99"/>
      <c r="BO1500" s="99"/>
      <c r="BP1500" s="99"/>
      <c r="BQ1500" s="99"/>
      <c r="BR1500" s="99"/>
      <c r="BS1500" s="99"/>
      <c r="BT1500" s="99"/>
      <c r="BU1500" s="99"/>
      <c r="BV1500" s="99"/>
      <c r="BW1500" s="99"/>
      <c r="BX1500" s="99"/>
      <c r="BY1500" s="99"/>
      <c r="BZ1500" s="99"/>
      <c r="CA1500" s="99"/>
      <c r="CB1500" s="99"/>
      <c r="CC1500" s="99"/>
      <c r="CD1500" s="99"/>
      <c r="CE1500" s="99"/>
      <c r="CF1500" s="99"/>
      <c r="CG1500" s="99"/>
      <c r="CH1500" s="99"/>
      <c r="CI1500" s="99"/>
      <c r="CJ1500" s="621"/>
      <c r="CK1500" s="621"/>
      <c r="CL1500" s="621"/>
    </row>
    <row r="1501" spans="27:90">
      <c r="AA1501" s="350"/>
      <c r="AB1501" s="62"/>
      <c r="AC1501" s="62"/>
      <c r="AD1501" s="62"/>
      <c r="AP1501" s="88"/>
      <c r="AQ1501" s="88"/>
      <c r="AR1501" s="88"/>
      <c r="AS1501" s="99"/>
      <c r="AT1501" s="99"/>
      <c r="AU1501" s="99"/>
      <c r="AV1501" s="99"/>
      <c r="AW1501" s="99"/>
      <c r="AX1501" s="99"/>
      <c r="AY1501" s="99"/>
      <c r="AZ1501" s="99"/>
      <c r="BA1501" s="99"/>
      <c r="BB1501" s="99"/>
      <c r="BC1501" s="99"/>
      <c r="BD1501" s="99"/>
      <c r="BE1501" s="99"/>
      <c r="BF1501" s="99"/>
      <c r="BG1501" s="99"/>
      <c r="BH1501" s="99"/>
      <c r="BI1501" s="99"/>
      <c r="BJ1501" s="99"/>
      <c r="BK1501" s="99"/>
      <c r="BL1501" s="99"/>
      <c r="BM1501" s="99"/>
      <c r="BN1501" s="99"/>
      <c r="BO1501" s="99"/>
      <c r="BP1501" s="99"/>
      <c r="BQ1501" s="99"/>
      <c r="BR1501" s="99"/>
      <c r="BS1501" s="99"/>
      <c r="BT1501" s="99"/>
      <c r="BU1501" s="99"/>
      <c r="BV1501" s="99"/>
      <c r="BW1501" s="99"/>
      <c r="BX1501" s="99"/>
      <c r="BY1501" s="99"/>
      <c r="BZ1501" s="99"/>
      <c r="CA1501" s="99"/>
      <c r="CB1501" s="99"/>
      <c r="CC1501" s="99"/>
      <c r="CD1501" s="99"/>
      <c r="CE1501" s="99"/>
      <c r="CF1501" s="99"/>
      <c r="CG1501" s="99"/>
      <c r="CH1501" s="99"/>
      <c r="CI1501" s="99"/>
      <c r="CJ1501" s="621"/>
      <c r="CK1501" s="621"/>
      <c r="CL1501" s="621"/>
    </row>
    <row r="1502" spans="27:90">
      <c r="AA1502" s="350"/>
      <c r="AB1502" s="62"/>
      <c r="AC1502" s="62"/>
      <c r="AD1502" s="62"/>
      <c r="AP1502" s="88"/>
      <c r="AQ1502" s="88"/>
      <c r="AR1502" s="88"/>
      <c r="AS1502" s="99"/>
      <c r="AT1502" s="99"/>
      <c r="AU1502" s="99"/>
      <c r="AV1502" s="99"/>
      <c r="AW1502" s="99"/>
      <c r="AX1502" s="99"/>
      <c r="AY1502" s="99"/>
      <c r="AZ1502" s="99"/>
      <c r="BA1502" s="99"/>
      <c r="BB1502" s="99"/>
      <c r="BC1502" s="99"/>
      <c r="BD1502" s="99"/>
      <c r="BE1502" s="99"/>
      <c r="BF1502" s="99"/>
      <c r="BG1502" s="99"/>
      <c r="BH1502" s="99"/>
      <c r="BI1502" s="99"/>
      <c r="BJ1502" s="99"/>
      <c r="BK1502" s="99"/>
      <c r="BL1502" s="99"/>
      <c r="BM1502" s="99"/>
      <c r="BN1502" s="99"/>
      <c r="BO1502" s="99"/>
      <c r="BP1502" s="99"/>
      <c r="BQ1502" s="99"/>
      <c r="BR1502" s="99"/>
      <c r="BS1502" s="99"/>
      <c r="BT1502" s="99"/>
      <c r="BU1502" s="99"/>
      <c r="BV1502" s="99"/>
      <c r="BW1502" s="99"/>
      <c r="BX1502" s="99"/>
      <c r="BY1502" s="99"/>
      <c r="BZ1502" s="99"/>
      <c r="CA1502" s="99"/>
      <c r="CB1502" s="99"/>
      <c r="CC1502" s="99"/>
      <c r="CD1502" s="99"/>
      <c r="CE1502" s="99"/>
      <c r="CF1502" s="99"/>
      <c r="CG1502" s="99"/>
      <c r="CH1502" s="99"/>
      <c r="CI1502" s="99"/>
      <c r="CJ1502" s="621"/>
      <c r="CK1502" s="621"/>
      <c r="CL1502" s="621"/>
    </row>
    <row r="1503" spans="27:90">
      <c r="AA1503" s="350"/>
      <c r="AB1503" s="62"/>
      <c r="AC1503" s="62"/>
      <c r="AD1503" s="62"/>
      <c r="AP1503" s="88"/>
      <c r="AQ1503" s="88"/>
      <c r="AR1503" s="88"/>
      <c r="AS1503" s="99"/>
      <c r="AT1503" s="99"/>
      <c r="AU1503" s="99"/>
      <c r="AV1503" s="99"/>
      <c r="AW1503" s="99"/>
      <c r="AX1503" s="99"/>
      <c r="AY1503" s="99"/>
      <c r="AZ1503" s="99"/>
      <c r="BA1503" s="99"/>
      <c r="BB1503" s="99"/>
      <c r="BC1503" s="99"/>
      <c r="BD1503" s="99"/>
      <c r="BE1503" s="99"/>
      <c r="BF1503" s="99"/>
      <c r="BG1503" s="99"/>
      <c r="BH1503" s="99"/>
      <c r="BI1503" s="99"/>
      <c r="BJ1503" s="99"/>
      <c r="BK1503" s="99"/>
      <c r="BL1503" s="99"/>
      <c r="BM1503" s="99"/>
      <c r="BN1503" s="99"/>
      <c r="BO1503" s="99"/>
      <c r="BP1503" s="99"/>
      <c r="BQ1503" s="99"/>
      <c r="BR1503" s="99"/>
      <c r="BS1503" s="99"/>
      <c r="BT1503" s="99"/>
      <c r="BU1503" s="99"/>
      <c r="BV1503" s="99"/>
      <c r="BW1503" s="99"/>
      <c r="BX1503" s="99"/>
      <c r="BY1503" s="99"/>
      <c r="BZ1503" s="99"/>
      <c r="CA1503" s="99"/>
      <c r="CB1503" s="99"/>
      <c r="CC1503" s="99"/>
      <c r="CD1503" s="99"/>
      <c r="CE1503" s="99"/>
      <c r="CF1503" s="99"/>
      <c r="CG1503" s="99"/>
      <c r="CH1503" s="99"/>
      <c r="CI1503" s="99"/>
      <c r="CJ1503" s="621"/>
      <c r="CK1503" s="621"/>
      <c r="CL1503" s="621"/>
    </row>
    <row r="1504" spans="27:90">
      <c r="AA1504" s="350"/>
      <c r="AB1504" s="62"/>
      <c r="AC1504" s="62"/>
      <c r="AD1504" s="62"/>
      <c r="AP1504" s="88"/>
      <c r="AQ1504" s="88"/>
      <c r="AR1504" s="88"/>
      <c r="AS1504" s="99"/>
      <c r="AT1504" s="99"/>
      <c r="AU1504" s="99"/>
      <c r="AV1504" s="99"/>
      <c r="AW1504" s="99"/>
      <c r="AX1504" s="99"/>
      <c r="AY1504" s="99"/>
      <c r="AZ1504" s="99"/>
      <c r="BA1504" s="99"/>
      <c r="BB1504" s="99"/>
      <c r="BC1504" s="99"/>
      <c r="BD1504" s="99"/>
      <c r="BE1504" s="99"/>
      <c r="BF1504" s="99"/>
      <c r="BG1504" s="99"/>
      <c r="BH1504" s="99"/>
      <c r="BI1504" s="99"/>
      <c r="BJ1504" s="99"/>
      <c r="BK1504" s="99"/>
      <c r="BL1504" s="99"/>
      <c r="BM1504" s="99"/>
      <c r="BN1504" s="99"/>
      <c r="BO1504" s="99"/>
      <c r="BP1504" s="99"/>
      <c r="BQ1504" s="99"/>
      <c r="BR1504" s="99"/>
      <c r="BS1504" s="99"/>
      <c r="BT1504" s="99"/>
      <c r="BU1504" s="99"/>
      <c r="BV1504" s="99"/>
      <c r="BW1504" s="99"/>
      <c r="BX1504" s="99"/>
      <c r="BY1504" s="99"/>
      <c r="BZ1504" s="99"/>
      <c r="CA1504" s="99"/>
      <c r="CB1504" s="99"/>
      <c r="CC1504" s="99"/>
      <c r="CD1504" s="99"/>
      <c r="CE1504" s="99"/>
      <c r="CF1504" s="99"/>
      <c r="CG1504" s="99"/>
      <c r="CH1504" s="99"/>
      <c r="CI1504" s="99"/>
      <c r="CJ1504" s="621"/>
      <c r="CK1504" s="621"/>
      <c r="CL1504" s="621"/>
    </row>
    <row r="1505" spans="27:90">
      <c r="AA1505" s="350"/>
      <c r="AB1505" s="62"/>
      <c r="AC1505" s="62"/>
      <c r="AD1505" s="62"/>
      <c r="AP1505" s="88"/>
      <c r="AQ1505" s="88"/>
      <c r="AR1505" s="88"/>
      <c r="AS1505" s="99"/>
      <c r="AT1505" s="99"/>
      <c r="AU1505" s="99"/>
      <c r="AV1505" s="99"/>
      <c r="AW1505" s="99"/>
      <c r="AX1505" s="99"/>
      <c r="AY1505" s="99"/>
      <c r="AZ1505" s="99"/>
      <c r="BA1505" s="99"/>
      <c r="BB1505" s="99"/>
      <c r="BC1505" s="99"/>
      <c r="BD1505" s="99"/>
      <c r="BE1505" s="99"/>
      <c r="BF1505" s="99"/>
      <c r="BG1505" s="99"/>
      <c r="BH1505" s="99"/>
      <c r="BI1505" s="99"/>
      <c r="BJ1505" s="99"/>
      <c r="BK1505" s="99"/>
      <c r="BL1505" s="99"/>
      <c r="BM1505" s="99"/>
      <c r="BN1505" s="99"/>
      <c r="BO1505" s="99"/>
      <c r="BP1505" s="99"/>
      <c r="BQ1505" s="99"/>
      <c r="BR1505" s="99"/>
      <c r="BS1505" s="99"/>
      <c r="BT1505" s="99"/>
      <c r="BU1505" s="99"/>
      <c r="BV1505" s="99"/>
      <c r="BW1505" s="99"/>
      <c r="BX1505" s="99"/>
      <c r="BY1505" s="99"/>
      <c r="BZ1505" s="99"/>
      <c r="CA1505" s="99"/>
      <c r="CB1505" s="99"/>
      <c r="CC1505" s="99"/>
      <c r="CD1505" s="99"/>
      <c r="CE1505" s="99"/>
      <c r="CF1505" s="99"/>
      <c r="CG1505" s="99"/>
      <c r="CH1505" s="99"/>
      <c r="CI1505" s="99"/>
      <c r="CJ1505" s="621"/>
      <c r="CK1505" s="621"/>
      <c r="CL1505" s="621"/>
    </row>
    <row r="1506" spans="27:90">
      <c r="AA1506" s="350"/>
      <c r="AB1506" s="62"/>
      <c r="AC1506" s="62"/>
      <c r="AD1506" s="62"/>
      <c r="AP1506" s="88"/>
      <c r="AQ1506" s="88"/>
      <c r="AR1506" s="88"/>
      <c r="AS1506" s="99"/>
      <c r="AT1506" s="99"/>
      <c r="AU1506" s="99"/>
      <c r="AV1506" s="99"/>
      <c r="AW1506" s="99"/>
      <c r="AX1506" s="99"/>
      <c r="AY1506" s="99"/>
      <c r="AZ1506" s="99"/>
      <c r="BA1506" s="99"/>
      <c r="BB1506" s="99"/>
      <c r="BC1506" s="99"/>
      <c r="BD1506" s="99"/>
      <c r="BE1506" s="99"/>
      <c r="BF1506" s="99"/>
      <c r="BG1506" s="99"/>
      <c r="BH1506" s="99"/>
      <c r="BI1506" s="99"/>
      <c r="BJ1506" s="99"/>
      <c r="BK1506" s="99"/>
      <c r="BL1506" s="99"/>
      <c r="BM1506" s="99"/>
      <c r="BN1506" s="99"/>
      <c r="BO1506" s="99"/>
      <c r="BP1506" s="99"/>
      <c r="BQ1506" s="99"/>
      <c r="BR1506" s="99"/>
      <c r="BS1506" s="99"/>
      <c r="BT1506" s="99"/>
      <c r="BU1506" s="99"/>
      <c r="BV1506" s="99"/>
      <c r="BW1506" s="99"/>
      <c r="BX1506" s="99"/>
      <c r="BY1506" s="99"/>
      <c r="BZ1506" s="99"/>
      <c r="CA1506" s="99"/>
      <c r="CB1506" s="99"/>
      <c r="CC1506" s="99"/>
      <c r="CD1506" s="99"/>
      <c r="CE1506" s="99"/>
      <c r="CF1506" s="99"/>
      <c r="CG1506" s="99"/>
      <c r="CH1506" s="99"/>
      <c r="CI1506" s="99"/>
      <c r="CJ1506" s="621"/>
      <c r="CK1506" s="621"/>
      <c r="CL1506" s="621"/>
    </row>
    <row r="1507" spans="27:90">
      <c r="AA1507" s="350"/>
      <c r="AB1507" s="62"/>
      <c r="AC1507" s="62"/>
      <c r="AD1507" s="62"/>
      <c r="AP1507" s="88"/>
      <c r="AQ1507" s="88"/>
      <c r="AR1507" s="88"/>
      <c r="AS1507" s="99"/>
      <c r="AT1507" s="99"/>
      <c r="AU1507" s="99"/>
      <c r="AV1507" s="99"/>
      <c r="AW1507" s="99"/>
      <c r="AX1507" s="99"/>
      <c r="AY1507" s="99"/>
      <c r="AZ1507" s="99"/>
      <c r="BA1507" s="99"/>
      <c r="BB1507" s="99"/>
      <c r="BC1507" s="99"/>
      <c r="BD1507" s="99"/>
      <c r="BE1507" s="99"/>
      <c r="BF1507" s="99"/>
      <c r="BG1507" s="99"/>
      <c r="BH1507" s="99"/>
      <c r="BI1507" s="99"/>
      <c r="BJ1507" s="99"/>
      <c r="BK1507" s="99"/>
      <c r="BL1507" s="99"/>
      <c r="BM1507" s="99"/>
      <c r="BN1507" s="99"/>
      <c r="BO1507" s="99"/>
      <c r="BP1507" s="99"/>
      <c r="BQ1507" s="99"/>
      <c r="BR1507" s="99"/>
      <c r="BS1507" s="99"/>
      <c r="BT1507" s="99"/>
      <c r="BU1507" s="99"/>
      <c r="BV1507" s="99"/>
      <c r="BW1507" s="99"/>
      <c r="BX1507" s="99"/>
      <c r="BY1507" s="99"/>
      <c r="BZ1507" s="99"/>
      <c r="CA1507" s="99"/>
      <c r="CB1507" s="99"/>
      <c r="CC1507" s="99"/>
      <c r="CD1507" s="99"/>
      <c r="CE1507" s="99"/>
      <c r="CF1507" s="99"/>
      <c r="CG1507" s="99"/>
      <c r="CH1507" s="99"/>
      <c r="CI1507" s="99"/>
      <c r="CJ1507" s="621"/>
      <c r="CK1507" s="621"/>
      <c r="CL1507" s="621"/>
    </row>
    <row r="1508" spans="27:90">
      <c r="AA1508" s="350"/>
      <c r="AB1508" s="62"/>
      <c r="AC1508" s="62"/>
      <c r="AD1508" s="62"/>
      <c r="AP1508" s="88"/>
      <c r="AQ1508" s="88"/>
      <c r="AR1508" s="88"/>
      <c r="AS1508" s="99"/>
      <c r="AT1508" s="99"/>
      <c r="AU1508" s="99"/>
      <c r="AV1508" s="99"/>
      <c r="AW1508" s="99"/>
      <c r="AX1508" s="99"/>
      <c r="AY1508" s="99"/>
      <c r="AZ1508" s="99"/>
      <c r="BA1508" s="99"/>
      <c r="BB1508" s="99"/>
      <c r="BC1508" s="99"/>
      <c r="BD1508" s="99"/>
      <c r="BE1508" s="99"/>
      <c r="BF1508" s="99"/>
      <c r="BG1508" s="99"/>
      <c r="BH1508" s="99"/>
      <c r="BI1508" s="99"/>
      <c r="BJ1508" s="99"/>
      <c r="BK1508" s="99"/>
      <c r="BL1508" s="99"/>
      <c r="BM1508" s="99"/>
      <c r="BN1508" s="99"/>
      <c r="BO1508" s="99"/>
      <c r="BP1508" s="99"/>
      <c r="BQ1508" s="99"/>
      <c r="BR1508" s="99"/>
      <c r="BS1508" s="99"/>
      <c r="BT1508" s="99"/>
      <c r="BU1508" s="99"/>
      <c r="BV1508" s="99"/>
      <c r="BW1508" s="99"/>
      <c r="BX1508" s="99"/>
      <c r="BY1508" s="99"/>
      <c r="BZ1508" s="99"/>
      <c r="CA1508" s="99"/>
      <c r="CB1508" s="99"/>
      <c r="CC1508" s="99"/>
      <c r="CD1508" s="99"/>
      <c r="CE1508" s="99"/>
      <c r="CF1508" s="99"/>
      <c r="CG1508" s="99"/>
      <c r="CH1508" s="99"/>
      <c r="CI1508" s="99"/>
      <c r="CJ1508" s="621"/>
      <c r="CK1508" s="621"/>
      <c r="CL1508" s="621"/>
    </row>
    <row r="1509" spans="27:90">
      <c r="AA1509" s="350"/>
      <c r="AB1509" s="62"/>
      <c r="AC1509" s="62"/>
      <c r="AD1509" s="62"/>
      <c r="AP1509" s="88"/>
      <c r="AQ1509" s="88"/>
      <c r="AR1509" s="88"/>
      <c r="AS1509" s="99"/>
      <c r="AT1509" s="99"/>
      <c r="AU1509" s="99"/>
      <c r="AV1509" s="99"/>
      <c r="AW1509" s="99"/>
      <c r="AX1509" s="99"/>
      <c r="AY1509" s="99"/>
      <c r="AZ1509" s="99"/>
      <c r="BA1509" s="99"/>
      <c r="BB1509" s="99"/>
      <c r="BC1509" s="99"/>
      <c r="BD1509" s="99"/>
      <c r="BE1509" s="99"/>
      <c r="BF1509" s="99"/>
      <c r="BG1509" s="99"/>
      <c r="BH1509" s="99"/>
      <c r="BI1509" s="99"/>
      <c r="BJ1509" s="99"/>
      <c r="BK1509" s="99"/>
      <c r="BL1509" s="99"/>
      <c r="BM1509" s="99"/>
      <c r="BN1509" s="99"/>
      <c r="BO1509" s="99"/>
      <c r="BP1509" s="99"/>
      <c r="BQ1509" s="99"/>
      <c r="BR1509" s="99"/>
      <c r="BS1509" s="99"/>
      <c r="BT1509" s="99"/>
      <c r="BU1509" s="99"/>
      <c r="BV1509" s="99"/>
      <c r="BW1509" s="99"/>
      <c r="BX1509" s="99"/>
      <c r="BY1509" s="99"/>
      <c r="BZ1509" s="99"/>
      <c r="CA1509" s="99"/>
      <c r="CB1509" s="99"/>
      <c r="CC1509" s="99"/>
      <c r="CD1509" s="99"/>
      <c r="CE1509" s="99"/>
      <c r="CF1509" s="99"/>
      <c r="CG1509" s="99"/>
      <c r="CH1509" s="99"/>
      <c r="CI1509" s="99"/>
      <c r="CJ1509" s="621"/>
      <c r="CK1509" s="621"/>
      <c r="CL1509" s="621"/>
    </row>
    <row r="1510" spans="27:90">
      <c r="AA1510" s="350"/>
      <c r="AB1510" s="62"/>
      <c r="AC1510" s="62"/>
      <c r="AD1510" s="62"/>
      <c r="AP1510" s="88"/>
      <c r="AQ1510" s="88"/>
      <c r="AR1510" s="88"/>
      <c r="AS1510" s="99"/>
      <c r="AT1510" s="99"/>
      <c r="AU1510" s="99"/>
      <c r="AV1510" s="99"/>
      <c r="AW1510" s="99"/>
      <c r="AX1510" s="99"/>
      <c r="AY1510" s="99"/>
      <c r="AZ1510" s="99"/>
      <c r="BA1510" s="99"/>
      <c r="BB1510" s="99"/>
      <c r="BC1510" s="99"/>
      <c r="BD1510" s="99"/>
      <c r="BE1510" s="99"/>
      <c r="BF1510" s="99"/>
      <c r="BG1510" s="99"/>
      <c r="BH1510" s="99"/>
      <c r="BI1510" s="99"/>
      <c r="BJ1510" s="99"/>
      <c r="BK1510" s="99"/>
      <c r="BL1510" s="99"/>
      <c r="BM1510" s="99"/>
      <c r="BN1510" s="99"/>
      <c r="BO1510" s="99"/>
      <c r="BP1510" s="99"/>
      <c r="BQ1510" s="99"/>
      <c r="BR1510" s="99"/>
      <c r="BS1510" s="99"/>
      <c r="BT1510" s="99"/>
      <c r="BU1510" s="99"/>
      <c r="BV1510" s="99"/>
      <c r="BW1510" s="99"/>
      <c r="BX1510" s="99"/>
      <c r="BY1510" s="99"/>
      <c r="BZ1510" s="99"/>
      <c r="CA1510" s="99"/>
      <c r="CB1510" s="99"/>
      <c r="CC1510" s="99"/>
      <c r="CD1510" s="99"/>
      <c r="CE1510" s="99"/>
      <c r="CF1510" s="99"/>
      <c r="CG1510" s="99"/>
      <c r="CH1510" s="99"/>
      <c r="CI1510" s="99"/>
      <c r="CJ1510" s="621"/>
      <c r="CK1510" s="621"/>
      <c r="CL1510" s="621"/>
    </row>
    <row r="1511" spans="27:90">
      <c r="AA1511" s="350"/>
      <c r="AB1511" s="62"/>
      <c r="AC1511" s="62"/>
      <c r="AD1511" s="62"/>
      <c r="AP1511" s="88"/>
      <c r="AQ1511" s="88"/>
      <c r="AR1511" s="88"/>
      <c r="AS1511" s="99"/>
      <c r="AT1511" s="99"/>
      <c r="AU1511" s="99"/>
      <c r="AV1511" s="99"/>
      <c r="AW1511" s="99"/>
      <c r="AX1511" s="99"/>
      <c r="AY1511" s="99"/>
      <c r="AZ1511" s="99"/>
      <c r="BA1511" s="99"/>
      <c r="BB1511" s="99"/>
      <c r="BC1511" s="99"/>
      <c r="BD1511" s="99"/>
      <c r="BE1511" s="99"/>
      <c r="BF1511" s="99"/>
      <c r="BG1511" s="99"/>
      <c r="BH1511" s="99"/>
      <c r="BI1511" s="99"/>
      <c r="BJ1511" s="99"/>
      <c r="BK1511" s="99"/>
      <c r="BL1511" s="99"/>
      <c r="BM1511" s="99"/>
      <c r="BN1511" s="99"/>
      <c r="BO1511" s="99"/>
      <c r="BP1511" s="99"/>
      <c r="BQ1511" s="99"/>
      <c r="BR1511" s="99"/>
      <c r="BS1511" s="99"/>
      <c r="BT1511" s="99"/>
      <c r="BU1511" s="99"/>
      <c r="BV1511" s="99"/>
      <c r="BW1511" s="99"/>
      <c r="BX1511" s="99"/>
      <c r="BY1511" s="99"/>
      <c r="BZ1511" s="99"/>
      <c r="CA1511" s="99"/>
      <c r="CB1511" s="99"/>
      <c r="CC1511" s="99"/>
      <c r="CD1511" s="99"/>
      <c r="CE1511" s="99"/>
      <c r="CF1511" s="99"/>
      <c r="CG1511" s="99"/>
      <c r="CH1511" s="99"/>
      <c r="CI1511" s="99"/>
      <c r="CJ1511" s="621"/>
      <c r="CK1511" s="621"/>
      <c r="CL1511" s="621"/>
    </row>
    <row r="1512" spans="27:90">
      <c r="AA1512" s="350"/>
      <c r="AB1512" s="62"/>
      <c r="AC1512" s="62"/>
      <c r="AD1512" s="62"/>
      <c r="AP1512" s="88"/>
      <c r="AQ1512" s="88"/>
      <c r="AR1512" s="88"/>
      <c r="AS1512" s="99"/>
      <c r="AT1512" s="99"/>
      <c r="AU1512" s="99"/>
      <c r="AV1512" s="99"/>
      <c r="AW1512" s="99"/>
      <c r="AX1512" s="99"/>
      <c r="AY1512" s="99"/>
      <c r="AZ1512" s="99"/>
      <c r="BA1512" s="99"/>
      <c r="BB1512" s="99"/>
      <c r="BC1512" s="99"/>
      <c r="BD1512" s="99"/>
      <c r="BE1512" s="99"/>
      <c r="BF1512" s="99"/>
      <c r="BG1512" s="99"/>
      <c r="BH1512" s="99"/>
      <c r="BI1512" s="99"/>
      <c r="BJ1512" s="99"/>
      <c r="BK1512" s="99"/>
      <c r="BL1512" s="99"/>
      <c r="BM1512" s="99"/>
      <c r="BN1512" s="99"/>
      <c r="BO1512" s="99"/>
      <c r="BP1512" s="99"/>
      <c r="BQ1512" s="99"/>
      <c r="BR1512" s="99"/>
      <c r="BS1512" s="99"/>
      <c r="BT1512" s="99"/>
      <c r="BU1512" s="99"/>
      <c r="BV1512" s="99"/>
      <c r="BW1512" s="99"/>
      <c r="BX1512" s="99"/>
      <c r="BY1512" s="99"/>
      <c r="BZ1512" s="99"/>
      <c r="CA1512" s="99"/>
      <c r="CB1512" s="99"/>
      <c r="CC1512" s="99"/>
      <c r="CD1512" s="99"/>
      <c r="CE1512" s="99"/>
      <c r="CF1512" s="99"/>
      <c r="CG1512" s="99"/>
      <c r="CH1512" s="99"/>
      <c r="CI1512" s="99"/>
      <c r="CJ1512" s="621"/>
      <c r="CK1512" s="621"/>
      <c r="CL1512" s="621"/>
    </row>
    <row r="1513" spans="27:90">
      <c r="AA1513" s="350"/>
      <c r="AB1513" s="62"/>
      <c r="AC1513" s="62"/>
      <c r="AD1513" s="62"/>
      <c r="AP1513" s="88"/>
      <c r="AQ1513" s="88"/>
      <c r="AR1513" s="88"/>
      <c r="AS1513" s="99"/>
      <c r="AT1513" s="99"/>
      <c r="AU1513" s="99"/>
      <c r="AV1513" s="99"/>
      <c r="AW1513" s="99"/>
      <c r="AX1513" s="99"/>
      <c r="AY1513" s="99"/>
      <c r="AZ1513" s="99"/>
      <c r="BA1513" s="99"/>
      <c r="BB1513" s="99"/>
      <c r="BC1513" s="99"/>
      <c r="BD1513" s="99"/>
      <c r="BE1513" s="99"/>
      <c r="BF1513" s="99"/>
      <c r="BG1513" s="99"/>
      <c r="BH1513" s="99"/>
      <c r="BI1513" s="99"/>
      <c r="BJ1513" s="99"/>
      <c r="BK1513" s="99"/>
      <c r="BL1513" s="99"/>
      <c r="BM1513" s="99"/>
      <c r="BN1513" s="99"/>
      <c r="BO1513" s="99"/>
      <c r="BP1513" s="99"/>
      <c r="BQ1513" s="99"/>
      <c r="BR1513" s="99"/>
      <c r="BS1513" s="99"/>
      <c r="BT1513" s="99"/>
      <c r="BU1513" s="99"/>
      <c r="BV1513" s="99"/>
      <c r="BW1513" s="99"/>
      <c r="BX1513" s="99"/>
      <c r="BY1513" s="99"/>
      <c r="BZ1513" s="99"/>
      <c r="CA1513" s="99"/>
      <c r="CB1513" s="99"/>
      <c r="CC1513" s="99"/>
      <c r="CD1513" s="99"/>
      <c r="CE1513" s="99"/>
      <c r="CF1513" s="99"/>
      <c r="CG1513" s="99"/>
      <c r="CH1513" s="99"/>
      <c r="CI1513" s="99"/>
      <c r="CJ1513" s="621"/>
      <c r="CK1513" s="621"/>
      <c r="CL1513" s="621"/>
    </row>
    <row r="1514" spans="27:90">
      <c r="AA1514" s="350"/>
      <c r="AB1514" s="62"/>
      <c r="AC1514" s="62"/>
      <c r="AD1514" s="62"/>
      <c r="AP1514" s="88"/>
      <c r="AQ1514" s="88"/>
      <c r="AR1514" s="88"/>
      <c r="AS1514" s="99"/>
      <c r="AT1514" s="99"/>
      <c r="AU1514" s="99"/>
      <c r="AV1514" s="99"/>
      <c r="AW1514" s="99"/>
      <c r="AX1514" s="99"/>
      <c r="AY1514" s="99"/>
      <c r="AZ1514" s="99"/>
      <c r="BA1514" s="99"/>
      <c r="BB1514" s="99"/>
      <c r="BC1514" s="99"/>
      <c r="BD1514" s="99"/>
      <c r="BE1514" s="99"/>
      <c r="BF1514" s="99"/>
      <c r="BG1514" s="99"/>
      <c r="BH1514" s="99"/>
      <c r="BI1514" s="99"/>
      <c r="BJ1514" s="99"/>
      <c r="BK1514" s="99"/>
      <c r="BL1514" s="99"/>
      <c r="BM1514" s="99"/>
      <c r="BN1514" s="99"/>
      <c r="BO1514" s="99"/>
      <c r="BP1514" s="99"/>
      <c r="BQ1514" s="99"/>
      <c r="BR1514" s="99"/>
      <c r="BS1514" s="99"/>
      <c r="BT1514" s="99"/>
      <c r="BU1514" s="99"/>
      <c r="BV1514" s="99"/>
      <c r="BW1514" s="99"/>
      <c r="BX1514" s="99"/>
      <c r="BY1514" s="99"/>
      <c r="BZ1514" s="99"/>
      <c r="CA1514" s="99"/>
      <c r="CB1514" s="99"/>
      <c r="CC1514" s="99"/>
      <c r="CD1514" s="99"/>
      <c r="CE1514" s="99"/>
      <c r="CF1514" s="99"/>
      <c r="CG1514" s="99"/>
      <c r="CH1514" s="99"/>
      <c r="CI1514" s="99"/>
      <c r="CJ1514" s="621"/>
      <c r="CK1514" s="621"/>
      <c r="CL1514" s="621"/>
    </row>
    <row r="1515" spans="27:90">
      <c r="AA1515" s="350"/>
      <c r="AB1515" s="62"/>
      <c r="AC1515" s="62"/>
      <c r="AD1515" s="62"/>
      <c r="AP1515" s="88"/>
      <c r="AQ1515" s="88"/>
      <c r="AR1515" s="88"/>
      <c r="AS1515" s="99"/>
      <c r="AT1515" s="99"/>
      <c r="AU1515" s="99"/>
      <c r="AV1515" s="99"/>
      <c r="AW1515" s="99"/>
      <c r="AX1515" s="99"/>
      <c r="AY1515" s="99"/>
      <c r="AZ1515" s="99"/>
      <c r="BA1515" s="99"/>
      <c r="BB1515" s="99"/>
      <c r="BC1515" s="99"/>
      <c r="BD1515" s="99"/>
      <c r="BE1515" s="99"/>
      <c r="BF1515" s="99"/>
      <c r="BG1515" s="99"/>
      <c r="BH1515" s="99"/>
      <c r="BI1515" s="99"/>
      <c r="BJ1515" s="99"/>
      <c r="BK1515" s="99"/>
      <c r="BL1515" s="99"/>
      <c r="BM1515" s="99"/>
      <c r="BN1515" s="99"/>
      <c r="BO1515" s="99"/>
      <c r="BP1515" s="99"/>
      <c r="BQ1515" s="99"/>
      <c r="BR1515" s="99"/>
      <c r="BS1515" s="99"/>
      <c r="BT1515" s="99"/>
      <c r="BU1515" s="99"/>
      <c r="BV1515" s="99"/>
      <c r="BW1515" s="99"/>
      <c r="BX1515" s="99"/>
      <c r="BY1515" s="99"/>
      <c r="BZ1515" s="99"/>
      <c r="CA1515" s="99"/>
      <c r="CB1515" s="99"/>
      <c r="CC1515" s="99"/>
      <c r="CD1515" s="99"/>
      <c r="CE1515" s="99"/>
      <c r="CF1515" s="99"/>
      <c r="CG1515" s="99"/>
      <c r="CH1515" s="99"/>
      <c r="CI1515" s="99"/>
      <c r="CJ1515" s="621"/>
      <c r="CK1515" s="621"/>
      <c r="CL1515" s="621"/>
    </row>
    <row r="1516" spans="27:90">
      <c r="AA1516" s="350"/>
      <c r="AB1516" s="62"/>
      <c r="AC1516" s="62"/>
      <c r="AD1516" s="62"/>
      <c r="AP1516" s="88"/>
      <c r="AQ1516" s="88"/>
      <c r="AR1516" s="88"/>
      <c r="AS1516" s="99"/>
      <c r="AT1516" s="99"/>
      <c r="AU1516" s="99"/>
      <c r="AV1516" s="99"/>
      <c r="AW1516" s="99"/>
      <c r="AX1516" s="99"/>
      <c r="AY1516" s="99"/>
      <c r="AZ1516" s="99"/>
      <c r="BA1516" s="99"/>
      <c r="BB1516" s="99"/>
      <c r="BC1516" s="99"/>
      <c r="BD1516" s="99"/>
      <c r="BE1516" s="99"/>
      <c r="BF1516" s="99"/>
      <c r="BG1516" s="99"/>
      <c r="BH1516" s="99"/>
      <c r="BI1516" s="99"/>
      <c r="BJ1516" s="99"/>
      <c r="BK1516" s="99"/>
      <c r="BL1516" s="99"/>
      <c r="BM1516" s="99"/>
      <c r="BN1516" s="99"/>
      <c r="BO1516" s="99"/>
      <c r="BP1516" s="99"/>
      <c r="BQ1516" s="99"/>
      <c r="BR1516" s="99"/>
      <c r="BS1516" s="99"/>
      <c r="BT1516" s="99"/>
      <c r="BU1516" s="99"/>
      <c r="BV1516" s="99"/>
      <c r="BW1516" s="99"/>
      <c r="BX1516" s="99"/>
      <c r="BY1516" s="99"/>
      <c r="BZ1516" s="99"/>
      <c r="CA1516" s="99"/>
      <c r="CB1516" s="99"/>
      <c r="CC1516" s="99"/>
      <c r="CD1516" s="99"/>
      <c r="CE1516" s="99"/>
      <c r="CF1516" s="99"/>
      <c r="CG1516" s="99"/>
      <c r="CH1516" s="99"/>
      <c r="CI1516" s="99"/>
      <c r="CJ1516" s="621"/>
      <c r="CK1516" s="621"/>
      <c r="CL1516" s="621"/>
    </row>
    <row r="1517" spans="27:90">
      <c r="AA1517" s="350"/>
      <c r="AB1517" s="62"/>
      <c r="AC1517" s="62"/>
      <c r="AD1517" s="62"/>
      <c r="AP1517" s="88"/>
      <c r="AQ1517" s="88"/>
      <c r="AR1517" s="88"/>
      <c r="AS1517" s="99"/>
      <c r="AT1517" s="99"/>
      <c r="AU1517" s="99"/>
      <c r="AV1517" s="99"/>
      <c r="AW1517" s="99"/>
      <c r="AX1517" s="99"/>
      <c r="AY1517" s="99"/>
      <c r="AZ1517" s="99"/>
      <c r="BA1517" s="99"/>
      <c r="BB1517" s="99"/>
      <c r="BC1517" s="99"/>
      <c r="BD1517" s="99"/>
      <c r="BE1517" s="99"/>
      <c r="BF1517" s="99"/>
      <c r="BG1517" s="99"/>
      <c r="BH1517" s="99"/>
      <c r="BI1517" s="99"/>
      <c r="BJ1517" s="99"/>
      <c r="BK1517" s="99"/>
      <c r="BL1517" s="99"/>
      <c r="BM1517" s="99"/>
      <c r="BN1517" s="99"/>
      <c r="BO1517" s="99"/>
      <c r="BP1517" s="99"/>
      <c r="BQ1517" s="99"/>
      <c r="BR1517" s="99"/>
      <c r="BS1517" s="99"/>
      <c r="BT1517" s="99"/>
      <c r="BU1517" s="99"/>
      <c r="BV1517" s="99"/>
      <c r="BW1517" s="99"/>
      <c r="BX1517" s="99"/>
      <c r="BY1517" s="99"/>
      <c r="BZ1517" s="99"/>
      <c r="CA1517" s="99"/>
      <c r="CB1517" s="99"/>
      <c r="CC1517" s="99"/>
      <c r="CD1517" s="99"/>
      <c r="CE1517" s="99"/>
      <c r="CF1517" s="99"/>
      <c r="CG1517" s="99"/>
      <c r="CH1517" s="99"/>
      <c r="CI1517" s="99"/>
      <c r="CJ1517" s="621"/>
      <c r="CK1517" s="621"/>
      <c r="CL1517" s="621"/>
    </row>
    <row r="1518" spans="27:90">
      <c r="AA1518" s="350"/>
      <c r="AB1518" s="62"/>
      <c r="AC1518" s="62"/>
      <c r="AD1518" s="62"/>
      <c r="AP1518" s="88"/>
      <c r="AQ1518" s="88"/>
      <c r="AR1518" s="88"/>
      <c r="AS1518" s="99"/>
      <c r="AT1518" s="99"/>
      <c r="AU1518" s="99"/>
      <c r="AV1518" s="99"/>
      <c r="AW1518" s="99"/>
      <c r="AX1518" s="99"/>
      <c r="AY1518" s="99"/>
      <c r="AZ1518" s="99"/>
      <c r="BA1518" s="99"/>
      <c r="BB1518" s="99"/>
      <c r="BC1518" s="99"/>
      <c r="BD1518" s="99"/>
      <c r="BE1518" s="99"/>
      <c r="BF1518" s="99"/>
      <c r="BG1518" s="99"/>
      <c r="BH1518" s="99"/>
      <c r="BI1518" s="99"/>
      <c r="BJ1518" s="99"/>
      <c r="BK1518" s="99"/>
      <c r="BL1518" s="99"/>
      <c r="BM1518" s="99"/>
      <c r="BN1518" s="99"/>
      <c r="BO1518" s="99"/>
      <c r="BP1518" s="99"/>
      <c r="BQ1518" s="99"/>
      <c r="BR1518" s="99"/>
      <c r="BS1518" s="99"/>
      <c r="BT1518" s="99"/>
      <c r="BU1518" s="99"/>
      <c r="BV1518" s="99"/>
      <c r="BW1518" s="99"/>
      <c r="BX1518" s="99"/>
      <c r="BY1518" s="99"/>
      <c r="BZ1518" s="99"/>
      <c r="CA1518" s="99"/>
      <c r="CB1518" s="99"/>
      <c r="CC1518" s="99"/>
      <c r="CD1518" s="99"/>
      <c r="CE1518" s="99"/>
      <c r="CF1518" s="99"/>
      <c r="CG1518" s="99"/>
      <c r="CH1518" s="99"/>
      <c r="CI1518" s="99"/>
      <c r="CJ1518" s="621"/>
      <c r="CK1518" s="621"/>
      <c r="CL1518" s="621"/>
    </row>
    <row r="1519" spans="27:90">
      <c r="AA1519" s="350"/>
      <c r="AB1519" s="62"/>
      <c r="AC1519" s="62"/>
      <c r="AD1519" s="62"/>
      <c r="AP1519" s="88"/>
      <c r="AQ1519" s="88"/>
      <c r="AR1519" s="88"/>
      <c r="AS1519" s="99"/>
      <c r="AT1519" s="99"/>
      <c r="AU1519" s="99"/>
      <c r="AV1519" s="99"/>
      <c r="AW1519" s="99"/>
      <c r="AX1519" s="99"/>
      <c r="AY1519" s="99"/>
      <c r="AZ1519" s="99"/>
      <c r="BA1519" s="99"/>
      <c r="BB1519" s="99"/>
      <c r="BC1519" s="99"/>
      <c r="BD1519" s="99"/>
      <c r="BE1519" s="99"/>
      <c r="BF1519" s="99"/>
      <c r="BG1519" s="99"/>
      <c r="BH1519" s="99"/>
      <c r="BI1519" s="99"/>
      <c r="BJ1519" s="99"/>
      <c r="BK1519" s="99"/>
      <c r="BL1519" s="99"/>
      <c r="BM1519" s="99"/>
      <c r="BN1519" s="99"/>
      <c r="BO1519" s="99"/>
      <c r="BP1519" s="99"/>
      <c r="BQ1519" s="99"/>
      <c r="BR1519" s="99"/>
      <c r="BS1519" s="99"/>
      <c r="BT1519" s="99"/>
      <c r="BU1519" s="99"/>
      <c r="BV1519" s="99"/>
      <c r="BW1519" s="99"/>
      <c r="BX1519" s="99"/>
      <c r="BY1519" s="99"/>
      <c r="BZ1519" s="99"/>
      <c r="CA1519" s="99"/>
      <c r="CB1519" s="99"/>
      <c r="CC1519" s="99"/>
      <c r="CD1519" s="99"/>
      <c r="CE1519" s="99"/>
      <c r="CF1519" s="99"/>
      <c r="CG1519" s="99"/>
      <c r="CH1519" s="99"/>
      <c r="CI1519" s="99"/>
      <c r="CJ1519" s="621"/>
      <c r="CK1519" s="621"/>
      <c r="CL1519" s="621"/>
    </row>
    <row r="1520" spans="27:90">
      <c r="AA1520" s="350"/>
      <c r="AB1520" s="62"/>
      <c r="AC1520" s="62"/>
      <c r="AD1520" s="62"/>
      <c r="AP1520" s="88"/>
      <c r="AQ1520" s="88"/>
      <c r="AR1520" s="88"/>
      <c r="AS1520" s="99"/>
      <c r="AT1520" s="99"/>
      <c r="AU1520" s="99"/>
      <c r="AV1520" s="99"/>
      <c r="AW1520" s="99"/>
      <c r="AX1520" s="99"/>
      <c r="AY1520" s="99"/>
      <c r="AZ1520" s="99"/>
      <c r="BA1520" s="99"/>
      <c r="BB1520" s="99"/>
      <c r="BC1520" s="99"/>
      <c r="BD1520" s="99"/>
      <c r="BE1520" s="99"/>
      <c r="BF1520" s="99"/>
      <c r="BG1520" s="99"/>
      <c r="BH1520" s="99"/>
      <c r="BI1520" s="99"/>
      <c r="BJ1520" s="99"/>
      <c r="BK1520" s="99"/>
      <c r="BL1520" s="99"/>
      <c r="BM1520" s="99"/>
      <c r="BN1520" s="99"/>
      <c r="BO1520" s="99"/>
      <c r="BP1520" s="99"/>
      <c r="BQ1520" s="99"/>
      <c r="BR1520" s="99"/>
      <c r="BS1520" s="99"/>
      <c r="BT1520" s="99"/>
      <c r="BU1520" s="99"/>
      <c r="BV1520" s="99"/>
      <c r="BW1520" s="99"/>
      <c r="BX1520" s="99"/>
      <c r="BY1520" s="99"/>
      <c r="BZ1520" s="99"/>
      <c r="CA1520" s="99"/>
      <c r="CB1520" s="99"/>
      <c r="CC1520" s="99"/>
      <c r="CD1520" s="99"/>
      <c r="CE1520" s="99"/>
      <c r="CF1520" s="99"/>
      <c r="CG1520" s="99"/>
      <c r="CH1520" s="99"/>
      <c r="CI1520" s="99"/>
      <c r="CJ1520" s="621"/>
      <c r="CK1520" s="621"/>
      <c r="CL1520" s="621"/>
    </row>
    <row r="1521" spans="27:90">
      <c r="AA1521" s="350"/>
      <c r="AB1521" s="62"/>
      <c r="AC1521" s="62"/>
      <c r="AD1521" s="62"/>
      <c r="AP1521" s="88"/>
      <c r="AQ1521" s="88"/>
      <c r="AR1521" s="88"/>
      <c r="AS1521" s="99"/>
      <c r="AT1521" s="99"/>
      <c r="AU1521" s="99"/>
      <c r="AV1521" s="99"/>
      <c r="AW1521" s="99"/>
      <c r="AX1521" s="99"/>
      <c r="AY1521" s="99"/>
      <c r="AZ1521" s="99"/>
      <c r="BA1521" s="99"/>
      <c r="BB1521" s="99"/>
      <c r="BC1521" s="99"/>
      <c r="BD1521" s="99"/>
      <c r="BE1521" s="99"/>
      <c r="BF1521" s="99"/>
      <c r="BG1521" s="99"/>
      <c r="BH1521" s="99"/>
      <c r="BI1521" s="99"/>
      <c r="BJ1521" s="99"/>
      <c r="BK1521" s="99"/>
      <c r="BL1521" s="99"/>
      <c r="BM1521" s="99"/>
      <c r="BN1521" s="99"/>
      <c r="BO1521" s="99"/>
      <c r="BP1521" s="99"/>
      <c r="BQ1521" s="99"/>
      <c r="BR1521" s="99"/>
      <c r="BS1521" s="99"/>
      <c r="BT1521" s="99"/>
      <c r="BU1521" s="99"/>
      <c r="BV1521" s="99"/>
      <c r="BW1521" s="99"/>
      <c r="BX1521" s="99"/>
      <c r="BY1521" s="99"/>
      <c r="BZ1521" s="99"/>
      <c r="CA1521" s="99"/>
      <c r="CB1521" s="99"/>
      <c r="CC1521" s="99"/>
      <c r="CD1521" s="99"/>
      <c r="CE1521" s="99"/>
      <c r="CF1521" s="99"/>
      <c r="CG1521" s="99"/>
      <c r="CH1521" s="99"/>
      <c r="CI1521" s="99"/>
      <c r="CJ1521" s="621"/>
      <c r="CK1521" s="621"/>
      <c r="CL1521" s="621"/>
    </row>
    <row r="1522" spans="27:90">
      <c r="AA1522" s="350"/>
      <c r="AB1522" s="62"/>
      <c r="AC1522" s="62"/>
      <c r="AD1522" s="62"/>
      <c r="AP1522" s="88"/>
      <c r="AQ1522" s="88"/>
      <c r="AR1522" s="88"/>
      <c r="AS1522" s="99"/>
      <c r="AT1522" s="99"/>
      <c r="AU1522" s="99"/>
      <c r="AV1522" s="99"/>
      <c r="AW1522" s="99"/>
      <c r="AX1522" s="99"/>
      <c r="AY1522" s="99"/>
      <c r="AZ1522" s="99"/>
      <c r="BA1522" s="99"/>
      <c r="BB1522" s="99"/>
      <c r="BC1522" s="99"/>
      <c r="BD1522" s="99"/>
      <c r="BE1522" s="99"/>
      <c r="BF1522" s="99"/>
      <c r="BG1522" s="99"/>
      <c r="BH1522" s="99"/>
      <c r="BI1522" s="99"/>
      <c r="BJ1522" s="99"/>
      <c r="BK1522" s="99"/>
      <c r="BL1522" s="99"/>
      <c r="BM1522" s="99"/>
      <c r="BN1522" s="99"/>
      <c r="BO1522" s="99"/>
      <c r="BP1522" s="99"/>
      <c r="BQ1522" s="99"/>
      <c r="BR1522" s="99"/>
      <c r="BS1522" s="99"/>
      <c r="BT1522" s="99"/>
      <c r="BU1522" s="99"/>
      <c r="BV1522" s="99"/>
      <c r="BW1522" s="99"/>
      <c r="BX1522" s="99"/>
      <c r="BY1522" s="99"/>
      <c r="BZ1522" s="99"/>
      <c r="CA1522" s="99"/>
      <c r="CB1522" s="99"/>
      <c r="CC1522" s="99"/>
      <c r="CD1522" s="99"/>
      <c r="CE1522" s="99"/>
      <c r="CF1522" s="99"/>
      <c r="CG1522" s="99"/>
      <c r="CH1522" s="99"/>
      <c r="CI1522" s="99"/>
      <c r="CJ1522" s="621"/>
      <c r="CK1522" s="621"/>
      <c r="CL1522" s="621"/>
    </row>
    <row r="1523" spans="27:90">
      <c r="AA1523" s="350"/>
      <c r="AB1523" s="62"/>
      <c r="AC1523" s="62"/>
      <c r="AD1523" s="62"/>
      <c r="AP1523" s="88"/>
      <c r="AQ1523" s="88"/>
      <c r="AR1523" s="88"/>
      <c r="AS1523" s="99"/>
      <c r="AT1523" s="99"/>
      <c r="AU1523" s="99"/>
      <c r="AV1523" s="99"/>
      <c r="AW1523" s="99"/>
      <c r="AX1523" s="99"/>
      <c r="AY1523" s="99"/>
      <c r="AZ1523" s="99"/>
      <c r="BA1523" s="99"/>
      <c r="BB1523" s="99"/>
      <c r="BC1523" s="99"/>
      <c r="BD1523" s="99"/>
      <c r="BE1523" s="99"/>
      <c r="BF1523" s="99"/>
      <c r="BG1523" s="99"/>
      <c r="BH1523" s="99"/>
      <c r="BI1523" s="99"/>
      <c r="BJ1523" s="99"/>
      <c r="BK1523" s="99"/>
      <c r="BL1523" s="99"/>
      <c r="BM1523" s="99"/>
      <c r="BN1523" s="99"/>
      <c r="BO1523" s="99"/>
      <c r="BP1523" s="99"/>
      <c r="BQ1523" s="99"/>
      <c r="BR1523" s="99"/>
      <c r="BS1523" s="99"/>
      <c r="BT1523" s="99"/>
      <c r="BU1523" s="99"/>
      <c r="BV1523" s="99"/>
      <c r="BW1523" s="99"/>
      <c r="BX1523" s="99"/>
      <c r="BY1523" s="99"/>
      <c r="BZ1523" s="99"/>
      <c r="CA1523" s="99"/>
      <c r="CB1523" s="99"/>
      <c r="CC1523" s="99"/>
      <c r="CD1523" s="99"/>
      <c r="CE1523" s="99"/>
      <c r="CF1523" s="99"/>
      <c r="CG1523" s="99"/>
      <c r="CH1523" s="99"/>
      <c r="CI1523" s="99"/>
      <c r="CJ1523" s="621"/>
      <c r="CK1523" s="621"/>
      <c r="CL1523" s="621"/>
    </row>
    <row r="1524" spans="27:90">
      <c r="AA1524" s="350"/>
      <c r="AB1524" s="62"/>
      <c r="AC1524" s="62"/>
      <c r="AD1524" s="62"/>
      <c r="AP1524" s="88"/>
      <c r="AQ1524" s="88"/>
      <c r="AR1524" s="88"/>
      <c r="AS1524" s="99"/>
      <c r="AT1524" s="99"/>
      <c r="AU1524" s="99"/>
      <c r="AV1524" s="99"/>
      <c r="AW1524" s="99"/>
      <c r="AX1524" s="99"/>
      <c r="AY1524" s="99"/>
      <c r="AZ1524" s="99"/>
      <c r="BA1524" s="99"/>
      <c r="BB1524" s="99"/>
      <c r="BC1524" s="99"/>
      <c r="BD1524" s="99"/>
      <c r="BE1524" s="99"/>
      <c r="BF1524" s="99"/>
      <c r="BG1524" s="99"/>
      <c r="BH1524" s="99"/>
      <c r="BI1524" s="99"/>
      <c r="BJ1524" s="99"/>
      <c r="BK1524" s="99"/>
      <c r="BL1524" s="99"/>
      <c r="BM1524" s="99"/>
      <c r="BN1524" s="99"/>
      <c r="BO1524" s="99"/>
      <c r="BP1524" s="99"/>
      <c r="BQ1524" s="99"/>
      <c r="BR1524" s="99"/>
      <c r="BS1524" s="99"/>
      <c r="BT1524" s="99"/>
      <c r="BU1524" s="99"/>
      <c r="BV1524" s="99"/>
      <c r="BW1524" s="99"/>
      <c r="BX1524" s="99"/>
      <c r="BY1524" s="99"/>
      <c r="BZ1524" s="99"/>
      <c r="CA1524" s="99"/>
      <c r="CB1524" s="99"/>
      <c r="CC1524" s="99"/>
      <c r="CD1524" s="99"/>
      <c r="CE1524" s="99"/>
      <c r="CF1524" s="99"/>
      <c r="CG1524" s="99"/>
      <c r="CH1524" s="99"/>
      <c r="CI1524" s="99"/>
      <c r="CJ1524" s="621"/>
      <c r="CK1524" s="621"/>
      <c r="CL1524" s="621"/>
    </row>
    <row r="1525" spans="27:90">
      <c r="AA1525" s="350"/>
      <c r="AB1525" s="62"/>
      <c r="AC1525" s="62"/>
      <c r="AD1525" s="62"/>
      <c r="AP1525" s="88"/>
      <c r="AQ1525" s="88"/>
      <c r="AR1525" s="88"/>
      <c r="AS1525" s="99"/>
      <c r="AT1525" s="99"/>
      <c r="AU1525" s="99"/>
      <c r="AV1525" s="99"/>
      <c r="AW1525" s="99"/>
      <c r="AX1525" s="99"/>
      <c r="AY1525" s="99"/>
      <c r="AZ1525" s="99"/>
      <c r="BA1525" s="99"/>
      <c r="BB1525" s="99"/>
      <c r="BC1525" s="99"/>
      <c r="BD1525" s="99"/>
      <c r="BE1525" s="99"/>
      <c r="BF1525" s="99"/>
      <c r="BG1525" s="99"/>
      <c r="BH1525" s="99"/>
      <c r="BI1525" s="99"/>
      <c r="BJ1525" s="99"/>
      <c r="BK1525" s="99"/>
      <c r="BL1525" s="99"/>
      <c r="BM1525" s="99"/>
      <c r="BN1525" s="99"/>
      <c r="BO1525" s="99"/>
      <c r="BP1525" s="99"/>
      <c r="BQ1525" s="99"/>
      <c r="BR1525" s="99"/>
      <c r="BS1525" s="99"/>
      <c r="BT1525" s="99"/>
      <c r="BU1525" s="99"/>
      <c r="BV1525" s="99"/>
      <c r="BW1525" s="99"/>
      <c r="BX1525" s="99"/>
      <c r="BY1525" s="99"/>
      <c r="BZ1525" s="99"/>
      <c r="CA1525" s="99"/>
      <c r="CB1525" s="99"/>
      <c r="CC1525" s="99"/>
      <c r="CD1525" s="99"/>
      <c r="CE1525" s="99"/>
      <c r="CF1525" s="99"/>
      <c r="CG1525" s="99"/>
      <c r="CH1525" s="99"/>
      <c r="CI1525" s="99"/>
      <c r="CJ1525" s="621"/>
      <c r="CK1525" s="621"/>
      <c r="CL1525" s="621"/>
    </row>
    <row r="1526" spans="27:90">
      <c r="AA1526" s="350"/>
      <c r="AB1526" s="62"/>
      <c r="AC1526" s="62"/>
      <c r="AD1526" s="62"/>
      <c r="AP1526" s="88"/>
      <c r="AQ1526" s="88"/>
      <c r="AR1526" s="88"/>
      <c r="AS1526" s="99"/>
      <c r="AT1526" s="99"/>
      <c r="AU1526" s="99"/>
      <c r="AV1526" s="99"/>
      <c r="AW1526" s="99"/>
      <c r="AX1526" s="99"/>
      <c r="AY1526" s="99"/>
      <c r="AZ1526" s="99"/>
      <c r="BA1526" s="99"/>
      <c r="BB1526" s="99"/>
      <c r="BC1526" s="99"/>
      <c r="BD1526" s="99"/>
      <c r="BE1526" s="99"/>
      <c r="BF1526" s="99"/>
      <c r="BG1526" s="99"/>
      <c r="BH1526" s="99"/>
      <c r="BI1526" s="99"/>
      <c r="BJ1526" s="99"/>
      <c r="BK1526" s="99"/>
      <c r="BL1526" s="99"/>
      <c r="BM1526" s="99"/>
      <c r="BN1526" s="99"/>
      <c r="BO1526" s="99"/>
      <c r="BP1526" s="99"/>
      <c r="BQ1526" s="99"/>
      <c r="BR1526" s="99"/>
      <c r="BS1526" s="99"/>
      <c r="BT1526" s="99"/>
      <c r="BU1526" s="99"/>
      <c r="BV1526" s="99"/>
      <c r="BW1526" s="99"/>
      <c r="BX1526" s="99"/>
      <c r="BY1526" s="99"/>
      <c r="BZ1526" s="99"/>
      <c r="CA1526" s="99"/>
      <c r="CB1526" s="99"/>
      <c r="CC1526" s="99"/>
      <c r="CD1526" s="99"/>
      <c r="CE1526" s="99"/>
      <c r="CF1526" s="99"/>
      <c r="CG1526" s="99"/>
      <c r="CH1526" s="99"/>
      <c r="CI1526" s="99"/>
      <c r="CJ1526" s="621"/>
      <c r="CK1526" s="621"/>
      <c r="CL1526" s="621"/>
    </row>
    <row r="1527" spans="27:90">
      <c r="AA1527" s="350"/>
      <c r="AB1527" s="62"/>
      <c r="AC1527" s="62"/>
      <c r="AD1527" s="62"/>
      <c r="AP1527" s="88"/>
      <c r="AQ1527" s="88"/>
      <c r="AR1527" s="88"/>
      <c r="AS1527" s="99"/>
      <c r="AT1527" s="99"/>
      <c r="AU1527" s="99"/>
      <c r="AV1527" s="99"/>
      <c r="AW1527" s="99"/>
      <c r="AX1527" s="99"/>
      <c r="AY1527" s="99"/>
      <c r="AZ1527" s="99"/>
      <c r="BA1527" s="99"/>
      <c r="BB1527" s="99"/>
      <c r="BC1527" s="99"/>
      <c r="BD1527" s="99"/>
      <c r="BE1527" s="99"/>
      <c r="BF1527" s="99"/>
      <c r="BG1527" s="99"/>
      <c r="BH1527" s="99"/>
      <c r="BI1527" s="99"/>
      <c r="BJ1527" s="99"/>
      <c r="BK1527" s="99"/>
      <c r="BL1527" s="99"/>
      <c r="BM1527" s="99"/>
      <c r="BN1527" s="99"/>
      <c r="BO1527" s="99"/>
      <c r="BP1527" s="99"/>
      <c r="BQ1527" s="99"/>
      <c r="BR1527" s="99"/>
      <c r="BS1527" s="99"/>
      <c r="BT1527" s="99"/>
      <c r="BU1527" s="99"/>
      <c r="BV1527" s="99"/>
      <c r="BW1527" s="99"/>
      <c r="BX1527" s="99"/>
      <c r="BY1527" s="99"/>
      <c r="BZ1527" s="99"/>
      <c r="CA1527" s="99"/>
      <c r="CB1527" s="99"/>
      <c r="CC1527" s="99"/>
      <c r="CD1527" s="99"/>
      <c r="CE1527" s="99"/>
      <c r="CF1527" s="99"/>
      <c r="CG1527" s="99"/>
      <c r="CH1527" s="99"/>
      <c r="CI1527" s="99"/>
      <c r="CJ1527" s="621"/>
      <c r="CK1527" s="621"/>
      <c r="CL1527" s="621"/>
    </row>
    <row r="1528" spans="27:90">
      <c r="AA1528" s="350"/>
      <c r="AB1528" s="62"/>
      <c r="AC1528" s="62"/>
      <c r="AD1528" s="62"/>
      <c r="AP1528" s="88"/>
      <c r="AQ1528" s="88"/>
      <c r="AR1528" s="88"/>
      <c r="AS1528" s="99"/>
      <c r="AT1528" s="99"/>
      <c r="AU1528" s="99"/>
      <c r="AV1528" s="99"/>
      <c r="AW1528" s="99"/>
      <c r="AX1528" s="99"/>
      <c r="AY1528" s="99"/>
      <c r="AZ1528" s="99"/>
      <c r="BA1528" s="99"/>
      <c r="BB1528" s="99"/>
      <c r="BC1528" s="99"/>
      <c r="BD1528" s="99"/>
      <c r="BE1528" s="99"/>
      <c r="BF1528" s="99"/>
      <c r="BG1528" s="99"/>
      <c r="BH1528" s="99"/>
      <c r="BI1528" s="99"/>
      <c r="BJ1528" s="99"/>
      <c r="BK1528" s="99"/>
      <c r="BL1528" s="99"/>
      <c r="BM1528" s="99"/>
      <c r="BN1528" s="99"/>
      <c r="BO1528" s="99"/>
      <c r="BP1528" s="99"/>
      <c r="BQ1528" s="99"/>
      <c r="BR1528" s="99"/>
      <c r="BS1528" s="99"/>
      <c r="BT1528" s="99"/>
      <c r="BU1528" s="99"/>
      <c r="BV1528" s="99"/>
      <c r="BW1528" s="99"/>
      <c r="BX1528" s="99"/>
      <c r="BY1528" s="99"/>
      <c r="BZ1528" s="99"/>
      <c r="CA1528" s="99"/>
      <c r="CB1528" s="99"/>
      <c r="CC1528" s="99"/>
      <c r="CD1528" s="99"/>
      <c r="CE1528" s="99"/>
      <c r="CF1528" s="99"/>
      <c r="CG1528" s="99"/>
      <c r="CH1528" s="99"/>
      <c r="CI1528" s="99"/>
      <c r="CJ1528" s="621"/>
      <c r="CK1528" s="621"/>
      <c r="CL1528" s="621"/>
    </row>
    <row r="1529" spans="27:90">
      <c r="AA1529" s="350"/>
      <c r="AB1529" s="62"/>
      <c r="AC1529" s="62"/>
      <c r="AD1529" s="62"/>
      <c r="AP1529" s="88"/>
      <c r="AQ1529" s="88"/>
      <c r="AR1529" s="88"/>
      <c r="AS1529" s="99"/>
      <c r="AT1529" s="99"/>
      <c r="AU1529" s="99"/>
      <c r="AV1529" s="99"/>
      <c r="AW1529" s="99"/>
      <c r="AX1529" s="99"/>
      <c r="AY1529" s="99"/>
      <c r="AZ1529" s="99"/>
      <c r="BA1529" s="99"/>
      <c r="BB1529" s="99"/>
      <c r="BC1529" s="99"/>
      <c r="BD1529" s="99"/>
      <c r="BE1529" s="99"/>
      <c r="BF1529" s="99"/>
      <c r="BG1529" s="99"/>
      <c r="BH1529" s="99"/>
      <c r="BI1529" s="99"/>
      <c r="BJ1529" s="99"/>
      <c r="BK1529" s="99"/>
      <c r="BL1529" s="99"/>
      <c r="BM1529" s="99"/>
      <c r="BN1529" s="99"/>
      <c r="BO1529" s="99"/>
      <c r="BP1529" s="99"/>
      <c r="BQ1529" s="99"/>
      <c r="BR1529" s="99"/>
      <c r="BS1529" s="99"/>
      <c r="BT1529" s="99"/>
      <c r="BU1529" s="99"/>
      <c r="BV1529" s="99"/>
      <c r="BW1529" s="99"/>
      <c r="BX1529" s="99"/>
      <c r="BY1529" s="99"/>
      <c r="BZ1529" s="99"/>
      <c r="CA1529" s="99"/>
      <c r="CB1529" s="99"/>
      <c r="CC1529" s="99"/>
      <c r="CD1529" s="99"/>
      <c r="CE1529" s="99"/>
      <c r="CF1529" s="99"/>
      <c r="CG1529" s="99"/>
      <c r="CH1529" s="99"/>
      <c r="CI1529" s="99"/>
      <c r="CJ1529" s="621"/>
      <c r="CK1529" s="621"/>
      <c r="CL1529" s="621"/>
    </row>
    <row r="1530" spans="27:90">
      <c r="AA1530" s="350"/>
      <c r="AB1530" s="62"/>
      <c r="AC1530" s="62"/>
      <c r="AD1530" s="62"/>
      <c r="AP1530" s="88"/>
      <c r="AQ1530" s="88"/>
      <c r="AR1530" s="88"/>
      <c r="AS1530" s="99"/>
      <c r="AT1530" s="99"/>
      <c r="AU1530" s="99"/>
      <c r="AV1530" s="99"/>
      <c r="AW1530" s="99"/>
      <c r="AX1530" s="99"/>
      <c r="AY1530" s="99"/>
      <c r="AZ1530" s="99"/>
      <c r="BA1530" s="99"/>
      <c r="BB1530" s="99"/>
      <c r="BC1530" s="99"/>
      <c r="BD1530" s="99"/>
      <c r="BE1530" s="99"/>
      <c r="BF1530" s="99"/>
      <c r="BG1530" s="99"/>
      <c r="BH1530" s="99"/>
      <c r="BI1530" s="99"/>
      <c r="BJ1530" s="99"/>
      <c r="BK1530" s="99"/>
      <c r="BL1530" s="99"/>
      <c r="BM1530" s="99"/>
      <c r="BN1530" s="99"/>
      <c r="BO1530" s="99"/>
      <c r="BP1530" s="99"/>
      <c r="BQ1530" s="99"/>
      <c r="BR1530" s="99"/>
      <c r="BS1530" s="99"/>
      <c r="BT1530" s="99"/>
      <c r="BU1530" s="99"/>
      <c r="BV1530" s="99"/>
      <c r="BW1530" s="99"/>
      <c r="BX1530" s="99"/>
      <c r="BY1530" s="99"/>
      <c r="BZ1530" s="99"/>
      <c r="CA1530" s="99"/>
      <c r="CB1530" s="99"/>
      <c r="CC1530" s="99"/>
      <c r="CD1530" s="99"/>
      <c r="CE1530" s="99"/>
      <c r="CF1530" s="99"/>
      <c r="CG1530" s="99"/>
      <c r="CH1530" s="99"/>
      <c r="CI1530" s="99"/>
      <c r="CJ1530" s="621"/>
      <c r="CK1530" s="621"/>
      <c r="CL1530" s="621"/>
    </row>
    <row r="1531" spans="27:90">
      <c r="AA1531" s="350"/>
      <c r="AB1531" s="62"/>
      <c r="AC1531" s="62"/>
      <c r="AD1531" s="62"/>
      <c r="AP1531" s="88"/>
      <c r="AQ1531" s="88"/>
      <c r="AR1531" s="88"/>
      <c r="AS1531" s="99"/>
      <c r="AT1531" s="99"/>
      <c r="AU1531" s="99"/>
      <c r="AV1531" s="99"/>
      <c r="AW1531" s="99"/>
      <c r="AX1531" s="99"/>
      <c r="AY1531" s="99"/>
      <c r="AZ1531" s="99"/>
      <c r="BA1531" s="99"/>
      <c r="BB1531" s="99"/>
      <c r="BC1531" s="99"/>
      <c r="BD1531" s="99"/>
      <c r="BE1531" s="99"/>
      <c r="BF1531" s="99"/>
      <c r="BG1531" s="99"/>
      <c r="BH1531" s="99"/>
      <c r="BI1531" s="99"/>
      <c r="BJ1531" s="99"/>
      <c r="BK1531" s="99"/>
      <c r="BL1531" s="99"/>
      <c r="BM1531" s="99"/>
      <c r="BN1531" s="99"/>
      <c r="BO1531" s="99"/>
      <c r="BP1531" s="99"/>
      <c r="BQ1531" s="99"/>
      <c r="BR1531" s="99"/>
      <c r="BS1531" s="99"/>
      <c r="BT1531" s="99"/>
      <c r="BU1531" s="99"/>
      <c r="BV1531" s="99"/>
      <c r="BW1531" s="99"/>
      <c r="BX1531" s="99"/>
      <c r="BY1531" s="99"/>
      <c r="BZ1531" s="99"/>
      <c r="CA1531" s="99"/>
      <c r="CB1531" s="99"/>
      <c r="CC1531" s="99"/>
      <c r="CD1531" s="99"/>
      <c r="CE1531" s="99"/>
      <c r="CF1531" s="99"/>
      <c r="CG1531" s="99"/>
      <c r="CH1531" s="99"/>
      <c r="CI1531" s="99"/>
      <c r="CJ1531" s="621"/>
      <c r="CK1531" s="621"/>
      <c r="CL1531" s="621"/>
    </row>
    <row r="1532" spans="27:90">
      <c r="AA1532" s="350"/>
      <c r="AB1532" s="62"/>
      <c r="AC1532" s="62"/>
      <c r="AD1532" s="62"/>
      <c r="AP1532" s="88"/>
      <c r="AQ1532" s="88"/>
      <c r="AR1532" s="88"/>
      <c r="AS1532" s="99"/>
      <c r="AT1532" s="99"/>
      <c r="AU1532" s="99"/>
      <c r="AV1532" s="99"/>
      <c r="AW1532" s="99"/>
      <c r="AX1532" s="99"/>
      <c r="AY1532" s="99"/>
      <c r="AZ1532" s="99"/>
      <c r="BA1532" s="99"/>
      <c r="BB1532" s="99"/>
      <c r="BC1532" s="99"/>
      <c r="BD1532" s="99"/>
      <c r="BE1532" s="99"/>
      <c r="BF1532" s="99"/>
      <c r="BG1532" s="99"/>
      <c r="BH1532" s="99"/>
      <c r="BI1532" s="99"/>
      <c r="BJ1532" s="99"/>
      <c r="BK1532" s="99"/>
      <c r="BL1532" s="99"/>
      <c r="BM1532" s="99"/>
      <c r="BN1532" s="99"/>
      <c r="BO1532" s="99"/>
      <c r="BP1532" s="99"/>
      <c r="BQ1532" s="99"/>
      <c r="BR1532" s="99"/>
      <c r="BS1532" s="99"/>
      <c r="BT1532" s="99"/>
      <c r="BU1532" s="99"/>
      <c r="BV1532" s="99"/>
      <c r="BW1532" s="99"/>
      <c r="BX1532" s="99"/>
      <c r="BY1532" s="99"/>
      <c r="BZ1532" s="99"/>
      <c r="CA1532" s="99"/>
      <c r="CB1532" s="99"/>
    </row>
    <row r="1533" spans="27:90">
      <c r="AA1533" s="350"/>
      <c r="AB1533" s="62"/>
      <c r="AC1533" s="62"/>
      <c r="AD1533" s="62"/>
      <c r="AP1533" s="88"/>
      <c r="AQ1533" s="88"/>
      <c r="AR1533" s="88"/>
      <c r="AS1533" s="99"/>
      <c r="AT1533" s="99"/>
      <c r="AU1533" s="99"/>
      <c r="AV1533" s="99"/>
      <c r="AW1533" s="99"/>
      <c r="AX1533" s="99"/>
      <c r="AY1533" s="99"/>
      <c r="AZ1533" s="99"/>
      <c r="BA1533" s="99"/>
      <c r="BB1533" s="99"/>
      <c r="BC1533" s="99"/>
      <c r="BD1533" s="99"/>
      <c r="BE1533" s="99"/>
      <c r="BF1533" s="99"/>
      <c r="BG1533" s="99"/>
      <c r="BH1533" s="99"/>
      <c r="BI1533" s="99"/>
      <c r="BJ1533" s="99"/>
      <c r="BK1533" s="99"/>
      <c r="BL1533" s="99"/>
      <c r="BM1533" s="99"/>
      <c r="BN1533" s="99"/>
      <c r="BO1533" s="99"/>
      <c r="BP1533" s="99"/>
      <c r="BQ1533" s="99"/>
      <c r="BR1533" s="99"/>
      <c r="BS1533" s="99"/>
      <c r="BT1533" s="99"/>
      <c r="BU1533" s="99"/>
      <c r="BV1533" s="99"/>
      <c r="BW1533" s="99"/>
      <c r="BX1533" s="99"/>
      <c r="BY1533" s="99"/>
      <c r="BZ1533" s="99"/>
      <c r="CA1533" s="99"/>
      <c r="CB1533" s="99"/>
    </row>
    <row r="1534" spans="27:90">
      <c r="AA1534" s="350"/>
      <c r="AB1534" s="62"/>
      <c r="AC1534" s="62"/>
      <c r="AD1534" s="62"/>
      <c r="AP1534" s="88"/>
      <c r="AQ1534" s="88"/>
      <c r="AR1534" s="88"/>
      <c r="AS1534" s="99"/>
      <c r="AT1534" s="99"/>
      <c r="AU1534" s="99"/>
      <c r="AV1534" s="99"/>
      <c r="AW1534" s="99"/>
      <c r="AX1534" s="99"/>
      <c r="AY1534" s="99"/>
      <c r="AZ1534" s="99"/>
      <c r="BA1534" s="99"/>
      <c r="BB1534" s="99"/>
      <c r="BC1534" s="99"/>
      <c r="BD1534" s="99"/>
      <c r="BE1534" s="99"/>
      <c r="BF1534" s="99"/>
      <c r="BG1534" s="99"/>
      <c r="BH1534" s="99"/>
      <c r="BI1534" s="99"/>
      <c r="BJ1534" s="99"/>
      <c r="BK1534" s="99"/>
      <c r="BL1534" s="99"/>
      <c r="BM1534" s="99"/>
      <c r="BN1534" s="99"/>
      <c r="BO1534" s="99"/>
      <c r="BP1534" s="99"/>
      <c r="BQ1534" s="99"/>
      <c r="BR1534" s="99"/>
      <c r="BS1534" s="99"/>
      <c r="BT1534" s="99"/>
      <c r="BU1534" s="99"/>
      <c r="BV1534" s="99"/>
      <c r="BW1534" s="99"/>
      <c r="BX1534" s="99"/>
      <c r="BY1534" s="99"/>
      <c r="BZ1534" s="99"/>
      <c r="CA1534" s="99"/>
      <c r="CB1534" s="99"/>
    </row>
    <row r="1535" spans="27:90">
      <c r="AS1535" s="99"/>
      <c r="AT1535" s="99"/>
      <c r="AU1535" s="99"/>
      <c r="AV1535" s="99"/>
      <c r="AW1535" s="99"/>
      <c r="AX1535" s="99"/>
      <c r="AY1535" s="99"/>
      <c r="AZ1535" s="99"/>
      <c r="BA1535" s="99"/>
      <c r="BB1535" s="99"/>
      <c r="BC1535" s="99"/>
      <c r="BD1535" s="99"/>
      <c r="BE1535" s="99"/>
      <c r="BF1535" s="99"/>
      <c r="BG1535" s="99"/>
      <c r="BH1535" s="99"/>
      <c r="BI1535" s="99"/>
      <c r="BJ1535" s="99"/>
      <c r="BK1535" s="99"/>
      <c r="BL1535" s="99"/>
      <c r="BM1535" s="99"/>
      <c r="BN1535" s="99"/>
      <c r="BO1535" s="99"/>
      <c r="BP1535" s="99"/>
      <c r="BQ1535" s="99"/>
      <c r="BR1535" s="99"/>
      <c r="BS1535" s="99"/>
      <c r="BT1535" s="99"/>
      <c r="BU1535" s="99"/>
      <c r="BV1535" s="99"/>
      <c r="BW1535" s="99"/>
      <c r="BX1535" s="99"/>
      <c r="BY1535" s="99"/>
      <c r="BZ1535" s="99"/>
      <c r="CA1535" s="99"/>
      <c r="CB1535" s="99"/>
    </row>
    <row r="1536" spans="27:90">
      <c r="AS1536" s="99"/>
      <c r="AT1536" s="99"/>
      <c r="AU1536" s="99"/>
      <c r="AV1536" s="99"/>
      <c r="AW1536" s="99"/>
      <c r="AX1536" s="99"/>
      <c r="AY1536" s="99"/>
      <c r="AZ1536" s="99"/>
      <c r="BA1536" s="99"/>
      <c r="BB1536" s="99"/>
      <c r="BC1536" s="99"/>
      <c r="BD1536" s="99"/>
      <c r="BE1536" s="99"/>
      <c r="BF1536" s="99"/>
      <c r="BG1536" s="99"/>
      <c r="BH1536" s="99"/>
      <c r="BI1536" s="99"/>
      <c r="BJ1536" s="99"/>
      <c r="BK1536" s="99"/>
      <c r="BL1536" s="99"/>
      <c r="BM1536" s="99"/>
      <c r="BN1536" s="99"/>
      <c r="BO1536" s="99"/>
      <c r="BP1536" s="99"/>
      <c r="BQ1536" s="99"/>
      <c r="BR1536" s="99"/>
      <c r="BS1536" s="99"/>
      <c r="BT1536" s="99"/>
      <c r="BU1536" s="99"/>
      <c r="BV1536" s="99"/>
      <c r="BW1536" s="99"/>
      <c r="BX1536" s="99"/>
      <c r="BY1536" s="99"/>
      <c r="BZ1536" s="99"/>
      <c r="CA1536" s="99"/>
      <c r="CB1536" s="99"/>
    </row>
    <row r="1537" spans="45:80">
      <c r="AS1537" s="99"/>
      <c r="AT1537" s="99"/>
      <c r="AU1537" s="99"/>
      <c r="AV1537" s="99"/>
      <c r="AW1537" s="99"/>
      <c r="AX1537" s="99"/>
      <c r="AY1537" s="99"/>
      <c r="AZ1537" s="99"/>
      <c r="BA1537" s="99"/>
      <c r="BB1537" s="99"/>
      <c r="BC1537" s="99"/>
      <c r="BD1537" s="99"/>
      <c r="BE1537" s="99"/>
      <c r="BF1537" s="99"/>
      <c r="BG1537" s="99"/>
      <c r="BH1537" s="99"/>
      <c r="BI1537" s="99"/>
      <c r="BJ1537" s="99"/>
      <c r="BK1537" s="99"/>
      <c r="BL1537" s="99"/>
      <c r="BM1537" s="99"/>
      <c r="BN1537" s="99"/>
      <c r="BO1537" s="99"/>
      <c r="BP1537" s="99"/>
      <c r="BQ1537" s="99"/>
      <c r="BR1537" s="99"/>
      <c r="BS1537" s="99"/>
      <c r="BT1537" s="99"/>
      <c r="BU1537" s="99"/>
      <c r="BV1537" s="99"/>
      <c r="BW1537" s="99"/>
      <c r="BX1537" s="99"/>
      <c r="BY1537" s="99"/>
      <c r="BZ1537" s="99"/>
      <c r="CA1537" s="99"/>
      <c r="CB1537" s="99"/>
    </row>
    <row r="1538" spans="45:80">
      <c r="AS1538" s="99"/>
      <c r="AT1538" s="99"/>
      <c r="AU1538" s="99"/>
      <c r="AV1538" s="99"/>
      <c r="AW1538" s="99"/>
      <c r="AX1538" s="99"/>
      <c r="AY1538" s="99"/>
      <c r="AZ1538" s="99"/>
      <c r="BA1538" s="99"/>
      <c r="BB1538" s="99"/>
      <c r="BC1538" s="99"/>
      <c r="BD1538" s="99"/>
      <c r="BE1538" s="99"/>
      <c r="BF1538" s="99"/>
      <c r="BG1538" s="99"/>
      <c r="BH1538" s="99"/>
      <c r="BI1538" s="99"/>
      <c r="BJ1538" s="99"/>
      <c r="BK1538" s="99"/>
      <c r="BL1538" s="99"/>
      <c r="BM1538" s="99"/>
      <c r="BN1538" s="99"/>
      <c r="BO1538" s="99"/>
      <c r="BP1538" s="99"/>
      <c r="BQ1538" s="99"/>
      <c r="BR1538" s="99"/>
      <c r="BS1538" s="99"/>
      <c r="BT1538" s="99"/>
      <c r="BU1538" s="99"/>
      <c r="BV1538" s="99"/>
      <c r="BW1538" s="99"/>
      <c r="BX1538" s="99"/>
      <c r="BY1538" s="99"/>
      <c r="BZ1538" s="99"/>
      <c r="CA1538" s="99"/>
      <c r="CB1538" s="99"/>
    </row>
    <row r="1539" spans="45:80">
      <c r="AS1539" s="99"/>
      <c r="AT1539" s="99"/>
      <c r="AU1539" s="99"/>
      <c r="AV1539" s="99"/>
      <c r="AW1539" s="99"/>
      <c r="AX1539" s="99"/>
      <c r="AY1539" s="99"/>
      <c r="AZ1539" s="99"/>
      <c r="BA1539" s="99"/>
      <c r="BB1539" s="99"/>
      <c r="BC1539" s="99"/>
      <c r="BD1539" s="99"/>
      <c r="BE1539" s="99"/>
      <c r="BF1539" s="99"/>
      <c r="BG1539" s="99"/>
      <c r="BH1539" s="99"/>
      <c r="BI1539" s="99"/>
      <c r="BJ1539" s="99"/>
      <c r="BK1539" s="99"/>
      <c r="BL1539" s="99"/>
      <c r="BM1539" s="99"/>
      <c r="BN1539" s="99"/>
      <c r="BO1539" s="99"/>
      <c r="BP1539" s="99"/>
      <c r="BQ1539" s="99"/>
      <c r="BR1539" s="99"/>
      <c r="BS1539" s="99"/>
      <c r="BT1539" s="99"/>
      <c r="BU1539" s="99"/>
      <c r="BV1539" s="99"/>
      <c r="BW1539" s="99"/>
      <c r="BX1539" s="99"/>
      <c r="BY1539" s="99"/>
      <c r="BZ1539" s="99"/>
      <c r="CA1539" s="99"/>
      <c r="CB1539" s="99"/>
    </row>
    <row r="1540" spans="45:80">
      <c r="AS1540" s="99"/>
      <c r="AT1540" s="99"/>
      <c r="AU1540" s="99"/>
      <c r="AV1540" s="99"/>
      <c r="AW1540" s="99"/>
      <c r="AX1540" s="99"/>
      <c r="AY1540" s="99"/>
      <c r="AZ1540" s="99"/>
      <c r="BA1540" s="99"/>
      <c r="BB1540" s="99"/>
      <c r="BC1540" s="99"/>
      <c r="BD1540" s="99"/>
      <c r="BE1540" s="99"/>
      <c r="BF1540" s="99"/>
      <c r="BG1540" s="99"/>
      <c r="BH1540" s="99"/>
      <c r="BI1540" s="99"/>
      <c r="BJ1540" s="99"/>
      <c r="BK1540" s="99"/>
      <c r="BL1540" s="99"/>
      <c r="BM1540" s="99"/>
      <c r="BN1540" s="99"/>
      <c r="BO1540" s="99"/>
      <c r="BP1540" s="99"/>
      <c r="BQ1540" s="99"/>
      <c r="BR1540" s="99"/>
      <c r="BS1540" s="99"/>
      <c r="BT1540" s="99"/>
      <c r="BU1540" s="99"/>
      <c r="BV1540" s="99"/>
      <c r="BW1540" s="99"/>
      <c r="BX1540" s="99"/>
      <c r="BY1540" s="99"/>
      <c r="BZ1540" s="99"/>
      <c r="CA1540" s="99"/>
      <c r="CB1540" s="99"/>
    </row>
    <row r="1541" spans="45:80">
      <c r="AS1541" s="99"/>
      <c r="AT1541" s="99"/>
      <c r="AU1541" s="99"/>
      <c r="AV1541" s="99"/>
      <c r="AW1541" s="99"/>
      <c r="AX1541" s="99"/>
      <c r="AY1541" s="99"/>
      <c r="AZ1541" s="99"/>
      <c r="BA1541" s="99"/>
      <c r="BB1541" s="99"/>
      <c r="BC1541" s="99"/>
      <c r="BD1541" s="99"/>
      <c r="BE1541" s="99"/>
      <c r="BF1541" s="99"/>
      <c r="BG1541" s="99"/>
      <c r="BH1541" s="99"/>
      <c r="BI1541" s="99"/>
      <c r="BJ1541" s="99"/>
      <c r="BK1541" s="99"/>
      <c r="BL1541" s="99"/>
      <c r="BM1541" s="99"/>
      <c r="BN1541" s="99"/>
      <c r="BO1541" s="99"/>
      <c r="BP1541" s="99"/>
      <c r="BQ1541" s="99"/>
      <c r="BR1541" s="99"/>
      <c r="BS1541" s="99"/>
      <c r="BT1541" s="99"/>
      <c r="BU1541" s="99"/>
      <c r="BV1541" s="99"/>
      <c r="BW1541" s="99"/>
      <c r="BX1541" s="99"/>
      <c r="BY1541" s="99"/>
      <c r="BZ1541" s="99"/>
      <c r="CA1541" s="99"/>
      <c r="CB1541" s="99"/>
    </row>
    <row r="1542" spans="45:80">
      <c r="AS1542" s="99"/>
      <c r="AT1542" s="99"/>
      <c r="AU1542" s="99"/>
      <c r="AV1542" s="99"/>
      <c r="AW1542" s="99"/>
      <c r="AX1542" s="99"/>
      <c r="AY1542" s="99"/>
      <c r="AZ1542" s="99"/>
      <c r="BA1542" s="99"/>
      <c r="BB1542" s="99"/>
      <c r="BC1542" s="99"/>
      <c r="BD1542" s="99"/>
      <c r="BE1542" s="99"/>
      <c r="BF1542" s="99"/>
      <c r="BG1542" s="99"/>
      <c r="BH1542" s="99"/>
      <c r="BI1542" s="99"/>
      <c r="BJ1542" s="99"/>
      <c r="BK1542" s="99"/>
      <c r="BL1542" s="99"/>
      <c r="BM1542" s="99"/>
      <c r="BN1542" s="99"/>
      <c r="BO1542" s="99"/>
      <c r="BP1542" s="99"/>
      <c r="BQ1542" s="99"/>
      <c r="BR1542" s="99"/>
      <c r="BS1542" s="99"/>
      <c r="BT1542" s="99"/>
      <c r="BU1542" s="99"/>
      <c r="BV1542" s="99"/>
      <c r="BW1542" s="99"/>
      <c r="BX1542" s="99"/>
      <c r="BY1542" s="99"/>
      <c r="BZ1542" s="99"/>
      <c r="CA1542" s="99"/>
      <c r="CB1542" s="99"/>
    </row>
    <row r="1543" spans="45:80">
      <c r="AS1543" s="99"/>
      <c r="AT1543" s="99"/>
      <c r="AU1543" s="99"/>
      <c r="AV1543" s="99"/>
      <c r="AW1543" s="99"/>
      <c r="AX1543" s="99"/>
      <c r="AY1543" s="99"/>
      <c r="AZ1543" s="99"/>
      <c r="BA1543" s="99"/>
      <c r="BB1543" s="99"/>
      <c r="BC1543" s="99"/>
      <c r="BD1543" s="99"/>
      <c r="BE1543" s="99"/>
      <c r="BF1543" s="99"/>
      <c r="BG1543" s="99"/>
      <c r="BH1543" s="99"/>
      <c r="BI1543" s="99"/>
      <c r="BJ1543" s="99"/>
      <c r="BK1543" s="99"/>
      <c r="BL1543" s="99"/>
      <c r="BM1543" s="99"/>
      <c r="BN1543" s="99"/>
      <c r="BO1543" s="99"/>
      <c r="BP1543" s="99"/>
      <c r="BQ1543" s="99"/>
      <c r="BR1543" s="99"/>
      <c r="BS1543" s="99"/>
      <c r="BT1543" s="99"/>
      <c r="BU1543" s="99"/>
      <c r="BV1543" s="99"/>
      <c r="BW1543" s="99"/>
      <c r="BX1543" s="99"/>
      <c r="BY1543" s="99"/>
      <c r="BZ1543" s="99"/>
      <c r="CA1543" s="99"/>
      <c r="CB1543" s="99"/>
    </row>
    <row r="1544" spans="45:80">
      <c r="AS1544" s="99"/>
      <c r="AT1544" s="99"/>
      <c r="AU1544" s="99"/>
      <c r="AV1544" s="99"/>
      <c r="AW1544" s="99"/>
      <c r="AX1544" s="99"/>
      <c r="AY1544" s="99"/>
      <c r="AZ1544" s="99"/>
      <c r="BA1544" s="99"/>
      <c r="BB1544" s="99"/>
      <c r="BC1544" s="99"/>
      <c r="BD1544" s="99"/>
      <c r="BE1544" s="99"/>
      <c r="BF1544" s="99"/>
      <c r="BG1544" s="99"/>
      <c r="BH1544" s="99"/>
      <c r="BI1544" s="99"/>
      <c r="BJ1544" s="99"/>
      <c r="BK1544" s="99"/>
      <c r="BL1544" s="99"/>
      <c r="BM1544" s="99"/>
      <c r="BN1544" s="99"/>
      <c r="BO1544" s="99"/>
      <c r="BP1544" s="99"/>
      <c r="BQ1544" s="99"/>
      <c r="BR1544" s="99"/>
      <c r="BS1544" s="99"/>
      <c r="BT1544" s="99"/>
      <c r="BU1544" s="99"/>
      <c r="BV1544" s="99"/>
      <c r="BW1544" s="99"/>
      <c r="BX1544" s="99"/>
      <c r="BY1544" s="99"/>
      <c r="BZ1544" s="99"/>
      <c r="CA1544" s="99"/>
      <c r="CB1544" s="99"/>
    </row>
    <row r="1545" spans="45:80">
      <c r="AS1545" s="99"/>
      <c r="AT1545" s="99"/>
      <c r="AU1545" s="99"/>
      <c r="AV1545" s="99"/>
      <c r="AW1545" s="99"/>
      <c r="AX1545" s="99"/>
      <c r="AY1545" s="99"/>
      <c r="AZ1545" s="99"/>
      <c r="BA1545" s="99"/>
      <c r="BB1545" s="99"/>
      <c r="BC1545" s="99"/>
      <c r="BD1545" s="99"/>
      <c r="BE1545" s="99"/>
      <c r="BF1545" s="99"/>
      <c r="BG1545" s="99"/>
      <c r="BH1545" s="99"/>
      <c r="BI1545" s="99"/>
      <c r="BJ1545" s="99"/>
      <c r="BK1545" s="99"/>
      <c r="BL1545" s="99"/>
      <c r="BM1545" s="99"/>
      <c r="BN1545" s="99"/>
      <c r="BO1545" s="99"/>
      <c r="BP1545" s="99"/>
      <c r="BQ1545" s="99"/>
      <c r="BR1545" s="99"/>
      <c r="BS1545" s="99"/>
      <c r="BT1545" s="99"/>
      <c r="BU1545" s="99"/>
      <c r="BV1545" s="99"/>
      <c r="BW1545" s="99"/>
      <c r="BX1545" s="99"/>
      <c r="BY1545" s="99"/>
      <c r="BZ1545" s="99"/>
      <c r="CA1545" s="99"/>
      <c r="CB1545" s="99"/>
    </row>
    <row r="1546" spans="45:80">
      <c r="AS1546" s="99"/>
      <c r="AT1546" s="99"/>
      <c r="AU1546" s="99"/>
      <c r="AV1546" s="99"/>
      <c r="AW1546" s="99"/>
      <c r="AX1546" s="99"/>
      <c r="AY1546" s="99"/>
      <c r="AZ1546" s="99"/>
      <c r="BA1546" s="99"/>
      <c r="BB1546" s="99"/>
      <c r="BC1546" s="99"/>
      <c r="BD1546" s="99"/>
      <c r="BE1546" s="99"/>
      <c r="BF1546" s="99"/>
      <c r="BG1546" s="99"/>
      <c r="BH1546" s="99"/>
      <c r="BI1546" s="99"/>
      <c r="BJ1546" s="99"/>
      <c r="BK1546" s="99"/>
      <c r="BL1546" s="99"/>
      <c r="BM1546" s="99"/>
      <c r="BN1546" s="99"/>
      <c r="BO1546" s="99"/>
      <c r="BP1546" s="99"/>
      <c r="BQ1546" s="99"/>
      <c r="BR1546" s="99"/>
      <c r="BS1546" s="99"/>
      <c r="BT1546" s="99"/>
      <c r="BU1546" s="99"/>
      <c r="BV1546" s="99"/>
      <c r="BW1546" s="99"/>
      <c r="BX1546" s="99"/>
      <c r="BY1546" s="99"/>
      <c r="BZ1546" s="99"/>
      <c r="CA1546" s="99"/>
      <c r="CB1546" s="99"/>
    </row>
    <row r="1547" spans="45:80">
      <c r="AS1547" s="99"/>
      <c r="AT1547" s="99"/>
      <c r="AU1547" s="99"/>
      <c r="AV1547" s="99"/>
      <c r="AW1547" s="99"/>
      <c r="AX1547" s="99"/>
      <c r="AY1547" s="99"/>
      <c r="AZ1547" s="99"/>
      <c r="BA1547" s="99"/>
      <c r="BB1547" s="99"/>
      <c r="BC1547" s="99"/>
      <c r="BD1547" s="99"/>
      <c r="BE1547" s="99"/>
      <c r="BF1547" s="99"/>
      <c r="BG1547" s="99"/>
      <c r="BH1547" s="99"/>
      <c r="BI1547" s="99"/>
      <c r="BJ1547" s="99"/>
      <c r="BK1547" s="99"/>
      <c r="BL1547" s="99"/>
      <c r="BM1547" s="99"/>
      <c r="BN1547" s="99"/>
      <c r="BO1547" s="99"/>
      <c r="BP1547" s="99"/>
      <c r="BQ1547" s="99"/>
      <c r="BR1547" s="99"/>
      <c r="BS1547" s="99"/>
      <c r="BT1547" s="99"/>
      <c r="BU1547" s="99"/>
      <c r="BV1547" s="99"/>
      <c r="BW1547" s="99"/>
      <c r="BX1547" s="99"/>
      <c r="BY1547" s="99"/>
      <c r="BZ1547" s="99"/>
      <c r="CA1547" s="99"/>
      <c r="CB1547" s="99"/>
    </row>
    <row r="1548" spans="45:80">
      <c r="AS1548" s="99"/>
      <c r="AT1548" s="99"/>
      <c r="AU1548" s="99"/>
      <c r="AV1548" s="99"/>
      <c r="AW1548" s="99"/>
      <c r="AX1548" s="99"/>
      <c r="AY1548" s="99"/>
      <c r="AZ1548" s="99"/>
      <c r="BA1548" s="99"/>
      <c r="BB1548" s="99"/>
      <c r="BC1548" s="99"/>
      <c r="BD1548" s="99"/>
      <c r="BE1548" s="99"/>
      <c r="BF1548" s="99"/>
      <c r="BG1548" s="99"/>
      <c r="BH1548" s="99"/>
      <c r="BI1548" s="99"/>
      <c r="BJ1548" s="99"/>
      <c r="BK1548" s="99"/>
      <c r="BL1548" s="99"/>
      <c r="BM1548" s="99"/>
      <c r="BN1548" s="99"/>
      <c r="BO1548" s="99"/>
      <c r="BP1548" s="99"/>
      <c r="BQ1548" s="99"/>
      <c r="BR1548" s="99"/>
      <c r="BS1548" s="99"/>
      <c r="BT1548" s="99"/>
      <c r="BU1548" s="99"/>
      <c r="BV1548" s="99"/>
      <c r="BW1548" s="99"/>
      <c r="BX1548" s="99"/>
      <c r="BY1548" s="99"/>
      <c r="BZ1548" s="99"/>
      <c r="CA1548" s="99"/>
      <c r="CB1548" s="99"/>
    </row>
    <row r="1549" spans="45:80">
      <c r="AS1549" s="99"/>
      <c r="AT1549" s="99"/>
      <c r="AU1549" s="99"/>
      <c r="AV1549" s="99"/>
      <c r="AW1549" s="99"/>
      <c r="AX1549" s="99"/>
      <c r="AY1549" s="99"/>
      <c r="AZ1549" s="99"/>
      <c r="BA1549" s="99"/>
      <c r="BB1549" s="99"/>
      <c r="BC1549" s="99"/>
      <c r="BD1549" s="99"/>
      <c r="BE1549" s="99"/>
      <c r="BF1549" s="99"/>
      <c r="BG1549" s="99"/>
      <c r="BH1549" s="99"/>
      <c r="BI1549" s="99"/>
      <c r="BJ1549" s="99"/>
      <c r="BK1549" s="99"/>
      <c r="BL1549" s="99"/>
      <c r="BM1549" s="99"/>
      <c r="BN1549" s="99"/>
      <c r="BO1549" s="99"/>
      <c r="BP1549" s="99"/>
      <c r="BQ1549" s="99"/>
      <c r="BR1549" s="99"/>
      <c r="BS1549" s="99"/>
      <c r="BT1549" s="99"/>
      <c r="BU1549" s="99"/>
      <c r="BV1549" s="99"/>
      <c r="BW1549" s="99"/>
      <c r="BX1549" s="99"/>
      <c r="BY1549" s="99"/>
      <c r="BZ1549" s="99"/>
      <c r="CA1549" s="99"/>
      <c r="CB1549" s="99"/>
    </row>
    <row r="1550" spans="45:80">
      <c r="AS1550" s="99"/>
      <c r="AT1550" s="99"/>
      <c r="AU1550" s="99"/>
      <c r="AV1550" s="99"/>
      <c r="AW1550" s="99"/>
      <c r="AX1550" s="99"/>
      <c r="AY1550" s="99"/>
      <c r="AZ1550" s="99"/>
      <c r="BA1550" s="99"/>
      <c r="BB1550" s="99"/>
      <c r="BC1550" s="99"/>
      <c r="BD1550" s="99"/>
      <c r="BE1550" s="99"/>
      <c r="BF1550" s="99"/>
      <c r="BG1550" s="99"/>
      <c r="BH1550" s="99"/>
      <c r="BI1550" s="99"/>
      <c r="BJ1550" s="99"/>
      <c r="BK1550" s="99"/>
      <c r="BL1550" s="99"/>
      <c r="BM1550" s="99"/>
      <c r="BN1550" s="99"/>
      <c r="BO1550" s="99"/>
      <c r="BP1550" s="99"/>
      <c r="BQ1550" s="99"/>
      <c r="BR1550" s="99"/>
      <c r="BS1550" s="99"/>
      <c r="BT1550" s="99"/>
      <c r="BU1550" s="99"/>
      <c r="BV1550" s="99"/>
      <c r="BW1550" s="99"/>
      <c r="BX1550" s="99"/>
      <c r="BY1550" s="99"/>
      <c r="BZ1550" s="99"/>
      <c r="CA1550" s="99"/>
      <c r="CB1550" s="99"/>
    </row>
  </sheetData>
  <sheetProtection selectLockedCells="1"/>
  <mergeCells count="17">
    <mergeCell ref="CM12:CP12"/>
    <mergeCell ref="A1:AQ1"/>
    <mergeCell ref="AS2:CS2"/>
    <mergeCell ref="Y199:Z199"/>
    <mergeCell ref="AZ12:BB12"/>
    <mergeCell ref="BC12:BZ12"/>
    <mergeCell ref="BC3:BZ3"/>
    <mergeCell ref="AZ3:BB3"/>
    <mergeCell ref="AS11:CS11"/>
    <mergeCell ref="CQ3:CS3"/>
    <mergeCell ref="CQ12:CS12"/>
    <mergeCell ref="CC3:CI3"/>
    <mergeCell ref="CC12:CI12"/>
    <mergeCell ref="A140:AQ140"/>
    <mergeCell ref="CJ3:CL3"/>
    <mergeCell ref="CJ12:CL12"/>
    <mergeCell ref="CM3:CP3"/>
  </mergeCells>
  <phoneticPr fontId="2" type="noConversion"/>
  <pageMargins left="0.7" right="0.7" top="0.75" bottom="0.75" header="0.3" footer="0.3"/>
  <pageSetup paperSize="9" orientation="portrait" r:id="rId1"/>
  <ignoredErrors>
    <ignoredError sqref="AE143:AG170 AF142:AG142"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6">
    <tabColor rgb="FFFFFF00"/>
    <pageSetUpPr fitToPage="1"/>
  </sheetPr>
  <dimension ref="A1:AH292"/>
  <sheetViews>
    <sheetView showGridLines="0" showRowColHeaders="0" zoomScaleNormal="100" workbookViewId="0">
      <selection sqref="A1:AG1"/>
    </sheetView>
  </sheetViews>
  <sheetFormatPr baseColWidth="10" defaultColWidth="11.44140625" defaultRowHeight="13.2"/>
  <cols>
    <col min="1" max="1" width="14.109375" style="85" bestFit="1" customWidth="1"/>
    <col min="2" max="2" width="6.88671875" style="85" bestFit="1" customWidth="1"/>
    <col min="3" max="3" width="7.33203125" style="85" bestFit="1" customWidth="1"/>
    <col min="4" max="5" width="6.88671875" style="85" customWidth="1"/>
    <col min="6" max="6" width="7.88671875" style="85" bestFit="1" customWidth="1"/>
    <col min="7" max="7" width="6.88671875" style="85" bestFit="1" customWidth="1"/>
    <col min="8" max="8" width="6.88671875" style="85" customWidth="1"/>
    <col min="9" max="9" width="6.88671875" style="85" bestFit="1" customWidth="1"/>
    <col min="10" max="10" width="7.6640625" style="85" bestFit="1" customWidth="1"/>
    <col min="11" max="11" width="7" style="85" bestFit="1" customWidth="1"/>
    <col min="12" max="14" width="6.88671875" style="85" bestFit="1" customWidth="1"/>
    <col min="15" max="15" width="7.33203125" style="85" bestFit="1" customWidth="1"/>
    <col min="16" max="17" width="6.88671875" style="85" bestFit="1" customWidth="1"/>
    <col min="18" max="18" width="9" style="85" customWidth="1"/>
    <col min="19" max="19" width="7.88671875" style="648" customWidth="1"/>
    <col min="20" max="20" width="6.6640625" style="85" customWidth="1"/>
    <col min="21" max="21" width="6.88671875" style="85" customWidth="1"/>
    <col min="22" max="24" width="6.88671875" style="85" bestFit="1" customWidth="1"/>
    <col min="25" max="27" width="6.88671875" style="85" customWidth="1"/>
    <col min="28" max="33" width="5.88671875" style="85" customWidth="1"/>
    <col min="34" max="16384" width="11.44140625" style="85"/>
  </cols>
  <sheetData>
    <row r="1" spans="1:34" ht="14.4" thickTop="1" thickBot="1">
      <c r="A1" s="978" t="s">
        <v>5569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9"/>
      <c r="AH1" s="207"/>
    </row>
    <row r="2" spans="1:34" ht="12.75" customHeight="1" thickTop="1">
      <c r="A2" s="207"/>
      <c r="B2" s="1003" t="s">
        <v>5570</v>
      </c>
      <c r="C2" s="1003"/>
      <c r="D2" s="1004"/>
      <c r="E2" s="972" t="s">
        <v>846</v>
      </c>
      <c r="F2" s="973"/>
      <c r="G2" s="973"/>
      <c r="H2" s="973"/>
      <c r="I2" s="973"/>
      <c r="J2" s="973"/>
      <c r="K2" s="973"/>
      <c r="L2" s="973"/>
      <c r="M2" s="974"/>
      <c r="N2" s="1006" t="s">
        <v>2455</v>
      </c>
      <c r="O2" s="973" t="s">
        <v>845</v>
      </c>
      <c r="P2" s="973" t="s">
        <v>847</v>
      </c>
      <c r="Q2" s="1002" t="s">
        <v>5846</v>
      </c>
      <c r="R2" s="1001" t="s">
        <v>11771</v>
      </c>
      <c r="S2" s="972" t="s">
        <v>11354</v>
      </c>
      <c r="T2" s="972" t="s">
        <v>5571</v>
      </c>
      <c r="U2" s="207"/>
      <c r="V2" s="207"/>
      <c r="W2" s="207"/>
      <c r="X2" s="207"/>
      <c r="Y2" s="207"/>
      <c r="Z2" s="207"/>
      <c r="AA2" s="207"/>
      <c r="AB2" s="207"/>
      <c r="AC2" s="207"/>
      <c r="AD2" s="207"/>
      <c r="AE2" s="207"/>
      <c r="AF2" s="207"/>
      <c r="AG2" s="207"/>
      <c r="AH2" s="207"/>
    </row>
    <row r="3" spans="1:34" ht="16.2" thickBot="1">
      <c r="A3" s="207"/>
      <c r="B3" s="1003" t="s">
        <v>5572</v>
      </c>
      <c r="C3" s="1003"/>
      <c r="D3" s="1004"/>
      <c r="E3" s="180" t="s">
        <v>9596</v>
      </c>
      <c r="F3" s="180" t="s">
        <v>2754</v>
      </c>
      <c r="G3" s="180" t="s">
        <v>5573</v>
      </c>
      <c r="H3" s="180" t="s">
        <v>9597</v>
      </c>
      <c r="I3" s="180" t="s">
        <v>2758</v>
      </c>
      <c r="J3" s="478" t="s">
        <v>5574</v>
      </c>
      <c r="K3" s="180" t="s">
        <v>5415</v>
      </c>
      <c r="L3" s="180" t="s">
        <v>9478</v>
      </c>
      <c r="M3" s="204" t="s">
        <v>11596</v>
      </c>
      <c r="N3" s="1007"/>
      <c r="O3" s="1005"/>
      <c r="P3" s="1005"/>
      <c r="Q3" s="1002"/>
      <c r="R3" s="1001"/>
      <c r="S3" s="1000"/>
      <c r="T3" s="1000"/>
      <c r="U3" s="207"/>
      <c r="V3" s="464" t="s">
        <v>9480</v>
      </c>
      <c r="W3" s="207"/>
      <c r="X3" s="207"/>
      <c r="Y3" s="207"/>
      <c r="Z3" s="207"/>
      <c r="AA3" s="207"/>
      <c r="AB3" s="207"/>
      <c r="AC3" s="207"/>
      <c r="AD3" s="207"/>
      <c r="AE3" s="207"/>
      <c r="AF3" s="207"/>
      <c r="AG3" s="207"/>
      <c r="AH3" s="207"/>
    </row>
    <row r="4" spans="1:34" ht="10.199999999999999" customHeight="1" thickBot="1">
      <c r="A4" s="207"/>
      <c r="B4" s="982" t="s">
        <v>5575</v>
      </c>
      <c r="C4" s="983"/>
      <c r="D4" s="984"/>
      <c r="E4" s="470">
        <v>1</v>
      </c>
      <c r="F4" s="470">
        <v>1</v>
      </c>
      <c r="G4" s="135">
        <v>1</v>
      </c>
      <c r="H4" s="504" t="s">
        <v>5828</v>
      </c>
      <c r="I4" s="135" t="s">
        <v>5576</v>
      </c>
      <c r="J4" s="135">
        <v>1</v>
      </c>
      <c r="K4" s="135">
        <v>1</v>
      </c>
      <c r="L4" s="135">
        <v>1</v>
      </c>
      <c r="M4" s="200" t="s">
        <v>5576</v>
      </c>
      <c r="N4" s="134" t="s">
        <v>5576</v>
      </c>
      <c r="O4" s="175" t="s">
        <v>5792</v>
      </c>
      <c r="P4" s="175" t="s">
        <v>5792</v>
      </c>
      <c r="Q4" s="476">
        <v>1</v>
      </c>
      <c r="R4" s="135" t="s">
        <v>5576</v>
      </c>
      <c r="S4" s="642" t="s">
        <v>5576</v>
      </c>
      <c r="T4" s="181" t="s">
        <v>5583</v>
      </c>
      <c r="U4" s="207"/>
      <c r="V4" s="207"/>
      <c r="W4" s="207"/>
      <c r="X4" s="207"/>
      <c r="Y4" s="207"/>
      <c r="Z4" s="207"/>
      <c r="AA4" s="207"/>
      <c r="AB4" s="207"/>
      <c r="AC4" s="207"/>
      <c r="AD4" s="207"/>
      <c r="AE4" s="207"/>
      <c r="AF4" s="207"/>
      <c r="AG4" s="207"/>
      <c r="AH4" s="207"/>
    </row>
    <row r="5" spans="1:34" ht="10.199999999999999" customHeight="1" thickBot="1">
      <c r="A5" s="207"/>
      <c r="B5" s="985" t="s">
        <v>5577</v>
      </c>
      <c r="C5" s="986"/>
      <c r="D5" s="987"/>
      <c r="E5" s="471" t="s">
        <v>5576</v>
      </c>
      <c r="F5" s="471">
        <v>2</v>
      </c>
      <c r="G5" s="186">
        <v>2</v>
      </c>
      <c r="H5" s="186" t="s">
        <v>5576</v>
      </c>
      <c r="I5" s="186" t="s">
        <v>5576</v>
      </c>
      <c r="J5" s="186">
        <v>2</v>
      </c>
      <c r="K5" s="186" t="s">
        <v>5576</v>
      </c>
      <c r="L5" s="186">
        <v>2</v>
      </c>
      <c r="M5" s="201" t="s">
        <v>5576</v>
      </c>
      <c r="N5" s="196" t="s">
        <v>5576</v>
      </c>
      <c r="O5" s="186">
        <v>3</v>
      </c>
      <c r="P5" s="186" t="s">
        <v>5576</v>
      </c>
      <c r="Q5" s="187" t="s">
        <v>5576</v>
      </c>
      <c r="R5" s="187" t="s">
        <v>5576</v>
      </c>
      <c r="S5" s="187" t="s">
        <v>5576</v>
      </c>
      <c r="T5" s="188" t="s">
        <v>12323</v>
      </c>
      <c r="U5" s="207"/>
      <c r="V5" s="207" t="s">
        <v>15536</v>
      </c>
      <c r="W5" s="207"/>
      <c r="X5" s="207"/>
      <c r="Y5" s="207"/>
      <c r="Z5" s="207"/>
      <c r="AA5" s="207"/>
      <c r="AB5" s="207"/>
      <c r="AC5" s="207"/>
      <c r="AD5" s="207"/>
      <c r="AE5" s="207"/>
      <c r="AF5" s="207"/>
      <c r="AG5" s="207"/>
      <c r="AH5" s="207"/>
    </row>
    <row r="6" spans="1:34" ht="10.199999999999999" customHeight="1" thickBot="1">
      <c r="A6" s="207"/>
      <c r="B6" s="982" t="s">
        <v>5578</v>
      </c>
      <c r="C6" s="983"/>
      <c r="D6" s="984"/>
      <c r="E6" s="472" t="s">
        <v>5576</v>
      </c>
      <c r="F6" s="472" t="s">
        <v>5576</v>
      </c>
      <c r="G6" s="182">
        <v>3</v>
      </c>
      <c r="H6" s="182" t="s">
        <v>5576</v>
      </c>
      <c r="I6" s="182" t="s">
        <v>5576</v>
      </c>
      <c r="J6" s="182">
        <v>3</v>
      </c>
      <c r="K6" s="182">
        <v>2</v>
      </c>
      <c r="L6" s="182">
        <v>3</v>
      </c>
      <c r="M6" s="202" t="s">
        <v>5576</v>
      </c>
      <c r="N6" s="197" t="s">
        <v>5576</v>
      </c>
      <c r="O6" s="182" t="s">
        <v>5576</v>
      </c>
      <c r="P6" s="182" t="s">
        <v>5576</v>
      </c>
      <c r="Q6" s="183" t="s">
        <v>5576</v>
      </c>
      <c r="R6" s="182" t="s">
        <v>5576</v>
      </c>
      <c r="S6" s="182" t="s">
        <v>5576</v>
      </c>
      <c r="T6" s="184" t="s">
        <v>12324</v>
      </c>
      <c r="U6" s="207"/>
      <c r="V6" s="207" t="s">
        <v>15534</v>
      </c>
      <c r="W6" s="207"/>
      <c r="X6" s="207"/>
      <c r="Y6" s="207"/>
      <c r="Z6" s="207"/>
      <c r="AA6" s="207"/>
      <c r="AB6" s="207"/>
      <c r="AC6" s="207"/>
      <c r="AD6" s="207"/>
      <c r="AE6" s="207"/>
      <c r="AF6" s="207"/>
      <c r="AG6" s="207"/>
      <c r="AH6" s="207"/>
    </row>
    <row r="7" spans="1:34" ht="10.199999999999999" customHeight="1" thickBot="1">
      <c r="A7" s="207"/>
      <c r="B7" s="985" t="s">
        <v>5580</v>
      </c>
      <c r="C7" s="986"/>
      <c r="D7" s="987"/>
      <c r="E7" s="471">
        <v>2</v>
      </c>
      <c r="F7" s="471">
        <v>3</v>
      </c>
      <c r="G7" s="186">
        <v>4</v>
      </c>
      <c r="H7" s="186">
        <v>5</v>
      </c>
      <c r="I7" s="186" t="s">
        <v>5576</v>
      </c>
      <c r="J7" s="186">
        <v>4</v>
      </c>
      <c r="K7" s="186">
        <v>3</v>
      </c>
      <c r="L7" s="186">
        <v>4</v>
      </c>
      <c r="M7" s="201" t="s">
        <v>5576</v>
      </c>
      <c r="N7" s="196">
        <v>1</v>
      </c>
      <c r="O7" s="186" t="s">
        <v>5576</v>
      </c>
      <c r="P7" s="186">
        <v>3</v>
      </c>
      <c r="Q7" s="187" t="s">
        <v>5576</v>
      </c>
      <c r="R7" s="187" t="s">
        <v>5576</v>
      </c>
      <c r="S7" s="187" t="s">
        <v>5576</v>
      </c>
      <c r="T7" s="188" t="s">
        <v>5739</v>
      </c>
      <c r="U7" s="207"/>
      <c r="V7" s="207" t="s">
        <v>5787</v>
      </c>
      <c r="W7" s="207"/>
      <c r="X7" s="207"/>
      <c r="Y7" s="207"/>
      <c r="Z7" s="207"/>
      <c r="AA7" s="207"/>
      <c r="AB7" s="207"/>
      <c r="AC7" s="207"/>
      <c r="AD7" s="207"/>
      <c r="AE7" s="207"/>
      <c r="AF7" s="207"/>
      <c r="AG7" s="207"/>
      <c r="AH7" s="207"/>
    </row>
    <row r="8" spans="1:34" ht="10.199999999999999" customHeight="1" thickBot="1">
      <c r="A8" s="207"/>
      <c r="B8" s="1008" t="s">
        <v>5581</v>
      </c>
      <c r="C8" s="1009"/>
      <c r="D8" s="1010"/>
      <c r="E8" s="474" t="s">
        <v>5576</v>
      </c>
      <c r="F8" s="474" t="s">
        <v>5576</v>
      </c>
      <c r="G8" s="205" t="s">
        <v>5576</v>
      </c>
      <c r="H8" s="205" t="s">
        <v>5576</v>
      </c>
      <c r="I8" s="205" t="s">
        <v>5576</v>
      </c>
      <c r="J8" s="205" t="s">
        <v>5576</v>
      </c>
      <c r="K8" s="205" t="s">
        <v>5576</v>
      </c>
      <c r="L8" s="205" t="s">
        <v>5576</v>
      </c>
      <c r="M8" s="511" t="s">
        <v>5576</v>
      </c>
      <c r="N8" s="206" t="s">
        <v>5576</v>
      </c>
      <c r="O8" s="205" t="s">
        <v>5576</v>
      </c>
      <c r="P8" s="191" t="s">
        <v>5804</v>
      </c>
      <c r="Q8" s="510" t="s">
        <v>5576</v>
      </c>
      <c r="R8" s="205" t="s">
        <v>5576</v>
      </c>
      <c r="S8" s="205" t="s">
        <v>5576</v>
      </c>
      <c r="T8" s="192" t="s">
        <v>12325</v>
      </c>
      <c r="U8" s="207"/>
      <c r="V8" s="207" t="s">
        <v>15491</v>
      </c>
      <c r="W8" s="207"/>
      <c r="X8" s="207"/>
      <c r="Y8" s="207"/>
      <c r="Z8" s="207"/>
      <c r="AA8" s="207"/>
      <c r="AB8" s="207"/>
      <c r="AC8" s="207"/>
      <c r="AD8" s="207"/>
      <c r="AE8" s="207"/>
      <c r="AF8" s="207"/>
      <c r="AG8" s="207"/>
      <c r="AH8" s="207"/>
    </row>
    <row r="9" spans="1:34" ht="10.199999999999999" customHeight="1" thickBot="1">
      <c r="A9" s="207"/>
      <c r="B9" s="1011" t="s">
        <v>5262</v>
      </c>
      <c r="C9" s="1012"/>
      <c r="D9" s="1013"/>
      <c r="E9" s="475" t="s">
        <v>5576</v>
      </c>
      <c r="F9" s="475" t="s">
        <v>5576</v>
      </c>
      <c r="G9" s="193">
        <v>5</v>
      </c>
      <c r="H9" s="193" t="s">
        <v>5576</v>
      </c>
      <c r="I9" s="193" t="s">
        <v>5576</v>
      </c>
      <c r="J9" s="193" t="s">
        <v>5576</v>
      </c>
      <c r="K9" s="193" t="s">
        <v>5576</v>
      </c>
      <c r="L9" s="193" t="s">
        <v>5576</v>
      </c>
      <c r="M9" s="512" t="s">
        <v>5576</v>
      </c>
      <c r="N9" s="513" t="s">
        <v>5576</v>
      </c>
      <c r="O9" s="193" t="s">
        <v>5576</v>
      </c>
      <c r="P9" s="193" t="s">
        <v>5576</v>
      </c>
      <c r="Q9" s="195" t="s">
        <v>5576</v>
      </c>
      <c r="R9" s="195" t="s">
        <v>5576</v>
      </c>
      <c r="S9" s="195" t="s">
        <v>5576</v>
      </c>
      <c r="T9" s="194" t="s">
        <v>12326</v>
      </c>
      <c r="U9" s="207"/>
      <c r="V9" s="207" t="s">
        <v>15562</v>
      </c>
      <c r="W9" s="207"/>
      <c r="X9" s="207"/>
      <c r="Y9" s="207"/>
      <c r="Z9" s="207"/>
      <c r="AA9" s="207"/>
      <c r="AB9" s="207"/>
      <c r="AC9" s="207"/>
      <c r="AD9" s="207"/>
      <c r="AE9" s="207"/>
      <c r="AF9" s="207"/>
      <c r="AG9" s="207"/>
      <c r="AH9" s="207"/>
    </row>
    <row r="10" spans="1:34" ht="10.199999999999999" customHeight="1" thickBot="1">
      <c r="A10" s="207"/>
      <c r="B10" s="982" t="s">
        <v>621</v>
      </c>
      <c r="C10" s="983"/>
      <c r="D10" s="984"/>
      <c r="E10" s="472" t="s">
        <v>5576</v>
      </c>
      <c r="F10" s="472" t="s">
        <v>5576</v>
      </c>
      <c r="G10" s="174" t="s">
        <v>5789</v>
      </c>
      <c r="H10" s="182" t="s">
        <v>5576</v>
      </c>
      <c r="I10" s="182" t="s">
        <v>5576</v>
      </c>
      <c r="J10" s="182" t="s">
        <v>5576</v>
      </c>
      <c r="K10" s="182" t="s">
        <v>5576</v>
      </c>
      <c r="L10" s="182">
        <v>5</v>
      </c>
      <c r="M10" s="202" t="s">
        <v>5576</v>
      </c>
      <c r="N10" s="198" t="s">
        <v>5801</v>
      </c>
      <c r="O10" s="182" t="s">
        <v>5576</v>
      </c>
      <c r="P10" s="182" t="s">
        <v>5576</v>
      </c>
      <c r="Q10" s="183" t="s">
        <v>5576</v>
      </c>
      <c r="R10" s="182" t="s">
        <v>5576</v>
      </c>
      <c r="S10" s="174" t="s">
        <v>5793</v>
      </c>
      <c r="T10" s="184" t="s">
        <v>5583</v>
      </c>
      <c r="U10" s="207"/>
      <c r="V10" s="207" t="s">
        <v>9449</v>
      </c>
      <c r="W10" s="207"/>
      <c r="X10" s="207"/>
      <c r="Y10" s="207"/>
      <c r="Z10" s="207"/>
      <c r="AA10" s="207"/>
      <c r="AB10" s="207"/>
      <c r="AC10" s="207"/>
      <c r="AD10" s="207"/>
      <c r="AE10" s="207"/>
      <c r="AF10" s="207"/>
      <c r="AG10" s="207"/>
      <c r="AH10" s="207"/>
    </row>
    <row r="11" spans="1:34" ht="10.199999999999999" customHeight="1" thickBot="1">
      <c r="A11" s="207"/>
      <c r="B11" s="1014" t="s">
        <v>5582</v>
      </c>
      <c r="C11" s="1015"/>
      <c r="D11" s="1016"/>
      <c r="E11" s="471" t="s">
        <v>5576</v>
      </c>
      <c r="F11" s="471" t="s">
        <v>5576</v>
      </c>
      <c r="G11" s="186" t="s">
        <v>5576</v>
      </c>
      <c r="H11" s="186" t="s">
        <v>5576</v>
      </c>
      <c r="I11" s="186" t="s">
        <v>5576</v>
      </c>
      <c r="J11" s="189" t="s">
        <v>5797</v>
      </c>
      <c r="K11" s="186" t="s">
        <v>5576</v>
      </c>
      <c r="L11" s="186" t="s">
        <v>5576</v>
      </c>
      <c r="M11" s="201" t="s">
        <v>5576</v>
      </c>
      <c r="N11" s="196">
        <v>7</v>
      </c>
      <c r="O11" s="186" t="s">
        <v>5576</v>
      </c>
      <c r="P11" s="186" t="s">
        <v>5576</v>
      </c>
      <c r="Q11" s="187" t="s">
        <v>5576</v>
      </c>
      <c r="R11" s="187" t="s">
        <v>5576</v>
      </c>
      <c r="S11" s="187" t="s">
        <v>5576</v>
      </c>
      <c r="T11" s="188" t="s">
        <v>12327</v>
      </c>
      <c r="U11" s="207"/>
      <c r="V11" s="207" t="s">
        <v>15721</v>
      </c>
      <c r="W11" s="207"/>
      <c r="X11" s="207"/>
      <c r="Y11" s="207"/>
      <c r="Z11" s="207"/>
      <c r="AA11" s="207"/>
      <c r="AB11" s="207"/>
      <c r="AC11" s="207"/>
      <c r="AD11" s="207"/>
      <c r="AE11" s="207"/>
      <c r="AF11" s="207"/>
      <c r="AG11" s="207"/>
      <c r="AH11" s="207"/>
    </row>
    <row r="12" spans="1:34" ht="10.199999999999999" customHeight="1" thickBot="1">
      <c r="A12" s="207"/>
      <c r="B12" s="982" t="s">
        <v>15757</v>
      </c>
      <c r="C12" s="983"/>
      <c r="D12" s="984"/>
      <c r="E12" s="472">
        <v>3</v>
      </c>
      <c r="F12" s="472">
        <v>4</v>
      </c>
      <c r="G12" s="182">
        <v>8</v>
      </c>
      <c r="H12" s="183" t="s">
        <v>5576</v>
      </c>
      <c r="I12" s="182">
        <v>1</v>
      </c>
      <c r="J12" s="182">
        <v>7</v>
      </c>
      <c r="K12" s="182">
        <v>4</v>
      </c>
      <c r="L12" s="182">
        <v>6</v>
      </c>
      <c r="M12" s="202" t="s">
        <v>5576</v>
      </c>
      <c r="N12" s="197" t="s">
        <v>5576</v>
      </c>
      <c r="O12" s="182">
        <v>4</v>
      </c>
      <c r="P12" s="182" t="s">
        <v>5576</v>
      </c>
      <c r="Q12" s="183" t="s">
        <v>5576</v>
      </c>
      <c r="R12" s="182" t="s">
        <v>5576</v>
      </c>
      <c r="S12" s="182" t="s">
        <v>5576</v>
      </c>
      <c r="T12" s="184" t="s">
        <v>5713</v>
      </c>
      <c r="U12" s="207"/>
      <c r="V12" s="207" t="s">
        <v>14965</v>
      </c>
      <c r="W12" s="207"/>
      <c r="X12" s="207"/>
      <c r="Y12" s="207"/>
      <c r="Z12" s="207"/>
      <c r="AA12" s="207"/>
      <c r="AB12" s="207"/>
      <c r="AC12" s="207"/>
      <c r="AD12" s="207"/>
      <c r="AE12" s="207"/>
      <c r="AF12" s="207"/>
      <c r="AG12" s="207"/>
      <c r="AH12" s="207"/>
    </row>
    <row r="13" spans="1:34" ht="10.199999999999999" customHeight="1" thickBot="1">
      <c r="A13" s="207"/>
      <c r="B13" s="985" t="s">
        <v>780</v>
      </c>
      <c r="C13" s="986"/>
      <c r="D13" s="987"/>
      <c r="E13" s="473" t="s">
        <v>5804</v>
      </c>
      <c r="F13" s="471">
        <v>5</v>
      </c>
      <c r="G13" s="189" t="s">
        <v>5790</v>
      </c>
      <c r="H13" s="189" t="s">
        <v>5795</v>
      </c>
      <c r="I13" s="189" t="s">
        <v>5794</v>
      </c>
      <c r="J13" s="186">
        <v>8</v>
      </c>
      <c r="K13" s="189" t="s">
        <v>5797</v>
      </c>
      <c r="L13" s="189" t="s">
        <v>5799</v>
      </c>
      <c r="M13" s="201" t="s">
        <v>5576</v>
      </c>
      <c r="N13" s="199" t="s">
        <v>5802</v>
      </c>
      <c r="O13" s="189" t="s">
        <v>5803</v>
      </c>
      <c r="P13" s="189" t="s">
        <v>5805</v>
      </c>
      <c r="Q13" s="189" t="s">
        <v>5839</v>
      </c>
      <c r="R13" s="187" t="s">
        <v>5576</v>
      </c>
      <c r="S13" s="187" t="s">
        <v>5576</v>
      </c>
      <c r="T13" s="188" t="s">
        <v>5587</v>
      </c>
      <c r="U13" s="207"/>
      <c r="V13" s="207" t="s">
        <v>5779</v>
      </c>
      <c r="W13" s="207"/>
      <c r="X13" s="207"/>
      <c r="Y13" s="207"/>
      <c r="Z13" s="207"/>
      <c r="AA13" s="207"/>
      <c r="AB13" s="207"/>
      <c r="AC13" s="207"/>
      <c r="AD13" s="207"/>
      <c r="AE13" s="207"/>
      <c r="AF13" s="207"/>
      <c r="AG13" s="207"/>
      <c r="AH13" s="207"/>
    </row>
    <row r="14" spans="1:34" ht="10.199999999999999" customHeight="1" thickBot="1">
      <c r="A14" s="207"/>
      <c r="B14" s="982" t="s">
        <v>5584</v>
      </c>
      <c r="C14" s="983"/>
      <c r="D14" s="984"/>
      <c r="E14" s="482" t="s">
        <v>5576</v>
      </c>
      <c r="F14" s="472">
        <v>6</v>
      </c>
      <c r="G14" s="182">
        <v>11</v>
      </c>
      <c r="H14" s="182">
        <v>9</v>
      </c>
      <c r="I14" s="174" t="s">
        <v>5795</v>
      </c>
      <c r="J14" s="182">
        <v>9</v>
      </c>
      <c r="K14" s="174" t="s">
        <v>5799</v>
      </c>
      <c r="L14" s="182" t="s">
        <v>5576</v>
      </c>
      <c r="M14" s="202" t="s">
        <v>5576</v>
      </c>
      <c r="N14" s="197" t="s">
        <v>5576</v>
      </c>
      <c r="O14" s="182" t="s">
        <v>5576</v>
      </c>
      <c r="P14" s="182" t="s">
        <v>5576</v>
      </c>
      <c r="Q14" s="183" t="s">
        <v>5576</v>
      </c>
      <c r="R14" s="182" t="s">
        <v>5576</v>
      </c>
      <c r="S14" s="182" t="s">
        <v>5576</v>
      </c>
      <c r="T14" s="184" t="s">
        <v>12328</v>
      </c>
      <c r="U14" s="207"/>
      <c r="V14" s="207" t="s">
        <v>5786</v>
      </c>
      <c r="W14" s="207"/>
      <c r="X14" s="207"/>
      <c r="Y14" s="207"/>
      <c r="Z14" s="207"/>
      <c r="AA14" s="207"/>
      <c r="AB14" s="207"/>
      <c r="AC14" s="207"/>
      <c r="AD14" s="207"/>
      <c r="AE14" s="207"/>
      <c r="AF14" s="207"/>
      <c r="AG14" s="207"/>
      <c r="AH14" s="207"/>
    </row>
    <row r="15" spans="1:34" ht="10.199999999999999" customHeight="1" thickBot="1">
      <c r="A15" s="207"/>
      <c r="B15" s="985" t="s">
        <v>5585</v>
      </c>
      <c r="C15" s="986"/>
      <c r="D15" s="987"/>
      <c r="E15" s="505" t="s">
        <v>5803</v>
      </c>
      <c r="F15" s="471">
        <v>7</v>
      </c>
      <c r="G15" s="190" t="s">
        <v>15776</v>
      </c>
      <c r="H15" s="190" t="s">
        <v>5798</v>
      </c>
      <c r="I15" s="189" t="s">
        <v>5790</v>
      </c>
      <c r="J15" s="189" t="s">
        <v>5798</v>
      </c>
      <c r="K15" s="189" t="s">
        <v>5790</v>
      </c>
      <c r="L15" s="189" t="s">
        <v>15695</v>
      </c>
      <c r="M15" s="201" t="s">
        <v>5576</v>
      </c>
      <c r="N15" s="196" t="s">
        <v>5586</v>
      </c>
      <c r="O15" s="189" t="s">
        <v>5790</v>
      </c>
      <c r="P15" s="189" t="s">
        <v>5798</v>
      </c>
      <c r="Q15" s="187" t="s">
        <v>5576</v>
      </c>
      <c r="R15" s="187" t="s">
        <v>5576</v>
      </c>
      <c r="S15" s="187" t="s">
        <v>5576</v>
      </c>
      <c r="T15" s="188" t="s">
        <v>5583</v>
      </c>
      <c r="U15" s="207"/>
      <c r="V15" s="207" t="s">
        <v>15535</v>
      </c>
      <c r="W15" s="207"/>
      <c r="X15" s="207"/>
      <c r="Y15" s="207"/>
      <c r="Z15" s="207"/>
      <c r="AA15" s="207"/>
      <c r="AB15" s="207"/>
      <c r="AC15" s="207"/>
      <c r="AD15" s="207"/>
      <c r="AE15" s="207"/>
      <c r="AF15" s="207"/>
      <c r="AG15" s="207"/>
      <c r="AH15" s="207"/>
    </row>
    <row r="16" spans="1:34" ht="10.199999999999999" customHeight="1" thickBot="1">
      <c r="A16" s="207"/>
      <c r="B16" s="982" t="s">
        <v>5163</v>
      </c>
      <c r="C16" s="983"/>
      <c r="D16" s="984"/>
      <c r="E16" s="506" t="s">
        <v>5790</v>
      </c>
      <c r="F16" s="472">
        <v>8</v>
      </c>
      <c r="G16" s="182"/>
      <c r="H16" s="183" t="s">
        <v>5791</v>
      </c>
      <c r="I16" s="182" t="s">
        <v>5576</v>
      </c>
      <c r="J16" s="185" t="s">
        <v>5791</v>
      </c>
      <c r="K16" s="174" t="s">
        <v>5800</v>
      </c>
      <c r="L16" s="174" t="s">
        <v>15648</v>
      </c>
      <c r="M16" s="202" t="s">
        <v>5576</v>
      </c>
      <c r="N16" s="197" t="s">
        <v>5576</v>
      </c>
      <c r="O16" s="182" t="s">
        <v>5576</v>
      </c>
      <c r="P16" s="182" t="s">
        <v>5576</v>
      </c>
      <c r="Q16" s="477">
        <v>5</v>
      </c>
      <c r="R16" s="182" t="s">
        <v>5576</v>
      </c>
      <c r="S16" s="182" t="s">
        <v>5576</v>
      </c>
      <c r="T16" s="184" t="s">
        <v>5587</v>
      </c>
      <c r="U16" s="207"/>
      <c r="V16" s="207" t="s">
        <v>5785</v>
      </c>
      <c r="W16" s="207"/>
      <c r="X16" s="207"/>
      <c r="Y16" s="207"/>
      <c r="Z16" s="207"/>
      <c r="AA16" s="207"/>
      <c r="AB16" s="207"/>
      <c r="AC16" s="207"/>
      <c r="AD16" s="207"/>
      <c r="AE16" s="207"/>
      <c r="AF16" s="207"/>
      <c r="AG16" s="207"/>
      <c r="AH16" s="207"/>
    </row>
    <row r="17" spans="1:34" ht="10.199999999999999" customHeight="1" thickBot="1">
      <c r="A17" s="207"/>
      <c r="B17" s="985" t="s">
        <v>5588</v>
      </c>
      <c r="C17" s="986"/>
      <c r="D17" s="987"/>
      <c r="E17" s="471" t="s">
        <v>5576</v>
      </c>
      <c r="F17" s="471">
        <v>9</v>
      </c>
      <c r="G17" s="186">
        <v>13</v>
      </c>
      <c r="H17" s="186" t="s">
        <v>5576</v>
      </c>
      <c r="I17" s="186" t="s">
        <v>5576</v>
      </c>
      <c r="J17" s="186" t="s">
        <v>5576</v>
      </c>
      <c r="K17" s="186" t="s">
        <v>5576</v>
      </c>
      <c r="L17" s="186" t="s">
        <v>5576</v>
      </c>
      <c r="M17" s="201" t="s">
        <v>5576</v>
      </c>
      <c r="N17" s="196" t="s">
        <v>5576</v>
      </c>
      <c r="O17" s="186" t="s">
        <v>5576</v>
      </c>
      <c r="P17" s="186" t="s">
        <v>5576</v>
      </c>
      <c r="Q17" s="187" t="s">
        <v>5576</v>
      </c>
      <c r="R17" s="187" t="s">
        <v>5576</v>
      </c>
      <c r="S17" s="187" t="s">
        <v>5576</v>
      </c>
      <c r="T17" s="188" t="s">
        <v>12329</v>
      </c>
      <c r="U17" s="207"/>
      <c r="V17" s="207" t="s">
        <v>5782</v>
      </c>
      <c r="W17" s="207"/>
      <c r="X17" s="207"/>
      <c r="Y17" s="207"/>
      <c r="Z17" s="207"/>
      <c r="AA17" s="207"/>
      <c r="AB17" s="207"/>
      <c r="AC17" s="207"/>
      <c r="AD17" s="207"/>
      <c r="AE17" s="207"/>
      <c r="AF17" s="207"/>
      <c r="AG17" s="207"/>
      <c r="AH17" s="207"/>
    </row>
    <row r="18" spans="1:34" ht="10.199999999999999" customHeight="1" thickBot="1">
      <c r="A18" s="207"/>
      <c r="B18" s="982" t="s">
        <v>7141</v>
      </c>
      <c r="C18" s="983"/>
      <c r="D18" s="984"/>
      <c r="E18" s="472" t="s">
        <v>5576</v>
      </c>
      <c r="F18" s="472" t="s">
        <v>5576</v>
      </c>
      <c r="G18" s="182" t="s">
        <v>5576</v>
      </c>
      <c r="H18" s="182" t="s">
        <v>5576</v>
      </c>
      <c r="I18" s="185" t="s">
        <v>5796</v>
      </c>
      <c r="J18" s="182" t="s">
        <v>5576</v>
      </c>
      <c r="K18" s="182" t="s">
        <v>5576</v>
      </c>
      <c r="L18" s="182" t="s">
        <v>5576</v>
      </c>
      <c r="M18" s="203" t="s">
        <v>5806</v>
      </c>
      <c r="N18" s="197" t="s">
        <v>5576</v>
      </c>
      <c r="O18" s="182" t="s">
        <v>5576</v>
      </c>
      <c r="P18" s="182" t="s">
        <v>5576</v>
      </c>
      <c r="Q18" s="183" t="s">
        <v>5576</v>
      </c>
      <c r="R18" s="182" t="s">
        <v>5576</v>
      </c>
      <c r="S18" s="182" t="s">
        <v>5576</v>
      </c>
      <c r="T18" s="184" t="s">
        <v>5587</v>
      </c>
      <c r="U18" s="207"/>
      <c r="V18" s="207" t="s">
        <v>16521</v>
      </c>
      <c r="W18" s="207"/>
      <c r="X18" s="207"/>
      <c r="Y18" s="207"/>
      <c r="Z18" s="207"/>
      <c r="AA18" s="207"/>
      <c r="AB18" s="207"/>
      <c r="AC18" s="207"/>
      <c r="AD18" s="207"/>
      <c r="AE18" s="207"/>
      <c r="AF18" s="207"/>
      <c r="AG18" s="207"/>
      <c r="AH18" s="207"/>
    </row>
    <row r="19" spans="1:34" ht="10.199999999999999" customHeight="1" thickBot="1">
      <c r="A19" s="207"/>
      <c r="B19" s="985" t="s">
        <v>5589</v>
      </c>
      <c r="C19" s="986"/>
      <c r="D19" s="987"/>
      <c r="E19" s="473" t="s">
        <v>5800</v>
      </c>
      <c r="F19" s="471">
        <v>10</v>
      </c>
      <c r="G19" s="186">
        <v>14</v>
      </c>
      <c r="H19" s="186" t="s">
        <v>5576</v>
      </c>
      <c r="I19" s="186">
        <v>21</v>
      </c>
      <c r="J19" s="186" t="s">
        <v>5591</v>
      </c>
      <c r="K19" s="186">
        <v>13</v>
      </c>
      <c r="L19" s="186">
        <v>11</v>
      </c>
      <c r="M19" s="201" t="s">
        <v>5576</v>
      </c>
      <c r="N19" s="196" t="s">
        <v>5576</v>
      </c>
      <c r="O19" s="189" t="s">
        <v>5800</v>
      </c>
      <c r="P19" s="190" t="s">
        <v>5791</v>
      </c>
      <c r="Q19" s="187" t="s">
        <v>5576</v>
      </c>
      <c r="R19" s="187" t="s">
        <v>5576</v>
      </c>
      <c r="S19" s="187" t="s">
        <v>5576</v>
      </c>
      <c r="T19" s="188" t="s">
        <v>5592</v>
      </c>
      <c r="U19" s="207"/>
      <c r="V19" s="207" t="s">
        <v>5776</v>
      </c>
      <c r="W19" s="207"/>
      <c r="X19" s="207"/>
      <c r="Y19" s="207"/>
      <c r="Z19" s="207"/>
      <c r="AA19" s="207"/>
      <c r="AB19" s="207"/>
      <c r="AC19" s="207"/>
      <c r="AD19" s="207"/>
      <c r="AE19" s="207"/>
      <c r="AF19" s="207"/>
      <c r="AG19" s="207"/>
      <c r="AH19" s="207"/>
    </row>
    <row r="20" spans="1:34" ht="10.199999999999999" customHeight="1" thickBot="1">
      <c r="A20" s="207"/>
      <c r="B20" s="982" t="s">
        <v>5593</v>
      </c>
      <c r="C20" s="983"/>
      <c r="D20" s="984"/>
      <c r="E20" s="472">
        <v>13</v>
      </c>
      <c r="F20" s="472">
        <v>11</v>
      </c>
      <c r="G20" s="182">
        <v>15</v>
      </c>
      <c r="H20" s="185" t="s">
        <v>5591</v>
      </c>
      <c r="I20" s="182" t="s">
        <v>5594</v>
      </c>
      <c r="J20" s="182" t="s">
        <v>5590</v>
      </c>
      <c r="K20" s="182" t="s">
        <v>5591</v>
      </c>
      <c r="L20" s="182">
        <v>12</v>
      </c>
      <c r="M20" s="202" t="s">
        <v>5576</v>
      </c>
      <c r="N20" s="197" t="s">
        <v>5576</v>
      </c>
      <c r="O20" s="182" t="s">
        <v>5576</v>
      </c>
      <c r="P20" s="182" t="s">
        <v>5576</v>
      </c>
      <c r="Q20" s="183" t="s">
        <v>5576</v>
      </c>
      <c r="R20" s="182" t="s">
        <v>5576</v>
      </c>
      <c r="S20" s="182" t="s">
        <v>5576</v>
      </c>
      <c r="T20" s="184" t="s">
        <v>5592</v>
      </c>
      <c r="U20" s="207"/>
      <c r="V20" s="207" t="s">
        <v>5784</v>
      </c>
      <c r="W20" s="207"/>
      <c r="X20" s="207"/>
      <c r="Y20" s="207"/>
      <c r="Z20" s="207"/>
      <c r="AA20" s="207"/>
      <c r="AB20" s="207"/>
      <c r="AC20" s="207"/>
      <c r="AD20" s="207"/>
      <c r="AE20" s="207"/>
      <c r="AF20" s="207"/>
      <c r="AG20" s="207"/>
      <c r="AH20" s="207"/>
    </row>
    <row r="21" spans="1:34" ht="10.199999999999999" customHeight="1" thickBot="1">
      <c r="A21" s="207"/>
      <c r="B21" s="985" t="s">
        <v>2163</v>
      </c>
      <c r="C21" s="986"/>
      <c r="D21" s="987"/>
      <c r="E21" s="471" t="s">
        <v>5576</v>
      </c>
      <c r="F21" s="471">
        <v>12</v>
      </c>
      <c r="G21" s="186">
        <v>16</v>
      </c>
      <c r="H21" s="186" t="s">
        <v>5576</v>
      </c>
      <c r="I21" s="186" t="s">
        <v>5576</v>
      </c>
      <c r="J21" s="186" t="s">
        <v>5576</v>
      </c>
      <c r="K21" s="186" t="s">
        <v>5576</v>
      </c>
      <c r="L21" s="186">
        <v>13</v>
      </c>
      <c r="M21" s="201" t="s">
        <v>5576</v>
      </c>
      <c r="N21" s="196" t="s">
        <v>5576</v>
      </c>
      <c r="O21" s="186">
        <v>13</v>
      </c>
      <c r="P21" s="186">
        <v>14</v>
      </c>
      <c r="Q21" s="187" t="s">
        <v>5576</v>
      </c>
      <c r="R21" s="187" t="s">
        <v>5576</v>
      </c>
      <c r="S21" s="187" t="s">
        <v>5576</v>
      </c>
      <c r="T21" s="188" t="s">
        <v>12330</v>
      </c>
      <c r="U21" s="207"/>
      <c r="V21" s="207" t="s">
        <v>15474</v>
      </c>
      <c r="W21" s="207"/>
      <c r="X21" s="207"/>
      <c r="Y21" s="207"/>
      <c r="Z21" s="207"/>
      <c r="AA21" s="207"/>
      <c r="AB21" s="207"/>
      <c r="AC21" s="207"/>
      <c r="AD21" s="207"/>
      <c r="AE21" s="207"/>
      <c r="AF21" s="207"/>
      <c r="AG21" s="207"/>
      <c r="AH21" s="207"/>
    </row>
    <row r="22" spans="1:34" ht="10.199999999999999" customHeight="1" thickBot="1">
      <c r="A22" s="207"/>
      <c r="B22" s="1017" t="s">
        <v>17594</v>
      </c>
      <c r="C22" s="1018"/>
      <c r="D22" s="1019"/>
      <c r="E22" s="474" t="s">
        <v>5576</v>
      </c>
      <c r="F22" s="474" t="s">
        <v>5576</v>
      </c>
      <c r="G22" s="474" t="s">
        <v>5576</v>
      </c>
      <c r="H22" s="495" t="s">
        <v>9616</v>
      </c>
      <c r="I22" s="507" t="s">
        <v>5576</v>
      </c>
      <c r="J22" s="507" t="s">
        <v>5576</v>
      </c>
      <c r="K22" s="507" t="s">
        <v>5576</v>
      </c>
      <c r="L22" s="507" t="s">
        <v>5576</v>
      </c>
      <c r="M22" s="508" t="s">
        <v>5576</v>
      </c>
      <c r="N22" s="509" t="s">
        <v>5576</v>
      </c>
      <c r="O22" s="509" t="s">
        <v>5576</v>
      </c>
      <c r="P22" s="509" t="s">
        <v>5576</v>
      </c>
      <c r="Q22" s="509" t="s">
        <v>5576</v>
      </c>
      <c r="R22" s="509" t="s">
        <v>5576</v>
      </c>
      <c r="S22" s="509" t="s">
        <v>5576</v>
      </c>
      <c r="T22" s="496" t="s">
        <v>9605</v>
      </c>
      <c r="U22" s="207"/>
      <c r="V22" s="207" t="s">
        <v>15475</v>
      </c>
      <c r="W22" s="207"/>
      <c r="X22" s="207"/>
      <c r="Y22" s="207"/>
      <c r="Z22" s="207"/>
      <c r="AA22" s="207"/>
      <c r="AB22" s="207"/>
      <c r="AC22" s="207"/>
      <c r="AD22" s="207"/>
      <c r="AE22" s="207"/>
      <c r="AF22" s="207"/>
      <c r="AG22" s="207"/>
      <c r="AH22" s="207"/>
    </row>
    <row r="23" spans="1:34" ht="10.199999999999999" customHeight="1" thickBot="1">
      <c r="A23" s="207"/>
      <c r="B23" s="988" t="s">
        <v>2164</v>
      </c>
      <c r="C23" s="989"/>
      <c r="D23" s="990"/>
      <c r="E23" s="489">
        <v>14</v>
      </c>
      <c r="F23" s="489">
        <v>13</v>
      </c>
      <c r="G23" s="490">
        <v>17</v>
      </c>
      <c r="H23" s="490">
        <v>21</v>
      </c>
      <c r="I23" s="490" t="s">
        <v>5576</v>
      </c>
      <c r="J23" s="490" t="s">
        <v>5576</v>
      </c>
      <c r="K23" s="490" t="s">
        <v>5576</v>
      </c>
      <c r="L23" s="490">
        <v>14</v>
      </c>
      <c r="M23" s="491" t="s">
        <v>5576</v>
      </c>
      <c r="N23" s="492">
        <v>20</v>
      </c>
      <c r="O23" s="490">
        <v>14</v>
      </c>
      <c r="P23" s="490">
        <v>15</v>
      </c>
      <c r="Q23" s="493" t="s">
        <v>5576</v>
      </c>
      <c r="R23" s="490" t="s">
        <v>5576</v>
      </c>
      <c r="S23" s="490" t="s">
        <v>5576</v>
      </c>
      <c r="T23" s="494" t="s">
        <v>12331</v>
      </c>
      <c r="U23" s="207"/>
      <c r="V23" s="207" t="s">
        <v>5778</v>
      </c>
      <c r="W23" s="207"/>
      <c r="X23" s="207"/>
      <c r="Y23" s="207"/>
      <c r="Z23" s="207"/>
      <c r="AA23" s="207"/>
      <c r="AB23" s="207"/>
      <c r="AC23" s="207"/>
      <c r="AD23" s="207"/>
      <c r="AE23" s="207"/>
      <c r="AF23" s="207"/>
      <c r="AG23" s="207"/>
      <c r="AH23" s="207"/>
    </row>
    <row r="24" spans="1:34" ht="10.199999999999999" customHeight="1" thickBot="1">
      <c r="A24" s="207"/>
      <c r="B24" s="991" t="s">
        <v>5596</v>
      </c>
      <c r="C24" s="992"/>
      <c r="D24" s="993"/>
      <c r="E24" s="482">
        <v>15</v>
      </c>
      <c r="F24" s="482">
        <v>14</v>
      </c>
      <c r="G24" s="483">
        <v>18</v>
      </c>
      <c r="H24" s="483">
        <v>22</v>
      </c>
      <c r="I24" s="483">
        <v>24</v>
      </c>
      <c r="J24" s="483" t="s">
        <v>5597</v>
      </c>
      <c r="K24" s="483">
        <v>16</v>
      </c>
      <c r="L24" s="483">
        <v>15</v>
      </c>
      <c r="M24" s="488" t="s">
        <v>5800</v>
      </c>
      <c r="N24" s="485" t="s">
        <v>5576</v>
      </c>
      <c r="O24" s="483">
        <v>15</v>
      </c>
      <c r="P24" s="483" t="s">
        <v>5576</v>
      </c>
      <c r="Q24" s="486" t="s">
        <v>5576</v>
      </c>
      <c r="R24" s="486" t="s">
        <v>5576</v>
      </c>
      <c r="S24" s="486" t="s">
        <v>5576</v>
      </c>
      <c r="T24" s="487" t="s">
        <v>5599</v>
      </c>
      <c r="U24" s="207"/>
      <c r="V24" s="207" t="s">
        <v>5775</v>
      </c>
      <c r="W24" s="207"/>
      <c r="X24" s="207"/>
      <c r="Y24" s="207"/>
      <c r="Z24" s="207"/>
      <c r="AA24" s="207"/>
      <c r="AB24" s="207"/>
      <c r="AC24" s="207"/>
      <c r="AD24" s="207"/>
      <c r="AE24" s="207"/>
      <c r="AF24" s="207"/>
      <c r="AG24" s="207"/>
      <c r="AH24" s="207"/>
    </row>
    <row r="25" spans="1:34" ht="10.199999999999999" customHeight="1" thickBot="1">
      <c r="A25" s="207"/>
      <c r="B25" s="988" t="s">
        <v>5600</v>
      </c>
      <c r="C25" s="989"/>
      <c r="D25" s="990"/>
      <c r="E25" s="471" t="s">
        <v>5576</v>
      </c>
      <c r="F25" s="489">
        <v>15</v>
      </c>
      <c r="G25" s="490">
        <v>19</v>
      </c>
      <c r="H25" s="493" t="s">
        <v>5576</v>
      </c>
      <c r="I25" s="490" t="s">
        <v>5576</v>
      </c>
      <c r="J25" s="490">
        <v>20</v>
      </c>
      <c r="K25" s="490">
        <v>17</v>
      </c>
      <c r="L25" s="490">
        <v>16</v>
      </c>
      <c r="M25" s="491" t="s">
        <v>5576</v>
      </c>
      <c r="N25" s="492" t="s">
        <v>5576</v>
      </c>
      <c r="O25" s="490" t="s">
        <v>5576</v>
      </c>
      <c r="P25" s="490" t="s">
        <v>5576</v>
      </c>
      <c r="Q25" s="493" t="s">
        <v>5576</v>
      </c>
      <c r="R25" s="490" t="s">
        <v>5576</v>
      </c>
      <c r="S25" s="490" t="s">
        <v>5576</v>
      </c>
      <c r="T25" s="494" t="s">
        <v>12324</v>
      </c>
      <c r="U25" s="207"/>
      <c r="V25" s="207" t="s">
        <v>11810</v>
      </c>
      <c r="W25" s="207"/>
      <c r="X25" s="207"/>
      <c r="Y25" s="207"/>
      <c r="Z25" s="207"/>
      <c r="AA25" s="207"/>
      <c r="AB25" s="207"/>
      <c r="AC25" s="207"/>
      <c r="AD25" s="207"/>
      <c r="AE25" s="207"/>
      <c r="AF25" s="207"/>
      <c r="AG25" s="207"/>
      <c r="AH25" s="207"/>
    </row>
    <row r="26" spans="1:34" ht="10.199999999999999" customHeight="1" thickBot="1">
      <c r="A26" s="207"/>
      <c r="B26" s="975" t="s">
        <v>9599</v>
      </c>
      <c r="C26" s="976"/>
      <c r="D26" s="977"/>
      <c r="E26" s="482">
        <v>16</v>
      </c>
      <c r="F26" s="497" t="s">
        <v>5576</v>
      </c>
      <c r="G26" s="497" t="s">
        <v>5576</v>
      </c>
      <c r="H26" s="483" t="s">
        <v>9617</v>
      </c>
      <c r="I26" s="486" t="s">
        <v>5576</v>
      </c>
      <c r="J26" s="486" t="s">
        <v>5576</v>
      </c>
      <c r="K26" s="486" t="s">
        <v>5576</v>
      </c>
      <c r="L26" s="486" t="s">
        <v>5576</v>
      </c>
      <c r="M26" s="498" t="s">
        <v>5576</v>
      </c>
      <c r="N26" s="499" t="s">
        <v>5576</v>
      </c>
      <c r="O26" s="499" t="s">
        <v>5576</v>
      </c>
      <c r="P26" s="499" t="s">
        <v>5576</v>
      </c>
      <c r="Q26" s="499" t="s">
        <v>5576</v>
      </c>
      <c r="R26" s="499" t="s">
        <v>5576</v>
      </c>
      <c r="S26" s="499" t="s">
        <v>5576</v>
      </c>
      <c r="T26" s="487" t="s">
        <v>9605</v>
      </c>
      <c r="U26" s="207"/>
      <c r="V26" s="207" t="s">
        <v>5780</v>
      </c>
      <c r="W26" s="207"/>
      <c r="X26" s="207"/>
      <c r="Y26" s="207"/>
      <c r="Z26" s="207"/>
      <c r="AA26" s="207"/>
      <c r="AB26" s="207"/>
      <c r="AC26" s="207"/>
      <c r="AD26" s="207"/>
      <c r="AE26" s="207"/>
      <c r="AF26" s="207"/>
      <c r="AG26" s="207"/>
      <c r="AH26" s="207"/>
    </row>
    <row r="27" spans="1:34" ht="10.199999999999999" customHeight="1" thickBot="1">
      <c r="A27" s="207"/>
      <c r="B27" s="988" t="s">
        <v>5601</v>
      </c>
      <c r="C27" s="989"/>
      <c r="D27" s="990"/>
      <c r="E27" s="489">
        <v>17</v>
      </c>
      <c r="F27" s="489">
        <v>16</v>
      </c>
      <c r="G27" s="490">
        <v>20</v>
      </c>
      <c r="H27" s="490" t="s">
        <v>5614</v>
      </c>
      <c r="I27" s="490" t="s">
        <v>5576</v>
      </c>
      <c r="J27" s="490">
        <v>21</v>
      </c>
      <c r="K27" s="490" t="s">
        <v>5597</v>
      </c>
      <c r="L27" s="490">
        <v>17</v>
      </c>
      <c r="M27" s="491" t="s">
        <v>5576</v>
      </c>
      <c r="N27" s="492" t="s">
        <v>5576</v>
      </c>
      <c r="O27" s="490" t="s">
        <v>5590</v>
      </c>
      <c r="P27" s="490" t="s">
        <v>5576</v>
      </c>
      <c r="Q27" s="493" t="s">
        <v>5576</v>
      </c>
      <c r="R27" s="493" t="s">
        <v>5576</v>
      </c>
      <c r="S27" s="493" t="s">
        <v>5576</v>
      </c>
      <c r="T27" s="494" t="s">
        <v>5602</v>
      </c>
      <c r="U27" s="207"/>
      <c r="V27" s="207" t="s">
        <v>5781</v>
      </c>
      <c r="W27" s="207"/>
      <c r="X27" s="207"/>
      <c r="Y27" s="207"/>
      <c r="Z27" s="207"/>
      <c r="AA27" s="207"/>
      <c r="AB27" s="207"/>
      <c r="AC27" s="207"/>
      <c r="AD27" s="207"/>
      <c r="AE27" s="207"/>
      <c r="AF27" s="207"/>
      <c r="AG27" s="207"/>
      <c r="AH27" s="207"/>
    </row>
    <row r="28" spans="1:34" ht="10.199999999999999" customHeight="1" thickBot="1">
      <c r="A28" s="207"/>
      <c r="B28" s="982" t="s">
        <v>2247</v>
      </c>
      <c r="C28" s="983"/>
      <c r="D28" s="984"/>
      <c r="E28" s="472">
        <v>18</v>
      </c>
      <c r="F28" s="472" t="s">
        <v>5595</v>
      </c>
      <c r="G28" s="182">
        <v>24</v>
      </c>
      <c r="H28" s="182" t="s">
        <v>5631</v>
      </c>
      <c r="I28" s="182">
        <v>25</v>
      </c>
      <c r="J28" s="182" t="s">
        <v>5594</v>
      </c>
      <c r="K28" s="182" t="s">
        <v>5605</v>
      </c>
      <c r="L28" s="182">
        <v>18</v>
      </c>
      <c r="M28" s="202" t="s">
        <v>10027</v>
      </c>
      <c r="N28" s="197" t="s">
        <v>5607</v>
      </c>
      <c r="O28" s="182" t="s">
        <v>5608</v>
      </c>
      <c r="P28" s="182" t="s">
        <v>5609</v>
      </c>
      <c r="Q28" s="477">
        <v>6</v>
      </c>
      <c r="R28" s="174" t="s">
        <v>5806</v>
      </c>
      <c r="S28" s="174" t="s">
        <v>12372</v>
      </c>
      <c r="T28" s="184" t="s">
        <v>5602</v>
      </c>
      <c r="U28" s="207"/>
      <c r="V28" s="207" t="s">
        <v>15537</v>
      </c>
      <c r="W28" s="207"/>
      <c r="X28" s="207"/>
      <c r="Y28" s="207"/>
      <c r="Z28" s="207"/>
      <c r="AA28" s="207"/>
      <c r="AB28" s="207"/>
      <c r="AC28" s="207"/>
      <c r="AD28" s="207"/>
      <c r="AE28" s="207"/>
      <c r="AF28" s="207"/>
      <c r="AG28" s="207"/>
      <c r="AH28" s="207"/>
    </row>
    <row r="29" spans="1:34" ht="10.199999999999999" customHeight="1" thickBot="1">
      <c r="A29" s="207"/>
      <c r="B29" s="988" t="s">
        <v>5610</v>
      </c>
      <c r="C29" s="989"/>
      <c r="D29" s="990"/>
      <c r="E29" s="794" t="s">
        <v>5598</v>
      </c>
      <c r="F29" s="794" t="s">
        <v>5598</v>
      </c>
      <c r="G29" s="490" t="s">
        <v>5612</v>
      </c>
      <c r="H29" s="490" t="s">
        <v>5624</v>
      </c>
      <c r="I29" s="490" t="s">
        <v>5576</v>
      </c>
      <c r="J29" s="490" t="s">
        <v>5603</v>
      </c>
      <c r="K29" s="490" t="s">
        <v>5594</v>
      </c>
      <c r="L29" s="490">
        <v>19</v>
      </c>
      <c r="M29" s="491" t="s">
        <v>5576</v>
      </c>
      <c r="N29" s="492" t="s">
        <v>5576</v>
      </c>
      <c r="O29" s="490" t="s">
        <v>5606</v>
      </c>
      <c r="P29" s="490" t="s">
        <v>5576</v>
      </c>
      <c r="Q29" s="815">
        <v>7</v>
      </c>
      <c r="R29" s="490" t="s">
        <v>5576</v>
      </c>
      <c r="S29" s="493" t="s">
        <v>12371</v>
      </c>
      <c r="T29" s="494" t="s">
        <v>5616</v>
      </c>
      <c r="U29" s="207"/>
      <c r="V29" s="207" t="s">
        <v>15538</v>
      </c>
      <c r="W29" s="207"/>
      <c r="X29" s="207"/>
      <c r="Y29" s="207"/>
      <c r="Z29" s="207"/>
      <c r="AA29" s="207"/>
      <c r="AB29" s="207"/>
      <c r="AC29" s="207"/>
      <c r="AD29" s="207"/>
      <c r="AE29" s="207"/>
      <c r="AF29" s="207"/>
      <c r="AG29" s="207"/>
      <c r="AH29" s="207"/>
    </row>
    <row r="30" spans="1:34" ht="10.199999999999999" customHeight="1" thickBot="1">
      <c r="A30" s="207"/>
      <c r="B30" s="1008" t="s">
        <v>5837</v>
      </c>
      <c r="C30" s="1009"/>
      <c r="D30" s="1010"/>
      <c r="E30" s="474" t="s">
        <v>5576</v>
      </c>
      <c r="F30" s="810" t="s">
        <v>5576</v>
      </c>
      <c r="G30" s="510" t="s">
        <v>5576</v>
      </c>
      <c r="H30" s="510" t="s">
        <v>5576</v>
      </c>
      <c r="I30" s="510" t="s">
        <v>5576</v>
      </c>
      <c r="J30" s="510" t="s">
        <v>5576</v>
      </c>
      <c r="K30" s="510" t="s">
        <v>5576</v>
      </c>
      <c r="L30" s="510" t="s">
        <v>5576</v>
      </c>
      <c r="M30" s="811" t="s">
        <v>5576</v>
      </c>
      <c r="N30" s="812" t="s">
        <v>5576</v>
      </c>
      <c r="O30" s="510" t="s">
        <v>5576</v>
      </c>
      <c r="P30" s="510" t="s">
        <v>5576</v>
      </c>
      <c r="Q30" s="510" t="s">
        <v>5840</v>
      </c>
      <c r="R30" s="510" t="s">
        <v>5576</v>
      </c>
      <c r="S30" s="510" t="s">
        <v>5576</v>
      </c>
      <c r="T30" s="192" t="s">
        <v>5843</v>
      </c>
      <c r="U30" s="207"/>
      <c r="V30" s="207" t="s">
        <v>16105</v>
      </c>
      <c r="W30" s="207"/>
      <c r="X30" s="207"/>
      <c r="Y30" s="207"/>
      <c r="Z30" s="207"/>
      <c r="AA30" s="207"/>
      <c r="AB30" s="207"/>
      <c r="AC30" s="207"/>
      <c r="AD30" s="207"/>
      <c r="AE30" s="207"/>
      <c r="AF30" s="207"/>
      <c r="AG30" s="207"/>
      <c r="AH30" s="207"/>
    </row>
    <row r="31" spans="1:34" ht="10.199999999999999" customHeight="1" thickBot="1">
      <c r="A31" s="207"/>
      <c r="B31" s="994" t="s">
        <v>616</v>
      </c>
      <c r="C31" s="995"/>
      <c r="D31" s="996"/>
      <c r="E31" s="795" t="s">
        <v>5576</v>
      </c>
      <c r="F31" s="795">
        <v>21</v>
      </c>
      <c r="G31" s="501" t="s">
        <v>5576</v>
      </c>
      <c r="H31" s="515" t="s">
        <v>5576</v>
      </c>
      <c r="I31" s="501" t="s">
        <v>5576</v>
      </c>
      <c r="J31" s="501" t="s">
        <v>5576</v>
      </c>
      <c r="K31" s="501" t="s">
        <v>5576</v>
      </c>
      <c r="L31" s="501" t="s">
        <v>5576</v>
      </c>
      <c r="M31" s="518" t="s">
        <v>5576</v>
      </c>
      <c r="N31" s="503" t="s">
        <v>5576</v>
      </c>
      <c r="O31" s="501" t="s">
        <v>5576</v>
      </c>
      <c r="P31" s="501" t="s">
        <v>5576</v>
      </c>
      <c r="Q31" s="515" t="s">
        <v>5576</v>
      </c>
      <c r="R31" s="501" t="s">
        <v>5576</v>
      </c>
      <c r="S31" s="501" t="s">
        <v>5576</v>
      </c>
      <c r="T31" s="502" t="s">
        <v>5675</v>
      </c>
      <c r="U31" s="207"/>
      <c r="V31" s="207" t="s">
        <v>5777</v>
      </c>
      <c r="W31" s="207"/>
      <c r="X31" s="207"/>
      <c r="Y31" s="207"/>
      <c r="Z31" s="207"/>
      <c r="AA31" s="207"/>
      <c r="AB31" s="207"/>
      <c r="AC31" s="207"/>
      <c r="AD31" s="207"/>
      <c r="AE31" s="207"/>
      <c r="AF31" s="207"/>
      <c r="AG31" s="207"/>
      <c r="AH31" s="207"/>
    </row>
    <row r="32" spans="1:34" ht="10.199999999999999" customHeight="1" thickBot="1">
      <c r="A32" s="207"/>
      <c r="B32" s="982" t="s">
        <v>5613</v>
      </c>
      <c r="C32" s="983"/>
      <c r="D32" s="984"/>
      <c r="E32" s="789" t="s">
        <v>5612</v>
      </c>
      <c r="F32" s="789">
        <v>22</v>
      </c>
      <c r="G32" s="182">
        <v>23</v>
      </c>
      <c r="H32" s="182" t="s">
        <v>9618</v>
      </c>
      <c r="I32" s="182" t="s">
        <v>5576</v>
      </c>
      <c r="J32" s="182">
        <v>26</v>
      </c>
      <c r="K32" s="182">
        <v>24</v>
      </c>
      <c r="L32" s="182">
        <v>20</v>
      </c>
      <c r="M32" s="202" t="s">
        <v>5576</v>
      </c>
      <c r="N32" s="790" t="s">
        <v>5576</v>
      </c>
      <c r="O32" s="182" t="s">
        <v>5604</v>
      </c>
      <c r="P32" s="182" t="s">
        <v>5576</v>
      </c>
      <c r="Q32" s="182">
        <v>13</v>
      </c>
      <c r="R32" s="183" t="s">
        <v>5576</v>
      </c>
      <c r="S32" s="183" t="s">
        <v>5576</v>
      </c>
      <c r="T32" s="184" t="s">
        <v>5611</v>
      </c>
      <c r="U32" s="207"/>
      <c r="V32" s="207" t="s">
        <v>5808</v>
      </c>
      <c r="W32" s="207"/>
      <c r="X32" s="207"/>
      <c r="Y32" s="207"/>
      <c r="Z32" s="207"/>
      <c r="AA32" s="207"/>
      <c r="AB32" s="207"/>
      <c r="AC32" s="207"/>
      <c r="AD32" s="207"/>
      <c r="AE32" s="207"/>
      <c r="AF32" s="207"/>
      <c r="AG32" s="207"/>
      <c r="AH32" s="207"/>
    </row>
    <row r="33" spans="1:34" ht="10.199999999999999" customHeight="1" thickBot="1">
      <c r="A33" s="207"/>
      <c r="B33" s="988" t="s">
        <v>5615</v>
      </c>
      <c r="C33" s="989"/>
      <c r="D33" s="990"/>
      <c r="E33" s="794" t="s">
        <v>5606</v>
      </c>
      <c r="F33" s="794">
        <v>23</v>
      </c>
      <c r="G33" s="490">
        <v>24</v>
      </c>
      <c r="H33" s="490" t="s">
        <v>5633</v>
      </c>
      <c r="I33" s="490" t="s">
        <v>5576</v>
      </c>
      <c r="J33" s="490">
        <v>27</v>
      </c>
      <c r="K33" s="490">
        <v>25</v>
      </c>
      <c r="L33" s="490">
        <v>21</v>
      </c>
      <c r="M33" s="491" t="s">
        <v>5576</v>
      </c>
      <c r="N33" s="492" t="s">
        <v>5576</v>
      </c>
      <c r="O33" s="490">
        <v>27</v>
      </c>
      <c r="P33" s="490" t="s">
        <v>5576</v>
      </c>
      <c r="Q33" s="490">
        <v>14</v>
      </c>
      <c r="R33" s="490" t="s">
        <v>5576</v>
      </c>
      <c r="S33" s="490" t="s">
        <v>5576</v>
      </c>
      <c r="T33" s="494" t="s">
        <v>5616</v>
      </c>
      <c r="U33" s="207"/>
      <c r="V33" s="207" t="s">
        <v>15544</v>
      </c>
      <c r="W33" s="207"/>
      <c r="X33" s="207"/>
      <c r="Y33" s="207"/>
      <c r="Z33" s="207"/>
      <c r="AA33" s="207"/>
      <c r="AB33" s="207"/>
      <c r="AC33" s="207"/>
      <c r="AD33" s="207"/>
      <c r="AE33" s="207"/>
      <c r="AF33" s="207"/>
      <c r="AG33" s="207"/>
      <c r="AH33" s="207"/>
    </row>
    <row r="34" spans="1:34" ht="10.199999999999999" customHeight="1" thickBot="1">
      <c r="A34" s="207"/>
      <c r="B34" s="982" t="s">
        <v>5617</v>
      </c>
      <c r="C34" s="983"/>
      <c r="D34" s="984"/>
      <c r="E34" s="789" t="s">
        <v>5576</v>
      </c>
      <c r="F34" s="789">
        <v>24</v>
      </c>
      <c r="G34" s="182">
        <v>25</v>
      </c>
      <c r="H34" s="183" t="s">
        <v>5576</v>
      </c>
      <c r="I34" s="182" t="s">
        <v>5576</v>
      </c>
      <c r="J34" s="182">
        <v>28</v>
      </c>
      <c r="K34" s="182">
        <v>26</v>
      </c>
      <c r="L34" s="182">
        <v>22</v>
      </c>
      <c r="M34" s="202" t="s">
        <v>5576</v>
      </c>
      <c r="N34" s="790" t="s">
        <v>5576</v>
      </c>
      <c r="O34" s="182" t="s">
        <v>5576</v>
      </c>
      <c r="P34" s="182">
        <v>19</v>
      </c>
      <c r="Q34" s="183" t="s">
        <v>5576</v>
      </c>
      <c r="R34" s="183" t="s">
        <v>5576</v>
      </c>
      <c r="S34" s="183" t="s">
        <v>5576</v>
      </c>
      <c r="T34" s="184" t="s">
        <v>5616</v>
      </c>
      <c r="U34" s="207"/>
      <c r="V34" s="207" t="s">
        <v>9604</v>
      </c>
      <c r="W34" s="207"/>
      <c r="X34" s="207"/>
      <c r="Y34" s="207"/>
      <c r="Z34" s="207"/>
      <c r="AA34" s="207"/>
      <c r="AB34" s="207"/>
      <c r="AC34" s="207"/>
      <c r="AD34" s="207"/>
      <c r="AE34" s="207"/>
      <c r="AF34" s="207"/>
      <c r="AG34" s="207"/>
      <c r="AH34" s="207"/>
    </row>
    <row r="35" spans="1:34" ht="10.199999999999999" customHeight="1" thickBot="1">
      <c r="A35" s="207"/>
      <c r="B35" s="988" t="s">
        <v>5618</v>
      </c>
      <c r="C35" s="989"/>
      <c r="D35" s="990"/>
      <c r="E35" s="794">
        <v>25</v>
      </c>
      <c r="F35" s="794">
        <v>25</v>
      </c>
      <c r="G35" s="490">
        <v>26</v>
      </c>
      <c r="H35" s="493" t="s">
        <v>5576</v>
      </c>
      <c r="I35" s="490" t="s">
        <v>5576</v>
      </c>
      <c r="J35" s="490">
        <v>29</v>
      </c>
      <c r="K35" s="490">
        <v>27</v>
      </c>
      <c r="L35" s="490">
        <v>23</v>
      </c>
      <c r="M35" s="491" t="s">
        <v>5576</v>
      </c>
      <c r="N35" s="492" t="s">
        <v>5576</v>
      </c>
      <c r="O35" s="490" t="s">
        <v>5619</v>
      </c>
      <c r="P35" s="490" t="s">
        <v>5605</v>
      </c>
      <c r="Q35" s="493" t="s">
        <v>5576</v>
      </c>
      <c r="R35" s="490" t="s">
        <v>5576</v>
      </c>
      <c r="S35" s="490" t="s">
        <v>5576</v>
      </c>
      <c r="T35" s="494" t="s">
        <v>5620</v>
      </c>
      <c r="U35" s="207"/>
      <c r="V35" s="207" t="s">
        <v>5783</v>
      </c>
      <c r="W35" s="207"/>
      <c r="X35" s="207"/>
      <c r="Y35" s="207"/>
      <c r="Z35" s="207"/>
      <c r="AA35" s="207"/>
      <c r="AB35" s="207"/>
      <c r="AC35" s="207"/>
      <c r="AD35" s="207"/>
      <c r="AE35" s="207"/>
      <c r="AF35" s="207"/>
      <c r="AG35" s="207"/>
      <c r="AH35" s="207"/>
    </row>
    <row r="36" spans="1:34" ht="10.199999999999999" customHeight="1" thickBot="1">
      <c r="A36" s="207"/>
      <c r="B36" s="1008" t="s">
        <v>5621</v>
      </c>
      <c r="C36" s="1009"/>
      <c r="D36" s="1010"/>
      <c r="E36" s="474" t="s">
        <v>5576</v>
      </c>
      <c r="F36" s="474" t="s">
        <v>5576</v>
      </c>
      <c r="G36" s="205" t="s">
        <v>5576</v>
      </c>
      <c r="H36" s="510" t="s">
        <v>5576</v>
      </c>
      <c r="I36" s="205" t="s">
        <v>5576</v>
      </c>
      <c r="J36" s="205" t="s">
        <v>5576</v>
      </c>
      <c r="K36" s="205" t="s">
        <v>5576</v>
      </c>
      <c r="L36" s="205" t="s">
        <v>5576</v>
      </c>
      <c r="M36" s="511" t="s">
        <v>5576</v>
      </c>
      <c r="N36" s="812" t="s">
        <v>5576</v>
      </c>
      <c r="O36" s="205" t="s">
        <v>5576</v>
      </c>
      <c r="P36" s="205" t="s">
        <v>5622</v>
      </c>
      <c r="Q36" s="510" t="s">
        <v>5576</v>
      </c>
      <c r="R36" s="510" t="s">
        <v>5576</v>
      </c>
      <c r="S36" s="510" t="s">
        <v>5576</v>
      </c>
      <c r="T36" s="813" t="s">
        <v>5620</v>
      </c>
      <c r="U36" s="207"/>
      <c r="V36" s="207" t="s">
        <v>12897</v>
      </c>
      <c r="W36" s="207"/>
      <c r="X36" s="207"/>
      <c r="Y36" s="207"/>
      <c r="Z36" s="207"/>
      <c r="AA36" s="207"/>
      <c r="AB36" s="207"/>
      <c r="AC36" s="207"/>
      <c r="AD36" s="207"/>
      <c r="AE36" s="207"/>
      <c r="AF36" s="207"/>
      <c r="AG36" s="207"/>
      <c r="AH36" s="207"/>
    </row>
    <row r="37" spans="1:34" ht="10.199999999999999" customHeight="1" thickBot="1">
      <c r="A37" s="207"/>
      <c r="B37" s="997" t="s">
        <v>9600</v>
      </c>
      <c r="C37" s="998"/>
      <c r="D37" s="999"/>
      <c r="E37" s="794" t="s">
        <v>9607</v>
      </c>
      <c r="F37" s="794">
        <v>26</v>
      </c>
      <c r="G37" s="490">
        <v>27</v>
      </c>
      <c r="H37" s="490">
        <v>38</v>
      </c>
      <c r="I37" s="490">
        <v>26</v>
      </c>
      <c r="J37" s="490">
        <v>30</v>
      </c>
      <c r="K37" s="490">
        <v>28</v>
      </c>
      <c r="L37" s="490">
        <v>24</v>
      </c>
      <c r="M37" s="491">
        <v>20</v>
      </c>
      <c r="N37" s="526" t="s">
        <v>5576</v>
      </c>
      <c r="O37" s="526" t="s">
        <v>5576</v>
      </c>
      <c r="P37" s="526" t="s">
        <v>5576</v>
      </c>
      <c r="Q37" s="526" t="s">
        <v>5576</v>
      </c>
      <c r="R37" s="526" t="s">
        <v>5576</v>
      </c>
      <c r="S37" s="526" t="s">
        <v>5576</v>
      </c>
      <c r="T37" s="816" t="s">
        <v>9606</v>
      </c>
      <c r="U37" s="207"/>
      <c r="V37" s="207" t="s">
        <v>5773</v>
      </c>
      <c r="W37" s="207"/>
      <c r="X37" s="207"/>
      <c r="Y37" s="207"/>
      <c r="Z37" s="207"/>
      <c r="AA37" s="207"/>
      <c r="AB37" s="207"/>
      <c r="AC37" s="207"/>
      <c r="AD37" s="207"/>
      <c r="AE37" s="207"/>
      <c r="AF37" s="207"/>
      <c r="AG37" s="207"/>
      <c r="AH37" s="207"/>
    </row>
    <row r="38" spans="1:34" ht="10.199999999999999" customHeight="1" thickBot="1">
      <c r="A38" s="207"/>
      <c r="B38" s="982" t="s">
        <v>5623</v>
      </c>
      <c r="C38" s="983"/>
      <c r="D38" s="984"/>
      <c r="E38" s="789" t="s">
        <v>5576</v>
      </c>
      <c r="F38" s="789">
        <v>27</v>
      </c>
      <c r="G38" s="182">
        <v>28</v>
      </c>
      <c r="H38" s="183" t="s">
        <v>5576</v>
      </c>
      <c r="I38" s="182" t="s">
        <v>5576</v>
      </c>
      <c r="J38" s="182" t="s">
        <v>5624</v>
      </c>
      <c r="K38" s="182" t="s">
        <v>5625</v>
      </c>
      <c r="L38" s="182">
        <v>25</v>
      </c>
      <c r="M38" s="202" t="s">
        <v>5576</v>
      </c>
      <c r="N38" s="790" t="s">
        <v>5576</v>
      </c>
      <c r="O38" s="182">
        <v>30</v>
      </c>
      <c r="P38" s="182" t="s">
        <v>5576</v>
      </c>
      <c r="Q38" s="183" t="s">
        <v>5576</v>
      </c>
      <c r="R38" s="182" t="s">
        <v>5576</v>
      </c>
      <c r="S38" s="182" t="s">
        <v>5576</v>
      </c>
      <c r="T38" s="184" t="s">
        <v>5657</v>
      </c>
      <c r="U38" s="207"/>
      <c r="V38" s="207" t="s">
        <v>5774</v>
      </c>
      <c r="W38" s="207"/>
      <c r="X38" s="207"/>
      <c r="Y38" s="207"/>
      <c r="Z38" s="207"/>
      <c r="AA38" s="207"/>
      <c r="AB38" s="207"/>
      <c r="AC38" s="207"/>
      <c r="AD38" s="207"/>
      <c r="AE38" s="207"/>
      <c r="AF38" s="207"/>
      <c r="AG38" s="207"/>
      <c r="AH38" s="207"/>
    </row>
    <row r="39" spans="1:34" ht="10.199999999999999" customHeight="1" thickBot="1">
      <c r="A39" s="207"/>
      <c r="B39" s="994" t="s">
        <v>5847</v>
      </c>
      <c r="C39" s="995"/>
      <c r="D39" s="996"/>
      <c r="E39" s="795" t="s">
        <v>5576</v>
      </c>
      <c r="F39" s="795" t="s">
        <v>5576</v>
      </c>
      <c r="G39" s="501" t="s">
        <v>5576</v>
      </c>
      <c r="H39" s="501" t="s">
        <v>5576</v>
      </c>
      <c r="I39" s="501" t="s">
        <v>5576</v>
      </c>
      <c r="J39" s="501" t="s">
        <v>5576</v>
      </c>
      <c r="K39" s="501" t="s">
        <v>5576</v>
      </c>
      <c r="L39" s="501">
        <v>26</v>
      </c>
      <c r="M39" s="518" t="s">
        <v>5576</v>
      </c>
      <c r="N39" s="503" t="s">
        <v>5576</v>
      </c>
      <c r="O39" s="501" t="s">
        <v>5576</v>
      </c>
      <c r="P39" s="501" t="s">
        <v>5576</v>
      </c>
      <c r="Q39" s="515" t="s">
        <v>5576</v>
      </c>
      <c r="R39" s="515" t="s">
        <v>5576</v>
      </c>
      <c r="S39" s="515" t="s">
        <v>5576</v>
      </c>
      <c r="T39" s="502" t="s">
        <v>12332</v>
      </c>
      <c r="U39" s="207"/>
      <c r="V39" s="207" t="s">
        <v>11811</v>
      </c>
      <c r="W39" s="207"/>
      <c r="X39" s="207"/>
      <c r="Y39" s="207"/>
      <c r="Z39" s="207"/>
      <c r="AA39" s="207"/>
      <c r="AB39" s="207"/>
      <c r="AC39" s="207"/>
      <c r="AD39" s="207"/>
      <c r="AE39" s="207"/>
      <c r="AF39" s="207"/>
      <c r="AG39" s="207"/>
      <c r="AH39" s="207"/>
    </row>
    <row r="40" spans="1:34" ht="10.199999999999999" customHeight="1" thickBot="1">
      <c r="A40" s="207"/>
      <c r="B40" s="982" t="s">
        <v>5626</v>
      </c>
      <c r="C40" s="983"/>
      <c r="D40" s="984"/>
      <c r="E40" s="789" t="s">
        <v>5625</v>
      </c>
      <c r="F40" s="789">
        <v>28</v>
      </c>
      <c r="G40" s="182">
        <v>29</v>
      </c>
      <c r="H40" s="182" t="s">
        <v>9619</v>
      </c>
      <c r="I40" s="182" t="s">
        <v>5576</v>
      </c>
      <c r="J40" s="182">
        <v>33</v>
      </c>
      <c r="K40" s="182" t="s">
        <v>5624</v>
      </c>
      <c r="L40" s="182">
        <v>27</v>
      </c>
      <c r="M40" s="202" t="s">
        <v>5576</v>
      </c>
      <c r="N40" s="790" t="s">
        <v>5576</v>
      </c>
      <c r="O40" s="182">
        <v>31</v>
      </c>
      <c r="P40" s="182" t="s">
        <v>5627</v>
      </c>
      <c r="Q40" s="182">
        <v>15</v>
      </c>
      <c r="R40" s="182" t="s">
        <v>5576</v>
      </c>
      <c r="S40" s="183" t="s">
        <v>9616</v>
      </c>
      <c r="T40" s="184" t="s">
        <v>5628</v>
      </c>
      <c r="U40" s="207"/>
      <c r="V40" s="207"/>
      <c r="W40" s="207"/>
      <c r="X40" s="207"/>
      <c r="Y40" s="207"/>
      <c r="Z40" s="207"/>
      <c r="AA40" s="207"/>
      <c r="AB40" s="207"/>
      <c r="AC40" s="207"/>
      <c r="AD40" s="207"/>
      <c r="AE40" s="207"/>
      <c r="AF40" s="207"/>
      <c r="AG40" s="207"/>
      <c r="AH40" s="207"/>
    </row>
    <row r="41" spans="1:34" ht="10.199999999999999" customHeight="1" thickBot="1">
      <c r="A41" s="207"/>
      <c r="B41" s="988" t="s">
        <v>5629</v>
      </c>
      <c r="C41" s="989"/>
      <c r="D41" s="990"/>
      <c r="E41" s="794" t="s">
        <v>5624</v>
      </c>
      <c r="F41" s="794">
        <v>29</v>
      </c>
      <c r="G41" s="490">
        <v>30</v>
      </c>
      <c r="H41" s="490" t="s">
        <v>9608</v>
      </c>
      <c r="I41" s="490" t="s">
        <v>5576</v>
      </c>
      <c r="J41" s="490">
        <v>34</v>
      </c>
      <c r="K41" s="490">
        <v>33</v>
      </c>
      <c r="L41" s="490">
        <v>28</v>
      </c>
      <c r="M41" s="491" t="s">
        <v>5630</v>
      </c>
      <c r="N41" s="492" t="s">
        <v>5576</v>
      </c>
      <c r="O41" s="490" t="s">
        <v>5576</v>
      </c>
      <c r="P41" s="490" t="s">
        <v>5576</v>
      </c>
      <c r="Q41" s="490" t="s">
        <v>5590</v>
      </c>
      <c r="R41" s="817" t="s">
        <v>5796</v>
      </c>
      <c r="S41" s="493" t="s">
        <v>5576</v>
      </c>
      <c r="T41" s="494" t="s">
        <v>5628</v>
      </c>
      <c r="U41" s="207"/>
      <c r="V41" s="818" t="s">
        <v>15876</v>
      </c>
      <c r="W41" s="207"/>
      <c r="X41" s="207"/>
      <c r="Y41" s="207"/>
      <c r="Z41" s="207"/>
      <c r="AA41" s="207"/>
      <c r="AB41" s="207"/>
      <c r="AC41" s="207"/>
      <c r="AD41" s="207"/>
      <c r="AE41" s="207"/>
      <c r="AF41" s="207"/>
      <c r="AG41" s="207"/>
      <c r="AH41" s="207"/>
    </row>
    <row r="42" spans="1:34" ht="10.199999999999999" customHeight="1" thickBot="1">
      <c r="A42" s="207"/>
      <c r="B42" s="1008" t="s">
        <v>17595</v>
      </c>
      <c r="C42" s="1009"/>
      <c r="D42" s="1010"/>
      <c r="E42" s="474" t="s">
        <v>5576</v>
      </c>
      <c r="F42" s="810" t="s">
        <v>5576</v>
      </c>
      <c r="G42" s="510" t="s">
        <v>5576</v>
      </c>
      <c r="H42" s="510" t="s">
        <v>5576</v>
      </c>
      <c r="I42" s="510" t="s">
        <v>5576</v>
      </c>
      <c r="J42" s="510" t="s">
        <v>5576</v>
      </c>
      <c r="K42" s="510" t="s">
        <v>5576</v>
      </c>
      <c r="L42" s="510" t="s">
        <v>5576</v>
      </c>
      <c r="M42" s="811" t="s">
        <v>5576</v>
      </c>
      <c r="N42" s="812" t="s">
        <v>5576</v>
      </c>
      <c r="O42" s="510" t="s">
        <v>5576</v>
      </c>
      <c r="P42" s="510" t="s">
        <v>5576</v>
      </c>
      <c r="Q42" s="205" t="s">
        <v>5608</v>
      </c>
      <c r="R42" s="510" t="s">
        <v>5576</v>
      </c>
      <c r="S42" s="510" t="s">
        <v>5576</v>
      </c>
      <c r="T42" s="192" t="s">
        <v>5643</v>
      </c>
      <c r="U42" s="207"/>
      <c r="V42" s="818" t="s">
        <v>15877</v>
      </c>
      <c r="W42" s="207"/>
      <c r="X42" s="207"/>
      <c r="Y42" s="207"/>
      <c r="Z42" s="207"/>
      <c r="AA42" s="207"/>
      <c r="AB42" s="207"/>
      <c r="AC42" s="207"/>
      <c r="AD42" s="207"/>
      <c r="AE42" s="207"/>
      <c r="AF42" s="207"/>
      <c r="AG42" s="207"/>
      <c r="AH42" s="207"/>
    </row>
    <row r="43" spans="1:34" ht="10.199999999999999" customHeight="1" thickBot="1">
      <c r="A43" s="207"/>
      <c r="B43" s="994" t="s">
        <v>7143</v>
      </c>
      <c r="C43" s="995"/>
      <c r="D43" s="996"/>
      <c r="E43" s="795" t="s">
        <v>5576</v>
      </c>
      <c r="F43" s="795" t="s">
        <v>5576</v>
      </c>
      <c r="G43" s="501" t="s">
        <v>5576</v>
      </c>
      <c r="H43" s="501" t="s">
        <v>5576</v>
      </c>
      <c r="I43" s="501" t="s">
        <v>5576</v>
      </c>
      <c r="J43" s="501" t="s">
        <v>5576</v>
      </c>
      <c r="K43" s="501" t="s">
        <v>5576</v>
      </c>
      <c r="L43" s="501">
        <v>29</v>
      </c>
      <c r="M43" s="518" t="s">
        <v>5576</v>
      </c>
      <c r="N43" s="503" t="s">
        <v>5576</v>
      </c>
      <c r="O43" s="501" t="s">
        <v>5576</v>
      </c>
      <c r="P43" s="501" t="s">
        <v>5576</v>
      </c>
      <c r="Q43" s="515" t="s">
        <v>5576</v>
      </c>
      <c r="R43" s="515" t="s">
        <v>5576</v>
      </c>
      <c r="S43" s="515" t="s">
        <v>5576</v>
      </c>
      <c r="T43" s="502" t="s">
        <v>5638</v>
      </c>
      <c r="U43" s="207"/>
      <c r="V43" s="207"/>
      <c r="W43" s="207"/>
      <c r="X43" s="207"/>
      <c r="Y43" s="207"/>
      <c r="Z43" s="207"/>
      <c r="AA43" s="207"/>
      <c r="AB43" s="207"/>
      <c r="AC43" s="207"/>
      <c r="AD43" s="207"/>
      <c r="AE43" s="207"/>
      <c r="AF43" s="207"/>
      <c r="AG43" s="207"/>
      <c r="AH43" s="207"/>
    </row>
    <row r="44" spans="1:34" ht="10.199999999999999" customHeight="1" thickBot="1">
      <c r="A44" s="207"/>
      <c r="B44" s="982" t="s">
        <v>2168</v>
      </c>
      <c r="C44" s="983"/>
      <c r="D44" s="984"/>
      <c r="E44" s="789" t="s">
        <v>5576</v>
      </c>
      <c r="F44" s="789">
        <v>30</v>
      </c>
      <c r="G44" s="182">
        <v>31</v>
      </c>
      <c r="H44" s="183" t="s">
        <v>5576</v>
      </c>
      <c r="I44" s="182" t="s">
        <v>5576</v>
      </c>
      <c r="J44" s="182" t="s">
        <v>5576</v>
      </c>
      <c r="K44" s="182" t="s">
        <v>5576</v>
      </c>
      <c r="L44" s="182">
        <v>30</v>
      </c>
      <c r="M44" s="202" t="s">
        <v>5576</v>
      </c>
      <c r="N44" s="790">
        <v>28</v>
      </c>
      <c r="O44" s="182" t="s">
        <v>5576</v>
      </c>
      <c r="P44" s="182" t="s">
        <v>5576</v>
      </c>
      <c r="Q44" s="183" t="s">
        <v>5576</v>
      </c>
      <c r="R44" s="182" t="s">
        <v>5576</v>
      </c>
      <c r="S44" s="182" t="s">
        <v>5576</v>
      </c>
      <c r="T44" s="184" t="s">
        <v>12333</v>
      </c>
      <c r="U44" s="207"/>
      <c r="V44" s="207"/>
      <c r="W44" s="207"/>
      <c r="X44" s="207"/>
      <c r="Y44" s="207"/>
      <c r="Z44" s="207"/>
      <c r="AA44" s="207"/>
      <c r="AB44" s="207"/>
      <c r="AC44" s="207"/>
      <c r="AD44" s="207"/>
      <c r="AE44" s="207"/>
      <c r="AF44" s="207"/>
      <c r="AG44" s="207"/>
      <c r="AH44" s="207"/>
    </row>
    <row r="45" spans="1:34" ht="10.199999999999999" customHeight="1" thickBot="1">
      <c r="A45" s="207"/>
      <c r="B45" s="988" t="s">
        <v>5632</v>
      </c>
      <c r="C45" s="989"/>
      <c r="D45" s="990"/>
      <c r="E45" s="794" t="s">
        <v>5576</v>
      </c>
      <c r="F45" s="794" t="s">
        <v>5576</v>
      </c>
      <c r="G45" s="490" t="s">
        <v>15817</v>
      </c>
      <c r="H45" s="493" t="s">
        <v>9620</v>
      </c>
      <c r="I45" s="490">
        <v>27</v>
      </c>
      <c r="J45" s="490" t="s">
        <v>15818</v>
      </c>
      <c r="K45" s="490" t="s">
        <v>5634</v>
      </c>
      <c r="L45" s="490" t="s">
        <v>5624</v>
      </c>
      <c r="M45" s="491">
        <v>33</v>
      </c>
      <c r="N45" s="492" t="s">
        <v>5576</v>
      </c>
      <c r="O45" s="490">
        <v>33</v>
      </c>
      <c r="P45" s="490" t="s">
        <v>5576</v>
      </c>
      <c r="Q45" s="493" t="s">
        <v>5576</v>
      </c>
      <c r="R45" s="490" t="s">
        <v>5576</v>
      </c>
      <c r="S45" s="490" t="s">
        <v>5576</v>
      </c>
      <c r="T45" s="494" t="s">
        <v>5657</v>
      </c>
      <c r="U45" s="207"/>
      <c r="V45" s="207"/>
      <c r="W45" s="207"/>
      <c r="X45" s="207"/>
      <c r="Y45" s="207"/>
      <c r="Z45" s="207"/>
      <c r="AA45" s="207"/>
      <c r="AB45" s="207"/>
      <c r="AC45" s="207"/>
      <c r="AD45" s="207"/>
      <c r="AE45" s="207"/>
      <c r="AF45" s="207"/>
      <c r="AG45" s="207"/>
      <c r="AH45" s="207"/>
    </row>
    <row r="46" spans="1:34" ht="10.199999999999999" customHeight="1" thickBot="1">
      <c r="A46" s="207"/>
      <c r="B46" s="991" t="s">
        <v>5635</v>
      </c>
      <c r="C46" s="992"/>
      <c r="D46" s="993"/>
      <c r="E46" s="472" t="s">
        <v>5576</v>
      </c>
      <c r="F46" s="482">
        <v>32</v>
      </c>
      <c r="G46" s="483">
        <v>38</v>
      </c>
      <c r="H46" s="483">
        <v>44</v>
      </c>
      <c r="I46" s="483" t="s">
        <v>5576</v>
      </c>
      <c r="J46" s="483">
        <v>38</v>
      </c>
      <c r="K46" s="483">
        <v>37</v>
      </c>
      <c r="L46" s="483">
        <v>33</v>
      </c>
      <c r="M46" s="484" t="s">
        <v>5636</v>
      </c>
      <c r="N46" s="485" t="s">
        <v>5842</v>
      </c>
      <c r="O46" s="483" t="s">
        <v>5576</v>
      </c>
      <c r="P46" s="483" t="s">
        <v>5576</v>
      </c>
      <c r="Q46" s="486" t="s">
        <v>5576</v>
      </c>
      <c r="R46" s="486" t="s">
        <v>5576</v>
      </c>
      <c r="S46" s="486" t="s">
        <v>5576</v>
      </c>
      <c r="T46" s="487" t="s">
        <v>5638</v>
      </c>
      <c r="U46" s="207"/>
      <c r="V46" s="207"/>
      <c r="W46" s="207"/>
      <c r="X46" s="207"/>
      <c r="Y46" s="207"/>
      <c r="Z46" s="207"/>
      <c r="AA46" s="207"/>
      <c r="AB46" s="207"/>
      <c r="AC46" s="207"/>
      <c r="AD46" s="207"/>
      <c r="AE46" s="207"/>
      <c r="AF46" s="207"/>
      <c r="AG46" s="207"/>
      <c r="AH46" s="207"/>
    </row>
    <row r="47" spans="1:34" ht="10.199999999999999" customHeight="1" thickBot="1">
      <c r="A47" s="207"/>
      <c r="B47" s="988" t="s">
        <v>982</v>
      </c>
      <c r="C47" s="989"/>
      <c r="D47" s="990"/>
      <c r="E47" s="471" t="s">
        <v>5576</v>
      </c>
      <c r="F47" s="489">
        <v>33</v>
      </c>
      <c r="G47" s="490">
        <v>34</v>
      </c>
      <c r="H47" s="490" t="s">
        <v>5576</v>
      </c>
      <c r="I47" s="490" t="s">
        <v>5576</v>
      </c>
      <c r="J47" s="490" t="s">
        <v>5576</v>
      </c>
      <c r="K47" s="490" t="s">
        <v>5576</v>
      </c>
      <c r="L47" s="490">
        <v>34</v>
      </c>
      <c r="M47" s="491" t="s">
        <v>5576</v>
      </c>
      <c r="N47" s="492" t="s">
        <v>5576</v>
      </c>
      <c r="O47" s="490">
        <v>34</v>
      </c>
      <c r="P47" s="490" t="s">
        <v>5576</v>
      </c>
      <c r="Q47" s="493" t="s">
        <v>5576</v>
      </c>
      <c r="R47" s="490" t="s">
        <v>5576</v>
      </c>
      <c r="S47" s="490" t="s">
        <v>5576</v>
      </c>
      <c r="T47" s="494" t="s">
        <v>5579</v>
      </c>
      <c r="U47" s="207"/>
      <c r="V47" s="207"/>
      <c r="W47" s="207"/>
      <c r="X47" s="207"/>
      <c r="Y47" s="207"/>
      <c r="Z47" s="207"/>
      <c r="AA47" s="207"/>
      <c r="AB47" s="207"/>
      <c r="AC47" s="207"/>
      <c r="AD47" s="207"/>
      <c r="AE47" s="207"/>
      <c r="AF47" s="207"/>
      <c r="AG47" s="207"/>
      <c r="AH47" s="207"/>
    </row>
    <row r="48" spans="1:34" ht="10.199999999999999" customHeight="1" thickBot="1">
      <c r="A48" s="207"/>
      <c r="B48" s="991" t="s">
        <v>5637</v>
      </c>
      <c r="C48" s="992"/>
      <c r="D48" s="993"/>
      <c r="E48" s="482">
        <v>34</v>
      </c>
      <c r="F48" s="482">
        <v>34</v>
      </c>
      <c r="G48" s="483">
        <v>35</v>
      </c>
      <c r="H48" s="483" t="s">
        <v>5576</v>
      </c>
      <c r="I48" s="483" t="s">
        <v>5576</v>
      </c>
      <c r="J48" s="483" t="s">
        <v>5576</v>
      </c>
      <c r="K48" s="483" t="s">
        <v>5576</v>
      </c>
      <c r="L48" s="483" t="s">
        <v>5576</v>
      </c>
      <c r="M48" s="484" t="s">
        <v>5576</v>
      </c>
      <c r="N48" s="485" t="s">
        <v>5576</v>
      </c>
      <c r="O48" s="483" t="s">
        <v>5576</v>
      </c>
      <c r="P48" s="483" t="s">
        <v>5576</v>
      </c>
      <c r="Q48" s="486" t="s">
        <v>5576</v>
      </c>
      <c r="R48" s="486" t="s">
        <v>5576</v>
      </c>
      <c r="S48" s="486" t="s">
        <v>5576</v>
      </c>
      <c r="T48" s="487" t="s">
        <v>5647</v>
      </c>
      <c r="U48" s="207"/>
      <c r="V48" s="207"/>
      <c r="W48" s="207"/>
      <c r="X48" s="207"/>
      <c r="Y48" s="207"/>
      <c r="Z48" s="207"/>
      <c r="AA48" s="207"/>
      <c r="AB48" s="207"/>
      <c r="AC48" s="207"/>
      <c r="AD48" s="207"/>
      <c r="AE48" s="207"/>
      <c r="AF48" s="207"/>
      <c r="AG48" s="207"/>
      <c r="AH48" s="207"/>
    </row>
    <row r="49" spans="1:34" ht="10.199999999999999" customHeight="1" thickBot="1">
      <c r="A49" s="207"/>
      <c r="B49" s="988" t="s">
        <v>5639</v>
      </c>
      <c r="C49" s="989"/>
      <c r="D49" s="990"/>
      <c r="E49" s="471" t="s">
        <v>5576</v>
      </c>
      <c r="F49" s="489">
        <v>35</v>
      </c>
      <c r="G49" s="490">
        <v>36</v>
      </c>
      <c r="H49" s="490" t="s">
        <v>5576</v>
      </c>
      <c r="I49" s="490" t="s">
        <v>5576</v>
      </c>
      <c r="J49" s="490">
        <v>39</v>
      </c>
      <c r="K49" s="490">
        <v>38</v>
      </c>
      <c r="L49" s="490">
        <v>35</v>
      </c>
      <c r="M49" s="491" t="s">
        <v>5576</v>
      </c>
      <c r="N49" s="492" t="s">
        <v>5576</v>
      </c>
      <c r="O49" s="490" t="s">
        <v>5640</v>
      </c>
      <c r="P49" s="490" t="s">
        <v>5624</v>
      </c>
      <c r="Q49" s="493" t="s">
        <v>5576</v>
      </c>
      <c r="R49" s="490" t="s">
        <v>5576</v>
      </c>
      <c r="S49" s="490" t="s">
        <v>5576</v>
      </c>
      <c r="T49" s="494" t="s">
        <v>12334</v>
      </c>
      <c r="U49" s="207"/>
      <c r="V49" s="207"/>
      <c r="W49" s="207"/>
      <c r="X49" s="207"/>
      <c r="Y49" s="207"/>
      <c r="Z49" s="207"/>
      <c r="AA49" s="207"/>
      <c r="AB49" s="207"/>
      <c r="AC49" s="207"/>
      <c r="AD49" s="207"/>
      <c r="AE49" s="207"/>
      <c r="AF49" s="207"/>
      <c r="AG49" s="207"/>
      <c r="AH49" s="207"/>
    </row>
    <row r="50" spans="1:34" ht="10.199999999999999" customHeight="1" thickBot="1">
      <c r="A50" s="207"/>
      <c r="B50" s="991" t="s">
        <v>2293</v>
      </c>
      <c r="C50" s="992"/>
      <c r="D50" s="993"/>
      <c r="E50" s="472">
        <v>35</v>
      </c>
      <c r="F50" s="482">
        <v>36</v>
      </c>
      <c r="G50" s="483">
        <v>37</v>
      </c>
      <c r="H50" s="483">
        <v>45</v>
      </c>
      <c r="I50" s="483" t="s">
        <v>5576</v>
      </c>
      <c r="J50" s="483" t="s">
        <v>5576</v>
      </c>
      <c r="K50" s="483" t="s">
        <v>5576</v>
      </c>
      <c r="L50" s="483">
        <v>36</v>
      </c>
      <c r="M50" s="484" t="s">
        <v>5576</v>
      </c>
      <c r="N50" s="485" t="s">
        <v>5576</v>
      </c>
      <c r="O50" s="483">
        <v>37</v>
      </c>
      <c r="P50" s="483" t="s">
        <v>5576</v>
      </c>
      <c r="Q50" s="486" t="s">
        <v>5576</v>
      </c>
      <c r="R50" s="486" t="s">
        <v>5576</v>
      </c>
      <c r="S50" s="486" t="s">
        <v>5576</v>
      </c>
      <c r="T50" s="487" t="s">
        <v>12335</v>
      </c>
      <c r="U50" s="207"/>
      <c r="V50" s="207"/>
      <c r="W50" s="207"/>
      <c r="X50" s="207"/>
      <c r="Y50" s="207"/>
      <c r="Z50" s="207"/>
      <c r="AA50" s="207"/>
      <c r="AB50" s="207"/>
      <c r="AC50" s="207"/>
      <c r="AD50" s="207"/>
      <c r="AE50" s="207"/>
      <c r="AF50" s="207"/>
      <c r="AG50" s="207"/>
      <c r="AH50" s="207"/>
    </row>
    <row r="51" spans="1:34" ht="10.199999999999999" customHeight="1" thickBot="1">
      <c r="A51" s="207"/>
      <c r="B51" s="994" t="s">
        <v>17596</v>
      </c>
      <c r="C51" s="995"/>
      <c r="D51" s="996"/>
      <c r="E51" s="475" t="s">
        <v>5576</v>
      </c>
      <c r="F51" s="500" t="s">
        <v>5576</v>
      </c>
      <c r="G51" s="501" t="s">
        <v>5576</v>
      </c>
      <c r="H51" s="501" t="s">
        <v>5576</v>
      </c>
      <c r="I51" s="501" t="s">
        <v>5576</v>
      </c>
      <c r="J51" s="501" t="s">
        <v>5576</v>
      </c>
      <c r="K51" s="501" t="s">
        <v>5576</v>
      </c>
      <c r="L51" s="501" t="s">
        <v>5576</v>
      </c>
      <c r="M51" s="518" t="s">
        <v>5576</v>
      </c>
      <c r="N51" s="503" t="s">
        <v>5641</v>
      </c>
      <c r="O51" s="501" t="s">
        <v>5576</v>
      </c>
      <c r="P51" s="501" t="s">
        <v>5576</v>
      </c>
      <c r="Q51" s="515" t="s">
        <v>5576</v>
      </c>
      <c r="R51" s="501" t="s">
        <v>5576</v>
      </c>
      <c r="S51" s="501" t="s">
        <v>5576</v>
      </c>
      <c r="T51" s="502" t="s">
        <v>5647</v>
      </c>
      <c r="U51" s="207"/>
      <c r="V51" s="207"/>
      <c r="W51" s="207"/>
      <c r="X51" s="207"/>
      <c r="Y51" s="207"/>
      <c r="Z51" s="207"/>
      <c r="AA51" s="207"/>
      <c r="AB51" s="207"/>
      <c r="AC51" s="207"/>
      <c r="AD51" s="207"/>
      <c r="AE51" s="207"/>
      <c r="AF51" s="207"/>
      <c r="AG51" s="207"/>
      <c r="AH51" s="207"/>
    </row>
    <row r="52" spans="1:34" ht="10.199999999999999" customHeight="1" thickBot="1">
      <c r="A52" s="207"/>
      <c r="B52" s="991" t="s">
        <v>2298</v>
      </c>
      <c r="C52" s="992"/>
      <c r="D52" s="993"/>
      <c r="E52" s="482">
        <v>36</v>
      </c>
      <c r="F52" s="482">
        <v>37</v>
      </c>
      <c r="G52" s="483">
        <v>38</v>
      </c>
      <c r="H52" s="483">
        <v>46</v>
      </c>
      <c r="I52" s="483">
        <v>28</v>
      </c>
      <c r="J52" s="483">
        <v>40</v>
      </c>
      <c r="K52" s="483">
        <v>39</v>
      </c>
      <c r="L52" s="483">
        <v>37</v>
      </c>
      <c r="M52" s="484">
        <v>36</v>
      </c>
      <c r="N52" s="485">
        <v>41</v>
      </c>
      <c r="O52" s="483">
        <v>38</v>
      </c>
      <c r="P52" s="483" t="s">
        <v>5642</v>
      </c>
      <c r="Q52" s="483" t="s">
        <v>5841</v>
      </c>
      <c r="R52" s="483" t="s">
        <v>10073</v>
      </c>
      <c r="S52" s="649" t="s">
        <v>12361</v>
      </c>
      <c r="T52" s="487" t="s">
        <v>5844</v>
      </c>
      <c r="U52" s="207"/>
      <c r="V52" s="207"/>
      <c r="W52" s="207"/>
      <c r="X52" s="207"/>
      <c r="Y52" s="207"/>
      <c r="Z52" s="207"/>
      <c r="AA52" s="207"/>
      <c r="AB52" s="207"/>
      <c r="AC52" s="207"/>
      <c r="AD52" s="207"/>
      <c r="AE52" s="207"/>
      <c r="AF52" s="207"/>
      <c r="AG52" s="207"/>
      <c r="AH52" s="207"/>
    </row>
    <row r="53" spans="1:34" ht="10.199999999999999" customHeight="1" thickBot="1">
      <c r="A53" s="207"/>
      <c r="B53" s="988" t="s">
        <v>5644</v>
      </c>
      <c r="C53" s="989"/>
      <c r="D53" s="990"/>
      <c r="E53" s="489">
        <v>37</v>
      </c>
      <c r="F53" s="489">
        <v>38</v>
      </c>
      <c r="G53" s="490" t="s">
        <v>5652</v>
      </c>
      <c r="H53" s="490">
        <v>47</v>
      </c>
      <c r="I53" s="490" t="s">
        <v>5576</v>
      </c>
      <c r="J53" s="490" t="s">
        <v>5645</v>
      </c>
      <c r="K53" s="490">
        <v>40</v>
      </c>
      <c r="L53" s="490">
        <v>38</v>
      </c>
      <c r="M53" s="491" t="s">
        <v>5576</v>
      </c>
      <c r="N53" s="492" t="s">
        <v>5646</v>
      </c>
      <c r="O53" s="490" t="s">
        <v>9619</v>
      </c>
      <c r="P53" s="490" t="s">
        <v>5576</v>
      </c>
      <c r="Q53" s="493" t="s">
        <v>5576</v>
      </c>
      <c r="R53" s="490" t="s">
        <v>5576</v>
      </c>
      <c r="S53" s="490" t="s">
        <v>5576</v>
      </c>
      <c r="T53" s="494" t="s">
        <v>5647</v>
      </c>
      <c r="U53" s="207"/>
      <c r="V53" s="207"/>
      <c r="W53" s="207"/>
      <c r="X53" s="207"/>
      <c r="Y53" s="207"/>
      <c r="Z53" s="207"/>
      <c r="AA53" s="207"/>
      <c r="AB53" s="207"/>
      <c r="AC53" s="207"/>
      <c r="AD53" s="207"/>
      <c r="AE53" s="207"/>
      <c r="AF53" s="207"/>
      <c r="AG53" s="207"/>
      <c r="AH53" s="207"/>
    </row>
    <row r="54" spans="1:34" ht="10.199999999999999" customHeight="1" thickBot="1">
      <c r="A54" s="207"/>
      <c r="B54" s="991" t="s">
        <v>5648</v>
      </c>
      <c r="C54" s="992"/>
      <c r="D54" s="993"/>
      <c r="E54" s="482">
        <v>38</v>
      </c>
      <c r="F54" s="482">
        <v>39</v>
      </c>
      <c r="G54" s="483">
        <v>41</v>
      </c>
      <c r="H54" s="486" t="s">
        <v>5576</v>
      </c>
      <c r="I54" s="483" t="s">
        <v>5576</v>
      </c>
      <c r="J54" s="483">
        <v>43</v>
      </c>
      <c r="K54" s="483">
        <v>41</v>
      </c>
      <c r="L54" s="483">
        <v>39</v>
      </c>
      <c r="M54" s="484" t="s">
        <v>5576</v>
      </c>
      <c r="N54" s="485" t="s">
        <v>15696</v>
      </c>
      <c r="O54" s="483">
        <v>42</v>
      </c>
      <c r="P54" s="483">
        <v>35</v>
      </c>
      <c r="Q54" s="486" t="s">
        <v>5576</v>
      </c>
      <c r="R54" s="486" t="s">
        <v>5576</v>
      </c>
      <c r="S54" s="486" t="s">
        <v>5576</v>
      </c>
      <c r="T54" s="487" t="s">
        <v>5647</v>
      </c>
      <c r="U54" s="207"/>
      <c r="V54" s="207"/>
      <c r="W54" s="207"/>
      <c r="X54" s="207"/>
      <c r="Y54" s="207"/>
      <c r="Z54" s="207"/>
      <c r="AA54" s="207"/>
      <c r="AB54" s="207"/>
      <c r="AC54" s="207"/>
      <c r="AD54" s="207"/>
      <c r="AE54" s="207"/>
      <c r="AF54" s="207"/>
      <c r="AG54" s="207"/>
      <c r="AH54" s="207"/>
    </row>
    <row r="55" spans="1:34" ht="10.199999999999999" customHeight="1" thickBot="1">
      <c r="A55" s="207"/>
      <c r="B55" s="997" t="s">
        <v>9601</v>
      </c>
      <c r="C55" s="998"/>
      <c r="D55" s="999"/>
      <c r="E55" s="489">
        <v>39</v>
      </c>
      <c r="F55" s="525">
        <v>40</v>
      </c>
      <c r="G55" s="525">
        <v>42</v>
      </c>
      <c r="H55" s="490">
        <v>48</v>
      </c>
      <c r="I55" s="525">
        <v>29</v>
      </c>
      <c r="J55" s="525">
        <v>44</v>
      </c>
      <c r="K55" s="525">
        <v>42</v>
      </c>
      <c r="L55" s="525">
        <v>40</v>
      </c>
      <c r="M55" s="525">
        <v>37</v>
      </c>
      <c r="N55" s="525">
        <v>50</v>
      </c>
      <c r="O55" s="525">
        <v>43</v>
      </c>
      <c r="P55" s="525">
        <v>36</v>
      </c>
      <c r="Q55" s="525" t="s">
        <v>5576</v>
      </c>
      <c r="R55" s="525">
        <v>30</v>
      </c>
      <c r="S55" s="493" t="s">
        <v>5576</v>
      </c>
      <c r="T55" s="494" t="s">
        <v>12336</v>
      </c>
      <c r="U55" s="207"/>
      <c r="V55" s="207"/>
      <c r="W55" s="207"/>
      <c r="X55" s="207"/>
      <c r="Y55" s="207"/>
      <c r="Z55" s="207"/>
      <c r="AA55" s="207"/>
      <c r="AB55" s="207"/>
      <c r="AC55" s="207"/>
      <c r="AD55" s="207"/>
      <c r="AE55" s="207"/>
      <c r="AF55" s="207"/>
      <c r="AG55" s="207"/>
      <c r="AH55" s="207"/>
    </row>
    <row r="56" spans="1:34" ht="10.199999999999999" customHeight="1" thickBot="1">
      <c r="A56" s="207"/>
      <c r="B56" s="982" t="s">
        <v>5649</v>
      </c>
      <c r="C56" s="983"/>
      <c r="D56" s="984"/>
      <c r="E56" s="472">
        <v>40</v>
      </c>
      <c r="F56" s="472">
        <v>41</v>
      </c>
      <c r="G56" s="182">
        <v>43</v>
      </c>
      <c r="H56" s="183" t="s">
        <v>5576</v>
      </c>
      <c r="I56" s="182">
        <v>30</v>
      </c>
      <c r="J56" s="182">
        <v>45</v>
      </c>
      <c r="K56" s="182">
        <v>43</v>
      </c>
      <c r="L56" s="182">
        <v>41</v>
      </c>
      <c r="M56" s="202" t="s">
        <v>5576</v>
      </c>
      <c r="N56" s="197" t="s">
        <v>5576</v>
      </c>
      <c r="O56" s="182">
        <v>44</v>
      </c>
      <c r="P56" s="182" t="s">
        <v>5650</v>
      </c>
      <c r="Q56" s="183" t="s">
        <v>5576</v>
      </c>
      <c r="R56" s="182" t="s">
        <v>5576</v>
      </c>
      <c r="S56" s="182" t="s">
        <v>5576</v>
      </c>
      <c r="T56" s="184" t="s">
        <v>12337</v>
      </c>
      <c r="U56" s="207"/>
      <c r="V56" s="207"/>
      <c r="W56" s="207"/>
      <c r="X56" s="207"/>
      <c r="Y56" s="207"/>
      <c r="Z56" s="207"/>
      <c r="AA56" s="207"/>
      <c r="AB56" s="207"/>
      <c r="AC56" s="207"/>
      <c r="AD56" s="207"/>
      <c r="AE56" s="207"/>
      <c r="AF56" s="207"/>
      <c r="AG56" s="207"/>
      <c r="AH56" s="207"/>
    </row>
    <row r="57" spans="1:34" ht="10.199999999999999" customHeight="1" thickBot="1">
      <c r="A57" s="207"/>
      <c r="B57" s="985" t="s">
        <v>5651</v>
      </c>
      <c r="C57" s="986"/>
      <c r="D57" s="987"/>
      <c r="E57" s="471">
        <v>41</v>
      </c>
      <c r="F57" s="471">
        <v>42</v>
      </c>
      <c r="G57" s="186">
        <v>44</v>
      </c>
      <c r="H57" s="186">
        <v>49</v>
      </c>
      <c r="I57" s="186">
        <v>32</v>
      </c>
      <c r="J57" s="186">
        <v>46</v>
      </c>
      <c r="K57" s="186">
        <v>44</v>
      </c>
      <c r="L57" s="186">
        <v>42</v>
      </c>
      <c r="M57" s="201" t="s">
        <v>5576</v>
      </c>
      <c r="N57" s="196" t="s">
        <v>5576</v>
      </c>
      <c r="O57" s="186">
        <v>45</v>
      </c>
      <c r="P57" s="186">
        <v>39</v>
      </c>
      <c r="Q57" s="187" t="s">
        <v>5576</v>
      </c>
      <c r="R57" s="187" t="s">
        <v>5576</v>
      </c>
      <c r="S57" s="187" t="s">
        <v>5576</v>
      </c>
      <c r="T57" s="188" t="s">
        <v>5599</v>
      </c>
      <c r="U57" s="207"/>
      <c r="V57" s="207"/>
      <c r="W57" s="207"/>
      <c r="X57" s="207"/>
      <c r="Y57" s="207"/>
      <c r="Z57" s="207"/>
      <c r="AA57" s="207"/>
      <c r="AB57" s="207"/>
      <c r="AC57" s="207"/>
      <c r="AD57" s="207"/>
      <c r="AE57" s="207"/>
      <c r="AF57" s="207"/>
      <c r="AG57" s="207"/>
      <c r="AH57" s="207"/>
    </row>
    <row r="58" spans="1:34" ht="10.199999999999999" customHeight="1" thickBot="1">
      <c r="A58" s="207"/>
      <c r="B58" s="982" t="s">
        <v>5653</v>
      </c>
      <c r="C58" s="983"/>
      <c r="D58" s="984"/>
      <c r="E58" s="472" t="s">
        <v>5576</v>
      </c>
      <c r="F58" s="472">
        <v>43</v>
      </c>
      <c r="G58" s="182">
        <v>45</v>
      </c>
      <c r="H58" s="182" t="s">
        <v>5576</v>
      </c>
      <c r="I58" s="182" t="s">
        <v>5576</v>
      </c>
      <c r="J58" s="182">
        <v>47</v>
      </c>
      <c r="K58" s="182">
        <v>45</v>
      </c>
      <c r="L58" s="182">
        <v>43</v>
      </c>
      <c r="M58" s="202" t="s">
        <v>5576</v>
      </c>
      <c r="N58" s="197" t="s">
        <v>5576</v>
      </c>
      <c r="O58" s="182" t="s">
        <v>5576</v>
      </c>
      <c r="P58" s="182" t="s">
        <v>5576</v>
      </c>
      <c r="Q58" s="182">
        <v>28</v>
      </c>
      <c r="R58" s="182" t="s">
        <v>7144</v>
      </c>
      <c r="S58" s="174" t="s">
        <v>12362</v>
      </c>
      <c r="T58" s="184" t="s">
        <v>5665</v>
      </c>
      <c r="U58" s="207"/>
      <c r="V58" s="207"/>
      <c r="W58" s="207"/>
      <c r="X58" s="207"/>
      <c r="Y58" s="207"/>
      <c r="Z58" s="207"/>
      <c r="AA58" s="207"/>
      <c r="AB58" s="207"/>
      <c r="AC58" s="207"/>
      <c r="AD58" s="207"/>
      <c r="AE58" s="207"/>
      <c r="AF58" s="207"/>
      <c r="AG58" s="207"/>
      <c r="AH58" s="207"/>
    </row>
    <row r="59" spans="1:34" ht="10.199999999999999" customHeight="1" thickBot="1">
      <c r="A59" s="207"/>
      <c r="B59" s="997" t="s">
        <v>15645</v>
      </c>
      <c r="C59" s="998"/>
      <c r="D59" s="999"/>
      <c r="E59" s="771">
        <v>41</v>
      </c>
      <c r="F59" s="771">
        <v>44</v>
      </c>
      <c r="G59" s="490">
        <v>46</v>
      </c>
      <c r="H59" s="493" t="s">
        <v>5576</v>
      </c>
      <c r="I59" s="493" t="s">
        <v>5576</v>
      </c>
      <c r="J59" s="493" t="s">
        <v>5576</v>
      </c>
      <c r="K59" s="493" t="s">
        <v>5576</v>
      </c>
      <c r="L59" s="493">
        <v>44</v>
      </c>
      <c r="M59" s="493" t="s">
        <v>5576</v>
      </c>
      <c r="N59" s="493">
        <v>51</v>
      </c>
      <c r="O59" s="493">
        <v>46</v>
      </c>
      <c r="P59" s="493">
        <v>40</v>
      </c>
      <c r="Q59" s="493" t="s">
        <v>5576</v>
      </c>
      <c r="R59" s="493" t="s">
        <v>5576</v>
      </c>
      <c r="S59" s="493" t="s">
        <v>5576</v>
      </c>
      <c r="T59" s="494" t="s">
        <v>15677</v>
      </c>
      <c r="U59" s="207"/>
      <c r="V59" s="207"/>
      <c r="W59" s="207"/>
      <c r="X59" s="207"/>
      <c r="Y59" s="207"/>
      <c r="Z59" s="207"/>
      <c r="AA59" s="207"/>
      <c r="AB59" s="207"/>
      <c r="AC59" s="207"/>
      <c r="AD59" s="207"/>
      <c r="AE59" s="207"/>
      <c r="AF59" s="207"/>
      <c r="AG59" s="207"/>
      <c r="AH59" s="207"/>
    </row>
    <row r="60" spans="1:34" ht="10.199999999999999" customHeight="1" thickBot="1">
      <c r="A60" s="207"/>
      <c r="B60" s="1008" t="s">
        <v>5655</v>
      </c>
      <c r="C60" s="1009"/>
      <c r="D60" s="1010"/>
      <c r="E60" s="472" t="s">
        <v>5576</v>
      </c>
      <c r="F60" s="472" t="s">
        <v>5576</v>
      </c>
      <c r="G60" s="483" t="s">
        <v>5576</v>
      </c>
      <c r="H60" s="182" t="s">
        <v>5576</v>
      </c>
      <c r="I60" s="182" t="s">
        <v>5576</v>
      </c>
      <c r="J60" s="182" t="s">
        <v>5576</v>
      </c>
      <c r="K60" s="205">
        <v>46</v>
      </c>
      <c r="L60" s="182" t="s">
        <v>5576</v>
      </c>
      <c r="M60" s="202" t="s">
        <v>5576</v>
      </c>
      <c r="N60" s="770" t="s">
        <v>5576</v>
      </c>
      <c r="O60" s="182" t="s">
        <v>5576</v>
      </c>
      <c r="P60" s="182" t="s">
        <v>5576</v>
      </c>
      <c r="Q60" s="183" t="s">
        <v>5576</v>
      </c>
      <c r="R60" s="183" t="s">
        <v>5576</v>
      </c>
      <c r="S60" s="183" t="s">
        <v>5576</v>
      </c>
      <c r="T60" s="192" t="s">
        <v>5687</v>
      </c>
      <c r="U60" s="207"/>
      <c r="V60" s="207"/>
      <c r="W60" s="207"/>
      <c r="X60" s="207"/>
      <c r="Y60" s="207"/>
      <c r="Z60" s="207"/>
      <c r="AA60" s="207"/>
      <c r="AB60" s="207"/>
      <c r="AC60" s="207"/>
      <c r="AD60" s="207"/>
      <c r="AE60" s="207"/>
      <c r="AF60" s="207"/>
      <c r="AG60" s="207"/>
      <c r="AH60" s="207"/>
    </row>
    <row r="61" spans="1:34" ht="10.199999999999999" customHeight="1" thickBot="1">
      <c r="A61" s="207"/>
      <c r="B61" s="988" t="s">
        <v>2174</v>
      </c>
      <c r="C61" s="989"/>
      <c r="D61" s="990"/>
      <c r="E61" s="771" t="s">
        <v>5576</v>
      </c>
      <c r="F61" s="771">
        <v>45</v>
      </c>
      <c r="G61" s="490">
        <v>47</v>
      </c>
      <c r="H61" s="490" t="s">
        <v>5576</v>
      </c>
      <c r="I61" s="490" t="s">
        <v>5576</v>
      </c>
      <c r="J61" s="490" t="s">
        <v>5576</v>
      </c>
      <c r="K61" s="490" t="s">
        <v>5576</v>
      </c>
      <c r="L61" s="490">
        <v>46</v>
      </c>
      <c r="M61" s="491" t="s">
        <v>5576</v>
      </c>
      <c r="N61" s="492" t="s">
        <v>5576</v>
      </c>
      <c r="O61" s="490">
        <v>47</v>
      </c>
      <c r="P61" s="490" t="s">
        <v>5576</v>
      </c>
      <c r="Q61" s="493" t="s">
        <v>5576</v>
      </c>
      <c r="R61" s="490" t="s">
        <v>5576</v>
      </c>
      <c r="S61" s="490" t="s">
        <v>5576</v>
      </c>
      <c r="T61" s="494" t="s">
        <v>12338</v>
      </c>
      <c r="U61" s="207"/>
      <c r="V61" s="207"/>
      <c r="W61" s="207"/>
      <c r="X61" s="207"/>
      <c r="Y61" s="207"/>
      <c r="Z61" s="207"/>
      <c r="AA61" s="207"/>
      <c r="AB61" s="207"/>
      <c r="AC61" s="207"/>
      <c r="AD61" s="207"/>
      <c r="AE61" s="207"/>
      <c r="AF61" s="207"/>
      <c r="AG61" s="207"/>
      <c r="AH61" s="207"/>
    </row>
    <row r="62" spans="1:34" ht="10.199999999999999" customHeight="1" thickBot="1">
      <c r="A62" s="207"/>
      <c r="B62" s="982" t="s">
        <v>5658</v>
      </c>
      <c r="C62" s="983"/>
      <c r="D62" s="984"/>
      <c r="E62" s="472" t="s">
        <v>5576</v>
      </c>
      <c r="F62" s="472">
        <v>46</v>
      </c>
      <c r="G62" s="182">
        <v>48</v>
      </c>
      <c r="H62" s="182" t="s">
        <v>5576</v>
      </c>
      <c r="I62" s="182" t="s">
        <v>5576</v>
      </c>
      <c r="J62" s="182" t="s">
        <v>5576</v>
      </c>
      <c r="K62" s="182" t="s">
        <v>5576</v>
      </c>
      <c r="L62" s="182">
        <v>47</v>
      </c>
      <c r="M62" s="202" t="s">
        <v>5576</v>
      </c>
      <c r="N62" s="770" t="s">
        <v>5576</v>
      </c>
      <c r="O62" s="182">
        <v>48</v>
      </c>
      <c r="P62" s="182" t="s">
        <v>5645</v>
      </c>
      <c r="Q62" s="183" t="s">
        <v>5576</v>
      </c>
      <c r="R62" s="183" t="s">
        <v>5576</v>
      </c>
      <c r="S62" s="183" t="s">
        <v>5576</v>
      </c>
      <c r="T62" s="184" t="s">
        <v>12335</v>
      </c>
      <c r="U62" s="207"/>
      <c r="V62" s="207"/>
      <c r="W62" s="207"/>
      <c r="X62" s="207"/>
      <c r="Y62" s="207"/>
      <c r="Z62" s="207"/>
      <c r="AA62" s="207"/>
      <c r="AB62" s="207"/>
      <c r="AC62" s="207"/>
      <c r="AD62" s="207"/>
      <c r="AE62" s="207"/>
      <c r="AF62" s="207"/>
      <c r="AG62" s="207"/>
      <c r="AH62" s="207"/>
    </row>
    <row r="63" spans="1:34" ht="10.199999999999999" customHeight="1" thickBot="1">
      <c r="A63" s="207"/>
      <c r="B63" s="988" t="s">
        <v>5659</v>
      </c>
      <c r="C63" s="989"/>
      <c r="D63" s="990"/>
      <c r="E63" s="771">
        <v>42</v>
      </c>
      <c r="F63" s="771">
        <v>47</v>
      </c>
      <c r="G63" s="490" t="s">
        <v>5660</v>
      </c>
      <c r="H63" s="490" t="s">
        <v>5576</v>
      </c>
      <c r="I63" s="490" t="s">
        <v>5576</v>
      </c>
      <c r="J63" s="490">
        <v>48</v>
      </c>
      <c r="K63" s="490">
        <v>47</v>
      </c>
      <c r="L63" s="490">
        <v>48</v>
      </c>
      <c r="M63" s="491" t="s">
        <v>5576</v>
      </c>
      <c r="N63" s="492" t="s">
        <v>5576</v>
      </c>
      <c r="O63" s="490">
        <v>49</v>
      </c>
      <c r="P63" s="490" t="s">
        <v>5661</v>
      </c>
      <c r="Q63" s="490" t="s">
        <v>5842</v>
      </c>
      <c r="R63" s="490" t="s">
        <v>7145</v>
      </c>
      <c r="S63" s="493" t="s">
        <v>5576</v>
      </c>
      <c r="T63" s="494" t="s">
        <v>5665</v>
      </c>
      <c r="U63" s="207"/>
      <c r="V63" s="207"/>
      <c r="W63" s="207"/>
      <c r="X63" s="207"/>
      <c r="Y63" s="207"/>
      <c r="Z63" s="207"/>
      <c r="AA63" s="207"/>
      <c r="AB63" s="207"/>
      <c r="AC63" s="207"/>
      <c r="AD63" s="207"/>
      <c r="AE63" s="207"/>
      <c r="AF63" s="207"/>
      <c r="AG63" s="207"/>
      <c r="AH63" s="207"/>
    </row>
    <row r="64" spans="1:34" ht="10.199999999999999" customHeight="1" thickBot="1">
      <c r="A64" s="207"/>
      <c r="B64" s="1008" t="s">
        <v>5662</v>
      </c>
      <c r="C64" s="1009"/>
      <c r="D64" s="1010"/>
      <c r="E64" s="474" t="s">
        <v>5576</v>
      </c>
      <c r="F64" s="474" t="s">
        <v>5576</v>
      </c>
      <c r="G64" s="205" t="s">
        <v>5576</v>
      </c>
      <c r="H64" s="205" t="s">
        <v>5576</v>
      </c>
      <c r="I64" s="205" t="s">
        <v>5576</v>
      </c>
      <c r="J64" s="205" t="s">
        <v>5576</v>
      </c>
      <c r="K64" s="205" t="s">
        <v>5576</v>
      </c>
      <c r="L64" s="205">
        <v>49</v>
      </c>
      <c r="M64" s="511" t="s">
        <v>5576</v>
      </c>
      <c r="N64" s="206" t="s">
        <v>5576</v>
      </c>
      <c r="O64" s="205" t="s">
        <v>5576</v>
      </c>
      <c r="P64" s="205" t="s">
        <v>5576</v>
      </c>
      <c r="Q64" s="510" t="s">
        <v>5576</v>
      </c>
      <c r="R64" s="510" t="s">
        <v>5576</v>
      </c>
      <c r="S64" s="510" t="s">
        <v>5576</v>
      </c>
      <c r="T64" s="192" t="s">
        <v>12339</v>
      </c>
      <c r="U64" s="207"/>
      <c r="V64" s="207"/>
      <c r="W64" s="207"/>
      <c r="X64" s="207"/>
      <c r="Y64" s="207"/>
      <c r="Z64" s="207"/>
      <c r="AA64" s="207"/>
      <c r="AB64" s="207"/>
      <c r="AC64" s="207"/>
      <c r="AD64" s="207"/>
      <c r="AE64" s="207"/>
      <c r="AF64" s="207"/>
      <c r="AG64" s="207"/>
      <c r="AH64" s="207"/>
    </row>
    <row r="65" spans="1:34" ht="10.199999999999999" customHeight="1" thickBot="1">
      <c r="A65" s="207"/>
      <c r="B65" s="988" t="s">
        <v>5663</v>
      </c>
      <c r="C65" s="989"/>
      <c r="D65" s="990"/>
      <c r="E65" s="771">
        <v>44</v>
      </c>
      <c r="F65" s="771">
        <v>48</v>
      </c>
      <c r="G65" s="490">
        <v>51</v>
      </c>
      <c r="H65" s="490">
        <v>50</v>
      </c>
      <c r="I65" s="490">
        <v>32</v>
      </c>
      <c r="J65" s="490">
        <v>49</v>
      </c>
      <c r="K65" s="490">
        <v>48</v>
      </c>
      <c r="L65" s="490">
        <v>50</v>
      </c>
      <c r="M65" s="491" t="s">
        <v>5576</v>
      </c>
      <c r="N65" s="492" t="s">
        <v>5576</v>
      </c>
      <c r="O65" s="490" t="s">
        <v>5576</v>
      </c>
      <c r="P65" s="490" t="s">
        <v>5664</v>
      </c>
      <c r="Q65" s="490" t="s">
        <v>5636</v>
      </c>
      <c r="R65" s="490" t="s">
        <v>7146</v>
      </c>
      <c r="S65" s="493" t="s">
        <v>12370</v>
      </c>
      <c r="T65" s="494" t="s">
        <v>5672</v>
      </c>
      <c r="U65" s="207"/>
      <c r="V65" s="207"/>
      <c r="W65" s="207"/>
      <c r="X65" s="207"/>
      <c r="Y65" s="207"/>
      <c r="Z65" s="207"/>
      <c r="AA65" s="207"/>
      <c r="AB65" s="207"/>
      <c r="AC65" s="207"/>
      <c r="AD65" s="207"/>
      <c r="AE65" s="207"/>
      <c r="AF65" s="207"/>
      <c r="AG65" s="207"/>
      <c r="AH65" s="207"/>
    </row>
    <row r="66" spans="1:34" ht="10.199999999999999" customHeight="1" thickBot="1">
      <c r="A66" s="207"/>
      <c r="B66" s="982" t="s">
        <v>5666</v>
      </c>
      <c r="C66" s="983"/>
      <c r="D66" s="984"/>
      <c r="E66" s="472">
        <v>45</v>
      </c>
      <c r="F66" s="472">
        <v>49</v>
      </c>
      <c r="G66" s="182">
        <v>52</v>
      </c>
      <c r="H66" s="182">
        <v>51</v>
      </c>
      <c r="I66" s="182" t="s">
        <v>5576</v>
      </c>
      <c r="J66" s="182">
        <v>50</v>
      </c>
      <c r="K66" s="182">
        <v>49</v>
      </c>
      <c r="L66" s="182">
        <v>51</v>
      </c>
      <c r="M66" s="202" t="s">
        <v>5576</v>
      </c>
      <c r="N66" s="770" t="s">
        <v>5576</v>
      </c>
      <c r="O66" s="182" t="s">
        <v>5576</v>
      </c>
      <c r="P66" s="182">
        <v>49</v>
      </c>
      <c r="Q66" s="183" t="s">
        <v>5576</v>
      </c>
      <c r="R66" s="183" t="s">
        <v>5576</v>
      </c>
      <c r="S66" s="183" t="s">
        <v>5576</v>
      </c>
      <c r="T66" s="184" t="s">
        <v>12340</v>
      </c>
      <c r="U66" s="207"/>
      <c r="V66" s="207"/>
      <c r="W66" s="207"/>
      <c r="X66" s="207"/>
      <c r="Y66" s="207"/>
      <c r="Z66" s="207"/>
      <c r="AA66" s="207"/>
      <c r="AB66" s="207"/>
      <c r="AC66" s="207"/>
      <c r="AD66" s="207"/>
      <c r="AE66" s="207"/>
      <c r="AF66" s="207"/>
      <c r="AG66" s="207"/>
      <c r="AH66" s="207"/>
    </row>
    <row r="67" spans="1:34" ht="10.199999999999999" customHeight="1" thickBot="1">
      <c r="A67" s="207"/>
      <c r="B67" s="994" t="s">
        <v>5667</v>
      </c>
      <c r="C67" s="995"/>
      <c r="D67" s="996"/>
      <c r="E67" s="500" t="s">
        <v>5576</v>
      </c>
      <c r="F67" s="500" t="s">
        <v>5576</v>
      </c>
      <c r="G67" s="501" t="s">
        <v>5576</v>
      </c>
      <c r="H67" s="501" t="s">
        <v>5576</v>
      </c>
      <c r="I67" s="501" t="s">
        <v>5576</v>
      </c>
      <c r="J67" s="501" t="s">
        <v>5576</v>
      </c>
      <c r="K67" s="501" t="s">
        <v>5576</v>
      </c>
      <c r="L67" s="501" t="s">
        <v>5576</v>
      </c>
      <c r="M67" s="518" t="s">
        <v>5576</v>
      </c>
      <c r="N67" s="503" t="s">
        <v>5668</v>
      </c>
      <c r="O67" s="501" t="s">
        <v>5576</v>
      </c>
      <c r="P67" s="501" t="s">
        <v>5576</v>
      </c>
      <c r="Q67" s="515" t="s">
        <v>5576</v>
      </c>
      <c r="R67" s="515" t="s">
        <v>5576</v>
      </c>
      <c r="S67" s="515" t="s">
        <v>5576</v>
      </c>
      <c r="T67" s="502" t="s">
        <v>5665</v>
      </c>
      <c r="U67" s="207"/>
      <c r="V67" s="207"/>
      <c r="W67" s="207"/>
      <c r="X67" s="207"/>
      <c r="Y67" s="207"/>
      <c r="Z67" s="207"/>
      <c r="AA67" s="207"/>
      <c r="AB67" s="207"/>
      <c r="AC67" s="207"/>
      <c r="AD67" s="207"/>
      <c r="AE67" s="207"/>
      <c r="AF67" s="207"/>
      <c r="AG67" s="207"/>
      <c r="AH67" s="207"/>
    </row>
    <row r="68" spans="1:34" ht="10.199999999999999" customHeight="1" thickBot="1">
      <c r="A68" s="207"/>
      <c r="B68" s="982" t="s">
        <v>5669</v>
      </c>
      <c r="C68" s="983"/>
      <c r="D68" s="984"/>
      <c r="E68" s="472" t="s">
        <v>5656</v>
      </c>
      <c r="F68" s="472">
        <v>50</v>
      </c>
      <c r="G68" s="182">
        <v>53</v>
      </c>
      <c r="H68" s="183" t="s">
        <v>5576</v>
      </c>
      <c r="I68" s="182" t="s">
        <v>5576</v>
      </c>
      <c r="J68" s="182">
        <v>51</v>
      </c>
      <c r="K68" s="182">
        <v>50</v>
      </c>
      <c r="L68" s="182">
        <v>52</v>
      </c>
      <c r="M68" s="202" t="s">
        <v>5576</v>
      </c>
      <c r="N68" s="770" t="s">
        <v>5576</v>
      </c>
      <c r="O68" s="182" t="s">
        <v>5576</v>
      </c>
      <c r="P68" s="182" t="s">
        <v>5671</v>
      </c>
      <c r="Q68" s="182">
        <v>36</v>
      </c>
      <c r="R68" s="183" t="s">
        <v>5576</v>
      </c>
      <c r="S68" s="183" t="s">
        <v>5576</v>
      </c>
      <c r="T68" s="184" t="s">
        <v>5672</v>
      </c>
      <c r="U68" s="207"/>
      <c r="V68" s="207"/>
      <c r="W68" s="207"/>
      <c r="X68" s="207"/>
      <c r="Y68" s="207"/>
      <c r="Z68" s="207"/>
      <c r="AA68" s="207"/>
      <c r="AB68" s="207"/>
      <c r="AC68" s="207"/>
      <c r="AD68" s="207"/>
      <c r="AE68" s="207"/>
      <c r="AF68" s="207"/>
      <c r="AG68" s="207"/>
      <c r="AH68" s="207"/>
    </row>
    <row r="69" spans="1:34" ht="10.199999999999999" customHeight="1" thickBot="1">
      <c r="A69" s="207"/>
      <c r="B69" s="988" t="s">
        <v>1270</v>
      </c>
      <c r="C69" s="989"/>
      <c r="D69" s="990"/>
      <c r="E69" s="771">
        <v>48</v>
      </c>
      <c r="F69" s="771">
        <v>51</v>
      </c>
      <c r="G69" s="490">
        <v>54</v>
      </c>
      <c r="H69" s="490">
        <v>52</v>
      </c>
      <c r="I69" s="490">
        <v>33</v>
      </c>
      <c r="J69" s="490">
        <v>52</v>
      </c>
      <c r="K69" s="490">
        <v>51</v>
      </c>
      <c r="L69" s="490">
        <v>53</v>
      </c>
      <c r="M69" s="491" t="s">
        <v>10028</v>
      </c>
      <c r="N69" s="492" t="s">
        <v>5576</v>
      </c>
      <c r="O69" s="490" t="s">
        <v>5576</v>
      </c>
      <c r="P69" s="490">
        <v>52</v>
      </c>
      <c r="Q69" s="493" t="s">
        <v>5576</v>
      </c>
      <c r="R69" s="493" t="s">
        <v>5576</v>
      </c>
      <c r="S69" s="493" t="s">
        <v>5576</v>
      </c>
      <c r="T69" s="494" t="s">
        <v>5672</v>
      </c>
      <c r="U69" s="207"/>
      <c r="V69" s="207"/>
      <c r="W69" s="207"/>
      <c r="X69" s="207"/>
      <c r="Y69" s="207"/>
      <c r="Z69" s="207"/>
      <c r="AA69" s="207"/>
      <c r="AB69" s="207"/>
      <c r="AC69" s="207"/>
      <c r="AD69" s="207"/>
      <c r="AE69" s="207"/>
      <c r="AF69" s="207"/>
      <c r="AG69" s="207"/>
      <c r="AH69" s="207"/>
    </row>
    <row r="70" spans="1:34" ht="10.199999999999999" customHeight="1" thickBot="1">
      <c r="A70" s="207"/>
      <c r="B70" s="982" t="s">
        <v>3090</v>
      </c>
      <c r="C70" s="983"/>
      <c r="D70" s="984"/>
      <c r="E70" s="472" t="s">
        <v>5576</v>
      </c>
      <c r="F70" s="778" t="s">
        <v>5576</v>
      </c>
      <c r="G70" s="183" t="s">
        <v>5576</v>
      </c>
      <c r="H70" s="183" t="s">
        <v>5576</v>
      </c>
      <c r="I70" s="183" t="s">
        <v>5576</v>
      </c>
      <c r="J70" s="183" t="s">
        <v>5576</v>
      </c>
      <c r="K70" s="183" t="s">
        <v>5576</v>
      </c>
      <c r="L70" s="183" t="s">
        <v>5576</v>
      </c>
      <c r="M70" s="779" t="s">
        <v>5576</v>
      </c>
      <c r="N70" s="780" t="s">
        <v>5576</v>
      </c>
      <c r="O70" s="183" t="s">
        <v>5576</v>
      </c>
      <c r="P70" s="183" t="s">
        <v>5576</v>
      </c>
      <c r="Q70" s="182">
        <v>37</v>
      </c>
      <c r="R70" s="182" t="s">
        <v>7150</v>
      </c>
      <c r="S70" s="182" t="s">
        <v>12369</v>
      </c>
      <c r="T70" s="184" t="s">
        <v>5844</v>
      </c>
      <c r="U70" s="207"/>
      <c r="V70" s="207"/>
      <c r="W70" s="207"/>
      <c r="X70" s="207"/>
      <c r="Y70" s="207"/>
      <c r="Z70" s="207"/>
      <c r="AA70" s="207"/>
      <c r="AB70" s="207"/>
      <c r="AC70" s="207"/>
      <c r="AD70" s="207"/>
      <c r="AE70" s="207"/>
      <c r="AF70" s="207"/>
      <c r="AG70" s="207"/>
      <c r="AH70" s="207"/>
    </row>
    <row r="71" spans="1:34" ht="10.199999999999999" customHeight="1" thickBot="1">
      <c r="A71" s="207"/>
      <c r="B71" s="997" t="s">
        <v>7378</v>
      </c>
      <c r="C71" s="998"/>
      <c r="D71" s="999"/>
      <c r="E71" s="771" t="s">
        <v>5576</v>
      </c>
      <c r="F71" s="781">
        <v>52</v>
      </c>
      <c r="G71" s="493">
        <v>55</v>
      </c>
      <c r="H71" s="493" t="s">
        <v>9651</v>
      </c>
      <c r="I71" s="493">
        <v>34</v>
      </c>
      <c r="J71" s="493">
        <v>53</v>
      </c>
      <c r="K71" s="493">
        <v>52</v>
      </c>
      <c r="L71" s="493">
        <v>54</v>
      </c>
      <c r="M71" s="782">
        <v>46</v>
      </c>
      <c r="N71" s="526" t="s">
        <v>5576</v>
      </c>
      <c r="O71" s="526">
        <v>50</v>
      </c>
      <c r="P71" s="526" t="s">
        <v>5576</v>
      </c>
      <c r="Q71" s="526" t="s">
        <v>5576</v>
      </c>
      <c r="R71" s="526" t="s">
        <v>5576</v>
      </c>
      <c r="S71" s="526" t="s">
        <v>5576</v>
      </c>
      <c r="T71" s="494" t="s">
        <v>12341</v>
      </c>
      <c r="U71" s="207"/>
      <c r="V71" s="207"/>
      <c r="W71" s="207"/>
      <c r="X71" s="207"/>
      <c r="Y71" s="207"/>
      <c r="Z71" s="207"/>
      <c r="AA71" s="207"/>
      <c r="AB71" s="207"/>
      <c r="AC71" s="207"/>
      <c r="AD71" s="207"/>
      <c r="AE71" s="207"/>
      <c r="AF71" s="207"/>
      <c r="AG71" s="207"/>
      <c r="AH71" s="207"/>
    </row>
    <row r="72" spans="1:34" ht="10.199999999999999" customHeight="1" thickBot="1">
      <c r="A72" s="207"/>
      <c r="B72" s="1008" t="s">
        <v>5673</v>
      </c>
      <c r="C72" s="1009"/>
      <c r="D72" s="1010"/>
      <c r="E72" s="474" t="s">
        <v>5576</v>
      </c>
      <c r="F72" s="980">
        <v>53</v>
      </c>
      <c r="G72" s="205" t="s">
        <v>5576</v>
      </c>
      <c r="H72" s="205" t="s">
        <v>5576</v>
      </c>
      <c r="I72" s="205" t="s">
        <v>5576</v>
      </c>
      <c r="J72" s="205" t="s">
        <v>5576</v>
      </c>
      <c r="K72" s="205" t="s">
        <v>5576</v>
      </c>
      <c r="L72" s="205" t="s">
        <v>5576</v>
      </c>
      <c r="M72" s="511" t="s">
        <v>5576</v>
      </c>
      <c r="N72" s="206" t="s">
        <v>5576</v>
      </c>
      <c r="O72" s="205" t="s">
        <v>5576</v>
      </c>
      <c r="P72" s="205" t="s">
        <v>5576</v>
      </c>
      <c r="Q72" s="510" t="s">
        <v>5576</v>
      </c>
      <c r="R72" s="205" t="s">
        <v>5576</v>
      </c>
      <c r="S72" s="205" t="s">
        <v>5576</v>
      </c>
      <c r="T72" s="192" t="s">
        <v>12342</v>
      </c>
      <c r="U72" s="207"/>
      <c r="V72" s="207"/>
      <c r="W72" s="207"/>
      <c r="X72" s="207"/>
      <c r="Y72" s="207"/>
      <c r="Z72" s="207"/>
      <c r="AA72" s="207"/>
      <c r="AB72" s="207"/>
      <c r="AC72" s="207"/>
      <c r="AD72" s="207"/>
      <c r="AE72" s="207"/>
      <c r="AF72" s="207"/>
      <c r="AG72" s="207"/>
      <c r="AH72" s="207"/>
    </row>
    <row r="73" spans="1:34" ht="10.199999999999999" customHeight="1" thickBot="1">
      <c r="A73" s="207"/>
      <c r="B73" s="994" t="s">
        <v>2326</v>
      </c>
      <c r="C73" s="995"/>
      <c r="D73" s="996"/>
      <c r="E73" s="783" t="s">
        <v>5576</v>
      </c>
      <c r="F73" s="981"/>
      <c r="G73" s="501" t="s">
        <v>5576</v>
      </c>
      <c r="H73" s="501" t="s">
        <v>5576</v>
      </c>
      <c r="I73" s="501" t="s">
        <v>5576</v>
      </c>
      <c r="J73" s="501" t="s">
        <v>5576</v>
      </c>
      <c r="K73" s="501" t="s">
        <v>5576</v>
      </c>
      <c r="L73" s="501" t="s">
        <v>5576</v>
      </c>
      <c r="M73" s="518" t="s">
        <v>5576</v>
      </c>
      <c r="N73" s="503" t="s">
        <v>5576</v>
      </c>
      <c r="O73" s="501" t="s">
        <v>5576</v>
      </c>
      <c r="P73" s="501" t="s">
        <v>5576</v>
      </c>
      <c r="Q73" s="515" t="s">
        <v>5576</v>
      </c>
      <c r="R73" s="515" t="s">
        <v>5576</v>
      </c>
      <c r="S73" s="515" t="s">
        <v>5576</v>
      </c>
      <c r="T73" s="502" t="s">
        <v>5675</v>
      </c>
      <c r="U73" s="207"/>
      <c r="V73" s="207"/>
      <c r="W73" s="207"/>
      <c r="X73" s="207"/>
      <c r="Y73" s="207"/>
      <c r="Z73" s="207"/>
      <c r="AA73" s="207"/>
      <c r="AB73" s="207"/>
      <c r="AC73" s="207"/>
      <c r="AD73" s="207"/>
      <c r="AE73" s="207"/>
      <c r="AF73" s="207"/>
      <c r="AG73" s="207"/>
      <c r="AH73" s="207"/>
    </row>
    <row r="74" spans="1:34" ht="10.199999999999999" customHeight="1" thickBot="1">
      <c r="A74" s="207"/>
      <c r="B74" s="1008" t="s">
        <v>609</v>
      </c>
      <c r="C74" s="1009"/>
      <c r="D74" s="1010"/>
      <c r="E74" s="474" t="s">
        <v>5576</v>
      </c>
      <c r="F74" s="474" t="s">
        <v>5576</v>
      </c>
      <c r="G74" s="205" t="s">
        <v>5576</v>
      </c>
      <c r="H74" s="205" t="s">
        <v>5576</v>
      </c>
      <c r="I74" s="205" t="s">
        <v>5576</v>
      </c>
      <c r="J74" s="205" t="s">
        <v>5576</v>
      </c>
      <c r="K74" s="205" t="s">
        <v>5576</v>
      </c>
      <c r="L74" s="205" t="s">
        <v>5576</v>
      </c>
      <c r="M74" s="511" t="s">
        <v>5576</v>
      </c>
      <c r="N74" s="206" t="s">
        <v>5576</v>
      </c>
      <c r="O74" s="205" t="s">
        <v>5576</v>
      </c>
      <c r="P74" s="205">
        <v>53</v>
      </c>
      <c r="Q74" s="510" t="s">
        <v>5576</v>
      </c>
      <c r="R74" s="205" t="s">
        <v>5576</v>
      </c>
      <c r="S74" s="205" t="s">
        <v>5576</v>
      </c>
      <c r="T74" s="192" t="s">
        <v>5678</v>
      </c>
      <c r="U74" s="207"/>
      <c r="V74" s="207"/>
      <c r="W74" s="207"/>
      <c r="X74" s="207"/>
      <c r="Y74" s="207"/>
      <c r="Z74" s="207"/>
      <c r="AA74" s="207"/>
      <c r="AB74" s="207"/>
      <c r="AC74" s="207"/>
      <c r="AD74" s="207"/>
      <c r="AE74" s="207"/>
      <c r="AF74" s="207"/>
      <c r="AG74" s="207"/>
      <c r="AH74" s="207"/>
    </row>
    <row r="75" spans="1:34" ht="10.199999999999999" customHeight="1" thickBot="1">
      <c r="A75" s="207"/>
      <c r="B75" s="994" t="s">
        <v>5674</v>
      </c>
      <c r="C75" s="995"/>
      <c r="D75" s="996"/>
      <c r="E75" s="500" t="s">
        <v>5576</v>
      </c>
      <c r="F75" s="500">
        <v>54</v>
      </c>
      <c r="G75" s="501" t="s">
        <v>5576</v>
      </c>
      <c r="H75" s="501" t="s">
        <v>5576</v>
      </c>
      <c r="I75" s="501" t="s">
        <v>5576</v>
      </c>
      <c r="J75" s="501" t="s">
        <v>5576</v>
      </c>
      <c r="K75" s="501" t="s">
        <v>5576</v>
      </c>
      <c r="L75" s="501" t="s">
        <v>5576</v>
      </c>
      <c r="M75" s="518" t="s">
        <v>5576</v>
      </c>
      <c r="N75" s="503" t="s">
        <v>5576</v>
      </c>
      <c r="O75" s="501" t="s">
        <v>5576</v>
      </c>
      <c r="P75" s="501" t="s">
        <v>5576</v>
      </c>
      <c r="Q75" s="515" t="s">
        <v>5576</v>
      </c>
      <c r="R75" s="515" t="s">
        <v>5576</v>
      </c>
      <c r="S75" s="515" t="s">
        <v>5576</v>
      </c>
      <c r="T75" s="502" t="s">
        <v>5696</v>
      </c>
      <c r="U75" s="207"/>
      <c r="V75" s="207"/>
      <c r="W75" s="207"/>
      <c r="X75" s="207"/>
      <c r="Y75" s="207"/>
      <c r="Z75" s="207"/>
      <c r="AA75" s="207"/>
      <c r="AB75" s="207"/>
      <c r="AC75" s="207"/>
      <c r="AD75" s="207"/>
      <c r="AE75" s="207"/>
      <c r="AF75" s="207"/>
      <c r="AG75" s="207"/>
      <c r="AH75" s="207"/>
    </row>
    <row r="76" spans="1:34" ht="10.199999999999999" customHeight="1" thickBot="1">
      <c r="A76" s="207"/>
      <c r="B76" s="1008" t="s">
        <v>5676</v>
      </c>
      <c r="C76" s="1009"/>
      <c r="D76" s="1010"/>
      <c r="E76" s="474" t="s">
        <v>5576</v>
      </c>
      <c r="F76" s="474" t="s">
        <v>5576</v>
      </c>
      <c r="G76" s="205" t="s">
        <v>5576</v>
      </c>
      <c r="H76" s="205" t="s">
        <v>5576</v>
      </c>
      <c r="I76" s="205">
        <v>35</v>
      </c>
      <c r="J76" s="205" t="s">
        <v>5576</v>
      </c>
      <c r="K76" s="205" t="s">
        <v>5576</v>
      </c>
      <c r="L76" s="205" t="s">
        <v>5576</v>
      </c>
      <c r="M76" s="511" t="s">
        <v>5576</v>
      </c>
      <c r="N76" s="206" t="s">
        <v>5576</v>
      </c>
      <c r="O76" s="205" t="s">
        <v>5576</v>
      </c>
      <c r="P76" s="205" t="s">
        <v>5576</v>
      </c>
      <c r="Q76" s="510" t="s">
        <v>5576</v>
      </c>
      <c r="R76" s="205" t="s">
        <v>5576</v>
      </c>
      <c r="S76" s="205" t="s">
        <v>5576</v>
      </c>
      <c r="T76" s="192" t="s">
        <v>5719</v>
      </c>
      <c r="U76" s="207"/>
      <c r="V76" s="207"/>
      <c r="W76" s="207"/>
      <c r="X76" s="207"/>
      <c r="Y76" s="207"/>
      <c r="Z76" s="207"/>
      <c r="AA76" s="207"/>
      <c r="AB76" s="207"/>
      <c r="AC76" s="207"/>
      <c r="AD76" s="207"/>
      <c r="AE76" s="207"/>
      <c r="AF76" s="207"/>
      <c r="AG76" s="207"/>
      <c r="AH76" s="207"/>
    </row>
    <row r="77" spans="1:34" ht="10.199999999999999" customHeight="1" thickBot="1">
      <c r="A77" s="207"/>
      <c r="B77" s="988" t="s">
        <v>2330</v>
      </c>
      <c r="C77" s="989"/>
      <c r="D77" s="990"/>
      <c r="E77" s="771" t="s">
        <v>5660</v>
      </c>
      <c r="F77" s="771">
        <v>55</v>
      </c>
      <c r="G77" s="490">
        <v>56</v>
      </c>
      <c r="H77" s="490" t="s">
        <v>9621</v>
      </c>
      <c r="I77" s="490" t="s">
        <v>5633</v>
      </c>
      <c r="J77" s="490">
        <v>54</v>
      </c>
      <c r="K77" s="490">
        <v>53</v>
      </c>
      <c r="L77" s="490">
        <v>55</v>
      </c>
      <c r="M77" s="491">
        <v>47</v>
      </c>
      <c r="N77" s="492" t="s">
        <v>10029</v>
      </c>
      <c r="O77" s="490">
        <v>51</v>
      </c>
      <c r="P77" s="490">
        <v>54</v>
      </c>
      <c r="Q77" s="490">
        <v>38</v>
      </c>
      <c r="R77" s="490" t="s">
        <v>10030</v>
      </c>
      <c r="S77" s="490" t="s">
        <v>12368</v>
      </c>
      <c r="T77" s="494" t="s">
        <v>5682</v>
      </c>
      <c r="U77" s="207"/>
      <c r="V77" s="207"/>
      <c r="W77" s="207"/>
      <c r="X77" s="207"/>
      <c r="Y77" s="207"/>
      <c r="Z77" s="207"/>
      <c r="AA77" s="207"/>
      <c r="AB77" s="207"/>
      <c r="AC77" s="207"/>
      <c r="AD77" s="207"/>
      <c r="AE77" s="207"/>
      <c r="AF77" s="207"/>
      <c r="AG77" s="207"/>
      <c r="AH77" s="207"/>
    </row>
    <row r="78" spans="1:34" ht="10.199999999999999" customHeight="1" thickBot="1">
      <c r="A78" s="207"/>
      <c r="B78" s="1008" t="s">
        <v>5677</v>
      </c>
      <c r="C78" s="1009"/>
      <c r="D78" s="1010"/>
      <c r="E78" s="474" t="s">
        <v>5576</v>
      </c>
      <c r="F78" s="474" t="s">
        <v>5576</v>
      </c>
      <c r="G78" s="205" t="s">
        <v>5576</v>
      </c>
      <c r="H78" s="510" t="s">
        <v>5576</v>
      </c>
      <c r="I78" s="205" t="s">
        <v>5576</v>
      </c>
      <c r="J78" s="205" t="s">
        <v>5576</v>
      </c>
      <c r="K78" s="205" t="s">
        <v>5576</v>
      </c>
      <c r="L78" s="205" t="s">
        <v>5576</v>
      </c>
      <c r="M78" s="511" t="s">
        <v>5576</v>
      </c>
      <c r="N78" s="206" t="s">
        <v>5576</v>
      </c>
      <c r="O78" s="205" t="s">
        <v>5576</v>
      </c>
      <c r="P78" s="205">
        <v>55</v>
      </c>
      <c r="Q78" s="510" t="s">
        <v>5576</v>
      </c>
      <c r="R78" s="205" t="s">
        <v>5576</v>
      </c>
      <c r="S78" s="205" t="s">
        <v>5576</v>
      </c>
      <c r="T78" s="192" t="s">
        <v>12343</v>
      </c>
      <c r="U78" s="207"/>
      <c r="V78" s="207"/>
      <c r="W78" s="207"/>
      <c r="X78" s="207"/>
      <c r="Y78" s="207"/>
      <c r="Z78" s="207"/>
      <c r="AA78" s="207"/>
      <c r="AB78" s="207"/>
      <c r="AC78" s="207"/>
      <c r="AD78" s="207"/>
      <c r="AE78" s="207"/>
      <c r="AF78" s="207"/>
      <c r="AG78" s="207"/>
      <c r="AH78" s="207"/>
    </row>
    <row r="79" spans="1:34" ht="10.199999999999999" customHeight="1" thickBot="1">
      <c r="A79" s="207"/>
      <c r="B79" s="988" t="s">
        <v>5679</v>
      </c>
      <c r="C79" s="989"/>
      <c r="D79" s="990"/>
      <c r="E79" s="771" t="s">
        <v>9609</v>
      </c>
      <c r="F79" s="771">
        <v>56</v>
      </c>
      <c r="G79" s="490">
        <v>57</v>
      </c>
      <c r="H79" s="490" t="s">
        <v>5705</v>
      </c>
      <c r="I79" s="490" t="s">
        <v>5576</v>
      </c>
      <c r="J79" s="490">
        <v>55</v>
      </c>
      <c r="K79" s="490">
        <v>54</v>
      </c>
      <c r="L79" s="490">
        <v>56</v>
      </c>
      <c r="M79" s="491" t="s">
        <v>5576</v>
      </c>
      <c r="N79" s="492" t="s">
        <v>5576</v>
      </c>
      <c r="O79" s="490" t="s">
        <v>5576</v>
      </c>
      <c r="P79" s="490" t="s">
        <v>5576</v>
      </c>
      <c r="Q79" s="493" t="s">
        <v>5576</v>
      </c>
      <c r="R79" s="493" t="s">
        <v>5576</v>
      </c>
      <c r="S79" s="493" t="s">
        <v>5576</v>
      </c>
      <c r="T79" s="494" t="s">
        <v>5682</v>
      </c>
      <c r="U79" s="207"/>
      <c r="V79" s="207"/>
      <c r="W79" s="207"/>
      <c r="X79" s="207"/>
      <c r="Y79" s="207"/>
      <c r="Z79" s="207"/>
      <c r="AA79" s="207"/>
      <c r="AB79" s="207"/>
      <c r="AC79" s="207"/>
      <c r="AD79" s="207"/>
      <c r="AE79" s="207"/>
      <c r="AF79" s="207"/>
      <c r="AG79" s="207"/>
      <c r="AH79" s="207"/>
    </row>
    <row r="80" spans="1:34" ht="10.199999999999999" customHeight="1" thickBot="1">
      <c r="A80" s="207"/>
      <c r="B80" s="1020" t="s">
        <v>9602</v>
      </c>
      <c r="C80" s="1021"/>
      <c r="D80" s="1022"/>
      <c r="E80" s="472">
        <v>53</v>
      </c>
      <c r="F80" s="778">
        <v>57</v>
      </c>
      <c r="G80" s="182">
        <v>58</v>
      </c>
      <c r="H80" s="182">
        <v>63</v>
      </c>
      <c r="I80" s="182">
        <v>38</v>
      </c>
      <c r="J80" s="182">
        <v>56</v>
      </c>
      <c r="K80" s="182">
        <v>55</v>
      </c>
      <c r="L80" s="182">
        <v>57</v>
      </c>
      <c r="M80" s="202">
        <v>48</v>
      </c>
      <c r="N80" s="770">
        <v>64</v>
      </c>
      <c r="O80" s="182">
        <v>52</v>
      </c>
      <c r="P80" s="182">
        <v>56</v>
      </c>
      <c r="Q80" s="183">
        <v>39</v>
      </c>
      <c r="R80" s="183">
        <v>80</v>
      </c>
      <c r="S80" s="182" t="s">
        <v>5724</v>
      </c>
      <c r="T80" s="184" t="s">
        <v>12341</v>
      </c>
      <c r="U80" s="207"/>
      <c r="V80" s="207"/>
      <c r="W80" s="207"/>
      <c r="X80" s="207"/>
      <c r="Y80" s="207"/>
      <c r="Z80" s="207"/>
      <c r="AA80" s="207"/>
      <c r="AB80" s="207"/>
      <c r="AC80" s="207"/>
      <c r="AD80" s="207"/>
      <c r="AE80" s="207"/>
      <c r="AF80" s="207"/>
      <c r="AG80" s="207"/>
      <c r="AH80" s="207"/>
    </row>
    <row r="81" spans="1:34" ht="10.199999999999999" customHeight="1" thickBot="1">
      <c r="A81" s="207"/>
      <c r="B81" s="988" t="s">
        <v>5681</v>
      </c>
      <c r="C81" s="989"/>
      <c r="D81" s="990"/>
      <c r="E81" s="771">
        <v>54</v>
      </c>
      <c r="F81" s="771">
        <v>58</v>
      </c>
      <c r="G81" s="490">
        <v>59</v>
      </c>
      <c r="H81" s="493" t="s">
        <v>5576</v>
      </c>
      <c r="I81" s="490" t="s">
        <v>5576</v>
      </c>
      <c r="J81" s="182">
        <v>57</v>
      </c>
      <c r="K81" s="490">
        <v>56</v>
      </c>
      <c r="L81" s="490">
        <v>58</v>
      </c>
      <c r="M81" s="491" t="s">
        <v>5576</v>
      </c>
      <c r="N81" s="492" t="s">
        <v>5576</v>
      </c>
      <c r="O81" s="490" t="s">
        <v>5670</v>
      </c>
      <c r="P81" s="490">
        <v>57</v>
      </c>
      <c r="Q81" s="493" t="s">
        <v>5576</v>
      </c>
      <c r="R81" s="490" t="s">
        <v>5576</v>
      </c>
      <c r="S81" s="490" t="s">
        <v>5576</v>
      </c>
      <c r="T81" s="494" t="s">
        <v>5739</v>
      </c>
      <c r="U81" s="207"/>
      <c r="V81" s="207"/>
      <c r="W81" s="207"/>
      <c r="X81" s="207"/>
      <c r="Y81" s="207"/>
      <c r="Z81" s="207"/>
      <c r="AA81" s="207"/>
      <c r="AB81" s="207"/>
      <c r="AC81" s="207"/>
      <c r="AD81" s="207"/>
      <c r="AE81" s="207"/>
      <c r="AF81" s="207"/>
      <c r="AG81" s="207"/>
      <c r="AH81" s="207"/>
    </row>
    <row r="82" spans="1:34" ht="10.199999999999999" customHeight="1" thickBot="1">
      <c r="A82" s="207"/>
      <c r="B82" s="982" t="s">
        <v>7142</v>
      </c>
      <c r="C82" s="983"/>
      <c r="D82" s="984"/>
      <c r="E82" s="472" t="s">
        <v>5576</v>
      </c>
      <c r="F82" s="472" t="s">
        <v>5576</v>
      </c>
      <c r="G82" s="182" t="s">
        <v>5576</v>
      </c>
      <c r="H82" s="182"/>
      <c r="I82" s="182" t="s">
        <v>5576</v>
      </c>
      <c r="J82" s="490">
        <v>58</v>
      </c>
      <c r="K82" s="182">
        <v>57</v>
      </c>
      <c r="L82" s="182" t="s">
        <v>5576</v>
      </c>
      <c r="M82" s="202" t="s">
        <v>5576</v>
      </c>
      <c r="N82" s="770" t="s">
        <v>5576</v>
      </c>
      <c r="O82" s="182" t="s">
        <v>5576</v>
      </c>
      <c r="P82" s="182" t="s">
        <v>5576</v>
      </c>
      <c r="Q82" s="183" t="s">
        <v>5576</v>
      </c>
      <c r="R82" s="183" t="s">
        <v>5576</v>
      </c>
      <c r="S82" s="183" t="s">
        <v>5576</v>
      </c>
      <c r="T82" s="184" t="s">
        <v>5694</v>
      </c>
      <c r="U82" s="207"/>
      <c r="V82" s="207"/>
      <c r="W82" s="207"/>
      <c r="X82" s="207"/>
      <c r="Y82" s="207"/>
      <c r="Z82" s="207"/>
      <c r="AA82" s="207"/>
      <c r="AB82" s="207"/>
      <c r="AC82" s="207"/>
      <c r="AD82" s="207"/>
      <c r="AE82" s="207"/>
      <c r="AF82" s="207"/>
      <c r="AG82" s="207"/>
      <c r="AH82" s="207"/>
    </row>
    <row r="83" spans="1:34" ht="10.199999999999999" customHeight="1" thickBot="1">
      <c r="A83" s="207"/>
      <c r="B83" s="988" t="s">
        <v>5683</v>
      </c>
      <c r="C83" s="989"/>
      <c r="D83" s="990"/>
      <c r="E83" s="771">
        <v>55</v>
      </c>
      <c r="F83" s="771">
        <v>59</v>
      </c>
      <c r="G83" s="490">
        <v>60</v>
      </c>
      <c r="H83" s="493">
        <v>64</v>
      </c>
      <c r="I83" s="490">
        <v>39</v>
      </c>
      <c r="J83" s="182">
        <v>59</v>
      </c>
      <c r="K83" s="490">
        <v>58</v>
      </c>
      <c r="L83" s="490">
        <v>59</v>
      </c>
      <c r="M83" s="491" t="s">
        <v>5576</v>
      </c>
      <c r="N83" s="492" t="s">
        <v>5576</v>
      </c>
      <c r="O83" s="490" t="s">
        <v>5685</v>
      </c>
      <c r="P83" s="490" t="s">
        <v>5576</v>
      </c>
      <c r="Q83" s="493" t="s">
        <v>5576</v>
      </c>
      <c r="R83" s="490" t="s">
        <v>5576</v>
      </c>
      <c r="S83" s="490" t="s">
        <v>5576</v>
      </c>
      <c r="T83" s="494" t="s">
        <v>5579</v>
      </c>
      <c r="U83" s="207"/>
      <c r="V83" s="207"/>
      <c r="W83" s="207"/>
      <c r="X83" s="207"/>
      <c r="Y83" s="207"/>
      <c r="Z83" s="207"/>
      <c r="AA83" s="207"/>
      <c r="AB83" s="207"/>
      <c r="AC83" s="207"/>
      <c r="AD83" s="207"/>
      <c r="AE83" s="207"/>
      <c r="AF83" s="207"/>
      <c r="AG83" s="207"/>
      <c r="AH83" s="207"/>
    </row>
    <row r="84" spans="1:34" ht="10.199999999999999" customHeight="1" thickBot="1">
      <c r="A84" s="207"/>
      <c r="B84" s="982" t="s">
        <v>5686</v>
      </c>
      <c r="C84" s="983"/>
      <c r="D84" s="984"/>
      <c r="E84" s="786">
        <v>56</v>
      </c>
      <c r="F84" s="786" t="s">
        <v>5576</v>
      </c>
      <c r="G84" s="182" t="s">
        <v>5576</v>
      </c>
      <c r="H84" s="182">
        <v>65</v>
      </c>
      <c r="I84" s="182" t="s">
        <v>5576</v>
      </c>
      <c r="J84" s="182" t="s">
        <v>5576</v>
      </c>
      <c r="K84" s="182" t="s">
        <v>5576</v>
      </c>
      <c r="L84" s="784">
        <v>60</v>
      </c>
      <c r="M84" s="202" t="s">
        <v>5576</v>
      </c>
      <c r="N84" s="788" t="s">
        <v>5576</v>
      </c>
      <c r="O84" s="182">
        <v>57</v>
      </c>
      <c r="P84" s="182" t="s">
        <v>5576</v>
      </c>
      <c r="Q84" s="183" t="s">
        <v>5576</v>
      </c>
      <c r="R84" s="183" t="s">
        <v>5576</v>
      </c>
      <c r="S84" s="183" t="s">
        <v>5576</v>
      </c>
      <c r="T84" s="184" t="s">
        <v>5717</v>
      </c>
      <c r="U84" s="207"/>
      <c r="V84" s="207"/>
      <c r="W84" s="207"/>
      <c r="X84" s="207"/>
      <c r="Y84" s="207"/>
      <c r="Z84" s="207"/>
      <c r="AA84" s="207"/>
      <c r="AB84" s="207"/>
      <c r="AC84" s="207"/>
      <c r="AD84" s="207"/>
      <c r="AE84" s="207"/>
      <c r="AF84" s="207"/>
      <c r="AG84" s="207"/>
      <c r="AH84" s="207"/>
    </row>
    <row r="85" spans="1:34" ht="10.199999999999999" customHeight="1" thickBot="1">
      <c r="A85" s="207"/>
      <c r="B85" s="997" t="s">
        <v>15756</v>
      </c>
      <c r="C85" s="998"/>
      <c r="D85" s="999"/>
      <c r="E85" s="787">
        <v>57</v>
      </c>
      <c r="F85" s="787">
        <v>60</v>
      </c>
      <c r="G85" s="490">
        <v>61</v>
      </c>
      <c r="H85" s="490" t="s">
        <v>5576</v>
      </c>
      <c r="I85" s="490">
        <v>40</v>
      </c>
      <c r="J85" s="490">
        <v>60</v>
      </c>
      <c r="K85" s="490">
        <v>59</v>
      </c>
      <c r="L85" s="490">
        <v>61</v>
      </c>
      <c r="M85" s="491" t="s">
        <v>5576</v>
      </c>
      <c r="N85" s="492" t="s">
        <v>5576</v>
      </c>
      <c r="O85" s="490">
        <v>58</v>
      </c>
      <c r="P85" s="490">
        <v>58</v>
      </c>
      <c r="Q85" s="493">
        <v>40</v>
      </c>
      <c r="R85" s="493" t="s">
        <v>5576</v>
      </c>
      <c r="S85" s="493" t="s">
        <v>5576</v>
      </c>
      <c r="T85" s="494" t="s">
        <v>4551</v>
      </c>
      <c r="U85" s="207"/>
      <c r="V85" s="207"/>
      <c r="W85" s="207"/>
      <c r="X85" s="207"/>
      <c r="Y85" s="207"/>
      <c r="Z85" s="207"/>
      <c r="AA85" s="207"/>
      <c r="AB85" s="207"/>
      <c r="AC85" s="207"/>
      <c r="AD85" s="207"/>
      <c r="AE85" s="207"/>
      <c r="AF85" s="207"/>
      <c r="AG85" s="207"/>
      <c r="AH85" s="207"/>
    </row>
    <row r="86" spans="1:34" ht="10.199999999999999" customHeight="1" thickBot="1">
      <c r="A86" s="207"/>
      <c r="B86" s="982" t="s">
        <v>5688</v>
      </c>
      <c r="C86" s="983"/>
      <c r="D86" s="984"/>
      <c r="E86" s="786" t="s">
        <v>5576</v>
      </c>
      <c r="F86" s="786" t="s">
        <v>5576</v>
      </c>
      <c r="G86" s="182" t="s">
        <v>5576</v>
      </c>
      <c r="H86" s="182" t="s">
        <v>5576</v>
      </c>
      <c r="I86" s="182" t="s">
        <v>5689</v>
      </c>
      <c r="J86" s="182">
        <v>61</v>
      </c>
      <c r="K86" s="182">
        <v>60</v>
      </c>
      <c r="L86" s="182">
        <v>62</v>
      </c>
      <c r="M86" s="202" t="s">
        <v>15781</v>
      </c>
      <c r="N86" s="788" t="s">
        <v>5576</v>
      </c>
      <c r="O86" s="182" t="s">
        <v>5576</v>
      </c>
      <c r="P86" s="182" t="s">
        <v>5576</v>
      </c>
      <c r="Q86" s="183" t="s">
        <v>15902</v>
      </c>
      <c r="R86" s="182">
        <v>81</v>
      </c>
      <c r="S86" s="182">
        <v>74</v>
      </c>
      <c r="T86" s="184" t="s">
        <v>5719</v>
      </c>
      <c r="U86" s="207"/>
      <c r="V86" s="207"/>
      <c r="W86" s="207"/>
      <c r="X86" s="207"/>
      <c r="Y86" s="207"/>
      <c r="Z86" s="207"/>
      <c r="AA86" s="207"/>
      <c r="AB86" s="207"/>
      <c r="AC86" s="207"/>
      <c r="AD86" s="207"/>
      <c r="AE86" s="207"/>
      <c r="AF86" s="207"/>
      <c r="AG86" s="207"/>
      <c r="AH86" s="207"/>
    </row>
    <row r="87" spans="1:34" ht="10.199999999999999" customHeight="1" thickBot="1">
      <c r="A87" s="207"/>
      <c r="B87" s="994" t="s">
        <v>5690</v>
      </c>
      <c r="C87" s="995"/>
      <c r="D87" s="996"/>
      <c r="E87" s="785" t="s">
        <v>5576</v>
      </c>
      <c r="F87" s="785">
        <v>61</v>
      </c>
      <c r="G87" s="501" t="s">
        <v>5576</v>
      </c>
      <c r="H87" s="501" t="s">
        <v>5576</v>
      </c>
      <c r="I87" s="501" t="s">
        <v>5576</v>
      </c>
      <c r="J87" s="501" t="s">
        <v>5576</v>
      </c>
      <c r="K87" s="501" t="s">
        <v>5576</v>
      </c>
      <c r="L87" s="501" t="s">
        <v>5576</v>
      </c>
      <c r="M87" s="518" t="s">
        <v>5576</v>
      </c>
      <c r="N87" s="503" t="s">
        <v>5576</v>
      </c>
      <c r="O87" s="501" t="s">
        <v>5576</v>
      </c>
      <c r="P87" s="501" t="s">
        <v>5576</v>
      </c>
      <c r="Q87" s="515" t="s">
        <v>5576</v>
      </c>
      <c r="R87" s="515" t="s">
        <v>5576</v>
      </c>
      <c r="S87" s="515" t="s">
        <v>5576</v>
      </c>
      <c r="T87" s="502" t="s">
        <v>12342</v>
      </c>
      <c r="U87" s="207"/>
      <c r="V87" s="207"/>
      <c r="W87" s="207"/>
      <c r="X87" s="207"/>
      <c r="Y87" s="207"/>
      <c r="Z87" s="207"/>
      <c r="AA87" s="207"/>
      <c r="AB87" s="207"/>
      <c r="AC87" s="207"/>
      <c r="AD87" s="207"/>
      <c r="AE87" s="207"/>
      <c r="AF87" s="207"/>
      <c r="AG87" s="207"/>
      <c r="AH87" s="207"/>
    </row>
    <row r="88" spans="1:34" ht="10.199999999999999" customHeight="1" thickBot="1">
      <c r="A88" s="207"/>
      <c r="B88" s="982" t="s">
        <v>5691</v>
      </c>
      <c r="C88" s="983"/>
      <c r="D88" s="984"/>
      <c r="E88" s="786">
        <v>58</v>
      </c>
      <c r="F88" s="786">
        <v>62</v>
      </c>
      <c r="G88" s="182">
        <v>62</v>
      </c>
      <c r="H88" s="183" t="s">
        <v>5576</v>
      </c>
      <c r="I88" s="182">
        <v>59</v>
      </c>
      <c r="J88" s="182">
        <v>62</v>
      </c>
      <c r="K88" s="182">
        <v>61</v>
      </c>
      <c r="L88" s="1026">
        <v>63</v>
      </c>
      <c r="M88" s="202" t="s">
        <v>5576</v>
      </c>
      <c r="N88" s="788" t="s">
        <v>5692</v>
      </c>
      <c r="O88" s="182" t="s">
        <v>5576</v>
      </c>
      <c r="P88" s="182">
        <v>59</v>
      </c>
      <c r="Q88" s="183" t="s">
        <v>14736</v>
      </c>
      <c r="R88" s="182" t="s">
        <v>5576</v>
      </c>
      <c r="S88" s="182" t="s">
        <v>5576</v>
      </c>
      <c r="T88" s="184" t="s">
        <v>5682</v>
      </c>
      <c r="U88" s="207"/>
      <c r="V88" s="207"/>
      <c r="W88" s="207"/>
      <c r="X88" s="207"/>
      <c r="Y88" s="207"/>
      <c r="Z88" s="207"/>
      <c r="AA88" s="207"/>
      <c r="AB88" s="207"/>
      <c r="AC88" s="207"/>
      <c r="AD88" s="207"/>
      <c r="AE88" s="207"/>
      <c r="AF88" s="207"/>
      <c r="AG88" s="207"/>
      <c r="AH88" s="207"/>
    </row>
    <row r="89" spans="1:34" ht="10.199999999999999" customHeight="1" thickBot="1">
      <c r="A89" s="207"/>
      <c r="B89" s="988" t="s">
        <v>5693</v>
      </c>
      <c r="C89" s="989"/>
      <c r="D89" s="990"/>
      <c r="E89" s="787">
        <v>59</v>
      </c>
      <c r="F89" s="787">
        <v>63</v>
      </c>
      <c r="G89" s="490">
        <v>63</v>
      </c>
      <c r="H89" s="493" t="s">
        <v>5576</v>
      </c>
      <c r="I89" s="490" t="s">
        <v>5576</v>
      </c>
      <c r="J89" s="490">
        <v>63</v>
      </c>
      <c r="K89" s="490">
        <v>62</v>
      </c>
      <c r="L89" s="1027"/>
      <c r="M89" s="491" t="s">
        <v>5576</v>
      </c>
      <c r="N89" s="492" t="s">
        <v>5576</v>
      </c>
      <c r="O89" s="490" t="s">
        <v>5576</v>
      </c>
      <c r="P89" s="490">
        <v>60</v>
      </c>
      <c r="Q89" s="493" t="s">
        <v>5715</v>
      </c>
      <c r="R89" s="493" t="s">
        <v>5576</v>
      </c>
      <c r="S89" s="493" t="s">
        <v>5576</v>
      </c>
      <c r="T89" s="494" t="s">
        <v>5694</v>
      </c>
      <c r="U89" s="207"/>
      <c r="V89" s="207"/>
      <c r="W89" s="207"/>
      <c r="X89" s="207"/>
      <c r="Y89" s="207"/>
      <c r="Z89" s="207"/>
      <c r="AA89" s="207"/>
      <c r="AB89" s="207"/>
      <c r="AC89" s="207"/>
      <c r="AD89" s="207"/>
      <c r="AE89" s="207"/>
      <c r="AF89" s="207"/>
      <c r="AG89" s="207"/>
      <c r="AH89" s="207"/>
    </row>
    <row r="90" spans="1:34" ht="10.199999999999999" customHeight="1" thickBot="1">
      <c r="A90" s="207"/>
      <c r="B90" s="1008" t="s">
        <v>7136</v>
      </c>
      <c r="C90" s="1009"/>
      <c r="D90" s="1010"/>
      <c r="E90" s="788" t="s">
        <v>5576</v>
      </c>
      <c r="F90" s="788" t="s">
        <v>5576</v>
      </c>
      <c r="G90" s="182" t="s">
        <v>5576</v>
      </c>
      <c r="H90" s="490" t="s">
        <v>5576</v>
      </c>
      <c r="I90" s="205" t="s">
        <v>7137</v>
      </c>
      <c r="J90" s="182" t="s">
        <v>5576</v>
      </c>
      <c r="K90" s="182" t="s">
        <v>5576</v>
      </c>
      <c r="L90" s="182" t="s">
        <v>5576</v>
      </c>
      <c r="M90" s="202" t="s">
        <v>5576</v>
      </c>
      <c r="N90" s="788" t="s">
        <v>5576</v>
      </c>
      <c r="O90" s="182" t="s">
        <v>5576</v>
      </c>
      <c r="P90" s="182" t="s">
        <v>5576</v>
      </c>
      <c r="Q90" s="182" t="s">
        <v>5576</v>
      </c>
      <c r="R90" s="182" t="s">
        <v>5576</v>
      </c>
      <c r="S90" s="182" t="s">
        <v>5576</v>
      </c>
      <c r="T90" s="192" t="s">
        <v>5745</v>
      </c>
      <c r="U90" s="207"/>
      <c r="V90" s="207"/>
      <c r="W90" s="207"/>
      <c r="X90" s="207"/>
      <c r="Y90" s="207"/>
      <c r="Z90" s="207"/>
      <c r="AA90" s="207"/>
      <c r="AB90" s="207"/>
      <c r="AC90" s="207"/>
      <c r="AD90" s="207"/>
      <c r="AE90" s="207"/>
      <c r="AF90" s="207"/>
      <c r="AG90" s="207"/>
      <c r="AH90" s="207"/>
    </row>
    <row r="91" spans="1:34" ht="10.199999999999999" customHeight="1" thickBot="1">
      <c r="A91" s="207"/>
      <c r="B91" s="994" t="s">
        <v>5695</v>
      </c>
      <c r="C91" s="995"/>
      <c r="D91" s="996"/>
      <c r="E91" s="787" t="s">
        <v>5576</v>
      </c>
      <c r="F91" s="785">
        <v>64</v>
      </c>
      <c r="G91" s="490" t="s">
        <v>5576</v>
      </c>
      <c r="H91" s="490" t="s">
        <v>5576</v>
      </c>
      <c r="I91" s="490" t="s">
        <v>5576</v>
      </c>
      <c r="J91" s="490" t="s">
        <v>5576</v>
      </c>
      <c r="K91" s="490" t="s">
        <v>5576</v>
      </c>
      <c r="L91" s="490" t="s">
        <v>5576</v>
      </c>
      <c r="M91" s="491" t="s">
        <v>5576</v>
      </c>
      <c r="N91" s="492" t="s">
        <v>5576</v>
      </c>
      <c r="O91" s="490" t="s">
        <v>5576</v>
      </c>
      <c r="P91" s="490" t="s">
        <v>5576</v>
      </c>
      <c r="Q91" s="493" t="s">
        <v>5576</v>
      </c>
      <c r="R91" s="493" t="s">
        <v>5576</v>
      </c>
      <c r="S91" s="493" t="s">
        <v>5576</v>
      </c>
      <c r="T91" s="502" t="s">
        <v>5728</v>
      </c>
      <c r="U91" s="207"/>
      <c r="V91" s="207"/>
      <c r="W91" s="207"/>
      <c r="X91" s="207"/>
      <c r="Y91" s="207"/>
      <c r="Z91" s="207"/>
      <c r="AA91" s="207"/>
      <c r="AB91" s="207"/>
      <c r="AC91" s="207"/>
      <c r="AD91" s="207"/>
      <c r="AE91" s="207"/>
      <c r="AF91" s="207"/>
      <c r="AG91" s="207"/>
      <c r="AH91" s="207"/>
    </row>
    <row r="92" spans="1:34" ht="10.199999999999999" customHeight="1" thickBot="1">
      <c r="A92" s="207"/>
      <c r="B92" s="982" t="s">
        <v>15723</v>
      </c>
      <c r="C92" s="983"/>
      <c r="D92" s="984"/>
      <c r="E92" s="786" t="s">
        <v>5684</v>
      </c>
      <c r="F92" s="786">
        <v>65</v>
      </c>
      <c r="G92" s="182">
        <v>64</v>
      </c>
      <c r="H92" s="182">
        <v>66</v>
      </c>
      <c r="I92" s="182" t="s">
        <v>5576</v>
      </c>
      <c r="J92" s="182">
        <v>64</v>
      </c>
      <c r="K92" s="182">
        <v>63</v>
      </c>
      <c r="L92" s="182">
        <v>64</v>
      </c>
      <c r="M92" s="202" t="s">
        <v>5576</v>
      </c>
      <c r="N92" s="788" t="s">
        <v>5576</v>
      </c>
      <c r="O92" s="182" t="s">
        <v>5576</v>
      </c>
      <c r="P92" s="182" t="s">
        <v>5576</v>
      </c>
      <c r="Q92" s="183" t="s">
        <v>5576</v>
      </c>
      <c r="R92" s="182" t="s">
        <v>5576</v>
      </c>
      <c r="S92" s="182" t="s">
        <v>5576</v>
      </c>
      <c r="T92" s="184" t="s">
        <v>5694</v>
      </c>
      <c r="U92" s="207"/>
      <c r="V92" s="207"/>
      <c r="W92" s="207"/>
      <c r="X92" s="207"/>
      <c r="Y92" s="207"/>
      <c r="Z92" s="207"/>
      <c r="AA92" s="207"/>
      <c r="AB92" s="207"/>
      <c r="AC92" s="207"/>
      <c r="AD92" s="207"/>
      <c r="AE92" s="207"/>
      <c r="AF92" s="207"/>
      <c r="AG92" s="207"/>
      <c r="AH92" s="207"/>
    </row>
    <row r="93" spans="1:34" ht="10.199999999999999" customHeight="1" thickBot="1">
      <c r="A93" s="207"/>
      <c r="B93" s="988" t="s">
        <v>2361</v>
      </c>
      <c r="C93" s="989"/>
      <c r="D93" s="990"/>
      <c r="E93" s="787">
        <v>62</v>
      </c>
      <c r="F93" s="787">
        <v>66</v>
      </c>
      <c r="G93" s="490">
        <v>65</v>
      </c>
      <c r="H93" s="490" t="s">
        <v>9622</v>
      </c>
      <c r="I93" s="490" t="s">
        <v>7138</v>
      </c>
      <c r="J93" s="490">
        <v>65</v>
      </c>
      <c r="K93" s="490">
        <v>64</v>
      </c>
      <c r="L93" s="490">
        <v>65</v>
      </c>
      <c r="M93" s="491" t="s">
        <v>15782</v>
      </c>
      <c r="N93" s="492" t="s">
        <v>5698</v>
      </c>
      <c r="O93" s="490" t="s">
        <v>5699</v>
      </c>
      <c r="P93" s="490" t="s">
        <v>5700</v>
      </c>
      <c r="Q93" s="490">
        <v>72</v>
      </c>
      <c r="R93" s="493" t="s">
        <v>5576</v>
      </c>
      <c r="S93" s="493" t="s">
        <v>5576</v>
      </c>
      <c r="T93" s="494" t="s">
        <v>5701</v>
      </c>
      <c r="U93" s="207"/>
      <c r="V93" s="207"/>
      <c r="W93" s="207"/>
      <c r="X93" s="207"/>
      <c r="Y93" s="207"/>
      <c r="Z93" s="207"/>
      <c r="AA93" s="207"/>
      <c r="AB93" s="207"/>
      <c r="AC93" s="207"/>
      <c r="AD93" s="207"/>
      <c r="AE93" s="207"/>
      <c r="AF93" s="207"/>
      <c r="AG93" s="207"/>
      <c r="AH93" s="207"/>
    </row>
    <row r="94" spans="1:34" ht="10.199999999999999" customHeight="1" thickBot="1">
      <c r="A94" s="207"/>
      <c r="B94" s="982" t="s">
        <v>5702</v>
      </c>
      <c r="C94" s="983"/>
      <c r="D94" s="984"/>
      <c r="E94" s="786" t="s">
        <v>5708</v>
      </c>
      <c r="F94" s="786">
        <v>67</v>
      </c>
      <c r="G94" s="182">
        <v>66</v>
      </c>
      <c r="H94" s="182" t="s">
        <v>5714</v>
      </c>
      <c r="I94" s="182" t="s">
        <v>5576</v>
      </c>
      <c r="J94" s="182">
        <v>66</v>
      </c>
      <c r="K94" s="182">
        <v>65</v>
      </c>
      <c r="L94" s="182">
        <v>66</v>
      </c>
      <c r="M94" s="202" t="s">
        <v>5576</v>
      </c>
      <c r="N94" s="788" t="s">
        <v>15784</v>
      </c>
      <c r="O94" s="182" t="s">
        <v>5705</v>
      </c>
      <c r="P94" s="182" t="s">
        <v>5576</v>
      </c>
      <c r="Q94" s="183" t="s">
        <v>5576</v>
      </c>
      <c r="R94" s="182" t="s">
        <v>5576</v>
      </c>
      <c r="S94" s="182" t="s">
        <v>12367</v>
      </c>
      <c r="T94" s="184" t="s">
        <v>5701</v>
      </c>
      <c r="U94" s="207"/>
      <c r="V94" s="207"/>
      <c r="W94" s="207"/>
      <c r="X94" s="207"/>
      <c r="Y94" s="207"/>
      <c r="Z94" s="207"/>
      <c r="AA94" s="207"/>
      <c r="AB94" s="207"/>
      <c r="AC94" s="207"/>
      <c r="AD94" s="207"/>
      <c r="AE94" s="207"/>
      <c r="AF94" s="207"/>
      <c r="AG94" s="207"/>
      <c r="AH94" s="207"/>
    </row>
    <row r="95" spans="1:34" ht="10.199999999999999" customHeight="1" thickBot="1">
      <c r="A95" s="207"/>
      <c r="B95" s="988" t="s">
        <v>5706</v>
      </c>
      <c r="C95" s="989"/>
      <c r="D95" s="990"/>
      <c r="E95" s="787" t="s">
        <v>9610</v>
      </c>
      <c r="F95" s="787">
        <v>68</v>
      </c>
      <c r="G95" s="490">
        <v>67</v>
      </c>
      <c r="H95" s="490">
        <v>73</v>
      </c>
      <c r="I95" s="490" t="s">
        <v>5576</v>
      </c>
      <c r="J95" s="490">
        <v>67</v>
      </c>
      <c r="K95" s="490">
        <v>66</v>
      </c>
      <c r="L95" s="490">
        <v>67</v>
      </c>
      <c r="M95" s="491" t="s">
        <v>5576</v>
      </c>
      <c r="N95" s="492" t="s">
        <v>5576</v>
      </c>
      <c r="O95" s="490" t="s">
        <v>5708</v>
      </c>
      <c r="P95" s="490" t="s">
        <v>5697</v>
      </c>
      <c r="Q95" s="493" t="s">
        <v>5576</v>
      </c>
      <c r="R95" s="493" t="s">
        <v>5576</v>
      </c>
      <c r="S95" s="493" t="s">
        <v>5576</v>
      </c>
      <c r="T95" s="494" t="s">
        <v>5709</v>
      </c>
      <c r="U95" s="207"/>
      <c r="V95" s="207"/>
      <c r="W95" s="207"/>
      <c r="X95" s="207"/>
      <c r="Y95" s="207"/>
      <c r="Z95" s="207"/>
      <c r="AA95" s="207"/>
      <c r="AB95" s="207"/>
      <c r="AC95" s="207"/>
      <c r="AD95" s="207"/>
      <c r="AE95" s="207"/>
      <c r="AF95" s="207"/>
      <c r="AG95" s="207"/>
      <c r="AH95" s="207"/>
    </row>
    <row r="96" spans="1:34" ht="10.199999999999999" customHeight="1" thickBot="1">
      <c r="A96" s="207"/>
      <c r="B96" s="982" t="s">
        <v>2366</v>
      </c>
      <c r="C96" s="983"/>
      <c r="D96" s="984"/>
      <c r="E96" s="786">
        <v>67</v>
      </c>
      <c r="F96" s="786">
        <v>69</v>
      </c>
      <c r="G96" s="182">
        <v>68</v>
      </c>
      <c r="H96" s="182">
        <v>74</v>
      </c>
      <c r="I96" s="182" t="s">
        <v>5576</v>
      </c>
      <c r="J96" s="182">
        <v>68</v>
      </c>
      <c r="K96" s="182">
        <v>67</v>
      </c>
      <c r="L96" s="182">
        <v>68</v>
      </c>
      <c r="M96" s="202" t="s">
        <v>5576</v>
      </c>
      <c r="N96" s="788" t="s">
        <v>5576</v>
      </c>
      <c r="O96" s="182" t="s">
        <v>5576</v>
      </c>
      <c r="P96" s="182" t="s">
        <v>5710</v>
      </c>
      <c r="Q96" s="183" t="s">
        <v>5576</v>
      </c>
      <c r="R96" s="182" t="s">
        <v>5576</v>
      </c>
      <c r="S96" s="182" t="s">
        <v>5576</v>
      </c>
      <c r="T96" s="184" t="s">
        <v>5709</v>
      </c>
      <c r="U96" s="207"/>
      <c r="V96" s="207"/>
      <c r="W96" s="207"/>
      <c r="X96" s="207"/>
      <c r="Y96" s="207"/>
      <c r="Z96" s="207"/>
      <c r="AA96" s="207"/>
      <c r="AB96" s="207"/>
      <c r="AC96" s="207"/>
      <c r="AD96" s="207"/>
      <c r="AE96" s="207"/>
      <c r="AF96" s="207"/>
      <c r="AG96" s="207"/>
      <c r="AH96" s="207"/>
    </row>
    <row r="97" spans="1:34" ht="10.199999999999999" customHeight="1" thickBot="1">
      <c r="A97" s="207"/>
      <c r="B97" s="988" t="s">
        <v>5711</v>
      </c>
      <c r="C97" s="989"/>
      <c r="D97" s="990"/>
      <c r="E97" s="787" t="s">
        <v>5576</v>
      </c>
      <c r="F97" s="787" t="s">
        <v>5576</v>
      </c>
      <c r="G97" s="490">
        <v>69</v>
      </c>
      <c r="H97" s="490" t="s">
        <v>5576</v>
      </c>
      <c r="I97" s="490" t="s">
        <v>5576</v>
      </c>
      <c r="J97" s="490" t="s">
        <v>5576</v>
      </c>
      <c r="K97" s="490" t="s">
        <v>5576</v>
      </c>
      <c r="L97" s="490">
        <v>69</v>
      </c>
      <c r="M97" s="491" t="s">
        <v>5576</v>
      </c>
      <c r="N97" s="492" t="s">
        <v>5576</v>
      </c>
      <c r="O97" s="490" t="s">
        <v>5576</v>
      </c>
      <c r="P97" s="490" t="s">
        <v>5576</v>
      </c>
      <c r="Q97" s="493" t="s">
        <v>5576</v>
      </c>
      <c r="R97" s="493" t="s">
        <v>5576</v>
      </c>
      <c r="S97" s="493" t="s">
        <v>5576</v>
      </c>
      <c r="T97" s="494" t="s">
        <v>12344</v>
      </c>
      <c r="U97" s="207"/>
      <c r="V97" s="207"/>
      <c r="W97" s="207"/>
      <c r="X97" s="207"/>
      <c r="Y97" s="207"/>
      <c r="Z97" s="207"/>
      <c r="AA97" s="207"/>
      <c r="AB97" s="207"/>
      <c r="AC97" s="207"/>
      <c r="AD97" s="207"/>
      <c r="AE97" s="207"/>
      <c r="AF97" s="207"/>
      <c r="AG97" s="207"/>
      <c r="AH97" s="207"/>
    </row>
    <row r="98" spans="1:34" ht="10.199999999999999" customHeight="1" thickBot="1">
      <c r="A98" s="207"/>
      <c r="B98" s="982" t="s">
        <v>5712</v>
      </c>
      <c r="C98" s="983"/>
      <c r="D98" s="984"/>
      <c r="E98" s="786">
        <v>68</v>
      </c>
      <c r="F98" s="786">
        <v>70</v>
      </c>
      <c r="G98" s="182">
        <v>70</v>
      </c>
      <c r="H98" s="182" t="s">
        <v>5576</v>
      </c>
      <c r="I98" s="182" t="s">
        <v>5576</v>
      </c>
      <c r="J98" s="182">
        <v>68</v>
      </c>
      <c r="K98" s="182">
        <v>68</v>
      </c>
      <c r="L98" s="182">
        <v>70</v>
      </c>
      <c r="M98" s="202">
        <v>81</v>
      </c>
      <c r="N98" s="788" t="s">
        <v>5576</v>
      </c>
      <c r="O98" s="182">
        <v>65</v>
      </c>
      <c r="P98" s="182">
        <v>69</v>
      </c>
      <c r="Q98" s="183" t="s">
        <v>5576</v>
      </c>
      <c r="R98" s="183">
        <v>82</v>
      </c>
      <c r="S98" s="182" t="s">
        <v>9615</v>
      </c>
      <c r="T98" s="184" t="s">
        <v>12345</v>
      </c>
      <c r="U98" s="207"/>
      <c r="V98" s="207"/>
      <c r="W98" s="207"/>
      <c r="X98" s="207"/>
      <c r="Y98" s="207"/>
      <c r="Z98" s="207"/>
      <c r="AA98" s="207"/>
      <c r="AB98" s="207"/>
      <c r="AC98" s="207"/>
      <c r="AD98" s="207"/>
      <c r="AE98" s="207"/>
      <c r="AF98" s="207"/>
      <c r="AG98" s="207"/>
      <c r="AH98" s="207"/>
    </row>
    <row r="99" spans="1:34" ht="10.199999999999999" customHeight="1" thickBot="1">
      <c r="A99" s="207"/>
      <c r="B99" s="994" t="s">
        <v>3096</v>
      </c>
      <c r="C99" s="995"/>
      <c r="D99" s="996"/>
      <c r="E99" s="787" t="s">
        <v>5576</v>
      </c>
      <c r="F99" s="525" t="s">
        <v>5576</v>
      </c>
      <c r="G99" s="493" t="s">
        <v>5576</v>
      </c>
      <c r="H99" s="493" t="s">
        <v>5576</v>
      </c>
      <c r="I99" s="493" t="s">
        <v>5576</v>
      </c>
      <c r="J99" s="493" t="s">
        <v>5576</v>
      </c>
      <c r="K99" s="493" t="s">
        <v>5576</v>
      </c>
      <c r="L99" s="493" t="s">
        <v>5576</v>
      </c>
      <c r="M99" s="782" t="s">
        <v>5576</v>
      </c>
      <c r="N99" s="526" t="s">
        <v>5576</v>
      </c>
      <c r="O99" s="493" t="s">
        <v>5576</v>
      </c>
      <c r="P99" s="493" t="s">
        <v>5576</v>
      </c>
      <c r="Q99" s="501" t="s">
        <v>15779</v>
      </c>
      <c r="R99" s="493" t="s">
        <v>5576</v>
      </c>
      <c r="S99" s="493" t="s">
        <v>5576</v>
      </c>
      <c r="T99" s="502" t="s">
        <v>5845</v>
      </c>
      <c r="U99" s="207"/>
      <c r="V99" s="207"/>
      <c r="W99" s="207"/>
      <c r="X99" s="207"/>
      <c r="Y99" s="207"/>
      <c r="Z99" s="207"/>
      <c r="AA99" s="207"/>
      <c r="AB99" s="207"/>
      <c r="AC99" s="207"/>
      <c r="AD99" s="207"/>
      <c r="AE99" s="207"/>
      <c r="AF99" s="207"/>
      <c r="AG99" s="207"/>
      <c r="AH99" s="207"/>
    </row>
    <row r="100" spans="1:34" ht="10.199999999999999" customHeight="1" thickBot="1">
      <c r="A100" s="207"/>
      <c r="B100" s="982" t="s">
        <v>2378</v>
      </c>
      <c r="C100" s="983"/>
      <c r="D100" s="984"/>
      <c r="E100" s="786">
        <v>69</v>
      </c>
      <c r="F100" s="786">
        <v>71</v>
      </c>
      <c r="G100" s="182">
        <v>71</v>
      </c>
      <c r="H100" s="182">
        <v>75</v>
      </c>
      <c r="I100" s="182" t="s">
        <v>5576</v>
      </c>
      <c r="J100" s="182">
        <v>69</v>
      </c>
      <c r="K100" s="182">
        <v>69</v>
      </c>
      <c r="L100" s="182">
        <v>71</v>
      </c>
      <c r="M100" s="202" t="s">
        <v>5576</v>
      </c>
      <c r="N100" s="788" t="s">
        <v>5576</v>
      </c>
      <c r="O100" s="182" t="s">
        <v>5576</v>
      </c>
      <c r="P100" s="182" t="s">
        <v>5715</v>
      </c>
      <c r="Q100" s="183" t="s">
        <v>5576</v>
      </c>
      <c r="R100" s="182" t="s">
        <v>5576</v>
      </c>
      <c r="S100" s="182" t="s">
        <v>5576</v>
      </c>
      <c r="T100" s="184" t="s">
        <v>5721</v>
      </c>
      <c r="U100" s="207"/>
      <c r="V100" s="207"/>
      <c r="W100" s="207"/>
      <c r="X100" s="207"/>
      <c r="Y100" s="207"/>
      <c r="Z100" s="207"/>
      <c r="AA100" s="207"/>
      <c r="AB100" s="207"/>
      <c r="AC100" s="207"/>
      <c r="AD100" s="207"/>
      <c r="AE100" s="207"/>
      <c r="AF100" s="207"/>
      <c r="AG100" s="207"/>
      <c r="AH100" s="207"/>
    </row>
    <row r="101" spans="1:34" ht="10.199999999999999" customHeight="1" thickBot="1">
      <c r="A101" s="207"/>
      <c r="B101" s="988" t="s">
        <v>1030</v>
      </c>
      <c r="C101" s="989"/>
      <c r="D101" s="990"/>
      <c r="E101" s="787">
        <v>70</v>
      </c>
      <c r="F101" s="787" t="s">
        <v>5576</v>
      </c>
      <c r="G101" s="490" t="s">
        <v>5576</v>
      </c>
      <c r="H101" s="493">
        <v>76</v>
      </c>
      <c r="I101" s="490">
        <v>74</v>
      </c>
      <c r="J101" s="490" t="s">
        <v>5576</v>
      </c>
      <c r="K101" s="490">
        <v>70</v>
      </c>
      <c r="L101" s="490" t="s">
        <v>5576</v>
      </c>
      <c r="M101" s="491">
        <v>82</v>
      </c>
      <c r="N101" s="492" t="s">
        <v>5576</v>
      </c>
      <c r="O101" s="490" t="s">
        <v>5576</v>
      </c>
      <c r="P101" s="490" t="s">
        <v>5576</v>
      </c>
      <c r="Q101" s="493" t="s">
        <v>5576</v>
      </c>
      <c r="R101" s="493" t="s">
        <v>9482</v>
      </c>
      <c r="S101" s="493" t="s">
        <v>5576</v>
      </c>
      <c r="T101" s="494" t="s">
        <v>12346</v>
      </c>
      <c r="U101" s="207"/>
      <c r="V101" s="207"/>
      <c r="W101" s="207"/>
      <c r="X101" s="207"/>
      <c r="Y101" s="207"/>
      <c r="Z101" s="207"/>
      <c r="AA101" s="207"/>
      <c r="AB101" s="207"/>
      <c r="AC101" s="207"/>
      <c r="AD101" s="207"/>
      <c r="AE101" s="207"/>
      <c r="AF101" s="207"/>
      <c r="AG101" s="207"/>
      <c r="AH101" s="207"/>
    </row>
    <row r="102" spans="1:34" ht="10.199999999999999" customHeight="1" thickBot="1">
      <c r="A102" s="207"/>
      <c r="B102" s="982" t="s">
        <v>5718</v>
      </c>
      <c r="C102" s="983"/>
      <c r="D102" s="984"/>
      <c r="E102" s="786" t="s">
        <v>5576</v>
      </c>
      <c r="F102" s="786">
        <v>72</v>
      </c>
      <c r="G102" s="182">
        <v>72</v>
      </c>
      <c r="H102" s="183" t="s">
        <v>5576</v>
      </c>
      <c r="I102" s="182">
        <v>75</v>
      </c>
      <c r="J102" s="182">
        <v>70</v>
      </c>
      <c r="K102" s="182">
        <v>71</v>
      </c>
      <c r="L102" s="182">
        <v>72</v>
      </c>
      <c r="M102" s="202" t="s">
        <v>5576</v>
      </c>
      <c r="N102" s="788">
        <v>79</v>
      </c>
      <c r="O102" s="182" t="s">
        <v>5576</v>
      </c>
      <c r="P102" s="182" t="s">
        <v>5576</v>
      </c>
      <c r="Q102" s="183" t="s">
        <v>5576</v>
      </c>
      <c r="R102" s="182" t="s">
        <v>5576</v>
      </c>
      <c r="S102" s="182" t="s">
        <v>5576</v>
      </c>
      <c r="T102" s="184" t="s">
        <v>5745</v>
      </c>
      <c r="U102" s="207"/>
      <c r="V102" s="207"/>
      <c r="W102" s="207"/>
      <c r="X102" s="207"/>
      <c r="Y102" s="207"/>
      <c r="Z102" s="207"/>
      <c r="AA102" s="207"/>
      <c r="AB102" s="207"/>
      <c r="AC102" s="207"/>
      <c r="AD102" s="207"/>
      <c r="AE102" s="207"/>
      <c r="AF102" s="207"/>
      <c r="AG102" s="207"/>
      <c r="AH102" s="207"/>
    </row>
    <row r="103" spans="1:34" ht="10.199999999999999" customHeight="1" thickBot="1">
      <c r="A103" s="207"/>
      <c r="B103" s="988" t="s">
        <v>2381</v>
      </c>
      <c r="C103" s="989"/>
      <c r="D103" s="990"/>
      <c r="E103" s="787">
        <v>71</v>
      </c>
      <c r="F103" s="787">
        <v>73</v>
      </c>
      <c r="G103" s="490">
        <v>73</v>
      </c>
      <c r="H103" s="490">
        <v>77</v>
      </c>
      <c r="I103" s="493" t="s">
        <v>5576</v>
      </c>
      <c r="J103" s="490">
        <v>71</v>
      </c>
      <c r="K103" s="490">
        <v>72</v>
      </c>
      <c r="L103" s="490">
        <v>73</v>
      </c>
      <c r="M103" s="491" t="s">
        <v>5576</v>
      </c>
      <c r="N103" s="492" t="s">
        <v>5576</v>
      </c>
      <c r="O103" s="490" t="s">
        <v>5703</v>
      </c>
      <c r="P103" s="490" t="s">
        <v>5576</v>
      </c>
      <c r="Q103" s="493" t="s">
        <v>5576</v>
      </c>
      <c r="R103" s="493" t="s">
        <v>5576</v>
      </c>
      <c r="S103" s="493" t="s">
        <v>5576</v>
      </c>
      <c r="T103" s="494" t="s">
        <v>5716</v>
      </c>
      <c r="U103" s="207"/>
      <c r="V103" s="207"/>
      <c r="W103" s="207"/>
      <c r="X103" s="207"/>
      <c r="Y103" s="207"/>
      <c r="Z103" s="207"/>
      <c r="AA103" s="207"/>
      <c r="AB103" s="207"/>
      <c r="AC103" s="207"/>
      <c r="AD103" s="207"/>
      <c r="AE103" s="207"/>
      <c r="AF103" s="207"/>
      <c r="AG103" s="207"/>
      <c r="AH103" s="207"/>
    </row>
    <row r="104" spans="1:34" ht="10.199999999999999" customHeight="1" thickBot="1">
      <c r="A104" s="207"/>
      <c r="B104" s="982" t="s">
        <v>5720</v>
      </c>
      <c r="C104" s="983"/>
      <c r="D104" s="984"/>
      <c r="E104" s="786" t="s">
        <v>5576</v>
      </c>
      <c r="F104" s="786">
        <v>74</v>
      </c>
      <c r="G104" s="182">
        <v>74</v>
      </c>
      <c r="H104" s="182" t="s">
        <v>9615</v>
      </c>
      <c r="I104" s="182" t="s">
        <v>5576</v>
      </c>
      <c r="J104" s="182">
        <v>72</v>
      </c>
      <c r="K104" s="182">
        <v>73</v>
      </c>
      <c r="L104" s="182">
        <v>74</v>
      </c>
      <c r="M104" s="202" t="s">
        <v>5576</v>
      </c>
      <c r="N104" s="788" t="s">
        <v>5576</v>
      </c>
      <c r="O104" s="182" t="s">
        <v>5576</v>
      </c>
      <c r="P104" s="182" t="s">
        <v>5576</v>
      </c>
      <c r="Q104" s="183" t="s">
        <v>5576</v>
      </c>
      <c r="R104" s="182" t="s">
        <v>5576</v>
      </c>
      <c r="S104" s="182" t="s">
        <v>5576</v>
      </c>
      <c r="T104" s="184" t="s">
        <v>5721</v>
      </c>
      <c r="U104" s="207"/>
      <c r="V104" s="207"/>
      <c r="W104" s="207"/>
      <c r="X104" s="207"/>
      <c r="Y104" s="207"/>
      <c r="Z104" s="207"/>
      <c r="AA104" s="207"/>
      <c r="AB104" s="207"/>
      <c r="AC104" s="207"/>
      <c r="AD104" s="207"/>
      <c r="AE104" s="207"/>
      <c r="AF104" s="207"/>
      <c r="AG104" s="207"/>
      <c r="AH104" s="207"/>
    </row>
    <row r="105" spans="1:34" ht="10.199999999999999" customHeight="1" thickBot="1">
      <c r="A105" s="207"/>
      <c r="B105" s="988" t="s">
        <v>5722</v>
      </c>
      <c r="C105" s="989"/>
      <c r="D105" s="990"/>
      <c r="E105" s="787" t="s">
        <v>5576</v>
      </c>
      <c r="F105" s="787">
        <v>75</v>
      </c>
      <c r="G105" s="490">
        <v>75</v>
      </c>
      <c r="H105" s="490" t="s">
        <v>5576</v>
      </c>
      <c r="I105" s="490" t="s">
        <v>5576</v>
      </c>
      <c r="J105" s="490">
        <v>73</v>
      </c>
      <c r="K105" s="490">
        <v>74</v>
      </c>
      <c r="L105" s="490">
        <v>75</v>
      </c>
      <c r="M105" s="491" t="s">
        <v>5576</v>
      </c>
      <c r="N105" s="492">
        <v>80</v>
      </c>
      <c r="O105" s="490" t="s">
        <v>5707</v>
      </c>
      <c r="P105" s="490">
        <v>72</v>
      </c>
      <c r="Q105" s="493" t="s">
        <v>5576</v>
      </c>
      <c r="R105" s="493" t="s">
        <v>5576</v>
      </c>
      <c r="S105" s="493" t="s">
        <v>5576</v>
      </c>
      <c r="T105" s="494" t="s">
        <v>12347</v>
      </c>
      <c r="U105" s="207"/>
      <c r="V105" s="207"/>
      <c r="W105" s="207"/>
      <c r="X105" s="207"/>
      <c r="Y105" s="207"/>
      <c r="Z105" s="207"/>
      <c r="AA105" s="207"/>
      <c r="AB105" s="207"/>
      <c r="AC105" s="207"/>
      <c r="AD105" s="207"/>
      <c r="AE105" s="207"/>
      <c r="AF105" s="207"/>
      <c r="AG105" s="207"/>
      <c r="AH105" s="207"/>
    </row>
    <row r="106" spans="1:34" ht="10.199999999999999" customHeight="1" thickBot="1">
      <c r="A106" s="207"/>
      <c r="B106" s="982" t="s">
        <v>5723</v>
      </c>
      <c r="C106" s="983"/>
      <c r="D106" s="984"/>
      <c r="E106" s="786" t="s">
        <v>15775</v>
      </c>
      <c r="F106" s="786">
        <v>76</v>
      </c>
      <c r="G106" s="182">
        <v>76</v>
      </c>
      <c r="H106" s="182">
        <v>80</v>
      </c>
      <c r="I106" s="182" t="s">
        <v>5704</v>
      </c>
      <c r="J106" s="182">
        <v>74</v>
      </c>
      <c r="K106" s="182">
        <v>75</v>
      </c>
      <c r="L106" s="182">
        <v>76</v>
      </c>
      <c r="M106" s="202" t="s">
        <v>5576</v>
      </c>
      <c r="N106" s="788" t="s">
        <v>5576</v>
      </c>
      <c r="O106" s="182" t="s">
        <v>5724</v>
      </c>
      <c r="P106" s="182" t="s">
        <v>5576</v>
      </c>
      <c r="Q106" s="183" t="s">
        <v>5576</v>
      </c>
      <c r="R106" s="182" t="s">
        <v>5576</v>
      </c>
      <c r="S106" s="182" t="s">
        <v>5576</v>
      </c>
      <c r="T106" s="184" t="s">
        <v>5721</v>
      </c>
      <c r="U106" s="207"/>
      <c r="V106" s="207"/>
      <c r="W106" s="207"/>
      <c r="X106" s="207"/>
      <c r="Y106" s="207"/>
      <c r="Z106" s="207"/>
      <c r="AA106" s="207"/>
      <c r="AB106" s="207"/>
      <c r="AC106" s="207"/>
      <c r="AD106" s="207"/>
      <c r="AE106" s="207"/>
      <c r="AF106" s="207"/>
      <c r="AG106" s="207"/>
      <c r="AH106" s="207"/>
    </row>
    <row r="107" spans="1:34" ht="10.199999999999999" customHeight="1" thickBot="1">
      <c r="A107" s="207"/>
      <c r="B107" s="988" t="s">
        <v>5725</v>
      </c>
      <c r="C107" s="989"/>
      <c r="D107" s="990"/>
      <c r="E107" s="787">
        <v>74</v>
      </c>
      <c r="F107" s="787">
        <v>77</v>
      </c>
      <c r="G107" s="490">
        <v>77</v>
      </c>
      <c r="H107" s="490">
        <v>81</v>
      </c>
      <c r="I107" s="490" t="s">
        <v>189</v>
      </c>
      <c r="J107" s="490">
        <v>75</v>
      </c>
      <c r="K107" s="490">
        <v>76</v>
      </c>
      <c r="L107" s="490">
        <v>77</v>
      </c>
      <c r="M107" s="491" t="s">
        <v>5576</v>
      </c>
      <c r="N107" s="492" t="s">
        <v>5576</v>
      </c>
      <c r="O107" s="490" t="s">
        <v>9614</v>
      </c>
      <c r="P107" s="490" t="s">
        <v>5576</v>
      </c>
      <c r="Q107" s="493" t="s">
        <v>5576</v>
      </c>
      <c r="R107" s="493" t="s">
        <v>5576</v>
      </c>
      <c r="S107" s="493" t="s">
        <v>5576</v>
      </c>
      <c r="T107" s="494" t="s">
        <v>5726</v>
      </c>
      <c r="U107" s="207"/>
      <c r="V107" s="207"/>
      <c r="W107" s="207"/>
      <c r="X107" s="207"/>
      <c r="Y107" s="207"/>
      <c r="Z107" s="207"/>
      <c r="AA107" s="207"/>
      <c r="AB107" s="207"/>
      <c r="AC107" s="207"/>
      <c r="AD107" s="207"/>
      <c r="AE107" s="207"/>
      <c r="AF107" s="207"/>
      <c r="AG107" s="207"/>
      <c r="AH107" s="207"/>
    </row>
    <row r="108" spans="1:34" ht="10.199999999999999" customHeight="1" thickBot="1">
      <c r="A108" s="207"/>
      <c r="B108" s="982" t="s">
        <v>5727</v>
      </c>
      <c r="C108" s="983"/>
      <c r="D108" s="984"/>
      <c r="E108" s="786">
        <v>75</v>
      </c>
      <c r="F108" s="786" t="s">
        <v>5576</v>
      </c>
      <c r="G108" s="182">
        <v>78</v>
      </c>
      <c r="H108" s="182">
        <v>82</v>
      </c>
      <c r="I108" s="182" t="s">
        <v>5576</v>
      </c>
      <c r="J108" s="182">
        <v>76</v>
      </c>
      <c r="K108" s="182">
        <v>77</v>
      </c>
      <c r="L108" s="182">
        <v>78</v>
      </c>
      <c r="M108" s="202" t="s">
        <v>5576</v>
      </c>
      <c r="N108" s="788" t="s">
        <v>5576</v>
      </c>
      <c r="O108" s="182">
        <v>76</v>
      </c>
      <c r="P108" s="182">
        <v>73</v>
      </c>
      <c r="Q108" s="183" t="s">
        <v>5576</v>
      </c>
      <c r="R108" s="182" t="s">
        <v>5576</v>
      </c>
      <c r="S108" s="182" t="s">
        <v>5576</v>
      </c>
      <c r="T108" s="184" t="s">
        <v>12348</v>
      </c>
      <c r="U108" s="207"/>
      <c r="V108" s="207"/>
      <c r="W108" s="207"/>
      <c r="X108" s="207"/>
      <c r="Y108" s="207"/>
      <c r="Z108" s="207"/>
      <c r="AA108" s="207"/>
      <c r="AB108" s="207"/>
      <c r="AC108" s="207"/>
      <c r="AD108" s="207"/>
      <c r="AE108" s="207"/>
      <c r="AF108" s="207"/>
      <c r="AG108" s="207"/>
      <c r="AH108" s="207"/>
    </row>
    <row r="109" spans="1:34" ht="10.199999999999999" customHeight="1" thickBot="1">
      <c r="A109" s="207"/>
      <c r="B109" s="994" t="s">
        <v>230</v>
      </c>
      <c r="C109" s="995"/>
      <c r="D109" s="996"/>
      <c r="E109" s="787" t="s">
        <v>5576</v>
      </c>
      <c r="F109" s="785">
        <v>78</v>
      </c>
      <c r="G109" s="490" t="s">
        <v>5576</v>
      </c>
      <c r="H109" s="490" t="s">
        <v>5576</v>
      </c>
      <c r="I109" s="490" t="s">
        <v>5576</v>
      </c>
      <c r="J109" s="490">
        <v>77</v>
      </c>
      <c r="K109" s="490" t="s">
        <v>5576</v>
      </c>
      <c r="L109" s="490" t="s">
        <v>5576</v>
      </c>
      <c r="M109" s="491" t="s">
        <v>5576</v>
      </c>
      <c r="N109" s="492" t="s">
        <v>5576</v>
      </c>
      <c r="O109" s="490" t="s">
        <v>5576</v>
      </c>
      <c r="P109" s="490" t="s">
        <v>5576</v>
      </c>
      <c r="Q109" s="493" t="s">
        <v>5576</v>
      </c>
      <c r="R109" s="493" t="s">
        <v>5576</v>
      </c>
      <c r="S109" s="493" t="s">
        <v>5576</v>
      </c>
      <c r="T109" s="502" t="s">
        <v>12349</v>
      </c>
      <c r="U109" s="207"/>
      <c r="V109" s="207"/>
      <c r="W109" s="207"/>
      <c r="X109" s="207"/>
      <c r="Y109" s="207"/>
      <c r="Z109" s="207"/>
      <c r="AA109" s="207"/>
      <c r="AB109" s="207"/>
      <c r="AC109" s="207"/>
      <c r="AD109" s="207"/>
      <c r="AE109" s="207"/>
      <c r="AF109" s="207"/>
      <c r="AG109" s="207"/>
      <c r="AH109" s="207"/>
    </row>
    <row r="110" spans="1:34" ht="10.199999999999999" customHeight="1" thickBot="1">
      <c r="A110" s="207"/>
      <c r="B110" s="982" t="s">
        <v>5729</v>
      </c>
      <c r="C110" s="983"/>
      <c r="D110" s="984"/>
      <c r="E110" s="786" t="s">
        <v>5576</v>
      </c>
      <c r="F110" s="786">
        <v>79</v>
      </c>
      <c r="G110" s="182">
        <v>79</v>
      </c>
      <c r="H110" s="182" t="s">
        <v>5576</v>
      </c>
      <c r="I110" s="182" t="s">
        <v>5576</v>
      </c>
      <c r="J110" s="182">
        <v>78</v>
      </c>
      <c r="K110" s="182">
        <v>78</v>
      </c>
      <c r="L110" s="182">
        <v>79</v>
      </c>
      <c r="M110" s="202" t="s">
        <v>5576</v>
      </c>
      <c r="N110" s="788" t="s">
        <v>5576</v>
      </c>
      <c r="O110" s="182">
        <v>77</v>
      </c>
      <c r="P110" s="182">
        <v>74</v>
      </c>
      <c r="Q110" s="183" t="s">
        <v>5576</v>
      </c>
      <c r="R110" s="182" t="s">
        <v>5576</v>
      </c>
      <c r="S110" s="182" t="s">
        <v>5576</v>
      </c>
      <c r="T110" s="184" t="s">
        <v>12350</v>
      </c>
      <c r="U110" s="207"/>
      <c r="V110" s="207"/>
      <c r="W110" s="207"/>
      <c r="X110" s="207"/>
      <c r="Y110" s="207"/>
      <c r="Z110" s="207"/>
      <c r="AA110" s="207"/>
      <c r="AB110" s="207"/>
      <c r="AC110" s="207"/>
      <c r="AD110" s="207"/>
      <c r="AE110" s="207"/>
      <c r="AF110" s="207"/>
      <c r="AG110" s="207"/>
      <c r="AH110" s="207"/>
    </row>
    <row r="111" spans="1:34" ht="10.199999999999999" customHeight="1" thickBot="1">
      <c r="A111" s="207"/>
      <c r="B111" s="988" t="s">
        <v>5730</v>
      </c>
      <c r="C111" s="989"/>
      <c r="D111" s="990"/>
      <c r="E111" s="787" t="s">
        <v>5576</v>
      </c>
      <c r="F111" s="787">
        <v>80</v>
      </c>
      <c r="G111" s="490">
        <v>80</v>
      </c>
      <c r="H111" s="493" t="s">
        <v>5576</v>
      </c>
      <c r="I111" s="490" t="s">
        <v>5576</v>
      </c>
      <c r="J111" s="490">
        <v>79</v>
      </c>
      <c r="K111" s="490">
        <v>79</v>
      </c>
      <c r="L111" s="490">
        <v>80</v>
      </c>
      <c r="M111" s="491" t="s">
        <v>5576</v>
      </c>
      <c r="N111" s="492" t="s">
        <v>5576</v>
      </c>
      <c r="O111" s="490">
        <v>78</v>
      </c>
      <c r="P111" s="490" t="s">
        <v>10031</v>
      </c>
      <c r="Q111" s="493" t="s">
        <v>5576</v>
      </c>
      <c r="R111" s="493" t="s">
        <v>5576</v>
      </c>
      <c r="S111" s="493" t="s">
        <v>5576</v>
      </c>
      <c r="T111" s="494" t="s">
        <v>12351</v>
      </c>
      <c r="U111" s="207"/>
      <c r="V111" s="207"/>
      <c r="W111" s="207"/>
      <c r="X111" s="207"/>
      <c r="Y111" s="207"/>
      <c r="Z111" s="207"/>
      <c r="AA111" s="207"/>
      <c r="AB111" s="207"/>
      <c r="AC111" s="207"/>
      <c r="AD111" s="207"/>
      <c r="AE111" s="207"/>
      <c r="AF111" s="207"/>
      <c r="AG111" s="207"/>
      <c r="AH111" s="207"/>
    </row>
    <row r="112" spans="1:34" ht="10.199999999999999" customHeight="1" thickBot="1">
      <c r="A112" s="207"/>
      <c r="B112" s="982" t="s">
        <v>5731</v>
      </c>
      <c r="C112" s="983"/>
      <c r="D112" s="984"/>
      <c r="E112" s="786" t="s">
        <v>5576</v>
      </c>
      <c r="F112" s="786">
        <v>81</v>
      </c>
      <c r="G112" s="1026">
        <v>81</v>
      </c>
      <c r="H112" s="182" t="s">
        <v>9482</v>
      </c>
      <c r="I112" s="182" t="s">
        <v>15777</v>
      </c>
      <c r="J112" s="1026">
        <v>80</v>
      </c>
      <c r="K112" s="1026">
        <v>80</v>
      </c>
      <c r="L112" s="1026">
        <v>81</v>
      </c>
      <c r="M112" s="1028">
        <v>83</v>
      </c>
      <c r="N112" s="788" t="s">
        <v>5576</v>
      </c>
      <c r="O112" s="182">
        <v>79</v>
      </c>
      <c r="P112" s="182">
        <v>77</v>
      </c>
      <c r="Q112" s="183" t="s">
        <v>15900</v>
      </c>
      <c r="R112" s="183" t="s">
        <v>5738</v>
      </c>
      <c r="S112" s="182" t="s">
        <v>12366</v>
      </c>
      <c r="T112" s="184" t="s">
        <v>5745</v>
      </c>
      <c r="U112" s="207"/>
      <c r="V112" s="207"/>
      <c r="W112" s="207"/>
      <c r="X112" s="207"/>
      <c r="Y112" s="207"/>
      <c r="Z112" s="207"/>
      <c r="AA112" s="207"/>
      <c r="AB112" s="207"/>
      <c r="AC112" s="207"/>
      <c r="AD112" s="207"/>
      <c r="AE112" s="207"/>
      <c r="AF112" s="207"/>
      <c r="AG112" s="207"/>
      <c r="AH112" s="207"/>
    </row>
    <row r="113" spans="1:34" ht="10.199999999999999" customHeight="1" thickBot="1">
      <c r="A113" s="207"/>
      <c r="B113" s="997" t="s">
        <v>9603</v>
      </c>
      <c r="C113" s="998"/>
      <c r="D113" s="999"/>
      <c r="E113" s="787">
        <v>76</v>
      </c>
      <c r="F113" s="525">
        <v>82</v>
      </c>
      <c r="G113" s="1027"/>
      <c r="H113" s="490" t="s">
        <v>5738</v>
      </c>
      <c r="I113" s="490">
        <v>94</v>
      </c>
      <c r="J113" s="1027"/>
      <c r="K113" s="1027"/>
      <c r="L113" s="1027"/>
      <c r="M113" s="1029"/>
      <c r="N113" s="526" t="s">
        <v>5576</v>
      </c>
      <c r="O113" s="526">
        <v>80</v>
      </c>
      <c r="P113" s="526" t="s">
        <v>5576</v>
      </c>
      <c r="Q113" s="526" t="s">
        <v>5738</v>
      </c>
      <c r="R113" s="493" t="s">
        <v>5747</v>
      </c>
      <c r="S113" s="490" t="s">
        <v>12365</v>
      </c>
      <c r="T113" s="494" t="s">
        <v>12352</v>
      </c>
      <c r="U113" s="207"/>
      <c r="V113" s="207"/>
      <c r="W113" s="207"/>
      <c r="X113" s="207"/>
      <c r="Y113" s="207"/>
      <c r="Z113" s="207"/>
      <c r="AA113" s="207"/>
      <c r="AB113" s="207"/>
      <c r="AC113" s="207"/>
      <c r="AD113" s="207"/>
      <c r="AE113" s="207"/>
      <c r="AF113" s="207"/>
      <c r="AG113" s="207"/>
      <c r="AH113" s="207"/>
    </row>
    <row r="114" spans="1:34" ht="10.199999999999999" customHeight="1" thickBot="1">
      <c r="A114" s="207"/>
      <c r="B114" s="982" t="s">
        <v>5732</v>
      </c>
      <c r="C114" s="983"/>
      <c r="D114" s="984"/>
      <c r="E114" s="786">
        <v>77</v>
      </c>
      <c r="F114" s="786">
        <v>83</v>
      </c>
      <c r="G114" s="182">
        <v>82</v>
      </c>
      <c r="H114" s="182" t="s">
        <v>5747</v>
      </c>
      <c r="I114" s="182" t="s">
        <v>5576</v>
      </c>
      <c r="J114" s="182">
        <v>81</v>
      </c>
      <c r="K114" s="182">
        <v>81</v>
      </c>
      <c r="L114" s="182">
        <v>82</v>
      </c>
      <c r="M114" s="202">
        <v>84</v>
      </c>
      <c r="N114" s="788" t="s">
        <v>5576</v>
      </c>
      <c r="O114" s="182">
        <v>81</v>
      </c>
      <c r="P114" s="182">
        <v>78</v>
      </c>
      <c r="Q114" s="182" t="s">
        <v>5747</v>
      </c>
      <c r="R114" s="182" t="s">
        <v>5753</v>
      </c>
      <c r="S114" s="182">
        <v>88</v>
      </c>
      <c r="T114" s="184" t="s">
        <v>5736</v>
      </c>
      <c r="U114" s="207"/>
      <c r="V114" s="207"/>
      <c r="W114" s="207"/>
      <c r="X114" s="207"/>
      <c r="Y114" s="207"/>
      <c r="Z114" s="207"/>
      <c r="AA114" s="207"/>
      <c r="AB114" s="207"/>
      <c r="AC114" s="207"/>
      <c r="AD114" s="207"/>
      <c r="AE114" s="207"/>
      <c r="AF114" s="207"/>
      <c r="AG114" s="207"/>
      <c r="AH114" s="207"/>
    </row>
    <row r="115" spans="1:34" ht="10.95" customHeight="1" thickBot="1">
      <c r="A115" s="207"/>
      <c r="B115" s="994" t="s">
        <v>5807</v>
      </c>
      <c r="C115" s="995"/>
      <c r="D115" s="996"/>
      <c r="E115" s="787" t="s">
        <v>5576</v>
      </c>
      <c r="F115" s="787" t="s">
        <v>5576</v>
      </c>
      <c r="G115" s="490" t="s">
        <v>5576</v>
      </c>
      <c r="H115" s="490" t="s">
        <v>5576</v>
      </c>
      <c r="I115" s="490" t="s">
        <v>5576</v>
      </c>
      <c r="J115" s="490" t="s">
        <v>5576</v>
      </c>
      <c r="K115" s="490" t="s">
        <v>5576</v>
      </c>
      <c r="L115" s="501">
        <v>83</v>
      </c>
      <c r="M115" s="491" t="s">
        <v>5576</v>
      </c>
      <c r="N115" s="492" t="s">
        <v>5576</v>
      </c>
      <c r="O115" s="490" t="s">
        <v>5576</v>
      </c>
      <c r="P115" s="490" t="s">
        <v>5576</v>
      </c>
      <c r="Q115" s="493" t="s">
        <v>5576</v>
      </c>
      <c r="R115" s="490" t="s">
        <v>5576</v>
      </c>
      <c r="S115" s="490" t="s">
        <v>5576</v>
      </c>
      <c r="T115" s="502" t="s">
        <v>12353</v>
      </c>
      <c r="U115" s="207"/>
      <c r="V115" s="207"/>
      <c r="W115" s="207"/>
      <c r="X115" s="207"/>
      <c r="Y115" s="207"/>
      <c r="Z115" s="207"/>
      <c r="AA115" s="207"/>
      <c r="AB115" s="207"/>
      <c r="AC115" s="207"/>
      <c r="AD115" s="207"/>
      <c r="AE115" s="207"/>
      <c r="AF115" s="207"/>
      <c r="AG115" s="207"/>
      <c r="AH115" s="207"/>
    </row>
    <row r="116" spans="1:34" ht="10.199999999999999" customHeight="1" thickBot="1">
      <c r="A116" s="207"/>
      <c r="B116" s="1020" t="s">
        <v>15713</v>
      </c>
      <c r="C116" s="1021"/>
      <c r="D116" s="1022"/>
      <c r="E116" s="786" t="s">
        <v>9615</v>
      </c>
      <c r="F116" s="786">
        <v>84</v>
      </c>
      <c r="G116" s="182">
        <v>83</v>
      </c>
      <c r="H116" s="182" t="s">
        <v>5576</v>
      </c>
      <c r="I116" s="182" t="s">
        <v>15778</v>
      </c>
      <c r="J116" s="182">
        <v>82</v>
      </c>
      <c r="K116" s="182">
        <v>82</v>
      </c>
      <c r="L116" s="1026">
        <v>84</v>
      </c>
      <c r="M116" s="202" t="s">
        <v>15783</v>
      </c>
      <c r="N116" s="788" t="s">
        <v>5735</v>
      </c>
      <c r="O116" s="182" t="s">
        <v>15785</v>
      </c>
      <c r="P116" s="182" t="s">
        <v>14739</v>
      </c>
      <c r="Q116" s="183" t="s">
        <v>15780</v>
      </c>
      <c r="R116" s="182" t="s">
        <v>5576</v>
      </c>
      <c r="S116" s="182" t="s">
        <v>5576</v>
      </c>
      <c r="T116" s="184" t="s">
        <v>15722</v>
      </c>
      <c r="U116" s="207"/>
      <c r="V116" s="207"/>
      <c r="W116" s="207"/>
      <c r="X116" s="207"/>
      <c r="Y116" s="207"/>
      <c r="Z116" s="207"/>
      <c r="AA116" s="207"/>
      <c r="AB116" s="207"/>
      <c r="AC116" s="207"/>
      <c r="AD116" s="207"/>
      <c r="AE116" s="207"/>
      <c r="AF116" s="207"/>
      <c r="AG116" s="207"/>
      <c r="AH116" s="207"/>
    </row>
    <row r="117" spans="1:34" ht="10.199999999999999" customHeight="1" thickBot="1">
      <c r="A117" s="207"/>
      <c r="B117" s="988" t="s">
        <v>5733</v>
      </c>
      <c r="C117" s="989"/>
      <c r="D117" s="990"/>
      <c r="E117" s="787" t="s">
        <v>5576</v>
      </c>
      <c r="F117" s="787" t="s">
        <v>5576</v>
      </c>
      <c r="G117" s="490">
        <v>84</v>
      </c>
      <c r="H117" s="490" t="s">
        <v>5576</v>
      </c>
      <c r="I117" s="490" t="s">
        <v>5576</v>
      </c>
      <c r="J117" s="490">
        <v>83</v>
      </c>
      <c r="K117" s="490">
        <v>83</v>
      </c>
      <c r="L117" s="1027"/>
      <c r="M117" s="491" t="s">
        <v>5576</v>
      </c>
      <c r="N117" s="492" t="s">
        <v>5576</v>
      </c>
      <c r="O117" s="490">
        <v>84</v>
      </c>
      <c r="P117" s="490" t="s">
        <v>5576</v>
      </c>
      <c r="Q117" s="493" t="s">
        <v>5576</v>
      </c>
      <c r="R117" s="493" t="s">
        <v>5576</v>
      </c>
      <c r="S117" s="493" t="s">
        <v>5576</v>
      </c>
      <c r="T117" s="494" t="s">
        <v>12354</v>
      </c>
      <c r="U117" s="207"/>
      <c r="V117" s="207"/>
      <c r="W117" s="207"/>
      <c r="X117" s="207"/>
      <c r="Y117" s="207"/>
      <c r="Z117" s="207"/>
      <c r="AA117" s="207"/>
      <c r="AB117" s="207"/>
      <c r="AC117" s="207"/>
      <c r="AD117" s="207"/>
      <c r="AE117" s="207"/>
      <c r="AF117" s="207"/>
      <c r="AG117" s="207"/>
      <c r="AH117" s="207"/>
    </row>
    <row r="118" spans="1:34" ht="10.199999999999999" customHeight="1" thickBot="1">
      <c r="A118" s="207"/>
      <c r="B118" s="1008" t="s">
        <v>5734</v>
      </c>
      <c r="C118" s="1009"/>
      <c r="D118" s="1010"/>
      <c r="E118" s="472" t="s">
        <v>5576</v>
      </c>
      <c r="F118" s="472" t="s">
        <v>5576</v>
      </c>
      <c r="G118" s="182" t="s">
        <v>5576</v>
      </c>
      <c r="H118" s="182" t="s">
        <v>5576</v>
      </c>
      <c r="I118" s="182" t="s">
        <v>5576</v>
      </c>
      <c r="J118" s="182" t="s">
        <v>5576</v>
      </c>
      <c r="K118" s="182" t="s">
        <v>5576</v>
      </c>
      <c r="L118" s="182" t="s">
        <v>5576</v>
      </c>
      <c r="M118" s="202" t="s">
        <v>5576</v>
      </c>
      <c r="N118" s="770" t="s">
        <v>5576</v>
      </c>
      <c r="O118" s="182" t="s">
        <v>5576</v>
      </c>
      <c r="P118" s="205" t="s">
        <v>5735</v>
      </c>
      <c r="Q118" s="183" t="s">
        <v>5576</v>
      </c>
      <c r="R118" s="182" t="s">
        <v>5576</v>
      </c>
      <c r="S118" s="182" t="s">
        <v>5576</v>
      </c>
      <c r="T118" s="192" t="s">
        <v>5743</v>
      </c>
      <c r="U118" s="207"/>
      <c r="V118" s="207"/>
      <c r="W118" s="207"/>
      <c r="X118" s="207"/>
      <c r="Y118" s="207"/>
      <c r="Z118" s="207"/>
      <c r="AA118" s="207"/>
      <c r="AB118" s="207"/>
      <c r="AC118" s="207"/>
      <c r="AD118" s="207"/>
      <c r="AE118" s="207"/>
      <c r="AF118" s="207"/>
      <c r="AG118" s="207"/>
      <c r="AH118" s="207"/>
    </row>
    <row r="119" spans="1:34" ht="10.199999999999999" customHeight="1" thickBot="1">
      <c r="A119" s="207"/>
      <c r="B119" s="988" t="s">
        <v>5737</v>
      </c>
      <c r="C119" s="989"/>
      <c r="D119" s="990"/>
      <c r="E119" s="771" t="s">
        <v>5576</v>
      </c>
      <c r="F119" s="771">
        <v>85</v>
      </c>
      <c r="G119" s="490">
        <v>85</v>
      </c>
      <c r="H119" s="490" t="s">
        <v>5576</v>
      </c>
      <c r="I119" s="490" t="s">
        <v>5576</v>
      </c>
      <c r="J119" s="490">
        <v>84</v>
      </c>
      <c r="K119" s="490">
        <v>84</v>
      </c>
      <c r="L119" s="490">
        <v>85</v>
      </c>
      <c r="M119" s="491" t="s">
        <v>5576</v>
      </c>
      <c r="N119" s="492" t="s">
        <v>5576</v>
      </c>
      <c r="O119" s="490">
        <v>85</v>
      </c>
      <c r="P119" s="490" t="s">
        <v>5576</v>
      </c>
      <c r="Q119" s="493" t="s">
        <v>5576</v>
      </c>
      <c r="R119" s="493" t="s">
        <v>5576</v>
      </c>
      <c r="S119" s="493" t="s">
        <v>5576</v>
      </c>
      <c r="T119" s="494" t="s">
        <v>5599</v>
      </c>
      <c r="U119" s="207"/>
      <c r="V119" s="207"/>
      <c r="W119" s="207"/>
      <c r="X119" s="207"/>
      <c r="Y119" s="207"/>
      <c r="Z119" s="207"/>
      <c r="AA119" s="207"/>
      <c r="AB119" s="207"/>
      <c r="AC119" s="207"/>
      <c r="AD119" s="207"/>
      <c r="AE119" s="207"/>
      <c r="AF119" s="207"/>
      <c r="AG119" s="207"/>
      <c r="AH119" s="207"/>
    </row>
    <row r="120" spans="1:34" ht="10.199999999999999" customHeight="1" thickBot="1">
      <c r="A120" s="207"/>
      <c r="B120" s="982" t="s">
        <v>2407</v>
      </c>
      <c r="C120" s="983"/>
      <c r="D120" s="984"/>
      <c r="E120" s="472">
        <v>80</v>
      </c>
      <c r="F120" s="472">
        <v>86</v>
      </c>
      <c r="G120" s="182">
        <v>86</v>
      </c>
      <c r="H120" s="182">
        <v>89</v>
      </c>
      <c r="I120" s="182" t="s">
        <v>5576</v>
      </c>
      <c r="J120" s="182">
        <v>85</v>
      </c>
      <c r="K120" s="182">
        <v>85</v>
      </c>
      <c r="L120" s="182">
        <v>86</v>
      </c>
      <c r="M120" s="202" t="s">
        <v>5576</v>
      </c>
      <c r="N120" s="770" t="s">
        <v>5576</v>
      </c>
      <c r="O120" s="182">
        <v>86</v>
      </c>
      <c r="P120" s="182" t="s">
        <v>5576</v>
      </c>
      <c r="Q120" s="183" t="s">
        <v>5576</v>
      </c>
      <c r="R120" s="182" t="s">
        <v>5576</v>
      </c>
      <c r="S120" s="182" t="s">
        <v>5576</v>
      </c>
      <c r="T120" s="184" t="s">
        <v>12355</v>
      </c>
      <c r="U120" s="207"/>
      <c r="V120" s="207"/>
      <c r="W120" s="207"/>
      <c r="X120" s="207"/>
      <c r="Y120" s="207"/>
      <c r="Z120" s="207"/>
      <c r="AA120" s="207"/>
      <c r="AB120" s="207"/>
      <c r="AC120" s="207"/>
      <c r="AD120" s="207"/>
      <c r="AE120" s="207"/>
      <c r="AF120" s="207"/>
      <c r="AG120" s="207"/>
      <c r="AH120" s="207"/>
    </row>
    <row r="121" spans="1:34" ht="10.199999999999999" customHeight="1" thickBot="1">
      <c r="A121" s="207"/>
      <c r="B121" s="988" t="s">
        <v>5740</v>
      </c>
      <c r="C121" s="989"/>
      <c r="D121" s="990"/>
      <c r="E121" s="771" t="s">
        <v>5576</v>
      </c>
      <c r="F121" s="771">
        <v>87</v>
      </c>
      <c r="G121" s="490">
        <v>87</v>
      </c>
      <c r="H121" s="490" t="s">
        <v>5576</v>
      </c>
      <c r="I121" s="490" t="s">
        <v>5576</v>
      </c>
      <c r="J121" s="490">
        <v>86</v>
      </c>
      <c r="K121" s="490">
        <v>86</v>
      </c>
      <c r="L121" s="490">
        <v>87</v>
      </c>
      <c r="M121" s="491" t="s">
        <v>5576</v>
      </c>
      <c r="N121" s="492" t="s">
        <v>5576</v>
      </c>
      <c r="O121" s="490">
        <v>87</v>
      </c>
      <c r="P121" s="490">
        <v>83</v>
      </c>
      <c r="Q121" s="493" t="s">
        <v>5576</v>
      </c>
      <c r="R121" s="493" t="s">
        <v>5576</v>
      </c>
      <c r="S121" s="493" t="s">
        <v>5576</v>
      </c>
      <c r="T121" s="494" t="s">
        <v>5741</v>
      </c>
      <c r="U121" s="207"/>
      <c r="V121" s="207"/>
      <c r="W121" s="207"/>
      <c r="X121" s="207"/>
      <c r="Y121" s="207"/>
      <c r="Z121" s="207"/>
      <c r="AA121" s="207"/>
      <c r="AB121" s="207"/>
      <c r="AC121" s="207"/>
      <c r="AD121" s="207"/>
      <c r="AE121" s="207"/>
      <c r="AF121" s="207"/>
      <c r="AG121" s="207"/>
      <c r="AH121" s="207"/>
    </row>
    <row r="122" spans="1:34" ht="10.199999999999999" customHeight="1" thickBot="1">
      <c r="A122" s="207"/>
      <c r="B122" s="982" t="s">
        <v>2410</v>
      </c>
      <c r="C122" s="983"/>
      <c r="D122" s="984"/>
      <c r="E122" s="472" t="s">
        <v>5576</v>
      </c>
      <c r="F122" s="472">
        <v>88</v>
      </c>
      <c r="G122" s="182">
        <v>88</v>
      </c>
      <c r="H122" s="182" t="s">
        <v>5576</v>
      </c>
      <c r="I122" s="182" t="s">
        <v>5576</v>
      </c>
      <c r="J122" s="182">
        <v>87</v>
      </c>
      <c r="K122" s="182">
        <v>87</v>
      </c>
      <c r="L122" s="1026">
        <v>88</v>
      </c>
      <c r="M122" s="202" t="s">
        <v>5576</v>
      </c>
      <c r="N122" s="770" t="s">
        <v>5576</v>
      </c>
      <c r="O122" s="182">
        <v>88</v>
      </c>
      <c r="P122" s="182">
        <v>84</v>
      </c>
      <c r="Q122" s="183" t="s">
        <v>5576</v>
      </c>
      <c r="R122" s="182" t="s">
        <v>5576</v>
      </c>
      <c r="S122" s="182" t="s">
        <v>5576</v>
      </c>
      <c r="T122" s="184" t="s">
        <v>5741</v>
      </c>
      <c r="U122" s="207"/>
      <c r="V122" s="207"/>
      <c r="W122" s="207"/>
      <c r="X122" s="207"/>
      <c r="Y122" s="207"/>
      <c r="Z122" s="207"/>
      <c r="AA122" s="207"/>
      <c r="AB122" s="207"/>
      <c r="AC122" s="207"/>
      <c r="AD122" s="207"/>
      <c r="AE122" s="207"/>
      <c r="AF122" s="207"/>
      <c r="AG122" s="207"/>
      <c r="AH122" s="207"/>
    </row>
    <row r="123" spans="1:34" ht="10.199999999999999" customHeight="1" thickBot="1">
      <c r="A123" s="207"/>
      <c r="B123" s="988" t="s">
        <v>2412</v>
      </c>
      <c r="C123" s="989"/>
      <c r="D123" s="990"/>
      <c r="E123" s="771">
        <v>81</v>
      </c>
      <c r="F123" s="771">
        <v>89</v>
      </c>
      <c r="G123" s="490">
        <v>89</v>
      </c>
      <c r="H123" s="490" t="s">
        <v>5576</v>
      </c>
      <c r="I123" s="490" t="s">
        <v>5576</v>
      </c>
      <c r="J123" s="490">
        <v>88</v>
      </c>
      <c r="K123" s="490">
        <v>88</v>
      </c>
      <c r="L123" s="1027"/>
      <c r="M123" s="491" t="s">
        <v>5576</v>
      </c>
      <c r="N123" s="492" t="s">
        <v>5576</v>
      </c>
      <c r="O123" s="490">
        <v>89</v>
      </c>
      <c r="P123" s="490" t="s">
        <v>5738</v>
      </c>
      <c r="Q123" s="493" t="s">
        <v>5576</v>
      </c>
      <c r="R123" s="493" t="s">
        <v>5576</v>
      </c>
      <c r="S123" s="493" t="s">
        <v>5576</v>
      </c>
      <c r="T123" s="494" t="s">
        <v>5736</v>
      </c>
      <c r="U123" s="207"/>
      <c r="V123" s="207"/>
      <c r="W123" s="207"/>
      <c r="X123" s="207"/>
      <c r="Y123" s="207"/>
      <c r="Z123" s="207"/>
      <c r="AA123" s="207"/>
      <c r="AB123" s="207"/>
      <c r="AC123" s="207"/>
      <c r="AD123" s="207"/>
      <c r="AE123" s="207"/>
      <c r="AF123" s="207"/>
      <c r="AG123" s="207"/>
      <c r="AH123" s="207"/>
    </row>
    <row r="124" spans="1:34" ht="10.199999999999999" customHeight="1" thickBot="1">
      <c r="A124" s="207"/>
      <c r="B124" s="982" t="s">
        <v>5742</v>
      </c>
      <c r="C124" s="983"/>
      <c r="D124" s="984"/>
      <c r="E124" s="472">
        <v>82</v>
      </c>
      <c r="F124" s="472">
        <v>90</v>
      </c>
      <c r="G124" s="182">
        <v>90</v>
      </c>
      <c r="H124" s="182" t="s">
        <v>5576</v>
      </c>
      <c r="I124" s="182" t="s">
        <v>5576</v>
      </c>
      <c r="J124" s="182">
        <v>89</v>
      </c>
      <c r="K124" s="182">
        <v>89</v>
      </c>
      <c r="L124" s="182">
        <v>89</v>
      </c>
      <c r="M124" s="202" t="s">
        <v>5576</v>
      </c>
      <c r="N124" s="770" t="s">
        <v>5576</v>
      </c>
      <c r="O124" s="182" t="s">
        <v>5576</v>
      </c>
      <c r="P124" s="182" t="s">
        <v>5576</v>
      </c>
      <c r="Q124" s="183" t="s">
        <v>5576</v>
      </c>
      <c r="R124" s="182" t="s">
        <v>5576</v>
      </c>
      <c r="S124" s="182" t="s">
        <v>5576</v>
      </c>
      <c r="T124" s="184" t="s">
        <v>5743</v>
      </c>
      <c r="U124" s="207"/>
      <c r="V124" s="207"/>
      <c r="W124" s="207"/>
      <c r="X124" s="207"/>
      <c r="Y124" s="207"/>
      <c r="Z124" s="207"/>
      <c r="AA124" s="207"/>
      <c r="AB124" s="207"/>
      <c r="AC124" s="207"/>
      <c r="AD124" s="207"/>
      <c r="AE124" s="207"/>
      <c r="AF124" s="207"/>
      <c r="AG124" s="207"/>
      <c r="AH124" s="207"/>
    </row>
    <row r="125" spans="1:34" ht="10.199999999999999" customHeight="1" thickBot="1">
      <c r="A125" s="207"/>
      <c r="B125" s="1030" t="s">
        <v>9598</v>
      </c>
      <c r="C125" s="1031"/>
      <c r="D125" s="1032"/>
      <c r="E125" s="500" t="s">
        <v>9482</v>
      </c>
      <c r="F125" s="514" t="s">
        <v>5576</v>
      </c>
      <c r="G125" s="514" t="s">
        <v>5576</v>
      </c>
      <c r="H125" s="514" t="s">
        <v>5576</v>
      </c>
      <c r="I125" s="514" t="s">
        <v>5576</v>
      </c>
      <c r="J125" s="514" t="s">
        <v>5576</v>
      </c>
      <c r="K125" s="514" t="s">
        <v>5576</v>
      </c>
      <c r="L125" s="514" t="s">
        <v>5576</v>
      </c>
      <c r="M125" s="514" t="s">
        <v>5576</v>
      </c>
      <c r="N125" s="517" t="s">
        <v>5576</v>
      </c>
      <c r="O125" s="517" t="s">
        <v>5576</v>
      </c>
      <c r="P125" s="517" t="s">
        <v>5576</v>
      </c>
      <c r="Q125" s="517" t="s">
        <v>5576</v>
      </c>
      <c r="R125" s="517" t="s">
        <v>5576</v>
      </c>
      <c r="S125" s="517" t="s">
        <v>5576</v>
      </c>
      <c r="T125" s="502" t="s">
        <v>12356</v>
      </c>
      <c r="U125" s="207"/>
      <c r="V125" s="207"/>
      <c r="W125" s="207"/>
      <c r="X125" s="207"/>
      <c r="Y125" s="207"/>
      <c r="Z125" s="207"/>
      <c r="AA125" s="207"/>
      <c r="AB125" s="207"/>
      <c r="AC125" s="207"/>
      <c r="AD125" s="207"/>
      <c r="AE125" s="207"/>
      <c r="AF125" s="207"/>
      <c r="AG125" s="207"/>
      <c r="AH125" s="207"/>
    </row>
    <row r="126" spans="1:34" ht="10.199999999999999" customHeight="1" thickBot="1">
      <c r="A126" s="207"/>
      <c r="B126" s="1008" t="s">
        <v>5744</v>
      </c>
      <c r="C126" s="1009"/>
      <c r="D126" s="1010"/>
      <c r="E126" s="472" t="s">
        <v>5576</v>
      </c>
      <c r="F126" s="472" t="s">
        <v>5576</v>
      </c>
      <c r="G126" s="182" t="s">
        <v>5576</v>
      </c>
      <c r="H126" s="182" t="s">
        <v>5576</v>
      </c>
      <c r="I126" s="205">
        <v>98</v>
      </c>
      <c r="J126" s="182" t="s">
        <v>5576</v>
      </c>
      <c r="K126" s="182" t="s">
        <v>5576</v>
      </c>
      <c r="L126" s="182" t="s">
        <v>5576</v>
      </c>
      <c r="M126" s="202" t="s">
        <v>5576</v>
      </c>
      <c r="N126" s="770" t="s">
        <v>5576</v>
      </c>
      <c r="O126" s="182" t="s">
        <v>5576</v>
      </c>
      <c r="P126" s="182" t="s">
        <v>5576</v>
      </c>
      <c r="Q126" s="183" t="s">
        <v>5576</v>
      </c>
      <c r="R126" s="183" t="s">
        <v>5576</v>
      </c>
      <c r="S126" s="183" t="s">
        <v>5576</v>
      </c>
      <c r="T126" s="192" t="s">
        <v>12357</v>
      </c>
      <c r="U126" s="207"/>
      <c r="V126" s="207"/>
      <c r="W126" s="207"/>
      <c r="X126" s="207"/>
      <c r="Y126" s="207"/>
      <c r="Z126" s="207"/>
      <c r="AA126" s="207"/>
      <c r="AB126" s="207"/>
      <c r="AC126" s="207"/>
      <c r="AD126" s="207"/>
      <c r="AE126" s="207"/>
      <c r="AF126" s="207"/>
      <c r="AG126" s="207"/>
      <c r="AH126" s="207"/>
    </row>
    <row r="127" spans="1:34" ht="10.199999999999999" customHeight="1" thickBot="1">
      <c r="A127" s="207"/>
      <c r="B127" s="988" t="s">
        <v>2422</v>
      </c>
      <c r="C127" s="989"/>
      <c r="D127" s="990"/>
      <c r="E127" s="771" t="s">
        <v>5738</v>
      </c>
      <c r="F127" s="771">
        <v>91</v>
      </c>
      <c r="G127" s="490">
        <v>91</v>
      </c>
      <c r="H127" s="490" t="s">
        <v>5576</v>
      </c>
      <c r="I127" s="490" t="s">
        <v>5576</v>
      </c>
      <c r="J127" s="490">
        <v>90</v>
      </c>
      <c r="K127" s="490">
        <v>90</v>
      </c>
      <c r="L127" s="490">
        <v>90</v>
      </c>
      <c r="M127" s="491" t="s">
        <v>5576</v>
      </c>
      <c r="N127" s="492" t="s">
        <v>5746</v>
      </c>
      <c r="O127" s="490" t="s">
        <v>5576</v>
      </c>
      <c r="P127" s="490" t="s">
        <v>5747</v>
      </c>
      <c r="Q127" s="493" t="s">
        <v>5576</v>
      </c>
      <c r="R127" s="490" t="s">
        <v>5576</v>
      </c>
      <c r="S127" s="490" t="s">
        <v>5576</v>
      </c>
      <c r="T127" s="494" t="s">
        <v>5743</v>
      </c>
      <c r="U127" s="207"/>
      <c r="V127" s="207"/>
      <c r="W127" s="207"/>
      <c r="X127" s="207"/>
      <c r="Y127" s="207"/>
      <c r="Z127" s="207"/>
      <c r="AA127" s="207"/>
      <c r="AB127" s="207"/>
      <c r="AC127" s="207"/>
      <c r="AD127" s="207"/>
      <c r="AE127" s="207"/>
      <c r="AF127" s="207"/>
      <c r="AG127" s="207"/>
      <c r="AH127" s="207"/>
    </row>
    <row r="128" spans="1:34" ht="10.199999999999999" customHeight="1" thickBot="1">
      <c r="A128" s="207"/>
      <c r="B128" s="1008" t="s">
        <v>5748</v>
      </c>
      <c r="C128" s="1009"/>
      <c r="D128" s="1010"/>
      <c r="E128" s="472" t="s">
        <v>5576</v>
      </c>
      <c r="F128" s="472" t="s">
        <v>5576</v>
      </c>
      <c r="G128" s="182" t="s">
        <v>5576</v>
      </c>
      <c r="H128" s="182" t="s">
        <v>5576</v>
      </c>
      <c r="I128" s="182" t="s">
        <v>5576</v>
      </c>
      <c r="J128" s="182" t="s">
        <v>5576</v>
      </c>
      <c r="K128" s="182" t="s">
        <v>5576</v>
      </c>
      <c r="L128" s="182" t="s">
        <v>5576</v>
      </c>
      <c r="M128" s="202" t="s">
        <v>5576</v>
      </c>
      <c r="N128" s="770" t="s">
        <v>5576</v>
      </c>
      <c r="O128" s="205" t="s">
        <v>5749</v>
      </c>
      <c r="P128" s="182" t="s">
        <v>5576</v>
      </c>
      <c r="Q128" s="183" t="s">
        <v>5576</v>
      </c>
      <c r="R128" s="183" t="s">
        <v>5576</v>
      </c>
      <c r="S128" s="183" t="s">
        <v>5576</v>
      </c>
      <c r="T128" s="192" t="s">
        <v>5750</v>
      </c>
      <c r="U128" s="207"/>
      <c r="V128" s="207"/>
      <c r="W128" s="207"/>
      <c r="X128" s="207"/>
      <c r="Y128" s="207"/>
      <c r="Z128" s="207"/>
      <c r="AA128" s="207"/>
      <c r="AB128" s="207"/>
      <c r="AC128" s="207"/>
      <c r="AD128" s="207"/>
      <c r="AE128" s="207"/>
      <c r="AF128" s="207"/>
      <c r="AG128" s="207"/>
      <c r="AH128" s="207"/>
    </row>
    <row r="129" spans="1:34" ht="10.199999999999999" customHeight="1" thickBot="1">
      <c r="A129" s="207"/>
      <c r="B129" s="988" t="s">
        <v>5751</v>
      </c>
      <c r="C129" s="989"/>
      <c r="D129" s="990"/>
      <c r="E129" s="771" t="s">
        <v>5747</v>
      </c>
      <c r="F129" s="771" t="s">
        <v>5752</v>
      </c>
      <c r="G129" s="490">
        <v>92</v>
      </c>
      <c r="H129" s="490" t="s">
        <v>5576</v>
      </c>
      <c r="I129" s="490">
        <v>99</v>
      </c>
      <c r="J129" s="490">
        <v>91</v>
      </c>
      <c r="K129" s="490">
        <v>91</v>
      </c>
      <c r="L129" s="490">
        <v>91</v>
      </c>
      <c r="M129" s="491" t="s">
        <v>5576</v>
      </c>
      <c r="N129" s="492" t="s">
        <v>5576</v>
      </c>
      <c r="O129" s="490">
        <v>92</v>
      </c>
      <c r="P129" s="490" t="s">
        <v>5753</v>
      </c>
      <c r="Q129" s="490">
        <v>94</v>
      </c>
      <c r="R129" s="490" t="s">
        <v>5576</v>
      </c>
      <c r="S129" s="490" t="s">
        <v>5576</v>
      </c>
      <c r="T129" s="494" t="s">
        <v>5750</v>
      </c>
      <c r="U129" s="207"/>
      <c r="V129" s="207"/>
      <c r="W129" s="207"/>
      <c r="X129" s="207"/>
      <c r="Y129" s="207"/>
      <c r="Z129" s="207"/>
      <c r="AA129" s="207"/>
      <c r="AB129" s="207"/>
      <c r="AC129" s="207"/>
      <c r="AD129" s="207"/>
      <c r="AE129" s="207"/>
      <c r="AF129" s="207"/>
      <c r="AG129" s="207"/>
      <c r="AH129" s="207"/>
    </row>
    <row r="130" spans="1:34" ht="10.199999999999999" customHeight="1" thickBot="1">
      <c r="A130" s="207"/>
      <c r="B130" s="982" t="s">
        <v>5754</v>
      </c>
      <c r="C130" s="983"/>
      <c r="D130" s="984"/>
      <c r="E130" s="472" t="s">
        <v>5753</v>
      </c>
      <c r="F130" s="472" t="s">
        <v>5576</v>
      </c>
      <c r="G130" s="182">
        <v>93</v>
      </c>
      <c r="H130" s="182" t="s">
        <v>5749</v>
      </c>
      <c r="I130" s="182" t="s">
        <v>5576</v>
      </c>
      <c r="J130" s="182">
        <v>92</v>
      </c>
      <c r="K130" s="182">
        <v>92</v>
      </c>
      <c r="L130" s="182">
        <v>92</v>
      </c>
      <c r="M130" s="202" t="s">
        <v>5576</v>
      </c>
      <c r="N130" s="770" t="s">
        <v>5576</v>
      </c>
      <c r="O130" s="182">
        <v>93</v>
      </c>
      <c r="P130" s="182" t="s">
        <v>5749</v>
      </c>
      <c r="Q130" s="183" t="s">
        <v>5576</v>
      </c>
      <c r="R130" s="183" t="s">
        <v>5576</v>
      </c>
      <c r="S130" s="183" t="s">
        <v>5576</v>
      </c>
      <c r="T130" s="184" t="s">
        <v>5755</v>
      </c>
      <c r="U130" s="207"/>
      <c r="V130" s="207"/>
      <c r="W130" s="207"/>
      <c r="X130" s="207"/>
      <c r="Y130" s="207"/>
      <c r="Z130" s="207"/>
      <c r="AA130" s="207"/>
      <c r="AB130" s="207"/>
      <c r="AC130" s="207"/>
      <c r="AD130" s="207"/>
      <c r="AE130" s="207"/>
      <c r="AF130" s="207"/>
      <c r="AG130" s="207"/>
      <c r="AH130" s="207"/>
    </row>
    <row r="131" spans="1:34" ht="10.199999999999999" customHeight="1" thickBot="1">
      <c r="A131" s="207"/>
      <c r="B131" s="988" t="s">
        <v>5756</v>
      </c>
      <c r="C131" s="989"/>
      <c r="D131" s="990"/>
      <c r="E131" s="771">
        <v>91</v>
      </c>
      <c r="F131" s="771" t="s">
        <v>5576</v>
      </c>
      <c r="G131" s="490">
        <v>94</v>
      </c>
      <c r="H131" s="490" t="s">
        <v>5752</v>
      </c>
      <c r="I131" s="490" t="s">
        <v>5576</v>
      </c>
      <c r="J131" s="490">
        <v>93</v>
      </c>
      <c r="K131" s="490">
        <v>93</v>
      </c>
      <c r="L131" s="490">
        <v>93</v>
      </c>
      <c r="M131" s="491" t="s">
        <v>9654</v>
      </c>
      <c r="N131" s="492" t="s">
        <v>5576</v>
      </c>
      <c r="O131" s="490" t="s">
        <v>5576</v>
      </c>
      <c r="P131" s="490" t="s">
        <v>5576</v>
      </c>
      <c r="Q131" s="493" t="s">
        <v>5576</v>
      </c>
      <c r="R131" s="490" t="s">
        <v>5576</v>
      </c>
      <c r="S131" s="490" t="s">
        <v>5576</v>
      </c>
      <c r="T131" s="494" t="s">
        <v>5755</v>
      </c>
      <c r="U131" s="207"/>
      <c r="V131" s="207"/>
      <c r="W131" s="207"/>
      <c r="X131" s="207"/>
      <c r="Y131" s="207"/>
      <c r="Z131" s="207"/>
      <c r="AA131" s="207"/>
      <c r="AB131" s="207"/>
      <c r="AC131" s="207"/>
      <c r="AD131" s="207"/>
      <c r="AE131" s="207"/>
      <c r="AF131" s="207"/>
      <c r="AG131" s="207"/>
      <c r="AH131" s="207"/>
    </row>
    <row r="132" spans="1:34" ht="10.199999999999999" customHeight="1" thickBot="1">
      <c r="A132" s="207"/>
      <c r="B132" s="982" t="s">
        <v>5758</v>
      </c>
      <c r="C132" s="983"/>
      <c r="D132" s="984"/>
      <c r="E132" s="472">
        <v>92</v>
      </c>
      <c r="F132" s="472">
        <v>94</v>
      </c>
      <c r="G132" s="182">
        <v>95</v>
      </c>
      <c r="H132" s="182">
        <v>94</v>
      </c>
      <c r="I132" s="182" t="s">
        <v>5576</v>
      </c>
      <c r="J132" s="182">
        <v>94</v>
      </c>
      <c r="K132" s="182">
        <v>94</v>
      </c>
      <c r="L132" s="182">
        <v>94</v>
      </c>
      <c r="M132" s="202" t="s">
        <v>5576</v>
      </c>
      <c r="N132" s="770" t="s">
        <v>5576</v>
      </c>
      <c r="O132" s="182" t="s">
        <v>5576</v>
      </c>
      <c r="P132" s="182" t="s">
        <v>5752</v>
      </c>
      <c r="Q132" s="183" t="s">
        <v>5576</v>
      </c>
      <c r="R132" s="183" t="s">
        <v>5576</v>
      </c>
      <c r="S132" s="183" t="s">
        <v>5576</v>
      </c>
      <c r="T132" s="184" t="s">
        <v>5759</v>
      </c>
      <c r="U132" s="207"/>
      <c r="V132" s="207"/>
      <c r="W132" s="207"/>
      <c r="X132" s="207"/>
      <c r="Y132" s="207"/>
      <c r="Z132" s="207"/>
      <c r="AA132" s="207"/>
      <c r="AB132" s="207"/>
      <c r="AC132" s="207"/>
      <c r="AD132" s="207"/>
      <c r="AE132" s="207"/>
      <c r="AF132" s="207"/>
      <c r="AG132" s="207"/>
      <c r="AH132" s="207"/>
    </row>
    <row r="133" spans="1:34" ht="10.199999999999999" customHeight="1" thickBot="1">
      <c r="A133" s="207"/>
      <c r="B133" s="988" t="s">
        <v>2435</v>
      </c>
      <c r="C133" s="989"/>
      <c r="D133" s="990"/>
      <c r="E133" s="771" t="s">
        <v>5576</v>
      </c>
      <c r="F133" s="771" t="s">
        <v>5576</v>
      </c>
      <c r="G133" s="490" t="s">
        <v>5576</v>
      </c>
      <c r="H133" s="490" t="s">
        <v>5576</v>
      </c>
      <c r="I133" s="490" t="s">
        <v>5576</v>
      </c>
      <c r="J133" s="490">
        <v>95</v>
      </c>
      <c r="K133" s="490">
        <v>95</v>
      </c>
      <c r="L133" s="490" t="s">
        <v>5576</v>
      </c>
      <c r="M133" s="491" t="s">
        <v>5576</v>
      </c>
      <c r="N133" s="492" t="s">
        <v>5576</v>
      </c>
      <c r="O133" s="490" t="s">
        <v>5576</v>
      </c>
      <c r="P133" s="490" t="s">
        <v>5576</v>
      </c>
      <c r="Q133" s="493" t="s">
        <v>5576</v>
      </c>
      <c r="R133" s="490" t="s">
        <v>5576</v>
      </c>
      <c r="S133" s="490" t="s">
        <v>5576</v>
      </c>
      <c r="T133" s="494" t="s">
        <v>5761</v>
      </c>
      <c r="U133" s="207"/>
      <c r="V133" s="207"/>
      <c r="W133" s="207"/>
      <c r="X133" s="207"/>
      <c r="Y133" s="207"/>
      <c r="Z133" s="207"/>
      <c r="AA133" s="207"/>
      <c r="AB133" s="207"/>
      <c r="AC133" s="207"/>
      <c r="AD133" s="207"/>
      <c r="AE133" s="207"/>
      <c r="AF133" s="207"/>
      <c r="AG133" s="207"/>
      <c r="AH133" s="207"/>
    </row>
    <row r="134" spans="1:34" ht="10.199999999999999" customHeight="1" thickBot="1">
      <c r="A134" s="207"/>
      <c r="B134" s="982" t="s">
        <v>5760</v>
      </c>
      <c r="C134" s="983"/>
      <c r="D134" s="984"/>
      <c r="E134" s="472" t="s">
        <v>5576</v>
      </c>
      <c r="F134" s="472" t="s">
        <v>5576</v>
      </c>
      <c r="G134" s="182" t="s">
        <v>5576</v>
      </c>
      <c r="H134" s="182" t="s">
        <v>5576</v>
      </c>
      <c r="I134" s="182" t="s">
        <v>5576</v>
      </c>
      <c r="J134" s="182">
        <v>96</v>
      </c>
      <c r="K134" s="182">
        <v>96</v>
      </c>
      <c r="L134" s="182" t="s">
        <v>5576</v>
      </c>
      <c r="M134" s="202" t="s">
        <v>5576</v>
      </c>
      <c r="N134" s="770" t="s">
        <v>5576</v>
      </c>
      <c r="O134" s="182" t="s">
        <v>5576</v>
      </c>
      <c r="P134" s="182" t="s">
        <v>5576</v>
      </c>
      <c r="Q134" s="183" t="s">
        <v>5576</v>
      </c>
      <c r="R134" s="183" t="s">
        <v>5576</v>
      </c>
      <c r="S134" s="183" t="s">
        <v>5576</v>
      </c>
      <c r="T134" s="184" t="s">
        <v>5761</v>
      </c>
      <c r="U134" s="207"/>
      <c r="V134" s="207"/>
      <c r="W134" s="207"/>
      <c r="X134" s="207"/>
      <c r="Y134" s="207"/>
      <c r="Z134" s="207"/>
      <c r="AA134" s="207"/>
      <c r="AB134" s="207"/>
      <c r="AC134" s="207"/>
      <c r="AD134" s="207"/>
      <c r="AE134" s="207"/>
      <c r="AF134" s="207"/>
      <c r="AG134" s="207"/>
      <c r="AH134" s="207"/>
    </row>
    <row r="135" spans="1:34" ht="10.199999999999999" customHeight="1" thickBot="1">
      <c r="A135" s="207"/>
      <c r="B135" s="994" t="s">
        <v>5838</v>
      </c>
      <c r="C135" s="995"/>
      <c r="D135" s="996"/>
      <c r="E135" s="500" t="s">
        <v>5576</v>
      </c>
      <c r="F135" s="514" t="s">
        <v>5576</v>
      </c>
      <c r="G135" s="515" t="s">
        <v>5576</v>
      </c>
      <c r="H135" s="501" t="s">
        <v>5576</v>
      </c>
      <c r="I135" s="515" t="s">
        <v>5576</v>
      </c>
      <c r="J135" s="515" t="s">
        <v>5576</v>
      </c>
      <c r="K135" s="515" t="s">
        <v>5576</v>
      </c>
      <c r="L135" s="515" t="s">
        <v>5576</v>
      </c>
      <c r="M135" s="516" t="s">
        <v>5576</v>
      </c>
      <c r="N135" s="517" t="s">
        <v>5576</v>
      </c>
      <c r="O135" s="515" t="s">
        <v>5576</v>
      </c>
      <c r="P135" s="515" t="s">
        <v>5576</v>
      </c>
      <c r="Q135" s="501" t="s">
        <v>5766</v>
      </c>
      <c r="R135" s="501" t="s">
        <v>5576</v>
      </c>
      <c r="S135" s="501" t="s">
        <v>5576</v>
      </c>
      <c r="T135" s="502" t="s">
        <v>12358</v>
      </c>
      <c r="U135" s="207"/>
      <c r="V135" s="207"/>
      <c r="W135" s="207"/>
      <c r="X135" s="207"/>
      <c r="Y135" s="207"/>
      <c r="Z135" s="207"/>
      <c r="AA135" s="207"/>
      <c r="AB135" s="207"/>
      <c r="AC135" s="207"/>
      <c r="AD135" s="207"/>
      <c r="AE135" s="207"/>
      <c r="AF135" s="207"/>
      <c r="AG135" s="207"/>
      <c r="AH135" s="207"/>
    </row>
    <row r="136" spans="1:34" ht="10.199999999999999" customHeight="1" thickBot="1">
      <c r="A136" s="207"/>
      <c r="B136" s="1017" t="s">
        <v>15693</v>
      </c>
      <c r="C136" s="1018"/>
      <c r="D136" s="1019"/>
      <c r="E136" s="474" t="s">
        <v>5576</v>
      </c>
      <c r="F136" s="524" t="s">
        <v>5576</v>
      </c>
      <c r="G136" s="507" t="s">
        <v>5576</v>
      </c>
      <c r="H136" s="495" t="s">
        <v>5576</v>
      </c>
      <c r="I136" s="507" t="s">
        <v>5576</v>
      </c>
      <c r="J136" s="507" t="s">
        <v>5576</v>
      </c>
      <c r="K136" s="507" t="s">
        <v>5576</v>
      </c>
      <c r="L136" s="507">
        <v>95</v>
      </c>
      <c r="M136" s="508" t="s">
        <v>5576</v>
      </c>
      <c r="N136" s="509" t="s">
        <v>5576</v>
      </c>
      <c r="O136" s="507" t="s">
        <v>5576</v>
      </c>
      <c r="P136" s="507" t="s">
        <v>5576</v>
      </c>
      <c r="Q136" s="507" t="s">
        <v>5576</v>
      </c>
      <c r="R136" s="495" t="s">
        <v>5576</v>
      </c>
      <c r="S136" s="495" t="s">
        <v>5576</v>
      </c>
      <c r="T136" s="496" t="s">
        <v>15694</v>
      </c>
      <c r="U136" s="207"/>
      <c r="V136" s="207"/>
      <c r="W136" s="207"/>
      <c r="X136" s="207"/>
      <c r="Y136" s="207"/>
      <c r="Z136" s="207"/>
      <c r="AA136" s="207"/>
      <c r="AB136" s="207"/>
      <c r="AC136" s="207"/>
      <c r="AD136" s="207"/>
      <c r="AE136" s="207"/>
      <c r="AF136" s="207"/>
      <c r="AG136" s="207"/>
      <c r="AH136" s="207"/>
    </row>
    <row r="137" spans="1:34" ht="10.199999999999999" customHeight="1" thickBot="1">
      <c r="A137" s="207"/>
      <c r="B137" s="988" t="s">
        <v>5762</v>
      </c>
      <c r="C137" s="989"/>
      <c r="D137" s="990"/>
      <c r="E137" s="489" t="s">
        <v>9612</v>
      </c>
      <c r="F137" s="489">
        <v>95</v>
      </c>
      <c r="G137" s="490">
        <v>96</v>
      </c>
      <c r="H137" s="490">
        <v>95</v>
      </c>
      <c r="I137" s="490" t="s">
        <v>5576</v>
      </c>
      <c r="J137" s="490">
        <v>97</v>
      </c>
      <c r="K137" s="490">
        <v>97</v>
      </c>
      <c r="L137" s="490">
        <v>96</v>
      </c>
      <c r="M137" s="491" t="s">
        <v>5576</v>
      </c>
      <c r="N137" s="492" t="s">
        <v>5576</v>
      </c>
      <c r="O137" s="490">
        <v>94</v>
      </c>
      <c r="P137" s="490" t="s">
        <v>5576</v>
      </c>
      <c r="Q137" s="490">
        <v>97</v>
      </c>
      <c r="R137" s="490" t="s">
        <v>7147</v>
      </c>
      <c r="S137" s="493" t="s">
        <v>5576</v>
      </c>
      <c r="T137" s="494" t="s">
        <v>5759</v>
      </c>
      <c r="U137" s="207"/>
      <c r="V137" s="207"/>
      <c r="W137" s="207"/>
      <c r="X137" s="207"/>
      <c r="Y137" s="207"/>
      <c r="Z137" s="207"/>
      <c r="AA137" s="207"/>
      <c r="AB137" s="207"/>
      <c r="AC137" s="207"/>
      <c r="AD137" s="207"/>
      <c r="AE137" s="207"/>
      <c r="AF137" s="207"/>
      <c r="AG137" s="207"/>
      <c r="AH137" s="207"/>
    </row>
    <row r="138" spans="1:34" ht="10.199999999999999" customHeight="1" thickBot="1">
      <c r="A138" s="207"/>
      <c r="B138" s="1023" t="s">
        <v>1269</v>
      </c>
      <c r="C138" s="1024"/>
      <c r="D138" s="1025"/>
      <c r="E138" s="472" t="s">
        <v>5576</v>
      </c>
      <c r="F138" s="482" t="s">
        <v>5576</v>
      </c>
      <c r="G138" s="483" t="s">
        <v>5576</v>
      </c>
      <c r="H138" s="483" t="s">
        <v>5576</v>
      </c>
      <c r="I138" s="483" t="s">
        <v>5576</v>
      </c>
      <c r="J138" s="483" t="s">
        <v>5576</v>
      </c>
      <c r="K138" s="483" t="s">
        <v>5576</v>
      </c>
      <c r="L138" s="483" t="s">
        <v>5576</v>
      </c>
      <c r="M138" s="484" t="s">
        <v>5576</v>
      </c>
      <c r="N138" s="485" t="s">
        <v>5576</v>
      </c>
      <c r="O138" s="483" t="s">
        <v>5576</v>
      </c>
      <c r="P138" s="495" t="s">
        <v>5763</v>
      </c>
      <c r="Q138" s="486" t="s">
        <v>5576</v>
      </c>
      <c r="R138" s="483" t="s">
        <v>5576</v>
      </c>
      <c r="S138" s="507" t="s">
        <v>5576</v>
      </c>
      <c r="T138" s="496" t="s">
        <v>5764</v>
      </c>
      <c r="U138" s="207"/>
      <c r="V138" s="207"/>
      <c r="W138" s="207"/>
      <c r="X138" s="207"/>
      <c r="Y138" s="207"/>
      <c r="Z138" s="207"/>
      <c r="AA138" s="207"/>
      <c r="AB138" s="207"/>
      <c r="AC138" s="207"/>
      <c r="AD138" s="207"/>
      <c r="AE138" s="207"/>
      <c r="AF138" s="207"/>
      <c r="AG138" s="207"/>
      <c r="AH138" s="207"/>
    </row>
    <row r="139" spans="1:34" ht="10.199999999999999" customHeight="1" thickBot="1">
      <c r="A139" s="207"/>
      <c r="B139" s="988" t="s">
        <v>2445</v>
      </c>
      <c r="C139" s="989"/>
      <c r="D139" s="990"/>
      <c r="E139" s="489" t="s">
        <v>5766</v>
      </c>
      <c r="F139" s="489">
        <v>96</v>
      </c>
      <c r="G139" s="490">
        <v>97</v>
      </c>
      <c r="H139" s="490" t="s">
        <v>5576</v>
      </c>
      <c r="I139" s="490" t="s">
        <v>5576</v>
      </c>
      <c r="J139" s="490">
        <v>98</v>
      </c>
      <c r="K139" s="490">
        <v>98</v>
      </c>
      <c r="L139" s="490">
        <v>97</v>
      </c>
      <c r="M139" s="491" t="s">
        <v>5576</v>
      </c>
      <c r="N139" s="492" t="s">
        <v>5765</v>
      </c>
      <c r="O139" s="490" t="s">
        <v>5766</v>
      </c>
      <c r="P139" s="490" t="s">
        <v>5576</v>
      </c>
      <c r="Q139" s="490">
        <v>98</v>
      </c>
      <c r="R139" s="490" t="s">
        <v>7148</v>
      </c>
      <c r="S139" s="490" t="s">
        <v>12364</v>
      </c>
      <c r="T139" s="494" t="s">
        <v>5764</v>
      </c>
      <c r="U139" s="207"/>
      <c r="V139" s="207"/>
      <c r="W139" s="207"/>
      <c r="X139" s="207"/>
      <c r="Y139" s="207"/>
      <c r="Z139" s="207"/>
      <c r="AA139" s="207"/>
      <c r="AB139" s="207"/>
      <c r="AC139" s="207"/>
      <c r="AD139" s="207"/>
      <c r="AE139" s="207"/>
      <c r="AF139" s="207"/>
      <c r="AG139" s="207"/>
      <c r="AH139" s="207"/>
    </row>
    <row r="140" spans="1:34" ht="10.199999999999999" customHeight="1" thickBot="1">
      <c r="A140" s="207"/>
      <c r="B140" s="991" t="s">
        <v>2446</v>
      </c>
      <c r="C140" s="992"/>
      <c r="D140" s="993"/>
      <c r="E140" s="482" t="s">
        <v>9613</v>
      </c>
      <c r="F140" s="482">
        <v>97</v>
      </c>
      <c r="G140" s="483">
        <v>98</v>
      </c>
      <c r="H140" s="495" t="s">
        <v>5576</v>
      </c>
      <c r="I140" s="483" t="s">
        <v>5576</v>
      </c>
      <c r="J140" s="483">
        <v>99</v>
      </c>
      <c r="K140" s="483">
        <v>99</v>
      </c>
      <c r="L140" s="483">
        <v>98</v>
      </c>
      <c r="M140" s="484" t="s">
        <v>5576</v>
      </c>
      <c r="N140" s="485" t="s">
        <v>5576</v>
      </c>
      <c r="O140" s="483">
        <v>97</v>
      </c>
      <c r="P140" s="483" t="s">
        <v>5576</v>
      </c>
      <c r="Q140" s="486" t="s">
        <v>5576</v>
      </c>
      <c r="R140" s="483" t="s">
        <v>5576</v>
      </c>
      <c r="S140" s="483" t="s">
        <v>5576</v>
      </c>
      <c r="T140" s="487" t="s">
        <v>5767</v>
      </c>
      <c r="U140" s="207"/>
      <c r="V140" s="207"/>
      <c r="W140" s="207"/>
      <c r="X140" s="207"/>
      <c r="Y140" s="207"/>
      <c r="Z140" s="207"/>
      <c r="AA140" s="207"/>
      <c r="AB140" s="207"/>
      <c r="AC140" s="207"/>
      <c r="AD140" s="207"/>
      <c r="AE140" s="207"/>
      <c r="AF140" s="207"/>
      <c r="AG140" s="207"/>
      <c r="AH140" s="207"/>
    </row>
    <row r="141" spans="1:34" ht="10.199999999999999" customHeight="1" thickBot="1">
      <c r="A141" s="207"/>
      <c r="B141" s="988" t="s">
        <v>5768</v>
      </c>
      <c r="C141" s="989"/>
      <c r="D141" s="990"/>
      <c r="E141" s="471" t="s">
        <v>5576</v>
      </c>
      <c r="F141" s="489">
        <v>98</v>
      </c>
      <c r="G141" s="490">
        <v>99</v>
      </c>
      <c r="H141" s="490" t="s">
        <v>9652</v>
      </c>
      <c r="I141" s="490" t="s">
        <v>5576</v>
      </c>
      <c r="J141" s="490" t="s">
        <v>5576</v>
      </c>
      <c r="K141" s="490" t="s">
        <v>5576</v>
      </c>
      <c r="L141" s="490">
        <v>99</v>
      </c>
      <c r="M141" s="491" t="s">
        <v>5576</v>
      </c>
      <c r="N141" s="492" t="s">
        <v>5576</v>
      </c>
      <c r="O141" s="490">
        <v>98</v>
      </c>
      <c r="P141" s="490" t="s">
        <v>5576</v>
      </c>
      <c r="Q141" s="493" t="s">
        <v>5576</v>
      </c>
      <c r="R141" s="493" t="s">
        <v>5576</v>
      </c>
      <c r="S141" s="493" t="s">
        <v>5576</v>
      </c>
      <c r="T141" s="494" t="s">
        <v>12359</v>
      </c>
      <c r="U141" s="207"/>
      <c r="V141" s="207"/>
      <c r="W141" s="207"/>
      <c r="X141" s="207"/>
      <c r="Y141" s="207"/>
      <c r="Z141" s="207"/>
      <c r="AA141" s="207"/>
      <c r="AB141" s="207"/>
      <c r="AC141" s="207"/>
      <c r="AD141" s="207"/>
      <c r="AE141" s="207"/>
      <c r="AF141" s="207"/>
      <c r="AG141" s="207"/>
      <c r="AH141" s="207"/>
    </row>
    <row r="142" spans="1:34" ht="10.199999999999999" customHeight="1" thickBot="1">
      <c r="A142" s="207"/>
      <c r="B142" s="991" t="s">
        <v>2452</v>
      </c>
      <c r="C142" s="992"/>
      <c r="D142" s="993"/>
      <c r="E142" s="482" t="s">
        <v>5769</v>
      </c>
      <c r="F142" s="482" t="s">
        <v>5769</v>
      </c>
      <c r="G142" s="483">
        <v>100</v>
      </c>
      <c r="H142" s="483" t="s">
        <v>5769</v>
      </c>
      <c r="I142" s="483">
        <v>100</v>
      </c>
      <c r="J142" s="483">
        <v>100</v>
      </c>
      <c r="K142" s="483">
        <v>100</v>
      </c>
      <c r="L142" s="483">
        <v>100</v>
      </c>
      <c r="M142" s="484">
        <v>100</v>
      </c>
      <c r="N142" s="485" t="s">
        <v>5757</v>
      </c>
      <c r="O142" s="483" t="s">
        <v>5769</v>
      </c>
      <c r="P142" s="483" t="s">
        <v>5770</v>
      </c>
      <c r="Q142" s="483" t="s">
        <v>5769</v>
      </c>
      <c r="R142" s="483" t="s">
        <v>7149</v>
      </c>
      <c r="S142" s="483" t="s">
        <v>12363</v>
      </c>
      <c r="T142" s="487" t="s">
        <v>12360</v>
      </c>
      <c r="U142" s="207"/>
      <c r="V142" s="207"/>
      <c r="W142" s="207"/>
      <c r="X142" s="207"/>
      <c r="Y142" s="207"/>
      <c r="Z142" s="207"/>
      <c r="AA142" s="207"/>
      <c r="AB142" s="207"/>
      <c r="AC142" s="207"/>
      <c r="AD142" s="207"/>
      <c r="AE142" s="207"/>
      <c r="AF142" s="207"/>
      <c r="AG142" s="207"/>
      <c r="AH142" s="207"/>
    </row>
    <row r="143" spans="1:34" ht="10.199999999999999" customHeight="1">
      <c r="A143" s="207"/>
      <c r="B143" s="207"/>
      <c r="C143" s="207"/>
      <c r="D143" s="207" t="s">
        <v>5771</v>
      </c>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row>
    <row r="144" spans="1:34">
      <c r="A144" s="207"/>
      <c r="B144" s="207"/>
      <c r="C144" s="207"/>
      <c r="D144" s="208" t="s">
        <v>5772</v>
      </c>
      <c r="E144" s="208"/>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row>
    <row r="145" spans="1:34">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row>
    <row r="146" spans="1:34" ht="13.8" thickBot="1">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row>
    <row r="147" spans="1:34" ht="14.4" thickTop="1" thickBot="1">
      <c r="A147" s="978" t="s">
        <v>5836</v>
      </c>
      <c r="B147" s="978"/>
      <c r="C147" s="978"/>
      <c r="D147" s="978"/>
      <c r="E147" s="978"/>
      <c r="F147" s="978"/>
      <c r="G147" s="978"/>
      <c r="H147" s="978"/>
      <c r="I147" s="978"/>
      <c r="J147" s="978"/>
      <c r="K147" s="978"/>
      <c r="L147" s="978"/>
      <c r="M147" s="978"/>
      <c r="N147" s="978"/>
      <c r="O147" s="978"/>
      <c r="P147" s="978"/>
      <c r="Q147" s="978"/>
      <c r="R147" s="978"/>
      <c r="S147" s="978"/>
      <c r="T147" s="978"/>
      <c r="U147" s="978"/>
      <c r="V147" s="978"/>
      <c r="W147" s="978"/>
      <c r="X147" s="978"/>
      <c r="Y147" s="978"/>
      <c r="Z147" s="978"/>
      <c r="AA147" s="978"/>
      <c r="AB147" s="978"/>
      <c r="AC147" s="978"/>
      <c r="AD147" s="978"/>
      <c r="AE147" s="978"/>
      <c r="AF147" s="978"/>
      <c r="AG147" s="979"/>
      <c r="AH147" s="207"/>
    </row>
    <row r="148" spans="1:34" ht="17.399999999999999" customHeight="1" thickTop="1">
      <c r="A148" s="207"/>
      <c r="B148" s="207"/>
      <c r="C148" s="207"/>
      <c r="D148" s="1047" t="s">
        <v>846</v>
      </c>
      <c r="E148" s="1047"/>
      <c r="F148" s="1047"/>
      <c r="G148" s="207"/>
      <c r="H148" s="1048" t="s">
        <v>3087</v>
      </c>
      <c r="I148" s="1048"/>
      <c r="J148" s="1048"/>
      <c r="K148" s="1049" t="s">
        <v>13251</v>
      </c>
      <c r="L148" s="1049"/>
      <c r="M148" s="1049"/>
      <c r="N148" s="1049"/>
      <c r="O148" s="1049"/>
      <c r="P148" s="1049"/>
      <c r="Q148" s="1039" t="s">
        <v>2753</v>
      </c>
      <c r="R148" s="1040"/>
      <c r="S148" s="1040"/>
      <c r="T148" s="1040"/>
      <c r="U148" s="1040"/>
      <c r="V148" s="1040"/>
      <c r="W148" s="1041"/>
      <c r="X148" s="1042" t="s">
        <v>11255</v>
      </c>
      <c r="Y148" s="1043"/>
      <c r="Z148" s="1043"/>
      <c r="AA148" s="1044"/>
      <c r="AB148" s="1033" t="s">
        <v>13252</v>
      </c>
      <c r="AC148" s="1034"/>
      <c r="AD148" s="1035"/>
      <c r="AE148" s="1036" t="s">
        <v>11608</v>
      </c>
      <c r="AF148" s="1037"/>
      <c r="AG148" s="1038"/>
      <c r="AH148" s="207"/>
    </row>
    <row r="149" spans="1:34" ht="16.95" customHeight="1">
      <c r="A149" s="590"/>
      <c r="B149" s="210" t="s">
        <v>2455</v>
      </c>
      <c r="C149" s="211" t="s">
        <v>845</v>
      </c>
      <c r="D149" s="414" t="s">
        <v>846</v>
      </c>
      <c r="E149" s="589" t="s">
        <v>11597</v>
      </c>
      <c r="F149" s="553" t="s">
        <v>10153</v>
      </c>
      <c r="G149" s="415" t="s">
        <v>847</v>
      </c>
      <c r="H149" s="414" t="s">
        <v>17597</v>
      </c>
      <c r="I149" s="468" t="s">
        <v>5831</v>
      </c>
      <c r="J149" s="417" t="s">
        <v>5832</v>
      </c>
      <c r="K149" s="416" t="s">
        <v>5850</v>
      </c>
      <c r="L149" s="417" t="s">
        <v>5851</v>
      </c>
      <c r="M149" s="416" t="s">
        <v>5852</v>
      </c>
      <c r="N149" s="467" t="s">
        <v>9283</v>
      </c>
      <c r="O149" s="142" t="s">
        <v>10154</v>
      </c>
      <c r="P149" s="479" t="s">
        <v>9457</v>
      </c>
      <c r="Q149" s="539" t="s">
        <v>9479</v>
      </c>
      <c r="R149" s="467" t="s">
        <v>9466</v>
      </c>
      <c r="S149" s="416" t="s">
        <v>9964</v>
      </c>
      <c r="T149" s="467" t="s">
        <v>9467</v>
      </c>
      <c r="U149" s="539" t="s">
        <v>9468</v>
      </c>
      <c r="V149" s="536" t="s">
        <v>9469</v>
      </c>
      <c r="W149" s="591" t="s">
        <v>7488</v>
      </c>
      <c r="X149" s="620" t="s">
        <v>11505</v>
      </c>
      <c r="Y149" s="880" t="s">
        <v>16638</v>
      </c>
      <c r="Z149" s="881" t="s">
        <v>16637</v>
      </c>
      <c r="AA149" s="880" t="s">
        <v>16639</v>
      </c>
      <c r="AB149" s="623" t="s">
        <v>9481</v>
      </c>
      <c r="AC149" s="591" t="s">
        <v>11807</v>
      </c>
      <c r="AD149" s="886" t="s">
        <v>11808</v>
      </c>
      <c r="AE149" s="416" t="s">
        <v>11601</v>
      </c>
      <c r="AF149" s="887" t="s">
        <v>11602</v>
      </c>
      <c r="AG149" s="885" t="s">
        <v>11603</v>
      </c>
      <c r="AH149" s="207"/>
    </row>
    <row r="150" spans="1:34" s="275" customFormat="1">
      <c r="A150" s="209" t="s">
        <v>9483</v>
      </c>
      <c r="B150" s="176" t="s">
        <v>5819</v>
      </c>
      <c r="C150" s="143" t="s">
        <v>5821</v>
      </c>
      <c r="D150" s="466" t="s">
        <v>5819</v>
      </c>
      <c r="E150" s="143" t="s">
        <v>5819</v>
      </c>
      <c r="F150" s="176" t="s">
        <v>7140</v>
      </c>
      <c r="G150" s="143" t="s">
        <v>5820</v>
      </c>
      <c r="H150" s="176" t="s">
        <v>5821</v>
      </c>
      <c r="I150" s="143" t="s">
        <v>5820</v>
      </c>
      <c r="J150" s="176" t="s">
        <v>5819</v>
      </c>
      <c r="K150" s="143" t="s">
        <v>5820</v>
      </c>
      <c r="L150" s="176" t="s">
        <v>5819</v>
      </c>
      <c r="M150" s="143" t="s">
        <v>5834</v>
      </c>
      <c r="N150" s="176" t="s">
        <v>5820</v>
      </c>
      <c r="O150" s="143" t="s">
        <v>5820</v>
      </c>
      <c r="P150" s="176" t="s">
        <v>7140</v>
      </c>
      <c r="Q150" s="143" t="s">
        <v>9470</v>
      </c>
      <c r="R150" s="176" t="s">
        <v>9471</v>
      </c>
      <c r="S150" s="644" t="s">
        <v>9471</v>
      </c>
      <c r="T150" s="176" t="s">
        <v>5849</v>
      </c>
      <c r="U150" s="143" t="s">
        <v>9471</v>
      </c>
      <c r="V150" s="176" t="s">
        <v>9470</v>
      </c>
      <c r="W150" s="143" t="s">
        <v>5849</v>
      </c>
      <c r="X150" s="176" t="s">
        <v>5820</v>
      </c>
      <c r="Y150" s="622" t="s">
        <v>5820</v>
      </c>
      <c r="Z150" s="882" t="s">
        <v>5821</v>
      </c>
      <c r="AA150" s="622" t="s">
        <v>5819</v>
      </c>
      <c r="AB150" s="176" t="s">
        <v>5820</v>
      </c>
      <c r="AC150" s="622" t="s">
        <v>5834</v>
      </c>
      <c r="AD150" s="466" t="s">
        <v>5819</v>
      </c>
      <c r="AE150" s="143" t="s">
        <v>5819</v>
      </c>
      <c r="AF150" s="176" t="s">
        <v>5819</v>
      </c>
      <c r="AG150" s="143" t="s">
        <v>5820</v>
      </c>
      <c r="AH150" s="207"/>
    </row>
    <row r="151" spans="1:34">
      <c r="A151" s="209" t="s">
        <v>5809</v>
      </c>
      <c r="B151" s="176" t="s">
        <v>5820</v>
      </c>
      <c r="C151" s="143" t="s">
        <v>5820</v>
      </c>
      <c r="D151" s="466" t="s">
        <v>5819</v>
      </c>
      <c r="E151" s="143" t="s">
        <v>5819</v>
      </c>
      <c r="F151" s="176" t="s">
        <v>5819</v>
      </c>
      <c r="G151" s="143" t="s">
        <v>5819</v>
      </c>
      <c r="H151" s="176" t="s">
        <v>5821</v>
      </c>
      <c r="I151" s="143" t="s">
        <v>5819</v>
      </c>
      <c r="J151" s="176" t="s">
        <v>5819</v>
      </c>
      <c r="K151" s="143" t="s">
        <v>5819</v>
      </c>
      <c r="L151" s="176" t="s">
        <v>5834</v>
      </c>
      <c r="M151" s="143" t="s">
        <v>5834</v>
      </c>
      <c r="N151" s="176" t="s">
        <v>5819</v>
      </c>
      <c r="O151" s="143" t="s">
        <v>5819</v>
      </c>
      <c r="P151" s="176" t="s">
        <v>5833</v>
      </c>
      <c r="Q151" s="143" t="s">
        <v>5820</v>
      </c>
      <c r="R151" s="176" t="s">
        <v>5820</v>
      </c>
      <c r="S151" s="644" t="s">
        <v>5820</v>
      </c>
      <c r="T151" s="176" t="s">
        <v>5820</v>
      </c>
      <c r="U151" s="143" t="s">
        <v>5819</v>
      </c>
      <c r="V151" s="176" t="s">
        <v>5820</v>
      </c>
      <c r="W151" s="143" t="s">
        <v>5819</v>
      </c>
      <c r="X151" s="466" t="s">
        <v>11607</v>
      </c>
      <c r="Y151" s="622" t="s">
        <v>11607</v>
      </c>
      <c r="Z151" s="882" t="s">
        <v>5820</v>
      </c>
      <c r="AA151" s="622" t="s">
        <v>5821</v>
      </c>
      <c r="AB151" s="176" t="s">
        <v>5821</v>
      </c>
      <c r="AC151" s="622" t="s">
        <v>5819</v>
      </c>
      <c r="AD151" s="466" t="s">
        <v>5833</v>
      </c>
      <c r="AE151" s="143" t="s">
        <v>5819</v>
      </c>
      <c r="AF151" s="176" t="s">
        <v>5834</v>
      </c>
      <c r="AG151" s="622" t="s">
        <v>5821</v>
      </c>
      <c r="AH151" s="207"/>
    </row>
    <row r="152" spans="1:34">
      <c r="A152" s="209" t="s">
        <v>5810</v>
      </c>
      <c r="B152" s="176" t="s">
        <v>5819</v>
      </c>
      <c r="C152" s="143" t="s">
        <v>5821</v>
      </c>
      <c r="D152" s="466" t="s">
        <v>5819</v>
      </c>
      <c r="E152" s="143" t="s">
        <v>5833</v>
      </c>
      <c r="F152" s="176" t="s">
        <v>5819</v>
      </c>
      <c r="G152" s="143" t="s">
        <v>5819</v>
      </c>
      <c r="H152" s="176" t="s">
        <v>5819</v>
      </c>
      <c r="I152" s="143" t="s">
        <v>5820</v>
      </c>
      <c r="J152" s="176" t="s">
        <v>5819</v>
      </c>
      <c r="K152" s="143" t="s">
        <v>5833</v>
      </c>
      <c r="L152" s="176" t="s">
        <v>5819</v>
      </c>
      <c r="M152" s="143" t="s">
        <v>5834</v>
      </c>
      <c r="N152" s="176" t="s">
        <v>5819</v>
      </c>
      <c r="O152" s="143" t="s">
        <v>5849</v>
      </c>
      <c r="P152" s="176" t="s">
        <v>7140</v>
      </c>
      <c r="Q152" s="143" t="s">
        <v>9471</v>
      </c>
      <c r="R152" s="176" t="s">
        <v>9471</v>
      </c>
      <c r="S152" s="644" t="s">
        <v>5849</v>
      </c>
      <c r="T152" s="176" t="s">
        <v>9471</v>
      </c>
      <c r="U152" s="143" t="s">
        <v>9471</v>
      </c>
      <c r="V152" s="176" t="s">
        <v>9471</v>
      </c>
      <c r="W152" s="143" t="s">
        <v>5849</v>
      </c>
      <c r="X152" s="466" t="s">
        <v>5819</v>
      </c>
      <c r="Y152" s="622" t="s">
        <v>5820</v>
      </c>
      <c r="Z152" s="882" t="s">
        <v>5821</v>
      </c>
      <c r="AA152" s="622" t="s">
        <v>5849</v>
      </c>
      <c r="AB152" s="176" t="s">
        <v>5820</v>
      </c>
      <c r="AC152" s="622" t="s">
        <v>5819</v>
      </c>
      <c r="AD152" s="466" t="s">
        <v>5833</v>
      </c>
      <c r="AE152" s="143" t="s">
        <v>9470</v>
      </c>
      <c r="AF152" s="176" t="s">
        <v>7140</v>
      </c>
      <c r="AG152" s="622" t="s">
        <v>11606</v>
      </c>
      <c r="AH152" s="207"/>
    </row>
    <row r="153" spans="1:34">
      <c r="A153" s="209" t="s">
        <v>5848</v>
      </c>
      <c r="B153" s="176" t="s">
        <v>5819</v>
      </c>
      <c r="C153" s="143" t="s">
        <v>5821</v>
      </c>
      <c r="D153" s="466" t="s">
        <v>5819</v>
      </c>
      <c r="E153" s="143" t="s">
        <v>5833</v>
      </c>
      <c r="F153" s="176" t="s">
        <v>5820</v>
      </c>
      <c r="G153" s="143" t="s">
        <v>5820</v>
      </c>
      <c r="H153" s="176" t="s">
        <v>5833</v>
      </c>
      <c r="I153" s="143" t="s">
        <v>5820</v>
      </c>
      <c r="J153" s="176" t="s">
        <v>5833</v>
      </c>
      <c r="K153" s="143" t="s">
        <v>5849</v>
      </c>
      <c r="L153" s="176" t="s">
        <v>5820</v>
      </c>
      <c r="M153" s="143" t="s">
        <v>5819</v>
      </c>
      <c r="N153" s="176" t="s">
        <v>7140</v>
      </c>
      <c r="O153" s="143" t="s">
        <v>5849</v>
      </c>
      <c r="P153" s="176" t="s">
        <v>5849</v>
      </c>
      <c r="Q153" s="143" t="s">
        <v>9471</v>
      </c>
      <c r="R153" s="176" t="s">
        <v>9471</v>
      </c>
      <c r="S153" s="644" t="s">
        <v>9470</v>
      </c>
      <c r="T153" s="176" t="s">
        <v>9471</v>
      </c>
      <c r="U153" s="143" t="s">
        <v>9471</v>
      </c>
      <c r="V153" s="176" t="s">
        <v>9471</v>
      </c>
      <c r="W153" s="143" t="s">
        <v>5849</v>
      </c>
      <c r="X153" s="466" t="s">
        <v>5849</v>
      </c>
      <c r="Y153" s="622" t="s">
        <v>5820</v>
      </c>
      <c r="Z153" s="882" t="s">
        <v>5821</v>
      </c>
      <c r="AA153" s="622" t="s">
        <v>5849</v>
      </c>
      <c r="AB153" s="176" t="s">
        <v>5820</v>
      </c>
      <c r="AC153" s="622" t="s">
        <v>5819</v>
      </c>
      <c r="AD153" s="466" t="s">
        <v>5820</v>
      </c>
      <c r="AE153" s="143" t="s">
        <v>11604</v>
      </c>
      <c r="AF153" s="176" t="s">
        <v>5849</v>
      </c>
      <c r="AG153" s="622" t="s">
        <v>5849</v>
      </c>
      <c r="AH153" s="207"/>
    </row>
    <row r="154" spans="1:34">
      <c r="A154" s="209" t="s">
        <v>5811</v>
      </c>
      <c r="B154" s="176" t="s">
        <v>5820</v>
      </c>
      <c r="C154" s="143" t="s">
        <v>5820</v>
      </c>
      <c r="D154" s="466" t="s">
        <v>5819</v>
      </c>
      <c r="E154" s="143" t="s">
        <v>5819</v>
      </c>
      <c r="F154" s="176" t="s">
        <v>5834</v>
      </c>
      <c r="G154" s="143" t="s">
        <v>5821</v>
      </c>
      <c r="H154" s="176" t="s">
        <v>5833</v>
      </c>
      <c r="I154" s="143" t="s">
        <v>5819</v>
      </c>
      <c r="J154" s="176" t="s">
        <v>5833</v>
      </c>
      <c r="K154" s="143" t="s">
        <v>5833</v>
      </c>
      <c r="L154" s="176" t="s">
        <v>5819</v>
      </c>
      <c r="M154" s="143" t="s">
        <v>5819</v>
      </c>
      <c r="N154" s="176" t="s">
        <v>5833</v>
      </c>
      <c r="O154" s="143" t="s">
        <v>5820</v>
      </c>
      <c r="P154" s="176" t="s">
        <v>5834</v>
      </c>
      <c r="Q154" s="143" t="s">
        <v>9471</v>
      </c>
      <c r="R154" s="176" t="s">
        <v>9471</v>
      </c>
      <c r="S154" s="644" t="s">
        <v>9470</v>
      </c>
      <c r="T154" s="176" t="s">
        <v>9471</v>
      </c>
      <c r="U154" s="143" t="s">
        <v>9471</v>
      </c>
      <c r="V154" s="176" t="s">
        <v>9471</v>
      </c>
      <c r="W154" s="143" t="s">
        <v>5849</v>
      </c>
      <c r="X154" s="466" t="s">
        <v>5821</v>
      </c>
      <c r="Y154" s="622" t="s">
        <v>5819</v>
      </c>
      <c r="Z154" s="882" t="s">
        <v>5849</v>
      </c>
      <c r="AA154" s="622" t="s">
        <v>5819</v>
      </c>
      <c r="AB154" s="176" t="s">
        <v>5819</v>
      </c>
      <c r="AC154" s="622" t="s">
        <v>5834</v>
      </c>
      <c r="AD154" s="466" t="s">
        <v>5819</v>
      </c>
      <c r="AE154" s="143" t="s">
        <v>11605</v>
      </c>
      <c r="AF154" s="176" t="s">
        <v>5834</v>
      </c>
      <c r="AG154" s="622" t="s">
        <v>5821</v>
      </c>
      <c r="AH154" s="207"/>
    </row>
    <row r="155" spans="1:34">
      <c r="A155" s="209" t="s">
        <v>5812</v>
      </c>
      <c r="B155" s="176" t="s">
        <v>5819</v>
      </c>
      <c r="C155" s="143" t="s">
        <v>5819</v>
      </c>
      <c r="D155" s="466" t="s">
        <v>5819</v>
      </c>
      <c r="E155" s="143" t="s">
        <v>5834</v>
      </c>
      <c r="F155" s="176" t="s">
        <v>5833</v>
      </c>
      <c r="G155" s="143" t="s">
        <v>5819</v>
      </c>
      <c r="H155" s="176" t="s">
        <v>5820</v>
      </c>
      <c r="I155" s="143" t="s">
        <v>5834</v>
      </c>
      <c r="J155" s="176" t="s">
        <v>5819</v>
      </c>
      <c r="K155" s="143" t="s">
        <v>5819</v>
      </c>
      <c r="L155" s="176" t="s">
        <v>5819</v>
      </c>
      <c r="M155" s="143" t="s">
        <v>5819</v>
      </c>
      <c r="N155" s="176" t="s">
        <v>5820</v>
      </c>
      <c r="O155" s="143" t="s">
        <v>5821</v>
      </c>
      <c r="P155" s="176" t="s">
        <v>5819</v>
      </c>
      <c r="Q155" s="143" t="s">
        <v>5820</v>
      </c>
      <c r="R155" s="176" t="s">
        <v>5820</v>
      </c>
      <c r="S155" s="644" t="s">
        <v>5820</v>
      </c>
      <c r="T155" s="176" t="s">
        <v>5849</v>
      </c>
      <c r="U155" s="143" t="s">
        <v>5820</v>
      </c>
      <c r="V155" s="176" t="s">
        <v>5820</v>
      </c>
      <c r="W155" s="143" t="s">
        <v>5820</v>
      </c>
      <c r="X155" s="466" t="s">
        <v>9471</v>
      </c>
      <c r="Y155" s="622" t="s">
        <v>5821</v>
      </c>
      <c r="Z155" s="882" t="s">
        <v>5819</v>
      </c>
      <c r="AA155" s="622" t="s">
        <v>11607</v>
      </c>
      <c r="AB155" s="176" t="s">
        <v>5821</v>
      </c>
      <c r="AC155" s="622" t="s">
        <v>5834</v>
      </c>
      <c r="AD155" s="466" t="s">
        <v>5834</v>
      </c>
      <c r="AE155" s="143" t="s">
        <v>11605</v>
      </c>
      <c r="AF155" s="176" t="s">
        <v>5834</v>
      </c>
      <c r="AG155" s="622" t="s">
        <v>5821</v>
      </c>
      <c r="AH155" s="207"/>
    </row>
    <row r="156" spans="1:34">
      <c r="A156" s="209" t="s">
        <v>5813</v>
      </c>
      <c r="B156" s="176" t="s">
        <v>5819</v>
      </c>
      <c r="C156" s="143" t="s">
        <v>5819</v>
      </c>
      <c r="D156" s="466" t="s">
        <v>5819</v>
      </c>
      <c r="E156" s="143" t="s">
        <v>5819</v>
      </c>
      <c r="F156" s="176" t="s">
        <v>5820</v>
      </c>
      <c r="G156" s="143" t="s">
        <v>5819</v>
      </c>
      <c r="H156" s="176" t="s">
        <v>5833</v>
      </c>
      <c r="I156" s="143" t="s">
        <v>5819</v>
      </c>
      <c r="J156" s="176" t="s">
        <v>5834</v>
      </c>
      <c r="K156" s="143" t="s">
        <v>5834</v>
      </c>
      <c r="L156" s="176" t="s">
        <v>5834</v>
      </c>
      <c r="M156" s="143" t="s">
        <v>5834</v>
      </c>
      <c r="N156" s="176" t="s">
        <v>5819</v>
      </c>
      <c r="O156" s="143" t="s">
        <v>5834</v>
      </c>
      <c r="P156" s="176" t="s">
        <v>5819</v>
      </c>
      <c r="Q156" s="143" t="s">
        <v>9470</v>
      </c>
      <c r="R156" s="176" t="s">
        <v>9470</v>
      </c>
      <c r="S156" s="644" t="s">
        <v>5849</v>
      </c>
      <c r="T156" s="176" t="s">
        <v>9470</v>
      </c>
      <c r="U156" s="143" t="s">
        <v>9471</v>
      </c>
      <c r="V156" s="176" t="s">
        <v>9470</v>
      </c>
      <c r="W156" s="143" t="s">
        <v>9471</v>
      </c>
      <c r="X156" s="466" t="s">
        <v>11355</v>
      </c>
      <c r="Y156" s="622" t="s">
        <v>5819</v>
      </c>
      <c r="Z156" s="882" t="s">
        <v>5820</v>
      </c>
      <c r="AA156" s="622" t="s">
        <v>5821</v>
      </c>
      <c r="AB156" s="176" t="s">
        <v>5834</v>
      </c>
      <c r="AC156" s="622" t="s">
        <v>5819</v>
      </c>
      <c r="AD156" s="466" t="s">
        <v>5833</v>
      </c>
      <c r="AE156" s="143" t="s">
        <v>5834</v>
      </c>
      <c r="AF156" s="176" t="s">
        <v>5833</v>
      </c>
      <c r="AG156" s="622" t="s">
        <v>5819</v>
      </c>
      <c r="AH156" s="207"/>
    </row>
    <row r="157" spans="1:34">
      <c r="A157" s="209" t="s">
        <v>5814</v>
      </c>
      <c r="B157" s="176" t="s">
        <v>5819</v>
      </c>
      <c r="C157" s="143" t="s">
        <v>5820</v>
      </c>
      <c r="D157" s="466" t="s">
        <v>5819</v>
      </c>
      <c r="E157" s="143" t="s">
        <v>5834</v>
      </c>
      <c r="F157" s="176" t="s">
        <v>10155</v>
      </c>
      <c r="G157" s="143" t="s">
        <v>5821</v>
      </c>
      <c r="H157" s="176" t="s">
        <v>5821</v>
      </c>
      <c r="I157" s="143" t="s">
        <v>5821</v>
      </c>
      <c r="J157" s="176" t="s">
        <v>5821</v>
      </c>
      <c r="K157" s="143" t="s">
        <v>5819</v>
      </c>
      <c r="L157" s="176" t="s">
        <v>5819</v>
      </c>
      <c r="M157" s="143" t="s">
        <v>5819</v>
      </c>
      <c r="N157" s="176" t="s">
        <v>5819</v>
      </c>
      <c r="O157" s="143" t="s">
        <v>5834</v>
      </c>
      <c r="P157" s="176" t="s">
        <v>5819</v>
      </c>
      <c r="Q157" s="143" t="s">
        <v>5820</v>
      </c>
      <c r="R157" s="176" t="s">
        <v>9471</v>
      </c>
      <c r="S157" s="644" t="s">
        <v>5820</v>
      </c>
      <c r="T157" s="176" t="s">
        <v>5849</v>
      </c>
      <c r="U157" s="143" t="s">
        <v>5821</v>
      </c>
      <c r="V157" s="176" t="s">
        <v>5849</v>
      </c>
      <c r="W157" s="143" t="s">
        <v>5820</v>
      </c>
      <c r="X157" s="466" t="s">
        <v>5849</v>
      </c>
      <c r="Y157" s="622" t="s">
        <v>5821</v>
      </c>
      <c r="Z157" s="882" t="s">
        <v>5820</v>
      </c>
      <c r="AA157" s="622" t="s">
        <v>5821</v>
      </c>
      <c r="AB157" s="176" t="s">
        <v>5821</v>
      </c>
      <c r="AC157" s="622" t="s">
        <v>5821</v>
      </c>
      <c r="AD157" s="466" t="s">
        <v>5819</v>
      </c>
      <c r="AE157" s="143" t="s">
        <v>5821</v>
      </c>
      <c r="AF157" s="176" t="s">
        <v>5834</v>
      </c>
      <c r="AG157" s="622" t="s">
        <v>11607</v>
      </c>
      <c r="AH157" s="207"/>
    </row>
    <row r="158" spans="1:34">
      <c r="A158" s="209" t="s">
        <v>9484</v>
      </c>
      <c r="B158" s="555">
        <v>1</v>
      </c>
      <c r="C158" s="556">
        <v>1</v>
      </c>
      <c r="D158" s="555">
        <v>1</v>
      </c>
      <c r="E158" s="552">
        <v>1</v>
      </c>
      <c r="F158" s="466">
        <v>1</v>
      </c>
      <c r="G158" s="556">
        <v>1</v>
      </c>
      <c r="H158" s="555">
        <v>1</v>
      </c>
      <c r="I158" s="556">
        <v>1</v>
      </c>
      <c r="J158" s="555">
        <v>1</v>
      </c>
      <c r="K158" s="556">
        <v>1</v>
      </c>
      <c r="L158" s="555">
        <v>1</v>
      </c>
      <c r="M158" s="556">
        <v>1</v>
      </c>
      <c r="N158" s="555">
        <v>1</v>
      </c>
      <c r="O158" s="556">
        <v>2</v>
      </c>
      <c r="P158" s="555">
        <v>2</v>
      </c>
      <c r="Q158" s="556">
        <v>3</v>
      </c>
      <c r="R158" s="466">
        <v>2</v>
      </c>
      <c r="S158" s="592">
        <v>2</v>
      </c>
      <c r="T158" s="555">
        <v>2</v>
      </c>
      <c r="U158" s="556">
        <v>2</v>
      </c>
      <c r="V158" s="555">
        <v>2</v>
      </c>
      <c r="W158" s="556">
        <v>1</v>
      </c>
      <c r="X158" s="466">
        <v>1</v>
      </c>
      <c r="Y158" s="622">
        <v>2</v>
      </c>
      <c r="Z158" s="882">
        <v>1</v>
      </c>
      <c r="AA158" s="622">
        <v>2</v>
      </c>
      <c r="AB158" s="555">
        <v>1</v>
      </c>
      <c r="AC158" s="556">
        <v>1</v>
      </c>
      <c r="AD158" s="555">
        <v>1</v>
      </c>
      <c r="AE158" s="556">
        <v>5</v>
      </c>
      <c r="AF158" s="555">
        <v>3</v>
      </c>
      <c r="AG158" s="622">
        <v>4</v>
      </c>
      <c r="AH158" s="207"/>
    </row>
    <row r="159" spans="1:34">
      <c r="A159" s="209" t="s">
        <v>9485</v>
      </c>
      <c r="B159" s="924" t="s">
        <v>5835</v>
      </c>
      <c r="C159" s="925"/>
      <c r="D159" s="925"/>
      <c r="E159" s="925"/>
      <c r="F159" s="925"/>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5"/>
      <c r="AF159" s="925"/>
      <c r="AG159" s="926"/>
      <c r="AH159" s="207"/>
    </row>
    <row r="160" spans="1:34">
      <c r="A160" s="209" t="s">
        <v>5817</v>
      </c>
      <c r="B160" s="957" t="s">
        <v>5822</v>
      </c>
      <c r="C160" s="958"/>
      <c r="D160" s="958"/>
      <c r="E160" s="958"/>
      <c r="F160" s="958"/>
      <c r="G160" s="958"/>
      <c r="H160" s="958"/>
      <c r="I160" s="958"/>
      <c r="J160" s="958"/>
      <c r="K160" s="958"/>
      <c r="L160" s="958"/>
      <c r="M160" s="958"/>
      <c r="N160" s="958"/>
      <c r="O160" s="958"/>
      <c r="P160" s="958"/>
      <c r="Q160" s="958"/>
      <c r="R160" s="958"/>
      <c r="S160" s="958"/>
      <c r="T160" s="958"/>
      <c r="U160" s="958"/>
      <c r="V160" s="958"/>
      <c r="W160" s="958"/>
      <c r="X160" s="958"/>
      <c r="Y160" s="958"/>
      <c r="Z160" s="958"/>
      <c r="AA160" s="958"/>
      <c r="AB160" s="958"/>
      <c r="AC160" s="958"/>
      <c r="AD160" s="958"/>
      <c r="AE160" s="958"/>
      <c r="AF160" s="958"/>
      <c r="AG160" s="959"/>
      <c r="AH160" s="207"/>
    </row>
    <row r="161" spans="1:34">
      <c r="A161" s="209" t="s">
        <v>5818</v>
      </c>
      <c r="B161" s="924" t="s">
        <v>5823</v>
      </c>
      <c r="C161" s="925"/>
      <c r="D161" s="925"/>
      <c r="E161" s="925"/>
      <c r="F161" s="925"/>
      <c r="G161" s="925"/>
      <c r="H161" s="925"/>
      <c r="I161" s="925"/>
      <c r="J161" s="925"/>
      <c r="K161" s="925"/>
      <c r="L161" s="925"/>
      <c r="M161" s="925"/>
      <c r="N161" s="925"/>
      <c r="O161" s="925"/>
      <c r="P161" s="925"/>
      <c r="Q161" s="925"/>
      <c r="R161" s="925"/>
      <c r="S161" s="925"/>
      <c r="T161" s="925"/>
      <c r="U161" s="925"/>
      <c r="V161" s="925"/>
      <c r="W161" s="925"/>
      <c r="X161" s="925"/>
      <c r="Y161" s="925"/>
      <c r="Z161" s="925"/>
      <c r="AA161" s="925"/>
      <c r="AB161" s="925"/>
      <c r="AC161" s="925"/>
      <c r="AD161" s="925"/>
      <c r="AE161" s="925"/>
      <c r="AF161" s="925"/>
      <c r="AG161" s="926"/>
      <c r="AH161" s="207"/>
    </row>
    <row r="162" spans="1:34" ht="13.8">
      <c r="A162" s="209" t="s">
        <v>5815</v>
      </c>
      <c r="B162" s="593">
        <v>5</v>
      </c>
      <c r="C162" s="594">
        <v>4</v>
      </c>
      <c r="D162" s="593">
        <v>4</v>
      </c>
      <c r="E162" s="594">
        <v>4</v>
      </c>
      <c r="F162" s="595">
        <v>4</v>
      </c>
      <c r="G162" s="596">
        <v>3</v>
      </c>
      <c r="H162" s="593">
        <v>4</v>
      </c>
      <c r="I162" s="594">
        <v>5</v>
      </c>
      <c r="J162" s="593">
        <v>5</v>
      </c>
      <c r="K162" s="594">
        <v>4</v>
      </c>
      <c r="L162" s="593">
        <v>4</v>
      </c>
      <c r="M162" s="594">
        <v>4</v>
      </c>
      <c r="N162" s="593">
        <v>4</v>
      </c>
      <c r="O162" s="594">
        <v>5</v>
      </c>
      <c r="P162" s="593">
        <v>8</v>
      </c>
      <c r="Q162" s="594">
        <v>6</v>
      </c>
      <c r="R162" s="593">
        <v>6</v>
      </c>
      <c r="S162" s="645">
        <v>6</v>
      </c>
      <c r="T162" s="593">
        <v>6</v>
      </c>
      <c r="U162" s="594">
        <v>6</v>
      </c>
      <c r="V162" s="593">
        <v>6</v>
      </c>
      <c r="W162" s="594">
        <v>5</v>
      </c>
      <c r="X162" s="593">
        <v>5</v>
      </c>
      <c r="Y162" s="594">
        <v>4</v>
      </c>
      <c r="Z162" s="883">
        <v>6</v>
      </c>
      <c r="AA162" s="594">
        <v>4</v>
      </c>
      <c r="AB162" s="624">
        <v>4</v>
      </c>
      <c r="AC162" s="597">
        <v>4</v>
      </c>
      <c r="AD162" s="624">
        <v>4</v>
      </c>
      <c r="AE162" s="594">
        <v>6</v>
      </c>
      <c r="AF162" s="593">
        <v>6</v>
      </c>
      <c r="AG162" s="594">
        <v>6</v>
      </c>
      <c r="AH162" s="207"/>
    </row>
    <row r="163" spans="1:34" ht="13.8">
      <c r="A163" s="209" t="s">
        <v>5816</v>
      </c>
      <c r="B163" s="537">
        <v>0</v>
      </c>
      <c r="C163" s="538">
        <v>0</v>
      </c>
      <c r="D163" s="537">
        <v>0</v>
      </c>
      <c r="E163" s="538">
        <v>0</v>
      </c>
      <c r="F163" s="548">
        <v>0</v>
      </c>
      <c r="G163" s="547">
        <v>0</v>
      </c>
      <c r="H163" s="537">
        <v>1</v>
      </c>
      <c r="I163" s="538">
        <v>0</v>
      </c>
      <c r="J163" s="537">
        <v>0</v>
      </c>
      <c r="K163" s="538">
        <v>0</v>
      </c>
      <c r="L163" s="537">
        <v>0</v>
      </c>
      <c r="M163" s="538">
        <v>0</v>
      </c>
      <c r="N163" s="537">
        <v>1</v>
      </c>
      <c r="O163" s="538">
        <v>0</v>
      </c>
      <c r="P163" s="537">
        <v>0</v>
      </c>
      <c r="Q163" s="538">
        <v>1</v>
      </c>
      <c r="R163" s="537">
        <v>1</v>
      </c>
      <c r="S163" s="646">
        <v>1</v>
      </c>
      <c r="T163" s="537">
        <v>2</v>
      </c>
      <c r="U163" s="538">
        <v>1</v>
      </c>
      <c r="V163" s="537">
        <v>1</v>
      </c>
      <c r="W163" s="538">
        <v>0</v>
      </c>
      <c r="X163" s="537">
        <v>4</v>
      </c>
      <c r="Y163" s="538">
        <v>0</v>
      </c>
      <c r="Z163" s="884">
        <v>0</v>
      </c>
      <c r="AA163" s="538">
        <v>0</v>
      </c>
      <c r="AB163" s="888">
        <v>0</v>
      </c>
      <c r="AC163" s="575">
        <v>0</v>
      </c>
      <c r="AD163" s="625">
        <v>0</v>
      </c>
      <c r="AE163" s="538">
        <v>0</v>
      </c>
      <c r="AF163" s="537">
        <v>0</v>
      </c>
      <c r="AG163" s="538">
        <v>0</v>
      </c>
      <c r="AH163" s="207"/>
    </row>
    <row r="164" spans="1:34" ht="13.8">
      <c r="A164" s="209" t="s">
        <v>9486</v>
      </c>
      <c r="B164" s="537">
        <v>0</v>
      </c>
      <c r="C164" s="538">
        <v>0</v>
      </c>
      <c r="D164" s="537">
        <v>0</v>
      </c>
      <c r="E164" s="538">
        <v>0</v>
      </c>
      <c r="F164" s="548">
        <v>0</v>
      </c>
      <c r="G164" s="547">
        <v>0</v>
      </c>
      <c r="H164" s="537">
        <v>0</v>
      </c>
      <c r="I164" s="538">
        <v>0</v>
      </c>
      <c r="J164" s="537">
        <v>0</v>
      </c>
      <c r="K164" s="538">
        <v>0</v>
      </c>
      <c r="L164" s="537">
        <v>0</v>
      </c>
      <c r="M164" s="538">
        <v>0</v>
      </c>
      <c r="N164" s="537">
        <v>0</v>
      </c>
      <c r="O164" s="538">
        <v>0</v>
      </c>
      <c r="P164" s="537">
        <v>0</v>
      </c>
      <c r="Q164" s="538">
        <v>0</v>
      </c>
      <c r="R164" s="537">
        <v>0</v>
      </c>
      <c r="S164" s="646">
        <v>0</v>
      </c>
      <c r="T164" s="537">
        <v>0</v>
      </c>
      <c r="U164" s="538">
        <v>0</v>
      </c>
      <c r="V164" s="537">
        <v>0</v>
      </c>
      <c r="W164" s="538">
        <v>0</v>
      </c>
      <c r="X164" s="537">
        <v>0</v>
      </c>
      <c r="Y164" s="538">
        <v>0</v>
      </c>
      <c r="Z164" s="884">
        <v>0</v>
      </c>
      <c r="AA164" s="538">
        <v>0</v>
      </c>
      <c r="AB164" s="888">
        <v>0</v>
      </c>
      <c r="AC164" s="575">
        <v>0</v>
      </c>
      <c r="AD164" s="625">
        <v>0</v>
      </c>
      <c r="AE164" s="538">
        <v>0</v>
      </c>
      <c r="AF164" s="537">
        <v>0</v>
      </c>
      <c r="AG164" s="538">
        <v>0</v>
      </c>
      <c r="AH164" s="207"/>
    </row>
    <row r="165" spans="1:34">
      <c r="A165" s="209" t="s">
        <v>9487</v>
      </c>
      <c r="B165" s="957" t="s">
        <v>5835</v>
      </c>
      <c r="C165" s="958"/>
      <c r="D165" s="958"/>
      <c r="E165" s="958"/>
      <c r="F165" s="958"/>
      <c r="G165" s="958"/>
      <c r="H165" s="958"/>
      <c r="I165" s="958"/>
      <c r="J165" s="958"/>
      <c r="K165" s="958"/>
      <c r="L165" s="958"/>
      <c r="M165" s="958"/>
      <c r="N165" s="958"/>
      <c r="O165" s="958"/>
      <c r="P165" s="958"/>
      <c r="Q165" s="958"/>
      <c r="R165" s="958"/>
      <c r="S165" s="958"/>
      <c r="T165" s="958"/>
      <c r="U165" s="958"/>
      <c r="V165" s="958"/>
      <c r="W165" s="958"/>
      <c r="X165" s="958"/>
      <c r="Y165" s="958"/>
      <c r="Z165" s="958"/>
      <c r="AA165" s="958"/>
      <c r="AB165" s="958"/>
      <c r="AC165" s="958"/>
      <c r="AD165" s="958"/>
      <c r="AE165" s="958"/>
      <c r="AF165" s="958"/>
      <c r="AG165" s="959"/>
      <c r="AH165" s="207"/>
    </row>
    <row r="166" spans="1:34">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row>
    <row r="167" spans="1:34">
      <c r="A167" s="806" t="s">
        <v>5826</v>
      </c>
      <c r="B167" s="8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row>
    <row r="168" spans="1:34" ht="13.8">
      <c r="A168" s="125" t="s">
        <v>5793</v>
      </c>
      <c r="B168" s="179">
        <v>9</v>
      </c>
      <c r="C168" s="213">
        <v>8</v>
      </c>
      <c r="D168" s="146">
        <v>10</v>
      </c>
      <c r="E168" s="462">
        <v>11</v>
      </c>
      <c r="F168" s="537">
        <v>16</v>
      </c>
      <c r="G168" s="462">
        <v>11</v>
      </c>
      <c r="H168" s="554">
        <v>9</v>
      </c>
      <c r="I168" s="462">
        <v>11</v>
      </c>
      <c r="J168" s="463">
        <v>8</v>
      </c>
      <c r="K168" s="462">
        <v>11</v>
      </c>
      <c r="L168" s="463">
        <v>9</v>
      </c>
      <c r="M168" s="462">
        <v>9</v>
      </c>
      <c r="N168" s="178">
        <v>12</v>
      </c>
      <c r="O168" s="212">
        <v>28</v>
      </c>
      <c r="P168" s="178">
        <v>12</v>
      </c>
      <c r="Q168" s="212">
        <v>18</v>
      </c>
      <c r="R168" s="178">
        <v>16</v>
      </c>
      <c r="S168" s="647">
        <v>18</v>
      </c>
      <c r="T168" s="178">
        <v>18</v>
      </c>
      <c r="U168" s="212">
        <v>20</v>
      </c>
      <c r="V168" s="178">
        <v>18</v>
      </c>
      <c r="W168" s="212">
        <v>18</v>
      </c>
      <c r="X168" s="537">
        <v>22</v>
      </c>
      <c r="Y168" s="538">
        <v>20</v>
      </c>
      <c r="Z168" s="884">
        <v>8</v>
      </c>
      <c r="AA168" s="538">
        <v>28</v>
      </c>
      <c r="AB168" s="625">
        <v>11</v>
      </c>
      <c r="AC168" s="575">
        <v>8</v>
      </c>
      <c r="AD168" s="625">
        <v>10</v>
      </c>
      <c r="AE168" s="538">
        <v>40</v>
      </c>
      <c r="AF168" s="537">
        <v>20</v>
      </c>
      <c r="AG168" s="538">
        <v>26</v>
      </c>
      <c r="AH168" s="207"/>
    </row>
    <row r="169" spans="1:34" ht="13.8">
      <c r="A169" s="125" t="s">
        <v>5824</v>
      </c>
      <c r="B169" s="179">
        <v>10</v>
      </c>
      <c r="C169" s="213">
        <v>9</v>
      </c>
      <c r="D169" s="146">
        <v>11</v>
      </c>
      <c r="E169" s="462">
        <v>12</v>
      </c>
      <c r="F169" s="537">
        <v>18</v>
      </c>
      <c r="G169" s="462">
        <v>12</v>
      </c>
      <c r="H169" s="554">
        <v>10</v>
      </c>
      <c r="I169" s="462">
        <v>12</v>
      </c>
      <c r="J169" s="463">
        <v>9</v>
      </c>
      <c r="K169" s="462">
        <v>12</v>
      </c>
      <c r="L169" s="463">
        <v>10</v>
      </c>
      <c r="M169" s="462">
        <v>10</v>
      </c>
      <c r="N169" s="178">
        <v>13</v>
      </c>
      <c r="O169" s="212">
        <v>32</v>
      </c>
      <c r="P169" s="178">
        <v>14</v>
      </c>
      <c r="Q169" s="212">
        <v>22</v>
      </c>
      <c r="R169" s="178">
        <v>20</v>
      </c>
      <c r="S169" s="647">
        <v>20</v>
      </c>
      <c r="T169" s="178">
        <v>20</v>
      </c>
      <c r="U169" s="212">
        <v>24</v>
      </c>
      <c r="V169" s="178">
        <v>21</v>
      </c>
      <c r="W169" s="212">
        <v>20</v>
      </c>
      <c r="X169" s="537">
        <v>26</v>
      </c>
      <c r="Y169" s="538">
        <v>24</v>
      </c>
      <c r="Z169" s="884">
        <v>9</v>
      </c>
      <c r="AA169" s="538">
        <v>32</v>
      </c>
      <c r="AB169" s="888">
        <v>12</v>
      </c>
      <c r="AC169" s="575">
        <v>9</v>
      </c>
      <c r="AD169" s="625">
        <v>11</v>
      </c>
      <c r="AE169" s="538">
        <v>48</v>
      </c>
      <c r="AF169" s="537">
        <v>24</v>
      </c>
      <c r="AG169" s="538">
        <v>32</v>
      </c>
      <c r="AH169" s="207"/>
    </row>
    <row r="170" spans="1:34" ht="13.8">
      <c r="A170" s="126" t="s">
        <v>5825</v>
      </c>
      <c r="B170" s="179">
        <v>11</v>
      </c>
      <c r="C170" s="213">
        <v>10</v>
      </c>
      <c r="D170" s="146">
        <v>12</v>
      </c>
      <c r="E170" s="462">
        <v>13</v>
      </c>
      <c r="F170" s="537">
        <v>20</v>
      </c>
      <c r="G170" s="462">
        <v>13</v>
      </c>
      <c r="H170" s="554">
        <v>11</v>
      </c>
      <c r="I170" s="462">
        <v>13</v>
      </c>
      <c r="J170" s="463">
        <v>10</v>
      </c>
      <c r="K170" s="462">
        <v>13</v>
      </c>
      <c r="L170" s="463">
        <v>11</v>
      </c>
      <c r="M170" s="462">
        <v>11</v>
      </c>
      <c r="N170" s="178">
        <v>14</v>
      </c>
      <c r="O170" s="212">
        <v>36</v>
      </c>
      <c r="P170" s="178">
        <v>16</v>
      </c>
      <c r="Q170" s="212">
        <v>26</v>
      </c>
      <c r="R170" s="178">
        <v>24</v>
      </c>
      <c r="S170" s="647">
        <v>22</v>
      </c>
      <c r="T170" s="178">
        <v>22</v>
      </c>
      <c r="U170" s="212">
        <v>28</v>
      </c>
      <c r="V170" s="178">
        <v>26</v>
      </c>
      <c r="W170" s="212">
        <v>22</v>
      </c>
      <c r="X170" s="537">
        <v>30</v>
      </c>
      <c r="Y170" s="538">
        <v>28</v>
      </c>
      <c r="Z170" s="884">
        <v>10</v>
      </c>
      <c r="AA170" s="538">
        <v>36</v>
      </c>
      <c r="AB170" s="888">
        <v>13</v>
      </c>
      <c r="AC170" s="575">
        <v>10</v>
      </c>
      <c r="AD170" s="625">
        <v>12</v>
      </c>
      <c r="AE170" s="538">
        <v>56</v>
      </c>
      <c r="AF170" s="537">
        <v>28</v>
      </c>
      <c r="AG170" s="538">
        <v>38</v>
      </c>
      <c r="AH170" s="207"/>
    </row>
    <row r="171" spans="1:34" ht="13.8">
      <c r="A171" s="127">
        <v>10</v>
      </c>
      <c r="B171" s="599">
        <v>12</v>
      </c>
      <c r="C171" s="212">
        <v>11</v>
      </c>
      <c r="D171" s="178">
        <v>13</v>
      </c>
      <c r="E171" s="212">
        <v>14</v>
      </c>
      <c r="F171" s="537">
        <v>22</v>
      </c>
      <c r="G171" s="212">
        <v>14</v>
      </c>
      <c r="H171" s="600">
        <v>12</v>
      </c>
      <c r="I171" s="212">
        <v>14</v>
      </c>
      <c r="J171" s="178">
        <v>11</v>
      </c>
      <c r="K171" s="212">
        <v>14</v>
      </c>
      <c r="L171" s="178">
        <v>12</v>
      </c>
      <c r="M171" s="212">
        <v>12</v>
      </c>
      <c r="N171" s="178">
        <v>15</v>
      </c>
      <c r="O171" s="212">
        <v>38</v>
      </c>
      <c r="P171" s="178">
        <v>18</v>
      </c>
      <c r="Q171" s="212">
        <v>30</v>
      </c>
      <c r="R171" s="178">
        <v>28</v>
      </c>
      <c r="S171" s="647">
        <v>24</v>
      </c>
      <c r="T171" s="178">
        <v>24</v>
      </c>
      <c r="U171" s="212">
        <v>32</v>
      </c>
      <c r="V171" s="178">
        <v>31</v>
      </c>
      <c r="W171" s="212">
        <v>24</v>
      </c>
      <c r="X171" s="537">
        <v>34</v>
      </c>
      <c r="Y171" s="538">
        <v>32</v>
      </c>
      <c r="Z171" s="884">
        <v>11</v>
      </c>
      <c r="AA171" s="538">
        <v>38</v>
      </c>
      <c r="AB171" s="626">
        <v>14</v>
      </c>
      <c r="AC171" s="601">
        <v>11</v>
      </c>
      <c r="AD171" s="626">
        <v>13</v>
      </c>
      <c r="AE171" s="538">
        <v>64</v>
      </c>
      <c r="AF171" s="537">
        <v>32</v>
      </c>
      <c r="AG171" s="538">
        <v>42</v>
      </c>
      <c r="AH171" s="207"/>
    </row>
    <row r="172" spans="1:34">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row>
    <row r="173" spans="1:34">
      <c r="A173" s="808" t="s">
        <v>5827</v>
      </c>
      <c r="B173" s="809"/>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row>
    <row r="174" spans="1:34" ht="13.8">
      <c r="A174" s="125" t="s">
        <v>5828</v>
      </c>
      <c r="B174" s="179">
        <v>1</v>
      </c>
      <c r="C174" s="213">
        <v>2</v>
      </c>
      <c r="D174" s="146">
        <v>2</v>
      </c>
      <c r="E174" s="212">
        <v>0</v>
      </c>
      <c r="F174" s="537">
        <v>0</v>
      </c>
      <c r="G174" s="462">
        <v>1</v>
      </c>
      <c r="H174" s="554">
        <v>1</v>
      </c>
      <c r="I174" s="462">
        <v>0</v>
      </c>
      <c r="J174" s="463">
        <v>0</v>
      </c>
      <c r="K174" s="462">
        <v>0</v>
      </c>
      <c r="L174" s="463">
        <v>0</v>
      </c>
      <c r="M174" s="462">
        <v>0</v>
      </c>
      <c r="N174" s="463">
        <v>1</v>
      </c>
      <c r="O174" s="212">
        <v>0</v>
      </c>
      <c r="P174" s="178">
        <v>0</v>
      </c>
      <c r="Q174" s="212">
        <v>0</v>
      </c>
      <c r="R174" s="178">
        <v>0</v>
      </c>
      <c r="S174" s="647">
        <v>0</v>
      </c>
      <c r="T174" s="537">
        <v>0</v>
      </c>
      <c r="U174" s="538">
        <v>0</v>
      </c>
      <c r="V174" s="537">
        <v>0</v>
      </c>
      <c r="W174" s="538">
        <v>0</v>
      </c>
      <c r="X174" s="537">
        <v>1</v>
      </c>
      <c r="Y174" s="538">
        <v>0</v>
      </c>
      <c r="Z174" s="537">
        <v>0</v>
      </c>
      <c r="AA174" s="538">
        <v>0</v>
      </c>
      <c r="AB174" s="625">
        <v>0</v>
      </c>
      <c r="AC174" s="538">
        <v>0</v>
      </c>
      <c r="AD174" s="625">
        <v>0</v>
      </c>
      <c r="AE174" s="538">
        <v>0</v>
      </c>
      <c r="AF174" s="537">
        <v>0</v>
      </c>
      <c r="AG174" s="538">
        <v>0</v>
      </c>
      <c r="AH174" s="207"/>
    </row>
    <row r="175" spans="1:34" ht="13.8">
      <c r="A175" s="125" t="s">
        <v>5788</v>
      </c>
      <c r="B175" s="179">
        <v>2</v>
      </c>
      <c r="C175" s="213">
        <v>2</v>
      </c>
      <c r="D175" s="146">
        <v>3</v>
      </c>
      <c r="E175" s="212">
        <v>0</v>
      </c>
      <c r="F175" s="537">
        <v>0</v>
      </c>
      <c r="G175" s="462">
        <v>2</v>
      </c>
      <c r="H175" s="554">
        <v>2</v>
      </c>
      <c r="I175" s="462">
        <v>1</v>
      </c>
      <c r="J175" s="463">
        <v>0</v>
      </c>
      <c r="K175" s="462">
        <v>0</v>
      </c>
      <c r="L175" s="463">
        <v>0</v>
      </c>
      <c r="M175" s="462">
        <v>0</v>
      </c>
      <c r="N175" s="463">
        <v>2</v>
      </c>
      <c r="O175" s="212">
        <v>0</v>
      </c>
      <c r="P175" s="178">
        <v>0</v>
      </c>
      <c r="Q175" s="212">
        <v>0</v>
      </c>
      <c r="R175" s="178">
        <v>0</v>
      </c>
      <c r="S175" s="647">
        <v>0</v>
      </c>
      <c r="T175" s="537">
        <v>0</v>
      </c>
      <c r="U175" s="538">
        <v>0</v>
      </c>
      <c r="V175" s="537">
        <v>0</v>
      </c>
      <c r="W175" s="538">
        <v>0</v>
      </c>
      <c r="X175" s="537">
        <v>2</v>
      </c>
      <c r="Y175" s="538">
        <v>0</v>
      </c>
      <c r="Z175" s="537">
        <v>1</v>
      </c>
      <c r="AA175" s="538">
        <v>0</v>
      </c>
      <c r="AB175" s="888">
        <v>0</v>
      </c>
      <c r="AC175" s="538">
        <v>0</v>
      </c>
      <c r="AD175" s="625">
        <v>0</v>
      </c>
      <c r="AE175" s="538">
        <v>0</v>
      </c>
      <c r="AF175" s="537">
        <v>0</v>
      </c>
      <c r="AG175" s="538">
        <v>0</v>
      </c>
      <c r="AH175" s="207"/>
    </row>
    <row r="176" spans="1:34" ht="13.8">
      <c r="A176" s="126" t="s">
        <v>5829</v>
      </c>
      <c r="B176" s="179">
        <v>2</v>
      </c>
      <c r="C176" s="213">
        <v>3</v>
      </c>
      <c r="D176" s="146">
        <v>3</v>
      </c>
      <c r="E176" s="212">
        <v>1</v>
      </c>
      <c r="F176" s="537">
        <v>0</v>
      </c>
      <c r="G176" s="462">
        <v>3</v>
      </c>
      <c r="H176" s="554">
        <v>3</v>
      </c>
      <c r="I176" s="462">
        <v>2</v>
      </c>
      <c r="J176" s="463">
        <v>1</v>
      </c>
      <c r="K176" s="462">
        <v>0</v>
      </c>
      <c r="L176" s="463">
        <v>0</v>
      </c>
      <c r="M176" s="462">
        <v>0</v>
      </c>
      <c r="N176" s="463">
        <v>3</v>
      </c>
      <c r="O176" s="212">
        <v>1</v>
      </c>
      <c r="P176" s="178">
        <v>1</v>
      </c>
      <c r="Q176" s="212">
        <v>0</v>
      </c>
      <c r="R176" s="178">
        <v>0</v>
      </c>
      <c r="S176" s="647">
        <v>0</v>
      </c>
      <c r="T176" s="537">
        <v>0</v>
      </c>
      <c r="U176" s="538">
        <v>0</v>
      </c>
      <c r="V176" s="537">
        <v>0</v>
      </c>
      <c r="W176" s="538">
        <v>0</v>
      </c>
      <c r="X176" s="537">
        <v>3</v>
      </c>
      <c r="Y176" s="538">
        <v>1</v>
      </c>
      <c r="Z176" s="537">
        <v>2</v>
      </c>
      <c r="AA176" s="538">
        <v>0</v>
      </c>
      <c r="AB176" s="888">
        <v>1</v>
      </c>
      <c r="AC176" s="538">
        <v>1</v>
      </c>
      <c r="AD176" s="625">
        <v>0</v>
      </c>
      <c r="AE176" s="538">
        <v>1</v>
      </c>
      <c r="AF176" s="537">
        <v>1</v>
      </c>
      <c r="AG176" s="538">
        <v>1</v>
      </c>
      <c r="AH176" s="207"/>
    </row>
    <row r="177" spans="1:34" ht="13.8" thickBot="1">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row>
    <row r="178" spans="1:34" ht="13.95" hidden="1" customHeight="1" thickBot="1">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AB178" s="598"/>
      <c r="AC178" s="598"/>
      <c r="AD178" s="598"/>
      <c r="AH178" s="207"/>
    </row>
    <row r="179" spans="1:34" ht="13.95" hidden="1" customHeight="1" thickBot="1">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AB179" s="598"/>
      <c r="AC179" s="598"/>
      <c r="AD179" s="598"/>
      <c r="AH179" s="207"/>
    </row>
    <row r="180" spans="1:34" ht="13.95" hidden="1" customHeight="1" thickBot="1">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AB180" s="598"/>
      <c r="AC180" s="598"/>
      <c r="AD180" s="598"/>
      <c r="AH180" s="207"/>
    </row>
    <row r="181" spans="1:34" ht="13.95" hidden="1" customHeight="1" thickBot="1">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AB181" s="598"/>
      <c r="AC181" s="598"/>
      <c r="AD181" s="598"/>
      <c r="AH181" s="207"/>
    </row>
    <row r="182" spans="1:34" ht="13.95" hidden="1" customHeight="1" thickBot="1">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AB182" s="598"/>
      <c r="AC182" s="598"/>
      <c r="AD182" s="598"/>
      <c r="AH182" s="207"/>
    </row>
    <row r="183" spans="1:34" ht="13.95" hidden="1" customHeight="1" thickBot="1">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AB183" s="598"/>
      <c r="AC183" s="598"/>
      <c r="AD183" s="598"/>
      <c r="AH183" s="207"/>
    </row>
    <row r="184" spans="1:34" ht="13.95" hidden="1" customHeight="1" thickBot="1">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AB184" s="598"/>
      <c r="AC184" s="598"/>
      <c r="AD184" s="598"/>
      <c r="AH184" s="207"/>
    </row>
    <row r="185" spans="1:34" ht="13.95" hidden="1" customHeight="1" thickBot="1">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AB185" s="598"/>
      <c r="AC185" s="598"/>
      <c r="AD185" s="598"/>
      <c r="AH185" s="207"/>
    </row>
    <row r="186" spans="1:34" ht="13.95" hidden="1" customHeight="1" thickBot="1">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AB186" s="598"/>
      <c r="AC186" s="598"/>
      <c r="AD186" s="598"/>
      <c r="AH186" s="207"/>
    </row>
    <row r="187" spans="1:34" ht="13.95" hidden="1" customHeight="1" thickBot="1">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AB187" s="598"/>
      <c r="AC187" s="598"/>
      <c r="AD187" s="598"/>
      <c r="AH187" s="207"/>
    </row>
    <row r="188" spans="1:34" ht="13.95" hidden="1" customHeight="1" thickBot="1">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AB188" s="598"/>
      <c r="AC188" s="598"/>
      <c r="AD188" s="598"/>
      <c r="AH188" s="207"/>
    </row>
    <row r="189" spans="1:34" ht="13.95" hidden="1" customHeight="1" thickBot="1">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AB189" s="598"/>
      <c r="AC189" s="598"/>
      <c r="AD189" s="598"/>
      <c r="AH189" s="207"/>
    </row>
    <row r="190" spans="1:34" ht="13.95" hidden="1" customHeight="1" thickBot="1">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row>
    <row r="191" spans="1:34" ht="14.4" thickTop="1" thickBot="1">
      <c r="A191" s="978" t="s">
        <v>14729</v>
      </c>
      <c r="B191" s="978"/>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9"/>
      <c r="AH191" s="207"/>
    </row>
    <row r="192" spans="1:34" ht="14.4" thickTop="1" thickBot="1">
      <c r="A192" s="741"/>
      <c r="B192" s="741"/>
      <c r="C192" s="741"/>
      <c r="D192" s="741"/>
      <c r="E192" s="741"/>
      <c r="F192" s="741"/>
      <c r="G192" s="741"/>
      <c r="H192" s="741"/>
      <c r="I192" s="741"/>
      <c r="J192" s="741"/>
      <c r="K192" s="741"/>
      <c r="L192" s="741"/>
      <c r="M192" s="741"/>
      <c r="N192" s="741"/>
      <c r="O192" s="741"/>
      <c r="P192" s="741"/>
      <c r="Q192" s="741"/>
      <c r="R192" s="741"/>
      <c r="S192" s="742"/>
      <c r="T192" s="742"/>
      <c r="U192" s="742"/>
      <c r="V192" s="742"/>
      <c r="W192" s="741"/>
      <c r="X192" s="741"/>
      <c r="Y192" s="741"/>
      <c r="Z192" s="741"/>
      <c r="AA192" s="741"/>
      <c r="AB192" s="741"/>
      <c r="AC192" s="741"/>
      <c r="AD192" s="741"/>
      <c r="AE192" s="741"/>
      <c r="AF192" s="741"/>
      <c r="AG192" s="741"/>
      <c r="AH192" s="207"/>
    </row>
    <row r="193" spans="1:34" ht="25.2" customHeight="1" thickBot="1">
      <c r="A193" s="207"/>
      <c r="B193" s="207"/>
      <c r="C193" s="207"/>
      <c r="D193" s="207"/>
      <c r="E193" s="207"/>
      <c r="F193" s="207"/>
      <c r="G193" s="207"/>
      <c r="H193" s="207"/>
      <c r="I193" s="207"/>
      <c r="J193" s="964" t="s">
        <v>14757</v>
      </c>
      <c r="K193" s="965"/>
      <c r="L193" s="1046" t="s">
        <v>14758</v>
      </c>
      <c r="M193" s="965"/>
      <c r="N193" s="964" t="s">
        <v>14757</v>
      </c>
      <c r="O193" s="965"/>
      <c r="P193" s="964" t="s">
        <v>14758</v>
      </c>
      <c r="Q193" s="965"/>
      <c r="R193" s="207"/>
      <c r="S193" s="949" t="s">
        <v>14753</v>
      </c>
      <c r="T193" s="950"/>
      <c r="U193" s="935" t="s">
        <v>14759</v>
      </c>
      <c r="V193" s="936"/>
      <c r="W193" s="207"/>
      <c r="X193" s="207"/>
      <c r="Y193" s="207"/>
      <c r="Z193" s="207"/>
      <c r="AA193" s="207"/>
      <c r="AB193" s="207"/>
      <c r="AC193" s="207"/>
      <c r="AD193" s="207"/>
      <c r="AE193" s="207"/>
      <c r="AF193" s="207"/>
      <c r="AG193" s="207"/>
      <c r="AH193" s="207"/>
    </row>
    <row r="194" spans="1:34" ht="10.95" customHeight="1" thickBot="1">
      <c r="A194" s="207"/>
      <c r="B194" s="207"/>
      <c r="C194" s="207"/>
      <c r="D194" s="207"/>
      <c r="E194" s="207"/>
      <c r="F194" s="207"/>
      <c r="G194" s="207"/>
      <c r="H194" s="207"/>
      <c r="I194" s="207"/>
      <c r="J194" s="929" t="s">
        <v>393</v>
      </c>
      <c r="K194" s="930"/>
      <c r="L194" s="1045" t="s">
        <v>5792</v>
      </c>
      <c r="M194" s="934"/>
      <c r="N194" s="929" t="s">
        <v>440</v>
      </c>
      <c r="O194" s="930"/>
      <c r="P194" s="933" t="s">
        <v>9609</v>
      </c>
      <c r="Q194" s="934"/>
      <c r="R194" s="207"/>
      <c r="S194" s="941" t="s">
        <v>17598</v>
      </c>
      <c r="T194" s="942"/>
      <c r="U194" s="937" t="s">
        <v>435</v>
      </c>
      <c r="V194" s="938"/>
      <c r="W194" s="207"/>
      <c r="X194" s="207"/>
      <c r="Y194" s="207"/>
      <c r="Z194" s="207"/>
      <c r="AA194" s="207"/>
      <c r="AB194" s="207"/>
      <c r="AC194" s="207"/>
      <c r="AD194" s="207"/>
      <c r="AE194" s="207"/>
      <c r="AF194" s="207"/>
      <c r="AG194" s="207"/>
      <c r="AH194" s="207"/>
    </row>
    <row r="195" spans="1:34" ht="10.95" customHeight="1" thickBot="1">
      <c r="A195" s="207"/>
      <c r="B195" s="207"/>
      <c r="C195" s="207"/>
      <c r="D195" s="207"/>
      <c r="E195" s="207"/>
      <c r="F195" s="207"/>
      <c r="G195" s="207"/>
      <c r="H195" s="207"/>
      <c r="I195" s="207"/>
      <c r="J195" s="927" t="s">
        <v>14604</v>
      </c>
      <c r="K195" s="928"/>
      <c r="L195" s="966" t="s">
        <v>14730</v>
      </c>
      <c r="M195" s="952"/>
      <c r="N195" s="927" t="s">
        <v>2903</v>
      </c>
      <c r="O195" s="928"/>
      <c r="P195" s="951" t="s">
        <v>5670</v>
      </c>
      <c r="Q195" s="952"/>
      <c r="R195" s="207"/>
      <c r="S195" s="947" t="s">
        <v>2750</v>
      </c>
      <c r="T195" s="948" t="s">
        <v>9578</v>
      </c>
      <c r="U195" s="939" t="s">
        <v>10818</v>
      </c>
      <c r="V195" s="940"/>
      <c r="W195" s="207"/>
      <c r="X195" s="207"/>
      <c r="Y195" s="207"/>
      <c r="Z195" s="207"/>
      <c r="AA195" s="207"/>
      <c r="AB195" s="207"/>
      <c r="AC195" s="207"/>
      <c r="AD195" s="207"/>
      <c r="AE195" s="207"/>
      <c r="AF195" s="207"/>
      <c r="AG195" s="207"/>
      <c r="AH195" s="207"/>
    </row>
    <row r="196" spans="1:34" ht="10.95" customHeight="1" thickBot="1">
      <c r="A196" s="207"/>
      <c r="B196" s="207"/>
      <c r="C196" s="207"/>
      <c r="D196" s="207"/>
      <c r="E196" s="207"/>
      <c r="F196" s="207"/>
      <c r="G196" s="207"/>
      <c r="H196" s="207"/>
      <c r="I196" s="207"/>
      <c r="J196" s="931" t="s">
        <v>14603</v>
      </c>
      <c r="K196" s="932"/>
      <c r="L196" s="1052" t="s">
        <v>5797</v>
      </c>
      <c r="M196" s="963"/>
      <c r="N196" s="931" t="s">
        <v>793</v>
      </c>
      <c r="O196" s="932"/>
      <c r="P196" s="962" t="s">
        <v>5685</v>
      </c>
      <c r="Q196" s="963"/>
      <c r="R196" s="207"/>
      <c r="S196" s="931" t="s">
        <v>2735</v>
      </c>
      <c r="T196" s="932" t="s">
        <v>7472</v>
      </c>
      <c r="U196" s="937" t="s">
        <v>16707</v>
      </c>
      <c r="V196" s="938"/>
      <c r="W196" s="207"/>
      <c r="X196" s="207"/>
      <c r="Y196" s="207"/>
      <c r="Z196" s="207"/>
      <c r="AA196" s="207"/>
      <c r="AB196" s="207"/>
      <c r="AC196" s="207"/>
      <c r="AD196" s="207"/>
      <c r="AE196" s="207"/>
      <c r="AF196" s="207"/>
      <c r="AG196" s="207"/>
      <c r="AH196" s="207"/>
    </row>
    <row r="197" spans="1:34" ht="10.95" customHeight="1" thickBot="1">
      <c r="A197" s="207"/>
      <c r="B197" s="207"/>
      <c r="C197" s="207"/>
      <c r="D197" s="207"/>
      <c r="E197" s="207"/>
      <c r="F197" s="207"/>
      <c r="G197" s="207"/>
      <c r="H197" s="207"/>
      <c r="I197" s="207"/>
      <c r="J197" s="927" t="s">
        <v>14605</v>
      </c>
      <c r="K197" s="928"/>
      <c r="L197" s="966" t="s">
        <v>5799</v>
      </c>
      <c r="M197" s="952"/>
      <c r="N197" s="968" t="s">
        <v>795</v>
      </c>
      <c r="O197" s="969"/>
      <c r="P197" s="951" t="s">
        <v>5680</v>
      </c>
      <c r="Q197" s="952"/>
      <c r="R197" s="207"/>
      <c r="S197" s="927" t="s">
        <v>2748</v>
      </c>
      <c r="T197" s="928"/>
      <c r="U197" s="939" t="s">
        <v>9578</v>
      </c>
      <c r="V197" s="940"/>
      <c r="W197" s="207"/>
      <c r="X197" s="207"/>
      <c r="Y197" s="207"/>
      <c r="Z197" s="207"/>
      <c r="AA197" s="207"/>
      <c r="AB197" s="207"/>
      <c r="AC197" s="207"/>
      <c r="AD197" s="207"/>
      <c r="AE197" s="207"/>
      <c r="AF197" s="207"/>
      <c r="AG197" s="207"/>
      <c r="AH197" s="207"/>
    </row>
    <row r="198" spans="1:34" ht="10.95" customHeight="1" thickBot="1">
      <c r="A198" s="207"/>
      <c r="B198" s="207"/>
      <c r="C198" s="207"/>
      <c r="D198" s="207"/>
      <c r="E198" s="207"/>
      <c r="F198" s="207"/>
      <c r="G198" s="207"/>
      <c r="H198" s="207"/>
      <c r="I198" s="207"/>
      <c r="J198" s="931" t="s">
        <v>394</v>
      </c>
      <c r="K198" s="932"/>
      <c r="L198" s="1052" t="s">
        <v>5790</v>
      </c>
      <c r="M198" s="963"/>
      <c r="N198" s="931" t="s">
        <v>794</v>
      </c>
      <c r="O198" s="932"/>
      <c r="P198" s="962" t="s">
        <v>5699</v>
      </c>
      <c r="Q198" s="963"/>
      <c r="R198" s="207"/>
      <c r="S198" s="945" t="s">
        <v>4673</v>
      </c>
      <c r="T198" s="946"/>
      <c r="U198" s="937" t="s">
        <v>2881</v>
      </c>
      <c r="V198" s="938"/>
      <c r="W198" s="207"/>
      <c r="X198" s="207"/>
      <c r="Y198" s="207"/>
      <c r="Z198" s="207"/>
      <c r="AA198" s="207"/>
      <c r="AB198" s="207"/>
      <c r="AC198" s="207"/>
      <c r="AD198" s="207"/>
      <c r="AE198" s="207"/>
      <c r="AF198" s="207"/>
      <c r="AG198" s="207"/>
      <c r="AH198" s="207"/>
    </row>
    <row r="199" spans="1:34" ht="22.2" customHeight="1" thickBot="1">
      <c r="A199" s="207"/>
      <c r="B199" s="207"/>
      <c r="C199" s="207"/>
      <c r="D199" s="207"/>
      <c r="E199" s="207"/>
      <c r="F199" s="207"/>
      <c r="G199" s="207"/>
      <c r="H199" s="207"/>
      <c r="I199" s="207"/>
      <c r="J199" s="927" t="s">
        <v>396</v>
      </c>
      <c r="K199" s="928"/>
      <c r="L199" s="966" t="s">
        <v>5800</v>
      </c>
      <c r="M199" s="952"/>
      <c r="N199" s="968" t="s">
        <v>796</v>
      </c>
      <c r="O199" s="969"/>
      <c r="P199" s="951" t="s">
        <v>5705</v>
      </c>
      <c r="Q199" s="952"/>
      <c r="R199" s="207"/>
      <c r="S199" s="947" t="s">
        <v>14760</v>
      </c>
      <c r="T199" s="948"/>
      <c r="U199" s="939" t="s">
        <v>7472</v>
      </c>
      <c r="V199" s="940"/>
      <c r="W199" s="207"/>
      <c r="X199" s="207"/>
      <c r="Y199" s="207"/>
      <c r="Z199" s="207"/>
      <c r="AA199" s="207"/>
      <c r="AB199" s="207"/>
      <c r="AC199" s="207"/>
      <c r="AD199" s="207"/>
      <c r="AE199" s="207"/>
      <c r="AF199" s="207"/>
      <c r="AG199" s="207"/>
      <c r="AH199" s="207"/>
    </row>
    <row r="200" spans="1:34" ht="10.95" customHeight="1" thickBot="1">
      <c r="A200" s="207"/>
      <c r="B200" s="207"/>
      <c r="C200" s="207"/>
      <c r="D200" s="207"/>
      <c r="E200" s="207"/>
      <c r="F200" s="207"/>
      <c r="G200" s="207"/>
      <c r="H200" s="207"/>
      <c r="I200" s="207"/>
      <c r="J200" s="931" t="s">
        <v>398</v>
      </c>
      <c r="K200" s="932"/>
      <c r="L200" s="962" t="s">
        <v>14731</v>
      </c>
      <c r="M200" s="963"/>
      <c r="N200" s="970" t="s">
        <v>797</v>
      </c>
      <c r="O200" s="971"/>
      <c r="P200" s="962" t="s">
        <v>5708</v>
      </c>
      <c r="Q200" s="963"/>
      <c r="R200" s="207"/>
      <c r="S200" s="941" t="s">
        <v>14756</v>
      </c>
      <c r="T200" s="942"/>
      <c r="U200" s="937" t="s">
        <v>14754</v>
      </c>
      <c r="V200" s="938"/>
      <c r="W200" s="207"/>
      <c r="X200" s="207"/>
      <c r="Y200" s="207"/>
      <c r="Z200" s="207"/>
      <c r="AA200" s="207"/>
      <c r="AB200" s="207"/>
      <c r="AC200" s="207"/>
      <c r="AD200" s="207"/>
      <c r="AE200" s="207"/>
      <c r="AF200" s="207"/>
      <c r="AG200" s="207"/>
      <c r="AH200" s="207"/>
    </row>
    <row r="201" spans="1:34" ht="23.4" customHeight="1" thickBot="1">
      <c r="A201" s="207"/>
      <c r="B201" s="207"/>
      <c r="C201" s="207"/>
      <c r="D201" s="207"/>
      <c r="E201" s="207"/>
      <c r="F201" s="207"/>
      <c r="G201" s="207"/>
      <c r="H201" s="207"/>
      <c r="I201" s="207"/>
      <c r="J201" s="927" t="s">
        <v>399</v>
      </c>
      <c r="K201" s="928"/>
      <c r="L201" s="951" t="s">
        <v>14732</v>
      </c>
      <c r="M201" s="952"/>
      <c r="N201" s="968" t="s">
        <v>798</v>
      </c>
      <c r="O201" s="969"/>
      <c r="P201" s="951" t="s">
        <v>9610</v>
      </c>
      <c r="Q201" s="952"/>
      <c r="R201" s="207"/>
      <c r="S201" s="947" t="s">
        <v>15880</v>
      </c>
      <c r="T201" s="948"/>
      <c r="U201" s="939" t="s">
        <v>805</v>
      </c>
      <c r="V201" s="940"/>
      <c r="W201" s="207"/>
      <c r="X201" s="207"/>
      <c r="Y201" s="207"/>
      <c r="Z201" s="207"/>
      <c r="AA201" s="207"/>
      <c r="AB201" s="207"/>
      <c r="AC201" s="207"/>
      <c r="AD201" s="207"/>
      <c r="AE201" s="207"/>
      <c r="AF201" s="207"/>
      <c r="AG201" s="207"/>
      <c r="AH201" s="207"/>
    </row>
    <row r="202" spans="1:34" ht="10.95" customHeight="1" thickBot="1">
      <c r="A202" s="207"/>
      <c r="B202" s="207"/>
      <c r="C202" s="207"/>
      <c r="D202" s="207"/>
      <c r="E202" s="207"/>
      <c r="F202" s="207"/>
      <c r="G202" s="207"/>
      <c r="H202" s="207"/>
      <c r="I202" s="207"/>
      <c r="J202" s="931" t="s">
        <v>401</v>
      </c>
      <c r="K202" s="932"/>
      <c r="L202" s="962" t="s">
        <v>5595</v>
      </c>
      <c r="M202" s="963"/>
      <c r="N202" s="931" t="s">
        <v>4873</v>
      </c>
      <c r="O202" s="932"/>
      <c r="P202" s="962" t="s">
        <v>9611</v>
      </c>
      <c r="Q202" s="963"/>
      <c r="R202" s="207"/>
      <c r="S202" s="941" t="s">
        <v>2740</v>
      </c>
      <c r="T202" s="942"/>
      <c r="U202" s="937" t="s">
        <v>16717</v>
      </c>
      <c r="V202" s="938"/>
      <c r="W202" s="207"/>
      <c r="X202" s="207"/>
      <c r="Y202" s="207"/>
      <c r="Z202" s="207"/>
      <c r="AA202" s="207"/>
      <c r="AB202" s="207"/>
      <c r="AC202" s="207"/>
      <c r="AD202" s="207"/>
      <c r="AE202" s="207"/>
      <c r="AF202" s="207"/>
      <c r="AG202" s="207"/>
      <c r="AH202" s="207"/>
    </row>
    <row r="203" spans="1:34" ht="19.95" customHeight="1" thickBot="1">
      <c r="A203" s="207"/>
      <c r="B203" s="207"/>
      <c r="C203" s="207"/>
      <c r="D203" s="207"/>
      <c r="E203" s="207"/>
      <c r="F203" s="207"/>
      <c r="G203" s="207"/>
      <c r="H203" s="207"/>
      <c r="I203" s="207"/>
      <c r="J203" s="927" t="s">
        <v>402</v>
      </c>
      <c r="K203" s="928"/>
      <c r="L203" s="951" t="s">
        <v>5598</v>
      </c>
      <c r="M203" s="952"/>
      <c r="N203" s="927" t="s">
        <v>799</v>
      </c>
      <c r="O203" s="928"/>
      <c r="P203" s="951" t="s">
        <v>14736</v>
      </c>
      <c r="Q203" s="952"/>
      <c r="R203" s="207"/>
      <c r="S203" s="943" t="s">
        <v>15881</v>
      </c>
      <c r="T203" s="944"/>
      <c r="U203" s="953" t="s">
        <v>810</v>
      </c>
      <c r="V203" s="954"/>
      <c r="W203" s="207"/>
      <c r="X203" s="207"/>
      <c r="Y203" s="207"/>
      <c r="Z203" s="207"/>
      <c r="AA203" s="207"/>
      <c r="AB203" s="207"/>
      <c r="AC203" s="207"/>
      <c r="AD203" s="207"/>
      <c r="AE203" s="207"/>
      <c r="AF203" s="207"/>
      <c r="AG203" s="207"/>
      <c r="AH203" s="207"/>
    </row>
    <row r="204" spans="1:34" ht="10.95" customHeight="1" thickBot="1">
      <c r="A204" s="207"/>
      <c r="B204" s="207"/>
      <c r="C204" s="207"/>
      <c r="D204" s="207"/>
      <c r="E204" s="207"/>
      <c r="F204" s="207"/>
      <c r="G204" s="207"/>
      <c r="H204" s="207"/>
      <c r="I204" s="207"/>
      <c r="J204" s="931" t="s">
        <v>404</v>
      </c>
      <c r="K204" s="932"/>
      <c r="L204" s="962" t="s">
        <v>5612</v>
      </c>
      <c r="M204" s="963"/>
      <c r="N204" s="931" t="s">
        <v>800</v>
      </c>
      <c r="O204" s="932"/>
      <c r="P204" s="962" t="s">
        <v>5714</v>
      </c>
      <c r="Q204" s="963"/>
      <c r="R204" s="207"/>
      <c r="S204" s="941" t="s">
        <v>2749</v>
      </c>
      <c r="T204" s="942"/>
      <c r="U204" s="937" t="s">
        <v>3837</v>
      </c>
      <c r="V204" s="938"/>
      <c r="W204" s="207"/>
      <c r="X204" s="207"/>
      <c r="Y204" s="207"/>
      <c r="Z204" s="207"/>
      <c r="AA204" s="207"/>
      <c r="AB204" s="207"/>
      <c r="AC204" s="207"/>
      <c r="AD204" s="207"/>
      <c r="AE204" s="207"/>
      <c r="AF204" s="207"/>
      <c r="AG204" s="207"/>
      <c r="AH204" s="207"/>
    </row>
    <row r="205" spans="1:34" ht="10.95" customHeight="1" thickBot="1">
      <c r="A205" s="207"/>
      <c r="B205" s="207"/>
      <c r="C205" s="207"/>
      <c r="D205" s="207"/>
      <c r="E205" s="207"/>
      <c r="F205" s="207"/>
      <c r="G205" s="207"/>
      <c r="H205" s="207"/>
      <c r="I205" s="207"/>
      <c r="J205" s="927" t="s">
        <v>405</v>
      </c>
      <c r="K205" s="928"/>
      <c r="L205" s="951" t="s">
        <v>5606</v>
      </c>
      <c r="M205" s="952"/>
      <c r="N205" s="960" t="s">
        <v>801</v>
      </c>
      <c r="O205" s="961"/>
      <c r="P205" s="951" t="s">
        <v>14737</v>
      </c>
      <c r="Q205" s="952"/>
      <c r="R205" s="207"/>
      <c r="S205" s="1050" t="s">
        <v>10860</v>
      </c>
      <c r="T205" s="1051"/>
      <c r="U205" s="953" t="s">
        <v>439</v>
      </c>
      <c r="V205" s="954"/>
      <c r="W205" s="207"/>
      <c r="X205" s="207"/>
      <c r="Y205" s="207"/>
      <c r="Z205" s="207"/>
      <c r="AA205" s="207"/>
      <c r="AB205" s="207"/>
      <c r="AC205" s="207"/>
      <c r="AD205" s="207"/>
      <c r="AE205" s="207"/>
      <c r="AF205" s="207"/>
      <c r="AG205" s="207"/>
      <c r="AH205" s="207"/>
    </row>
    <row r="206" spans="1:34" ht="10.95" customHeight="1" thickBot="1">
      <c r="A206" s="207"/>
      <c r="B206" s="207"/>
      <c r="C206" s="207"/>
      <c r="D206" s="207"/>
      <c r="E206" s="207"/>
      <c r="F206" s="207"/>
      <c r="G206" s="207"/>
      <c r="H206" s="207"/>
      <c r="I206" s="207"/>
      <c r="J206" s="931" t="s">
        <v>408</v>
      </c>
      <c r="K206" s="932"/>
      <c r="L206" s="962" t="s">
        <v>5604</v>
      </c>
      <c r="M206" s="963"/>
      <c r="N206" s="970" t="s">
        <v>806</v>
      </c>
      <c r="O206" s="971"/>
      <c r="P206" s="962" t="s">
        <v>10031</v>
      </c>
      <c r="Q206" s="963"/>
      <c r="R206" s="207"/>
      <c r="S206" s="945" t="s">
        <v>4674</v>
      </c>
      <c r="T206" s="946"/>
      <c r="U206" s="937" t="s">
        <v>392</v>
      </c>
      <c r="V206" s="938"/>
      <c r="W206" s="207"/>
      <c r="X206" s="207"/>
      <c r="Y206" s="207"/>
      <c r="Z206" s="207"/>
      <c r="AA206" s="207"/>
      <c r="AB206" s="207"/>
      <c r="AC206" s="207"/>
      <c r="AD206" s="207"/>
      <c r="AE206" s="207"/>
      <c r="AF206" s="207"/>
      <c r="AG206" s="207"/>
      <c r="AH206" s="207"/>
    </row>
    <row r="207" spans="1:34" ht="10.95" customHeight="1" thickBot="1">
      <c r="A207" s="207"/>
      <c r="B207" s="207"/>
      <c r="C207" s="207"/>
      <c r="D207" s="207"/>
      <c r="E207" s="207"/>
      <c r="F207" s="207"/>
      <c r="G207" s="207"/>
      <c r="H207" s="207"/>
      <c r="I207" s="207"/>
      <c r="J207" s="927" t="s">
        <v>414</v>
      </c>
      <c r="K207" s="928"/>
      <c r="L207" s="951" t="s">
        <v>14733</v>
      </c>
      <c r="M207" s="952"/>
      <c r="N207" s="927" t="s">
        <v>13257</v>
      </c>
      <c r="O207" s="928"/>
      <c r="P207" s="951" t="s">
        <v>14738</v>
      </c>
      <c r="Q207" s="952"/>
      <c r="R207" s="207"/>
      <c r="S207" s="947" t="s">
        <v>3077</v>
      </c>
      <c r="T207" s="948"/>
      <c r="U207" s="953" t="s">
        <v>416</v>
      </c>
      <c r="V207" s="954"/>
      <c r="W207" s="207"/>
      <c r="X207" s="207"/>
      <c r="Y207" s="207"/>
      <c r="Z207" s="207"/>
      <c r="AA207" s="207"/>
      <c r="AB207" s="207"/>
      <c r="AC207" s="207"/>
      <c r="AD207" s="207"/>
      <c r="AE207" s="207"/>
      <c r="AF207" s="207"/>
      <c r="AG207" s="207"/>
      <c r="AH207" s="207"/>
    </row>
    <row r="208" spans="1:34" ht="10.95" customHeight="1" thickBot="1">
      <c r="A208" s="207"/>
      <c r="B208" s="207"/>
      <c r="C208" s="207"/>
      <c r="D208" s="207"/>
      <c r="E208" s="207"/>
      <c r="F208" s="207"/>
      <c r="G208" s="207"/>
      <c r="H208" s="207"/>
      <c r="I208" s="207"/>
      <c r="J208" s="931" t="s">
        <v>415</v>
      </c>
      <c r="K208" s="932"/>
      <c r="L208" s="962" t="s">
        <v>5625</v>
      </c>
      <c r="M208" s="963"/>
      <c r="N208" s="931" t="s">
        <v>807</v>
      </c>
      <c r="O208" s="932"/>
      <c r="P208" s="962" t="s">
        <v>14739</v>
      </c>
      <c r="Q208" s="963"/>
      <c r="R208" s="207"/>
      <c r="S208" s="941" t="s">
        <v>14755</v>
      </c>
      <c r="T208" s="942"/>
      <c r="U208" s="937" t="s">
        <v>812</v>
      </c>
      <c r="V208" s="938"/>
      <c r="W208" s="207"/>
      <c r="X208" s="207"/>
      <c r="Y208" s="207"/>
      <c r="Z208" s="207"/>
      <c r="AA208" s="207"/>
      <c r="AB208" s="207"/>
      <c r="AC208" s="207"/>
      <c r="AD208" s="207"/>
      <c r="AE208" s="207"/>
      <c r="AF208" s="207"/>
      <c r="AG208" s="207"/>
      <c r="AH208" s="207"/>
    </row>
    <row r="209" spans="1:34" ht="10.95" customHeight="1" thickBot="1">
      <c r="A209" s="207"/>
      <c r="B209" s="207"/>
      <c r="C209" s="207"/>
      <c r="D209" s="207"/>
      <c r="E209" s="207"/>
      <c r="F209" s="207"/>
      <c r="G209" s="207"/>
      <c r="H209" s="207"/>
      <c r="I209" s="207"/>
      <c r="J209" s="927" t="s">
        <v>418</v>
      </c>
      <c r="K209" s="928"/>
      <c r="L209" s="951" t="s">
        <v>5624</v>
      </c>
      <c r="M209" s="952"/>
      <c r="N209" s="960" t="s">
        <v>808</v>
      </c>
      <c r="O209" s="961"/>
      <c r="P209" s="951" t="s">
        <v>5735</v>
      </c>
      <c r="Q209" s="952"/>
      <c r="R209" s="207"/>
      <c r="S209" s="955" t="s">
        <v>12777</v>
      </c>
      <c r="T209" s="956"/>
      <c r="U209" s="939" t="s">
        <v>803</v>
      </c>
      <c r="V209" s="940"/>
      <c r="W209" s="207"/>
      <c r="X209" s="207"/>
      <c r="Y209" s="207"/>
      <c r="Z209" s="207"/>
      <c r="AA209" s="207"/>
      <c r="AB209" s="207"/>
      <c r="AC209" s="207"/>
      <c r="AD209" s="207"/>
      <c r="AE209" s="207"/>
      <c r="AF209" s="207"/>
      <c r="AG209" s="207"/>
      <c r="AH209" s="207"/>
    </row>
    <row r="210" spans="1:34" ht="10.95" customHeight="1" thickBot="1">
      <c r="A210" s="207"/>
      <c r="B210" s="207"/>
      <c r="C210" s="207"/>
      <c r="D210" s="207"/>
      <c r="E210" s="207"/>
      <c r="F210" s="207"/>
      <c r="G210" s="207"/>
      <c r="H210" s="207"/>
      <c r="I210" s="207"/>
      <c r="J210" s="931" t="s">
        <v>419</v>
      </c>
      <c r="K210" s="932"/>
      <c r="L210" s="962" t="s">
        <v>5642</v>
      </c>
      <c r="M210" s="963"/>
      <c r="N210" s="931" t="s">
        <v>810</v>
      </c>
      <c r="O210" s="932"/>
      <c r="P210" s="962" t="s">
        <v>9482</v>
      </c>
      <c r="Q210" s="963"/>
      <c r="R210" s="207"/>
      <c r="S210" s="941" t="s">
        <v>9064</v>
      </c>
      <c r="T210" s="942"/>
      <c r="U210" s="937" t="s">
        <v>5900</v>
      </c>
      <c r="V210" s="938"/>
      <c r="W210" s="207"/>
      <c r="X210" s="207"/>
      <c r="Y210" s="207"/>
      <c r="Z210" s="207"/>
      <c r="AA210" s="207"/>
      <c r="AB210" s="207"/>
      <c r="AC210" s="207"/>
      <c r="AD210" s="207"/>
      <c r="AE210" s="207"/>
      <c r="AF210" s="207"/>
      <c r="AG210" s="207"/>
      <c r="AH210" s="207"/>
    </row>
    <row r="211" spans="1:34" ht="10.95" customHeight="1" thickBot="1">
      <c r="A211" s="207"/>
      <c r="B211" s="207"/>
      <c r="C211" s="207"/>
      <c r="D211" s="207"/>
      <c r="E211" s="207"/>
      <c r="F211" s="207"/>
      <c r="G211" s="207"/>
      <c r="H211" s="207"/>
      <c r="I211" s="207"/>
      <c r="J211" s="927" t="s">
        <v>421</v>
      </c>
      <c r="K211" s="928"/>
      <c r="L211" s="951" t="s">
        <v>5640</v>
      </c>
      <c r="M211" s="952"/>
      <c r="N211" s="927" t="s">
        <v>811</v>
      </c>
      <c r="O211" s="928"/>
      <c r="P211" s="951" t="s">
        <v>5738</v>
      </c>
      <c r="Q211" s="952"/>
      <c r="R211" s="207"/>
      <c r="S211" s="207"/>
      <c r="T211" s="207"/>
      <c r="U211" s="207"/>
      <c r="V211" s="207"/>
      <c r="W211" s="207"/>
      <c r="X211" s="207"/>
      <c r="Y211" s="207"/>
      <c r="Z211" s="207"/>
      <c r="AA211" s="207"/>
      <c r="AB211" s="207"/>
      <c r="AC211" s="207"/>
      <c r="AD211" s="207"/>
      <c r="AE211" s="207"/>
      <c r="AF211" s="207"/>
      <c r="AG211" s="207"/>
      <c r="AH211" s="207"/>
    </row>
    <row r="212" spans="1:34" ht="10.95" customHeight="1" thickBot="1">
      <c r="A212" s="207"/>
      <c r="B212" s="207"/>
      <c r="C212" s="207"/>
      <c r="D212" s="207"/>
      <c r="E212" s="207"/>
      <c r="F212" s="207"/>
      <c r="G212" s="207"/>
      <c r="H212" s="207"/>
      <c r="I212" s="207"/>
      <c r="J212" s="970" t="s">
        <v>16739</v>
      </c>
      <c r="K212" s="971"/>
      <c r="L212" s="937" t="s">
        <v>5650</v>
      </c>
      <c r="M212" s="938"/>
      <c r="N212" s="931" t="s">
        <v>814</v>
      </c>
      <c r="O212" s="932"/>
      <c r="P212" s="937" t="s">
        <v>5747</v>
      </c>
      <c r="Q212" s="938"/>
      <c r="R212" s="207"/>
      <c r="S212" s="207"/>
      <c r="T212" s="207"/>
      <c r="U212" s="207"/>
      <c r="V212" s="207"/>
      <c r="W212" s="207"/>
      <c r="X212" s="207"/>
      <c r="Y212" s="207"/>
      <c r="Z212" s="207"/>
      <c r="AA212" s="207"/>
      <c r="AB212" s="207"/>
      <c r="AC212" s="207"/>
      <c r="AD212" s="207"/>
      <c r="AE212" s="207"/>
      <c r="AF212" s="207"/>
      <c r="AG212" s="207"/>
      <c r="AH212" s="207"/>
    </row>
    <row r="213" spans="1:34" ht="10.95" customHeight="1" thickBot="1">
      <c r="A213" s="207"/>
      <c r="B213" s="207"/>
      <c r="C213" s="207"/>
      <c r="D213" s="207"/>
      <c r="E213" s="207"/>
      <c r="F213" s="207"/>
      <c r="G213" s="207"/>
      <c r="H213" s="207"/>
      <c r="I213" s="207"/>
      <c r="J213" s="960" t="s">
        <v>423</v>
      </c>
      <c r="K213" s="961"/>
      <c r="L213" s="966" t="s">
        <v>5652</v>
      </c>
      <c r="M213" s="967"/>
      <c r="N213" s="960" t="s">
        <v>815</v>
      </c>
      <c r="O213" s="961"/>
      <c r="P213" s="966" t="s">
        <v>14740</v>
      </c>
      <c r="Q213" s="967"/>
      <c r="R213" s="207"/>
      <c r="S213" s="207"/>
      <c r="T213" s="207"/>
      <c r="U213" s="207"/>
      <c r="V213" s="207"/>
      <c r="W213" s="207"/>
      <c r="X213" s="207"/>
      <c r="Y213" s="207"/>
      <c r="Z213" s="207"/>
      <c r="AA213" s="207"/>
      <c r="AB213" s="207"/>
      <c r="AC213" s="207"/>
      <c r="AD213" s="207"/>
      <c r="AE213" s="207"/>
      <c r="AF213" s="207"/>
      <c r="AG213" s="207"/>
      <c r="AH213" s="207"/>
    </row>
    <row r="214" spans="1:34" ht="10.95" customHeight="1" thickBot="1">
      <c r="A214" s="207"/>
      <c r="B214" s="207"/>
      <c r="C214" s="207"/>
      <c r="D214" s="207"/>
      <c r="E214" s="207"/>
      <c r="F214" s="207"/>
      <c r="G214" s="207"/>
      <c r="H214" s="207"/>
      <c r="I214" s="207"/>
      <c r="J214" s="931" t="s">
        <v>424</v>
      </c>
      <c r="K214" s="932"/>
      <c r="L214" s="962" t="s">
        <v>5645</v>
      </c>
      <c r="M214" s="963"/>
      <c r="N214" s="931" t="s">
        <v>816</v>
      </c>
      <c r="O214" s="932"/>
      <c r="P214" s="962" t="s">
        <v>5749</v>
      </c>
      <c r="Q214" s="963"/>
      <c r="R214" s="207"/>
      <c r="S214" s="207"/>
      <c r="T214" s="207"/>
      <c r="U214" s="207"/>
      <c r="V214" s="207"/>
      <c r="W214" s="207"/>
      <c r="X214" s="207"/>
      <c r="Y214" s="207"/>
      <c r="Z214" s="207"/>
      <c r="AA214" s="207"/>
      <c r="AB214" s="207"/>
      <c r="AC214" s="207"/>
      <c r="AD214" s="207"/>
      <c r="AE214" s="207"/>
      <c r="AF214" s="207"/>
      <c r="AG214" s="207"/>
      <c r="AH214" s="207"/>
    </row>
    <row r="215" spans="1:34" ht="10.95" customHeight="1" thickBot="1">
      <c r="A215" s="207"/>
      <c r="B215" s="207"/>
      <c r="C215" s="207"/>
      <c r="D215" s="207"/>
      <c r="E215" s="207"/>
      <c r="F215" s="207"/>
      <c r="G215" s="207"/>
      <c r="H215" s="207"/>
      <c r="I215" s="207"/>
      <c r="J215" s="927" t="s">
        <v>427</v>
      </c>
      <c r="K215" s="928"/>
      <c r="L215" s="951" t="s">
        <v>14734</v>
      </c>
      <c r="M215" s="952"/>
      <c r="N215" s="927" t="s">
        <v>16908</v>
      </c>
      <c r="O215" s="928"/>
      <c r="P215" s="951" t="s">
        <v>5752</v>
      </c>
      <c r="Q215" s="952"/>
      <c r="R215" s="207"/>
      <c r="S215" s="207"/>
      <c r="T215" s="207"/>
      <c r="U215" s="207"/>
      <c r="V215" s="207"/>
      <c r="W215" s="207"/>
      <c r="X215" s="207"/>
      <c r="Y215" s="207"/>
      <c r="Z215" s="207"/>
      <c r="AA215" s="207"/>
      <c r="AB215" s="207"/>
      <c r="AC215" s="207"/>
      <c r="AD215" s="207"/>
      <c r="AE215" s="207"/>
      <c r="AF215" s="207"/>
      <c r="AG215" s="207"/>
      <c r="AH215" s="207"/>
    </row>
    <row r="216" spans="1:34" ht="10.95" customHeight="1" thickBot="1">
      <c r="A216" s="207"/>
      <c r="B216" s="207"/>
      <c r="C216" s="207"/>
      <c r="D216" s="207"/>
      <c r="E216" s="207"/>
      <c r="F216" s="207"/>
      <c r="G216" s="207"/>
      <c r="H216" s="207"/>
      <c r="I216" s="207"/>
      <c r="J216" s="931" t="s">
        <v>428</v>
      </c>
      <c r="K216" s="932"/>
      <c r="L216" s="962" t="s">
        <v>14735</v>
      </c>
      <c r="M216" s="963"/>
      <c r="N216" s="931" t="s">
        <v>817</v>
      </c>
      <c r="O216" s="932"/>
      <c r="P216" s="962" t="s">
        <v>14741</v>
      </c>
      <c r="Q216" s="963"/>
      <c r="R216" s="207"/>
      <c r="S216" s="207"/>
      <c r="T216" s="207"/>
      <c r="U216" s="207"/>
      <c r="V216" s="207"/>
      <c r="W216" s="207"/>
      <c r="X216" s="207"/>
      <c r="Y216" s="207"/>
      <c r="Z216" s="207"/>
      <c r="AA216" s="207"/>
      <c r="AB216" s="207"/>
      <c r="AC216" s="207"/>
      <c r="AD216" s="207"/>
      <c r="AE216" s="207"/>
      <c r="AF216" s="207"/>
      <c r="AG216" s="207"/>
      <c r="AH216" s="207"/>
    </row>
    <row r="217" spans="1:34" ht="10.95" customHeight="1" thickBot="1">
      <c r="A217" s="207"/>
      <c r="B217" s="207"/>
      <c r="C217" s="207"/>
      <c r="D217" s="207"/>
      <c r="E217" s="207"/>
      <c r="F217" s="207"/>
      <c r="G217" s="207"/>
      <c r="H217" s="207"/>
      <c r="I217" s="207"/>
      <c r="J217" s="960" t="s">
        <v>431</v>
      </c>
      <c r="K217" s="961"/>
      <c r="L217" s="966" t="s">
        <v>5654</v>
      </c>
      <c r="M217" s="967"/>
      <c r="N217" s="960" t="s">
        <v>14698</v>
      </c>
      <c r="O217" s="961"/>
      <c r="P217" s="966" t="s">
        <v>14742</v>
      </c>
      <c r="Q217" s="967"/>
      <c r="R217" s="207"/>
      <c r="S217" s="207"/>
      <c r="T217" s="207"/>
      <c r="U217" s="207"/>
      <c r="V217" s="207"/>
      <c r="W217" s="207"/>
      <c r="X217" s="207"/>
      <c r="Y217" s="207"/>
      <c r="Z217" s="207"/>
      <c r="AA217" s="207"/>
      <c r="AB217" s="207"/>
      <c r="AC217" s="207"/>
      <c r="AD217" s="207"/>
      <c r="AE217" s="207"/>
      <c r="AF217" s="207"/>
      <c r="AG217" s="207"/>
      <c r="AH217" s="207"/>
    </row>
    <row r="218" spans="1:34" ht="10.95" customHeight="1" thickBot="1">
      <c r="A218" s="207"/>
      <c r="B218" s="207"/>
      <c r="C218" s="207"/>
      <c r="D218" s="207"/>
      <c r="E218" s="207"/>
      <c r="F218" s="207"/>
      <c r="G218" s="207"/>
      <c r="H218" s="207"/>
      <c r="I218" s="207"/>
      <c r="J218" s="931" t="s">
        <v>436</v>
      </c>
      <c r="K218" s="932"/>
      <c r="L218" s="962" t="s">
        <v>5660</v>
      </c>
      <c r="M218" s="963"/>
      <c r="N218" s="931" t="s">
        <v>2879</v>
      </c>
      <c r="O218" s="932"/>
      <c r="P218" s="962" t="s">
        <v>14752</v>
      </c>
      <c r="Q218" s="963"/>
      <c r="R218" s="207"/>
      <c r="S218" s="207"/>
      <c r="T218" s="207"/>
      <c r="U218" s="207"/>
      <c r="V218" s="207"/>
      <c r="W218" s="207"/>
      <c r="X218" s="207"/>
      <c r="Y218" s="207"/>
      <c r="Z218" s="207"/>
      <c r="AA218" s="207"/>
      <c r="AB218" s="207"/>
      <c r="AC218" s="207"/>
      <c r="AD218" s="207"/>
      <c r="AE218" s="207"/>
      <c r="AF218" s="207"/>
      <c r="AG218" s="207"/>
      <c r="AH218" s="207"/>
    </row>
    <row r="219" spans="1:34" ht="10.95" customHeight="1">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row>
    <row r="222" spans="1:34">
      <c r="AB222" s="598"/>
      <c r="AC222" s="598"/>
      <c r="AD222" s="598"/>
    </row>
    <row r="223" spans="1:34">
      <c r="AB223" s="598"/>
      <c r="AC223" s="598"/>
      <c r="AD223" s="598"/>
    </row>
    <row r="224" spans="1:34">
      <c r="AB224" s="598"/>
      <c r="AC224" s="598"/>
      <c r="AD224" s="598"/>
    </row>
    <row r="225" spans="28:30">
      <c r="AB225" s="598"/>
      <c r="AC225" s="598"/>
      <c r="AD225" s="598"/>
    </row>
    <row r="226" spans="28:30">
      <c r="AB226" s="598"/>
      <c r="AC226" s="598"/>
      <c r="AD226" s="598"/>
    </row>
    <row r="227" spans="28:30">
      <c r="AB227" s="598"/>
      <c r="AC227" s="598"/>
      <c r="AD227" s="598"/>
    </row>
    <row r="228" spans="28:30">
      <c r="AB228" s="598"/>
      <c r="AC228" s="598"/>
      <c r="AD228" s="598"/>
    </row>
    <row r="229" spans="28:30">
      <c r="AB229" s="598"/>
      <c r="AC229" s="598"/>
      <c r="AD229" s="598"/>
    </row>
    <row r="230" spans="28:30">
      <c r="AB230" s="598"/>
      <c r="AC230" s="598"/>
      <c r="AD230" s="598"/>
    </row>
    <row r="231" spans="28:30">
      <c r="AB231" s="598"/>
      <c r="AC231" s="598"/>
      <c r="AD231" s="598"/>
    </row>
    <row r="232" spans="28:30">
      <c r="AB232" s="598"/>
      <c r="AC232" s="598"/>
      <c r="AD232" s="598"/>
    </row>
    <row r="233" spans="28:30">
      <c r="AB233" s="598"/>
      <c r="AC233" s="598"/>
      <c r="AD233" s="598"/>
    </row>
    <row r="234" spans="28:30">
      <c r="AB234" s="598"/>
      <c r="AC234" s="598"/>
      <c r="AD234" s="598"/>
    </row>
    <row r="235" spans="28:30">
      <c r="AB235" s="598"/>
      <c r="AC235" s="598"/>
      <c r="AD235" s="598"/>
    </row>
    <row r="236" spans="28:30">
      <c r="AB236" s="598"/>
      <c r="AC236" s="598"/>
      <c r="AD236" s="598"/>
    </row>
    <row r="237" spans="28:30">
      <c r="AB237" s="598"/>
      <c r="AC237" s="598"/>
      <c r="AD237" s="598"/>
    </row>
    <row r="238" spans="28:30">
      <c r="AB238" s="598"/>
      <c r="AC238" s="598"/>
      <c r="AD238" s="598"/>
    </row>
    <row r="239" spans="28:30">
      <c r="AB239" s="598"/>
      <c r="AC239" s="598"/>
      <c r="AD239" s="598"/>
    </row>
    <row r="240" spans="28:30">
      <c r="AB240" s="598"/>
      <c r="AC240" s="598"/>
      <c r="AD240" s="598"/>
    </row>
    <row r="241" spans="28:30">
      <c r="AB241" s="598"/>
      <c r="AC241" s="598"/>
      <c r="AD241" s="598"/>
    </row>
    <row r="242" spans="28:30">
      <c r="AB242" s="598"/>
      <c r="AC242" s="598"/>
      <c r="AD242" s="598"/>
    </row>
    <row r="243" spans="28:30">
      <c r="AB243" s="598"/>
      <c r="AC243" s="598"/>
      <c r="AD243" s="598"/>
    </row>
    <row r="244" spans="28:30">
      <c r="AB244" s="598"/>
      <c r="AC244" s="598"/>
      <c r="AD244" s="598"/>
    </row>
    <row r="245" spans="28:30">
      <c r="AB245" s="598"/>
      <c r="AC245" s="598"/>
      <c r="AD245" s="598"/>
    </row>
    <row r="246" spans="28:30">
      <c r="AB246" s="598"/>
      <c r="AC246" s="598"/>
      <c r="AD246" s="598"/>
    </row>
    <row r="280" spans="10:10">
      <c r="J280" s="598"/>
    </row>
    <row r="281" spans="10:10">
      <c r="J281" s="598"/>
    </row>
    <row r="282" spans="10:10">
      <c r="J282" s="598"/>
    </row>
    <row r="283" spans="10:10">
      <c r="J283" s="598"/>
    </row>
    <row r="284" spans="10:10">
      <c r="J284" s="598"/>
    </row>
    <row r="285" spans="10:10">
      <c r="J285" s="598"/>
    </row>
    <row r="286" spans="10:10">
      <c r="J286" s="598"/>
    </row>
    <row r="287" spans="10:10">
      <c r="J287" s="598"/>
    </row>
    <row r="288" spans="10:10">
      <c r="J288" s="598"/>
    </row>
    <row r="289" spans="10:10">
      <c r="J289" s="598"/>
    </row>
    <row r="290" spans="10:10">
      <c r="J290" s="598"/>
    </row>
    <row r="291" spans="10:10">
      <c r="J291" s="598"/>
    </row>
    <row r="292" spans="10:10">
      <c r="J292" s="598"/>
    </row>
  </sheetData>
  <sortState xmlns:xlrd2="http://schemas.microsoft.com/office/spreadsheetml/2017/richdata2" ref="V5:V33">
    <sortCondition ref="V5:V33"/>
  </sortState>
  <mergeCells count="312">
    <mergeCell ref="J201:K201"/>
    <mergeCell ref="J202:K202"/>
    <mergeCell ref="L195:M195"/>
    <mergeCell ref="L196:M196"/>
    <mergeCell ref="L197:M197"/>
    <mergeCell ref="L198:M198"/>
    <mergeCell ref="L199:M199"/>
    <mergeCell ref="L200:M200"/>
    <mergeCell ref="L201:M201"/>
    <mergeCell ref="S194:T194"/>
    <mergeCell ref="S195:T195"/>
    <mergeCell ref="S196:T196"/>
    <mergeCell ref="S197:T197"/>
    <mergeCell ref="S200:T200"/>
    <mergeCell ref="N195:O195"/>
    <mergeCell ref="N207:O207"/>
    <mergeCell ref="N208:O208"/>
    <mergeCell ref="S204:T204"/>
    <mergeCell ref="S205:T205"/>
    <mergeCell ref="S206:T206"/>
    <mergeCell ref="S201:T201"/>
    <mergeCell ref="P207:Q207"/>
    <mergeCell ref="P208:Q208"/>
    <mergeCell ref="L88:L89"/>
    <mergeCell ref="L122:L123"/>
    <mergeCell ref="N206:O206"/>
    <mergeCell ref="N194:O194"/>
    <mergeCell ref="L194:M194"/>
    <mergeCell ref="P206:Q206"/>
    <mergeCell ref="A191:AG191"/>
    <mergeCell ref="U202:V202"/>
    <mergeCell ref="U203:V203"/>
    <mergeCell ref="U204:V204"/>
    <mergeCell ref="U205:V205"/>
    <mergeCell ref="L202:M202"/>
    <mergeCell ref="L203:M203"/>
    <mergeCell ref="L204:M204"/>
    <mergeCell ref="L205:M205"/>
    <mergeCell ref="N205:O205"/>
    <mergeCell ref="J203:K203"/>
    <mergeCell ref="J204:K204"/>
    <mergeCell ref="J193:K193"/>
    <mergeCell ref="L193:M193"/>
    <mergeCell ref="D148:F148"/>
    <mergeCell ref="H148:J148"/>
    <mergeCell ref="K148:P148"/>
    <mergeCell ref="B139:D139"/>
    <mergeCell ref="AB148:AD148"/>
    <mergeCell ref="AE148:AG148"/>
    <mergeCell ref="Q148:W148"/>
    <mergeCell ref="X148:AA148"/>
    <mergeCell ref="G112:G113"/>
    <mergeCell ref="B113:D113"/>
    <mergeCell ref="B122:D122"/>
    <mergeCell ref="B123:D123"/>
    <mergeCell ref="B124:D124"/>
    <mergeCell ref="B116:D116"/>
    <mergeCell ref="L116:L117"/>
    <mergeCell ref="B140:D140"/>
    <mergeCell ref="B141:D141"/>
    <mergeCell ref="B142:D142"/>
    <mergeCell ref="B133:D133"/>
    <mergeCell ref="B134:D134"/>
    <mergeCell ref="B135:D135"/>
    <mergeCell ref="B137:D137"/>
    <mergeCell ref="B136:D136"/>
    <mergeCell ref="A147:AG147"/>
    <mergeCell ref="T2:T3"/>
    <mergeCell ref="B138:D138"/>
    <mergeCell ref="B128:D128"/>
    <mergeCell ref="B129:D129"/>
    <mergeCell ref="B130:D130"/>
    <mergeCell ref="B131:D131"/>
    <mergeCell ref="B132:D132"/>
    <mergeCell ref="J112:J113"/>
    <mergeCell ref="K112:K113"/>
    <mergeCell ref="L112:L113"/>
    <mergeCell ref="M112:M113"/>
    <mergeCell ref="B114:D114"/>
    <mergeCell ref="B126:D126"/>
    <mergeCell ref="B127:D127"/>
    <mergeCell ref="B117:D117"/>
    <mergeCell ref="B118:D118"/>
    <mergeCell ref="B119:D119"/>
    <mergeCell ref="B120:D120"/>
    <mergeCell ref="B121:D121"/>
    <mergeCell ref="B110:D110"/>
    <mergeCell ref="B111:D111"/>
    <mergeCell ref="B112:D112"/>
    <mergeCell ref="B115:D115"/>
    <mergeCell ref="B125:D125"/>
    <mergeCell ref="B105:D105"/>
    <mergeCell ref="B106:D106"/>
    <mergeCell ref="B107:D107"/>
    <mergeCell ref="B108:D108"/>
    <mergeCell ref="B109:D109"/>
    <mergeCell ref="B100:D100"/>
    <mergeCell ref="B101:D101"/>
    <mergeCell ref="B102:D102"/>
    <mergeCell ref="B103:D103"/>
    <mergeCell ref="B104:D104"/>
    <mergeCell ref="B96:D96"/>
    <mergeCell ref="B97:D97"/>
    <mergeCell ref="B98:D98"/>
    <mergeCell ref="B99:D99"/>
    <mergeCell ref="B95:D95"/>
    <mergeCell ref="B90:D90"/>
    <mergeCell ref="B91:D91"/>
    <mergeCell ref="B92:D92"/>
    <mergeCell ref="B93:D93"/>
    <mergeCell ref="B94:D94"/>
    <mergeCell ref="B87:D87"/>
    <mergeCell ref="B88:D88"/>
    <mergeCell ref="B89:D89"/>
    <mergeCell ref="B76:D76"/>
    <mergeCell ref="B77:D77"/>
    <mergeCell ref="B67:D67"/>
    <mergeCell ref="B68:D68"/>
    <mergeCell ref="B69:D69"/>
    <mergeCell ref="B70:D70"/>
    <mergeCell ref="B72:D72"/>
    <mergeCell ref="B84:D84"/>
    <mergeCell ref="B86:D86"/>
    <mergeCell ref="B80:D80"/>
    <mergeCell ref="B79:D79"/>
    <mergeCell ref="B78:D78"/>
    <mergeCell ref="B81:D81"/>
    <mergeCell ref="B82:D82"/>
    <mergeCell ref="B83:D83"/>
    <mergeCell ref="B85:D85"/>
    <mergeCell ref="B66:D66"/>
    <mergeCell ref="B56:D56"/>
    <mergeCell ref="B57:D57"/>
    <mergeCell ref="B58:D58"/>
    <mergeCell ref="B60:D60"/>
    <mergeCell ref="B61:D61"/>
    <mergeCell ref="B73:D73"/>
    <mergeCell ref="B74:D74"/>
    <mergeCell ref="B75:D75"/>
    <mergeCell ref="B71:D71"/>
    <mergeCell ref="B59:D59"/>
    <mergeCell ref="B63:D63"/>
    <mergeCell ref="B64:D64"/>
    <mergeCell ref="B65:D65"/>
    <mergeCell ref="B62:D62"/>
    <mergeCell ref="B42:D42"/>
    <mergeCell ref="B43:D43"/>
    <mergeCell ref="B44:D44"/>
    <mergeCell ref="B36:D36"/>
    <mergeCell ref="B38:D38"/>
    <mergeCell ref="B39:D39"/>
    <mergeCell ref="B40:D40"/>
    <mergeCell ref="B30:D30"/>
    <mergeCell ref="B37:D37"/>
    <mergeCell ref="B35:D35"/>
    <mergeCell ref="B31:D31"/>
    <mergeCell ref="B32:D32"/>
    <mergeCell ref="B33:D33"/>
    <mergeCell ref="B34:D34"/>
    <mergeCell ref="R2:R3"/>
    <mergeCell ref="Q2:Q3"/>
    <mergeCell ref="B25:D25"/>
    <mergeCell ref="B27:D27"/>
    <mergeCell ref="B28:D28"/>
    <mergeCell ref="B29:D29"/>
    <mergeCell ref="B4:D4"/>
    <mergeCell ref="B2:D2"/>
    <mergeCell ref="B3:D3"/>
    <mergeCell ref="B5:D5"/>
    <mergeCell ref="B6:D6"/>
    <mergeCell ref="P2:P3"/>
    <mergeCell ref="B16:D16"/>
    <mergeCell ref="B17:D17"/>
    <mergeCell ref="B18:D18"/>
    <mergeCell ref="N2:N3"/>
    <mergeCell ref="B7:D7"/>
    <mergeCell ref="B8:D8"/>
    <mergeCell ref="B9:D9"/>
    <mergeCell ref="B10:D10"/>
    <mergeCell ref="B11:D11"/>
    <mergeCell ref="B13:D13"/>
    <mergeCell ref="O2:O3"/>
    <mergeCell ref="B22:D22"/>
    <mergeCell ref="B26:D26"/>
    <mergeCell ref="A1:AG1"/>
    <mergeCell ref="F72:F73"/>
    <mergeCell ref="B14:D14"/>
    <mergeCell ref="B19:D19"/>
    <mergeCell ref="B20:D20"/>
    <mergeCell ref="B21:D21"/>
    <mergeCell ref="B23:D23"/>
    <mergeCell ref="B24:D24"/>
    <mergeCell ref="B15:D15"/>
    <mergeCell ref="B41:D41"/>
    <mergeCell ref="B50:D50"/>
    <mergeCell ref="B51:D51"/>
    <mergeCell ref="B52:D52"/>
    <mergeCell ref="B53:D53"/>
    <mergeCell ref="B54:D54"/>
    <mergeCell ref="B45:D45"/>
    <mergeCell ref="B46:D46"/>
    <mergeCell ref="B47:D47"/>
    <mergeCell ref="B48:D48"/>
    <mergeCell ref="B49:D49"/>
    <mergeCell ref="B55:D55"/>
    <mergeCell ref="S2:S3"/>
    <mergeCell ref="B12:D12"/>
    <mergeCell ref="E2:M2"/>
    <mergeCell ref="J216:K216"/>
    <mergeCell ref="J217:K217"/>
    <mergeCell ref="J218:K218"/>
    <mergeCell ref="N215:O215"/>
    <mergeCell ref="N216:O216"/>
    <mergeCell ref="N217:O217"/>
    <mergeCell ref="N218:O218"/>
    <mergeCell ref="N213:O213"/>
    <mergeCell ref="N214:O214"/>
    <mergeCell ref="J212:K212"/>
    <mergeCell ref="J213:K213"/>
    <mergeCell ref="J214:K214"/>
    <mergeCell ref="J215:K215"/>
    <mergeCell ref="J206:K206"/>
    <mergeCell ref="J207:K207"/>
    <mergeCell ref="J208:K208"/>
    <mergeCell ref="J209:K209"/>
    <mergeCell ref="J210:K210"/>
    <mergeCell ref="J211:K211"/>
    <mergeCell ref="L212:M212"/>
    <mergeCell ref="L213:M213"/>
    <mergeCell ref="L214:M214"/>
    <mergeCell ref="L215:M215"/>
    <mergeCell ref="P217:Q217"/>
    <mergeCell ref="P218:Q218"/>
    <mergeCell ref="P210:Q210"/>
    <mergeCell ref="P211:Q211"/>
    <mergeCell ref="P212:Q212"/>
    <mergeCell ref="P213:Q213"/>
    <mergeCell ref="P214:Q214"/>
    <mergeCell ref="P215:Q215"/>
    <mergeCell ref="P216:Q216"/>
    <mergeCell ref="L216:M216"/>
    <mergeCell ref="L217:M217"/>
    <mergeCell ref="L218:M218"/>
    <mergeCell ref="N211:O211"/>
    <mergeCell ref="N212:O212"/>
    <mergeCell ref="P195:Q195"/>
    <mergeCell ref="P196:Q196"/>
    <mergeCell ref="P197:Q197"/>
    <mergeCell ref="P198:Q198"/>
    <mergeCell ref="P199:Q199"/>
    <mergeCell ref="P200:Q200"/>
    <mergeCell ref="P201:Q201"/>
    <mergeCell ref="P202:Q202"/>
    <mergeCell ref="L211:M211"/>
    <mergeCell ref="N196:O196"/>
    <mergeCell ref="N197:O197"/>
    <mergeCell ref="N198:O198"/>
    <mergeCell ref="N199:O199"/>
    <mergeCell ref="N200:O200"/>
    <mergeCell ref="N201:O201"/>
    <mergeCell ref="N204:O204"/>
    <mergeCell ref="P203:Q203"/>
    <mergeCell ref="P204:Q204"/>
    <mergeCell ref="P205:Q205"/>
    <mergeCell ref="P209:Q209"/>
    <mergeCell ref="U206:V206"/>
    <mergeCell ref="U207:V207"/>
    <mergeCell ref="U208:V208"/>
    <mergeCell ref="U209:V209"/>
    <mergeCell ref="U210:V210"/>
    <mergeCell ref="S210:T210"/>
    <mergeCell ref="S209:T209"/>
    <mergeCell ref="B160:AG160"/>
    <mergeCell ref="B161:AG161"/>
    <mergeCell ref="B165:AG165"/>
    <mergeCell ref="N209:O209"/>
    <mergeCell ref="N210:O210"/>
    <mergeCell ref="L206:M206"/>
    <mergeCell ref="L207:M207"/>
    <mergeCell ref="L208:M208"/>
    <mergeCell ref="L209:M209"/>
    <mergeCell ref="N202:O202"/>
    <mergeCell ref="N203:O203"/>
    <mergeCell ref="L210:M210"/>
    <mergeCell ref="N193:O193"/>
    <mergeCell ref="P193:Q193"/>
    <mergeCell ref="S207:T207"/>
    <mergeCell ref="S208:T208"/>
    <mergeCell ref="B159:AG159"/>
    <mergeCell ref="J205:K205"/>
    <mergeCell ref="J194:K194"/>
    <mergeCell ref="J195:K195"/>
    <mergeCell ref="J196:K196"/>
    <mergeCell ref="J197:K197"/>
    <mergeCell ref="J198:K198"/>
    <mergeCell ref="J199:K199"/>
    <mergeCell ref="J200:K200"/>
    <mergeCell ref="P194:Q194"/>
    <mergeCell ref="U193:V193"/>
    <mergeCell ref="U194:V194"/>
    <mergeCell ref="U195:V195"/>
    <mergeCell ref="U196:V196"/>
    <mergeCell ref="U197:V197"/>
    <mergeCell ref="U198:V198"/>
    <mergeCell ref="U199:V199"/>
    <mergeCell ref="U200:V200"/>
    <mergeCell ref="U201:V201"/>
    <mergeCell ref="S202:T202"/>
    <mergeCell ref="S203:T203"/>
    <mergeCell ref="S198:T198"/>
    <mergeCell ref="S199:T199"/>
    <mergeCell ref="S193:T193"/>
  </mergeCells>
  <phoneticPr fontId="2" type="noConversion"/>
  <pageMargins left="0" right="0" top="0.74803149606299213" bottom="0.74803149606299213" header="0.31496062992125984" footer="0.31496062992125984"/>
  <pageSetup paperSize="9" scale="58" fitToHeight="0" orientation="portrait" r:id="rId1"/>
  <ignoredErrors>
    <ignoredError sqref="I15:K15 I27:K27 H16:K16 J28:K28 I30:Q30 I29:K29 R41 G30 G18 I17:Q18 I23:K23 I25:K25 I24:K24 M24:Q24 M25:Q25 M27:Q27 N28:P28 M29:P29 M23:Q23 I21:K21 I19:K19 M19:Q19 I20:K20 M20:Q20 M21:Q21 M15:Q15 M16:P16" twoDigitTextYear="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rgb="FFFF0000"/>
  </sheetPr>
  <dimension ref="A1:AK636"/>
  <sheetViews>
    <sheetView showGridLines="0" showRowColHeaders="0" zoomScaleNormal="100" workbookViewId="0"/>
  </sheetViews>
  <sheetFormatPr baseColWidth="10" defaultColWidth="11.44140625" defaultRowHeight="13.2"/>
  <cols>
    <col min="1" max="1" width="4.33203125" style="177" customWidth="1"/>
    <col min="2" max="2" width="7.33203125" style="177" bestFit="1" customWidth="1"/>
    <col min="3" max="3" width="9.33203125" style="177" customWidth="1"/>
    <col min="4" max="4" width="3.5546875" style="177" customWidth="1"/>
    <col min="5" max="5" width="9.44140625" style="177" customWidth="1"/>
    <col min="6" max="13" width="5" style="177" customWidth="1"/>
    <col min="14" max="14" width="8" style="177" customWidth="1"/>
    <col min="15" max="15" width="5.5546875" style="177" customWidth="1"/>
    <col min="16" max="16" width="7.88671875" style="177" customWidth="1"/>
    <col min="17" max="17" width="5" style="177" customWidth="1"/>
    <col min="18" max="18" width="7" style="177" bestFit="1" customWidth="1"/>
    <col min="19" max="19" width="12.33203125" style="177" customWidth="1"/>
    <col min="20" max="20" width="16.5546875" style="177" customWidth="1"/>
    <col min="21" max="21" width="2.88671875" style="177" customWidth="1"/>
    <col min="22" max="22" width="11.44140625" style="177"/>
    <col min="23" max="26" width="5.6640625" style="177" customWidth="1"/>
    <col min="27" max="27" width="11.44140625" style="177"/>
    <col min="28" max="28" width="10.5546875" style="177" customWidth="1"/>
    <col min="29" max="29" width="4.33203125" style="177" customWidth="1"/>
    <col min="30" max="30" width="15.88671875" style="177" customWidth="1"/>
    <col min="31" max="16384" width="11.44140625" style="177"/>
  </cols>
  <sheetData>
    <row r="1" spans="1:37" ht="12.75" customHeight="1">
      <c r="A1" s="908"/>
      <c r="B1" s="217"/>
      <c r="C1" s="217"/>
      <c r="D1" s="217"/>
      <c r="E1" s="217"/>
      <c r="F1" s="217"/>
      <c r="G1" s="217"/>
      <c r="H1" s="217"/>
      <c r="I1" s="217"/>
      <c r="J1" s="217"/>
      <c r="K1" s="217"/>
      <c r="L1" s="217"/>
      <c r="M1" s="217"/>
      <c r="N1" s="217"/>
      <c r="O1" s="217"/>
      <c r="P1" s="908"/>
      <c r="Q1" s="217"/>
      <c r="R1" s="217"/>
      <c r="S1" s="217"/>
      <c r="T1" s="217"/>
      <c r="U1" s="217"/>
      <c r="V1" s="217"/>
      <c r="W1" s="217"/>
      <c r="X1" s="217"/>
      <c r="Y1" s="217"/>
      <c r="Z1" s="217"/>
      <c r="AA1" s="217"/>
      <c r="AB1" s="217"/>
      <c r="AC1" s="217"/>
      <c r="AD1" s="85"/>
      <c r="AE1" s="85"/>
      <c r="AF1" s="85"/>
      <c r="AG1" s="85"/>
      <c r="AH1" s="85"/>
      <c r="AI1" s="85"/>
      <c r="AJ1" s="85"/>
      <c r="AK1" s="85"/>
    </row>
    <row r="2" spans="1:37" ht="16.2" thickBot="1">
      <c r="A2" s="908"/>
      <c r="B2" s="1167" t="s">
        <v>127</v>
      </c>
      <c r="C2" s="1167"/>
      <c r="D2" s="217"/>
      <c r="E2" s="217"/>
      <c r="F2" s="217"/>
      <c r="G2" s="217"/>
      <c r="H2" s="217"/>
      <c r="I2" s="217"/>
      <c r="J2" s="217"/>
      <c r="K2" s="217"/>
      <c r="L2" s="217"/>
      <c r="M2" s="217"/>
      <c r="N2" s="217"/>
      <c r="O2" s="217"/>
      <c r="P2" s="908"/>
      <c r="Q2" s="217"/>
      <c r="R2" s="217"/>
      <c r="S2" s="217"/>
      <c r="T2" s="217"/>
      <c r="U2" s="217"/>
      <c r="V2" s="217"/>
      <c r="W2" s="217"/>
      <c r="X2" s="217"/>
      <c r="Y2" s="217"/>
      <c r="Z2" s="217"/>
      <c r="AA2" s="217"/>
      <c r="AB2" s="217"/>
      <c r="AC2" s="217"/>
      <c r="AD2" s="85"/>
      <c r="AF2" s="85"/>
      <c r="AG2" s="85"/>
      <c r="AH2" s="85"/>
      <c r="AI2" s="85"/>
      <c r="AJ2" s="85"/>
      <c r="AK2" s="85"/>
    </row>
    <row r="3" spans="1:37" ht="13.5" customHeight="1">
      <c r="A3" s="908"/>
      <c r="B3" s="266" t="s">
        <v>6411</v>
      </c>
      <c r="C3" s="1187"/>
      <c r="D3" s="1188"/>
      <c r="E3" s="1188"/>
      <c r="F3" s="1188"/>
      <c r="G3" s="1188"/>
      <c r="H3" s="1189"/>
      <c r="I3" s="1190" t="str">
        <f>IF(SelectRace="Skaven","Clan:","Nom:")</f>
        <v>Nom:</v>
      </c>
      <c r="J3" s="1191"/>
      <c r="K3" s="1187"/>
      <c r="L3" s="1188"/>
      <c r="M3" s="1188"/>
      <c r="N3" s="1188"/>
      <c r="O3" s="1192"/>
      <c r="P3" s="908"/>
      <c r="Q3" s="924" t="s">
        <v>1508</v>
      </c>
      <c r="R3" s="925"/>
      <c r="S3" s="925"/>
      <c r="T3" s="926"/>
      <c r="U3" s="217"/>
      <c r="V3" s="217"/>
      <c r="W3" s="217"/>
      <c r="X3" s="217"/>
      <c r="Y3" s="217"/>
      <c r="Z3" s="217"/>
      <c r="AA3" s="217"/>
      <c r="AB3" s="217"/>
      <c r="AC3" s="217"/>
      <c r="AD3" s="628"/>
      <c r="AF3" s="85"/>
      <c r="AG3" s="85"/>
      <c r="AH3" s="85"/>
      <c r="AI3" s="85"/>
      <c r="AJ3" s="85"/>
      <c r="AK3" s="85"/>
    </row>
    <row r="4" spans="1:37" ht="13.5" customHeight="1">
      <c r="A4" s="908">
        <f>IF(SelectRace="Créature du Chaos",1,IF(SelectRace="Elfe",2,IF(SelectRace="Halfling",3,IF(SelectRace="Homme-bête",4,IF(SelectRace="Homme-lézard",5,IF(SelectRace="Humain",6,IF(SelectRace="Nain",7,IF(SelectRace="Peau-verte",8,IF(SelectRace="Skaven",9,0)))))))))</f>
        <v>0</v>
      </c>
      <c r="B4" s="267" t="s">
        <v>159</v>
      </c>
      <c r="C4" s="1214"/>
      <c r="D4" s="1215"/>
      <c r="E4" s="1215"/>
      <c r="F4" s="1215"/>
      <c r="G4" s="1215"/>
      <c r="H4" s="1216"/>
      <c r="I4" s="1212" t="s">
        <v>9171</v>
      </c>
      <c r="J4" s="1213"/>
      <c r="K4" s="1065"/>
      <c r="L4" s="1066"/>
      <c r="M4" s="1066"/>
      <c r="N4" s="1066"/>
      <c r="O4" s="1067"/>
      <c r="P4" s="908"/>
      <c r="Q4" s="1271" t="str">
        <f>IF(E6="","",IF(C4="Skaven",VLOOKUP(E6,tableaux!S:AS,25,FALSE),IF(OR(C4="Homme-bête",C4="peau-verte",C4="Créature du Chaos",C4="Homme-lézard",C4="Peau-Verte"),VLOOKUP(E6,tableaux!S:AZ,32,FALSE),VLOOKUP(E6,tableaux!S:AS,24,FALSE))))</f>
        <v/>
      </c>
      <c r="R4" s="1272"/>
      <c r="S4" s="1272"/>
      <c r="T4" s="1273"/>
      <c r="U4" s="217"/>
      <c r="V4" s="217"/>
      <c r="W4" s="217"/>
      <c r="X4" s="217"/>
      <c r="Y4" s="217"/>
      <c r="Z4" s="217"/>
      <c r="AA4" s="217"/>
      <c r="AB4" s="217"/>
      <c r="AC4" s="217"/>
      <c r="AD4" s="85"/>
      <c r="AF4" s="85"/>
      <c r="AG4" s="85"/>
      <c r="AH4" s="85"/>
      <c r="AI4" s="85"/>
      <c r="AJ4" s="85"/>
      <c r="AK4" s="85"/>
    </row>
    <row r="5" spans="1:37" ht="13.5" customHeight="1">
      <c r="A5" s="908"/>
      <c r="B5" s="267" t="s">
        <v>4662</v>
      </c>
      <c r="C5" s="1214"/>
      <c r="D5" s="1215"/>
      <c r="E5" s="1215"/>
      <c r="F5" s="1215"/>
      <c r="G5" s="1215"/>
      <c r="H5" s="1216"/>
      <c r="I5" s="1212" t="s">
        <v>4523</v>
      </c>
      <c r="J5" s="1213"/>
      <c r="K5" s="1065"/>
      <c r="L5" s="1066"/>
      <c r="M5" s="1066"/>
      <c r="N5" s="1066"/>
      <c r="O5" s="1067"/>
      <c r="P5" s="908">
        <f>IF(C5="Empire",1,IF(C5="Kislev",2,IF(C5="Bretonnie",3,IF(C5="Tilée",4,IF(C5="Ulthuan",5,IF(C5="Norsca",6,IF(C5="Arabie",7,IF(C5="Terres du Sud",8,IF(C5="Cathay",9,IF(C5="Inja",10,IF(C5="Nippon",11,IF(C5="Estalie",12,IF(C5="Lustrie",13,IF(C5="Khuresh",14,IF(C5="Principautés Frontalières",15,IF(C5="Albion",16,IF(C5="Naggaroth",17,IF(C5="Terres Sombres",18,IF(C5="Royaume du Chaos",19,20)))))))))))))))))))</f>
        <v>20</v>
      </c>
      <c r="Q5" s="1274"/>
      <c r="R5" s="1275"/>
      <c r="S5" s="1275"/>
      <c r="T5" s="1276"/>
      <c r="U5" s="217"/>
      <c r="V5" s="217"/>
      <c r="W5" s="217"/>
      <c r="X5" s="217"/>
      <c r="Y5" s="217"/>
      <c r="Z5" s="217"/>
      <c r="AA5" s="217"/>
      <c r="AB5" s="217"/>
      <c r="AC5" s="217"/>
      <c r="AD5" s="85"/>
      <c r="AF5" s="85"/>
      <c r="AG5" s="85"/>
      <c r="AH5" s="85"/>
      <c r="AI5" s="85"/>
      <c r="AJ5" s="85"/>
      <c r="AK5" s="85"/>
    </row>
    <row r="6" spans="1:37" ht="13.5" customHeight="1">
      <c r="A6" s="908"/>
      <c r="B6" s="1174" t="s">
        <v>161</v>
      </c>
      <c r="C6" s="1175"/>
      <c r="D6" s="1176"/>
      <c r="E6" s="1193"/>
      <c r="F6" s="1194"/>
      <c r="G6" s="1194"/>
      <c r="H6" s="1195"/>
      <c r="I6" s="1068" t="s">
        <v>10849</v>
      </c>
      <c r="J6" s="1069"/>
      <c r="K6" s="1065"/>
      <c r="L6" s="1066"/>
      <c r="M6" s="1066"/>
      <c r="N6" s="1066"/>
      <c r="O6" s="1067"/>
      <c r="P6" s="908"/>
      <c r="Q6" s="1274"/>
      <c r="R6" s="1275"/>
      <c r="S6" s="1275"/>
      <c r="T6" s="1276"/>
      <c r="U6" s="217"/>
      <c r="V6" s="217"/>
      <c r="W6" s="217"/>
      <c r="X6" s="217"/>
      <c r="Y6" s="217"/>
      <c r="Z6" s="217"/>
      <c r="AA6" s="217"/>
      <c r="AB6" s="217"/>
      <c r="AC6" s="217"/>
      <c r="AF6" s="85"/>
      <c r="AG6" s="85"/>
      <c r="AH6" s="85"/>
      <c r="AI6" s="85"/>
      <c r="AJ6" s="85"/>
      <c r="AK6" s="85"/>
    </row>
    <row r="7" spans="1:37" ht="13.5" customHeight="1" thickBot="1">
      <c r="A7" s="908"/>
      <c r="B7" s="1219" t="s">
        <v>15878</v>
      </c>
      <c r="C7" s="1220"/>
      <c r="D7" s="925" t="str">
        <f>IF(E6="","",VLOOKUP('page 1'!E6,tableaux!S:Y,7,FALSE))</f>
        <v/>
      </c>
      <c r="E7" s="925"/>
      <c r="F7" s="925"/>
      <c r="G7" s="925"/>
      <c r="H7" s="820" t="s">
        <v>15879</v>
      </c>
      <c r="I7" s="831" t="str">
        <f>IF(E6="","",VLOOKUP('page 1'!E6,tableaux!S:Y,2,FALSE))</f>
        <v/>
      </c>
      <c r="J7" s="821" t="s">
        <v>10841</v>
      </c>
      <c r="K7" s="1070"/>
      <c r="L7" s="1070"/>
      <c r="M7" s="1070"/>
      <c r="N7" s="1070"/>
      <c r="O7" s="1071"/>
      <c r="P7" s="908"/>
      <c r="Q7" s="1274"/>
      <c r="R7" s="1275"/>
      <c r="S7" s="1275"/>
      <c r="T7" s="1276"/>
      <c r="U7" s="217"/>
      <c r="V7" s="217"/>
      <c r="W7" s="217"/>
      <c r="X7" s="217"/>
      <c r="Y7" s="217"/>
      <c r="Z7" s="217"/>
      <c r="AA7" s="217"/>
      <c r="AB7" s="217"/>
      <c r="AC7" s="217"/>
      <c r="AF7" s="85"/>
      <c r="AG7" s="85"/>
      <c r="AH7" s="85"/>
      <c r="AI7" s="85"/>
      <c r="AJ7" s="85"/>
      <c r="AK7" s="85"/>
    </row>
    <row r="8" spans="1:37" ht="13.5" customHeight="1" thickBot="1">
      <c r="A8" s="908"/>
      <c r="B8" s="1177" t="s">
        <v>160</v>
      </c>
      <c r="C8" s="1178"/>
      <c r="D8" s="1179"/>
      <c r="E8" s="1217" t="s">
        <v>9096</v>
      </c>
      <c r="F8" s="1196"/>
      <c r="G8" s="1196" t="s">
        <v>2868</v>
      </c>
      <c r="H8" s="1218"/>
      <c r="I8" s="1196"/>
      <c r="J8" s="1196" t="s">
        <v>2869</v>
      </c>
      <c r="K8" s="1196"/>
      <c r="L8" s="1196"/>
      <c r="M8" s="1196" t="s">
        <v>2870</v>
      </c>
      <c r="N8" s="1196"/>
      <c r="O8" s="1205"/>
      <c r="P8" s="908"/>
      <c r="Q8" s="1274"/>
      <c r="R8" s="1275"/>
      <c r="S8" s="1275"/>
      <c r="T8" s="1276"/>
      <c r="U8" s="217"/>
      <c r="V8" s="1244" t="s">
        <v>171</v>
      </c>
      <c r="W8" s="1245"/>
      <c r="X8" s="1231"/>
      <c r="Y8" s="1231"/>
      <c r="Z8" s="1231"/>
      <c r="AA8" s="1232"/>
      <c r="AB8" s="217"/>
      <c r="AC8" s="217"/>
      <c r="AF8" s="85"/>
      <c r="AG8" s="85"/>
      <c r="AH8" s="85"/>
      <c r="AI8" s="85"/>
      <c r="AJ8" s="85"/>
      <c r="AK8" s="85"/>
    </row>
    <row r="9" spans="1:37" ht="21" customHeight="1">
      <c r="A9" s="908"/>
      <c r="B9" s="217"/>
      <c r="C9" s="217"/>
      <c r="D9" s="217"/>
      <c r="E9" s="217"/>
      <c r="F9" s="217"/>
      <c r="G9" s="217"/>
      <c r="H9" s="217"/>
      <c r="I9" s="217"/>
      <c r="J9" s="217"/>
      <c r="K9" s="217"/>
      <c r="L9" s="217"/>
      <c r="M9" s="217"/>
      <c r="N9" s="217"/>
      <c r="O9" s="217"/>
      <c r="P9" s="908"/>
      <c r="Q9" s="1277"/>
      <c r="R9" s="1278"/>
      <c r="S9" s="1278"/>
      <c r="T9" s="1279"/>
      <c r="U9" s="217"/>
      <c r="V9" s="1246" t="s">
        <v>172</v>
      </c>
      <c r="W9" s="1176"/>
      <c r="X9" s="1233"/>
      <c r="Y9" s="1233"/>
      <c r="Z9" s="1233"/>
      <c r="AA9" s="1234"/>
      <c r="AB9" s="217"/>
      <c r="AC9" s="217"/>
      <c r="AD9" s="85"/>
      <c r="AF9" s="85"/>
      <c r="AG9" s="85"/>
      <c r="AH9" s="85"/>
      <c r="AI9" s="85"/>
      <c r="AJ9" s="85"/>
      <c r="AK9" s="85"/>
    </row>
    <row r="10" spans="1:37" ht="16.2" thickBot="1">
      <c r="A10" s="908"/>
      <c r="B10" s="1138" t="s">
        <v>158</v>
      </c>
      <c r="C10" s="1138"/>
      <c r="D10" s="1138"/>
      <c r="E10" s="1138"/>
      <c r="F10" s="1138"/>
      <c r="G10" s="1138"/>
      <c r="H10" s="1138"/>
      <c r="I10" s="1138"/>
      <c r="J10" s="1138"/>
      <c r="K10" s="1138"/>
      <c r="L10" s="1138"/>
      <c r="M10" s="1138"/>
      <c r="N10" s="1138"/>
      <c r="O10" s="1138"/>
      <c r="P10" s="908"/>
      <c r="Q10" s="217"/>
      <c r="R10" s="217"/>
      <c r="S10" s="217"/>
      <c r="T10" s="217"/>
      <c r="U10" s="217"/>
      <c r="V10" s="265" t="s">
        <v>173</v>
      </c>
      <c r="W10" s="1233"/>
      <c r="X10" s="1233"/>
      <c r="Y10" s="1233"/>
      <c r="Z10" s="1233"/>
      <c r="AA10" s="1234"/>
      <c r="AB10" s="217"/>
      <c r="AC10" s="217"/>
      <c r="AD10" s="85"/>
      <c r="AF10" s="85"/>
      <c r="AG10" s="85"/>
      <c r="AH10" s="85"/>
      <c r="AI10" s="85"/>
      <c r="AJ10" s="85"/>
      <c r="AK10" s="85"/>
    </row>
    <row r="11" spans="1:37" ht="13.5" customHeight="1">
      <c r="A11" s="908"/>
      <c r="B11" s="1180" t="s">
        <v>152</v>
      </c>
      <c r="C11" s="1181"/>
      <c r="D11" s="1182"/>
      <c r="E11" s="1202"/>
      <c r="F11" s="1203"/>
      <c r="G11" s="1203"/>
      <c r="H11" s="1203"/>
      <c r="I11" s="1203"/>
      <c r="J11" s="1204"/>
      <c r="K11" s="1201" t="s">
        <v>154</v>
      </c>
      <c r="L11" s="1182"/>
      <c r="M11" s="1206"/>
      <c r="N11" s="1207"/>
      <c r="O11" s="1208"/>
      <c r="P11" s="908">
        <f>IF(M11="masculin",0,IF(M11="féminin",1,9))</f>
        <v>9</v>
      </c>
      <c r="Q11" s="1124" t="s">
        <v>15945</v>
      </c>
      <c r="R11" s="1125"/>
      <c r="S11" s="1125"/>
      <c r="T11" s="1126"/>
      <c r="U11" s="217"/>
      <c r="V11" s="1250" t="s">
        <v>174</v>
      </c>
      <c r="W11" s="1251"/>
      <c r="X11" s="1252"/>
      <c r="Y11" s="1224"/>
      <c r="Z11" s="1225"/>
      <c r="AA11" s="1226"/>
      <c r="AB11" s="217"/>
      <c r="AC11" s="217"/>
      <c r="AD11" s="85"/>
      <c r="AF11" s="85"/>
      <c r="AG11" s="85"/>
      <c r="AH11" s="85"/>
      <c r="AI11" s="85"/>
      <c r="AJ11" s="85"/>
      <c r="AK11" s="85"/>
    </row>
    <row r="12" spans="1:37" ht="13.5" customHeight="1" thickBot="1">
      <c r="A12" s="908"/>
      <c r="B12" s="1171" t="s">
        <v>153</v>
      </c>
      <c r="C12" s="1172"/>
      <c r="D12" s="1173"/>
      <c r="E12" s="1198"/>
      <c r="F12" s="1199"/>
      <c r="G12" s="1199"/>
      <c r="H12" s="1199"/>
      <c r="I12" s="1199"/>
      <c r="J12" s="1200"/>
      <c r="K12" s="1183" t="s">
        <v>155</v>
      </c>
      <c r="L12" s="1173"/>
      <c r="M12" s="1209"/>
      <c r="N12" s="1210"/>
      <c r="O12" s="1211"/>
      <c r="P12" s="908"/>
      <c r="Q12" s="1271" t="str">
        <f>CONCATENATE(IF(E6="","","Acolyte de Khorne, Acolyte de Nurgle, Acolyte de Slaanesh, Acolyte de Tzeentch, Esclave, "&amp;IF(Pays="Steppes orientales","Nomade de la Steppe, ","")&amp;IF(OR(SelectRace="homme-bête",SelectRace="peau-verte",SelectRace="créature du chaos",SelectRace="Homme-lézard",SelectRace="skaven"),"",IF(M11="Féminin","Concubine, ","")&amp;IF(AND(M11="Féminin",Pays="Kislev"),"Femme-médecine, ",""))&amp;IF(C4="Skaven",VLOOKUP(E6,tableaux!S:AS,27,FALSE),IF(OR(C4="Homme-bête",C4="Peau-verte",C4="Homme-lézard",C4="Créature du Chaos"),VLOOKUP(E6,tableaux!S:AZ,33,FALSE),VLOOKUP(E6,tableaux!S:AS,26,FALSE)))&amp;IF(K4="Vampire",", Vampire Nouveau Né","")&amp;IF(OR(Folie1="Délire héroïque",Folie2="Délire héroïque",Folie3="Délire héroïque",Folie5="Délire héroïque"),"Prophète","")))&amp;CHAR(10)&amp;(IF(E6="","","*Accès spécial: Bestigor, Démon exalté, Démon exalté de Khorne, Génie supérieur, Liche, Vampire nouveau-né"))</f>
        <v xml:space="preserve">
</v>
      </c>
      <c r="R12" s="1272"/>
      <c r="S12" s="1272"/>
      <c r="T12" s="1273"/>
      <c r="U12" s="217"/>
      <c r="V12" s="1239" t="s">
        <v>12554</v>
      </c>
      <c r="W12" s="1106"/>
      <c r="X12" s="1106"/>
      <c r="Y12" s="1106"/>
      <c r="Z12" s="1240"/>
      <c r="AA12" s="1241"/>
      <c r="AB12" s="217"/>
      <c r="AC12" s="217"/>
      <c r="AD12" s="85"/>
      <c r="AF12" s="85"/>
      <c r="AG12" s="85"/>
      <c r="AH12" s="85"/>
      <c r="AI12" s="85"/>
      <c r="AJ12" s="85"/>
      <c r="AK12" s="85"/>
    </row>
    <row r="13" spans="1:37" ht="12.6" customHeight="1" thickBot="1">
      <c r="A13" s="908"/>
      <c r="B13" s="1171" t="s">
        <v>3109</v>
      </c>
      <c r="C13" s="1172"/>
      <c r="D13" s="1173"/>
      <c r="E13" s="1184"/>
      <c r="F13" s="1185"/>
      <c r="G13" s="1185"/>
      <c r="H13" s="1185"/>
      <c r="I13" s="1185"/>
      <c r="J13" s="1186"/>
      <c r="K13" s="1183" t="s">
        <v>156</v>
      </c>
      <c r="L13" s="1173"/>
      <c r="M13" s="1209"/>
      <c r="N13" s="1210"/>
      <c r="O13" s="1211"/>
      <c r="P13" s="908"/>
      <c r="Q13" s="1274"/>
      <c r="R13" s="1275"/>
      <c r="S13" s="1275"/>
      <c r="T13" s="1276"/>
      <c r="U13" s="217"/>
      <c r="V13" s="1136" t="s">
        <v>4661</v>
      </c>
      <c r="W13" s="1136"/>
      <c r="X13" s="1136"/>
      <c r="Y13" s="1136"/>
      <c r="Z13" s="217"/>
      <c r="AA13" s="217"/>
      <c r="AB13" s="217"/>
      <c r="AC13" s="217"/>
      <c r="AD13" s="85"/>
      <c r="AF13" s="85"/>
      <c r="AG13" s="85"/>
      <c r="AH13" s="85"/>
      <c r="AI13" s="85"/>
      <c r="AJ13" s="85"/>
      <c r="AK13" s="85"/>
    </row>
    <row r="14" spans="1:37">
      <c r="A14" s="908"/>
      <c r="B14" s="1171" t="s">
        <v>151</v>
      </c>
      <c r="C14" s="1172"/>
      <c r="D14" s="1173"/>
      <c r="E14" s="1198" t="str">
        <f>IF(DateN="","",INDEX({"Wymund l’Anachorète";"La Grande Croix";"Le Trait du Peintre";"Gnuthus le Buffle";"Dragomas le Dragon";"Le Crépuscule";"Le Fourreau de Grungni";"Mammit le Sage";"Mummit le Fou";"Les Deux Bœufs";"Le Danseur";"Le Tambour";"Le Flûtiste";"Vobist le Pâle";"La Charrette Brisée";"La Chèvre Sauvage";"Le Chaudron de Rhya";"Cackelfax le Coq";"Le Grimoire";"L’Étoile du Sorcier";"Wymund l’Anachorète";""},MATCH(DATE(,MONTH(DateN),DAY(DateN)),{0;7;27;39;54;74;92;112;129;146;166;182;202;221;238;258;269;279;295;313;329;367;370},1)))</f>
        <v/>
      </c>
      <c r="F14" s="1199"/>
      <c r="G14" s="1199"/>
      <c r="H14" s="1199"/>
      <c r="I14" s="1199"/>
      <c r="J14" s="1200"/>
      <c r="K14" s="1183" t="s">
        <v>157</v>
      </c>
      <c r="L14" s="1172"/>
      <c r="M14" s="1172"/>
      <c r="N14" s="1173"/>
      <c r="O14" s="327"/>
      <c r="P14" s="908"/>
      <c r="Q14" s="1274"/>
      <c r="R14" s="1275"/>
      <c r="S14" s="1275"/>
      <c r="T14" s="1276"/>
      <c r="U14" s="217"/>
      <c r="V14" s="329" t="s">
        <v>175</v>
      </c>
      <c r="W14" s="217"/>
      <c r="X14" s="1229" t="s">
        <v>176</v>
      </c>
      <c r="Y14" s="1230"/>
      <c r="Z14" s="217"/>
      <c r="AA14" s="263" t="s">
        <v>177</v>
      </c>
      <c r="AB14" s="217"/>
      <c r="AC14" s="217"/>
      <c r="AD14" s="85"/>
      <c r="AF14" s="85"/>
      <c r="AG14" s="85"/>
      <c r="AH14" s="85"/>
      <c r="AI14" s="85"/>
      <c r="AJ14" s="85"/>
      <c r="AK14" s="85"/>
    </row>
    <row r="15" spans="1:37" ht="12.75" customHeight="1">
      <c r="A15" s="908"/>
      <c r="B15" s="1171" t="s">
        <v>150</v>
      </c>
      <c r="C15" s="1172"/>
      <c r="D15" s="1173"/>
      <c r="E15" s="1285"/>
      <c r="F15" s="1286"/>
      <c r="G15" s="1286"/>
      <c r="H15" s="1286"/>
      <c r="I15" s="1286"/>
      <c r="J15" s="1287"/>
      <c r="K15" s="1280" t="s">
        <v>9098</v>
      </c>
      <c r="L15" s="1281"/>
      <c r="M15" s="1282"/>
      <c r="N15" s="1283"/>
      <c r="O15" s="1284"/>
      <c r="P15" s="908"/>
      <c r="Q15" s="1274"/>
      <c r="R15" s="1275"/>
      <c r="S15" s="1275"/>
      <c r="T15" s="1276"/>
      <c r="U15" s="217"/>
      <c r="V15" s="1227">
        <f>M*2</f>
        <v>-2</v>
      </c>
      <c r="W15" s="217"/>
      <c r="X15" s="1235">
        <f>M*4</f>
        <v>-4</v>
      </c>
      <c r="Y15" s="1236"/>
      <c r="Z15" s="217"/>
      <c r="AA15" s="1227">
        <f>M*6</f>
        <v>-6</v>
      </c>
      <c r="AB15" s="217"/>
      <c r="AC15" s="217"/>
      <c r="AD15" s="85"/>
      <c r="AF15" s="85"/>
      <c r="AG15" s="85"/>
      <c r="AH15" s="85"/>
      <c r="AI15" s="85"/>
      <c r="AJ15" s="85"/>
      <c r="AK15" s="85"/>
    </row>
    <row r="16" spans="1:37" ht="23.4" customHeight="1" thickBot="1">
      <c r="A16" s="908"/>
      <c r="B16" s="1168" t="s">
        <v>1034</v>
      </c>
      <c r="C16" s="1169"/>
      <c r="D16" s="1170"/>
      <c r="E16" s="1247"/>
      <c r="F16" s="1248"/>
      <c r="G16" s="1248"/>
      <c r="H16" s="1248"/>
      <c r="I16" s="1248"/>
      <c r="J16" s="1248"/>
      <c r="K16" s="1248"/>
      <c r="L16" s="1248"/>
      <c r="M16" s="1248"/>
      <c r="N16" s="1248"/>
      <c r="O16" s="1249"/>
      <c r="P16" s="908"/>
      <c r="Q16" s="1277"/>
      <c r="R16" s="1278"/>
      <c r="S16" s="1278"/>
      <c r="T16" s="1279"/>
      <c r="U16" s="217"/>
      <c r="V16" s="1228"/>
      <c r="W16" s="217"/>
      <c r="X16" s="1237"/>
      <c r="Y16" s="1238"/>
      <c r="Z16" s="217"/>
      <c r="AA16" s="1228"/>
      <c r="AB16" s="217"/>
      <c r="AC16" s="217"/>
      <c r="AF16" s="85"/>
      <c r="AG16" s="85"/>
      <c r="AH16" s="85"/>
      <c r="AI16" s="85"/>
      <c r="AJ16" s="85"/>
      <c r="AK16" s="85"/>
    </row>
    <row r="17" spans="1:37" ht="12.75" customHeight="1" thickBot="1">
      <c r="A17" s="908"/>
      <c r="B17" s="217"/>
      <c r="C17" s="217"/>
      <c r="D17" s="217"/>
      <c r="E17" s="654"/>
      <c r="F17" s="654" t="str">
        <f ca="1">IF(OR(SelectRace="",Selectsousrace=""),"",IF(AND(SelectRace="Humain",OR(Selectsousrace="de race pure",Selectsousrace="Mutant",Selectsousrace="Ulfenwerenar",Selectsousrace="Vampire")),20,IF(AND(SelectRace="Humain",Selectsousrace="Demi-halfling"),15,IF(AND(SelectRace="Humain",Selectsousrace="Kurgan/Hung"),20,IF(AND(SelectRace="Humain",Selectsousrace="Néhékharéen"),35,IF(AND(SelectRace="Humain",OR(Selectsousrace="Demi-elfe",Selectsousrace="Demi-elfe noir")),20,IF(AND(SelectRace="Humain",OR(Selectsousrace="Demi-orc",Selectsousrace="Demi-ogre")),25,IF(AND(SelectRace="Humain",OR(Selectsousrace="Demi-gnome",Selectsousrace="Demi-nain")),25,IF(AND(SelectRace="Elfe",OR(Selectsousrace="Demi-humain",Selectsousrace="Vampire")),20,IF(SelectRace="Elfe",20,IF(AND(SelectRace="Halfling",OR(Selectsousrace="de race pure",Selectsousrace="Mutant")),10,IF(AND(SelectRace="Halfling",OR(Selectsousrace="Demi-elfe",Selectsousrace="Demi-elfe noir")),15,IF(AND(SelectRace="Halfling",OR(Selectsousrace="Demi-gnome",Selectsousrace="Demi-nain")),20,IF(AND(SelectRace="Halfling",Selectsousrace="Demi-humain"),15,IF(AND(SelectRace="Nain",OR(Selectsousrace="de race pure",Selectsousrace="Gnome",Selectsousrace="Demi-gnome",Selectsousrace="du chaos")),30,IF(AND(SelectRace="Nain",Selectsousrace="Demi-halfling"),20,IF(AND(SelectRace="Nain",Selectsousrace="Demi-humain"),25,IF((Selectsousrace="Mutant"),30,IF(AND(SelectRace="peau-verte",Selectsousrace="Demi-humain",Selectsousrace="Vampire"),25,IF(Selectsousrace="Commun",20,IF(OR(Selectsousrace="Elu",Selectsousrace="Skink"),10,IF(Selectsousrace="Puissant",30,IF(OR(Selectsousrace="Gor",Selectsousrace="Lacustre",Selectsousrace="Lacustre",Selectsousrace="Bestigor/Vraigor",Selectsousrace="Tzaangor",Selectsousrace="Bovigor",Selectsousrace="crocogor/kroxigors",Selectsousrace="Cygor",Selectsousrace="Zoat",Selectsousrace="Gorol",P9,Selectsousrace="Malagor",Selectsousrace="Loxogor",Selectsousrace="Khorngor",Selectsousrace="Naga",Selectsousrace="Pestigor",Selectsousrace="Rakshasa",Selectsousrace="Slaangor",Selectsousrace="Squalogor",Selectsousrace="Ymir"),30,IF(OR(Selectsousrace="Gobelin/Snotling",Selectsousrace="Kobold",Selectsousrace="Ungor"),20,IF(OR(Selectsousrace="Centigor",Selectsousrace="Arthropogor",Selectsousrace="Insectigor"),35,IF(OR(Selectsousrace="Bray",Selectsousrace="Gobelin/Snotling",Selectsousrace="Kobold"),15,IF(OR(Selectsousrace="Minautore",Selectsousrace="Dracogor",Selectsousrace="Dracogor",Selectsousrace="Troll",Selectsousrace="Slaan"),30,IF(Selectsousrace="Shaman",30,IF(Selectsousrace="Dragon de sang",60,IF(Selectsousrace="Lahmiane",50,IF(Selectsousrace="Nécrarque",40,IF(Selectsousrace="Stryge",50,IF(Selectsousrace="Von Carstein",60,IF(Selectsousrace="Indépendant",40,IF(Selectsousrace="Mahtmasi",50,IF(Selectsousrace="Saurus",30,IF(OR(Selectsousrace="Géant",Selectsousrace="Ogre",Selectsousrace="Dragon-Ogre",Selectsousrace="Kroxigor"),20,0))))))))))))))))))))))))))))))))))))+RANDBETWEEN(1,10)+RANDBETWEEN(1,10))</f>
        <v/>
      </c>
      <c r="G17" s="654" t="str">
        <f ca="1">IF(OR(SelectRace="",Selectsousrace=""),"",IF(OR(Selectsousrace="Gobelin/Snotling",Selectsousrace="Kobold"),20,IF(AND(SelectRace="Humain",OR(Selectsousrace="de race pure",Selectsousrace="Mutant",Selectsousrace="Ulfenwerenar",Selectsousrace="Vampire")),20,IF(AND(SelectRace="Humain",Selectsousrace="Demi-halfling"),25,IF(AND(SelectRace="Humain",OR(Selectsousrace="Kurgan/Hung",Selectsousrace="Néhékharéen")),20,IF(AND(SelectRace="Humain",OR(Selectsousrace="Demi-elfe",Selectsousrace="Demi-elfe noir")),25,IF(AND(SelectRace="Humain",OR(Selectsousrace="Demi-orc",Selectsousrace="Demi-ogre")),15,IF(AND(SelectRace="Humain",OR(Selectsousrace="Demi-gnome",Selectsousrace="Demi-nain")),20,IF(AND(OR(SelectRace="Elfe",Selectsousrace="Demi-humain",Selectsousrace="Vampire")),20,IF(SelectRace="Elfe",30,IF(AND(SelectRace="Halfling",OR(Selectsousrace="de race pure",Selectsousrace="Mutant")),30,IF(AND(SelectRace="Halfling",OR(Selectsousrace="Demi-elfe",Selectsousrace="Demi-elfe noir")),30,IF(AND(SelectRace="Halfling",OR(Selectsousrace="Demi-gnome",Selectsousrace="Demi-nain")),25,IF(AND(OR(SelectRace="Halfling",Selectsousrace="Demi-humain",Selectsousrace="Vampire")),25,IF(AND(SelectRace="Nain",OR(Selectsousrace="de race pure",Selectsousrace="Gnome",Selectsousrace="Demi-gnome",Selectsousrace="du chaos")),20,IF(AND(SelectRace="Nain",Selectsousrace="Demi-halfling"),25,IF(AND(OR(SelectRace="Nain",Selectsousrace="Demi-humain",Selectsousrace="Vampire")),20,IF(AND(OR(SelectRace="peau-verte"),Selectsousrace="de race pure",Selectsousrace="Mutant",Selectsousrace="Vampire"),10,IF(AND(SelectRace="peau-verte",Selectsousrace="Demi-humain"),15,IF(Selectsousrace="Commun",20,IF(OR(Selectsousrace="Elu",Selectsousrace="Troll",Selectsousrace="Kroxigor"),10,IF(Selectsousrace="Puissant",20,IF(OR(OR(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Selectsousrace="Ogre",Selectsousrace="Dragon-Ogre",),20,IF(Selectsousrace="Ungor",15,IF(OR(Selectsousrace="Centigor",Selectsousrace="Arthropogor",Selectsousrace="Insectigor",Selectsousrace="Gobelin/Snotling",Selectsousrace="Kobold"),25,IF(Selectsousrace="Bray",15,IF(OR(Selectsousrace="Minautore",Selectsousrace="Dracogor",Selectsousrace="Dracogor",Selectsousrace="Géant",Selectsousrace="Shaman"),20,IF(OR(Selectsousrace="Dragon de sang",Selectsousrace="Lahmiane",Selectsousrace="Nécrarque"),30,IF(Selectsousrace="Stryge",20,IF(OR(Selectsousrace="Von Carstein",Selectsousrace="Mahtmasi",Selectsousrace="Skink"),30,IF(Selectsousrace="Indépendant",20,IF(OR(Selectsousrace="Saurus",Selectsousrace="Slaan"),5,0)))))))))))))))))))))))))))))))+RANDBETWEEN(1,10)+RANDBETWEEN(1,10))</f>
        <v/>
      </c>
      <c r="H17" s="654" t="str">
        <f ca="1">IF(OR(SelectRace="",Selectsousrace=""),"",IF(AND(SelectRace="Humain",OR(Selectsousrace="de race pure",Selectsousrace="Mutant",Selectsousrace="Ulfenwerenar",Selectsousrace="Vampire")),20,IF(AND(SelectRace="Humain",Selectsousrace="Demi-halfling"),15,IF(AND(SelectRace="Humain",Selectsousrace="Kurgan/Hung"),25,IF(AND(SelectRace="Humain",OR(Selectsousrace="Demi-elfe",Selectsousrace="Demi-elfe noir",Selectsousrace="Néhékharéen")),20,IF(AND(SelectRace="Humain",OR(Selectsousrace="Demi-orc",Selectsousrace="Demi-ogre")),25,IF(AND(SelectRace="Humain",OR(Selectsousrace="Demi-gnome",Selectsousrace="Demi-nain")),20,IF(AND(OR(SelectRace="Elfe",Selectsousrace="Demi-humain",Selectsousrace="Vampire")),20,IF(SelectRace="Elfe",20,IF(AND(SelectRace="Halfling",OR(Selectsousrace="de race pure",Selectsousrace="Mutant")),10,IF(AND(SelectRace="Halfling",OR(Selectsousrace="Demi-elfe",Selectsousrace="Demi-elfe noir")),15,IF(AND(SelectRace="Halfling",OR(Selectsousrace="Demi-gnome",Selectsousrace="Demi-nain")),15,IF(AND(OR(SelectRace="Halfling",Selectsousrace="Demi-humain",Selectsousrace="Vampire")),15,IF(AND(SelectRace="Nain",OR(Selectsousrace="de race pure",Selectsousrace="Gnome",Selectsousrace="Demi-gnome",Selectsousrace="Gnome",Selectsousrace="du chaos")),20,IF(AND(SelectRace="Nain",Selectsousrace="Demi-halfling"),15,IF(AND(OR(SelectRace="Nain",Selectsousrace="Demi-humain",Selectsousrace="Vampire")),20,IF(AND(OR(SelectRace="peau-verte"),Selectsousrace="Mutant",Selectsousrace="Vampire"),30,IF(AND(SelectRace="Peau-verte",OR(Selectsousrace="Demi-humain",Selectsousrace="Gobelin/Snotling",Selectsousrace="Kobold")),25,IF(Selectsousrace="Commun",20,IF(Selectsousrace="Elu",20,IF(OR(Selectsousrace="Puissant",Selectsousrace="Saurus"),30,IF(OR(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25,IF(Selectsousrace="Ungor",20,IF(OR(Selectsousrace="Centigor",Selectsousrace="Arthropogor",Selectsousrace="Insectigor",Selectsousrace="Ogre",Selectsousrace="Dragon-Ogre",),35,IF(Selectsousrace="Bray",15,IF(OR(Selectsousrace="Minautore",Selectsousrace="Kroxigor"),40,IF(Selectsousrace="Shaman",20,IF(Selectsousrace="Dragon de sang",50,IF(Selectsousrace="Lahmiane",50,IF(Selectsousrace="Nécrarque",50,IF(Selectsousrace="Stryge",50,IF(Selectsousrace="Von Carstein",50,IF(Selectsousrace="Indépendant",40,IF(Selectsousrace="Mahtmasi",40,IF(OR(Selectsousrace="Slaan",Selectsousrace="Gobelin/Snotling",Selectsousrace="Kobold"),20,IF(Selectsousrace="Géant",60,IF(Selectsousrace="Troll",45,IF(Selectsousrace="Skink",10,0)))))))))))))))))))))))))))))))))))))+RANDBETWEEN(1,10)+RANDBETWEEN(1,10))</f>
        <v/>
      </c>
      <c r="I17" s="654" t="str">
        <f ca="1">IF(OR(SelectRace="",Selectsousrace=""),"",IF(AND(SelectRace="Humain",OR(Selectsousrace="de race pure",Selectsousrace="Mutant",Selectsousrace="Ulfenwerenar",Selectsousrace="Vampire")),20,IF(AND(SelectRace="Humain",Selectsousrace="Demi-halfling"),15,IF(AND(SelectRace="Humain",Selectsousrace="Kurgan/Hung"),25,IF(AND(SelectRace="Humain",OR(Selectsousrace="Demi-elfe",Selectsousrace="Demi-elfe noir")),20,IF(AND(SelectRace="Humain",Selectsousrace="Néhékharéen"),30,IF(AND(SelectRace="Humain",OR(Selectsousrace="Demi-orc",Selectsousrace="Demi-ogre")),25,IF(AND(SelectRace="Humain",OR(Selectsousrace="Demi-gnome",Selectsousrace="Demi-nain")),25,IF(AND(OR(SelectRace="Elfe",Selectsousrace="Demi-humain",Selectsousrace="Vampire")),20,IF(SelectRace="Elfe",30,IF(AND(SelectRace="Halfling",OR(Selectsousrace="de race pure",Selectsousrace="Mutant")),10,IF(AND(SelectRace="Halfling",OR(Selectsousrace="Demi-elfe",Selectsousrace="Demi-elfe noir")),15,IF(AND(SelectRace="Halfling",OR(Selectsousrace="Demi-gnome",Selectsousrace="Demi-nain")),20,IF(AND(OR(SelectRace="Halfling",Selectsousrace="Demi-humain",Selectsousrace="Vampire")),15,IF(AND(SelectRace="Nain",OR(Selectsousrace="de race pure",Selectsousrace="Gnome",Selectsousrace="Demi-gnome",Selectsousrace="Gnome",Selectsousrace="du chaos")),30,IF(AND(SelectRace="Nain",Selectsousrace="Demi-halfling"),20,IF(AND(OR(SelectRace="Nain",Selectsousrace="Demi-humain",Selectsousrace="Vampire")),25,IF(AND(OR(SelectRace="peau-verte"),Selectsousrace="Mutant",Selectsousrace="Vampire"),30,IF(AND(SelectRace="Peau-verte",Selectsousrace="Demi-humain"),25,IF(Selectsousrace="Commun",25,IF(Selectsousrace="Elu",25,IF(OR(Selectsousrace="Puissant",Selectsousrace="Gobelin/Snotling",Selectsousrace="Kobold",Selectsousrace="Ungor",Selectsousrace="Saurus"),30,IF(OR(Selectsousrace="Centigor",Selectsousrace="Arthropogor",Selectsousrace="Insectigor",OR(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Selectsousrace="Ogre",Selectsousrace="Dragon-Ogre",Selectsousrace="Troll"),40,IF(OR(Selectsousrace="Bray",Selectsousrace="Gobelin/Snotling",Selectsousrace="Kobold"),20,IF(Selectsousrace="Minautore",40,IF(Selectsousrace="Shaman",35,IF(OR(Selectsousrace="Dragon de sang",Selectsousrace="Lahmiane",Selectsousrace="Nécrarque",Selectsousrace="Stryge",Selectsousrace="Von Carstein"),50,IF(OR(Selectsousrace="Indépendant",Selectsousrace="Kroxigor",Selectsousrace="Slaan"),40,IF(Selectsousrace="Mahtmasi",60,IF(Selectsousrace="Géant",55,IF(Selectsousrace="Skink",10,0))))))))))))))))))))))))))))))+RANDBETWEEN(1,10)+RANDBETWEEN(1,10))</f>
        <v/>
      </c>
      <c r="J17" s="654" t="str">
        <f ca="1">IF(OR(SelectRace="",Selectsousrace=""),"",IF(Selectsousrace="Ungor",20,IF(OR(Selectsousrace="Centigor",Selectsousrace="Arthropogor",Selectsousrace="Insectigor",Selectsousrace="Ogre",Selectsousrace="Dragon-Ogre",Selectsousrace="Gobelin/Snotling",Selectsousrace="Kobold"),15,IF(OR(Selectsousrace="Slaan",Selectsousrace="Géant",Selectsousrace="Troll"),10,IF(AND(SelectRace="Humain",OR(Selectsousrace="de race pure",Selectsousrace="Mutant",Selectsousrace="Ulfenwerenar",Selectsousrace="Vampire")),20,IF(AND(SelectRace="Humain",Selectsousrace="Demi-halfling"),25,IF(AND(SelectRace="Humain",Selectsousrace="Kurgan/Hung"),20,IF(AND(SelectRace="Humain",OR(Selectsousrace="Demi-elfe",Selectsousrace="Demi-elfe noir")),25,IF(AND(SelectRace="Humain",OR(Selectsousrace="Demi-orc",Selectsousrace="Demi-ogre")),20,IF(AND(SelectRace="Humain",OR(Selectsousrace="Demi-gnome",Selectsousrace="Demi-nain",Selectsousrace="Néhékharéen")),15,IF(AND(OR(SelectRace="Elfe",Selectsousrace="Demi-humain",Selectsousrace="Vampire")),20,IF(SelectRace="Elfe",20,IF(AND(SelectRace="Halfling",OR(Selectsousrace="de race pure",Selectsousrace="Mutant")),30,IF(AND(SelectRace="Halfling",OR(Selectsousrace="Demi-elfe",Selectsousrace="Demi-elfe noir")),30,IF(AND(SelectRace="Halfling",OR(Selectsousrace="Demi-gnome",Selectsousrace="Demi-nain")),20,IF(AND(OR(SelectRace="Halfling"),Selectsousrace="Demi-humain",Selectsousrace="Vampire"),15,IF(AND(SelectRace="Nain",OR(Selectsousrace="de race pure",Selectsousrace="Demi-gnome",Selectsousrace="Gnome",Selectsousrace="du chaos",Selectsousrace="Gobelin/Snotling",Selectsousrace="Kobold")),20,IF(AND(SelectRace="Nain",Selectsousrace="Demi-halfling"),20,IF(AND(OR(SelectRace="Nain"),Selectsousrace="Demi-humain",Selectsousrace="Vampire"),15,IF(AND(OR(SelectRace="Peau-verte"),Selectsousrace="Mutant",Selectsousrace="Vampire"),20,IF(AND(SelectRace="peau-verte",Selectsousrace="Demi-humain"),20,IF(Selectsousrace="Commun",25,IF(Selectsousrace="Elu",25,IF(Selectsousrace="Puissant",20,IF(OR(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25,IF(OR(Selectsousrace="Bray",Selectsousrace="Saurus",Selectsousrace="Kroxigor"),20,IF(Selectsousrace="Minautore",30,IF(Selectsousrace="Shaman",25,IF(OR(Selectsousrace="Dragon de sang",Selectsousrace="Lahmiane",Selectsousrace="Nécrarque",Selectsousrace="Stryge",Selectsousrace="Von Carstein"),50,IF(OR(Selectsousrace="Indépendant"),40,IF(Selectsousrace="Mahtmasi",60,IF(OR(Selectsousrace="Slaan",,Selectsousrace="Skink"),10,0)))))))))))))))))))))))))))))))+RANDBETWEEN(1,10)+RANDBETWEEN(1,10))</f>
        <v/>
      </c>
      <c r="K17" s="654" t="str">
        <f ca="1">IF(OR(SelectRace="",Selectsousrace=""),"",IF(Selectsousrace="Saurus",10,IF(Selectsousrace="Kroxigor",5,IF(OR(Selectsousrace="Ogre",Selectsousrace="Dragon-Ogre",Selectsousrace="Gobelin/Snotling",Selectsousrace="Kobold"),15,IF(L17,50,IF(OR(Selectsousrace="Géant",Selectsousrace="Troll"),10,IF(AND(SelectRace="Humain",OR(Selectsousrace="de race pure",Selectsousrace="Mutant",Selectsousrace="Ulfenwerenar",Selectsousrace="Vampire")),20,IF(AND(SelectRace="Humain",Selectsousrace="Demi-halfling"),20,IF(AND(SelectRace="Humain",Selectsousrace="Néhékharéen"),25,IF(AND(SelectRace="Humain",Selectsousrace="Kurgan/Hung"),15,IF(AND(SelectRace="Humain",OR(Selectsousrace="Demi-elfe",Selectsousrace="Demi-elfe noir")),20,IF(AND(SelectRace="Humain",OR(Selectsousrace="Demi-orc",Selectsousrace="Demi-ogre")),15,IF(AND(SelectRace="Humain",OR(Selectsousrace="Demi-gnome",Selectsousrace="Demi-nain")),20,IF(AND(OR(SelectRace="Elfe",Selectsousrace="Demi-humain",Selectsousrace="Vampire")),20,IF(SelectRace="Elfe",20,IF(AND(SelectRace="Halfling",OR(Selectsousrace="de race pure",Selectsousrace="Mutant")),20,IF(AND(SelectRace="Halfling",OR(Selectsousrace="Demi-elfe",Selectsousrace="Demi-elfe noir")),20,IF(AND(SelectRace="Halfling",OR(Selectsousrace="Demi-gnome",Selectsousrace="Demi-nain")),20,IF(AND(OR(SelectRace="Halfling",Selectsousrace="Demi-humain",Selectsousrace="Vampire")),20,IF(AND(SelectRace="Nain",OR(Selectsousrace="de race pure",Selectsousrace="Gnome",Selectsousrace="Demi-gnome",Selectsousrace="Gnome",Selectsousrace="du chaos")),20,IF(AND(SelectRace="Nain",Selectsousrace="Demi-halfling"),20,IF(AND(OR(SelectRace="Nain",Selectsousrace="Demi-humain",Selectsousrace="Vampire")),20,IF(AND(OR(SelectRace="peau-verte",Selectsousrace="de race pure",SelectRace="peau-verte",Selectsousrace="Mutant",Selectsousrace="Vampire")),10,IF(AND(SelectRace="peau-verte",Selectsousrace="Demi-humain"),15,IF(Selectsousrace="Commun",25,IF(Selectsousrace="Elu",30,IF(Selectsousrace="Puissant",15,IF(OR(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Selectsousrace="Ungor",Selectsousrace="Centigor",Selectsousrace="Arthropogor",Selectsousrace="Insectigor",Selectsousrace="Bray",Selectsousrace="Skink"),20,IF(Selectsousrace="Minautore",10,IF(OR(Selectsousrace="Shaman",Selectsousrace="Dragon de sang",Selectsousrace="Lahmiane",Selectsousrace="Stryge",Selectsousrace="Von Carstein",Selectsousrace="Indépendant",Selectsousrace="Mahtmasi"),30,IF(Selectsousrace="Nécrarque",40,0))))))))))))))))))))))))))))))+RANDBETWEEN(1,10)+RANDBETWEEN(1,10))</f>
        <v/>
      </c>
      <c r="L17" s="654" t="str">
        <f ca="1">IF(OR(SelectRace="",Selectsousrace=""),"",IF(Selectsousrace="Slaan",65,IF(AND(SelectRace="Humain",OR(Selectsousrace="de race pure",Selectsousrace="Mutant",Selectsousrace="Ulfenwerenar",Selectsousrace="Vampire")),20,IF(AND(SelectRace="Humain",Selectsousrace="Demi-halfling"),20,IF(AND(SelectRace="Humain",Selectsousrace="Kurgan/Hung"),20,IF(AND(SelectRace="Humain",Selectsousrace="Néhékharéen"),30,IF(AND(SelectRace="Humain",OR(Selectsousrace="Demi-elfe",Selectsousrace="Demi-elfe noir")),20,IF(AND(SelectRace="Humain",OR(Selectsousrace="Demi-orc",Selectsousrace="Demi-ogre")),17,IF(AND(SelectRace="Humain",OR(Selectsousrace="Demi-gnome",Selectsousrace="Demi-nain")),20,IF(AND(OR(SelectRace="Elfe",Selectsousrace="Demi-humain",Selectsousrace="Vampire")),20,IF(SelectRace="Elfe",20,IF(AND(SelectRace="Halfling",OR(Selectsousrace="de race pure",Selectsousrace="Mutant")),20,IF(AND(SelectRace="Halfling",OR(Selectsousrace="Demi-elfe",Selectsousrace="Demi-elfe noir")),20,IF(AND(SelectRace="Halfling",OR(Selectsousrace="Demi-gnome",Selectsousrace="Demi-nain")),20,IF(AND(OR(SelectRace="Halfling",Selectsousrace="Demi-humain",Selectsousrace="Vampire")),20,IF(AND(SelectRace="Nain",OR(Selectsousrace="de race pure",Selectsousrace="Gnome",Selectsousrace="Demi-gnome",Selectsousrace="Gnome",Selectsousrace="du chaos",Selectsousrace="Gobelin/Snotling",Selectsousrace="Kobold")),20,IF(AND(SelectRace="Nain",Selectsousrace="Demi-halfling"),20,IF(AND(OR(SelectRace="Nain",Selectsousrace="Demi-humain",Selectsousrace="Vampire")),20,IF(AND(OR(SelectRace="peau-verte",Selectsousrace="de race pure",Selectsousrace="Mutant",Selectsousrace="Vampire")),15,IF(AND(SelectRace="peau-verte",Selectsousrace="Demi-humain"),17,IF(OR(Selectsousrace="Commun",Selectsousrace="Ungor",Selectsousrace="Bray"),15,IF(OR(Selectsousrace="Elu",Selectsousrace="Ogre",Selectsousrace="Dragon-Ogre",,Selectsousrace="Gobelin/Snotling",Selectsousrace="Kobold"),25,IF(OR(Selectsousrace="Puissant",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Selectsousrace="Arthropogor",Selectsousrace="Insectigor",Selectsousrace="Centigor",Selectsousrace="Troll",Selectsousrace="Shaman",Selectsousrace="Saurus"),20,IF(OR(Selectsousrace="Minautore",Selectsousrace="Géant"),15,IF(OR(Selectsousrace="Dragon de sang",Selectsousrace="Lahmiane",Selectsousrace="Nécrarque"),60,IF(Selectsousrace="Stryge",50,IF(Selectsousrace="Von Carstein",60,IF(Selectsousrace="Indépendant",50,IF(Selectsousrace="Mahtmasi",40,IF(Selectsousrace="Skink",30,IF(Selectsousrace="Kroxigor",10,0))))))))))))))))))))))))))))))+RANDBETWEEN(1,10)+RANDBETWEEN(1,10))</f>
        <v/>
      </c>
      <c r="M17" s="654" t="str">
        <f ca="1">IF(OR(SelectRace="",Selectsousrace=""),"",IF(Selectsousrace="Slaan",40,IF(AND(SelectRace="Humain",OR(Selectsousrace="de race pure",Selectsousrace="Mutant",Selectsousrace="Ulfenwerenar",Selectsousrace="Vampire",Selectsousrace="Gobelin/Snotling",Selectsousrace="Kobold")),20,IF(AND(SelectRace="Humain",Selectsousrace="Demi-halfling"),25,IF(AND(SelectRace="Humain",Selectsousrace="Kurgan/Hung"),20,IF(AND(SelectRace="Humain",OR(Selectsousrace="Demi-elfe",Selectsousrace="Demi-elfe noir",Selectsousrace="Néhékharéen")),20,IF(AND(SelectRace="Humain",OR(Selectsousrace="Demi-orc",Selectsousrace="Demi-ogre")),15,IF(AND(SelectRace="Humain",OR(Selectsousrace="Demi-gnome",Selectsousrace="Demi-nain")),15,IF(AND(OR(SelectRace="Elfe",Selectsousrace="Demi-humain",Selectsousrace="Vampire")),20,IF(SelectRace="Elfe",20,IF(AND(SelectRace="Halfling",OR(Selectsousrace="de race pure",Selectsousrace="Mutant")),30,IF(AND(SelectRace="Halfling",OR(Selectsousrace="Demi-elfe",Selectsousrace="Demi-elfe noir")),25,IF(AND(SelectRace="Halfling",OR(Selectsousrace="Demi-gnome",Selectsousrace="Demi-nain")),20,IF(AND(OR(SelectRace="Halfling",Selectsousrace="Demi-humain",Selectsousrace="Vampire")),20,IF(AND(SelectRace="Nain",OR(Selectsousrace="de race pure",Selectsousrace="Gnome",Selectsousrace="Demi-gnome",Selectsousrace="Gnome",Selectsousrace="du chaos")),20,IF(AND(SelectRace="Nain",Selectsousrace="Demi-halfling"),20,IF(AND(OR(SelectRace="Nain",Selectsousrace="Demi-humain",Selectsousrace="Vampire")),15,IF(AND(OR(SelectRace="peau-verte",Selectsousrace="de race pure",SelectRace="peau-verte",Selectsousrace="Mutant",Selectsousrace="Vampire")),10,IF(OR(AND(SelectRace="peau-verte",Selectsousrace="Demi-humain"),Selectsousrace="Ogre",Selectsousrace="Dragon-Ogre",),15,IF(OR(Selectsousrace="Commun",Selectsousrace="Géant",Selectsousrace="Gobelin/Snotling",Selectsousrace="Kobold"),10,IF(Selectsousrace="Elu",10,IF(Selectsousrace="Puissant",10,IF(OR(Selectsousrace="Gor",Selectsousrace="Lacustre",Selectsousrace="Lacustre",Selectsousrace="Bestigor/Vraigor",Selectsousrace="Tzaangor",Selectsousrace="Bovigor",Selectsousrace="crocogor/kroxigors",Selectsousrace="Cygor",Selectsousrace="Zoat",Selectsousrace="Gorol",Selectsousrace="Harpie",Selectsousrace="Sirène",Selectsousrace="Malagor",Selectsousrace="Loxogor",Selectsousrace="Khorngor",Selectsousrace="Naga",Selectsousrace="Pestigor",Selectsousrace="Rakshasa",Selectsousrace="Slaangor",Selectsousrace="Squalogor",Selectsousrace="Ymir"),20,IF(OR(Selectsousrace="Ungor",Selectsousrace="Centigor",Selectsousrace="Arthropogor",Selectsousrace="Insectigor"),20,IF(Selectsousrace="Bray",20,IF(Selectsousrace="Minautore",15,IF(Selectsousrace="Shaman",20,IF(OR(Selectsousrace="Dragon de sang",Selectsousrace="Skink"),30,IF(Selectsousrace="Lahmiane",50,IF(Selectsousrace="Nécrarque",40,IF(OR(Selectsousrace="Stryge",Selectsousrace="Saurus",Selectsousrace="Kroxigor"),10,IF(Selectsousrace="Von Carstein",40,IF(Selectsousrace="Indépendant",30,IF(Selectsousrace="Mahtmasi",50,IF(Selectsousrace="Troll",5,0))))))))))))))))))))))))))))))))))+RANDBETWEEN(1,10)+RANDBETWEEN(1,10))</f>
        <v/>
      </c>
      <c r="N17" s="654"/>
      <c r="O17" s="217"/>
      <c r="P17" s="908"/>
      <c r="Q17" s="826"/>
      <c r="R17" s="217"/>
      <c r="S17" s="217"/>
      <c r="T17" s="217"/>
      <c r="U17" s="217"/>
      <c r="V17" s="217"/>
      <c r="W17" s="217"/>
      <c r="X17" s="217"/>
      <c r="Y17" s="217"/>
      <c r="Z17" s="217"/>
      <c r="AA17" s="217"/>
      <c r="AB17" s="217"/>
      <c r="AC17" s="217"/>
      <c r="AD17" s="85"/>
      <c r="AF17" s="85"/>
      <c r="AG17" s="85"/>
      <c r="AH17" s="85"/>
      <c r="AI17" s="85"/>
      <c r="AJ17" s="85"/>
      <c r="AK17" s="85"/>
    </row>
    <row r="18" spans="1:37" ht="15" customHeight="1">
      <c r="A18" s="908"/>
      <c r="B18" s="1138" t="s">
        <v>128</v>
      </c>
      <c r="C18" s="1138"/>
      <c r="D18" s="1138"/>
      <c r="E18" s="1138"/>
      <c r="F18" s="217"/>
      <c r="G18" s="654" t="str">
        <f>Gestion!AS9</f>
        <v/>
      </c>
      <c r="H18" s="217"/>
      <c r="I18" s="217"/>
      <c r="J18" s="217"/>
      <c r="K18" s="217"/>
      <c r="L18" s="217"/>
      <c r="M18" s="654" t="str">
        <f>Gestion!AS18</f>
        <v/>
      </c>
      <c r="N18" s="217"/>
      <c r="O18" s="217"/>
      <c r="P18" s="908"/>
      <c r="Q18" s="1124" t="s">
        <v>5400</v>
      </c>
      <c r="R18" s="1125"/>
      <c r="S18" s="1125"/>
      <c r="T18" s="1126"/>
      <c r="U18" s="217"/>
      <c r="V18" s="217"/>
      <c r="W18" s="217"/>
      <c r="X18" s="1242" t="s">
        <v>239</v>
      </c>
      <c r="Y18" s="1243"/>
      <c r="Z18" s="217"/>
      <c r="AA18" s="264" t="s">
        <v>138</v>
      </c>
      <c r="AB18" s="217"/>
      <c r="AC18" s="217"/>
      <c r="AD18" s="85"/>
      <c r="AF18" s="85"/>
      <c r="AG18" s="85"/>
      <c r="AH18" s="85"/>
      <c r="AI18" s="85"/>
      <c r="AJ18" s="85"/>
      <c r="AK18" s="85"/>
    </row>
    <row r="19" spans="1:37" ht="15" customHeight="1">
      <c r="A19" s="908"/>
      <c r="B19" s="217"/>
      <c r="C19" s="217"/>
      <c r="D19" s="217"/>
      <c r="E19" s="217"/>
      <c r="F19" s="1197" t="s">
        <v>120</v>
      </c>
      <c r="G19" s="1197"/>
      <c r="H19" s="1197"/>
      <c r="I19" s="217"/>
      <c r="J19" s="217"/>
      <c r="K19" s="217"/>
      <c r="L19" s="217"/>
      <c r="M19" s="217"/>
      <c r="N19" s="217"/>
      <c r="O19" s="217"/>
      <c r="P19" s="908"/>
      <c r="Q19" s="1113" t="str">
        <f>CONCATENATE(IF(E6="","",VLOOKUP(E6,tableaux!S:AV,29,FALSE)),IF(K6="","",", "),IF(Ordre="","",VLOOKUP(Ordre,tableaux!EU:EZ,6,FALSE)))</f>
        <v/>
      </c>
      <c r="R19" s="1114"/>
      <c r="S19" s="1114"/>
      <c r="T19" s="1115"/>
      <c r="U19" s="217"/>
      <c r="V19" s="1138" t="s">
        <v>191</v>
      </c>
      <c r="W19" s="1138"/>
      <c r="X19" s="1141">
        <f>PD+IF(Gestion!W22&gt;0,1,0)</f>
        <v>0</v>
      </c>
      <c r="Y19" s="1142"/>
      <c r="Z19" s="217"/>
      <c r="AA19" s="1139"/>
      <c r="AB19" s="217"/>
      <c r="AC19" s="217"/>
      <c r="AD19" s="85"/>
      <c r="AF19" s="85"/>
      <c r="AG19" s="85"/>
      <c r="AH19" s="85"/>
      <c r="AI19" s="85"/>
      <c r="AJ19" s="85"/>
      <c r="AK19" s="85"/>
    </row>
    <row r="20" spans="1:37" ht="15" customHeight="1" thickBot="1">
      <c r="A20" s="908"/>
      <c r="B20" s="217"/>
      <c r="C20" s="217"/>
      <c r="D20" s="217"/>
      <c r="E20" s="217"/>
      <c r="F20" s="229" t="s">
        <v>129</v>
      </c>
      <c r="G20" s="229" t="s">
        <v>130</v>
      </c>
      <c r="H20" s="229" t="s">
        <v>131</v>
      </c>
      <c r="I20" s="229" t="s">
        <v>148</v>
      </c>
      <c r="J20" s="229" t="s">
        <v>132</v>
      </c>
      <c r="K20" s="229" t="s">
        <v>133</v>
      </c>
      <c r="L20" s="229" t="s">
        <v>134</v>
      </c>
      <c r="M20" s="229" t="s">
        <v>135</v>
      </c>
      <c r="N20" s="1061" t="s">
        <v>15947</v>
      </c>
      <c r="O20" s="1062"/>
      <c r="P20" s="908"/>
      <c r="Q20" s="1116"/>
      <c r="R20" s="1117"/>
      <c r="S20" s="1117"/>
      <c r="T20" s="1118"/>
      <c r="U20" s="217"/>
      <c r="V20" s="217"/>
      <c r="W20" s="217"/>
      <c r="X20" s="1143"/>
      <c r="Y20" s="1144"/>
      <c r="Z20" s="217"/>
      <c r="AA20" s="1140"/>
      <c r="AB20" s="217"/>
      <c r="AC20" s="217"/>
      <c r="AF20" s="85"/>
      <c r="AG20" s="85"/>
      <c r="AH20" s="85"/>
      <c r="AI20" s="85"/>
      <c r="AJ20" s="85"/>
      <c r="AK20" s="85"/>
    </row>
    <row r="21" spans="1:37" ht="15" customHeight="1" thickBot="1">
      <c r="A21" s="908"/>
      <c r="B21" s="445" t="s">
        <v>17593</v>
      </c>
      <c r="C21" s="217"/>
      <c r="D21" s="1084" t="s">
        <v>136</v>
      </c>
      <c r="E21" s="1288"/>
      <c r="F21" s="231" t="s">
        <v>11344</v>
      </c>
      <c r="G21" s="231" t="s">
        <v>11344</v>
      </c>
      <c r="H21" s="231" t="s">
        <v>11344</v>
      </c>
      <c r="I21" s="231" t="s">
        <v>11344</v>
      </c>
      <c r="J21" s="231" t="s">
        <v>11344</v>
      </c>
      <c r="K21" s="231" t="s">
        <v>11344</v>
      </c>
      <c r="L21" s="231" t="s">
        <v>11344</v>
      </c>
      <c r="M21" s="231" t="s">
        <v>11344</v>
      </c>
      <c r="N21" s="1055" t="str">
        <f>CONCATENATE(IF(Gestion!W58&gt;0,"*+5% CC VS peaux vertes",""))&amp;IF(AND(Gestion!W103&gt;0,Gestion!W102&gt;0),"*+10% FM contre la magie et le chaos",IF(Gestion!W102&gt;0,"*+10% FM contre la magie",IF(Gestion!W103&gt;0,"*+10% FM contre le chaos","")))&amp;IF(AND(Gestion!W104&gt;0,Gestion!W105&gt;0),"*+10% E contre les poisons et la maladie",IF(Gestion!W104&gt;0,"*+10% E contre la maladie",IF(Gestion!W105&gt;0,"*+10% E contre les poisons","")))&amp;IF(Gestion!W74&gt;0,"*+10% CC et F sur prise","")&amp;IF(Gestion!W126&gt;0,"*FM +20% vs. Charisme et Intimidation; -10% vs. Folie","")</f>
        <v/>
      </c>
      <c r="O21" s="1056"/>
      <c r="P21" s="908"/>
      <c r="Q21" s="1116"/>
      <c r="R21" s="1117"/>
      <c r="S21" s="1117"/>
      <c r="T21" s="1118"/>
      <c r="U21" s="217"/>
      <c r="V21" s="217"/>
      <c r="W21" s="217"/>
      <c r="X21" s="217"/>
      <c r="Y21" s="217"/>
      <c r="Z21" s="217"/>
      <c r="AA21" s="217"/>
      <c r="AB21" s="217"/>
      <c r="AC21" s="217"/>
      <c r="AD21" s="85"/>
      <c r="AF21" s="85"/>
      <c r="AG21" s="85"/>
      <c r="AH21" s="85"/>
      <c r="AI21" s="85"/>
      <c r="AJ21" s="85"/>
      <c r="AK21" s="85"/>
    </row>
    <row r="22" spans="1:37" ht="15" customHeight="1" thickBot="1">
      <c r="A22" s="908"/>
      <c r="B22" s="431" t="s">
        <v>9194</v>
      </c>
      <c r="C22" s="217"/>
      <c r="D22" s="1084" t="s">
        <v>137</v>
      </c>
      <c r="E22" s="1084"/>
      <c r="F22" s="259">
        <f>IF(Intro!$K$12="X",IF(E6="","",VLOOKUP($E$6,tableaux!$S:$AO,12,FALSE)),IF(E6="",0,IF(IF(VALUE(IF(MID(VLOOKUP(E6,tableaux!S:AO,12,FALSE),2,2)="",0,MID(VLOOKUP(E6,tableaux!S:AO,12,FALSE),2,2)))&gt;F25,VLOOKUP(E6,tableaux!S:AO,12,FALSE),IF(F25=0,"-",CONCATENATE("+",F25)))=0,"-",IF(VALUE(IF(MID(VLOOKUP(E6,tableaux!S:AO,12,FALSE),2,2)="",0,MID(VLOOKUP(E6,tableaux!S:AO,12,FALSE),2,2)))&gt;F25,VLOOKUP(E6,tableaux!S:AO,12,FALSE),IF(F25=0,"-",CONCATENATE("+",F25))))))</f>
        <v>0</v>
      </c>
      <c r="G22" s="259">
        <f>IF(Intro!$K$12="X",IF($E$6="","",VLOOKUP($E$6,tableaux!$S:$AO,12,FALSE)),IF(E6="",0,IF(IF(VALUE(IF(MID(VLOOKUP(E6,tableaux!S:AO,12,FALSE),2,2)="",0,MID(VLOOKUP(E6,tableaux!S:AO,12,FALSE),2,2)))&gt;G25,VLOOKUP(E6,tableaux!S:AO,12,FALSE),IF(G25=0,"-",CONCATENATE("+",G25)))=0,"-",IF(VALUE(IF(MID(VLOOKUP(E6,tableaux!S:AO,12,FALSE),2,2)="",0,MID(VLOOKUP(E6,tableaux!S:AO,12,FALSE),2,2)))&gt;G25,VLOOKUP(E6,tableaux!S:AO,12,FALSE),IF(G25=0,"-",CONCATENATE("+",G25))))))</f>
        <v>0</v>
      </c>
      <c r="H22" s="259">
        <f>IF(Intro!$K$12="X",IF($E$6="","",VLOOKUP($E$6,tableaux!$S:$AO,13,FALSE)),IF(E6="",0,IF(IF(VALUE(IF(MID(VLOOKUP(E6,tableaux!S:AO,13,FALSE),2,2)="",0,MID(VLOOKUP(E6,tableaux!S:AO,13,FALSE),2,2)))&gt;H25,VLOOKUP(E6,tableaux!S:AO,13,FALSE),IF(H25=0,"-",CONCATENATE("+",H25)))=0,"-",IF(VALUE(IF(MID(VLOOKUP(E6,tableaux!S:AO,13,FALSE),2,2)="",0,MID(VLOOKUP(E6,tableaux!S:AO,13,FALSE),2,2)))&gt;H25,VLOOKUP(E6,tableaux!S:AO,13,FALSE),IF(H25=0,"-",CONCATENATE("+",H25))))))</f>
        <v>0</v>
      </c>
      <c r="I22" s="259">
        <f>IF(Intro!$K$12="X",IF($E$6="","",VLOOKUP($E$6,tableaux!$S:$AO,14,FALSE)),IF(E6="",0,IF(IF(VALUE(IF(MID(VLOOKUP(E6,tableaux!S:AO,14,FALSE),2,2)="",0,MID(VLOOKUP(E6,tableaux!S:AO,14,FALSE),2,2)))&gt;I25,VLOOKUP(E6,tableaux!S:AO,14,FALSE),IF(I25=0,"-",CONCATENATE("+",I25)))=0,"-",IF(VALUE(IF(MID(VLOOKUP(E6,tableaux!S:AO,14,FALSE),2,2)="",0,MID(VLOOKUP(E6,tableaux!S:AO,14,FALSE),2,2)))&gt;I25,VLOOKUP(E6,tableaux!S:AO,14,FALSE),IF(I25=0,"-",CONCATENATE("+",I25))))))</f>
        <v>0</v>
      </c>
      <c r="J22" s="259">
        <f>IF(Intro!$K$12="X",IF($E$6="","",VLOOKUP($E$6,tableaux!$S:$AO,15,FALSE)),IF(E6="",0,IF(IF(VALUE(IF(MID(VLOOKUP(E6,tableaux!S:AO,15,FALSE),2,2)="",0,MID(VLOOKUP(E6,tableaux!S:AO,15,FALSE),2,2)))&gt;J25,VLOOKUP(E6,tableaux!S:AO,15,FALSE),IF(J25=0,"-",CONCATENATE("+",J25)))=0,"-",IF(VALUE(IF(MID(VLOOKUP(E6,tableaux!S:AO,15,FALSE),2,2)="",0,MID(VLOOKUP(E6,tableaux!S:AO,15,FALSE),2,2)))&gt;J25,VLOOKUP(E6,tableaux!S:AO,15,FALSE),IF(J25=0,"-",CONCATENATE("+",J25))))))</f>
        <v>0</v>
      </c>
      <c r="K22" s="259">
        <f>IF(Intro!$K$12="X",IF($E$6="","",VLOOKUP($E$6,tableaux!$S:$AO,16,FALSE)),IF(E6="",0,IF(IF(VALUE(IF(MID(VLOOKUP(E6,tableaux!S:AO,16,FALSE),2,2)="",0,MID(VLOOKUP(E6,tableaux!S:AO,16,FALSE),2,2)))&gt;K25,VLOOKUP(E6,tableaux!S:AO,16,FALSE),IF(K25=0,"-",CONCATENATE("+",K25)))=0,"-",IF(VALUE(IF(MID(VLOOKUP(E6,tableaux!S:AO,16,FALSE),2,2)="",0,MID(VLOOKUP(E6,tableaux!S:AO,16,FALSE),2,2)))&gt;K25,VLOOKUP(E6,tableaux!S:AO,16,FALSE),IF(K25=0,"-",CONCATENATE("+",K25))))))</f>
        <v>0</v>
      </c>
      <c r="L22" s="259">
        <f>IF(Intro!$K$12="X",IF($E$6="","",VLOOKUP($E$6,tableaux!$S:$AO,17,FALSE)),IF(E6="",0,IF(IF(VALUE(IF(MID(VLOOKUP(E6,tableaux!S:AO,17,FALSE),2,2)="",0,MID(VLOOKUP(E6,tableaux!S:AO,17,FALSE),2,2)))&gt;L25,VLOOKUP(E6,tableaux!S:AO,17,FALSE),IF(L25=0,"-",CONCATENATE("+",L25)))=0,"-",IF(VALUE(IF(MID(VLOOKUP(E6,tableaux!S:AO,17,FALSE),2,2)="",0,MID(VLOOKUP(E6,tableaux!S:AO,17,FALSE),2,2)))&gt;L25,VLOOKUP(E6,tableaux!S:AO,17,FALSE),IF(L25=0,"-",CONCATENATE("+",L25))))))</f>
        <v>0</v>
      </c>
      <c r="M22" s="828">
        <f>IF(Intro!$K$12="X",IF($E$6="","",VLOOKUP($E$6,tableaux!$S:$AO,19,FALSE)),IF(E6="",0,IF(IF(VALUE(IF(MID(VLOOKUP(E6,tableaux!S:AO,19,FALSE),2,2)="",0,MID(VLOOKUP(E6,tableaux!S:AO,19,FALSE),2,2)))&gt;M25,VLOOKUP(E6,tableaux!S:AO,19,FALSE),IF(M25=0,"-",CONCATENATE("+",M25)))=0,"-",IF(VALUE(IF(MID(VLOOKUP(E6,tableaux!S:AO,19,FALSE),2,2)="",0,MID(VLOOKUP(E6,tableaux!S:AO,19,FALSE),2,2)))&gt;M25,VLOOKUP(E6,tableaux!S:AO,19,FALSE),IF(M25=0,"-",CONCATENATE("+",M25))))))</f>
        <v>0</v>
      </c>
      <c r="N22" s="1057"/>
      <c r="O22" s="1058"/>
      <c r="P22" s="908"/>
      <c r="Q22" s="1116"/>
      <c r="R22" s="1117"/>
      <c r="S22" s="1117"/>
      <c r="T22" s="1118"/>
      <c r="U22" s="217"/>
      <c r="V22" s="217"/>
      <c r="W22" s="217"/>
      <c r="X22" s="1145" t="s">
        <v>239</v>
      </c>
      <c r="Y22" s="1146"/>
      <c r="Z22" s="217"/>
      <c r="AA22" s="264" t="s">
        <v>138</v>
      </c>
      <c r="AB22" s="217"/>
      <c r="AC22" s="217"/>
      <c r="AD22" s="85"/>
      <c r="AF22" s="85"/>
      <c r="AG22" s="85"/>
      <c r="AH22" s="85"/>
      <c r="AI22" s="85"/>
      <c r="AJ22" s="85"/>
      <c r="AK22" s="85"/>
    </row>
    <row r="23" spans="1:37" ht="15" customHeight="1" thickBot="1">
      <c r="A23" s="908"/>
      <c r="B23" s="1295">
        <f>Ag+IF(Gestion!W136&gt;0,10,0)</f>
        <v>0</v>
      </c>
      <c r="C23" s="217"/>
      <c r="D23" s="1084" t="s">
        <v>138</v>
      </c>
      <c r="E23" s="1084"/>
      <c r="F23" s="214">
        <f>SUM(F21,F24,F25)+IF(Gestion!W61&gt;0,5,0)+IF(K4="Vampire",10,0)</f>
        <v>0</v>
      </c>
      <c r="G23" s="214">
        <f>SUM(G21,G24,G25)+IF(Gestion!W130&gt;0,5,0)</f>
        <v>0</v>
      </c>
      <c r="H23" s="214">
        <f>SUM(H21,H24,H25)+IF(Gestion!W55&gt;0,5,0)+IF(K4="Vampire",10,0)</f>
        <v>0</v>
      </c>
      <c r="I23" s="214">
        <f>SUM(I21,I24,I25)+IF(Gestion!W101&gt;0,5,0)+IF(K4="Vampire",15,0)</f>
        <v>0</v>
      </c>
      <c r="J23" s="214">
        <f>SUM(J21,J24,J25)+IF(Gestion!W100&gt;0,5,0)+IF(K4="Vampire",15,0)</f>
        <v>0</v>
      </c>
      <c r="K23" s="214">
        <f>SUM(K21,K24,K25)+IF(Gestion!W69&gt;0,5,0)</f>
        <v>0</v>
      </c>
      <c r="L23" s="214">
        <f>SUM(L21,L24,L25)+IF(Gestion!W113&gt;0,5,0)+IF(K4="Vampire",10,0)</f>
        <v>0</v>
      </c>
      <c r="M23" s="829">
        <f>SUM(M21,M24,M25)+IF(Gestion!W121&gt;0,5,0)+IF(K4="Vampire",10,0)</f>
        <v>0</v>
      </c>
      <c r="N23" s="1057"/>
      <c r="O23" s="1058"/>
      <c r="P23" s="908"/>
      <c r="Q23" s="1119"/>
      <c r="R23" s="1120"/>
      <c r="S23" s="1120"/>
      <c r="T23" s="1121"/>
      <c r="U23" s="217"/>
      <c r="V23" s="1138" t="s">
        <v>192</v>
      </c>
      <c r="W23" s="1138"/>
      <c r="X23" s="1147">
        <f>B</f>
        <v>0</v>
      </c>
      <c r="Y23" s="1148"/>
      <c r="Z23" s="217"/>
      <c r="AA23" s="1139"/>
      <c r="AB23" s="217"/>
      <c r="AC23" s="217"/>
      <c r="AD23" s="85"/>
      <c r="AE23" s="85"/>
      <c r="AF23" s="85"/>
      <c r="AG23" s="85"/>
      <c r="AH23" s="85"/>
      <c r="AI23" s="85"/>
      <c r="AJ23" s="85"/>
      <c r="AK23" s="85"/>
    </row>
    <row r="24" spans="1:37" ht="15" customHeight="1" thickBot="1">
      <c r="A24" s="908"/>
      <c r="B24" s="1296"/>
      <c r="C24" s="217"/>
      <c r="D24" s="1084" t="s">
        <v>263</v>
      </c>
      <c r="E24" s="1084"/>
      <c r="F24" s="260"/>
      <c r="G24" s="260"/>
      <c r="H24" s="260"/>
      <c r="I24" s="260"/>
      <c r="J24" s="260"/>
      <c r="K24" s="260"/>
      <c r="L24" s="260"/>
      <c r="M24" s="830"/>
      <c r="N24" s="1059"/>
      <c r="O24" s="1060"/>
      <c r="P24" s="908"/>
      <c r="Q24" s="217"/>
      <c r="R24" s="217"/>
      <c r="S24" s="217"/>
      <c r="T24" s="217"/>
      <c r="U24" s="217"/>
      <c r="V24" s="217"/>
      <c r="W24" s="217"/>
      <c r="X24" s="1149"/>
      <c r="Y24" s="1150"/>
      <c r="Z24" s="217"/>
      <c r="AA24" s="1140"/>
      <c r="AB24" s="217"/>
      <c r="AC24" s="217"/>
      <c r="AD24" s="85"/>
      <c r="AE24" s="85"/>
      <c r="AF24" s="85"/>
      <c r="AG24" s="85"/>
      <c r="AH24" s="85"/>
      <c r="AI24" s="85"/>
      <c r="AJ24" s="85"/>
      <c r="AK24" s="85"/>
    </row>
    <row r="25" spans="1:37" ht="15" customHeight="1" thickBot="1">
      <c r="A25" s="908"/>
      <c r="B25" s="217"/>
      <c r="C25" s="217"/>
      <c r="D25" s="1084" t="s">
        <v>8781</v>
      </c>
      <c r="E25" s="1084"/>
      <c r="F25" s="432">
        <v>0</v>
      </c>
      <c r="G25" s="432">
        <v>0</v>
      </c>
      <c r="H25" s="433">
        <v>0</v>
      </c>
      <c r="I25" s="433">
        <v>0</v>
      </c>
      <c r="J25" s="433">
        <v>0</v>
      </c>
      <c r="K25" s="433">
        <v>0</v>
      </c>
      <c r="L25" s="433">
        <v>0</v>
      </c>
      <c r="M25" s="433">
        <v>0</v>
      </c>
      <c r="N25" s="217"/>
      <c r="O25" s="217"/>
      <c r="P25" s="908"/>
      <c r="Q25" s="1124" t="s">
        <v>3567</v>
      </c>
      <c r="R25" s="1125"/>
      <c r="S25" s="1125"/>
      <c r="T25" s="1126"/>
      <c r="U25" s="217"/>
      <c r="V25" s="217"/>
      <c r="W25" s="217"/>
      <c r="X25" s="217"/>
      <c r="Y25" s="217"/>
      <c r="Z25" s="217"/>
      <c r="AA25" s="217"/>
      <c r="AB25" s="217"/>
      <c r="AC25" s="217"/>
      <c r="AD25" s="85"/>
      <c r="AE25" s="85"/>
      <c r="AF25" s="85"/>
      <c r="AG25" s="85"/>
      <c r="AH25" s="85"/>
      <c r="AI25" s="85"/>
      <c r="AJ25" s="85"/>
      <c r="AK25" s="85"/>
    </row>
    <row r="26" spans="1:37" ht="15" customHeight="1">
      <c r="A26" s="908"/>
      <c r="B26" s="1297" t="s">
        <v>9195</v>
      </c>
      <c r="C26" s="217"/>
      <c r="D26" s="217"/>
      <c r="E26" s="217"/>
      <c r="F26" s="1197" t="s">
        <v>139</v>
      </c>
      <c r="G26" s="1197"/>
      <c r="H26" s="1197"/>
      <c r="I26" s="217"/>
      <c r="J26" s="217"/>
      <c r="K26" s="217"/>
      <c r="L26" s="217"/>
      <c r="M26" s="217"/>
      <c r="N26" s="217"/>
      <c r="O26" s="217"/>
      <c r="P26" s="908"/>
      <c r="Q26" s="1127" t="str">
        <f>CONCATENATE(IF(E6="","",VLOOKUP(E6,tableaux!S:AT,28,FALSE)),IF(K6="","",", "),IF(Ordre="","",VLOOKUP(Ordre,tableaux!EU:EZ,5,FALSE)))</f>
        <v/>
      </c>
      <c r="R26" s="1128"/>
      <c r="S26" s="1128"/>
      <c r="T26" s="1129"/>
      <c r="U26" s="217"/>
      <c r="V26" s="1136" t="s">
        <v>371</v>
      </c>
      <c r="W26" s="1137"/>
      <c r="X26" s="1122" t="s">
        <v>138</v>
      </c>
      <c r="Y26" s="1123"/>
      <c r="Z26" s="1122" t="s">
        <v>239</v>
      </c>
      <c r="AA26" s="1123"/>
      <c r="AB26" s="217"/>
      <c r="AC26" s="217"/>
      <c r="AD26" s="85"/>
      <c r="AE26" s="85"/>
      <c r="AF26" s="85"/>
      <c r="AG26" s="85"/>
      <c r="AH26" s="85"/>
      <c r="AI26" s="85"/>
      <c r="AJ26" s="85"/>
      <c r="AK26" s="85"/>
    </row>
    <row r="27" spans="1:37" ht="15" customHeight="1">
      <c r="A27" s="908"/>
      <c r="B27" s="1297"/>
      <c r="C27" s="217"/>
      <c r="D27" s="217"/>
      <c r="E27" s="217"/>
      <c r="F27" s="229" t="s">
        <v>140</v>
      </c>
      <c r="G27" s="229" t="s">
        <v>141</v>
      </c>
      <c r="H27" s="229" t="s">
        <v>142</v>
      </c>
      <c r="I27" s="229" t="s">
        <v>143</v>
      </c>
      <c r="J27" s="229" t="s">
        <v>144</v>
      </c>
      <c r="K27" s="229" t="s">
        <v>145</v>
      </c>
      <c r="L27" s="229" t="s">
        <v>146</v>
      </c>
      <c r="M27" s="229" t="s">
        <v>147</v>
      </c>
      <c r="N27" s="217" t="str">
        <f>IF(Gestion!W52&gt;0,"*+10 tests prises, +1 F pour dégâts dans les prises","")</f>
        <v/>
      </c>
      <c r="O27" s="217"/>
      <c r="P27" s="908"/>
      <c r="Q27" s="1130"/>
      <c r="R27" s="1131"/>
      <c r="S27" s="1131"/>
      <c r="T27" s="1132"/>
      <c r="U27" s="217"/>
      <c r="V27" s="217"/>
      <c r="W27" s="217"/>
      <c r="X27" s="1153"/>
      <c r="Y27" s="1154"/>
      <c r="Z27" s="1153"/>
      <c r="AA27" s="1154"/>
      <c r="AB27" s="217"/>
      <c r="AC27" s="217"/>
      <c r="AD27" s="85"/>
      <c r="AE27" s="85"/>
      <c r="AF27" s="85"/>
      <c r="AG27" s="85"/>
      <c r="AH27" s="85"/>
      <c r="AI27" s="85"/>
      <c r="AJ27" s="85"/>
      <c r="AK27" s="85"/>
    </row>
    <row r="28" spans="1:37" ht="15" customHeight="1" thickBot="1">
      <c r="A28" s="908"/>
      <c r="B28" s="431" t="s">
        <v>9194</v>
      </c>
      <c r="C28" s="217"/>
      <c r="D28" s="1084" t="s">
        <v>136</v>
      </c>
      <c r="E28" s="1084"/>
      <c r="F28" s="230" t="str">
        <f>IF(OR(SelectRace="",Selectsousrace=""),"",IF(OR(K4="Minautore",K4="Centigor",K4="Lahmiane",K4="Nécrarque",K4="Stryge",K$4="Mahtmasi"),2,IF(K4="Dragon de sang",3,1)))</f>
        <v/>
      </c>
      <c r="G28" s="231" t="s">
        <v>11344</v>
      </c>
      <c r="H28" s="231" t="str">
        <f>IF(H21="","",ROUNDDOWN((F/10),0))</f>
        <v/>
      </c>
      <c r="I28" s="231" t="str">
        <f>IF(I21="","",ROUNDDOWN((E/10),0))</f>
        <v/>
      </c>
      <c r="J28" s="232" t="str">
        <f>IF(C4="","",IF(C4="Nain",3,IF(C4="Humain",4,IF(C4="Halfling",4,IF(C4="peau-verte",4,IF(AND(C4="Skaven",OR(E13="Blanc",E13="Gris")),4,IF(K4="Centigor",8,IF(OR(K4="Dragon de sang",K4="Lahmiane",K4="Nécrarque",K4="Stryge",K4="Von Carstein"),6,IF(C4="Homme-lézard",2,5)))))))))</f>
        <v/>
      </c>
      <c r="K28" s="232" t="str">
        <f>IF(OR(SelectRace="",Selectsousrace=""),"",IF(SelectRace="Homme-lézard",4,IF(OR(K4="Elu",K4="Dragon de sang",K4="Lahmiane",K4="Stryge",K4="Von Carstein",K$4="Mahtmasi",K$4="Shaman"),1,IF(K4="Nécrarque",2,0))))</f>
        <v/>
      </c>
      <c r="L28" s="232" t="str">
        <f>IF(OR(SelectRace="",Selectsousrace=""),"",0)</f>
        <v/>
      </c>
      <c r="M28" s="232" t="s">
        <v>11344</v>
      </c>
      <c r="N28" s="217" t="str">
        <f>IF(Gestion!W133&gt;0,"*+10% vs Peur; +10% FM vs Intimidation","")</f>
        <v/>
      </c>
      <c r="O28" s="217"/>
      <c r="P28" s="908"/>
      <c r="Q28" s="1130"/>
      <c r="R28" s="1131"/>
      <c r="S28" s="1131"/>
      <c r="T28" s="1132"/>
      <c r="U28" s="217"/>
      <c r="V28" s="217"/>
      <c r="W28" s="217"/>
      <c r="X28" s="1155"/>
      <c r="Y28" s="1156"/>
      <c r="Z28" s="1155"/>
      <c r="AA28" s="1156"/>
      <c r="AB28" s="217"/>
      <c r="AC28" s="217"/>
      <c r="AD28" s="85"/>
      <c r="AE28" s="85"/>
      <c r="AF28" s="85"/>
      <c r="AG28" s="85"/>
      <c r="AH28" s="85"/>
      <c r="AI28" s="85"/>
      <c r="AJ28" s="85"/>
      <c r="AK28" s="85"/>
    </row>
    <row r="29" spans="1:37" ht="15" customHeight="1" thickBot="1">
      <c r="A29" s="908"/>
      <c r="B29" s="1295">
        <f>FM+IF(Gestion!W133&gt;0,10,0)+IF(Gestion!W48&gt;0,10,0)</f>
        <v>0</v>
      </c>
      <c r="C29" s="217"/>
      <c r="D29" s="1084" t="s">
        <v>137</v>
      </c>
      <c r="E29" s="1084"/>
      <c r="F29" s="259">
        <f>IF(Intro!$K$12="X",IF($E$6="","",VLOOKUP($E$6,tableaux!$S:$AO,20,FALSE)),IF(E6="",0,IF(IF(VALUE(IF(MID(VLOOKUP(E6,tableaux!S:AO,20,FALSE),2,2)="",0,MID(VLOOKUP(E6,tableaux!S:AO,20,FALSE),2,2)))&gt;F32,VLOOKUP(E6,tableaux!S:AO,20,FALSE),IF(F32=0,"-",CONCATENATE("+",F32)))=0,"-",IF(VALUE(IF(MID(VLOOKUP(E6,tableaux!S:AO,20,FALSE),2,2)="",0,MID(VLOOKUP(E6,tableaux!S:AO,20,FALSE),2,2)))&gt;F32,VLOOKUP(E6,tableaux!S:AO,20,FALSE),IF(F32=0,"-",CONCATENATE("+",F32))))))</f>
        <v>0</v>
      </c>
      <c r="G29" s="259">
        <f>IF(Intro!$K$12="X",IF($E$6="","",VLOOKUP($E$6,tableaux!$S:$AO,21,FALSE)),IF(E6="",0,IF(IF(VALUE(IF(MID(VLOOKUP(E6,tableaux!S:AO,21,FALSE),2,2)="",0,MID(VLOOKUP(E6,tableaux!S:AO,21,FALSE),2,2)))&gt;G32,VLOOKUP(E6,tableaux!S:AO,21,FALSE),IF(G32=0,"-",CONCATENATE("+",G32)))=0,"-",IF(VALUE(IF(MID(VLOOKUP(E6,tableaux!S:AO,21,FALSE),2,2)="",0,MID(VLOOKUP(E6,tableaux!S:AO,21,FALSE),2,2)))&gt;G32,VLOOKUP(E6,tableaux!S:AO,21,FALSE),IF(G32=0,"-",CONCATENATE("+",G32))))))</f>
        <v>0</v>
      </c>
      <c r="H29" s="261" t="s">
        <v>149</v>
      </c>
      <c r="I29" s="261" t="s">
        <v>149</v>
      </c>
      <c r="J29" s="261">
        <f>IF(Intro!$K$12="X",IF($E$6="","",VLOOKUP($E$6,tableaux!$S:$AO,22,FALSE)),IF(E6="",0,IF(IF(VALUE(IF(MID(VLOOKUP(E6,tableaux!S:AO,22,FALSE),2,2)="",0,MID(VLOOKUP(E6,tableaux!S:AO,22,FALSE),2,2)))&gt;J32,VLOOKUP(E6,tableaux!S:AO,22,FALSE),IF(J32=0,"-",CONCATENATE("+",J32)))=0,"-",IF(VALUE(IF(MID(VLOOKUP(E6,tableaux!S:AO,22,FALSE),2,2)="",0,MID(VLOOKUP(E6,tableaux!S:AO,22,FALSE),2,2)))&gt;J32,VLOOKUP(E6,tableaux!S:AO,22,FALSE),IF(J32=0,"-",CONCATENATE("+",J32))))))</f>
        <v>0</v>
      </c>
      <c r="K29" s="261">
        <f>IF(Intro!$K$12="X",IF($E$6="","",VLOOKUP($E$6,tableaux!$S:$AO,22,FALSE)),IF(E6="",0,IF(IF(VALUE(IF(MID(VLOOKUP(E6,tableaux!S:AO,22,FALSE),2,2)="",0,MID(VLOOKUP(E6,tableaux!S:AO,22,FALSE),2,2)))&gt;K32,VLOOKUP(E6,tableaux!S:AO,22,FALSE),IF(K32=0,"-",CONCATENATE("+",K32)))=0,"-",IF(VALUE(IF(MID(VLOOKUP(E6,tableaux!S:AO,22,FALSE),2,2)="",0,MID(VLOOKUP(E6,tableaux!S:AO,22,FALSE),2,2)))&gt;K32,VLOOKUP(E6,tableaux!S:AO,22,FALSE),IF(K32=0,"-",CONCATENATE("+",K32))))))</f>
        <v>0</v>
      </c>
      <c r="L29" s="261" t="s">
        <v>149</v>
      </c>
      <c r="M29" s="261" t="s">
        <v>149</v>
      </c>
      <c r="N29" s="217" t="str">
        <f>IF(Gestion!W9&gt;0,"*+20% en CT en visant","")</f>
        <v/>
      </c>
      <c r="O29" s="217"/>
      <c r="P29" s="908"/>
      <c r="Q29" s="1130"/>
      <c r="R29" s="1131"/>
      <c r="S29" s="1131"/>
      <c r="T29" s="1132"/>
      <c r="U29" s="217"/>
      <c r="V29" s="217"/>
      <c r="W29" s="217"/>
      <c r="X29" s="217"/>
      <c r="Y29" s="217"/>
      <c r="Z29" s="217"/>
      <c r="AA29" s="217"/>
      <c r="AB29" s="217"/>
      <c r="AC29" s="217"/>
      <c r="AD29" s="85"/>
      <c r="AE29" s="85"/>
      <c r="AF29" s="85"/>
      <c r="AG29" s="85"/>
      <c r="AH29" s="85"/>
      <c r="AI29" s="85"/>
      <c r="AJ29" s="85"/>
      <c r="AK29" s="85"/>
    </row>
    <row r="30" spans="1:37" ht="15" customHeight="1" thickBot="1">
      <c r="A30" s="908"/>
      <c r="B30" s="1296"/>
      <c r="C30" s="217"/>
      <c r="D30" s="1084" t="s">
        <v>138</v>
      </c>
      <c r="E30" s="1084"/>
      <c r="F30" s="214">
        <f>SUM(F28,F31,F32)+IF(K4="Vampire",1,0)+IF(OR('page 2'!$P$31="Marque de Khaine",'page 2'!$P$32="Marque de Khaine",'page 2'!$P$33="Marque de Khaine",'page 2'!$P$34="Marque de Khaine"),1,0)</f>
        <v>0</v>
      </c>
      <c r="G30" s="214">
        <f>SUM(G28,G31,G32)+IF(Gestion!W41&gt;0,1,0)+IF(K4="Vampire",6,0)</f>
        <v>0</v>
      </c>
      <c r="H30" s="214">
        <f>(ROUNDDOWN((H23/10),0))+H31+H32</f>
        <v>0</v>
      </c>
      <c r="I30" s="214">
        <f>(ROUNDDOWN((I23/10),0))+I31+I32</f>
        <v>0</v>
      </c>
      <c r="J30" s="214">
        <f>SUM(J28,J31,J32)+J33+IF(Gestion!W38&gt;0,1,0)+IF(K4="Vampire",2,0)</f>
        <v>-1</v>
      </c>
      <c r="K30" s="214">
        <f>SUM(K28,K31,K32)+IF(K4="Vampire",1,0)</f>
        <v>0</v>
      </c>
      <c r="L30" s="214">
        <f>SUM(L28,L31,L32)</f>
        <v>0</v>
      </c>
      <c r="M30" s="214">
        <f>SUM(M28,M31,M32)</f>
        <v>0</v>
      </c>
      <c r="N30" s="217"/>
      <c r="O30" s="217"/>
      <c r="P30" s="908"/>
      <c r="Q30" s="1130"/>
      <c r="R30" s="1131"/>
      <c r="S30" s="1131"/>
      <c r="T30" s="1132"/>
      <c r="U30" s="217"/>
      <c r="V30" s="1054" t="s">
        <v>178</v>
      </c>
      <c r="W30" s="1054"/>
      <c r="X30" s="217"/>
      <c r="Y30" s="217"/>
      <c r="Z30" s="217"/>
      <c r="AA30" s="217"/>
      <c r="AB30" s="217"/>
      <c r="AC30" s="217"/>
      <c r="AD30" s="85"/>
      <c r="AE30" s="85"/>
      <c r="AF30" s="85"/>
      <c r="AG30" s="85"/>
      <c r="AH30" s="85"/>
      <c r="AI30" s="85"/>
      <c r="AJ30" s="85"/>
      <c r="AK30" s="85"/>
    </row>
    <row r="31" spans="1:37" ht="15" customHeight="1" thickBot="1">
      <c r="A31" s="908"/>
      <c r="B31" s="217"/>
      <c r="C31" s="217"/>
      <c r="D31" s="1084" t="s">
        <v>263</v>
      </c>
      <c r="E31" s="1084"/>
      <c r="F31" s="260"/>
      <c r="G31" s="260"/>
      <c r="H31" s="260"/>
      <c r="I31" s="260"/>
      <c r="J31" s="260"/>
      <c r="K31" s="260"/>
      <c r="L31" s="260">
        <v>0</v>
      </c>
      <c r="M31" s="260"/>
      <c r="N31" s="217"/>
      <c r="O31" s="217"/>
      <c r="P31" s="908"/>
      <c r="Q31" s="1133"/>
      <c r="R31" s="1134"/>
      <c r="S31" s="1134"/>
      <c r="T31" s="1135"/>
      <c r="U31" s="217"/>
      <c r="V31" s="217"/>
      <c r="W31" s="217"/>
      <c r="X31" s="819" t="s">
        <v>383</v>
      </c>
      <c r="Y31" s="1151" t="s">
        <v>391</v>
      </c>
      <c r="Z31" s="1151"/>
      <c r="AA31" s="217"/>
      <c r="AB31" s="217"/>
      <c r="AC31" s="217"/>
      <c r="AD31" s="85"/>
      <c r="AE31" s="85"/>
      <c r="AF31" s="85"/>
      <c r="AG31" s="85"/>
      <c r="AH31" s="85"/>
      <c r="AI31" s="85"/>
      <c r="AJ31" s="85"/>
      <c r="AK31" s="85"/>
    </row>
    <row r="32" spans="1:37" ht="13.5" customHeight="1" thickBot="1">
      <c r="A32" s="908"/>
      <c r="B32" s="217"/>
      <c r="C32" s="217"/>
      <c r="D32" s="1084" t="s">
        <v>8781</v>
      </c>
      <c r="E32" s="1084"/>
      <c r="F32" s="218">
        <v>0</v>
      </c>
      <c r="G32" s="218">
        <v>0</v>
      </c>
      <c r="H32" s="217"/>
      <c r="I32" s="217"/>
      <c r="J32" s="218">
        <v>0</v>
      </c>
      <c r="K32" s="218"/>
      <c r="L32" s="217"/>
      <c r="M32" s="217"/>
      <c r="N32" s="217"/>
      <c r="O32" s="217"/>
      <c r="P32" s="908"/>
      <c r="Q32" s="217"/>
      <c r="R32" s="217"/>
      <c r="S32" s="217"/>
      <c r="T32" s="217"/>
      <c r="U32" s="217"/>
      <c r="V32" s="1078" t="s">
        <v>179</v>
      </c>
      <c r="W32" s="1079"/>
      <c r="X32" s="222">
        <f>IF($T$44="",0,IF($T$44&lt;&gt;0,$T$44+SUM(P$47:P$53),IF(SUM(P$47:P$53)=0,0,$T$44+SUM(P$47:P$53))))</f>
        <v>0</v>
      </c>
      <c r="Y32" s="1112">
        <f t="shared" ref="Y32:Y37" si="0">IF(X32="","",X32+BE)</f>
        <v>0</v>
      </c>
      <c r="Z32" s="1112"/>
      <c r="AA32" s="219" t="s">
        <v>185</v>
      </c>
      <c r="AB32" s="217"/>
      <c r="AC32" s="217"/>
      <c r="AD32" s="85"/>
      <c r="AE32" s="85"/>
      <c r="AF32" s="85"/>
      <c r="AG32" s="85"/>
      <c r="AH32" s="85"/>
      <c r="AI32" s="85"/>
      <c r="AJ32" s="85"/>
      <c r="AK32" s="85"/>
    </row>
    <row r="33" spans="1:37" ht="15.75" customHeight="1" thickBot="1">
      <c r="A33" s="908"/>
      <c r="B33" s="1073" t="s">
        <v>2612</v>
      </c>
      <c r="C33" s="1073"/>
      <c r="D33" s="1073"/>
      <c r="E33" s="217"/>
      <c r="F33" s="1072" t="s">
        <v>15946</v>
      </c>
      <c r="G33" s="1072"/>
      <c r="H33" s="1072"/>
      <c r="I33" s="1072"/>
      <c r="J33" s="827">
        <f>'page 3'!E40</f>
        <v>-1</v>
      </c>
      <c r="K33" s="217"/>
      <c r="L33" s="217"/>
      <c r="M33" s="217"/>
      <c r="N33" s="217"/>
      <c r="O33" s="217"/>
      <c r="P33" s="908"/>
      <c r="Q33" s="217"/>
      <c r="R33" s="217"/>
      <c r="S33" s="217"/>
      <c r="T33" s="217"/>
      <c r="U33" s="217"/>
      <c r="V33" s="1080" t="s">
        <v>180</v>
      </c>
      <c r="W33" s="1081"/>
      <c r="X33" s="222">
        <f>IF($T$44="",0,IF($T$44&lt;&gt;"",$T$44+SUM(Q$47:Q$53),IF(SUM(Q$47:Q$53)=0,0,$T$44+SUM(Q$47:Q$53))))</f>
        <v>0</v>
      </c>
      <c r="Y33" s="1112">
        <f t="shared" si="0"/>
        <v>0</v>
      </c>
      <c r="Z33" s="1112"/>
      <c r="AA33" s="220" t="s">
        <v>186</v>
      </c>
      <c r="AB33" s="217"/>
      <c r="AC33" s="217"/>
      <c r="AD33" s="85"/>
      <c r="AE33" s="85"/>
      <c r="AF33" s="85"/>
      <c r="AG33" s="85"/>
      <c r="AH33" s="368"/>
      <c r="AI33" s="368"/>
      <c r="AJ33" s="368"/>
      <c r="AK33" s="368"/>
    </row>
    <row r="34" spans="1:37" ht="13.5" customHeight="1" thickBot="1">
      <c r="A34" s="908"/>
      <c r="B34" s="1291" t="s">
        <v>162</v>
      </c>
      <c r="C34" s="1292"/>
      <c r="D34" s="1292"/>
      <c r="E34" s="1293" t="s">
        <v>5317</v>
      </c>
      <c r="F34" s="1294"/>
      <c r="G34" s="1111" t="s">
        <v>164</v>
      </c>
      <c r="H34" s="1111"/>
      <c r="I34" s="238" t="s">
        <v>129</v>
      </c>
      <c r="J34" s="238" t="s">
        <v>130</v>
      </c>
      <c r="K34" s="238" t="s">
        <v>4907</v>
      </c>
      <c r="L34" s="239" t="s">
        <v>4906</v>
      </c>
      <c r="M34" s="240" t="s">
        <v>368</v>
      </c>
      <c r="N34" s="240" t="s">
        <v>4905</v>
      </c>
      <c r="O34" s="240" t="s">
        <v>3886</v>
      </c>
      <c r="P34" s="1111" t="s">
        <v>165</v>
      </c>
      <c r="Q34" s="1111"/>
      <c r="R34" s="238" t="s">
        <v>163</v>
      </c>
      <c r="S34" s="241" t="s">
        <v>166</v>
      </c>
      <c r="T34" s="242" t="s">
        <v>167</v>
      </c>
      <c r="U34" s="654"/>
      <c r="V34" s="1080" t="s">
        <v>181</v>
      </c>
      <c r="W34" s="1081"/>
      <c r="X34" s="222">
        <f>IF($T$44="",0,IF($T$44&lt;&gt;"",$T$44+SUM(Q$47:Q$53),IF(SUM(Q$47:Q$53)=0,0,$T$44+SUM(Q$47:Q$53))))</f>
        <v>0</v>
      </c>
      <c r="Y34" s="1112">
        <f t="shared" si="0"/>
        <v>0</v>
      </c>
      <c r="Z34" s="1112"/>
      <c r="AA34" s="220" t="s">
        <v>187</v>
      </c>
      <c r="AB34" s="217"/>
      <c r="AC34" s="217"/>
      <c r="AD34" s="304"/>
      <c r="AE34" s="304"/>
      <c r="AF34" s="304"/>
      <c r="AG34" s="304"/>
      <c r="AH34" s="304" t="s">
        <v>8800</v>
      </c>
      <c r="AI34" s="368"/>
      <c r="AJ34" s="368"/>
      <c r="AK34" s="368"/>
    </row>
    <row r="35" spans="1:37" ht="13.5" customHeight="1" thickBot="1">
      <c r="A35" s="908"/>
      <c r="B35" s="1289" t="s">
        <v>2633</v>
      </c>
      <c r="C35" s="1290"/>
      <c r="D35" s="1290"/>
      <c r="E35" s="1074" t="s">
        <v>5315</v>
      </c>
      <c r="F35" s="1075"/>
      <c r="G35" s="1100" t="str">
        <f>IF(B35="","",(VLOOKUP(B35,Armes!$A$2:$N$128,2,FALSE)))</f>
        <v>Ordinaire</v>
      </c>
      <c r="H35" s="1100"/>
      <c r="I35" s="233" t="str">
        <f>IF(B35="","",(VLOOKUP(B35,Armes!$A$2:$N$128,3,FALSE)))</f>
        <v>X</v>
      </c>
      <c r="J35" s="233">
        <f>IF(B35="","",(VLOOKUP(B35,Armes!$A$2:$N$128,4,FALSE)))</f>
        <v>0</v>
      </c>
      <c r="K35" s="234"/>
      <c r="L35" s="235">
        <f>IF(B35="","",ROUNDUP(IF(G35="Ordinaire",IF(I35="x",CC,IF(J35="x",CT,0)),IF(Gestion!AA213=FALSE,IF(I35="x",CC,IF(J35="x",CT,0))/2,IF(I35="x",CC,IF(J35="x",CT,0)))),0)-IF(K35="X",10,0)+IF(E35="Exeptionnel",5,0)-IF(E35="Médiocre",5,0))+IF(Gestion!W27&gt;0,10,0)</f>
        <v>0</v>
      </c>
      <c r="M35" s="328">
        <f>ROUNDUP(IF(B35&lt;&gt;"",(VLOOKUP(B35,Armes!$A$2:$N$160,13,FALSE))-IF(OR(E35="Exeptionnel",E35="Bon"),(VLOOKUP(B35,Armes!$A$2:$N$160,13,FALSE)/10),0),0),0)</f>
        <v>0</v>
      </c>
      <c r="N35" s="373">
        <f>IF(B35="","",IF(E35="Moyen",VLOOKUP(B35,Armes!$A$2:$N$160,12,FALSE),IF(E35="Exeptionnel",VLOOKUP(B35,Armes!$A$2:$N$160,12,FALSE)*10,IF(E35="Bon",VLOOKUP(B35,Armes!$A$2:$N$160,12,FALSE)*3,IF(E35="Médiocre",ROUNDUP(VLOOKUP(B35,Armes!$A$2:$N$160,12,FALSE)/2,0),"")))))</f>
        <v>0</v>
      </c>
      <c r="O35" s="358" t="str">
        <f>AH35</f>
        <v/>
      </c>
      <c r="P35" s="1095" t="str">
        <f>IF(B35="","",CONCATENATE("1d10+",AJ35))</f>
        <v>1d10+0</v>
      </c>
      <c r="Q35" s="1095"/>
      <c r="R35" s="233" t="str">
        <f>IF(B35="","",(VLOOKUP(B35,Armes!$A$2:$N$128,6,FALSE)))</f>
        <v>Aucun</v>
      </c>
      <c r="S35" s="429" t="str">
        <f>IF(I35="X","Aucun",IF(AI35=0,"Action gratuite",IF(AI35=0.5,"1 Demi Action",IF(AI35=1,"1 Action Complète",IF(AI35=1.5,"3 Demi Actions",IF(AI35=2,"2 Actions Complètes",IF(AI35=2.5,"5 Demi Actions",IF(AI35=3,"3 Actions Complètes",IF(AI35=3.5,"7 Demi Actions",IF(AI35=4,"4 Action Complètes",IF(AI35=4.5,"9 Demi Actions",IF(AI35=5,"5 Actions Complètes",IF(AI35=5.5,"11 Demi Actions",IF(AI35=6,"1 Round",IF(AI35=6.5,"13 Demi Actions",IF(AI35=7,"7 Actions Complètes",IF(AI35=7.5,"15 Demi Actions",IF(AI35=8,"8 Actions Complètes",IF(AI35=8.5,"17 Demi Actions",IF(AI35=9,"9 Action Complètes",IF(AI35=9.5,"19 Demi Actions",IF(AI35=10,"10 Actions Complètes",IF(AI35=10.5,"21 Demi Actions",IF(AI35=11,"11 Actions Complètes",IF(AI35=11.5,"23 Demi Actions",IF(AI35=12,"2 Rounds",IF(AI35=12.5,"25 Demi Actions",IF(AI35=13,"13 Actions Complètes",IF(AI35=13.5,"27 Demi Actions",IF(AI35=14,"14 Actions Complètes",IF(AI35=14.5,"29 Demi Actions",IF(AI35=15,"15 Actions Complètes",IF(AI35=15.5,"31 Demi Actions",IF(AI35=16,"16 Actions Complètes",IF(AI35=18,"3 Rounds",IF(AI35=19,"19 Actions Complètes",IF(AI35=19.5,"39 Demi Actions",IF(AI35=20,"20 Actions Complètes",""))))))))))))))))))))))))))))))))))))))</f>
        <v>Aucun</v>
      </c>
      <c r="T35" s="243" t="str">
        <f>IF(B35="","",(VLOOKUP(B35,Armes!$A$2:$N$128,11,FALSE)))</f>
        <v xml:space="preserve">Spéciale  </v>
      </c>
      <c r="U35" s="908">
        <f>IF(G35="A 2 Mains",1,IF(G35="A poudre",2,IF(G35="Arbalète",3,IF(G35="Arc Long",4,IF(G35="Cavalerie",5,IF(G35="De jet",6,IF(G35="Escrime",7,IF(G35="Explosif",8,IF(G35="Fléaux",9,IF(G35="Lance-Pierre",10,IF(G35="Lourde",11,IF(G35="Mécanique",12,IF(G35="Exotique",13,IF(G35="Parade",14,IF(G35="Paralysante",15,IF(G35="Ordinaire",16,0))))))))))))))))</f>
        <v>16</v>
      </c>
      <c r="V35" s="1080" t="s">
        <v>182</v>
      </c>
      <c r="W35" s="1081"/>
      <c r="X35" s="222">
        <f>IF($T$44="",0,IF($T$44&lt;&gt;"",$T$44+SUM(R$47:R$53),IF(SUM(R$47:R$53)=0,0,$T$44+SUM(R$47:R$53))))</f>
        <v>0</v>
      </c>
      <c r="Y35" s="1112">
        <f t="shared" si="0"/>
        <v>0</v>
      </c>
      <c r="Z35" s="1112"/>
      <c r="AA35" s="220" t="s">
        <v>188</v>
      </c>
      <c r="AB35" s="217"/>
      <c r="AC35" s="217"/>
      <c r="AD35" s="362"/>
      <c r="AE35" s="304">
        <f>IF(AD35="ER",9,IF(AD35="TR",8,IF(AD35="R",7,IF(AD35="I",6,IF(AD35="AC",5,IF(AD35="C",4,IF(AD35="TC",3,IF(AD35="B",2,0))))))))</f>
        <v>0</v>
      </c>
      <c r="AF35" s="304">
        <f>IF(E35="Exeptionnel",2,IF(E35="Bon",1,IF(E35="Médiocre",-1,0)))</f>
        <v>0</v>
      </c>
      <c r="AG35" s="304">
        <f>AE35+AF35</f>
        <v>0</v>
      </c>
      <c r="AH35" s="304" t="str">
        <f>IF(AG35&gt;9,"U",IF(AG35=9,"ER",IF(AG35=8,"TR",IF(AG35=7,"R",IF(AG35=6,"I",IF(AG35=5,"AC",IF(AG35=4,"C",IF(AG35=3,"TC",IF(AG35=2,"B",IF(AG35&lt;2,"","Imp"))))))))))</f>
        <v/>
      </c>
      <c r="AI35" s="427">
        <f>IF(B35="","",(VLOOKUP(B35,Armes!$A$2:$N$128,7,FALSE)))</f>
        <v>0</v>
      </c>
      <c r="AJ35" s="428">
        <f>IF(B35="","",(VLOOKUP(B35,Armes!$A$2:$N$128,5,FALSE)))</f>
        <v>0</v>
      </c>
      <c r="AK35" s="428"/>
    </row>
    <row r="36" spans="1:37" ht="12.75" customHeight="1" thickBot="1">
      <c r="A36" s="908"/>
      <c r="B36" s="1082"/>
      <c r="C36" s="1083"/>
      <c r="D36" s="1083"/>
      <c r="E36" s="1074"/>
      <c r="F36" s="1075"/>
      <c r="G36" s="1100" t="str">
        <f>IF(B36="","",(VLOOKUP(B36,Armes!$A$2:$N$128,2,FALSE)))</f>
        <v/>
      </c>
      <c r="H36" s="1100"/>
      <c r="I36" s="233" t="str">
        <f>IF(B36="","",(VLOOKUP(B36,Armes!$A$2:$N$128,3,FALSE)))</f>
        <v/>
      </c>
      <c r="J36" s="233" t="str">
        <f>IF(B36="","",(VLOOKUP(B36,Armes!$A$2:$N$128,4,FALSE)))</f>
        <v/>
      </c>
      <c r="K36" s="234"/>
      <c r="L36" s="374" t="str">
        <f>IF(B36="","",ROUNDUP(IF(G36="Ordinaire",IF(I36="x",CC,IF(J36="x",CT,0)),IF(Gestion!AA214=FALSE,IF(I36="x",CC,IF(J36="x",CT,0))/2,IF(I36="x",CC,IF(J36="x",CT,0)))),0)-IF(K36="X",10,0)+IF(E36="Exeptionnel",5,0)-IF(E36="Médiocre",5,0))</f>
        <v/>
      </c>
      <c r="M36" s="373">
        <f>ROUNDUP(IF(B36&lt;&gt;"",(VLOOKUP(B36,Armes!$A$2:$N$160,13,FALSE))-IF(OR(E36="Exeptionnel",E36="Bon"),(VLOOKUP(B36,Armes!$A$2:$N$160,13,FALSE)/10),0),0),0)</f>
        <v>0</v>
      </c>
      <c r="N36" s="373" t="str">
        <f>IF(B36="","",IF(E36="Moyen",VLOOKUP(B36,Armes!$A$2:$N$160,12,FALSE),IF(E36="Exeptionnel",VLOOKUP(B36,Armes!$A$2:$N$160,12,FALSE)*10,IF(E36="Bon",VLOOKUP(B36,Armes!$A$2:$N$160,12,FALSE)*3,IF(E36="Médiocre",ROUNDUP(VLOOKUP(B36,Armes!$A$2:$N$160,12,FALSE)/2,0),"")))))</f>
        <v/>
      </c>
      <c r="O36" s="358" t="str">
        <f t="shared" ref="O36:O40" si="1">AH36</f>
        <v/>
      </c>
      <c r="P36" s="1095" t="str">
        <f t="shared" ref="P36:P40" si="2">IF(B36="","",CONCATENATE("1d10+",AJ36))</f>
        <v/>
      </c>
      <c r="Q36" s="1095"/>
      <c r="R36" s="233" t="str">
        <f>IF(B36="","",(VLOOKUP(B36,Armes!$A$2:$N$128,6,FALSE)))</f>
        <v/>
      </c>
      <c r="S36" s="429" t="str">
        <f t="shared" ref="S36:S40" si="3">IF(I36="X","Aucun",IF(AI36=0,"Action gratuite",IF(AI36=0.5,"1 Demi Action",IF(AI36=1,"1 Action Complète",IF(AI36=1.5,"3 Demi Actions",IF(AI36=2,"2 Actions Complètes",IF(AI36=2.5,"5 Demi Actions",IF(AI36=3,"3 Actions Complètes",IF(AI36=3.5,"7 Demi Actions",IF(AI36=4,"4 Action Complètes",IF(AI36=4.5,"9 Demi Actions",IF(AI36=5,"5 Actions Complètes",IF(AI36=5.5,"11 Demi Actions",IF(AI36=6,"1 Round",IF(AI36=6.5,"13 Demi Actions",IF(AI36=7,"7 Actions Complètes",IF(AI36=7.5,"15 Demi Actions",IF(AI36=8,"8 Actions Complètes",IF(AI36=8.5,"17 Demi Actions",IF(AI36=9,"9 Action Complètes",IF(AI36=9.5,"19 Demi Actions",IF(AI36=10,"10 Actions Complètes",IF(AI36=10.5,"21 Demi Actions",IF(AI36=11,"11 Actions Complètes",IF(AI36=11.5,"23 Demi Actions",IF(AI36=12,"2 Rounds",IF(AI36=12.5,"25 Demi Actions",IF(AI36=13,"13 Actions Complètes",IF(AI36=13.5,"27 Demi Actions",IF(AI36=14,"14 Actions Complètes",IF(AI36=14.5,"29 Demi Actions",IF(AI36=15,"15 Actions Complètes",IF(AI36=15.5,"31 Demi Actions",IF(AI36=16,"16 Actions Complètes",IF(AI36=18,"3 Rounds",IF(AI36=19,"19 Actions Complètes",IF(AI36=19.5,"39 Demi Actions",IF(AI36=20,"20 Actions Complètes",""))))))))))))))))))))))))))))))))))))))</f>
        <v/>
      </c>
      <c r="T36" s="243" t="str">
        <f>IF(B36="","",(VLOOKUP(B36,Armes!$A$2:$N$128,11,FALSE)))</f>
        <v/>
      </c>
      <c r="U36" s="908">
        <f t="shared" ref="U36:U40" si="4">IF(G36="A 2 Mains",1,IF(G36="A poudre",2,IF(G36="Arbalète",3,IF(G36="Arc Long",4,IF(G36="Cavalerie",5,IF(G36="De jet",6,IF(G36="Escrime",7,IF(G36="Explosif",8,IF(G36="Fléaux",9,IF(G36="Lance-Pierre",10,IF(G36="Lourde",11,IF(G36="Mécanique",12,IF(G36="Exotique",13,IF(G36="Parade",14,IF(G36="Paralysante",15,IF(G36="Ordinaire",16,0))))))))))))))))</f>
        <v>0</v>
      </c>
      <c r="V36" s="1080" t="s">
        <v>183</v>
      </c>
      <c r="W36" s="1081"/>
      <c r="X36" s="222">
        <f>IF($T$44="",0,IF($T$44&lt;&gt;"",$T$44+SUM(S$47:S$53),IF(SUM(S$47:S$53)=0,0,$T$44+SUM(S$47:S$53))))</f>
        <v>0</v>
      </c>
      <c r="Y36" s="1112">
        <f t="shared" si="0"/>
        <v>0</v>
      </c>
      <c r="Z36" s="1112"/>
      <c r="AA36" s="220" t="s">
        <v>189</v>
      </c>
      <c r="AB36" s="217"/>
      <c r="AC36" s="217"/>
      <c r="AD36" s="362"/>
      <c r="AE36" s="304">
        <f t="shared" ref="AE36:AE53" si="5">IF(AD36="ER",9,IF(AD36="TR",8,IF(AD36="R",7,IF(AD36="I",6,IF(AD36="AC",5,IF(AD36="C",4,IF(AD36="TC",3,IF(AD36="B",2,0))))))))</f>
        <v>0</v>
      </c>
      <c r="AF36" s="304">
        <f t="shared" ref="AF36:AF40" si="6">IF(E36="Exeptionnel",2,IF(E36="Bon",1,IF(E36="Médiocre",-1,0)))</f>
        <v>0</v>
      </c>
      <c r="AG36" s="304">
        <f t="shared" ref="AG36:AG53" si="7">AE36+AF36</f>
        <v>0</v>
      </c>
      <c r="AH36" s="304" t="str">
        <f t="shared" ref="AH36:AH53" si="8">IF(AG36&gt;9,"U",IF(AG36=9,"ER",IF(AG36=8,"TR",IF(AG36=7,"R",IF(AG36=6,"I",IF(AG36=5,"AC",IF(AG36=4,"C",IF(AG36=3,"TC",IF(AG36=2,"B",IF(AG36&lt;2,"","Imp"))))))))))</f>
        <v/>
      </c>
      <c r="AI36" s="427" t="str">
        <f>IF(B36="","",(VLOOKUP(B36,Armes!$A$2:$N$128,7,FALSE)))</f>
        <v/>
      </c>
      <c r="AJ36" s="428" t="str">
        <f>IF(B36="","",(VLOOKUP(B36,Armes!$A$2:$N$128,5,FALSE)))</f>
        <v/>
      </c>
      <c r="AK36" s="428"/>
    </row>
    <row r="37" spans="1:37" ht="13.5" customHeight="1" thickBot="1">
      <c r="A37" s="908"/>
      <c r="B37" s="1082"/>
      <c r="C37" s="1083"/>
      <c r="D37" s="1083"/>
      <c r="E37" s="1074"/>
      <c r="F37" s="1075"/>
      <c r="G37" s="1100" t="str">
        <f>IF(B37="","",(VLOOKUP(B37,Armes!$A$2:$N$128,2,FALSE)))</f>
        <v/>
      </c>
      <c r="H37" s="1100"/>
      <c r="I37" s="233" t="str">
        <f>IF(B37="","",(VLOOKUP(B37,Armes!$A$2:$N$128,3,FALSE)))</f>
        <v/>
      </c>
      <c r="J37" s="233" t="str">
        <f>IF(B37="","",(VLOOKUP(B37,Armes!$A$2:$N$128,4,FALSE)))</f>
        <v/>
      </c>
      <c r="K37" s="234"/>
      <c r="L37" s="374" t="str">
        <f>IF(B37="","",ROUNDUP(IF(G37="Ordinaire",IF(I37="x",CC,IF(J37="x",CT,0)),IF(Gestion!AA215=FALSE,IF(I37="x",CC,IF(J37="x",CT,0))/2,IF(I37="x",CC,IF(J37="x",CT,0)))),0)-IF(K37="X",10,0)+IF(E37="Exeptionnel",5,0)-IF(E37="Médiocre",5,0))</f>
        <v/>
      </c>
      <c r="M37" s="373">
        <f>ROUNDUP(IF(B37&lt;&gt;"",(VLOOKUP(B37,Armes!$A$2:$N$160,13,FALSE))-IF(OR(E37="Exeptionnel",E37="Bon"),(VLOOKUP(B37,Armes!$A$2:$N$160,13,FALSE)/10),0),0),0)</f>
        <v>0</v>
      </c>
      <c r="N37" s="373" t="str">
        <f>IF(B37="","",IF(E37="Moyen",VLOOKUP(B37,Armes!$A$2:$N$160,12,FALSE),IF(E37="Exeptionnel",VLOOKUP(B37,Armes!$A$2:$N$160,12,FALSE)*10,IF(E37="Bon",VLOOKUP(B37,Armes!$A$2:$N$160,12,FALSE)*3,IF(E37="Médiocre",ROUNDUP(VLOOKUP(B37,Armes!$A$2:$N$160,12,FALSE)/2,0),"")))))</f>
        <v/>
      </c>
      <c r="O37" s="358" t="str">
        <f t="shared" si="1"/>
        <v/>
      </c>
      <c r="P37" s="1095" t="str">
        <f t="shared" si="2"/>
        <v/>
      </c>
      <c r="Q37" s="1095"/>
      <c r="R37" s="233" t="str">
        <f>IF(B37="","",(VLOOKUP(B37,Armes!$A$2:$N$128,6,FALSE)))</f>
        <v/>
      </c>
      <c r="S37" s="429" t="str">
        <f t="shared" si="3"/>
        <v/>
      </c>
      <c r="T37" s="243" t="str">
        <f>IF(B37="","",(VLOOKUP(B37,Armes!$A$2:$N$128,11,FALSE)))</f>
        <v/>
      </c>
      <c r="U37" s="908">
        <f t="shared" si="4"/>
        <v>0</v>
      </c>
      <c r="V37" s="1157" t="s">
        <v>184</v>
      </c>
      <c r="W37" s="1158"/>
      <c r="X37" s="222">
        <f>IF($T$44="",0,IF($T$44&lt;&gt;"",$T$44+SUM(S$47:S$53),IF(SUM(S$47:S$53)=0,0,$T$44+SUM(S$47:S$53))))</f>
        <v>0</v>
      </c>
      <c r="Y37" s="1112">
        <f t="shared" si="0"/>
        <v>0</v>
      </c>
      <c r="Z37" s="1112"/>
      <c r="AA37" s="221" t="s">
        <v>190</v>
      </c>
      <c r="AB37" s="217"/>
      <c r="AC37" s="217"/>
      <c r="AD37" s="362"/>
      <c r="AE37" s="304">
        <f t="shared" si="5"/>
        <v>0</v>
      </c>
      <c r="AF37" s="304">
        <f t="shared" si="6"/>
        <v>0</v>
      </c>
      <c r="AG37" s="304">
        <f t="shared" si="7"/>
        <v>0</v>
      </c>
      <c r="AH37" s="304" t="str">
        <f t="shared" si="8"/>
        <v/>
      </c>
      <c r="AI37" s="427" t="str">
        <f>IF(B37="","",(VLOOKUP(B37,Armes!$A$2:$N$128,7,FALSE)))</f>
        <v/>
      </c>
      <c r="AJ37" s="428" t="str">
        <f>IF(B37="","",(VLOOKUP(B37,Armes!$A$2:$N$128,5,FALSE)))</f>
        <v/>
      </c>
      <c r="AK37" s="428"/>
    </row>
    <row r="38" spans="1:37" ht="14.25" customHeight="1">
      <c r="A38" s="908"/>
      <c r="B38" s="1082"/>
      <c r="C38" s="1083"/>
      <c r="D38" s="1083"/>
      <c r="E38" s="1074"/>
      <c r="F38" s="1075"/>
      <c r="G38" s="1100" t="str">
        <f>IF(B38="","",(VLOOKUP(B38,Armes!$A$2:$N$128,2,FALSE)))</f>
        <v/>
      </c>
      <c r="H38" s="1100"/>
      <c r="I38" s="233" t="str">
        <f>IF(B38="","",(VLOOKUP(B38,Armes!$A$2:$N$128,3,FALSE)))</f>
        <v/>
      </c>
      <c r="J38" s="233" t="str">
        <f>IF(B38="","",(VLOOKUP(B38,Armes!$A$2:$N$128,4,FALSE)))</f>
        <v/>
      </c>
      <c r="K38" s="234"/>
      <c r="L38" s="374" t="str">
        <f>IF(B38="","",ROUNDUP(IF(G38="Ordinaire",IF(I38="x",CC,IF(J38="x",CT,0)),IF(Gestion!AA216=FALSE,IF(I38="x",CC,IF(J38="x",CT,0))/2,IF(I38="x",CC,IF(J38="x",CT,0)))),0)-IF(K38="X",10,0)+IF(E38="Exeptionnel",5,0)-IF(E38="Médiocre",5,0))</f>
        <v/>
      </c>
      <c r="M38" s="373">
        <f>ROUNDUP(IF(B38&lt;&gt;"",(VLOOKUP(B38,Armes!$A$2:$N$160,13,FALSE))-IF(OR(E38="Exeptionnel",E38="Bon"),(VLOOKUP(B38,Armes!$A$2:$N$160,13,FALSE)/10),0),0),0)</f>
        <v>0</v>
      </c>
      <c r="N38" s="373" t="str">
        <f>IF(B38="","",IF(E38="Moyen",VLOOKUP(B38,Armes!$A$2:$N$160,12,FALSE),IF(E38="Exeptionnel",VLOOKUP(B38,Armes!$A$2:$N$160,12,FALSE)*10,IF(E38="Bon",VLOOKUP(B38,Armes!$A$2:$N$160,12,FALSE)*3,IF(E38="Médiocre",ROUNDUP(VLOOKUP(B38,Armes!$A$2:$N$160,12,FALSE)/2,0),"")))))</f>
        <v/>
      </c>
      <c r="O38" s="358" t="str">
        <f t="shared" si="1"/>
        <v/>
      </c>
      <c r="P38" s="1095" t="str">
        <f t="shared" si="2"/>
        <v/>
      </c>
      <c r="Q38" s="1095"/>
      <c r="R38" s="233" t="str">
        <f>IF(B38="","",(VLOOKUP(B38,Armes!$A$2:$N$128,6,FALSE)))</f>
        <v/>
      </c>
      <c r="S38" s="429" t="str">
        <f t="shared" si="3"/>
        <v/>
      </c>
      <c r="T38" s="243" t="str">
        <f>IF(B38="","",(VLOOKUP(B38,Armes!$A$2:$N$128,11,FALSE)))</f>
        <v/>
      </c>
      <c r="U38" s="908">
        <f t="shared" si="4"/>
        <v>0</v>
      </c>
      <c r="V38" s="217"/>
      <c r="W38" s="217"/>
      <c r="X38" s="217"/>
      <c r="Y38" s="217"/>
      <c r="Z38" s="217"/>
      <c r="AA38" s="217"/>
      <c r="AB38" s="217"/>
      <c r="AC38" s="217"/>
      <c r="AD38" s="362"/>
      <c r="AE38" s="304">
        <f t="shared" si="5"/>
        <v>0</v>
      </c>
      <c r="AF38" s="304">
        <f t="shared" si="6"/>
        <v>0</v>
      </c>
      <c r="AG38" s="304">
        <f t="shared" si="7"/>
        <v>0</v>
      </c>
      <c r="AH38" s="304" t="str">
        <f t="shared" si="8"/>
        <v/>
      </c>
      <c r="AI38" s="427" t="str">
        <f>IF(B38="","",(VLOOKUP(B38,Armes!$A$2:$N$128,7,FALSE)))</f>
        <v/>
      </c>
      <c r="AJ38" s="428" t="str">
        <f>IF(B38="","",(VLOOKUP(B38,Armes!$A$2:$N$128,5,FALSE)))</f>
        <v/>
      </c>
      <c r="AK38" s="428"/>
    </row>
    <row r="39" spans="1:37" ht="13.5" customHeight="1" thickBot="1">
      <c r="A39" s="908"/>
      <c r="B39" s="1082"/>
      <c r="C39" s="1083"/>
      <c r="D39" s="1083"/>
      <c r="E39" s="1074"/>
      <c r="F39" s="1075"/>
      <c r="G39" s="1100" t="str">
        <f>IF(B39="","",(VLOOKUP(B39,Armes!$A$2:$N$128,2,FALSE)))</f>
        <v/>
      </c>
      <c r="H39" s="1100"/>
      <c r="I39" s="233" t="str">
        <f>IF(B39="","",(VLOOKUP(B39,Armes!$A$2:$N$128,3,FALSE)))</f>
        <v/>
      </c>
      <c r="J39" s="233" t="str">
        <f>IF(B39="","",(VLOOKUP(B39,Armes!$A$2:$N$128,4,FALSE)))</f>
        <v/>
      </c>
      <c r="K39" s="234"/>
      <c r="L39" s="374" t="str">
        <f>IF(B39="","",ROUNDUP(IF(G39="Ordinaire",IF(I39="x",CC,IF(J39="x",CT,0)),IF(Gestion!AA217=FALSE,IF(I39="x",CC,IF(J39="x",CT,0))/2,IF(I39="x",CC,IF(J39="x",CT,0)))),0)-IF(K39="X",10,0)+IF(E39="Exeptionnel",5,0)-IF(E39="Médiocre",5,0))</f>
        <v/>
      </c>
      <c r="M39" s="373">
        <f>ROUNDUP(IF(B39&lt;&gt;"",(VLOOKUP(B39,Armes!$A$2:$N$160,13,FALSE))-IF(OR(E39="Exeptionnel",E39="Bon"),(VLOOKUP(B39,Armes!$A$2:$N$160,13,FALSE)/10),0),0),0)</f>
        <v>0</v>
      </c>
      <c r="N39" s="373" t="str">
        <f>IF(B39="","",IF(E39="Moyen",VLOOKUP(B39,Armes!$A$2:$N$160,12,FALSE),IF(E39="Exeptionnel",VLOOKUP(B39,Armes!$A$2:$N$160,12,FALSE)*10,IF(E39="Bon",VLOOKUP(B39,Armes!$A$2:$N$160,12,FALSE)*3,IF(E39="Médiocre",ROUNDUP(VLOOKUP(B39,Armes!$A$2:$N$160,12,FALSE)/2,0),"")))))</f>
        <v/>
      </c>
      <c r="O39" s="358" t="str">
        <f t="shared" si="1"/>
        <v/>
      </c>
      <c r="P39" s="1095" t="str">
        <f t="shared" si="2"/>
        <v/>
      </c>
      <c r="Q39" s="1095"/>
      <c r="R39" s="233" t="str">
        <f>IF(B39="","",(VLOOKUP(B39,Armes!$A$2:$N$128,6,FALSE)))</f>
        <v/>
      </c>
      <c r="S39" s="429" t="str">
        <f t="shared" si="3"/>
        <v/>
      </c>
      <c r="T39" s="243" t="str">
        <f>IF(B39="","",(VLOOKUP(B39,Armes!$A$2:$N$128,11,FALSE)))</f>
        <v/>
      </c>
      <c r="U39" s="908">
        <f t="shared" si="4"/>
        <v>0</v>
      </c>
      <c r="V39" s="1138" t="s">
        <v>193</v>
      </c>
      <c r="W39" s="1138"/>
      <c r="X39" s="1138"/>
      <c r="Y39" s="217"/>
      <c r="Z39" s="217"/>
      <c r="AA39" s="217"/>
      <c r="AB39" s="217"/>
      <c r="AC39" s="217"/>
      <c r="AD39" s="362"/>
      <c r="AE39" s="304">
        <f t="shared" si="5"/>
        <v>0</v>
      </c>
      <c r="AF39" s="304">
        <f t="shared" si="6"/>
        <v>0</v>
      </c>
      <c r="AG39" s="304">
        <f t="shared" si="7"/>
        <v>0</v>
      </c>
      <c r="AH39" s="304" t="str">
        <f t="shared" si="8"/>
        <v/>
      </c>
      <c r="AI39" s="427" t="str">
        <f>IF(B39="","",(VLOOKUP(B39,Armes!$A$2:$N$128,7,FALSE)))</f>
        <v/>
      </c>
      <c r="AJ39" s="428" t="str">
        <f>IF(B39="","",(VLOOKUP(B39,Armes!$A$2:$N$128,5,FALSE)))</f>
        <v/>
      </c>
      <c r="AK39" s="428"/>
    </row>
    <row r="40" spans="1:37" ht="13.5" customHeight="1" thickBot="1">
      <c r="A40" s="908"/>
      <c r="B40" s="1063"/>
      <c r="C40" s="1064"/>
      <c r="D40" s="1064"/>
      <c r="E40" s="1076"/>
      <c r="F40" s="1077"/>
      <c r="G40" s="1255" t="str">
        <f>IF(B40="","",(VLOOKUP(B40,Armes!$A$2:$N$128,2,FALSE)))</f>
        <v/>
      </c>
      <c r="H40" s="1255"/>
      <c r="I40" s="244" t="str">
        <f>IF(B40="","",(VLOOKUP(B40,Armes!$A$2:$N$128,3,FALSE)))</f>
        <v/>
      </c>
      <c r="J40" s="244" t="str">
        <f>IF(B40="","",(VLOOKUP(B40,Armes!$A$2:$N$128,4,FALSE)))</f>
        <v/>
      </c>
      <c r="K40" s="245"/>
      <c r="L40" s="418" t="str">
        <f>IF(B40="","",ROUNDUP(IF(G40="Ordinaire",IF(I40="x",CC,IF(J40="x",CT,0)),IF(Gestion!AA218=FALSE,IF(I40="x",CC,IF(J40="x",CT,0))/2,IF(I40="x",CC,IF(J40="x",CT,0)))),0)-IF(K40="X",10,0)+IF(E40="Exeptionnel",5,0)-IF(E40="Médiocre",5,0))</f>
        <v/>
      </c>
      <c r="M40" s="372">
        <f>ROUNDUP(IF(B40&lt;&gt;"",(VLOOKUP(B40,Armes!$A$2:$N$160,13,FALSE))-IF(OR(E40="Exeptionnel",E40="Bon"),(VLOOKUP(B40,Armes!$A$2:$N$160,13,FALSE)/10),0),0),0)</f>
        <v>0</v>
      </c>
      <c r="N40" s="372" t="str">
        <f>IF(B40="","",IF(E40="Moyen",VLOOKUP(B40,Armes!$A$2:$N$160,12,FALSE),IF(E40="Exeptionnel",VLOOKUP(B40,Armes!$A$2:$N$160,12,FALSE)*10,IF(E40="Bon",VLOOKUP(B40,Armes!$A$2:$N$160,12,FALSE)*3,IF(E40="Médiocre",ROUNDUP(VLOOKUP(B40,Armes!$A$2:$N$160,12,FALSE)/2,0),"")))))</f>
        <v/>
      </c>
      <c r="O40" s="359" t="str">
        <f t="shared" si="1"/>
        <v/>
      </c>
      <c r="P40" s="1096" t="str">
        <f t="shared" si="2"/>
        <v/>
      </c>
      <c r="Q40" s="1097"/>
      <c r="R40" s="244" t="str">
        <f>IF(B40="","",(VLOOKUP(B40,Armes!$A$2:$N$128,6,FALSE)))</f>
        <v/>
      </c>
      <c r="S40" s="430" t="str">
        <f t="shared" si="3"/>
        <v/>
      </c>
      <c r="T40" s="246" t="str">
        <f>IF(B40="","",(VLOOKUP(B40,Armes!$A$2:$N$128,11,FALSE)))</f>
        <v/>
      </c>
      <c r="U40" s="908">
        <f t="shared" si="4"/>
        <v>0</v>
      </c>
      <c r="V40" s="223" t="s">
        <v>194</v>
      </c>
      <c r="W40" s="224"/>
      <c r="X40" s="1103" t="s">
        <v>201</v>
      </c>
      <c r="Y40" s="1162"/>
      <c r="Z40" s="1103" t="s">
        <v>205</v>
      </c>
      <c r="AA40" s="1103"/>
      <c r="AB40" s="225" t="s">
        <v>201</v>
      </c>
      <c r="AC40" s="217"/>
      <c r="AD40" s="362"/>
      <c r="AE40" s="304">
        <f t="shared" si="5"/>
        <v>0</v>
      </c>
      <c r="AF40" s="304">
        <f t="shared" si="6"/>
        <v>0</v>
      </c>
      <c r="AG40" s="304">
        <f t="shared" si="7"/>
        <v>0</v>
      </c>
      <c r="AH40" s="304" t="str">
        <f t="shared" si="8"/>
        <v/>
      </c>
      <c r="AI40" s="427" t="str">
        <f>IF(B40="","",(VLOOKUP(B40,Armes!$A$2:$N$128,7,FALSE)))</f>
        <v/>
      </c>
      <c r="AJ40" s="428" t="str">
        <f>IF(B40="","",(VLOOKUP(B40,Armes!$A$2:$N$128,5,FALSE)))</f>
        <v/>
      </c>
      <c r="AK40" s="428"/>
    </row>
    <row r="41" spans="1:37" ht="13.5" customHeight="1">
      <c r="A41" s="908"/>
      <c r="B41" s="217"/>
      <c r="C41" s="217"/>
      <c r="D41" s="217"/>
      <c r="E41" s="217"/>
      <c r="F41" s="217"/>
      <c r="G41" s="217"/>
      <c r="H41" s="217"/>
      <c r="I41" s="217"/>
      <c r="J41" s="1053" t="s">
        <v>4909</v>
      </c>
      <c r="K41" s="1053"/>
      <c r="L41" s="1053"/>
      <c r="M41" s="217">
        <f>SUM(M35:M40)</f>
        <v>0</v>
      </c>
      <c r="N41" s="217">
        <f>SUM(N35:N40)</f>
        <v>0</v>
      </c>
      <c r="O41" s="217" t="str">
        <f>IF(Gestion!W35&gt;0,"*+1 aux critiques","")</f>
        <v/>
      </c>
      <c r="P41" s="217"/>
      <c r="Q41" s="217"/>
      <c r="R41" s="217"/>
      <c r="S41" s="217"/>
      <c r="T41" s="217"/>
      <c r="U41" s="654"/>
      <c r="V41" s="1164" t="s">
        <v>195</v>
      </c>
      <c r="W41" s="1163"/>
      <c r="X41" s="1165" t="s">
        <v>202</v>
      </c>
      <c r="Y41" s="1166"/>
      <c r="Z41" s="1163" t="s">
        <v>206</v>
      </c>
      <c r="AA41" s="1163"/>
      <c r="AB41" s="251" t="s">
        <v>202</v>
      </c>
      <c r="AC41" s="217"/>
      <c r="AD41" s="362"/>
      <c r="AE41" s="304"/>
      <c r="AF41" s="304"/>
      <c r="AG41" s="304"/>
      <c r="AH41" s="304"/>
      <c r="AI41" s="368"/>
      <c r="AJ41" s="368"/>
      <c r="AK41" s="368"/>
    </row>
    <row r="42" spans="1:37" ht="13.5" customHeight="1" thickBot="1">
      <c r="A42" s="908"/>
      <c r="B42" s="1221" t="s">
        <v>2611</v>
      </c>
      <c r="C42" s="1221"/>
      <c r="D42" s="217"/>
      <c r="E42" s="217"/>
      <c r="F42" s="217"/>
      <c r="G42" s="217"/>
      <c r="H42" s="217"/>
      <c r="I42" s="217"/>
      <c r="J42" s="217"/>
      <c r="K42" s="217"/>
      <c r="L42" s="217"/>
      <c r="M42" s="217"/>
      <c r="N42" s="217"/>
      <c r="O42" s="217"/>
      <c r="P42" s="217"/>
      <c r="Q42" s="217"/>
      <c r="R42" s="217"/>
      <c r="S42" s="217"/>
      <c r="T42" s="217"/>
      <c r="U42" s="217"/>
      <c r="V42" s="1101" t="s">
        <v>8759</v>
      </c>
      <c r="W42" s="1102"/>
      <c r="X42" s="1104" t="s">
        <v>203</v>
      </c>
      <c r="Y42" s="1105"/>
      <c r="Z42" s="1152" t="s">
        <v>207</v>
      </c>
      <c r="AA42" s="1152"/>
      <c r="AB42" s="226" t="s">
        <v>202</v>
      </c>
      <c r="AC42" s="217"/>
      <c r="AD42" s="362"/>
      <c r="AE42" s="304"/>
      <c r="AF42" s="304"/>
      <c r="AG42" s="304"/>
      <c r="AH42" s="304"/>
      <c r="AI42" s="368"/>
      <c r="AJ42" s="368"/>
      <c r="AK42" s="85"/>
    </row>
    <row r="43" spans="1:37">
      <c r="A43" s="908"/>
      <c r="B43" s="1222" t="s">
        <v>3805</v>
      </c>
      <c r="C43" s="1223"/>
      <c r="D43" s="1223"/>
      <c r="E43" s="1223"/>
      <c r="F43" s="1223"/>
      <c r="G43" s="1223"/>
      <c r="H43" s="1223"/>
      <c r="I43" s="1223"/>
      <c r="J43" s="1223"/>
      <c r="K43" s="1253" t="s">
        <v>5317</v>
      </c>
      <c r="L43" s="1254"/>
      <c r="M43" s="253" t="s">
        <v>368</v>
      </c>
      <c r="N43" s="253" t="s">
        <v>4905</v>
      </c>
      <c r="O43" s="253" t="s">
        <v>3886</v>
      </c>
      <c r="P43" s="256"/>
      <c r="Q43" s="228"/>
      <c r="R43" s="228"/>
      <c r="S43" s="255"/>
      <c r="T43" s="247"/>
      <c r="U43" s="217"/>
      <c r="V43" s="1101" t="s">
        <v>176</v>
      </c>
      <c r="W43" s="1102"/>
      <c r="X43" s="1104" t="s">
        <v>202</v>
      </c>
      <c r="Y43" s="1105"/>
      <c r="Z43" s="1102" t="s">
        <v>177</v>
      </c>
      <c r="AA43" s="1102"/>
      <c r="AB43" s="226" t="s">
        <v>202</v>
      </c>
      <c r="AC43" s="217"/>
      <c r="AD43" s="363"/>
      <c r="AE43" s="304">
        <f t="shared" si="5"/>
        <v>0</v>
      </c>
      <c r="AF43" s="304"/>
      <c r="AG43" s="304"/>
      <c r="AH43" s="304"/>
      <c r="AI43" s="368"/>
      <c r="AJ43" s="368"/>
      <c r="AK43" s="85"/>
    </row>
    <row r="44" spans="1:37" ht="13.5" customHeight="1" thickBot="1">
      <c r="A44" s="908"/>
      <c r="B44" s="262" t="s">
        <v>168</v>
      </c>
      <c r="C44" s="1261"/>
      <c r="D44" s="1261"/>
      <c r="E44" s="1261"/>
      <c r="F44" s="1261"/>
      <c r="G44" s="1261"/>
      <c r="H44" s="1261"/>
      <c r="I44" s="1261"/>
      <c r="J44" s="1262"/>
      <c r="K44" s="1085"/>
      <c r="L44" s="1086"/>
      <c r="M44" s="252" t="str">
        <f>IF(C44="","",IF(K44="Bon",(VLOOKUP(C44,Armures!$A:$L,5,FALSE)*0.9),IF(C44="Exeptionnel",(VLOOKUP(C44,Armures!$A:$L,5,FALSE)/2),IF(C44="Médiocre",(VLOOKUP(C44,Armures!$A:$L,5,FALSE)*2),VLOOKUP(C44,Armures!$A:$L,5,FALSE)))))</f>
        <v/>
      </c>
      <c r="N44" s="254" t="str">
        <f>IF(C44="","",IF(K44="Bon",(VLOOKUP(C44,Armures!$A:$L,2,FALSE)*3),IF(K44="Exeptionnel",(VLOOKUP(C44,Armures!$A:$L,2,FALSE)*10),IF(K44="Médiocre",(VLOOKUP(C44,Armures!$A:$L,2,FALSE)/2),VLOOKUP(C44,Armures!$A:$L,2,FALSE)))))</f>
        <v/>
      </c>
      <c r="O44" s="254" t="str">
        <f>IF(C44="","",VLOOKUP(C44,Armures!A:K,11,FALSE))</f>
        <v/>
      </c>
      <c r="P44" s="257"/>
      <c r="Q44" s="258"/>
      <c r="R44" s="1267" t="s">
        <v>170</v>
      </c>
      <c r="S44" s="1268"/>
      <c r="T44" s="248">
        <f>IF(C44="",0,VLOOKUP(C44,Armures!A3:K12,8,FALSE))</f>
        <v>0</v>
      </c>
      <c r="U44" s="217"/>
      <c r="V44" s="1101" t="s">
        <v>196</v>
      </c>
      <c r="W44" s="1102"/>
      <c r="X44" s="1104" t="str">
        <f>IF(Gestion!W124&gt;0,"gratuite","demi")</f>
        <v>demi</v>
      </c>
      <c r="Y44" s="1105"/>
      <c r="Z44" s="1102" t="s">
        <v>208</v>
      </c>
      <c r="AA44" s="1102"/>
      <c r="AB44" s="226" t="s">
        <v>203</v>
      </c>
      <c r="AC44" s="217"/>
      <c r="AD44" s="364"/>
      <c r="AE44" s="304">
        <f t="shared" si="5"/>
        <v>0</v>
      </c>
      <c r="AF44" s="304">
        <f>IF(K44="Exeptionnel",2,IF(K44="Bon",1,IF(K44="Médiocre",-1,0)))</f>
        <v>0</v>
      </c>
      <c r="AG44" s="304">
        <f t="shared" si="7"/>
        <v>0</v>
      </c>
      <c r="AH44" s="304" t="str">
        <f t="shared" si="8"/>
        <v/>
      </c>
      <c r="AI44" s="368"/>
      <c r="AJ44" s="85"/>
      <c r="AK44" s="85"/>
    </row>
    <row r="45" spans="1:37" ht="13.5" customHeight="1">
      <c r="A45" s="908"/>
      <c r="B45" s="1264" t="s">
        <v>169</v>
      </c>
      <c r="C45" s="1265"/>
      <c r="D45" s="1265"/>
      <c r="E45" s="1265"/>
      <c r="F45" s="1265"/>
      <c r="G45" s="1265"/>
      <c r="H45" s="1265"/>
      <c r="I45" s="1265"/>
      <c r="J45" s="1265"/>
      <c r="K45" s="1265"/>
      <c r="L45" s="1265"/>
      <c r="M45" s="1265"/>
      <c r="N45" s="1265"/>
      <c r="O45" s="1265"/>
      <c r="P45" s="1265"/>
      <c r="Q45" s="1265"/>
      <c r="R45" s="1265"/>
      <c r="S45" s="1265"/>
      <c r="T45" s="1266"/>
      <c r="U45" s="217"/>
      <c r="V45" s="1101" t="s">
        <v>197</v>
      </c>
      <c r="W45" s="1102"/>
      <c r="X45" s="1104" t="s">
        <v>202</v>
      </c>
      <c r="Y45" s="1105"/>
      <c r="Z45" s="1102" t="s">
        <v>209</v>
      </c>
      <c r="AA45" s="1102"/>
      <c r="AB45" s="226" t="s">
        <v>203</v>
      </c>
      <c r="AC45" s="217"/>
      <c r="AD45" s="364"/>
      <c r="AE45" s="304"/>
      <c r="AF45" s="304"/>
      <c r="AG45" s="304"/>
      <c r="AH45" s="304"/>
      <c r="AI45" s="368"/>
      <c r="AJ45" s="85"/>
      <c r="AK45" s="85"/>
    </row>
    <row r="46" spans="1:37" ht="13.5" customHeight="1">
      <c r="A46" s="908"/>
      <c r="B46" s="1260" t="s">
        <v>168</v>
      </c>
      <c r="C46" s="1220"/>
      <c r="D46" s="1220"/>
      <c r="E46" s="1220"/>
      <c r="F46" s="1220"/>
      <c r="G46" s="1220"/>
      <c r="H46" s="1220"/>
      <c r="I46" s="1220"/>
      <c r="J46" s="1220"/>
      <c r="K46" s="1258" t="s">
        <v>5317</v>
      </c>
      <c r="L46" s="1259"/>
      <c r="M46" s="361" t="s">
        <v>368</v>
      </c>
      <c r="N46" s="361" t="s">
        <v>4905</v>
      </c>
      <c r="O46" s="361" t="s">
        <v>3886</v>
      </c>
      <c r="P46" s="339" t="s">
        <v>390</v>
      </c>
      <c r="Q46" s="236" t="s">
        <v>389</v>
      </c>
      <c r="R46" s="236" t="s">
        <v>388</v>
      </c>
      <c r="S46" s="236" t="s">
        <v>387</v>
      </c>
      <c r="T46" s="249" t="s">
        <v>170</v>
      </c>
      <c r="U46" s="217"/>
      <c r="V46" s="1101" t="s">
        <v>198</v>
      </c>
      <c r="W46" s="1102"/>
      <c r="X46" s="1104" t="s">
        <v>204</v>
      </c>
      <c r="Y46" s="1105"/>
      <c r="Z46" s="1102" t="s">
        <v>210</v>
      </c>
      <c r="AA46" s="1102"/>
      <c r="AB46" s="226" t="s">
        <v>203</v>
      </c>
      <c r="AC46" s="217"/>
      <c r="AD46" s="364"/>
      <c r="AE46" s="304">
        <f t="shared" si="5"/>
        <v>0</v>
      </c>
      <c r="AF46" s="304"/>
      <c r="AG46" s="304"/>
      <c r="AH46" s="304"/>
      <c r="AI46" s="368"/>
      <c r="AJ46" s="85"/>
      <c r="AK46" s="85"/>
    </row>
    <row r="47" spans="1:37" ht="12.75" customHeight="1">
      <c r="A47" s="908"/>
      <c r="B47" s="1263"/>
      <c r="C47" s="1261"/>
      <c r="D47" s="1261"/>
      <c r="E47" s="1261"/>
      <c r="F47" s="1261"/>
      <c r="G47" s="1261"/>
      <c r="H47" s="1261"/>
      <c r="I47" s="1261"/>
      <c r="J47" s="1261"/>
      <c r="K47" s="1087"/>
      <c r="L47" s="1088"/>
      <c r="M47" s="361" t="str">
        <f>IF(B47="","",IF(K47="Bon",(VLOOKUP(B47,Armures!$A:$L,5,FALSE)*0.9),IF(K47="Exeptionnel",(VLOOKUP(B47,Armures!$A:$L,5,FALSE)/2),IF(K47="Médiocre",(VLOOKUP(B47,Armures!$A:$L,5,FALSE)*2),VLOOKUP(B47,Armures!$A:$L,5,FALSE)))))</f>
        <v/>
      </c>
      <c r="N47" s="902" t="str">
        <f>IF(B47="","",IF(K47="Bon",(VLOOKUP(B47,Armures!$A:$L,2,FALSE)*3),IF(K47="Exeptionnel",(VLOOKUP(B47,Armures!$A:$L,2,FALSE)*10),IF(K47="Médiocre",(VLOOKUP(B47,Armures!$A:$L,2,FALSE)/2),VLOOKUP(B47,Armures!$A:$L,2,FALSE)))))</f>
        <v/>
      </c>
      <c r="O47" s="903" t="str">
        <f>IF(B47="","",VLOOKUP(B47,Armures!A:K,11,FALSE))</f>
        <v/>
      </c>
      <c r="P47" s="904" t="str">
        <f>IF(B47="","",(VLOOKUP(B47,Armures!$A:$L,6,FALSE)))</f>
        <v/>
      </c>
      <c r="Q47" s="237" t="str">
        <f>IF(B47="","",(VLOOKUP(B47,Armures!$A:$L,7,FALSE)))</f>
        <v/>
      </c>
      <c r="R47" s="237" t="str">
        <f>IF(B47="","",(VLOOKUP(B47,Armures!$A:$L,8,FALSE)))</f>
        <v/>
      </c>
      <c r="S47" s="237" t="str">
        <f>IF(B47="","",(VLOOKUP(B47,Armures!$A:$L,9,FALSE)))</f>
        <v/>
      </c>
      <c r="T47" s="250" t="str">
        <f>IF(B47="","",(VLOOKUP(B47,Armures!$A:$L,10,FALSE)))</f>
        <v/>
      </c>
      <c r="U47" s="217"/>
      <c r="V47" s="1101" t="s">
        <v>175</v>
      </c>
      <c r="W47" s="1102"/>
      <c r="X47" s="1104" t="s">
        <v>203</v>
      </c>
      <c r="Y47" s="1105"/>
      <c r="Z47" s="1152" t="s">
        <v>231</v>
      </c>
      <c r="AA47" s="1152"/>
      <c r="AB47" s="226" t="s">
        <v>203</v>
      </c>
      <c r="AC47" s="217"/>
      <c r="AD47" s="364"/>
      <c r="AE47" s="304">
        <f t="shared" si="5"/>
        <v>0</v>
      </c>
      <c r="AF47" s="304">
        <f>IF(K47="Exeptionnel",2,IF(K47="Bon",1,IF(K47="Médiocre",-1,0)))</f>
        <v>0</v>
      </c>
      <c r="AG47" s="304">
        <f t="shared" si="7"/>
        <v>0</v>
      </c>
      <c r="AH47" s="304" t="str">
        <f t="shared" si="8"/>
        <v/>
      </c>
      <c r="AI47" s="368"/>
      <c r="AJ47" s="85"/>
      <c r="AK47" s="85"/>
    </row>
    <row r="48" spans="1:37" ht="13.5" customHeight="1">
      <c r="A48" s="908"/>
      <c r="B48" s="1263"/>
      <c r="C48" s="1261"/>
      <c r="D48" s="1261"/>
      <c r="E48" s="1261"/>
      <c r="F48" s="1261"/>
      <c r="G48" s="1261"/>
      <c r="H48" s="1261"/>
      <c r="I48" s="1261"/>
      <c r="J48" s="1261"/>
      <c r="K48" s="1087"/>
      <c r="L48" s="1088"/>
      <c r="M48" s="361" t="str">
        <f>IF(B48="","",IF(K48="Bon",(VLOOKUP(B48,Armures!$A:$L,5,FALSE)*0.9),IF(K48="Exeptionnel",(VLOOKUP(B48,Armures!$A:$L,5,FALSE)/2),IF(K48="Médiocre",(VLOOKUP(B48,Armures!$A:$L,5,FALSE)*2),VLOOKUP(B48,Armures!$A:$L,5,FALSE)))))</f>
        <v/>
      </c>
      <c r="N48" s="361" t="str">
        <f>IF(B48="","",IF(K48="Bon",(VLOOKUP(B48,Armures!$A:$L,2,FALSE)*3),IF(K48="Exeptionnel",(VLOOKUP(B48,Armures!$A:$L,2,FALSE)*10),IF(K48="Médiocre",(VLOOKUP(B48,Armures!$A:$L,2,FALSE)/2),VLOOKUP(B48,Armures!$A:$L,2,FALSE)))))</f>
        <v/>
      </c>
      <c r="O48" s="361" t="str">
        <f>IF(B48="","",VLOOKUP(B48,Armures!A:K,11,FALSE))</f>
        <v/>
      </c>
      <c r="P48" s="237" t="str">
        <f>IF(B48="","",(VLOOKUP(B48,Armures!$A:$L,6,FALSE)))</f>
        <v/>
      </c>
      <c r="Q48" s="237" t="str">
        <f>IF(B48="","",(VLOOKUP(B48,Armures!$A:$L,7,FALSE)))</f>
        <v/>
      </c>
      <c r="R48" s="237" t="str">
        <f>IF(B48="","",(VLOOKUP(B48,Armures!$A:$L,8,FALSE)))</f>
        <v/>
      </c>
      <c r="S48" s="237" t="str">
        <f>IF(B48="","",(VLOOKUP(B48,Armures!$A:$L,9,FALSE)))</f>
        <v/>
      </c>
      <c r="T48" s="250" t="str">
        <f>IF(B48="","",(VLOOKUP(B48,Armures!$A:$L,10,FALSE)))</f>
        <v/>
      </c>
      <c r="U48" s="217"/>
      <c r="V48" s="1101" t="s">
        <v>166</v>
      </c>
      <c r="W48" s="1102"/>
      <c r="X48" s="1104" t="s">
        <v>204</v>
      </c>
      <c r="Y48" s="1105"/>
      <c r="Z48" s="1102" t="s">
        <v>2660</v>
      </c>
      <c r="AA48" s="1102"/>
      <c r="AB48" s="226" t="s">
        <v>202</v>
      </c>
      <c r="AC48" s="217"/>
      <c r="AD48" s="364"/>
      <c r="AE48" s="304">
        <f t="shared" si="5"/>
        <v>0</v>
      </c>
      <c r="AF48" s="304">
        <f t="shared" ref="AF48:AF53" si="9">IF(K48="Exeptionnel",2,IF(K48="Bon",1,IF(K48="Médiocre",-1,0)))</f>
        <v>0</v>
      </c>
      <c r="AG48" s="304">
        <f t="shared" si="7"/>
        <v>0</v>
      </c>
      <c r="AH48" s="304" t="str">
        <f t="shared" si="8"/>
        <v/>
      </c>
      <c r="AI48" s="368"/>
      <c r="AJ48" s="85"/>
      <c r="AK48" s="85"/>
    </row>
    <row r="49" spans="1:37" ht="12.75" customHeight="1">
      <c r="A49" s="908"/>
      <c r="B49" s="1263"/>
      <c r="C49" s="1261"/>
      <c r="D49" s="1261"/>
      <c r="E49" s="1261"/>
      <c r="F49" s="1261"/>
      <c r="G49" s="1261"/>
      <c r="H49" s="1261"/>
      <c r="I49" s="1261"/>
      <c r="J49" s="1261"/>
      <c r="K49" s="1087"/>
      <c r="L49" s="1088"/>
      <c r="M49" s="361" t="str">
        <f>IF(B49="","",IF(K49="Bon",(VLOOKUP(B49,Armures!$A:$L,5,FALSE)*0.9),IF(K49="Exeptionnel",(VLOOKUP(B49,Armures!$A:$L,5,FALSE)/2),IF(K49="Médiocre",(VLOOKUP(B49,Armures!$A:$L,5,FALSE)*2),VLOOKUP(B49,Armures!$A:$L,5,FALSE)))))</f>
        <v/>
      </c>
      <c r="N49" s="361" t="str">
        <f>IF(B49="","",IF(K49="Bon",(VLOOKUP(B49,Armures!$A:$L,2,FALSE)*3),IF(K49="Exeptionnel",(VLOOKUP(B49,Armures!$A:$L,2,FALSE)*10),IF(K49="Médiocre",(VLOOKUP(B49,Armures!$A:$L,2,FALSE)/2),VLOOKUP(B49,Armures!$A:$L,2,FALSE)))))</f>
        <v/>
      </c>
      <c r="O49" s="361" t="str">
        <f>IF(B49="","",VLOOKUP(B49,Armures!A:K,11,FALSE))</f>
        <v/>
      </c>
      <c r="P49" s="237" t="str">
        <f>IF(B49="","",(VLOOKUP(B49,Armures!$A:$L,6,FALSE)))</f>
        <v/>
      </c>
      <c r="Q49" s="237" t="str">
        <f>IF(B49="","",(VLOOKUP(B49,Armures!$A:$L,7,FALSE)))</f>
        <v/>
      </c>
      <c r="R49" s="237" t="str">
        <f>IF(B49="","",(VLOOKUP(B49,Armures!$A:$L,8,FALSE)))</f>
        <v/>
      </c>
      <c r="S49" s="237" t="str">
        <f>IF(B49="","",(VLOOKUP(B49,Armures!$A:$L,9,FALSE)))</f>
        <v/>
      </c>
      <c r="T49" s="250" t="str">
        <f>IF(B49="","",(VLOOKUP(B49,Armures!$A:$L,10,FALSE)))</f>
        <v/>
      </c>
      <c r="U49" s="217"/>
      <c r="V49" s="1160" t="s">
        <v>199</v>
      </c>
      <c r="W49" s="1161"/>
      <c r="X49" s="1081" t="s">
        <v>203</v>
      </c>
      <c r="Y49" s="1110"/>
      <c r="Z49" s="1102" t="s">
        <v>232</v>
      </c>
      <c r="AA49" s="1102"/>
      <c r="AB49" s="226" t="s">
        <v>203</v>
      </c>
      <c r="AC49" s="217"/>
      <c r="AD49" s="364"/>
      <c r="AE49" s="304">
        <f t="shared" si="5"/>
        <v>0</v>
      </c>
      <c r="AF49" s="304">
        <f t="shared" si="9"/>
        <v>0</v>
      </c>
      <c r="AG49" s="304">
        <f t="shared" si="7"/>
        <v>0</v>
      </c>
      <c r="AH49" s="304" t="str">
        <f t="shared" si="8"/>
        <v/>
      </c>
      <c r="AI49" s="368"/>
      <c r="AJ49" s="85"/>
      <c r="AK49" s="85"/>
    </row>
    <row r="50" spans="1:37" ht="13.5" customHeight="1">
      <c r="A50" s="908"/>
      <c r="B50" s="1263"/>
      <c r="C50" s="1261"/>
      <c r="D50" s="1261"/>
      <c r="E50" s="1261"/>
      <c r="F50" s="1261"/>
      <c r="G50" s="1261"/>
      <c r="H50" s="1261"/>
      <c r="I50" s="1261"/>
      <c r="J50" s="1261"/>
      <c r="K50" s="1087"/>
      <c r="L50" s="1088"/>
      <c r="M50" s="361" t="str">
        <f>IF(B50="","",IF(K50="Bon",(VLOOKUP(B50,Armures!$A:$L,5,FALSE)*0.9),IF(K50="Exeptionnel",(VLOOKUP(B50,Armures!$A:$L,5,FALSE)/2),IF(K50="Médiocre",(VLOOKUP(B50,Armures!$A:$L,5,FALSE)*2),VLOOKUP(B50,Armures!$A:$L,5,FALSE)))))</f>
        <v/>
      </c>
      <c r="N50" s="361" t="str">
        <f>IF(B50="","",IF(K50="Bon",(VLOOKUP(B50,Armures!$A:$L,2,FALSE)*3),IF(K50="Exeptionnel",(VLOOKUP(B50,Armures!$A:$L,2,FALSE)*10),IF(K50="Médiocre",(VLOOKUP(B50,Armures!$A:$L,2,FALSE)/2),VLOOKUP(B50,Armures!$A:$L,2,FALSE)))))</f>
        <v/>
      </c>
      <c r="O50" s="361" t="str">
        <f>IF(B50="","",VLOOKUP(B50,Armures!A:K,11,FALSE))</f>
        <v/>
      </c>
      <c r="P50" s="237" t="str">
        <f>IF(B50="","",(VLOOKUP(B50,Armures!$A:$L,6,FALSE)))</f>
        <v/>
      </c>
      <c r="Q50" s="237" t="str">
        <f>IF(B50="","",(VLOOKUP(B50,Armures!$A:$L,7,FALSE)))</f>
        <v/>
      </c>
      <c r="R50" s="237" t="str">
        <f>IF(B50="","",(VLOOKUP(B50,Armures!$A:$L,8,FALSE)))</f>
        <v/>
      </c>
      <c r="S50" s="237" t="str">
        <f>IF(B50="","",(VLOOKUP(B50,Armures!$A:$L,9,FALSE)))</f>
        <v/>
      </c>
      <c r="T50" s="250" t="str">
        <f>IF(B50="","",(VLOOKUP(B50,Armures!$A:$L,10,FALSE)))</f>
        <v/>
      </c>
      <c r="U50" s="217"/>
      <c r="V50" s="1160"/>
      <c r="W50" s="1161"/>
      <c r="X50" s="1081"/>
      <c r="Y50" s="1110"/>
      <c r="Z50" s="1159" t="s">
        <v>233</v>
      </c>
      <c r="AA50" s="1159"/>
      <c r="AB50" s="226" t="str">
        <f>IF(Gestion!W28&gt;0,"demi","complète")</f>
        <v>complète</v>
      </c>
      <c r="AC50" s="217"/>
      <c r="AD50" s="364"/>
      <c r="AE50" s="304">
        <f t="shared" si="5"/>
        <v>0</v>
      </c>
      <c r="AF50" s="304">
        <f t="shared" si="9"/>
        <v>0</v>
      </c>
      <c r="AG50" s="304">
        <f t="shared" si="7"/>
        <v>0</v>
      </c>
      <c r="AH50" s="304" t="str">
        <f t="shared" si="8"/>
        <v/>
      </c>
      <c r="AI50" s="368"/>
      <c r="AJ50" s="85"/>
      <c r="AK50" s="85"/>
    </row>
    <row r="51" spans="1:37" ht="13.5" customHeight="1">
      <c r="A51" s="908"/>
      <c r="B51" s="1263"/>
      <c r="C51" s="1261"/>
      <c r="D51" s="1261"/>
      <c r="E51" s="1261"/>
      <c r="F51" s="1261"/>
      <c r="G51" s="1261"/>
      <c r="H51" s="1261"/>
      <c r="I51" s="1261"/>
      <c r="J51" s="1261"/>
      <c r="K51" s="1087"/>
      <c r="L51" s="1088"/>
      <c r="M51" s="361" t="str">
        <f>IF(B51="","",IF(K51="Bon",(VLOOKUP(B51,Armures!$A:$L,5,FALSE)*0.9),IF(K51="Exeptionnel",(VLOOKUP(B51,Armures!$A:$L,5,FALSE)/2),IF(K51="Médiocre",(VLOOKUP(B51,Armures!$A:$L,5,FALSE)*2),VLOOKUP(B51,Armures!$A:$L,5,FALSE)))))</f>
        <v/>
      </c>
      <c r="N51" s="361" t="str">
        <f>IF(B51="","",IF(K51="Bon",(VLOOKUP(B51,Armures!$A:$L,2,FALSE)*3),IF(K51="Exeptionnel",(VLOOKUP(B51,Armures!$A:$L,2,FALSE)*10),IF(K51="Médiocre",(VLOOKUP(B51,Armures!$A:$L,2,FALSE)/2),VLOOKUP(B51,Armures!$A:$L,2,FALSE)))))</f>
        <v/>
      </c>
      <c r="O51" s="361" t="str">
        <f>IF(B51="","",VLOOKUP(B51,Armures!A:K,11,FALSE))</f>
        <v/>
      </c>
      <c r="P51" s="237" t="str">
        <f>IF(B51="","",(VLOOKUP(B51,Armures!$A:$L,6,FALSE)))</f>
        <v/>
      </c>
      <c r="Q51" s="237" t="str">
        <f>IF(B51="","",(VLOOKUP(B51,Armures!$A:$L,7,FALSE)))</f>
        <v/>
      </c>
      <c r="R51" s="237" t="str">
        <f>IF(B51="","",(VLOOKUP(B51,Armures!$A:$L,8,FALSE)))</f>
        <v/>
      </c>
      <c r="S51" s="237" t="str">
        <f>IF(B51="","",(VLOOKUP(B51,Armures!$A:$L,9,FALSE)))</f>
        <v/>
      </c>
      <c r="T51" s="250" t="str">
        <f>IF(B51="","",(VLOOKUP(B51,Armures!$A:$L,10,FALSE)))</f>
        <v/>
      </c>
      <c r="U51" s="217"/>
      <c r="V51" s="1160" t="s">
        <v>200</v>
      </c>
      <c r="W51" s="1161"/>
      <c r="X51" s="1081" t="s">
        <v>204</v>
      </c>
      <c r="Y51" s="1110"/>
      <c r="Z51" s="1159"/>
      <c r="AA51" s="1159"/>
      <c r="AB51" s="226"/>
      <c r="AC51" s="217"/>
      <c r="AD51" s="364"/>
      <c r="AE51" s="304">
        <f t="shared" si="5"/>
        <v>0</v>
      </c>
      <c r="AF51" s="304">
        <f t="shared" si="9"/>
        <v>0</v>
      </c>
      <c r="AG51" s="304">
        <f t="shared" si="7"/>
        <v>0</v>
      </c>
      <c r="AH51" s="304" t="str">
        <f t="shared" si="8"/>
        <v/>
      </c>
      <c r="AI51" s="368"/>
      <c r="AJ51" s="85"/>
      <c r="AK51" s="85"/>
    </row>
    <row r="52" spans="1:37" ht="12.75" customHeight="1">
      <c r="A52" s="908"/>
      <c r="B52" s="1263"/>
      <c r="C52" s="1261"/>
      <c r="D52" s="1261"/>
      <c r="E52" s="1261"/>
      <c r="F52" s="1261"/>
      <c r="G52" s="1261"/>
      <c r="H52" s="1261"/>
      <c r="I52" s="1261"/>
      <c r="J52" s="1261"/>
      <c r="K52" s="1087"/>
      <c r="L52" s="1088"/>
      <c r="M52" s="361" t="str">
        <f>IF(B52="","",IF(K52="Bon",(VLOOKUP(B52,Armures!$A:$L,5,FALSE)*0.9),IF(K52="Exeptionnel",(VLOOKUP(B52,Armures!$A:$L,5,FALSE)/2),IF(K52="Médiocre",(VLOOKUP(B52,Armures!$A:$L,5,FALSE)*2),VLOOKUP(B52,Armures!$A:$L,5,FALSE)))))</f>
        <v/>
      </c>
      <c r="N52" s="361" t="str">
        <f>IF(B52="","",IF(K52="Bon",(VLOOKUP(B52,Armures!$A:$L,2,FALSE)*3),IF(K52="Exeptionnel",(VLOOKUP(B52,Armures!$A:$L,2,FALSE)*10),IF(K52="Médiocre",(VLOOKUP(B52,Armures!$A:$L,2,FALSE)/2),VLOOKUP(B52,Armures!$A:$L,2,FALSE)))))</f>
        <v/>
      </c>
      <c r="O52" s="361" t="str">
        <f>IF(B52="","",VLOOKUP(B52,Armures!A:K,11,FALSE))</f>
        <v/>
      </c>
      <c r="P52" s="237" t="str">
        <f>IF(B52="","",(VLOOKUP(B52,Armures!$A:$L,6,FALSE)))</f>
        <v/>
      </c>
      <c r="Q52" s="237" t="str">
        <f>IF(B52="","",(VLOOKUP(B52,Armures!$A:$L,7,FALSE)))</f>
        <v/>
      </c>
      <c r="R52" s="237" t="str">
        <f>IF(B52="","",(VLOOKUP(B52,Armures!$A:$L,8,FALSE)))</f>
        <v/>
      </c>
      <c r="S52" s="237" t="str">
        <f>IF(B52="","",(VLOOKUP(B52,Armures!$A:$L,9,FALSE)))</f>
        <v/>
      </c>
      <c r="T52" s="250" t="str">
        <f>IF(B52="","",(VLOOKUP(B52,Armures!$A:$L,10,FALSE)))</f>
        <v/>
      </c>
      <c r="U52" s="217"/>
      <c r="V52" s="1160"/>
      <c r="W52" s="1161"/>
      <c r="X52" s="1081"/>
      <c r="Y52" s="1110"/>
      <c r="Z52" s="1159"/>
      <c r="AA52" s="1159"/>
      <c r="AB52" s="226"/>
      <c r="AC52" s="217"/>
      <c r="AD52" s="364"/>
      <c r="AE52" s="304">
        <f t="shared" si="5"/>
        <v>0</v>
      </c>
      <c r="AF52" s="304">
        <f t="shared" si="9"/>
        <v>0</v>
      </c>
      <c r="AG52" s="304">
        <f t="shared" si="7"/>
        <v>0</v>
      </c>
      <c r="AH52" s="304" t="str">
        <f t="shared" si="8"/>
        <v/>
      </c>
      <c r="AI52" s="368"/>
      <c r="AJ52" s="85"/>
      <c r="AK52" s="85"/>
    </row>
    <row r="53" spans="1:37" ht="12.75" customHeight="1" thickBot="1">
      <c r="A53" s="217"/>
      <c r="B53" s="1269"/>
      <c r="C53" s="1270"/>
      <c r="D53" s="1270"/>
      <c r="E53" s="1270"/>
      <c r="F53" s="1270"/>
      <c r="G53" s="1270"/>
      <c r="H53" s="1270"/>
      <c r="I53" s="1270"/>
      <c r="J53" s="1270"/>
      <c r="K53" s="1256"/>
      <c r="L53" s="1257"/>
      <c r="M53" s="905" t="str">
        <f>IF(B53="","",IF(K53="Bon",(VLOOKUP(B53,Armures!$A:$L,5,FALSE)*0.9),IF(K53="Exeptionnel",(VLOOKUP(B53,Armures!$A:$L,5,FALSE)/2),IF(K53="Médiocre",(VLOOKUP(B53,Armures!$A:$L,5,FALSE)*2),VLOOKUP(B53,Armures!$A:$L,5,FALSE)))))</f>
        <v/>
      </c>
      <c r="N53" s="905" t="str">
        <f>IF(B53="","",IF(K53="Bon",(VLOOKUP(B53,Armures!$A:$L,2,FALSE)*3),IF(K53="Exeptionnel",(VLOOKUP(B53,Armures!$A:$L,2,FALSE)*10),IF(K53="Médiocre",(VLOOKUP(B53,Armures!$A:$L,2,FALSE)/2),VLOOKUP(B53,Armures!$A:$L,2,FALSE)))))</f>
        <v/>
      </c>
      <c r="O53" s="905" t="str">
        <f>IF(B53="","",VLOOKUP(B53,Armures!A:K,11,FALSE))</f>
        <v/>
      </c>
      <c r="P53" s="905" t="str">
        <f>IF(B53="","",(VLOOKUP(B53,Armures!$A:$L,6,FALSE)))</f>
        <v/>
      </c>
      <c r="Q53" s="360" t="str">
        <f>IF(B53="","",(VLOOKUP(B53,Armures!$A:$L,7,FALSE)))</f>
        <v/>
      </c>
      <c r="R53" s="360" t="str">
        <f>IF(B53="","",(VLOOKUP(B53,Armures!$A:$L,8,FALSE)))</f>
        <v/>
      </c>
      <c r="S53" s="360" t="str">
        <f>IF(B53="","",(VLOOKUP(B53,Armures!$A:$L,9,FALSE)))</f>
        <v/>
      </c>
      <c r="T53" s="375" t="str">
        <f>IF(B53="","",(VLOOKUP(B53,Armures!$A:$L,10,FALSE)))</f>
        <v/>
      </c>
      <c r="U53" s="217"/>
      <c r="V53" s="1108" t="s">
        <v>2661</v>
      </c>
      <c r="W53" s="1109"/>
      <c r="X53" s="1106" t="s">
        <v>203</v>
      </c>
      <c r="Y53" s="1107"/>
      <c r="Z53" s="1109"/>
      <c r="AA53" s="1109"/>
      <c r="AB53" s="227"/>
      <c r="AC53" s="217"/>
      <c r="AD53" s="364"/>
      <c r="AE53" s="304">
        <f t="shared" si="5"/>
        <v>0</v>
      </c>
      <c r="AF53" s="304">
        <f t="shared" si="9"/>
        <v>0</v>
      </c>
      <c r="AG53" s="304">
        <f t="shared" si="7"/>
        <v>0</v>
      </c>
      <c r="AH53" s="304" t="str">
        <f t="shared" si="8"/>
        <v/>
      </c>
      <c r="AI53" s="368"/>
      <c r="AJ53" s="85"/>
      <c r="AK53" s="85"/>
    </row>
    <row r="54" spans="1:37" ht="13.5" customHeight="1">
      <c r="A54" s="217"/>
      <c r="B54" s="217"/>
      <c r="C54" s="217"/>
      <c r="D54" s="217"/>
      <c r="E54" s="217"/>
      <c r="F54" s="217"/>
      <c r="G54" s="217"/>
      <c r="H54" s="217"/>
      <c r="I54" s="217"/>
      <c r="J54" s="1053" t="s">
        <v>4908</v>
      </c>
      <c r="K54" s="1053"/>
      <c r="L54" s="1053"/>
      <c r="M54" s="217">
        <f>SUM(M47:M53)+IF(M44="",0,M44)</f>
        <v>0</v>
      </c>
      <c r="N54" s="217">
        <f>SUM(N47:N53)+IF(N44="",0,N44)</f>
        <v>0</v>
      </c>
      <c r="O54" s="217"/>
      <c r="P54" s="217"/>
      <c r="Q54" s="217"/>
      <c r="R54" s="217"/>
      <c r="S54" s="217"/>
      <c r="T54" s="217"/>
      <c r="U54" s="217"/>
      <c r="V54" s="217"/>
      <c r="W54" s="217"/>
      <c r="X54" s="217"/>
      <c r="Y54" s="217"/>
      <c r="Z54" s="217"/>
      <c r="AA54" s="217"/>
      <c r="AB54" s="217"/>
      <c r="AC54" s="217"/>
      <c r="AD54" s="368"/>
      <c r="AE54" s="368"/>
      <c r="AF54" s="368"/>
      <c r="AG54" s="368"/>
      <c r="AH54" s="368"/>
      <c r="AI54" s="368"/>
      <c r="AJ54" s="85"/>
      <c r="AK54" s="85"/>
    </row>
    <row r="55" spans="1:37" ht="12.75" customHeight="1">
      <c r="A55" s="217"/>
      <c r="B55" s="1084" t="s">
        <v>9196</v>
      </c>
      <c r="C55" s="1084"/>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85"/>
      <c r="AE55" s="85"/>
      <c r="AF55" s="85"/>
      <c r="AG55" s="85"/>
      <c r="AH55" s="85"/>
      <c r="AI55" s="85"/>
      <c r="AJ55" s="85"/>
      <c r="AK55" s="85"/>
    </row>
    <row r="56" spans="1:37" ht="13.2" customHeight="1">
      <c r="A56" s="217"/>
      <c r="B56" s="1099" t="s">
        <v>9198</v>
      </c>
      <c r="C56" s="1099"/>
      <c r="D56" s="1099"/>
      <c r="E56" s="1099"/>
      <c r="F56" s="1099"/>
      <c r="G56" s="1099"/>
      <c r="H56" s="1099"/>
      <c r="I56" s="1099"/>
      <c r="J56" s="1098" t="s">
        <v>9200</v>
      </c>
      <c r="K56" s="1098"/>
      <c r="L56" s="1098"/>
      <c r="M56" s="1098"/>
      <c r="N56" s="1098"/>
      <c r="O56" s="1098"/>
      <c r="P56" s="1098"/>
      <c r="Q56" s="1098"/>
      <c r="R56" s="1098"/>
      <c r="S56" s="1098"/>
      <c r="T56" s="1098"/>
      <c r="U56" s="1098"/>
      <c r="V56" s="1098"/>
      <c r="W56" s="1098"/>
      <c r="X56" s="1098"/>
      <c r="Y56" s="1089" t="s">
        <v>9201</v>
      </c>
      <c r="Z56" s="1090"/>
      <c r="AA56" s="1090"/>
      <c r="AB56" s="1091"/>
      <c r="AC56" s="217"/>
      <c r="AD56" s="85"/>
      <c r="AE56" s="85"/>
      <c r="AF56" s="85"/>
      <c r="AG56" s="85"/>
      <c r="AH56" s="85"/>
      <c r="AI56" s="85"/>
      <c r="AJ56" s="85"/>
      <c r="AK56" s="85"/>
    </row>
    <row r="57" spans="1:37">
      <c r="A57" s="217"/>
      <c r="B57" s="1099" t="s">
        <v>9199</v>
      </c>
      <c r="C57" s="1099"/>
      <c r="D57" s="1099"/>
      <c r="E57" s="1099"/>
      <c r="F57" s="1099"/>
      <c r="G57" s="1099"/>
      <c r="H57" s="1099"/>
      <c r="I57" s="1099"/>
      <c r="J57" s="1098"/>
      <c r="K57" s="1098"/>
      <c r="L57" s="1098"/>
      <c r="M57" s="1098"/>
      <c r="N57" s="1098"/>
      <c r="O57" s="1098"/>
      <c r="P57" s="1098"/>
      <c r="Q57" s="1098"/>
      <c r="R57" s="1098"/>
      <c r="S57" s="1098"/>
      <c r="T57" s="1098"/>
      <c r="U57" s="1098"/>
      <c r="V57" s="1098"/>
      <c r="W57" s="1098"/>
      <c r="X57" s="1098"/>
      <c r="Y57" s="1092"/>
      <c r="Z57" s="1093"/>
      <c r="AA57" s="1093"/>
      <c r="AB57" s="1094"/>
      <c r="AC57" s="217"/>
      <c r="AD57" s="85"/>
      <c r="AE57" s="85"/>
      <c r="AF57" s="85"/>
      <c r="AG57" s="85"/>
      <c r="AH57" s="85"/>
      <c r="AI57" s="85"/>
      <c r="AJ57" s="85"/>
      <c r="AK57" s="85"/>
    </row>
    <row r="58" spans="1:37">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85"/>
      <c r="AE58" s="85"/>
      <c r="AF58" s="85"/>
      <c r="AG58" s="85"/>
      <c r="AH58" s="85"/>
      <c r="AI58" s="85"/>
      <c r="AJ58" s="85"/>
      <c r="AK58" s="85"/>
    </row>
    <row r="59" spans="1:37">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row>
    <row r="60" spans="1:37">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row>
    <row r="61" spans="1:37">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row>
    <row r="62" spans="1:37">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row>
    <row r="63" spans="1:37">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row>
    <row r="64" spans="1:37">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row>
    <row r="65" spans="1:37">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row>
    <row r="66" spans="1:37">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row>
    <row r="67" spans="1:37">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row>
    <row r="68" spans="1:37">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row>
    <row r="69" spans="1:37">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row>
    <row r="70" spans="1:37">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row>
    <row r="71" spans="1:37">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row>
    <row r="72" spans="1:37">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row>
    <row r="73" spans="1:37">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row>
    <row r="74" spans="1:37">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row>
    <row r="75" spans="1:37">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row>
    <row r="76" spans="1:37">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row>
    <row r="77" spans="1:37">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row>
    <row r="78" spans="1:37">
      <c r="A78" s="85"/>
      <c r="B78" s="85"/>
      <c r="C78" s="85"/>
      <c r="D78" s="85"/>
      <c r="E78" s="85"/>
      <c r="F78" s="85"/>
      <c r="G78" s="85" t="s">
        <v>11344</v>
      </c>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row>
    <row r="79" spans="1:37">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row>
    <row r="80" spans="1:37">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row>
    <row r="81" spans="1:37">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row>
    <row r="82" spans="1:37">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row>
    <row r="83" spans="1:37">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row>
    <row r="84" spans="1:37">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row>
    <row r="85" spans="1:37">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row>
    <row r="86" spans="1:37">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row>
    <row r="87" spans="1:37">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row>
    <row r="88" spans="1:37">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row>
    <row r="89" spans="1:37">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row>
    <row r="90" spans="1:37">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row>
    <row r="91" spans="1:37">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row>
    <row r="92" spans="1:37">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row>
    <row r="93" spans="1:37">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row>
    <row r="94" spans="1:37">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row>
    <row r="95" spans="1:37">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row>
    <row r="96" spans="1:37">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row>
    <row r="97" spans="1:37">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row>
    <row r="98" spans="1:37">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row>
    <row r="99" spans="1:37">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row>
    <row r="100" spans="1:37">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row>
    <row r="101" spans="1:37">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row>
    <row r="102" spans="1:37">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row>
    <row r="103" spans="1:37">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row>
    <row r="104" spans="1:37">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row>
    <row r="105" spans="1:37">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row>
    <row r="106" spans="1:37">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row>
    <row r="107" spans="1:37">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row>
    <row r="108" spans="1:37">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row>
    <row r="109" spans="1:37">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row>
    <row r="110" spans="1:37">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row>
    <row r="111" spans="1:37">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row>
    <row r="112" spans="1:37">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row>
    <row r="113" spans="1:37">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row>
    <row r="114" spans="1:37">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row>
    <row r="115" spans="1:37">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row>
    <row r="116" spans="1:37">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row>
    <row r="117" spans="1:37">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row>
    <row r="118" spans="1:37">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row>
    <row r="119" spans="1:37">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row>
    <row r="120" spans="1:37">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row>
    <row r="121" spans="1:37">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row>
    <row r="122" spans="1:37">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row>
    <row r="123" spans="1:37">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row>
    <row r="124" spans="1:37">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row>
    <row r="125" spans="1:37">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row>
    <row r="126" spans="1:37">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row>
    <row r="127" spans="1:37">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row>
    <row r="128" spans="1:37">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row>
    <row r="129" spans="1:37">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row>
    <row r="130" spans="1:37">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row>
    <row r="131" spans="1:37">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row>
    <row r="132" spans="1:37">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row>
    <row r="133" spans="1:37">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row>
    <row r="134" spans="1:37">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row>
    <row r="135" spans="1:37">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row>
    <row r="136" spans="1:37">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row>
    <row r="137" spans="1:37">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row>
    <row r="138" spans="1:37">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row>
    <row r="139" spans="1:37">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row>
    <row r="140" spans="1:37">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row>
    <row r="141" spans="1:37">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row>
    <row r="142" spans="1:37">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row>
    <row r="143" spans="1:37">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row>
    <row r="144" spans="1:37">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row>
    <row r="145" spans="1:37">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row>
    <row r="146" spans="1:37">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row>
    <row r="147" spans="1:37">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row>
    <row r="148" spans="1:37">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row>
    <row r="149" spans="1:37">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row>
    <row r="150" spans="1:37">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row>
    <row r="151" spans="1:37">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row>
    <row r="152" spans="1:37">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row>
    <row r="153" spans="1:37">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row>
    <row r="154" spans="1:37">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row>
    <row r="155" spans="1:37">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row>
    <row r="156" spans="1:37">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row>
    <row r="157" spans="1:37">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row>
    <row r="158" spans="1:37">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row>
    <row r="159" spans="1:37">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row>
    <row r="160" spans="1:37">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row>
    <row r="161" spans="1:37">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row>
    <row r="162" spans="1:37">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row>
    <row r="163" spans="1:37">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row>
    <row r="164" spans="1:37">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row>
    <row r="165" spans="1:37">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row>
    <row r="166" spans="1:37">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row>
    <row r="167" spans="1:37">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row>
    <row r="168" spans="1:37">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row>
    <row r="169" spans="1:37">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row>
    <row r="170" spans="1:37">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row>
    <row r="171" spans="1:37">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row>
    <row r="172" spans="1:37">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row>
    <row r="173" spans="1:37">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row>
    <row r="174" spans="1:37">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row>
    <row r="175" spans="1:37">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row>
    <row r="176" spans="1:37">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row>
    <row r="177" spans="1:37">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row>
    <row r="178" spans="1:37">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row>
    <row r="179" spans="1:37">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row>
    <row r="180" spans="1:37">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row>
    <row r="181" spans="1:37">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row>
    <row r="182" spans="1:37">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row>
    <row r="183" spans="1:37">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row>
    <row r="184" spans="1:37">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row>
    <row r="185" spans="1:37">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row>
    <row r="186" spans="1:37">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row>
    <row r="187" spans="1:37">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row>
    <row r="188" spans="1:37">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row>
    <row r="189" spans="1:37">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row>
    <row r="190" spans="1:37">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row>
    <row r="191" spans="1:37">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row>
    <row r="192" spans="1:37">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row>
    <row r="193" spans="1:37">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row>
    <row r="194" spans="1:37">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row>
    <row r="195" spans="1:37">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row>
    <row r="196" spans="1:37">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row>
    <row r="197" spans="1:37">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row>
    <row r="198" spans="1:37">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row>
    <row r="199" spans="1:37">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row>
    <row r="200" spans="1:37">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row>
    <row r="201" spans="1:37">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row>
    <row r="202" spans="1:37">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row>
    <row r="203" spans="1:37">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row>
    <row r="204" spans="1:37">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row>
    <row r="205" spans="1:37">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row>
    <row r="206" spans="1:37">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row>
    <row r="207" spans="1:37">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row>
    <row r="208" spans="1:37">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row>
    <row r="209" spans="1:37">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row>
    <row r="210" spans="1:37">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row>
    <row r="211" spans="1:37">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row>
    <row r="212" spans="1:37">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row>
    <row r="213" spans="1:37">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row>
    <row r="214" spans="1:37">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row>
    <row r="215" spans="1:37">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row>
    <row r="216" spans="1:37">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row>
    <row r="217" spans="1:37">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row>
    <row r="218" spans="1:37">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row>
    <row r="219" spans="1:37">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row>
    <row r="220" spans="1:37">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row>
    <row r="221" spans="1:37">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row>
    <row r="222" spans="1:37">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row>
    <row r="223" spans="1:37">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row>
    <row r="224" spans="1:37">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row>
    <row r="225" spans="1:37">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row>
    <row r="226" spans="1:37">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row>
    <row r="227" spans="1:37">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row>
    <row r="228" spans="1:37">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row>
    <row r="229" spans="1:37">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row>
    <row r="230" spans="1:37">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row>
    <row r="231" spans="1:37">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row>
    <row r="232" spans="1:37">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row>
    <row r="233" spans="1:37">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row>
    <row r="234" spans="1:37">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row>
    <row r="235" spans="1:37">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row>
    <row r="236" spans="1:37">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row>
    <row r="237" spans="1:37">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row>
    <row r="238" spans="1:37">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row>
    <row r="239" spans="1:37">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row>
    <row r="240" spans="1:37">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row>
    <row r="241" spans="1:37">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row>
    <row r="242" spans="1:37">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row>
    <row r="243" spans="1:37">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row>
    <row r="244" spans="1:37">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row>
    <row r="245" spans="1:37">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row>
    <row r="246" spans="1:37">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row>
    <row r="247" spans="1:37">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row>
    <row r="248" spans="1:37">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row>
    <row r="249" spans="1:37">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row>
    <row r="250" spans="1:37">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row>
    <row r="251" spans="1:37">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row>
    <row r="252" spans="1:37">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row>
    <row r="253" spans="1:37">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row>
    <row r="254" spans="1:37">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row>
    <row r="255" spans="1:37">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row>
    <row r="256" spans="1:37">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row>
    <row r="257" spans="1:37">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row>
    <row r="258" spans="1:37">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row>
    <row r="259" spans="1:37">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row>
    <row r="260" spans="1:37">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row>
    <row r="261" spans="1:37">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row>
    <row r="262" spans="1:37">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row>
    <row r="263" spans="1:37">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row>
    <row r="264" spans="1:37">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row>
    <row r="265" spans="1:37">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row>
    <row r="266" spans="1:37">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row>
    <row r="267" spans="1:37">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row>
    <row r="268" spans="1:37">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row>
    <row r="269" spans="1:37">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row>
    <row r="270" spans="1:37">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row>
    <row r="271" spans="1:37">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row>
    <row r="272" spans="1:37">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row>
    <row r="273" spans="1:37">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row>
    <row r="274" spans="1:37">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row>
    <row r="275" spans="1:37">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row>
    <row r="276" spans="1:37">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row>
    <row r="277" spans="1:37">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row>
    <row r="278" spans="1:37">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row>
    <row r="279" spans="1:37">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row>
    <row r="280" spans="1:37">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row>
    <row r="281" spans="1:37">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row>
    <row r="282" spans="1:37">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row>
    <row r="283" spans="1:37">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row>
    <row r="284" spans="1:37">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row>
    <row r="285" spans="1:37">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row>
    <row r="286" spans="1:37">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row>
    <row r="287" spans="1:37">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row>
    <row r="288" spans="1:37">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row>
    <row r="289" spans="1:37">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row>
    <row r="290" spans="1:37">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row>
    <row r="291" spans="1:37">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row>
    <row r="292" spans="1:37">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row>
    <row r="293" spans="1:37">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row>
    <row r="294" spans="1:37">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row>
    <row r="295" spans="1:37">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row>
    <row r="296" spans="1:37">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row>
    <row r="297" spans="1:37">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row>
    <row r="298" spans="1:37">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row>
    <row r="299" spans="1:37">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row>
    <row r="300" spans="1:37">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row>
    <row r="301" spans="1:37">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row>
    <row r="302" spans="1:37">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row>
    <row r="303" spans="1:37">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row>
    <row r="304" spans="1:37">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row>
    <row r="305" spans="1:37">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row>
    <row r="306" spans="1:37">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row>
    <row r="307" spans="1:37">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row>
    <row r="308" spans="1:37">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row>
    <row r="309" spans="1:37">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row>
    <row r="310" spans="1:37">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row>
    <row r="311" spans="1:37">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row>
    <row r="312" spans="1:37">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row>
    <row r="313" spans="1:37">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row>
    <row r="314" spans="1:37">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row>
    <row r="315" spans="1:37">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row>
    <row r="316" spans="1:37">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row>
    <row r="317" spans="1:37">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row>
    <row r="318" spans="1:37">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row>
    <row r="319" spans="1:37">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row>
    <row r="320" spans="1:37">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row>
    <row r="321" spans="1:37">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row>
    <row r="322" spans="1:37">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row>
    <row r="323" spans="1:37">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row>
    <row r="324" spans="1:37">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row>
    <row r="325" spans="1:37">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row>
    <row r="326" spans="1:37">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row>
    <row r="327" spans="1:37">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row>
    <row r="328" spans="1:37">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row>
    <row r="329" spans="1:37">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row>
    <row r="330" spans="1:37">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row>
    <row r="331" spans="1:37">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row>
    <row r="332" spans="1:37">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row>
    <row r="333" spans="1:37">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row>
    <row r="334" spans="1:37">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row>
    <row r="335" spans="1:37">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row>
    <row r="336" spans="1:37">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row>
    <row r="337" spans="1:37">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row>
    <row r="338" spans="1:37">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row>
    <row r="339" spans="1:37">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row>
    <row r="340" spans="1:37">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row>
    <row r="341" spans="1:37">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row>
    <row r="342" spans="1:37">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row>
    <row r="343" spans="1:37">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row>
    <row r="344" spans="1:37">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row>
    <row r="345" spans="1:37">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row>
    <row r="346" spans="1:37">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row>
    <row r="347" spans="1:37">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row>
    <row r="348" spans="1:37">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row>
    <row r="349" spans="1:37">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row>
    <row r="350" spans="1:37">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row>
    <row r="351" spans="1:37">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row>
    <row r="352" spans="1:37">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row>
    <row r="353" spans="1:37">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row>
    <row r="354" spans="1:37">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row>
    <row r="355" spans="1:37">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row>
    <row r="356" spans="1:37">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row>
    <row r="357" spans="1:37">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row>
    <row r="358" spans="1:37">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row>
    <row r="359" spans="1:37">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row>
    <row r="360" spans="1:37">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row>
    <row r="361" spans="1:37">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row>
    <row r="362" spans="1:37">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row>
    <row r="363" spans="1:37">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row>
    <row r="364" spans="1:37">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row>
    <row r="365" spans="1:37">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row>
    <row r="366" spans="1:37">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row>
    <row r="367" spans="1:37">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row>
    <row r="368" spans="1:37">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row>
    <row r="369" spans="1:37">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row>
    <row r="370" spans="1:37">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row>
    <row r="371" spans="1:37">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row>
    <row r="372" spans="1:37">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row>
    <row r="373" spans="1:37">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row>
    <row r="374" spans="1:37">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row>
    <row r="375" spans="1:37">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row>
    <row r="376" spans="1:37">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row>
    <row r="377" spans="1:37">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row>
    <row r="378" spans="1:37">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row>
    <row r="379" spans="1:37">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row>
    <row r="380" spans="1:37">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row>
    <row r="381" spans="1:37">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row>
    <row r="382" spans="1:37">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row>
    <row r="383" spans="1:37">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row>
    <row r="384" spans="1:37">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row>
    <row r="385" spans="1:37">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row>
    <row r="386" spans="1:37">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row>
    <row r="387" spans="1:37">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row>
    <row r="388" spans="1:37">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row>
    <row r="389" spans="1:37">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row>
    <row r="390" spans="1:37">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row>
    <row r="391" spans="1:37">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row>
    <row r="392" spans="1:37">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row>
    <row r="393" spans="1:37">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row>
    <row r="394" spans="1:37">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row>
    <row r="395" spans="1:37">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row>
    <row r="396" spans="1:37">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row>
    <row r="397" spans="1:37">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row>
    <row r="398" spans="1:37">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row>
    <row r="399" spans="1:37">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row>
    <row r="400" spans="1:37">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row>
    <row r="401" spans="1:37">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row>
    <row r="402" spans="1:37">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row>
    <row r="403" spans="1:37">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row>
    <row r="404" spans="1:37">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row>
    <row r="405" spans="1:37">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row>
    <row r="406" spans="1:37">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row>
    <row r="407" spans="1:37">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row>
    <row r="408" spans="1:37">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row>
    <row r="409" spans="1:37">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row>
    <row r="410" spans="1:37">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row>
    <row r="411" spans="1:37">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row>
    <row r="412" spans="1:37">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row>
    <row r="413" spans="1:37">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row>
    <row r="414" spans="1:37">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row>
    <row r="415" spans="1:37">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row>
    <row r="416" spans="1:37">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row>
    <row r="417" spans="1:37">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row>
    <row r="418" spans="1:37">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row>
    <row r="419" spans="1:37">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row>
    <row r="420" spans="1:37">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row>
    <row r="421" spans="1:37">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row>
    <row r="422" spans="1:37">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row>
    <row r="423" spans="1:37">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row>
    <row r="424" spans="1:37">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row>
    <row r="425" spans="1:37">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row>
    <row r="426" spans="1:37">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row>
    <row r="427" spans="1:37">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row>
    <row r="428" spans="1:37">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row>
    <row r="429" spans="1:37">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row>
    <row r="430" spans="1:37">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row>
    <row r="431" spans="1:37">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row>
    <row r="432" spans="1:37">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row>
    <row r="433" spans="1:37">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row>
    <row r="434" spans="1:37">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row>
    <row r="435" spans="1:37">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row>
    <row r="436" spans="1:37">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row>
    <row r="437" spans="1:37">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row>
    <row r="438" spans="1:37">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row>
    <row r="439" spans="1:37">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row>
    <row r="440" spans="1:37">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row>
    <row r="441" spans="1:37">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row>
    <row r="442" spans="1:37">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row>
    <row r="443" spans="1:37">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row>
    <row r="444" spans="1:37">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row>
    <row r="445" spans="1:37">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row>
    <row r="446" spans="1:37">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row>
    <row r="447" spans="1:37">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row>
    <row r="448" spans="1:37">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row>
    <row r="449" spans="1:37">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row>
    <row r="450" spans="1:37">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row>
    <row r="451" spans="1:37">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row>
    <row r="452" spans="1:37">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row>
    <row r="453" spans="1:37">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row>
    <row r="454" spans="1:37">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row>
    <row r="455" spans="1:37">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row>
    <row r="456" spans="1:37">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row>
    <row r="457" spans="1:37">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row>
    <row r="458" spans="1:37">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row>
    <row r="459" spans="1:37">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row>
    <row r="460" spans="1:37">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row>
    <row r="461" spans="1:37">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row>
    <row r="462" spans="1:37">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row>
    <row r="463" spans="1:37">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row>
    <row r="464" spans="1:37">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row>
    <row r="465" spans="1:37">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row>
    <row r="466" spans="1:37">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row>
    <row r="467" spans="1:37">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row>
    <row r="468" spans="1:37">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row>
    <row r="469" spans="1:37">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row>
    <row r="470" spans="1:37">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row>
    <row r="471" spans="1:37">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row>
    <row r="472" spans="1:37">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row>
    <row r="473" spans="1:37">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row>
    <row r="474" spans="1:37">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row>
    <row r="475" spans="1:37">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row>
    <row r="476" spans="1:37">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row>
    <row r="477" spans="1:37">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row>
    <row r="478" spans="1:37">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row>
    <row r="479" spans="1:37">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row>
    <row r="480" spans="1:37">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row>
    <row r="481" spans="1:37">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row>
    <row r="482" spans="1:37">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row>
    <row r="483" spans="1:37">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row>
    <row r="484" spans="1:37">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row>
    <row r="485" spans="1:37">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row>
    <row r="486" spans="1:37">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row>
    <row r="487" spans="1:37">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row>
    <row r="488" spans="1:37">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row>
    <row r="489" spans="1:37">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row>
    <row r="490" spans="1:37">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row>
    <row r="491" spans="1:37">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row>
    <row r="492" spans="1:37">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row>
    <row r="493" spans="1:37">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row>
    <row r="494" spans="1:37">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row>
    <row r="495" spans="1:37">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row>
    <row r="496" spans="1:37">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row>
    <row r="497" spans="1:37">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row>
    <row r="498" spans="1:37">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row>
    <row r="499" spans="1:37">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row>
    <row r="500" spans="1:37">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row>
    <row r="501" spans="1:37">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row>
    <row r="502" spans="1:37">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row>
    <row r="503" spans="1:37">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row>
    <row r="504" spans="1:37">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row>
    <row r="505" spans="1:37">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row>
    <row r="506" spans="1:37">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row>
    <row r="507" spans="1:37">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row>
    <row r="508" spans="1:37">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row>
    <row r="509" spans="1:37">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row>
    <row r="510" spans="1:37">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row>
    <row r="511" spans="1:37">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row>
    <row r="512" spans="1:37">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row>
    <row r="513" spans="1:37">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row>
    <row r="514" spans="1:37">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row>
    <row r="515" spans="1:37">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row>
    <row r="516" spans="1:37">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row>
    <row r="517" spans="1:37">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row>
    <row r="518" spans="1:37">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row>
    <row r="519" spans="1:37">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row>
    <row r="520" spans="1:37">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row>
    <row r="521" spans="1:37">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row>
    <row r="522" spans="1:37">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row>
    <row r="523" spans="1:37">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row>
    <row r="524" spans="1:37">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row>
    <row r="525" spans="1:37">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row>
    <row r="526" spans="1:37">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row>
    <row r="527" spans="1:37">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row>
    <row r="528" spans="1:37">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row>
    <row r="529" spans="1:37">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row>
    <row r="530" spans="1:37">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row>
    <row r="531" spans="1:37">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row>
    <row r="532" spans="1:37">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row>
    <row r="533" spans="1:37">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row>
    <row r="534" spans="1:37">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row>
    <row r="535" spans="1:37">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row>
    <row r="536" spans="1:37">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row>
    <row r="537" spans="1:37">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row>
    <row r="538" spans="1:37">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row>
    <row r="539" spans="1:37">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row>
    <row r="540" spans="1:37">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row>
    <row r="541" spans="1:37">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row>
    <row r="542" spans="1:37">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row>
    <row r="543" spans="1:37">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row>
    <row r="544" spans="1:37">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row>
    <row r="545" spans="1:37">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row>
    <row r="546" spans="1:37">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row>
    <row r="547" spans="1:37">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row>
    <row r="548" spans="1:37">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row>
    <row r="549" spans="1:37">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row>
    <row r="550" spans="1:37">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row>
    <row r="551" spans="1:37">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row>
    <row r="552" spans="1:37">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row>
    <row r="553" spans="1:37">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row>
    <row r="554" spans="1:37">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row>
    <row r="555" spans="1:37">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row>
    <row r="556" spans="1:37">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row>
    <row r="557" spans="1:37">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row>
    <row r="558" spans="1:37">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row>
    <row r="559" spans="1:37">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row>
    <row r="560" spans="1:37">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row>
    <row r="561" spans="1:37">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row>
    <row r="562" spans="1:37">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row>
    <row r="563" spans="1:37">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row>
    <row r="564" spans="1:37">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row>
    <row r="565" spans="1:37">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row>
    <row r="566" spans="1:37">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row>
    <row r="567" spans="1:37">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row>
    <row r="568" spans="1:37">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row>
    <row r="569" spans="1:37">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row>
    <row r="570" spans="1:37">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row>
    <row r="571" spans="1:37">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row>
    <row r="572" spans="1:37">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row>
    <row r="573" spans="1:37">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row>
    <row r="574" spans="1:37">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row>
    <row r="575" spans="1:37">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row>
    <row r="576" spans="1:37">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row>
    <row r="577" spans="1:37">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row>
    <row r="578" spans="1:37">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row>
    <row r="579" spans="1:37">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row>
    <row r="580" spans="1:37">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row>
    <row r="581" spans="1:37">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row>
    <row r="582" spans="1:37">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row>
    <row r="583" spans="1:37">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row>
    <row r="584" spans="1:37">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row>
    <row r="585" spans="1:37">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row>
    <row r="586" spans="1:37">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row>
    <row r="587" spans="1:37">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row>
    <row r="588" spans="1:37">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row>
    <row r="589" spans="1:37">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row>
    <row r="590" spans="1:37">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row>
    <row r="591" spans="1:37">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row>
    <row r="592" spans="1:37">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row>
    <row r="593" spans="1:37">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row>
    <row r="594" spans="1:37">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row>
    <row r="595" spans="1:37">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row>
    <row r="596" spans="1:37">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row>
    <row r="597" spans="1:37">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row>
    <row r="598" spans="1:37">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row>
    <row r="599" spans="1:37">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row>
    <row r="600" spans="1:37">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row>
    <row r="601" spans="1:37">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row>
    <row r="602" spans="1:37">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row>
    <row r="603" spans="1:37">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row>
    <row r="604" spans="1:37">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row>
    <row r="605" spans="1:37">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row>
    <row r="606" spans="1:37">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row>
    <row r="607" spans="1:37">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row>
    <row r="608" spans="1:37">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row>
    <row r="609" spans="1:37">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row>
    <row r="610" spans="1:37">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row>
    <row r="611" spans="1:37">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row>
    <row r="612" spans="1:37">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row>
    <row r="613" spans="1:37">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row>
    <row r="614" spans="1:37">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row>
    <row r="615" spans="1:37">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row>
    <row r="616" spans="1:37">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row>
    <row r="617" spans="1:37">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row>
    <row r="618" spans="1:37">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row>
    <row r="619" spans="1:37">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row>
    <row r="620" spans="1:37">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row>
    <row r="621" spans="1:37">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row>
    <row r="622" spans="1:37">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row>
    <row r="623" spans="1:37">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row>
    <row r="624" spans="1:37">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row>
    <row r="625" spans="1:37">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row>
    <row r="626" spans="1:37">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row>
    <row r="627" spans="1:37">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row>
    <row r="628" spans="1:37">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row>
    <row r="629" spans="1:37">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row>
    <row r="630" spans="1:37">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row>
    <row r="631" spans="1:37">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row>
    <row r="632" spans="1:37">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row>
    <row r="633" spans="1:37">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row>
    <row r="634" spans="1:37">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row>
    <row r="635" spans="1:37">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row>
    <row r="636" spans="1:37">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row>
  </sheetData>
  <sheetProtection selectLockedCells="1"/>
  <mergeCells count="209">
    <mergeCell ref="B35:D35"/>
    <mergeCell ref="B36:D36"/>
    <mergeCell ref="B37:D37"/>
    <mergeCell ref="B38:D38"/>
    <mergeCell ref="G37:H37"/>
    <mergeCell ref="I4:J4"/>
    <mergeCell ref="B34:D34"/>
    <mergeCell ref="E34:F34"/>
    <mergeCell ref="E35:F35"/>
    <mergeCell ref="E36:F36"/>
    <mergeCell ref="B23:B24"/>
    <mergeCell ref="B29:B30"/>
    <mergeCell ref="B26:B27"/>
    <mergeCell ref="Q18:T18"/>
    <mergeCell ref="Q4:T9"/>
    <mergeCell ref="Q12:T16"/>
    <mergeCell ref="K14:N14"/>
    <mergeCell ref="K15:M15"/>
    <mergeCell ref="N15:O15"/>
    <mergeCell ref="E15:J15"/>
    <mergeCell ref="D21:E21"/>
    <mergeCell ref="D22:E22"/>
    <mergeCell ref="K49:L49"/>
    <mergeCell ref="K50:L50"/>
    <mergeCell ref="K51:L51"/>
    <mergeCell ref="K52:L52"/>
    <mergeCell ref="K53:L53"/>
    <mergeCell ref="K46:L46"/>
    <mergeCell ref="B46:J46"/>
    <mergeCell ref="C44:J44"/>
    <mergeCell ref="B47:J47"/>
    <mergeCell ref="B48:J48"/>
    <mergeCell ref="B49:J49"/>
    <mergeCell ref="B50:J50"/>
    <mergeCell ref="B52:J52"/>
    <mergeCell ref="B51:J51"/>
    <mergeCell ref="B45:T45"/>
    <mergeCell ref="R44:S44"/>
    <mergeCell ref="B53:J53"/>
    <mergeCell ref="B42:C42"/>
    <mergeCell ref="B43:J43"/>
    <mergeCell ref="Y11:AA11"/>
    <mergeCell ref="V15:V16"/>
    <mergeCell ref="X14:Y14"/>
    <mergeCell ref="X8:AA8"/>
    <mergeCell ref="X9:AA9"/>
    <mergeCell ref="W10:AA10"/>
    <mergeCell ref="AA15:AA16"/>
    <mergeCell ref="X15:Y16"/>
    <mergeCell ref="G36:H36"/>
    <mergeCell ref="G35:H35"/>
    <mergeCell ref="G34:H34"/>
    <mergeCell ref="F26:H26"/>
    <mergeCell ref="V12:Y12"/>
    <mergeCell ref="Z12:AA12"/>
    <mergeCell ref="X18:Y18"/>
    <mergeCell ref="V8:W8"/>
    <mergeCell ref="V9:W9"/>
    <mergeCell ref="V13:Y13"/>
    <mergeCell ref="E16:O16"/>
    <mergeCell ref="V11:X11"/>
    <mergeCell ref="K43:L43"/>
    <mergeCell ref="G40:H40"/>
    <mergeCell ref="Q3:T3"/>
    <mergeCell ref="E14:J14"/>
    <mergeCell ref="K11:L11"/>
    <mergeCell ref="E11:J11"/>
    <mergeCell ref="K13:L13"/>
    <mergeCell ref="E12:J12"/>
    <mergeCell ref="M8:O8"/>
    <mergeCell ref="M11:O11"/>
    <mergeCell ref="M13:O13"/>
    <mergeCell ref="M12:O12"/>
    <mergeCell ref="I5:J5"/>
    <mergeCell ref="K5:O5"/>
    <mergeCell ref="C5:H5"/>
    <mergeCell ref="E8:F8"/>
    <mergeCell ref="G8:I8"/>
    <mergeCell ref="Q11:T11"/>
    <mergeCell ref="C4:H4"/>
    <mergeCell ref="K4:O4"/>
    <mergeCell ref="B7:C7"/>
    <mergeCell ref="D7:G7"/>
    <mergeCell ref="B2:C2"/>
    <mergeCell ref="B16:D16"/>
    <mergeCell ref="B13:D13"/>
    <mergeCell ref="B12:D12"/>
    <mergeCell ref="D28:E28"/>
    <mergeCell ref="B18:E18"/>
    <mergeCell ref="D29:E29"/>
    <mergeCell ref="B6:D6"/>
    <mergeCell ref="B8:D8"/>
    <mergeCell ref="B15:D15"/>
    <mergeCell ref="B11:D11"/>
    <mergeCell ref="B10:O10"/>
    <mergeCell ref="K12:L12"/>
    <mergeCell ref="E13:J13"/>
    <mergeCell ref="B14:D14"/>
    <mergeCell ref="C3:H3"/>
    <mergeCell ref="I3:J3"/>
    <mergeCell ref="K3:O3"/>
    <mergeCell ref="E6:H6"/>
    <mergeCell ref="J8:L8"/>
    <mergeCell ref="D25:E25"/>
    <mergeCell ref="D23:E23"/>
    <mergeCell ref="F19:H19"/>
    <mergeCell ref="D24:E24"/>
    <mergeCell ref="Z49:AA49"/>
    <mergeCell ref="Z42:AA42"/>
    <mergeCell ref="Z43:AA43"/>
    <mergeCell ref="Y35:Z35"/>
    <mergeCell ref="V37:W37"/>
    <mergeCell ref="Y36:Z36"/>
    <mergeCell ref="Z52:AA52"/>
    <mergeCell ref="Z51:AA51"/>
    <mergeCell ref="Z50:AA50"/>
    <mergeCell ref="V51:W52"/>
    <mergeCell ref="V49:W50"/>
    <mergeCell ref="V46:W46"/>
    <mergeCell ref="X49:Y50"/>
    <mergeCell ref="Y37:Z37"/>
    <mergeCell ref="X42:Y42"/>
    <mergeCell ref="X40:Y40"/>
    <mergeCell ref="V39:X39"/>
    <mergeCell ref="Z41:AA41"/>
    <mergeCell ref="V41:W41"/>
    <mergeCell ref="X41:Y41"/>
    <mergeCell ref="X48:Y48"/>
    <mergeCell ref="X44:Y44"/>
    <mergeCell ref="X47:Y47"/>
    <mergeCell ref="X46:Y46"/>
    <mergeCell ref="X45:Y45"/>
    <mergeCell ref="V47:W47"/>
    <mergeCell ref="V45:W45"/>
    <mergeCell ref="Z47:AA47"/>
    <mergeCell ref="Z46:AA46"/>
    <mergeCell ref="Z45:AA45"/>
    <mergeCell ref="V48:W48"/>
    <mergeCell ref="Z27:AA28"/>
    <mergeCell ref="X27:Y28"/>
    <mergeCell ref="V35:W35"/>
    <mergeCell ref="P34:Q34"/>
    <mergeCell ref="Y33:Z33"/>
    <mergeCell ref="Q19:T23"/>
    <mergeCell ref="X26:Y26"/>
    <mergeCell ref="Z26:AA26"/>
    <mergeCell ref="Q25:T25"/>
    <mergeCell ref="Q26:T31"/>
    <mergeCell ref="V34:W34"/>
    <mergeCell ref="V33:W33"/>
    <mergeCell ref="V26:W26"/>
    <mergeCell ref="Y32:Z32"/>
    <mergeCell ref="Y34:Z34"/>
    <mergeCell ref="V19:W19"/>
    <mergeCell ref="V23:W23"/>
    <mergeCell ref="AA19:AA20"/>
    <mergeCell ref="AA23:AA24"/>
    <mergeCell ref="X19:Y20"/>
    <mergeCell ref="X22:Y22"/>
    <mergeCell ref="X23:Y24"/>
    <mergeCell ref="Y31:Z31"/>
    <mergeCell ref="Y56:AB57"/>
    <mergeCell ref="P35:Q35"/>
    <mergeCell ref="P36:Q36"/>
    <mergeCell ref="P37:Q37"/>
    <mergeCell ref="P38:Q38"/>
    <mergeCell ref="P39:Q39"/>
    <mergeCell ref="P40:Q40"/>
    <mergeCell ref="J56:X57"/>
    <mergeCell ref="B55:C55"/>
    <mergeCell ref="B56:I56"/>
    <mergeCell ref="B57:I57"/>
    <mergeCell ref="G39:H39"/>
    <mergeCell ref="G38:H38"/>
    <mergeCell ref="V42:W42"/>
    <mergeCell ref="Z40:AA40"/>
    <mergeCell ref="V43:W43"/>
    <mergeCell ref="X43:Y43"/>
    <mergeCell ref="X53:Y53"/>
    <mergeCell ref="V53:W53"/>
    <mergeCell ref="Z53:AA53"/>
    <mergeCell ref="V44:W44"/>
    <mergeCell ref="Z44:AA44"/>
    <mergeCell ref="X51:Y52"/>
    <mergeCell ref="Z48:AA48"/>
    <mergeCell ref="J41:L41"/>
    <mergeCell ref="J54:L54"/>
    <mergeCell ref="V30:W30"/>
    <mergeCell ref="N21:O24"/>
    <mergeCell ref="N20:O20"/>
    <mergeCell ref="B40:D40"/>
    <mergeCell ref="K6:O6"/>
    <mergeCell ref="I6:J6"/>
    <mergeCell ref="K7:O7"/>
    <mergeCell ref="F33:I33"/>
    <mergeCell ref="B33:D33"/>
    <mergeCell ref="E37:F37"/>
    <mergeCell ref="E38:F38"/>
    <mergeCell ref="E39:F39"/>
    <mergeCell ref="E40:F40"/>
    <mergeCell ref="V32:W32"/>
    <mergeCell ref="V36:W36"/>
    <mergeCell ref="B39:D39"/>
    <mergeCell ref="D30:E30"/>
    <mergeCell ref="D32:E32"/>
    <mergeCell ref="D31:E31"/>
    <mergeCell ref="K44:L44"/>
    <mergeCell ref="K47:L47"/>
    <mergeCell ref="K48:L48"/>
  </mergeCells>
  <phoneticPr fontId="2" type="noConversion"/>
  <conditionalFormatting sqref="X32:Z37">
    <cfRule type="cellIs" dxfId="2213" priority="1403" operator="equal">
      <formula>0</formula>
    </cfRule>
  </conditionalFormatting>
  <conditionalFormatting sqref="F29:M29">
    <cfRule type="cellIs" dxfId="2212" priority="1401" operator="equal">
      <formula>0</formula>
    </cfRule>
  </conditionalFormatting>
  <conditionalFormatting sqref="K34:T37 C3:C5 E6 X8:AA9 E11:J14 E16:O16 F24:M24 F31:K31 K35:K40 C44 AA19 AA23 B39:B40 E39 B47:B53 K47:K53 E15 Q3:T3 Q11:T11 V32:Z37 V30 X27:Z28 V26:Z26 X24:Y24 V13:Y13 V19:Y19 X18:Y18 V14:V16 X14:Y16 V23:Y23 X20:Y20 X22:Y22 Q18:T18 K10:O16 Q25:T25 K32 K27:M27 V8:Z12 K23:M25 K3:O5 I6 K8:O8 K7 K29:M31">
    <cfRule type="cellIs" dxfId="2211" priority="1400" operator="equal">
      <formula>""</formula>
    </cfRule>
  </conditionalFormatting>
  <conditionalFormatting sqref="E8:F8">
    <cfRule type="cellIs" dxfId="2210" priority="1399" operator="equal">
      <formula>"1ère carrière"</formula>
    </cfRule>
  </conditionalFormatting>
  <conditionalFormatting sqref="G8:I8">
    <cfRule type="cellIs" dxfId="2209" priority="1398" operator="equal">
      <formula>"2ème carrière"</formula>
    </cfRule>
  </conditionalFormatting>
  <conditionalFormatting sqref="J8:L8">
    <cfRule type="cellIs" dxfId="2208" priority="1397" operator="equal">
      <formula>"3ème carrière"</formula>
    </cfRule>
  </conditionalFormatting>
  <conditionalFormatting sqref="M8:O8">
    <cfRule type="cellIs" dxfId="2207" priority="1396" operator="equal">
      <formula>"4ème carrière"</formula>
    </cfRule>
  </conditionalFormatting>
  <conditionalFormatting sqref="F25:M25 F32:G32 J32:K32">
    <cfRule type="cellIs" dxfId="2206" priority="1395" operator="equal">
      <formula>0</formula>
    </cfRule>
  </conditionalFormatting>
  <conditionalFormatting sqref="E40">
    <cfRule type="cellIs" dxfId="2205" priority="1394" operator="equal">
      <formula>""</formula>
    </cfRule>
  </conditionalFormatting>
  <conditionalFormatting sqref="E35">
    <cfRule type="cellIs" dxfId="2204" priority="1393" operator="equal">
      <formula>""</formula>
    </cfRule>
  </conditionalFormatting>
  <conditionalFormatting sqref="K44">
    <cfRule type="cellIs" dxfId="2203" priority="1392" operator="equal">
      <formula>""</formula>
    </cfRule>
  </conditionalFormatting>
  <conditionalFormatting sqref="B36:B38">
    <cfRule type="cellIs" dxfId="2202" priority="1390" operator="equal">
      <formula>""</formula>
    </cfRule>
  </conditionalFormatting>
  <conditionalFormatting sqref="E36:E38">
    <cfRule type="cellIs" dxfId="2201" priority="1389" operator="equal">
      <formula>""</formula>
    </cfRule>
  </conditionalFormatting>
  <conditionalFormatting sqref="K4">
    <cfRule type="cellIs" dxfId="2200" priority="1388" operator="equal">
      <formula>""</formula>
    </cfRule>
  </conditionalFormatting>
  <conditionalFormatting sqref="B28">
    <cfRule type="cellIs" dxfId="2199" priority="1384" operator="equal">
      <formula>""</formula>
    </cfRule>
  </conditionalFormatting>
  <conditionalFormatting sqref="B22">
    <cfRule type="cellIs" dxfId="2198" priority="1385" operator="equal">
      <formula>""</formula>
    </cfRule>
  </conditionalFormatting>
  <conditionalFormatting sqref="Z12">
    <cfRule type="cellIs" dxfId="2197" priority="1375" operator="equal">
      <formula>""</formula>
    </cfRule>
  </conditionalFormatting>
  <conditionalFormatting sqref="B1:AA1 J33:N33 E33">
    <cfRule type="expression" dxfId="2196" priority="635">
      <formula>SelectRace="Vampire"</formula>
    </cfRule>
    <cfRule type="expression" dxfId="2195" priority="636">
      <formula>SelectRace="Skaven"</formula>
    </cfRule>
    <cfRule type="expression" dxfId="2194" priority="637">
      <formula>SelectRace="Peau-Verte"</formula>
    </cfRule>
    <cfRule type="expression" dxfId="2193" priority="638">
      <formula>SelectRace="Homme-lézard"</formula>
    </cfRule>
    <cfRule type="expression" dxfId="2192" priority="639">
      <formula>SelectRace="Homme-bête"</formula>
    </cfRule>
    <cfRule type="expression" dxfId="2191" priority="640">
      <formula>SelectRace="Halfling"</formula>
    </cfRule>
    <cfRule type="expression" dxfId="2190" priority="641">
      <formula>SelectRace="Elfe"</formula>
    </cfRule>
    <cfRule type="expression" dxfId="2189" priority="642">
      <formula>SelectRace="Créature du chaos"</formula>
    </cfRule>
    <cfRule type="expression" dxfId="2188" priority="643">
      <formula>SelectRace="Nain"</formula>
    </cfRule>
    <cfRule type="expression" dxfId="2187" priority="644">
      <formula>SelectRace=“Humain“</formula>
    </cfRule>
  </conditionalFormatting>
  <conditionalFormatting sqref="P11:P16 P18:P19 P25:P31 P3:P8">
    <cfRule type="expression" dxfId="2186" priority="625">
      <formula>SelectRace="Vampire"</formula>
    </cfRule>
    <cfRule type="expression" dxfId="2185" priority="626">
      <formula>SelectRace="Skaven"</formula>
    </cfRule>
    <cfRule type="expression" dxfId="2184" priority="627">
      <formula>SelectRace="Peau-Verte"</formula>
    </cfRule>
    <cfRule type="expression" dxfId="2183" priority="628">
      <formula>SelectRace="Homme-lézard"</formula>
    </cfRule>
    <cfRule type="expression" dxfId="2182" priority="629">
      <formula>SelectRace="Homme-bête"</formula>
    </cfRule>
    <cfRule type="expression" dxfId="2181" priority="630">
      <formula>SelectRace="Halfling"</formula>
    </cfRule>
    <cfRule type="expression" dxfId="2180" priority="631">
      <formula>SelectRace="Elfe"</formula>
    </cfRule>
    <cfRule type="expression" dxfId="2179" priority="632">
      <formula>SelectRace="Créature du chaos"</formula>
    </cfRule>
    <cfRule type="expression" dxfId="2178" priority="633">
      <formula>SelectRace="Nain"</formula>
    </cfRule>
    <cfRule type="expression" dxfId="2177" priority="634">
      <formula>SelectRace=“Humain“</formula>
    </cfRule>
  </conditionalFormatting>
  <conditionalFormatting sqref="Q2:T2">
    <cfRule type="expression" dxfId="2176" priority="615">
      <formula>SelectRace="Vampire"</formula>
    </cfRule>
    <cfRule type="expression" dxfId="2175" priority="616">
      <formula>SelectRace="Skaven"</formula>
    </cfRule>
    <cfRule type="expression" dxfId="2174" priority="617">
      <formula>SelectRace="Peau-Verte"</formula>
    </cfRule>
    <cfRule type="expression" dxfId="2173" priority="618">
      <formula>SelectRace="Homme-lézard"</formula>
    </cfRule>
    <cfRule type="expression" dxfId="2172" priority="619">
      <formula>SelectRace="Homme-bête"</formula>
    </cfRule>
    <cfRule type="expression" dxfId="2171" priority="620">
      <formula>SelectRace="Halfling"</formula>
    </cfRule>
    <cfRule type="expression" dxfId="2170" priority="621">
      <formula>SelectRace="Elfe"</formula>
    </cfRule>
    <cfRule type="expression" dxfId="2169" priority="622">
      <formula>SelectRace="Créature du chaos"</formula>
    </cfRule>
    <cfRule type="expression" dxfId="2168" priority="623">
      <formula>SelectRace="Nain"</formula>
    </cfRule>
    <cfRule type="expression" dxfId="2167" priority="624">
      <formula>SelectRace=“Humain“</formula>
    </cfRule>
  </conditionalFormatting>
  <conditionalFormatting sqref="P10:T10">
    <cfRule type="expression" dxfId="2166" priority="605">
      <formula>SelectRace="Vampire"</formula>
    </cfRule>
    <cfRule type="expression" dxfId="2165" priority="606">
      <formula>SelectRace="Skaven"</formula>
    </cfRule>
    <cfRule type="expression" dxfId="2164" priority="607">
      <formula>SelectRace="Peau-Verte"</formula>
    </cfRule>
    <cfRule type="expression" dxfId="2163" priority="608">
      <formula>SelectRace="Homme-lézard"</formula>
    </cfRule>
    <cfRule type="expression" dxfId="2162" priority="609">
      <formula>SelectRace="Homme-bête"</formula>
    </cfRule>
    <cfRule type="expression" dxfId="2161" priority="610">
      <formula>SelectRace="Halfling"</formula>
    </cfRule>
    <cfRule type="expression" dxfId="2160" priority="611">
      <formula>SelectRace="Elfe"</formula>
    </cfRule>
    <cfRule type="expression" dxfId="2159" priority="612">
      <formula>SelectRace="Créature du chaos"</formula>
    </cfRule>
    <cfRule type="expression" dxfId="2158" priority="613">
      <formula>SelectRace="Nain"</formula>
    </cfRule>
    <cfRule type="expression" dxfId="2157" priority="614">
      <formula>SelectRace=“Humain“</formula>
    </cfRule>
  </conditionalFormatting>
  <conditionalFormatting sqref="U7:U16 U18:U23 U25:U31 U34:U40 U43:U53">
    <cfRule type="expression" dxfId="2156" priority="595">
      <formula>SelectRace="Vampire"</formula>
    </cfRule>
    <cfRule type="expression" dxfId="2155" priority="596">
      <formula>SelectRace="Skaven"</formula>
    </cfRule>
    <cfRule type="expression" dxfId="2154" priority="597">
      <formula>SelectRace="Peau-Verte"</formula>
    </cfRule>
    <cfRule type="expression" dxfId="2153" priority="598">
      <formula>SelectRace="Homme-lézard"</formula>
    </cfRule>
    <cfRule type="expression" dxfId="2152" priority="599">
      <formula>SelectRace="Homme-bête"</formula>
    </cfRule>
    <cfRule type="expression" dxfId="2151" priority="600">
      <formula>SelectRace="Halfling"</formula>
    </cfRule>
    <cfRule type="expression" dxfId="2150" priority="601">
      <formula>SelectRace="Elfe"</formula>
    </cfRule>
    <cfRule type="expression" dxfId="2149" priority="602">
      <formula>SelectRace="Créature du chaos"</formula>
    </cfRule>
    <cfRule type="expression" dxfId="2148" priority="603">
      <formula>SelectRace="Nain"</formula>
    </cfRule>
    <cfRule type="expression" dxfId="2147" priority="604">
      <formula>SelectRace=“Humain“</formula>
    </cfRule>
  </conditionalFormatting>
  <conditionalFormatting sqref="AB32:AC38 AC29:AC31 AB26:AC28 AC25 AB39 AB8:AC24 U1:AC1 AC2:AC7 U7:AB7">
    <cfRule type="expression" dxfId="2146" priority="585">
      <formula>SelectRace="Vampire"</formula>
    </cfRule>
    <cfRule type="expression" dxfId="2145" priority="586">
      <formula>SelectRace="Skaven"</formula>
    </cfRule>
    <cfRule type="expression" dxfId="2144" priority="587">
      <formula>SelectRace="Peau-Verte"</formula>
    </cfRule>
    <cfRule type="expression" dxfId="2143" priority="588">
      <formula>SelectRace="Homme-lézard"</formula>
    </cfRule>
    <cfRule type="expression" dxfId="2142" priority="589">
      <formula>SelectRace="Homme-bête"</formula>
    </cfRule>
    <cfRule type="expression" dxfId="2141" priority="590">
      <formula>SelectRace="Halfling"</formula>
    </cfRule>
    <cfRule type="expression" dxfId="2140" priority="591">
      <formula>SelectRace="Elfe"</formula>
    </cfRule>
    <cfRule type="expression" dxfId="2139" priority="592">
      <formula>SelectRace="Créature du chaos"</formula>
    </cfRule>
    <cfRule type="expression" dxfId="2138" priority="593">
      <formula>SelectRace="Nain"</formula>
    </cfRule>
    <cfRule type="expression" dxfId="2137" priority="594">
      <formula>SelectRace=“Humain“</formula>
    </cfRule>
  </conditionalFormatting>
  <conditionalFormatting sqref="V38:AA38">
    <cfRule type="expression" dxfId="2136" priority="575">
      <formula>SelectRace="Vampire"</formula>
    </cfRule>
    <cfRule type="expression" dxfId="2135" priority="576">
      <formula>SelectRace="Skaven"</formula>
    </cfRule>
    <cfRule type="expression" dxfId="2134" priority="577">
      <formula>SelectRace="Peau-Verte"</formula>
    </cfRule>
    <cfRule type="expression" dxfId="2133" priority="578">
      <formula>SelectRace="Homme-lézard"</formula>
    </cfRule>
    <cfRule type="expression" dxfId="2132" priority="579">
      <formula>SelectRace="Homme-bête"</formula>
    </cfRule>
    <cfRule type="expression" dxfId="2131" priority="580">
      <formula>SelectRace="Halfling"</formula>
    </cfRule>
    <cfRule type="expression" dxfId="2130" priority="581">
      <formula>SelectRace="Elfe"</formula>
    </cfRule>
    <cfRule type="expression" dxfId="2129" priority="582">
      <formula>SelectRace="Créature du chaos"</formula>
    </cfRule>
    <cfRule type="expression" dxfId="2128" priority="583">
      <formula>SelectRace="Nain"</formula>
    </cfRule>
    <cfRule type="expression" dxfId="2127" priority="584">
      <formula>SelectRace=“Humain“</formula>
    </cfRule>
  </conditionalFormatting>
  <conditionalFormatting sqref="Y39:AA39">
    <cfRule type="expression" dxfId="2126" priority="565">
      <formula>SelectRace="Vampire"</formula>
    </cfRule>
    <cfRule type="expression" dxfId="2125" priority="566">
      <formula>SelectRace="Skaven"</formula>
    </cfRule>
    <cfRule type="expression" dxfId="2124" priority="567">
      <formula>SelectRace="Peau-Verte"</formula>
    </cfRule>
    <cfRule type="expression" dxfId="2123" priority="568">
      <formula>SelectRace="Homme-lézard"</formula>
    </cfRule>
    <cfRule type="expression" dxfId="2122" priority="569">
      <formula>SelectRace="Homme-bête"</formula>
    </cfRule>
    <cfRule type="expression" dxfId="2121" priority="570">
      <formula>SelectRace="Halfling"</formula>
    </cfRule>
    <cfRule type="expression" dxfId="2120" priority="571">
      <formula>SelectRace="Elfe"</formula>
    </cfRule>
    <cfRule type="expression" dxfId="2119" priority="572">
      <formula>SelectRace="Créature du chaos"</formula>
    </cfRule>
    <cfRule type="expression" dxfId="2118" priority="573">
      <formula>SelectRace="Nain"</formula>
    </cfRule>
    <cfRule type="expression" dxfId="2117" priority="574">
      <formula>SelectRace=“Humain“</formula>
    </cfRule>
  </conditionalFormatting>
  <conditionalFormatting sqref="V31:W31 AA31:AB31">
    <cfRule type="expression" dxfId="2116" priority="555">
      <formula>SelectRace="Vampire"</formula>
    </cfRule>
    <cfRule type="expression" dxfId="2115" priority="556">
      <formula>SelectRace="Skaven"</formula>
    </cfRule>
    <cfRule type="expression" dxfId="2114" priority="557">
      <formula>SelectRace="Peau-Verte"</formula>
    </cfRule>
    <cfRule type="expression" dxfId="2113" priority="558">
      <formula>SelectRace="Homme-lézard"</formula>
    </cfRule>
    <cfRule type="expression" dxfId="2112" priority="559">
      <formula>SelectRace="Homme-bête"</formula>
    </cfRule>
    <cfRule type="expression" dxfId="2111" priority="560">
      <formula>SelectRace="Halfling"</formula>
    </cfRule>
    <cfRule type="expression" dxfId="2110" priority="561">
      <formula>SelectRace="Elfe"</formula>
    </cfRule>
    <cfRule type="expression" dxfId="2109" priority="562">
      <formula>SelectRace="Créature du chaos"</formula>
    </cfRule>
    <cfRule type="expression" dxfId="2108" priority="563">
      <formula>SelectRace="Nain"</formula>
    </cfRule>
    <cfRule type="expression" dxfId="2107" priority="564">
      <formula>SelectRace=“Humain“</formula>
    </cfRule>
  </conditionalFormatting>
  <conditionalFormatting sqref="Y29:AB30">
    <cfRule type="expression" dxfId="2106" priority="545">
      <formula>SelectRace="Vampire"</formula>
    </cfRule>
    <cfRule type="expression" dxfId="2105" priority="546">
      <formula>SelectRace="Skaven"</formula>
    </cfRule>
    <cfRule type="expression" dxfId="2104" priority="547">
      <formula>SelectRace="Peau-Verte"</formula>
    </cfRule>
    <cfRule type="expression" dxfId="2103" priority="548">
      <formula>SelectRace="Homme-lézard"</formula>
    </cfRule>
    <cfRule type="expression" dxfId="2102" priority="549">
      <formula>SelectRace="Homme-bête"</formula>
    </cfRule>
    <cfRule type="expression" dxfId="2101" priority="550">
      <formula>SelectRace="Halfling"</formula>
    </cfRule>
    <cfRule type="expression" dxfId="2100" priority="551">
      <formula>SelectRace="Elfe"</formula>
    </cfRule>
    <cfRule type="expression" dxfId="2099" priority="552">
      <formula>SelectRace="Créature du chaos"</formula>
    </cfRule>
    <cfRule type="expression" dxfId="2098" priority="553">
      <formula>SelectRace="Nain"</formula>
    </cfRule>
    <cfRule type="expression" dxfId="2097" priority="554">
      <formula>SelectRace=“Humain“</formula>
    </cfRule>
  </conditionalFormatting>
  <conditionalFormatting sqref="V29:X29">
    <cfRule type="expression" dxfId="2096" priority="535">
      <formula>SelectRace="Vampire"</formula>
    </cfRule>
    <cfRule type="expression" dxfId="2095" priority="536">
      <formula>SelectRace="Skaven"</formula>
    </cfRule>
    <cfRule type="expression" dxfId="2094" priority="537">
      <formula>SelectRace="Peau-Verte"</formula>
    </cfRule>
    <cfRule type="expression" dxfId="2093" priority="538">
      <formula>SelectRace="Homme-lézard"</formula>
    </cfRule>
    <cfRule type="expression" dxfId="2092" priority="539">
      <formula>SelectRace="Homme-bête"</formula>
    </cfRule>
    <cfRule type="expression" dxfId="2091" priority="540">
      <formula>SelectRace="Halfling"</formula>
    </cfRule>
    <cfRule type="expression" dxfId="2090" priority="541">
      <formula>SelectRace="Elfe"</formula>
    </cfRule>
    <cfRule type="expression" dxfId="2089" priority="542">
      <formula>SelectRace="Créature du chaos"</formula>
    </cfRule>
    <cfRule type="expression" dxfId="2088" priority="543">
      <formula>SelectRace="Nain"</formula>
    </cfRule>
    <cfRule type="expression" dxfId="2087" priority="544">
      <formula>SelectRace=“Humain“</formula>
    </cfRule>
  </conditionalFormatting>
  <conditionalFormatting sqref="V27:W28">
    <cfRule type="expression" dxfId="2086" priority="525">
      <formula>SelectRace="Vampire"</formula>
    </cfRule>
    <cfRule type="expression" dxfId="2085" priority="526">
      <formula>SelectRace="Skaven"</formula>
    </cfRule>
    <cfRule type="expression" dxfId="2084" priority="527">
      <formula>SelectRace="Peau-Verte"</formula>
    </cfRule>
    <cfRule type="expression" dxfId="2083" priority="528">
      <formula>SelectRace="Homme-lézard"</formula>
    </cfRule>
    <cfRule type="expression" dxfId="2082" priority="529">
      <formula>SelectRace="Homme-bête"</formula>
    </cfRule>
    <cfRule type="expression" dxfId="2081" priority="530">
      <formula>SelectRace="Halfling"</formula>
    </cfRule>
    <cfRule type="expression" dxfId="2080" priority="531">
      <formula>SelectRace="Elfe"</formula>
    </cfRule>
    <cfRule type="expression" dxfId="2079" priority="532">
      <formula>SelectRace="Créature du chaos"</formula>
    </cfRule>
    <cfRule type="expression" dxfId="2078" priority="533">
      <formula>SelectRace="Nain"</formula>
    </cfRule>
    <cfRule type="expression" dxfId="2077" priority="534">
      <formula>SelectRace=“Humain“</formula>
    </cfRule>
  </conditionalFormatting>
  <conditionalFormatting sqref="V25:AB25">
    <cfRule type="expression" dxfId="2076" priority="515">
      <formula>SelectRace="Vampire"</formula>
    </cfRule>
    <cfRule type="expression" dxfId="2075" priority="516">
      <formula>SelectRace="Skaven"</formula>
    </cfRule>
    <cfRule type="expression" dxfId="2074" priority="517">
      <formula>SelectRace="Peau-Verte"</formula>
    </cfRule>
    <cfRule type="expression" dxfId="2073" priority="518">
      <formula>SelectRace="Homme-lézard"</formula>
    </cfRule>
    <cfRule type="expression" dxfId="2072" priority="519">
      <formula>SelectRace="Homme-bête"</formula>
    </cfRule>
    <cfRule type="expression" dxfId="2071" priority="520">
      <formula>SelectRace="Halfling"</formula>
    </cfRule>
    <cfRule type="expression" dxfId="2070" priority="521">
      <formula>SelectRace="Elfe"</formula>
    </cfRule>
    <cfRule type="expression" dxfId="2069" priority="522">
      <formula>SelectRace="Créature du chaos"</formula>
    </cfRule>
    <cfRule type="expression" dxfId="2068" priority="523">
      <formula>SelectRace="Nain"</formula>
    </cfRule>
    <cfRule type="expression" dxfId="2067" priority="524">
      <formula>SelectRace=“Humain“</formula>
    </cfRule>
  </conditionalFormatting>
  <conditionalFormatting sqref="V24">
    <cfRule type="expression" dxfId="2066" priority="505">
      <formula>SelectRace="Vampire"</formula>
    </cfRule>
    <cfRule type="expression" dxfId="2065" priority="506">
      <formula>SelectRace="Skaven"</formula>
    </cfRule>
    <cfRule type="expression" dxfId="2064" priority="507">
      <formula>SelectRace="Peau-Verte"</formula>
    </cfRule>
    <cfRule type="expression" dxfId="2063" priority="508">
      <formula>SelectRace="Homme-lézard"</formula>
    </cfRule>
    <cfRule type="expression" dxfId="2062" priority="509">
      <formula>SelectRace="Homme-bête"</formula>
    </cfRule>
    <cfRule type="expression" dxfId="2061" priority="510">
      <formula>SelectRace="Halfling"</formula>
    </cfRule>
    <cfRule type="expression" dxfId="2060" priority="511">
      <formula>SelectRace="Elfe"</formula>
    </cfRule>
    <cfRule type="expression" dxfId="2059" priority="512">
      <formula>SelectRace="Créature du chaos"</formula>
    </cfRule>
    <cfRule type="expression" dxfId="2058" priority="513">
      <formula>SelectRace="Nain"</formula>
    </cfRule>
    <cfRule type="expression" dxfId="2057" priority="514">
      <formula>SelectRace=“Humain“</formula>
    </cfRule>
  </conditionalFormatting>
  <conditionalFormatting sqref="W24">
    <cfRule type="expression" dxfId="2056" priority="495">
      <formula>SelectRace="Vampire"</formula>
    </cfRule>
    <cfRule type="expression" dxfId="2055" priority="496">
      <formula>SelectRace="Skaven"</formula>
    </cfRule>
    <cfRule type="expression" dxfId="2054" priority="497">
      <formula>SelectRace="Peau-Verte"</formula>
    </cfRule>
    <cfRule type="expression" dxfId="2053" priority="498">
      <formula>SelectRace="Homme-lézard"</formula>
    </cfRule>
    <cfRule type="expression" dxfId="2052" priority="499">
      <formula>SelectRace="Homme-bête"</formula>
    </cfRule>
    <cfRule type="expression" dxfId="2051" priority="500">
      <formula>SelectRace="Halfling"</formula>
    </cfRule>
    <cfRule type="expression" dxfId="2050" priority="501">
      <formula>SelectRace="Elfe"</formula>
    </cfRule>
    <cfRule type="expression" dxfId="2049" priority="502">
      <formula>SelectRace="Créature du chaos"</formula>
    </cfRule>
    <cfRule type="expression" dxfId="2048" priority="503">
      <formula>SelectRace="Nain"</formula>
    </cfRule>
    <cfRule type="expression" dxfId="2047" priority="504">
      <formula>SelectRace=“Humain“</formula>
    </cfRule>
  </conditionalFormatting>
  <conditionalFormatting sqref="Z13:Z24">
    <cfRule type="expression" dxfId="2046" priority="485">
      <formula>SelectRace="Vampire"</formula>
    </cfRule>
    <cfRule type="expression" dxfId="2045" priority="486">
      <formula>SelectRace="Skaven"</formula>
    </cfRule>
    <cfRule type="expression" dxfId="2044" priority="487">
      <formula>SelectRace="Peau-Verte"</formula>
    </cfRule>
    <cfRule type="expression" dxfId="2043" priority="488">
      <formula>SelectRace="Homme-lézard"</formula>
    </cfRule>
    <cfRule type="expression" dxfId="2042" priority="489">
      <formula>SelectRace="Homme-bête"</formula>
    </cfRule>
    <cfRule type="expression" dxfId="2041" priority="490">
      <formula>SelectRace="Halfling"</formula>
    </cfRule>
    <cfRule type="expression" dxfId="2040" priority="491">
      <formula>SelectRace="Elfe"</formula>
    </cfRule>
    <cfRule type="expression" dxfId="2039" priority="492">
      <formula>SelectRace="Créature du chaos"</formula>
    </cfRule>
    <cfRule type="expression" dxfId="2038" priority="493">
      <formula>SelectRace="Nain"</formula>
    </cfRule>
    <cfRule type="expression" dxfId="2037" priority="494">
      <formula>SelectRace=“Humain“</formula>
    </cfRule>
  </conditionalFormatting>
  <conditionalFormatting sqref="AA21">
    <cfRule type="expression" dxfId="2036" priority="475">
      <formula>SelectRace="Vampire"</formula>
    </cfRule>
    <cfRule type="expression" dxfId="2035" priority="476">
      <formula>SelectRace="Skaven"</formula>
    </cfRule>
    <cfRule type="expression" dxfId="2034" priority="477">
      <formula>SelectRace="Peau-Verte"</formula>
    </cfRule>
    <cfRule type="expression" dxfId="2033" priority="478">
      <formula>SelectRace="Homme-lézard"</formula>
    </cfRule>
    <cfRule type="expression" dxfId="2032" priority="479">
      <formula>SelectRace="Homme-bête"</formula>
    </cfRule>
    <cfRule type="expression" dxfId="2031" priority="480">
      <formula>SelectRace="Halfling"</formula>
    </cfRule>
    <cfRule type="expression" dxfId="2030" priority="481">
      <formula>SelectRace="Elfe"</formula>
    </cfRule>
    <cfRule type="expression" dxfId="2029" priority="482">
      <formula>SelectRace="Créature du chaos"</formula>
    </cfRule>
    <cfRule type="expression" dxfId="2028" priority="483">
      <formula>SelectRace="Nain"</formula>
    </cfRule>
    <cfRule type="expression" dxfId="2027" priority="484">
      <formula>SelectRace=“Humain“</formula>
    </cfRule>
  </conditionalFormatting>
  <conditionalFormatting sqref="AA17">
    <cfRule type="expression" dxfId="2026" priority="465">
      <formula>SelectRace="Vampire"</formula>
    </cfRule>
    <cfRule type="expression" dxfId="2025" priority="466">
      <formula>SelectRace="Skaven"</formula>
    </cfRule>
    <cfRule type="expression" dxfId="2024" priority="467">
      <formula>SelectRace="Peau-Verte"</formula>
    </cfRule>
    <cfRule type="expression" dxfId="2023" priority="468">
      <formula>SelectRace="Homme-lézard"</formula>
    </cfRule>
    <cfRule type="expression" dxfId="2022" priority="469">
      <formula>SelectRace="Homme-bête"</formula>
    </cfRule>
    <cfRule type="expression" dxfId="2021" priority="470">
      <formula>SelectRace="Halfling"</formula>
    </cfRule>
    <cfRule type="expression" dxfId="2020" priority="471">
      <formula>SelectRace="Elfe"</formula>
    </cfRule>
    <cfRule type="expression" dxfId="2019" priority="472">
      <formula>SelectRace="Créature du chaos"</formula>
    </cfRule>
    <cfRule type="expression" dxfId="2018" priority="473">
      <formula>SelectRace="Nain"</formula>
    </cfRule>
    <cfRule type="expression" dxfId="2017" priority="474">
      <formula>SelectRace=“Humain“</formula>
    </cfRule>
  </conditionalFormatting>
  <conditionalFormatting sqref="AA13">
    <cfRule type="expression" dxfId="2016" priority="455">
      <formula>SelectRace="Vampire"</formula>
    </cfRule>
    <cfRule type="expression" dxfId="2015" priority="456">
      <formula>SelectRace="Skaven"</formula>
    </cfRule>
    <cfRule type="expression" dxfId="2014" priority="457">
      <formula>SelectRace="Peau-Verte"</formula>
    </cfRule>
    <cfRule type="expression" dxfId="2013" priority="458">
      <formula>SelectRace="Homme-lézard"</formula>
    </cfRule>
    <cfRule type="expression" dxfId="2012" priority="459">
      <formula>SelectRace="Homme-bête"</formula>
    </cfRule>
    <cfRule type="expression" dxfId="2011" priority="460">
      <formula>SelectRace="Halfling"</formula>
    </cfRule>
    <cfRule type="expression" dxfId="2010" priority="461">
      <formula>SelectRace="Elfe"</formula>
    </cfRule>
    <cfRule type="expression" dxfId="2009" priority="462">
      <formula>SelectRace="Créature du chaos"</formula>
    </cfRule>
    <cfRule type="expression" dxfId="2008" priority="463">
      <formula>SelectRace="Nain"</formula>
    </cfRule>
    <cfRule type="expression" dxfId="2007" priority="464">
      <formula>SelectRace=“Humain“</formula>
    </cfRule>
  </conditionalFormatting>
  <conditionalFormatting sqref="W14:W16 W18">
    <cfRule type="expression" dxfId="2006" priority="425">
      <formula>SelectRace="Vampire"</formula>
    </cfRule>
    <cfRule type="expression" dxfId="2005" priority="426">
      <formula>SelectRace="Skaven"</formula>
    </cfRule>
    <cfRule type="expression" dxfId="2004" priority="427">
      <formula>SelectRace="Peau-Verte"</formula>
    </cfRule>
    <cfRule type="expression" dxfId="2003" priority="428">
      <formula>SelectRace="Homme-lézard"</formula>
    </cfRule>
    <cfRule type="expression" dxfId="2002" priority="429">
      <formula>SelectRace="Homme-bête"</formula>
    </cfRule>
    <cfRule type="expression" dxfId="2001" priority="430">
      <formula>SelectRace="Halfling"</formula>
    </cfRule>
    <cfRule type="expression" dxfId="2000" priority="431">
      <formula>SelectRace="Elfe"</formula>
    </cfRule>
    <cfRule type="expression" dxfId="1999" priority="432">
      <formula>SelectRace="Créature du chaos"</formula>
    </cfRule>
    <cfRule type="expression" dxfId="1998" priority="433">
      <formula>SelectRace="Nain"</formula>
    </cfRule>
    <cfRule type="expression" dxfId="1997" priority="434">
      <formula>SelectRace=“Humain“</formula>
    </cfRule>
  </conditionalFormatting>
  <conditionalFormatting sqref="V17:Y17">
    <cfRule type="expression" dxfId="1996" priority="415">
      <formula>SelectRace="Vampire"</formula>
    </cfRule>
    <cfRule type="expression" dxfId="1995" priority="416">
      <formula>SelectRace="Skaven"</formula>
    </cfRule>
    <cfRule type="expression" dxfId="1994" priority="417">
      <formula>SelectRace="Peau-Verte"</formula>
    </cfRule>
    <cfRule type="expression" dxfId="1993" priority="418">
      <formula>SelectRace="Homme-lézard"</formula>
    </cfRule>
    <cfRule type="expression" dxfId="1992" priority="419">
      <formula>SelectRace="Homme-bête"</formula>
    </cfRule>
    <cfRule type="expression" dxfId="1991" priority="420">
      <formula>SelectRace="Halfling"</formula>
    </cfRule>
    <cfRule type="expression" dxfId="1990" priority="421">
      <formula>SelectRace="Elfe"</formula>
    </cfRule>
    <cfRule type="expression" dxfId="1989" priority="422">
      <formula>SelectRace="Créature du chaos"</formula>
    </cfRule>
    <cfRule type="expression" dxfId="1988" priority="423">
      <formula>SelectRace="Nain"</formula>
    </cfRule>
    <cfRule type="expression" dxfId="1987" priority="424">
      <formula>SelectRace=“Humain“</formula>
    </cfRule>
  </conditionalFormatting>
  <conditionalFormatting sqref="V18">
    <cfRule type="expression" dxfId="1986" priority="405">
      <formula>SelectRace="Vampire"</formula>
    </cfRule>
    <cfRule type="expression" dxfId="1985" priority="406">
      <formula>SelectRace="Skaven"</formula>
    </cfRule>
    <cfRule type="expression" dxfId="1984" priority="407">
      <formula>SelectRace="Peau-Verte"</formula>
    </cfRule>
    <cfRule type="expression" dxfId="1983" priority="408">
      <formula>SelectRace="Homme-lézard"</formula>
    </cfRule>
    <cfRule type="expression" dxfId="1982" priority="409">
      <formula>SelectRace="Homme-bête"</formula>
    </cfRule>
    <cfRule type="expression" dxfId="1981" priority="410">
      <formula>SelectRace="Halfling"</formula>
    </cfRule>
    <cfRule type="expression" dxfId="1980" priority="411">
      <formula>SelectRace="Elfe"</formula>
    </cfRule>
    <cfRule type="expression" dxfId="1979" priority="412">
      <formula>SelectRace="Créature du chaos"</formula>
    </cfRule>
    <cfRule type="expression" dxfId="1978" priority="413">
      <formula>SelectRace="Nain"</formula>
    </cfRule>
    <cfRule type="expression" dxfId="1977" priority="414">
      <formula>SelectRace=“Humain“</formula>
    </cfRule>
  </conditionalFormatting>
  <conditionalFormatting sqref="V20:W22">
    <cfRule type="expression" dxfId="1976" priority="395">
      <formula>SelectRace="Vampire"</formula>
    </cfRule>
    <cfRule type="expression" dxfId="1975" priority="396">
      <formula>SelectRace="Skaven"</formula>
    </cfRule>
    <cfRule type="expression" dxfId="1974" priority="397">
      <formula>SelectRace="Peau-Verte"</formula>
    </cfRule>
    <cfRule type="expression" dxfId="1973" priority="398">
      <formula>SelectRace="Homme-lézard"</formula>
    </cfRule>
    <cfRule type="expression" dxfId="1972" priority="399">
      <formula>SelectRace="Homme-bête"</formula>
    </cfRule>
    <cfRule type="expression" dxfId="1971" priority="400">
      <formula>SelectRace="Halfling"</formula>
    </cfRule>
    <cfRule type="expression" dxfId="1970" priority="401">
      <formula>SelectRace="Elfe"</formula>
    </cfRule>
    <cfRule type="expression" dxfId="1969" priority="402">
      <formula>SelectRace="Créature du chaos"</formula>
    </cfRule>
    <cfRule type="expression" dxfId="1968" priority="403">
      <formula>SelectRace="Nain"</formula>
    </cfRule>
    <cfRule type="expression" dxfId="1967" priority="404">
      <formula>SelectRace=“Humain“</formula>
    </cfRule>
  </conditionalFormatting>
  <conditionalFormatting sqref="X21">
    <cfRule type="expression" dxfId="1966" priority="385">
      <formula>SelectRace="Vampire"</formula>
    </cfRule>
    <cfRule type="expression" dxfId="1965" priority="386">
      <formula>SelectRace="Skaven"</formula>
    </cfRule>
    <cfRule type="expression" dxfId="1964" priority="387">
      <formula>SelectRace="Peau-Verte"</formula>
    </cfRule>
    <cfRule type="expression" dxfId="1963" priority="388">
      <formula>SelectRace="Homme-lézard"</formula>
    </cfRule>
    <cfRule type="expression" dxfId="1962" priority="389">
      <formula>SelectRace="Homme-bête"</formula>
    </cfRule>
    <cfRule type="expression" dxfId="1961" priority="390">
      <formula>SelectRace="Halfling"</formula>
    </cfRule>
    <cfRule type="expression" dxfId="1960" priority="391">
      <formula>SelectRace="Elfe"</formula>
    </cfRule>
    <cfRule type="expression" dxfId="1959" priority="392">
      <formula>SelectRace="Créature du chaos"</formula>
    </cfRule>
    <cfRule type="expression" dxfId="1958" priority="393">
      <formula>SelectRace="Nain"</formula>
    </cfRule>
    <cfRule type="expression" dxfId="1957" priority="394">
      <formula>SelectRace=“Humain“</formula>
    </cfRule>
  </conditionalFormatting>
  <conditionalFormatting sqref="B17:D17 O17:U17">
    <cfRule type="expression" dxfId="1956" priority="375">
      <formula>SelectRace="Vampire"</formula>
    </cfRule>
    <cfRule type="expression" dxfId="1955" priority="376">
      <formula>SelectRace="Skaven"</formula>
    </cfRule>
    <cfRule type="expression" dxfId="1954" priority="377">
      <formula>SelectRace="Peau-Verte"</formula>
    </cfRule>
    <cfRule type="expression" dxfId="1953" priority="378">
      <formula>SelectRace="Homme-lézard"</formula>
    </cfRule>
    <cfRule type="expression" dxfId="1952" priority="379">
      <formula>SelectRace="Homme-bête"</formula>
    </cfRule>
    <cfRule type="expression" dxfId="1951" priority="380">
      <formula>SelectRace="Halfling"</formula>
    </cfRule>
    <cfRule type="expression" dxfId="1950" priority="381">
      <formula>SelectRace="Elfe"</formula>
    </cfRule>
    <cfRule type="expression" dxfId="1949" priority="382">
      <formula>SelectRace="Créature du chaos"</formula>
    </cfRule>
    <cfRule type="expression" dxfId="1948" priority="383">
      <formula>SelectRace="Nain"</formula>
    </cfRule>
    <cfRule type="expression" dxfId="1947" priority="384">
      <formula>SelectRace=“Humain“</formula>
    </cfRule>
  </conditionalFormatting>
  <conditionalFormatting sqref="B9:P9">
    <cfRule type="expression" dxfId="1946" priority="365">
      <formula>SelectRace="Vampire"</formula>
    </cfRule>
    <cfRule type="expression" dxfId="1945" priority="366">
      <formula>SelectRace="Skaven"</formula>
    </cfRule>
    <cfRule type="expression" dxfId="1944" priority="367">
      <formula>SelectRace="Peau-Verte"</formula>
    </cfRule>
    <cfRule type="expression" dxfId="1943" priority="368">
      <formula>SelectRace="Homme-lézard"</formula>
    </cfRule>
    <cfRule type="expression" dxfId="1942" priority="369">
      <formula>SelectRace="Homme-bête"</formula>
    </cfRule>
    <cfRule type="expression" dxfId="1941" priority="370">
      <formula>SelectRace="Halfling"</formula>
    </cfRule>
    <cfRule type="expression" dxfId="1940" priority="371">
      <formula>SelectRace="Elfe"</formula>
    </cfRule>
    <cfRule type="expression" dxfId="1939" priority="372">
      <formula>SelectRace="Créature du chaos"</formula>
    </cfRule>
    <cfRule type="expression" dxfId="1938" priority="373">
      <formula>SelectRace="Nain"</formula>
    </cfRule>
    <cfRule type="expression" dxfId="1937" priority="374">
      <formula>SelectRace=“Humain“</formula>
    </cfRule>
  </conditionalFormatting>
  <conditionalFormatting sqref="Q24:U24">
    <cfRule type="expression" dxfId="1936" priority="355">
      <formula>SelectRace="Vampire"</formula>
    </cfRule>
    <cfRule type="expression" dxfId="1935" priority="356">
      <formula>SelectRace="Skaven"</formula>
    </cfRule>
    <cfRule type="expression" dxfId="1934" priority="357">
      <formula>SelectRace="Peau-Verte"</formula>
    </cfRule>
    <cfRule type="expression" dxfId="1933" priority="358">
      <formula>SelectRace="Homme-lézard"</formula>
    </cfRule>
    <cfRule type="expression" dxfId="1932" priority="359">
      <formula>SelectRace="Homme-bête"</formula>
    </cfRule>
    <cfRule type="expression" dxfId="1931" priority="360">
      <formula>SelectRace="Halfling"</formula>
    </cfRule>
    <cfRule type="expression" dxfId="1930" priority="361">
      <formula>SelectRace="Elfe"</formula>
    </cfRule>
    <cfRule type="expression" dxfId="1929" priority="362">
      <formula>SelectRace="Créature du chaos"</formula>
    </cfRule>
    <cfRule type="expression" dxfId="1928" priority="363">
      <formula>SelectRace="Nain"</formula>
    </cfRule>
    <cfRule type="expression" dxfId="1927" priority="364">
      <formula>SelectRace=“Humain“</formula>
    </cfRule>
  </conditionalFormatting>
  <conditionalFormatting sqref="N32:U32 O33:U33">
    <cfRule type="expression" dxfId="1926" priority="345">
      <formula>SelectRace="Vampire"</formula>
    </cfRule>
    <cfRule type="expression" dxfId="1925" priority="346">
      <formula>SelectRace="Skaven"</formula>
    </cfRule>
    <cfRule type="expression" dxfId="1924" priority="347">
      <formula>SelectRace="Peau-Verte"</formula>
    </cfRule>
    <cfRule type="expression" dxfId="1923" priority="348">
      <formula>SelectRace="Homme-lézard"</formula>
    </cfRule>
    <cfRule type="expression" dxfId="1922" priority="349">
      <formula>SelectRace="Homme-bête"</formula>
    </cfRule>
    <cfRule type="expression" dxfId="1921" priority="350">
      <formula>SelectRace="Halfling"</formula>
    </cfRule>
    <cfRule type="expression" dxfId="1920" priority="351">
      <formula>SelectRace="Elfe"</formula>
    </cfRule>
    <cfRule type="expression" dxfId="1919" priority="352">
      <formula>SelectRace="Créature du chaos"</formula>
    </cfRule>
    <cfRule type="expression" dxfId="1918" priority="353">
      <formula>SelectRace="Nain"</formula>
    </cfRule>
    <cfRule type="expression" dxfId="1917" priority="354">
      <formula>SelectRace=“Humain“</formula>
    </cfRule>
  </conditionalFormatting>
  <conditionalFormatting sqref="N25:O25 N27:O31 O26 O18:O19">
    <cfRule type="expression" dxfId="1916" priority="335">
      <formula>SelectRace="Vampire"</formula>
    </cfRule>
    <cfRule type="expression" dxfId="1915" priority="336">
      <formula>SelectRace="Skaven"</formula>
    </cfRule>
    <cfRule type="expression" dxfId="1914" priority="337">
      <formula>SelectRace="Peau-Verte"</formula>
    </cfRule>
    <cfRule type="expression" dxfId="1913" priority="338">
      <formula>SelectRace="Homme-lézard"</formula>
    </cfRule>
    <cfRule type="expression" dxfId="1912" priority="339">
      <formula>SelectRace="Homme-bête"</formula>
    </cfRule>
    <cfRule type="expression" dxfId="1911" priority="340">
      <formula>SelectRace="Halfling"</formula>
    </cfRule>
    <cfRule type="expression" dxfId="1910" priority="341">
      <formula>SelectRace="Elfe"</formula>
    </cfRule>
    <cfRule type="expression" dxfId="1909" priority="342">
      <formula>SelectRace="Créature du chaos"</formula>
    </cfRule>
    <cfRule type="expression" dxfId="1908" priority="343">
      <formula>SelectRace="Nain"</formula>
    </cfRule>
    <cfRule type="expression" dxfId="1907" priority="344">
      <formula>SelectRace=“Humain“</formula>
    </cfRule>
  </conditionalFormatting>
  <conditionalFormatting sqref="L32">
    <cfRule type="expression" dxfId="1906" priority="315">
      <formula>SelectRace="Vampire"</formula>
    </cfRule>
    <cfRule type="expression" dxfId="1905" priority="316">
      <formula>SelectRace="Skaven"</formula>
    </cfRule>
    <cfRule type="expression" dxfId="1904" priority="317">
      <formula>SelectRace="Peau-Verte"</formula>
    </cfRule>
    <cfRule type="expression" dxfId="1903" priority="318">
      <formula>SelectRace="Homme-lézard"</formula>
    </cfRule>
    <cfRule type="expression" dxfId="1902" priority="319">
      <formula>SelectRace="Homme-bête"</formula>
    </cfRule>
    <cfRule type="expression" dxfId="1901" priority="320">
      <formula>SelectRace="Halfling"</formula>
    </cfRule>
    <cfRule type="expression" dxfId="1900" priority="321">
      <formula>SelectRace="Elfe"</formula>
    </cfRule>
    <cfRule type="expression" dxfId="1899" priority="322">
      <formula>SelectRace="Créature du chaos"</formula>
    </cfRule>
    <cfRule type="expression" dxfId="1898" priority="323">
      <formula>SelectRace="Nain"</formula>
    </cfRule>
    <cfRule type="expression" dxfId="1897" priority="324">
      <formula>SelectRace=“Humain“</formula>
    </cfRule>
  </conditionalFormatting>
  <conditionalFormatting sqref="I32">
    <cfRule type="expression" dxfId="1896" priority="305">
      <formula>SelectRace="Vampire"</formula>
    </cfRule>
    <cfRule type="expression" dxfId="1895" priority="306">
      <formula>SelectRace="Skaven"</formula>
    </cfRule>
    <cfRule type="expression" dxfId="1894" priority="307">
      <formula>SelectRace="Peau-Verte"</formula>
    </cfRule>
    <cfRule type="expression" dxfId="1893" priority="308">
      <formula>SelectRace="Homme-lézard"</formula>
    </cfRule>
    <cfRule type="expression" dxfId="1892" priority="309">
      <formula>SelectRace="Homme-bête"</formula>
    </cfRule>
    <cfRule type="expression" dxfId="1891" priority="310">
      <formula>SelectRace="Halfling"</formula>
    </cfRule>
    <cfRule type="expression" dxfId="1890" priority="311">
      <formula>SelectRace="Elfe"</formula>
    </cfRule>
    <cfRule type="expression" dxfId="1889" priority="312">
      <formula>SelectRace="Créature du chaos"</formula>
    </cfRule>
    <cfRule type="expression" dxfId="1888" priority="313">
      <formula>SelectRace="Nain"</formula>
    </cfRule>
    <cfRule type="expression" dxfId="1887" priority="314">
      <formula>SelectRace=“Humain“</formula>
    </cfRule>
  </conditionalFormatting>
  <conditionalFormatting sqref="F18:N18 J19:N19">
    <cfRule type="expression" dxfId="1886" priority="295">
      <formula>SelectRace="Vampire"</formula>
    </cfRule>
    <cfRule type="expression" dxfId="1885" priority="296">
      <formula>SelectRace="Skaven"</formula>
    </cfRule>
    <cfRule type="expression" dxfId="1884" priority="297">
      <formula>SelectRace="Peau-Verte"</formula>
    </cfRule>
    <cfRule type="expression" dxfId="1883" priority="298">
      <formula>SelectRace="Homme-lézard"</formula>
    </cfRule>
    <cfRule type="expression" dxfId="1882" priority="299">
      <formula>SelectRace="Homme-bête"</formula>
    </cfRule>
    <cfRule type="expression" dxfId="1881" priority="300">
      <formula>SelectRace="Halfling"</formula>
    </cfRule>
    <cfRule type="expression" dxfId="1880" priority="301">
      <formula>SelectRace="Elfe"</formula>
    </cfRule>
    <cfRule type="expression" dxfId="1879" priority="302">
      <formula>SelectRace="Créature du chaos"</formula>
    </cfRule>
    <cfRule type="expression" dxfId="1878" priority="303">
      <formula>SelectRace="Nain"</formula>
    </cfRule>
    <cfRule type="expression" dxfId="1877" priority="304">
      <formula>SelectRace=“Humain“</formula>
    </cfRule>
  </conditionalFormatting>
  <conditionalFormatting sqref="B19:E19">
    <cfRule type="expression" dxfId="1876" priority="285">
      <formula>SelectRace="Vampire"</formula>
    </cfRule>
    <cfRule type="expression" dxfId="1875" priority="286">
      <formula>SelectRace="Skaven"</formula>
    </cfRule>
    <cfRule type="expression" dxfId="1874" priority="287">
      <formula>SelectRace="Peau-Verte"</formula>
    </cfRule>
    <cfRule type="expression" dxfId="1873" priority="288">
      <formula>SelectRace="Homme-lézard"</formula>
    </cfRule>
    <cfRule type="expression" dxfId="1872" priority="289">
      <formula>SelectRace="Homme-bête"</formula>
    </cfRule>
    <cfRule type="expression" dxfId="1871" priority="290">
      <formula>SelectRace="Halfling"</formula>
    </cfRule>
    <cfRule type="expression" dxfId="1870" priority="291">
      <formula>SelectRace="Elfe"</formula>
    </cfRule>
    <cfRule type="expression" dxfId="1869" priority="292">
      <formula>SelectRace="Créature du chaos"</formula>
    </cfRule>
    <cfRule type="expression" dxfId="1868" priority="293">
      <formula>SelectRace="Nain"</formula>
    </cfRule>
    <cfRule type="expression" dxfId="1867" priority="294">
      <formula>SelectRace=“Humain“</formula>
    </cfRule>
  </conditionalFormatting>
  <conditionalFormatting sqref="B20 D20:E20">
    <cfRule type="expression" dxfId="1866" priority="275">
      <formula>SelectRace="Vampire"</formula>
    </cfRule>
    <cfRule type="expression" dxfId="1865" priority="276">
      <formula>SelectRace="Skaven"</formula>
    </cfRule>
    <cfRule type="expression" dxfId="1864" priority="277">
      <formula>SelectRace="Peau-Verte"</formula>
    </cfRule>
    <cfRule type="expression" dxfId="1863" priority="278">
      <formula>SelectRace="Homme-lézard"</formula>
    </cfRule>
    <cfRule type="expression" dxfId="1862" priority="279">
      <formula>SelectRace="Homme-bête"</formula>
    </cfRule>
    <cfRule type="expression" dxfId="1861" priority="280">
      <formula>SelectRace="Halfling"</formula>
    </cfRule>
    <cfRule type="expression" dxfId="1860" priority="281">
      <formula>SelectRace="Elfe"</formula>
    </cfRule>
    <cfRule type="expression" dxfId="1859" priority="282">
      <formula>SelectRace="Créature du chaos"</formula>
    </cfRule>
    <cfRule type="expression" dxfId="1858" priority="283">
      <formula>SelectRace="Nain"</formula>
    </cfRule>
    <cfRule type="expression" dxfId="1857" priority="284">
      <formula>SelectRace=“Humain“</formula>
    </cfRule>
  </conditionalFormatting>
  <conditionalFormatting sqref="M32">
    <cfRule type="expression" dxfId="1856" priority="265">
      <formula>SelectRace="Vampire"</formula>
    </cfRule>
    <cfRule type="expression" dxfId="1855" priority="266">
      <formula>SelectRace="Skaven"</formula>
    </cfRule>
    <cfRule type="expression" dxfId="1854" priority="267">
      <formula>SelectRace="Peau-Verte"</formula>
    </cfRule>
    <cfRule type="expression" dxfId="1853" priority="268">
      <formula>SelectRace="Homme-lézard"</formula>
    </cfRule>
    <cfRule type="expression" dxfId="1852" priority="269">
      <formula>SelectRace="Homme-bête"</formula>
    </cfRule>
    <cfRule type="expression" dxfId="1851" priority="270">
      <formula>SelectRace="Halfling"</formula>
    </cfRule>
    <cfRule type="expression" dxfId="1850" priority="271">
      <formula>SelectRace="Elfe"</formula>
    </cfRule>
    <cfRule type="expression" dxfId="1849" priority="272">
      <formula>SelectRace="Créature du chaos"</formula>
    </cfRule>
    <cfRule type="expression" dxfId="1848" priority="273">
      <formula>SelectRace="Nain"</formula>
    </cfRule>
    <cfRule type="expression" dxfId="1847" priority="274">
      <formula>SelectRace=“Humain“</formula>
    </cfRule>
  </conditionalFormatting>
  <conditionalFormatting sqref="H32">
    <cfRule type="expression" dxfId="1846" priority="255">
      <formula>SelectRace="Vampire"</formula>
    </cfRule>
    <cfRule type="expression" dxfId="1845" priority="256">
      <formula>SelectRace="Skaven"</formula>
    </cfRule>
    <cfRule type="expression" dxfId="1844" priority="257">
      <formula>SelectRace="Peau-Verte"</formula>
    </cfRule>
    <cfRule type="expression" dxfId="1843" priority="258">
      <formula>SelectRace="Homme-lézard"</formula>
    </cfRule>
    <cfRule type="expression" dxfId="1842" priority="259">
      <formula>SelectRace="Homme-bête"</formula>
    </cfRule>
    <cfRule type="expression" dxfId="1841" priority="260">
      <formula>SelectRace="Halfling"</formula>
    </cfRule>
    <cfRule type="expression" dxfId="1840" priority="261">
      <formula>SelectRace="Elfe"</formula>
    </cfRule>
    <cfRule type="expression" dxfId="1839" priority="262">
      <formula>SelectRace="Créature du chaos"</formula>
    </cfRule>
    <cfRule type="expression" dxfId="1838" priority="263">
      <formula>SelectRace="Nain"</formula>
    </cfRule>
    <cfRule type="expression" dxfId="1837" priority="264">
      <formula>SelectRace=“Humain“</formula>
    </cfRule>
  </conditionalFormatting>
  <conditionalFormatting sqref="D26:E26 I26:N26">
    <cfRule type="expression" dxfId="1836" priority="245">
      <formula>SelectRace="Vampire"</formula>
    </cfRule>
    <cfRule type="expression" dxfId="1835" priority="246">
      <formula>SelectRace="Skaven"</formula>
    </cfRule>
    <cfRule type="expression" dxfId="1834" priority="247">
      <formula>SelectRace="Peau-Verte"</formula>
    </cfRule>
    <cfRule type="expression" dxfId="1833" priority="248">
      <formula>SelectRace="Homme-lézard"</formula>
    </cfRule>
    <cfRule type="expression" dxfId="1832" priority="249">
      <formula>SelectRace="Homme-bête"</formula>
    </cfRule>
    <cfRule type="expression" dxfId="1831" priority="250">
      <formula>SelectRace="Halfling"</formula>
    </cfRule>
    <cfRule type="expression" dxfId="1830" priority="251">
      <formula>SelectRace="Elfe"</formula>
    </cfRule>
    <cfRule type="expression" dxfId="1829" priority="252">
      <formula>SelectRace="Créature du chaos"</formula>
    </cfRule>
    <cfRule type="expression" dxfId="1828" priority="253">
      <formula>SelectRace="Nain"</formula>
    </cfRule>
    <cfRule type="expression" dxfId="1827" priority="254">
      <formula>SelectRace=“Humain“</formula>
    </cfRule>
  </conditionalFormatting>
  <conditionalFormatting sqref="C20:C24 C26:C30">
    <cfRule type="expression" dxfId="1826" priority="235">
      <formula>SelectRace="Vampire"</formula>
    </cfRule>
    <cfRule type="expression" dxfId="1825" priority="236">
      <formula>SelectRace="Skaven"</formula>
    </cfRule>
    <cfRule type="expression" dxfId="1824" priority="237">
      <formula>SelectRace="Peau-Verte"</formula>
    </cfRule>
    <cfRule type="expression" dxfId="1823" priority="238">
      <formula>SelectRace="Homme-lézard"</formula>
    </cfRule>
    <cfRule type="expression" dxfId="1822" priority="239">
      <formula>SelectRace="Homme-bête"</formula>
    </cfRule>
    <cfRule type="expression" dxfId="1821" priority="240">
      <formula>SelectRace="Halfling"</formula>
    </cfRule>
    <cfRule type="expression" dxfId="1820" priority="241">
      <formula>SelectRace="Elfe"</formula>
    </cfRule>
    <cfRule type="expression" dxfId="1819" priority="242">
      <formula>SelectRace="Créature du chaos"</formula>
    </cfRule>
    <cfRule type="expression" dxfId="1818" priority="243">
      <formula>SelectRace="Nain"</formula>
    </cfRule>
    <cfRule type="expression" dxfId="1817" priority="244">
      <formula>SelectRace=“Humain“</formula>
    </cfRule>
  </conditionalFormatting>
  <conditionalFormatting sqref="B31:C32">
    <cfRule type="expression" dxfId="1816" priority="225">
      <formula>SelectRace="Vampire"</formula>
    </cfRule>
    <cfRule type="expression" dxfId="1815" priority="226">
      <formula>SelectRace="Skaven"</formula>
    </cfRule>
    <cfRule type="expression" dxfId="1814" priority="227">
      <formula>SelectRace="Peau-Verte"</formula>
    </cfRule>
    <cfRule type="expression" dxfId="1813" priority="228">
      <formula>SelectRace="Homme-lézard"</formula>
    </cfRule>
    <cfRule type="expression" dxfId="1812" priority="229">
      <formula>SelectRace="Homme-bête"</formula>
    </cfRule>
    <cfRule type="expression" dxfId="1811" priority="230">
      <formula>SelectRace="Halfling"</formula>
    </cfRule>
    <cfRule type="expression" dxfId="1810" priority="231">
      <formula>SelectRace="Elfe"</formula>
    </cfRule>
    <cfRule type="expression" dxfId="1809" priority="232">
      <formula>SelectRace="Créature du chaos"</formula>
    </cfRule>
    <cfRule type="expression" dxfId="1808" priority="233">
      <formula>SelectRace="Nain"</formula>
    </cfRule>
    <cfRule type="expression" dxfId="1807" priority="234">
      <formula>SelectRace=“Humain“</formula>
    </cfRule>
  </conditionalFormatting>
  <conditionalFormatting sqref="E27">
    <cfRule type="expression" dxfId="1806" priority="215">
      <formula>SelectRace="Vampire"</formula>
    </cfRule>
    <cfRule type="expression" dxfId="1805" priority="216">
      <formula>SelectRace="Skaven"</formula>
    </cfRule>
    <cfRule type="expression" dxfId="1804" priority="217">
      <formula>SelectRace="Peau-Verte"</formula>
    </cfRule>
    <cfRule type="expression" dxfId="1803" priority="218">
      <formula>SelectRace="Homme-lézard"</formula>
    </cfRule>
    <cfRule type="expression" dxfId="1802" priority="219">
      <formula>SelectRace="Homme-bête"</formula>
    </cfRule>
    <cfRule type="expression" dxfId="1801" priority="220">
      <formula>SelectRace="Halfling"</formula>
    </cfRule>
    <cfRule type="expression" dxfId="1800" priority="221">
      <formula>SelectRace="Elfe"</formula>
    </cfRule>
    <cfRule type="expression" dxfId="1799" priority="222">
      <formula>SelectRace="Créature du chaos"</formula>
    </cfRule>
    <cfRule type="expression" dxfId="1798" priority="223">
      <formula>SelectRace="Nain"</formula>
    </cfRule>
    <cfRule type="expression" dxfId="1797" priority="224">
      <formula>SelectRace=“Humain“</formula>
    </cfRule>
  </conditionalFormatting>
  <conditionalFormatting sqref="D27">
    <cfRule type="expression" dxfId="1796" priority="205">
      <formula>SelectRace="Vampire"</formula>
    </cfRule>
    <cfRule type="expression" dxfId="1795" priority="206">
      <formula>SelectRace="Skaven"</formula>
    </cfRule>
    <cfRule type="expression" dxfId="1794" priority="207">
      <formula>SelectRace="Peau-Verte"</formula>
    </cfRule>
    <cfRule type="expression" dxfId="1793" priority="208">
      <formula>SelectRace="Homme-lézard"</formula>
    </cfRule>
    <cfRule type="expression" dxfId="1792" priority="209">
      <formula>SelectRace="Homme-bête"</formula>
    </cfRule>
    <cfRule type="expression" dxfId="1791" priority="210">
      <formula>SelectRace="Halfling"</formula>
    </cfRule>
    <cfRule type="expression" dxfId="1790" priority="211">
      <formula>SelectRace="Elfe"</formula>
    </cfRule>
    <cfRule type="expression" dxfId="1789" priority="212">
      <formula>SelectRace="Créature du chaos"</formula>
    </cfRule>
    <cfRule type="expression" dxfId="1788" priority="213">
      <formula>SelectRace="Nain"</formula>
    </cfRule>
    <cfRule type="expression" dxfId="1787" priority="214">
      <formula>SelectRace=“Humain“</formula>
    </cfRule>
  </conditionalFormatting>
  <conditionalFormatting sqref="B25:C25">
    <cfRule type="expression" dxfId="1786" priority="195">
      <formula>SelectRace="Vampire"</formula>
    </cfRule>
    <cfRule type="expression" dxfId="1785" priority="196">
      <formula>SelectRace="Skaven"</formula>
    </cfRule>
    <cfRule type="expression" dxfId="1784" priority="197">
      <formula>SelectRace="Peau-Verte"</formula>
    </cfRule>
    <cfRule type="expression" dxfId="1783" priority="198">
      <formula>SelectRace="Homme-lézard"</formula>
    </cfRule>
    <cfRule type="expression" dxfId="1782" priority="199">
      <formula>SelectRace="Homme-bête"</formula>
    </cfRule>
    <cfRule type="expression" dxfId="1781" priority="200">
      <formula>SelectRace="Halfling"</formula>
    </cfRule>
    <cfRule type="expression" dxfId="1780" priority="201">
      <formula>SelectRace="Elfe"</formula>
    </cfRule>
    <cfRule type="expression" dxfId="1779" priority="202">
      <formula>SelectRace="Créature du chaos"</formula>
    </cfRule>
    <cfRule type="expression" dxfId="1778" priority="203">
      <formula>SelectRace="Nain"</formula>
    </cfRule>
    <cfRule type="expression" dxfId="1777" priority="204">
      <formula>SelectRace=“Humain“</formula>
    </cfRule>
  </conditionalFormatting>
  <conditionalFormatting sqref="AC39:AC53 AC56:AC57">
    <cfRule type="expression" dxfId="1776" priority="165">
      <formula>SelectRace="Vampire"</formula>
    </cfRule>
    <cfRule type="expression" dxfId="1775" priority="166">
      <formula>SelectRace="Skaven"</formula>
    </cfRule>
    <cfRule type="expression" dxfId="1774" priority="167">
      <formula>SelectRace="Peau-Verte"</formula>
    </cfRule>
    <cfRule type="expression" dxfId="1773" priority="168">
      <formula>SelectRace="Homme-lézard"</formula>
    </cfRule>
    <cfRule type="expression" dxfId="1772" priority="169">
      <formula>SelectRace="Homme-bête"</formula>
    </cfRule>
    <cfRule type="expression" dxfId="1771" priority="170">
      <formula>SelectRace="Halfling"</formula>
    </cfRule>
    <cfRule type="expression" dxfId="1770" priority="171">
      <formula>SelectRace="Elfe"</formula>
    </cfRule>
    <cfRule type="expression" dxfId="1769" priority="172">
      <formula>SelectRace="Créature du chaos"</formula>
    </cfRule>
    <cfRule type="expression" dxfId="1768" priority="173">
      <formula>SelectRace="Nain"</formula>
    </cfRule>
    <cfRule type="expression" dxfId="1767" priority="174">
      <formula>SelectRace=“Humain“</formula>
    </cfRule>
  </conditionalFormatting>
  <conditionalFormatting sqref="D55:AC55 D54:I54 M54:AC54">
    <cfRule type="expression" dxfId="1766" priority="155">
      <formula>SelectRace="Vampire"</formula>
    </cfRule>
    <cfRule type="expression" dxfId="1765" priority="156">
      <formula>SelectRace="Skaven"</formula>
    </cfRule>
    <cfRule type="expression" dxfId="1764" priority="157">
      <formula>SelectRace="Peau-Verte"</formula>
    </cfRule>
    <cfRule type="expression" dxfId="1763" priority="158">
      <formula>SelectRace="Homme-lézard"</formula>
    </cfRule>
    <cfRule type="expression" dxfId="1762" priority="159">
      <formula>SelectRace="Homme-bête"</formula>
    </cfRule>
    <cfRule type="expression" dxfId="1761" priority="160">
      <formula>SelectRace="Halfling"</formula>
    </cfRule>
    <cfRule type="expression" dxfId="1760" priority="161">
      <formula>SelectRace="Elfe"</formula>
    </cfRule>
    <cfRule type="expression" dxfId="1759" priority="162">
      <formula>SelectRace="Créature du chaos"</formula>
    </cfRule>
    <cfRule type="expression" dxfId="1758" priority="163">
      <formula>SelectRace="Nain"</formula>
    </cfRule>
    <cfRule type="expression" dxfId="1757" priority="164">
      <formula>SelectRace=“Humain“</formula>
    </cfRule>
  </conditionalFormatting>
  <conditionalFormatting sqref="B54:C54">
    <cfRule type="expression" dxfId="1756" priority="145">
      <formula>SelectRace="Vampire"</formula>
    </cfRule>
    <cfRule type="expression" dxfId="1755" priority="146">
      <formula>SelectRace="Skaven"</formula>
    </cfRule>
    <cfRule type="expression" dxfId="1754" priority="147">
      <formula>SelectRace="Peau-Verte"</formula>
    </cfRule>
    <cfRule type="expression" dxfId="1753" priority="148">
      <formula>SelectRace="Homme-lézard"</formula>
    </cfRule>
    <cfRule type="expression" dxfId="1752" priority="149">
      <formula>SelectRace="Homme-bête"</formula>
    </cfRule>
    <cfRule type="expression" dxfId="1751" priority="150">
      <formula>SelectRace="Halfling"</formula>
    </cfRule>
    <cfRule type="expression" dxfId="1750" priority="151">
      <formula>SelectRace="Elfe"</formula>
    </cfRule>
    <cfRule type="expression" dxfId="1749" priority="152">
      <formula>SelectRace="Créature du chaos"</formula>
    </cfRule>
    <cfRule type="expression" dxfId="1748" priority="153">
      <formula>SelectRace="Nain"</formula>
    </cfRule>
    <cfRule type="expression" dxfId="1747" priority="154">
      <formula>SelectRace=“Humain“</formula>
    </cfRule>
  </conditionalFormatting>
  <conditionalFormatting sqref="A58:AC58">
    <cfRule type="expression" dxfId="1746" priority="135">
      <formula>SelectRace="Vampire"</formula>
    </cfRule>
    <cfRule type="expression" dxfId="1745" priority="136">
      <formula>SelectRace="Skaven"</formula>
    </cfRule>
    <cfRule type="expression" dxfId="1744" priority="137">
      <formula>SelectRace="Peau-Verte"</formula>
    </cfRule>
    <cfRule type="expression" dxfId="1743" priority="138">
      <formula>SelectRace="Homme-lézard"</formula>
    </cfRule>
    <cfRule type="expression" dxfId="1742" priority="139">
      <formula>SelectRace="Homme-bête"</formula>
    </cfRule>
    <cfRule type="expression" dxfId="1741" priority="140">
      <formula>SelectRace="Halfling"</formula>
    </cfRule>
    <cfRule type="expression" dxfId="1740" priority="141">
      <formula>SelectRace="Elfe"</formula>
    </cfRule>
    <cfRule type="expression" dxfId="1739" priority="142">
      <formula>SelectRace="Créature du chaos"</formula>
    </cfRule>
    <cfRule type="expression" dxfId="1738" priority="143">
      <formula>SelectRace="Nain"</formula>
    </cfRule>
    <cfRule type="expression" dxfId="1737" priority="144">
      <formula>SelectRace=“Humain“</formula>
    </cfRule>
  </conditionalFormatting>
  <conditionalFormatting sqref="A1:A57">
    <cfRule type="expression" dxfId="1736" priority="125">
      <formula>SelectRace="Vampire"</formula>
    </cfRule>
    <cfRule type="expression" dxfId="1735" priority="126">
      <formula>SelectRace="Skaven"</formula>
    </cfRule>
    <cfRule type="expression" dxfId="1734" priority="127">
      <formula>SelectRace="Peau-Verte"</formula>
    </cfRule>
    <cfRule type="expression" dxfId="1733" priority="128">
      <formula>SelectRace="Homme-lézard"</formula>
    </cfRule>
    <cfRule type="expression" dxfId="1732" priority="129">
      <formula>SelectRace="Homme-bête"</formula>
    </cfRule>
    <cfRule type="expression" dxfId="1731" priority="130">
      <formula>SelectRace="Halfling"</formula>
    </cfRule>
    <cfRule type="expression" dxfId="1730" priority="131">
      <formula>SelectRace="Elfe"</formula>
    </cfRule>
    <cfRule type="expression" dxfId="1729" priority="132">
      <formula>SelectRace="Créature du chaos"</formula>
    </cfRule>
    <cfRule type="expression" dxfId="1728" priority="133">
      <formula>SelectRace="Nain"</formula>
    </cfRule>
    <cfRule type="expression" dxfId="1727" priority="134">
      <formula>SelectRace=“Humain“</formula>
    </cfRule>
  </conditionalFormatting>
  <conditionalFormatting sqref="D2:P2">
    <cfRule type="expression" dxfId="1726" priority="115">
      <formula>SelectRace="Vampire"</formula>
    </cfRule>
    <cfRule type="expression" dxfId="1725" priority="116">
      <formula>SelectRace="Skaven"</formula>
    </cfRule>
    <cfRule type="expression" dxfId="1724" priority="117">
      <formula>SelectRace="Peau-Verte"</formula>
    </cfRule>
    <cfRule type="expression" dxfId="1723" priority="118">
      <formula>SelectRace="Homme-lézard"</formula>
    </cfRule>
    <cfRule type="expression" dxfId="1722" priority="119">
      <formula>SelectRace="Homme-bête"</formula>
    </cfRule>
    <cfRule type="expression" dxfId="1721" priority="120">
      <formula>SelectRace="Halfling"</formula>
    </cfRule>
    <cfRule type="expression" dxfId="1720" priority="121">
      <formula>SelectRace="Elfe"</formula>
    </cfRule>
    <cfRule type="expression" dxfId="1719" priority="122">
      <formula>SelectRace="Créature du chaos"</formula>
    </cfRule>
    <cfRule type="expression" dxfId="1718" priority="123">
      <formula>SelectRace="Nain"</formula>
    </cfRule>
    <cfRule type="expression" dxfId="1717" priority="124">
      <formula>SelectRace=“Humain“</formula>
    </cfRule>
  </conditionalFormatting>
  <conditionalFormatting sqref="D42:U42 D41:I41 M41:U41">
    <cfRule type="expression" dxfId="1716" priority="105">
      <formula>SelectRace="Vampire"</formula>
    </cfRule>
    <cfRule type="expression" dxfId="1715" priority="106">
      <formula>SelectRace="Skaven"</formula>
    </cfRule>
    <cfRule type="expression" dxfId="1714" priority="107">
      <formula>SelectRace="Peau-Verte"</formula>
    </cfRule>
    <cfRule type="expression" dxfId="1713" priority="108">
      <formula>SelectRace="Homme-lézard"</formula>
    </cfRule>
    <cfRule type="expression" dxfId="1712" priority="109">
      <formula>SelectRace="Homme-bête"</formula>
    </cfRule>
    <cfRule type="expression" dxfId="1711" priority="110">
      <formula>SelectRace="Halfling"</formula>
    </cfRule>
    <cfRule type="expression" dxfId="1710" priority="111">
      <formula>SelectRace="Elfe"</formula>
    </cfRule>
    <cfRule type="expression" dxfId="1709" priority="112">
      <formula>SelectRace="Créature du chaos"</formula>
    </cfRule>
    <cfRule type="expression" dxfId="1708" priority="113">
      <formula>SelectRace="Nain"</formula>
    </cfRule>
    <cfRule type="expression" dxfId="1707" priority="114">
      <formula>SelectRace=“Humain“</formula>
    </cfRule>
  </conditionalFormatting>
  <conditionalFormatting sqref="B41">
    <cfRule type="expression" dxfId="1706" priority="95">
      <formula>SelectRace="Vampire"</formula>
    </cfRule>
    <cfRule type="expression" dxfId="1705" priority="96">
      <formula>SelectRace="Skaven"</formula>
    </cfRule>
    <cfRule type="expression" dxfId="1704" priority="97">
      <formula>SelectRace="Peau-Verte"</formula>
    </cfRule>
    <cfRule type="expression" dxfId="1703" priority="98">
      <formula>SelectRace="Homme-lézard"</formula>
    </cfRule>
    <cfRule type="expression" dxfId="1702" priority="99">
      <formula>SelectRace="Homme-bête"</formula>
    </cfRule>
    <cfRule type="expression" dxfId="1701" priority="100">
      <formula>SelectRace="Halfling"</formula>
    </cfRule>
    <cfRule type="expression" dxfId="1700" priority="101">
      <formula>SelectRace="Elfe"</formula>
    </cfRule>
    <cfRule type="expression" dxfId="1699" priority="102">
      <formula>SelectRace="Créature du chaos"</formula>
    </cfRule>
    <cfRule type="expression" dxfId="1698" priority="103">
      <formula>SelectRace="Nain"</formula>
    </cfRule>
    <cfRule type="expression" dxfId="1697" priority="104">
      <formula>SelectRace=“Humain“</formula>
    </cfRule>
  </conditionalFormatting>
  <conditionalFormatting sqref="C41">
    <cfRule type="expression" dxfId="1696" priority="85">
      <formula>SelectRace="Vampire"</formula>
    </cfRule>
    <cfRule type="expression" dxfId="1695" priority="86">
      <formula>SelectRace="Skaven"</formula>
    </cfRule>
    <cfRule type="expression" dxfId="1694" priority="87">
      <formula>SelectRace="Peau-Verte"</formula>
    </cfRule>
    <cfRule type="expression" dxfId="1693" priority="88">
      <formula>SelectRace="Homme-lézard"</formula>
    </cfRule>
    <cfRule type="expression" dxfId="1692" priority="89">
      <formula>SelectRace="Homme-bête"</formula>
    </cfRule>
    <cfRule type="expression" dxfId="1691" priority="90">
      <formula>SelectRace="Halfling"</formula>
    </cfRule>
    <cfRule type="expression" dxfId="1690" priority="91">
      <formula>SelectRace="Elfe"</formula>
    </cfRule>
    <cfRule type="expression" dxfId="1689" priority="92">
      <formula>SelectRace="Créature du chaos"</formula>
    </cfRule>
    <cfRule type="expression" dxfId="1688" priority="93">
      <formula>SelectRace="Nain"</formula>
    </cfRule>
    <cfRule type="expression" dxfId="1687" priority="94">
      <formula>SelectRace=“Humain“</formula>
    </cfRule>
  </conditionalFormatting>
  <conditionalFormatting sqref="V7:AB7">
    <cfRule type="expression" dxfId="1686" priority="75">
      <formula>SelectRace="Vampire"</formula>
    </cfRule>
    <cfRule type="expression" dxfId="1685" priority="76">
      <formula>SelectRace="Skaven"</formula>
    </cfRule>
    <cfRule type="expression" dxfId="1684" priority="77">
      <formula>SelectRace="Peau-Verte"</formula>
    </cfRule>
    <cfRule type="expression" dxfId="1683" priority="78">
      <formula>SelectRace="Homme-lézard"</formula>
    </cfRule>
    <cfRule type="expression" dxfId="1682" priority="79">
      <formula>SelectRace="Homme-bête"</formula>
    </cfRule>
    <cfRule type="expression" dxfId="1681" priority="80">
      <formula>SelectRace="Halfling"</formula>
    </cfRule>
    <cfRule type="expression" dxfId="1680" priority="81">
      <formula>SelectRace="Elfe"</formula>
    </cfRule>
    <cfRule type="expression" dxfId="1679" priority="82">
      <formula>SelectRace="Créature du chaos"</formula>
    </cfRule>
    <cfRule type="expression" dxfId="1678" priority="83">
      <formula>SelectRace="Nain"</formula>
    </cfRule>
    <cfRule type="expression" dxfId="1677" priority="84">
      <formula>SelectRace=“Humain“</formula>
    </cfRule>
  </conditionalFormatting>
  <conditionalFormatting sqref="I19">
    <cfRule type="expression" dxfId="1676" priority="65">
      <formula>SelectRace="Vampire"</formula>
    </cfRule>
    <cfRule type="expression" dxfId="1675" priority="66">
      <formula>SelectRace="Skaven"</formula>
    </cfRule>
    <cfRule type="expression" dxfId="1674" priority="67">
      <formula>SelectRace="Peau-Verte"</formula>
    </cfRule>
    <cfRule type="expression" dxfId="1673" priority="68">
      <formula>SelectRace="Homme-lézard"</formula>
    </cfRule>
    <cfRule type="expression" dxfId="1672" priority="69">
      <formula>SelectRace="Homme-bête"</formula>
    </cfRule>
    <cfRule type="expression" dxfId="1671" priority="70">
      <formula>SelectRace="Halfling"</formula>
    </cfRule>
    <cfRule type="expression" dxfId="1670" priority="71">
      <formula>SelectRace="Elfe"</formula>
    </cfRule>
    <cfRule type="expression" dxfId="1669" priority="72">
      <formula>SelectRace="Créature du chaos"</formula>
    </cfRule>
    <cfRule type="expression" dxfId="1668" priority="73">
      <formula>SelectRace="Nain"</formula>
    </cfRule>
    <cfRule type="expression" dxfId="1667" priority="74">
      <formula>SelectRace=“Humain“</formula>
    </cfRule>
  </conditionalFormatting>
  <conditionalFormatting sqref="Y21">
    <cfRule type="expression" dxfId="1666" priority="55">
      <formula>SelectRace="Vampire"</formula>
    </cfRule>
    <cfRule type="expression" dxfId="1665" priority="56">
      <formula>SelectRace="Skaven"</formula>
    </cfRule>
    <cfRule type="expression" dxfId="1664" priority="57">
      <formula>SelectRace="Peau-Verte"</formula>
    </cfRule>
    <cfRule type="expression" dxfId="1663" priority="58">
      <formula>SelectRace="Homme-lézard"</formula>
    </cfRule>
    <cfRule type="expression" dxfId="1662" priority="59">
      <formula>SelectRace="Homme-bête"</formula>
    </cfRule>
    <cfRule type="expression" dxfId="1661" priority="60">
      <formula>SelectRace="Halfling"</formula>
    </cfRule>
    <cfRule type="expression" dxfId="1660" priority="61">
      <formula>SelectRace="Elfe"</formula>
    </cfRule>
    <cfRule type="expression" dxfId="1659" priority="62">
      <formula>SelectRace="Créature du chaos"</formula>
    </cfRule>
    <cfRule type="expression" dxfId="1658" priority="63">
      <formula>SelectRace="Nain"</formula>
    </cfRule>
    <cfRule type="expression" dxfId="1657" priority="64">
      <formula>SelectRace=“Humain“</formula>
    </cfRule>
  </conditionalFormatting>
  <conditionalFormatting sqref="E17:N17">
    <cfRule type="expression" dxfId="1656" priority="45">
      <formula>SelectRace="Vampire"</formula>
    </cfRule>
    <cfRule type="expression" dxfId="1655" priority="46">
      <formula>SelectRace="Skaven"</formula>
    </cfRule>
    <cfRule type="expression" dxfId="1654" priority="47">
      <formula>SelectRace="Peau-Verte"</formula>
    </cfRule>
    <cfRule type="expression" dxfId="1653" priority="48">
      <formula>SelectRace="Homme-lézard"</formula>
    </cfRule>
    <cfRule type="expression" dxfId="1652" priority="49">
      <formula>SelectRace="Homme-bête"</formula>
    </cfRule>
    <cfRule type="expression" dxfId="1651" priority="50">
      <formula>SelectRace="Halfling"</formula>
    </cfRule>
    <cfRule type="expression" dxfId="1650" priority="51">
      <formula>SelectRace="Elfe"</formula>
    </cfRule>
    <cfRule type="expression" dxfId="1649" priority="52">
      <formula>SelectRace="Créature du chaos"</formula>
    </cfRule>
    <cfRule type="expression" dxfId="1648" priority="53">
      <formula>SelectRace="Nain"</formula>
    </cfRule>
    <cfRule type="expression" dxfId="1647" priority="54">
      <formula>SelectRace=“Humain“</formula>
    </cfRule>
  </conditionalFormatting>
  <conditionalFormatting sqref="F22:M22">
    <cfRule type="cellIs" dxfId="1646" priority="42" operator="equal">
      <formula>0</formula>
    </cfRule>
  </conditionalFormatting>
  <conditionalFormatting sqref="K6:O6">
    <cfRule type="cellIs" dxfId="1645" priority="41" operator="equal">
      <formula>""</formula>
    </cfRule>
  </conditionalFormatting>
  <conditionalFormatting sqref="X30">
    <cfRule type="expression" dxfId="1644" priority="31">
      <formula>SelectRace="Vampire"</formula>
    </cfRule>
    <cfRule type="expression" dxfId="1643" priority="32">
      <formula>SelectRace="Skaven"</formula>
    </cfRule>
    <cfRule type="expression" dxfId="1642" priority="33">
      <formula>SelectRace="Peau-Verte"</formula>
    </cfRule>
    <cfRule type="expression" dxfId="1641" priority="34">
      <formula>SelectRace="Homme-lézard"</formula>
    </cfRule>
    <cfRule type="expression" dxfId="1640" priority="35">
      <formula>SelectRace="Homme-bête"</formula>
    </cfRule>
    <cfRule type="expression" dxfId="1639" priority="36">
      <formula>SelectRace="Halfling"</formula>
    </cfRule>
    <cfRule type="expression" dxfId="1638" priority="37">
      <formula>SelectRace="Elfe"</formula>
    </cfRule>
    <cfRule type="expression" dxfId="1637" priority="38">
      <formula>SelectRace="Créature du chaos"</formula>
    </cfRule>
    <cfRule type="expression" dxfId="1636" priority="39">
      <formula>SelectRace="Nain"</formula>
    </cfRule>
    <cfRule type="expression" dxfId="1635" priority="40">
      <formula>SelectRace=“Humain“</formula>
    </cfRule>
  </conditionalFormatting>
  <conditionalFormatting sqref="P20:P24">
    <cfRule type="expression" dxfId="1634" priority="11">
      <formula>SelectRace="Vampire"</formula>
    </cfRule>
    <cfRule type="expression" dxfId="1633" priority="12">
      <formula>SelectRace="Skaven"</formula>
    </cfRule>
    <cfRule type="expression" dxfId="1632" priority="13">
      <formula>SelectRace="Peau-Verte"</formula>
    </cfRule>
    <cfRule type="expression" dxfId="1631" priority="14">
      <formula>SelectRace="Homme-lézard"</formula>
    </cfRule>
    <cfRule type="expression" dxfId="1630" priority="15">
      <formula>SelectRace="Homme-bête"</formula>
    </cfRule>
    <cfRule type="expression" dxfId="1629" priority="16">
      <formula>SelectRace="Halfling"</formula>
    </cfRule>
    <cfRule type="expression" dxfId="1628" priority="17">
      <formula>SelectRace="Elfe"</formula>
    </cfRule>
    <cfRule type="expression" dxfId="1627" priority="18">
      <formula>SelectRace="Créature du chaos"</formula>
    </cfRule>
    <cfRule type="expression" dxfId="1626" priority="19">
      <formula>SelectRace="Nain"</formula>
    </cfRule>
    <cfRule type="expression" dxfId="1625" priority="20">
      <formula>SelectRace=“Humain“</formula>
    </cfRule>
  </conditionalFormatting>
  <conditionalFormatting sqref="U2:AB6">
    <cfRule type="expression" dxfId="1624" priority="1">
      <formula>SelectRace="Vampire"</formula>
    </cfRule>
    <cfRule type="expression" dxfId="1623" priority="2">
      <formula>SelectRace="Skaven"</formula>
    </cfRule>
    <cfRule type="expression" dxfId="1622" priority="3">
      <formula>SelectRace="Peau-Verte"</formula>
    </cfRule>
    <cfRule type="expression" dxfId="1621" priority="4">
      <formula>SelectRace="Homme-lézard"</formula>
    </cfRule>
    <cfRule type="expression" dxfId="1620" priority="5">
      <formula>SelectRace="Homme-bête"</formula>
    </cfRule>
    <cfRule type="expression" dxfId="1619" priority="6">
      <formula>SelectRace="Halfling"</formula>
    </cfRule>
    <cfRule type="expression" dxfId="1618" priority="7">
      <formula>SelectRace="Elfe"</formula>
    </cfRule>
    <cfRule type="expression" dxfId="1617" priority="8">
      <formula>SelectRace="Créature du chaos"</formula>
    </cfRule>
    <cfRule type="expression" dxfId="1616" priority="9">
      <formula>SelectRace="Nain"</formula>
    </cfRule>
  </conditionalFormatting>
  <dataValidations count="21">
    <dataValidation type="list" allowBlank="1" showInputMessage="1" sqref="C4:H4" xr:uid="{6D3DBAB4-BDD3-4431-A96E-9C1512F286DA}">
      <formula1>race</formula1>
    </dataValidation>
    <dataValidation type="list" allowBlank="1" showInputMessage="1" sqref="E14" xr:uid="{5F3F2DC3-7CAD-4AFA-A3B7-732F8215BF1D}">
      <formula1>signe_astral</formula1>
    </dataValidation>
    <dataValidation type="list" allowBlank="1" showInputMessage="1" sqref="O14" xr:uid="{79E32BBA-FDAD-4CF5-B91F-CE5CA3E2DBBA}">
      <formula1>IF(A4=9,f_skaven,IF(A4=8,f_skaven,IF(A4=2,f_elfe,IF(A4=5,f_elfe,IF(A4=3,f_halfling,IF(A4=6,f_humain,IF(A4=4,f_skaven,IF(A4=1,f_nain,IF(A4=7,f_nain,"")))))))))</formula1>
    </dataValidation>
    <dataValidation type="list" allowBlank="1" showInputMessage="1" sqref="E16" xr:uid="{59C9996A-91B9-498F-B14A-2BE7CF3756DE}">
      <formula1>signe</formula1>
    </dataValidation>
    <dataValidation type="list" allowBlank="1" showInputMessage="1" sqref="M11" xr:uid="{DC293C7B-90C8-4CAD-B197-7D56149749D0}">
      <formula1>IF($C$4="Skaven",masculin,sexe)</formula1>
    </dataValidation>
    <dataValidation allowBlank="1" showInputMessage="1" sqref="J7 I5:I6" xr:uid="{192E25D0-990F-4173-87D0-D68BFA7C954E}"/>
    <dataValidation type="list" allowBlank="1" showInputMessage="1" showErrorMessage="1" sqref="B35 B37:B40 B36:D36" xr:uid="{59E00D03-35B3-441B-B7B1-1E4267EAD62C}">
      <formula1>Armes</formula1>
    </dataValidation>
    <dataValidation type="list" allowBlank="1" showInputMessage="1" showErrorMessage="1" sqref="C44" xr:uid="{53D01424-754A-4A98-B78E-08AF1F14A8ED}">
      <formula1>Armure_complète</formula1>
    </dataValidation>
    <dataValidation type="list" allowBlank="1" showInputMessage="1" showErrorMessage="1" sqref="B47:B53" xr:uid="{0E4A546A-B04E-44E6-9464-B2C9E31E6FFA}">
      <formula1>Armures</formula1>
    </dataValidation>
    <dataValidation type="list" allowBlank="1" showInputMessage="1" showErrorMessage="1" sqref="K47:L53 K44:L44 E35:F40" xr:uid="{ED0CCDB4-4D8C-45E6-953B-8D90B2E06156}">
      <formula1>qualité</formula1>
    </dataValidation>
    <dataValidation type="list" allowBlank="1" showInputMessage="1" showErrorMessage="1" sqref="N15:O15" xr:uid="{44D44176-3B7C-4E43-B13A-C4A359DE4AFF}">
      <formula1>Stat_marital</formula1>
    </dataValidation>
    <dataValidation type="list" allowBlank="1" showInputMessage="1" sqref="K3:O3" xr:uid="{9B09EEF9-D1ED-4723-8FCB-ADE5C40DA7F8}">
      <formula1>IF(Pays="Cathay",Nom_ca,IF(Pays="Estalie",nfe,IF(Pays="Tilée",noti,IF(C4="Humain",nom_humain,IF(C4="Elfe",nom_elfe,IF(C4="Halfling",nom_halfling,IF(C4="Nain",nom_nain,IF(C4="Skaven",clans_skaven))))))))</formula1>
    </dataValidation>
    <dataValidation type="list" allowBlank="1" showInputMessage="1" sqref="E11:J11" xr:uid="{70778AB5-F1CC-4E6E-8C8F-179996659D5A}">
      <formula1>IF(A4=9,a_s,IF(A4=8,a_s,IF(A4=2,a_e,IF(A4=5,a_e,IF(A4=3,a_half,IF(A4=6,a_h,IF(A4=4,a_h,IF(A4=1,a_n,IF(A4=7,a_n,"")))))))))</formula1>
    </dataValidation>
    <dataValidation type="list" allowBlank="1" showInputMessage="1" sqref="E12:J12" xr:uid="{460C9B76-0429-4D7D-A76D-266F1CB15B6D}">
      <formula1>IF($C$4="Elfe",y_elfe,IF($C$4="Halfling",y_halfling,IF($C$4="Humain",y_humain,IF(OR($C$4="Nain",$C$4="Créature du Chaos"),y_nain,IF(OR($C$4="Peau-Verte",C$4="Homme-lézard",$C$4="Homme-bête",$C$4="Skaven",C$4="Vampire"),y_skaven)))))</formula1>
    </dataValidation>
    <dataValidation type="list" allowBlank="1" showInputMessage="1" sqref="I3" xr:uid="{29186381-B72A-4004-A48E-7FE744EF5EC8}">
      <formula1>IF(#REF!=1,nh_elfe,IF(#REF!=2,nf_elfe,IF(#REF!=3,nh_halfling,IF(#REF!=4,nf_halfling,IF(#REF!=5,nh_humain,IF(#REF!=6,nf_humain,IF(#REF!=7,nh_nain,IF(#REF!=8,nf_nain))))))))</formula1>
    </dataValidation>
    <dataValidation type="list" allowBlank="1" showInputMessage="1" sqref="M12" xr:uid="{3011DD59-BEFE-4395-A908-9BC6A4CF29D1}">
      <formula1>IF(OR(#REF!=1,#REF!=2,#REF!=5,#REF!=6,#REF!=9,#REF!=10,#REF!=11,#REF!=12,#REF!=17,#REF!=18,#REF!=21,#REF!=22,#REF!=23,#REF!=24,#REF!=25,#REF!=26),t_m,IF(OR(#REF!=3,#REF!=4,#REF!=19,#REF!=20,#REF!=7,#REF!=8,#REF!=13,#REF!=14,#REF!=19,#REF!=20),t_p,IF(OR(#REF!=15,#REF!=16),t_g,"")))</formula1>
    </dataValidation>
    <dataValidation type="list" allowBlank="1" showInputMessage="1" sqref="M13" xr:uid="{4BF266BE-0748-474F-B538-49D5BE50C1F8}">
      <formula1>IF(OR(#REF!=1,#REF!=2,#REF!=5,#REF!=6,#REF!=9,#REF!=10,#REF!=11,#REF!=12,#REF!=17,#REF!=18,#REF!=21,#REF!=22,#REF!=23,#REF!=24,#REF!=25,#REF!=26),p_moyen,IF(OR(#REF!=3,#REF!=4,#REF!=19,#REF!=20,#REF!=13,#REF!=14,#REF!=19,#REF!=20),p_l,IF(OR(#REF!=15,#REF!=16),p_l,IF(OR(#REF!=7,#REF!=8),p_nain,""))))</formula1>
    </dataValidation>
    <dataValidation type="list" showInputMessage="1" sqref="K5:O5" xr:uid="{8F44724F-6376-4D6C-8526-D9E8E8D97188}">
      <formula1>IF(P5=1,p_e,IF(P5=2,p_k,IF(P5=3,p_b,IF(P5=4,p_t,IF(P5=5,p_u,IF(P5=6,p_n,IF(P5=7,p_a,IF(P5=8,p_s,IF(P5=9,p_c,IF(P5=10,p_i,IF(P5=11,p_p,IF(P5=12,p_f,IF(P5=13,p_l,IF(P5=14,p_h,IF(P5=15,p_g,IF(P5=16,p_j,IF(P5=17,p_m,IF(P5=18,p_o,C5))))))))))))))))))</formula1>
    </dataValidation>
    <dataValidation type="list" allowBlank="1" showInputMessage="1" sqref="N12:O12" xr:uid="{E279F243-8461-4667-AAA7-2A0CF0309E6C}">
      <formula1>IF(OR(Q12=1,Q12=2,Q12=5,Q12=6,Q12=9,Q12=10,Q12=11,Q12=12,Q12=17,Q12=18,Q12=21,Q12=22,Q12=23,Q12=24,Q12=25,Q12=26),t_m,IF(OR(Q12=3,Q12=4,Q12=19,Q12=20,Q12=7,Q12=8,Q12=13,Q12=14,Q12=19,Q12=20),t_p,IF(OR(Q12=15,Q12=16),t_g,"")))</formula1>
    </dataValidation>
    <dataValidation type="list" allowBlank="1" showInputMessage="1" sqref="N13:O13" xr:uid="{F20C100A-89D9-441B-8753-286D92033FBC}">
      <formula1>IF(OR(Q12=1,Q12=2,Q12=5,Q12=6,Q12=9,Q12=10,Q12=11,Q12=12,Q12=17,Q12=18,Q12=21,Q12=22,Q12=23,Q12=24,Q12=25,Q12=26),p_moyen,IF(OR(Q12=3,Q12=4,Q12=19,Q12=20,Q12=13,Q12=14,Q12=19,Q12=20),p_l,IF(OR(Q12=15,Q12=16),p_l,IF(OR(Q12=7,Q12=8),p_nain,""))))</formula1>
    </dataValidation>
    <dataValidation type="list" allowBlank="1" showInputMessage="1" sqref="C3:H3" xr:uid="{91318A5D-DCC3-4C7F-8AE5-6DFAF93E858B}">
      <formula1>IF(A4=9,nom_skav,IF(A4=1,nh_elfe,IF(A4=2,nf_elfe,IF(A4=3,nh_halfling,IF(A4=4,nf_halfling,IF(A4=5,nh_humain,IF(A4=6,nf_humain,IF(A4=7,nh_nain,IF(A4=8,nf_nain)))))))))</formula1>
    </dataValidation>
  </dataValidations>
  <printOptions horizontalCentered="1" verticalCentered="1"/>
  <pageMargins left="0" right="0" top="0" bottom="0" header="0" footer="0"/>
  <pageSetup paperSize="9" scale="73" fitToWidth="0" orientation="landscape" r:id="rId1"/>
  <headerFooter alignWithMargins="0"/>
  <ignoredErrors>
    <ignoredError sqref="G36 G35 R35 G37 I35:J35 G40 T44 R36 R37 R38 R39 R40 I36:J36 I37:J37 G38 I38:J38 G39 I39:J39 I40:J40 O35:O40 N35:N40 M35:M40 T35 T36 T37 T38 T39 T40 P35:Q40 S35:S40" unlockedFormula="1"/>
    <ignoredError sqref="AA32" twoDigitTextYear="1"/>
    <ignoredError sqref="H3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595" r:id="rId4" name="Button 547">
              <controlPr defaultSize="0" print="0" autoFill="0" autoPict="0" macro="[0]!Caracs">
                <anchor moveWithCells="1">
                  <from>
                    <xdr:col>8</xdr:col>
                    <xdr:colOff>160020</xdr:colOff>
                    <xdr:row>16</xdr:row>
                    <xdr:rowOff>144780</xdr:rowOff>
                  </from>
                  <to>
                    <xdr:col>11</xdr:col>
                    <xdr:colOff>259080</xdr:colOff>
                    <xdr:row>18</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r:uid="{5929C874-CFE7-42FF-B48D-5792049230C9}">
          <x14:formula1>
            <xm:f>tableaux!$G$2:$G$3</xm:f>
          </x14:formula1>
          <xm:sqref>K35:K40</xm:sqref>
        </x14:dataValidation>
        <x14:dataValidation type="list" allowBlank="1" showInputMessage="1" xr:uid="{C47EB7A6-2787-4761-81C5-FD75A9F4AACD}">
          <x14:formula1>
            <xm:f>IF(C4="","",IF(C4="Elfe",c_elfe,IF(C4="Halfling",c_h,IF(C4="Humain",c_h,IF(C4="Nain",c_nain,IF(OR(C4="Homme-bête",C4="Skaven",C4="Créature du Chaos"),OFFSET(tableaux!$BG$2,0,0,COUNT(tableaux!$BF:$BF)),IF(C4="Vampire","Blanc","Aucune")))))))</xm:f>
          </x14:formula1>
          <xm:sqref>E13:J13</xm:sqref>
        </x14:dataValidation>
        <x14:dataValidation type="list" showInputMessage="1" xr:uid="{1C8F999F-2B7C-421A-9B55-822B3691CCC1}">
          <x14:formula1>
            <xm:f>OFFSET(tableaux!$CA$2,0,0,COUNT(tableaux!$BZ:$BZ))</xm:f>
          </x14:formula1>
          <xm:sqref>E15:J15</xm:sqref>
        </x14:dataValidation>
        <x14:dataValidation type="list" allowBlank="1" showInputMessage="1" showErrorMessage="1" xr:uid="{7BB98C74-3EAC-41B0-93B5-C300B53F4C0C}">
          <x14:formula1>
            <xm:f>OFFSET(tableaux!$EX$2,0,0,COUNT(tableaux!$EW:$EW))</xm:f>
          </x14:formula1>
          <xm:sqref>K6</xm:sqref>
        </x14:dataValidation>
        <x14:dataValidation type="list" allowBlank="1" showInputMessage="1" xr:uid="{A2F45176-35EC-47B4-B4FC-C308A902D984}">
          <x14:formula1>
            <xm:f>OFFSET(tableaux!$ET$2,0,0,COUNT(tableaux!$ES2:$ES63))</xm:f>
          </x14:formula1>
          <xm:sqref>K7:O7</xm:sqref>
        </x14:dataValidation>
        <x14:dataValidation type="list" allowBlank="1" showInputMessage="1" showErrorMessage="1" xr:uid="{2017075A-C215-4311-9E09-F9AB93B42176}">
          <x14:formula1>
            <xm:f>OFFSET(tableaux!$EJ2,0,0,COUNT(tableaux!$EH:$EH))</xm:f>
          </x14:formula1>
          <xm:sqref>K4:O4</xm:sqref>
        </x14:dataValidation>
        <x14:dataValidation type="list" showInputMessage="1" xr:uid="{D4684E44-215B-4B4B-9246-1F4BA475EA2D}">
          <x14:formula1>
            <xm:f>OFFSET(tableaux!$BW$2,0,0,COUNT(tableaux!$BU2:$BU24))</xm:f>
          </x14:formula1>
          <xm:sqref>C5:H5</xm:sqref>
        </x14:dataValidation>
        <x14:dataValidation type="list" showInputMessage="1" showErrorMessage="1" xr:uid="{CD812531-2A7B-4E8C-9954-91CF22CFFB81}">
          <x14:formula1>
            <xm:f>OFFSET(tableaux!$W$3,0,0,COUNT(tableaux!$V3:$V365))</xm:f>
          </x14:formula1>
          <xm:sqref>G8:O8</xm:sqref>
        </x14:dataValidation>
        <x14:dataValidation type="list" showInputMessage="1" showErrorMessage="1" xr:uid="{E1C18E0B-2E89-4420-AAE4-B64719A2E500}">
          <x14:formula1>
            <xm:f>OFFSET(tableaux!$W$2,0,0,COUNT(tableaux!$V2:$V365))</xm:f>
          </x14:formula1>
          <xm:sqref>E8:F8</xm:sqref>
        </x14:dataValidation>
        <x14:dataValidation type="list" allowBlank="1" showInputMessage="1" xr:uid="{01C8D7BF-A6BE-46E1-9748-E2BD2D8DCEFF}">
          <x14:formula1>
            <xm:f>OFFSET(tableaux!$W$3,0,0,COUNT(tableaux!$V3:$V365))</xm:f>
          </x14:formula1>
          <xm:sqref>H7 E6:H6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rgb="FFFF0000"/>
    <pageSetUpPr fitToPage="1"/>
  </sheetPr>
  <dimension ref="A1:AB57"/>
  <sheetViews>
    <sheetView showGridLines="0" showRowColHeaders="0" topLeftCell="A4" zoomScaleNormal="100" workbookViewId="0">
      <selection activeCell="B31" sqref="B31"/>
    </sheetView>
  </sheetViews>
  <sheetFormatPr baseColWidth="10" defaultColWidth="11.44140625" defaultRowHeight="13.2"/>
  <cols>
    <col min="1" max="1" width="3" style="85" customWidth="1"/>
    <col min="2" max="2" width="27.109375" style="85" customWidth="1"/>
    <col min="3" max="3" width="14.44140625" style="85" customWidth="1"/>
    <col min="4" max="4" width="1" style="85" customWidth="1"/>
    <col min="5" max="5" width="3.5546875" style="275" customWidth="1"/>
    <col min="6" max="6" width="1" style="85" customWidth="1"/>
    <col min="7" max="7" width="5.5546875" style="275" customWidth="1"/>
    <col min="8" max="8" width="4.6640625" style="275" customWidth="1"/>
    <col min="9" max="9" width="4.33203125" style="275" customWidth="1"/>
    <col min="10" max="10" width="6.44140625" style="275" customWidth="1"/>
    <col min="11" max="11" width="0.33203125" style="85" customWidth="1"/>
    <col min="12" max="12" width="5.6640625" style="275" customWidth="1"/>
    <col min="13" max="13" width="0.33203125" style="85" customWidth="1"/>
    <col min="14" max="14" width="5.6640625" style="85" customWidth="1"/>
    <col min="15" max="15" width="10" style="85" customWidth="1"/>
    <col min="16" max="16" width="13.33203125" style="85" customWidth="1"/>
    <col min="17" max="17" width="11.109375" style="85" customWidth="1"/>
    <col min="18" max="18" width="9" style="85" customWidth="1"/>
    <col min="19" max="19" width="6" style="85" customWidth="1"/>
    <col min="20" max="20" width="9.6640625" style="85" bestFit="1" customWidth="1"/>
    <col min="21" max="21" width="7.44140625" style="85" customWidth="1"/>
    <col min="22" max="22" width="6.6640625" style="85" customWidth="1"/>
    <col min="23" max="23" width="9.5546875" style="85" bestFit="1" customWidth="1"/>
    <col min="24" max="24" width="9.109375" style="85" customWidth="1"/>
    <col min="25" max="25" width="3" style="85" customWidth="1"/>
    <col min="26" max="26" width="3.5546875" style="85" customWidth="1"/>
    <col min="27" max="27" width="4.88671875" style="85" customWidth="1"/>
    <col min="28" max="16384" width="11.44140625" style="85"/>
  </cols>
  <sheetData>
    <row r="1" spans="1:27">
      <c r="A1" s="908"/>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row>
    <row r="2" spans="1:27" ht="15.6">
      <c r="A2" s="908"/>
      <c r="B2" s="1317" t="s">
        <v>240</v>
      </c>
      <c r="C2" s="1317"/>
      <c r="D2" s="217"/>
      <c r="E2" s="217"/>
      <c r="F2" s="217"/>
      <c r="G2" s="217"/>
      <c r="H2" s="217"/>
      <c r="I2" s="217"/>
      <c r="J2" s="217"/>
      <c r="K2" s="217"/>
      <c r="L2" s="217"/>
      <c r="M2" s="217"/>
      <c r="N2" s="217"/>
      <c r="O2" s="1138" t="s">
        <v>363</v>
      </c>
      <c r="P2" s="1138"/>
      <c r="Q2" s="217"/>
      <c r="R2" s="217"/>
      <c r="S2" s="217"/>
      <c r="T2" s="217"/>
      <c r="U2" s="217"/>
      <c r="V2" s="217"/>
      <c r="W2" s="217"/>
      <c r="X2" s="217"/>
      <c r="Y2" s="908"/>
      <c r="Z2" s="908"/>
      <c r="AA2" s="908"/>
    </row>
    <row r="3" spans="1:27" ht="13.8" thickBot="1">
      <c r="A3" s="908"/>
      <c r="B3" s="278" t="s">
        <v>241</v>
      </c>
      <c r="C3" s="279"/>
      <c r="D3" s="279"/>
      <c r="E3" s="280" t="s">
        <v>234</v>
      </c>
      <c r="F3" s="280"/>
      <c r="G3" s="281" t="s">
        <v>235</v>
      </c>
      <c r="H3" s="282" t="s">
        <v>236</v>
      </c>
      <c r="I3" s="282" t="s">
        <v>237</v>
      </c>
      <c r="J3" s="280" t="s">
        <v>238</v>
      </c>
      <c r="K3" s="280"/>
      <c r="L3" s="280" t="s">
        <v>239</v>
      </c>
      <c r="M3" s="217"/>
      <c r="N3" s="908"/>
      <c r="O3" s="1339" t="s">
        <v>363</v>
      </c>
      <c r="P3" s="1340"/>
      <c r="Q3" s="1340" t="s">
        <v>3802</v>
      </c>
      <c r="R3" s="1341"/>
      <c r="S3" s="1342" t="s">
        <v>364</v>
      </c>
      <c r="T3" s="1340"/>
      <c r="U3" s="1340"/>
      <c r="V3" s="1340"/>
      <c r="W3" s="1340"/>
      <c r="X3" s="1343"/>
      <c r="Y3" s="908"/>
      <c r="Z3" s="908"/>
      <c r="AA3" s="908"/>
    </row>
    <row r="4" spans="1:27" ht="13.8" thickBot="1">
      <c r="A4" s="908"/>
      <c r="B4" s="283" t="s">
        <v>242</v>
      </c>
      <c r="C4" s="216"/>
      <c r="D4" s="216" t="s">
        <v>361</v>
      </c>
      <c r="E4" s="215" t="s">
        <v>131</v>
      </c>
      <c r="F4" s="215" t="s">
        <v>362</v>
      </c>
      <c r="G4" s="274"/>
      <c r="H4" s="274"/>
      <c r="I4" s="274"/>
      <c r="J4" s="276"/>
      <c r="K4" s="275"/>
      <c r="L4" s="288">
        <f>IF($E4=0,0,IF($G4=0,ROUNDUP(($N4/2),0),$N4)+(IF($H4=0,"0","10"))+(IF($I4=0,"0","10"))+(IF($J4=0,"0",$J4)))</f>
        <v>0</v>
      </c>
      <c r="M4" s="217"/>
      <c r="N4" s="908">
        <f>HLOOKUP(E4,'page 1'!$H$20:$M$23,4,0)</f>
        <v>0</v>
      </c>
      <c r="O4" s="1299"/>
      <c r="P4" s="1233"/>
      <c r="Q4" s="1300"/>
      <c r="R4" s="1301"/>
      <c r="S4" s="924" t="str">
        <f>IF(O4=0,"",VLOOKUP(O4,tableaux!$H:$I,2,0))</f>
        <v/>
      </c>
      <c r="T4" s="925"/>
      <c r="U4" s="925"/>
      <c r="V4" s="925"/>
      <c r="W4" s="925"/>
      <c r="X4" s="1302"/>
      <c r="Y4" s="908">
        <f>IF(O4="Rune",1,IF(O4="Rune Majeure",2,IF(O4="Science de la Magie",3,IF(O4="Tradition de Sorcières",4,IF(O4="Maîtrise",5,IF(O4="Inspiration Divine",6,IF(O4="Magie mineure",7,IF(O4="Magie vulgaire",8,IF(O4="Savoir-faire Nain",9,IF(O4="Sombre Savoir",10,IF(O4="Sort Supplémentaire",11,IF(O4="Magie commune",12,IF(O4="Affinité provinciale",13,IF(O4="Magie haute",14,IF(O4="Littéraire",15,0)))))))))))))))</f>
        <v>0</v>
      </c>
      <c r="Z4" s="908"/>
      <c r="AA4" s="908"/>
    </row>
    <row r="5" spans="1:27" ht="13.8" thickBot="1">
      <c r="A5" s="908"/>
      <c r="B5" s="283" t="s">
        <v>243</v>
      </c>
      <c r="C5" s="216"/>
      <c r="D5" s="216" t="s">
        <v>361</v>
      </c>
      <c r="E5" s="215" t="s">
        <v>135</v>
      </c>
      <c r="F5" s="215" t="s">
        <v>362</v>
      </c>
      <c r="G5" s="274"/>
      <c r="H5" s="274"/>
      <c r="I5" s="274"/>
      <c r="J5" s="276">
        <f>IF(Gestion!W94&gt;0,10,0)</f>
        <v>0</v>
      </c>
      <c r="K5" s="275"/>
      <c r="L5" s="288">
        <f>IF($E5=0,0,IF($G5=0,ROUNDUP(($N5/2),0),$N5)+(IF($H5=0,"0","10"))+(IF($I5=0,"0","10"))+(IF($J5=0,"0",$J5)))+IF(Gestion!W25&gt;0,10,0)+IF(Gestion!W51&gt;0,10,0)</f>
        <v>0</v>
      </c>
      <c r="M5" s="217"/>
      <c r="N5" s="908">
        <f>HLOOKUP(E5,'page 1'!$H$20:$M$23,4,0)</f>
        <v>0</v>
      </c>
      <c r="O5" s="1299"/>
      <c r="P5" s="1233"/>
      <c r="Q5" s="1300"/>
      <c r="R5" s="1301"/>
      <c r="S5" s="924" t="str">
        <f>IF(O5=0,"",VLOOKUP(O5,tableaux!$H:$I,2,0))</f>
        <v/>
      </c>
      <c r="T5" s="925"/>
      <c r="U5" s="925"/>
      <c r="V5" s="925"/>
      <c r="W5" s="925"/>
      <c r="X5" s="1302"/>
      <c r="Y5" s="908">
        <f t="shared" ref="Y5:Y27" si="0">IF(O5="Rune",1,IF(O5="Rune Majeure",2,IF(O5="Science de la Magie",3,IF(O5="Tradition de Sorcières",4,IF(O5="Maîtrise",5,IF(O5="Inspiration Divine",6,IF(O5="Magie mineure",7,IF(O5="Magie vulgaire",8,IF(O5="Savoir-faire Nain",9,IF(O5="Sombre Savoir",10,IF(O5="Sort Supplémentaire",11,IF(O5="Magie commune",12,IF(O5="Affinité provinciale",13,IF(O5="Magie haute",14,IF(O5="Littéraire",15,0)))))))))))))))</f>
        <v>0</v>
      </c>
      <c r="Z5" s="908"/>
      <c r="AA5" s="908"/>
    </row>
    <row r="6" spans="1:27" ht="13.8" thickBot="1">
      <c r="A6" s="908"/>
      <c r="B6" s="283" t="s">
        <v>244</v>
      </c>
      <c r="C6" s="216"/>
      <c r="D6" s="216" t="s">
        <v>361</v>
      </c>
      <c r="E6" s="215" t="s">
        <v>135</v>
      </c>
      <c r="F6" s="215" t="s">
        <v>362</v>
      </c>
      <c r="G6" s="274"/>
      <c r="H6" s="274"/>
      <c r="I6" s="274"/>
      <c r="J6" s="276"/>
      <c r="K6" s="275"/>
      <c r="L6" s="288">
        <f>IF($E6=0,0,IF($G6=0,ROUNDUP(($N6/2),0),$N6)+(IF($H6=0,"0","10"))+(IF($I6=0,"0","10"))+(IF($J6=0,"0",$J6)))</f>
        <v>0</v>
      </c>
      <c r="M6" s="217"/>
      <c r="N6" s="908">
        <f>HLOOKUP(E6,'page 1'!$H$20:$M$23,4,0)</f>
        <v>0</v>
      </c>
      <c r="O6" s="1299"/>
      <c r="P6" s="1233"/>
      <c r="Q6" s="1300"/>
      <c r="R6" s="1301"/>
      <c r="S6" s="924" t="str">
        <f>IF(O6=0,"",VLOOKUP(O6,tableaux!$H:$I,2,0))</f>
        <v/>
      </c>
      <c r="T6" s="925"/>
      <c r="U6" s="925"/>
      <c r="V6" s="925"/>
      <c r="W6" s="925"/>
      <c r="X6" s="1302"/>
      <c r="Y6" s="908">
        <f t="shared" si="0"/>
        <v>0</v>
      </c>
      <c r="Z6" s="908"/>
      <c r="AA6" s="908"/>
    </row>
    <row r="7" spans="1:27" ht="13.8" thickBot="1">
      <c r="A7" s="908"/>
      <c r="B7" s="283" t="s">
        <v>245</v>
      </c>
      <c r="C7" s="216"/>
      <c r="D7" s="216" t="s">
        <v>361</v>
      </c>
      <c r="E7" s="215" t="s">
        <v>135</v>
      </c>
      <c r="F7" s="215" t="s">
        <v>362</v>
      </c>
      <c r="G7" s="274"/>
      <c r="H7" s="274"/>
      <c r="I7" s="274"/>
      <c r="J7" s="276"/>
      <c r="K7" s="275"/>
      <c r="L7" s="288">
        <f>IF($E7=0,0,IF($G7=0,ROUNDUP(($N7/2),0),$N7)+(IF($H7=0,"0","10"))+(IF($I7=0,"0","10"))+(IF($J7=0,"0",$J7)))+IF(Gestion!W25&gt;0,10,0)+IF(Gestion!W51&gt;0,10,0)</f>
        <v>0</v>
      </c>
      <c r="M7" s="217"/>
      <c r="N7" s="908">
        <f>HLOOKUP(E7,'page 1'!$H$20:$M$23,4,0)</f>
        <v>0</v>
      </c>
      <c r="O7" s="1299"/>
      <c r="P7" s="1233"/>
      <c r="Q7" s="1300"/>
      <c r="R7" s="1301"/>
      <c r="S7" s="924" t="str">
        <f>IF(O7=0,"",VLOOKUP(O7,tableaux!$H:$I,2,0))</f>
        <v/>
      </c>
      <c r="T7" s="925"/>
      <c r="U7" s="925"/>
      <c r="V7" s="925"/>
      <c r="W7" s="925"/>
      <c r="X7" s="1302"/>
      <c r="Y7" s="908">
        <f t="shared" si="0"/>
        <v>0</v>
      </c>
      <c r="Z7" s="908"/>
      <c r="AA7" s="908"/>
    </row>
    <row r="8" spans="1:27" ht="13.8" thickBot="1">
      <c r="A8" s="908"/>
      <c r="B8" s="283" t="s">
        <v>246</v>
      </c>
      <c r="C8" s="216"/>
      <c r="D8" s="216" t="s">
        <v>361</v>
      </c>
      <c r="E8" s="215" t="s">
        <v>131</v>
      </c>
      <c r="F8" s="215" t="s">
        <v>362</v>
      </c>
      <c r="G8" s="274"/>
      <c r="H8" s="274"/>
      <c r="I8" s="274"/>
      <c r="J8" s="276"/>
      <c r="K8" s="275"/>
      <c r="L8" s="288">
        <f>IF($E8=0,0,IF($G8=0,ROUNDUP(($N8/2),0),$N8)+(IF($H8=0,"0","10"))+(IF($I8=0,"0","10"))+(IF($J8=0,"0",$J8)))</f>
        <v>0</v>
      </c>
      <c r="M8" s="217"/>
      <c r="N8" s="908">
        <f>HLOOKUP(E8,'page 1'!$H$20:$M$23,4,0)</f>
        <v>0</v>
      </c>
      <c r="O8" s="1299"/>
      <c r="P8" s="1233"/>
      <c r="Q8" s="1300"/>
      <c r="R8" s="1301"/>
      <c r="S8" s="924" t="str">
        <f>IF(O8=0,"",VLOOKUP(O8,tableaux!$H:$I,2,0))</f>
        <v/>
      </c>
      <c r="T8" s="925"/>
      <c r="U8" s="925"/>
      <c r="V8" s="925"/>
      <c r="W8" s="925"/>
      <c r="X8" s="1302"/>
      <c r="Y8" s="908">
        <f t="shared" si="0"/>
        <v>0</v>
      </c>
      <c r="Z8" s="908"/>
      <c r="AA8" s="908"/>
    </row>
    <row r="9" spans="1:27" ht="13.8" thickBot="1">
      <c r="A9" s="908"/>
      <c r="B9" s="283" t="s">
        <v>247</v>
      </c>
      <c r="C9" s="216"/>
      <c r="D9" s="216" t="s">
        <v>361</v>
      </c>
      <c r="E9" s="215" t="s">
        <v>135</v>
      </c>
      <c r="F9" s="215" t="s">
        <v>362</v>
      </c>
      <c r="G9" s="274"/>
      <c r="H9" s="274"/>
      <c r="I9" s="274"/>
      <c r="J9" s="276">
        <f>IF(Gestion!W63&gt;0,10,0)</f>
        <v>0</v>
      </c>
      <c r="K9" s="275"/>
      <c r="L9" s="288">
        <f>IF($E9=0,0,IF($G9=0,ROUNDUP(($N9/2),0),$N9)+(IF($H9=0,"0","10"))+(IF($I9=0,"0","10"))+(IF($J9=0,"0",$J9)))</f>
        <v>0</v>
      </c>
      <c r="M9" s="217"/>
      <c r="N9" s="908">
        <f>HLOOKUP(E9,'page 1'!$H$20:$M$23,4,0)</f>
        <v>0</v>
      </c>
      <c r="O9" s="1299"/>
      <c r="P9" s="1233"/>
      <c r="Q9" s="1300"/>
      <c r="R9" s="1301"/>
      <c r="S9" s="924" t="str">
        <f>IF(O9=0,"",VLOOKUP(O9,tableaux!$H:$I,2,0))</f>
        <v/>
      </c>
      <c r="T9" s="925"/>
      <c r="U9" s="925"/>
      <c r="V9" s="925"/>
      <c r="W9" s="925"/>
      <c r="X9" s="1302"/>
      <c r="Y9" s="908">
        <f t="shared" si="0"/>
        <v>0</v>
      </c>
      <c r="Z9" s="908"/>
      <c r="AA9" s="908"/>
    </row>
    <row r="10" spans="1:27" ht="13.8" thickBot="1">
      <c r="A10" s="908"/>
      <c r="B10" s="283" t="s">
        <v>248</v>
      </c>
      <c r="C10" s="216"/>
      <c r="D10" s="216" t="s">
        <v>361</v>
      </c>
      <c r="E10" s="215" t="s">
        <v>132</v>
      </c>
      <c r="F10" s="215" t="s">
        <v>362</v>
      </c>
      <c r="G10" s="274"/>
      <c r="H10" s="274"/>
      <c r="I10" s="274"/>
      <c r="J10" s="276">
        <f>IF(Gestion!W119&gt;0,10,0)</f>
        <v>0</v>
      </c>
      <c r="K10" s="275"/>
      <c r="L10" s="288">
        <f>IF($E10=0,0,IF($G10=0,ROUNDUP(($N10/2),0),$N10)+(IF($H10=0,"0","10"))+(IF($I10=0,"0","10"))+(IF($J10=0,"0",$J10)))</f>
        <v>0</v>
      </c>
      <c r="M10" s="217"/>
      <c r="N10" s="908">
        <f>HLOOKUP(E10,'page 1'!$H$20:$M$23,4,0)</f>
        <v>0</v>
      </c>
      <c r="O10" s="1299"/>
      <c r="P10" s="1233"/>
      <c r="Q10" s="1300"/>
      <c r="R10" s="1301"/>
      <c r="S10" s="924" t="str">
        <f>IF(O10=0,"",VLOOKUP(O10,tableaux!$H:$I,2,0))</f>
        <v/>
      </c>
      <c r="T10" s="925"/>
      <c r="U10" s="925"/>
      <c r="V10" s="925"/>
      <c r="W10" s="925"/>
      <c r="X10" s="1302"/>
      <c r="Y10" s="908">
        <f t="shared" si="0"/>
        <v>0</v>
      </c>
      <c r="Z10" s="908"/>
      <c r="AA10" s="908"/>
    </row>
    <row r="11" spans="1:27" ht="13.8" thickBot="1">
      <c r="A11" s="908"/>
      <c r="B11" s="283" t="s">
        <v>249</v>
      </c>
      <c r="C11" s="216"/>
      <c r="D11" s="216" t="s">
        <v>361</v>
      </c>
      <c r="E11" s="215" t="s">
        <v>132</v>
      </c>
      <c r="F11" s="215" t="s">
        <v>362</v>
      </c>
      <c r="G11" s="274"/>
      <c r="H11" s="274"/>
      <c r="I11" s="274"/>
      <c r="J11" s="276">
        <f>IF(Gestion!W119&gt;0,10,0)</f>
        <v>0</v>
      </c>
      <c r="K11" s="275"/>
      <c r="L11" s="288">
        <f>IF($E11=0,0,IF($G11=0,ROUNDUP(($N11/2),0),$N11)+(IF($H11=0,"0","10"))+(IF($I11=0,"0","10"))+(IF($J11=0,"0",$J11)))</f>
        <v>0</v>
      </c>
      <c r="M11" s="217"/>
      <c r="N11" s="908">
        <f>HLOOKUP(E11,'page 1'!$H$20:$M$23,4,0)</f>
        <v>0</v>
      </c>
      <c r="O11" s="1299"/>
      <c r="P11" s="1233"/>
      <c r="Q11" s="1300"/>
      <c r="R11" s="1301"/>
      <c r="S11" s="924" t="str">
        <f>IF(O11=0,"",VLOOKUP(O11,tableaux!$H:$I,2,0))</f>
        <v/>
      </c>
      <c r="T11" s="925"/>
      <c r="U11" s="925"/>
      <c r="V11" s="925"/>
      <c r="W11" s="925"/>
      <c r="X11" s="1302"/>
      <c r="Y11" s="908">
        <f t="shared" si="0"/>
        <v>0</v>
      </c>
      <c r="Z11" s="908"/>
      <c r="AA11" s="908"/>
    </row>
    <row r="12" spans="1:27" ht="13.8" thickBot="1">
      <c r="A12" s="908"/>
      <c r="B12" s="283" t="s">
        <v>250</v>
      </c>
      <c r="C12" s="216"/>
      <c r="D12" s="216" t="s">
        <v>361</v>
      </c>
      <c r="E12" s="215" t="s">
        <v>132</v>
      </c>
      <c r="F12" s="215" t="s">
        <v>362</v>
      </c>
      <c r="G12" s="274"/>
      <c r="H12" s="274"/>
      <c r="I12" s="274"/>
      <c r="J12" s="832">
        <f>IF(Gestion!W46&gt;0,10,0)</f>
        <v>0</v>
      </c>
      <c r="K12" s="275"/>
      <c r="L12" s="288">
        <f>IF($E12=0,0,IF($G12=0,ROUNDUP(($N12/2),0),$N12)+(IF($H12=0,"0","10"))+(IF($I12=0,"0","10"))+(IF($J12=0,"0",$J12)))+IF(Gestion!W3&gt;0,10,0)</f>
        <v>0</v>
      </c>
      <c r="M12" s="217"/>
      <c r="N12" s="908">
        <f>HLOOKUP(E12,'page 1'!$H$20:$M$23,4,0)</f>
        <v>0</v>
      </c>
      <c r="O12" s="1299"/>
      <c r="P12" s="1233"/>
      <c r="Q12" s="1300"/>
      <c r="R12" s="1301"/>
      <c r="S12" s="924" t="str">
        <f>IF(O12=0,"",VLOOKUP(O12,tableaux!$H:$I,2,0))</f>
        <v/>
      </c>
      <c r="T12" s="925"/>
      <c r="U12" s="925"/>
      <c r="V12" s="925"/>
      <c r="W12" s="925"/>
      <c r="X12" s="1302"/>
      <c r="Y12" s="908">
        <f t="shared" si="0"/>
        <v>0</v>
      </c>
      <c r="Z12" s="908"/>
      <c r="AA12" s="908"/>
    </row>
    <row r="13" spans="1:27" ht="13.8" thickBot="1">
      <c r="A13" s="908"/>
      <c r="B13" s="283" t="s">
        <v>251</v>
      </c>
      <c r="C13" s="216"/>
      <c r="D13" s="216" t="s">
        <v>361</v>
      </c>
      <c r="E13" s="215" t="s">
        <v>131</v>
      </c>
      <c r="F13" s="215" t="s">
        <v>362</v>
      </c>
      <c r="G13" s="274"/>
      <c r="H13" s="274"/>
      <c r="I13" s="274"/>
      <c r="J13" s="276">
        <f>IF(Gestion!W37&gt;0,20,0)</f>
        <v>0</v>
      </c>
      <c r="K13" s="275"/>
      <c r="L13" s="288">
        <f>IF($E13=0,0,IF($G13=0,ROUNDUP(($N13/2),0),$N13)+(IF($H13=0,"0","10"))+(IF($I13=0,"0","10"))+(IF($J13=0,"0",$J13)))</f>
        <v>0</v>
      </c>
      <c r="M13" s="217"/>
      <c r="N13" s="908">
        <f>HLOOKUP(E13,'page 1'!$H$20:$M$23,4,0)</f>
        <v>0</v>
      </c>
      <c r="O13" s="1299"/>
      <c r="P13" s="1233"/>
      <c r="Q13" s="1300"/>
      <c r="R13" s="1301"/>
      <c r="S13" s="924" t="str">
        <f>IF(O13=0,"",VLOOKUP(O13,tableaux!$H:$I,2,0))</f>
        <v/>
      </c>
      <c r="T13" s="925"/>
      <c r="U13" s="925"/>
      <c r="V13" s="925"/>
      <c r="W13" s="925"/>
      <c r="X13" s="1302"/>
      <c r="Y13" s="908">
        <f t="shared" si="0"/>
        <v>0</v>
      </c>
      <c r="Z13" s="908"/>
      <c r="AA13" s="908"/>
    </row>
    <row r="14" spans="1:27" ht="13.8" thickBot="1">
      <c r="A14" s="908"/>
      <c r="B14" s="283" t="s">
        <v>252</v>
      </c>
      <c r="C14" s="269" t="str">
        <f>IF(Gestion!W125&gt;0,"+20% vs œuvres d'art","")</f>
        <v/>
      </c>
      <c r="D14" s="216" t="s">
        <v>361</v>
      </c>
      <c r="E14" s="215" t="s">
        <v>133</v>
      </c>
      <c r="F14" s="215" t="s">
        <v>362</v>
      </c>
      <c r="G14" s="274"/>
      <c r="H14" s="274"/>
      <c r="I14" s="274"/>
      <c r="J14" s="276"/>
      <c r="K14" s="275"/>
      <c r="L14" s="288">
        <f>IF($E14=0,0,IF($G14=0,ROUNDUP(($N14/2),0),$N14)+(IF($H14=0,"0","10"))+(IF($I14=0,"0","10"))+(IF($J14=0,"0",$J14)))+IF(Gestion!W42&gt;0,10,0)</f>
        <v>0</v>
      </c>
      <c r="M14" s="217"/>
      <c r="N14" s="908">
        <f>HLOOKUP(E14,'page 1'!$H$20:$M$23,4,0)</f>
        <v>0</v>
      </c>
      <c r="O14" s="1299"/>
      <c r="P14" s="1233"/>
      <c r="Q14" s="1300"/>
      <c r="R14" s="1301"/>
      <c r="S14" s="924" t="str">
        <f>IF(O14=0,"",VLOOKUP(O14,tableaux!$H:$I,2,0))</f>
        <v/>
      </c>
      <c r="T14" s="925"/>
      <c r="U14" s="925"/>
      <c r="V14" s="925"/>
      <c r="W14" s="925"/>
      <c r="X14" s="1302"/>
      <c r="Y14" s="908">
        <f t="shared" si="0"/>
        <v>0</v>
      </c>
      <c r="Z14" s="908"/>
      <c r="AA14" s="908"/>
    </row>
    <row r="15" spans="1:27" ht="13.8" thickBot="1">
      <c r="A15" s="908"/>
      <c r="B15" s="283" t="s">
        <v>253</v>
      </c>
      <c r="C15" s="216"/>
      <c r="D15" s="216" t="s">
        <v>361</v>
      </c>
      <c r="E15" s="215" t="s">
        <v>133</v>
      </c>
      <c r="F15" s="215" t="s">
        <v>362</v>
      </c>
      <c r="G15" s="274"/>
      <c r="H15" s="274"/>
      <c r="I15" s="274"/>
      <c r="J15" s="276"/>
      <c r="K15" s="275"/>
      <c r="L15" s="288">
        <f>IF($E15=0,0,IF($G15=0,ROUNDUP(($N15/2),0),$N15)+(IF($H15=0,"0","10"))+(IF($I15=0,"0","10"))+(IF($J15=0,"0",$J15)))</f>
        <v>0</v>
      </c>
      <c r="M15" s="217"/>
      <c r="N15" s="908">
        <f>HLOOKUP(E15,'page 1'!$H$20:$M$23,4,0)</f>
        <v>0</v>
      </c>
      <c r="O15" s="1299"/>
      <c r="P15" s="1233"/>
      <c r="Q15" s="1300"/>
      <c r="R15" s="1301"/>
      <c r="S15" s="924" t="str">
        <f>IF(O15=0,"",VLOOKUP(O15,tableaux!$H:$I,2,0))</f>
        <v/>
      </c>
      <c r="T15" s="925"/>
      <c r="U15" s="925"/>
      <c r="V15" s="925"/>
      <c r="W15" s="925"/>
      <c r="X15" s="1302"/>
      <c r="Y15" s="908">
        <f t="shared" si="0"/>
        <v>0</v>
      </c>
      <c r="Z15" s="908"/>
      <c r="AA15" s="908"/>
    </row>
    <row r="16" spans="1:27" ht="13.8" thickBot="1">
      <c r="A16" s="908"/>
      <c r="B16" s="283" t="s">
        <v>254</v>
      </c>
      <c r="C16" s="216"/>
      <c r="D16" s="216" t="s">
        <v>361</v>
      </c>
      <c r="E16" s="215" t="s">
        <v>131</v>
      </c>
      <c r="F16" s="215" t="s">
        <v>362</v>
      </c>
      <c r="G16" s="274"/>
      <c r="H16" s="274"/>
      <c r="I16" s="274"/>
      <c r="J16" s="276">
        <f>IF(Gestion!W86&gt;0,10,0)</f>
        <v>0</v>
      </c>
      <c r="K16" s="275"/>
      <c r="L16" s="288">
        <f>IF($E16=0,0,IF($G16=0,ROUNDUP(($N16/2),0),$N16)+(IF($H16=0,"0","10"))+(IF($I16=0,"0","10"))+(IF($J16=0,"0",$J16)))</f>
        <v>0</v>
      </c>
      <c r="M16" s="217"/>
      <c r="N16" s="908">
        <f>HLOOKUP(E16,'page 1'!$H$20:$M$23,4,0)</f>
        <v>0</v>
      </c>
      <c r="O16" s="1299"/>
      <c r="P16" s="1233"/>
      <c r="Q16" s="1300"/>
      <c r="R16" s="1301"/>
      <c r="S16" s="924" t="str">
        <f>IF(O16=0,"",VLOOKUP(O16,tableaux!$H:$I,2,0))</f>
        <v/>
      </c>
      <c r="T16" s="925"/>
      <c r="U16" s="925"/>
      <c r="V16" s="925"/>
      <c r="W16" s="925"/>
      <c r="X16" s="1302"/>
      <c r="Y16" s="908">
        <f t="shared" si="0"/>
        <v>0</v>
      </c>
      <c r="Z16" s="908"/>
      <c r="AA16" s="908"/>
    </row>
    <row r="17" spans="1:27" ht="13.8" thickBot="1">
      <c r="A17" s="908"/>
      <c r="B17" s="283" t="s">
        <v>255</v>
      </c>
      <c r="C17" s="216"/>
      <c r="D17" s="216" t="s">
        <v>361</v>
      </c>
      <c r="E17" s="215" t="s">
        <v>133</v>
      </c>
      <c r="F17" s="215" t="s">
        <v>362</v>
      </c>
      <c r="G17" s="274"/>
      <c r="H17" s="274"/>
      <c r="I17" s="274"/>
      <c r="J17" s="276">
        <f>IF(Gestion!W16&gt;0,10,0)</f>
        <v>0</v>
      </c>
      <c r="K17" s="275"/>
      <c r="L17" s="288">
        <f>IF($E17=0,0,IF($G17=0,ROUNDUP(($N17/2),0),$N17)+(IF($H17=0,"0","10"))+(IF($I17=0,"0","10"))+(IF($J17=0,"0",$J17)))</f>
        <v>0</v>
      </c>
      <c r="M17" s="217"/>
      <c r="N17" s="908">
        <f>HLOOKUP(E17,'page 1'!$H$20:$M$23,4,0)</f>
        <v>0</v>
      </c>
      <c r="O17" s="1299"/>
      <c r="P17" s="1233"/>
      <c r="Q17" s="1300"/>
      <c r="R17" s="1301"/>
      <c r="S17" s="924" t="str">
        <f>IF(O17=0,"",VLOOKUP(O17,tableaux!$H:$I,2,0))</f>
        <v/>
      </c>
      <c r="T17" s="925"/>
      <c r="U17" s="925"/>
      <c r="V17" s="925"/>
      <c r="W17" s="925"/>
      <c r="X17" s="1302"/>
      <c r="Y17" s="908">
        <f t="shared" si="0"/>
        <v>0</v>
      </c>
      <c r="Z17" s="908"/>
      <c r="AA17" s="908"/>
    </row>
    <row r="18" spans="1:27" ht="13.8" thickBot="1">
      <c r="A18" s="908"/>
      <c r="B18" s="283" t="s">
        <v>256</v>
      </c>
      <c r="C18" s="216"/>
      <c r="D18" s="216" t="s">
        <v>361</v>
      </c>
      <c r="E18" s="215" t="s">
        <v>135</v>
      </c>
      <c r="F18" s="215" t="s">
        <v>362</v>
      </c>
      <c r="G18" s="274"/>
      <c r="H18" s="274"/>
      <c r="I18" s="274"/>
      <c r="J18" s="276">
        <f>IF(Gestion!W94&gt;0,10,0)</f>
        <v>0</v>
      </c>
      <c r="K18" s="275"/>
      <c r="L18" s="288">
        <f>IF($E18=0,0,IF($G18=0,ROUNDUP(($N18/2),0),$N18)+(IF($H18=0,"0","10"))+(IF($I18=0,"0","10"))+(IF($J18=0,"0",$J18)))+IF(Gestion!W42&gt;0,10,0)</f>
        <v>0</v>
      </c>
      <c r="M18" s="217"/>
      <c r="N18" s="908">
        <f>HLOOKUP(E18,'page 1'!$H$20:$M$23,4,0)</f>
        <v>0</v>
      </c>
      <c r="O18" s="1299"/>
      <c r="P18" s="1233"/>
      <c r="Q18" s="1300"/>
      <c r="R18" s="1301"/>
      <c r="S18" s="924" t="str">
        <f>IF(O18=0,"",VLOOKUP(O18,tableaux!$H:$I,2,0))</f>
        <v/>
      </c>
      <c r="T18" s="925"/>
      <c r="U18" s="925"/>
      <c r="V18" s="925"/>
      <c r="W18" s="925"/>
      <c r="X18" s="1302"/>
      <c r="Y18" s="908">
        <f t="shared" si="0"/>
        <v>0</v>
      </c>
      <c r="Z18" s="908"/>
      <c r="AA18" s="908"/>
    </row>
    <row r="19" spans="1:27" ht="13.8" thickBot="1">
      <c r="A19" s="908"/>
      <c r="B19" s="283" t="s">
        <v>257</v>
      </c>
      <c r="C19" s="216"/>
      <c r="D19" s="216" t="s">
        <v>361</v>
      </c>
      <c r="E19" s="215" t="s">
        <v>131</v>
      </c>
      <c r="F19" s="215" t="s">
        <v>362</v>
      </c>
      <c r="G19" s="274"/>
      <c r="H19" s="274"/>
      <c r="I19" s="274"/>
      <c r="J19" s="276">
        <f>IF(Gestion!W47&gt;0,5,0)</f>
        <v>0</v>
      </c>
      <c r="K19" s="275"/>
      <c r="L19" s="288">
        <f>IF($E19=0,0,IF($G19=0,ROUNDUP(($N19/2),0),$N19)+(IF($H19=0,"0","10"))+(IF($I19=0,"0","10"))+(IF($J19=0,"0",$J19)))</f>
        <v>0</v>
      </c>
      <c r="M19" s="217"/>
      <c r="N19" s="908">
        <f>HLOOKUP(E19,'page 1'!$H$20:$M$23,4,0)</f>
        <v>0</v>
      </c>
      <c r="O19" s="1299"/>
      <c r="P19" s="1233"/>
      <c r="Q19" s="1300"/>
      <c r="R19" s="1301"/>
      <c r="S19" s="924" t="str">
        <f>IF(O19=0,"",VLOOKUP(O19,tableaux!$H:$I,2,0))</f>
        <v/>
      </c>
      <c r="T19" s="925"/>
      <c r="U19" s="925"/>
      <c r="V19" s="925"/>
      <c r="W19" s="925"/>
      <c r="X19" s="1302"/>
      <c r="Y19" s="908">
        <f t="shared" si="0"/>
        <v>0</v>
      </c>
      <c r="Z19" s="908"/>
      <c r="AA19" s="908"/>
    </row>
    <row r="20" spans="1:27" ht="13.8" thickBot="1">
      <c r="A20" s="908"/>
      <c r="B20" s="705" t="s">
        <v>258</v>
      </c>
      <c r="C20" s="706" t="s">
        <v>17592</v>
      </c>
      <c r="D20" s="216" t="s">
        <v>361</v>
      </c>
      <c r="E20" s="215" t="s">
        <v>133</v>
      </c>
      <c r="F20" s="215" t="s">
        <v>362</v>
      </c>
      <c r="G20" s="274"/>
      <c r="H20" s="274"/>
      <c r="I20" s="274"/>
      <c r="J20" s="276">
        <f>IF(Gestion!W117&gt;0,10,0)+IF(Gestion!W4&gt;0,10,0)</f>
        <v>0</v>
      </c>
      <c r="K20" s="275"/>
      <c r="L20" s="288">
        <f>IF($E20=0,0,IF($G20=0,ROUNDUP(($N20/2),0),$N20)+(IF($H20=0,"0","10"))+(IF($I20=0,"0","10"))+(IF($J20=0,"0",$J20)))+IF(Gestion!W117&gt;0,20,0)</f>
        <v>0</v>
      </c>
      <c r="M20" s="217"/>
      <c r="N20" s="908">
        <f>HLOOKUP(E20,'page 1'!$H$20:$M$23,4,0)</f>
        <v>0</v>
      </c>
      <c r="O20" s="1299"/>
      <c r="P20" s="1233"/>
      <c r="Q20" s="1300"/>
      <c r="R20" s="1301"/>
      <c r="S20" s="924" t="str">
        <f>IF(O20=0,"",VLOOKUP(O20,tableaux!$H:$I,2,0))</f>
        <v/>
      </c>
      <c r="T20" s="925"/>
      <c r="U20" s="925"/>
      <c r="V20" s="925"/>
      <c r="W20" s="925"/>
      <c r="X20" s="1302"/>
      <c r="Y20" s="908">
        <f t="shared" si="0"/>
        <v>0</v>
      </c>
      <c r="Z20" s="908"/>
      <c r="AA20" s="908"/>
    </row>
    <row r="21" spans="1:27" ht="13.8" thickBot="1">
      <c r="A21" s="908"/>
      <c r="B21" s="705"/>
      <c r="C21" s="706" t="s">
        <v>14596</v>
      </c>
      <c r="D21" s="701" t="s">
        <v>361</v>
      </c>
      <c r="E21" s="700" t="s">
        <v>133</v>
      </c>
      <c r="F21" s="700" t="s">
        <v>362</v>
      </c>
      <c r="G21" s="274"/>
      <c r="H21" s="274"/>
      <c r="I21" s="274"/>
      <c r="J21" s="702">
        <f>IF(Gestion!W117&gt;0,10,0)+IF(Gestion!W5&gt;0,10,0)</f>
        <v>0</v>
      </c>
      <c r="K21" s="275"/>
      <c r="L21" s="288">
        <f>IF($E21=0,0,IF($G21=0,ROUNDUP(($N21/2),0),$N21)+(IF($H21=0,"0","10"))+(IF($I21=0,"0","10"))+(IF($J21=0,"0",$J21)))+IF(Gestion!W118&gt;0,20,0)</f>
        <v>0</v>
      </c>
      <c r="M21" s="217"/>
      <c r="N21" s="908">
        <f>HLOOKUP(E21,'page 1'!$H$20:$M$23,4,0)</f>
        <v>0</v>
      </c>
      <c r="O21" s="1299"/>
      <c r="P21" s="1233"/>
      <c r="Q21" s="1300"/>
      <c r="R21" s="1301"/>
      <c r="S21" s="924" t="str">
        <f>IF(O21=0,"",VLOOKUP(O21,tableaux!$H:$I,2,0))</f>
        <v/>
      </c>
      <c r="T21" s="925"/>
      <c r="U21" s="925"/>
      <c r="V21" s="925"/>
      <c r="W21" s="925"/>
      <c r="X21" s="1302"/>
      <c r="Y21" s="908">
        <f t="shared" si="0"/>
        <v>0</v>
      </c>
      <c r="Z21" s="908"/>
      <c r="AA21" s="908"/>
    </row>
    <row r="22" spans="1:27" ht="13.8" thickBot="1">
      <c r="A22" s="908"/>
      <c r="B22" s="705"/>
      <c r="C22" s="706" t="s">
        <v>14597</v>
      </c>
      <c r="D22" s="701" t="s">
        <v>361</v>
      </c>
      <c r="E22" s="700" t="s">
        <v>133</v>
      </c>
      <c r="F22" s="700" t="s">
        <v>362</v>
      </c>
      <c r="G22" s="274"/>
      <c r="H22" s="274"/>
      <c r="I22" s="274"/>
      <c r="J22" s="702">
        <f>IF(Gestion!W117&gt;0,10,0)+IF(Gestion!W4&gt;0,10,0)</f>
        <v>0</v>
      </c>
      <c r="K22" s="275"/>
      <c r="L22" s="288">
        <f>IF($E22=0,0,IF($G22=0,ROUNDUP(($N22/2),0),$N22)+(IF($H22=0,"0","10"))+(IF($I22=0,"0","10"))+(IF($J22=0,"0",$J22)))+IF(Gestion!W119&gt;0,20,0)</f>
        <v>0</v>
      </c>
      <c r="M22" s="217"/>
      <c r="N22" s="908">
        <f>HLOOKUP(E22,'page 1'!$H$20:$M$23,4,0)</f>
        <v>0</v>
      </c>
      <c r="O22" s="1299"/>
      <c r="P22" s="1233"/>
      <c r="Q22" s="1300"/>
      <c r="R22" s="1301"/>
      <c r="S22" s="924" t="str">
        <f>IF(O22=0,"",VLOOKUP(O22,tableaux!$H:$I,2,0))</f>
        <v/>
      </c>
      <c r="T22" s="925"/>
      <c r="U22" s="925"/>
      <c r="V22" s="925"/>
      <c r="W22" s="925"/>
      <c r="X22" s="1302"/>
      <c r="Y22" s="908">
        <f t="shared" si="0"/>
        <v>0</v>
      </c>
      <c r="Z22" s="908"/>
      <c r="AA22" s="908"/>
    </row>
    <row r="23" spans="1:27" ht="13.8" thickBot="1">
      <c r="A23" s="908"/>
      <c r="B23" s="705"/>
      <c r="C23" s="706" t="s">
        <v>14598</v>
      </c>
      <c r="D23" s="701" t="s">
        <v>361</v>
      </c>
      <c r="E23" s="700" t="s">
        <v>133</v>
      </c>
      <c r="F23" s="700" t="s">
        <v>362</v>
      </c>
      <c r="G23" s="274"/>
      <c r="H23" s="274"/>
      <c r="I23" s="274"/>
      <c r="J23" s="702">
        <f>IF(Gestion!W117&gt;0,10,0)+IF(Gestion!W7&gt;0,10,0)</f>
        <v>0</v>
      </c>
      <c r="K23" s="275"/>
      <c r="L23" s="288">
        <f>IF($E23=0,0,IF($G23=0,ROUNDUP(($N23/2),0),$N23)+(IF($H23=0,"0","10"))+(IF($I23=0,"0","10"))+(IF($J23=0,"0",$J23)))+IF(Gestion!W120&gt;0,20,0)</f>
        <v>0</v>
      </c>
      <c r="M23" s="217"/>
      <c r="N23" s="908">
        <f>HLOOKUP(E23,'page 1'!$H$20:$M$23,4,0)</f>
        <v>0</v>
      </c>
      <c r="O23" s="1299"/>
      <c r="P23" s="1233"/>
      <c r="Q23" s="1300"/>
      <c r="R23" s="1301"/>
      <c r="S23" s="924" t="str">
        <f>IF(O23=0,"",VLOOKUP(O23,tableaux!$H:$I,2,0))</f>
        <v/>
      </c>
      <c r="T23" s="925"/>
      <c r="U23" s="925"/>
      <c r="V23" s="925"/>
      <c r="W23" s="925"/>
      <c r="X23" s="1302"/>
      <c r="Y23" s="908">
        <f t="shared" si="0"/>
        <v>0</v>
      </c>
      <c r="Z23" s="908"/>
      <c r="AA23" s="908"/>
    </row>
    <row r="24" spans="1:27" ht="13.8" thickBot="1">
      <c r="A24" s="908"/>
      <c r="B24" s="705"/>
      <c r="C24" s="706" t="s">
        <v>14599</v>
      </c>
      <c r="D24" s="701" t="s">
        <v>361</v>
      </c>
      <c r="E24" s="700" t="s">
        <v>133</v>
      </c>
      <c r="F24" s="700" t="s">
        <v>362</v>
      </c>
      <c r="G24" s="274"/>
      <c r="H24" s="274"/>
      <c r="I24" s="274"/>
      <c r="J24" s="702">
        <f>IF(Gestion!W117&gt;0,10,0)+IF(Gestion!W8,10,0)</f>
        <v>0</v>
      </c>
      <c r="K24" s="275"/>
      <c r="L24" s="288">
        <f>IF($E24=0,0,IF($G24=0,ROUNDUP(($N24/2),0),$N24)+(IF($H24=0,"0","10"))+(IF($I24=0,"0","10"))+(IF($J24=0,"0",$J24)))+IF(Gestion!W121&gt;0,20,0)</f>
        <v>0</v>
      </c>
      <c r="M24" s="217"/>
      <c r="N24" s="908">
        <f>HLOOKUP(E24,'page 1'!$H$20:$M$23,4,0)</f>
        <v>0</v>
      </c>
      <c r="O24" s="1299"/>
      <c r="P24" s="1233"/>
      <c r="Q24" s="1300"/>
      <c r="R24" s="1301"/>
      <c r="S24" s="924" t="str">
        <f>IF(O24=0,"",VLOOKUP(O24,tableaux!$H:$I,2,0))</f>
        <v/>
      </c>
      <c r="T24" s="925"/>
      <c r="U24" s="925"/>
      <c r="V24" s="925"/>
      <c r="W24" s="925"/>
      <c r="X24" s="1302"/>
      <c r="Y24" s="908">
        <f t="shared" si="0"/>
        <v>0</v>
      </c>
      <c r="Z24" s="908"/>
      <c r="AA24" s="908"/>
    </row>
    <row r="25" spans="1:27" ht="13.8" thickBot="1">
      <c r="A25" s="908"/>
      <c r="B25" s="283" t="s">
        <v>259</v>
      </c>
      <c r="C25" s="216"/>
      <c r="D25" s="216" t="s">
        <v>361</v>
      </c>
      <c r="E25" s="215" t="s">
        <v>148</v>
      </c>
      <c r="F25" s="215" t="s">
        <v>362</v>
      </c>
      <c r="G25" s="274"/>
      <c r="H25" s="274"/>
      <c r="I25" s="274"/>
      <c r="J25" s="276">
        <f>IF(Gestion!W53&gt;0,10,0)</f>
        <v>0</v>
      </c>
      <c r="K25" s="275"/>
      <c r="L25" s="288">
        <f>IF($E25=0,0,IF($G25=0,ROUNDUP(($N25/2),0),$N25)+(IF($H25=0,"0","10"))+(IF($I25=0,"0","10"))+(IF($J25=0,"0",$J25)))</f>
        <v>0</v>
      </c>
      <c r="M25" s="217"/>
      <c r="N25" s="908">
        <f>HLOOKUP(E25,'page 1'!$H$20:$M$23,4,0)</f>
        <v>0</v>
      </c>
      <c r="O25" s="1299"/>
      <c r="P25" s="1233"/>
      <c r="Q25" s="1300"/>
      <c r="R25" s="1301"/>
      <c r="S25" s="924" t="str">
        <f>IF(O25=0,"",VLOOKUP(O25,tableaux!$H:$I,2,0))</f>
        <v/>
      </c>
      <c r="T25" s="925"/>
      <c r="U25" s="925"/>
      <c r="V25" s="925"/>
      <c r="W25" s="925"/>
      <c r="X25" s="1302"/>
      <c r="Y25" s="908">
        <f t="shared" si="0"/>
        <v>0</v>
      </c>
      <c r="Z25" s="908"/>
      <c r="AA25" s="908"/>
    </row>
    <row r="26" spans="1:27" ht="13.8" thickBot="1">
      <c r="A26" s="908"/>
      <c r="B26" s="283" t="s">
        <v>260</v>
      </c>
      <c r="C26" s="216"/>
      <c r="D26" s="216" t="s">
        <v>361</v>
      </c>
      <c r="E26" s="215" t="s">
        <v>133</v>
      </c>
      <c r="F26" s="215" t="s">
        <v>362</v>
      </c>
      <c r="G26" s="274"/>
      <c r="H26" s="274"/>
      <c r="I26" s="274"/>
      <c r="J26" s="276">
        <f>IF(Gestion!W46&gt;0,10,0)</f>
        <v>0</v>
      </c>
      <c r="K26" s="275"/>
      <c r="L26" s="288">
        <f>IF($E26=0,0,IF($G26=0,ROUNDUP(($N26/2),0),$N26)+(IF($H26=0,"0","10"))+(IF($I26=0,"0","10"))+(IF($J26=0,"0",$J26)))</f>
        <v>0</v>
      </c>
      <c r="M26" s="217"/>
      <c r="N26" s="908">
        <f>HLOOKUP(E26,'page 1'!$H$20:$M$23,4,0)</f>
        <v>0</v>
      </c>
      <c r="O26" s="1299"/>
      <c r="P26" s="1233"/>
      <c r="Q26" s="1300"/>
      <c r="R26" s="1301"/>
      <c r="S26" s="924" t="str">
        <f>IF(O26=0,"",VLOOKUP(O26,tableaux!$H:$I,2,0))</f>
        <v/>
      </c>
      <c r="T26" s="925"/>
      <c r="U26" s="925"/>
      <c r="V26" s="925"/>
      <c r="W26" s="925"/>
      <c r="X26" s="1302"/>
      <c r="Y26" s="908">
        <f t="shared" si="0"/>
        <v>0</v>
      </c>
      <c r="Z26" s="908"/>
      <c r="AA26" s="908"/>
    </row>
    <row r="27" spans="1:27" ht="15.75" customHeight="1" thickBot="1">
      <c r="A27" s="908"/>
      <c r="B27" s="284" t="s">
        <v>261</v>
      </c>
      <c r="C27" s="285"/>
      <c r="D27" s="285" t="s">
        <v>361</v>
      </c>
      <c r="E27" s="286" t="s">
        <v>133</v>
      </c>
      <c r="F27" s="286" t="s">
        <v>362</v>
      </c>
      <c r="G27" s="287"/>
      <c r="H27" s="287"/>
      <c r="I27" s="287"/>
      <c r="J27" s="276"/>
      <c r="K27" s="275"/>
      <c r="L27" s="288">
        <f>IF($E27=0,0,IF($G27=0,ROUNDUP(($N27/2),0),$N27)+(IF($H27=0,"0","10"))+(IF($I27=0,"0","10"))+(IF($J27=0,"0",$J27)))</f>
        <v>0</v>
      </c>
      <c r="M27" s="217"/>
      <c r="N27" s="908">
        <f>HLOOKUP(E27,'page 1'!$H$20:$M$23,4,0)</f>
        <v>0</v>
      </c>
      <c r="O27" s="1299"/>
      <c r="P27" s="1233"/>
      <c r="Q27" s="1300"/>
      <c r="R27" s="1301"/>
      <c r="S27" s="924" t="str">
        <f>IF(O27=0,"",VLOOKUP(O27,tableaux!$H:$I,2,0))</f>
        <v/>
      </c>
      <c r="T27" s="925"/>
      <c r="U27" s="925"/>
      <c r="V27" s="925"/>
      <c r="W27" s="925"/>
      <c r="X27" s="1302"/>
      <c r="Y27" s="908">
        <f t="shared" si="0"/>
        <v>0</v>
      </c>
      <c r="Z27" s="908"/>
      <c r="AA27" s="908"/>
    </row>
    <row r="28" spans="1:27" ht="12.75" customHeight="1">
      <c r="A28" s="908"/>
      <c r="B28" s="217"/>
      <c r="C28" s="217"/>
      <c r="D28" s="217"/>
      <c r="E28" s="217"/>
      <c r="F28" s="217"/>
      <c r="G28" s="217"/>
      <c r="H28" s="217"/>
      <c r="I28" s="217"/>
      <c r="J28" s="217"/>
      <c r="K28" s="217"/>
      <c r="L28" s="217"/>
      <c r="M28" s="217"/>
      <c r="N28" s="908"/>
      <c r="O28" s="217"/>
      <c r="P28" s="217"/>
      <c r="Q28" s="217"/>
      <c r="R28" s="217"/>
      <c r="S28" s="217"/>
      <c r="T28" s="217"/>
      <c r="U28" s="217"/>
      <c r="V28" s="217"/>
      <c r="W28" s="217"/>
      <c r="X28" s="217"/>
      <c r="Y28" s="908"/>
      <c r="Z28" s="908"/>
      <c r="AA28" s="908"/>
    </row>
    <row r="29" spans="1:27" ht="15.6">
      <c r="A29" s="908"/>
      <c r="B29" s="1138" t="s">
        <v>262</v>
      </c>
      <c r="C29" s="1138"/>
      <c r="D29" s="217"/>
      <c r="E29" s="217"/>
      <c r="F29" s="217"/>
      <c r="G29" s="217"/>
      <c r="H29" s="217"/>
      <c r="I29" s="217"/>
      <c r="J29" s="217"/>
      <c r="K29" s="217"/>
      <c r="L29" s="217"/>
      <c r="M29" s="217"/>
      <c r="N29" s="908"/>
      <c r="O29" s="1054" t="s">
        <v>4494</v>
      </c>
      <c r="P29" s="1054"/>
      <c r="Q29" s="217"/>
      <c r="R29" s="217"/>
      <c r="S29" s="654"/>
      <c r="T29" s="1298" t="s">
        <v>8804</v>
      </c>
      <c r="U29" s="1298"/>
      <c r="V29" s="1298"/>
      <c r="W29" s="1298"/>
      <c r="X29" s="217"/>
      <c r="Y29" s="908"/>
      <c r="Z29" s="908"/>
      <c r="AA29" s="908"/>
    </row>
    <row r="30" spans="1:27" ht="13.8" thickBot="1">
      <c r="A30" s="908"/>
      <c r="B30" s="290" t="s">
        <v>2615</v>
      </c>
      <c r="C30" s="291" t="s">
        <v>2614</v>
      </c>
      <c r="D30" s="291"/>
      <c r="E30" s="292" t="s">
        <v>234</v>
      </c>
      <c r="F30" s="292"/>
      <c r="G30" s="293" t="s">
        <v>235</v>
      </c>
      <c r="H30" s="294" t="s">
        <v>236</v>
      </c>
      <c r="I30" s="294" t="s">
        <v>237</v>
      </c>
      <c r="J30" s="292" t="s">
        <v>238</v>
      </c>
      <c r="K30" s="292"/>
      <c r="L30" s="292" t="s">
        <v>239</v>
      </c>
      <c r="M30" s="217"/>
      <c r="N30" s="908"/>
      <c r="O30" s="302" t="s">
        <v>201</v>
      </c>
      <c r="P30" s="1315" t="s">
        <v>4495</v>
      </c>
      <c r="Q30" s="1316"/>
      <c r="R30" s="365" t="s">
        <v>4352</v>
      </c>
      <c r="S30" s="654"/>
      <c r="T30" s="302" t="s">
        <v>201</v>
      </c>
      <c r="U30" s="1303" t="s">
        <v>8803</v>
      </c>
      <c r="V30" s="1304"/>
      <c r="W30" s="1305"/>
      <c r="X30" s="367" t="s">
        <v>4352</v>
      </c>
      <c r="Y30" s="908"/>
      <c r="Z30" s="908"/>
      <c r="AA30" s="908"/>
    </row>
    <row r="31" spans="1:27" ht="13.8" thickBot="1">
      <c r="A31" s="908">
        <f>IF(B31="Métier",1,IF(B31="Alphabet secret",2,IF(B31="Langage secret",3,IF(B31="Expression artistique",4,IF(B31="Langage mystique",5,IF(B31="Langue",6,IF(B31="Connaissances générales",8,IF(B31="Connaissances académiques",9,0))))))))</f>
        <v>0</v>
      </c>
      <c r="B31" s="295"/>
      <c r="C31" s="270"/>
      <c r="D31" s="216" t="s">
        <v>361</v>
      </c>
      <c r="E31" s="271">
        <f>IF(A31=1,VLOOKUP(C31,tableaux!DD:DE,2,0),IF($B31=0,,VLOOKUP($B31,tableaux!$J$2:$K$28,2,0)))</f>
        <v>0</v>
      </c>
      <c r="F31" s="215" t="s">
        <v>362</v>
      </c>
      <c r="G31" s="274"/>
      <c r="H31" s="274"/>
      <c r="I31" s="274"/>
      <c r="J31" s="289" t="str">
        <f t="shared" ref="J31:J55" si="1">IF(K31&lt;&gt;FALSE,K31,0)</f>
        <v/>
      </c>
      <c r="K31" s="275" t="str">
        <f>IF(B31="","",(IF(C31="Artiste",IF(Gestion!$W$125&gt;0,10,0),IF(B31="Orientation",IF(Gestion!$W$16+Gestion!$W$118&gt;1,20,IF(OR(Gestion!$W$118&gt;0,Gestion!$W$16&gt;0),10,IF(Gestion!$W$16&gt;1,10))),(IF(B31="Crochetage",IF(Gestion!$W$17&gt;0,10,0),(IF(B31="Lire/écrire",IF(Gestion!$W$72&gt;0,10,0),(IF(B31="Langue",IF(Gestion!$W$72+Gestion!$W$59+Gestion!$W$63&gt;2,30,IF(Gestion!$W$59+Gestion!$W$63&gt;1,20,IF(Gestion!$W$63+Gestion!$W$72&gt;1,20,IF(Gestion!$W$59+Gestion!$W$72&gt;1,20,IF(Gestion!$W$59&gt;0,10,IF(Gestion!$W$63&gt;0,10,IF(Gestion!$W$72&gt;0,10))))))),(IF(B31="Torture",IF(Gestion!$W$86&gt;0,10,0),IF(AND(B31="Esquive",OR('page 2'!$P$31="Danse du Destin",'page 2'!$P$32="Danse du Destin",'page 2'!$P$33="Danse du Destin",'page 2'!$P$34="Danse du Destin")),10,(IF(B31="Métier",IF(Gestion!$W$115&gt;0,10,0),(IF(B31="Soins",IF(Gestion!$W$24&gt;0,10,0),(IF(B31="Connaissances Générales",IF(Gestion!$W$59+Gestion!$W$93&gt;1,20,IF(Gestion!$W$93&gt;0,10,IF(Gestion!$W$59&gt;0,10,0))),(IF(B31="Focalisation",IF(Gestion!$W$62&gt;0,10,0),(IF(B31="Sens de la Magie",IF(Gestion!$W$62&gt;0,10,0),(IF(B31="Expression Artistique",IF(Gestion!$W$90&gt;0,10,0),(IF(B31="Lecture sur les lèvres",IF(Gestion!$W$8&gt;0,10,0),(IF(B31="Pistage",IF(Gestion!$W$5&gt;0,10,0),(IF(B31="Baratin",IF(Gestion!$W$94&gt;0,10,0),(IF(B31="Navigation",IF(Gestion!$W$93+Gestion!$W$47&gt;1,25,IF(Gestion!$W$93&gt;0,20,IF(Gestion!$W$47&gt;0,5,0))))))))))))))))))))))))))))))))))))</f>
        <v/>
      </c>
      <c r="L31" s="288">
        <f t="shared" ref="L31:L55" si="2">IF($E31=0,0,IF($G31=0,ROUNDUP(($N31/2),0),$N31)+(IF($H31=0,"0","10"))+(IF($I31=0,"0","10"))+(IF($J31=0,"0",$J31)))</f>
        <v>0</v>
      </c>
      <c r="M31" s="217"/>
      <c r="N31" s="908">
        <f>IF(E31=0,0,HLOOKUP(E31,'page 1'!$H$20:$M$23,4,0))</f>
        <v>0</v>
      </c>
      <c r="O31" s="301"/>
      <c r="P31" s="1308"/>
      <c r="Q31" s="1309"/>
      <c r="R31" s="365" t="str">
        <f>IF(P31="","",VLOOKUP(P31,tableaux!EM:EP,4,FALSE))</f>
        <v/>
      </c>
      <c r="S31" s="654" t="str">
        <f>IF(O31="","",IF(O31="V. du Graal",1,IF(O31="Don de la Dame",2,IF(O31="V. du Chevalier",3,IF(O31="R. du Chaos",4,IF(O31="D. du Sang",5,IF(O31="D. de Khorne",6,IF(O31="D. de Nurgle",7,IF(O31="D. de Tzeentch",8,IF(O31="D. de Slaanesh",9,IF(O31="D. de Khaine",10,"")))))))))))</f>
        <v/>
      </c>
      <c r="T31" s="369"/>
      <c r="U31" s="1306"/>
      <c r="V31" s="1283"/>
      <c r="W31" s="1307"/>
      <c r="X31" s="365" t="str">
        <f>IF(U31="","",VLOOKUP(U31,tableaux!GG:GI,3,FALSE))</f>
        <v/>
      </c>
      <c r="Y31" s="908" t="str">
        <f>IF(T31="","",VLOOKUP('page 2'!T31,tableaux!GJ:GK,2,FALSE))</f>
        <v/>
      </c>
      <c r="Z31" s="908"/>
      <c r="AA31" s="908"/>
    </row>
    <row r="32" spans="1:27" ht="13.8" thickBot="1">
      <c r="A32" s="908">
        <f t="shared" ref="A32:A54" si="3">IF(B32="Métier",1,IF(B32="Alphabet secret",2,IF(B32="Langage secret",3,IF(B32="Expression artistique",4,IF(B32="Langage mystique",5,IF(B32="Langue",6,IF(B32="Connaissances générales",8,IF(B32="Connaissances académiques",9,0))))))))</f>
        <v>0</v>
      </c>
      <c r="B32" s="295"/>
      <c r="C32" s="270"/>
      <c r="D32" s="216" t="s">
        <v>361</v>
      </c>
      <c r="E32" s="271">
        <f>IF(A32=1,VLOOKUP(C32,tableaux!DD:DE,2,0),IF($B32=0,,VLOOKUP($B32,tableaux!$J$2:$K$28,2,0)))</f>
        <v>0</v>
      </c>
      <c r="F32" s="215" t="s">
        <v>362</v>
      </c>
      <c r="G32" s="274"/>
      <c r="H32" s="274"/>
      <c r="I32" s="274"/>
      <c r="J32" s="289" t="str">
        <f t="shared" si="1"/>
        <v/>
      </c>
      <c r="K32" s="275" t="str">
        <f>IF(B32="","",(IF(C32="Artiste",IF(Gestion!$W$125&gt;0,10,0),IF(B32="Orientation",IF(Gestion!$W$16+Gestion!$W$118&gt;1,20,IF(OR(Gestion!$W$118&gt;0,Gestion!$W$16&gt;0),10,IF(Gestion!$W$16&gt;1,10))),(IF(B32="Crochetage",IF(Gestion!$W$17&gt;0,10,0),(IF(B32="Lire/écrire",IF(Gestion!$W$72&gt;0,10,0),(IF(B32="Langue",IF(Gestion!$W$72+Gestion!$W$59+Gestion!$W$63&gt;2,30,IF(Gestion!$W$59+Gestion!$W$63&gt;1,20,IF(Gestion!$W$63+Gestion!$W$72&gt;1,20,IF(Gestion!$W$59+Gestion!$W$72&gt;1,20,IF(Gestion!$W$59&gt;0,10,IF(Gestion!$W$63&gt;0,10,IF(Gestion!$W$72&gt;0,10))))))),(IF(B32="Torture",IF(Gestion!$W$86&gt;0,10,0),IF(AND(B32="Esquive",OR('page 2'!$P$31="Danse du Destin",'page 2'!$P$32="Danse du Destin",'page 2'!$P$33="Danse du Destin",'page 2'!$P$34="Danse du Destin")),10,(IF(B32="Métier",IF(Gestion!$W$115&gt;0,10,0),(IF(B32="Soins",IF(Gestion!$W$24&gt;0,10,0),(IF(B32="Connaissances Générales",IF(Gestion!$W$59+Gestion!$W$93&gt;1,20,IF(Gestion!$W$93&gt;0,10,IF(Gestion!$W$59&gt;0,10,0))),(IF(B32="Focalisation",IF(Gestion!$W$62&gt;0,10,0),(IF(B32="Sens de la Magie",IF(Gestion!$W$62&gt;0,10,0),(IF(B32="Expression Artistique",IF(Gestion!$W$63&gt;0,10,0),(IF(B32="Lecture sur les lèvres",IF(Gestion!$W$8&gt;0,10,0),(IF(B32="Pistage",IF(Gestion!$W$5&gt;0,10,0),(IF(B32="Baratin",IF(Gestion!$W$94&gt;0,10,0),(IF(B32="Navigation",IF(Gestion!$W$93+Gestion!$W$47&gt;1,25,IF(Gestion!$W$93&gt;0,20,IF(Gestion!$W$47&gt;0,5,0))))))))))))))))))))))))))))))))))))</f>
        <v/>
      </c>
      <c r="L32" s="288">
        <f t="shared" si="2"/>
        <v>0</v>
      </c>
      <c r="M32" s="217"/>
      <c r="N32" s="908">
        <f>IF(E32=0,0,HLOOKUP(E32,'page 1'!$H$20:$M$23,4,0))</f>
        <v>0</v>
      </c>
      <c r="O32" s="301"/>
      <c r="P32" s="1308"/>
      <c r="Q32" s="1309"/>
      <c r="R32" s="365" t="str">
        <f>IF(P32="","",VLOOKUP(P32,tableaux!EM:EP,4,FALSE))</f>
        <v/>
      </c>
      <c r="S32" s="654" t="str">
        <f t="shared" ref="S32:S34" si="4">IF(O32="","",IF(O32="V. du Graal",1,IF(O32="Don de la Dame",2,IF(O32="V. du Chevalier",3,IF(O32="R. du Chaos",4,IF(O32="D. du Sang",5,IF(O32="D. de Khorne",6,IF(O32="D. de Nurgle",7,IF(O32="D. de Tzeentch",8,IF(O32="D. de Slaanesh",9,IF(O32="D. de Khaine",10,"")))))))))))</f>
        <v/>
      </c>
      <c r="T32" s="369"/>
      <c r="U32" s="1306"/>
      <c r="V32" s="1283"/>
      <c r="W32" s="1307"/>
      <c r="X32" s="767" t="str">
        <f>IF(U32="","",VLOOKUP(U32,tableaux!GG:GI,3,FALSE))</f>
        <v/>
      </c>
      <c r="Y32" s="908" t="str">
        <f>IF(T32="","",VLOOKUP('page 2'!T32,tableaux!GJ:GK,2,FALSE))</f>
        <v/>
      </c>
      <c r="Z32" s="908"/>
      <c r="AA32" s="908"/>
    </row>
    <row r="33" spans="1:28" ht="16.2" customHeight="1" thickBot="1">
      <c r="A33" s="908">
        <f t="shared" si="3"/>
        <v>0</v>
      </c>
      <c r="B33" s="295"/>
      <c r="C33" s="270"/>
      <c r="D33" s="216" t="s">
        <v>361</v>
      </c>
      <c r="E33" s="271">
        <f>IF(A33=1,VLOOKUP(C33,tableaux!DD:DE,2,0),IF($B33=0,,VLOOKUP($B33,tableaux!$J$2:$K$28,2,0)))</f>
        <v>0</v>
      </c>
      <c r="F33" s="215" t="s">
        <v>362</v>
      </c>
      <c r="G33" s="274"/>
      <c r="H33" s="274"/>
      <c r="I33" s="274"/>
      <c r="J33" s="289" t="str">
        <f t="shared" si="1"/>
        <v/>
      </c>
      <c r="K33" s="275" t="str">
        <f>IF(B33="","",(IF(C33="Artiste",IF(Gestion!$W$125&gt;0,10,0),IF(B33="Orientation",IF(Gestion!$W$16+Gestion!$W$118&gt;1,20,IF(OR(Gestion!$W$118&gt;0,Gestion!$W$16&gt;0),10,IF(Gestion!$W$16&gt;1,10))),(IF(B33="Crochetage",IF(Gestion!$W$17&gt;0,10,0),(IF(B33="Lire/écrire",IF(Gestion!$W$72&gt;0,10,0),(IF(B33="Langue",IF(Gestion!$W$72+Gestion!$W$59+Gestion!$W$63&gt;2,30,IF(Gestion!$W$59+Gestion!$W$63&gt;1,20,IF(Gestion!$W$63+Gestion!$W$72&gt;1,20,IF(Gestion!$W$59+Gestion!$W$72&gt;1,20,IF(Gestion!$W$59&gt;0,10,IF(Gestion!$W$63&gt;0,10,IF(Gestion!$W$72&gt;0,10))))))),(IF(B33="Torture",IF(Gestion!$W$86&gt;0,10,0),IF(AND(B33="Esquive",OR('page 2'!$P$31="Danse du Destin",'page 2'!$P$32="Danse du Destin",'page 2'!$P$33="Danse du Destin",'page 2'!$P$34="Danse du Destin")),10,(IF(B33="Métier",IF(Gestion!$W$115&gt;0,10,0),(IF(B33="Soins",IF(Gestion!$W$24&gt;0,10,0),(IF(B33="Connaissances Générales",IF(Gestion!$W$59+Gestion!$W$93&gt;1,20,IF(Gestion!$W$93&gt;0,10,IF(Gestion!$W$59&gt;0,10,0))),(IF(B33="Focalisation",IF(Gestion!$W$62&gt;0,10,0),(IF(B33="Sens de la Magie",IF(Gestion!$W$62&gt;0,10,0),(IF(B33="Expression Artistique",IF(Gestion!$W$63&gt;0,10,0),(IF(B33="Lecture sur les lèvres",IF(Gestion!$W$8&gt;0,10,0),(IF(B33="Pistage",IF(Gestion!$W$5&gt;0,10,0),(IF(B33="Baratin",IF(Gestion!$W$94&gt;0,10,0),(IF(B33="Navigation",IF(Gestion!$W$93+Gestion!$W$47&gt;1,25,IF(Gestion!$W$93&gt;0,20,IF(Gestion!$W$47&gt;0,5,0))))))))))))))))))))))))))))))))))))</f>
        <v/>
      </c>
      <c r="L33" s="288">
        <f t="shared" si="2"/>
        <v>0</v>
      </c>
      <c r="M33" s="217"/>
      <c r="N33" s="908">
        <f>IF(E33=0,0,HLOOKUP(E33,'page 1'!$H$20:$M$23,4,0))</f>
        <v>0</v>
      </c>
      <c r="O33" s="370"/>
      <c r="P33" s="1308"/>
      <c r="Q33" s="1309"/>
      <c r="R33" s="365" t="str">
        <f>IF(P33="","",VLOOKUP(P33,tableaux!EM:EP,4,FALSE))</f>
        <v/>
      </c>
      <c r="S33" s="654" t="str">
        <f t="shared" si="4"/>
        <v/>
      </c>
      <c r="T33" s="369"/>
      <c r="U33" s="1306"/>
      <c r="V33" s="1283"/>
      <c r="W33" s="1307"/>
      <c r="X33" s="767" t="str">
        <f>IF(U33="","",VLOOKUP(U33,tableaux!GG:GI,3,FALSE))</f>
        <v/>
      </c>
      <c r="Y33" s="908" t="str">
        <f>IF(T33="","",VLOOKUP('page 2'!T33,tableaux!GJ:GK,2,FALSE))</f>
        <v/>
      </c>
      <c r="Z33" s="908"/>
      <c r="AA33" s="908"/>
    </row>
    <row r="34" spans="1:28" ht="13.8" thickBot="1">
      <c r="A34" s="908">
        <f t="shared" si="3"/>
        <v>0</v>
      </c>
      <c r="B34" s="295"/>
      <c r="C34" s="270"/>
      <c r="D34" s="216" t="s">
        <v>361</v>
      </c>
      <c r="E34" s="271">
        <f>IF(A34=1,VLOOKUP(C34,tableaux!DD:DE,2,0),IF($B34=0,,VLOOKUP($B34,tableaux!$J$2:$K$28,2,0)))</f>
        <v>0</v>
      </c>
      <c r="F34" s="215" t="s">
        <v>362</v>
      </c>
      <c r="G34" s="274"/>
      <c r="H34" s="274"/>
      <c r="I34" s="274"/>
      <c r="J34" s="289" t="str">
        <f t="shared" si="1"/>
        <v/>
      </c>
      <c r="K34" s="275" t="str">
        <f>IF(B34="","",(IF(C34="Artiste",IF(Gestion!$W$125&gt;0,10,0),IF(B34="Orientation",IF(Gestion!$W$16+Gestion!$W$118&gt;1,20,IF(OR(Gestion!$W$118&gt;0,Gestion!$W$16&gt;0),10,IF(Gestion!$W$16&gt;1,10))),(IF(B34="Crochetage",IF(Gestion!$W$17&gt;0,10,0),(IF(B34="Lire/écrire",IF(Gestion!$W$72&gt;0,10,0),(IF(B34="Langue",IF(Gestion!$W$72+Gestion!$W$59+Gestion!$W$63&gt;2,30,IF(Gestion!$W$59+Gestion!$W$63&gt;1,20,IF(Gestion!$W$63+Gestion!$W$72&gt;1,20,IF(Gestion!$W$59+Gestion!$W$72&gt;1,20,IF(Gestion!$W$59&gt;0,10,IF(Gestion!$W$63&gt;0,10,IF(Gestion!$W$72&gt;0,10))))))),(IF(B34="Torture",IF(Gestion!$W$86&gt;0,10,0),IF(AND(B34="Esquive",OR('page 2'!$P$31="Danse du Destin",'page 2'!$P$32="Danse du Destin",'page 2'!$P$33="Danse du Destin",'page 2'!$P$34="Danse du Destin")),10,(IF(B34="Métier",IF(Gestion!$W$115&gt;0,10,0),(IF(B34="Soins",IF(Gestion!$W$24&gt;0,10,0),(IF(B34="Connaissances Générales",IF(Gestion!$W$59+Gestion!$W$93&gt;1,20,IF(Gestion!$W$93&gt;0,10,IF(Gestion!$W$59&gt;0,10,0))),(IF(B34="Focalisation",IF(Gestion!$W$62&gt;0,10,0),(IF(B34="Sens de la Magie",IF(Gestion!$W$62&gt;0,10,0),(IF(B34="Expression Artistique",IF(Gestion!$W$63&gt;0,10,0),(IF(B34="Lecture sur les lèvres",IF(Gestion!$W$8&gt;0,10,0),(IF(B34="Pistage",IF(Gestion!$W$5&gt;0,10,0),(IF(B34="Baratin",IF(Gestion!$W$94&gt;0,10,0),(IF(B34="Navigation",IF(Gestion!$W$93+Gestion!$W$47&gt;1,25,IF(Gestion!$W$93&gt;0,20,IF(Gestion!$W$47&gt;0,5,0))))))))))))))))))))))))))))))))))))</f>
        <v/>
      </c>
      <c r="L34" s="288">
        <f t="shared" si="2"/>
        <v>0</v>
      </c>
      <c r="M34" s="217"/>
      <c r="N34" s="908">
        <f>IF(E34=0,0,HLOOKUP(E34,'page 1'!$H$20:$M$23,4,0))</f>
        <v>0</v>
      </c>
      <c r="O34" s="371"/>
      <c r="P34" s="1308"/>
      <c r="Q34" s="1309"/>
      <c r="R34" s="365" t="str">
        <f>IF(P34="","",VLOOKUP(P34,tableaux!EM:EP,4,FALSE))</f>
        <v/>
      </c>
      <c r="S34" s="654" t="str">
        <f t="shared" si="4"/>
        <v/>
      </c>
      <c r="T34" s="369"/>
      <c r="U34" s="1306"/>
      <c r="V34" s="1283"/>
      <c r="W34" s="1307"/>
      <c r="X34" s="767" t="str">
        <f>IF(U34="","",VLOOKUP(U34,tableaux!GG:GI,3,FALSE))</f>
        <v/>
      </c>
      <c r="Y34" s="908" t="str">
        <f>IF(T34="","",VLOOKUP('page 2'!T34,tableaux!GJ:GK,2,FALSE))</f>
        <v/>
      </c>
      <c r="Z34" s="908"/>
      <c r="AA34" s="908"/>
    </row>
    <row r="35" spans="1:28" ht="13.8" thickBot="1">
      <c r="A35" s="908">
        <f t="shared" si="3"/>
        <v>0</v>
      </c>
      <c r="B35" s="295"/>
      <c r="C35" s="270"/>
      <c r="D35" s="216" t="s">
        <v>361</v>
      </c>
      <c r="E35" s="271">
        <f>IF(A35=1,VLOOKUP(C35,tableaux!DD:DE,2,0),IF($B35=0,,VLOOKUP($B35,tableaux!$J$2:$K$28,2,0)))</f>
        <v>0</v>
      </c>
      <c r="F35" s="215" t="s">
        <v>362</v>
      </c>
      <c r="G35" s="274"/>
      <c r="H35" s="274"/>
      <c r="I35" s="274"/>
      <c r="J35" s="289" t="str">
        <f t="shared" si="1"/>
        <v/>
      </c>
      <c r="K35" s="275" t="str">
        <f>IF(B35="","",(IF(C35="Artiste",IF(Gestion!$W$125&gt;0,10,0),IF(B35="Orientation",IF(Gestion!$W$16+Gestion!$W$118&gt;1,20,IF(OR(Gestion!$W$118&gt;0,Gestion!$W$16&gt;0),10,IF(Gestion!$W$16&gt;1,10))),(IF(B35="Crochetage",IF(Gestion!$W$17&gt;0,10,0),(IF(B35="Lire/écrire",IF(Gestion!$W$72&gt;0,10,0),(IF(B35="Langue",IF(Gestion!$W$72+Gestion!$W$59+Gestion!$W$63&gt;2,30,IF(Gestion!$W$59+Gestion!$W$63&gt;1,20,IF(Gestion!$W$63+Gestion!$W$72&gt;1,20,IF(Gestion!$W$59+Gestion!$W$72&gt;1,20,IF(Gestion!$W$59&gt;0,10,IF(Gestion!$W$63&gt;0,10,IF(Gestion!$W$72&gt;0,10))))))),(IF(B35="Torture",IF(Gestion!$W$86&gt;0,10,0),IF(AND(B35="Esquive",OR('page 2'!$P$31="Danse du Destin",'page 2'!$P$32="Danse du Destin",'page 2'!$P$33="Danse du Destin",'page 2'!$P$34="Danse du Destin")),10,(IF(B35="Métier",IF(Gestion!$W$115&gt;0,10,0),(IF(B35="Soins",IF(Gestion!$W$24&gt;0,10,0),(IF(B35="Connaissances Générales",IF(Gestion!$W$59+Gestion!$W$93&gt;1,20,IF(Gestion!$W$93&gt;0,10,IF(Gestion!$W$59&gt;0,10,0))),(IF(B35="Focalisation",IF(Gestion!$W$62&gt;0,10,0),(IF(B35="Sens de la Magie",IF(Gestion!$W$62&gt;0,10,0),(IF(B35="Expression Artistique",IF(Gestion!$W$63&gt;0,10,0),(IF(B35="Lecture sur les lèvres",IF(Gestion!$W$8&gt;0,10,0),(IF(B35="Pistage",IF(Gestion!$W$5&gt;0,10,0),(IF(B35="Baratin",IF(Gestion!$W$94&gt;0,10,0),(IF(B35="Navigation",IF(Gestion!$W$93+Gestion!$W$47&gt;1,25,IF(Gestion!$W$93&gt;0,20,IF(Gestion!$W$47&gt;0,5,0))))))))))))))))))))))))))))))))))))</f>
        <v/>
      </c>
      <c r="L35" s="288">
        <f t="shared" si="2"/>
        <v>0</v>
      </c>
      <c r="M35" s="217"/>
      <c r="N35" s="908">
        <f>IF(E35=0,0,HLOOKUP(E35,'page 1'!$H$20:$M$23,4,0))</f>
        <v>0</v>
      </c>
      <c r="O35" s="217"/>
      <c r="P35" s="217"/>
      <c r="Q35" s="217"/>
      <c r="R35" s="217"/>
      <c r="S35" s="654"/>
      <c r="T35" s="217"/>
      <c r="U35" s="217"/>
      <c r="V35" s="217"/>
      <c r="W35" s="217"/>
      <c r="X35" s="217"/>
      <c r="Y35" s="908"/>
      <c r="Z35" s="908"/>
      <c r="AA35" s="908"/>
    </row>
    <row r="36" spans="1:28" ht="16.2" thickBot="1">
      <c r="A36" s="908">
        <f t="shared" si="3"/>
        <v>0</v>
      </c>
      <c r="B36" s="295"/>
      <c r="C36" s="270"/>
      <c r="D36" s="216" t="s">
        <v>361</v>
      </c>
      <c r="E36" s="271">
        <f>IF(A36=1,VLOOKUP(C36,tableaux!DD:DE,2,0),IF($B36=0,,VLOOKUP($B36,tableaux!$J$2:$K$28,2,0)))</f>
        <v>0</v>
      </c>
      <c r="F36" s="215" t="s">
        <v>362</v>
      </c>
      <c r="G36" s="274"/>
      <c r="H36" s="274"/>
      <c r="I36" s="274"/>
      <c r="J36" s="289" t="str">
        <f t="shared" si="1"/>
        <v/>
      </c>
      <c r="K36" s="275" t="str">
        <f>IF(B36="","",(IF(C36="Artiste",IF(Gestion!$W$125&gt;0,10,0),IF(B36="Orientation",IF(Gestion!$W$16+Gestion!$W$118&gt;1,20,IF(OR(Gestion!$W$118&gt;0,Gestion!$W$16&gt;0),10,IF(Gestion!$W$16&gt;1,10))),(IF(B36="Crochetage",IF(Gestion!$W$17&gt;0,10,0),(IF(B36="Lire/écrire",IF(Gestion!$W$72&gt;0,10,0),(IF(B36="Langue",IF(Gestion!$W$72+Gestion!$W$59+Gestion!$W$63&gt;2,30,IF(Gestion!$W$59+Gestion!$W$63&gt;1,20,IF(Gestion!$W$63+Gestion!$W$72&gt;1,20,IF(Gestion!$W$59+Gestion!$W$72&gt;1,20,IF(Gestion!$W$59&gt;0,10,IF(Gestion!$W$63&gt;0,10,IF(Gestion!$W$72&gt;0,10))))))),(IF(B36="Torture",IF(Gestion!$W$86&gt;0,10,0),IF(AND(B36="Esquive",OR('page 2'!$P$31="Danse du Destin",'page 2'!$P$32="Danse du Destin",'page 2'!$P$33="Danse du Destin",'page 2'!$P$34="Danse du Destin")),10,(IF(B36="Métier",IF(Gestion!$W$115&gt;0,10,0),(IF(B36="Soins",IF(Gestion!$W$24&gt;0,10,0),(IF(B36="Connaissances Générales",IF(Gestion!$W$59+Gestion!$W$93&gt;1,20,IF(Gestion!$W$93&gt;0,10,IF(Gestion!$W$59&gt;0,10,0))),(IF(B36="Focalisation",IF(Gestion!$W$62&gt;0,10,0),(IF(B36="Sens de la Magie",IF(Gestion!$W$62&gt;0,10,0),(IF(B36="Expression Artistique",IF(Gestion!$W$63&gt;0,10,0),(IF(B36="Lecture sur les lèvres",IF(Gestion!$W$8&gt;0,10,0),(IF(B36="Pistage",IF(Gestion!$W$5&gt;0,10,0),(IF(B36="Baratin",IF(Gestion!$W$94&gt;0,10,0),(IF(B36="Navigation",IF(Gestion!$W$93+Gestion!$W$47&gt;1,25,IF(Gestion!$W$93&gt;0,20,IF(Gestion!$W$47&gt;0,5,0))))))))))))))))))))))))))))))))))))</f>
        <v/>
      </c>
      <c r="L36" s="288">
        <f t="shared" si="2"/>
        <v>0</v>
      </c>
      <c r="M36" s="217"/>
      <c r="N36" s="908">
        <f>IF(E36=0,0,HLOOKUP(E36,'page 1'!$H$20:$M$23,4,0))</f>
        <v>0</v>
      </c>
      <c r="O36" s="1054" t="s">
        <v>5250</v>
      </c>
      <c r="P36" s="1054"/>
      <c r="Q36" s="1054"/>
      <c r="R36" s="217"/>
      <c r="S36" s="217"/>
      <c r="T36" s="217"/>
      <c r="U36" s="217"/>
      <c r="V36" s="217"/>
      <c r="W36" s="217"/>
      <c r="X36" s="217"/>
      <c r="Y36" s="908"/>
      <c r="Z36" s="908"/>
      <c r="AA36" s="908"/>
    </row>
    <row r="37" spans="1:28" ht="13.95" customHeight="1" thickBot="1">
      <c r="A37" s="908">
        <f t="shared" si="3"/>
        <v>0</v>
      </c>
      <c r="B37" s="295"/>
      <c r="C37" s="270"/>
      <c r="D37" s="216" t="s">
        <v>361</v>
      </c>
      <c r="E37" s="271">
        <f>IF(A37=1,VLOOKUP(C37,tableaux!DD:DE,2,0),IF($B37=0,,VLOOKUP($B37,tableaux!$J$2:$K$28,2,0)))</f>
        <v>0</v>
      </c>
      <c r="F37" s="215" t="s">
        <v>362</v>
      </c>
      <c r="G37" s="274"/>
      <c r="H37" s="274"/>
      <c r="I37" s="274"/>
      <c r="J37" s="289" t="str">
        <f t="shared" si="1"/>
        <v/>
      </c>
      <c r="K37" s="275" t="str">
        <f>IF(B37="","",(IF(C37="Artiste",IF(Gestion!$W$125&gt;0,10,0),IF(B37="Orientation",IF(Gestion!$W$16+Gestion!$W$118&gt;1,20,IF(OR(Gestion!$W$118&gt;0,Gestion!$W$16&gt;0),10,IF(Gestion!$W$16&gt;1,10))),(IF(B37="Crochetage",IF(Gestion!$W$17&gt;0,10,0),(IF(B37="Lire/écrire",IF(Gestion!$W$72&gt;0,10,0),(IF(B37="Langue",IF(Gestion!$W$72+Gestion!$W$59+Gestion!$W$63&gt;2,30,IF(Gestion!$W$59+Gestion!$W$63&gt;1,20,IF(Gestion!$W$63+Gestion!$W$72&gt;1,20,IF(Gestion!$W$59+Gestion!$W$72&gt;1,20,IF(Gestion!$W$59&gt;0,10,IF(Gestion!$W$63&gt;0,10,IF(Gestion!$W$72&gt;0,10))))))),(IF(B37="Torture",IF(Gestion!$W$86&gt;0,10,0),IF(AND(B37="Esquive",OR('page 2'!$P$31="Danse du Destin",'page 2'!$P$32="Danse du Destin",'page 2'!$P$33="Danse du Destin",'page 2'!$P$34="Danse du Destin")),10,(IF(B37="Métier",IF(Gestion!$W$115&gt;0,10,0),(IF(B37="Soins",IF(Gestion!$W$24&gt;0,10,0),(IF(B37="Connaissances Générales",IF(Gestion!$W$59+Gestion!$W$93&gt;1,20,IF(Gestion!$W$93&gt;0,10,IF(Gestion!$W$59&gt;0,10,0))),(IF(B37="Focalisation",IF(Gestion!$W$62&gt;0,10,0),(IF(B37="Sens de la Magie",IF(Gestion!$W$62&gt;0,10,0),(IF(B37="Expression Artistique",IF(Gestion!$W$63&gt;0,10,0),(IF(B37="Lecture sur les lèvres",IF(Gestion!$W$8&gt;0,10,0),(IF(B37="Pistage",IF(Gestion!$W$5&gt;0,10,0),(IF(B37="Baratin",IF(Gestion!$W$94&gt;0,10,0),(IF(B37="Navigation",IF(Gestion!$W$93+Gestion!$W$47&gt;1,25,IF(Gestion!$W$93&gt;0,20,IF(Gestion!$W$47&gt;0,5,0))))))))))))))))))))))))))))))))))))</f>
        <v/>
      </c>
      <c r="L37" s="288">
        <f t="shared" si="2"/>
        <v>0</v>
      </c>
      <c r="M37" s="217"/>
      <c r="N37" s="908">
        <f>IF(E37=0,0,HLOOKUP(E37,'page 1'!$H$20:$M$23,4,0))</f>
        <v>0</v>
      </c>
      <c r="O37" s="1324" t="str">
        <f>IF(OR('page 1'!C5="",'page 1'!K5=""),"",CONCATENATE('page 1'!C5," / ",'page 1'!K5))</f>
        <v/>
      </c>
      <c r="P37" s="1325"/>
      <c r="Q37" s="1326" t="str">
        <f>CONCATENATE(IF(OR(Selectsousrace="",Selectsousrace="de race pure",Selectsousrace=""),"",VLOOKUP(Selectsousrace,tableaux!EG:EK,5,FALSE)),IF(OR(Province="",Province=0),"",VLOOKUP(Province,tableaux!ED:EF,3,FALSE)),IF(OR(SelectRace="Humain",SelectRace="Vampire",SelectRace="Homme-lézard",SelectRace="Créature du Chaos",SelectRace="Peau-Verte",)," ",CONCATENATE(IF(SelectRace="","",VLOOKUP(SelectRace,tableaux!ED:EF,3,FALSE)))))&amp;IF(O37="Humain/Néhékharéen",", Connaissances académiques (généalogie/héraldique), Langue (néhékharéen)","")&amp;IF('page 1'!K3=0,"",IF(SelectRace="Skaven",VLOOKUP('page 1'!K3,tableaux!CS:CT,2,FALSE),""))</f>
        <v/>
      </c>
      <c r="R37" s="1327"/>
      <c r="S37" s="1327"/>
      <c r="T37" s="1327"/>
      <c r="U37" s="1327"/>
      <c r="V37" s="1327"/>
      <c r="W37" s="1327"/>
      <c r="X37" s="1327"/>
      <c r="Y37" s="1327"/>
      <c r="Z37" s="1328"/>
      <c r="AA37" s="217"/>
    </row>
    <row r="38" spans="1:28" ht="13.8" thickBot="1">
      <c r="A38" s="908">
        <f t="shared" si="3"/>
        <v>0</v>
      </c>
      <c r="B38" s="295"/>
      <c r="C38" s="270"/>
      <c r="D38" s="216" t="s">
        <v>361</v>
      </c>
      <c r="E38" s="271">
        <f>IF(A38=1,VLOOKUP(C38,tableaux!DD:DE,2,0),IF($B38=0,,VLOOKUP($B38,tableaux!$J$2:$K$28,2,0)))</f>
        <v>0</v>
      </c>
      <c r="F38" s="215" t="s">
        <v>362</v>
      </c>
      <c r="G38" s="274"/>
      <c r="H38" s="274"/>
      <c r="I38" s="274"/>
      <c r="J38" s="289" t="str">
        <f t="shared" si="1"/>
        <v/>
      </c>
      <c r="K38" s="275" t="str">
        <f>IF(B38="","",(IF(C38="Artiste",IF(Gestion!$W$125&gt;0,10,0),IF(B38="Orientation",IF(Gestion!$W$16+Gestion!$W$118&gt;1,20,IF(OR(Gestion!$W$118&gt;0,Gestion!$W$16&gt;0),10,IF(Gestion!$W$16&gt;1,10))),(IF(B38="Crochetage",IF(Gestion!$W$17&gt;0,10,0),(IF(B38="Lire/écrire",IF(Gestion!$W$72&gt;0,10,0),(IF(B38="Langue",IF(Gestion!$W$72+Gestion!$W$59+Gestion!$W$63&gt;2,30,IF(Gestion!$W$59+Gestion!$W$63&gt;1,20,IF(Gestion!$W$63+Gestion!$W$72&gt;1,20,IF(Gestion!$W$59+Gestion!$W$72&gt;1,20,IF(Gestion!$W$59&gt;0,10,IF(Gestion!$W$63&gt;0,10,IF(Gestion!$W$72&gt;0,10))))))),(IF(B38="Torture",IF(Gestion!$W$86&gt;0,10,0),IF(AND(B38="Esquive",OR('page 2'!$P$31="Danse du Destin",'page 2'!$P$32="Danse du Destin",'page 2'!$P$33="Danse du Destin",'page 2'!$P$34="Danse du Destin")),10,(IF(B38="Métier",IF(Gestion!$W$115&gt;0,10,0),(IF(B38="Soins",IF(Gestion!$W$24&gt;0,10,0),(IF(B38="Connaissances Générales",IF(Gestion!$W$59+Gestion!$W$93&gt;1,20,IF(Gestion!$W$93&gt;0,10,IF(Gestion!$W$59&gt;0,10,0))),(IF(B38="Focalisation",IF(Gestion!$W$62&gt;0,10,0),(IF(B38="Sens de la Magie",IF(Gestion!$W$62&gt;0,10,0),(IF(B38="Expression Artistique",IF(Gestion!$W$63&gt;0,10,0),(IF(B38="Lecture sur les lèvres",IF(Gestion!$W$8&gt;0,10,0),(IF(B38="Pistage",IF(Gestion!$W$5&gt;0,10,0),(IF(B38="Baratin",IF(Gestion!$W$94&gt;0,10,0),(IF(B38="Navigation",IF(Gestion!$W$93+Gestion!$W$47&gt;1,25,IF(Gestion!$W$93&gt;0,20,IF(Gestion!$W$47&gt;0,5,0))))))))))))))))))))))))))))))))))))</f>
        <v/>
      </c>
      <c r="L38" s="288">
        <f t="shared" si="2"/>
        <v>0</v>
      </c>
      <c r="M38" s="217"/>
      <c r="N38" s="908">
        <f>IF(E38=0,0,HLOOKUP(E38,'page 1'!$H$20:$M$23,4,0))</f>
        <v>0</v>
      </c>
      <c r="O38" s="1335" t="str">
        <f>IF(Selectsousrace="","",CONCATENATE(IF(SelectRace="","",SelectRace),IF(OR(Selectsousrace="de race pure",Selectsousrace="du chaos")," "," / "),(IF(Selectsousrace="","",Selectsousrace))))</f>
        <v/>
      </c>
      <c r="P38" s="1336"/>
      <c r="Q38" s="1329"/>
      <c r="R38" s="1330"/>
      <c r="S38" s="1330"/>
      <c r="T38" s="1330"/>
      <c r="U38" s="1330"/>
      <c r="V38" s="1330"/>
      <c r="W38" s="1330"/>
      <c r="X38" s="1330"/>
      <c r="Y38" s="1330"/>
      <c r="Z38" s="1331"/>
      <c r="AA38" s="217"/>
    </row>
    <row r="39" spans="1:28" ht="19.5" customHeight="1" thickBot="1">
      <c r="A39" s="908">
        <f t="shared" si="3"/>
        <v>0</v>
      </c>
      <c r="B39" s="295"/>
      <c r="C39" s="270"/>
      <c r="D39" s="216" t="s">
        <v>361</v>
      </c>
      <c r="E39" s="271">
        <f>IF(A39=1,VLOOKUP(C39,tableaux!DD:DE,2,0),IF($B39=0,,VLOOKUP($B39,tableaux!$J$2:$K$28,2,0)))</f>
        <v>0</v>
      </c>
      <c r="F39" s="215" t="s">
        <v>362</v>
      </c>
      <c r="G39" s="274"/>
      <c r="H39" s="274"/>
      <c r="I39" s="274"/>
      <c r="J39" s="289" t="str">
        <f t="shared" si="1"/>
        <v/>
      </c>
      <c r="K39" s="275" t="str">
        <f>IF(B39="","",(IF(C39="Artiste",IF(Gestion!$W$125&gt;0,10,0),IF(B39="Orientation",IF(Gestion!$W$16+Gestion!$W$118&gt;1,20,IF(OR(Gestion!$W$118&gt;0,Gestion!$W$16&gt;0),10,IF(Gestion!$W$16&gt;1,10))),(IF(B39="Crochetage",IF(Gestion!$W$17&gt;0,10,0),(IF(B39="Lire/écrire",IF(Gestion!$W$72&gt;0,10,0),(IF(B39="Langue",IF(Gestion!$W$72+Gestion!$W$59+Gestion!$W$63&gt;2,30,IF(Gestion!$W$59+Gestion!$W$63&gt;1,20,IF(Gestion!$W$63+Gestion!$W$72&gt;1,20,IF(Gestion!$W$59+Gestion!$W$72&gt;1,20,IF(Gestion!$W$59&gt;0,10,IF(Gestion!$W$63&gt;0,10,IF(Gestion!$W$72&gt;0,10))))))),(IF(B39="Torture",IF(Gestion!$W$86&gt;0,10,0),IF(AND(B39="Esquive",OR('page 2'!$P$31="Danse du Destin",'page 2'!$P$32="Danse du Destin",'page 2'!$P$33="Danse du Destin",'page 2'!$P$34="Danse du Destin")),10,(IF(B39="Métier",IF(Gestion!$W$115&gt;0,10,0),(IF(B39="Soins",IF(Gestion!$W$24&gt;0,10,0),(IF(B39="Connaissances Générales",IF(Gestion!$W$59+Gestion!$W$93&gt;1,20,IF(Gestion!$W$93&gt;0,10,IF(Gestion!$W$59&gt;0,10,0))),(IF(B39="Focalisation",IF(Gestion!$W$62&gt;0,10,0),(IF(B39="Sens de la Magie",IF(Gestion!$W$62&gt;0,10,0),(IF(B39="Expression Artistique",IF(Gestion!$W$63&gt;0,10,0),(IF(B39="Lecture sur les lèvres",IF(Gestion!$W$8&gt;0,10,0),(IF(B39="Pistage",IF(Gestion!$W$5&gt;0,10,0),(IF(B39="Baratin",IF(Gestion!$W$94&gt;0,10,0),(IF(B39="Navigation",IF(Gestion!$W$93+Gestion!$W$47&gt;1,25,IF(Gestion!$W$93&gt;0,20,IF(Gestion!$W$47&gt;0,5,0))))))))))))))))))))))))))))))))))))</f>
        <v/>
      </c>
      <c r="L39" s="288">
        <f t="shared" si="2"/>
        <v>0</v>
      </c>
      <c r="M39" s="217"/>
      <c r="N39" s="908">
        <f>IF(E39=0,0,HLOOKUP(E39,'page 1'!$H$20:$M$23,4,0))</f>
        <v>0</v>
      </c>
      <c r="O39" s="1335"/>
      <c r="P39" s="1336"/>
      <c r="Q39" s="1329"/>
      <c r="R39" s="1330"/>
      <c r="S39" s="1330"/>
      <c r="T39" s="1330"/>
      <c r="U39" s="1330"/>
      <c r="V39" s="1330"/>
      <c r="W39" s="1330"/>
      <c r="X39" s="1330"/>
      <c r="Y39" s="1330"/>
      <c r="Z39" s="1331"/>
      <c r="AA39" s="217"/>
    </row>
    <row r="40" spans="1:28" ht="13.8" thickBot="1">
      <c r="A40" s="908">
        <f t="shared" si="3"/>
        <v>0</v>
      </c>
      <c r="B40" s="295"/>
      <c r="C40" s="270"/>
      <c r="D40" s="216" t="s">
        <v>361</v>
      </c>
      <c r="E40" s="271">
        <f>IF(A40=1,VLOOKUP(C40,tableaux!DD:DE,2,0),IF($B40=0,,VLOOKUP($B40,tableaux!$J$2:$K$28,2,0)))</f>
        <v>0</v>
      </c>
      <c r="F40" s="215" t="s">
        <v>362</v>
      </c>
      <c r="G40" s="274"/>
      <c r="H40" s="274"/>
      <c r="I40" s="274"/>
      <c r="J40" s="289" t="str">
        <f t="shared" si="1"/>
        <v/>
      </c>
      <c r="K40" s="275" t="str">
        <f>IF(B40="","",(IF(C40="Artiste",IF(Gestion!$W$125&gt;0,10,0),IF(B40="Orientation",IF(Gestion!$W$16+Gestion!$W$118&gt;1,20,IF(OR(Gestion!$W$118&gt;0,Gestion!$W$16&gt;0),10,IF(Gestion!$W$16&gt;1,10))),(IF(B40="Crochetage",IF(Gestion!$W$17&gt;0,10,0),(IF(B40="Lire/écrire",IF(Gestion!$W$72&gt;0,10,0),(IF(B40="Langue",IF(Gestion!$W$72+Gestion!$W$59+Gestion!$W$63&gt;2,30,IF(Gestion!$W$59+Gestion!$W$63&gt;1,20,IF(Gestion!$W$63+Gestion!$W$72&gt;1,20,IF(Gestion!$W$59+Gestion!$W$72&gt;1,20,IF(Gestion!$W$59&gt;0,10,IF(Gestion!$W$63&gt;0,10,IF(Gestion!$W$72&gt;0,10))))))),(IF(B40="Torture",IF(Gestion!$W$86&gt;0,10,0),IF(AND(B40="Esquive",OR('page 2'!$P$31="Danse du Destin",'page 2'!$P$32="Danse du Destin",'page 2'!$P$33="Danse du Destin",'page 2'!$P$34="Danse du Destin")),10,(IF(B40="Métier",IF(Gestion!$W$115&gt;0,10,0),(IF(B40="Soins",IF(Gestion!$W$24&gt;0,10,0),(IF(B40="Connaissances Générales",IF(Gestion!$W$59+Gestion!$W$93&gt;1,20,IF(Gestion!$W$93&gt;0,10,IF(Gestion!$W$59&gt;0,10,0))),(IF(B40="Focalisation",IF(Gestion!$W$62&gt;0,10,0),(IF(B40="Sens de la Magie",IF(Gestion!$W$62&gt;0,10,0),(IF(B40="Expression Artistique",IF(Gestion!$W$63&gt;0,10,0),(IF(B40="Lecture sur les lèvres",IF(Gestion!$W$8&gt;0,10,0),(IF(B40="Pistage",IF(Gestion!$W$5&gt;0,10,0),(IF(B40="Baratin",IF(Gestion!$W$94&gt;0,10,0),(IF(B40="Navigation",IF(Gestion!$W$93+Gestion!$W$47&gt;1,25,IF(Gestion!$W$93&gt;0,20,IF(Gestion!$W$47&gt;0,5,0))))))))))))))))))))))))))))))))))))</f>
        <v/>
      </c>
      <c r="L40" s="288">
        <f t="shared" si="2"/>
        <v>0</v>
      </c>
      <c r="M40" s="217"/>
      <c r="N40" s="908">
        <f>IF(E40=0,0,HLOOKUP(E40,'page 1'!$H$20:$M$23,4,0))</f>
        <v>0</v>
      </c>
      <c r="O40" s="1337"/>
      <c r="P40" s="1338"/>
      <c r="Q40" s="1332"/>
      <c r="R40" s="1333"/>
      <c r="S40" s="1333"/>
      <c r="T40" s="1333"/>
      <c r="U40" s="1333"/>
      <c r="V40" s="1333"/>
      <c r="W40" s="1333"/>
      <c r="X40" s="1333"/>
      <c r="Y40" s="1333"/>
      <c r="Z40" s="1334"/>
      <c r="AA40" s="217"/>
    </row>
    <row r="41" spans="1:28" ht="16.2" thickBot="1">
      <c r="A41" s="908">
        <f t="shared" si="3"/>
        <v>0</v>
      </c>
      <c r="B41" s="295"/>
      <c r="C41" s="270"/>
      <c r="D41" s="216" t="s">
        <v>361</v>
      </c>
      <c r="E41" s="271">
        <f>IF(A41=1,VLOOKUP(C41,tableaux!DD:DE,2,0),IF($B41=0,,VLOOKUP($B41,tableaux!$J$2:$K$28,2,0)))</f>
        <v>0</v>
      </c>
      <c r="F41" s="215" t="s">
        <v>362</v>
      </c>
      <c r="G41" s="274"/>
      <c r="H41" s="274"/>
      <c r="I41" s="274"/>
      <c r="J41" s="289" t="str">
        <f t="shared" si="1"/>
        <v/>
      </c>
      <c r="K41" s="275" t="str">
        <f>IF(B41="","",(IF(C41="Artiste",IF(Gestion!$W$125&gt;0,10,0),IF(B41="Orientation",IF(Gestion!$W$16+Gestion!$W$118&gt;1,20,IF(OR(Gestion!$W$118&gt;0,Gestion!$W$16&gt;0),10,IF(Gestion!$W$16&gt;1,10))),(IF(B41="Crochetage",IF(Gestion!$W$17&gt;0,10,0),(IF(B41="Lire/écrire",IF(Gestion!$W$72&gt;0,10,0),(IF(B41="Langue",IF(Gestion!$W$72+Gestion!$W$59+Gestion!$W$63&gt;2,30,IF(Gestion!$W$59+Gestion!$W$63&gt;1,20,IF(Gestion!$W$63+Gestion!$W$72&gt;1,20,IF(Gestion!$W$59+Gestion!$W$72&gt;1,20,IF(Gestion!$W$59&gt;0,10,IF(Gestion!$W$63&gt;0,10,IF(Gestion!$W$72&gt;0,10))))))),(IF(B41="Torture",IF(Gestion!$W$86&gt;0,10,0),IF(AND(B41="Esquive",OR('page 2'!$P$31="Danse du Destin",'page 2'!$P$32="Danse du Destin",'page 2'!$P$33="Danse du Destin",'page 2'!$P$34="Danse du Destin")),10,(IF(B41="Métier",IF(Gestion!$W$115&gt;0,10,0),(IF(B41="Soins",IF(Gestion!$W$24&gt;0,10,0),(IF(B41="Connaissances Générales",IF(Gestion!$W$59+Gestion!$W$93&gt;1,20,IF(Gestion!$W$93&gt;0,10,IF(Gestion!$W$59&gt;0,10,0))),(IF(B41="Focalisation",IF(Gestion!$W$62&gt;0,10,0),(IF(B41="Sens de la Magie",IF(Gestion!$W$62&gt;0,10,0),(IF(B41="Expression Artistique",IF(Gestion!$W$63&gt;0,10,0),(IF(B41="Lecture sur les lèvres",IF(Gestion!$W$8&gt;0,10,0),(IF(B41="Pistage",IF(Gestion!$W$5&gt;0,10,0),(IF(B41="Baratin",IF(Gestion!$W$94&gt;0,10,0),(IF(B41="Navigation",IF(Gestion!$W$93+Gestion!$W$47&gt;1,25,IF(Gestion!$W$93&gt;0,20,IF(Gestion!$W$47&gt;0,5,0))))))))))))))))))))))))))))))))))))</f>
        <v/>
      </c>
      <c r="L41" s="288">
        <f t="shared" si="2"/>
        <v>0</v>
      </c>
      <c r="M41" s="217"/>
      <c r="N41" s="908">
        <f>IF(E41=0,0,HLOOKUP(E41,'page 1'!$H$20:$M$23,4,0))</f>
        <v>0</v>
      </c>
      <c r="O41" s="1323" t="s">
        <v>2918</v>
      </c>
      <c r="P41" s="1323"/>
      <c r="Q41" s="217"/>
      <c r="R41" s="217"/>
      <c r="S41" s="908"/>
      <c r="T41" s="1054" t="s">
        <v>4363</v>
      </c>
      <c r="U41" s="1054"/>
      <c r="V41" s="217"/>
      <c r="W41" s="217"/>
      <c r="X41" s="217"/>
      <c r="Y41" s="654"/>
      <c r="Z41" s="217"/>
      <c r="AA41" s="217"/>
    </row>
    <row r="42" spans="1:28" ht="13.8" thickBot="1">
      <c r="A42" s="908">
        <f t="shared" si="3"/>
        <v>0</v>
      </c>
      <c r="B42" s="295"/>
      <c r="C42" s="270"/>
      <c r="D42" s="216" t="s">
        <v>361</v>
      </c>
      <c r="E42" s="271">
        <f>IF(A42=1,VLOOKUP(C42,tableaux!DD:DE,2,0),IF($B42=0,,VLOOKUP($B42,tableaux!$J$2:$K$28,2,0)))</f>
        <v>0</v>
      </c>
      <c r="F42" s="215" t="s">
        <v>362</v>
      </c>
      <c r="G42" s="274"/>
      <c r="H42" s="274"/>
      <c r="I42" s="274"/>
      <c r="J42" s="289" t="str">
        <f t="shared" si="1"/>
        <v/>
      </c>
      <c r="K42" s="275" t="str">
        <f>IF(B42="","",(IF(C42="Artiste",IF(Gestion!$W$125&gt;0,10,0),IF(B42="Orientation",IF(Gestion!$W$16+Gestion!$W$118&gt;1,20,IF(OR(Gestion!$W$118&gt;0,Gestion!$W$16&gt;0),10,IF(Gestion!$W$16&gt;1,10))),(IF(B42="Crochetage",IF(Gestion!$W$17&gt;0,10,0),(IF(B42="Lire/écrire",IF(Gestion!$W$72&gt;0,10,0),(IF(B42="Langue",IF(Gestion!$W$72+Gestion!$W$59+Gestion!$W$63&gt;2,30,IF(Gestion!$W$59+Gestion!$W$63&gt;1,20,IF(Gestion!$W$63+Gestion!$W$72&gt;1,20,IF(Gestion!$W$59+Gestion!$W$72&gt;1,20,IF(Gestion!$W$59&gt;0,10,IF(Gestion!$W$63&gt;0,10,IF(Gestion!$W$72&gt;0,10))))))),(IF(B42="Torture",IF(Gestion!$W$86&gt;0,10,0),IF(AND(B42="Esquive",OR('page 2'!$P$31="Danse du Destin",'page 2'!$P$32="Danse du Destin",'page 2'!$P$33="Danse du Destin",'page 2'!$P$34="Danse du Destin")),10,(IF(B42="Métier",IF(Gestion!$W$115&gt;0,10,0),(IF(B42="Soins",IF(Gestion!$W$24&gt;0,10,0),(IF(B42="Connaissances Générales",IF(Gestion!$W$59+Gestion!$W$93&gt;1,20,IF(Gestion!$W$93&gt;0,10,IF(Gestion!$W$59&gt;0,10,0))),(IF(B42="Focalisation",IF(Gestion!$W$62&gt;0,10,0),(IF(B42="Sens de la Magie",IF(Gestion!$W$62&gt;0,10,0),(IF(B42="Expression Artistique",IF(Gestion!$W$63&gt;0,10,0),(IF(B42="Lecture sur les lèvres",IF(Gestion!$W$8&gt;0,10,0),(IF(B42="Pistage",IF(Gestion!$W$5&gt;0,10,0),(IF(B42="Baratin",IF(Gestion!$W$94&gt;0,10,0),(IF(B42="Navigation",IF(Gestion!$W$93+Gestion!$W$47&gt;1,25,IF(Gestion!$W$93&gt;0,20,IF(Gestion!$W$47&gt;0,5,0))))))))))))))))))))))))))))))))))))</f>
        <v/>
      </c>
      <c r="L42" s="288">
        <f t="shared" si="2"/>
        <v>0</v>
      </c>
      <c r="M42" s="217"/>
      <c r="N42" s="908">
        <f>IF(E42=0,0,HLOOKUP(E42,'page 1'!$H$20:$M$23,4,0))</f>
        <v>0</v>
      </c>
      <c r="O42" s="1321" t="s">
        <v>4353</v>
      </c>
      <c r="P42" s="1322"/>
      <c r="Q42" s="1322"/>
      <c r="R42" s="276" t="s">
        <v>4352</v>
      </c>
      <c r="S42" s="908"/>
      <c r="T42" s="1318" t="s">
        <v>4364</v>
      </c>
      <c r="U42" s="1319"/>
      <c r="V42" s="1319"/>
      <c r="W42" s="1319"/>
      <c r="X42" s="272" t="s">
        <v>4352</v>
      </c>
      <c r="Y42" s="654"/>
      <c r="Z42" s="217"/>
      <c r="AA42" s="217"/>
      <c r="AB42" s="368" t="s">
        <v>9496</v>
      </c>
    </row>
    <row r="43" spans="1:28" ht="13.8" thickBot="1">
      <c r="A43" s="908">
        <f t="shared" si="3"/>
        <v>0</v>
      </c>
      <c r="B43" s="295"/>
      <c r="C43" s="270"/>
      <c r="D43" s="216" t="s">
        <v>361</v>
      </c>
      <c r="E43" s="271">
        <f>IF(A43=1,VLOOKUP(C43,tableaux!DD:DE,2,0),IF($B43=0,,VLOOKUP($B43,tableaux!$J$2:$K$28,2,0)))</f>
        <v>0</v>
      </c>
      <c r="F43" s="215" t="s">
        <v>362</v>
      </c>
      <c r="G43" s="274"/>
      <c r="H43" s="274"/>
      <c r="I43" s="274"/>
      <c r="J43" s="289" t="str">
        <f t="shared" si="1"/>
        <v/>
      </c>
      <c r="K43" s="275" t="str">
        <f>IF(B43="","",(IF(C43="Artiste",IF(Gestion!$W$125&gt;0,10,0),IF(B43="Orientation",IF(Gestion!$W$16+Gestion!$W$118&gt;1,20,IF(OR(Gestion!$W$118&gt;0,Gestion!$W$16&gt;0),10,IF(Gestion!$W$16&gt;1,10))),(IF(B43="Crochetage",IF(Gestion!$W$17&gt;0,10,0),(IF(B43="Lire/écrire",IF(Gestion!$W$72&gt;0,10,0),(IF(B43="Langue",IF(Gestion!$W$72+Gestion!$W$59+Gestion!$W$63&gt;2,30,IF(Gestion!$W$59+Gestion!$W$63&gt;1,20,IF(Gestion!$W$63+Gestion!$W$72&gt;1,20,IF(Gestion!$W$59+Gestion!$W$72&gt;1,20,IF(Gestion!$W$59&gt;0,10,IF(Gestion!$W$63&gt;0,10,IF(Gestion!$W$72&gt;0,10))))))),(IF(B43="Torture",IF(Gestion!$W$86&gt;0,10,0),IF(AND(B43="Esquive",OR('page 2'!$P$31="Danse du Destin",'page 2'!$P$32="Danse du Destin",'page 2'!$P$33="Danse du Destin",'page 2'!$P$34="Danse du Destin")),10,(IF(B43="Métier",IF(Gestion!$W$115&gt;0,10,0),(IF(B43="Soins",IF(Gestion!$W$24&gt;0,10,0),(IF(B43="Connaissances Générales",IF(Gestion!$W$59+Gestion!$W$93&gt;1,20,IF(Gestion!$W$93&gt;0,10,IF(Gestion!$W$59&gt;0,10,0))),(IF(B43="Focalisation",IF(Gestion!$W$62&gt;0,10,0),(IF(B43="Sens de la Magie",IF(Gestion!$W$62&gt;0,10,0),(IF(B43="Expression Artistique",IF(Gestion!$W$63&gt;0,10,0),(IF(B43="Lecture sur les lèvres",IF(Gestion!$W$8&gt;0,10,0),(IF(B43="Pistage",IF(Gestion!$W$5&gt;0,10,0),(IF(B43="Baratin",IF(Gestion!$W$94&gt;0,10,0),(IF(B43="Navigation",IF(Gestion!$W$93+Gestion!$W$47&gt;1,25,IF(Gestion!$W$93&gt;0,20,IF(Gestion!$W$47&gt;0,5,0))))))))))))))))))))))))))))))))))))</f>
        <v/>
      </c>
      <c r="L43" s="288">
        <f t="shared" si="2"/>
        <v>0</v>
      </c>
      <c r="M43" s="217"/>
      <c r="N43" s="908">
        <f>IF(E43=0,0,HLOOKUP(E43,'page 1'!$H$20:$M$23,4,0))</f>
        <v>0</v>
      </c>
      <c r="O43" s="1299"/>
      <c r="P43" s="1233"/>
      <c r="Q43" s="1233"/>
      <c r="R43" s="273" t="str">
        <f>IF(O43="","",VLOOKUP(O43,tableaux!DZ:EA,2,FALSE))</f>
        <v/>
      </c>
      <c r="S43" s="908"/>
      <c r="T43" s="1310"/>
      <c r="U43" s="1311"/>
      <c r="V43" s="1311"/>
      <c r="W43" s="1311"/>
      <c r="X43" s="273" t="str">
        <f>IF(T43="","",VLOOKUP(T43,'Obj.Magiques et Rituels'!$G:$H,2,FALSE))</f>
        <v/>
      </c>
      <c r="Y43" s="654"/>
      <c r="Z43" s="217"/>
      <c r="AA43" s="217"/>
      <c r="AB43" s="368" t="b">
        <f>IF(OR(O43&lt;&gt;"",O44&lt;&gt;"",O45&lt;&gt;"",O46&lt;&gt;"",O47&lt;&gt;""),TRUE,FALSE)</f>
        <v>0</v>
      </c>
    </row>
    <row r="44" spans="1:28" ht="13.8" thickBot="1">
      <c r="A44" s="908">
        <f t="shared" si="3"/>
        <v>0</v>
      </c>
      <c r="B44" s="295"/>
      <c r="C44" s="270"/>
      <c r="D44" s="216" t="s">
        <v>361</v>
      </c>
      <c r="E44" s="271">
        <f>IF(A44=1,VLOOKUP(C44,tableaux!DD:DE,2,0),IF($B44=0,,VLOOKUP($B44,tableaux!$J$2:$K$28,2,0)))</f>
        <v>0</v>
      </c>
      <c r="F44" s="215" t="s">
        <v>362</v>
      </c>
      <c r="G44" s="274"/>
      <c r="H44" s="274"/>
      <c r="I44" s="274"/>
      <c r="J44" s="289" t="str">
        <f t="shared" si="1"/>
        <v/>
      </c>
      <c r="K44" s="275" t="str">
        <f>IF(B44="","",(IF(C44="Artiste",IF(Gestion!$W$125&gt;0,10,0),IF(B44="Orientation",IF(Gestion!$W$16+Gestion!$W$118&gt;1,20,IF(OR(Gestion!$W$118&gt;0,Gestion!$W$16&gt;0),10,IF(Gestion!$W$16&gt;1,10))),(IF(B44="Crochetage",IF(Gestion!$W$17&gt;0,10,0),(IF(B44="Lire/écrire",IF(Gestion!$W$72&gt;0,10,0),(IF(B44="Langue",IF(Gestion!$W$72+Gestion!$W$59+Gestion!$W$63&gt;2,30,IF(Gestion!$W$59+Gestion!$W$63&gt;1,20,IF(Gestion!$W$63+Gestion!$W$72&gt;1,20,IF(Gestion!$W$59+Gestion!$W$72&gt;1,20,IF(Gestion!$W$59&gt;0,10,IF(Gestion!$W$63&gt;0,10,IF(Gestion!$W$72&gt;0,10))))))),(IF(B44="Torture",IF(Gestion!$W$86&gt;0,10,0),IF(AND(B44="Esquive",OR('page 2'!$P$31="Danse du Destin",'page 2'!$P$32="Danse du Destin",'page 2'!$P$33="Danse du Destin",'page 2'!$P$34="Danse du Destin")),10,(IF(B44="Métier",IF(Gestion!$W$115&gt;0,10,0),(IF(B44="Soins",IF(Gestion!$W$24&gt;0,10,0),(IF(B44="Connaissances Générales",IF(Gestion!$W$59+Gestion!$W$93&gt;1,20,IF(Gestion!$W$93&gt;0,10,IF(Gestion!$W$59&gt;0,10,0))),(IF(B44="Focalisation",IF(Gestion!$W$62&gt;0,10,0),(IF(B44="Sens de la Magie",IF(Gestion!$W$62&gt;0,10,0),(IF(B44="Expression Artistique",IF(Gestion!$W$63&gt;0,10,0),(IF(B44="Lecture sur les lèvres",IF(Gestion!$W$8&gt;0,10,0),(IF(B44="Pistage",IF(Gestion!$W$5&gt;0,10,0),(IF(B44="Baratin",IF(Gestion!$W$94&gt;0,10,0),(IF(B44="Navigation",IF(Gestion!$W$93+Gestion!$W$47&gt;1,25,IF(Gestion!$W$93&gt;0,20,IF(Gestion!$W$47&gt;0,5,0))))))))))))))))))))))))))))))))))))</f>
        <v/>
      </c>
      <c r="L44" s="288">
        <f t="shared" si="2"/>
        <v>0</v>
      </c>
      <c r="M44" s="217"/>
      <c r="N44" s="908">
        <f>IF(E44=0,0,HLOOKUP(E44,'page 1'!$H$20:$M$23,4,0))</f>
        <v>0</v>
      </c>
      <c r="O44" s="1299"/>
      <c r="P44" s="1233"/>
      <c r="Q44" s="1233"/>
      <c r="R44" s="767" t="str">
        <f>IF(O44="","",VLOOKUP(O44,tableaux!DZ:EA,2,FALSE))</f>
        <v/>
      </c>
      <c r="S44" s="908"/>
      <c r="T44" s="1310"/>
      <c r="U44" s="1311"/>
      <c r="V44" s="1311"/>
      <c r="W44" s="1311"/>
      <c r="X44" s="767" t="str">
        <f>IF(T44="","",VLOOKUP(T44,'Obj.Magiques et Rituels'!$G:$H,2,FALSE))</f>
        <v/>
      </c>
      <c r="Y44" s="654"/>
      <c r="Z44" s="217"/>
      <c r="AA44" s="217"/>
    </row>
    <row r="45" spans="1:28" ht="16.2" customHeight="1" thickBot="1">
      <c r="A45" s="908">
        <f t="shared" si="3"/>
        <v>0</v>
      </c>
      <c r="B45" s="295"/>
      <c r="C45" s="270"/>
      <c r="D45" s="216" t="s">
        <v>361</v>
      </c>
      <c r="E45" s="271">
        <f>IF(A45=1,VLOOKUP(C45,tableaux!DD:DE,2,0),IF($B45=0,,VLOOKUP($B45,tableaux!$J$2:$K$28,2,0)))</f>
        <v>0</v>
      </c>
      <c r="F45" s="215" t="s">
        <v>362</v>
      </c>
      <c r="G45" s="274"/>
      <c r="H45" s="274"/>
      <c r="I45" s="274"/>
      <c r="J45" s="289" t="str">
        <f t="shared" si="1"/>
        <v/>
      </c>
      <c r="K45" s="275" t="str">
        <f>IF(B45="","",(IF(C45="Artiste",IF(Gestion!$W$125&gt;0,10,0),IF(B45="Orientation",IF(Gestion!$W$16+Gestion!$W$118&gt;1,20,IF(OR(Gestion!$W$118&gt;0,Gestion!$W$16&gt;0),10,IF(Gestion!$W$16&gt;1,10))),(IF(B45="Crochetage",IF(Gestion!$W$17&gt;0,10,0),(IF(B45="Lire/écrire",IF(Gestion!$W$72&gt;0,10,0),(IF(B45="Langue",IF(Gestion!$W$72+Gestion!$W$59+Gestion!$W$63&gt;2,30,IF(Gestion!$W$59+Gestion!$W$63&gt;1,20,IF(Gestion!$W$63+Gestion!$W$72&gt;1,20,IF(Gestion!$W$59+Gestion!$W$72&gt;1,20,IF(Gestion!$W$59&gt;0,10,IF(Gestion!$W$63&gt;0,10,IF(Gestion!$W$72&gt;0,10))))))),(IF(B45="Torture",IF(Gestion!$W$86&gt;0,10,0),IF(AND(B45="Esquive",OR('page 2'!$P$31="Danse du Destin",'page 2'!$P$32="Danse du Destin",'page 2'!$P$33="Danse du Destin",'page 2'!$P$34="Danse du Destin")),10,(IF(B45="Métier",IF(Gestion!$W$115&gt;0,10,0),(IF(B45="Soins",IF(Gestion!$W$24&gt;0,10,0),(IF(B45="Connaissances Générales",IF(Gestion!$W$59+Gestion!$W$93&gt;1,20,IF(Gestion!$W$93&gt;0,10,IF(Gestion!$W$59&gt;0,10,0))),(IF(B45="Focalisation",IF(Gestion!$W$62&gt;0,10,0),(IF(B45="Sens de la Magie",IF(Gestion!$W$62&gt;0,10,0),(IF(B45="Expression Artistique",IF(Gestion!$W$63&gt;0,10,0),(IF(B45="Lecture sur les lèvres",IF(Gestion!$W$8&gt;0,10,0),(IF(B45="Pistage",IF(Gestion!$W$5&gt;0,10,0),(IF(B45="Baratin",IF(Gestion!$W$94&gt;0,10,0),(IF(B45="Navigation",IF(Gestion!$W$93+Gestion!$W$47&gt;1,25,IF(Gestion!$W$93&gt;0,20,IF(Gestion!$W$47&gt;0,5,0))))))))))))))))))))))))))))))))))))</f>
        <v/>
      </c>
      <c r="L45" s="288">
        <f t="shared" si="2"/>
        <v>0</v>
      </c>
      <c r="M45" s="217"/>
      <c r="N45" s="908">
        <f>IF(E45=0,0,HLOOKUP(E45,'page 1'!$H$20:$M$23,4,0))</f>
        <v>0</v>
      </c>
      <c r="O45" s="1299"/>
      <c r="P45" s="1233"/>
      <c r="Q45" s="1233"/>
      <c r="R45" s="767" t="str">
        <f>IF(O45="","",VLOOKUP(O45,tableaux!DZ:EA,2,FALSE))</f>
        <v/>
      </c>
      <c r="S45" s="908"/>
      <c r="T45" s="1310"/>
      <c r="U45" s="1311"/>
      <c r="V45" s="1311"/>
      <c r="W45" s="1311"/>
      <c r="X45" s="767" t="str">
        <f>IF(T45="","",VLOOKUP(T45,'Obj.Magiques et Rituels'!$G:$H,2,FALSE))</f>
        <v/>
      </c>
      <c r="Y45" s="654"/>
      <c r="Z45" s="217"/>
      <c r="AA45" s="217"/>
    </row>
    <row r="46" spans="1:28" ht="13.8" thickBot="1">
      <c r="A46" s="908">
        <f t="shared" si="3"/>
        <v>0</v>
      </c>
      <c r="B46" s="295"/>
      <c r="C46" s="270"/>
      <c r="D46" s="216" t="s">
        <v>361</v>
      </c>
      <c r="E46" s="271">
        <f>IF(A46=1,VLOOKUP(C46,tableaux!DD:DE,2,0),IF($B46=0,,VLOOKUP($B46,tableaux!$J$2:$K$28,2,0)))</f>
        <v>0</v>
      </c>
      <c r="F46" s="215" t="s">
        <v>362</v>
      </c>
      <c r="G46" s="274"/>
      <c r="H46" s="274"/>
      <c r="I46" s="274"/>
      <c r="J46" s="289" t="str">
        <f t="shared" si="1"/>
        <v/>
      </c>
      <c r="K46" s="275" t="str">
        <f>IF(B46="","",(IF(C46="Artiste",IF(Gestion!$W$125&gt;0,10,0),IF(B46="Orientation",IF(Gestion!$W$16+Gestion!$W$118&gt;1,20,IF(OR(Gestion!$W$118&gt;0,Gestion!$W$16&gt;0),10,IF(Gestion!$W$16&gt;1,10))),(IF(B46="Crochetage",IF(Gestion!$W$17&gt;0,10,0),(IF(B46="Lire/écrire",IF(Gestion!$W$72&gt;0,10,0),(IF(B46="Langue",IF(Gestion!$W$72+Gestion!$W$59+Gestion!$W$63&gt;2,30,IF(Gestion!$W$59+Gestion!$W$63&gt;1,20,IF(Gestion!$W$63+Gestion!$W$72&gt;1,20,IF(Gestion!$W$59+Gestion!$W$72&gt;1,20,IF(Gestion!$W$59&gt;0,10,IF(Gestion!$W$63&gt;0,10,IF(Gestion!$W$72&gt;0,10))))))),(IF(B46="Torture",IF(Gestion!$W$86&gt;0,10,0),IF(AND(B46="Esquive",OR('page 2'!$P$31="Danse du Destin",'page 2'!$P$32="Danse du Destin",'page 2'!$P$33="Danse du Destin",'page 2'!$P$34="Danse du Destin")),10,(IF(B46="Métier",IF(Gestion!$W$115&gt;0,10,0),(IF(B46="Soins",IF(Gestion!$W$24&gt;0,10,0),(IF(B46="Connaissances Générales",IF(Gestion!$W$59+Gestion!$W$93&gt;1,20,IF(Gestion!$W$93&gt;0,10,IF(Gestion!$W$59&gt;0,10,0))),(IF(B46="Focalisation",IF(Gestion!$W$62&gt;0,10,0),(IF(B46="Sens de la Magie",IF(Gestion!$W$62&gt;0,10,0),(IF(B46="Expression Artistique",IF(Gestion!$W$63&gt;0,10,0),(IF(B46="Lecture sur les lèvres",IF(Gestion!$W$8&gt;0,10,0),(IF(B46="Pistage",IF(Gestion!$W$5&gt;0,10,0),(IF(B46="Baratin",IF(Gestion!$W$94&gt;0,10,0),(IF(B46="Navigation",IF(Gestion!$W$93+Gestion!$W$47&gt;1,25,IF(Gestion!$W$93&gt;0,20,IF(Gestion!$W$47&gt;0,5,0))))))))))))))))))))))))))))))))))))</f>
        <v/>
      </c>
      <c r="L46" s="288">
        <f t="shared" si="2"/>
        <v>0</v>
      </c>
      <c r="M46" s="217"/>
      <c r="N46" s="908">
        <f>IF(E46=0,0,HLOOKUP(E46,'page 1'!$H$20:$M$23,4,0))</f>
        <v>0</v>
      </c>
      <c r="O46" s="1299"/>
      <c r="P46" s="1233"/>
      <c r="Q46" s="1233"/>
      <c r="R46" s="767" t="str">
        <f>IF(O46="","",VLOOKUP(O46,tableaux!DZ:EA,2,FALSE))</f>
        <v/>
      </c>
      <c r="S46" s="908"/>
      <c r="T46" s="1310"/>
      <c r="U46" s="1311"/>
      <c r="V46" s="1311"/>
      <c r="W46" s="1311"/>
      <c r="X46" s="767" t="str">
        <f>IF(T46="","",VLOOKUP(T46,'Obj.Magiques et Rituels'!$G:$H,2,FALSE))</f>
        <v/>
      </c>
      <c r="Y46" s="654"/>
      <c r="Z46" s="217"/>
      <c r="AA46" s="217"/>
    </row>
    <row r="47" spans="1:28" ht="13.8" thickBot="1">
      <c r="A47" s="908">
        <f t="shared" si="3"/>
        <v>0</v>
      </c>
      <c r="B47" s="295"/>
      <c r="C47" s="270"/>
      <c r="D47" s="216" t="s">
        <v>361</v>
      </c>
      <c r="E47" s="271">
        <f>IF(A47=1,VLOOKUP(C47,tableaux!DD:DE,2,0),IF($B47=0,,VLOOKUP($B47,tableaux!$J$2:$K$28,2,0)))</f>
        <v>0</v>
      </c>
      <c r="F47" s="215" t="s">
        <v>362</v>
      </c>
      <c r="G47" s="274"/>
      <c r="H47" s="274"/>
      <c r="I47" s="274"/>
      <c r="J47" s="289" t="str">
        <f t="shared" si="1"/>
        <v/>
      </c>
      <c r="K47" s="275" t="str">
        <f>IF(B47="","",(IF(C47="Artiste",IF(Gestion!$W$125&gt;0,10,0),IF(B47="Orientation",IF(Gestion!$W$16+Gestion!$W$118&gt;1,20,IF(OR(Gestion!$W$118&gt;0,Gestion!$W$16&gt;0),10,IF(Gestion!$W$16&gt;1,10))),(IF(B47="Crochetage",IF(Gestion!$W$17&gt;0,10,0),(IF(B47="Lire/écrire",IF(Gestion!$W$72&gt;0,10,0),(IF(B47="Langue",IF(Gestion!$W$72+Gestion!$W$59+Gestion!$W$63&gt;2,30,IF(Gestion!$W$59+Gestion!$W$63&gt;1,20,IF(Gestion!$W$63+Gestion!$W$72&gt;1,20,IF(Gestion!$W$59+Gestion!$W$72&gt;1,20,IF(Gestion!$W$59&gt;0,10,IF(Gestion!$W$63&gt;0,10,IF(Gestion!$W$72&gt;0,10))))))),(IF(B47="Torture",IF(Gestion!$W$86&gt;0,10,0),IF(AND(B47="Esquive",OR('page 2'!$P$31="Danse du Destin",'page 2'!$P$32="Danse du Destin",'page 2'!$P$33="Danse du Destin",'page 2'!$P$34="Danse du Destin")),10,(IF(B47="Métier",IF(Gestion!$W$115&gt;0,10,0),(IF(B47="Soins",IF(Gestion!$W$24&gt;0,10,0),(IF(B47="Connaissances Générales",IF(Gestion!$W$59+Gestion!$W$93&gt;1,20,IF(Gestion!$W$93&gt;0,10,IF(Gestion!$W$59&gt;0,10,0))),(IF(B47="Focalisation",IF(Gestion!$W$62&gt;0,10,0),(IF(B47="Sens de la Magie",IF(Gestion!$W$62&gt;0,10,0),(IF(B47="Expression Artistique",IF(Gestion!$W$63&gt;0,10,0),(IF(B47="Lecture sur les lèvres",IF(Gestion!$W$8&gt;0,10,0),(IF(B47="Pistage",IF(Gestion!$W$5&gt;0,10,0),(IF(B47="Baratin",IF(Gestion!$W$94&gt;0,10,0),(IF(B47="Navigation",IF(Gestion!$W$93+Gestion!$W$47&gt;1,25,IF(Gestion!$W$93&gt;0,20,IF(Gestion!$W$47&gt;0,5,0))))))))))))))))))))))))))))))))))))</f>
        <v/>
      </c>
      <c r="L47" s="288">
        <f t="shared" si="2"/>
        <v>0</v>
      </c>
      <c r="M47" s="217"/>
      <c r="N47" s="908">
        <f>IF(E47=0,0,HLOOKUP(E47,'page 1'!$H$20:$M$23,4,0))</f>
        <v>0</v>
      </c>
      <c r="O47" s="1313"/>
      <c r="P47" s="1314"/>
      <c r="Q47" s="1314"/>
      <c r="R47" s="767" t="str">
        <f>IF(O47="","",VLOOKUP(O47,tableaux!DZ:EA,2,FALSE))</f>
        <v/>
      </c>
      <c r="S47" s="908"/>
      <c r="T47" s="1310"/>
      <c r="U47" s="1311"/>
      <c r="V47" s="1311"/>
      <c r="W47" s="1311"/>
      <c r="X47" s="767" t="str">
        <f>IF(T47="","",VLOOKUP(T47,'Obj.Magiques et Rituels'!$G:$H,2,FALSE))</f>
        <v/>
      </c>
      <c r="Y47" s="654"/>
      <c r="Z47" s="217"/>
      <c r="AA47" s="217"/>
    </row>
    <row r="48" spans="1:28" ht="13.8" thickBot="1">
      <c r="A48" s="908">
        <f t="shared" si="3"/>
        <v>0</v>
      </c>
      <c r="B48" s="295"/>
      <c r="C48" s="270"/>
      <c r="D48" s="216" t="s">
        <v>361</v>
      </c>
      <c r="E48" s="271">
        <f>IF(A48=1,VLOOKUP(C48,tableaux!DD:DE,2,0),IF($B48=0,,VLOOKUP($B48,tableaux!$J$2:$K$28,2,0)))</f>
        <v>0</v>
      </c>
      <c r="F48" s="215" t="s">
        <v>362</v>
      </c>
      <c r="G48" s="274"/>
      <c r="H48" s="274"/>
      <c r="I48" s="274"/>
      <c r="J48" s="289" t="str">
        <f t="shared" si="1"/>
        <v/>
      </c>
      <c r="K48" s="275" t="str">
        <f>IF(B48="","",(IF(C48="Artiste",IF(Gestion!$W$125&gt;0,10,0),IF(B48="Orientation",IF(Gestion!$W$16+Gestion!$W$118&gt;1,20,IF(OR(Gestion!$W$118&gt;0,Gestion!$W$16&gt;0),10,IF(Gestion!$W$16&gt;1,10))),(IF(B48="Crochetage",IF(Gestion!$W$17&gt;0,10,0),(IF(B48="Lire/écrire",IF(Gestion!$W$72&gt;0,10,0),(IF(B48="Langue",IF(Gestion!$W$72+Gestion!$W$59+Gestion!$W$63&gt;2,30,IF(Gestion!$W$59+Gestion!$W$63&gt;1,20,IF(Gestion!$W$63+Gestion!$W$72&gt;1,20,IF(Gestion!$W$59+Gestion!$W$72&gt;1,20,IF(Gestion!$W$59&gt;0,10,IF(Gestion!$W$63&gt;0,10,IF(Gestion!$W$72&gt;0,10))))))),(IF(B48="Torture",IF(Gestion!$W$86&gt;0,10,0),IF(AND(B48="Esquive",OR('page 2'!$P$31="Danse du Destin",'page 2'!$P$32="Danse du Destin",'page 2'!$P$33="Danse du Destin",'page 2'!$P$34="Danse du Destin")),10,(IF(B48="Métier",IF(Gestion!$W$115&gt;0,10,0),(IF(B48="Soins",IF(Gestion!$W$24&gt;0,10,0),(IF(B48="Connaissances Générales",IF(Gestion!$W$59+Gestion!$W$93&gt;1,20,IF(Gestion!$W$93&gt;0,10,IF(Gestion!$W$59&gt;0,10,0))),(IF(B48="Focalisation",IF(Gestion!$W$62&gt;0,10,0),(IF(B48="Sens de la Magie",IF(Gestion!$W$62&gt;0,10,0),(IF(B48="Expression Artistique",IF(Gestion!$W$63&gt;0,10,0),(IF(B48="Lecture sur les lèvres",IF(Gestion!$W$8&gt;0,10,0),(IF(B48="Pistage",IF(Gestion!$W$5&gt;0,10,0),(IF(B48="Baratin",IF(Gestion!$W$94&gt;0,10,0),(IF(B48="Navigation",IF(Gestion!$W$93+Gestion!$W$47&gt;1,25,IF(Gestion!$W$93&gt;0,20,IF(Gestion!$W$47&gt;0,5,0))))))))))))))))))))))))))))))))))))</f>
        <v/>
      </c>
      <c r="L48" s="288">
        <f t="shared" si="2"/>
        <v>0</v>
      </c>
      <c r="M48" s="217"/>
      <c r="N48" s="908">
        <f>IF(E48=0,0,HLOOKUP(E48,'page 1'!$H$20:$M$23,4,0))</f>
        <v>0</v>
      </c>
      <c r="O48" s="217"/>
      <c r="P48" s="217"/>
      <c r="Q48" s="217"/>
      <c r="R48" s="217"/>
      <c r="S48" s="908"/>
      <c r="T48" s="217"/>
      <c r="U48" s="217"/>
      <c r="V48" s="217"/>
      <c r="W48" s="217"/>
      <c r="X48" s="217"/>
      <c r="Y48" s="654"/>
      <c r="Z48" s="217"/>
      <c r="AA48" s="217"/>
    </row>
    <row r="49" spans="1:27" ht="16.2" thickBot="1">
      <c r="A49" s="908">
        <f t="shared" si="3"/>
        <v>0</v>
      </c>
      <c r="B49" s="295"/>
      <c r="C49" s="270"/>
      <c r="D49" s="216" t="s">
        <v>361</v>
      </c>
      <c r="E49" s="271">
        <f>IF(A49=1,VLOOKUP(C49,tableaux!DD:DE,2,0),IF($B49=0,,VLOOKUP($B49,tableaux!$J$2:$K$28,2,0)))</f>
        <v>0</v>
      </c>
      <c r="F49" s="215" t="s">
        <v>362</v>
      </c>
      <c r="G49" s="274"/>
      <c r="H49" s="274"/>
      <c r="I49" s="274"/>
      <c r="J49" s="289" t="str">
        <f t="shared" si="1"/>
        <v/>
      </c>
      <c r="K49" s="275" t="str">
        <f>IF(B49="","",(IF(C49="Artiste",IF(Gestion!$W$125&gt;0,10,0),IF(B49="Orientation",IF(Gestion!$W$16+Gestion!$W$118&gt;1,20,IF(OR(Gestion!$W$118&gt;0,Gestion!$W$16&gt;0),10,IF(Gestion!$W$16&gt;1,10))),(IF(B49="Crochetage",IF(Gestion!$W$17&gt;0,10,0),(IF(B49="Lire/écrire",IF(Gestion!$W$72&gt;0,10,0),(IF(B49="Langue",IF(Gestion!$W$72+Gestion!$W$59+Gestion!$W$63&gt;2,30,IF(Gestion!$W$59+Gestion!$W$63&gt;1,20,IF(Gestion!$W$63+Gestion!$W$72&gt;1,20,IF(Gestion!$W$59+Gestion!$W$72&gt;1,20,IF(Gestion!$W$59&gt;0,10,IF(Gestion!$W$63&gt;0,10,IF(Gestion!$W$72&gt;0,10))))))),(IF(B49="Torture",IF(Gestion!$W$86&gt;0,10,0),IF(AND(B49="Esquive",OR('page 2'!$P$31="Danse du Destin",'page 2'!$P$32="Danse du Destin",'page 2'!$P$33="Danse du Destin",'page 2'!$P$34="Danse du Destin")),10,(IF(B49="Métier",IF(Gestion!$W$115&gt;0,10,0),(IF(B49="Soins",IF(Gestion!$W$24&gt;0,10,0),(IF(B49="Connaissances Générales",IF(Gestion!$W$59+Gestion!$W$93&gt;1,20,IF(Gestion!$W$93&gt;0,10,IF(Gestion!$W$59&gt;0,10,0))),(IF(B49="Focalisation",IF(Gestion!$W$62&gt;0,10,0),(IF(B49="Sens de la Magie",IF(Gestion!$W$62&gt;0,10,0),(IF(B49="Expression Artistique",IF(Gestion!$W$63&gt;0,10,0),(IF(B49="Lecture sur les lèvres",IF(Gestion!$W$8&gt;0,10,0),(IF(B49="Pistage",IF(Gestion!$W$5&gt;0,10,0),(IF(B49="Baratin",IF(Gestion!$W$94&gt;0,10,0),(IF(B49="Navigation",IF(Gestion!$W$93+Gestion!$W$47&gt;1,25,IF(Gestion!$W$93&gt;0,20,IF(Gestion!$W$47&gt;0,5,0))))))))))))))))))))))))))))))))))))</f>
        <v/>
      </c>
      <c r="L49" s="288">
        <f t="shared" si="2"/>
        <v>0</v>
      </c>
      <c r="M49" s="217"/>
      <c r="N49" s="908">
        <f>IF(E49=0,0,HLOOKUP(E49,'page 1'!$H$20:$M$23,4,0))</f>
        <v>0</v>
      </c>
      <c r="O49" s="1298" t="s">
        <v>2784</v>
      </c>
      <c r="P49" s="1298"/>
      <c r="Q49" s="217"/>
      <c r="R49" s="217"/>
      <c r="S49" s="908"/>
      <c r="T49" s="1298" t="s">
        <v>372</v>
      </c>
      <c r="U49" s="1298"/>
      <c r="V49" s="217"/>
      <c r="W49" s="217"/>
      <c r="X49" s="217"/>
      <c r="Y49" s="654"/>
      <c r="Z49" s="217"/>
      <c r="AA49" s="217"/>
    </row>
    <row r="50" spans="1:27" ht="13.8" thickBot="1">
      <c r="A50" s="908">
        <f t="shared" si="3"/>
        <v>0</v>
      </c>
      <c r="B50" s="295"/>
      <c r="C50" s="270"/>
      <c r="D50" s="216" t="s">
        <v>361</v>
      </c>
      <c r="E50" s="271">
        <f>IF(A50=1,VLOOKUP(C50,tableaux!DD:DE,2,0),IF($B50=0,,VLOOKUP($B50,tableaux!$J$2:$K$28,2,0)))</f>
        <v>0</v>
      </c>
      <c r="F50" s="215" t="s">
        <v>362</v>
      </c>
      <c r="G50" s="274"/>
      <c r="H50" s="274"/>
      <c r="I50" s="274"/>
      <c r="J50" s="289" t="str">
        <f t="shared" si="1"/>
        <v/>
      </c>
      <c r="K50" s="275" t="str">
        <f>IF(B50="","",(IF(C50="Artiste",IF(Gestion!$W$125&gt;0,10,0),IF(B50="Orientation",IF(Gestion!$W$16+Gestion!$W$118&gt;1,20,IF(OR(Gestion!$W$118&gt;0,Gestion!$W$16&gt;0),10,IF(Gestion!$W$16&gt;1,10))),(IF(B50="Crochetage",IF(Gestion!$W$17&gt;0,10,0),(IF(B50="Lire/écrire",IF(Gestion!$W$72&gt;0,10,0),(IF(B50="Langue",IF(Gestion!$W$72+Gestion!$W$59+Gestion!$W$63&gt;2,30,IF(Gestion!$W$59+Gestion!$W$63&gt;1,20,IF(Gestion!$W$63+Gestion!$W$72&gt;1,20,IF(Gestion!$W$59+Gestion!$W$72&gt;1,20,IF(Gestion!$W$59&gt;0,10,IF(Gestion!$W$63&gt;0,10,IF(Gestion!$W$72&gt;0,10))))))),(IF(B50="Torture",IF(Gestion!$W$86&gt;0,10,0),IF(AND(B50="Esquive",OR('page 2'!$P$31="Danse du Destin",'page 2'!$P$32="Danse du Destin",'page 2'!$P$33="Danse du Destin",'page 2'!$P$34="Danse du Destin")),10,(IF(B50="Métier",IF(Gestion!$W$115&gt;0,10,0),(IF(B50="Soins",IF(Gestion!$W$24&gt;0,10,0),(IF(B50="Connaissances Générales",IF(Gestion!$W$59+Gestion!$W$93&gt;1,20,IF(Gestion!$W$93&gt;0,10,IF(Gestion!$W$59&gt;0,10,0))),(IF(B50="Focalisation",IF(Gestion!$W$62&gt;0,10,0),(IF(B50="Sens de la Magie",IF(Gestion!$W$62&gt;0,10,0),(IF(B50="Expression Artistique",IF(Gestion!$W$63&gt;0,10,0),(IF(B50="Lecture sur les lèvres",IF(Gestion!$W$8&gt;0,10,0),(IF(B50="Pistage",IF(Gestion!$W$5&gt;0,10,0),(IF(B50="Baratin",IF(Gestion!$W$94&gt;0,10,0),(IF(B50="Navigation",IF(Gestion!$W$93+Gestion!$W$47&gt;1,25,IF(Gestion!$W$93&gt;0,20,IF(Gestion!$W$47&gt;0,5,0))))))))))))))))))))))))))))))))))))</f>
        <v/>
      </c>
      <c r="L50" s="288">
        <f t="shared" si="2"/>
        <v>0</v>
      </c>
      <c r="M50" s="217"/>
      <c r="N50" s="908">
        <f>IF(E50=0,0,HLOOKUP(E50,'page 1'!$H$20:$M$23,4,0))</f>
        <v>0</v>
      </c>
      <c r="O50" s="1318" t="s">
        <v>4351</v>
      </c>
      <c r="P50" s="1319"/>
      <c r="Q50" s="1320"/>
      <c r="R50" s="366" t="s">
        <v>4352</v>
      </c>
      <c r="S50" s="908"/>
      <c r="T50" s="1318" t="s">
        <v>4867</v>
      </c>
      <c r="U50" s="1319"/>
      <c r="V50" s="1319"/>
      <c r="W50" s="1320"/>
      <c r="X50" s="366" t="s">
        <v>4352</v>
      </c>
      <c r="Y50" s="654"/>
      <c r="Z50" s="217"/>
      <c r="AA50" s="217"/>
    </row>
    <row r="51" spans="1:27" ht="13.8" thickBot="1">
      <c r="A51" s="908">
        <f t="shared" si="3"/>
        <v>0</v>
      </c>
      <c r="B51" s="295"/>
      <c r="C51" s="270"/>
      <c r="D51" s="216" t="s">
        <v>361</v>
      </c>
      <c r="E51" s="271">
        <f>IF(A51=1,VLOOKUP(C51,tableaux!DD:DE,2,0),IF($B51=0,,VLOOKUP($B51,tableaux!$J$2:$K$28,2,0)))</f>
        <v>0</v>
      </c>
      <c r="F51" s="215" t="s">
        <v>362</v>
      </c>
      <c r="G51" s="274"/>
      <c r="H51" s="274"/>
      <c r="I51" s="274"/>
      <c r="J51" s="289" t="str">
        <f t="shared" si="1"/>
        <v/>
      </c>
      <c r="K51" s="275" t="str">
        <f>IF(B51="","",(IF(C51="Artiste",IF(Gestion!$W$125&gt;0,10,0),IF(B51="Orientation",IF(Gestion!$W$16+Gestion!$W$118&gt;1,20,IF(OR(Gestion!$W$118&gt;0,Gestion!$W$16&gt;0),10,IF(Gestion!$W$16&gt;1,10))),(IF(B51="Crochetage",IF(Gestion!$W$17&gt;0,10,0),(IF(B51="Lire/écrire",IF(Gestion!$W$72&gt;0,10,0),(IF(B51="Langue",IF(Gestion!$W$72+Gestion!$W$59+Gestion!$W$63&gt;2,30,IF(Gestion!$W$59+Gestion!$W$63&gt;1,20,IF(Gestion!$W$63+Gestion!$W$72&gt;1,20,IF(Gestion!$W$59+Gestion!$W$72&gt;1,20,IF(Gestion!$W$59&gt;0,10,IF(Gestion!$W$63&gt;0,10,IF(Gestion!$W$72&gt;0,10))))))),(IF(B51="Torture",IF(Gestion!$W$86&gt;0,10,0),IF(AND(B51="Esquive",OR('page 2'!$P$31="Danse du Destin",'page 2'!$P$32="Danse du Destin",'page 2'!$P$33="Danse du Destin",'page 2'!$P$34="Danse du Destin")),10,(IF(B51="Métier",IF(Gestion!$W$115&gt;0,10,0),(IF(B51="Soins",IF(Gestion!$W$24&gt;0,10,0),(IF(B51="Connaissances Générales",IF(Gestion!$W$59+Gestion!$W$93&gt;1,20,IF(Gestion!$W$93&gt;0,10,IF(Gestion!$W$59&gt;0,10,0))),(IF(B51="Focalisation",IF(Gestion!$W$62&gt;0,10,0),(IF(B51="Sens de la Magie",IF(Gestion!$W$62&gt;0,10,0),(IF(B51="Expression Artistique",IF(Gestion!$W$63&gt;0,10,0),(IF(B51="Lecture sur les lèvres",IF(Gestion!$W$8&gt;0,10,0),(IF(B51="Pistage",IF(Gestion!$W$5&gt;0,10,0),(IF(B51="Baratin",IF(Gestion!$W$94&gt;0,10,0),(IF(B51="Navigation",IF(Gestion!$W$93+Gestion!$W$47&gt;1,25,IF(Gestion!$W$93&gt;0,20,IF(Gestion!$W$47&gt;0,5,0))))))))))))))))))))))))))))))))))))</f>
        <v/>
      </c>
      <c r="L51" s="288">
        <f t="shared" si="2"/>
        <v>0</v>
      </c>
      <c r="M51" s="217"/>
      <c r="N51" s="908">
        <f>IF(E51=0,0,HLOOKUP(E51,'page 1'!$H$20:$M$23,4,0))</f>
        <v>0</v>
      </c>
      <c r="O51" s="1299"/>
      <c r="P51" s="1233"/>
      <c r="Q51" s="1312"/>
      <c r="R51" s="366" t="str">
        <f>IF(O51="","",VLOOKUP(O51,tableaux!$DT:$DU,2,0))</f>
        <v/>
      </c>
      <c r="S51" s="908"/>
      <c r="T51" s="1299"/>
      <c r="U51" s="1233"/>
      <c r="V51" s="1233"/>
      <c r="W51" s="1312"/>
      <c r="X51" s="366" t="str">
        <f>IF(T51="","",VLOOKUP(T51,tableaux!$DV:$DW,2,0))</f>
        <v/>
      </c>
      <c r="Y51" s="654"/>
      <c r="Z51" s="217"/>
      <c r="AA51" s="217"/>
    </row>
    <row r="52" spans="1:27" ht="13.8" thickBot="1">
      <c r="A52" s="908">
        <f t="shared" si="3"/>
        <v>0</v>
      </c>
      <c r="B52" s="295"/>
      <c r="C52" s="270"/>
      <c r="D52" s="216" t="s">
        <v>361</v>
      </c>
      <c r="E52" s="271">
        <f>IF(A52=1,VLOOKUP(C52,tableaux!DD:DE,2,0),IF($B52=0,,VLOOKUP($B52,tableaux!$J$2:$K$28,2,0)))</f>
        <v>0</v>
      </c>
      <c r="F52" s="215" t="s">
        <v>362</v>
      </c>
      <c r="G52" s="274"/>
      <c r="H52" s="274"/>
      <c r="I52" s="274"/>
      <c r="J52" s="289" t="str">
        <f t="shared" si="1"/>
        <v/>
      </c>
      <c r="K52" s="275" t="str">
        <f>IF(B52="","",(IF(C52="Artiste",IF(Gestion!$W$125&gt;0,10,0),IF(B52="Orientation",IF(Gestion!$W$16+Gestion!$W$118&gt;1,20,IF(OR(Gestion!$W$118&gt;0,Gestion!$W$16&gt;0),10,IF(Gestion!$W$16&gt;1,10))),(IF(B52="Crochetage",IF(Gestion!$W$17&gt;0,10,0),(IF(B52="Lire/écrire",IF(Gestion!$W$72&gt;0,10,0),(IF(B52="Langue",IF(Gestion!$W$72+Gestion!$W$59+Gestion!$W$63&gt;2,30,IF(Gestion!$W$59+Gestion!$W$63&gt;1,20,IF(Gestion!$W$63+Gestion!$W$72&gt;1,20,IF(Gestion!$W$59+Gestion!$W$72&gt;1,20,IF(Gestion!$W$59&gt;0,10,IF(Gestion!$W$63&gt;0,10,IF(Gestion!$W$72&gt;0,10))))))),(IF(B52="Torture",IF(Gestion!$W$86&gt;0,10,0),IF(AND(B52="Esquive",OR('page 2'!$P$31="Danse du Destin",'page 2'!$P$32="Danse du Destin",'page 2'!$P$33="Danse du Destin",'page 2'!$P$34="Danse du Destin")),10,(IF(B52="Métier",IF(Gestion!$W$115&gt;0,10,0),(IF(B52="Soins",IF(Gestion!$W$24&gt;0,10,0),(IF(B52="Connaissances Générales",IF(Gestion!$W$59+Gestion!$W$93&gt;1,20,IF(Gestion!$W$93&gt;0,10,IF(Gestion!$W$59&gt;0,10,0))),(IF(B52="Focalisation",IF(Gestion!$W$62&gt;0,10,0),(IF(B52="Sens de la Magie",IF(Gestion!$W$62&gt;0,10,0),(IF(B52="Expression Artistique",IF(Gestion!$W$63&gt;0,10,0),(IF(B52="Lecture sur les lèvres",IF(Gestion!$W$8&gt;0,10,0),(IF(B52="Pistage",IF(Gestion!$W$5&gt;0,10,0),(IF(B52="Baratin",IF(Gestion!$W$94&gt;0,10,0),(IF(B52="Navigation",IF(Gestion!$W$93+Gestion!$W$47&gt;1,25,IF(Gestion!$W$93&gt;0,20,IF(Gestion!$W$47&gt;0,5,0))))))))))))))))))))))))))))))))))))</f>
        <v/>
      </c>
      <c r="L52" s="288">
        <f t="shared" si="2"/>
        <v>0</v>
      </c>
      <c r="M52" s="217"/>
      <c r="N52" s="908">
        <f>IF(E52=0,0,HLOOKUP(E52,'page 1'!$H$20:$M$23,4,0))</f>
        <v>0</v>
      </c>
      <c r="O52" s="1299"/>
      <c r="P52" s="1233"/>
      <c r="Q52" s="1312"/>
      <c r="R52" s="768" t="str">
        <f>IF(O52="","",VLOOKUP(O52,tableaux!$DT:$DU,2,0))</f>
        <v/>
      </c>
      <c r="S52" s="908"/>
      <c r="T52" s="1299"/>
      <c r="U52" s="1233"/>
      <c r="V52" s="1233"/>
      <c r="W52" s="1312"/>
      <c r="X52" s="768" t="str">
        <f>IF(T52="","",VLOOKUP(T52,tableaux!$DV:$DW,2,0))</f>
        <v/>
      </c>
      <c r="Y52" s="654"/>
      <c r="Z52" s="217"/>
      <c r="AA52" s="217"/>
    </row>
    <row r="53" spans="1:27" ht="13.8" thickBot="1">
      <c r="A53" s="908">
        <f t="shared" si="3"/>
        <v>0</v>
      </c>
      <c r="B53" s="295"/>
      <c r="C53" s="270"/>
      <c r="D53" s="216" t="s">
        <v>361</v>
      </c>
      <c r="E53" s="271">
        <f>IF(A53=1,VLOOKUP(C53,tableaux!DD:DE,2,0),IF($B53=0,,VLOOKUP($B53,tableaux!$J$2:$K$28,2,0)))</f>
        <v>0</v>
      </c>
      <c r="F53" s="215" t="s">
        <v>362</v>
      </c>
      <c r="G53" s="274"/>
      <c r="H53" s="274"/>
      <c r="I53" s="274"/>
      <c r="J53" s="289" t="str">
        <f t="shared" si="1"/>
        <v/>
      </c>
      <c r="K53" s="275" t="str">
        <f>IF(B53="","",(IF(C53="Artiste",IF(Gestion!$W$125&gt;0,10,0),IF(B53="Orientation",IF(Gestion!$W$16+Gestion!$W$118&gt;1,20,IF(OR(Gestion!$W$118&gt;0,Gestion!$W$16&gt;0),10,IF(Gestion!$W$16&gt;1,10))),(IF(B53="Crochetage",IF(Gestion!$W$17&gt;0,10,0),(IF(B53="Lire/écrire",IF(Gestion!$W$72&gt;0,10,0),(IF(B53="Langue",IF(Gestion!$W$72+Gestion!$W$59+Gestion!$W$63&gt;2,30,IF(Gestion!$W$59+Gestion!$W$63&gt;1,20,IF(Gestion!$W$63+Gestion!$W$72&gt;1,20,IF(Gestion!$W$59+Gestion!$W$72&gt;1,20,IF(Gestion!$W$59&gt;0,10,IF(Gestion!$W$63&gt;0,10,IF(Gestion!$W$72&gt;0,10))))))),(IF(B53="Torture",IF(Gestion!$W$86&gt;0,10,0),IF(AND(B53="Esquive",OR('page 2'!$P$31="Danse du Destin",'page 2'!$P$32="Danse du Destin",'page 2'!$P$33="Danse du Destin",'page 2'!$P$34="Danse du Destin")),10,(IF(B53="Métier",IF(Gestion!$W$115&gt;0,10,0),(IF(B53="Soins",IF(Gestion!$W$24&gt;0,10,0),(IF(B53="Connaissances Générales",IF(Gestion!$W$59+Gestion!$W$93&gt;1,20,IF(Gestion!$W$93&gt;0,10,IF(Gestion!$W$59&gt;0,10,0))),(IF(B53="Focalisation",IF(Gestion!$W$62&gt;0,10,0),(IF(B53="Sens de la Magie",IF(Gestion!$W$62&gt;0,10,0),(IF(B53="Expression Artistique",IF(Gestion!$W$63&gt;0,10,0),(IF(B53="Lecture sur les lèvres",IF(Gestion!$W$8&gt;0,10,0),(IF(B53="Pistage",IF(Gestion!$W$5&gt;0,10,0),(IF(B53="Baratin",IF(Gestion!$W$94&gt;0,10,0),(IF(B53="Navigation",IF(Gestion!$W$93+Gestion!$W$47&gt;1,25,IF(Gestion!$W$93&gt;0,20,IF(Gestion!$W$47&gt;0,5,0))))))))))))))))))))))))))))))))))))</f>
        <v/>
      </c>
      <c r="L53" s="288">
        <f t="shared" si="2"/>
        <v>0</v>
      </c>
      <c r="M53" s="217"/>
      <c r="N53" s="908">
        <f>IF(E53=0,0,HLOOKUP(E53,'page 1'!$H$20:$M$23,4,0))</f>
        <v>0</v>
      </c>
      <c r="O53" s="1299"/>
      <c r="P53" s="1233"/>
      <c r="Q53" s="1312"/>
      <c r="R53" s="768" t="str">
        <f>IF(O53="","",VLOOKUP(O53,tableaux!$DT:$DU,2,0))</f>
        <v/>
      </c>
      <c r="S53" s="908"/>
      <c r="T53" s="1299"/>
      <c r="U53" s="1233"/>
      <c r="V53" s="1233"/>
      <c r="W53" s="1312"/>
      <c r="X53" s="768" t="str">
        <f>IF(T53="","",VLOOKUP(T53,tableaux!$DV:$DW,2,0))</f>
        <v/>
      </c>
      <c r="Y53" s="654"/>
      <c r="Z53" s="217"/>
      <c r="AA53" s="217"/>
    </row>
    <row r="54" spans="1:27" ht="16.2" thickBot="1">
      <c r="A54" s="908">
        <f t="shared" si="3"/>
        <v>0</v>
      </c>
      <c r="B54" s="295"/>
      <c r="C54" s="270"/>
      <c r="D54" s="216" t="s">
        <v>361</v>
      </c>
      <c r="E54" s="271">
        <f>IF(A54=1,VLOOKUP(C54,tableaux!DD:DE,2,0),IF($B54=0,,VLOOKUP($B54,tableaux!$J$2:$K$28,2,0)))</f>
        <v>0</v>
      </c>
      <c r="F54" s="215" t="s">
        <v>362</v>
      </c>
      <c r="G54" s="274"/>
      <c r="H54" s="274"/>
      <c r="I54" s="274"/>
      <c r="J54" s="289" t="str">
        <f t="shared" si="1"/>
        <v/>
      </c>
      <c r="K54" s="275" t="str">
        <f>IF(B54="","",(IF(C54="Artiste",IF(Gestion!$W$125&gt;0,10,0),IF(B54="Orientation",IF(Gestion!$W$16+Gestion!$W$118&gt;1,20,IF(OR(Gestion!$W$118&gt;0,Gestion!$W$16&gt;0),10,IF(Gestion!$W$16&gt;1,10))),(IF(B54="Crochetage",IF(Gestion!$W$17&gt;0,10,0),(IF(B54="Lire/écrire",IF(Gestion!$W$72&gt;0,10,0),(IF(B54="Langue",IF(Gestion!$W$72+Gestion!$W$59+Gestion!$W$63&gt;2,30,IF(Gestion!$W$59+Gestion!$W$63&gt;1,20,IF(Gestion!$W$63+Gestion!$W$72&gt;1,20,IF(Gestion!$W$59+Gestion!$W$72&gt;1,20,IF(Gestion!$W$59&gt;0,10,IF(Gestion!$W$63&gt;0,10,IF(Gestion!$W$72&gt;0,10))))))),(IF(B54="Torture",IF(Gestion!$W$86&gt;0,10,0),IF(AND(B54="Esquive",OR('page 2'!$P$31="Danse du Destin",'page 2'!$P$32="Danse du Destin",'page 2'!$P$33="Danse du Destin",'page 2'!$P$34="Danse du Destin")),10,(IF(B54="Métier",IF(Gestion!$W$115&gt;0,10,0),(IF(B54="Soins",IF(Gestion!$W$24&gt;0,10,0),(IF(B54="Connaissances Générales",IF(Gestion!$W$59+Gestion!$W$93&gt;1,20,IF(Gestion!$W$93&gt;0,10,IF(Gestion!$W$59&gt;0,10,0))),(IF(B54="Focalisation",IF(Gestion!$W$62&gt;0,10,0),(IF(B54="Sens de la Magie",IF(Gestion!$W$62&gt;0,10,0),(IF(B54="Expression Artistique",IF(Gestion!$W$63&gt;0,10,0),(IF(B54="Lecture sur les lèvres",IF(Gestion!$W$8&gt;0,10,0),(IF(B54="Pistage",IF(Gestion!$W$5&gt;0,10,0),(IF(B54="Baratin",IF(Gestion!$W$94&gt;0,10,0),(IF(B54="Navigation",IF(Gestion!$W$93+Gestion!$W$47&gt;1,25,IF(Gestion!$W$93&gt;0,20,IF(Gestion!$W$47&gt;0,5,0))))))))))))))))))))))))))))))))))))</f>
        <v/>
      </c>
      <c r="L54" s="288">
        <f t="shared" si="2"/>
        <v>0</v>
      </c>
      <c r="M54" s="217"/>
      <c r="N54" s="908">
        <f>IF(E54=0,0,HLOOKUP(E54,'page 1'!$H$20:$M$23,4,0))</f>
        <v>0</v>
      </c>
      <c r="O54" s="1299"/>
      <c r="P54" s="1233"/>
      <c r="Q54" s="1233"/>
      <c r="R54" s="768" t="str">
        <f>IF(O54="","",VLOOKUP(O54,tableaux!$DT:$DU,2,0))</f>
        <v/>
      </c>
      <c r="S54" s="908"/>
      <c r="T54" s="1298" t="s">
        <v>1423</v>
      </c>
      <c r="U54" s="1298"/>
      <c r="V54" s="217"/>
      <c r="W54" s="217"/>
      <c r="X54" s="217"/>
      <c r="Y54" s="654"/>
      <c r="Z54" s="217"/>
      <c r="AA54" s="217"/>
    </row>
    <row r="55" spans="1:27" ht="13.8" thickBot="1">
      <c r="A55" s="908">
        <f>IF(B55="Métier",1,IF(B55="Alphabet secret",2,IF(B55="Langage secret",3,IF(B55="Expression artistique",4,IF(B55="Langage mystique",5,IF(B55="Langue",6,IF(B55="Connaissances générales",8,IF(B55="Connaissances académiques",9,0))))))))</f>
        <v>0</v>
      </c>
      <c r="B55" s="296"/>
      <c r="C55" s="297"/>
      <c r="D55" s="298" t="s">
        <v>361</v>
      </c>
      <c r="E55" s="271">
        <f>IF(A55=1,VLOOKUP(C55,tableaux!DD:DE,2,0),IF($B55=0,,VLOOKUP($B55,tableaux!$J$2:$K$28,2,0)))</f>
        <v>0</v>
      </c>
      <c r="F55" s="299" t="s">
        <v>362</v>
      </c>
      <c r="G55" s="300"/>
      <c r="H55" s="300"/>
      <c r="I55" s="300"/>
      <c r="J55" s="289" t="str">
        <f t="shared" si="1"/>
        <v/>
      </c>
      <c r="K55" s="275" t="str">
        <f>IF(B55="","",(IF(C55="Artiste",IF(Gestion!$W$125&gt;0,10,0),IF(B55="Orientation",IF(Gestion!$W$16+Gestion!$W$118&gt;1,20,IF(OR(Gestion!$W$118&gt;0,Gestion!$W$16&gt;0),10,IF(Gestion!$W$16&gt;1,10))),(IF(B55="Crochetage",IF(Gestion!$W$17&gt;0,10,0),(IF(B55="Lire/écrire",IF(Gestion!$W$72&gt;0,10,0),(IF(B55="Langue",IF(Gestion!$W$72+Gestion!$W$59+Gestion!$W$63&gt;2,30,IF(Gestion!$W$59+Gestion!$W$63&gt;1,20,IF(Gestion!$W$63+Gestion!$W$72&gt;1,20,IF(Gestion!$W$59+Gestion!$W$72&gt;1,20,IF(Gestion!$W$59&gt;0,10,IF(Gestion!$W$63&gt;0,10,IF(Gestion!$W$72&gt;0,10))))))),(IF(B55="Torture",IF(Gestion!$W$86&gt;0,10,0),IF(AND(B55="Esquive",OR('page 2'!$P$31="Danse du Destin",'page 2'!$P$32="Danse du Destin",'page 2'!$P$33="Danse du Destin",'page 2'!$P$34="Danse du Destin")),10,(IF(B55="Métier",IF(Gestion!$W$115&gt;0,10,0),(IF(B55="Soins",IF(Gestion!$W$24&gt;0,10,0),(IF(B55="Connaissances Générales",IF(Gestion!$W$59+Gestion!$W$93&gt;1,20,IF(Gestion!$W$93&gt;0,10,IF(Gestion!$W$59&gt;0,10,0))),(IF(B55="Focalisation",IF(Gestion!$W$62&gt;0,10,0),(IF(B55="Sens de la Magie",IF(Gestion!$W$62&gt;0,10,0),(IF(B55="Expression Artistique",IF(Gestion!$W$63&gt;0,10,0),(IF(B55="Lecture sur les lèvres",IF(Gestion!$W$8&gt;0,10,0),(IF(B55="Pistage",IF(Gestion!$W$5&gt;0,10,0),(IF(B55="Baratin",IF(Gestion!$W$94&gt;0,10,0),(IF(B55="Navigation",IF(Gestion!$W$93+Gestion!$W$47&gt;1,25,IF(Gestion!$W$93&gt;0,20,IF(Gestion!$W$47&gt;0,5,0))))))))))))))))))))))))))))))))))))</f>
        <v/>
      </c>
      <c r="L55" s="288">
        <f t="shared" si="2"/>
        <v>0</v>
      </c>
      <c r="M55" s="217"/>
      <c r="N55" s="908">
        <f>IF(E55=0,0,HLOOKUP(E55,'page 1'!$H$20:$M$23,4,0))</f>
        <v>0</v>
      </c>
      <c r="O55" s="1313"/>
      <c r="P55" s="1314"/>
      <c r="Q55" s="1314"/>
      <c r="R55" s="768" t="str">
        <f>IF(O55="","",VLOOKUP(O55,tableaux!$DT:$DU,2,0))</f>
        <v/>
      </c>
      <c r="S55" s="908"/>
      <c r="T55" s="1299"/>
      <c r="U55" s="1233"/>
      <c r="V55" s="1233"/>
      <c r="W55" s="1312"/>
      <c r="X55" s="866" t="str">
        <f>IF(T55="","",VLOOKUP(T55,tableaux!DX:DY,2,0))</f>
        <v/>
      </c>
      <c r="Y55" s="654"/>
      <c r="Z55" s="217"/>
      <c r="AA55" s="217"/>
    </row>
    <row r="56" spans="1:27">
      <c r="A56" s="908"/>
      <c r="B56" s="217"/>
      <c r="C56" s="217"/>
      <c r="D56" s="217"/>
      <c r="E56" s="217"/>
      <c r="F56" s="217"/>
      <c r="G56" s="217"/>
      <c r="H56" s="217"/>
      <c r="I56" s="217"/>
      <c r="J56" s="217"/>
      <c r="K56" s="217"/>
      <c r="L56" s="217"/>
      <c r="M56" s="217"/>
      <c r="N56" s="908"/>
      <c r="O56" s="217"/>
      <c r="P56" s="217"/>
      <c r="Q56" s="217"/>
      <c r="R56" s="217"/>
      <c r="S56" s="908"/>
      <c r="T56" s="217"/>
      <c r="U56" s="217"/>
      <c r="V56" s="217"/>
      <c r="W56" s="217"/>
      <c r="X56" s="217"/>
      <c r="Y56" s="217"/>
      <c r="Z56" s="217"/>
      <c r="AA56" s="217"/>
    </row>
    <row r="57" spans="1:27">
      <c r="A57" s="908"/>
      <c r="B57" s="217"/>
      <c r="C57" s="217"/>
      <c r="D57" s="217"/>
      <c r="E57" s="217"/>
      <c r="F57" s="217"/>
      <c r="G57" s="217"/>
      <c r="H57" s="217"/>
      <c r="I57" s="217"/>
      <c r="J57" s="217"/>
      <c r="K57" s="217"/>
      <c r="L57" s="217"/>
      <c r="M57" s="217"/>
      <c r="N57" s="908"/>
      <c r="O57" s="217"/>
      <c r="P57" s="217"/>
      <c r="Q57" s="217"/>
      <c r="R57" s="217"/>
      <c r="S57" s="217"/>
      <c r="T57" s="217"/>
      <c r="U57" s="217"/>
      <c r="V57" s="217"/>
      <c r="W57" s="217"/>
      <c r="X57" s="217"/>
      <c r="Y57" s="217"/>
      <c r="Z57" s="217"/>
      <c r="AA57" s="217"/>
    </row>
  </sheetData>
  <sheetProtection selectLockedCells="1"/>
  <mergeCells count="122">
    <mergeCell ref="S19:X19"/>
    <mergeCell ref="Q27:R27"/>
    <mergeCell ref="O29:P29"/>
    <mergeCell ref="Q16:R16"/>
    <mergeCell ref="O16:P16"/>
    <mergeCell ref="S17:X17"/>
    <mergeCell ref="O19:P19"/>
    <mergeCell ref="O17:P17"/>
    <mergeCell ref="Q25:R25"/>
    <mergeCell ref="Q26:R26"/>
    <mergeCell ref="O20:P20"/>
    <mergeCell ref="Q18:R18"/>
    <mergeCell ref="Q19:R19"/>
    <mergeCell ref="Q20:R20"/>
    <mergeCell ref="S18:X18"/>
    <mergeCell ref="S20:X20"/>
    <mergeCell ref="S25:X25"/>
    <mergeCell ref="S26:X26"/>
    <mergeCell ref="S27:X27"/>
    <mergeCell ref="O25:P25"/>
    <mergeCell ref="O26:P26"/>
    <mergeCell ref="O27:P27"/>
    <mergeCell ref="O18:P18"/>
    <mergeCell ref="Q17:R17"/>
    <mergeCell ref="O2:P2"/>
    <mergeCell ref="O3:P3"/>
    <mergeCell ref="Q3:R3"/>
    <mergeCell ref="Q8:R8"/>
    <mergeCell ref="Q11:R11"/>
    <mergeCell ref="Q12:R12"/>
    <mergeCell ref="Q7:R7"/>
    <mergeCell ref="S3:X3"/>
    <mergeCell ref="S4:X4"/>
    <mergeCell ref="S5:X5"/>
    <mergeCell ref="S6:X6"/>
    <mergeCell ref="S7:X7"/>
    <mergeCell ref="Q4:R4"/>
    <mergeCell ref="Q5:R5"/>
    <mergeCell ref="Q6:R6"/>
    <mergeCell ref="O6:P6"/>
    <mergeCell ref="O4:P4"/>
    <mergeCell ref="S8:X8"/>
    <mergeCell ref="S9:X9"/>
    <mergeCell ref="S10:X10"/>
    <mergeCell ref="S11:X11"/>
    <mergeCell ref="S12:X12"/>
    <mergeCell ref="O5:P5"/>
    <mergeCell ref="O7:P7"/>
    <mergeCell ref="S13:X13"/>
    <mergeCell ref="S14:X14"/>
    <mergeCell ref="S15:X15"/>
    <mergeCell ref="S16:X16"/>
    <mergeCell ref="O8:P8"/>
    <mergeCell ref="O9:P9"/>
    <mergeCell ref="O13:P13"/>
    <mergeCell ref="O11:P11"/>
    <mergeCell ref="O12:P12"/>
    <mergeCell ref="O10:P10"/>
    <mergeCell ref="Q9:R9"/>
    <mergeCell ref="Q10:R10"/>
    <mergeCell ref="Q13:R13"/>
    <mergeCell ref="Q14:R14"/>
    <mergeCell ref="O14:P14"/>
    <mergeCell ref="O15:P15"/>
    <mergeCell ref="Q15:R15"/>
    <mergeCell ref="T47:W47"/>
    <mergeCell ref="O36:Q36"/>
    <mergeCell ref="O47:Q47"/>
    <mergeCell ref="T44:W44"/>
    <mergeCell ref="O45:Q45"/>
    <mergeCell ref="O44:Q44"/>
    <mergeCell ref="O37:P37"/>
    <mergeCell ref="Q37:Z40"/>
    <mergeCell ref="O38:P40"/>
    <mergeCell ref="T51:W51"/>
    <mergeCell ref="T55:W55"/>
    <mergeCell ref="O55:Q55"/>
    <mergeCell ref="P30:Q30"/>
    <mergeCell ref="P31:Q31"/>
    <mergeCell ref="B2:C2"/>
    <mergeCell ref="B29:C29"/>
    <mergeCell ref="T42:W42"/>
    <mergeCell ref="T43:W43"/>
    <mergeCell ref="T41:U41"/>
    <mergeCell ref="O50:Q50"/>
    <mergeCell ref="O51:Q51"/>
    <mergeCell ref="T50:W50"/>
    <mergeCell ref="O46:Q46"/>
    <mergeCell ref="T46:W46"/>
    <mergeCell ref="O43:Q43"/>
    <mergeCell ref="O42:Q42"/>
    <mergeCell ref="O41:P41"/>
    <mergeCell ref="O54:Q54"/>
    <mergeCell ref="O53:Q53"/>
    <mergeCell ref="O52:Q52"/>
    <mergeCell ref="T52:W52"/>
    <mergeCell ref="T53:W53"/>
    <mergeCell ref="T49:U49"/>
    <mergeCell ref="T54:U54"/>
    <mergeCell ref="O21:P21"/>
    <mergeCell ref="O22:P22"/>
    <mergeCell ref="O23:P23"/>
    <mergeCell ref="O24:P24"/>
    <mergeCell ref="Q24:R24"/>
    <mergeCell ref="Q21:R21"/>
    <mergeCell ref="Q22:R22"/>
    <mergeCell ref="Q23:R23"/>
    <mergeCell ref="S21:X21"/>
    <mergeCell ref="S22:X22"/>
    <mergeCell ref="S23:X23"/>
    <mergeCell ref="S24:X24"/>
    <mergeCell ref="T29:W29"/>
    <mergeCell ref="U30:W30"/>
    <mergeCell ref="U31:W31"/>
    <mergeCell ref="U32:W32"/>
    <mergeCell ref="U34:W34"/>
    <mergeCell ref="U33:W33"/>
    <mergeCell ref="P32:Q32"/>
    <mergeCell ref="P33:Q33"/>
    <mergeCell ref="P34:Q34"/>
    <mergeCell ref="O49:P49"/>
    <mergeCell ref="T45:W45"/>
  </mergeCells>
  <phoneticPr fontId="2" type="noConversion"/>
  <conditionalFormatting sqref="L31:L55 E31:E55 L4:L27">
    <cfRule type="cellIs" dxfId="1615" priority="430" operator="equal">
      <formula>0</formula>
    </cfRule>
  </conditionalFormatting>
  <conditionalFormatting sqref="B40:C55 O43:Q47 O51:Q55 O31:O34 T43:W47 T51:W53 G31:J55 I4:J27 O9:P27 T55:W55">
    <cfRule type="cellIs" dxfId="1614" priority="428" operator="equal">
      <formula>""</formula>
    </cfRule>
  </conditionalFormatting>
  <conditionalFormatting sqref="T31:U34">
    <cfRule type="cellIs" dxfId="1613" priority="426" operator="equal">
      <formula>""</formula>
    </cfRule>
  </conditionalFormatting>
  <conditionalFormatting sqref="P31:P34">
    <cfRule type="cellIs" dxfId="1612" priority="425" operator="equal">
      <formula>""</formula>
    </cfRule>
  </conditionalFormatting>
  <conditionalFormatting sqref="G4:H27">
    <cfRule type="cellIs" dxfId="1611" priority="424" operator="equal">
      <formula>""</formula>
    </cfRule>
  </conditionalFormatting>
  <conditionalFormatting sqref="O4:P8">
    <cfRule type="cellIs" dxfId="1610" priority="423" operator="equal">
      <formula>""</formula>
    </cfRule>
  </conditionalFormatting>
  <conditionalFormatting sqref="B31:C39">
    <cfRule type="cellIs" dxfId="1609" priority="422" operator="equal">
      <formula>""</formula>
    </cfRule>
  </conditionalFormatting>
  <conditionalFormatting sqref="A1:K1 M1:AA1">
    <cfRule type="expression" dxfId="1608" priority="412">
      <formula>SelectRace="Vampire"</formula>
    </cfRule>
    <cfRule type="expression" dxfId="1607" priority="413">
      <formula>SelectRace="Skaven"</formula>
    </cfRule>
    <cfRule type="expression" dxfId="1606" priority="414">
      <formula>SelectRace="Peau-Verte"</formula>
    </cfRule>
    <cfRule type="expression" dxfId="1605" priority="415">
      <formula>SelectRace="Homme-lézard"</formula>
    </cfRule>
    <cfRule type="expression" dxfId="1604" priority="416">
      <formula>SelectRace="Homme-bête"</formula>
    </cfRule>
    <cfRule type="expression" dxfId="1603" priority="417">
      <formula>SelectRace="Halfling"</formula>
    </cfRule>
    <cfRule type="expression" dxfId="1602" priority="418">
      <formula>SelectRace="Elfe"</formula>
    </cfRule>
    <cfRule type="expression" dxfId="1601" priority="419">
      <formula>SelectRace="Créature du chaos"</formula>
    </cfRule>
    <cfRule type="expression" dxfId="1600" priority="420">
      <formula>SelectRace="Nain"</formula>
    </cfRule>
    <cfRule type="expression" dxfId="1599" priority="421">
      <formula>SelectRace=“Humain“</formula>
    </cfRule>
  </conditionalFormatting>
  <conditionalFormatting sqref="E2:M2">
    <cfRule type="expression" dxfId="1598" priority="402">
      <formula>SelectRace="Vampire"</formula>
    </cfRule>
    <cfRule type="expression" dxfId="1597" priority="403">
      <formula>SelectRace="Skaven"</formula>
    </cfRule>
    <cfRule type="expression" dxfId="1596" priority="404">
      <formula>SelectRace="Peau-Verte"</formula>
    </cfRule>
    <cfRule type="expression" dxfId="1595" priority="405">
      <formula>SelectRace="Homme-lézard"</formula>
    </cfRule>
    <cfRule type="expression" dxfId="1594" priority="406">
      <formula>SelectRace="Homme-bête"</formula>
    </cfRule>
    <cfRule type="expression" dxfId="1593" priority="407">
      <formula>SelectRace="Halfling"</formula>
    </cfRule>
    <cfRule type="expression" dxfId="1592" priority="408">
      <formula>SelectRace="Elfe"</formula>
    </cfRule>
    <cfRule type="expression" dxfId="1591" priority="409">
      <formula>SelectRace="Créature du chaos"</formula>
    </cfRule>
    <cfRule type="expression" dxfId="1590" priority="410">
      <formula>SelectRace="Nain"</formula>
    </cfRule>
    <cfRule type="expression" dxfId="1589" priority="411">
      <formula>SelectRace=“Humain“</formula>
    </cfRule>
  </conditionalFormatting>
  <conditionalFormatting sqref="D2">
    <cfRule type="expression" dxfId="1588" priority="392">
      <formula>SelectRace="Vampire"</formula>
    </cfRule>
    <cfRule type="expression" dxfId="1587" priority="393">
      <formula>SelectRace="Skaven"</formula>
    </cfRule>
    <cfRule type="expression" dxfId="1586" priority="394">
      <formula>SelectRace="Peau-Verte"</formula>
    </cfRule>
    <cfRule type="expression" dxfId="1585" priority="395">
      <formula>SelectRace="Homme-lézard"</formula>
    </cfRule>
    <cfRule type="expression" dxfId="1584" priority="396">
      <formula>SelectRace="Homme-bête"</formula>
    </cfRule>
    <cfRule type="expression" dxfId="1583" priority="397">
      <formula>SelectRace="Halfling"</formula>
    </cfRule>
    <cfRule type="expression" dxfId="1582" priority="398">
      <formula>SelectRace="Elfe"</formula>
    </cfRule>
    <cfRule type="expression" dxfId="1581" priority="399">
      <formula>SelectRace="Créature du chaos"</formula>
    </cfRule>
    <cfRule type="expression" dxfId="1580" priority="400">
      <formula>SelectRace="Nain"</formula>
    </cfRule>
    <cfRule type="expression" dxfId="1579" priority="401">
      <formula>SelectRace=“Humain“</formula>
    </cfRule>
  </conditionalFormatting>
  <conditionalFormatting sqref="Q2:X2">
    <cfRule type="expression" dxfId="1578" priority="382">
      <formula>SelectRace="Vampire"</formula>
    </cfRule>
    <cfRule type="expression" dxfId="1577" priority="383">
      <formula>SelectRace="Skaven"</formula>
    </cfRule>
    <cfRule type="expression" dxfId="1576" priority="384">
      <formula>SelectRace="Peau-Verte"</formula>
    </cfRule>
    <cfRule type="expression" dxfId="1575" priority="385">
      <formula>SelectRace="Homme-lézard"</formula>
    </cfRule>
    <cfRule type="expression" dxfId="1574" priority="386">
      <formula>SelectRace="Homme-bête"</formula>
    </cfRule>
    <cfRule type="expression" dxfId="1573" priority="387">
      <formula>SelectRace="Halfling"</formula>
    </cfRule>
    <cfRule type="expression" dxfId="1572" priority="388">
      <formula>SelectRace="Elfe"</formula>
    </cfRule>
    <cfRule type="expression" dxfId="1571" priority="389">
      <formula>SelectRace="Créature du chaos"</formula>
    </cfRule>
    <cfRule type="expression" dxfId="1570" priority="390">
      <formula>SelectRace="Nain"</formula>
    </cfRule>
    <cfRule type="expression" dxfId="1569" priority="391">
      <formula>SelectRace=“Humain“</formula>
    </cfRule>
  </conditionalFormatting>
  <conditionalFormatting sqref="O28:X28">
    <cfRule type="expression" dxfId="1568" priority="362">
      <formula>SelectRace="Vampire"</formula>
    </cfRule>
    <cfRule type="expression" dxfId="1567" priority="363">
      <formula>SelectRace="Skaven"</formula>
    </cfRule>
    <cfRule type="expression" dxfId="1566" priority="364">
      <formula>SelectRace="Peau-Verte"</formula>
    </cfRule>
    <cfRule type="expression" dxfId="1565" priority="365">
      <formula>SelectRace="Homme-lézard"</formula>
    </cfRule>
    <cfRule type="expression" dxfId="1564" priority="366">
      <formula>SelectRace="Homme-bête"</formula>
    </cfRule>
    <cfRule type="expression" dxfId="1563" priority="367">
      <formula>SelectRace="Halfling"</formula>
    </cfRule>
    <cfRule type="expression" dxfId="1562" priority="368">
      <formula>SelectRace="Elfe"</formula>
    </cfRule>
    <cfRule type="expression" dxfId="1561" priority="369">
      <formula>SelectRace="Créature du chaos"</formula>
    </cfRule>
    <cfRule type="expression" dxfId="1560" priority="370">
      <formula>SelectRace="Nain"</formula>
    </cfRule>
    <cfRule type="expression" dxfId="1559" priority="371">
      <formula>SelectRace=“Humain“</formula>
    </cfRule>
  </conditionalFormatting>
  <conditionalFormatting sqref="Z2:Z27">
    <cfRule type="expression" dxfId="1558" priority="352">
      <formula>SelectRace="Vampire"</formula>
    </cfRule>
    <cfRule type="expression" dxfId="1557" priority="353">
      <formula>SelectRace="Skaven"</formula>
    </cfRule>
    <cfRule type="expression" dxfId="1556" priority="354">
      <formula>SelectRace="Peau-Verte"</formula>
    </cfRule>
    <cfRule type="expression" dxfId="1555" priority="355">
      <formula>SelectRace="Homme-lézard"</formula>
    </cfRule>
    <cfRule type="expression" dxfId="1554" priority="356">
      <formula>SelectRace="Homme-bête"</formula>
    </cfRule>
    <cfRule type="expression" dxfId="1553" priority="357">
      <formula>SelectRace="Halfling"</formula>
    </cfRule>
    <cfRule type="expression" dxfId="1552" priority="358">
      <formula>SelectRace="Elfe"</formula>
    </cfRule>
    <cfRule type="expression" dxfId="1551" priority="359">
      <formula>SelectRace="Créature du chaos"</formula>
    </cfRule>
    <cfRule type="expression" dxfId="1550" priority="360">
      <formula>SelectRace="Nain"</formula>
    </cfRule>
    <cfRule type="expression" dxfId="1549" priority="361">
      <formula>SelectRace=“Humain“</formula>
    </cfRule>
  </conditionalFormatting>
  <conditionalFormatting sqref="Y2:Y27">
    <cfRule type="expression" dxfId="1548" priority="342">
      <formula>SelectRace="Vampire"</formula>
    </cfRule>
    <cfRule type="expression" dxfId="1547" priority="343">
      <formula>SelectRace="Skaven"</formula>
    </cfRule>
    <cfRule type="expression" dxfId="1546" priority="344">
      <formula>SelectRace="Peau-Verte"</formula>
    </cfRule>
    <cfRule type="expression" dxfId="1545" priority="345">
      <formula>SelectRace="Homme-lézard"</formula>
    </cfRule>
    <cfRule type="expression" dxfId="1544" priority="346">
      <formula>SelectRace="Homme-bête"</formula>
    </cfRule>
    <cfRule type="expression" dxfId="1543" priority="347">
      <formula>SelectRace="Halfling"</formula>
    </cfRule>
    <cfRule type="expression" dxfId="1542" priority="348">
      <formula>SelectRace="Elfe"</formula>
    </cfRule>
    <cfRule type="expression" dxfId="1541" priority="349">
      <formula>SelectRace="Créature du chaos"</formula>
    </cfRule>
    <cfRule type="expression" dxfId="1540" priority="350">
      <formula>SelectRace="Nain"</formula>
    </cfRule>
    <cfRule type="expression" dxfId="1539" priority="351">
      <formula>SelectRace=“Humain“</formula>
    </cfRule>
  </conditionalFormatting>
  <conditionalFormatting sqref="V41:X41 Z41:AA41">
    <cfRule type="expression" dxfId="1538" priority="302">
      <formula>SelectRace="Vampire"</formula>
    </cfRule>
    <cfRule type="expression" dxfId="1537" priority="303">
      <formula>SelectRace="Skaven"</formula>
    </cfRule>
    <cfRule type="expression" dxfId="1536" priority="304">
      <formula>SelectRace="Peau-Verte"</formula>
    </cfRule>
    <cfRule type="expression" dxfId="1535" priority="305">
      <formula>SelectRace="Homme-lézard"</formula>
    </cfRule>
    <cfRule type="expression" dxfId="1534" priority="306">
      <formula>SelectRace="Homme-bête"</formula>
    </cfRule>
    <cfRule type="expression" dxfId="1533" priority="307">
      <formula>SelectRace="Halfling"</formula>
    </cfRule>
    <cfRule type="expression" dxfId="1532" priority="308">
      <formula>SelectRace="Elfe"</formula>
    </cfRule>
    <cfRule type="expression" dxfId="1531" priority="309">
      <formula>SelectRace="Créature du chaos"</formula>
    </cfRule>
    <cfRule type="expression" dxfId="1530" priority="310">
      <formula>SelectRace="Nain"</formula>
    </cfRule>
    <cfRule type="expression" dxfId="1529" priority="311">
      <formula>SelectRace=“Humain“</formula>
    </cfRule>
  </conditionalFormatting>
  <conditionalFormatting sqref="AA2:AA36">
    <cfRule type="expression" dxfId="1528" priority="322">
      <formula>SelectRace="Vampire"</formula>
    </cfRule>
    <cfRule type="expression" dxfId="1527" priority="323">
      <formula>SelectRace="Skaven"</formula>
    </cfRule>
    <cfRule type="expression" dxfId="1526" priority="324">
      <formula>SelectRace="Peau-Verte"</formula>
    </cfRule>
    <cfRule type="expression" dxfId="1525" priority="325">
      <formula>SelectRace="Homme-lézard"</formula>
    </cfRule>
    <cfRule type="expression" dxfId="1524" priority="326">
      <formula>SelectRace="Homme-bête"</formula>
    </cfRule>
    <cfRule type="expression" dxfId="1523" priority="327">
      <formula>SelectRace="Halfling"</formula>
    </cfRule>
    <cfRule type="expression" dxfId="1522" priority="328">
      <formula>SelectRace="Elfe"</formula>
    </cfRule>
    <cfRule type="expression" dxfId="1521" priority="329">
      <formula>SelectRace="Créature du chaos"</formula>
    </cfRule>
    <cfRule type="expression" dxfId="1520" priority="330">
      <formula>SelectRace="Nain"</formula>
    </cfRule>
    <cfRule type="expression" dxfId="1519" priority="331">
      <formula>SelectRace=“Humain“</formula>
    </cfRule>
  </conditionalFormatting>
  <conditionalFormatting sqref="AA37:AA40">
    <cfRule type="expression" dxfId="1518" priority="312">
      <formula>SelectRace="Vampire"</formula>
    </cfRule>
    <cfRule type="expression" dxfId="1517" priority="313">
      <formula>SelectRace="Skaven"</formula>
    </cfRule>
    <cfRule type="expression" dxfId="1516" priority="314">
      <formula>SelectRace="Peau-Verte"</formula>
    </cfRule>
    <cfRule type="expression" dxfId="1515" priority="315">
      <formula>SelectRace="Homme-lézard"</formula>
    </cfRule>
    <cfRule type="expression" dxfId="1514" priority="316">
      <formula>SelectRace="Homme-bête"</formula>
    </cfRule>
    <cfRule type="expression" dxfId="1513" priority="317">
      <formula>SelectRace="Halfling"</formula>
    </cfRule>
    <cfRule type="expression" dxfId="1512" priority="318">
      <formula>SelectRace="Elfe"</formula>
    </cfRule>
    <cfRule type="expression" dxfId="1511" priority="319">
      <formula>SelectRace="Créature du chaos"</formula>
    </cfRule>
    <cfRule type="expression" dxfId="1510" priority="320">
      <formula>SelectRace="Nain"</formula>
    </cfRule>
    <cfRule type="expression" dxfId="1509" priority="321">
      <formula>SelectRace=“Humain“</formula>
    </cfRule>
  </conditionalFormatting>
  <conditionalFormatting sqref="Q41:R41">
    <cfRule type="expression" dxfId="1508" priority="292">
      <formula>SelectRace="Vampire"</formula>
    </cfRule>
    <cfRule type="expression" dxfId="1507" priority="293">
      <formula>SelectRace="Skaven"</formula>
    </cfRule>
    <cfRule type="expression" dxfId="1506" priority="294">
      <formula>SelectRace="Peau-Verte"</formula>
    </cfRule>
    <cfRule type="expression" dxfId="1505" priority="295">
      <formula>SelectRace="Homme-lézard"</formula>
    </cfRule>
    <cfRule type="expression" dxfId="1504" priority="296">
      <formula>SelectRace="Homme-bête"</formula>
    </cfRule>
    <cfRule type="expression" dxfId="1503" priority="297">
      <formula>SelectRace="Halfling"</formula>
    </cfRule>
    <cfRule type="expression" dxfId="1502" priority="298">
      <formula>SelectRace="Elfe"</formula>
    </cfRule>
    <cfRule type="expression" dxfId="1501" priority="299">
      <formula>SelectRace="Créature du chaos"</formula>
    </cfRule>
    <cfRule type="expression" dxfId="1500" priority="300">
      <formula>SelectRace="Nain"</formula>
    </cfRule>
    <cfRule type="expression" dxfId="1499" priority="301">
      <formula>SelectRace=“Humain“</formula>
    </cfRule>
  </conditionalFormatting>
  <conditionalFormatting sqref="Y56:AA57 Z42:AA55">
    <cfRule type="expression" dxfId="1498" priority="262">
      <formula>SelectRace="Vampire"</formula>
    </cfRule>
    <cfRule type="expression" dxfId="1497" priority="263">
      <formula>SelectRace="Skaven"</formula>
    </cfRule>
    <cfRule type="expression" dxfId="1496" priority="264">
      <formula>SelectRace="Peau-Verte"</formula>
    </cfRule>
    <cfRule type="expression" dxfId="1495" priority="265">
      <formula>SelectRace="Homme-lézard"</formula>
    </cfRule>
    <cfRule type="expression" dxfId="1494" priority="266">
      <formula>SelectRace="Homme-bête"</formula>
    </cfRule>
    <cfRule type="expression" dxfId="1493" priority="267">
      <formula>SelectRace="Halfling"</formula>
    </cfRule>
    <cfRule type="expression" dxfId="1492" priority="268">
      <formula>SelectRace="Elfe"</formula>
    </cfRule>
    <cfRule type="expression" dxfId="1491" priority="269">
      <formula>SelectRace="Créature du chaos"</formula>
    </cfRule>
    <cfRule type="expression" dxfId="1490" priority="270">
      <formula>SelectRace="Nain"</formula>
    </cfRule>
    <cfRule type="expression" dxfId="1489" priority="271">
      <formula>SelectRace=“Humain“</formula>
    </cfRule>
  </conditionalFormatting>
  <conditionalFormatting sqref="O48:R48 T48:X48">
    <cfRule type="expression" dxfId="1488" priority="272">
      <formula>SelectRace="Vampire"</formula>
    </cfRule>
    <cfRule type="expression" dxfId="1487" priority="273">
      <formula>SelectRace="Skaven"</formula>
    </cfRule>
    <cfRule type="expression" dxfId="1486" priority="274">
      <formula>SelectRace="Peau-Verte"</formula>
    </cfRule>
    <cfRule type="expression" dxfId="1485" priority="275">
      <formula>SelectRace="Homme-lézard"</formula>
    </cfRule>
    <cfRule type="expression" dxfId="1484" priority="276">
      <formula>SelectRace="Homme-bête"</formula>
    </cfRule>
    <cfRule type="expression" dxfId="1483" priority="277">
      <formula>SelectRace="Halfling"</formula>
    </cfRule>
    <cfRule type="expression" dxfId="1482" priority="278">
      <formula>SelectRace="Elfe"</formula>
    </cfRule>
    <cfRule type="expression" dxfId="1481" priority="279">
      <formula>SelectRace="Créature du chaos"</formula>
    </cfRule>
    <cfRule type="expression" dxfId="1480" priority="280">
      <formula>SelectRace="Nain"</formula>
    </cfRule>
    <cfRule type="expression" dxfId="1479" priority="281">
      <formula>SelectRace=“Humain“</formula>
    </cfRule>
  </conditionalFormatting>
  <conditionalFormatting sqref="A57:X57 B56:L56 O56:X56">
    <cfRule type="expression" dxfId="1478" priority="252">
      <formula>SelectRace="Vampire"</formula>
    </cfRule>
    <cfRule type="expression" dxfId="1477" priority="253">
      <formula>SelectRace="Skaven"</formula>
    </cfRule>
    <cfRule type="expression" dxfId="1476" priority="254">
      <formula>SelectRace="Peau-Verte"</formula>
    </cfRule>
    <cfRule type="expression" dxfId="1475" priority="255">
      <formula>SelectRace="Homme-lézard"</formula>
    </cfRule>
    <cfRule type="expression" dxfId="1474" priority="256">
      <formula>SelectRace="Homme-bête"</formula>
    </cfRule>
    <cfRule type="expression" dxfId="1473" priority="257">
      <formula>SelectRace="Halfling"</formula>
    </cfRule>
    <cfRule type="expression" dxfId="1472" priority="258">
      <formula>SelectRace="Elfe"</formula>
    </cfRule>
    <cfRule type="expression" dxfId="1471" priority="259">
      <formula>SelectRace="Créature du chaos"</formula>
    </cfRule>
    <cfRule type="expression" dxfId="1470" priority="260">
      <formula>SelectRace="Nain"</formula>
    </cfRule>
    <cfRule type="expression" dxfId="1469" priority="261">
      <formula>SelectRace=“Humain“</formula>
    </cfRule>
  </conditionalFormatting>
  <conditionalFormatting sqref="Q49">
    <cfRule type="expression" dxfId="1468" priority="242">
      <formula>SelectRace="Vampire"</formula>
    </cfRule>
    <cfRule type="expression" dxfId="1467" priority="243">
      <formula>SelectRace="Skaven"</formula>
    </cfRule>
    <cfRule type="expression" dxfId="1466" priority="244">
      <formula>SelectRace="Peau-Verte"</formula>
    </cfRule>
    <cfRule type="expression" dxfId="1465" priority="245">
      <formula>SelectRace="Homme-lézard"</formula>
    </cfRule>
    <cfRule type="expression" dxfId="1464" priority="246">
      <formula>SelectRace="Homme-bête"</formula>
    </cfRule>
    <cfRule type="expression" dxfId="1463" priority="247">
      <formula>SelectRace="Halfling"</formula>
    </cfRule>
    <cfRule type="expression" dxfId="1462" priority="248">
      <formula>SelectRace="Elfe"</formula>
    </cfRule>
    <cfRule type="expression" dxfId="1461" priority="249">
      <formula>SelectRace="Créature du chaos"</formula>
    </cfRule>
    <cfRule type="expression" dxfId="1460" priority="250">
      <formula>SelectRace="Nain"</formula>
    </cfRule>
    <cfRule type="expression" dxfId="1459" priority="251">
      <formula>SelectRace=“Humain“</formula>
    </cfRule>
  </conditionalFormatting>
  <conditionalFormatting sqref="R49">
    <cfRule type="expression" dxfId="1458" priority="232">
      <formula>SelectRace="Vampire"</formula>
    </cfRule>
    <cfRule type="expression" dxfId="1457" priority="233">
      <formula>SelectRace="Skaven"</formula>
    </cfRule>
    <cfRule type="expression" dxfId="1456" priority="234">
      <formula>SelectRace="Peau-Verte"</formula>
    </cfRule>
    <cfRule type="expression" dxfId="1455" priority="235">
      <formula>SelectRace="Homme-lézard"</formula>
    </cfRule>
    <cfRule type="expression" dxfId="1454" priority="236">
      <formula>SelectRace="Homme-bête"</formula>
    </cfRule>
    <cfRule type="expression" dxfId="1453" priority="237">
      <formula>SelectRace="Halfling"</formula>
    </cfRule>
    <cfRule type="expression" dxfId="1452" priority="238">
      <formula>SelectRace="Elfe"</formula>
    </cfRule>
    <cfRule type="expression" dxfId="1451" priority="239">
      <formula>SelectRace="Créature du chaos"</formula>
    </cfRule>
    <cfRule type="expression" dxfId="1450" priority="240">
      <formula>SelectRace="Nain"</formula>
    </cfRule>
    <cfRule type="expression" dxfId="1449" priority="241">
      <formula>SelectRace=“Humain“</formula>
    </cfRule>
  </conditionalFormatting>
  <conditionalFormatting sqref="V49">
    <cfRule type="expression" dxfId="1448" priority="222">
      <formula>SelectRace="Vampire"</formula>
    </cfRule>
    <cfRule type="expression" dxfId="1447" priority="223">
      <formula>SelectRace="Skaven"</formula>
    </cfRule>
    <cfRule type="expression" dxfId="1446" priority="224">
      <formula>SelectRace="Peau-Verte"</formula>
    </cfRule>
    <cfRule type="expression" dxfId="1445" priority="225">
      <formula>SelectRace="Homme-lézard"</formula>
    </cfRule>
    <cfRule type="expression" dxfId="1444" priority="226">
      <formula>SelectRace="Homme-bête"</formula>
    </cfRule>
    <cfRule type="expression" dxfId="1443" priority="227">
      <formula>SelectRace="Halfling"</formula>
    </cfRule>
    <cfRule type="expression" dxfId="1442" priority="228">
      <formula>SelectRace="Elfe"</formula>
    </cfRule>
    <cfRule type="expression" dxfId="1441" priority="229">
      <formula>SelectRace="Créature du chaos"</formula>
    </cfRule>
    <cfRule type="expression" dxfId="1440" priority="230">
      <formula>SelectRace="Nain"</formula>
    </cfRule>
    <cfRule type="expression" dxfId="1439" priority="231">
      <formula>SelectRace=“Humain“</formula>
    </cfRule>
  </conditionalFormatting>
  <conditionalFormatting sqref="W49:X49">
    <cfRule type="expression" dxfId="1438" priority="212">
      <formula>SelectRace="Vampire"</formula>
    </cfRule>
    <cfRule type="expression" dxfId="1437" priority="213">
      <formula>SelectRace="Skaven"</formula>
    </cfRule>
    <cfRule type="expression" dxfId="1436" priority="214">
      <formula>SelectRace="Peau-Verte"</formula>
    </cfRule>
    <cfRule type="expression" dxfId="1435" priority="215">
      <formula>SelectRace="Homme-lézard"</formula>
    </cfRule>
    <cfRule type="expression" dxfId="1434" priority="216">
      <formula>SelectRace="Homme-bête"</formula>
    </cfRule>
    <cfRule type="expression" dxfId="1433" priority="217">
      <formula>SelectRace="Halfling"</formula>
    </cfRule>
    <cfRule type="expression" dxfId="1432" priority="218">
      <formula>SelectRace="Elfe"</formula>
    </cfRule>
    <cfRule type="expression" dxfId="1431" priority="219">
      <formula>SelectRace="Créature du chaos"</formula>
    </cfRule>
    <cfRule type="expression" dxfId="1430" priority="220">
      <formula>SelectRace="Nain"</formula>
    </cfRule>
    <cfRule type="expression" dxfId="1429" priority="221">
      <formula>SelectRace=“Humain“</formula>
    </cfRule>
  </conditionalFormatting>
  <conditionalFormatting sqref="R36:X36 R35 T35:X35">
    <cfRule type="expression" dxfId="1428" priority="202">
      <formula>SelectRace="Vampire"</formula>
    </cfRule>
    <cfRule type="expression" dxfId="1427" priority="203">
      <formula>SelectRace="Skaven"</formula>
    </cfRule>
    <cfRule type="expression" dxfId="1426" priority="204">
      <formula>SelectRace="Peau-Verte"</formula>
    </cfRule>
    <cfRule type="expression" dxfId="1425" priority="205">
      <formula>SelectRace="Homme-lézard"</formula>
    </cfRule>
    <cfRule type="expression" dxfId="1424" priority="206">
      <formula>SelectRace="Homme-bête"</formula>
    </cfRule>
    <cfRule type="expression" dxfId="1423" priority="207">
      <formula>SelectRace="Halfling"</formula>
    </cfRule>
    <cfRule type="expression" dxfId="1422" priority="208">
      <formula>SelectRace="Elfe"</formula>
    </cfRule>
    <cfRule type="expression" dxfId="1421" priority="209">
      <formula>SelectRace="Créature du chaos"</formula>
    </cfRule>
    <cfRule type="expression" dxfId="1420" priority="210">
      <formula>SelectRace="Nain"</formula>
    </cfRule>
    <cfRule type="expression" dxfId="1419" priority="211">
      <formula>SelectRace=“Humain“</formula>
    </cfRule>
  </conditionalFormatting>
  <conditionalFormatting sqref="O35:Q35">
    <cfRule type="expression" dxfId="1418" priority="192">
      <formula>SelectRace="Vampire"</formula>
    </cfRule>
    <cfRule type="expression" dxfId="1417" priority="193">
      <formula>SelectRace="Skaven"</formula>
    </cfRule>
    <cfRule type="expression" dxfId="1416" priority="194">
      <formula>SelectRace="Peau-Verte"</formula>
    </cfRule>
    <cfRule type="expression" dxfId="1415" priority="195">
      <formula>SelectRace="Homme-lézard"</formula>
    </cfRule>
    <cfRule type="expression" dxfId="1414" priority="196">
      <formula>SelectRace="Homme-bête"</formula>
    </cfRule>
    <cfRule type="expression" dxfId="1413" priority="197">
      <formula>SelectRace="Halfling"</formula>
    </cfRule>
    <cfRule type="expression" dxfId="1412" priority="198">
      <formula>SelectRace="Elfe"</formula>
    </cfRule>
    <cfRule type="expression" dxfId="1411" priority="199">
      <formula>SelectRace="Créature du chaos"</formula>
    </cfRule>
    <cfRule type="expression" dxfId="1410" priority="200">
      <formula>SelectRace="Nain"</formula>
    </cfRule>
    <cfRule type="expression" dxfId="1409" priority="201">
      <formula>SelectRace=“Humain“</formula>
    </cfRule>
  </conditionalFormatting>
  <conditionalFormatting sqref="D28:L29">
    <cfRule type="expression" dxfId="1408" priority="142">
      <formula>SelectRace="Vampire"</formula>
    </cfRule>
    <cfRule type="expression" dxfId="1407" priority="143">
      <formula>SelectRace="Skaven"</formula>
    </cfRule>
    <cfRule type="expression" dxfId="1406" priority="144">
      <formula>SelectRace="Peau-Verte"</formula>
    </cfRule>
    <cfRule type="expression" dxfId="1405" priority="145">
      <formula>SelectRace="Homme-lézard"</formula>
    </cfRule>
    <cfRule type="expression" dxfId="1404" priority="146">
      <formula>SelectRace="Homme-bête"</formula>
    </cfRule>
    <cfRule type="expression" dxfId="1403" priority="147">
      <formula>SelectRace="Halfling"</formula>
    </cfRule>
    <cfRule type="expression" dxfId="1402" priority="148">
      <formula>SelectRace="Elfe"</formula>
    </cfRule>
    <cfRule type="expression" dxfId="1401" priority="149">
      <formula>SelectRace="Créature du chaos"</formula>
    </cfRule>
    <cfRule type="expression" dxfId="1400" priority="150">
      <formula>SelectRace="Nain"</formula>
    </cfRule>
    <cfRule type="expression" dxfId="1399" priority="151">
      <formula>SelectRace=“Humain“</formula>
    </cfRule>
  </conditionalFormatting>
  <conditionalFormatting sqref="X29">
    <cfRule type="expression" dxfId="1398" priority="172">
      <formula>SelectRace="Vampire"</formula>
    </cfRule>
    <cfRule type="expression" dxfId="1397" priority="173">
      <formula>SelectRace="Skaven"</formula>
    </cfRule>
    <cfRule type="expression" dxfId="1396" priority="174">
      <formula>SelectRace="Peau-Verte"</formula>
    </cfRule>
    <cfRule type="expression" dxfId="1395" priority="175">
      <formula>SelectRace="Homme-lézard"</formula>
    </cfRule>
    <cfRule type="expression" dxfId="1394" priority="176">
      <formula>SelectRace="Homme-bête"</formula>
    </cfRule>
    <cfRule type="expression" dxfId="1393" priority="177">
      <formula>SelectRace="Halfling"</formula>
    </cfRule>
    <cfRule type="expression" dxfId="1392" priority="178">
      <formula>SelectRace="Elfe"</formula>
    </cfRule>
    <cfRule type="expression" dxfId="1391" priority="179">
      <formula>SelectRace="Créature du chaos"</formula>
    </cfRule>
    <cfRule type="expression" dxfId="1390" priority="180">
      <formula>SelectRace="Nain"</formula>
    </cfRule>
    <cfRule type="expression" dxfId="1389" priority="181">
      <formula>SelectRace=“Humain“</formula>
    </cfRule>
  </conditionalFormatting>
  <conditionalFormatting sqref="R29">
    <cfRule type="expression" dxfId="1388" priority="162">
      <formula>SelectRace="Vampire"</formula>
    </cfRule>
    <cfRule type="expression" dxfId="1387" priority="163">
      <formula>SelectRace="Skaven"</formula>
    </cfRule>
    <cfRule type="expression" dxfId="1386" priority="164">
      <formula>SelectRace="Peau-Verte"</formula>
    </cfRule>
    <cfRule type="expression" dxfId="1385" priority="165">
      <formula>SelectRace="Homme-lézard"</formula>
    </cfRule>
    <cfRule type="expression" dxfId="1384" priority="166">
      <formula>SelectRace="Homme-bête"</formula>
    </cfRule>
    <cfRule type="expression" dxfId="1383" priority="167">
      <formula>SelectRace="Halfling"</formula>
    </cfRule>
    <cfRule type="expression" dxfId="1382" priority="168">
      <formula>SelectRace="Elfe"</formula>
    </cfRule>
    <cfRule type="expression" dxfId="1381" priority="169">
      <formula>SelectRace="Créature du chaos"</formula>
    </cfRule>
    <cfRule type="expression" dxfId="1380" priority="170">
      <formula>SelectRace="Nain"</formula>
    </cfRule>
    <cfRule type="expression" dxfId="1379" priority="171">
      <formula>SelectRace=“Humain“</formula>
    </cfRule>
  </conditionalFormatting>
  <conditionalFormatting sqref="Q29">
    <cfRule type="expression" dxfId="1378" priority="152">
      <formula>SelectRace="Vampire"</formula>
    </cfRule>
    <cfRule type="expression" dxfId="1377" priority="153">
      <formula>SelectRace="Skaven"</formula>
    </cfRule>
    <cfRule type="expression" dxfId="1376" priority="154">
      <formula>SelectRace="Peau-Verte"</formula>
    </cfRule>
    <cfRule type="expression" dxfId="1375" priority="155">
      <formula>SelectRace="Homme-lézard"</formula>
    </cfRule>
    <cfRule type="expression" dxfId="1374" priority="156">
      <formula>SelectRace="Homme-bête"</formula>
    </cfRule>
    <cfRule type="expression" dxfId="1373" priority="157">
      <formula>SelectRace="Halfling"</formula>
    </cfRule>
    <cfRule type="expression" dxfId="1372" priority="158">
      <formula>SelectRace="Elfe"</formula>
    </cfRule>
    <cfRule type="expression" dxfId="1371" priority="159">
      <formula>SelectRace="Créature du chaos"</formula>
    </cfRule>
    <cfRule type="expression" dxfId="1370" priority="160">
      <formula>SelectRace="Nain"</formula>
    </cfRule>
    <cfRule type="expression" dxfId="1369" priority="161">
      <formula>SelectRace=“Humain“</formula>
    </cfRule>
  </conditionalFormatting>
  <conditionalFormatting sqref="B28:C28">
    <cfRule type="expression" dxfId="1368" priority="132">
      <formula>SelectRace="Vampire"</formula>
    </cfRule>
    <cfRule type="expression" dxfId="1367" priority="133">
      <formula>SelectRace="Skaven"</formula>
    </cfRule>
    <cfRule type="expression" dxfId="1366" priority="134">
      <formula>SelectRace="Peau-Verte"</formula>
    </cfRule>
    <cfRule type="expression" dxfId="1365" priority="135">
      <formula>SelectRace="Homme-lézard"</formula>
    </cfRule>
    <cfRule type="expression" dxfId="1364" priority="136">
      <formula>SelectRace="Homme-bête"</formula>
    </cfRule>
    <cfRule type="expression" dxfId="1363" priority="137">
      <formula>SelectRace="Halfling"</formula>
    </cfRule>
    <cfRule type="expression" dxfId="1362" priority="138">
      <formula>SelectRace="Elfe"</formula>
    </cfRule>
    <cfRule type="expression" dxfId="1361" priority="139">
      <formula>SelectRace="Créature du chaos"</formula>
    </cfRule>
    <cfRule type="expression" dxfId="1360" priority="140">
      <formula>SelectRace="Nain"</formula>
    </cfRule>
    <cfRule type="expression" dxfId="1359" priority="141">
      <formula>SelectRace=“Humain“</formula>
    </cfRule>
  </conditionalFormatting>
  <conditionalFormatting sqref="A2:A28 A56">
    <cfRule type="expression" dxfId="1358" priority="122">
      <formula>SelectRace="Vampire"</formula>
    </cfRule>
    <cfRule type="expression" dxfId="1357" priority="123">
      <formula>SelectRace="Skaven"</formula>
    </cfRule>
    <cfRule type="expression" dxfId="1356" priority="124">
      <formula>SelectRace="Peau-Verte"</formula>
    </cfRule>
    <cfRule type="expression" dxfId="1355" priority="125">
      <formula>SelectRace="Homme-lézard"</formula>
    </cfRule>
    <cfRule type="expression" dxfId="1354" priority="126">
      <formula>SelectRace="Homme-bête"</formula>
    </cfRule>
    <cfRule type="expression" dxfId="1353" priority="127">
      <formula>SelectRace="Halfling"</formula>
    </cfRule>
    <cfRule type="expression" dxfId="1352" priority="128">
      <formula>SelectRace="Elfe"</formula>
    </cfRule>
    <cfRule type="expression" dxfId="1351" priority="129">
      <formula>SelectRace="Créature du chaos"</formula>
    </cfRule>
    <cfRule type="expression" dxfId="1350" priority="130">
      <formula>SelectRace="Nain"</formula>
    </cfRule>
    <cfRule type="expression" dxfId="1349" priority="131">
      <formula>SelectRace=“Humain“</formula>
    </cfRule>
  </conditionalFormatting>
  <conditionalFormatting sqref="M36:N56 M3:M35">
    <cfRule type="expression" dxfId="1348" priority="112">
      <formula>SelectRace="Vampire"</formula>
    </cfRule>
    <cfRule type="expression" dxfId="1347" priority="113">
      <formula>SelectRace="Skaven"</formula>
    </cfRule>
    <cfRule type="expression" dxfId="1346" priority="114">
      <formula>SelectRace="Peau-Verte"</formula>
    </cfRule>
    <cfRule type="expression" dxfId="1345" priority="115">
      <formula>SelectRace="Homme-lézard"</formula>
    </cfRule>
    <cfRule type="expression" dxfId="1344" priority="116">
      <formula>SelectRace="Homme-bête"</formula>
    </cfRule>
    <cfRule type="expression" dxfId="1343" priority="117">
      <formula>SelectRace="Halfling"</formula>
    </cfRule>
    <cfRule type="expression" dxfId="1342" priority="118">
      <formula>SelectRace="Elfe"</formula>
    </cfRule>
    <cfRule type="expression" dxfId="1341" priority="119">
      <formula>SelectRace="Créature du chaos"</formula>
    </cfRule>
    <cfRule type="expression" dxfId="1340" priority="120">
      <formula>SelectRace="Nain"</formula>
    </cfRule>
    <cfRule type="expression" dxfId="1339" priority="121">
      <formula>SelectRace=“Humain“</formula>
    </cfRule>
  </conditionalFormatting>
  <conditionalFormatting sqref="L1">
    <cfRule type="expression" dxfId="1338" priority="102">
      <formula>SelectRace="Vampire"</formula>
    </cfRule>
    <cfRule type="expression" dxfId="1337" priority="103">
      <formula>SelectRace="Skaven"</formula>
    </cfRule>
    <cfRule type="expression" dxfId="1336" priority="104">
      <formula>SelectRace="Peau-Verte"</formula>
    </cfRule>
    <cfRule type="expression" dxfId="1335" priority="105">
      <formula>SelectRace="Homme-lézard"</formula>
    </cfRule>
    <cfRule type="expression" dxfId="1334" priority="106">
      <formula>SelectRace="Homme-bête"</formula>
    </cfRule>
    <cfRule type="expression" dxfId="1333" priority="107">
      <formula>SelectRace="Halfling"</formula>
    </cfRule>
    <cfRule type="expression" dxfId="1332" priority="108">
      <formula>SelectRace="Elfe"</formula>
    </cfRule>
    <cfRule type="expression" dxfId="1331" priority="109">
      <formula>SelectRace="Créature du chaos"</formula>
    </cfRule>
    <cfRule type="expression" dxfId="1330" priority="110">
      <formula>SelectRace="Nain"</formula>
    </cfRule>
    <cfRule type="expression" dxfId="1329" priority="111">
      <formula>SelectRace=“Humain“</formula>
    </cfRule>
  </conditionalFormatting>
  <conditionalFormatting sqref="A29:A55">
    <cfRule type="expression" dxfId="1328" priority="92">
      <formula>SelectRace="Vampire"</formula>
    </cfRule>
    <cfRule type="expression" dxfId="1327" priority="93">
      <formula>SelectRace="Skaven"</formula>
    </cfRule>
    <cfRule type="expression" dxfId="1326" priority="94">
      <formula>SelectRace="Peau-Verte"</formula>
    </cfRule>
    <cfRule type="expression" dxfId="1325" priority="95">
      <formula>SelectRace="Homme-lézard"</formula>
    </cfRule>
    <cfRule type="expression" dxfId="1324" priority="96">
      <formula>SelectRace="Homme-bête"</formula>
    </cfRule>
    <cfRule type="expression" dxfId="1323" priority="97">
      <formula>SelectRace="Halfling"</formula>
    </cfRule>
    <cfRule type="expression" dxfId="1322" priority="98">
      <formula>SelectRace="Elfe"</formula>
    </cfRule>
    <cfRule type="expression" dxfId="1321" priority="99">
      <formula>SelectRace="Créature du chaos"</formula>
    </cfRule>
    <cfRule type="expression" dxfId="1320" priority="100">
      <formula>SelectRace="Nain"</formula>
    </cfRule>
    <cfRule type="expression" dxfId="1319" priority="101">
      <formula>SelectRace=“Humain“</formula>
    </cfRule>
  </conditionalFormatting>
  <conditionalFormatting sqref="V54:X54">
    <cfRule type="expression" dxfId="1318" priority="82">
      <formula>SelectRace="Vampire"</formula>
    </cfRule>
    <cfRule type="expression" dxfId="1317" priority="83">
      <formula>SelectRace="Skaven"</formula>
    </cfRule>
    <cfRule type="expression" dxfId="1316" priority="84">
      <formula>SelectRace="Peau-Verte"</formula>
    </cfRule>
    <cfRule type="expression" dxfId="1315" priority="85">
      <formula>SelectRace="Homme-lézard"</formula>
    </cfRule>
    <cfRule type="expression" dxfId="1314" priority="86">
      <formula>SelectRace="Homme-bête"</formula>
    </cfRule>
    <cfRule type="expression" dxfId="1313" priority="87">
      <formula>SelectRace="Halfling"</formula>
    </cfRule>
    <cfRule type="expression" dxfId="1312" priority="88">
      <formula>SelectRace="Elfe"</formula>
    </cfRule>
    <cfRule type="expression" dxfId="1311" priority="89">
      <formula>SelectRace="Créature du chaos"</formula>
    </cfRule>
    <cfRule type="expression" dxfId="1310" priority="90">
      <formula>SelectRace="Nain"</formula>
    </cfRule>
    <cfRule type="expression" dxfId="1309" priority="91">
      <formula>SelectRace=“Humain“</formula>
    </cfRule>
  </conditionalFormatting>
  <conditionalFormatting sqref="Q4:R27">
    <cfRule type="cellIs" dxfId="1308" priority="81" operator="equal">
      <formula>""</formula>
    </cfRule>
  </conditionalFormatting>
  <conditionalFormatting sqref="S29:S35">
    <cfRule type="expression" dxfId="1307" priority="71">
      <formula>SelectRace="Vampire"</formula>
    </cfRule>
    <cfRule type="expression" dxfId="1306" priority="72">
      <formula>SelectRace="Skaven"</formula>
    </cfRule>
    <cfRule type="expression" dxfId="1305" priority="73">
      <formula>SelectRace="Peau-Verte"</formula>
    </cfRule>
    <cfRule type="expression" dxfId="1304" priority="74">
      <formula>SelectRace="Homme-lézard"</formula>
    </cfRule>
    <cfRule type="expression" dxfId="1303" priority="75">
      <formula>SelectRace="Homme-bête"</formula>
    </cfRule>
    <cfRule type="expression" dxfId="1302" priority="76">
      <formula>SelectRace="Halfling"</formula>
    </cfRule>
    <cfRule type="expression" dxfId="1301" priority="77">
      <formula>SelectRace="Elfe"</formula>
    </cfRule>
    <cfRule type="expression" dxfId="1300" priority="78">
      <formula>SelectRace="Créature du chaos"</formula>
    </cfRule>
    <cfRule type="expression" dxfId="1299" priority="79">
      <formula>SelectRace="Nain"</formula>
    </cfRule>
  </conditionalFormatting>
  <conditionalFormatting sqref="Y28:Z36">
    <cfRule type="expression" dxfId="1298" priority="61">
      <formula>SelectRace="Vampire"</formula>
    </cfRule>
    <cfRule type="expression" dxfId="1297" priority="62">
      <formula>SelectRace="Skaven"</formula>
    </cfRule>
    <cfRule type="expression" dxfId="1296" priority="63">
      <formula>SelectRace="Peau-Verte"</formula>
    </cfRule>
    <cfRule type="expression" dxfId="1295" priority="64">
      <formula>SelectRace="Homme-lézard"</formula>
    </cfRule>
    <cfRule type="expression" dxfId="1294" priority="65">
      <formula>SelectRace="Homme-bête"</formula>
    </cfRule>
    <cfRule type="expression" dxfId="1293" priority="66">
      <formula>SelectRace="Halfling"</formula>
    </cfRule>
    <cfRule type="expression" dxfId="1292" priority="67">
      <formula>SelectRace="Elfe"</formula>
    </cfRule>
    <cfRule type="expression" dxfId="1291" priority="68">
      <formula>SelectRace="Créature du chaos"</formula>
    </cfRule>
    <cfRule type="expression" dxfId="1290" priority="69">
      <formula>SelectRace="Nain"</formula>
    </cfRule>
  </conditionalFormatting>
  <conditionalFormatting sqref="S41:S55">
    <cfRule type="expression" dxfId="1289" priority="51">
      <formula>SelectRace="Vampire"</formula>
    </cfRule>
    <cfRule type="expression" dxfId="1288" priority="52">
      <formula>SelectRace="Skaven"</formula>
    </cfRule>
    <cfRule type="expression" dxfId="1287" priority="53">
      <formula>SelectRace="Peau-Verte"</formula>
    </cfRule>
    <cfRule type="expression" dxfId="1286" priority="54">
      <formula>SelectRace="Homme-lézard"</formula>
    </cfRule>
    <cfRule type="expression" dxfId="1285" priority="55">
      <formula>SelectRace="Homme-bête"</formula>
    </cfRule>
    <cfRule type="expression" dxfId="1284" priority="56">
      <formula>SelectRace="Halfling"</formula>
    </cfRule>
    <cfRule type="expression" dxfId="1283" priority="57">
      <formula>SelectRace="Elfe"</formula>
    </cfRule>
    <cfRule type="expression" dxfId="1282" priority="58">
      <formula>SelectRace="Créature du chaos"</formula>
    </cfRule>
    <cfRule type="expression" dxfId="1281" priority="59">
      <formula>SelectRace="Nain"</formula>
    </cfRule>
  </conditionalFormatting>
  <conditionalFormatting sqref="Y41:Y55">
    <cfRule type="expression" dxfId="1280" priority="41">
      <formula>SelectRace="Vampire"</formula>
    </cfRule>
    <cfRule type="expression" dxfId="1279" priority="42">
      <formula>SelectRace="Skaven"</formula>
    </cfRule>
    <cfRule type="expression" dxfId="1278" priority="43">
      <formula>SelectRace="Peau-Verte"</formula>
    </cfRule>
    <cfRule type="expression" dxfId="1277" priority="44">
      <formula>SelectRace="Homme-lézard"</formula>
    </cfRule>
    <cfRule type="expression" dxfId="1276" priority="45">
      <formula>SelectRace="Homme-bête"</formula>
    </cfRule>
    <cfRule type="expression" dxfId="1275" priority="46">
      <formula>SelectRace="Halfling"</formula>
    </cfRule>
    <cfRule type="expression" dxfId="1274" priority="47">
      <formula>SelectRace="Elfe"</formula>
    </cfRule>
    <cfRule type="expression" dxfId="1273" priority="48">
      <formula>SelectRace="Créature du chaos"</formula>
    </cfRule>
    <cfRule type="expression" dxfId="1272" priority="49">
      <formula>SelectRace="Nain"</formula>
    </cfRule>
  </conditionalFormatting>
  <conditionalFormatting sqref="N5:N35">
    <cfRule type="expression" dxfId="1271" priority="31">
      <formula>SelectRace="Vampire"</formula>
    </cfRule>
    <cfRule type="expression" dxfId="1270" priority="32">
      <formula>SelectRace="Skaven"</formula>
    </cfRule>
    <cfRule type="expression" dxfId="1269" priority="33">
      <formula>SelectRace="Peau-Verte"</formula>
    </cfRule>
    <cfRule type="expression" dxfId="1268" priority="34">
      <formula>SelectRace="Homme-lézard"</formula>
    </cfRule>
    <cfRule type="expression" dxfId="1267" priority="35">
      <formula>SelectRace="Homme-bête"</formula>
    </cfRule>
    <cfRule type="expression" dxfId="1266" priority="36">
      <formula>SelectRace="Halfling"</formula>
    </cfRule>
    <cfRule type="expression" dxfId="1265" priority="37">
      <formula>SelectRace="Elfe"</formula>
    </cfRule>
    <cfRule type="expression" dxfId="1264" priority="38">
      <formula>SelectRace="Créature du chaos"</formula>
    </cfRule>
    <cfRule type="expression" dxfId="1263" priority="39">
      <formula>SelectRace="Nain"</formula>
    </cfRule>
    <cfRule type="expression" dxfId="1262" priority="40">
      <formula>SelectRace=“Humain“</formula>
    </cfRule>
  </conditionalFormatting>
  <conditionalFormatting sqref="N2">
    <cfRule type="expression" dxfId="1261" priority="21">
      <formula>SelectRace="Vampire"</formula>
    </cfRule>
    <cfRule type="expression" dxfId="1260" priority="22">
      <formula>SelectRace="Skaven"</formula>
    </cfRule>
    <cfRule type="expression" dxfId="1259" priority="23">
      <formula>SelectRace="Peau-Verte"</formula>
    </cfRule>
    <cfRule type="expression" dxfId="1258" priority="24">
      <formula>SelectRace="Homme-lézard"</formula>
    </cfRule>
    <cfRule type="expression" dxfId="1257" priority="25">
      <formula>SelectRace="Homme-bête"</formula>
    </cfRule>
    <cfRule type="expression" dxfId="1256" priority="26">
      <formula>SelectRace="Halfling"</formula>
    </cfRule>
    <cfRule type="expression" dxfId="1255" priority="27">
      <formula>SelectRace="Elfe"</formula>
    </cfRule>
    <cfRule type="expression" dxfId="1254" priority="28">
      <formula>SelectRace="Créature du chaos"</formula>
    </cfRule>
    <cfRule type="expression" dxfId="1253" priority="29">
      <formula>SelectRace="Nain"</formula>
    </cfRule>
    <cfRule type="expression" dxfId="1252" priority="30">
      <formula>SelectRace=“Humain“</formula>
    </cfRule>
  </conditionalFormatting>
  <conditionalFormatting sqref="N3">
    <cfRule type="expression" dxfId="1251" priority="11">
      <formula>SelectRace="Vampire"</formula>
    </cfRule>
    <cfRule type="expression" dxfId="1250" priority="12">
      <formula>SelectRace="Skaven"</formula>
    </cfRule>
    <cfRule type="expression" dxfId="1249" priority="13">
      <formula>SelectRace="Peau-Verte"</formula>
    </cfRule>
    <cfRule type="expression" dxfId="1248" priority="14">
      <formula>SelectRace="Homme-lézard"</formula>
    </cfRule>
    <cfRule type="expression" dxfId="1247" priority="15">
      <formula>SelectRace="Homme-bête"</formula>
    </cfRule>
    <cfRule type="expression" dxfId="1246" priority="16">
      <formula>SelectRace="Halfling"</formula>
    </cfRule>
    <cfRule type="expression" dxfId="1245" priority="17">
      <formula>SelectRace="Elfe"</formula>
    </cfRule>
    <cfRule type="expression" dxfId="1244" priority="18">
      <formula>SelectRace="Créature du chaos"</formula>
    </cfRule>
    <cfRule type="expression" dxfId="1243" priority="19">
      <formula>SelectRace="Nain"</formula>
    </cfRule>
    <cfRule type="expression" dxfId="1242" priority="20">
      <formula>SelectRace=“Humain“</formula>
    </cfRule>
  </conditionalFormatting>
  <conditionalFormatting sqref="N4">
    <cfRule type="expression" dxfId="1241" priority="1">
      <formula>SelectRace="Vampire"</formula>
    </cfRule>
    <cfRule type="expression" dxfId="1240" priority="2">
      <formula>SelectRace="Skaven"</formula>
    </cfRule>
    <cfRule type="expression" dxfId="1239" priority="3">
      <formula>SelectRace="Peau-Verte"</formula>
    </cfRule>
    <cfRule type="expression" dxfId="1238" priority="4">
      <formula>SelectRace="Homme-lézard"</formula>
    </cfRule>
    <cfRule type="expression" dxfId="1237" priority="5">
      <formula>SelectRace="Homme-bête"</formula>
    </cfRule>
    <cfRule type="expression" dxfId="1236" priority="6">
      <formula>SelectRace="Halfling"</formula>
    </cfRule>
    <cfRule type="expression" dxfId="1235" priority="7">
      <formula>SelectRace="Elfe"</formula>
    </cfRule>
    <cfRule type="expression" dxfId="1234" priority="8">
      <formula>SelectRace="Créature du chaos"</formula>
    </cfRule>
    <cfRule type="expression" dxfId="1233" priority="9">
      <formula>SelectRace="Nain"</formula>
    </cfRule>
    <cfRule type="expression" dxfId="1232" priority="10">
      <formula>SelectRace=“Humain“</formula>
    </cfRule>
  </conditionalFormatting>
  <dataValidations count="16">
    <dataValidation type="list" allowBlank="1" showInputMessage="1" sqref="B31:B55" xr:uid="{00000000-0002-0000-0300-000000000000}">
      <formula1>compétences_avancées</formula1>
    </dataValidation>
    <dataValidation type="list" allowBlank="1" showDropDown="1" showErrorMessage="1" sqref="E31:E55" xr:uid="{00000000-0002-0000-0300-000001000000}">
      <formula1>caractéristique</formula1>
    </dataValidation>
    <dataValidation type="list" allowBlank="1" showInputMessage="1" sqref="C41:C55" xr:uid="{00000000-0002-0000-0300-000002000000}">
      <formula1>IF(A41=1,Métiers,IF(A41=2,Alph2,IF(A41=3,langue_secret,IF(A41=4,exp_art,IF(A41=5,vieux_slaan,IF(A41=6,langues,IF(A41=8,con_gen,IF(A41=9,c_a))))))))</formula1>
    </dataValidation>
    <dataValidation type="list" allowBlank="1" showInputMessage="1" showErrorMessage="1" sqref="O31:O34" xr:uid="{00000000-0002-0000-0300-000004000000}">
      <formula1>vertu_don</formula1>
    </dataValidation>
    <dataValidation type="list" allowBlank="1" showInputMessage="1" showErrorMessage="1" sqref="O4:O27" xr:uid="{00000000-0002-0000-0300-000005000000}">
      <formula1>talents</formula1>
    </dataValidation>
    <dataValidation type="list" allowBlank="1" showInputMessage="1" showErrorMessage="1" sqref="O43:O47" xr:uid="{00000000-0002-0000-0300-000006000000}">
      <formula1>mutations</formula1>
    </dataValidation>
    <dataValidation type="list" allowBlank="1" showInputMessage="1" showErrorMessage="1" sqref="T43:T47" xr:uid="{00000000-0002-0000-0300-000007000000}">
      <formula1>rituels</formula1>
    </dataValidation>
    <dataValidation type="list" allowBlank="1" showInputMessage="1" showErrorMessage="1" sqref="O52:O55 O51:Q51" xr:uid="{00000000-0002-0000-0300-000008000000}">
      <formula1>maladies</formula1>
    </dataValidation>
    <dataValidation type="list" allowBlank="1" showInputMessage="1" showErrorMessage="1" sqref="T51:T53" xr:uid="{00000000-0002-0000-0300-000009000000}">
      <formula1>folies</formula1>
    </dataValidation>
    <dataValidation type="list" allowBlank="1" showInputMessage="1" showErrorMessage="1" sqref="G4:I27 G31:I55" xr:uid="{00000000-0002-0000-0300-00000A000000}">
      <formula1>X</formula1>
    </dataValidation>
    <dataValidation type="list" allowBlank="1" showInputMessage="1" showErrorMessage="1" sqref="P31:Q34" xr:uid="{00000000-0002-0000-0300-00000B000000}">
      <formula1>IF($S$31=1,vertu_graal,IF($S$31=2,don_dame,IF($S$31=3,vertu_chev,IF($S$31=4,réc_du_Chaos,IF($S$31=5,don_du_sang,IF($S$31=6,don_Khorne,IF($S$31=7,don_Nurgle,IF($S$31=8,don_Tzeentch,IF($S$31=9,don_Slaanesh,IF($S$31=10,don_Khaine))))))))))</formula1>
    </dataValidation>
    <dataValidation type="list" allowBlank="1" showInputMessage="1" showErrorMessage="1" sqref="T31:T34" xr:uid="{00000000-0002-0000-0300-00000F000000}">
      <formula1>Types_Marques</formula1>
    </dataValidation>
    <dataValidation type="list" allowBlank="1" showInputMessage="1" showErrorMessage="1" sqref="C31:C40" xr:uid="{00000000-0002-0000-0300-000012000000}">
      <formula1>IF(A31=1,Métiers,IF(A31=2,Alph2,IF(A31=3,langue_secret,IF(A31=4,exp_art,IF(A31=5,vieux_slaan,IF(A31=6,langues,IF(A31=8,con_gen,IF(A31=9,c_a))))))))</formula1>
    </dataValidation>
    <dataValidation type="list" allowBlank="1" showInputMessage="1" showErrorMessage="1" sqref="U31:W34" xr:uid="{CAD047A2-0889-46D6-AF60-4ECB8FBE91EB}">
      <formula1>IF(Y31=1,z,IF(Y31=2,y,IF(Y31=3,q,IF(Y31=4,n,IF(Y31=5,h,IF(Y31=6,i,IF(Y31=7,u,IF(Y31=8,p,IF(Y31=9,k,IF(Y31=10,mc,IF(Y31=11,o,IF(Y31=12,ma,IF(Y31=13,g,IF(Y31=14,j,IF(Y31=15,me,IF(Y31=16,d,IF(Y31=17,s,IF(Y31=18,mf,IF(Y31=19,ml,w)))))))))))))))))))</formula1>
    </dataValidation>
    <dataValidation type="list" allowBlank="1" showInputMessage="1" showErrorMessage="1" sqref="T55:W55" xr:uid="{B1B7E7AA-4B70-4AE5-9E5E-3504E7195445}">
      <formula1>mal</formula1>
    </dataValidation>
    <dataValidation type="list" allowBlank="1" showInputMessage="1" showErrorMessage="1" sqref="Q4:R27" xr:uid="{AA4F6417-888C-4472-B55A-0E13DE9290CB}">
      <formula1>IF(Y4=1,ru,IF(Y4=2,r_p,IF(Y4=3,sm,IF(Y4=4,trc,IF(Y4=5,mtr,IF(Y4=6,dd,IF(Y4=7,mg_min,IF(Y4=8,mg_vulg,IF(Y4=9,sfn,IF(Y4=10,ss_o,IF(Y4=11,Sorts,IF(Y4=12,mg_com,IF(Y4=13,prov,IF(Y4=14,mg_h,IF(Y4=15,c_a,"")))))))))))))))</formula1>
    </dataValidation>
  </dataValidations>
  <printOptions horizontalCentered="1" verticalCentered="1"/>
  <pageMargins left="0" right="0" top="0" bottom="0" header="0" footer="0"/>
  <pageSetup paperSize="9" scale="74" orientation="landscape" r:id="rId1"/>
  <headerFooter alignWithMargins="0"/>
  <ignoredErrors>
    <ignoredError sqref="H3:I3 H30:I30" numberStoredAsText="1"/>
    <ignoredError sqref="J31:J55 J17 J13 J6:J8 J14:J15 J18" unlockedFormula="1"/>
    <ignoredError sqref="L16:L17 L18:L20 L13 L14:L15 L5:L12" formula="1"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0000"/>
    <pageSetUpPr fitToPage="1"/>
  </sheetPr>
  <dimension ref="A1:AG50"/>
  <sheetViews>
    <sheetView showGridLines="0" showRowColHeaders="0" zoomScaleNormal="100" workbookViewId="0"/>
  </sheetViews>
  <sheetFormatPr baseColWidth="10" defaultColWidth="11.44140625" defaultRowHeight="13.2"/>
  <cols>
    <col min="1" max="1" width="3.88671875" style="303" customWidth="1"/>
    <col min="2" max="2" width="9.88671875" style="303" customWidth="1"/>
    <col min="3" max="4" width="11.44140625" style="303"/>
    <col min="5" max="5" width="4.5546875" style="303" customWidth="1"/>
    <col min="6" max="6" width="11.5546875" style="303" hidden="1" customWidth="1"/>
    <col min="7" max="7" width="11.88671875" style="303" customWidth="1"/>
    <col min="8" max="8" width="4.88671875" style="303" hidden="1" customWidth="1"/>
    <col min="9" max="9" width="5.44140625" style="303" hidden="1" customWidth="1"/>
    <col min="10" max="16" width="5" style="303" customWidth="1"/>
    <col min="17" max="17" width="11.44140625" style="303"/>
    <col min="18" max="18" width="12.6640625" style="303" bestFit="1" customWidth="1"/>
    <col min="19" max="19" width="4.88671875" style="303" customWidth="1"/>
    <col min="20" max="20" width="8.6640625" style="303" customWidth="1"/>
    <col min="21" max="21" width="3.6640625" style="303" customWidth="1"/>
    <col min="22" max="22" width="4.44140625" style="303" customWidth="1"/>
    <col min="23" max="23" width="3.6640625" style="303" customWidth="1"/>
    <col min="24" max="25" width="11.44140625" style="763" hidden="1" customWidth="1"/>
    <col min="26" max="26" width="12.44140625" style="763" hidden="1" customWidth="1"/>
    <col min="27" max="27" width="11.44140625" style="763" hidden="1" customWidth="1"/>
    <col min="28" max="16384" width="11.44140625" style="303"/>
  </cols>
  <sheetData>
    <row r="1" spans="1:33">
      <c r="A1" s="217"/>
      <c r="B1" s="217"/>
      <c r="C1" s="217"/>
      <c r="D1" s="217"/>
      <c r="E1" s="217"/>
      <c r="F1" s="217"/>
      <c r="G1" s="217"/>
      <c r="H1" s="217"/>
      <c r="I1" s="217"/>
      <c r="J1" s="654"/>
      <c r="K1" s="654"/>
      <c r="L1" s="217"/>
      <c r="M1" s="217"/>
      <c r="N1" s="217"/>
      <c r="O1" s="217"/>
      <c r="P1" s="217"/>
      <c r="Q1" s="217"/>
      <c r="R1" s="217"/>
      <c r="S1" s="217"/>
      <c r="T1" s="217"/>
      <c r="U1" s="217"/>
      <c r="V1" s="217"/>
      <c r="W1" s="217"/>
    </row>
    <row r="2" spans="1:33" ht="12.75" customHeight="1">
      <c r="A2" s="217"/>
      <c r="B2" s="217"/>
      <c r="C2" s="1323" t="s">
        <v>365</v>
      </c>
      <c r="D2" s="1323"/>
      <c r="E2" s="1323"/>
      <c r="F2" s="305"/>
      <c r="G2" s="861" t="s">
        <v>366</v>
      </c>
      <c r="H2" s="277"/>
      <c r="I2" s="305"/>
      <c r="J2" s="217"/>
      <c r="K2" s="654"/>
      <c r="L2" s="1401" t="s">
        <v>370</v>
      </c>
      <c r="M2" s="866" t="s">
        <v>4355</v>
      </c>
      <c r="N2" s="866" t="s">
        <v>2569</v>
      </c>
      <c r="O2" s="866" t="s">
        <v>9220</v>
      </c>
      <c r="P2" s="217"/>
      <c r="Q2" s="1422" t="s">
        <v>2677</v>
      </c>
      <c r="R2" s="1397" t="s">
        <v>790</v>
      </c>
      <c r="S2" s="1398"/>
      <c r="T2" s="868" t="s">
        <v>5317</v>
      </c>
      <c r="U2" s="1403" t="s">
        <v>5318</v>
      </c>
      <c r="V2" s="1404"/>
      <c r="W2" s="217"/>
    </row>
    <row r="3" spans="1:33" ht="12" customHeight="1">
      <c r="A3" s="217"/>
      <c r="B3" s="217"/>
      <c r="C3" s="1323"/>
      <c r="D3" s="1323"/>
      <c r="E3" s="1323"/>
      <c r="F3" s="305"/>
      <c r="G3" s="1405">
        <f>IF(SelectRace="nain",F*20,IF(SelectRace="Créature du chaos",F*25,F*10))</f>
        <v>0</v>
      </c>
      <c r="H3" s="306"/>
      <c r="I3" s="305"/>
      <c r="J3" s="217"/>
      <c r="K3" s="1402">
        <f ca="1">IF('page 1'!E6="",0,RANDBETWEEN(1,10)+RANDBETWEEN(1,10)+VLOOKUP('page 1'!E6,tableaux!S:AW,31,0))</f>
        <v>0</v>
      </c>
      <c r="L3" s="1401"/>
      <c r="M3" s="1393">
        <v>0</v>
      </c>
      <c r="N3" s="1393">
        <v>0</v>
      </c>
      <c r="O3" s="1393">
        <v>0</v>
      </c>
      <c r="P3" s="217"/>
      <c r="Q3" s="1422"/>
      <c r="R3" s="1399"/>
      <c r="S3" s="1400"/>
      <c r="T3" s="867"/>
      <c r="U3" s="1403" t="str">
        <f ca="1">IF(R3="","",INDIRECT(U5,TRUE))</f>
        <v/>
      </c>
      <c r="V3" s="1404"/>
      <c r="W3" s="217"/>
    </row>
    <row r="4" spans="1:33" ht="12" customHeight="1">
      <c r="A4" s="217"/>
      <c r="B4" s="217"/>
      <c r="C4" s="217"/>
      <c r="D4" s="217"/>
      <c r="E4" s="217"/>
      <c r="F4" s="305"/>
      <c r="G4" s="1406"/>
      <c r="H4" s="306"/>
      <c r="I4" s="305"/>
      <c r="J4" s="217"/>
      <c r="K4" s="1402"/>
      <c r="L4" s="217"/>
      <c r="M4" s="1394"/>
      <c r="N4" s="1394"/>
      <c r="O4" s="1394"/>
      <c r="P4" s="217"/>
      <c r="Q4" s="217"/>
      <c r="R4" s="1399"/>
      <c r="S4" s="1400"/>
      <c r="T4" s="867"/>
      <c r="U4" s="1403" t="str">
        <f ca="1">IF(R4="","",INDIRECT(U6,TRUE))</f>
        <v/>
      </c>
      <c r="V4" s="1404"/>
      <c r="W4" s="217"/>
      <c r="AB4" s="304"/>
    </row>
    <row r="5" spans="1:33">
      <c r="A5" s="654"/>
      <c r="B5" s="217"/>
      <c r="C5" s="1409" t="s">
        <v>16520</v>
      </c>
      <c r="D5" s="1410"/>
      <c r="E5" s="452">
        <f>(F+E)*10</f>
        <v>0</v>
      </c>
      <c r="F5" s="217"/>
      <c r="G5" s="217"/>
      <c r="H5" s="305"/>
      <c r="I5" s="305"/>
      <c r="J5" s="217"/>
      <c r="K5" s="217"/>
      <c r="L5" s="217"/>
      <c r="M5" s="1409" t="s">
        <v>9219</v>
      </c>
      <c r="N5" s="1409"/>
      <c r="O5" s="1409"/>
      <c r="P5" s="217"/>
      <c r="Q5" s="217"/>
      <c r="R5" s="217"/>
      <c r="S5" s="217" t="str">
        <f>IF(R3="","",VLOOKUP(R3,tableaux!DD3:DG131,3,FALSE))</f>
        <v/>
      </c>
      <c r="T5" s="217" t="str">
        <f>IF(T3=tableaux!DH1,"DB",IF(T3=tableaux!DI1,"DC",IF(T3=tableaux!DJ1,"DD",IF(T3=tableaux!DK1,"DF",""))))</f>
        <v/>
      </c>
      <c r="U5" s="217" t="str">
        <f>IF(R3="","",CONCATENATE("tableaux!",T5,S5))</f>
        <v/>
      </c>
      <c r="V5" s="217"/>
      <c r="W5" s="217"/>
      <c r="AB5" s="304"/>
    </row>
    <row r="6" spans="1:33">
      <c r="A6" s="908"/>
      <c r="B6" s="1344" t="s">
        <v>201</v>
      </c>
      <c r="C6" s="1426" t="s">
        <v>4356</v>
      </c>
      <c r="D6" s="1427"/>
      <c r="E6" s="1430" t="s">
        <v>4614</v>
      </c>
      <c r="F6" s="307" t="s">
        <v>368</v>
      </c>
      <c r="G6" s="1344" t="s">
        <v>386</v>
      </c>
      <c r="H6" s="307" t="s">
        <v>381</v>
      </c>
      <c r="I6" s="308" t="s">
        <v>383</v>
      </c>
      <c r="J6" s="1419" t="s">
        <v>4357</v>
      </c>
      <c r="K6" s="1420"/>
      <c r="L6" s="1421"/>
      <c r="M6" s="1423" t="s">
        <v>4354</v>
      </c>
      <c r="N6" s="1424"/>
      <c r="O6" s="1424"/>
      <c r="P6" s="1425"/>
      <c r="Q6" s="1344" t="s">
        <v>369</v>
      </c>
      <c r="R6" s="1344" t="s">
        <v>2571</v>
      </c>
      <c r="S6" s="217" t="str">
        <f>IF(R4="","",VLOOKUP(R4,tableaux!DD3:DG131,3,FALSE))</f>
        <v/>
      </c>
      <c r="T6" s="217" t="str">
        <f>IF(T4=tableaux!DH1,"DB",IF(T4=tableaux!DI1,"DC",IF(T4=tableaux!DJ1,"DD",IF(T4=tableaux!DK1,"DF",""))))</f>
        <v/>
      </c>
      <c r="U6" s="217" t="str">
        <f>IF(R4="","",CONCATENATE("tableaux!",T6,S6))</f>
        <v/>
      </c>
      <c r="V6" s="217"/>
      <c r="W6" s="217"/>
      <c r="AB6" s="304"/>
    </row>
    <row r="7" spans="1:33">
      <c r="A7" s="908"/>
      <c r="B7" s="1345"/>
      <c r="C7" s="1428"/>
      <c r="D7" s="1429"/>
      <c r="E7" s="1345"/>
      <c r="F7" s="307"/>
      <c r="G7" s="1345"/>
      <c r="H7" s="307"/>
      <c r="I7" s="308"/>
      <c r="J7" s="869" t="s">
        <v>2613</v>
      </c>
      <c r="K7" s="869" t="s">
        <v>378</v>
      </c>
      <c r="L7" s="870" t="s">
        <v>380</v>
      </c>
      <c r="M7" s="866" t="s">
        <v>4355</v>
      </c>
      <c r="N7" s="866" t="s">
        <v>2569</v>
      </c>
      <c r="O7" s="1391" t="s">
        <v>9220</v>
      </c>
      <c r="P7" s="1392"/>
      <c r="Q7" s="1345"/>
      <c r="R7" s="1345"/>
      <c r="S7" s="217"/>
      <c r="T7" s="1407" t="s">
        <v>17508</v>
      </c>
      <c r="U7" s="1407"/>
      <c r="V7" s="1407"/>
      <c r="W7" s="217"/>
      <c r="AB7" s="304"/>
      <c r="AC7" s="304" t="s">
        <v>8799</v>
      </c>
      <c r="AD7" s="304"/>
      <c r="AE7" s="304"/>
      <c r="AF7" s="304"/>
      <c r="AG7" s="304" t="s">
        <v>8800</v>
      </c>
    </row>
    <row r="8" spans="1:33" ht="10.199999999999999" customHeight="1">
      <c r="A8" s="908">
        <f>IF(B8="","",IF(B8="Animaux",1,IF(B8="Eclairage",2,IF(B8="Ecriture",3,IF(B8="Eq. Animaux",4,IF(B8="Mercerie/Tannerie",5,IF(B8="Mobilier",6,IF(B8="Musique",7,IF(B8="Outils",9,IF(B8="Porte-bonheur",11,IF(B8="Prothèses",13,IF(B8="Récipients",14,IF(B8="Religion",15,IF(B8="Survie",16,IF(B8="Transports",17,IF(B8="Trésors",18,IF(B8="Vêtements",19,IF(B8="Livres",20,21))))))))))))))))))</f>
        <v>16</v>
      </c>
      <c r="B8" s="764" t="s">
        <v>261</v>
      </c>
      <c r="C8" s="1395" t="s">
        <v>17508</v>
      </c>
      <c r="D8" s="1396"/>
      <c r="E8" s="830">
        <v>1</v>
      </c>
      <c r="F8" s="862">
        <f>(IF(C8="","",E8*IF(G8="","",G8+IF(AND(H8="x",J8="x"),ROUNDDOWN(G8*tableaux!$C$3,0),IF(AND(H8="x",K8="x"),ROUNDDOWN(G8*tableaux!$C$4,0),IF(AND(I8="x",J8="x"),ROUNDDOWN(G8*tableaux!$F$3,0),IF(AND(I8="x",K8="x"),ROUNDDOWN(G8*tableaux!$F$4,0),IF(AND(I8="x",L8="x"),ROUNDDOWN(G8*tableaux!#REF!,0),0))))))))</f>
        <v>48</v>
      </c>
      <c r="G8" s="650">
        <f>IF(C8="","",VLOOKUP(C8,Equipement!$A$125:$H$1361,5,FALSE))</f>
        <v>48</v>
      </c>
      <c r="H8" s="650"/>
      <c r="I8" s="650"/>
      <c r="J8" s="650"/>
      <c r="K8" s="650"/>
      <c r="L8" s="650"/>
      <c r="M8" s="862">
        <f>IF(C8="","",E8*(IF(Y8="",0,IF($J8="X",Y8*10,IF($K8="X",Y8*3,IF($L8="X",ROUNDUP(Y8*0.5,0),Y8))))))</f>
        <v>9</v>
      </c>
      <c r="N8" s="862">
        <f>IF(C8="","",E8*(IF(Z8="",0,IF($J8="X",Z8*10,IF($K8="X",Z8*3,IF($L8="X",ROUNDUP(Z8*0.5,0),Z8))))))</f>
        <v>6</v>
      </c>
      <c r="O8" s="1346">
        <f>IF(C8="","",E8*(IF(AA8="",0,IF($J8="X",AA8*10,IF($K8="X",AA8*3,IF($L8="X",ROUNDUP(AA8*0.5,0),AA8))))))</f>
        <v>0</v>
      </c>
      <c r="P8" s="1347"/>
      <c r="Q8" s="650" t="s">
        <v>373</v>
      </c>
      <c r="R8" s="650" t="str">
        <f>IF(AG8=0,"",AG8)</f>
        <v>Très Courant</v>
      </c>
      <c r="S8" s="217"/>
      <c r="T8" s="1408"/>
      <c r="U8" s="1408"/>
      <c r="V8" s="1408"/>
      <c r="W8" s="217"/>
      <c r="X8" s="763">
        <f>IF($Q8="sur moi",$F8,"")</f>
        <v>48</v>
      </c>
      <c r="Y8" s="763">
        <f>IF(C8="","",VLOOKUP(C8,Equipement!$A:$H,2,FALSE))</f>
        <v>9</v>
      </c>
      <c r="Z8" s="763">
        <f>IF(C8="","",VLOOKUP(C8,Equipement!$A:$H,3,FALSE))</f>
        <v>6</v>
      </c>
      <c r="AA8" s="763">
        <f>IF(C8="","",VLOOKUP(C8,Equipement!$A:$H,4,FALSE))</f>
        <v>0</v>
      </c>
      <c r="AB8" s="304"/>
      <c r="AC8" s="304" t="str">
        <f>IF(C8="","",VLOOKUP(C8,Equipement!$A$125:$H$1361,6,FALSE))</f>
        <v>TC</v>
      </c>
      <c r="AD8" s="304">
        <f>IF(AC8="ER",9,IF(AC8="TR",8,IF(AC8="R",7,IF(AC8="I",6,IF(AC8="AC",5,IF(AC8="C",4,IF(AC8="TC",3,IF(AC8="B",2,0))))))))</f>
        <v>3</v>
      </c>
      <c r="AE8" s="304">
        <f>IF(J8="X",2,IF(K8="X",1,IF(L8="X",-1,0)))</f>
        <v>0</v>
      </c>
      <c r="AF8" s="304">
        <f>AD8+AE8</f>
        <v>3</v>
      </c>
      <c r="AG8" s="304" t="str">
        <f>IF(AF8&gt;9,"Unique",IF(AF8=9,"Extrêmement Rare",IF(AF8=8,"Très Rare",IF(AF8=7,"Rare",IF(AF8=6,"Inhabituel",IF(AF8=5,"Assez Courant",IF(AF8=4,"Courant",IF(AF8=3,"Très Courant",IF(AF8=2,"Banal",IF(AF8&lt;2,"","Impossible"))))))))))</f>
        <v>Très Courant</v>
      </c>
    </row>
    <row r="9" spans="1:33" ht="10.199999999999999" customHeight="1">
      <c r="A9" s="908" t="str">
        <f>IF(B9="","",IF(B9="Animaux",1,IF(B9="Eclairage",2,IF(B9="Ecriture",3,IF(B9="Eq. Animaux",4,IF(B9="Mercerie/Tannerie",5,IF(B9="Mobilier",6,IF(B9="Musique",7,IF(B9="Bijoux",8,IF(B9="Outils",9,IF(B9="Construction",10,IF(B9="Porte-bonheur",11,IF(B9="Pierres précieuses",12,IF(B9="Prothèses",13,IF(B9="Récipients",14,IF(B9="Religion",15,IF(B9="Survie",16,IF(B9="Transports",17,IF(B9="Trésors",18,IF(B9="Vêtements",19,IF(B9="Livres",20,IF(B9="Théatre/Opéra",21,22))))))))))))))))))))))</f>
        <v/>
      </c>
      <c r="B9" s="765"/>
      <c r="C9" s="1354"/>
      <c r="D9" s="1358"/>
      <c r="E9" s="830"/>
      <c r="F9" s="862" t="str">
        <f>(IF(C9="","",E9*IF(G9="","",G9+IF(AND(H9="x",J9="x"),ROUNDDOWN(G9*tableaux!$C$3,0),IF(AND(H9="x",K9="x"),ROUNDDOWN(G9*tableaux!$C$4,0),IF(AND(I9="x",J9="x"),ROUNDDOWN(G9*tableaux!$F$3,0),IF(AND(I9="x",K9="x"),ROUNDDOWN(G9*tableaux!$F$4,0),IF(AND(I9="x",L9="x"),ROUNDDOWN(G9*tableaux!#REF!,0),0))))))))</f>
        <v/>
      </c>
      <c r="G9" s="650" t="str">
        <f>IF(C9="","",VLOOKUP(C9,Equipement!$A$125:$H$1361,5,FALSE))</f>
        <v/>
      </c>
      <c r="H9" s="650"/>
      <c r="I9" s="650"/>
      <c r="J9" s="650"/>
      <c r="K9" s="650"/>
      <c r="L9" s="650"/>
      <c r="M9" s="862" t="str">
        <f t="shared" ref="M9:M26" si="0">IF(C9="","",E9*(IF(Y9="",0,IF($J9="X",Y9*10,IF($K9="X",Y9*3,IF($L9="X",ROUNDUP(Y9*0.5,0),Y9))))))</f>
        <v/>
      </c>
      <c r="N9" s="862" t="str">
        <f t="shared" ref="N9:N35" si="1">IF(C9="","",E9*(IF(Z9="",0,IF($J9="X",Z9*10,IF($K9="X",Z9*3,IF($L9="X",ROUNDUP(Z9*0.5,0),Z9))))))</f>
        <v/>
      </c>
      <c r="O9" s="1346" t="str">
        <f t="shared" ref="O9:O35" si="2">IF(C9="","",E9*(IF(AA9="",0,IF($J9="X",AA9*10,IF($K9="X",AA9*3,IF($L9="X",ROUNDUP(AA9*0.5,0),AA9))))))</f>
        <v/>
      </c>
      <c r="P9" s="1347"/>
      <c r="Q9" s="650"/>
      <c r="R9" s="650" t="str">
        <f t="shared" ref="R9:R35" si="3">IF(AG9=0,"",AG9)</f>
        <v/>
      </c>
      <c r="S9" s="217"/>
      <c r="T9" s="1411" t="str">
        <f>IF('page 1'!K4="Kurgan/Hung","Une arme à une main, une armure légère (veste de cuir), un cheval avec selle et harnais, des fontes de selle, une sacoche contenant de la viande séchée, une outre d’eau et une tente",IF(OR('page 1'!C4="Skaven",'page 1'!C4="Homme-bête",'page 1'!C4="peau-verte"),"Haillons, dague (de qualité médiocre), gibecière ou sac à dos, couverture, couverts en bois, bol en bois, une arme de corps à corps à une main (hache, épée, gourdin,...)","Chemise ou chemisier, braies, bottes, cape courte, dague, ceinture (toutes de qualité médiocre), gibecière ou sac à dos, couverture, couverts en bois, bol en bois, une arme de corps à corps à une main (hache, épée, gourdin,...), bourse, 2d10 CO"))</f>
        <v>Chemise ou chemisier, braies, bottes, cape courte, dague, ceinture (toutes de qualité médiocre), gibecière ou sac à dos, couverture, couverts en bois, bol en bois, une arme de corps à corps à une main (hache, épée, gourdin,...), bourse, 2d10 CO</v>
      </c>
      <c r="U9" s="1412"/>
      <c r="V9" s="1413"/>
      <c r="W9" s="217"/>
      <c r="X9" s="763" t="str">
        <f t="shared" ref="X9:X35" si="4">IF($Q9="sur moi",$F9,"")</f>
        <v/>
      </c>
      <c r="Y9" s="763" t="str">
        <f>IF(C9="","",VLOOKUP(C9,Equipement!$A:$H,2,FALSE))</f>
        <v/>
      </c>
      <c r="Z9" s="763" t="str">
        <f>IF(C9="","",VLOOKUP(C9,Equipement!$A:$H,3,FALSE))</f>
        <v/>
      </c>
      <c r="AA9" s="763" t="str">
        <f>IF(C9="","",VLOOKUP(C9,Equipement!$A:$H,4,FALSE))</f>
        <v/>
      </c>
      <c r="AB9" s="304"/>
      <c r="AC9" s="304" t="str">
        <f>IF(C9="","",VLOOKUP(C9,Equipement!$A$125:$H$1361,6,FALSE))</f>
        <v/>
      </c>
      <c r="AD9" s="304">
        <f t="shared" ref="AD9:AD36" si="5">IF(AC9="ER",9,IF(AC9="TR",8,IF(AC9="R",7,IF(AC9="I",6,IF(AC9="AC",5,IF(AC9="C",4,IF(AC9="TC",3,IF(AC9="B",2,0))))))))</f>
        <v>0</v>
      </c>
      <c r="AE9" s="304">
        <f t="shared" ref="AE9:AE36" si="6">IF(J9="X",2,IF(K9="X",1,IF(L9="X",-1,0)))</f>
        <v>0</v>
      </c>
      <c r="AF9" s="304">
        <f t="shared" ref="AF9:AF36" si="7">AD9+AE9</f>
        <v>0</v>
      </c>
      <c r="AG9" s="304" t="str">
        <f t="shared" ref="AG9:AG36" si="8">IF(AF9&gt;9,"Unique",IF(AF9=9,"Extrêmement Rare",IF(AF9=8,"Très Rare",IF(AF9=7,"Rare",IF(AF9=6,"Inhabituel",IF(AF9=5,"Assez Courant",IF(AF9=4,"Courant",IF(AF9=3,"Très Courant",IF(AF9=2,"Banal",IF(AF9&lt;2,"","Impossible"))))))))))</f>
        <v/>
      </c>
    </row>
    <row r="10" spans="1:33" ht="10.199999999999999" customHeight="1">
      <c r="A10" s="908" t="str">
        <f t="shared" ref="A10:A24" si="9">IF(B10="","",IF(B10="Animaux",1,IF(B10="Eclairage",2,IF(B10="Ecriture",3,IF(B10="Eq. Animaux",4,IF(B10="Mercerie/Tannerie",5,IF(B10="Mobilier",6,IF(B10="Musique",7,IF(B10="Bijoux",8,IF(B10="Outils",9,IF(B10="Construction",10,IF(B10="Porte-bonheur",11,IF(B10="Pierres précieuses",12,IF(B10="Prothèses",13,IF(B10="Récipients",14,IF(B10="Religion",15,IF(B10="Survie",16,IF(B10="Transports",17,IF(B10="Trésors",18,IF(B10="Vêtements",19,IF(B10="Livres",20,IF(B10="Théatre/Opéra",21,22))))))))))))))))))))))</f>
        <v/>
      </c>
      <c r="B10" s="765"/>
      <c r="C10" s="1354"/>
      <c r="D10" s="1358"/>
      <c r="E10" s="830"/>
      <c r="F10" s="862" t="str">
        <f>(IF(C10="","",E10*IF(G10="","",G10+IF(AND(H10="x",J10="x"),ROUNDDOWN(G10*tableaux!$C$3,0),IF(AND(H10="x",K10="x"),ROUNDDOWN(G10*tableaux!$C$4,0),IF(AND(I10="x",J10="x"),ROUNDDOWN(G10*tableaux!$F$3,0),IF(AND(I10="x",K10="x"),ROUNDDOWN(G10*tableaux!$F$4,0),IF(AND(I10="x",L10="x"),ROUNDDOWN(G10*tableaux!#REF!,0),0))))))))</f>
        <v/>
      </c>
      <c r="G10" s="650" t="str">
        <f>IF(C10="","",VLOOKUP(C10,Equipement!$A$125:$H$1361,5,FALSE))</f>
        <v/>
      </c>
      <c r="H10" s="650"/>
      <c r="I10" s="650"/>
      <c r="J10" s="650"/>
      <c r="K10" s="650"/>
      <c r="L10" s="650"/>
      <c r="M10" s="862" t="str">
        <f t="shared" si="0"/>
        <v/>
      </c>
      <c r="N10" s="862" t="str">
        <f t="shared" si="1"/>
        <v/>
      </c>
      <c r="O10" s="1346" t="str">
        <f t="shared" si="2"/>
        <v/>
      </c>
      <c r="P10" s="1347"/>
      <c r="Q10" s="650"/>
      <c r="R10" s="650" t="str">
        <f t="shared" si="3"/>
        <v/>
      </c>
      <c r="S10" s="217"/>
      <c r="T10" s="1414"/>
      <c r="U10" s="1330"/>
      <c r="V10" s="1415"/>
      <c r="W10" s="217"/>
      <c r="X10" s="763" t="str">
        <f t="shared" si="4"/>
        <v/>
      </c>
      <c r="Y10" s="763" t="str">
        <f>IF(C10="","",VLOOKUP(C10,Equipement!$A:$H,2,FALSE))</f>
        <v/>
      </c>
      <c r="Z10" s="763" t="str">
        <f>IF(C10="","",VLOOKUP(C10,Equipement!$A:$H,3,FALSE))</f>
        <v/>
      </c>
      <c r="AA10" s="763" t="str">
        <f>IF(C10="","",VLOOKUP(C10,Equipement!$A:$H,4,FALSE))</f>
        <v/>
      </c>
      <c r="AB10" s="304"/>
      <c r="AC10" s="304" t="str">
        <f>IF(C10="","",VLOOKUP(C10,Equipement!$A$125:$H$1361,6,FALSE))</f>
        <v/>
      </c>
      <c r="AD10" s="304">
        <f t="shared" si="5"/>
        <v>0</v>
      </c>
      <c r="AE10" s="304">
        <f t="shared" si="6"/>
        <v>0</v>
      </c>
      <c r="AF10" s="304">
        <f t="shared" si="7"/>
        <v>0</v>
      </c>
      <c r="AG10" s="304" t="str">
        <f t="shared" si="8"/>
        <v/>
      </c>
    </row>
    <row r="11" spans="1:33" ht="10.199999999999999" customHeight="1">
      <c r="A11" s="908" t="str">
        <f t="shared" si="9"/>
        <v/>
      </c>
      <c r="B11" s="765"/>
      <c r="C11" s="1354"/>
      <c r="D11" s="1358"/>
      <c r="E11" s="830"/>
      <c r="F11" s="862" t="str">
        <f>(IF(C11="","",E11*IF(G11="","",G11+IF(AND(H11="x",J11="x"),ROUNDDOWN(G11*tableaux!$C$3,0),IF(AND(H11="x",K11="x"),ROUNDDOWN(G11*tableaux!$C$4,0),IF(AND(I11="x",J11="x"),ROUNDDOWN(G11*tableaux!$F$3,0),IF(AND(I11="x",K11="x"),ROUNDDOWN(G11*tableaux!$F$4,0),IF(AND(I11="x",L11="x"),ROUNDDOWN(G11*tableaux!#REF!,0),0))))))))</f>
        <v/>
      </c>
      <c r="G11" s="650" t="str">
        <f>IF(C11="","",VLOOKUP(C11,Equipement!$A$125:$H$1361,5,FALSE))</f>
        <v/>
      </c>
      <c r="H11" s="650"/>
      <c r="I11" s="650"/>
      <c r="J11" s="650"/>
      <c r="K11" s="650"/>
      <c r="L11" s="650"/>
      <c r="M11" s="862" t="str">
        <f t="shared" si="0"/>
        <v/>
      </c>
      <c r="N11" s="862" t="str">
        <f t="shared" si="1"/>
        <v/>
      </c>
      <c r="O11" s="1346" t="str">
        <f t="shared" si="2"/>
        <v/>
      </c>
      <c r="P11" s="1347"/>
      <c r="Q11" s="650"/>
      <c r="R11" s="650" t="str">
        <f t="shared" si="3"/>
        <v/>
      </c>
      <c r="S11" s="217"/>
      <c r="T11" s="1414"/>
      <c r="U11" s="1330"/>
      <c r="V11" s="1415"/>
      <c r="W11" s="217"/>
      <c r="X11" s="763" t="str">
        <f t="shared" si="4"/>
        <v/>
      </c>
      <c r="Y11" s="763" t="str">
        <f>IF(C11="","",VLOOKUP(C11,Equipement!$A:$H,2,FALSE))</f>
        <v/>
      </c>
      <c r="Z11" s="763" t="str">
        <f>IF(C11="","",VLOOKUP(C11,Equipement!$A:$H,3,FALSE))</f>
        <v/>
      </c>
      <c r="AA11" s="763" t="str">
        <f>IF(C11="","",VLOOKUP(C11,Equipement!$A:$H,4,FALSE))</f>
        <v/>
      </c>
      <c r="AB11" s="304"/>
      <c r="AC11" s="304" t="str">
        <f>IF(C11="","",VLOOKUP(C11,Equipement!$A$125:$H$1361,6,FALSE))</f>
        <v/>
      </c>
      <c r="AD11" s="304">
        <f t="shared" si="5"/>
        <v>0</v>
      </c>
      <c r="AE11" s="304">
        <f t="shared" si="6"/>
        <v>0</v>
      </c>
      <c r="AF11" s="304">
        <f t="shared" si="7"/>
        <v>0</v>
      </c>
      <c r="AG11" s="304" t="str">
        <f t="shared" si="8"/>
        <v/>
      </c>
    </row>
    <row r="12" spans="1:33" ht="10.199999999999999" customHeight="1">
      <c r="A12" s="908" t="str">
        <f t="shared" si="9"/>
        <v/>
      </c>
      <c r="B12" s="765"/>
      <c r="C12" s="1354"/>
      <c r="D12" s="1358"/>
      <c r="E12" s="830"/>
      <c r="F12" s="862" t="str">
        <f>(IF(C12="","",E12*IF(G12="","",G12+IF(AND(H12="x",J12="x"),ROUNDDOWN(G12*tableaux!$C$3,0),IF(AND(H12="x",K12="x"),ROUNDDOWN(G12*tableaux!$C$4,0),IF(AND(I12="x",J12="x"),ROUNDDOWN(G12*tableaux!$F$3,0),IF(AND(I12="x",K12="x"),ROUNDDOWN(G12*tableaux!$F$4,0),IF(AND(I12="x",L12="x"),ROUNDDOWN(G12*tableaux!#REF!,0),0))))))))</f>
        <v/>
      </c>
      <c r="G12" s="650" t="str">
        <f>IF(C12="","",VLOOKUP(C12,Equipement!$A$125:$H$1361,5,FALSE))</f>
        <v/>
      </c>
      <c r="H12" s="650"/>
      <c r="I12" s="650"/>
      <c r="J12" s="650"/>
      <c r="K12" s="650"/>
      <c r="L12" s="650"/>
      <c r="M12" s="862" t="str">
        <f t="shared" si="0"/>
        <v/>
      </c>
      <c r="N12" s="862" t="str">
        <f t="shared" si="1"/>
        <v/>
      </c>
      <c r="O12" s="1346" t="str">
        <f t="shared" si="2"/>
        <v/>
      </c>
      <c r="P12" s="1347"/>
      <c r="Q12" s="650"/>
      <c r="R12" s="650" t="str">
        <f t="shared" si="3"/>
        <v/>
      </c>
      <c r="S12" s="217"/>
      <c r="T12" s="1414"/>
      <c r="U12" s="1330"/>
      <c r="V12" s="1415"/>
      <c r="W12" s="217"/>
      <c r="X12" s="763" t="str">
        <f t="shared" si="4"/>
        <v/>
      </c>
      <c r="Y12" s="763" t="str">
        <f>IF(C12="","",VLOOKUP(C12,Equipement!$A:$H,2,FALSE))</f>
        <v/>
      </c>
      <c r="Z12" s="763" t="str">
        <f>IF(C12="","",VLOOKUP(C12,Equipement!$A:$H,3,FALSE))</f>
        <v/>
      </c>
      <c r="AA12" s="763" t="str">
        <f>IF(C12="","",VLOOKUP(C12,Equipement!$A:$H,4,FALSE))</f>
        <v/>
      </c>
      <c r="AB12" s="304"/>
      <c r="AC12" s="304" t="str">
        <f>IF(C12="","",VLOOKUP(C12,Equipement!$A$125:$H$1361,6,FALSE))</f>
        <v/>
      </c>
      <c r="AD12" s="304">
        <f t="shared" si="5"/>
        <v>0</v>
      </c>
      <c r="AE12" s="304">
        <f t="shared" si="6"/>
        <v>0</v>
      </c>
      <c r="AF12" s="304">
        <f t="shared" si="7"/>
        <v>0</v>
      </c>
      <c r="AG12" s="304" t="str">
        <f t="shared" si="8"/>
        <v/>
      </c>
    </row>
    <row r="13" spans="1:33" ht="10.199999999999999" customHeight="1">
      <c r="A13" s="908" t="str">
        <f t="shared" si="9"/>
        <v/>
      </c>
      <c r="B13" s="765"/>
      <c r="C13" s="1354"/>
      <c r="D13" s="1358"/>
      <c r="E13" s="830"/>
      <c r="F13" s="862" t="str">
        <f>(IF(C13="","",E13*IF(G13="","",G13+IF(AND(H13="x",J13="x"),ROUNDDOWN(G13*tableaux!$C$3,0),IF(AND(H13="x",K13="x"),ROUNDDOWN(G13*tableaux!$C$4,0),IF(AND(I13="x",J13="x"),ROUNDDOWN(G13*tableaux!$F$3,0),IF(AND(I13="x",K13="x"),ROUNDDOWN(G13*tableaux!$F$4,0),IF(AND(I13="x",L13="x"),ROUNDDOWN(G13*tableaux!#REF!,0),0))))))))</f>
        <v/>
      </c>
      <c r="G13" s="650" t="str">
        <f>IF(C13="","",VLOOKUP(C13,Equipement!$A$125:$H$1361,5,FALSE))</f>
        <v/>
      </c>
      <c r="H13" s="650"/>
      <c r="I13" s="650"/>
      <c r="J13" s="650"/>
      <c r="K13" s="650"/>
      <c r="L13" s="650"/>
      <c r="M13" s="862" t="str">
        <f t="shared" si="0"/>
        <v/>
      </c>
      <c r="N13" s="862" t="str">
        <f t="shared" si="1"/>
        <v/>
      </c>
      <c r="O13" s="1346" t="str">
        <f t="shared" si="2"/>
        <v/>
      </c>
      <c r="P13" s="1347"/>
      <c r="Q13" s="650"/>
      <c r="R13" s="650" t="str">
        <f t="shared" si="3"/>
        <v/>
      </c>
      <c r="S13" s="217"/>
      <c r="T13" s="1414"/>
      <c r="U13" s="1330"/>
      <c r="V13" s="1415"/>
      <c r="W13" s="217"/>
      <c r="X13" s="763" t="str">
        <f t="shared" si="4"/>
        <v/>
      </c>
      <c r="Y13" s="763" t="str">
        <f>IF(C13="","",VLOOKUP(C13,Equipement!$A:$H,2,FALSE))</f>
        <v/>
      </c>
      <c r="Z13" s="763" t="str">
        <f>IF(C13="","",VLOOKUP(C13,Equipement!$A:$H,3,FALSE))</f>
        <v/>
      </c>
      <c r="AA13" s="763" t="str">
        <f>IF(C13="","",VLOOKUP(C13,Equipement!$A:$H,4,FALSE))</f>
        <v/>
      </c>
      <c r="AB13" s="304"/>
      <c r="AC13" s="304" t="str">
        <f>IF(C13="","",VLOOKUP(C13,Equipement!$A$125:$H$1361,6,FALSE))</f>
        <v/>
      </c>
      <c r="AD13" s="304">
        <f t="shared" si="5"/>
        <v>0</v>
      </c>
      <c r="AE13" s="304">
        <f t="shared" si="6"/>
        <v>0</v>
      </c>
      <c r="AF13" s="304">
        <f t="shared" si="7"/>
        <v>0</v>
      </c>
      <c r="AG13" s="304" t="str">
        <f t="shared" si="8"/>
        <v/>
      </c>
    </row>
    <row r="14" spans="1:33" ht="10.199999999999999" customHeight="1">
      <c r="A14" s="908" t="str">
        <f t="shared" si="9"/>
        <v/>
      </c>
      <c r="B14" s="765"/>
      <c r="C14" s="1354"/>
      <c r="D14" s="1358"/>
      <c r="E14" s="830"/>
      <c r="F14" s="862" t="str">
        <f>(IF(C14="","",E14*IF(G14="","",G14+IF(AND(H14="x",J14="x"),ROUNDDOWN(G14*tableaux!$C$3,0),IF(AND(H14="x",K14="x"),ROUNDDOWN(G14*tableaux!$C$4,0),IF(AND(I14="x",J14="x"),ROUNDDOWN(G14*tableaux!$F$3,0),IF(AND(I14="x",K14="x"),ROUNDDOWN(G14*tableaux!$F$4,0),IF(AND(I14="x",L14="x"),ROUNDDOWN(G14*tableaux!#REF!,0),0))))))))</f>
        <v/>
      </c>
      <c r="G14" s="650" t="str">
        <f>IF(C14="","",VLOOKUP(C14,Equipement!$A$125:$H$1361,5,FALSE))</f>
        <v/>
      </c>
      <c r="H14" s="650"/>
      <c r="I14" s="650"/>
      <c r="J14" s="650"/>
      <c r="K14" s="650"/>
      <c r="L14" s="650"/>
      <c r="M14" s="862" t="str">
        <f t="shared" si="0"/>
        <v/>
      </c>
      <c r="N14" s="862" t="str">
        <f t="shared" si="1"/>
        <v/>
      </c>
      <c r="O14" s="1346" t="str">
        <f t="shared" si="2"/>
        <v/>
      </c>
      <c r="P14" s="1347"/>
      <c r="Q14" s="650"/>
      <c r="R14" s="650" t="str">
        <f t="shared" si="3"/>
        <v/>
      </c>
      <c r="S14" s="217"/>
      <c r="T14" s="1414"/>
      <c r="U14" s="1330"/>
      <c r="V14" s="1415"/>
      <c r="W14" s="217"/>
      <c r="X14" s="763" t="str">
        <f t="shared" si="4"/>
        <v/>
      </c>
      <c r="Y14" s="763" t="str">
        <f>IF(C14="","",VLOOKUP(C14,Equipement!$A:$H,2,FALSE))</f>
        <v/>
      </c>
      <c r="Z14" s="763" t="str">
        <f>IF(C14="","",VLOOKUP(C14,Equipement!$A:$H,3,FALSE))</f>
        <v/>
      </c>
      <c r="AA14" s="763" t="str">
        <f>IF(C14="","",VLOOKUP(C14,Equipement!$A:$H,4,FALSE))</f>
        <v/>
      </c>
      <c r="AB14" s="304"/>
      <c r="AC14" s="304" t="str">
        <f>IF(C14="","",VLOOKUP(C14,Equipement!$A$125:$H$1361,6,FALSE))</f>
        <v/>
      </c>
      <c r="AD14" s="304">
        <f t="shared" si="5"/>
        <v>0</v>
      </c>
      <c r="AE14" s="304">
        <f t="shared" si="6"/>
        <v>0</v>
      </c>
      <c r="AF14" s="304">
        <f t="shared" si="7"/>
        <v>0</v>
      </c>
      <c r="AG14" s="304" t="str">
        <f t="shared" si="8"/>
        <v/>
      </c>
    </row>
    <row r="15" spans="1:33" ht="10.199999999999999" customHeight="1">
      <c r="A15" s="908" t="str">
        <f t="shared" si="9"/>
        <v/>
      </c>
      <c r="B15" s="765"/>
      <c r="C15" s="1354"/>
      <c r="D15" s="1358"/>
      <c r="E15" s="830"/>
      <c r="F15" s="862" t="str">
        <f>(IF(C15="","",E15*IF(G15="","",G15+IF(AND(H15="x",J15="x"),ROUNDDOWN(G15*tableaux!$C$3,0),IF(AND(H15="x",K15="x"),ROUNDDOWN(G15*tableaux!$C$4,0),IF(AND(I15="x",J15="x"),ROUNDDOWN(G15*tableaux!$F$3,0),IF(AND(I15="x",K15="x"),ROUNDDOWN(G15*tableaux!$F$4,0),IF(AND(I15="x",L15="x"),ROUNDDOWN(G15*tableaux!#REF!,0),0))))))))</f>
        <v/>
      </c>
      <c r="G15" s="650" t="str">
        <f>IF(C15="","",VLOOKUP(C15,Equipement!$A$125:$H$1361,5,FALSE))</f>
        <v/>
      </c>
      <c r="H15" s="650"/>
      <c r="I15" s="650"/>
      <c r="J15" s="650"/>
      <c r="K15" s="650"/>
      <c r="L15" s="650"/>
      <c r="M15" s="862" t="str">
        <f t="shared" si="0"/>
        <v/>
      </c>
      <c r="N15" s="862" t="str">
        <f t="shared" si="1"/>
        <v/>
      </c>
      <c r="O15" s="1346" t="str">
        <f t="shared" si="2"/>
        <v/>
      </c>
      <c r="P15" s="1347"/>
      <c r="Q15" s="650"/>
      <c r="R15" s="650" t="str">
        <f t="shared" si="3"/>
        <v/>
      </c>
      <c r="S15" s="217"/>
      <c r="T15" s="1414"/>
      <c r="U15" s="1330"/>
      <c r="V15" s="1415"/>
      <c r="W15" s="217"/>
      <c r="X15" s="763" t="str">
        <f t="shared" si="4"/>
        <v/>
      </c>
      <c r="Y15" s="763" t="str">
        <f>IF(C15="","",VLOOKUP(C15,Equipement!$A:$H,2,FALSE))</f>
        <v/>
      </c>
      <c r="Z15" s="763" t="str">
        <f>IF(C15="","",VLOOKUP(C15,Equipement!$A:$H,3,FALSE))</f>
        <v/>
      </c>
      <c r="AA15" s="763" t="str">
        <f>IF(C15="","",VLOOKUP(C15,Equipement!$A:$H,4,FALSE))</f>
        <v/>
      </c>
      <c r="AB15" s="304"/>
      <c r="AC15" s="304" t="str">
        <f>IF(C15="","",VLOOKUP(C15,Equipement!$A$125:$H$1361,6,FALSE))</f>
        <v/>
      </c>
      <c r="AD15" s="304">
        <f t="shared" si="5"/>
        <v>0</v>
      </c>
      <c r="AE15" s="304">
        <f t="shared" si="6"/>
        <v>0</v>
      </c>
      <c r="AF15" s="304">
        <f t="shared" si="7"/>
        <v>0</v>
      </c>
      <c r="AG15" s="304" t="str">
        <f t="shared" si="8"/>
        <v/>
      </c>
    </row>
    <row r="16" spans="1:33" ht="10.199999999999999" customHeight="1">
      <c r="A16" s="908" t="str">
        <f t="shared" si="9"/>
        <v/>
      </c>
      <c r="B16" s="765"/>
      <c r="C16" s="1354"/>
      <c r="D16" s="1358"/>
      <c r="E16" s="830"/>
      <c r="F16" s="862" t="str">
        <f>(IF(C16="","",E16*IF(G16="","",G16+IF(AND(H16="x",J16="x"),ROUNDDOWN(G16*tableaux!$C$3,0),IF(AND(H16="x",K16="x"),ROUNDDOWN(G16*tableaux!$C$4,0),IF(AND(I16="x",J16="x"),ROUNDDOWN(G16*tableaux!$F$3,0),IF(AND(I16="x",K16="x"),ROUNDDOWN(G16*tableaux!$F$4,0),IF(AND(I16="x",L16="x"),ROUNDDOWN(G16*tableaux!#REF!,0),0))))))))</f>
        <v/>
      </c>
      <c r="G16" s="650" t="str">
        <f>IF(C16="","",VLOOKUP(C16,Equipement!$A$125:$H$1361,5,FALSE))</f>
        <v/>
      </c>
      <c r="H16" s="650"/>
      <c r="I16" s="650"/>
      <c r="J16" s="650"/>
      <c r="K16" s="650"/>
      <c r="L16" s="650"/>
      <c r="M16" s="862" t="str">
        <f t="shared" si="0"/>
        <v/>
      </c>
      <c r="N16" s="862" t="str">
        <f t="shared" si="1"/>
        <v/>
      </c>
      <c r="O16" s="1346" t="str">
        <f t="shared" si="2"/>
        <v/>
      </c>
      <c r="P16" s="1347"/>
      <c r="Q16" s="650"/>
      <c r="R16" s="650" t="str">
        <f t="shared" si="3"/>
        <v/>
      </c>
      <c r="S16" s="217"/>
      <c r="T16" s="1414"/>
      <c r="U16" s="1330"/>
      <c r="V16" s="1415"/>
      <c r="W16" s="217"/>
      <c r="X16" s="763" t="str">
        <f t="shared" si="4"/>
        <v/>
      </c>
      <c r="Y16" s="763" t="str">
        <f>IF(C16="","",VLOOKUP(C16,Equipement!$A:$H,2,FALSE))</f>
        <v/>
      </c>
      <c r="Z16" s="763" t="str">
        <f>IF(C16="","",VLOOKUP(C16,Equipement!$A:$H,3,FALSE))</f>
        <v/>
      </c>
      <c r="AA16" s="763" t="str">
        <f>IF(C16="","",VLOOKUP(C16,Equipement!$A:$H,4,FALSE))</f>
        <v/>
      </c>
      <c r="AC16" s="304" t="str">
        <f>IF(C16="","",VLOOKUP(C16,Equipement!$A$125:$H$1361,6,FALSE))</f>
        <v/>
      </c>
      <c r="AD16" s="304">
        <f t="shared" si="5"/>
        <v>0</v>
      </c>
      <c r="AE16" s="304">
        <f t="shared" si="6"/>
        <v>0</v>
      </c>
      <c r="AF16" s="304">
        <f t="shared" si="7"/>
        <v>0</v>
      </c>
      <c r="AG16" s="304" t="str">
        <f t="shared" si="8"/>
        <v/>
      </c>
    </row>
    <row r="17" spans="1:33" ht="10.199999999999999" customHeight="1">
      <c r="A17" s="908" t="str">
        <f t="shared" si="9"/>
        <v/>
      </c>
      <c r="B17" s="765"/>
      <c r="C17" s="1354"/>
      <c r="D17" s="1358"/>
      <c r="E17" s="830"/>
      <c r="F17" s="862" t="str">
        <f>(IF(C17="","",E17*IF(G17="","",G17+IF(AND(H17="x",J17="x"),ROUNDDOWN(G17*tableaux!$C$3,0),IF(AND(H17="x",K17="x"),ROUNDDOWN(G17*tableaux!$C$4,0),IF(AND(I17="x",J17="x"),ROUNDDOWN(G17*tableaux!$F$3,0),IF(AND(I17="x",K17="x"),ROUNDDOWN(G17*tableaux!$F$4,0),IF(AND(I17="x",L17="x"),ROUNDDOWN(G17*tableaux!#REF!,0),0))))))))</f>
        <v/>
      </c>
      <c r="G17" s="650" t="str">
        <f>IF(C17="","",VLOOKUP(C17,Equipement!$A$125:$H$1361,5,FALSE))</f>
        <v/>
      </c>
      <c r="H17" s="650"/>
      <c r="I17" s="650"/>
      <c r="J17" s="650"/>
      <c r="K17" s="650"/>
      <c r="L17" s="650"/>
      <c r="M17" s="862" t="str">
        <f t="shared" si="0"/>
        <v/>
      </c>
      <c r="N17" s="862" t="str">
        <f t="shared" si="1"/>
        <v/>
      </c>
      <c r="O17" s="1346" t="str">
        <f t="shared" si="2"/>
        <v/>
      </c>
      <c r="P17" s="1347"/>
      <c r="Q17" s="650"/>
      <c r="R17" s="650" t="str">
        <f t="shared" si="3"/>
        <v/>
      </c>
      <c r="S17" s="217"/>
      <c r="T17" s="1416"/>
      <c r="U17" s="1417"/>
      <c r="V17" s="1418"/>
      <c r="W17" s="217"/>
      <c r="X17" s="763" t="str">
        <f t="shared" si="4"/>
        <v/>
      </c>
      <c r="Y17" s="763" t="str">
        <f>IF(C17="","",VLOOKUP(C17,Equipement!$A:$H,2,FALSE))</f>
        <v/>
      </c>
      <c r="Z17" s="763" t="str">
        <f>IF(C17="","",VLOOKUP(C17,Equipement!$A:$H,3,FALSE))</f>
        <v/>
      </c>
      <c r="AA17" s="763" t="str">
        <f>IF(C17="","",VLOOKUP(C17,Equipement!$A:$H,4,FALSE))</f>
        <v/>
      </c>
      <c r="AC17" s="304" t="str">
        <f>IF(C17="","",VLOOKUP(C17,Equipement!$A$125:$H$1361,6,FALSE))</f>
        <v/>
      </c>
      <c r="AD17" s="304">
        <f t="shared" si="5"/>
        <v>0</v>
      </c>
      <c r="AE17" s="304">
        <f t="shared" si="6"/>
        <v>0</v>
      </c>
      <c r="AF17" s="304">
        <f t="shared" si="7"/>
        <v>0</v>
      </c>
      <c r="AG17" s="304" t="str">
        <f t="shared" si="8"/>
        <v/>
      </c>
    </row>
    <row r="18" spans="1:33" ht="10.199999999999999" customHeight="1">
      <c r="A18" s="908" t="str">
        <f t="shared" si="9"/>
        <v/>
      </c>
      <c r="B18" s="765"/>
      <c r="C18" s="1354"/>
      <c r="D18" s="1358"/>
      <c r="E18" s="830"/>
      <c r="F18" s="862" t="str">
        <f>(IF(C18="","",E18*IF(G18="","",G18+IF(AND(H18="x",J18="x"),ROUNDDOWN(G18*tableaux!$C$3,0),IF(AND(H18="x",K18="x"),ROUNDDOWN(G18*tableaux!$C$4,0),IF(AND(I18="x",J18="x"),ROUNDDOWN(G18*tableaux!$F$3,0),IF(AND(I18="x",K18="x"),ROUNDDOWN(G18*tableaux!$F$4,0),IF(AND(I18="x",L18="x"),ROUNDDOWN(G18*tableaux!#REF!,0),0))))))))</f>
        <v/>
      </c>
      <c r="G18" s="650" t="str">
        <f>IF(C18="","",VLOOKUP(C18,Equipement!$A$125:$H$1361,5,FALSE))</f>
        <v/>
      </c>
      <c r="H18" s="650"/>
      <c r="I18" s="650"/>
      <c r="J18" s="650"/>
      <c r="K18" s="650"/>
      <c r="L18" s="650"/>
      <c r="M18" s="862" t="str">
        <f t="shared" si="0"/>
        <v/>
      </c>
      <c r="N18" s="862" t="str">
        <f t="shared" si="1"/>
        <v/>
      </c>
      <c r="O18" s="1346" t="str">
        <f t="shared" si="2"/>
        <v/>
      </c>
      <c r="P18" s="1347"/>
      <c r="Q18" s="650"/>
      <c r="R18" s="650" t="str">
        <f t="shared" si="3"/>
        <v/>
      </c>
      <c r="S18" s="217"/>
      <c r="T18" s="217"/>
      <c r="U18" s="217"/>
      <c r="V18" s="217"/>
      <c r="W18" s="217"/>
      <c r="X18" s="763" t="str">
        <f t="shared" si="4"/>
        <v/>
      </c>
      <c r="Y18" s="763" t="str">
        <f>IF(C18="","",VLOOKUP(C18,Equipement!$A:$H,2,FALSE))</f>
        <v/>
      </c>
      <c r="Z18" s="763" t="str">
        <f>IF(C18="","",VLOOKUP(C18,Equipement!$A:$H,3,FALSE))</f>
        <v/>
      </c>
      <c r="AA18" s="763" t="str">
        <f>IF(C18="","",VLOOKUP(C18,Equipement!$A:$H,4,FALSE))</f>
        <v/>
      </c>
      <c r="AC18" s="304" t="str">
        <f>IF(C18="","",VLOOKUP(C18,Equipement!$A$125:$H$1361,6,FALSE))</f>
        <v/>
      </c>
      <c r="AD18" s="304">
        <f t="shared" si="5"/>
        <v>0</v>
      </c>
      <c r="AE18" s="304">
        <f t="shared" si="6"/>
        <v>0</v>
      </c>
      <c r="AF18" s="304">
        <f t="shared" si="7"/>
        <v>0</v>
      </c>
      <c r="AG18" s="304" t="str">
        <f t="shared" si="8"/>
        <v/>
      </c>
    </row>
    <row r="19" spans="1:33" ht="10.199999999999999" customHeight="1">
      <c r="A19" s="908" t="str">
        <f t="shared" si="9"/>
        <v/>
      </c>
      <c r="B19" s="765"/>
      <c r="C19" s="1354"/>
      <c r="D19" s="1358"/>
      <c r="E19" s="830"/>
      <c r="F19" s="862" t="str">
        <f>(IF(C19="","",E19*IF(G19="","",G19+IF(AND(H19="x",J19="x"),ROUNDDOWN(G19*tableaux!$C$3,0),IF(AND(H19="x",K19="x"),ROUNDDOWN(G19*tableaux!$C$4,0),IF(AND(I19="x",J19="x"),ROUNDDOWN(G19*tableaux!$F$3,0),IF(AND(I19="x",K19="x"),ROUNDDOWN(G19*tableaux!$F$4,0),IF(AND(I19="x",L19="x"),ROUNDDOWN(G19*tableaux!#REF!,0),0))))))))</f>
        <v/>
      </c>
      <c r="G19" s="650" t="str">
        <f>IF(C19="","",VLOOKUP(C19,Equipement!$A$125:$H$1361,5,FALSE))</f>
        <v/>
      </c>
      <c r="H19" s="650"/>
      <c r="I19" s="650"/>
      <c r="J19" s="650"/>
      <c r="K19" s="650"/>
      <c r="L19" s="650"/>
      <c r="M19" s="862" t="str">
        <f t="shared" si="0"/>
        <v/>
      </c>
      <c r="N19" s="862" t="str">
        <f t="shared" si="1"/>
        <v/>
      </c>
      <c r="O19" s="1346" t="str">
        <f t="shared" si="2"/>
        <v/>
      </c>
      <c r="P19" s="1347"/>
      <c r="Q19" s="650"/>
      <c r="R19" s="650" t="str">
        <f t="shared" si="3"/>
        <v/>
      </c>
      <c r="S19" s="217"/>
      <c r="T19" s="217"/>
      <c r="U19" s="217"/>
      <c r="V19" s="217"/>
      <c r="W19" s="217"/>
      <c r="X19" s="763" t="str">
        <f t="shared" si="4"/>
        <v/>
      </c>
      <c r="Y19" s="763" t="str">
        <f>IF(C19="","",VLOOKUP(C19,Equipement!$A:$H,2,FALSE))</f>
        <v/>
      </c>
      <c r="Z19" s="763" t="str">
        <f>IF(C19="","",VLOOKUP(C19,Equipement!$A:$H,3,FALSE))</f>
        <v/>
      </c>
      <c r="AA19" s="763" t="str">
        <f>IF(C19="","",VLOOKUP(C19,Equipement!$A:$H,4,FALSE))</f>
        <v/>
      </c>
      <c r="AC19" s="304" t="str">
        <f>IF(C19="","",VLOOKUP(C19,Equipement!$A$125:$H$1361,6,FALSE))</f>
        <v/>
      </c>
      <c r="AD19" s="304">
        <f t="shared" si="5"/>
        <v>0</v>
      </c>
      <c r="AE19" s="304">
        <f t="shared" si="6"/>
        <v>0</v>
      </c>
      <c r="AF19" s="304">
        <f t="shared" si="7"/>
        <v>0</v>
      </c>
      <c r="AG19" s="304" t="str">
        <f t="shared" si="8"/>
        <v/>
      </c>
    </row>
    <row r="20" spans="1:33" ht="10.199999999999999" customHeight="1">
      <c r="A20" s="908" t="str">
        <f t="shared" si="9"/>
        <v/>
      </c>
      <c r="B20" s="765"/>
      <c r="C20" s="1354"/>
      <c r="D20" s="1358"/>
      <c r="E20" s="830"/>
      <c r="F20" s="862" t="str">
        <f>(IF(C20="","",E20*IF(G20="","",G20+IF(AND(H20="x",J20="x"),ROUNDDOWN(G20*tableaux!$C$3,0),IF(AND(H20="x",K20="x"),ROUNDDOWN(G20*tableaux!$C$4,0),IF(AND(I20="x",J20="x"),ROUNDDOWN(G20*tableaux!$F$3,0),IF(AND(I20="x",K20="x"),ROUNDDOWN(G20*tableaux!$F$4,0),IF(AND(I20="x",L20="x"),ROUNDDOWN(G20*tableaux!#REF!,0),0))))))))</f>
        <v/>
      </c>
      <c r="G20" s="650" t="str">
        <f>IF(C20="","",VLOOKUP(C20,Equipement!$A$125:$H$1361,5,FALSE))</f>
        <v/>
      </c>
      <c r="H20" s="650"/>
      <c r="I20" s="650"/>
      <c r="J20" s="650"/>
      <c r="K20" s="650"/>
      <c r="L20" s="650"/>
      <c r="M20" s="862" t="str">
        <f t="shared" si="0"/>
        <v/>
      </c>
      <c r="N20" s="862" t="str">
        <f t="shared" si="1"/>
        <v/>
      </c>
      <c r="O20" s="1346" t="str">
        <f t="shared" si="2"/>
        <v/>
      </c>
      <c r="P20" s="1347"/>
      <c r="Q20" s="650"/>
      <c r="R20" s="650" t="str">
        <f t="shared" si="3"/>
        <v/>
      </c>
      <c r="S20" s="217"/>
      <c r="T20" s="1297" t="s">
        <v>5401</v>
      </c>
      <c r="U20" s="1297"/>
      <c r="V20" s="1297"/>
      <c r="W20" s="217"/>
      <c r="X20" s="763" t="str">
        <f t="shared" si="4"/>
        <v/>
      </c>
      <c r="Y20" s="763" t="str">
        <f>IF(C20="","",VLOOKUP(C20,Equipement!$A:$H,2,FALSE))</f>
        <v/>
      </c>
      <c r="Z20" s="763" t="str">
        <f>IF(C20="","",VLOOKUP(C20,Equipement!$A:$H,3,FALSE))</f>
        <v/>
      </c>
      <c r="AA20" s="763" t="str">
        <f>IF(C20="","",VLOOKUP(C20,Equipement!$A:$H,4,FALSE))</f>
        <v/>
      </c>
      <c r="AC20" s="304" t="str">
        <f>IF(C20="","",VLOOKUP(C20,Equipement!$A$125:$H$1361,6,FALSE))</f>
        <v/>
      </c>
      <c r="AD20" s="304">
        <f t="shared" si="5"/>
        <v>0</v>
      </c>
      <c r="AE20" s="304">
        <f t="shared" si="6"/>
        <v>0</v>
      </c>
      <c r="AF20" s="304">
        <f t="shared" si="7"/>
        <v>0</v>
      </c>
      <c r="AG20" s="304" t="str">
        <f t="shared" si="8"/>
        <v/>
      </c>
    </row>
    <row r="21" spans="1:33" ht="10.199999999999999" customHeight="1">
      <c r="A21" s="908" t="str">
        <f t="shared" si="9"/>
        <v/>
      </c>
      <c r="B21" s="765"/>
      <c r="C21" s="1354"/>
      <c r="D21" s="1358"/>
      <c r="E21" s="830"/>
      <c r="F21" s="862" t="str">
        <f>(IF(C21="","",E21*IF(G21="","",G21+IF(AND(H21="x",J21="x"),ROUNDDOWN(G21*tableaux!$C$3,0),IF(AND(H21="x",K21="x"),ROUNDDOWN(G21*tableaux!$C$4,0),IF(AND(I21="x",J21="x"),ROUNDDOWN(G21*tableaux!$F$3,0),IF(AND(I21="x",K21="x"),ROUNDDOWN(G21*tableaux!$F$4,0),IF(AND(I21="x",L21="x"),ROUNDDOWN(G21*tableaux!#REF!,0),0))))))))</f>
        <v/>
      </c>
      <c r="G21" s="650" t="str">
        <f>IF(C21="","",VLOOKUP(C21,Equipement!$A$125:$H$1361,5,FALSE))</f>
        <v/>
      </c>
      <c r="H21" s="650"/>
      <c r="I21" s="650"/>
      <c r="J21" s="650"/>
      <c r="K21" s="650"/>
      <c r="L21" s="650"/>
      <c r="M21" s="862" t="str">
        <f t="shared" si="0"/>
        <v/>
      </c>
      <c r="N21" s="862" t="str">
        <f t="shared" si="1"/>
        <v/>
      </c>
      <c r="O21" s="1346" t="str">
        <f t="shared" si="2"/>
        <v/>
      </c>
      <c r="P21" s="1347"/>
      <c r="Q21" s="650"/>
      <c r="R21" s="650" t="str">
        <f t="shared" si="3"/>
        <v/>
      </c>
      <c r="S21" s="217"/>
      <c r="T21" s="1390"/>
      <c r="U21" s="1390"/>
      <c r="V21" s="1390"/>
      <c r="W21" s="217"/>
      <c r="X21" s="763" t="str">
        <f t="shared" si="4"/>
        <v/>
      </c>
      <c r="Y21" s="763" t="str">
        <f>IF(C21="","",VLOOKUP(C21,Equipement!$A:$H,2,FALSE))</f>
        <v/>
      </c>
      <c r="Z21" s="763" t="str">
        <f>IF(C21="","",VLOOKUP(C21,Equipement!$A:$H,3,FALSE))</f>
        <v/>
      </c>
      <c r="AA21" s="763" t="str">
        <f>IF(C21="","",VLOOKUP(C21,Equipement!$A:$H,4,FALSE))</f>
        <v/>
      </c>
      <c r="AC21" s="304" t="str">
        <f>IF(C21="","",VLOOKUP(C21,Equipement!$A$125:$H$1361,6,FALSE))</f>
        <v/>
      </c>
      <c r="AD21" s="304">
        <f t="shared" si="5"/>
        <v>0</v>
      </c>
      <c r="AE21" s="304">
        <f t="shared" si="6"/>
        <v>0</v>
      </c>
      <c r="AF21" s="304">
        <f t="shared" si="7"/>
        <v>0</v>
      </c>
      <c r="AG21" s="304" t="str">
        <f t="shared" si="8"/>
        <v/>
      </c>
    </row>
    <row r="22" spans="1:33" ht="10.199999999999999" customHeight="1">
      <c r="A22" s="908" t="str">
        <f t="shared" si="9"/>
        <v/>
      </c>
      <c r="B22" s="765"/>
      <c r="C22" s="1354"/>
      <c r="D22" s="1358"/>
      <c r="E22" s="830"/>
      <c r="F22" s="862" t="str">
        <f>(IF(C22="","",E22*IF(G22="","",G22+IF(AND(H22="x",J22="x"),ROUNDDOWN(G22*tableaux!$C$3,0),IF(AND(H22="x",K22="x"),ROUNDDOWN(G22*tableaux!$C$4,0),IF(AND(I22="x",J22="x"),ROUNDDOWN(G22*tableaux!$F$3,0),IF(AND(I22="x",K22="x"),ROUNDDOWN(G22*tableaux!$F$4,0),IF(AND(I22="x",L22="x"),ROUNDDOWN(G22*tableaux!#REF!,0),0))))))))</f>
        <v/>
      </c>
      <c r="G22" s="650" t="str">
        <f>IF(C22="","",VLOOKUP(C22,Equipement!$A$125:$H$1361,5,FALSE))</f>
        <v/>
      </c>
      <c r="H22" s="650"/>
      <c r="I22" s="650"/>
      <c r="J22" s="650"/>
      <c r="K22" s="650"/>
      <c r="L22" s="650"/>
      <c r="M22" s="862" t="str">
        <f t="shared" si="0"/>
        <v/>
      </c>
      <c r="N22" s="862" t="str">
        <f t="shared" si="1"/>
        <v/>
      </c>
      <c r="O22" s="1346" t="str">
        <f t="shared" si="2"/>
        <v/>
      </c>
      <c r="P22" s="1347"/>
      <c r="Q22" s="650"/>
      <c r="R22" s="650" t="str">
        <f t="shared" si="3"/>
        <v/>
      </c>
      <c r="S22" s="217"/>
      <c r="T22" s="1379" t="str">
        <f>IF('page 1'!E6="","",VLOOKUP('page 1'!E6,tableaux!S:AV,30,FALSE))</f>
        <v/>
      </c>
      <c r="U22" s="1380"/>
      <c r="V22" s="1381"/>
      <c r="W22" s="217"/>
      <c r="X22" s="763" t="str">
        <f t="shared" si="4"/>
        <v/>
      </c>
      <c r="Y22" s="763" t="str">
        <f>IF(C22="","",VLOOKUP(C22,Equipement!$A:$H,2,FALSE))</f>
        <v/>
      </c>
      <c r="Z22" s="763" t="str">
        <f>IF(C22="","",VLOOKUP(C22,Equipement!$A:$H,3,FALSE))</f>
        <v/>
      </c>
      <c r="AA22" s="763" t="str">
        <f>IF(C22="","",VLOOKUP(C22,Equipement!$A:$H,4,FALSE))</f>
        <v/>
      </c>
      <c r="AC22" s="304" t="str">
        <f>IF(C22="","",VLOOKUP(C22,Equipement!$A$125:$H$1361,6,FALSE))</f>
        <v/>
      </c>
      <c r="AD22" s="304">
        <f t="shared" si="5"/>
        <v>0</v>
      </c>
      <c r="AE22" s="304">
        <f t="shared" si="6"/>
        <v>0</v>
      </c>
      <c r="AF22" s="304">
        <f t="shared" si="7"/>
        <v>0</v>
      </c>
      <c r="AG22" s="304" t="str">
        <f t="shared" si="8"/>
        <v/>
      </c>
    </row>
    <row r="23" spans="1:33" ht="10.199999999999999" customHeight="1">
      <c r="A23" s="908" t="str">
        <f t="shared" si="9"/>
        <v/>
      </c>
      <c r="B23" s="765"/>
      <c r="C23" s="1354"/>
      <c r="D23" s="1358"/>
      <c r="E23" s="830"/>
      <c r="F23" s="862" t="str">
        <f>(IF(C23="","",E23*IF(G23="","",G23+IF(AND(H23="x",J23="x"),ROUNDDOWN(G23*tableaux!$C$3,0),IF(AND(H23="x",K23="x"),ROUNDDOWN(G23*tableaux!$C$4,0),IF(AND(I23="x",J23="x"),ROUNDDOWN(G23*tableaux!$F$3,0),IF(AND(I23="x",K23="x"),ROUNDDOWN(G23*tableaux!$F$4,0),IF(AND(I23="x",L23="x"),ROUNDDOWN(G23*tableaux!#REF!,0),0))))))))</f>
        <v/>
      </c>
      <c r="G23" s="650" t="str">
        <f>IF(C23="","",VLOOKUP(C23,Equipement!$A$125:$H$1361,5,FALSE))</f>
        <v/>
      </c>
      <c r="H23" s="650"/>
      <c r="I23" s="650"/>
      <c r="J23" s="650"/>
      <c r="K23" s="650"/>
      <c r="L23" s="650"/>
      <c r="M23" s="862" t="str">
        <f t="shared" si="0"/>
        <v/>
      </c>
      <c r="N23" s="862" t="str">
        <f t="shared" si="1"/>
        <v/>
      </c>
      <c r="O23" s="1346" t="str">
        <f t="shared" si="2"/>
        <v/>
      </c>
      <c r="P23" s="1347"/>
      <c r="Q23" s="650"/>
      <c r="R23" s="650" t="str">
        <f t="shared" si="3"/>
        <v/>
      </c>
      <c r="S23" s="217"/>
      <c r="T23" s="1116"/>
      <c r="U23" s="1117"/>
      <c r="V23" s="1118"/>
      <c r="W23" s="217"/>
      <c r="X23" s="763" t="str">
        <f t="shared" si="4"/>
        <v/>
      </c>
      <c r="Y23" s="763" t="str">
        <f>IF(C23="","",VLOOKUP(C23,Equipement!$A:$H,2,FALSE))</f>
        <v/>
      </c>
      <c r="Z23" s="763" t="str">
        <f>IF(C23="","",VLOOKUP(C23,Equipement!$A:$H,3,FALSE))</f>
        <v/>
      </c>
      <c r="AA23" s="763" t="str">
        <f>IF(C23="","",VLOOKUP(C23,Equipement!$A:$H,4,FALSE))</f>
        <v/>
      </c>
      <c r="AC23" s="304" t="str">
        <f>IF(C23="","",VLOOKUP(C23,Equipement!$A$125:$H$1361,6,FALSE))</f>
        <v/>
      </c>
      <c r="AD23" s="304">
        <f t="shared" si="5"/>
        <v>0</v>
      </c>
      <c r="AE23" s="304">
        <f t="shared" si="6"/>
        <v>0</v>
      </c>
      <c r="AF23" s="304">
        <f t="shared" si="7"/>
        <v>0</v>
      </c>
      <c r="AG23" s="304" t="str">
        <f t="shared" si="8"/>
        <v/>
      </c>
    </row>
    <row r="24" spans="1:33" ht="10.199999999999999" customHeight="1">
      <c r="A24" s="908" t="str">
        <f t="shared" si="9"/>
        <v/>
      </c>
      <c r="B24" s="765"/>
      <c r="C24" s="1354"/>
      <c r="D24" s="1358"/>
      <c r="E24" s="830"/>
      <c r="F24" s="862" t="str">
        <f>(IF(C24="","",E24*IF(G24="","",G24+IF(AND(H24="x",J24="x"),ROUNDDOWN(G24*tableaux!$C$3,0),IF(AND(H24="x",K24="x"),ROUNDDOWN(G24*tableaux!$C$4,0),IF(AND(I24="x",J24="x"),ROUNDDOWN(G24*tableaux!$F$3,0),IF(AND(I24="x",K24="x"),ROUNDDOWN(G24*tableaux!$F$4,0),IF(AND(I24="x",L24="x"),ROUNDDOWN(G24*tableaux!#REF!,0),0))))))))</f>
        <v/>
      </c>
      <c r="G24" s="650" t="str">
        <f>IF(C24="","",VLOOKUP(C24,Equipement!$A$125:$H$1361,5,FALSE))</f>
        <v/>
      </c>
      <c r="H24" s="650"/>
      <c r="I24" s="650"/>
      <c r="J24" s="650"/>
      <c r="K24" s="650"/>
      <c r="L24" s="650"/>
      <c r="M24" s="862" t="str">
        <f t="shared" si="0"/>
        <v/>
      </c>
      <c r="N24" s="862" t="str">
        <f t="shared" si="1"/>
        <v/>
      </c>
      <c r="O24" s="1346" t="str">
        <f t="shared" si="2"/>
        <v/>
      </c>
      <c r="P24" s="1347"/>
      <c r="Q24" s="650"/>
      <c r="R24" s="650" t="str">
        <f t="shared" si="3"/>
        <v/>
      </c>
      <c r="S24" s="217"/>
      <c r="T24" s="1116"/>
      <c r="U24" s="1117"/>
      <c r="V24" s="1118"/>
      <c r="W24" s="217"/>
      <c r="X24" s="763" t="str">
        <f t="shared" si="4"/>
        <v/>
      </c>
      <c r="Y24" s="763" t="str">
        <f>IF(C24="","",VLOOKUP(C24,Equipement!$A:$H,2,FALSE))</f>
        <v/>
      </c>
      <c r="Z24" s="763" t="str">
        <f>IF(C24="","",VLOOKUP(C24,Equipement!$A:$H,3,FALSE))</f>
        <v/>
      </c>
      <c r="AA24" s="763" t="str">
        <f>IF(C24="","",VLOOKUP(C24,Equipement!$A:$H,4,FALSE))</f>
        <v/>
      </c>
      <c r="AC24" s="304" t="str">
        <f>IF(C24="","",VLOOKUP(C24,Equipement!$A$125:$H$1361,6,FALSE))</f>
        <v/>
      </c>
      <c r="AD24" s="304">
        <f t="shared" si="5"/>
        <v>0</v>
      </c>
      <c r="AE24" s="304">
        <f t="shared" si="6"/>
        <v>0</v>
      </c>
      <c r="AF24" s="304">
        <f t="shared" si="7"/>
        <v>0</v>
      </c>
      <c r="AG24" s="304" t="str">
        <f t="shared" si="8"/>
        <v/>
      </c>
    </row>
    <row r="25" spans="1:33" ht="10.199999999999999" customHeight="1">
      <c r="A25" s="908"/>
      <c r="B25" s="1387" t="s">
        <v>15376</v>
      </c>
      <c r="C25" s="1388"/>
      <c r="D25" s="1389"/>
      <c r="E25" s="766"/>
      <c r="F25" s="217" t="str">
        <f>(IF(C25="","",E25*IF(G25="","",G25+IF(AND(H25="x",J25="x"),ROUNDDOWN(G25*tableaux!$C$3,0),IF(AND(H25="x",K25="x"),ROUNDDOWN(G25*tableaux!$C$4,0),IF(AND(I25="x",J25="x"),ROUNDDOWN(G25*tableaux!$F$3,0),IF(AND(I25="x",K25="x"),ROUNDDOWN(G25*tableaux!$F$4,0),IF(AND(I25="x",L25="x"),ROUNDDOWN(G25*tableaux!#REF!,0),0))))))))</f>
        <v/>
      </c>
      <c r="G25" s="217" t="str">
        <f>IF(C25="","",VLOOKUP(C25,Equipement!$A$125:$H$1361,5,FALSE))</f>
        <v/>
      </c>
      <c r="H25" s="217"/>
      <c r="I25" s="217"/>
      <c r="J25" s="217"/>
      <c r="K25" s="217"/>
      <c r="L25" s="217"/>
      <c r="M25" s="217" t="str">
        <f t="shared" si="0"/>
        <v/>
      </c>
      <c r="N25" s="217" t="str">
        <f t="shared" si="1"/>
        <v/>
      </c>
      <c r="O25" s="217" t="str">
        <f t="shared" si="2"/>
        <v/>
      </c>
      <c r="P25" s="217"/>
      <c r="Q25" s="217"/>
      <c r="R25" s="217" t="str">
        <f t="shared" si="3"/>
        <v/>
      </c>
      <c r="S25" s="217"/>
      <c r="T25" s="1116"/>
      <c r="U25" s="1117"/>
      <c r="V25" s="1118"/>
      <c r="W25" s="217"/>
      <c r="X25" s="763" t="str">
        <f t="shared" si="4"/>
        <v/>
      </c>
      <c r="Y25" s="763" t="str">
        <f>IF(C25="","",VLOOKUP(C25,Equipement!$A:$H,2,FALSE))</f>
        <v/>
      </c>
      <c r="Z25" s="763" t="str">
        <f>IF(C25="","",VLOOKUP(C25,Equipement!$A:$H,3,FALSE))</f>
        <v/>
      </c>
      <c r="AA25" s="763" t="str">
        <f>IF(C25="","",VLOOKUP(C25,Equipement!$A:$H,4,FALSE))</f>
        <v/>
      </c>
      <c r="AC25" s="304" t="str">
        <f>IF(C25="","",VLOOKUP(C25,Equipement!$A$125:$H$1361,6,FALSE))</f>
        <v/>
      </c>
      <c r="AD25" s="304">
        <f t="shared" si="5"/>
        <v>0</v>
      </c>
      <c r="AE25" s="304">
        <f t="shared" si="6"/>
        <v>0</v>
      </c>
      <c r="AF25" s="304">
        <f t="shared" si="7"/>
        <v>0</v>
      </c>
      <c r="AG25" s="304" t="str">
        <f t="shared" si="8"/>
        <v/>
      </c>
    </row>
    <row r="26" spans="1:33" ht="10.199999999999999" customHeight="1">
      <c r="A26" s="908" t="str">
        <f>IF(B26="","",IF(B26="Boisson",1,IF(B26="Epices et Plantes",2,IF(B26="Farine",3,IF(B26="Fruits",4,IF(B26="Huile",5,IF(B26="Légumes",6,IF(B26="Nourriture",7,IF(B26="Potion",8,IF(B26="Poison",9,IF(B26="Drogues",10,IF(B26="Tabac",11,IF(B26="Bière",12,IF(B26="Alcool",13,IF(B26="Vin",14,15)))))))))))))))</f>
        <v/>
      </c>
      <c r="B26" s="765"/>
      <c r="C26" s="1354"/>
      <c r="D26" s="1354"/>
      <c r="E26" s="906"/>
      <c r="F26" s="879" t="str">
        <f>(IF(C26="","",E26*IF(G26="","",G26+IF(AND(H26="x",J26="x"),ROUNDDOWN(G26*tableaux!$C$3,0),IF(AND(H26="x",K26="x"),ROUNDDOWN(G26*tableaux!$C$4,0),IF(AND(I26="x",J26="x"),ROUNDDOWN(G26*tableaux!$F$3,0),IF(AND(I26="x",K26="x"),ROUNDDOWN(G26*tableaux!$F$4,0),IF(AND(I26="x",L26="x"),ROUNDDOWN(G26*tableaux!#REF!,0),0))))))))</f>
        <v/>
      </c>
      <c r="G26" s="650"/>
      <c r="H26" s="650"/>
      <c r="I26" s="650"/>
      <c r="J26" s="650"/>
      <c r="K26" s="650"/>
      <c r="L26" s="650"/>
      <c r="M26" s="862" t="str">
        <f t="shared" si="0"/>
        <v/>
      </c>
      <c r="N26" s="862" t="str">
        <f t="shared" si="1"/>
        <v/>
      </c>
      <c r="O26" s="1346" t="str">
        <f t="shared" si="2"/>
        <v/>
      </c>
      <c r="P26" s="1347"/>
      <c r="Q26" s="650"/>
      <c r="R26" s="650" t="str">
        <f t="shared" si="3"/>
        <v/>
      </c>
      <c r="S26" s="217"/>
      <c r="T26" s="1116"/>
      <c r="U26" s="1117"/>
      <c r="V26" s="1118"/>
      <c r="W26" s="217"/>
      <c r="X26" s="763" t="str">
        <f t="shared" si="4"/>
        <v/>
      </c>
      <c r="Y26" s="763" t="str">
        <f>IF(C26="","",VLOOKUP(C26,Equipement!$A:$H,2,FALSE))</f>
        <v/>
      </c>
      <c r="Z26" s="763" t="str">
        <f>IF(C26="","",VLOOKUP(C26,Equipement!$A:$H,3,FALSE))</f>
        <v/>
      </c>
      <c r="AA26" s="763" t="str">
        <f>IF(C26="","",VLOOKUP(C26,Equipement!$A:$H,4,FALSE))</f>
        <v/>
      </c>
      <c r="AC26" s="304" t="str">
        <f>IF(C26="","",VLOOKUP(C26,Equipement!$A$125:$H$1361,6,FALSE))</f>
        <v/>
      </c>
      <c r="AD26" s="304">
        <f t="shared" si="5"/>
        <v>0</v>
      </c>
      <c r="AE26" s="304">
        <f t="shared" si="6"/>
        <v>0</v>
      </c>
      <c r="AF26" s="304">
        <f t="shared" si="7"/>
        <v>0</v>
      </c>
      <c r="AG26" s="304" t="str">
        <f t="shared" si="8"/>
        <v/>
      </c>
    </row>
    <row r="27" spans="1:33" ht="10.199999999999999" customHeight="1">
      <c r="A27" s="908" t="str">
        <f t="shared" ref="A27:A29" si="10">IF(B27="","",IF(B27="Boisson",1,IF(B27="Epices et Plantes",2,IF(B27="Farine",3,IF(B27="Fruits",4,IF(B27="Huile",5,IF(B27="Légumes",6,IF(B27="Nourriture",7,IF(B27="Potion",8,IF(B27="Poison",9,IF(B27="Drogues",10,IF(B27="Tabac",11,IF(B27="Bière",12,IF(B27="Alcool",13,IF(B27="Vin",14,15)))))))))))))))</f>
        <v/>
      </c>
      <c r="B27" s="765"/>
      <c r="C27" s="1354"/>
      <c r="D27" s="1354"/>
      <c r="E27" s="906"/>
      <c r="F27" s="879" t="str">
        <f>(IF(C27="","",E27*IF(G27="","",G27+IF(AND(H27="x",J27="x"),ROUNDDOWN(G27*tableaux!$C$3,0),IF(AND(H27="x",K27="x"),ROUNDDOWN(G27*tableaux!$C$4,0),IF(AND(I27="x",J27="x"),ROUNDDOWN(G27*tableaux!$F$3,0),IF(AND(I27="x",K27="x"),ROUNDDOWN(G27*tableaux!$F$4,0),IF(AND(I27="x",L27="x"),ROUNDDOWN(G27*tableaux!#REF!,0),0))))))))</f>
        <v/>
      </c>
      <c r="G27" s="650" t="str">
        <f>IF(C27="","",VLOOKUP(C27,Equipement!$A$125:$H$1361,5,FALSE))</f>
        <v/>
      </c>
      <c r="H27" s="650"/>
      <c r="I27" s="650"/>
      <c r="J27" s="650"/>
      <c r="K27" s="650"/>
      <c r="L27" s="650"/>
      <c r="M27" s="862" t="str">
        <f>IF(C27="","",E27*(IF(Y27="",0,IF($J27="X",Y27*10,IF($K27="X",Y27*3,IF($L27="X",ROUNDUP(Y27*0.5,0),Y27))))))</f>
        <v/>
      </c>
      <c r="N27" s="862" t="str">
        <f t="shared" si="1"/>
        <v/>
      </c>
      <c r="O27" s="1346" t="str">
        <f t="shared" si="2"/>
        <v/>
      </c>
      <c r="P27" s="1347"/>
      <c r="Q27" s="650"/>
      <c r="R27" s="650" t="str">
        <f t="shared" si="3"/>
        <v/>
      </c>
      <c r="S27" s="217"/>
      <c r="T27" s="1116"/>
      <c r="U27" s="1117"/>
      <c r="V27" s="1118"/>
      <c r="W27" s="217"/>
      <c r="X27" s="763" t="str">
        <f t="shared" si="4"/>
        <v/>
      </c>
      <c r="Y27" s="763" t="str">
        <f>IF(C27="","",VLOOKUP(C27,Equipement!$A:$H,2,FALSE))</f>
        <v/>
      </c>
      <c r="Z27" s="763" t="str">
        <f>IF(C27="","",VLOOKUP(C27,Equipement!$A:$H,3,FALSE))</f>
        <v/>
      </c>
      <c r="AA27" s="763" t="str">
        <f>IF(C27="","",VLOOKUP(C27,Equipement!$A:$H,4,FALSE))</f>
        <v/>
      </c>
      <c r="AC27" s="304" t="str">
        <f>IF(C27="","",VLOOKUP(C27,Equipement!$A$125:$H$1361,6,FALSE))</f>
        <v/>
      </c>
      <c r="AD27" s="304">
        <f t="shared" si="5"/>
        <v>0</v>
      </c>
      <c r="AE27" s="304">
        <f t="shared" si="6"/>
        <v>0</v>
      </c>
      <c r="AF27" s="304">
        <f t="shared" si="7"/>
        <v>0</v>
      </c>
      <c r="AG27" s="304" t="str">
        <f t="shared" si="8"/>
        <v/>
      </c>
    </row>
    <row r="28" spans="1:33" ht="10.199999999999999" customHeight="1">
      <c r="A28" s="908" t="str">
        <f t="shared" si="10"/>
        <v/>
      </c>
      <c r="B28" s="765"/>
      <c r="C28" s="1354"/>
      <c r="D28" s="1354"/>
      <c r="E28" s="906"/>
      <c r="F28" s="879" t="str">
        <f>(IF(C28="","",E28*IF(G28="","",G28+IF(AND(H28="x",J28="x"),ROUNDDOWN(G28*tableaux!$C$3,0),IF(AND(H28="x",K28="x"),ROUNDDOWN(G28*tableaux!$C$4,0),IF(AND(I28="x",J28="x"),ROUNDDOWN(G28*tableaux!$F$3,0),IF(AND(I28="x",K28="x"),ROUNDDOWN(G28*tableaux!$F$4,0),IF(AND(I28="x",L28="x"),ROUNDDOWN(G28*tableaux!#REF!,0),0))))))))</f>
        <v/>
      </c>
      <c r="G28" s="650" t="str">
        <f>IF(C28="","",VLOOKUP(C28,Equipement!$A$125:$H$1361,5,FALSE))</f>
        <v/>
      </c>
      <c r="H28" s="650"/>
      <c r="I28" s="650"/>
      <c r="J28" s="650"/>
      <c r="K28" s="650"/>
      <c r="L28" s="650"/>
      <c r="M28" s="862" t="str">
        <f>IF(C28="","",E28*(IF(Y28="",0,IF($J28="X",Y28*10,IF($K28="X",Y28*3,IF($L28="X",ROUNDUP(Y28*0.5,0),Y28))))))</f>
        <v/>
      </c>
      <c r="N28" s="862" t="str">
        <f t="shared" si="1"/>
        <v/>
      </c>
      <c r="O28" s="1346" t="str">
        <f t="shared" si="2"/>
        <v/>
      </c>
      <c r="P28" s="1347"/>
      <c r="Q28" s="650"/>
      <c r="R28" s="650" t="str">
        <f t="shared" si="3"/>
        <v/>
      </c>
      <c r="S28" s="217"/>
      <c r="T28" s="1116"/>
      <c r="U28" s="1117"/>
      <c r="V28" s="1118"/>
      <c r="W28" s="217"/>
      <c r="X28" s="763" t="str">
        <f t="shared" si="4"/>
        <v/>
      </c>
      <c r="Y28" s="763" t="str">
        <f>IF(C28="","",VLOOKUP(C28,Equipement!$A:$H,2,FALSE))</f>
        <v/>
      </c>
      <c r="Z28" s="763" t="str">
        <f>IF(C28="","",VLOOKUP(C28,Equipement!$A:$H,3,FALSE))</f>
        <v/>
      </c>
      <c r="AA28" s="763" t="str">
        <f>IF(C28="","",VLOOKUP(C28,Equipement!$A:$H,4,FALSE))</f>
        <v/>
      </c>
      <c r="AC28" s="304" t="str">
        <f>IF(C28="","",VLOOKUP(C28,Equipement!$A$125:$H$1361,6,FALSE))</f>
        <v/>
      </c>
      <c r="AD28" s="304">
        <f t="shared" si="5"/>
        <v>0</v>
      </c>
      <c r="AE28" s="304">
        <f t="shared" si="6"/>
        <v>0</v>
      </c>
      <c r="AF28" s="304">
        <f t="shared" si="7"/>
        <v>0</v>
      </c>
      <c r="AG28" s="304" t="str">
        <f t="shared" si="8"/>
        <v/>
      </c>
    </row>
    <row r="29" spans="1:33" ht="10.199999999999999" customHeight="1">
      <c r="A29" s="908" t="str">
        <f t="shared" si="10"/>
        <v/>
      </c>
      <c r="B29" s="765"/>
      <c r="C29" s="1354"/>
      <c r="D29" s="1354"/>
      <c r="E29" s="906"/>
      <c r="F29" s="879" t="str">
        <f>(IF(C29="","",E29*IF(G29="","",G29+IF(AND(H29="x",J29="x"),ROUNDDOWN(G29*tableaux!$C$3,0),IF(AND(H29="x",K29="x"),ROUNDDOWN(G29*tableaux!$C$4,0),IF(AND(I29="x",J29="x"),ROUNDDOWN(G29*tableaux!$F$3,0),IF(AND(I29="x",K29="x"),ROUNDDOWN(G29*tableaux!$F$4,0),IF(AND(I29="x",L29="x"),ROUNDDOWN(G29*tableaux!#REF!,0),0))))))))</f>
        <v/>
      </c>
      <c r="G29" s="650" t="str">
        <f>IF(C29="","",VLOOKUP(C29,Equipement!$A$125:$H$1361,5,FALSE))</f>
        <v/>
      </c>
      <c r="H29" s="650"/>
      <c r="I29" s="650"/>
      <c r="J29" s="650"/>
      <c r="K29" s="650"/>
      <c r="L29" s="650"/>
      <c r="M29" s="862" t="str">
        <f>IF(C29="","",E29*(IF(Y29="",0,IF($J29="X",Y29*10,IF($K29="X",Y29*3,IF($L29="X",ROUNDUP(Y29*0.5,0),Y29))))))</f>
        <v/>
      </c>
      <c r="N29" s="862" t="str">
        <f t="shared" si="1"/>
        <v/>
      </c>
      <c r="O29" s="1346" t="str">
        <f t="shared" si="2"/>
        <v/>
      </c>
      <c r="P29" s="1347"/>
      <c r="Q29" s="650"/>
      <c r="R29" s="650" t="str">
        <f t="shared" si="3"/>
        <v/>
      </c>
      <c r="S29" s="217"/>
      <c r="T29" s="1116"/>
      <c r="U29" s="1117"/>
      <c r="V29" s="1118"/>
      <c r="W29" s="217"/>
      <c r="X29" s="763" t="str">
        <f t="shared" si="4"/>
        <v/>
      </c>
      <c r="Y29" s="763" t="str">
        <f>IF(C29="","",VLOOKUP(C29,Equipement!$A:$H,2,FALSE))</f>
        <v/>
      </c>
      <c r="Z29" s="763" t="str">
        <f>IF(C29="","",VLOOKUP(C29,Equipement!$A:$H,3,FALSE))</f>
        <v/>
      </c>
      <c r="AA29" s="763" t="str">
        <f>IF(C29="","",VLOOKUP(C29,Equipement!$A:$H,4,FALSE))</f>
        <v/>
      </c>
      <c r="AB29" s="304"/>
      <c r="AC29" s="304" t="str">
        <f>IF(C29="","",VLOOKUP(C29,Equipement!$A$125:$H$1361,6,FALSE))</f>
        <v/>
      </c>
      <c r="AD29" s="304">
        <f t="shared" si="5"/>
        <v>0</v>
      </c>
      <c r="AE29" s="304">
        <f t="shared" si="6"/>
        <v>0</v>
      </c>
      <c r="AF29" s="304">
        <f t="shared" si="7"/>
        <v>0</v>
      </c>
      <c r="AG29" s="304" t="str">
        <f t="shared" si="8"/>
        <v/>
      </c>
    </row>
    <row r="30" spans="1:33" ht="10.199999999999999" customHeight="1">
      <c r="A30" s="908"/>
      <c r="B30" s="1355" t="s">
        <v>8797</v>
      </c>
      <c r="C30" s="1356"/>
      <c r="D30" s="1357"/>
      <c r="E30" s="217"/>
      <c r="F30" s="217"/>
      <c r="G30" s="217"/>
      <c r="H30" s="217"/>
      <c r="I30" s="217"/>
      <c r="J30" s="217"/>
      <c r="K30" s="217"/>
      <c r="L30" s="217"/>
      <c r="M30" s="217"/>
      <c r="N30" s="217"/>
      <c r="O30" s="217"/>
      <c r="P30" s="217"/>
      <c r="Q30" s="217"/>
      <c r="R30" s="217"/>
      <c r="S30" s="217"/>
      <c r="T30" s="1116"/>
      <c r="U30" s="1117"/>
      <c r="V30" s="1118"/>
      <c r="W30" s="217"/>
      <c r="X30" s="763" t="str">
        <f t="shared" si="4"/>
        <v/>
      </c>
      <c r="Y30" s="763" t="str">
        <f>IF(C30="","",VLOOKUP(C30,Equipement!$A:$H,2,FALSE))</f>
        <v/>
      </c>
      <c r="Z30" s="763" t="str">
        <f>IF(C30="","",VLOOKUP(C30,Equipement!$A:$H,3,FALSE))</f>
        <v/>
      </c>
      <c r="AA30" s="763" t="str">
        <f>IF(C30="","",VLOOKUP(C30,Equipement!$A:$H,4,FALSE))</f>
        <v/>
      </c>
      <c r="AB30" s="304"/>
      <c r="AC30" s="304"/>
      <c r="AD30" s="304"/>
      <c r="AE30" s="304"/>
      <c r="AF30" s="304"/>
      <c r="AG30" s="304"/>
    </row>
    <row r="31" spans="1:33" ht="10.199999999999999" customHeight="1">
      <c r="A31" s="908">
        <f t="shared" ref="A31" si="11">IF(B31="A 2 Mains",1,IF(B31="A poudre",2,IF(B31="Arbalète",3,IF(B31="Arc Long",4,IF(B31="Cavalerie",5,IF(B31="De jet",6,IF(B31="Escrime",7,IF(B31="Exotique",8,IF(B31="Explosif",9,IF(B31="Fléaux",10,IF(B31="Lance-Pierre",11,IF(B31="Lourde",12,IF(B31="Mécanique",13,IF(B31="Ordinaire",14,IF(B31="Parade",15,IF(B31="Paralysante",16,IF(B31="Personnalisée",17,18)))))))))))))))))</f>
        <v>18</v>
      </c>
      <c r="B31" s="867" t="s">
        <v>8798</v>
      </c>
      <c r="C31" s="1383"/>
      <c r="D31" s="1384"/>
      <c r="E31" s="906"/>
      <c r="F31" s="879"/>
      <c r="G31" s="650" t="str">
        <f>IF(C31="","",IF(J31="X",VLOOKUP(C31,Armures!A2:L49,5,FALSE)/2,IF(L31="X",VLOOKUP(C31,Armures!A2:L49,5,FALSE)*1.5,IF(L31="X",VLOOKUP(C31,Armures!A2:L49,5,FALSE)*5,IF(K31="X",VLOOKUP(C31,Armures!A2:L49,5,FALSE)*0.9,VLOOKUP(C31,Armures!A2:L49,5,FALSE))))))</f>
        <v/>
      </c>
      <c r="H31" s="650"/>
      <c r="I31" s="650"/>
      <c r="J31" s="650"/>
      <c r="K31" s="650"/>
      <c r="L31" s="650"/>
      <c r="M31" s="862" t="str">
        <f>IF(C31="","",E31*(IF(Y31="",0,IF($J31="X",Y31*10,IF($K31="X",Y31*3,IF($L31="X",ROUNDUP(Y31*0.5,0),Y31))))))</f>
        <v/>
      </c>
      <c r="N31" s="862" t="str">
        <f t="shared" si="1"/>
        <v/>
      </c>
      <c r="O31" s="1346" t="str">
        <f t="shared" ref="O31" si="12">IF(C31="","",E31*(IF(AA31="",0,IF($J31="X",AA31*10,IF($K31="X",AA31*3,IF($L31="X",ROUNDUP(AA31*0.5,0),AA31))))))</f>
        <v/>
      </c>
      <c r="P31" s="1347"/>
      <c r="Q31" s="650"/>
      <c r="R31" s="650" t="str">
        <f t="shared" si="3"/>
        <v/>
      </c>
      <c r="S31" s="217"/>
      <c r="T31" s="1116"/>
      <c r="U31" s="1117"/>
      <c r="V31" s="1118"/>
      <c r="W31" s="217"/>
      <c r="X31" s="763" t="str">
        <f t="shared" si="4"/>
        <v/>
      </c>
      <c r="Y31" s="763" t="str">
        <f>IF(C31="","",VLOOKUP(C31,Armures!A:L,2,FALSE))</f>
        <v/>
      </c>
      <c r="Z31" s="763" t="str">
        <f>IF(C31="","",VLOOKUP(C31,Armures!A:L,3,FALSE))</f>
        <v/>
      </c>
      <c r="AA31" s="763" t="str">
        <f>IF(C31="","",VLOOKUP(C31,Armures!A:L,4,FALSE))</f>
        <v/>
      </c>
      <c r="AB31" s="304"/>
      <c r="AC31" s="304" t="str">
        <f>IF(C31="","",VLOOKUP(C31,Armures!A2:K49,11,FALSE))</f>
        <v/>
      </c>
      <c r="AD31" s="304">
        <f t="shared" si="5"/>
        <v>0</v>
      </c>
      <c r="AE31" s="304">
        <f t="shared" si="6"/>
        <v>0</v>
      </c>
      <c r="AF31" s="304">
        <f t="shared" si="7"/>
        <v>0</v>
      </c>
      <c r="AG31" s="304" t="str">
        <f t="shared" si="8"/>
        <v/>
      </c>
    </row>
    <row r="32" spans="1:33" ht="10.199999999999999" customHeight="1">
      <c r="A32" s="908"/>
      <c r="B32" s="1367" t="s">
        <v>5311</v>
      </c>
      <c r="C32" s="1368"/>
      <c r="D32" s="1369"/>
      <c r="E32" s="217"/>
      <c r="F32" s="217">
        <f>(IF(B32="","",E32*IF(G32="","",G32+IF(AND(H32="x",J32="x"),ROUNDDOWN(G32*tableaux!$C$3,0),IF(AND(H32="x",K32="x"),ROUNDDOWN(G32*tableaux!$C$4,0),IF(AND(I32="x",J32="x"),ROUNDDOWN(G32*tableaux!$F$3,0),IF(AND(I32="x",K32="x"),ROUNDDOWN(G32*tableaux!$F$4,0),IF(AND(I32="x",L32="x"),ROUNDDOWN(G32*tableaux!#REF!,0),0))))))))</f>
        <v>0</v>
      </c>
      <c r="G32" s="654">
        <v>0</v>
      </c>
      <c r="H32" s="217"/>
      <c r="I32" s="217"/>
      <c r="J32" s="217"/>
      <c r="K32" s="217"/>
      <c r="L32" s="217"/>
      <c r="M32" s="217"/>
      <c r="N32" s="217"/>
      <c r="O32" s="217"/>
      <c r="P32" s="217"/>
      <c r="Q32" s="217"/>
      <c r="R32" s="217"/>
      <c r="S32" s="217"/>
      <c r="T32" s="1116"/>
      <c r="U32" s="1117"/>
      <c r="V32" s="1118"/>
      <c r="W32" s="217"/>
      <c r="X32" s="763" t="str">
        <f>IF($Q32="sur moi",$F32,"")</f>
        <v/>
      </c>
      <c r="Y32" s="763" t="str">
        <f>IF(C32="","",VLOOKUP(C32,Equipement!$A:$H,2,FALSE))</f>
        <v/>
      </c>
      <c r="Z32" s="763" t="str">
        <f>IF(C32="","",VLOOKUP(C32,Equipement!$A:$H,3,FALSE))</f>
        <v/>
      </c>
      <c r="AA32" s="763" t="str">
        <f>IF(C32="","",VLOOKUP(C32,Equipement!$A:$H,4,FALSE))</f>
        <v/>
      </c>
      <c r="AB32" s="304"/>
      <c r="AC32" s="304" t="str">
        <f>IF(C32="","",VLOOKUP(C32,Equipement!$A$125:$H$1361,6,FALSE))</f>
        <v/>
      </c>
      <c r="AD32" s="304"/>
      <c r="AE32" s="304"/>
      <c r="AF32" s="304"/>
      <c r="AG32" s="304" t="str">
        <f t="shared" si="8"/>
        <v/>
      </c>
    </row>
    <row r="33" spans="1:33" ht="10.199999999999999" customHeight="1">
      <c r="A33" s="908">
        <f>IF(B33="A 2 Mains",1,IF(B33="A poudre",2,IF(B33="Arbalète",3,IF(B33="Arc Long",4,IF(B33="Cavalerie",5,IF(B33="De jet",6,IF(B33="Escrime",7,IF(B33="Exotique",8,IF(B33="Explosif",9,IF(B33="Fléaux",10,IF(B33="Lance-Pierre",11,IF(B33="Lourde",12,IF(B33="Mécanique",13,IF(B33="Ordinaire",14,IF(B33="Parade",15,IF(B33="Paralysante",16,IF(B33="Personnalisée",17,18)))))))))))))))))</f>
        <v>18</v>
      </c>
      <c r="B33" s="765"/>
      <c r="C33" s="1354"/>
      <c r="D33" s="1354"/>
      <c r="E33" s="906"/>
      <c r="F33" s="879" t="str">
        <f>(IF(C33="","",E33*IF(G33="","",G33+IF(AND(H33="x",J33="x"),ROUNDDOWN(G33*tableaux!$C$3,0),IF(AND(H33="x",K33="x"),ROUNDDOWN(G33*tableaux!$C$4,0),IF(AND(I33="x",J33="x"),ROUNDDOWN(G33*tableaux!$F$3,0),IF(AND(I33="x",K33="x"),ROUNDDOWN(G33*tableaux!$F$4,0),IF(AND(I33="x",L33="x"),ROUNDDOWN(G33*tableaux!#REF!,0),0))))))))</f>
        <v/>
      </c>
      <c r="G33" s="650" t="str">
        <f>IF(C33="","",IF(OR(J33="X",K33="X"),VLOOKUP(C33,Armes!$A$2:$N$128,13,FALSE)-VLOOKUP(C33,Armes!$A$2:$N$128,13,FALSE)/10,VLOOKUP(C33,Armes!$A$2:$N$128,13,FALSE)))</f>
        <v/>
      </c>
      <c r="H33" s="650"/>
      <c r="I33" s="650"/>
      <c r="J33" s="650"/>
      <c r="K33" s="650"/>
      <c r="L33" s="650"/>
      <c r="M33" s="862" t="str">
        <f>IF(C33="","",E33*(IF(Y33="",0,IF($J33="X",Y33*10,IF($K33="X",Y33*3,IF($L33="X",ROUNDUP(Y33*0.5,0),Y33))))))</f>
        <v/>
      </c>
      <c r="N33" s="862" t="str">
        <f t="shared" si="1"/>
        <v/>
      </c>
      <c r="O33" s="1346" t="str">
        <f t="shared" si="2"/>
        <v/>
      </c>
      <c r="P33" s="1347"/>
      <c r="Q33" s="650"/>
      <c r="R33" s="650" t="str">
        <f t="shared" si="3"/>
        <v/>
      </c>
      <c r="S33" s="217"/>
      <c r="T33" s="1116"/>
      <c r="U33" s="1117"/>
      <c r="V33" s="1118"/>
      <c r="W33" s="217"/>
      <c r="X33" s="763" t="str">
        <f t="shared" si="4"/>
        <v/>
      </c>
      <c r="Y33" s="763" t="str">
        <f>IF(C33="","",VLOOKUP(C33,Equipement!$A:$H,2,FALSE))</f>
        <v/>
      </c>
      <c r="Z33" s="763" t="str">
        <f>IF(C33="","",VLOOKUP(C33,Equipement!$A:$H,3,FALSE))</f>
        <v/>
      </c>
      <c r="AA33" s="763" t="str">
        <f>IF(C33="","",VLOOKUP(C33,Equipement!$A:$H,4,FALSE))</f>
        <v/>
      </c>
      <c r="AB33" s="304"/>
      <c r="AC33" s="304" t="str">
        <f>IF(C33="","",VLOOKUP(C33,Armes!$A$2:$N$128,14,FALSE))</f>
        <v/>
      </c>
      <c r="AD33" s="304">
        <f t="shared" si="5"/>
        <v>0</v>
      </c>
      <c r="AE33" s="304">
        <f t="shared" si="6"/>
        <v>0</v>
      </c>
      <c r="AF33" s="304">
        <f t="shared" si="7"/>
        <v>0</v>
      </c>
      <c r="AG33" s="304" t="str">
        <f t="shared" si="8"/>
        <v/>
      </c>
    </row>
    <row r="34" spans="1:33" ht="10.199999999999999" customHeight="1">
      <c r="A34" s="908">
        <f t="shared" ref="A34:A35" si="13">IF(B34="A 2 Mains",1,IF(B34="A poudre",2,IF(B34="Arbalète",3,IF(B34="Arc Long",4,IF(B34="Cavalerie",5,IF(B34="De jet",6,IF(B34="Escrime",7,IF(B34="Exotique",8,IF(B34="Explosif",9,IF(B34="Fléaux",10,IF(B34="Lance-Pierre",11,IF(B34="Lourde",12,IF(B34="Mécanique",13,IF(B34="Ordinaire",14,IF(B34="Parade",15,IF(B34="Paralysante",16,IF(B34="Personnalisée",17,18)))))))))))))))))</f>
        <v>18</v>
      </c>
      <c r="B34" s="765"/>
      <c r="C34" s="1354"/>
      <c r="D34" s="1358"/>
      <c r="E34" s="830"/>
      <c r="F34" s="862" t="str">
        <f>(IF(C34="","",E34*IF(G34="","",G34+IF(AND(H34="x",J34="x"),ROUNDDOWN(G34*tableaux!$C$3,0),IF(AND(H34="x",K34="x"),ROUNDDOWN(G34*tableaux!$C$4,0),IF(AND(I34="x",J34="x"),ROUNDDOWN(G34*tableaux!$F$3,0),IF(AND(I34="x",K34="x"),ROUNDDOWN(G34*tableaux!$F$4,0),IF(AND(I34="x",L34="x"),ROUNDDOWN(G34*tableaux!#REF!,0),0))))))))</f>
        <v/>
      </c>
      <c r="G34" s="650" t="str">
        <f>IF(C34="","",IF(OR(J34="X",K34="X"),VLOOKUP(C34,Armes!$A$2:$N$128,13,FALSE)-VLOOKUP(C34,Armes!$A$2:$N$128,13,FALSE)/10,VLOOKUP(C34,Armes!$A$2:$N$128,13,FALSE)))</f>
        <v/>
      </c>
      <c r="H34" s="650"/>
      <c r="I34" s="650"/>
      <c r="J34" s="650"/>
      <c r="K34" s="650"/>
      <c r="L34" s="650"/>
      <c r="M34" s="862" t="str">
        <f>IF(C34="","",E34*(IF(Y34="",0,IF($J34="X",Y34*10,IF($K34="X",Y34*3,IF($L34="X",ROUNDUP(Y34*0.5,0),Y34))))))</f>
        <v/>
      </c>
      <c r="N34" s="862" t="str">
        <f t="shared" si="1"/>
        <v/>
      </c>
      <c r="O34" s="1346" t="str">
        <f t="shared" si="2"/>
        <v/>
      </c>
      <c r="P34" s="1347"/>
      <c r="Q34" s="650"/>
      <c r="R34" s="650" t="str">
        <f t="shared" si="3"/>
        <v/>
      </c>
      <c r="S34" s="217"/>
      <c r="T34" s="1116"/>
      <c r="U34" s="1117"/>
      <c r="V34" s="1118"/>
      <c r="W34" s="217"/>
      <c r="X34" s="763" t="str">
        <f t="shared" si="4"/>
        <v/>
      </c>
      <c r="Y34" s="763" t="str">
        <f>IF(C34="","",VLOOKUP(C34,Equipement!$A:$H,2,FALSE))</f>
        <v/>
      </c>
      <c r="Z34" s="763" t="str">
        <f>IF(C34="","",VLOOKUP(C34,Equipement!$A:$H,3,FALSE))</f>
        <v/>
      </c>
      <c r="AA34" s="763" t="str">
        <f>IF(C34="","",VLOOKUP(C34,Equipement!$A:$H,4,FALSE))</f>
        <v/>
      </c>
      <c r="AB34" s="304"/>
      <c r="AC34" s="304" t="str">
        <f>IF(C34="","",VLOOKUP(C34,Armes!$A$2:$N$128,14,FALSE))</f>
        <v/>
      </c>
      <c r="AD34" s="304">
        <f t="shared" si="5"/>
        <v>0</v>
      </c>
      <c r="AE34" s="304">
        <f t="shared" si="6"/>
        <v>0</v>
      </c>
      <c r="AF34" s="304">
        <f t="shared" si="7"/>
        <v>0</v>
      </c>
      <c r="AG34" s="304" t="str">
        <f t="shared" si="8"/>
        <v/>
      </c>
    </row>
    <row r="35" spans="1:33" ht="10.199999999999999" customHeight="1">
      <c r="A35" s="908">
        <f t="shared" si="13"/>
        <v>18</v>
      </c>
      <c r="B35" s="765"/>
      <c r="C35" s="1354"/>
      <c r="D35" s="1358"/>
      <c r="E35" s="830"/>
      <c r="F35" s="862" t="str">
        <f>(IF(C35="","",E35*IF(G35="","",G35+IF(AND(H35="x",J35="x"),ROUNDDOWN(G35*tableaux!$C$3,0),IF(AND(H35="x",K35="x"),ROUNDDOWN(G35*tableaux!$C$4,0),IF(AND(I35="x",J35="x"),ROUNDDOWN(G35*tableaux!$F$3,0),IF(AND(I35="x",K35="x"),ROUNDDOWN(G35*tableaux!$F$4,0),IF(AND(I35="x",L35="x"),ROUNDDOWN(G35*tableaux!#REF!,0),0))))))))</f>
        <v/>
      </c>
      <c r="G35" s="650" t="str">
        <f>IF(C35="","",IF(OR(J35="X",K35="X"),VLOOKUP(C35,Armes!$A$2:$N$128,13,FALSE)-VLOOKUP(C35,Armes!$A$2:$N$128,13,FALSE)/10,VLOOKUP(C35,Armes!$A$2:$N$128,13,FALSE)))</f>
        <v/>
      </c>
      <c r="H35" s="650"/>
      <c r="I35" s="650"/>
      <c r="J35" s="650"/>
      <c r="K35" s="650"/>
      <c r="L35" s="650"/>
      <c r="M35" s="862" t="str">
        <f>IF(C35="","",E35*(IF(Y35="",0,IF($J35="X",Y35*10,IF($K35="X",Y35*3,IF($L35="X",ROUNDUP(Y35*0.5,0),Y35))))))</f>
        <v/>
      </c>
      <c r="N35" s="862" t="str">
        <f t="shared" si="1"/>
        <v/>
      </c>
      <c r="O35" s="1346" t="str">
        <f t="shared" si="2"/>
        <v/>
      </c>
      <c r="P35" s="1347"/>
      <c r="Q35" s="650"/>
      <c r="R35" s="650" t="str">
        <f t="shared" si="3"/>
        <v/>
      </c>
      <c r="S35" s="217"/>
      <c r="T35" s="1116"/>
      <c r="U35" s="1117"/>
      <c r="V35" s="1118"/>
      <c r="W35" s="217"/>
      <c r="X35" s="763" t="str">
        <f t="shared" si="4"/>
        <v/>
      </c>
      <c r="Y35" s="763" t="str">
        <f>IF(C35="","",VLOOKUP(C35,Equipement!$A:$H,2,FALSE))</f>
        <v/>
      </c>
      <c r="Z35" s="763" t="str">
        <f>IF(C35="","",VLOOKUP(C35,Equipement!$A:$H,3,FALSE))</f>
        <v/>
      </c>
      <c r="AA35" s="763" t="str">
        <f>IF(C35="","",VLOOKUP(C35,Equipement!$A:$H,4,FALSE))</f>
        <v/>
      </c>
      <c r="AB35" s="304"/>
      <c r="AC35" s="304" t="str">
        <f>IF(C35="","",VLOOKUP(C35,Armes!$A$2:$N$128,14,FALSE))</f>
        <v/>
      </c>
      <c r="AD35" s="304">
        <f t="shared" si="5"/>
        <v>0</v>
      </c>
      <c r="AE35" s="304">
        <f t="shared" si="6"/>
        <v>0</v>
      </c>
      <c r="AF35" s="304">
        <f t="shared" si="7"/>
        <v>0</v>
      </c>
      <c r="AG35" s="304" t="str">
        <f t="shared" si="8"/>
        <v/>
      </c>
    </row>
    <row r="36" spans="1:33" ht="10.199999999999999" customHeight="1">
      <c r="A36" s="908"/>
      <c r="B36" s="217"/>
      <c r="C36" s="309" t="s">
        <v>374</v>
      </c>
      <c r="D36" s="1383"/>
      <c r="E36" s="1386"/>
      <c r="F36" s="862">
        <f>IF(G36="",0,IF(J36=0,0,ROUNDDOWN(G36*tableaux!$E$3,0)))</f>
        <v>0</v>
      </c>
      <c r="G36" s="862" t="str">
        <f>IF(D36="","",IF(R36&lt;1,1,R36))</f>
        <v/>
      </c>
      <c r="H36" s="862"/>
      <c r="I36" s="862"/>
      <c r="J36" s="650"/>
      <c r="K36" s="650"/>
      <c r="L36" s="650"/>
      <c r="M36" s="862" t="str">
        <f>IF(Y36="","",IF($J36="X",Y36*10,IF($K36="X",Y36*3,IF($L36="X",ROUNDUP(Y36*0.5,0),Y36))))</f>
        <v/>
      </c>
      <c r="N36" s="862" t="str">
        <f t="shared" ref="M36:O38" si="14">IF(Z36="","",IF($J36="X",Z36*10,IF($K36="X",Z36*3,IF($L36="X",ROUNDUP(Z36*0.5,0),Z36))))</f>
        <v/>
      </c>
      <c r="O36" s="1346" t="str">
        <f t="shared" si="14"/>
        <v/>
      </c>
      <c r="P36" s="1347"/>
      <c r="Q36" s="310" t="s">
        <v>373</v>
      </c>
      <c r="R36" s="908">
        <f>IF(J36="X",D36-(D36/10),D36)</f>
        <v>0</v>
      </c>
      <c r="S36" s="217"/>
      <c r="T36" s="1116"/>
      <c r="U36" s="1117"/>
      <c r="V36" s="1118"/>
      <c r="W36" s="217"/>
      <c r="AB36" s="304"/>
      <c r="AC36" s="304"/>
      <c r="AD36" s="304">
        <f t="shared" si="5"/>
        <v>0</v>
      </c>
      <c r="AE36" s="304">
        <f t="shared" si="6"/>
        <v>0</v>
      </c>
      <c r="AF36" s="304">
        <f t="shared" si="7"/>
        <v>0</v>
      </c>
      <c r="AG36" s="304" t="str">
        <f t="shared" si="8"/>
        <v/>
      </c>
    </row>
    <row r="37" spans="1:33" ht="10.199999999999999" customHeight="1">
      <c r="A37" s="908"/>
      <c r="B37" s="217"/>
      <c r="C37" s="309" t="s">
        <v>375</v>
      </c>
      <c r="D37" s="1383"/>
      <c r="E37" s="1386"/>
      <c r="F37" s="862">
        <f>IF(G37="",0,IF(J37=0,0,ROUNDDOWN(G37*tableaux!$E$3,0)))</f>
        <v>0</v>
      </c>
      <c r="G37" s="862">
        <f>IF(J37="X",((D37*2)-((D37*2)/10)),(D37*2))</f>
        <v>0</v>
      </c>
      <c r="H37" s="862"/>
      <c r="I37" s="862"/>
      <c r="J37" s="650"/>
      <c r="K37" s="650"/>
      <c r="L37" s="650"/>
      <c r="M37" s="862" t="str">
        <f>IF(Y37="","",IF($J37="X",Y37*10,IF($K37="X",Y37*3,IF($L37="X",ROUNDUP(Y37*0.5,0),Y37))))</f>
        <v/>
      </c>
      <c r="N37" s="862" t="str">
        <f t="shared" si="14"/>
        <v/>
      </c>
      <c r="O37" s="1346" t="str">
        <f t="shared" si="14"/>
        <v/>
      </c>
      <c r="P37" s="1347"/>
      <c r="Q37" s="310" t="s">
        <v>373</v>
      </c>
      <c r="R37" s="217"/>
      <c r="S37" s="217"/>
      <c r="T37" s="1116"/>
      <c r="U37" s="1117"/>
      <c r="V37" s="1118"/>
      <c r="W37" s="217"/>
      <c r="Z37" s="763" t="str">
        <f>IF(D37="","",ROUNDUP(D37*0.4,0))</f>
        <v/>
      </c>
      <c r="AB37" s="304"/>
      <c r="AC37" s="304"/>
      <c r="AD37" s="304"/>
      <c r="AE37" s="304"/>
      <c r="AF37" s="304"/>
      <c r="AG37" s="304"/>
    </row>
    <row r="38" spans="1:33" ht="10.199999999999999" customHeight="1">
      <c r="A38" s="908"/>
      <c r="B38" s="217"/>
      <c r="C38" s="309" t="s">
        <v>376</v>
      </c>
      <c r="D38" s="1383"/>
      <c r="E38" s="1386"/>
      <c r="F38" s="862">
        <f>IF(G38="",0,IF(J38=0,0,ROUNDDOWN(G38*tableaux!$E$3,0)))</f>
        <v>0</v>
      </c>
      <c r="G38" s="862">
        <f>IF(J38="X",((D38*2)-((D38*2)/10)),(D38*2))</f>
        <v>0</v>
      </c>
      <c r="H38" s="862"/>
      <c r="I38" s="862"/>
      <c r="J38" s="650"/>
      <c r="K38" s="650"/>
      <c r="L38" s="650"/>
      <c r="M38" s="862" t="str">
        <f t="shared" si="14"/>
        <v/>
      </c>
      <c r="N38" s="862" t="str">
        <f t="shared" si="14"/>
        <v/>
      </c>
      <c r="O38" s="1346" t="str">
        <f t="shared" si="14"/>
        <v/>
      </c>
      <c r="P38" s="1347"/>
      <c r="Q38" s="310" t="s">
        <v>373</v>
      </c>
      <c r="R38" s="217"/>
      <c r="S38" s="217"/>
      <c r="T38" s="1116"/>
      <c r="U38" s="1117"/>
      <c r="V38" s="1118"/>
      <c r="W38" s="217"/>
      <c r="AA38" s="763" t="str">
        <f>IF(D38="","",ROUNDUP(D38*2.4,0))</f>
        <v/>
      </c>
      <c r="AB38" s="304"/>
      <c r="AC38" s="304"/>
      <c r="AD38" s="304"/>
      <c r="AE38" s="304"/>
      <c r="AF38" s="304"/>
      <c r="AG38" s="304"/>
    </row>
    <row r="39" spans="1:33" ht="10.199999999999999" customHeight="1">
      <c r="A39" s="908"/>
      <c r="B39" s="217"/>
      <c r="C39" s="1337" t="s">
        <v>4931</v>
      </c>
      <c r="D39" s="1385"/>
      <c r="E39" s="1338"/>
      <c r="F39" s="862"/>
      <c r="G39" s="862">
        <f>SUM(X8:X31)+SUM(X33:X35)+ROUNDDOWN((SUM('page 3'!M3:O3)/10)+SUM(E46:E49),0)</f>
        <v>48</v>
      </c>
      <c r="H39" s="862"/>
      <c r="I39" s="862"/>
      <c r="J39" s="1362" t="s">
        <v>4932</v>
      </c>
      <c r="K39" s="1363"/>
      <c r="L39" s="1364"/>
      <c r="M39" s="862">
        <f>SUM(M8:M31)+SUM(M33:M38)</f>
        <v>9</v>
      </c>
      <c r="N39" s="862">
        <f>SUM(N8:N31)+SUM(N33:N38)</f>
        <v>6</v>
      </c>
      <c r="O39" s="1346">
        <f>SUM(O8:O31)+SUM(O33:O38)</f>
        <v>0</v>
      </c>
      <c r="P39" s="1347"/>
      <c r="Q39" s="311">
        <f>G39+'page 1'!M41+'page 1'!M54-G3+49</f>
        <v>97</v>
      </c>
      <c r="R39" s="217"/>
      <c r="S39" s="217"/>
      <c r="T39" s="1382"/>
      <c r="U39" s="1120"/>
      <c r="V39" s="1121"/>
      <c r="W39" s="217"/>
      <c r="AB39" s="304"/>
      <c r="AC39" s="304"/>
      <c r="AD39" s="304"/>
      <c r="AE39" s="304"/>
      <c r="AF39" s="304"/>
      <c r="AG39" s="304"/>
    </row>
    <row r="40" spans="1:33" ht="10.199999999999999" customHeight="1">
      <c r="A40" s="908"/>
      <c r="B40" s="217"/>
      <c r="C40" s="1365" t="s">
        <v>15946</v>
      </c>
      <c r="D40" s="1366"/>
      <c r="E40" s="866">
        <f>(-1)*IF((ROUNDDOWN(('page 3'!Q39/50),0))&gt;=0,ROUNDDOWN(('page 3'!Q39/50),0),0)+IF(Gestion!W107&gt;0,1,0)</f>
        <v>-1</v>
      </c>
      <c r="F40" s="217"/>
      <c r="G40" s="217"/>
      <c r="H40" s="217"/>
      <c r="I40" s="217"/>
      <c r="J40" s="217"/>
      <c r="K40" s="217"/>
      <c r="L40" s="217"/>
      <c r="M40" s="217"/>
      <c r="N40" s="217"/>
      <c r="O40" s="217"/>
      <c r="P40" s="217"/>
      <c r="Q40" s="217"/>
      <c r="R40" s="217"/>
      <c r="S40" s="217"/>
      <c r="T40" s="217"/>
      <c r="U40" s="217"/>
      <c r="V40" s="217"/>
      <c r="W40" s="217"/>
    </row>
    <row r="41" spans="1:33" ht="10.199999999999999" customHeight="1">
      <c r="A41" s="217"/>
      <c r="B41" s="217"/>
      <c r="C41" s="217"/>
      <c r="D41" s="217"/>
      <c r="E41" s="217"/>
      <c r="F41" s="217"/>
      <c r="G41" s="863" t="s">
        <v>16518</v>
      </c>
      <c r="H41" s="217"/>
      <c r="I41" s="217"/>
      <c r="J41" s="650">
        <f>(30-E-IF(SelectRace="Elfe",20,IF(SelectRace="Nain",-10,IF(SelectRace="Halfling",-20,IF(SelectRace="Homme-bête",-10,IF(SelectRace="Peau-verte",-30,IF(SelectRace="Homme-lézard",40,IF(SelectRace="Créature du Chaos",20,IF(SelectRace="Skaven",40,IF(SelectRace="Vampire",40,0))))))))))</f>
        <v>30</v>
      </c>
      <c r="K41" s="1370" t="s">
        <v>16616</v>
      </c>
      <c r="L41" s="1371"/>
      <c r="M41" s="1371"/>
      <c r="N41" s="1371"/>
      <c r="O41" s="1371"/>
      <c r="P41" s="1371"/>
      <c r="Q41" s="1371"/>
      <c r="R41" s="1371"/>
      <c r="S41" s="217"/>
      <c r="T41" s="217"/>
      <c r="U41" s="217"/>
      <c r="V41" s="217"/>
      <c r="W41" s="217"/>
    </row>
    <row r="42" spans="1:33" ht="10.199999999999999" customHeight="1">
      <c r="A42" s="217"/>
      <c r="B42" s="217"/>
      <c r="C42" s="217"/>
      <c r="D42" s="217"/>
      <c r="E42" s="217"/>
      <c r="F42" s="217"/>
      <c r="G42" s="863" t="s">
        <v>16519</v>
      </c>
      <c r="H42" s="217"/>
      <c r="I42" s="217"/>
      <c r="J42" s="650">
        <f>(20-E-IF(SelectRace="Elfe",20,IF(SelectRace="Nain",-30,IF(SelectRace="Halfling",20,IF(SelectRace="Homme-bête",-10,IF(SelectRace="Peau-verte",-10,IF(SelectRace="Homme-lézard",30,IF(SelectRace="Créature du Chaos",20,IF(SelectRace="Skaven",40,IF(SelectRace="Vampire",-40,0))))))))))</f>
        <v>20</v>
      </c>
      <c r="K42" s="1370" t="s">
        <v>17591</v>
      </c>
      <c r="L42" s="1371"/>
      <c r="M42" s="1371"/>
      <c r="N42" s="1371"/>
      <c r="O42" s="1371"/>
      <c r="P42" s="1371"/>
      <c r="Q42" s="1371"/>
      <c r="R42" s="1371"/>
      <c r="S42" s="217"/>
      <c r="T42" s="217"/>
      <c r="U42" s="217"/>
      <c r="V42" s="217"/>
      <c r="W42" s="217"/>
    </row>
    <row r="43" spans="1:33" ht="10.199999999999999" customHeight="1">
      <c r="A43" s="217"/>
      <c r="B43" s="217"/>
      <c r="C43" s="217"/>
      <c r="D43" s="217"/>
      <c r="E43" s="217"/>
      <c r="F43" s="217"/>
      <c r="G43" s="217"/>
      <c r="H43" s="217"/>
      <c r="I43" s="217"/>
      <c r="J43" s="217"/>
      <c r="K43" s="217"/>
      <c r="L43" s="217"/>
      <c r="M43" s="217"/>
      <c r="N43" s="217"/>
      <c r="O43" s="217"/>
      <c r="P43" s="217"/>
      <c r="Q43" s="217"/>
      <c r="R43" s="217"/>
      <c r="S43" s="217"/>
      <c r="T43" s="217"/>
      <c r="U43" s="217"/>
      <c r="V43" s="217"/>
      <c r="W43" s="217"/>
    </row>
    <row r="44" spans="1:33" ht="15.6">
      <c r="A44" s="217"/>
      <c r="B44" s="1323" t="s">
        <v>9448</v>
      </c>
      <c r="C44" s="1323"/>
      <c r="D44" s="1323"/>
      <c r="E44" s="1323"/>
      <c r="F44" s="1323"/>
      <c r="G44" s="1323"/>
      <c r="H44" s="1323"/>
      <c r="I44" s="1323"/>
      <c r="J44" s="1323"/>
      <c r="K44" s="1323"/>
      <c r="L44" s="1323"/>
      <c r="M44" s="1323"/>
      <c r="N44" s="1323"/>
      <c r="O44" s="217"/>
      <c r="P44" s="217"/>
      <c r="Q44" s="217"/>
      <c r="R44" s="217"/>
      <c r="S44" s="217"/>
      <c r="T44" s="217"/>
      <c r="U44" s="217"/>
      <c r="V44" s="217"/>
      <c r="W44" s="217"/>
    </row>
    <row r="45" spans="1:33">
      <c r="A45" s="217"/>
      <c r="B45" s="1348" t="s">
        <v>367</v>
      </c>
      <c r="C45" s="1349"/>
      <c r="D45" s="1350"/>
      <c r="E45" s="568" t="s">
        <v>11153</v>
      </c>
      <c r="F45" s="307"/>
      <c r="G45" s="570" t="s">
        <v>4930</v>
      </c>
      <c r="H45" s="312"/>
      <c r="I45" s="307" t="s">
        <v>4374</v>
      </c>
      <c r="J45" s="1374" t="s">
        <v>4374</v>
      </c>
      <c r="K45" s="1375"/>
      <c r="L45" s="1375"/>
      <c r="M45" s="1375"/>
      <c r="N45" s="1375"/>
      <c r="O45" s="1375"/>
      <c r="P45" s="1375"/>
      <c r="Q45" s="1375"/>
      <c r="R45" s="1376"/>
      <c r="S45" s="1348" t="s">
        <v>4352</v>
      </c>
      <c r="T45" s="1350"/>
      <c r="U45" s="217"/>
      <c r="V45" s="217"/>
      <c r="W45" s="217"/>
    </row>
    <row r="46" spans="1:33" ht="10.199999999999999" customHeight="1">
      <c r="A46" s="217"/>
      <c r="B46" s="1351"/>
      <c r="C46" s="1352"/>
      <c r="D46" s="1353"/>
      <c r="E46" s="862" t="str">
        <f>IF(B46="","",VLOOKUP(B46,'Obj.Magiques et Rituels'!$A:$E,2,FALSE))</f>
        <v/>
      </c>
      <c r="F46" s="569"/>
      <c r="G46" s="864" t="str">
        <f>IF(B46="","",VLOOKUP(B46,'Obj.Magiques et Rituels'!$A:$E,3,FALSE))</f>
        <v/>
      </c>
      <c r="H46" s="865"/>
      <c r="I46" s="865"/>
      <c r="J46" s="1377" t="str">
        <f>IF(B46="","",VLOOKUP(B46,'Obj.Magiques et Rituels'!$A:$E,4,FALSE))</f>
        <v/>
      </c>
      <c r="K46" s="1377"/>
      <c r="L46" s="1377"/>
      <c r="M46" s="1377"/>
      <c r="N46" s="1377"/>
      <c r="O46" s="1377"/>
      <c r="P46" s="1377"/>
      <c r="Q46" s="1377"/>
      <c r="R46" s="1378"/>
      <c r="S46" s="1372" t="str">
        <f>IF(B46="","",VLOOKUP(B46,'Obj.Magiques et Rituels'!A:EF,5,FALSE))</f>
        <v/>
      </c>
      <c r="T46" s="1373"/>
      <c r="U46" s="217"/>
      <c r="V46" s="217"/>
      <c r="W46" s="217"/>
    </row>
    <row r="47" spans="1:33" ht="10.199999999999999" customHeight="1">
      <c r="A47" s="217"/>
      <c r="B47" s="1359"/>
      <c r="C47" s="1360"/>
      <c r="D47" s="1361"/>
      <c r="E47" s="862" t="str">
        <f>IF(B47="","",VLOOKUP(B47,'Obj.Magiques et Rituels'!$A:$E,2,FALSE))</f>
        <v/>
      </c>
      <c r="F47" s="313"/>
      <c r="G47" s="864" t="str">
        <f>IF(B47="","",VLOOKUP(B47,'Obj.Magiques et Rituels'!$A:$E,3,FALSE))</f>
        <v/>
      </c>
      <c r="H47" s="309"/>
      <c r="I47" s="314" t="str">
        <f>IF(C47="","",VLOOKUP(C47,'Obj.Magiques et Rituels'!$A:$E,3,FALSE))</f>
        <v/>
      </c>
      <c r="J47" s="1346" t="str">
        <f>IF(B47="","",VLOOKUP(B47,'Obj.Magiques et Rituels'!$A:$E,4,FALSE))</f>
        <v/>
      </c>
      <c r="K47" s="1377"/>
      <c r="L47" s="1377"/>
      <c r="M47" s="1377"/>
      <c r="N47" s="1377"/>
      <c r="O47" s="1377"/>
      <c r="P47" s="1377"/>
      <c r="Q47" s="1377"/>
      <c r="R47" s="1378"/>
      <c r="S47" s="1372" t="str">
        <f>IF(B47="","",VLOOKUP(B47,'Obj.Magiques et Rituels'!A:EF,5,FALSE))</f>
        <v/>
      </c>
      <c r="T47" s="1373"/>
      <c r="U47" s="217"/>
      <c r="V47" s="217"/>
      <c r="W47" s="217"/>
    </row>
    <row r="48" spans="1:33" ht="10.199999999999999" customHeight="1">
      <c r="A48" s="217"/>
      <c r="B48" s="1359"/>
      <c r="C48" s="1360"/>
      <c r="D48" s="1361"/>
      <c r="E48" s="862" t="str">
        <f>IF(B48="","",VLOOKUP(B48,'Obj.Magiques et Rituels'!$A:$E,2,FALSE))</f>
        <v/>
      </c>
      <c r="F48" s="313"/>
      <c r="G48" s="864" t="str">
        <f>IF(B48="","",VLOOKUP(B48,'Obj.Magiques et Rituels'!$A:$E,3,FALSE))</f>
        <v/>
      </c>
      <c r="H48" s="309"/>
      <c r="I48" s="314" t="str">
        <f>IF(C48="","",VLOOKUP(C48,'Obj.Magiques et Rituels'!$A:$E,3,FALSE))</f>
        <v/>
      </c>
      <c r="J48" s="1346" t="str">
        <f>IF(B48="","",VLOOKUP(B48,'Obj.Magiques et Rituels'!$A:$E,4,FALSE))</f>
        <v/>
      </c>
      <c r="K48" s="1377"/>
      <c r="L48" s="1377"/>
      <c r="M48" s="1377"/>
      <c r="N48" s="1377"/>
      <c r="O48" s="1377"/>
      <c r="P48" s="1377"/>
      <c r="Q48" s="1377"/>
      <c r="R48" s="1378"/>
      <c r="S48" s="1372" t="str">
        <f>IF(B48="","",VLOOKUP(B48,'Obj.Magiques et Rituels'!A:EF,5,FALSE))</f>
        <v/>
      </c>
      <c r="T48" s="1373"/>
      <c r="U48" s="217"/>
      <c r="V48" s="217"/>
      <c r="W48" s="217"/>
    </row>
    <row r="49" spans="1:23" ht="10.199999999999999" customHeight="1">
      <c r="A49" s="217"/>
      <c r="B49" s="1359"/>
      <c r="C49" s="1360"/>
      <c r="D49" s="1361"/>
      <c r="E49" s="862" t="str">
        <f>IF(B49="","",VLOOKUP(B49,'Obj.Magiques et Rituels'!$A:$E,2,FALSE))</f>
        <v/>
      </c>
      <c r="F49" s="313"/>
      <c r="G49" s="864" t="str">
        <f>IF(B49="","",VLOOKUP(B49,'Obj.Magiques et Rituels'!$A:$E,3,FALSE))</f>
        <v/>
      </c>
      <c r="H49" s="309"/>
      <c r="I49" s="314" t="str">
        <f>IF(C49="","",VLOOKUP(C49,'Obj.Magiques et Rituels'!$A:$E,3,FALSE))</f>
        <v/>
      </c>
      <c r="J49" s="1346" t="str">
        <f>IF(B49="","",VLOOKUP(B49,'Obj.Magiques et Rituels'!$A:$E,4,FALSE))</f>
        <v/>
      </c>
      <c r="K49" s="1377"/>
      <c r="L49" s="1377"/>
      <c r="M49" s="1377"/>
      <c r="N49" s="1377"/>
      <c r="O49" s="1377"/>
      <c r="P49" s="1377"/>
      <c r="Q49" s="1377"/>
      <c r="R49" s="1378"/>
      <c r="S49" s="1372" t="str">
        <f>IF(B49="","",VLOOKUP(B49,'Obj.Magiques et Rituels'!A:EF,5,FALSE))</f>
        <v/>
      </c>
      <c r="T49" s="1373"/>
      <c r="U49" s="217"/>
      <c r="V49" s="217"/>
      <c r="W49" s="217"/>
    </row>
    <row r="50" spans="1:23">
      <c r="A50" s="217"/>
      <c r="B50" s="217"/>
      <c r="C50" s="217"/>
      <c r="D50" s="217"/>
      <c r="E50" s="217"/>
      <c r="F50" s="217"/>
      <c r="G50" s="217"/>
      <c r="H50" s="217"/>
      <c r="I50" s="217"/>
      <c r="J50" s="217"/>
      <c r="K50" s="217"/>
      <c r="L50" s="217"/>
      <c r="M50" s="217"/>
      <c r="N50" s="217"/>
      <c r="O50" s="217"/>
      <c r="P50" s="217"/>
      <c r="Q50" s="217"/>
      <c r="R50" s="217"/>
      <c r="S50" s="217"/>
      <c r="T50" s="217"/>
      <c r="U50" s="217"/>
      <c r="V50" s="217"/>
      <c r="W50" s="217"/>
    </row>
  </sheetData>
  <dataConsolidate/>
  <mergeCells count="110">
    <mergeCell ref="U3:V3"/>
    <mergeCell ref="N3:N4"/>
    <mergeCell ref="C9:D9"/>
    <mergeCell ref="J6:L6"/>
    <mergeCell ref="Q2:Q3"/>
    <mergeCell ref="M6:P6"/>
    <mergeCell ref="O17:P17"/>
    <mergeCell ref="C13:D13"/>
    <mergeCell ref="C14:D14"/>
    <mergeCell ref="C17:D17"/>
    <mergeCell ref="O16:P16"/>
    <mergeCell ref="O11:P11"/>
    <mergeCell ref="G6:G7"/>
    <mergeCell ref="C6:D7"/>
    <mergeCell ref="E6:E7"/>
    <mergeCell ref="O12:P12"/>
    <mergeCell ref="O13:P13"/>
    <mergeCell ref="O14:P14"/>
    <mergeCell ref="C11:D11"/>
    <mergeCell ref="C10:D10"/>
    <mergeCell ref="Q6:Q7"/>
    <mergeCell ref="T20:V21"/>
    <mergeCell ref="C20:D20"/>
    <mergeCell ref="C21:D21"/>
    <mergeCell ref="O21:P21"/>
    <mergeCell ref="O7:P7"/>
    <mergeCell ref="O8:P8"/>
    <mergeCell ref="O9:P9"/>
    <mergeCell ref="C2:E3"/>
    <mergeCell ref="M3:M4"/>
    <mergeCell ref="C8:D8"/>
    <mergeCell ref="R2:S2"/>
    <mergeCell ref="R3:S3"/>
    <mergeCell ref="R4:S4"/>
    <mergeCell ref="L2:L3"/>
    <mergeCell ref="K3:K4"/>
    <mergeCell ref="U4:V4"/>
    <mergeCell ref="U2:V2"/>
    <mergeCell ref="G3:G4"/>
    <mergeCell ref="O3:O4"/>
    <mergeCell ref="T7:V8"/>
    <mergeCell ref="C5:D5"/>
    <mergeCell ref="M5:O5"/>
    <mergeCell ref="T9:V17"/>
    <mergeCell ref="R6:R7"/>
    <mergeCell ref="T22:V39"/>
    <mergeCell ref="C31:D31"/>
    <mergeCell ref="C33:D33"/>
    <mergeCell ref="C34:D34"/>
    <mergeCell ref="C35:D35"/>
    <mergeCell ref="C39:E39"/>
    <mergeCell ref="D36:E36"/>
    <mergeCell ref="D37:E37"/>
    <mergeCell ref="D38:E38"/>
    <mergeCell ref="O39:P39"/>
    <mergeCell ref="O38:P38"/>
    <mergeCell ref="C22:D22"/>
    <mergeCell ref="C23:D23"/>
    <mergeCell ref="C24:D24"/>
    <mergeCell ref="O23:P23"/>
    <mergeCell ref="B25:D25"/>
    <mergeCell ref="O26:P26"/>
    <mergeCell ref="O29:P29"/>
    <mergeCell ref="O22:P22"/>
    <mergeCell ref="S45:T45"/>
    <mergeCell ref="S46:T46"/>
    <mergeCell ref="S47:T47"/>
    <mergeCell ref="S48:T48"/>
    <mergeCell ref="S49:T49"/>
    <mergeCell ref="J45:R45"/>
    <mergeCell ref="J46:R46"/>
    <mergeCell ref="J47:R47"/>
    <mergeCell ref="J48:R48"/>
    <mergeCell ref="J49:R49"/>
    <mergeCell ref="B47:D47"/>
    <mergeCell ref="B48:D48"/>
    <mergeCell ref="B49:D49"/>
    <mergeCell ref="J39:L39"/>
    <mergeCell ref="O36:P36"/>
    <mergeCell ref="O37:P37"/>
    <mergeCell ref="C40:D40"/>
    <mergeCell ref="O31:P31"/>
    <mergeCell ref="O33:P33"/>
    <mergeCell ref="B32:D32"/>
    <mergeCell ref="K41:R41"/>
    <mergeCell ref="K42:R42"/>
    <mergeCell ref="B6:B7"/>
    <mergeCell ref="O34:P34"/>
    <mergeCell ref="O35:P35"/>
    <mergeCell ref="B44:N44"/>
    <mergeCell ref="B45:D45"/>
    <mergeCell ref="B46:D46"/>
    <mergeCell ref="C29:D29"/>
    <mergeCell ref="C26:D26"/>
    <mergeCell ref="C27:D27"/>
    <mergeCell ref="B30:D30"/>
    <mergeCell ref="C19:D19"/>
    <mergeCell ref="O27:P27"/>
    <mergeCell ref="O28:P28"/>
    <mergeCell ref="C28:D28"/>
    <mergeCell ref="O24:P24"/>
    <mergeCell ref="C12:D12"/>
    <mergeCell ref="O19:P19"/>
    <mergeCell ref="O20:P20"/>
    <mergeCell ref="C18:D18"/>
    <mergeCell ref="O18:P18"/>
    <mergeCell ref="O10:P10"/>
    <mergeCell ref="C15:D15"/>
    <mergeCell ref="C16:D16"/>
    <mergeCell ref="O15:P15"/>
  </mergeCells>
  <conditionalFormatting sqref="G36:G38">
    <cfRule type="cellIs" dxfId="1231" priority="338" operator="equal">
      <formula>0</formula>
    </cfRule>
  </conditionalFormatting>
  <conditionalFormatting sqref="B46:B49">
    <cfRule type="cellIs" dxfId="1230" priority="336" operator="equal">
      <formula>""</formula>
    </cfRule>
  </conditionalFormatting>
  <conditionalFormatting sqref="C1:I1 B43:N43 F40:N40 B40:B42 L1:W1 F41:F42 H41:I42">
    <cfRule type="expression" dxfId="1229" priority="326">
      <formula>SelectRace="Vampire"</formula>
    </cfRule>
    <cfRule type="expression" dxfId="1228" priority="327">
      <formula>SelectRace="Skaven"</formula>
    </cfRule>
    <cfRule type="expression" dxfId="1227" priority="328">
      <formula>SelectRace="Peau-Verte"</formula>
    </cfRule>
    <cfRule type="expression" dxfId="1226" priority="329">
      <formula>SelectRace="Homme-lézard"</formula>
    </cfRule>
    <cfRule type="expression" dxfId="1225" priority="330">
      <formula>SelectRace="Homme-bête"</formula>
    </cfRule>
    <cfRule type="expression" dxfId="1224" priority="331">
      <formula>SelectRace="Halfling"</formula>
    </cfRule>
    <cfRule type="expression" dxfId="1223" priority="332">
      <formula>SelectRace="Elfe"</formula>
    </cfRule>
    <cfRule type="expression" dxfId="1222" priority="333">
      <formula>SelectRace="Créature du chaos"</formula>
    </cfRule>
    <cfRule type="expression" dxfId="1221" priority="334">
      <formula>SelectRace="Nain"</formula>
    </cfRule>
    <cfRule type="expression" dxfId="1220" priority="335">
      <formula>SelectRace=“Humain“</formula>
    </cfRule>
  </conditionalFormatting>
  <conditionalFormatting sqref="J5:K5 J2:J4">
    <cfRule type="expression" dxfId="1219" priority="316">
      <formula>SelectRace="Vampire"</formula>
    </cfRule>
    <cfRule type="expression" dxfId="1218" priority="317">
      <formula>SelectRace="Skaven"</formula>
    </cfRule>
    <cfRule type="expression" dxfId="1217" priority="318">
      <formula>SelectRace="Peau-Verte"</formula>
    </cfRule>
    <cfRule type="expression" dxfId="1216" priority="319">
      <formula>SelectRace="Homme-lézard"</formula>
    </cfRule>
    <cfRule type="expression" dxfId="1215" priority="320">
      <formula>SelectRace="Homme-bête"</formula>
    </cfRule>
    <cfRule type="expression" dxfId="1214" priority="321">
      <formula>SelectRace="Halfling"</formula>
    </cfRule>
    <cfRule type="expression" dxfId="1213" priority="322">
      <formula>SelectRace="Elfe"</formula>
    </cfRule>
    <cfRule type="expression" dxfId="1212" priority="323">
      <formula>SelectRace="Créature du chaos"</formula>
    </cfRule>
    <cfRule type="expression" dxfId="1211" priority="324">
      <formula>SelectRace="Nain"</formula>
    </cfRule>
    <cfRule type="expression" dxfId="1210" priority="325">
      <formula>SelectRace=“Humain“</formula>
    </cfRule>
  </conditionalFormatting>
  <conditionalFormatting sqref="B36:B39">
    <cfRule type="expression" dxfId="1209" priority="76">
      <formula>SelectRace="Vampire"</formula>
    </cfRule>
    <cfRule type="expression" dxfId="1208" priority="77">
      <formula>SelectRace="Skaven"</formula>
    </cfRule>
    <cfRule type="expression" dxfId="1207" priority="78">
      <formula>SelectRace="Peau-Verte"</formula>
    </cfRule>
    <cfRule type="expression" dxfId="1206" priority="79">
      <formula>SelectRace="Homme-lézard"</formula>
    </cfRule>
    <cfRule type="expression" dxfId="1205" priority="80">
      <formula>SelectRace="Homme-bête"</formula>
    </cfRule>
    <cfRule type="expression" dxfId="1204" priority="81">
      <formula>SelectRace="Halfling"</formula>
    </cfRule>
    <cfRule type="expression" dxfId="1203" priority="82">
      <formula>SelectRace="Elfe"</formula>
    </cfRule>
    <cfRule type="expression" dxfId="1202" priority="83">
      <formula>SelectRace="Créature du chaos"</formula>
    </cfRule>
    <cfRule type="expression" dxfId="1201" priority="84">
      <formula>SelectRace="Nain"</formula>
    </cfRule>
    <cfRule type="expression" dxfId="1200" priority="85">
      <formula>SelectRace=“Humain“</formula>
    </cfRule>
  </conditionalFormatting>
  <conditionalFormatting sqref="W2:W18 W20:W50">
    <cfRule type="expression" dxfId="1199" priority="306">
      <formula>SelectRace="Vampire"</formula>
    </cfRule>
    <cfRule type="expression" dxfId="1198" priority="307">
      <formula>SelectRace="Skaven"</formula>
    </cfRule>
    <cfRule type="expression" dxfId="1197" priority="308">
      <formula>SelectRace="Peau-Verte"</formula>
    </cfRule>
    <cfRule type="expression" dxfId="1196" priority="309">
      <formula>SelectRace="Homme-lézard"</formula>
    </cfRule>
    <cfRule type="expression" dxfId="1195" priority="310">
      <formula>SelectRace="Homme-bête"</formula>
    </cfRule>
    <cfRule type="expression" dxfId="1194" priority="311">
      <formula>SelectRace="Halfling"</formula>
    </cfRule>
    <cfRule type="expression" dxfId="1193" priority="312">
      <formula>SelectRace="Elfe"</formula>
    </cfRule>
    <cfRule type="expression" dxfId="1192" priority="313">
      <formula>SelectRace="Créature du chaos"</formula>
    </cfRule>
    <cfRule type="expression" dxfId="1191" priority="314">
      <formula>SelectRace="Nain"</formula>
    </cfRule>
    <cfRule type="expression" dxfId="1190" priority="315">
      <formula>SelectRace=“Humain“</formula>
    </cfRule>
  </conditionalFormatting>
  <conditionalFormatting sqref="S5:V5 T6:V6">
    <cfRule type="expression" dxfId="1189" priority="296">
      <formula>SelectRace="Vampire"</formula>
    </cfRule>
    <cfRule type="expression" dxfId="1188" priority="297">
      <formula>SelectRace="Skaven"</formula>
    </cfRule>
    <cfRule type="expression" dxfId="1187" priority="298">
      <formula>SelectRace="Peau-Verte"</formula>
    </cfRule>
    <cfRule type="expression" dxfId="1186" priority="299">
      <formula>SelectRace="Homme-lézard"</formula>
    </cfRule>
    <cfRule type="expression" dxfId="1185" priority="300">
      <formula>SelectRace="Homme-bête"</formula>
    </cfRule>
    <cfRule type="expression" dxfId="1184" priority="301">
      <formula>SelectRace="Halfling"</formula>
    </cfRule>
    <cfRule type="expression" dxfId="1183" priority="302">
      <formula>SelectRace="Elfe"</formula>
    </cfRule>
    <cfRule type="expression" dxfId="1182" priority="303">
      <formula>SelectRace="Créature du chaos"</formula>
    </cfRule>
    <cfRule type="expression" dxfId="1181" priority="304">
      <formula>SelectRace="Nain"</formula>
    </cfRule>
    <cfRule type="expression" dxfId="1180" priority="305">
      <formula>SelectRace=“Humain“</formula>
    </cfRule>
  </conditionalFormatting>
  <conditionalFormatting sqref="L5 Q5:R5">
    <cfRule type="expression" dxfId="1179" priority="286">
      <formula>SelectRace="Vampire"</formula>
    </cfRule>
    <cfRule type="expression" dxfId="1178" priority="287">
      <formula>SelectRace="Skaven"</formula>
    </cfRule>
    <cfRule type="expression" dxfId="1177" priority="288">
      <formula>SelectRace="Peau-Verte"</formula>
    </cfRule>
    <cfRule type="expression" dxfId="1176" priority="289">
      <formula>SelectRace="Homme-lézard"</formula>
    </cfRule>
    <cfRule type="expression" dxfId="1175" priority="290">
      <formula>SelectRace="Homme-bête"</formula>
    </cfRule>
    <cfRule type="expression" dxfId="1174" priority="291">
      <formula>SelectRace="Halfling"</formula>
    </cfRule>
    <cfRule type="expression" dxfId="1173" priority="292">
      <formula>SelectRace="Elfe"</formula>
    </cfRule>
    <cfRule type="expression" dxfId="1172" priority="293">
      <formula>SelectRace="Créature du chaos"</formula>
    </cfRule>
    <cfRule type="expression" dxfId="1171" priority="294">
      <formula>SelectRace="Nain"</formula>
    </cfRule>
    <cfRule type="expression" dxfId="1170" priority="295">
      <formula>SelectRace=“Humain“</formula>
    </cfRule>
  </conditionalFormatting>
  <conditionalFormatting sqref="P2:P5">
    <cfRule type="expression" dxfId="1169" priority="276">
      <formula>SelectRace="Vampire"</formula>
    </cfRule>
    <cfRule type="expression" dxfId="1168" priority="277">
      <formula>SelectRace="Skaven"</formula>
    </cfRule>
    <cfRule type="expression" dxfId="1167" priority="278">
      <formula>SelectRace="Peau-Verte"</formula>
    </cfRule>
    <cfRule type="expression" dxfId="1166" priority="279">
      <formula>SelectRace="Homme-lézard"</formula>
    </cfRule>
    <cfRule type="expression" dxfId="1165" priority="280">
      <formula>SelectRace="Homme-bête"</formula>
    </cfRule>
    <cfRule type="expression" dxfId="1164" priority="281">
      <formula>SelectRace="Halfling"</formula>
    </cfRule>
    <cfRule type="expression" dxfId="1163" priority="282">
      <formula>SelectRace="Elfe"</formula>
    </cfRule>
    <cfRule type="expression" dxfId="1162" priority="283">
      <formula>SelectRace="Créature du chaos"</formula>
    </cfRule>
    <cfRule type="expression" dxfId="1161" priority="284">
      <formula>SelectRace="Nain"</formula>
    </cfRule>
    <cfRule type="expression" dxfId="1160" priority="285">
      <formula>SelectRace=“Humain“</formula>
    </cfRule>
  </conditionalFormatting>
  <conditionalFormatting sqref="Q4">
    <cfRule type="expression" dxfId="1159" priority="266">
      <formula>SelectRace="Vampire"</formula>
    </cfRule>
    <cfRule type="expression" dxfId="1158" priority="267">
      <formula>SelectRace="Skaven"</formula>
    </cfRule>
    <cfRule type="expression" dxfId="1157" priority="268">
      <formula>SelectRace="Peau-Verte"</formula>
    </cfRule>
    <cfRule type="expression" dxfId="1156" priority="269">
      <formula>SelectRace="Homme-lézard"</formula>
    </cfRule>
    <cfRule type="expression" dxfId="1155" priority="270">
      <formula>SelectRace="Homme-bête"</formula>
    </cfRule>
    <cfRule type="expression" dxfId="1154" priority="271">
      <formula>SelectRace="Halfling"</formula>
    </cfRule>
    <cfRule type="expression" dxfId="1153" priority="272">
      <formula>SelectRace="Elfe"</formula>
    </cfRule>
    <cfRule type="expression" dxfId="1152" priority="273">
      <formula>SelectRace="Créature du chaos"</formula>
    </cfRule>
    <cfRule type="expression" dxfId="1151" priority="274">
      <formula>SelectRace="Nain"</formula>
    </cfRule>
    <cfRule type="expression" dxfId="1150" priority="275">
      <formula>SelectRace=“Humain“</formula>
    </cfRule>
  </conditionalFormatting>
  <conditionalFormatting sqref="L4">
    <cfRule type="expression" dxfId="1149" priority="256">
      <formula>SelectRace="Vampire"</formula>
    </cfRule>
    <cfRule type="expression" dxfId="1148" priority="257">
      <formula>SelectRace="Skaven"</formula>
    </cfRule>
    <cfRule type="expression" dxfId="1147" priority="258">
      <formula>SelectRace="Peau-Verte"</formula>
    </cfRule>
    <cfRule type="expression" dxfId="1146" priority="259">
      <formula>SelectRace="Homme-lézard"</formula>
    </cfRule>
    <cfRule type="expression" dxfId="1145" priority="260">
      <formula>SelectRace="Homme-bête"</formula>
    </cfRule>
    <cfRule type="expression" dxfId="1144" priority="261">
      <formula>SelectRace="Halfling"</formula>
    </cfRule>
    <cfRule type="expression" dxfId="1143" priority="262">
      <formula>SelectRace="Elfe"</formula>
    </cfRule>
    <cfRule type="expression" dxfId="1142" priority="263">
      <formula>SelectRace="Créature du chaos"</formula>
    </cfRule>
    <cfRule type="expression" dxfId="1141" priority="264">
      <formula>SelectRace="Nain"</formula>
    </cfRule>
    <cfRule type="expression" dxfId="1140" priority="265">
      <formula>SelectRace=“Humain“</formula>
    </cfRule>
  </conditionalFormatting>
  <conditionalFormatting sqref="B5 F5:G5">
    <cfRule type="expression" dxfId="1139" priority="246">
      <formula>SelectRace="Vampire"</formula>
    </cfRule>
    <cfRule type="expression" dxfId="1138" priority="247">
      <formula>SelectRace="Skaven"</formula>
    </cfRule>
    <cfRule type="expression" dxfId="1137" priority="248">
      <formula>SelectRace="Peau-Verte"</formula>
    </cfRule>
    <cfRule type="expression" dxfId="1136" priority="249">
      <formula>SelectRace="Homme-lézard"</formula>
    </cfRule>
    <cfRule type="expression" dxfId="1135" priority="250">
      <formula>SelectRace="Homme-bête"</formula>
    </cfRule>
    <cfRule type="expression" dxfId="1134" priority="251">
      <formula>SelectRace="Halfling"</formula>
    </cfRule>
    <cfRule type="expression" dxfId="1133" priority="252">
      <formula>SelectRace="Elfe"</formula>
    </cfRule>
    <cfRule type="expression" dxfId="1132" priority="253">
      <formula>SelectRace="Créature du chaos"</formula>
    </cfRule>
    <cfRule type="expression" dxfId="1131" priority="254">
      <formula>SelectRace="Nain"</formula>
    </cfRule>
    <cfRule type="expression" dxfId="1130" priority="255">
      <formula>SelectRace=“Humain“</formula>
    </cfRule>
  </conditionalFormatting>
  <conditionalFormatting sqref="A1:B4">
    <cfRule type="expression" dxfId="1129" priority="236">
      <formula>SelectRace="Vampire"</formula>
    </cfRule>
    <cfRule type="expression" dxfId="1128" priority="237">
      <formula>SelectRace="Skaven"</formula>
    </cfRule>
    <cfRule type="expression" dxfId="1127" priority="238">
      <formula>SelectRace="Peau-Verte"</formula>
    </cfRule>
    <cfRule type="expression" dxfId="1126" priority="239">
      <formula>SelectRace="Homme-lézard"</formula>
    </cfRule>
    <cfRule type="expression" dxfId="1125" priority="240">
      <formula>SelectRace="Homme-bête"</formula>
    </cfRule>
    <cfRule type="expression" dxfId="1124" priority="241">
      <formula>SelectRace="Halfling"</formula>
    </cfRule>
    <cfRule type="expression" dxfId="1123" priority="242">
      <formula>SelectRace="Elfe"</formula>
    </cfRule>
    <cfRule type="expression" dxfId="1122" priority="243">
      <formula>SelectRace="Créature du chaos"</formula>
    </cfRule>
    <cfRule type="expression" dxfId="1121" priority="244">
      <formula>SelectRace="Nain"</formula>
    </cfRule>
    <cfRule type="expression" dxfId="1120" priority="245">
      <formula>SelectRace=“Humain“</formula>
    </cfRule>
  </conditionalFormatting>
  <conditionalFormatting sqref="C4:E4">
    <cfRule type="expression" dxfId="1119" priority="226">
      <formula>SelectRace="Vampire"</formula>
    </cfRule>
    <cfRule type="expression" dxfId="1118" priority="227">
      <formula>SelectRace="Skaven"</formula>
    </cfRule>
    <cfRule type="expression" dxfId="1117" priority="228">
      <formula>SelectRace="Peau-Verte"</formula>
    </cfRule>
    <cfRule type="expression" dxfId="1116" priority="229">
      <formula>SelectRace="Homme-lézard"</formula>
    </cfRule>
    <cfRule type="expression" dxfId="1115" priority="230">
      <formula>SelectRace="Homme-bête"</formula>
    </cfRule>
    <cfRule type="expression" dxfId="1114" priority="231">
      <formula>SelectRace="Halfling"</formula>
    </cfRule>
    <cfRule type="expression" dxfId="1113" priority="232">
      <formula>SelectRace="Elfe"</formula>
    </cfRule>
    <cfRule type="expression" dxfId="1112" priority="233">
      <formula>SelectRace="Créature du chaos"</formula>
    </cfRule>
    <cfRule type="expression" dxfId="1111" priority="234">
      <formula>SelectRace="Nain"</formula>
    </cfRule>
    <cfRule type="expression" dxfId="1110" priority="235">
      <formula>SelectRace=“Humain“</formula>
    </cfRule>
  </conditionalFormatting>
  <conditionalFormatting sqref="A5:A50">
    <cfRule type="expression" dxfId="1109" priority="216">
      <formula>SelectRace="Vampire"</formula>
    </cfRule>
    <cfRule type="expression" dxfId="1108" priority="217">
      <formula>SelectRace="Skaven"</formula>
    </cfRule>
    <cfRule type="expression" dxfId="1107" priority="218">
      <formula>SelectRace="Peau-Verte"</formula>
    </cfRule>
    <cfRule type="expression" dxfId="1106" priority="219">
      <formula>SelectRace="Homme-lézard"</formula>
    </cfRule>
    <cfRule type="expression" dxfId="1105" priority="220">
      <formula>SelectRace="Homme-bête"</formula>
    </cfRule>
    <cfRule type="expression" dxfId="1104" priority="221">
      <formula>SelectRace="Halfling"</formula>
    </cfRule>
    <cfRule type="expression" dxfId="1103" priority="222">
      <formula>SelectRace="Elfe"</formula>
    </cfRule>
    <cfRule type="expression" dxfId="1102" priority="223">
      <formula>SelectRace="Créature du chaos"</formula>
    </cfRule>
    <cfRule type="expression" dxfId="1101" priority="224">
      <formula>SelectRace="Nain"</formula>
    </cfRule>
    <cfRule type="expression" dxfId="1100" priority="225">
      <formula>SelectRace=“Humain“</formula>
    </cfRule>
  </conditionalFormatting>
  <conditionalFormatting sqref="E30:R30">
    <cfRule type="expression" dxfId="1099" priority="206">
      <formula>SelectRace="Vampire"</formula>
    </cfRule>
    <cfRule type="expression" dxfId="1098" priority="207">
      <formula>SelectRace="Skaven"</formula>
    </cfRule>
    <cfRule type="expression" dxfId="1097" priority="208">
      <formula>SelectRace="Peau-Verte"</formula>
    </cfRule>
    <cfRule type="expression" dxfId="1096" priority="209">
      <formula>SelectRace="Homme-lézard"</formula>
    </cfRule>
    <cfRule type="expression" dxfId="1095" priority="210">
      <formula>SelectRace="Homme-bête"</formula>
    </cfRule>
    <cfRule type="expression" dxfId="1094" priority="211">
      <formula>SelectRace="Halfling"</formula>
    </cfRule>
    <cfRule type="expression" dxfId="1093" priority="212">
      <formula>SelectRace="Elfe"</formula>
    </cfRule>
    <cfRule type="expression" dxfId="1092" priority="213">
      <formula>SelectRace="Créature du chaos"</formula>
    </cfRule>
    <cfRule type="expression" dxfId="1091" priority="214">
      <formula>SelectRace="Nain"</formula>
    </cfRule>
    <cfRule type="expression" dxfId="1090" priority="215">
      <formula>SelectRace=“Humain“</formula>
    </cfRule>
  </conditionalFormatting>
  <conditionalFormatting sqref="E32:R32">
    <cfRule type="expression" dxfId="1089" priority="196">
      <formula>SelectRace="Vampire"</formula>
    </cfRule>
    <cfRule type="expression" dxfId="1088" priority="197">
      <formula>SelectRace="Skaven"</formula>
    </cfRule>
    <cfRule type="expression" dxfId="1087" priority="198">
      <formula>SelectRace="Peau-Verte"</formula>
    </cfRule>
    <cfRule type="expression" dxfId="1086" priority="199">
      <formula>SelectRace="Homme-lézard"</formula>
    </cfRule>
    <cfRule type="expression" dxfId="1085" priority="200">
      <formula>SelectRace="Homme-bête"</formula>
    </cfRule>
    <cfRule type="expression" dxfId="1084" priority="201">
      <formula>SelectRace="Halfling"</formula>
    </cfRule>
    <cfRule type="expression" dxfId="1083" priority="202">
      <formula>SelectRace="Elfe"</formula>
    </cfRule>
    <cfRule type="expression" dxfId="1082" priority="203">
      <formula>SelectRace="Créature du chaos"</formula>
    </cfRule>
    <cfRule type="expression" dxfId="1081" priority="204">
      <formula>SelectRace="Nain"</formula>
    </cfRule>
    <cfRule type="expression" dxfId="1080" priority="205">
      <formula>SelectRace=“Humain“</formula>
    </cfRule>
  </conditionalFormatting>
  <conditionalFormatting sqref="S6:S24 S50 S26:S44">
    <cfRule type="expression" dxfId="1079" priority="186">
      <formula>SelectRace="Vampire"</formula>
    </cfRule>
    <cfRule type="expression" dxfId="1078" priority="187">
      <formula>SelectRace="Skaven"</formula>
    </cfRule>
    <cfRule type="expression" dxfId="1077" priority="188">
      <formula>SelectRace="Peau-Verte"</formula>
    </cfRule>
    <cfRule type="expression" dxfId="1076" priority="189">
      <formula>SelectRace="Homme-lézard"</formula>
    </cfRule>
    <cfRule type="expression" dxfId="1075" priority="190">
      <formula>SelectRace="Homme-bête"</formula>
    </cfRule>
    <cfRule type="expression" dxfId="1074" priority="191">
      <formula>SelectRace="Halfling"</formula>
    </cfRule>
    <cfRule type="expression" dxfId="1073" priority="192">
      <formula>SelectRace="Elfe"</formula>
    </cfRule>
    <cfRule type="expression" dxfId="1072" priority="193">
      <formula>SelectRace="Créature du chaos"</formula>
    </cfRule>
    <cfRule type="expression" dxfId="1071" priority="194">
      <formula>SelectRace="Nain"</formula>
    </cfRule>
    <cfRule type="expression" dxfId="1070" priority="195">
      <formula>SelectRace=“Humain“</formula>
    </cfRule>
  </conditionalFormatting>
  <conditionalFormatting sqref="T18">
    <cfRule type="expression" dxfId="1069" priority="176">
      <formula>SelectRace="Vampire"</formula>
    </cfRule>
    <cfRule type="expression" dxfId="1068" priority="177">
      <formula>SelectRace="Skaven"</formula>
    </cfRule>
    <cfRule type="expression" dxfId="1067" priority="178">
      <formula>SelectRace="Peau-Verte"</formula>
    </cfRule>
    <cfRule type="expression" dxfId="1066" priority="179">
      <formula>SelectRace="Homme-lézard"</formula>
    </cfRule>
    <cfRule type="expression" dxfId="1065" priority="180">
      <formula>SelectRace="Homme-bête"</formula>
    </cfRule>
    <cfRule type="expression" dxfId="1064" priority="181">
      <formula>SelectRace="Halfling"</formula>
    </cfRule>
    <cfRule type="expression" dxfId="1063" priority="182">
      <formula>SelectRace="Elfe"</formula>
    </cfRule>
    <cfRule type="expression" dxfId="1062" priority="183">
      <formula>SelectRace="Créature du chaos"</formula>
    </cfRule>
    <cfRule type="expression" dxfId="1061" priority="184">
      <formula>SelectRace="Nain"</formula>
    </cfRule>
    <cfRule type="expression" dxfId="1060" priority="185">
      <formula>SelectRace=“Humain“</formula>
    </cfRule>
  </conditionalFormatting>
  <conditionalFormatting sqref="T19:W19">
    <cfRule type="expression" dxfId="1059" priority="166">
      <formula>SelectRace="Vampire"</formula>
    </cfRule>
    <cfRule type="expression" dxfId="1058" priority="167">
      <formula>SelectRace="Skaven"</formula>
    </cfRule>
    <cfRule type="expression" dxfId="1057" priority="168">
      <formula>SelectRace="Peau-Verte"</formula>
    </cfRule>
    <cfRule type="expression" dxfId="1056" priority="169">
      <formula>SelectRace="Homme-lézard"</formula>
    </cfRule>
    <cfRule type="expression" dxfId="1055" priority="170">
      <formula>SelectRace="Homme-bête"</formula>
    </cfRule>
    <cfRule type="expression" dxfId="1054" priority="171">
      <formula>SelectRace="Halfling"</formula>
    </cfRule>
    <cfRule type="expression" dxfId="1053" priority="172">
      <formula>SelectRace="Elfe"</formula>
    </cfRule>
    <cfRule type="expression" dxfId="1052" priority="173">
      <formula>SelectRace="Créature du chaos"</formula>
    </cfRule>
    <cfRule type="expression" dxfId="1051" priority="174">
      <formula>SelectRace="Nain"</formula>
    </cfRule>
    <cfRule type="expression" dxfId="1050" priority="175">
      <formula>SelectRace=“Humain“</formula>
    </cfRule>
  </conditionalFormatting>
  <conditionalFormatting sqref="V18">
    <cfRule type="expression" dxfId="1049" priority="156">
      <formula>SelectRace="Vampire"</formula>
    </cfRule>
    <cfRule type="expression" dxfId="1048" priority="157">
      <formula>SelectRace="Skaven"</formula>
    </cfRule>
    <cfRule type="expression" dxfId="1047" priority="158">
      <formula>SelectRace="Peau-Verte"</formula>
    </cfRule>
    <cfRule type="expression" dxfId="1046" priority="159">
      <formula>SelectRace="Homme-lézard"</formula>
    </cfRule>
    <cfRule type="expression" dxfId="1045" priority="160">
      <formula>SelectRace="Homme-bête"</formula>
    </cfRule>
    <cfRule type="expression" dxfId="1044" priority="161">
      <formula>SelectRace="Halfling"</formula>
    </cfRule>
    <cfRule type="expression" dxfId="1043" priority="162">
      <formula>SelectRace="Elfe"</formula>
    </cfRule>
    <cfRule type="expression" dxfId="1042" priority="163">
      <formula>SelectRace="Créature du chaos"</formula>
    </cfRule>
    <cfRule type="expression" dxfId="1041" priority="164">
      <formula>SelectRace="Nain"</formula>
    </cfRule>
    <cfRule type="expression" dxfId="1040" priority="165">
      <formula>SelectRace=“Humain“</formula>
    </cfRule>
  </conditionalFormatting>
  <conditionalFormatting sqref="U18">
    <cfRule type="expression" dxfId="1039" priority="146">
      <formula>SelectRace="Vampire"</formula>
    </cfRule>
    <cfRule type="expression" dxfId="1038" priority="147">
      <formula>SelectRace="Skaven"</formula>
    </cfRule>
    <cfRule type="expression" dxfId="1037" priority="148">
      <formula>SelectRace="Peau-Verte"</formula>
    </cfRule>
    <cfRule type="expression" dxfId="1036" priority="149">
      <formula>SelectRace="Homme-lézard"</formula>
    </cfRule>
    <cfRule type="expression" dxfId="1035" priority="150">
      <formula>SelectRace="Homme-bête"</formula>
    </cfRule>
    <cfRule type="expression" dxfId="1034" priority="151">
      <formula>SelectRace="Halfling"</formula>
    </cfRule>
    <cfRule type="expression" dxfId="1033" priority="152">
      <formula>SelectRace="Elfe"</formula>
    </cfRule>
    <cfRule type="expression" dxfId="1032" priority="153">
      <formula>SelectRace="Créature du chaos"</formula>
    </cfRule>
    <cfRule type="expression" dxfId="1031" priority="154">
      <formula>SelectRace="Nain"</formula>
    </cfRule>
    <cfRule type="expression" dxfId="1030" priority="155">
      <formula>SelectRace=“Humain“</formula>
    </cfRule>
  </conditionalFormatting>
  <conditionalFormatting sqref="T40:V44 T50:V50 U45:V49">
    <cfRule type="expression" dxfId="1029" priority="136">
      <formula>SelectRace="Vampire"</formula>
    </cfRule>
    <cfRule type="expression" dxfId="1028" priority="137">
      <formula>SelectRace="Skaven"</formula>
    </cfRule>
    <cfRule type="expression" dxfId="1027" priority="138">
      <formula>SelectRace="Peau-Verte"</formula>
    </cfRule>
    <cfRule type="expression" dxfId="1026" priority="139">
      <formula>SelectRace="Homme-lézard"</formula>
    </cfRule>
    <cfRule type="expression" dxfId="1025" priority="140">
      <formula>SelectRace="Homme-bête"</formula>
    </cfRule>
    <cfRule type="expression" dxfId="1024" priority="141">
      <formula>SelectRace="Halfling"</formula>
    </cfRule>
    <cfRule type="expression" dxfId="1023" priority="142">
      <formula>SelectRace="Elfe"</formula>
    </cfRule>
    <cfRule type="expression" dxfId="1022" priority="143">
      <formula>SelectRace="Créature du chaos"</formula>
    </cfRule>
    <cfRule type="expression" dxfId="1021" priority="144">
      <formula>SelectRace="Nain"</formula>
    </cfRule>
    <cfRule type="expression" dxfId="1020" priority="145">
      <formula>SelectRace=“Humain“</formula>
    </cfRule>
  </conditionalFormatting>
  <conditionalFormatting sqref="B50:R50">
    <cfRule type="expression" dxfId="1019" priority="126">
      <formula>SelectRace="Vampire"</formula>
    </cfRule>
    <cfRule type="expression" dxfId="1018" priority="127">
      <formula>SelectRace="Skaven"</formula>
    </cfRule>
    <cfRule type="expression" dxfId="1017" priority="128">
      <formula>SelectRace="Peau-Verte"</formula>
    </cfRule>
    <cfRule type="expression" dxfId="1016" priority="129">
      <formula>SelectRace="Homme-lézard"</formula>
    </cfRule>
    <cfRule type="expression" dxfId="1015" priority="130">
      <formula>SelectRace="Homme-bête"</formula>
    </cfRule>
    <cfRule type="expression" dxfId="1014" priority="131">
      <formula>SelectRace="Halfling"</formula>
    </cfRule>
    <cfRule type="expression" dxfId="1013" priority="132">
      <formula>SelectRace="Elfe"</formula>
    </cfRule>
    <cfRule type="expression" dxfId="1012" priority="133">
      <formula>SelectRace="Créature du chaos"</formula>
    </cfRule>
    <cfRule type="expression" dxfId="1011" priority="134">
      <formula>SelectRace="Nain"</formula>
    </cfRule>
    <cfRule type="expression" dxfId="1010" priority="135">
      <formula>SelectRace=“Humain“</formula>
    </cfRule>
  </conditionalFormatting>
  <conditionalFormatting sqref="O44:R44">
    <cfRule type="expression" dxfId="1009" priority="116">
      <formula>SelectRace="Vampire"</formula>
    </cfRule>
    <cfRule type="expression" dxfId="1008" priority="117">
      <formula>SelectRace="Skaven"</formula>
    </cfRule>
    <cfRule type="expression" dxfId="1007" priority="118">
      <formula>SelectRace="Peau-Verte"</formula>
    </cfRule>
    <cfRule type="expression" dxfId="1006" priority="119">
      <formula>SelectRace="Homme-lézard"</formula>
    </cfRule>
    <cfRule type="expression" dxfId="1005" priority="120">
      <formula>SelectRace="Homme-bête"</formula>
    </cfRule>
    <cfRule type="expression" dxfId="1004" priority="121">
      <formula>SelectRace="Halfling"</formula>
    </cfRule>
    <cfRule type="expression" dxfId="1003" priority="122">
      <formula>SelectRace="Elfe"</formula>
    </cfRule>
    <cfRule type="expression" dxfId="1002" priority="123">
      <formula>SelectRace="Créature du chaos"</formula>
    </cfRule>
    <cfRule type="expression" dxfId="1001" priority="124">
      <formula>SelectRace="Nain"</formula>
    </cfRule>
    <cfRule type="expression" dxfId="1000" priority="125">
      <formula>SelectRace=“Humain“</formula>
    </cfRule>
  </conditionalFormatting>
  <conditionalFormatting sqref="O40:R40 O43:R43">
    <cfRule type="expression" dxfId="999" priority="106">
      <formula>SelectRace="Vampire"</formula>
    </cfRule>
    <cfRule type="expression" dxfId="998" priority="107">
      <formula>SelectRace="Skaven"</formula>
    </cfRule>
    <cfRule type="expression" dxfId="997" priority="108">
      <formula>SelectRace="Peau-Verte"</formula>
    </cfRule>
    <cfRule type="expression" dxfId="996" priority="109">
      <formula>SelectRace="Homme-lézard"</formula>
    </cfRule>
    <cfRule type="expression" dxfId="995" priority="110">
      <formula>SelectRace="Homme-bête"</formula>
    </cfRule>
    <cfRule type="expression" dxfId="994" priority="111">
      <formula>SelectRace="Halfling"</formula>
    </cfRule>
    <cfRule type="expression" dxfId="993" priority="112">
      <formula>SelectRace="Elfe"</formula>
    </cfRule>
    <cfRule type="expression" dxfId="992" priority="113">
      <formula>SelectRace="Créature du chaos"</formula>
    </cfRule>
    <cfRule type="expression" dxfId="991" priority="114">
      <formula>SelectRace="Nain"</formula>
    </cfRule>
    <cfRule type="expression" dxfId="990" priority="115">
      <formula>SelectRace=“Humain“</formula>
    </cfRule>
  </conditionalFormatting>
  <conditionalFormatting sqref="R36:R39">
    <cfRule type="expression" dxfId="989" priority="96">
      <formula>SelectRace="Vampire"</formula>
    </cfRule>
    <cfRule type="expression" dxfId="988" priority="97">
      <formula>SelectRace="Skaven"</formula>
    </cfRule>
    <cfRule type="expression" dxfId="987" priority="98">
      <formula>SelectRace="Peau-Verte"</formula>
    </cfRule>
    <cfRule type="expression" dxfId="986" priority="99">
      <formula>SelectRace="Homme-lézard"</formula>
    </cfRule>
    <cfRule type="expression" dxfId="985" priority="100">
      <formula>SelectRace="Homme-bête"</formula>
    </cfRule>
    <cfRule type="expression" dxfId="984" priority="101">
      <formula>SelectRace="Halfling"</formula>
    </cfRule>
    <cfRule type="expression" dxfId="983" priority="102">
      <formula>SelectRace="Elfe"</formula>
    </cfRule>
    <cfRule type="expression" dxfId="982" priority="103">
      <formula>SelectRace="Créature du chaos"</formula>
    </cfRule>
    <cfRule type="expression" dxfId="981" priority="104">
      <formula>SelectRace="Nain"</formula>
    </cfRule>
    <cfRule type="expression" dxfId="980" priority="105">
      <formula>SelectRace=“Humain“</formula>
    </cfRule>
  </conditionalFormatting>
  <conditionalFormatting sqref="E25:S25">
    <cfRule type="expression" dxfId="979" priority="56">
      <formula>SelectRace="Vampire"</formula>
    </cfRule>
    <cfRule type="expression" dxfId="978" priority="57">
      <formula>SelectRace="Skaven"</formula>
    </cfRule>
    <cfRule type="expression" dxfId="977" priority="58">
      <formula>SelectRace="Peau-Verte"</formula>
    </cfRule>
    <cfRule type="expression" dxfId="976" priority="59">
      <formula>SelectRace="Homme-lézard"</formula>
    </cfRule>
    <cfRule type="expression" dxfId="975" priority="60">
      <formula>SelectRace="Homme-bête"</formula>
    </cfRule>
    <cfRule type="expression" dxfId="974" priority="61">
      <formula>SelectRace="Halfling"</formula>
    </cfRule>
    <cfRule type="expression" dxfId="973" priority="62">
      <formula>SelectRace="Elfe"</formula>
    </cfRule>
    <cfRule type="expression" dxfId="972" priority="63">
      <formula>SelectRace="Créature du chaos"</formula>
    </cfRule>
    <cfRule type="expression" dxfId="971" priority="64">
      <formula>SelectRace="Nain"</formula>
    </cfRule>
    <cfRule type="expression" dxfId="970" priority="65">
      <formula>SelectRace=“Humain“</formula>
    </cfRule>
  </conditionalFormatting>
  <conditionalFormatting sqref="C31:D31">
    <cfRule type="cellIs" dxfId="969" priority="52" operator="equal">
      <formula>""</formula>
    </cfRule>
  </conditionalFormatting>
  <conditionalFormatting sqref="B26:C29">
    <cfRule type="cellIs" dxfId="968" priority="53" operator="equal">
      <formula>""</formula>
    </cfRule>
  </conditionalFormatting>
  <conditionalFormatting sqref="B33:C35">
    <cfRule type="cellIs" dxfId="967" priority="51" operator="equal">
      <formula>""</formula>
    </cfRule>
  </conditionalFormatting>
  <conditionalFormatting sqref="D36:E36">
    <cfRule type="cellIs" dxfId="966" priority="50" operator="equal">
      <formula>""</formula>
    </cfRule>
  </conditionalFormatting>
  <conditionalFormatting sqref="D37:E37">
    <cfRule type="cellIs" dxfId="965" priority="49" operator="equal">
      <formula>""</formula>
    </cfRule>
  </conditionalFormatting>
  <conditionalFormatting sqref="D38:E38">
    <cfRule type="cellIs" dxfId="964" priority="48" operator="equal">
      <formula>""</formula>
    </cfRule>
  </conditionalFormatting>
  <conditionalFormatting sqref="B9:B24">
    <cfRule type="cellIs" dxfId="963" priority="47" operator="equal">
      <formula>""</formula>
    </cfRule>
  </conditionalFormatting>
  <conditionalFormatting sqref="C9:C24">
    <cfRule type="cellIs" dxfId="962" priority="46" operator="equal">
      <formula>""</formula>
    </cfRule>
  </conditionalFormatting>
  <conditionalFormatting sqref="J1">
    <cfRule type="expression" dxfId="961" priority="25">
      <formula>SelectRace="Vampire"</formula>
    </cfRule>
    <cfRule type="expression" dxfId="960" priority="26">
      <formula>SelectRace="Skaven"</formula>
    </cfRule>
    <cfRule type="expression" dxfId="959" priority="27">
      <formula>SelectRace="Peau-Verte"</formula>
    </cfRule>
    <cfRule type="expression" dxfId="958" priority="28">
      <formula>SelectRace="Homme-lézard"</formula>
    </cfRule>
    <cfRule type="expression" dxfId="957" priority="29">
      <formula>SelectRace="Homme-bête"</formula>
    </cfRule>
    <cfRule type="expression" dxfId="956" priority="30">
      <formula>SelectRace="Halfling"</formula>
    </cfRule>
    <cfRule type="expression" dxfId="955" priority="31">
      <formula>SelectRace="Elfe"</formula>
    </cfRule>
    <cfRule type="expression" dxfId="954" priority="32">
      <formula>SelectRace="Créature du chaos"</formula>
    </cfRule>
    <cfRule type="expression" dxfId="953" priority="33">
      <formula>SelectRace="Nain"</formula>
    </cfRule>
    <cfRule type="expression" dxfId="952" priority="34">
      <formula>SelectRace=“Humain“</formula>
    </cfRule>
  </conditionalFormatting>
  <conditionalFormatting sqref="C41:E42">
    <cfRule type="expression" dxfId="951" priority="15">
      <formula>SelectRace="Vampire"</formula>
    </cfRule>
    <cfRule type="expression" dxfId="950" priority="16">
      <formula>SelectRace="Skaven"</formula>
    </cfRule>
    <cfRule type="expression" dxfId="949" priority="17">
      <formula>SelectRace="Peau-Verte"</formula>
    </cfRule>
    <cfRule type="expression" dxfId="948" priority="18">
      <formula>SelectRace="Homme-lézard"</formula>
    </cfRule>
    <cfRule type="expression" dxfId="947" priority="19">
      <formula>SelectRace="Homme-bête"</formula>
    </cfRule>
    <cfRule type="expression" dxfId="946" priority="20">
      <formula>SelectRace="Halfling"</formula>
    </cfRule>
    <cfRule type="expression" dxfId="945" priority="21">
      <formula>SelectRace="Elfe"</formula>
    </cfRule>
    <cfRule type="expression" dxfId="944" priority="22">
      <formula>SelectRace="Créature du chaos"</formula>
    </cfRule>
    <cfRule type="expression" dxfId="943" priority="23">
      <formula>SelectRace="Nain"</formula>
    </cfRule>
    <cfRule type="expression" dxfId="942" priority="24">
      <formula>SelectRace=“Humain“</formula>
    </cfRule>
  </conditionalFormatting>
  <conditionalFormatting sqref="K1:K3">
    <cfRule type="expression" dxfId="941" priority="5">
      <formula>SelectRace="Vampire"</formula>
    </cfRule>
    <cfRule type="expression" dxfId="940" priority="6">
      <formula>SelectRace="Skaven"</formula>
    </cfRule>
    <cfRule type="expression" dxfId="939" priority="7">
      <formula>SelectRace="Peau-Verte"</formula>
    </cfRule>
    <cfRule type="expression" dxfId="938" priority="8">
      <formula>SelectRace="Homme-lézard"</formula>
    </cfRule>
    <cfRule type="expression" dxfId="937" priority="9">
      <formula>SelectRace="Homme-bête"</formula>
    </cfRule>
    <cfRule type="expression" dxfId="936" priority="10">
      <formula>SelectRace="Halfling"</formula>
    </cfRule>
    <cfRule type="expression" dxfId="935" priority="11">
      <formula>SelectRace="Elfe"</formula>
    </cfRule>
    <cfRule type="expression" dxfId="934" priority="12">
      <formula>SelectRace="Créature du chaos"</formula>
    </cfRule>
    <cfRule type="expression" dxfId="933" priority="13">
      <formula>SelectRace="Nain"</formula>
    </cfRule>
  </conditionalFormatting>
  <conditionalFormatting sqref="E8:E24">
    <cfRule type="cellIs" dxfId="932" priority="4" operator="equal">
      <formula>""</formula>
    </cfRule>
  </conditionalFormatting>
  <conditionalFormatting sqref="E26:E29">
    <cfRule type="cellIs" dxfId="931" priority="3" operator="equal">
      <formula>""</formula>
    </cfRule>
  </conditionalFormatting>
  <conditionalFormatting sqref="E31">
    <cfRule type="cellIs" dxfId="930" priority="2" operator="equal">
      <formula>""</formula>
    </cfRule>
  </conditionalFormatting>
  <conditionalFormatting sqref="E33:E35">
    <cfRule type="cellIs" dxfId="929" priority="1" operator="equal">
      <formula>""</formula>
    </cfRule>
  </conditionalFormatting>
  <dataValidations count="16">
    <dataValidation type="list" allowBlank="1" showInputMessage="1" sqref="Q33:Q35 Q31 E30 R32 Q8:Q29" xr:uid="{00000000-0002-0000-0400-000000000000}">
      <formula1>localisation</formula1>
    </dataValidation>
    <dataValidation type="whole" allowBlank="1" showInputMessage="1" showErrorMessage="1" sqref="E33:E35 E31" xr:uid="{00000000-0002-0000-0400-000001000000}">
      <formula1>0</formula1>
      <formula2>999</formula2>
    </dataValidation>
    <dataValidation allowBlank="1" showInputMessage="1" sqref="Q32" xr:uid="{00000000-0002-0000-0400-000002000000}"/>
    <dataValidation type="list" allowBlank="1" showInputMessage="1" showErrorMessage="1" sqref="B8:B25" xr:uid="{00000000-0002-0000-0400-000003000000}">
      <formula1>Types_eq</formula1>
    </dataValidation>
    <dataValidation type="list" allowBlank="1" showInputMessage="1" showErrorMessage="1" sqref="R3:R4" xr:uid="{00000000-0002-0000-0400-000005000000}">
      <formula1>calcul_revenus</formula1>
    </dataValidation>
    <dataValidation type="list" allowBlank="1" showInputMessage="1" showErrorMessage="1" sqref="T3:T4" xr:uid="{00000000-0002-0000-0400-000006000000}">
      <formula1>qualité</formula1>
    </dataValidation>
    <dataValidation type="list" allowBlank="1" showInputMessage="1" showErrorMessage="1" sqref="B33:B35" xr:uid="{00000000-0002-0000-0400-000007000000}">
      <formula1>groupe_arme</formula1>
    </dataValidation>
    <dataValidation type="list" allowBlank="1" showInputMessage="1" showErrorMessage="1" sqref="F46:F49 B46:D49" xr:uid="{00000000-0002-0000-0400-000008000000}">
      <formula1>Objets_magiques</formula1>
    </dataValidation>
    <dataValidation type="list" allowBlank="1" showInputMessage="1" showErrorMessage="1" sqref="C8 C10:C24" xr:uid="{00000000-0002-0000-0400-000009000000}">
      <formula1>IF(A8=1,An,IF(A8=2,Ec,IF(A8=3,Er,IF(A8=4,Eq,IF(A8=5,MT,IF(A8=6,Mo,IF(A8=7,Mu,IF(A8=8,No,IF(A8=9,ou,IF(A8=10,po,IF(A8=11,PB,IF(A8=12,Pot,IF(A8=13,pr,IF(A8=14,re,IF(A8=15,rl,IF(A8=16,su,IF(A8=17,t,IF(A8=18,tr,IF(A8=19,v,IF(A8=20,LI,""))))))))))))))))))))</formula1>
    </dataValidation>
    <dataValidation type="whole" operator="greaterThan" allowBlank="1" showInputMessage="1" showErrorMessage="1" sqref="D36:E38" xr:uid="{00000000-0002-0000-0400-00000A000000}">
      <formula1>0</formula1>
    </dataValidation>
    <dataValidation type="list" allowBlank="1" showInputMessage="1" showErrorMessage="1" sqref="C31:D31" xr:uid="{00000000-0002-0000-0400-00000B000000}">
      <formula1>Ttes_Armures</formula1>
    </dataValidation>
    <dataValidation type="decimal" allowBlank="1" showInputMessage="1" showErrorMessage="1" sqref="E8:E24 E26:E29" xr:uid="{00000000-0002-0000-0400-00000C000000}">
      <formula1>0</formula1>
      <formula2>999</formula2>
    </dataValidation>
    <dataValidation type="list" allowBlank="1" showInputMessage="1" showErrorMessage="1" sqref="C33:C35" xr:uid="{EA37A897-54FF-4A7E-B94B-1D5BA1958C5C}">
      <formula1>IF(A33=1,AM,IF(A33=2,AP,IF(A33=3,AR,IF(A33=4,AL,IF(A33=5,Cav,IF(A33=6,jet,IF(A33=7,ES,IF(A33=8,EX,IF(A33=9,Exp,IF(A33=10,FL,IF(A33=11,LP,IF(A33=12,LO,IF(A33=13,Méca,IF(A33=14,OR,IF(A33=15,PAR,IF(A33=16,Paral,IF(A33=17,APe,"")))))))))))))))))</formula1>
    </dataValidation>
    <dataValidation type="list" allowBlank="1" showInputMessage="1" showErrorMessage="1" sqref="B26:B29" xr:uid="{D161AFE2-6362-48CD-AC0C-294C41F7D28F}">
      <formula1>Types_co</formula1>
    </dataValidation>
    <dataValidation type="list" allowBlank="1" showInputMessage="1" showErrorMessage="1" sqref="C9:D9" xr:uid="{67FD3116-F649-471B-AB1F-4FC3CB9FC867}">
      <formula1>IF(A9=1,An,IF(A9=2,Ec,IF(A9=3,Er,IF(A9=4,Eq,IF(A9=5,MT,IF(A9=6,Mo,IF(A9=7,Mu,IF(A9=8,bi,IF(A9=9,ou,IF(A9=10,co,IF(A9=11,PB,IF(A9=12,PP,IF(A9=13,pr,IF(A9=14,re,IF(A9=15,rl,IF(A9=16,su,IF(A9=17,t,IF(A9=18,tr,IF(A9=19,v,IF(A9=20,LI,""))))))))))))))))))))</formula1>
    </dataValidation>
    <dataValidation type="list" allowBlank="1" showInputMessage="1" showErrorMessage="1" sqref="C26:D29" xr:uid="{25688F40-C810-4391-92C2-53CB2AC2ECD6}">
      <formula1>IF(A26=1,bo,IF(A26=2,Epis,IF(A26=3,Far,IF(A26=4,Fru,IF(A26=5,huil,IF(A26=6,leg,IF(A26=7,No,IF(A26=8,Pot,IF(A26=9,po,IF(A26=10,drog,IF(A26=11,Tab,IF(A26=12,Ale,IF(A26=13,Alc,IF(A26=14,vin,""))))))))))))))</formula1>
    </dataValidation>
  </dataValidations>
  <pageMargins left="0.7" right="0.7" top="0.75" bottom="0.75" header="0.3" footer="0.3"/>
  <pageSetup paperSize="9" scale="96" orientation="landscape" r:id="rId1"/>
  <ignoredErrors>
    <ignoredError sqref="G33 G8 G9:G25 G34:G35 G31 R26:R31 R32:R33 R34:R35 R8:R25 G27:G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26" r:id="rId4" name="Button 14">
              <controlPr defaultSize="0" print="0" autoFill="0" autoPict="0" macro="[0]!OrDeDepart">
                <anchor moveWithCells="1" sizeWithCells="1">
                  <from>
                    <xdr:col>9</xdr:col>
                    <xdr:colOff>30480</xdr:colOff>
                    <xdr:row>3</xdr:row>
                    <xdr:rowOff>60960</xdr:rowOff>
                  </from>
                  <to>
                    <xdr:col>11</xdr:col>
                    <xdr:colOff>327660</xdr:colOff>
                    <xdr:row>4</xdr:row>
                    <xdr:rowOff>106680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tableaux!$G$2:$G$3</xm:f>
          </x14:formula1>
          <xm:sqref>J8:L29 J33:L38 J31:L31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tabColor rgb="FFFF0000"/>
    <pageSetUpPr fitToPage="1"/>
  </sheetPr>
  <dimension ref="A1:H423"/>
  <sheetViews>
    <sheetView showGridLines="0" showRowColHeaders="0" zoomScaleNormal="100" workbookViewId="0"/>
  </sheetViews>
  <sheetFormatPr baseColWidth="10" defaultColWidth="11.44140625" defaultRowHeight="13.2"/>
  <cols>
    <col min="1" max="1" width="2.33203125" style="337" customWidth="1"/>
    <col min="2" max="2" width="20.109375" style="337" bestFit="1" customWidth="1"/>
    <col min="3" max="3" width="70.33203125" style="338" customWidth="1"/>
    <col min="4" max="4" width="2" style="337" customWidth="1"/>
    <col min="5" max="5" width="20.109375" style="337" customWidth="1"/>
    <col min="6" max="6" width="69.88671875" style="337" customWidth="1"/>
    <col min="7" max="7" width="2" style="337" customWidth="1"/>
    <col min="8" max="16384" width="11.44140625" style="337"/>
  </cols>
  <sheetData>
    <row r="1" spans="1:8" ht="10.199999999999999" customHeight="1">
      <c r="A1" s="217"/>
      <c r="B1" s="217"/>
      <c r="C1" s="217"/>
      <c r="D1" s="217"/>
      <c r="E1" s="217"/>
      <c r="F1" s="217"/>
      <c r="G1" s="217"/>
    </row>
    <row r="2" spans="1:8" ht="15.6">
      <c r="A2" s="217"/>
      <c r="B2" s="1431" t="s">
        <v>3773</v>
      </c>
      <c r="C2" s="1431"/>
      <c r="D2" s="217"/>
      <c r="E2" s="1432" t="str">
        <f>CONCATENATE("Jet d'incantation = ",'page 1'!K30," (si jet de Focalisation réussi) + Bonus d'ingrédient + ",'page 1'!K30,"d10")</f>
        <v>Jet d'incantation = 0 (si jet de Focalisation réussi) + Bonus d'ingrédient + 0d10</v>
      </c>
      <c r="F2" s="1433"/>
      <c r="G2" s="217"/>
    </row>
    <row r="3" spans="1:8" ht="6.6" customHeight="1" thickBot="1">
      <c r="A3" s="217"/>
      <c r="B3" s="217"/>
      <c r="C3" s="217"/>
      <c r="D3" s="217"/>
      <c r="E3" s="217"/>
      <c r="F3" s="217"/>
      <c r="G3" s="217"/>
    </row>
    <row r="4" spans="1:8">
      <c r="A4" s="217"/>
      <c r="B4" s="331" t="s">
        <v>679</v>
      </c>
      <c r="C4" s="332"/>
      <c r="D4" s="217"/>
      <c r="E4" s="331" t="s">
        <v>679</v>
      </c>
      <c r="F4" s="332"/>
      <c r="G4" s="217"/>
    </row>
    <row r="5" spans="1:8">
      <c r="A5" s="217"/>
      <c r="B5" s="333" t="s">
        <v>680</v>
      </c>
      <c r="C5" s="330"/>
      <c r="D5" s="217"/>
      <c r="E5" s="333" t="s">
        <v>680</v>
      </c>
      <c r="F5" s="330"/>
      <c r="G5" s="217"/>
    </row>
    <row r="6" spans="1:8">
      <c r="A6" s="217"/>
      <c r="B6" s="333" t="s">
        <v>681</v>
      </c>
      <c r="C6" s="330"/>
      <c r="D6" s="217"/>
      <c r="E6" s="333" t="s">
        <v>681</v>
      </c>
      <c r="F6" s="330" t="s">
        <v>11344</v>
      </c>
      <c r="G6" s="217"/>
    </row>
    <row r="7" spans="1:8">
      <c r="A7" s="217"/>
      <c r="B7" s="333" t="s">
        <v>682</v>
      </c>
      <c r="C7" s="330" t="str">
        <f>IF(C6="","",VLOOKUP(C6,Magie!$B:$H,2,FALSE))</f>
        <v/>
      </c>
      <c r="D7" s="217"/>
      <c r="E7" s="333" t="s">
        <v>682</v>
      </c>
      <c r="F7" s="330" t="str">
        <f>IF(F6="","",VLOOKUP(F6,Magie!$B:$H,2,FALSE))</f>
        <v/>
      </c>
      <c r="G7" s="217"/>
      <c r="H7" s="442"/>
    </row>
    <row r="8" spans="1:8" ht="13.95" customHeight="1">
      <c r="A8" s="217"/>
      <c r="B8" s="333" t="s">
        <v>683</v>
      </c>
      <c r="C8" s="330" t="str">
        <f>IF(C6="","",VLOOKUP(C6,Magie!$B:$H,3,FALSE))</f>
        <v/>
      </c>
      <c r="D8" s="217"/>
      <c r="E8" s="333" t="s">
        <v>683</v>
      </c>
      <c r="F8" s="330" t="str">
        <f>IF(F6="","",VLOOKUP(F6,Magie!$B:$H,3,FALSE))</f>
        <v/>
      </c>
      <c r="G8" s="217"/>
    </row>
    <row r="9" spans="1:8">
      <c r="A9" s="217"/>
      <c r="B9" s="333" t="str">
        <f>IF(OR(C4="Runes",C4="Runes Majeures"),"Activation:","Durée:")</f>
        <v>Durée:</v>
      </c>
      <c r="C9" s="330" t="str">
        <f>IF(C6="","",VLOOKUP(C6,Magie!$B:$H,4,FALSE))</f>
        <v/>
      </c>
      <c r="D9" s="217"/>
      <c r="E9" s="333" t="str">
        <f>IF(OR(F4="Runes",F4="Runes Majeures"),"Activation:","Durée:")</f>
        <v>Durée:</v>
      </c>
      <c r="F9" s="330" t="str">
        <f>IF(F6="","",VLOOKUP(F6,Magie!$B:$H,4,FALSE))</f>
        <v/>
      </c>
      <c r="G9" s="217"/>
    </row>
    <row r="10" spans="1:8">
      <c r="A10" s="217"/>
      <c r="B10" s="333" t="s">
        <v>684</v>
      </c>
      <c r="C10" s="330" t="str">
        <f>IF(C6="","",VLOOKUP(C6,Magie!$B:$H,5,FALSE))</f>
        <v/>
      </c>
      <c r="D10" s="217"/>
      <c r="E10" s="333" t="s">
        <v>684</v>
      </c>
      <c r="F10" s="330" t="str">
        <f>IF(F6="","",VLOOKUP(F6,Magie!$B:$H,5,FALSE))</f>
        <v/>
      </c>
      <c r="G10" s="217"/>
    </row>
    <row r="11" spans="1:8" ht="13.95" customHeight="1">
      <c r="A11" s="217"/>
      <c r="B11" s="333" t="str">
        <f>IF(C5="Domaine de Loec","Note:","Ingrédient:")</f>
        <v>Ingrédient:</v>
      </c>
      <c r="C11" s="441" t="str">
        <f>IF(C6="","",VLOOKUP(C6,Magie!$B:$H,6,FALSE))</f>
        <v/>
      </c>
      <c r="D11" s="217"/>
      <c r="E11" s="333" t="str">
        <f>IF(F5="Domaine de Loec","Note:","Ingrédient:")</f>
        <v>Ingrédient:</v>
      </c>
      <c r="F11" s="441" t="str">
        <f>IF(F6="","",VLOOKUP(F6,Magie!$B:$H,6,FALSE))</f>
        <v/>
      </c>
      <c r="G11" s="217"/>
    </row>
    <row r="12" spans="1:8" ht="46.95" customHeight="1" thickBot="1">
      <c r="A12" s="217"/>
      <c r="B12" s="334" t="s">
        <v>685</v>
      </c>
      <c r="C12" s="845" t="str">
        <f>IF(C6="","",VLOOKUP(C6,Magie!$B:$H,7,FALSE))</f>
        <v/>
      </c>
      <c r="D12" s="217"/>
      <c r="E12" s="334" t="s">
        <v>685</v>
      </c>
      <c r="F12" s="845" t="str">
        <f>IF(F6="","",VLOOKUP(F6,Magie!$B:$H,7,FALSE))</f>
        <v/>
      </c>
      <c r="G12" s="217"/>
    </row>
    <row r="13" spans="1:8" ht="12.75" hidden="1" customHeight="1">
      <c r="A13" s="217"/>
      <c r="B13" s="335"/>
      <c r="C13" s="336" t="str">
        <f>IF(C4="Magie mineure",'listes magies'!$A$3,IF(C4="Runes",'listes magies'!$CO$3,IF(C4="Runes Majeures",'listes magies'!$CQ$3,IF(C5="","",IF(HLOOKUP(C5,'listes magies'!$B$2:$CT$35,2,FALSE)=0,"",HLOOKUP(C5,'listes magies'!$B$2:$CT$35,2,FALSE))))))</f>
        <v/>
      </c>
      <c r="D13" s="217"/>
      <c r="E13" s="335"/>
      <c r="F13" s="336" t="str">
        <f>IF(F4="Magie mineure",'listes magies'!$A$3,IF(F4="Runes",'listes magies'!$CO$3,IF(F4="Runes Majeures",'listes magies'!$CQ$3,IF(F5="","",IF(HLOOKUP(F5,'listes magies'!$B$2:$CT$35,2,FALSE)=0,"",HLOOKUP(F5,'listes magies'!$B$2:$CT$35,2,FALSE))))))</f>
        <v/>
      </c>
      <c r="G13" s="217"/>
      <c r="H13" s="579"/>
    </row>
    <row r="14" spans="1:8" ht="12.75" hidden="1" customHeight="1">
      <c r="A14" s="217"/>
      <c r="B14" s="335"/>
      <c r="C14" s="336" t="str">
        <f>IF(C4="Magie mineure",'listes magies'!$A$4,IF(C4="Runes",'listes magies'!$CO$4,IF(C4="Runes Majeures",'listes magies'!$CQ$3,IF(C5="","",IF(HLOOKUP(C5,'listes magies'!$B$2:$CT$35,2,FALSE)=0,"",HLOOKUP(C5,'listes magies'!$B$2:$CT$35,3,FALSE))))))</f>
        <v/>
      </c>
      <c r="D14" s="217"/>
      <c r="E14" s="335"/>
      <c r="F14" s="336" t="str">
        <f>IF(F4="Magie mineure",'listes magies'!$A$4,IF(F4="Runes",'listes magies'!$CO$4,IF(F4="Runes Majeures",'listes magies'!$CQ$3,IF(F5="","",IF(HLOOKUP(F5,'listes magies'!$B$2:$CT$35,2,FALSE)=0,"",HLOOKUP(F5,'listes magies'!$B$2:$CT$35,3,FALSE))))))</f>
        <v/>
      </c>
      <c r="G14" s="217"/>
      <c r="H14" s="579"/>
    </row>
    <row r="15" spans="1:8" ht="12.75" hidden="1" customHeight="1">
      <c r="A15" s="217"/>
      <c r="B15" s="335"/>
      <c r="C15" s="336" t="str">
        <f>IF(C4="Magie mineure",'listes magies'!$A$5,IF(C4="Runes",'listes magies'!$CO$5,IF(C4="Runes Majeures",'listes magies'!$CQ$5,IF(C5="","",IF(HLOOKUP(C5,'listes magies'!$B$2:$CT$35,4,FALSE)=0,"",HLOOKUP(C5,'listes magies'!$B$2:$CT$35,4,FALSE))))))</f>
        <v/>
      </c>
      <c r="D15" s="217"/>
      <c r="E15" s="335"/>
      <c r="F15" s="336" t="str">
        <f>IF(F4="Magie mineure",'listes magies'!$A$5,IF(F4="Runes",'listes magies'!$CO$5,IF(F4="Runes Majeures",'listes magies'!$CQ$5,IF(F5="","",IF(HLOOKUP(F5,'listes magies'!$B$2:$CT$35,4,FALSE)=0,"",HLOOKUP(F5,'listes magies'!$B$2:$CT$35,4,FALSE))))))</f>
        <v/>
      </c>
      <c r="G15" s="217"/>
    </row>
    <row r="16" spans="1:8" ht="12.75" hidden="1" customHeight="1">
      <c r="A16" s="217"/>
      <c r="B16" s="335"/>
      <c r="C16" s="336" t="str">
        <f>IF(C4="Magie mineure",'listes magies'!$A$6,IF(C4="Runes",'listes magies'!$CO$6,IF(C4="Runes Majeures",'listes magies'!$CQ$6,IF(C5="","",IF(HLOOKUP(C5,'listes magies'!$B$2:$CT$35,5,FALSE)=0,"",HLOOKUP(C5,'listes magies'!$B$2:$CT$35,5,FALSE))))))</f>
        <v/>
      </c>
      <c r="D16" s="217"/>
      <c r="E16" s="335"/>
      <c r="F16" s="336" t="str">
        <f>IF(F4="Magie mineure",'listes magies'!$A$6,IF(F4="Runes",'listes magies'!$CO$6,IF(F4="Runes Majeures",'listes magies'!$CQ$6,IF(F5="","",IF(HLOOKUP(F5,'listes magies'!$B$2:$CT$35,5,FALSE)=0,"",HLOOKUP(F5,'listes magies'!$B$2:$CT$35,5,FALSE))))))</f>
        <v/>
      </c>
      <c r="G16" s="217"/>
    </row>
    <row r="17" spans="1:7" ht="12.75" hidden="1" customHeight="1">
      <c r="A17" s="217"/>
      <c r="B17" s="335"/>
      <c r="C17" s="336" t="str">
        <f>IF(C4="Magie mineure",'listes magies'!$A$7,IF(C4="Runes",'listes magies'!$CO$7,IF(C4="Runes Majeures",'listes magies'!$CQ$7,IF(C5="","",IF(HLOOKUP(C5,'listes magies'!$B$2:$CT$35,6,FALSE)=0,"",HLOOKUP(C5,'listes magies'!$B$2:$CT$35,6,FALSE))))))</f>
        <v/>
      </c>
      <c r="D17" s="217"/>
      <c r="E17" s="335"/>
      <c r="F17" s="336" t="str">
        <f>IF(F4="Magie mineure",'listes magies'!$A$7,IF(F4="Runes",'listes magies'!$CO$7,IF(F4="Runes Majeures",'listes magies'!$CQ$7,IF(F5="","",IF(HLOOKUP(F5,'listes magies'!$B$2:$CT$35,6,FALSE)=0,"",HLOOKUP(F5,'listes magies'!$B$2:$CT$35,6,FALSE))))))</f>
        <v/>
      </c>
      <c r="G17" s="217"/>
    </row>
    <row r="18" spans="1:7" ht="12.75" hidden="1" customHeight="1">
      <c r="A18" s="217"/>
      <c r="B18" s="335"/>
      <c r="C18" s="336" t="str">
        <f>IF(C4="Magie mineure",'listes magies'!$A$8,IF(C4="Runes",'listes magies'!$CO$8,IF(C4="Runes Majeures",'listes magies'!$CQ$8,IF(C5="","",IF(HLOOKUP(C5,'listes magies'!$B$2:$CT$35,7,FALSE)=0,"",HLOOKUP(C5,'listes magies'!$B$2:$CT$35,7,FALSE))))))</f>
        <v/>
      </c>
      <c r="D18" s="217"/>
      <c r="E18" s="335"/>
      <c r="F18" s="336" t="str">
        <f>IF(F4="Magie mineure",'listes magies'!$A$8,IF(F4="Runes",'listes magies'!$CO$8,IF(F4="Runes Majeures",'listes magies'!$CQ$8,IF(F5="","",IF(HLOOKUP(F5,'listes magies'!$B$2:$CT$35,7,FALSE)=0,"",HLOOKUP(F5,'listes magies'!$B$2:$CT$35,7,FALSE))))))</f>
        <v/>
      </c>
      <c r="G18" s="217"/>
    </row>
    <row r="19" spans="1:7" ht="12.75" hidden="1" customHeight="1">
      <c r="A19" s="217"/>
      <c r="B19" s="335"/>
      <c r="C19" s="336" t="str">
        <f>IF(C4="Magie mineure",'listes magies'!$A$9,IF(C4="Runes",'listes magies'!$CO$9,IF(C4="Runes Majeures",'listes magies'!$CQ$9,IF(C5="","",IF(HLOOKUP(C5,'listes magies'!$B$2:$CT$35,8,FALSE)=0,"",HLOOKUP(C5,'listes magies'!$B$2:$CT$35,8,FALSE))))))</f>
        <v/>
      </c>
      <c r="D19" s="217"/>
      <c r="E19" s="335"/>
      <c r="F19" s="336" t="str">
        <f>IF(F4="Magie mineure",'listes magies'!$A$9,IF(F4="Runes",'listes magies'!$CO$9,IF(F4="Runes Majeures",'listes magies'!$CQ$9,IF(F5="","",IF(HLOOKUP(F5,'listes magies'!$B$2:$CT$35,8,FALSE)=0,"",HLOOKUP(F5,'listes magies'!$B$2:$CT$35,8,FALSE))))))</f>
        <v/>
      </c>
      <c r="G19" s="217"/>
    </row>
    <row r="20" spans="1:7" ht="12.75" hidden="1" customHeight="1">
      <c r="A20" s="217"/>
      <c r="B20" s="335"/>
      <c r="C20" s="336" t="str">
        <f>IF(C4="Magie mineure",'listes magies'!$A$10,IF(C4="Runes",'listes magies'!$CO$10,IF(C4="Runes Majeures",'listes magies'!$CQ$10,IF(C5="","",IF(HLOOKUP(C5,'listes magies'!$B$2:$CT$35,9,FALSE)=0,"",HLOOKUP(C5,'listes magies'!$B$2:$CT$35,9,FALSE))))))</f>
        <v/>
      </c>
      <c r="D20" s="217"/>
      <c r="E20" s="335"/>
      <c r="F20" s="336" t="str">
        <f>IF(F4="Magie mineure",'listes magies'!$A$10,IF(F4="Runes",'listes magies'!$CO$10,IF(F4="Runes Majeures",'listes magies'!$CQ$10,IF(F5="","",IF(HLOOKUP(F5,'listes magies'!$B$2:$CT$35,9,FALSE)=0,"",HLOOKUP(F5,'listes magies'!$B$2:$CT$35,9,FALSE))))))</f>
        <v/>
      </c>
      <c r="G20" s="217"/>
    </row>
    <row r="21" spans="1:7" ht="12.75" hidden="1" customHeight="1">
      <c r="A21" s="217"/>
      <c r="B21" s="335"/>
      <c r="C21" s="336" t="str">
        <f>IF(C4="Magie mineure",'listes magies'!$A$11,IF(C4="Runes",'listes magies'!$CO$11,IF(C4="Runes Majeures",'listes magies'!$CQ$11,IF(C5="","",IF(HLOOKUP(C5,'listes magies'!$B$2:$CT$35,10,FALSE)=0,"",HLOOKUP(C5,'listes magies'!$B$2:$CT$35,10,FALSE))))))</f>
        <v/>
      </c>
      <c r="D21" s="217"/>
      <c r="E21" s="335"/>
      <c r="F21" s="336" t="str">
        <f>IF(F4="Magie mineure",'listes magies'!$A$11,IF(F4="Runes",'listes magies'!$CO$11,IF(F4="Runes Majeures",'listes magies'!$CQ$11,IF(F5="","",IF(HLOOKUP(F5,'listes magies'!$B$2:$CT$35,10,FALSE)=0,"",HLOOKUP(F5,'listes magies'!$B$2:$CT$35,10,FALSE))))))</f>
        <v/>
      </c>
      <c r="G21" s="217"/>
    </row>
    <row r="22" spans="1:7" ht="12.75" hidden="1" customHeight="1">
      <c r="A22" s="217"/>
      <c r="B22" s="335"/>
      <c r="C22" s="336" t="str">
        <f>IF(C4="Magie mineure",'listes magies'!$A$12,IF(C4="Runes",'listes magies'!$CO$12,IF(C4="Runes Majeures",'listes magies'!$CQ$12,IF(C5="","",IF(HLOOKUP(C5,'listes magies'!$B$2:$CT$35,11,FALSE)=0,"",HLOOKUP(C5,'listes magies'!$B$2:$CT$35,11,FALSE))))))</f>
        <v/>
      </c>
      <c r="D22" s="217"/>
      <c r="E22" s="335"/>
      <c r="F22" s="336" t="str">
        <f>IF(F4="Magie mineure",'listes magies'!$A$12,IF(F4="Runes",'listes magies'!$CO$12,IF(F4="Runes Majeures",'listes magies'!$CQ$12,IF(F5="","",IF(HLOOKUP(F5,'listes magies'!$B$2:$CT$35,11,FALSE)=0,"",HLOOKUP(F5,'listes magies'!$B$2:$CT$35,11,FALSE))))))</f>
        <v/>
      </c>
      <c r="G22" s="217"/>
    </row>
    <row r="23" spans="1:7" ht="12.75" hidden="1" customHeight="1">
      <c r="A23" s="217"/>
      <c r="B23" s="335"/>
      <c r="C23" s="336" t="str">
        <f>IF(C4="Magie mineure",'listes magies'!$A$13,IF(C4="Runes",'listes magies'!$CO$13,IF(C4="Runes Majeures",'listes magies'!$CQ$13,IF(C5="","",IF(HLOOKUP(C5,'listes magies'!$B$2:$CT$35,12,FALSE)=0,"",HLOOKUP(C5,'listes magies'!$B$2:$CT$35,12,FALSE))))))</f>
        <v/>
      </c>
      <c r="D23" s="217"/>
      <c r="E23" s="335"/>
      <c r="F23" s="336" t="str">
        <f>IF(F4="Magie mineure",'listes magies'!$A$13,IF(F4="Runes",'listes magies'!$CO$13,IF(F4="Runes Majeures",'listes magies'!$CQ$13,IF(F5="","",IF(HLOOKUP(F5,'listes magies'!$B$2:$CT$35,12,FALSE)=0,"",HLOOKUP(F5,'listes magies'!$B$2:$CT$35,12,FALSE))))))</f>
        <v/>
      </c>
      <c r="G23" s="217"/>
    </row>
    <row r="24" spans="1:7" ht="12.75" hidden="1" customHeight="1">
      <c r="A24" s="217"/>
      <c r="B24" s="335"/>
      <c r="C24" s="336" t="str">
        <f>IF(C4="Magie mineure",'listes magies'!$A$14,IF(C4="Runes",'listes magies'!$CO$14,IF(C4="Runes Majeures",'listes magies'!$CQ$14,IF(C5="","",IF(HLOOKUP(C5,'listes magies'!$B$2:$CT$35,13,FALSE)=0,"",HLOOKUP(C5,'listes magies'!$B$2:$CT$35,13,FALSE))))))</f>
        <v/>
      </c>
      <c r="D24" s="217"/>
      <c r="E24" s="335"/>
      <c r="F24" s="336" t="str">
        <f>IF(F4="Magie mineure",'listes magies'!$A$14,IF(F4="Runes",'listes magies'!$CO$14,IF(F4="Runes Majeures",'listes magies'!$CQ$14,IF(F5="","",IF(HLOOKUP(F5,'listes magies'!$B$2:$CT$35,13,FALSE)=0,"",HLOOKUP(F5,'listes magies'!$B$2:$CT$35,13,FALSE))))))</f>
        <v/>
      </c>
      <c r="G24" s="217"/>
    </row>
    <row r="25" spans="1:7" ht="12.75" hidden="1" customHeight="1">
      <c r="A25" s="217"/>
      <c r="B25" s="335"/>
      <c r="C25" s="336" t="str">
        <f>IF(C4="Magie mineure",'listes magies'!$A$15,IF(C4="Runes",'listes magies'!$CO$15,IF(C4="Runes Majeures",'listes magies'!$CQ$15,IF(C5="","",IF(HLOOKUP(C5,'listes magies'!$B$2:$CT$35,14,FALSE)=0,"",HLOOKUP(C5,'listes magies'!$B$2:$CT$35,14,FALSE))))))</f>
        <v/>
      </c>
      <c r="D25" s="217"/>
      <c r="E25" s="335"/>
      <c r="F25" s="336" t="str">
        <f>IF(F4="Magie mineure",'listes magies'!$A$15,IF(F4="Runes",'listes magies'!$CO$15,IF(F4="Runes Majeures",'listes magies'!$CQ$15,IF(F5="","",IF(HLOOKUP(F5,'listes magies'!$B$2:$CT$35,14,FALSE)=0,"",HLOOKUP(F5,'listes magies'!$B$2:$CT$35,14,FALSE))))))</f>
        <v/>
      </c>
      <c r="G25" s="217"/>
    </row>
    <row r="26" spans="1:7" ht="12.75" hidden="1" customHeight="1">
      <c r="A26" s="217"/>
      <c r="B26" s="335"/>
      <c r="C26" s="336" t="str">
        <f>IF(C4="Magie mineure",'listes magies'!$A$16,IF(C4="Runes",'listes magies'!$CO$16,IF(C4="Runes Majeures",'listes magies'!$CQ$16,IF(C5="","",IF(HLOOKUP(C5,'listes magies'!$B$2:$CT$35,15,FALSE)=0,"",HLOOKUP(C5,'listes magies'!$B$2:$CT$35,15,FALSE))))))</f>
        <v/>
      </c>
      <c r="D26" s="217"/>
      <c r="E26" s="335"/>
      <c r="F26" s="336" t="str">
        <f>IF(F4="Magie mineure",'listes magies'!$A$16,IF(F4="Runes",'listes magies'!$CO$16,IF(F4="Runes Majeures",'listes magies'!$CQ$16,IF(F5="","",IF(HLOOKUP(F5,'listes magies'!$B$2:$CT$35,15,FALSE)=0,"",HLOOKUP(F5,'listes magies'!$B$2:$CT$35,15,FALSE))))))</f>
        <v/>
      </c>
      <c r="G26" s="217"/>
    </row>
    <row r="27" spans="1:7" ht="12.75" hidden="1" customHeight="1">
      <c r="A27" s="217"/>
      <c r="B27" s="335"/>
      <c r="C27" s="336" t="str">
        <f>IF(C4="Magie mineure",'listes magies'!$A$17,IF(C4="Runes",'listes magies'!$CO$17,IF(C4="Runes Majeures","",IF(C5="","",IF(HLOOKUP(C5,'listes magies'!$B$2:$CT$35,16,FALSE)=0,"",HLOOKUP(C5,'listes magies'!$B$2:$CT$35,16,FALSE))))))</f>
        <v/>
      </c>
      <c r="D27" s="217"/>
      <c r="E27" s="335"/>
      <c r="F27" s="336" t="str">
        <f>IF(F4="Magie mineure",'listes magies'!$A$17,IF(F4="Runes",'listes magies'!$CO$17,IF(F4="Runes Majeures","",IF(F5="","",IF(HLOOKUP(F5,'listes magies'!$B$2:$CT$35,16,FALSE)=0,"",HLOOKUP(F5,'listes magies'!$B$2:$CT$35,16,FALSE))))))</f>
        <v/>
      </c>
      <c r="G27" s="217"/>
    </row>
    <row r="28" spans="1:7" ht="12.75" hidden="1" customHeight="1">
      <c r="A28" s="217"/>
      <c r="B28" s="335"/>
      <c r="C28" s="336" t="str">
        <f>IF(C4="Magie mineure",'listes magies'!$A18,IF(C4="Runes",'listes magies'!$CO$18,IF(C4="Runes Majeures","",IF(C5="","",IF(HLOOKUP(C5,'listes magies'!$B$2:$CT$35,17,FALSE)=0,"",HLOOKUP(C5,'listes magies'!$B$2:$CT$35,17,FALSE))))))</f>
        <v/>
      </c>
      <c r="D28" s="217"/>
      <c r="E28" s="335"/>
      <c r="F28" s="336" t="str">
        <f>IF(F4="Magie mineure",'listes magies'!$A18,IF(F4="Runes",'listes magies'!$CO$18,IF(F4="Runes Majeures","",IF(F5="","",IF(HLOOKUP(F5,'listes magies'!$B$2:$CT$35,17,FALSE)=0,"",HLOOKUP(F5,'listes magies'!$B$2:$CT$35,17,FALSE))))))</f>
        <v/>
      </c>
      <c r="G28" s="217"/>
    </row>
    <row r="29" spans="1:7" ht="12.75" hidden="1" customHeight="1">
      <c r="A29" s="217"/>
      <c r="B29" s="335"/>
      <c r="C29" s="336" t="str">
        <f>IF(C4="Magie mineure",'listes magies'!$A$19,IF(C4="Runes",'listes magies'!$CO$19,IF(C4="Runes Majeures","",IF(C5="","",IF(HLOOKUP(C5,'listes magies'!$B$2:$CT$35,18,FALSE)=0,"",HLOOKUP(C5,'listes magies'!$B$2:$CT$35,18,FALSE))))))</f>
        <v/>
      </c>
      <c r="D29" s="217"/>
      <c r="E29" s="335"/>
      <c r="F29" s="336" t="str">
        <f>IF(F4="Magie mineure",'listes magies'!$A$19,IF(F4="Runes",'listes magies'!$CO$19,IF(F4="Runes Majeures","",IF(F5="","",IF(HLOOKUP(F5,'listes magies'!$B$2:$CT$35,18,FALSE)=0,"",HLOOKUP(F5,'listes magies'!$B$2:$CT$35,18,FALSE))))))</f>
        <v/>
      </c>
      <c r="G29" s="217"/>
    </row>
    <row r="30" spans="1:7" ht="12.75" hidden="1" customHeight="1">
      <c r="A30" s="217"/>
      <c r="B30" s="335"/>
      <c r="C30" s="336" t="str">
        <f>IF(C4="Magie mineure",'listes magies'!$A$20,IF(C4="Runes",'listes magies'!$CO$20,IF(C4="Runes Majeures","",IF(C5="","",IF(HLOOKUP(C5,'listes magies'!$B$2:$CT$35,19,FALSE)=0,"",HLOOKUP(C5,'listes magies'!$B$2:$CT$35,19,FALSE))))))</f>
        <v/>
      </c>
      <c r="D30" s="217"/>
      <c r="E30" s="335"/>
      <c r="F30" s="336" t="str">
        <f>IF(F4="Magie mineure",'listes magies'!$A$20,IF(F4="Runes",'listes magies'!$CO$20,IF(F4="Runes Majeures","",IF(F5="","",IF(HLOOKUP(F5,'listes magies'!$B$2:$CT$35,19,FALSE)=0,"",HLOOKUP(F5,'listes magies'!$B$2:$CT$35,19,FALSE))))))</f>
        <v/>
      </c>
      <c r="G30" s="217"/>
    </row>
    <row r="31" spans="1:7" ht="12.75" hidden="1" customHeight="1">
      <c r="A31" s="217"/>
      <c r="B31" s="335"/>
      <c r="C31" s="336" t="str">
        <f>IF(C4="Magie mineure",'listes magies'!$A$21,IF(C4="Runes",'listes magies'!$CO$21,IF(C4="Runes Majeures","",IF(C5="","",IF(HLOOKUP(C5,'listes magies'!$B$2:$CT$35,20,FALSE)=0,"",HLOOKUP(C5,'listes magies'!$B$2:$CT$35,20,FALSE))))))</f>
        <v/>
      </c>
      <c r="D31" s="217"/>
      <c r="E31" s="335"/>
      <c r="F31" s="336" t="str">
        <f>IF(F4="Magie mineure",'listes magies'!$A$21,IF(F4="Runes",'listes magies'!$CO$21,IF(F4="Runes Majeures","",IF(F5="","",IF(HLOOKUP(F5,'listes magies'!$B$2:$CT$35,20,FALSE)=0,"",HLOOKUP(F5,'listes magies'!$B$2:$CT$35,20,FALSE))))))</f>
        <v/>
      </c>
      <c r="G31" s="217"/>
    </row>
    <row r="32" spans="1:7" ht="12.75" hidden="1" customHeight="1">
      <c r="A32" s="217"/>
      <c r="B32" s="335"/>
      <c r="C32" s="336" t="str">
        <f>IF(C4="Magie mineure",'listes magies'!$A$22,IF(C4="Runes",'listes magies'!$CO$22,IF(C4="Runes Majeures","",IF(C5="","",IF(HLOOKUP(C5,'listes magies'!$B$2:$CT$35,21,FALSE)=0,"",HLOOKUP(C5,'listes magies'!$B$2:$CT$35,21,FALSE))))))</f>
        <v/>
      </c>
      <c r="D32" s="217"/>
      <c r="E32" s="335"/>
      <c r="F32" s="336" t="str">
        <f>IF(F4="Magie mineure",'listes magies'!$A$22,IF(F4="Runes",'listes magies'!$CO$22,IF(F4="Runes Majeures","",IF(F5="","",IF(HLOOKUP(F5,'listes magies'!$B$2:$CT$35,21,FALSE)=0,"",HLOOKUP(F5,'listes magies'!$B$2:$CT$35,21,FALSE))))))</f>
        <v/>
      </c>
      <c r="G32" s="217"/>
    </row>
    <row r="33" spans="1:7" ht="12.75" hidden="1" customHeight="1">
      <c r="A33" s="217"/>
      <c r="B33" s="335"/>
      <c r="C33" s="336" t="str">
        <f>IF(C4="Magie mineure",'listes magies'!$A$23,IF(C4="Runes",'listes magies'!$CO$22,IF(C4="Runes Majeures","",IF(C5="","",IF(HLOOKUP(C5,'listes magies'!$B$2:$CT$35,22,FALSE)=0,"",HLOOKUP(C5,'listes magies'!$B$2:$CT$35,22,FALSE))))))</f>
        <v/>
      </c>
      <c r="D33" s="217"/>
      <c r="E33" s="335"/>
      <c r="F33" s="336" t="str">
        <f>IF(F4="Magie mineure",'listes magies'!$A$23,IF(F4="Runes",'listes magies'!$CO$22,IF(F4="Runes Majeures","",IF(F5="","",IF(HLOOKUP(F5,'listes magies'!$B$2:$CT$35,22,FALSE)=0,"",HLOOKUP(F5,'listes magies'!$B$2:$CT$35,22,FALSE))))))</f>
        <v/>
      </c>
      <c r="G33" s="217"/>
    </row>
    <row r="34" spans="1:7" ht="12.75" hidden="1" customHeight="1">
      <c r="A34" s="217"/>
      <c r="B34" s="335"/>
      <c r="C34" s="336" t="str">
        <f>IF(C4="Magie mineure",'listes magies'!$A$24,IF(C4="Runes Majeures","",IF(C5="","",IF(HLOOKUP(C5,'listes magies'!$B$2:$CT$35,23,FALSE)=0,"",HLOOKUP(C5,'listes magies'!$B$2:$CT$35,23,FALSE)))))</f>
        <v/>
      </c>
      <c r="D34" s="217"/>
      <c r="E34" s="335"/>
      <c r="F34" s="336" t="str">
        <f>IF(F4="Magie mineure",'listes magies'!$A$24,IF(F4="Runes Majeures","",IF(F5="","",IF(HLOOKUP(F5,'listes magies'!$B$2:$CT$35,23,FALSE)=0,"",HLOOKUP(F5,'listes magies'!$B$2:$CT$35,23,FALSE)))))</f>
        <v/>
      </c>
      <c r="G34" s="217"/>
    </row>
    <row r="35" spans="1:7" ht="12.75" hidden="1" customHeight="1">
      <c r="A35" s="217"/>
      <c r="B35" s="335"/>
      <c r="C35" s="336" t="str">
        <f>IF(C4="Magie mineure",'listes magies'!$A$25,IF(C4="Runes Majeures","",IF(C5="","",IF(HLOOKUP(C5,'listes magies'!$B$2:$CT$35,24,FALSE)=0,"",HLOOKUP(C5,'listes magies'!$B$2:$CT$35,24,FALSE)))))</f>
        <v/>
      </c>
      <c r="D35" s="217"/>
      <c r="E35" s="335"/>
      <c r="F35" s="336" t="str">
        <f>IF(F4="Magie mineure",'listes magies'!$A$25,IF(F4="Runes Majeures","",IF(F5="","",IF(HLOOKUP(F5,'listes magies'!$B$2:$CT$35,24,FALSE)=0,"",HLOOKUP(F5,'listes magies'!$B$2:$CT$35,24,FALSE)))))</f>
        <v/>
      </c>
      <c r="G35" s="217"/>
    </row>
    <row r="36" spans="1:7" ht="12.75" hidden="1" customHeight="1">
      <c r="A36" s="217"/>
      <c r="B36" s="335"/>
      <c r="C36" s="336" t="str">
        <f>IF(C4="Magie mineure",'listes magies'!$A$26,IF(C4="Runes","",IF(C4="Runes Majeures","",IF(C5="","",IF(HLOOKUP(C5,'listes magies'!$B$2:$CT$35,25,FALSE)=0,"",HLOOKUP(C5,'listes magies'!$B$2:$CT$35,25,FALSE))))))</f>
        <v/>
      </c>
      <c r="D36" s="217"/>
      <c r="E36" s="335"/>
      <c r="F36" s="336" t="str">
        <f>IF(F4="Magie mineure",'listes magies'!$A$26,IF(F4="Runes","",IF(F4="Runes Majeures","",IF(F5="","",IF(HLOOKUP(F5,'listes magies'!$B$2:$CT$35,25,FALSE)=0,"",HLOOKUP(F5,'listes magies'!$B$2:$CT$35,25,FALSE))))))</f>
        <v/>
      </c>
      <c r="G36" s="217"/>
    </row>
    <row r="37" spans="1:7" ht="12.75" hidden="1" customHeight="1">
      <c r="A37" s="217"/>
      <c r="B37" s="335"/>
      <c r="C37" s="336" t="str">
        <f>IF(C4="Magie mineure",'listes magies'!$A$27,"")</f>
        <v/>
      </c>
      <c r="D37" s="217"/>
      <c r="E37" s="335"/>
      <c r="F37" s="336" t="str">
        <f>IF(F4="Magie mineure",'listes magies'!$A$27,"")</f>
        <v/>
      </c>
      <c r="G37" s="217"/>
    </row>
    <row r="38" spans="1:7" ht="12.75" hidden="1" customHeight="1">
      <c r="A38" s="217"/>
      <c r="B38" s="335"/>
      <c r="C38" s="336" t="str">
        <f>IF(C4="Magie mineure",'listes magies'!$A$28,"")</f>
        <v/>
      </c>
      <c r="D38" s="217"/>
      <c r="E38" s="335"/>
      <c r="F38" s="336" t="str">
        <f>IF(F4="Magie mineure",'listes magies'!$A$28,"")</f>
        <v/>
      </c>
      <c r="G38" s="217"/>
    </row>
    <row r="39" spans="1:7" ht="12.75" hidden="1" customHeight="1">
      <c r="A39" s="217"/>
      <c r="B39" s="335"/>
      <c r="C39" s="336" t="str">
        <f>IF(C4="Magie mineure",'listes magies'!$A$29,"")</f>
        <v/>
      </c>
      <c r="D39" s="217"/>
      <c r="E39" s="335"/>
      <c r="F39" s="336" t="str">
        <f>IF(F4="Magie mineure",'listes magies'!$A$29,"")</f>
        <v/>
      </c>
      <c r="G39" s="217"/>
    </row>
    <row r="40" spans="1:7" ht="12.75" hidden="1" customHeight="1">
      <c r="A40" s="217"/>
      <c r="B40" s="335"/>
      <c r="C40" s="336" t="str">
        <f>IF(C4="Magie mineure",'listes magies'!$A$30,"")</f>
        <v/>
      </c>
      <c r="D40" s="217"/>
      <c r="E40" s="335"/>
      <c r="F40" s="336" t="str">
        <f>IF(F4="Magie mineure",'listes magies'!$A$30,"")</f>
        <v/>
      </c>
      <c r="G40" s="217"/>
    </row>
    <row r="41" spans="1:7" ht="12.75" hidden="1" customHeight="1">
      <c r="A41" s="217"/>
      <c r="B41" s="335"/>
      <c r="C41" s="336" t="str">
        <f>IF(C4="Magie mineure",'listes magies'!$A$31,"")</f>
        <v/>
      </c>
      <c r="D41" s="217"/>
      <c r="E41" s="335"/>
      <c r="F41" s="336" t="str">
        <f>IF(F4="Magie mineure",'listes magies'!$A$31,"")</f>
        <v/>
      </c>
      <c r="G41" s="217"/>
    </row>
    <row r="42" spans="1:7" ht="12.75" hidden="1" customHeight="1">
      <c r="A42" s="217"/>
      <c r="B42" s="335"/>
      <c r="C42" s="336" t="str">
        <f>IF(C4="Magie mineure",'listes magies'!$A$32,"")</f>
        <v/>
      </c>
      <c r="D42" s="217"/>
      <c r="E42" s="335"/>
      <c r="F42" s="336" t="str">
        <f>IF(F4="Magie mineure",'listes magies'!$A$32,"")</f>
        <v/>
      </c>
      <c r="G42" s="217"/>
    </row>
    <row r="43" spans="1:7" ht="12.75" hidden="1" customHeight="1">
      <c r="A43" s="217"/>
      <c r="B43" s="335"/>
      <c r="C43" s="336" t="str">
        <f>IF(C4="Magie mineure",'listes magies'!$A$33,"")</f>
        <v/>
      </c>
      <c r="D43" s="217"/>
      <c r="E43" s="335"/>
      <c r="F43" s="336" t="str">
        <f>IF(F4="Magie mineure",'listes magies'!$A$33,"")</f>
        <v/>
      </c>
      <c r="G43" s="217"/>
    </row>
    <row r="44" spans="1:7" ht="12.75" hidden="1" customHeight="1">
      <c r="A44" s="217"/>
      <c r="B44" s="335"/>
      <c r="C44" s="336" t="str">
        <f>IF(C4="Magie mineure",'listes magies'!$A$34,"")</f>
        <v/>
      </c>
      <c r="D44" s="217"/>
      <c r="E44" s="335"/>
      <c r="F44" s="336" t="str">
        <f>IF(F4="Magie mineure",'listes magies'!$A$34,"")</f>
        <v/>
      </c>
      <c r="G44" s="217"/>
    </row>
    <row r="45" spans="1:7" ht="6" customHeight="1" thickBot="1">
      <c r="A45" s="217"/>
      <c r="B45" s="217"/>
      <c r="C45" s="217"/>
      <c r="D45" s="217"/>
      <c r="E45" s="217"/>
      <c r="F45" s="217"/>
      <c r="G45" s="217"/>
    </row>
    <row r="46" spans="1:7">
      <c r="A46" s="217"/>
      <c r="B46" s="331" t="s">
        <v>679</v>
      </c>
      <c r="C46" s="332"/>
      <c r="D46" s="217"/>
      <c r="E46" s="331" t="s">
        <v>679</v>
      </c>
      <c r="F46" s="332"/>
      <c r="G46" s="217"/>
    </row>
    <row r="47" spans="1:7">
      <c r="A47" s="217"/>
      <c r="B47" s="333" t="s">
        <v>680</v>
      </c>
      <c r="C47" s="330"/>
      <c r="D47" s="217"/>
      <c r="E47" s="333" t="s">
        <v>680</v>
      </c>
      <c r="F47" s="330"/>
      <c r="G47" s="217"/>
    </row>
    <row r="48" spans="1:7">
      <c r="A48" s="217"/>
      <c r="B48" s="333" t="s">
        <v>681</v>
      </c>
      <c r="C48" s="330"/>
      <c r="D48" s="217"/>
      <c r="E48" s="333" t="s">
        <v>681</v>
      </c>
      <c r="F48" s="330"/>
      <c r="G48" s="217"/>
    </row>
    <row r="49" spans="1:7">
      <c r="A49" s="217"/>
      <c r="B49" s="333" t="s">
        <v>682</v>
      </c>
      <c r="C49" s="330" t="str">
        <f>IF(C48="","",VLOOKUP(C48,Magie!$B:$H,2,FALSE))</f>
        <v/>
      </c>
      <c r="D49" s="217"/>
      <c r="E49" s="333" t="s">
        <v>682</v>
      </c>
      <c r="F49" s="330" t="str">
        <f>IF(F48="","",VLOOKUP(F48,Magie!$B:$H,2,FALSE))</f>
        <v/>
      </c>
      <c r="G49" s="217"/>
    </row>
    <row r="50" spans="1:7">
      <c r="A50" s="217"/>
      <c r="B50" s="333" t="s">
        <v>683</v>
      </c>
      <c r="C50" s="330" t="str">
        <f>IF(C48="","",VLOOKUP(C48,Magie!$B:$H,3,FALSE))</f>
        <v/>
      </c>
      <c r="D50" s="217"/>
      <c r="E50" s="333" t="s">
        <v>683</v>
      </c>
      <c r="F50" s="330" t="str">
        <f>IF(F48="","",VLOOKUP(F48,Magie!$B:$H,3,FALSE))</f>
        <v/>
      </c>
      <c r="G50" s="217"/>
    </row>
    <row r="51" spans="1:7">
      <c r="A51" s="217"/>
      <c r="B51" s="333" t="str">
        <f>IF(OR(C46="Runes",C46="Runes Majeures"),"Activation:","Durée:")</f>
        <v>Durée:</v>
      </c>
      <c r="C51" s="330" t="str">
        <f>IF(C48="","",VLOOKUP(C48,Magie!$B:$H,4,FALSE))</f>
        <v/>
      </c>
      <c r="D51" s="217"/>
      <c r="E51" s="333" t="str">
        <f>IF(OR(F46="Runes",F46="Runes Majeures"),"Activation:","Durée:")</f>
        <v>Durée:</v>
      </c>
      <c r="F51" s="330" t="str">
        <f>IF(F48="","",VLOOKUP(F48,Magie!$B:$H,4,FALSE))</f>
        <v/>
      </c>
      <c r="G51" s="217"/>
    </row>
    <row r="52" spans="1:7">
      <c r="A52" s="217"/>
      <c r="B52" s="333" t="s">
        <v>684</v>
      </c>
      <c r="C52" s="330" t="str">
        <f>IF(C48="","",VLOOKUP(C48,Magie!$B:$H,5,FALSE))</f>
        <v/>
      </c>
      <c r="D52" s="217"/>
      <c r="E52" s="333" t="s">
        <v>684</v>
      </c>
      <c r="F52" s="330" t="str">
        <f>IF(F48="","",VLOOKUP(F48,Magie!$B:$H,5,FALSE))</f>
        <v/>
      </c>
      <c r="G52" s="217"/>
    </row>
    <row r="53" spans="1:7">
      <c r="A53" s="217"/>
      <c r="B53" s="333" t="str">
        <f>IF(C47="Domaine de Loec","Note:","Ingrédient:")</f>
        <v>Ingrédient:</v>
      </c>
      <c r="C53" s="441" t="str">
        <f>IF(C48="","",VLOOKUP(C48,Magie!$B:$H,6,FALSE))</f>
        <v/>
      </c>
      <c r="D53" s="217"/>
      <c r="E53" s="333" t="str">
        <f>IF(F47="Domaine de Loec","Note:","Ingrédient:")</f>
        <v>Ingrédient:</v>
      </c>
      <c r="F53" s="441" t="str">
        <f>IF(F48="","",VLOOKUP(F48,Magie!$B:$H,6,FALSE))</f>
        <v/>
      </c>
      <c r="G53" s="217"/>
    </row>
    <row r="54" spans="1:7" ht="46.95" customHeight="1" thickBot="1">
      <c r="A54" s="217"/>
      <c r="B54" s="334" t="s">
        <v>685</v>
      </c>
      <c r="C54" s="845" t="str">
        <f>IF(C48="","",VLOOKUP(C48,Magie!$B:$H,7,FALSE))</f>
        <v/>
      </c>
      <c r="D54" s="217"/>
      <c r="E54" s="334" t="s">
        <v>685</v>
      </c>
      <c r="F54" s="845" t="str">
        <f>IF(F48="","",VLOOKUP(F48,Magie!$B:$H,7,FALSE))</f>
        <v/>
      </c>
      <c r="G54" s="217"/>
    </row>
    <row r="55" spans="1:7" ht="12.75" hidden="1" customHeight="1">
      <c r="A55" s="217"/>
      <c r="B55" s="335"/>
      <c r="C55" s="336" t="str">
        <f>IF(C46="Magie mineure",'listes magies'!$A$3,IF(C46="Runes",'listes magies'!$CO$3,IF(C46="Runes Majeures",'listes magies'!$CQ$3,IF(C47="","",IF(HLOOKUP(C47,'listes magies'!$B$2:$CT$35,2,FALSE)=0,"",HLOOKUP(C47,'listes magies'!$B$2:$CT$35,2,FALSE))))))</f>
        <v/>
      </c>
      <c r="D55" s="217"/>
      <c r="E55" s="335"/>
      <c r="F55" s="336" t="str">
        <f>IF(F46="Magie mineure",'listes magies'!$A$3,IF(F46="Runes",'listes magies'!$CO$3,IF(F46="Runes Majeures",'listes magies'!$CQ$3,IF(F47="","",IF(HLOOKUP(F47,'listes magies'!$B$2:$CT$35,2,FALSE)=0,"",HLOOKUP(F47,'listes magies'!$B$2:$CT$35,2,FALSE))))))</f>
        <v/>
      </c>
      <c r="G55" s="217"/>
    </row>
    <row r="56" spans="1:7" ht="12.75" hidden="1" customHeight="1">
      <c r="A56" s="217"/>
      <c r="B56" s="335"/>
      <c r="C56" s="336" t="str">
        <f>IF(C46="Magie mineure",'listes magies'!$A$4,IF(C46="Runes",'listes magies'!$CO$4,IF(C46="Runes Majeures",'listes magies'!$CQ$3,IF(C47="","",IF(HLOOKUP(C47,'listes magies'!$B$2:$CT$35,2,FALSE)=0,"",HLOOKUP(C47,'listes magies'!$B$2:$CT$35,3,FALSE))))))</f>
        <v/>
      </c>
      <c r="D56" s="217"/>
      <c r="E56" s="335"/>
      <c r="F56" s="336" t="str">
        <f>IF(F46="Magie mineure",'listes magies'!$A$4,IF(F46="Runes",'listes magies'!$CO$4,IF(F46="Runes Majeures",'listes magies'!$CQ$3,IF(F47="","",IF(HLOOKUP(F47,'listes magies'!$B$2:$CT$35,2,FALSE)=0,"",HLOOKUP(F47,'listes magies'!$B$2:$CT$35,3,FALSE))))))</f>
        <v/>
      </c>
      <c r="G56" s="217"/>
    </row>
    <row r="57" spans="1:7" ht="12.75" hidden="1" customHeight="1">
      <c r="A57" s="217"/>
      <c r="B57" s="335"/>
      <c r="C57" s="336" t="str">
        <f>IF(C46="Magie mineure",'listes magies'!$A$5,IF(C46="Runes",'listes magies'!$CO$5,IF(C46="Runes Majeures",'listes magies'!$CQ$5,IF(C47="","",IF(HLOOKUP(C47,'listes magies'!$B$2:$CT$35,4,FALSE)=0,"",HLOOKUP(C47,'listes magies'!$B$2:$CT$35,4,FALSE))))))</f>
        <v/>
      </c>
      <c r="D57" s="217"/>
      <c r="E57" s="335"/>
      <c r="F57" s="336" t="str">
        <f>IF(F46="Magie mineure",'listes magies'!$A$5,IF(F46="Runes",'listes magies'!$CO$5,IF(F46="Runes Majeures",'listes magies'!$CQ$5,IF(F47="","",IF(HLOOKUP(F47,'listes magies'!$B$2:$CT$35,4,FALSE)=0,"",HLOOKUP(F47,'listes magies'!$B$2:$CT$35,4,FALSE))))))</f>
        <v/>
      </c>
      <c r="G57" s="217"/>
    </row>
    <row r="58" spans="1:7" ht="12.75" hidden="1" customHeight="1">
      <c r="A58" s="217"/>
      <c r="B58" s="335"/>
      <c r="C58" s="336" t="str">
        <f>IF(C46="Magie mineure",'listes magies'!$A$6,IF(C46="Runes",'listes magies'!$CO$6,IF(C46="Runes Majeures",'listes magies'!$CQ$6,IF(C47="","",IF(HLOOKUP(C47,'listes magies'!$B$2:$CT$35,5,FALSE)=0,"",HLOOKUP(C47,'listes magies'!$B$2:$CT$35,5,FALSE))))))</f>
        <v/>
      </c>
      <c r="D58" s="217"/>
      <c r="E58" s="335"/>
      <c r="F58" s="336" t="str">
        <f>IF(F46="Magie mineure",'listes magies'!$A$6,IF(F46="Runes",'listes magies'!$CO$6,IF(F46="Runes Majeures",'listes magies'!$CQ$6,IF(F47="","",IF(HLOOKUP(F47,'listes magies'!$B$2:$CT$35,5,FALSE)=0,"",HLOOKUP(F47,'listes magies'!$B$2:$CT$35,5,FALSE))))))</f>
        <v/>
      </c>
      <c r="G58" s="217"/>
    </row>
    <row r="59" spans="1:7" ht="12.75" hidden="1" customHeight="1">
      <c r="A59" s="217"/>
      <c r="B59" s="335"/>
      <c r="C59" s="336" t="str">
        <f>IF(C46="Magie mineure",'listes magies'!$A$7,IF(C46="Runes",'listes magies'!$CO$7,IF(C46="Runes Majeures",'listes magies'!$CQ$7,IF(C47="","",IF(HLOOKUP(C47,'listes magies'!$B$2:$CT$35,6,FALSE)=0,"",HLOOKUP(C47,'listes magies'!$B$2:$CT$35,6,FALSE))))))</f>
        <v/>
      </c>
      <c r="D59" s="217"/>
      <c r="E59" s="335"/>
      <c r="F59" s="336" t="str">
        <f>IF(F46="Magie mineure",'listes magies'!$A$7,IF(F46="Runes",'listes magies'!$CO$7,IF(F46="Runes Majeures",'listes magies'!$CQ$7,IF(F47="","",IF(HLOOKUP(F47,'listes magies'!$B$2:$CT$35,6,FALSE)=0,"",HLOOKUP(F47,'listes magies'!$B$2:$CT$35,6,FALSE))))))</f>
        <v/>
      </c>
      <c r="G59" s="217"/>
    </row>
    <row r="60" spans="1:7" ht="12.75" hidden="1" customHeight="1">
      <c r="A60" s="217"/>
      <c r="B60" s="335"/>
      <c r="C60" s="336" t="str">
        <f>IF(C46="Magie mineure",'listes magies'!$A$8,IF(C46="Runes",'listes magies'!$CO$8,IF(C46="Runes Majeures",'listes magies'!$CQ$8,IF(C47="","",IF(HLOOKUP(C47,'listes magies'!$B$2:$CT$35,7,FALSE)=0,"",HLOOKUP(C47,'listes magies'!$B$2:$CT$35,7,FALSE))))))</f>
        <v/>
      </c>
      <c r="D60" s="217"/>
      <c r="E60" s="335"/>
      <c r="F60" s="336" t="str">
        <f>IF(F46="Magie mineure",'listes magies'!$A$8,IF(F46="Runes",'listes magies'!$CO$8,IF(F46="Runes Majeures",'listes magies'!$CQ$8,IF(F47="","",IF(HLOOKUP(F47,'listes magies'!$B$2:$CT$35,7,FALSE)=0,"",HLOOKUP(F47,'listes magies'!$B$2:$CT$35,7,FALSE))))))</f>
        <v/>
      </c>
      <c r="G60" s="217"/>
    </row>
    <row r="61" spans="1:7" ht="12.75" hidden="1" customHeight="1">
      <c r="A61" s="217"/>
      <c r="B61" s="335"/>
      <c r="C61" s="336" t="str">
        <f>IF(C46="Magie mineure",'listes magies'!$A$9,IF(C46="Runes",'listes magies'!$CO$9,IF(C46="Runes Majeures",'listes magies'!$CQ$9,IF(C47="","",IF(HLOOKUP(C47,'listes magies'!$B$2:$CT$35,8,FALSE)=0,"",HLOOKUP(C47,'listes magies'!$B$2:$CT$35,8,FALSE))))))</f>
        <v/>
      </c>
      <c r="D61" s="217"/>
      <c r="E61" s="335"/>
      <c r="F61" s="336" t="str">
        <f>IF(F46="Magie mineure",'listes magies'!$A$9,IF(F46="Runes",'listes magies'!$CO$9,IF(F46="Runes Majeures",'listes magies'!$CQ$9,IF(F47="","",IF(HLOOKUP(F47,'listes magies'!$B$2:$CT$35,8,FALSE)=0,"",HLOOKUP(F47,'listes magies'!$B$2:$CT$35,8,FALSE))))))</f>
        <v/>
      </c>
      <c r="G61" s="217"/>
    </row>
    <row r="62" spans="1:7" ht="12.75" hidden="1" customHeight="1">
      <c r="A62" s="217"/>
      <c r="B62" s="335"/>
      <c r="C62" s="336" t="str">
        <f>IF(C46="Magie mineure",'listes magies'!$A$10,IF(C46="Runes",'listes magies'!$CO$10,IF(C46="Runes Majeures",'listes magies'!$CQ$10,IF(C47="","",IF(HLOOKUP(C47,'listes magies'!$B$2:$CT$35,9,FALSE)=0,"",HLOOKUP(C47,'listes magies'!$B$2:$CT$35,9,FALSE))))))</f>
        <v/>
      </c>
      <c r="D62" s="217"/>
      <c r="E62" s="335"/>
      <c r="F62" s="336" t="str">
        <f>IF(F46="Magie mineure",'listes magies'!$A$10,IF(F46="Runes",'listes magies'!$CO$10,IF(F46="Runes Majeures",'listes magies'!$CQ$10,IF(F47="","",IF(HLOOKUP(F47,'listes magies'!$B$2:$CT$35,9,FALSE)=0,"",HLOOKUP(F47,'listes magies'!$B$2:$CT$35,9,FALSE))))))</f>
        <v/>
      </c>
      <c r="G62" s="217"/>
    </row>
    <row r="63" spans="1:7" ht="12.75" hidden="1" customHeight="1">
      <c r="A63" s="217"/>
      <c r="B63" s="335"/>
      <c r="C63" s="336" t="str">
        <f>IF(C46="Magie mineure",'listes magies'!$A$11,IF(C46="Runes",'listes magies'!$CO$11,IF(C46="Runes Majeures",'listes magies'!$CQ$11,IF(C47="","",IF(HLOOKUP(C47,'listes magies'!$B$2:$CT$35,10,FALSE)=0,"",HLOOKUP(C47,'listes magies'!$B$2:$CT$35,10,FALSE))))))</f>
        <v/>
      </c>
      <c r="D63" s="217"/>
      <c r="E63" s="335"/>
      <c r="F63" s="336" t="str">
        <f>IF(F46="Magie mineure",'listes magies'!$A$11,IF(F46="Runes",'listes magies'!$CO$11,IF(F46="Runes Majeures",'listes magies'!$CQ$11,IF(F47="","",IF(HLOOKUP(F47,'listes magies'!$B$2:$CT$35,10,FALSE)=0,"",HLOOKUP(F47,'listes magies'!$B$2:$CT$35,10,FALSE))))))</f>
        <v/>
      </c>
      <c r="G63" s="217"/>
    </row>
    <row r="64" spans="1:7" ht="12.75" hidden="1" customHeight="1">
      <c r="A64" s="217"/>
      <c r="B64" s="335"/>
      <c r="C64" s="336" t="str">
        <f>IF(C46="Magie mineure",'listes magies'!$A$12,IF(C46="Runes",'listes magies'!$CO$12,IF(C46="Runes Majeures",'listes magies'!$CQ$12,IF(C47="","",IF(HLOOKUP(C47,'listes magies'!$B$2:$CT$35,11,FALSE)=0,"",HLOOKUP(C47,'listes magies'!$B$2:$CT$35,11,FALSE))))))</f>
        <v/>
      </c>
      <c r="D64" s="217"/>
      <c r="E64" s="335"/>
      <c r="F64" s="336" t="str">
        <f>IF(F46="Magie mineure",'listes magies'!$A$12,IF(F46="Runes",'listes magies'!$CO$12,IF(F46="Runes Majeures",'listes magies'!$CQ$12,IF(F47="","",IF(HLOOKUP(F47,'listes magies'!$B$2:$CT$35,11,FALSE)=0,"",HLOOKUP(F47,'listes magies'!$B$2:$CT$35,11,FALSE))))))</f>
        <v/>
      </c>
      <c r="G64" s="217"/>
    </row>
    <row r="65" spans="1:7" ht="12.75" hidden="1" customHeight="1">
      <c r="A65" s="217"/>
      <c r="B65" s="335"/>
      <c r="C65" s="336" t="str">
        <f>IF(C46="Magie mineure",'listes magies'!$A$13,IF(C46="Runes",'listes magies'!$CO$13,IF(C46="Runes Majeures",'listes magies'!$CQ$13,IF(C47="","",IF(HLOOKUP(C47,'listes magies'!$B$2:$CT$35,12,FALSE)=0,"",HLOOKUP(C47,'listes magies'!$B$2:$CT$35,12,FALSE))))))</f>
        <v/>
      </c>
      <c r="D65" s="217"/>
      <c r="E65" s="335"/>
      <c r="F65" s="336" t="str">
        <f>IF(F46="Magie mineure",'listes magies'!$A$13,IF(F46="Runes",'listes magies'!$CO$13,IF(F46="Runes Majeures",'listes magies'!$CQ$13,IF(F47="","",IF(HLOOKUP(F47,'listes magies'!$B$2:$CT$35,12,FALSE)=0,"",HLOOKUP(F47,'listes magies'!$B$2:$CT$35,12,FALSE))))))</f>
        <v/>
      </c>
      <c r="G65" s="217"/>
    </row>
    <row r="66" spans="1:7" ht="12.75" hidden="1" customHeight="1">
      <c r="A66" s="217"/>
      <c r="B66" s="335"/>
      <c r="C66" s="336" t="str">
        <f>IF(C46="Magie mineure",'listes magies'!$A$14,IF(C46="Runes",'listes magies'!$CO$14,IF(C46="Runes Majeures",'listes magies'!$CQ$14,IF(C47="","",IF(HLOOKUP(C47,'listes magies'!$B$2:$CT$35,13,FALSE)=0,"",HLOOKUP(C47,'listes magies'!$B$2:$CT$35,13,FALSE))))))</f>
        <v/>
      </c>
      <c r="D66" s="217"/>
      <c r="E66" s="335"/>
      <c r="F66" s="336" t="str">
        <f>IF(F46="Magie mineure",'listes magies'!$A$14,IF(F46="Runes",'listes magies'!$CO$14,IF(F46="Runes Majeures",'listes magies'!$CQ$14,IF(F47="","",IF(HLOOKUP(F47,'listes magies'!$B$2:$CT$35,13,FALSE)=0,"",HLOOKUP(F47,'listes magies'!$B$2:$CT$35,13,FALSE))))))</f>
        <v/>
      </c>
      <c r="G66" s="217"/>
    </row>
    <row r="67" spans="1:7" ht="12.75" hidden="1" customHeight="1">
      <c r="A67" s="217"/>
      <c r="B67" s="335"/>
      <c r="C67" s="336" t="str">
        <f>IF(C46="Magie mineure",'listes magies'!$A$15,IF(C46="Runes",'listes magies'!$CO$15,IF(C46="Runes Majeures",'listes magies'!$CQ$15,IF(C47="","",IF(HLOOKUP(C47,'listes magies'!$B$2:$CT$35,14,FALSE)=0,"",HLOOKUP(C47,'listes magies'!$B$2:$CT$35,14,FALSE))))))</f>
        <v/>
      </c>
      <c r="D67" s="217"/>
      <c r="E67" s="335"/>
      <c r="F67" s="336" t="str">
        <f>IF(F46="Magie mineure",'listes magies'!$A$15,IF(F46="Runes",'listes magies'!$CO$15,IF(F46="Runes Majeures",'listes magies'!$CQ$15,IF(F47="","",IF(HLOOKUP(F47,'listes magies'!$B$2:$CT$35,14,FALSE)=0,"",HLOOKUP(F47,'listes magies'!$B$2:$CT$35,14,FALSE))))))</f>
        <v/>
      </c>
      <c r="G67" s="217"/>
    </row>
    <row r="68" spans="1:7" ht="12.75" hidden="1" customHeight="1">
      <c r="A68" s="217"/>
      <c r="B68" s="335"/>
      <c r="C68" s="336" t="str">
        <f>IF(C46="Magie mineure",'listes magies'!$A$16,IF(C46="Runes",'listes magies'!$CO$16,IF(C46="Runes Majeures",'listes magies'!$CQ$16,IF(C47="","",IF(HLOOKUP(C47,'listes magies'!$B$2:$CT$35,15,FALSE)=0,"",HLOOKUP(C47,'listes magies'!$B$2:$CT$35,15,FALSE))))))</f>
        <v/>
      </c>
      <c r="D68" s="217"/>
      <c r="E68" s="335"/>
      <c r="F68" s="336" t="str">
        <f>IF(F46="Magie mineure",'listes magies'!$A$16,IF(F46="Runes",'listes magies'!$CO$16,IF(F46="Runes Majeures",'listes magies'!$CQ$16,IF(F47="","",IF(HLOOKUP(F47,'listes magies'!$B$2:$CT$35,15,FALSE)=0,"",HLOOKUP(F47,'listes magies'!$B$2:$CT$35,15,FALSE))))))</f>
        <v/>
      </c>
      <c r="G68" s="217"/>
    </row>
    <row r="69" spans="1:7" ht="12.75" hidden="1" customHeight="1">
      <c r="A69" s="217"/>
      <c r="B69" s="335"/>
      <c r="C69" s="336" t="str">
        <f>IF(C46="Magie mineure",'listes magies'!$A$17,IF(C46="Runes",'listes magies'!$CO$17,IF(C46="Runes Majeures","",IF(C47="","",IF(HLOOKUP(C47,'listes magies'!$B$2:$CT$35,16,FALSE)=0,"",HLOOKUP(C47,'listes magies'!$B$2:$CT$35,16,FALSE))))))</f>
        <v/>
      </c>
      <c r="D69" s="217"/>
      <c r="E69" s="335"/>
      <c r="F69" s="336" t="str">
        <f>IF(F46="Magie mineure",'listes magies'!$A$17,IF(F46="Runes",'listes magies'!$CO$17,IF(F46="Runes Majeures","",IF(F47="","",IF(HLOOKUP(F47,'listes magies'!$B$2:$CT$35,16,FALSE)=0,"",HLOOKUP(F47,'listes magies'!$B$2:$CT$35,16,FALSE))))))</f>
        <v/>
      </c>
      <c r="G69" s="217"/>
    </row>
    <row r="70" spans="1:7" ht="12.75" hidden="1" customHeight="1">
      <c r="A70" s="217"/>
      <c r="B70" s="335"/>
      <c r="C70" s="336" t="str">
        <f>IF(C46="Magie mineure",'listes magies'!$A60,IF(C46="Runes",'listes magies'!$CO$18,IF(C46="Runes Majeures","",IF(C47="","",IF(HLOOKUP(C47,'listes magies'!$B$2:$CT$35,17,FALSE)=0,"",HLOOKUP(C47,'listes magies'!$B$2:$CT$35,17,FALSE))))))</f>
        <v/>
      </c>
      <c r="D70" s="217"/>
      <c r="E70" s="335"/>
      <c r="F70" s="336" t="str">
        <f>IF(F46="Magie mineure",'listes magies'!$A60,IF(F46="Runes",'listes magies'!$CO$18,IF(F46="Runes Majeures","",IF(F47="","",IF(HLOOKUP(F47,'listes magies'!$B$2:$CT$35,17,FALSE)=0,"",HLOOKUP(F47,'listes magies'!$B$2:$CT$35,17,FALSE))))))</f>
        <v/>
      </c>
      <c r="G70" s="217"/>
    </row>
    <row r="71" spans="1:7" ht="12.75" hidden="1" customHeight="1">
      <c r="A71" s="217"/>
      <c r="B71" s="335"/>
      <c r="C71" s="336" t="str">
        <f>IF(C46="Magie mineure",'listes magies'!$A$19,IF(C46="Runes",'listes magies'!$CO$19,IF(C46="Runes Majeures","",IF(C47="","",IF(HLOOKUP(C47,'listes magies'!$B$2:$CT$35,18,FALSE)=0,"",HLOOKUP(C47,'listes magies'!$B$2:$CT$35,18,FALSE))))))</f>
        <v/>
      </c>
      <c r="D71" s="217"/>
      <c r="E71" s="335"/>
      <c r="F71" s="336" t="str">
        <f>IF(F46="Magie mineure",'listes magies'!$A$19,IF(F46="Runes",'listes magies'!$CO$19,IF(F46="Runes Majeures","",IF(F47="","",IF(HLOOKUP(F47,'listes magies'!$B$2:$CT$35,18,FALSE)=0,"",HLOOKUP(F47,'listes magies'!$B$2:$CT$35,18,FALSE))))))</f>
        <v/>
      </c>
      <c r="G71" s="217"/>
    </row>
    <row r="72" spans="1:7" ht="12.75" hidden="1" customHeight="1">
      <c r="A72" s="217"/>
      <c r="B72" s="335"/>
      <c r="C72" s="336" t="str">
        <f>IF(C46="Magie mineure",'listes magies'!$A$20,IF(C46="Runes",'listes magies'!$CO$20,IF(C46="Runes Majeures","",IF(C47="","",IF(HLOOKUP(C47,'listes magies'!$B$2:$CT$35,19,FALSE)=0,"",HLOOKUP(C47,'listes magies'!$B$2:$CT$35,19,FALSE))))))</f>
        <v/>
      </c>
      <c r="D72" s="217"/>
      <c r="E72" s="335"/>
      <c r="F72" s="336" t="str">
        <f>IF(F46="Magie mineure",'listes magies'!$A$20,IF(F46="Runes",'listes magies'!$CO$20,IF(F46="Runes Majeures","",IF(F47="","",IF(HLOOKUP(F47,'listes magies'!$B$2:$CT$35,19,FALSE)=0,"",HLOOKUP(F47,'listes magies'!$B$2:$CT$35,19,FALSE))))))</f>
        <v/>
      </c>
      <c r="G72" s="217"/>
    </row>
    <row r="73" spans="1:7" ht="12.75" hidden="1" customHeight="1">
      <c r="A73" s="217"/>
      <c r="B73" s="335"/>
      <c r="C73" s="336" t="str">
        <f>IF(C46="Magie mineure",'listes magies'!$A$21,IF(C46="Runes",'listes magies'!$CO$21,IF(C46="Runes Majeures","",IF(C47="","",IF(HLOOKUP(C47,'listes magies'!$B$2:$CT$35,20,FALSE)=0,"",HLOOKUP(C47,'listes magies'!$B$2:$CT$35,20,FALSE))))))</f>
        <v/>
      </c>
      <c r="D73" s="217"/>
      <c r="E73" s="335"/>
      <c r="F73" s="336" t="str">
        <f>IF(F46="Magie mineure",'listes magies'!$A$21,IF(F46="Runes",'listes magies'!$CO$21,IF(F46="Runes Majeures","",IF(F47="","",IF(HLOOKUP(F47,'listes magies'!$B$2:$CT$35,20,FALSE)=0,"",HLOOKUP(F47,'listes magies'!$B$2:$CT$35,20,FALSE))))))</f>
        <v/>
      </c>
      <c r="G73" s="217"/>
    </row>
    <row r="74" spans="1:7" ht="12.75" hidden="1" customHeight="1">
      <c r="A74" s="217"/>
      <c r="B74" s="335"/>
      <c r="C74" s="336" t="str">
        <f>IF(C46="Magie mineure",'listes magies'!$A$22,IF(C46="Runes",'listes magies'!$CO$22,IF(C46="Runes Majeures","",IF(C47="","",IF(HLOOKUP(C47,'listes magies'!$B$2:$CT$35,21,FALSE)=0,"",HLOOKUP(C47,'listes magies'!$B$2:$CT$35,21,FALSE))))))</f>
        <v/>
      </c>
      <c r="D74" s="217"/>
      <c r="E74" s="335"/>
      <c r="F74" s="336" t="str">
        <f>IF(F46="Magie mineure",'listes magies'!$A$22,IF(F46="Runes",'listes magies'!$CO$22,IF(F46="Runes Majeures","",IF(F47="","",IF(HLOOKUP(F47,'listes magies'!$B$2:$CT$35,21,FALSE)=0,"",HLOOKUP(F47,'listes magies'!$B$2:$CT$35,21,FALSE))))))</f>
        <v/>
      </c>
      <c r="G74" s="217"/>
    </row>
    <row r="75" spans="1:7" ht="12.75" hidden="1" customHeight="1">
      <c r="A75" s="217"/>
      <c r="B75" s="335"/>
      <c r="C75" s="336" t="str">
        <f>IF(C46="Magie mineure",'listes magies'!$A$23,IF(C46="Runes",'listes magies'!$CO$22,IF(C46="Runes Majeures","",IF(C47="","",IF(HLOOKUP(C47,'listes magies'!$B$2:$CT$35,22,FALSE)=0,"",HLOOKUP(C47,'listes magies'!$B$2:$CT$35,22,FALSE))))))</f>
        <v/>
      </c>
      <c r="D75" s="217"/>
      <c r="E75" s="335"/>
      <c r="F75" s="336" t="str">
        <f>IF(F46="Magie mineure",'listes magies'!$A$23,IF(F46="Runes",'listes magies'!$CO$22,IF(F46="Runes Majeures","",IF(F47="","",IF(HLOOKUP(F47,'listes magies'!$B$2:$CT$35,22,FALSE)=0,"",HLOOKUP(F47,'listes magies'!$B$2:$CT$35,22,FALSE))))))</f>
        <v/>
      </c>
      <c r="G75" s="217"/>
    </row>
    <row r="76" spans="1:7" ht="12.75" hidden="1" customHeight="1">
      <c r="A76" s="217"/>
      <c r="B76" s="335"/>
      <c r="C76" s="336" t="str">
        <f>IF(C46="Magie mineure",'listes magies'!$A$24,IF(C46="Runes Majeures","",IF(C47="","",IF(HLOOKUP(C47,'listes magies'!$B$2:$CT$35,23,FALSE)=0,"",HLOOKUP(C47,'listes magies'!$B$2:$CT$35,23,FALSE)))))</f>
        <v/>
      </c>
      <c r="D76" s="217"/>
      <c r="E76" s="335"/>
      <c r="F76" s="336" t="str">
        <f>IF(F46="Magie mineure",'listes magies'!$A$24,IF(F46="Runes Majeures","",IF(F47="","",IF(HLOOKUP(F47,'listes magies'!$B$2:$CT$35,23,FALSE)=0,"",HLOOKUP(F47,'listes magies'!$B$2:$CT$35,23,FALSE)))))</f>
        <v/>
      </c>
      <c r="G76" s="217"/>
    </row>
    <row r="77" spans="1:7" ht="12.75" hidden="1" customHeight="1">
      <c r="A77" s="217"/>
      <c r="B77" s="335"/>
      <c r="C77" s="336" t="str">
        <f>IF(C46="Magie mineure",'listes magies'!$A$25,IF(C46="Runes Majeures","",IF(C47="","",IF(HLOOKUP(C47,'listes magies'!$B$2:$CT$35,24,FALSE)=0,"",HLOOKUP(C47,'listes magies'!$B$2:$CT$35,24,FALSE)))))</f>
        <v/>
      </c>
      <c r="D77" s="217"/>
      <c r="E77" s="335"/>
      <c r="F77" s="336" t="str">
        <f>IF(F46="Magie mineure",'listes magies'!$A$25,IF(F46="Runes Majeures","",IF(F47="","",IF(HLOOKUP(F47,'listes magies'!$B$2:$CT$35,24,FALSE)=0,"",HLOOKUP(F47,'listes magies'!$B$2:$CT$35,24,FALSE)))))</f>
        <v/>
      </c>
      <c r="G77" s="217"/>
    </row>
    <row r="78" spans="1:7" ht="12.75" hidden="1" customHeight="1">
      <c r="A78" s="217"/>
      <c r="B78" s="335"/>
      <c r="C78" s="336" t="str">
        <f>IF(C46="Magie mineure",'listes magies'!$A$26,IF(C46="Runes","",IF(C46="Runes Majeures","",IF(C47="","",IF(HLOOKUP(C47,'listes magies'!$B$2:$CT$35,25,FALSE)=0,"",HLOOKUP(C47,'listes magies'!$B$2:$CT$35,25,FALSE))))))</f>
        <v/>
      </c>
      <c r="D78" s="217"/>
      <c r="E78" s="335"/>
      <c r="F78" s="336" t="str">
        <f>IF(F46="Magie mineure",'listes magies'!$A$26,IF(F46="Runes","",IF(F46="Runes Majeures","",IF(F47="","",IF(HLOOKUP(F47,'listes magies'!$B$2:$CT$35,25,FALSE)=0,"",HLOOKUP(F47,'listes magies'!$B$2:$CT$35,25,FALSE))))))</f>
        <v/>
      </c>
      <c r="G78" s="217"/>
    </row>
    <row r="79" spans="1:7" ht="12.75" hidden="1" customHeight="1">
      <c r="A79" s="217"/>
      <c r="B79" s="335"/>
      <c r="C79" s="336" t="str">
        <f>IF(C46="Magie mineure",'listes magies'!$A$27,"")</f>
        <v/>
      </c>
      <c r="D79" s="217"/>
      <c r="E79" s="335"/>
      <c r="F79" s="336" t="str">
        <f>IF(F46="Magie mineure",'listes magies'!$A$27,"")</f>
        <v/>
      </c>
      <c r="G79" s="217"/>
    </row>
    <row r="80" spans="1:7" ht="12.75" hidden="1" customHeight="1">
      <c r="A80" s="217"/>
      <c r="B80" s="335"/>
      <c r="C80" s="336" t="str">
        <f>IF(C46="Magie mineure",'listes magies'!$A$28,"")</f>
        <v/>
      </c>
      <c r="D80" s="217"/>
      <c r="E80" s="335"/>
      <c r="F80" s="336" t="str">
        <f>IF(F46="Magie mineure",'listes magies'!$A$28,"")</f>
        <v/>
      </c>
      <c r="G80" s="217"/>
    </row>
    <row r="81" spans="1:7" ht="12.75" hidden="1" customHeight="1">
      <c r="A81" s="217"/>
      <c r="B81" s="335"/>
      <c r="C81" s="336" t="str">
        <f>IF(C46="Magie mineure",'listes magies'!$A$29,"")</f>
        <v/>
      </c>
      <c r="D81" s="217"/>
      <c r="E81" s="335"/>
      <c r="F81" s="336" t="str">
        <f>IF(F46="Magie mineure",'listes magies'!$A$29,"")</f>
        <v/>
      </c>
      <c r="G81" s="217"/>
    </row>
    <row r="82" spans="1:7" ht="12.75" hidden="1" customHeight="1">
      <c r="A82" s="217"/>
      <c r="B82" s="335"/>
      <c r="C82" s="336" t="str">
        <f>IF(C46="Magie mineure",'listes magies'!$A$30,"")</f>
        <v/>
      </c>
      <c r="D82" s="217"/>
      <c r="E82" s="335"/>
      <c r="F82" s="336" t="str">
        <f>IF(F46="Magie mineure",'listes magies'!$A$30,"")</f>
        <v/>
      </c>
      <c r="G82" s="217"/>
    </row>
    <row r="83" spans="1:7" ht="12.75" hidden="1" customHeight="1">
      <c r="A83" s="217"/>
      <c r="B83" s="335"/>
      <c r="C83" s="336" t="str">
        <f>IF(C46="Magie mineure",'listes magies'!$A$31,"")</f>
        <v/>
      </c>
      <c r="D83" s="217"/>
      <c r="E83" s="335"/>
      <c r="F83" s="336" t="str">
        <f>IF(F46="Magie mineure",'listes magies'!$A$31,"")</f>
        <v/>
      </c>
      <c r="G83" s="217"/>
    </row>
    <row r="84" spans="1:7" ht="12.75" hidden="1" customHeight="1">
      <c r="A84" s="217"/>
      <c r="B84" s="335"/>
      <c r="C84" s="336" t="str">
        <f>IF(C46="Magie mineure",'listes magies'!$A$32,"")</f>
        <v/>
      </c>
      <c r="D84" s="217"/>
      <c r="E84" s="335"/>
      <c r="F84" s="336" t="str">
        <f>IF(F46="Magie mineure",'listes magies'!$A$32,"")</f>
        <v/>
      </c>
      <c r="G84" s="217"/>
    </row>
    <row r="85" spans="1:7" ht="12.75" hidden="1" customHeight="1">
      <c r="A85" s="217"/>
      <c r="B85" s="335"/>
      <c r="C85" s="336" t="str">
        <f>IF(C46="Magie mineure",'listes magies'!$A$33,"")</f>
        <v/>
      </c>
      <c r="D85" s="217"/>
      <c r="E85" s="335"/>
      <c r="F85" s="336" t="str">
        <f>IF(F46="Magie mineure",'listes magies'!$A$33,"")</f>
        <v/>
      </c>
      <c r="G85" s="217"/>
    </row>
    <row r="86" spans="1:7" ht="12.75" hidden="1" customHeight="1">
      <c r="A86" s="217"/>
      <c r="B86" s="335"/>
      <c r="C86" s="336" t="str">
        <f>IF(C46="Magie mineure",'listes magies'!$A$34,"")</f>
        <v/>
      </c>
      <c r="D86" s="217"/>
      <c r="E86" s="335"/>
      <c r="F86" s="336" t="str">
        <f>IF(F46="Magie mineure",'listes magies'!$A$34,"")</f>
        <v/>
      </c>
      <c r="G86" s="217"/>
    </row>
    <row r="87" spans="1:7" ht="6" customHeight="1" thickBot="1">
      <c r="A87" s="217"/>
      <c r="B87" s="217"/>
      <c r="C87" s="217"/>
      <c r="D87" s="217"/>
      <c r="E87" s="217"/>
      <c r="F87" s="217"/>
      <c r="G87" s="217"/>
    </row>
    <row r="88" spans="1:7">
      <c r="A88" s="217"/>
      <c r="B88" s="331" t="s">
        <v>679</v>
      </c>
      <c r="C88" s="332"/>
      <c r="D88" s="217"/>
      <c r="E88" s="331" t="s">
        <v>679</v>
      </c>
      <c r="F88" s="332"/>
      <c r="G88" s="217"/>
    </row>
    <row r="89" spans="1:7">
      <c r="A89" s="217"/>
      <c r="B89" s="333" t="s">
        <v>680</v>
      </c>
      <c r="C89" s="330"/>
      <c r="D89" s="217"/>
      <c r="E89" s="333" t="s">
        <v>680</v>
      </c>
      <c r="F89" s="330"/>
      <c r="G89" s="217"/>
    </row>
    <row r="90" spans="1:7">
      <c r="A90" s="217"/>
      <c r="B90" s="333" t="s">
        <v>681</v>
      </c>
      <c r="C90" s="330"/>
      <c r="D90" s="217"/>
      <c r="E90" s="333" t="s">
        <v>681</v>
      </c>
      <c r="F90" s="330"/>
      <c r="G90" s="217"/>
    </row>
    <row r="91" spans="1:7">
      <c r="A91" s="217"/>
      <c r="B91" s="333" t="s">
        <v>682</v>
      </c>
      <c r="C91" s="330" t="str">
        <f>IF(C90="","",VLOOKUP(C90,Magie!$B:$H,2,FALSE))</f>
        <v/>
      </c>
      <c r="D91" s="217"/>
      <c r="E91" s="333" t="s">
        <v>682</v>
      </c>
      <c r="F91" s="330" t="str">
        <f>IF(F90="","",VLOOKUP(F90,Magie!$B:$H,2,FALSE))</f>
        <v/>
      </c>
      <c r="G91" s="217"/>
    </row>
    <row r="92" spans="1:7">
      <c r="A92" s="217"/>
      <c r="B92" s="333" t="s">
        <v>683</v>
      </c>
      <c r="C92" s="330" t="str">
        <f>IF(C90="","",VLOOKUP(C90,Magie!$B:$H,3,FALSE))</f>
        <v/>
      </c>
      <c r="D92" s="217"/>
      <c r="E92" s="333" t="s">
        <v>683</v>
      </c>
      <c r="F92" s="330" t="str">
        <f>IF(F90="","",VLOOKUP(F90,Magie!$B:$H,3,FALSE))</f>
        <v/>
      </c>
      <c r="G92" s="217"/>
    </row>
    <row r="93" spans="1:7">
      <c r="A93" s="217"/>
      <c r="B93" s="333" t="str">
        <f>IF(OR(C88="Runes",C88="Runes Majeures"),"Activation:","Durée:")</f>
        <v>Durée:</v>
      </c>
      <c r="C93" s="330" t="str">
        <f>IF(C90="","",VLOOKUP(C90,Magie!$B:$H,4,FALSE))</f>
        <v/>
      </c>
      <c r="D93" s="217"/>
      <c r="E93" s="333" t="str">
        <f>IF(OR(F88="Runes",F88="Runes Majeures"),"Activation:","Durée:")</f>
        <v>Durée:</v>
      </c>
      <c r="F93" s="330" t="str">
        <f>IF(F90="","",VLOOKUP(F90,Magie!$B:$H,4,FALSE))</f>
        <v/>
      </c>
      <c r="G93" s="217"/>
    </row>
    <row r="94" spans="1:7">
      <c r="A94" s="217"/>
      <c r="B94" s="333" t="s">
        <v>684</v>
      </c>
      <c r="C94" s="330" t="str">
        <f>IF(C90="","",VLOOKUP(C90,Magie!$B:$H,5,FALSE))</f>
        <v/>
      </c>
      <c r="D94" s="217"/>
      <c r="E94" s="333" t="s">
        <v>684</v>
      </c>
      <c r="F94" s="330" t="str">
        <f>IF(F90="","",VLOOKUP(F90,Magie!$B:$H,5,FALSE))</f>
        <v/>
      </c>
      <c r="G94" s="217"/>
    </row>
    <row r="95" spans="1:7">
      <c r="A95" s="217"/>
      <c r="B95" s="333" t="str">
        <f>IF(C89="Domaine de Loec","Note:","Ingrédient:")</f>
        <v>Ingrédient:</v>
      </c>
      <c r="C95" s="441" t="str">
        <f>IF(C90="","",VLOOKUP(C90,Magie!$B:$H,6,FALSE))</f>
        <v/>
      </c>
      <c r="D95" s="217"/>
      <c r="E95" s="333" t="str">
        <f>IF(F89="Domaine de Loec","Note:","Ingrédient:")</f>
        <v>Ingrédient:</v>
      </c>
      <c r="F95" s="441" t="str">
        <f>IF(F90="","",VLOOKUP(F90,Magie!$B:$H,6,FALSE))</f>
        <v/>
      </c>
      <c r="G95" s="217"/>
    </row>
    <row r="96" spans="1:7" ht="46.95" customHeight="1" thickBot="1">
      <c r="A96" s="217"/>
      <c r="B96" s="334" t="s">
        <v>685</v>
      </c>
      <c r="C96" s="845" t="str">
        <f>IF(C90="","",VLOOKUP(C90,Magie!$B:$H,7,FALSE))</f>
        <v/>
      </c>
      <c r="D96" s="217"/>
      <c r="E96" s="334" t="s">
        <v>685</v>
      </c>
      <c r="F96" s="845" t="str">
        <f>IF(F90="","",VLOOKUP(F90,Magie!$B:$H,7,FALSE))</f>
        <v/>
      </c>
      <c r="G96" s="217"/>
    </row>
    <row r="97" spans="1:7" ht="12.75" hidden="1" customHeight="1">
      <c r="A97" s="217"/>
      <c r="B97" s="335"/>
      <c r="C97" s="336" t="str">
        <f>IF(C88="Magie mineure",'listes magies'!$A$3,IF(C88="Runes",'listes magies'!$CO$3,IF(C88="Runes Majeures",'listes magies'!$CQ$3,IF(C89="","",IF(HLOOKUP(C89,'listes magies'!$B$2:$CT$35,2,FALSE)=0,"",HLOOKUP(C89,'listes magies'!$B$2:$CT$35,2,FALSE))))))</f>
        <v/>
      </c>
      <c r="D97" s="217"/>
      <c r="E97" s="335"/>
      <c r="F97" s="336" t="str">
        <f>IF(F88="Magie mineure",'listes magies'!$A$3,IF(F88="Runes",'listes magies'!$CO$3,IF(F88="Runes Majeures",'listes magies'!$CQ$3,IF(F89="","",IF(HLOOKUP(F89,'listes magies'!$B$2:$CT$35,2,FALSE)=0,"",HLOOKUP(F89,'listes magies'!$B$2:$CT$35,2,FALSE))))))</f>
        <v/>
      </c>
      <c r="G97" s="217"/>
    </row>
    <row r="98" spans="1:7" ht="12.75" hidden="1" customHeight="1">
      <c r="A98" s="217"/>
      <c r="B98" s="335"/>
      <c r="C98" s="336" t="str">
        <f>IF(C88="Magie mineure",'listes magies'!$A$4,IF(C88="Runes",'listes magies'!$CO$4,IF(C88="Runes Majeures",'listes magies'!$CQ$3,IF(C89="","",IF(HLOOKUP(C89,'listes magies'!$B$2:$CT$35,2,FALSE)=0,"",HLOOKUP(C89,'listes magies'!$B$2:$CT$35,3,FALSE))))))</f>
        <v/>
      </c>
      <c r="D98" s="217"/>
      <c r="E98" s="335"/>
      <c r="F98" s="336" t="str">
        <f>IF(F88="Magie mineure",'listes magies'!$A$4,IF(F88="Runes",'listes magies'!$CO$4,IF(F88="Runes Majeures",'listes magies'!$CQ$3,IF(F89="","",IF(HLOOKUP(F89,'listes magies'!$B$2:$CT$35,2,FALSE)=0,"",HLOOKUP(F89,'listes magies'!$B$2:$CT$35,3,FALSE))))))</f>
        <v/>
      </c>
      <c r="G98" s="217"/>
    </row>
    <row r="99" spans="1:7" ht="12.75" hidden="1" customHeight="1">
      <c r="A99" s="217"/>
      <c r="B99" s="335"/>
      <c r="C99" s="336" t="str">
        <f>IF(C88="Magie mineure",'listes magies'!$A$5,IF(C88="Runes",'listes magies'!$CO$5,IF(C88="Runes Majeures",'listes magies'!$CQ$5,IF(C89="","",IF(HLOOKUP(C89,'listes magies'!$B$2:$CT$35,4,FALSE)=0,"",HLOOKUP(C89,'listes magies'!$B$2:$CT$35,4,FALSE))))))</f>
        <v/>
      </c>
      <c r="D99" s="217"/>
      <c r="E99" s="335"/>
      <c r="F99" s="336" t="str">
        <f>IF(F88="Magie mineure",'listes magies'!$A$5,IF(F88="Runes",'listes magies'!$CO$5,IF(F88="Runes Majeures",'listes magies'!$CQ$5,IF(F89="","",IF(HLOOKUP(F89,'listes magies'!$B$2:$CT$35,4,FALSE)=0,"",HLOOKUP(F89,'listes magies'!$B$2:$CT$35,4,FALSE))))))</f>
        <v/>
      </c>
      <c r="G99" s="217"/>
    </row>
    <row r="100" spans="1:7" ht="12.75" hidden="1" customHeight="1">
      <c r="A100" s="217"/>
      <c r="B100" s="335"/>
      <c r="C100" s="336" t="str">
        <f>IF(C88="Magie mineure",'listes magies'!$A$6,IF(C88="Runes",'listes magies'!$CO$6,IF(C88="Runes Majeures",'listes magies'!$CQ$6,IF(C89="","",IF(HLOOKUP(C89,'listes magies'!$B$2:$CT$35,5,FALSE)=0,"",HLOOKUP(C89,'listes magies'!$B$2:$CT$35,5,FALSE))))))</f>
        <v/>
      </c>
      <c r="D100" s="217"/>
      <c r="E100" s="335"/>
      <c r="F100" s="336" t="str">
        <f>IF(F88="Magie mineure",'listes magies'!$A$6,IF(F88="Runes",'listes magies'!$CO$6,IF(F88="Runes Majeures",'listes magies'!$CQ$6,IF(F89="","",IF(HLOOKUP(F89,'listes magies'!$B$2:$CT$35,5,FALSE)=0,"",HLOOKUP(F89,'listes magies'!$B$2:$CT$35,5,FALSE))))))</f>
        <v/>
      </c>
      <c r="G100" s="217"/>
    </row>
    <row r="101" spans="1:7" ht="12.75" hidden="1" customHeight="1">
      <c r="A101" s="217"/>
      <c r="B101" s="335"/>
      <c r="C101" s="336" t="str">
        <f>IF(C88="Magie mineure",'listes magies'!$A$7,IF(C88="Runes",'listes magies'!$CO$7,IF(C88="Runes Majeures",'listes magies'!$CQ$7,IF(C89="","",IF(HLOOKUP(C89,'listes magies'!$B$2:$CT$35,6,FALSE)=0,"",HLOOKUP(C89,'listes magies'!$B$2:$CT$35,6,FALSE))))))</f>
        <v/>
      </c>
      <c r="D101" s="217"/>
      <c r="E101" s="335"/>
      <c r="F101" s="336" t="str">
        <f>IF(F88="Magie mineure",'listes magies'!$A$7,IF(F88="Runes",'listes magies'!$CO$7,IF(F88="Runes Majeures",'listes magies'!$CQ$7,IF(F89="","",IF(HLOOKUP(F89,'listes magies'!$B$2:$CT$35,6,FALSE)=0,"",HLOOKUP(F89,'listes magies'!$B$2:$CT$35,6,FALSE))))))</f>
        <v/>
      </c>
      <c r="G101" s="217"/>
    </row>
    <row r="102" spans="1:7" ht="12.75" hidden="1" customHeight="1">
      <c r="A102" s="217"/>
      <c r="B102" s="335"/>
      <c r="C102" s="336" t="str">
        <f>IF(C88="Magie mineure",'listes magies'!$A$8,IF(C88="Runes",'listes magies'!$CO$8,IF(C88="Runes Majeures",'listes magies'!$CQ$8,IF(C89="","",IF(HLOOKUP(C89,'listes magies'!$B$2:$CT$35,7,FALSE)=0,"",HLOOKUP(C89,'listes magies'!$B$2:$CT$35,7,FALSE))))))</f>
        <v/>
      </c>
      <c r="D102" s="217"/>
      <c r="E102" s="335"/>
      <c r="F102" s="336" t="str">
        <f>IF(F88="Magie mineure",'listes magies'!$A$8,IF(F88="Runes",'listes magies'!$CO$8,IF(F88="Runes Majeures",'listes magies'!$CQ$8,IF(F89="","",IF(HLOOKUP(F89,'listes magies'!$B$2:$CT$35,7,FALSE)=0,"",HLOOKUP(F89,'listes magies'!$B$2:$CT$35,7,FALSE))))))</f>
        <v/>
      </c>
      <c r="G102" s="217"/>
    </row>
    <row r="103" spans="1:7" ht="12.75" hidden="1" customHeight="1">
      <c r="A103" s="217"/>
      <c r="B103" s="335"/>
      <c r="C103" s="336" t="str">
        <f>IF(C88="Magie mineure",'listes magies'!$A$9,IF(C88="Runes",'listes magies'!$CO$9,IF(C88="Runes Majeures",'listes magies'!$CQ$9,IF(C89="","",IF(HLOOKUP(C89,'listes magies'!$B$2:$CT$35,8,FALSE)=0,"",HLOOKUP(C89,'listes magies'!$B$2:$CT$35,8,FALSE))))))</f>
        <v/>
      </c>
      <c r="D103" s="217"/>
      <c r="E103" s="335"/>
      <c r="F103" s="336" t="str">
        <f>IF(F88="Magie mineure",'listes magies'!$A$9,IF(F88="Runes",'listes magies'!$CO$9,IF(F88="Runes Majeures",'listes magies'!$CQ$9,IF(F89="","",IF(HLOOKUP(F89,'listes magies'!$B$2:$CT$35,8,FALSE)=0,"",HLOOKUP(F89,'listes magies'!$B$2:$CT$35,8,FALSE))))))</f>
        <v/>
      </c>
      <c r="G103" s="217"/>
    </row>
    <row r="104" spans="1:7" ht="12.75" hidden="1" customHeight="1">
      <c r="A104" s="217"/>
      <c r="B104" s="335"/>
      <c r="C104" s="336" t="str">
        <f>IF(C88="Magie mineure",'listes magies'!$A$10,IF(C88="Runes",'listes magies'!$CO$10,IF(C88="Runes Majeures",'listes magies'!$CQ$10,IF(C89="","",IF(HLOOKUP(C89,'listes magies'!$B$2:$CT$35,9,FALSE)=0,"",HLOOKUP(C89,'listes magies'!$B$2:$CT$35,9,FALSE))))))</f>
        <v/>
      </c>
      <c r="D104" s="217"/>
      <c r="E104" s="335"/>
      <c r="F104" s="336" t="str">
        <f>IF(F88="Magie mineure",'listes magies'!$A$10,IF(F88="Runes",'listes magies'!$CO$10,IF(F88="Runes Majeures",'listes magies'!$CQ$10,IF(F89="","",IF(HLOOKUP(F89,'listes magies'!$B$2:$CT$35,9,FALSE)=0,"",HLOOKUP(F89,'listes magies'!$B$2:$CT$35,9,FALSE))))))</f>
        <v/>
      </c>
      <c r="G104" s="217"/>
    </row>
    <row r="105" spans="1:7" ht="12.75" hidden="1" customHeight="1">
      <c r="A105" s="217"/>
      <c r="B105" s="335"/>
      <c r="C105" s="336" t="str">
        <f>IF(C88="Magie mineure",'listes magies'!$A$11,IF(C88="Runes",'listes magies'!$CO$11,IF(C88="Runes Majeures",'listes magies'!$CQ$11,IF(C89="","",IF(HLOOKUP(C89,'listes magies'!$B$2:$CT$35,10,FALSE)=0,"",HLOOKUP(C89,'listes magies'!$B$2:$CT$35,10,FALSE))))))</f>
        <v/>
      </c>
      <c r="D105" s="217"/>
      <c r="E105" s="335"/>
      <c r="F105" s="336" t="str">
        <f>IF(F88="Magie mineure",'listes magies'!$A$11,IF(F88="Runes",'listes magies'!$CO$11,IF(F88="Runes Majeures",'listes magies'!$CQ$11,IF(F89="","",IF(HLOOKUP(F89,'listes magies'!$B$2:$CT$35,10,FALSE)=0,"",HLOOKUP(F89,'listes magies'!$B$2:$CT$35,10,FALSE))))))</f>
        <v/>
      </c>
      <c r="G105" s="217"/>
    </row>
    <row r="106" spans="1:7" ht="12.75" hidden="1" customHeight="1">
      <c r="A106" s="217"/>
      <c r="B106" s="335"/>
      <c r="C106" s="336" t="str">
        <f>IF(C88="Magie mineure",'listes magies'!$A$12,IF(C88="Runes",'listes magies'!$CO$12,IF(C88="Runes Majeures",'listes magies'!$CQ$12,IF(C89="","",IF(HLOOKUP(C89,'listes magies'!$B$2:$CT$35,11,FALSE)=0,"",HLOOKUP(C89,'listes magies'!$B$2:$CT$35,11,FALSE))))))</f>
        <v/>
      </c>
      <c r="D106" s="217"/>
      <c r="E106" s="335"/>
      <c r="F106" s="336" t="str">
        <f>IF(F88="Magie mineure",'listes magies'!$A$12,IF(F88="Runes",'listes magies'!$CO$12,IF(F88="Runes Majeures",'listes magies'!$CQ$12,IF(F89="","",IF(HLOOKUP(F89,'listes magies'!$B$2:$CT$35,11,FALSE)=0,"",HLOOKUP(F89,'listes magies'!$B$2:$CT$35,11,FALSE))))))</f>
        <v/>
      </c>
      <c r="G106" s="217"/>
    </row>
    <row r="107" spans="1:7" ht="12.75" hidden="1" customHeight="1">
      <c r="A107" s="217"/>
      <c r="B107" s="335"/>
      <c r="C107" s="336" t="str">
        <f>IF(C88="Magie mineure",'listes magies'!$A$13,IF(C88="Runes",'listes magies'!$CO$13,IF(C88="Runes Majeures",'listes magies'!$CQ$13,IF(C89="","",IF(HLOOKUP(C89,'listes magies'!$B$2:$CT$35,12,FALSE)=0,"",HLOOKUP(C89,'listes magies'!$B$2:$CT$35,12,FALSE))))))</f>
        <v/>
      </c>
      <c r="D107" s="217"/>
      <c r="E107" s="335"/>
      <c r="F107" s="336" t="str">
        <f>IF(F88="Magie mineure",'listes magies'!$A$13,IF(F88="Runes",'listes magies'!$CO$13,IF(F88="Runes Majeures",'listes magies'!$CQ$13,IF(F89="","",IF(HLOOKUP(F89,'listes magies'!$B$2:$CT$35,12,FALSE)=0,"",HLOOKUP(F89,'listes magies'!$B$2:$CT$35,12,FALSE))))))</f>
        <v/>
      </c>
      <c r="G107" s="217"/>
    </row>
    <row r="108" spans="1:7" ht="12.75" hidden="1" customHeight="1">
      <c r="A108" s="217"/>
      <c r="B108" s="335"/>
      <c r="C108" s="336" t="str">
        <f>IF(C88="Magie mineure",'listes magies'!$A$14,IF(C88="Runes",'listes magies'!$CO$14,IF(C88="Runes Majeures",'listes magies'!$CQ$14,IF(C89="","",IF(HLOOKUP(C89,'listes magies'!$B$2:$CT$35,13,FALSE)=0,"",HLOOKUP(C89,'listes magies'!$B$2:$CT$35,13,FALSE))))))</f>
        <v/>
      </c>
      <c r="D108" s="217"/>
      <c r="E108" s="335"/>
      <c r="F108" s="336" t="str">
        <f>IF(F88="Magie mineure",'listes magies'!$A$14,IF(F88="Runes",'listes magies'!$CO$14,IF(F88="Runes Majeures",'listes magies'!$CQ$14,IF(F89="","",IF(HLOOKUP(F89,'listes magies'!$B$2:$CT$35,13,FALSE)=0,"",HLOOKUP(F89,'listes magies'!$B$2:$CT$35,13,FALSE))))))</f>
        <v/>
      </c>
      <c r="G108" s="217"/>
    </row>
    <row r="109" spans="1:7" ht="12.75" hidden="1" customHeight="1">
      <c r="A109" s="217"/>
      <c r="B109" s="335"/>
      <c r="C109" s="336" t="str">
        <f>IF(C88="Magie mineure",'listes magies'!$A$15,IF(C88="Runes",'listes magies'!$CO$15,IF(C88="Runes Majeures",'listes magies'!$CQ$15,IF(C89="","",IF(HLOOKUP(C89,'listes magies'!$B$2:$CT$35,14,FALSE)=0,"",HLOOKUP(C89,'listes magies'!$B$2:$CT$35,14,FALSE))))))</f>
        <v/>
      </c>
      <c r="D109" s="217"/>
      <c r="E109" s="335"/>
      <c r="F109" s="336" t="str">
        <f>IF(F88="Magie mineure",'listes magies'!$A$15,IF(F88="Runes",'listes magies'!$CO$15,IF(F88="Runes Majeures",'listes magies'!$CQ$15,IF(F89="","",IF(HLOOKUP(F89,'listes magies'!$B$2:$CT$35,14,FALSE)=0,"",HLOOKUP(F89,'listes magies'!$B$2:$CT$35,14,FALSE))))))</f>
        <v/>
      </c>
      <c r="G109" s="217"/>
    </row>
    <row r="110" spans="1:7" ht="12.75" hidden="1" customHeight="1">
      <c r="A110" s="217"/>
      <c r="B110" s="335"/>
      <c r="C110" s="336" t="str">
        <f>IF(C88="Magie mineure",'listes magies'!$A$16,IF(C88="Runes",'listes magies'!$CO$16,IF(C88="Runes Majeures",'listes magies'!$CQ$16,IF(C89="","",IF(HLOOKUP(C89,'listes magies'!$B$2:$CT$35,15,FALSE)=0,"",HLOOKUP(C89,'listes magies'!$B$2:$CT$35,15,FALSE))))))</f>
        <v/>
      </c>
      <c r="D110" s="217"/>
      <c r="E110" s="335"/>
      <c r="F110" s="336" t="str">
        <f>IF(F88="Magie mineure",'listes magies'!$A$16,IF(F88="Runes",'listes magies'!$CO$16,IF(F88="Runes Majeures",'listes magies'!$CQ$16,IF(F89="","",IF(HLOOKUP(F89,'listes magies'!$B$2:$CT$35,15,FALSE)=0,"",HLOOKUP(F89,'listes magies'!$B$2:$CT$35,15,FALSE))))))</f>
        <v/>
      </c>
      <c r="G110" s="217"/>
    </row>
    <row r="111" spans="1:7" ht="12.75" hidden="1" customHeight="1">
      <c r="A111" s="217"/>
      <c r="B111" s="335"/>
      <c r="C111" s="336" t="str">
        <f>IF(C88="Magie mineure",'listes magies'!$A$17,IF(C88="Runes",'listes magies'!$CO$17,IF(C88="Runes Majeures","",IF(C89="","",IF(HLOOKUP(C89,'listes magies'!$B$2:$CT$35,16,FALSE)=0,"",HLOOKUP(C89,'listes magies'!$B$2:$CT$35,16,FALSE))))))</f>
        <v/>
      </c>
      <c r="D111" s="217"/>
      <c r="E111" s="335"/>
      <c r="F111" s="336" t="str">
        <f>IF(F88="Magie mineure",'listes magies'!$A$17,IF(F88="Runes",'listes magies'!$CO$17,IF(F88="Runes Majeures","",IF(F89="","",IF(HLOOKUP(F89,'listes magies'!$B$2:$CT$35,16,FALSE)=0,"",HLOOKUP(F89,'listes magies'!$B$2:$CT$35,16,FALSE))))))</f>
        <v/>
      </c>
      <c r="G111" s="217"/>
    </row>
    <row r="112" spans="1:7" ht="12.75" hidden="1" customHeight="1">
      <c r="A112" s="217"/>
      <c r="B112" s="335"/>
      <c r="C112" s="336" t="str">
        <f>IF(C88="Magie mineure",'listes magies'!$A102,IF(C88="Runes",'listes magies'!$CO$18,IF(C88="Runes Majeures","",IF(C89="","",IF(HLOOKUP(C89,'listes magies'!$B$2:$CT$35,17,FALSE)=0,"",HLOOKUP(C89,'listes magies'!$B$2:$CT$35,17,FALSE))))))</f>
        <v/>
      </c>
      <c r="D112" s="217"/>
      <c r="E112" s="335"/>
      <c r="F112" s="336" t="str">
        <f>IF(F88="Magie mineure",'listes magies'!$A102,IF(F88="Runes",'listes magies'!$CO$18,IF(F88="Runes Majeures","",IF(F89="","",IF(HLOOKUP(F89,'listes magies'!$B$2:$CT$35,17,FALSE)=0,"",HLOOKUP(F89,'listes magies'!$B$2:$CT$35,17,FALSE))))))</f>
        <v/>
      </c>
      <c r="G112" s="217"/>
    </row>
    <row r="113" spans="1:7" ht="12.75" hidden="1" customHeight="1">
      <c r="A113" s="217"/>
      <c r="B113" s="335"/>
      <c r="C113" s="336" t="str">
        <f>IF(C88="Magie mineure",'listes magies'!$A$19,IF(C88="Runes",'listes magies'!$CO$19,IF(C88="Runes Majeures","",IF(C89="","",IF(HLOOKUP(C89,'listes magies'!$B$2:$CT$35,18,FALSE)=0,"",HLOOKUP(C89,'listes magies'!$B$2:$CT$35,18,FALSE))))))</f>
        <v/>
      </c>
      <c r="D113" s="217"/>
      <c r="E113" s="335"/>
      <c r="F113" s="336" t="str">
        <f>IF(F88="Magie mineure",'listes magies'!$A$19,IF(F88="Runes",'listes magies'!$CO$19,IF(F88="Runes Majeures","",IF(F89="","",IF(HLOOKUP(F89,'listes magies'!$B$2:$CT$35,18,FALSE)=0,"",HLOOKUP(F89,'listes magies'!$B$2:$CT$35,18,FALSE))))))</f>
        <v/>
      </c>
      <c r="G113" s="217"/>
    </row>
    <row r="114" spans="1:7" ht="12.75" hidden="1" customHeight="1">
      <c r="A114" s="217"/>
      <c r="B114" s="335"/>
      <c r="C114" s="336" t="str">
        <f>IF(C88="Magie mineure",'listes magies'!$A$20,IF(C88="Runes",'listes magies'!$CO$20,IF(C88="Runes Majeures","",IF(C89="","",IF(HLOOKUP(C89,'listes magies'!$B$2:$CT$35,19,FALSE)=0,"",HLOOKUP(C89,'listes magies'!$B$2:$CT$35,19,FALSE))))))</f>
        <v/>
      </c>
      <c r="D114" s="217"/>
      <c r="E114" s="335"/>
      <c r="F114" s="336" t="str">
        <f>IF(F88="Magie mineure",'listes magies'!$A$20,IF(F88="Runes",'listes magies'!$CO$20,IF(F88="Runes Majeures","",IF(F89="","",IF(HLOOKUP(F89,'listes magies'!$B$2:$CT$35,19,FALSE)=0,"",HLOOKUP(F89,'listes magies'!$B$2:$CT$35,19,FALSE))))))</f>
        <v/>
      </c>
      <c r="G114" s="217"/>
    </row>
    <row r="115" spans="1:7" ht="12.75" hidden="1" customHeight="1">
      <c r="A115" s="217"/>
      <c r="B115" s="335"/>
      <c r="C115" s="336" t="str">
        <f>IF(C88="Magie mineure",'listes magies'!$A$21,IF(C88="Runes",'listes magies'!$CO$21,IF(C88="Runes Majeures","",IF(C89="","",IF(HLOOKUP(C89,'listes magies'!$B$2:$CT$35,20,FALSE)=0,"",HLOOKUP(C89,'listes magies'!$B$2:$CT$35,20,FALSE))))))</f>
        <v/>
      </c>
      <c r="D115" s="217"/>
      <c r="E115" s="335"/>
      <c r="F115" s="336" t="str">
        <f>IF(F88="Magie mineure",'listes magies'!$A$21,IF(F88="Runes",'listes magies'!$CO$21,IF(F88="Runes Majeures","",IF(F89="","",IF(HLOOKUP(F89,'listes magies'!$B$2:$CT$35,20,FALSE)=0,"",HLOOKUP(F89,'listes magies'!$B$2:$CT$35,20,FALSE))))))</f>
        <v/>
      </c>
      <c r="G115" s="217"/>
    </row>
    <row r="116" spans="1:7" ht="12.75" hidden="1" customHeight="1">
      <c r="A116" s="217"/>
      <c r="B116" s="335"/>
      <c r="C116" s="336" t="str">
        <f>IF(C88="Magie mineure",'listes magies'!$A$22,IF(C88="Runes",'listes magies'!$CO$22,IF(C88="Runes Majeures","",IF(C89="","",IF(HLOOKUP(C89,'listes magies'!$B$2:$CT$35,21,FALSE)=0,"",HLOOKUP(C89,'listes magies'!$B$2:$CT$35,21,FALSE))))))</f>
        <v/>
      </c>
      <c r="D116" s="217"/>
      <c r="E116" s="335"/>
      <c r="F116" s="336" t="str">
        <f>IF(F88="Magie mineure",'listes magies'!$A$22,IF(F88="Runes",'listes magies'!$CO$22,IF(F88="Runes Majeures","",IF(F89="","",IF(HLOOKUP(F89,'listes magies'!$B$2:$CT$35,21,FALSE)=0,"",HLOOKUP(F89,'listes magies'!$B$2:$CT$35,21,FALSE))))))</f>
        <v/>
      </c>
      <c r="G116" s="217"/>
    </row>
    <row r="117" spans="1:7" ht="12.75" hidden="1" customHeight="1">
      <c r="A117" s="217"/>
      <c r="B117" s="335"/>
      <c r="C117" s="336" t="str">
        <f>IF(C88="Magie mineure",'listes magies'!$A$23,IF(C88="Runes",'listes magies'!$CO$22,IF(C88="Runes Majeures","",IF(C89="","",IF(HLOOKUP(C89,'listes magies'!$B$2:$CT$35,22,FALSE)=0,"",HLOOKUP(C89,'listes magies'!$B$2:$CT$35,22,FALSE))))))</f>
        <v/>
      </c>
      <c r="D117" s="217"/>
      <c r="E117" s="335"/>
      <c r="F117" s="336" t="str">
        <f>IF(F88="Magie mineure",'listes magies'!$A$23,IF(F88="Runes",'listes magies'!$CO$22,IF(F88="Runes Majeures","",IF(F89="","",IF(HLOOKUP(F89,'listes magies'!$B$2:$CT$35,22,FALSE)=0,"",HLOOKUP(F89,'listes magies'!$B$2:$CT$35,22,FALSE))))))</f>
        <v/>
      </c>
      <c r="G117" s="217"/>
    </row>
    <row r="118" spans="1:7" ht="12.75" hidden="1" customHeight="1">
      <c r="A118" s="217"/>
      <c r="B118" s="335"/>
      <c r="C118" s="336" t="str">
        <f>IF(C88="Magie mineure",'listes magies'!$A$24,IF(C88="Runes Majeures","",IF(C89="","",IF(HLOOKUP(C89,'listes magies'!$B$2:$CT$35,23,FALSE)=0,"",HLOOKUP(C89,'listes magies'!$B$2:$CT$35,23,FALSE)))))</f>
        <v/>
      </c>
      <c r="D118" s="217"/>
      <c r="E118" s="335"/>
      <c r="F118" s="336" t="str">
        <f>IF(F88="Magie mineure",'listes magies'!$A$24,IF(F88="Runes Majeures","",IF(F89="","",IF(HLOOKUP(F89,'listes magies'!$B$2:$CT$35,23,FALSE)=0,"",HLOOKUP(F89,'listes magies'!$B$2:$CT$35,23,FALSE)))))</f>
        <v/>
      </c>
      <c r="G118" s="217"/>
    </row>
    <row r="119" spans="1:7" ht="12.75" hidden="1" customHeight="1">
      <c r="A119" s="217"/>
      <c r="B119" s="335"/>
      <c r="C119" s="336" t="str">
        <f>IF(C88="Magie mineure",'listes magies'!$A$25,IF(C88="Runes Majeures","",IF(C89="","",IF(HLOOKUP(C89,'listes magies'!$B$2:$CT$35,24,FALSE)=0,"",HLOOKUP(C89,'listes magies'!$B$2:$CT$35,24,FALSE)))))</f>
        <v/>
      </c>
      <c r="D119" s="217"/>
      <c r="E119" s="335"/>
      <c r="F119" s="336" t="str">
        <f>IF(F88="Magie mineure",'listes magies'!$A$25,IF(F88="Runes Majeures","",IF(F89="","",IF(HLOOKUP(F89,'listes magies'!$B$2:$CT$35,24,FALSE)=0,"",HLOOKUP(F89,'listes magies'!$B$2:$CT$35,24,FALSE)))))</f>
        <v/>
      </c>
      <c r="G119" s="217"/>
    </row>
    <row r="120" spans="1:7" ht="12.75" hidden="1" customHeight="1">
      <c r="A120" s="217"/>
      <c r="B120" s="335"/>
      <c r="C120" s="336" t="str">
        <f>IF(C88="Magie mineure",'listes magies'!$A$26,IF(C88="Runes","",IF(C88="Runes Majeures","",IF(C89="","",IF(HLOOKUP(C89,'listes magies'!$B$2:$CT$35,25,FALSE)=0,"",HLOOKUP(C89,'listes magies'!$B$2:$CT$35,25,FALSE))))))</f>
        <v/>
      </c>
      <c r="D120" s="217"/>
      <c r="E120" s="335"/>
      <c r="F120" s="336" t="str">
        <f>IF(F88="Magie mineure",'listes magies'!$A$26,IF(F88="Runes","",IF(F88="Runes Majeures","",IF(F89="","",IF(HLOOKUP(F89,'listes magies'!$B$2:$CT$35,25,FALSE)=0,"",HLOOKUP(F89,'listes magies'!$B$2:$CT$35,25,FALSE))))))</f>
        <v/>
      </c>
      <c r="G120" s="217"/>
    </row>
    <row r="121" spans="1:7" ht="12.75" hidden="1" customHeight="1">
      <c r="A121" s="217"/>
      <c r="B121" s="335"/>
      <c r="C121" s="336" t="str">
        <f>IF(C88="Magie mineure",'listes magies'!$A$27,"")</f>
        <v/>
      </c>
      <c r="D121" s="217"/>
      <c r="E121" s="335"/>
      <c r="F121" s="336" t="str">
        <f>IF(F88="Magie mineure",'listes magies'!$A$27,"")</f>
        <v/>
      </c>
      <c r="G121" s="217"/>
    </row>
    <row r="122" spans="1:7" ht="12.75" hidden="1" customHeight="1">
      <c r="A122" s="217"/>
      <c r="B122" s="335"/>
      <c r="C122" s="336" t="str">
        <f>IF(C88="Magie mineure",'listes magies'!$A$28,"")</f>
        <v/>
      </c>
      <c r="D122" s="217"/>
      <c r="E122" s="335"/>
      <c r="F122" s="336" t="str">
        <f>IF(F88="Magie mineure",'listes magies'!$A$28,"")</f>
        <v/>
      </c>
      <c r="G122" s="217"/>
    </row>
    <row r="123" spans="1:7" ht="12.75" hidden="1" customHeight="1">
      <c r="A123" s="217"/>
      <c r="B123" s="335"/>
      <c r="C123" s="336" t="str">
        <f>IF(C88="Magie mineure",'listes magies'!$A$29,"")</f>
        <v/>
      </c>
      <c r="D123" s="217"/>
      <c r="E123" s="335"/>
      <c r="F123" s="336" t="str">
        <f>IF(F88="Magie mineure",'listes magies'!$A$29,"")</f>
        <v/>
      </c>
      <c r="G123" s="217"/>
    </row>
    <row r="124" spans="1:7" ht="12.75" hidden="1" customHeight="1">
      <c r="A124" s="217"/>
      <c r="B124" s="335"/>
      <c r="C124" s="336" t="str">
        <f>IF(C88="Magie mineure",'listes magies'!$A$30,"")</f>
        <v/>
      </c>
      <c r="D124" s="217"/>
      <c r="E124" s="335"/>
      <c r="F124" s="336" t="str">
        <f>IF(F88="Magie mineure",'listes magies'!$A$30,"")</f>
        <v/>
      </c>
      <c r="G124" s="217"/>
    </row>
    <row r="125" spans="1:7" ht="12.75" hidden="1" customHeight="1">
      <c r="A125" s="217"/>
      <c r="B125" s="335"/>
      <c r="C125" s="336" t="str">
        <f>IF(C88="Magie mineure",'listes magies'!$A$31,"")</f>
        <v/>
      </c>
      <c r="D125" s="217"/>
      <c r="E125" s="335"/>
      <c r="F125" s="336" t="str">
        <f>IF(F88="Magie mineure",'listes magies'!$A$31,"")</f>
        <v/>
      </c>
      <c r="G125" s="217"/>
    </row>
    <row r="126" spans="1:7" ht="12.75" hidden="1" customHeight="1">
      <c r="A126" s="217"/>
      <c r="B126" s="335"/>
      <c r="C126" s="336" t="str">
        <f>IF(C88="Magie mineure",'listes magies'!$A$32,"")</f>
        <v/>
      </c>
      <c r="D126" s="217"/>
      <c r="E126" s="335"/>
      <c r="F126" s="336" t="str">
        <f>IF(F88="Magie mineure",'listes magies'!$A$32,"")</f>
        <v/>
      </c>
      <c r="G126" s="217"/>
    </row>
    <row r="127" spans="1:7" ht="12.75" hidden="1" customHeight="1">
      <c r="A127" s="217"/>
      <c r="B127" s="335"/>
      <c r="C127" s="336" t="str">
        <f>IF(C88="Magie mineure",'listes magies'!$A$33,"")</f>
        <v/>
      </c>
      <c r="D127" s="217"/>
      <c r="E127" s="335"/>
      <c r="F127" s="336" t="str">
        <f>IF(F88="Magie mineure",'listes magies'!$A$33,"")</f>
        <v/>
      </c>
      <c r="G127" s="217"/>
    </row>
    <row r="128" spans="1:7" ht="12.75" hidden="1" customHeight="1">
      <c r="A128" s="217"/>
      <c r="B128" s="335"/>
      <c r="C128" s="336" t="str">
        <f>IF(C88="Magie mineure",'listes magies'!$A$34,"")</f>
        <v/>
      </c>
      <c r="D128" s="217"/>
      <c r="E128" s="335"/>
      <c r="F128" s="336" t="str">
        <f>IF(F88="Magie mineure",'listes magies'!$A$34,"")</f>
        <v/>
      </c>
      <c r="G128" s="217"/>
    </row>
    <row r="129" spans="1:7" ht="6" customHeight="1" thickBot="1">
      <c r="A129" s="217"/>
      <c r="B129" s="217"/>
      <c r="C129" s="217"/>
      <c r="D129" s="217"/>
      <c r="E129" s="217"/>
      <c r="F129" s="217"/>
      <c r="G129" s="217"/>
    </row>
    <row r="130" spans="1:7">
      <c r="A130" s="217"/>
      <c r="B130" s="331" t="s">
        <v>679</v>
      </c>
      <c r="C130" s="332"/>
      <c r="D130" s="217"/>
      <c r="E130" s="331" t="s">
        <v>679</v>
      </c>
      <c r="F130" s="332"/>
      <c r="G130" s="217"/>
    </row>
    <row r="131" spans="1:7">
      <c r="A131" s="217"/>
      <c r="B131" s="333" t="s">
        <v>680</v>
      </c>
      <c r="C131" s="330"/>
      <c r="D131" s="217"/>
      <c r="E131" s="333" t="s">
        <v>680</v>
      </c>
      <c r="F131" s="330"/>
      <c r="G131" s="217"/>
    </row>
    <row r="132" spans="1:7">
      <c r="A132" s="217"/>
      <c r="B132" s="333" t="s">
        <v>681</v>
      </c>
      <c r="C132" s="330"/>
      <c r="D132" s="217"/>
      <c r="E132" s="333" t="s">
        <v>681</v>
      </c>
      <c r="F132" s="330"/>
      <c r="G132" s="217"/>
    </row>
    <row r="133" spans="1:7">
      <c r="A133" s="217"/>
      <c r="B133" s="333" t="s">
        <v>682</v>
      </c>
      <c r="C133" s="330" t="str">
        <f>IF(C132="","",VLOOKUP(C132,Magie!$B:$H,2,FALSE))</f>
        <v/>
      </c>
      <c r="D133" s="217"/>
      <c r="E133" s="333" t="s">
        <v>682</v>
      </c>
      <c r="F133" s="330" t="str">
        <f>IF(F132="","",VLOOKUP(F132,Magie!$B:$H,2,FALSE))</f>
        <v/>
      </c>
      <c r="G133" s="217"/>
    </row>
    <row r="134" spans="1:7">
      <c r="A134" s="217"/>
      <c r="B134" s="333" t="s">
        <v>683</v>
      </c>
      <c r="C134" s="330" t="str">
        <f>IF(C132="","",VLOOKUP(C132,Magie!$B:$H,3,FALSE))</f>
        <v/>
      </c>
      <c r="D134" s="217"/>
      <c r="E134" s="333" t="s">
        <v>683</v>
      </c>
      <c r="F134" s="330" t="str">
        <f>IF(F132="","",VLOOKUP(F132,Magie!$B:$H,3,FALSE))</f>
        <v/>
      </c>
      <c r="G134" s="217"/>
    </row>
    <row r="135" spans="1:7">
      <c r="A135" s="217"/>
      <c r="B135" s="333" t="str">
        <f>IF(OR(C130="Runes",C130="Runes Majeures"),"Activation:","Durée:")</f>
        <v>Durée:</v>
      </c>
      <c r="C135" s="330" t="str">
        <f>IF(C132="","",VLOOKUP(C132,Magie!$B:$H,4,FALSE))</f>
        <v/>
      </c>
      <c r="D135" s="217"/>
      <c r="E135" s="333" t="str">
        <f>IF(OR(F130="Runes",F130="Runes Majeures"),"Activation:","Durée:")</f>
        <v>Durée:</v>
      </c>
      <c r="F135" s="330" t="str">
        <f>IF(F132="","",VLOOKUP(F132,Magie!$B:$H,4,FALSE))</f>
        <v/>
      </c>
      <c r="G135" s="217"/>
    </row>
    <row r="136" spans="1:7">
      <c r="A136" s="217"/>
      <c r="B136" s="333" t="s">
        <v>684</v>
      </c>
      <c r="C136" s="330" t="str">
        <f>IF(C132="","",VLOOKUP(C132,Magie!$B:$H,5,FALSE))</f>
        <v/>
      </c>
      <c r="D136" s="217"/>
      <c r="E136" s="333" t="s">
        <v>684</v>
      </c>
      <c r="F136" s="330" t="str">
        <f>IF(F132="","",VLOOKUP(F132,Magie!$B:$H,5,FALSE))</f>
        <v/>
      </c>
      <c r="G136" s="217"/>
    </row>
    <row r="137" spans="1:7">
      <c r="A137" s="217"/>
      <c r="B137" s="333" t="str">
        <f>IF(C131="Domaine de Loec","Note:","Ingrédient:")</f>
        <v>Ingrédient:</v>
      </c>
      <c r="C137" s="441" t="str">
        <f>IF(C132="","",VLOOKUP(C132,Magie!$B:$H,6,FALSE))</f>
        <v/>
      </c>
      <c r="D137" s="217"/>
      <c r="E137" s="333" t="str">
        <f>IF(F131="Domaine de Loec","Note:","Ingrédient:")</f>
        <v>Ingrédient:</v>
      </c>
      <c r="F137" s="441" t="str">
        <f>IF(F132="","",VLOOKUP(F132,Magie!$B:$H,6,FALSE))</f>
        <v/>
      </c>
      <c r="G137" s="217"/>
    </row>
    <row r="138" spans="1:7" ht="46.95" customHeight="1" thickBot="1">
      <c r="A138" s="217"/>
      <c r="B138" s="334" t="s">
        <v>685</v>
      </c>
      <c r="C138" s="845" t="str">
        <f>IF(C132="","",VLOOKUP(C132,Magie!$B:$H,7,FALSE))</f>
        <v/>
      </c>
      <c r="D138" s="217"/>
      <c r="E138" s="334" t="s">
        <v>685</v>
      </c>
      <c r="F138" s="845" t="str">
        <f>IF(F132="","",VLOOKUP(F132,Magie!$B:$H,7,FALSE))</f>
        <v/>
      </c>
      <c r="G138" s="217"/>
    </row>
    <row r="139" spans="1:7" ht="12.6" hidden="1" customHeight="1">
      <c r="A139" s="217"/>
      <c r="B139" s="335"/>
      <c r="C139" s="336" t="str">
        <f>IF(C130="Magie mineure",'listes magies'!$A$3,IF(C130="Runes",'listes magies'!$CO$3,IF(C130="Runes Majeures",'listes magies'!$CQ$3,IF(C131="","",IF(HLOOKUP(C131,'listes magies'!$B$2:$CT$35,2,FALSE)=0,"",HLOOKUP(C131,'listes magies'!$B$2:$CT$35,2,FALSE))))))</f>
        <v/>
      </c>
      <c r="D139" s="217"/>
      <c r="E139" s="335"/>
      <c r="F139" s="336" t="str">
        <f>IF(F130="Magie mineure",'listes magies'!$A$3,IF(F130="Runes",'listes magies'!$CO$3,IF(F130="Runes Majeures",'listes magies'!$CQ$3,IF(F131="","",IF(HLOOKUP(F131,'listes magies'!$B$2:$CT$35,2,FALSE)=0,"",HLOOKUP(F131,'listes magies'!$B$2:$CT$35,2,FALSE))))))</f>
        <v/>
      </c>
      <c r="G139" s="217"/>
    </row>
    <row r="140" spans="1:7" ht="12.75" hidden="1" customHeight="1">
      <c r="A140" s="217"/>
      <c r="B140" s="335"/>
      <c r="C140" s="336" t="str">
        <f>IF(C130="Magie mineure",'listes magies'!$A$4,IF(C130="Runes",'listes magies'!$CO$4,IF(C130="Runes Majeures",'listes magies'!$CQ$3,IF(C131="","",IF(HLOOKUP(C131,'listes magies'!$B$2:$CT$35,2,FALSE)=0,"",HLOOKUP(C131,'listes magies'!$B$2:$CT$35,3,FALSE))))))</f>
        <v/>
      </c>
      <c r="D140" s="217"/>
      <c r="E140" s="335"/>
      <c r="F140" s="336" t="str">
        <f>IF(F130="Magie mineure",'listes magies'!$A$4,IF(F130="Runes",'listes magies'!$CO$4,IF(F130="Runes Majeures",'listes magies'!$CQ$3,IF(F131="","",IF(HLOOKUP(F131,'listes magies'!$B$2:$CT$35,2,FALSE)=0,"",HLOOKUP(F131,'listes magies'!$B$2:$CT$35,3,FALSE))))))</f>
        <v/>
      </c>
      <c r="G140" s="217"/>
    </row>
    <row r="141" spans="1:7" ht="12.75" hidden="1" customHeight="1">
      <c r="A141" s="217"/>
      <c r="B141" s="335"/>
      <c r="C141" s="336" t="str">
        <f>IF(C130="Magie mineure",'listes magies'!$A$5,IF(C130="Runes",'listes magies'!$CO$5,IF(C130="Runes Majeures",'listes magies'!$CQ$5,IF(C131="","",IF(HLOOKUP(C131,'listes magies'!$B$2:$CT$35,4,FALSE)=0,"",HLOOKUP(C131,'listes magies'!$B$2:$CT$35,4,FALSE))))))</f>
        <v/>
      </c>
      <c r="D141" s="217"/>
      <c r="E141" s="335"/>
      <c r="F141" s="336" t="str">
        <f>IF(F130="Magie mineure",'listes magies'!$A$5,IF(F130="Runes",'listes magies'!$CO$5,IF(F130="Runes Majeures",'listes magies'!$CQ$5,IF(F131="","",IF(HLOOKUP(F131,'listes magies'!$B$2:$CT$35,4,FALSE)=0,"",HLOOKUP(F131,'listes magies'!$B$2:$CT$35,4,FALSE))))))</f>
        <v/>
      </c>
      <c r="G141" s="217"/>
    </row>
    <row r="142" spans="1:7" ht="12.75" hidden="1" customHeight="1">
      <c r="A142" s="217"/>
      <c r="B142" s="335"/>
      <c r="C142" s="336" t="str">
        <f>IF(C130="Magie mineure",'listes magies'!$A$6,IF(C130="Runes",'listes magies'!$CO$6,IF(C130="Runes Majeures",'listes magies'!$CQ$6,IF(C131="","",IF(HLOOKUP(C131,'listes magies'!$B$2:$CT$35,5,FALSE)=0,"",HLOOKUP(C131,'listes magies'!$B$2:$CT$35,5,FALSE))))))</f>
        <v/>
      </c>
      <c r="D142" s="217"/>
      <c r="E142" s="335"/>
      <c r="F142" s="336" t="str">
        <f>IF(F130="Magie mineure",'listes magies'!$A$6,IF(F130="Runes",'listes magies'!$CO$6,IF(F130="Runes Majeures",'listes magies'!$CQ$6,IF(F131="","",IF(HLOOKUP(F131,'listes magies'!$B$2:$CT$35,5,FALSE)=0,"",HLOOKUP(F131,'listes magies'!$B$2:$CT$35,5,FALSE))))))</f>
        <v/>
      </c>
      <c r="G142" s="217"/>
    </row>
    <row r="143" spans="1:7" ht="12.75" hidden="1" customHeight="1">
      <c r="A143" s="217"/>
      <c r="B143" s="335"/>
      <c r="C143" s="336" t="str">
        <f>IF(C130="Magie mineure",'listes magies'!$A$7,IF(C130="Runes",'listes magies'!$CO$7,IF(C130="Runes Majeures",'listes magies'!$CQ$7,IF(C131="","",IF(HLOOKUP(C131,'listes magies'!$B$2:$CT$35,6,FALSE)=0,"",HLOOKUP(C131,'listes magies'!$B$2:$CT$35,6,FALSE))))))</f>
        <v/>
      </c>
      <c r="D143" s="217"/>
      <c r="E143" s="335"/>
      <c r="F143" s="336" t="str">
        <f>IF(F130="Magie mineure",'listes magies'!$A$7,IF(F130="Runes",'listes magies'!$CO$7,IF(F130="Runes Majeures",'listes magies'!$CQ$7,IF(F131="","",IF(HLOOKUP(F131,'listes magies'!$B$2:$CT$35,6,FALSE)=0,"",HLOOKUP(F131,'listes magies'!$B$2:$CT$35,6,FALSE))))))</f>
        <v/>
      </c>
      <c r="G143" s="217"/>
    </row>
    <row r="144" spans="1:7" ht="12.75" hidden="1" customHeight="1">
      <c r="A144" s="217"/>
      <c r="B144" s="335"/>
      <c r="C144" s="336" t="str">
        <f>IF(C130="Magie mineure",'listes magies'!$A$8,IF(C130="Runes",'listes magies'!$CO$8,IF(C130="Runes Majeures",'listes magies'!$CQ$8,IF(C131="","",IF(HLOOKUP(C131,'listes magies'!$B$2:$CT$35,7,FALSE)=0,"",HLOOKUP(C131,'listes magies'!$B$2:$CT$35,7,FALSE))))))</f>
        <v/>
      </c>
      <c r="D144" s="217"/>
      <c r="E144" s="335"/>
      <c r="F144" s="336" t="str">
        <f>IF(F130="Magie mineure",'listes magies'!$A$8,IF(F130="Runes",'listes magies'!$CO$8,IF(F130="Runes Majeures",'listes magies'!$CQ$8,IF(F131="","",IF(HLOOKUP(F131,'listes magies'!$B$2:$CT$35,7,FALSE)=0,"",HLOOKUP(F131,'listes magies'!$B$2:$CT$35,7,FALSE))))))</f>
        <v/>
      </c>
      <c r="G144" s="217"/>
    </row>
    <row r="145" spans="1:7" ht="12.75" hidden="1" customHeight="1">
      <c r="A145" s="217"/>
      <c r="B145" s="335"/>
      <c r="C145" s="336" t="str">
        <f>IF(C130="Magie mineure",'listes magies'!$A$9,IF(C130="Runes",'listes magies'!$CO$9,IF(C130="Runes Majeures",'listes magies'!$CQ$9,IF(C131="","",IF(HLOOKUP(C131,'listes magies'!$B$2:$CT$35,8,FALSE)=0,"",HLOOKUP(C131,'listes magies'!$B$2:$CT$35,8,FALSE))))))</f>
        <v/>
      </c>
      <c r="D145" s="217"/>
      <c r="E145" s="335"/>
      <c r="F145" s="336" t="str">
        <f>IF(F130="Magie mineure",'listes magies'!$A$9,IF(F130="Runes",'listes magies'!$CO$9,IF(F130="Runes Majeures",'listes magies'!$CQ$9,IF(F131="","",IF(HLOOKUP(F131,'listes magies'!$B$2:$CT$35,8,FALSE)=0,"",HLOOKUP(F131,'listes magies'!$B$2:$CT$35,8,FALSE))))))</f>
        <v/>
      </c>
      <c r="G145" s="217"/>
    </row>
    <row r="146" spans="1:7" ht="12.75" hidden="1" customHeight="1">
      <c r="A146" s="217"/>
      <c r="B146" s="335"/>
      <c r="C146" s="336" t="str">
        <f>IF(C130="Magie mineure",'listes magies'!$A$10,IF(C130="Runes",'listes magies'!$CO$10,IF(C130="Runes Majeures",'listes magies'!$CQ$10,IF(C131="","",IF(HLOOKUP(C131,'listes magies'!$B$2:$CT$35,9,FALSE)=0,"",HLOOKUP(C131,'listes magies'!$B$2:$CT$35,9,FALSE))))))</f>
        <v/>
      </c>
      <c r="D146" s="217"/>
      <c r="E146" s="335"/>
      <c r="F146" s="336" t="str">
        <f>IF(F130="Magie mineure",'listes magies'!$A$10,IF(F130="Runes",'listes magies'!$CO$10,IF(F130="Runes Majeures",'listes magies'!$CQ$10,IF(F131="","",IF(HLOOKUP(F131,'listes magies'!$B$2:$CT$35,9,FALSE)=0,"",HLOOKUP(F131,'listes magies'!$B$2:$CT$35,9,FALSE))))))</f>
        <v/>
      </c>
      <c r="G146" s="217"/>
    </row>
    <row r="147" spans="1:7" ht="12.75" hidden="1" customHeight="1">
      <c r="A147" s="217"/>
      <c r="B147" s="335"/>
      <c r="C147" s="336" t="str">
        <f>IF(C130="Magie mineure",'listes magies'!$A$11,IF(C130="Runes",'listes magies'!$CO$11,IF(C130="Runes Majeures",'listes magies'!$CQ$11,IF(C131="","",IF(HLOOKUP(C131,'listes magies'!$B$2:$CT$35,10,FALSE)=0,"",HLOOKUP(C131,'listes magies'!$B$2:$CT$35,10,FALSE))))))</f>
        <v/>
      </c>
      <c r="D147" s="217"/>
      <c r="E147" s="335"/>
      <c r="F147" s="336" t="str">
        <f>IF(F130="Magie mineure",'listes magies'!$A$11,IF(F130="Runes",'listes magies'!$CO$11,IF(F130="Runes Majeures",'listes magies'!$CQ$11,IF(F131="","",IF(HLOOKUP(F131,'listes magies'!$B$2:$CT$35,10,FALSE)=0,"",HLOOKUP(F131,'listes magies'!$B$2:$CT$35,10,FALSE))))))</f>
        <v/>
      </c>
      <c r="G147" s="217"/>
    </row>
    <row r="148" spans="1:7" ht="12.75" hidden="1" customHeight="1">
      <c r="A148" s="217"/>
      <c r="B148" s="335"/>
      <c r="C148" s="336" t="str">
        <f>IF(C130="Magie mineure",'listes magies'!$A$12,IF(C130="Runes",'listes magies'!$CO$12,IF(C130="Runes Majeures",'listes magies'!$CQ$12,IF(C131="","",IF(HLOOKUP(C131,'listes magies'!$B$2:$CT$35,11,FALSE)=0,"",HLOOKUP(C131,'listes magies'!$B$2:$CT$35,11,FALSE))))))</f>
        <v/>
      </c>
      <c r="D148" s="217"/>
      <c r="E148" s="335"/>
      <c r="F148" s="336" t="str">
        <f>IF(F130="Magie mineure",'listes magies'!$A$12,IF(F130="Runes",'listes magies'!$CO$12,IF(F130="Runes Majeures",'listes magies'!$CQ$12,IF(F131="","",IF(HLOOKUP(F131,'listes magies'!$B$2:$CT$35,11,FALSE)=0,"",HLOOKUP(F131,'listes magies'!$B$2:$CT$35,11,FALSE))))))</f>
        <v/>
      </c>
      <c r="G148" s="217"/>
    </row>
    <row r="149" spans="1:7" ht="12.75" hidden="1" customHeight="1">
      <c r="A149" s="217"/>
      <c r="B149" s="335"/>
      <c r="C149" s="336" t="str">
        <f>IF(C130="Magie mineure",'listes magies'!$A$13,IF(C130="Runes",'listes magies'!$CO$13,IF(C130="Runes Majeures",'listes magies'!$CQ$13,IF(C131="","",IF(HLOOKUP(C131,'listes magies'!$B$2:$CT$35,12,FALSE)=0,"",HLOOKUP(C131,'listes magies'!$B$2:$CT$35,12,FALSE))))))</f>
        <v/>
      </c>
      <c r="D149" s="217"/>
      <c r="E149" s="335"/>
      <c r="F149" s="336" t="str">
        <f>IF(F130="Magie mineure",'listes magies'!$A$13,IF(F130="Runes",'listes magies'!$CO$13,IF(F130="Runes Majeures",'listes magies'!$CQ$13,IF(F131="","",IF(HLOOKUP(F131,'listes magies'!$B$2:$CT$35,12,FALSE)=0,"",HLOOKUP(F131,'listes magies'!$B$2:$CT$35,12,FALSE))))))</f>
        <v/>
      </c>
      <c r="G149" s="217"/>
    </row>
    <row r="150" spans="1:7" ht="12.75" hidden="1" customHeight="1">
      <c r="A150" s="217"/>
      <c r="B150" s="335"/>
      <c r="C150" s="336" t="str">
        <f>IF(C130="Magie mineure",'listes magies'!$A$14,IF(C130="Runes",'listes magies'!$CO$14,IF(C130="Runes Majeures",'listes magies'!$CQ$14,IF(C131="","",IF(HLOOKUP(C131,'listes magies'!$B$2:$CT$35,13,FALSE)=0,"",HLOOKUP(C131,'listes magies'!$B$2:$CT$35,13,FALSE))))))</f>
        <v/>
      </c>
      <c r="D150" s="217"/>
      <c r="E150" s="335"/>
      <c r="F150" s="336" t="str">
        <f>IF(F130="Magie mineure",'listes magies'!$A$14,IF(F130="Runes",'listes magies'!$CO$14,IF(F130="Runes Majeures",'listes magies'!$CQ$14,IF(F131="","",IF(HLOOKUP(F131,'listes magies'!$B$2:$CT$35,13,FALSE)=0,"",HLOOKUP(F131,'listes magies'!$B$2:$CT$35,13,FALSE))))))</f>
        <v/>
      </c>
      <c r="G150" s="217"/>
    </row>
    <row r="151" spans="1:7" ht="12.75" hidden="1" customHeight="1">
      <c r="A151" s="217"/>
      <c r="B151" s="335"/>
      <c r="C151" s="336" t="str">
        <f>IF(C130="Magie mineure",'listes magies'!$A$15,IF(C130="Runes",'listes magies'!$CO$15,IF(C130="Runes Majeures",'listes magies'!$CQ$15,IF(C131="","",IF(HLOOKUP(C131,'listes magies'!$B$2:$CT$35,14,FALSE)=0,"",HLOOKUP(C131,'listes magies'!$B$2:$CT$35,14,FALSE))))))</f>
        <v/>
      </c>
      <c r="D151" s="217"/>
      <c r="E151" s="335"/>
      <c r="F151" s="336" t="str">
        <f>IF(F130="Magie mineure",'listes magies'!$A$15,IF(F130="Runes",'listes magies'!$CO$15,IF(F130="Runes Majeures",'listes magies'!$CQ$15,IF(F131="","",IF(HLOOKUP(F131,'listes magies'!$B$2:$CT$35,14,FALSE)=0,"",HLOOKUP(F131,'listes magies'!$B$2:$CT$35,14,FALSE))))))</f>
        <v/>
      </c>
      <c r="G151" s="217"/>
    </row>
    <row r="152" spans="1:7" ht="12.75" hidden="1" customHeight="1">
      <c r="A152" s="217"/>
      <c r="B152" s="335"/>
      <c r="C152" s="336" t="str">
        <f>IF(C130="Magie mineure",'listes magies'!$A$16,IF(C130="Runes",'listes magies'!$CO$16,IF(C130="Runes Majeures",'listes magies'!$CQ$16,IF(C131="","",IF(HLOOKUP(C131,'listes magies'!$B$2:$CT$35,15,FALSE)=0,"",HLOOKUP(C131,'listes magies'!$B$2:$CT$35,15,FALSE))))))</f>
        <v/>
      </c>
      <c r="D152" s="217"/>
      <c r="E152" s="335"/>
      <c r="F152" s="336" t="str">
        <f>IF(F130="Magie mineure",'listes magies'!$A$16,IF(F130="Runes",'listes magies'!$CO$16,IF(F130="Runes Majeures",'listes magies'!$CQ$16,IF(F131="","",IF(HLOOKUP(F131,'listes magies'!$B$2:$CT$35,15,FALSE)=0,"",HLOOKUP(F131,'listes magies'!$B$2:$CT$35,15,FALSE))))))</f>
        <v/>
      </c>
      <c r="G152" s="217"/>
    </row>
    <row r="153" spans="1:7" ht="12.75" hidden="1" customHeight="1">
      <c r="A153" s="217"/>
      <c r="B153" s="335"/>
      <c r="C153" s="336" t="str">
        <f>IF(C130="Magie mineure",'listes magies'!$A$17,IF(C130="Runes",'listes magies'!$CO$17,IF(C130="Runes Majeures","",IF(C131="","",IF(HLOOKUP(C131,'listes magies'!$B$2:$CT$35,16,FALSE)=0,"",HLOOKUP(C131,'listes magies'!$B$2:$CT$35,16,FALSE))))))</f>
        <v/>
      </c>
      <c r="D153" s="217"/>
      <c r="E153" s="335"/>
      <c r="F153" s="336" t="str">
        <f>IF(F130="Magie mineure",'listes magies'!$A$17,IF(F130="Runes",'listes magies'!$CO$17,IF(F130="Runes Majeures","",IF(F131="","",IF(HLOOKUP(F131,'listes magies'!$B$2:$CT$35,16,FALSE)=0,"",HLOOKUP(F131,'listes magies'!$B$2:$CT$35,16,FALSE))))))</f>
        <v/>
      </c>
      <c r="G153" s="217"/>
    </row>
    <row r="154" spans="1:7" ht="12.75" hidden="1" customHeight="1">
      <c r="A154" s="217"/>
      <c r="B154" s="335"/>
      <c r="C154" s="336" t="str">
        <f>IF(C130="Magie mineure",'listes magies'!$A144,IF(C130="Runes",'listes magies'!$CO$18,IF(C130="Runes Majeures","",IF(C131="","",IF(HLOOKUP(C131,'listes magies'!$B$2:$CT$35,17,FALSE)=0,"",HLOOKUP(C131,'listes magies'!$B$2:$CT$35,17,FALSE))))))</f>
        <v/>
      </c>
      <c r="D154" s="217"/>
      <c r="E154" s="335"/>
      <c r="F154" s="336" t="str">
        <f>IF(F130="Magie mineure",'listes magies'!$A144,IF(F130="Runes",'listes magies'!$CO$18,IF(F130="Runes Majeures","",IF(F131="","",IF(HLOOKUP(F131,'listes magies'!$B$2:$CT$35,17,FALSE)=0,"",HLOOKUP(F131,'listes magies'!$B$2:$CT$35,17,FALSE))))))</f>
        <v/>
      </c>
      <c r="G154" s="217"/>
    </row>
    <row r="155" spans="1:7" ht="12.75" hidden="1" customHeight="1">
      <c r="A155" s="217"/>
      <c r="B155" s="335"/>
      <c r="C155" s="336" t="str">
        <f>IF(C130="Magie mineure",'listes magies'!$A$19,IF(C130="Runes",'listes magies'!$CO$19,IF(C130="Runes Majeures","",IF(C131="","",IF(HLOOKUP(C131,'listes magies'!$B$2:$CT$35,18,FALSE)=0,"",HLOOKUP(C131,'listes magies'!$B$2:$CT$35,18,FALSE))))))</f>
        <v/>
      </c>
      <c r="D155" s="217"/>
      <c r="E155" s="335"/>
      <c r="F155" s="336" t="str">
        <f>IF(F130="Magie mineure",'listes magies'!$A$19,IF(F130="Runes",'listes magies'!$CO$19,IF(F130="Runes Majeures","",IF(F131="","",IF(HLOOKUP(F131,'listes magies'!$B$2:$CT$35,18,FALSE)=0,"",HLOOKUP(F131,'listes magies'!$B$2:$CT$35,18,FALSE))))))</f>
        <v/>
      </c>
      <c r="G155" s="217"/>
    </row>
    <row r="156" spans="1:7" ht="12.75" hidden="1" customHeight="1">
      <c r="A156" s="217"/>
      <c r="B156" s="335"/>
      <c r="C156" s="336" t="str">
        <f>IF(C130="Magie mineure",'listes magies'!$A$20,IF(C130="Runes",'listes magies'!$CO$20,IF(C130="Runes Majeures","",IF(C131="","",IF(HLOOKUP(C131,'listes magies'!$B$2:$CT$35,19,FALSE)=0,"",HLOOKUP(C131,'listes magies'!$B$2:$CT$35,19,FALSE))))))</f>
        <v/>
      </c>
      <c r="D156" s="217"/>
      <c r="E156" s="335"/>
      <c r="F156" s="336" t="str">
        <f>IF(F130="Magie mineure",'listes magies'!$A$20,IF(F130="Runes",'listes magies'!$CO$20,IF(F130="Runes Majeures","",IF(F131="","",IF(HLOOKUP(F131,'listes magies'!$B$2:$CT$35,19,FALSE)=0,"",HLOOKUP(F131,'listes magies'!$B$2:$CT$35,19,FALSE))))))</f>
        <v/>
      </c>
      <c r="G156" s="217"/>
    </row>
    <row r="157" spans="1:7" ht="12.75" hidden="1" customHeight="1">
      <c r="A157" s="217"/>
      <c r="B157" s="335"/>
      <c r="C157" s="336" t="str">
        <f>IF(C130="Magie mineure",'listes magies'!$A$21,IF(C130="Runes",'listes magies'!$CO$21,IF(C130="Runes Majeures","",IF(C131="","",IF(HLOOKUP(C131,'listes magies'!$B$2:$CT$35,20,FALSE)=0,"",HLOOKUP(C131,'listes magies'!$B$2:$CT$35,20,FALSE))))))</f>
        <v/>
      </c>
      <c r="D157" s="217"/>
      <c r="E157" s="335"/>
      <c r="F157" s="336" t="str">
        <f>IF(F130="Magie mineure",'listes magies'!$A$21,IF(F130="Runes",'listes magies'!$CO$21,IF(F130="Runes Majeures","",IF(F131="","",IF(HLOOKUP(F131,'listes magies'!$B$2:$CT$35,20,FALSE)=0,"",HLOOKUP(F131,'listes magies'!$B$2:$CT$35,20,FALSE))))))</f>
        <v/>
      </c>
      <c r="G157" s="217"/>
    </row>
    <row r="158" spans="1:7" ht="12.75" hidden="1" customHeight="1">
      <c r="A158" s="217"/>
      <c r="B158" s="335"/>
      <c r="C158" s="336" t="str">
        <f>IF(C130="Magie mineure",'listes magies'!$A$22,IF(C130="Runes",'listes magies'!$CO$22,IF(C130="Runes Majeures","",IF(C131="","",IF(HLOOKUP(C131,'listes magies'!$B$2:$CT$35,21,FALSE)=0,"",HLOOKUP(C131,'listes magies'!$B$2:$CT$35,21,FALSE))))))</f>
        <v/>
      </c>
      <c r="D158" s="217"/>
      <c r="E158" s="335"/>
      <c r="F158" s="336" t="str">
        <f>IF(F130="Magie mineure",'listes magies'!$A$22,IF(F130="Runes",'listes magies'!$CO$22,IF(F130="Runes Majeures","",IF(F131="","",IF(HLOOKUP(F131,'listes magies'!$B$2:$CT$35,21,FALSE)=0,"",HLOOKUP(F131,'listes magies'!$B$2:$CT$35,21,FALSE))))))</f>
        <v/>
      </c>
      <c r="G158" s="217"/>
    </row>
    <row r="159" spans="1:7" ht="12.75" hidden="1" customHeight="1">
      <c r="A159" s="217"/>
      <c r="B159" s="335"/>
      <c r="C159" s="336" t="str">
        <f>IF(C130="Magie mineure",'listes magies'!$A$23,IF(C130="Runes",'listes magies'!$CO$22,IF(C130="Runes Majeures","",IF(C131="","",IF(HLOOKUP(C131,'listes magies'!$B$2:$CT$35,22,FALSE)=0,"",HLOOKUP(C131,'listes magies'!$B$2:$CT$35,22,FALSE))))))</f>
        <v/>
      </c>
      <c r="D159" s="217"/>
      <c r="E159" s="335"/>
      <c r="F159" s="336" t="str">
        <f>IF(F130="Magie mineure",'listes magies'!$A$23,IF(F130="Runes",'listes magies'!$CO$22,IF(F130="Runes Majeures","",IF(F131="","",IF(HLOOKUP(F131,'listes magies'!$B$2:$CT$35,22,FALSE)=0,"",HLOOKUP(F131,'listes magies'!$B$2:$CT$35,22,FALSE))))))</f>
        <v/>
      </c>
      <c r="G159" s="217"/>
    </row>
    <row r="160" spans="1:7" ht="12.75" hidden="1" customHeight="1">
      <c r="A160" s="217"/>
      <c r="B160" s="335"/>
      <c r="C160" s="336" t="str">
        <f>IF(C130="Magie mineure",'listes magies'!$A$24,IF(C130="Runes Majeures","",IF(C131="","",IF(HLOOKUP(C131,'listes magies'!$B$2:$CT$35,23,FALSE)=0,"",HLOOKUP(C131,'listes magies'!$B$2:$CT$35,23,FALSE)))))</f>
        <v/>
      </c>
      <c r="D160" s="217"/>
      <c r="E160" s="335"/>
      <c r="F160" s="336" t="str">
        <f>IF(F130="Magie mineure",'listes magies'!$A$24,IF(F130="Runes Majeures","",IF(F131="","",IF(HLOOKUP(F131,'listes magies'!$B$2:$CT$35,23,FALSE)=0,"",HLOOKUP(F131,'listes magies'!$B$2:$CT$35,23,FALSE)))))</f>
        <v/>
      </c>
      <c r="G160" s="217"/>
    </row>
    <row r="161" spans="1:7" ht="12.75" hidden="1" customHeight="1">
      <c r="A161" s="217"/>
      <c r="B161" s="335"/>
      <c r="C161" s="336" t="str">
        <f>IF(C130="Magie mineure",'listes magies'!$A$25,IF(C130="Runes Majeures","",IF(C131="","",IF(HLOOKUP(C131,'listes magies'!$B$2:$CT$35,24,FALSE)=0,"",HLOOKUP(C131,'listes magies'!$B$2:$CT$35,24,FALSE)))))</f>
        <v/>
      </c>
      <c r="D161" s="217"/>
      <c r="E161" s="335"/>
      <c r="F161" s="336" t="str">
        <f>IF(F130="Magie mineure",'listes magies'!$A$25,IF(F130="Runes Majeures","",IF(F131="","",IF(HLOOKUP(F131,'listes magies'!$B$2:$CT$35,24,FALSE)=0,"",HLOOKUP(F131,'listes magies'!$B$2:$CT$35,24,FALSE)))))</f>
        <v/>
      </c>
      <c r="G161" s="217"/>
    </row>
    <row r="162" spans="1:7" ht="12.75" hidden="1" customHeight="1">
      <c r="A162" s="217"/>
      <c r="B162" s="335"/>
      <c r="C162" s="336" t="str">
        <f>IF(C130="Magie mineure",'listes magies'!$A$26,IF(C130="Runes","",IF(C130="Runes Majeures","",IF(C131="","",IF(HLOOKUP(C131,'listes magies'!$B$2:$CT$35,25,FALSE)=0,"",HLOOKUP(C131,'listes magies'!$B$2:$CT$35,25,FALSE))))))</f>
        <v/>
      </c>
      <c r="D162" s="217"/>
      <c r="E162" s="335"/>
      <c r="F162" s="336" t="str">
        <f>IF(F130="Magie mineure",'listes magies'!$A$26,IF(F130="Runes","",IF(F130="Runes Majeures","",IF(F131="","",IF(HLOOKUP(F131,'listes magies'!$B$2:$CT$35,25,FALSE)=0,"",HLOOKUP(F131,'listes magies'!$B$2:$CT$35,25,FALSE))))))</f>
        <v/>
      </c>
      <c r="G162" s="217"/>
    </row>
    <row r="163" spans="1:7" ht="12.75" hidden="1" customHeight="1">
      <c r="A163" s="217"/>
      <c r="B163" s="335"/>
      <c r="C163" s="336" t="str">
        <f>IF(C130="Magie mineure",'listes magies'!$A$27,"")</f>
        <v/>
      </c>
      <c r="D163" s="217"/>
      <c r="E163" s="335"/>
      <c r="F163" s="336" t="str">
        <f>IF(F130="Magie mineure",'listes magies'!$A$27,"")</f>
        <v/>
      </c>
      <c r="G163" s="217"/>
    </row>
    <row r="164" spans="1:7" ht="12.75" hidden="1" customHeight="1">
      <c r="A164" s="217"/>
      <c r="B164" s="335"/>
      <c r="C164" s="336" t="str">
        <f>IF(C130="Magie mineure",'listes magies'!$A$28,"")</f>
        <v/>
      </c>
      <c r="D164" s="217"/>
      <c r="E164" s="335"/>
      <c r="F164" s="336" t="str">
        <f>IF(F130="Magie mineure",'listes magies'!$A$28,"")</f>
        <v/>
      </c>
      <c r="G164" s="217"/>
    </row>
    <row r="165" spans="1:7" ht="12.75" hidden="1" customHeight="1">
      <c r="A165" s="217"/>
      <c r="B165" s="335"/>
      <c r="C165" s="336" t="str">
        <f>IF(C130="Magie mineure",'listes magies'!$A$29,"")</f>
        <v/>
      </c>
      <c r="D165" s="217"/>
      <c r="E165" s="335"/>
      <c r="F165" s="336" t="str">
        <f>IF(F130="Magie mineure",'listes magies'!$A$29,"")</f>
        <v/>
      </c>
      <c r="G165" s="217"/>
    </row>
    <row r="166" spans="1:7" ht="12.75" hidden="1" customHeight="1">
      <c r="A166" s="217"/>
      <c r="B166" s="335"/>
      <c r="C166" s="336" t="str">
        <f>IF(C130="Magie mineure",'listes magies'!$A$30,"")</f>
        <v/>
      </c>
      <c r="D166" s="217"/>
      <c r="E166" s="335"/>
      <c r="F166" s="336" t="str">
        <f>IF(F130="Magie mineure",'listes magies'!$A$30,"")</f>
        <v/>
      </c>
      <c r="G166" s="217"/>
    </row>
    <row r="167" spans="1:7" ht="12.75" hidden="1" customHeight="1">
      <c r="A167" s="217"/>
      <c r="B167" s="335"/>
      <c r="C167" s="336" t="str">
        <f>IF(C130="Magie mineure",'listes magies'!$A$31,"")</f>
        <v/>
      </c>
      <c r="D167" s="217"/>
      <c r="E167" s="335"/>
      <c r="F167" s="336" t="str">
        <f>IF(F130="Magie mineure",'listes magies'!$A$31,"")</f>
        <v/>
      </c>
      <c r="G167" s="217"/>
    </row>
    <row r="168" spans="1:7" ht="12.75" hidden="1" customHeight="1">
      <c r="A168" s="217"/>
      <c r="B168" s="335"/>
      <c r="C168" s="336" t="str">
        <f>IF(C130="Magie mineure",'listes magies'!$A$32,"")</f>
        <v/>
      </c>
      <c r="D168" s="217"/>
      <c r="E168" s="335"/>
      <c r="F168" s="336" t="str">
        <f>IF(F130="Magie mineure",'listes magies'!$A$32,"")</f>
        <v/>
      </c>
      <c r="G168" s="217"/>
    </row>
    <row r="169" spans="1:7" ht="12.75" hidden="1" customHeight="1">
      <c r="A169" s="217"/>
      <c r="B169" s="335"/>
      <c r="C169" s="336" t="str">
        <f>IF(C130="Magie mineure",'listes magies'!$A$33,"")</f>
        <v/>
      </c>
      <c r="D169" s="217"/>
      <c r="E169" s="335"/>
      <c r="F169" s="336" t="str">
        <f>IF(F130="Magie mineure",'listes magies'!$A$33,"")</f>
        <v/>
      </c>
      <c r="G169" s="217"/>
    </row>
    <row r="170" spans="1:7" ht="12.75" hidden="1" customHeight="1">
      <c r="A170" s="217"/>
      <c r="B170" s="335"/>
      <c r="C170" s="336" t="str">
        <f>IF(C130="Magie mineure",'listes magies'!$A$34,"")</f>
        <v/>
      </c>
      <c r="D170" s="217"/>
      <c r="E170" s="335"/>
      <c r="F170" s="336" t="str">
        <f>IF(F130="Magie mineure",'listes magies'!$A$34,"")</f>
        <v/>
      </c>
      <c r="G170" s="217"/>
    </row>
    <row r="171" spans="1:7" ht="6" customHeight="1" thickBot="1">
      <c r="A171" s="217"/>
      <c r="B171" s="217"/>
      <c r="C171" s="217"/>
      <c r="D171" s="217"/>
      <c r="E171" s="217"/>
      <c r="F171" s="217"/>
      <c r="G171" s="217"/>
    </row>
    <row r="172" spans="1:7">
      <c r="A172" s="217"/>
      <c r="B172" s="331" t="s">
        <v>679</v>
      </c>
      <c r="C172" s="332"/>
      <c r="D172" s="217"/>
      <c r="E172" s="331" t="s">
        <v>679</v>
      </c>
      <c r="F172" s="332"/>
      <c r="G172" s="217"/>
    </row>
    <row r="173" spans="1:7">
      <c r="A173" s="217"/>
      <c r="B173" s="333" t="s">
        <v>680</v>
      </c>
      <c r="C173" s="330"/>
      <c r="D173" s="217"/>
      <c r="E173" s="333" t="s">
        <v>680</v>
      </c>
      <c r="F173" s="330"/>
      <c r="G173" s="217"/>
    </row>
    <row r="174" spans="1:7">
      <c r="A174" s="217"/>
      <c r="B174" s="333" t="s">
        <v>681</v>
      </c>
      <c r="C174" s="330"/>
      <c r="D174" s="217"/>
      <c r="E174" s="333" t="s">
        <v>681</v>
      </c>
      <c r="F174" s="330"/>
      <c r="G174" s="217"/>
    </row>
    <row r="175" spans="1:7">
      <c r="A175" s="217"/>
      <c r="B175" s="333" t="s">
        <v>682</v>
      </c>
      <c r="C175" s="330" t="str">
        <f>IF(C174="","",VLOOKUP(C174,Magie!$B:$H,2,FALSE))</f>
        <v/>
      </c>
      <c r="D175" s="217"/>
      <c r="E175" s="333" t="s">
        <v>682</v>
      </c>
      <c r="F175" s="330" t="str">
        <f>IF(F174="","",VLOOKUP(F174,Magie!$B:$H,2,FALSE))</f>
        <v/>
      </c>
      <c r="G175" s="217"/>
    </row>
    <row r="176" spans="1:7">
      <c r="A176" s="217"/>
      <c r="B176" s="333" t="s">
        <v>683</v>
      </c>
      <c r="C176" s="330" t="str">
        <f>IF(C174="","",VLOOKUP(C174,Magie!$B:$H,3,FALSE))</f>
        <v/>
      </c>
      <c r="D176" s="217"/>
      <c r="E176" s="333" t="s">
        <v>683</v>
      </c>
      <c r="F176" s="330" t="str">
        <f>IF(F174="","",VLOOKUP(F174,Magie!$B:$H,3,FALSE))</f>
        <v/>
      </c>
      <c r="G176" s="217"/>
    </row>
    <row r="177" spans="1:7">
      <c r="A177" s="217"/>
      <c r="B177" s="333" t="str">
        <f>IF(OR(C172="Runes",C172="Runes Majeures"),"Activation:","Durée:")</f>
        <v>Durée:</v>
      </c>
      <c r="C177" s="330" t="str">
        <f>IF(C174="","",VLOOKUP(C174,Magie!$B:$H,4,FALSE))</f>
        <v/>
      </c>
      <c r="D177" s="217"/>
      <c r="E177" s="333" t="str">
        <f>IF(OR(F172="Runes",F172="Runes Majeures"),"Activation:","Durée:")</f>
        <v>Durée:</v>
      </c>
      <c r="F177" s="330" t="str">
        <f>IF(F174="","",VLOOKUP(F174,Magie!$B:$H,4,FALSE))</f>
        <v/>
      </c>
      <c r="G177" s="217"/>
    </row>
    <row r="178" spans="1:7">
      <c r="A178" s="217"/>
      <c r="B178" s="333" t="s">
        <v>684</v>
      </c>
      <c r="C178" s="330" t="str">
        <f>IF(C174="","",VLOOKUP(C174,Magie!$B:$H,5,FALSE))</f>
        <v/>
      </c>
      <c r="D178" s="217"/>
      <c r="E178" s="333" t="s">
        <v>684</v>
      </c>
      <c r="F178" s="330" t="str">
        <f>IF(F174="","",VLOOKUP(F174,Magie!$B:$H,5,FALSE))</f>
        <v/>
      </c>
      <c r="G178" s="217"/>
    </row>
    <row r="179" spans="1:7">
      <c r="A179" s="217"/>
      <c r="B179" s="333" t="str">
        <f>IF(C173="Domaine de Loec","Note:","Ingrédient:")</f>
        <v>Ingrédient:</v>
      </c>
      <c r="C179" s="441" t="str">
        <f>IF(C174="","",VLOOKUP(C174,Magie!$B:$H,6,FALSE))</f>
        <v/>
      </c>
      <c r="D179" s="217"/>
      <c r="E179" s="333" t="str">
        <f>IF(F173="Domaine de Loec","Note:","Ingrédient:")</f>
        <v>Ingrédient:</v>
      </c>
      <c r="F179" s="441" t="str">
        <f>IF(F174="","",VLOOKUP(F174,Magie!$B:$H,6,FALSE))</f>
        <v/>
      </c>
      <c r="G179" s="217"/>
    </row>
    <row r="180" spans="1:7" ht="46.95" customHeight="1" thickBot="1">
      <c r="A180" s="217"/>
      <c r="B180" s="334" t="s">
        <v>685</v>
      </c>
      <c r="C180" s="845" t="str">
        <f>IF(C174="","",VLOOKUP(C174,Magie!$B:$H,7,FALSE))</f>
        <v/>
      </c>
      <c r="D180" s="217"/>
      <c r="E180" s="334" t="s">
        <v>685</v>
      </c>
      <c r="F180" s="845" t="str">
        <f>IF(F174="","",VLOOKUP(F174,Magie!$B:$H,7,FALSE))</f>
        <v/>
      </c>
      <c r="G180" s="217"/>
    </row>
    <row r="181" spans="1:7" ht="12.75" hidden="1" customHeight="1">
      <c r="A181" s="217"/>
      <c r="B181" s="335"/>
      <c r="C181" s="336" t="str">
        <f>IF(C172="Magie mineure",'listes magies'!$A$3,IF(C172="Runes",'listes magies'!$CO$3,IF(C172="Runes Majeures",'listes magies'!$CQ$3,IF(C173="","",IF(HLOOKUP(C173,'listes magies'!$B$2:$CT$35,2,FALSE)=0,"",HLOOKUP(C173,'listes magies'!$B$2:$CT$35,2,FALSE))))))</f>
        <v/>
      </c>
      <c r="D181" s="217"/>
      <c r="E181" s="335"/>
      <c r="F181" s="336" t="str">
        <f>IF(F172="Magie mineure",'listes magies'!$A$3,IF(F172="Runes",'listes magies'!$CO$3,IF(F172="Runes Majeures",'listes magies'!$CQ$3,IF(F173="","",IF(HLOOKUP(F173,'listes magies'!$B$2:$CT$35,2,FALSE)=0,"",HLOOKUP(F173,'listes magies'!$B$2:$CT$35,2,FALSE))))))</f>
        <v/>
      </c>
      <c r="G181" s="217"/>
    </row>
    <row r="182" spans="1:7" ht="12.75" hidden="1" customHeight="1">
      <c r="A182" s="217"/>
      <c r="B182" s="335"/>
      <c r="C182" s="336" t="str">
        <f>IF(C172="Magie mineure",'listes magies'!$A$4,IF(C172="Runes",'listes magies'!$CO$4,IF(C172="Runes Majeures",'listes magies'!$CQ$3,IF(C173="","",IF(HLOOKUP(C173,'listes magies'!$B$2:$CT$35,2,FALSE)=0,"",HLOOKUP(C173,'listes magies'!$B$2:$CT$35,3,FALSE))))))</f>
        <v/>
      </c>
      <c r="D182" s="217"/>
      <c r="E182" s="335"/>
      <c r="F182" s="336" t="str">
        <f>IF(F172="Magie mineure",'listes magies'!$A$4,IF(F172="Runes",'listes magies'!$CO$4,IF(F172="Runes Majeures",'listes magies'!$CQ$3,IF(F173="","",IF(HLOOKUP(F173,'listes magies'!$B$2:$CT$35,2,FALSE)=0,"",HLOOKUP(F173,'listes magies'!$B$2:$CT$35,3,FALSE))))))</f>
        <v/>
      </c>
      <c r="G182" s="217"/>
    </row>
    <row r="183" spans="1:7" ht="12.75" hidden="1" customHeight="1">
      <c r="A183" s="217"/>
      <c r="B183" s="335"/>
      <c r="C183" s="336" t="str">
        <f>IF(C172="Magie mineure",'listes magies'!$A$5,IF(C172="Runes",'listes magies'!$CO$5,IF(C172="Runes Majeures",'listes magies'!$CQ$5,IF(C173="","",IF(HLOOKUP(C173,'listes magies'!$B$2:$CT$35,4,FALSE)=0,"",HLOOKUP(C173,'listes magies'!$B$2:$CT$35,4,FALSE))))))</f>
        <v/>
      </c>
      <c r="D183" s="217"/>
      <c r="E183" s="335"/>
      <c r="F183" s="336" t="str">
        <f>IF(F172="Magie mineure",'listes magies'!$A$5,IF(F172="Runes",'listes magies'!$CO$5,IF(F172="Runes Majeures",'listes magies'!$CQ$5,IF(F173="","",IF(HLOOKUP(F173,'listes magies'!$B$2:$CT$35,4,FALSE)=0,"",HLOOKUP(F173,'listes magies'!$B$2:$CT$35,4,FALSE))))))</f>
        <v/>
      </c>
      <c r="G183" s="217"/>
    </row>
    <row r="184" spans="1:7" ht="12.75" hidden="1" customHeight="1">
      <c r="A184" s="217"/>
      <c r="B184" s="335"/>
      <c r="C184" s="336" t="str">
        <f>IF(C172="Magie mineure",'listes magies'!$A$6,IF(C172="Runes",'listes magies'!$CO$6,IF(C172="Runes Majeures",'listes magies'!$CQ$6,IF(C173="","",IF(HLOOKUP(C173,'listes magies'!$B$2:$CT$35,5,FALSE)=0,"",HLOOKUP(C173,'listes magies'!$B$2:$CT$35,5,FALSE))))))</f>
        <v/>
      </c>
      <c r="D184" s="217"/>
      <c r="E184" s="335"/>
      <c r="F184" s="336" t="str">
        <f>IF(F172="Magie mineure",'listes magies'!$A$6,IF(F172="Runes",'listes magies'!$CO$6,IF(F172="Runes Majeures",'listes magies'!$CQ$6,IF(F173="","",IF(HLOOKUP(F173,'listes magies'!$B$2:$CT$35,5,FALSE)=0,"",HLOOKUP(F173,'listes magies'!$B$2:$CT$35,5,FALSE))))))</f>
        <v/>
      </c>
      <c r="G184" s="217"/>
    </row>
    <row r="185" spans="1:7" ht="12.75" hidden="1" customHeight="1">
      <c r="A185" s="217"/>
      <c r="B185" s="335"/>
      <c r="C185" s="336" t="str">
        <f>IF(C172="Magie mineure",'listes magies'!$A$7,IF(C172="Runes",'listes magies'!$CO$7,IF(C172="Runes Majeures",'listes magies'!$CQ$7,IF(C173="","",IF(HLOOKUP(C173,'listes magies'!$B$2:$CT$35,6,FALSE)=0,"",HLOOKUP(C173,'listes magies'!$B$2:$CT$35,6,FALSE))))))</f>
        <v/>
      </c>
      <c r="D185" s="217"/>
      <c r="E185" s="335"/>
      <c r="F185" s="336" t="str">
        <f>IF(F172="Magie mineure",'listes magies'!$A$7,IF(F172="Runes",'listes magies'!$CO$7,IF(F172="Runes Majeures",'listes magies'!$CQ$7,IF(F173="","",IF(HLOOKUP(F173,'listes magies'!$B$2:$CT$35,6,FALSE)=0,"",HLOOKUP(F173,'listes magies'!$B$2:$CT$35,6,FALSE))))))</f>
        <v/>
      </c>
      <c r="G185" s="217"/>
    </row>
    <row r="186" spans="1:7" ht="12.75" hidden="1" customHeight="1">
      <c r="A186" s="217"/>
      <c r="B186" s="335"/>
      <c r="C186" s="336" t="str">
        <f>IF(C172="Magie mineure",'listes magies'!$A$8,IF(C172="Runes",'listes magies'!$CO$8,IF(C172="Runes Majeures",'listes magies'!$CQ$8,IF(C173="","",IF(HLOOKUP(C173,'listes magies'!$B$2:$CT$35,7,FALSE)=0,"",HLOOKUP(C173,'listes magies'!$B$2:$CT$35,7,FALSE))))))</f>
        <v/>
      </c>
      <c r="D186" s="217"/>
      <c r="E186" s="335"/>
      <c r="F186" s="336" t="str">
        <f>IF(F172="Magie mineure",'listes magies'!$A$8,IF(F172="Runes",'listes magies'!$CO$8,IF(F172="Runes Majeures",'listes magies'!$CQ$8,IF(F173="","",IF(HLOOKUP(F173,'listes magies'!$B$2:$CT$35,7,FALSE)=0,"",HLOOKUP(F173,'listes magies'!$B$2:$CT$35,7,FALSE))))))</f>
        <v/>
      </c>
      <c r="G186" s="217"/>
    </row>
    <row r="187" spans="1:7" ht="12.75" hidden="1" customHeight="1">
      <c r="A187" s="217"/>
      <c r="B187" s="335"/>
      <c r="C187" s="336" t="str">
        <f>IF(C172="Magie mineure",'listes magies'!$A$9,IF(C172="Runes",'listes magies'!$CO$9,IF(C172="Runes Majeures",'listes magies'!$CQ$9,IF(C173="","",IF(HLOOKUP(C173,'listes magies'!$B$2:$CT$35,8,FALSE)=0,"",HLOOKUP(C173,'listes magies'!$B$2:$CT$35,8,FALSE))))))</f>
        <v/>
      </c>
      <c r="D187" s="217"/>
      <c r="E187" s="335"/>
      <c r="F187" s="336" t="str">
        <f>IF(F172="Magie mineure",'listes magies'!$A$9,IF(F172="Runes",'listes magies'!$CO$9,IF(F172="Runes Majeures",'listes magies'!$CQ$9,IF(F173="","",IF(HLOOKUP(F173,'listes magies'!$B$2:$CT$35,8,FALSE)=0,"",HLOOKUP(F173,'listes magies'!$B$2:$CT$35,8,FALSE))))))</f>
        <v/>
      </c>
      <c r="G187" s="217"/>
    </row>
    <row r="188" spans="1:7" ht="12.75" hidden="1" customHeight="1">
      <c r="A188" s="217"/>
      <c r="B188" s="335"/>
      <c r="C188" s="336" t="str">
        <f>IF(C172="Magie mineure",'listes magies'!$A$10,IF(C172="Runes",'listes magies'!$CO$10,IF(C172="Runes Majeures",'listes magies'!$CQ$10,IF(C173="","",IF(HLOOKUP(C173,'listes magies'!$B$2:$CT$35,9,FALSE)=0,"",HLOOKUP(C173,'listes magies'!$B$2:$CT$35,9,FALSE))))))</f>
        <v/>
      </c>
      <c r="D188" s="217"/>
      <c r="E188" s="335"/>
      <c r="F188" s="336" t="str">
        <f>IF(F172="Magie mineure",'listes magies'!$A$10,IF(F172="Runes",'listes magies'!$CO$10,IF(F172="Runes Majeures",'listes magies'!$CQ$10,IF(F173="","",IF(HLOOKUP(F173,'listes magies'!$B$2:$CT$35,9,FALSE)=0,"",HLOOKUP(F173,'listes magies'!$B$2:$CT$35,9,FALSE))))))</f>
        <v/>
      </c>
      <c r="G188" s="217"/>
    </row>
    <row r="189" spans="1:7" ht="12.75" hidden="1" customHeight="1">
      <c r="A189" s="217"/>
      <c r="B189" s="335"/>
      <c r="C189" s="336" t="str">
        <f>IF(C172="Magie mineure",'listes magies'!$A$11,IF(C172="Runes",'listes magies'!$CO$11,IF(C172="Runes Majeures",'listes magies'!$CQ$11,IF(C173="","",IF(HLOOKUP(C173,'listes magies'!$B$2:$CT$35,10,FALSE)=0,"",HLOOKUP(C173,'listes magies'!$B$2:$CT$35,10,FALSE))))))</f>
        <v/>
      </c>
      <c r="D189" s="217"/>
      <c r="E189" s="335"/>
      <c r="F189" s="336" t="str">
        <f>IF(F172="Magie mineure",'listes magies'!$A$11,IF(F172="Runes",'listes magies'!$CO$11,IF(F172="Runes Majeures",'listes magies'!$CQ$11,IF(F173="","",IF(HLOOKUP(F173,'listes magies'!$B$2:$CT$35,10,FALSE)=0,"",HLOOKUP(F173,'listes magies'!$B$2:$CT$35,10,FALSE))))))</f>
        <v/>
      </c>
      <c r="G189" s="217"/>
    </row>
    <row r="190" spans="1:7" ht="12.75" hidden="1" customHeight="1">
      <c r="A190" s="217"/>
      <c r="B190" s="335"/>
      <c r="C190" s="336" t="str">
        <f>IF(C172="Magie mineure",'listes magies'!$A$12,IF(C172="Runes",'listes magies'!$CO$12,IF(C172="Runes Majeures",'listes magies'!$CQ$12,IF(C173="","",IF(HLOOKUP(C173,'listes magies'!$B$2:$CT$35,11,FALSE)=0,"",HLOOKUP(C173,'listes magies'!$B$2:$CT$35,11,FALSE))))))</f>
        <v/>
      </c>
      <c r="D190" s="217"/>
      <c r="E190" s="335"/>
      <c r="F190" s="336" t="str">
        <f>IF(F172="Magie mineure",'listes magies'!$A$12,IF(F172="Runes",'listes magies'!$CO$12,IF(F172="Runes Majeures",'listes magies'!$CQ$12,IF(F173="","",IF(HLOOKUP(F173,'listes magies'!$B$2:$CT$35,11,FALSE)=0,"",HLOOKUP(F173,'listes magies'!$B$2:$CT$35,11,FALSE))))))</f>
        <v/>
      </c>
      <c r="G190" s="217"/>
    </row>
    <row r="191" spans="1:7" ht="12.75" hidden="1" customHeight="1">
      <c r="A191" s="217"/>
      <c r="B191" s="335"/>
      <c r="C191" s="336" t="str">
        <f>IF(C172="Magie mineure",'listes magies'!$A$13,IF(C172="Runes",'listes magies'!$CO$13,IF(C172="Runes Majeures",'listes magies'!$CQ$13,IF(C173="","",IF(HLOOKUP(C173,'listes magies'!$B$2:$CT$35,12,FALSE)=0,"",HLOOKUP(C173,'listes magies'!$B$2:$CT$35,12,FALSE))))))</f>
        <v/>
      </c>
      <c r="D191" s="217"/>
      <c r="E191" s="335"/>
      <c r="F191" s="336" t="str">
        <f>IF(F172="Magie mineure",'listes magies'!$A$13,IF(F172="Runes",'listes magies'!$CO$13,IF(F172="Runes Majeures",'listes magies'!$CQ$13,IF(F173="","",IF(HLOOKUP(F173,'listes magies'!$B$2:$CT$35,12,FALSE)=0,"",HLOOKUP(F173,'listes magies'!$B$2:$CT$35,12,FALSE))))))</f>
        <v/>
      </c>
      <c r="G191" s="217"/>
    </row>
    <row r="192" spans="1:7" ht="12.75" hidden="1" customHeight="1">
      <c r="A192" s="217"/>
      <c r="B192" s="335"/>
      <c r="C192" s="336" t="str">
        <f>IF(C172="Magie mineure",'listes magies'!$A$14,IF(C172="Runes",'listes magies'!$CO$14,IF(C172="Runes Majeures",'listes magies'!$CQ$14,IF(C173="","",IF(HLOOKUP(C173,'listes magies'!$B$2:$CT$35,13,FALSE)=0,"",HLOOKUP(C173,'listes magies'!$B$2:$CT$35,13,FALSE))))))</f>
        <v/>
      </c>
      <c r="D192" s="217"/>
      <c r="E192" s="335"/>
      <c r="F192" s="336" t="str">
        <f>IF(F172="Magie mineure",'listes magies'!$A$14,IF(F172="Runes",'listes magies'!$CO$14,IF(F172="Runes Majeures",'listes magies'!$CQ$14,IF(F173="","",IF(HLOOKUP(F173,'listes magies'!$B$2:$CT$35,13,FALSE)=0,"",HLOOKUP(F173,'listes magies'!$B$2:$CT$35,13,FALSE))))))</f>
        <v/>
      </c>
      <c r="G192" s="217"/>
    </row>
    <row r="193" spans="1:7" ht="12.75" hidden="1" customHeight="1">
      <c r="A193" s="217"/>
      <c r="B193" s="335"/>
      <c r="C193" s="336" t="str">
        <f>IF(C172="Magie mineure",'listes magies'!$A$15,IF(C172="Runes",'listes magies'!$CO$15,IF(C172="Runes Majeures",'listes magies'!$CQ$15,IF(C173="","",IF(HLOOKUP(C173,'listes magies'!$B$2:$CT$35,14,FALSE)=0,"",HLOOKUP(C173,'listes magies'!$B$2:$CT$35,14,FALSE))))))</f>
        <v/>
      </c>
      <c r="D193" s="217"/>
      <c r="E193" s="335"/>
      <c r="F193" s="336" t="str">
        <f>IF(F172="Magie mineure",'listes magies'!$A$15,IF(F172="Runes",'listes magies'!$CO$15,IF(F172="Runes Majeures",'listes magies'!$CQ$15,IF(F173="","",IF(HLOOKUP(F173,'listes magies'!$B$2:$CT$35,14,FALSE)=0,"",HLOOKUP(F173,'listes magies'!$B$2:$CT$35,14,FALSE))))))</f>
        <v/>
      </c>
      <c r="G193" s="217"/>
    </row>
    <row r="194" spans="1:7" ht="12.75" hidden="1" customHeight="1">
      <c r="A194" s="217"/>
      <c r="B194" s="335"/>
      <c r="C194" s="336" t="str">
        <f>IF(C172="Magie mineure",'listes magies'!$A$16,IF(C172="Runes",'listes magies'!$CO$16,IF(C172="Runes Majeures",'listes magies'!$CQ$16,IF(C173="","",IF(HLOOKUP(C173,'listes magies'!$B$2:$CT$35,15,FALSE)=0,"",HLOOKUP(C173,'listes magies'!$B$2:$CT$35,15,FALSE))))))</f>
        <v/>
      </c>
      <c r="D194" s="217"/>
      <c r="E194" s="335"/>
      <c r="F194" s="336" t="str">
        <f>IF(F172="Magie mineure",'listes magies'!$A$16,IF(F172="Runes",'listes magies'!$CO$16,IF(F172="Runes Majeures",'listes magies'!$CQ$16,IF(F173="","",IF(HLOOKUP(F173,'listes magies'!$B$2:$CT$35,15,FALSE)=0,"",HLOOKUP(F173,'listes magies'!$B$2:$CT$35,15,FALSE))))))</f>
        <v/>
      </c>
      <c r="G194" s="217"/>
    </row>
    <row r="195" spans="1:7" ht="12.75" hidden="1" customHeight="1">
      <c r="A195" s="217"/>
      <c r="B195" s="335"/>
      <c r="C195" s="336" t="str">
        <f>IF(C172="Magie mineure",'listes magies'!$A$17,IF(C172="Runes",'listes magies'!$CO$17,IF(C172="Runes Majeures","",IF(C173="","",IF(HLOOKUP(C173,'listes magies'!$B$2:$CT$35,16,FALSE)=0,"",HLOOKUP(C173,'listes magies'!$B$2:$CT$35,16,FALSE))))))</f>
        <v/>
      </c>
      <c r="D195" s="217"/>
      <c r="E195" s="335"/>
      <c r="F195" s="336" t="str">
        <f>IF(F172="Magie mineure",'listes magies'!$A$17,IF(F172="Runes",'listes magies'!$CO$17,IF(F172="Runes Majeures","",IF(F173="","",IF(HLOOKUP(F173,'listes magies'!$B$2:$CT$35,16,FALSE)=0,"",HLOOKUP(F173,'listes magies'!$B$2:$CT$35,16,FALSE))))))</f>
        <v/>
      </c>
      <c r="G195" s="217"/>
    </row>
    <row r="196" spans="1:7" ht="12.75" hidden="1" customHeight="1">
      <c r="A196" s="217"/>
      <c r="B196" s="335"/>
      <c r="C196" s="336" t="str">
        <f>IF(C172="Magie mineure",'listes magies'!$A186,IF(C172="Runes",'listes magies'!$CO$18,IF(C172="Runes Majeures","",IF(C173="","",IF(HLOOKUP(C173,'listes magies'!$B$2:$CT$35,17,FALSE)=0,"",HLOOKUP(C173,'listes magies'!$B$2:$CT$35,17,FALSE))))))</f>
        <v/>
      </c>
      <c r="D196" s="217"/>
      <c r="E196" s="335"/>
      <c r="F196" s="336" t="str">
        <f>IF(F172="Magie mineure",'listes magies'!$A186,IF(F172="Runes",'listes magies'!$CO$18,IF(F172="Runes Majeures","",IF(F173="","",IF(HLOOKUP(F173,'listes magies'!$B$2:$CT$35,17,FALSE)=0,"",HLOOKUP(F173,'listes magies'!$B$2:$CT$35,17,FALSE))))))</f>
        <v/>
      </c>
      <c r="G196" s="217"/>
    </row>
    <row r="197" spans="1:7" ht="12.75" hidden="1" customHeight="1">
      <c r="A197" s="217"/>
      <c r="B197" s="335"/>
      <c r="C197" s="336" t="str">
        <f>IF(C172="Magie mineure",'listes magies'!$A$19,IF(C172="Runes",'listes magies'!$CO$19,IF(C172="Runes Majeures","",IF(C173="","",IF(HLOOKUP(C173,'listes magies'!$B$2:$CT$35,18,FALSE)=0,"",HLOOKUP(C173,'listes magies'!$B$2:$CT$35,18,FALSE))))))</f>
        <v/>
      </c>
      <c r="D197" s="217"/>
      <c r="E197" s="335"/>
      <c r="F197" s="336" t="str">
        <f>IF(F172="Magie mineure",'listes magies'!$A$19,IF(F172="Runes",'listes magies'!$CO$19,IF(F172="Runes Majeures","",IF(F173="","",IF(HLOOKUP(F173,'listes magies'!$B$2:$CT$35,18,FALSE)=0,"",HLOOKUP(F173,'listes magies'!$B$2:$CT$35,18,FALSE))))))</f>
        <v/>
      </c>
      <c r="G197" s="217"/>
    </row>
    <row r="198" spans="1:7" ht="12.75" hidden="1" customHeight="1">
      <c r="A198" s="217"/>
      <c r="B198" s="335"/>
      <c r="C198" s="336" t="str">
        <f>IF(C172="Magie mineure",'listes magies'!$A$20,IF(C172="Runes",'listes magies'!$CO$20,IF(C172="Runes Majeures","",IF(C173="","",IF(HLOOKUP(C173,'listes magies'!$B$2:$CT$35,19,FALSE)=0,"",HLOOKUP(C173,'listes magies'!$B$2:$CT$35,19,FALSE))))))</f>
        <v/>
      </c>
      <c r="D198" s="217"/>
      <c r="E198" s="335"/>
      <c r="F198" s="336" t="str">
        <f>IF(F172="Magie mineure",'listes magies'!$A$20,IF(F172="Runes",'listes magies'!$CO$20,IF(F172="Runes Majeures","",IF(F173="","",IF(HLOOKUP(F173,'listes magies'!$B$2:$CT$35,19,FALSE)=0,"",HLOOKUP(F173,'listes magies'!$B$2:$CT$35,19,FALSE))))))</f>
        <v/>
      </c>
      <c r="G198" s="217"/>
    </row>
    <row r="199" spans="1:7" ht="12.75" hidden="1" customHeight="1">
      <c r="A199" s="217"/>
      <c r="B199" s="335"/>
      <c r="C199" s="336" t="str">
        <f>IF(C172="Magie mineure",'listes magies'!$A$21,IF(C172="Runes",'listes magies'!$CO$21,IF(C172="Runes Majeures","",IF(C173="","",IF(HLOOKUP(C173,'listes magies'!$B$2:$CT$35,20,FALSE)=0,"",HLOOKUP(C173,'listes magies'!$B$2:$CT$35,20,FALSE))))))</f>
        <v/>
      </c>
      <c r="D199" s="217"/>
      <c r="E199" s="335"/>
      <c r="F199" s="336" t="str">
        <f>IF(F172="Magie mineure",'listes magies'!$A$21,IF(F172="Runes",'listes magies'!$CO$21,IF(F172="Runes Majeures","",IF(F173="","",IF(HLOOKUP(F173,'listes magies'!$B$2:$CT$35,20,FALSE)=0,"",HLOOKUP(F173,'listes magies'!$B$2:$CT$35,20,FALSE))))))</f>
        <v/>
      </c>
      <c r="G199" s="217"/>
    </row>
    <row r="200" spans="1:7" ht="12.75" hidden="1" customHeight="1">
      <c r="A200" s="217"/>
      <c r="B200" s="335"/>
      <c r="C200" s="336" t="str">
        <f>IF(C172="Magie mineure",'listes magies'!$A$22,IF(C172="Runes",'listes magies'!$CO$22,IF(C172="Runes Majeures","",IF(C173="","",IF(HLOOKUP(C173,'listes magies'!$B$2:$CT$35,21,FALSE)=0,"",HLOOKUP(C173,'listes magies'!$B$2:$CT$35,21,FALSE))))))</f>
        <v/>
      </c>
      <c r="D200" s="217"/>
      <c r="E200" s="335"/>
      <c r="F200" s="336" t="str">
        <f>IF(F172="Magie mineure",'listes magies'!$A$22,IF(F172="Runes",'listes magies'!$CO$22,IF(F172="Runes Majeures","",IF(F173="","",IF(HLOOKUP(F173,'listes magies'!$B$2:$CT$35,21,FALSE)=0,"",HLOOKUP(F173,'listes magies'!$B$2:$CT$35,21,FALSE))))))</f>
        <v/>
      </c>
      <c r="G200" s="217"/>
    </row>
    <row r="201" spans="1:7" ht="12.75" hidden="1" customHeight="1">
      <c r="A201" s="217"/>
      <c r="B201" s="335"/>
      <c r="C201" s="336" t="str">
        <f>IF(C172="Magie mineure",'listes magies'!$A$23,IF(C172="Runes",'listes magies'!$CO$22,IF(C172="Runes Majeures","",IF(C173="","",IF(HLOOKUP(C173,'listes magies'!$B$2:$CT$35,22,FALSE)=0,"",HLOOKUP(C173,'listes magies'!$B$2:$CT$35,22,FALSE))))))</f>
        <v/>
      </c>
      <c r="D201" s="217"/>
      <c r="E201" s="335"/>
      <c r="F201" s="336" t="str">
        <f>IF(F172="Magie mineure",'listes magies'!$A$23,IF(F172="Runes",'listes magies'!$CO$22,IF(F172="Runes Majeures","",IF(F173="","",IF(HLOOKUP(F173,'listes magies'!$B$2:$CT$35,22,FALSE)=0,"",HLOOKUP(F173,'listes magies'!$B$2:$CT$35,22,FALSE))))))</f>
        <v/>
      </c>
      <c r="G201" s="217"/>
    </row>
    <row r="202" spans="1:7" ht="12.75" hidden="1" customHeight="1">
      <c r="A202" s="217"/>
      <c r="B202" s="335"/>
      <c r="C202" s="336" t="str">
        <f>IF(C172="Magie mineure",'listes magies'!$A$24,IF(C172="Runes Majeures","",IF(C173="","",IF(HLOOKUP(C173,'listes magies'!$B$2:$CT$35,23,FALSE)=0,"",HLOOKUP(C173,'listes magies'!$B$2:$CT$35,23,FALSE)))))</f>
        <v/>
      </c>
      <c r="D202" s="217"/>
      <c r="E202" s="335"/>
      <c r="F202" s="336" t="str">
        <f>IF(F172="Magie mineure",'listes magies'!$A$24,IF(F172="Runes Majeures","",IF(F173="","",IF(HLOOKUP(F173,'listes magies'!$B$2:$CT$35,23,FALSE)=0,"",HLOOKUP(F173,'listes magies'!$B$2:$CT$35,23,FALSE)))))</f>
        <v/>
      </c>
      <c r="G202" s="217"/>
    </row>
    <row r="203" spans="1:7" ht="12.75" hidden="1" customHeight="1">
      <c r="A203" s="217"/>
      <c r="B203" s="335"/>
      <c r="C203" s="336" t="str">
        <f>IF(C172="Magie mineure",'listes magies'!$A$25,IF(C172="Runes Majeures","",IF(C173="","",IF(HLOOKUP(C173,'listes magies'!$B$2:$CT$35,24,FALSE)=0,"",HLOOKUP(C173,'listes magies'!$B$2:$CT$35,24,FALSE)))))</f>
        <v/>
      </c>
      <c r="D203" s="217"/>
      <c r="E203" s="335"/>
      <c r="F203" s="336" t="str">
        <f>IF(F172="Magie mineure",'listes magies'!$A$25,IF(F172="Runes Majeures","",IF(F173="","",IF(HLOOKUP(F173,'listes magies'!$B$2:$CT$35,24,FALSE)=0,"",HLOOKUP(F173,'listes magies'!$B$2:$CT$35,24,FALSE)))))</f>
        <v/>
      </c>
      <c r="G203" s="217"/>
    </row>
    <row r="204" spans="1:7" ht="12.75" hidden="1" customHeight="1">
      <c r="A204" s="217"/>
      <c r="B204" s="335"/>
      <c r="C204" s="336" t="str">
        <f>IF(C172="Magie mineure",'listes magies'!$A$26,IF(C172="Runes","",IF(C172="Runes Majeures","",IF(C173="","",IF(HLOOKUP(C173,'listes magies'!$B$2:$CT$35,25,FALSE)=0,"",HLOOKUP(C173,'listes magies'!$B$2:$CT$35,25,FALSE))))))</f>
        <v/>
      </c>
      <c r="D204" s="217"/>
      <c r="E204" s="335"/>
      <c r="F204" s="336" t="str">
        <f>IF(F172="Magie mineure",'listes magies'!$A$26,IF(F172="Runes","",IF(F172="Runes Majeures","",IF(F173="","",IF(HLOOKUP(F173,'listes magies'!$B$2:$CT$35,25,FALSE)=0,"",HLOOKUP(F173,'listes magies'!$B$2:$CT$35,25,FALSE))))))</f>
        <v/>
      </c>
      <c r="G204" s="217"/>
    </row>
    <row r="205" spans="1:7" ht="12.75" hidden="1" customHeight="1">
      <c r="A205" s="217"/>
      <c r="B205" s="335"/>
      <c r="C205" s="336" t="str">
        <f>IF(C172="Magie mineure",'listes magies'!$A$27,"")</f>
        <v/>
      </c>
      <c r="D205" s="217"/>
      <c r="E205" s="335"/>
      <c r="F205" s="336" t="str">
        <f>IF(F172="Magie mineure",'listes magies'!$A$27,"")</f>
        <v/>
      </c>
      <c r="G205" s="217"/>
    </row>
    <row r="206" spans="1:7" ht="12.75" hidden="1" customHeight="1">
      <c r="A206" s="217"/>
      <c r="B206" s="335"/>
      <c r="C206" s="336" t="str">
        <f>IF(C172="Magie mineure",'listes magies'!$A$28,"")</f>
        <v/>
      </c>
      <c r="D206" s="217"/>
      <c r="E206" s="335"/>
      <c r="F206" s="336" t="str">
        <f>IF(F172="Magie mineure",'listes magies'!$A$28,"")</f>
        <v/>
      </c>
      <c r="G206" s="217"/>
    </row>
    <row r="207" spans="1:7" ht="12.75" hidden="1" customHeight="1">
      <c r="A207" s="217"/>
      <c r="B207" s="335"/>
      <c r="C207" s="336" t="str">
        <f>IF(C172="Magie mineure",'listes magies'!$A$29,"")</f>
        <v/>
      </c>
      <c r="D207" s="217"/>
      <c r="E207" s="335"/>
      <c r="F207" s="336" t="str">
        <f>IF(F172="Magie mineure",'listes magies'!$A$29,"")</f>
        <v/>
      </c>
      <c r="G207" s="217"/>
    </row>
    <row r="208" spans="1:7" ht="12.75" hidden="1" customHeight="1">
      <c r="A208" s="217"/>
      <c r="B208" s="335"/>
      <c r="C208" s="336" t="str">
        <f>IF(C172="Magie mineure",'listes magies'!$A$30,"")</f>
        <v/>
      </c>
      <c r="D208" s="217"/>
      <c r="E208" s="335"/>
      <c r="F208" s="336" t="str">
        <f>IF(F172="Magie mineure",'listes magies'!$A$30,"")</f>
        <v/>
      </c>
      <c r="G208" s="217"/>
    </row>
    <row r="209" spans="1:7" ht="12.75" hidden="1" customHeight="1">
      <c r="A209" s="217"/>
      <c r="B209" s="335"/>
      <c r="C209" s="336" t="str">
        <f>IF(C172="Magie mineure",'listes magies'!$A$31,"")</f>
        <v/>
      </c>
      <c r="D209" s="217"/>
      <c r="E209" s="335"/>
      <c r="F209" s="336" t="str">
        <f>IF(F172="Magie mineure",'listes magies'!$A$31,"")</f>
        <v/>
      </c>
      <c r="G209" s="217"/>
    </row>
    <row r="210" spans="1:7" ht="12.75" hidden="1" customHeight="1">
      <c r="A210" s="217"/>
      <c r="B210" s="335"/>
      <c r="C210" s="336" t="str">
        <f>IF(C172="Magie mineure",'listes magies'!$A$32,"")</f>
        <v/>
      </c>
      <c r="D210" s="217"/>
      <c r="E210" s="335"/>
      <c r="F210" s="336" t="str">
        <f>IF(F172="Magie mineure",'listes magies'!$A$32,"")</f>
        <v/>
      </c>
      <c r="G210" s="217"/>
    </row>
    <row r="211" spans="1:7" ht="12.75" hidden="1" customHeight="1">
      <c r="A211" s="217"/>
      <c r="B211" s="335"/>
      <c r="C211" s="336" t="str">
        <f>IF(C172="Magie mineure",'listes magies'!$A$33,"")</f>
        <v/>
      </c>
      <c r="D211" s="217"/>
      <c r="E211" s="335"/>
      <c r="F211" s="336" t="str">
        <f>IF(F172="Magie mineure",'listes magies'!$A$33,"")</f>
        <v/>
      </c>
      <c r="G211" s="217"/>
    </row>
    <row r="212" spans="1:7" ht="12.75" hidden="1" customHeight="1">
      <c r="A212" s="217"/>
      <c r="B212" s="335"/>
      <c r="C212" s="336" t="str">
        <f>IF(C172="Magie mineure",'listes magies'!$A$34,"")</f>
        <v/>
      </c>
      <c r="D212" s="217"/>
      <c r="E212" s="335"/>
      <c r="F212" s="336" t="str">
        <f>IF(F172="Magie mineure",'listes magies'!$A$34,"")</f>
        <v/>
      </c>
      <c r="G212" s="217"/>
    </row>
    <row r="213" spans="1:7" ht="6" customHeight="1" thickBot="1">
      <c r="A213" s="217"/>
      <c r="B213" s="217"/>
      <c r="C213" s="217"/>
      <c r="D213" s="217"/>
      <c r="E213" s="217"/>
      <c r="F213" s="217"/>
      <c r="G213" s="217"/>
    </row>
    <row r="214" spans="1:7">
      <c r="A214" s="217"/>
      <c r="B214" s="331" t="s">
        <v>679</v>
      </c>
      <c r="C214" s="332"/>
      <c r="D214" s="217"/>
      <c r="E214" s="331" t="s">
        <v>679</v>
      </c>
      <c r="F214" s="332"/>
      <c r="G214" s="217"/>
    </row>
    <row r="215" spans="1:7">
      <c r="A215" s="217"/>
      <c r="B215" s="333" t="s">
        <v>680</v>
      </c>
      <c r="C215" s="330"/>
      <c r="D215" s="217"/>
      <c r="E215" s="333" t="s">
        <v>680</v>
      </c>
      <c r="F215" s="330"/>
      <c r="G215" s="217"/>
    </row>
    <row r="216" spans="1:7">
      <c r="A216" s="217"/>
      <c r="B216" s="333" t="s">
        <v>681</v>
      </c>
      <c r="C216" s="330"/>
      <c r="D216" s="217"/>
      <c r="E216" s="333" t="s">
        <v>681</v>
      </c>
      <c r="F216" s="330"/>
      <c r="G216" s="217"/>
    </row>
    <row r="217" spans="1:7">
      <c r="A217" s="217"/>
      <c r="B217" s="333" t="s">
        <v>682</v>
      </c>
      <c r="C217" s="330" t="str">
        <f>IF(C216="","",VLOOKUP(C216,Magie!$B:$H,2,FALSE))</f>
        <v/>
      </c>
      <c r="D217" s="217"/>
      <c r="E217" s="333" t="s">
        <v>682</v>
      </c>
      <c r="F217" s="330" t="str">
        <f>IF(F216="","",VLOOKUP(F216,Magie!$B:$H,2,FALSE))</f>
        <v/>
      </c>
      <c r="G217" s="217"/>
    </row>
    <row r="218" spans="1:7">
      <c r="A218" s="217"/>
      <c r="B218" s="333" t="s">
        <v>683</v>
      </c>
      <c r="C218" s="330" t="str">
        <f>IF(C216="","",VLOOKUP(C216,Magie!$B:$H,3,FALSE))</f>
        <v/>
      </c>
      <c r="D218" s="217"/>
      <c r="E218" s="333" t="s">
        <v>683</v>
      </c>
      <c r="F218" s="330" t="str">
        <f>IF(F216="","",VLOOKUP(F216,Magie!$B:$H,3,FALSE))</f>
        <v/>
      </c>
      <c r="G218" s="217"/>
    </row>
    <row r="219" spans="1:7">
      <c r="A219" s="217"/>
      <c r="B219" s="333" t="str">
        <f>IF(OR(C214="Runes",C214="Runes Majeures"),"Activation:","Durée:")</f>
        <v>Durée:</v>
      </c>
      <c r="C219" s="330" t="str">
        <f>IF(C216="","",VLOOKUP(C216,Magie!$B:$H,4,FALSE))</f>
        <v/>
      </c>
      <c r="D219" s="217"/>
      <c r="E219" s="333" t="str">
        <f>IF(OR(F214="Runes",F214="Runes Majeures"),"Activation:","Durée:")</f>
        <v>Durée:</v>
      </c>
      <c r="F219" s="330" t="str">
        <f>IF(F216="","",VLOOKUP(F216,Magie!$B:$H,4,FALSE))</f>
        <v/>
      </c>
      <c r="G219" s="217"/>
    </row>
    <row r="220" spans="1:7">
      <c r="A220" s="217"/>
      <c r="B220" s="333" t="s">
        <v>684</v>
      </c>
      <c r="C220" s="330" t="str">
        <f>IF(C216="","",VLOOKUP(C216,Magie!$B:$H,5,FALSE))</f>
        <v/>
      </c>
      <c r="D220" s="217"/>
      <c r="E220" s="333" t="s">
        <v>684</v>
      </c>
      <c r="F220" s="330" t="str">
        <f>IF(F216="","",VLOOKUP(F216,Magie!$B:$H,5,FALSE))</f>
        <v/>
      </c>
      <c r="G220" s="217"/>
    </row>
    <row r="221" spans="1:7">
      <c r="A221" s="217"/>
      <c r="B221" s="333" t="str">
        <f>IF(C215="Domaine de Loec","Note:","Ingrédient:")</f>
        <v>Ingrédient:</v>
      </c>
      <c r="C221" s="441" t="str">
        <f>IF(C216="","",VLOOKUP(C216,Magie!$B:$H,6,FALSE))</f>
        <v/>
      </c>
      <c r="D221" s="217"/>
      <c r="E221" s="333" t="str">
        <f>IF(F215="Domaine de Loec","Note:","Ingrédient:")</f>
        <v>Ingrédient:</v>
      </c>
      <c r="F221" s="441" t="str">
        <f>IF(F216="","",VLOOKUP(F216,Magie!$B:$H,6,FALSE))</f>
        <v/>
      </c>
      <c r="G221" s="217"/>
    </row>
    <row r="222" spans="1:7" ht="46.95" customHeight="1" thickBot="1">
      <c r="A222" s="217"/>
      <c r="B222" s="334" t="s">
        <v>685</v>
      </c>
      <c r="C222" s="845" t="str">
        <f>IF(C216="","",VLOOKUP(C216,Magie!$B:$H,7,FALSE))</f>
        <v/>
      </c>
      <c r="D222" s="217"/>
      <c r="E222" s="334" t="s">
        <v>685</v>
      </c>
      <c r="F222" s="845" t="str">
        <f>IF(F216="","",VLOOKUP(F216,Magie!$B:$H,7,FALSE))</f>
        <v/>
      </c>
      <c r="G222" s="217"/>
    </row>
    <row r="223" spans="1:7" ht="12.75" hidden="1" customHeight="1">
      <c r="A223" s="217"/>
      <c r="B223" s="335"/>
      <c r="C223" s="336" t="str">
        <f>IF(C214="Magie mineure",'listes magies'!$A$3,IF(C214="Runes",'listes magies'!$CO$3,IF(C214="Runes Majeures",'listes magies'!$CQ$3,IF(C215="","",IF(HLOOKUP(C215,'listes magies'!$B$2:$CT$35,2,FALSE)=0,"",HLOOKUP(C215,'listes magies'!$B$2:$CT$35,2,FALSE))))))</f>
        <v/>
      </c>
      <c r="D223" s="217"/>
      <c r="E223" s="335"/>
      <c r="F223" s="336" t="str">
        <f>IF(F214="Magie mineure",'listes magies'!$A$3,IF(F214="Runes",'listes magies'!$CO$3,IF(F214="Runes Majeures",'listes magies'!$CQ$3,IF(F215="","",IF(HLOOKUP(F215,'listes magies'!$B$2:$CT$35,2,FALSE)=0,"",HLOOKUP(F215,'listes magies'!$B$2:$CT$35,2,FALSE))))))</f>
        <v/>
      </c>
      <c r="G223" s="217"/>
    </row>
    <row r="224" spans="1:7" ht="12.75" hidden="1" customHeight="1">
      <c r="A224" s="217"/>
      <c r="B224" s="335"/>
      <c r="C224" s="336" t="str">
        <f>IF(C214="Magie mineure",'listes magies'!$A$4,IF(C214="Runes",'listes magies'!$CO$4,IF(C214="Runes Majeures",'listes magies'!$CQ$3,IF(C215="","",IF(HLOOKUP(C215,'listes magies'!$B$2:$CT$35,2,FALSE)=0,"",HLOOKUP(C215,'listes magies'!$B$2:$CT$35,3,FALSE))))))</f>
        <v/>
      </c>
      <c r="D224" s="217"/>
      <c r="E224" s="335"/>
      <c r="F224" s="336" t="str">
        <f>IF(F214="Magie mineure",'listes magies'!$A$4,IF(F214="Runes",'listes magies'!$CO$4,IF(F214="Runes Majeures",'listes magies'!$CQ$3,IF(F215="","",IF(HLOOKUP(F215,'listes magies'!$B$2:$CT$35,2,FALSE)=0,"",HLOOKUP(F215,'listes magies'!$B$2:$CT$35,3,FALSE))))))</f>
        <v/>
      </c>
      <c r="G224" s="217"/>
    </row>
    <row r="225" spans="1:7" ht="12.75" hidden="1" customHeight="1">
      <c r="A225" s="217"/>
      <c r="B225" s="335"/>
      <c r="C225" s="336" t="str">
        <f>IF(C214="Magie mineure",'listes magies'!$A$5,IF(C214="Runes",'listes magies'!$CO$5,IF(C214="Runes Majeures",'listes magies'!$CQ$5,IF(C215="","",IF(HLOOKUP(C215,'listes magies'!$B$2:$CT$35,4,FALSE)=0,"",HLOOKUP(C215,'listes magies'!$B$2:$CT$35,4,FALSE))))))</f>
        <v/>
      </c>
      <c r="D225" s="217"/>
      <c r="E225" s="335"/>
      <c r="F225" s="336" t="str">
        <f>IF(F214="Magie mineure",'listes magies'!$A$5,IF(F214="Runes",'listes magies'!$CO$5,IF(F214="Runes Majeures",'listes magies'!$CQ$5,IF(F215="","",IF(HLOOKUP(F215,'listes magies'!$B$2:$CT$35,4,FALSE)=0,"",HLOOKUP(F215,'listes magies'!$B$2:$CT$35,4,FALSE))))))</f>
        <v/>
      </c>
      <c r="G225" s="217"/>
    </row>
    <row r="226" spans="1:7" ht="12.75" hidden="1" customHeight="1">
      <c r="A226" s="217"/>
      <c r="B226" s="335"/>
      <c r="C226" s="336" t="str">
        <f>IF(C214="Magie mineure",'listes magies'!$A$6,IF(C214="Runes",'listes magies'!$CO$6,IF(C214="Runes Majeures",'listes magies'!$CQ$6,IF(C215="","",IF(HLOOKUP(C215,'listes magies'!$B$2:$CT$35,5,FALSE)=0,"",HLOOKUP(C215,'listes magies'!$B$2:$CT$35,5,FALSE))))))</f>
        <v/>
      </c>
      <c r="D226" s="217"/>
      <c r="E226" s="335"/>
      <c r="F226" s="336" t="str">
        <f>IF(F214="Magie mineure",'listes magies'!$A$6,IF(F214="Runes",'listes magies'!$CO$6,IF(F214="Runes Majeures",'listes magies'!$CQ$6,IF(F215="","",IF(HLOOKUP(F215,'listes magies'!$B$2:$CT$35,5,FALSE)=0,"",HLOOKUP(F215,'listes magies'!$B$2:$CT$35,5,FALSE))))))</f>
        <v/>
      </c>
      <c r="G226" s="217"/>
    </row>
    <row r="227" spans="1:7" ht="12.75" hidden="1" customHeight="1">
      <c r="A227" s="217"/>
      <c r="B227" s="335"/>
      <c r="C227" s="336" t="str">
        <f>IF(C214="Magie mineure",'listes magies'!$A$7,IF(C214="Runes",'listes magies'!$CO$7,IF(C214="Runes Majeures",'listes magies'!$CQ$7,IF(C215="","",IF(HLOOKUP(C215,'listes magies'!$B$2:$CT$35,6,FALSE)=0,"",HLOOKUP(C215,'listes magies'!$B$2:$CT$35,6,FALSE))))))</f>
        <v/>
      </c>
      <c r="D227" s="217"/>
      <c r="E227" s="335"/>
      <c r="F227" s="336" t="str">
        <f>IF(F214="Magie mineure",'listes magies'!$A$7,IF(F214="Runes",'listes magies'!$CO$7,IF(F214="Runes Majeures",'listes magies'!$CQ$7,IF(F215="","",IF(HLOOKUP(F215,'listes magies'!$B$2:$CT$35,6,FALSE)=0,"",HLOOKUP(F215,'listes magies'!$B$2:$CT$35,6,FALSE))))))</f>
        <v/>
      </c>
      <c r="G227" s="217"/>
    </row>
    <row r="228" spans="1:7" ht="12.75" hidden="1" customHeight="1">
      <c r="A228" s="217"/>
      <c r="B228" s="335"/>
      <c r="C228" s="336" t="str">
        <f>IF(C214="Magie mineure",'listes magies'!$A$8,IF(C214="Runes",'listes magies'!$CO$8,IF(C214="Runes Majeures",'listes magies'!$CQ$8,IF(C215="","",IF(HLOOKUP(C215,'listes magies'!$B$2:$CT$35,7,FALSE)=0,"",HLOOKUP(C215,'listes magies'!$B$2:$CT$35,7,FALSE))))))</f>
        <v/>
      </c>
      <c r="D228" s="217"/>
      <c r="E228" s="335"/>
      <c r="F228" s="336" t="str">
        <f>IF(F214="Magie mineure",'listes magies'!$A$8,IF(F214="Runes",'listes magies'!$CO$8,IF(F214="Runes Majeures",'listes magies'!$CQ$8,IF(F215="","",IF(HLOOKUP(F215,'listes magies'!$B$2:$CT$35,7,FALSE)=0,"",HLOOKUP(F215,'listes magies'!$B$2:$CT$35,7,FALSE))))))</f>
        <v/>
      </c>
      <c r="G228" s="217"/>
    </row>
    <row r="229" spans="1:7" ht="12.75" hidden="1" customHeight="1">
      <c r="A229" s="217"/>
      <c r="B229" s="335"/>
      <c r="C229" s="336" t="str">
        <f>IF(C214="Magie mineure",'listes magies'!$A$9,IF(C214="Runes",'listes magies'!$CO$9,IF(C214="Runes Majeures",'listes magies'!$CQ$9,IF(C215="","",IF(HLOOKUP(C215,'listes magies'!$B$2:$CT$35,8,FALSE)=0,"",HLOOKUP(C215,'listes magies'!$B$2:$CT$35,8,FALSE))))))</f>
        <v/>
      </c>
      <c r="D229" s="217"/>
      <c r="E229" s="335"/>
      <c r="F229" s="336" t="str">
        <f>IF(F214="Magie mineure",'listes magies'!$A$9,IF(F214="Runes",'listes magies'!$CO$9,IF(F214="Runes Majeures",'listes magies'!$CQ$9,IF(F215="","",IF(HLOOKUP(F215,'listes magies'!$B$2:$CT$35,8,FALSE)=0,"",HLOOKUP(F215,'listes magies'!$B$2:$CT$35,8,FALSE))))))</f>
        <v/>
      </c>
      <c r="G229" s="217"/>
    </row>
    <row r="230" spans="1:7" ht="12.75" hidden="1" customHeight="1">
      <c r="A230" s="217"/>
      <c r="B230" s="335"/>
      <c r="C230" s="336" t="str">
        <f>IF(C214="Magie mineure",'listes magies'!$A$10,IF(C214="Runes",'listes magies'!$CO$10,IF(C214="Runes Majeures",'listes magies'!$CQ$10,IF(C215="","",IF(HLOOKUP(C215,'listes magies'!$B$2:$CT$35,9,FALSE)=0,"",HLOOKUP(C215,'listes magies'!$B$2:$CT$35,9,FALSE))))))</f>
        <v/>
      </c>
      <c r="D230" s="217"/>
      <c r="E230" s="335"/>
      <c r="F230" s="336" t="str">
        <f>IF(F214="Magie mineure",'listes magies'!$A$10,IF(F214="Runes",'listes magies'!$CO$10,IF(F214="Runes Majeures",'listes magies'!$CQ$10,IF(F215="","",IF(HLOOKUP(F215,'listes magies'!$B$2:$CT$35,9,FALSE)=0,"",HLOOKUP(F215,'listes magies'!$B$2:$CT$35,9,FALSE))))))</f>
        <v/>
      </c>
      <c r="G230" s="217"/>
    </row>
    <row r="231" spans="1:7" ht="12.75" hidden="1" customHeight="1">
      <c r="A231" s="217"/>
      <c r="B231" s="335"/>
      <c r="C231" s="336" t="str">
        <f>IF(C214="Magie mineure",'listes magies'!$A$11,IF(C214="Runes",'listes magies'!$CO$11,IF(C214="Runes Majeures",'listes magies'!$CQ$11,IF(C215="","",IF(HLOOKUP(C215,'listes magies'!$B$2:$CT$35,10,FALSE)=0,"",HLOOKUP(C215,'listes magies'!$B$2:$CT$35,10,FALSE))))))</f>
        <v/>
      </c>
      <c r="D231" s="217"/>
      <c r="E231" s="335"/>
      <c r="F231" s="336" t="str">
        <f>IF(F214="Magie mineure",'listes magies'!$A$11,IF(F214="Runes",'listes magies'!$CO$11,IF(F214="Runes Majeures",'listes magies'!$CQ$11,IF(F215="","",IF(HLOOKUP(F215,'listes magies'!$B$2:$CT$35,10,FALSE)=0,"",HLOOKUP(F215,'listes magies'!$B$2:$CT$35,10,FALSE))))))</f>
        <v/>
      </c>
      <c r="G231" s="217"/>
    </row>
    <row r="232" spans="1:7" ht="12.75" hidden="1" customHeight="1">
      <c r="A232" s="217"/>
      <c r="B232" s="335"/>
      <c r="C232" s="336" t="str">
        <f>IF(C214="Magie mineure",'listes magies'!$A$12,IF(C214="Runes",'listes magies'!$CO$12,IF(C214="Runes Majeures",'listes magies'!$CQ$12,IF(C215="","",IF(HLOOKUP(C215,'listes magies'!$B$2:$CT$35,11,FALSE)=0,"",HLOOKUP(C215,'listes magies'!$B$2:$CT$35,11,FALSE))))))</f>
        <v/>
      </c>
      <c r="D232" s="217"/>
      <c r="E232" s="335"/>
      <c r="F232" s="336" t="str">
        <f>IF(F214="Magie mineure",'listes magies'!$A$12,IF(F214="Runes",'listes magies'!$CO$12,IF(F214="Runes Majeures",'listes magies'!$CQ$12,IF(F215="","",IF(HLOOKUP(F215,'listes magies'!$B$2:$CT$35,11,FALSE)=0,"",HLOOKUP(F215,'listes magies'!$B$2:$CT$35,11,FALSE))))))</f>
        <v/>
      </c>
      <c r="G232" s="217"/>
    </row>
    <row r="233" spans="1:7" ht="12.75" hidden="1" customHeight="1">
      <c r="A233" s="217"/>
      <c r="B233" s="335"/>
      <c r="C233" s="336" t="str">
        <f>IF(C214="Magie mineure",'listes magies'!$A$13,IF(C214="Runes",'listes magies'!$CO$13,IF(C214="Runes Majeures",'listes magies'!$CQ$13,IF(C215="","",IF(HLOOKUP(C215,'listes magies'!$B$2:$CT$35,12,FALSE)=0,"",HLOOKUP(C215,'listes magies'!$B$2:$CT$35,12,FALSE))))))</f>
        <v/>
      </c>
      <c r="D233" s="217"/>
      <c r="E233" s="335"/>
      <c r="F233" s="336" t="str">
        <f>IF(F214="Magie mineure",'listes magies'!$A$13,IF(F214="Runes",'listes magies'!$CO$13,IF(F214="Runes Majeures",'listes magies'!$CQ$13,IF(F215="","",IF(HLOOKUP(F215,'listes magies'!$B$2:$CT$35,12,FALSE)=0,"",HLOOKUP(F215,'listes magies'!$B$2:$CT$35,12,FALSE))))))</f>
        <v/>
      </c>
      <c r="G233" s="217"/>
    </row>
    <row r="234" spans="1:7" ht="12.75" hidden="1" customHeight="1">
      <c r="A234" s="217"/>
      <c r="B234" s="335"/>
      <c r="C234" s="336" t="str">
        <f>IF(C214="Magie mineure",'listes magies'!$A$14,IF(C214="Runes",'listes magies'!$CO$14,IF(C214="Runes Majeures",'listes magies'!$CQ$14,IF(C215="","",IF(HLOOKUP(C215,'listes magies'!$B$2:$CT$35,13,FALSE)=0,"",HLOOKUP(C215,'listes magies'!$B$2:$CT$35,13,FALSE))))))</f>
        <v/>
      </c>
      <c r="D234" s="217"/>
      <c r="E234" s="335"/>
      <c r="F234" s="336" t="str">
        <f>IF(F214="Magie mineure",'listes magies'!$A$14,IF(F214="Runes",'listes magies'!$CO$14,IF(F214="Runes Majeures",'listes magies'!$CQ$14,IF(F215="","",IF(HLOOKUP(F215,'listes magies'!$B$2:$CT$35,13,FALSE)=0,"",HLOOKUP(F215,'listes magies'!$B$2:$CT$35,13,FALSE))))))</f>
        <v/>
      </c>
      <c r="G234" s="217"/>
    </row>
    <row r="235" spans="1:7" ht="12.75" hidden="1" customHeight="1">
      <c r="A235" s="217"/>
      <c r="B235" s="335"/>
      <c r="C235" s="336" t="str">
        <f>IF(C214="Magie mineure",'listes magies'!$A$15,IF(C214="Runes",'listes magies'!$CO$15,IF(C214="Runes Majeures",'listes magies'!$CQ$15,IF(C215="","",IF(HLOOKUP(C215,'listes magies'!$B$2:$CT$35,14,FALSE)=0,"",HLOOKUP(C215,'listes magies'!$B$2:$CT$35,14,FALSE))))))</f>
        <v/>
      </c>
      <c r="D235" s="217"/>
      <c r="E235" s="335"/>
      <c r="F235" s="336" t="str">
        <f>IF(F214="Magie mineure",'listes magies'!$A$15,IF(F214="Runes",'listes magies'!$CO$15,IF(F214="Runes Majeures",'listes magies'!$CQ$15,IF(F215="","",IF(HLOOKUP(F215,'listes magies'!$B$2:$CT$35,14,FALSE)=0,"",HLOOKUP(F215,'listes magies'!$B$2:$CT$35,14,FALSE))))))</f>
        <v/>
      </c>
      <c r="G235" s="217"/>
    </row>
    <row r="236" spans="1:7" ht="12.75" hidden="1" customHeight="1">
      <c r="A236" s="217"/>
      <c r="B236" s="335"/>
      <c r="C236" s="336" t="str">
        <f>IF(C214="Magie mineure",'listes magies'!$A$16,IF(C214="Runes",'listes magies'!$CO$16,IF(C214="Runes Majeures",'listes magies'!$CQ$16,IF(C215="","",IF(HLOOKUP(C215,'listes magies'!$B$2:$CT$35,15,FALSE)=0,"",HLOOKUP(C215,'listes magies'!$B$2:$CT$35,15,FALSE))))))</f>
        <v/>
      </c>
      <c r="D236" s="217"/>
      <c r="E236" s="335"/>
      <c r="F236" s="336" t="str">
        <f>IF(F214="Magie mineure",'listes magies'!$A$16,IF(F214="Runes",'listes magies'!$CO$16,IF(F214="Runes Majeures",'listes magies'!$CQ$16,IF(F215="","",IF(HLOOKUP(F215,'listes magies'!$B$2:$CT$35,15,FALSE)=0,"",HLOOKUP(F215,'listes magies'!$B$2:$CT$35,15,FALSE))))))</f>
        <v/>
      </c>
      <c r="G236" s="217"/>
    </row>
    <row r="237" spans="1:7" ht="12.75" hidden="1" customHeight="1">
      <c r="A237" s="217"/>
      <c r="B237" s="335"/>
      <c r="C237" s="336" t="str">
        <f>IF(C214="Magie mineure",'listes magies'!$A$17,IF(C214="Runes",'listes magies'!$CO$17,IF(C214="Runes Majeures","",IF(C215="","",IF(HLOOKUP(C215,'listes magies'!$B$2:$CT$35,16,FALSE)=0,"",HLOOKUP(C215,'listes magies'!$B$2:$CT$35,16,FALSE))))))</f>
        <v/>
      </c>
      <c r="D237" s="217"/>
      <c r="E237" s="335"/>
      <c r="F237" s="336" t="str">
        <f>IF(F214="Magie mineure",'listes magies'!$A$17,IF(F214="Runes",'listes magies'!$CO$17,IF(F214="Runes Majeures","",IF(F215="","",IF(HLOOKUP(F215,'listes magies'!$B$2:$CT$35,16,FALSE)=0,"",HLOOKUP(F215,'listes magies'!$B$2:$CT$35,16,FALSE))))))</f>
        <v/>
      </c>
      <c r="G237" s="217"/>
    </row>
    <row r="238" spans="1:7" ht="12.75" hidden="1" customHeight="1">
      <c r="A238" s="217"/>
      <c r="B238" s="335"/>
      <c r="C238" s="336" t="str">
        <f>IF(C214="Magie mineure",'listes magies'!$A228,IF(C214="Runes",'listes magies'!$CO$18,IF(C214="Runes Majeures","",IF(C215="","",IF(HLOOKUP(C215,'listes magies'!$B$2:$CT$35,17,FALSE)=0,"",HLOOKUP(C215,'listes magies'!$B$2:$CT$35,17,FALSE))))))</f>
        <v/>
      </c>
      <c r="D238" s="217"/>
      <c r="E238" s="335"/>
      <c r="F238" s="336" t="str">
        <f>IF(F214="Magie mineure",'listes magies'!$A228,IF(F214="Runes",'listes magies'!$CO$18,IF(F214="Runes Majeures","",IF(F215="","",IF(HLOOKUP(F215,'listes magies'!$B$2:$CT$35,17,FALSE)=0,"",HLOOKUP(F215,'listes magies'!$B$2:$CT$35,17,FALSE))))))</f>
        <v/>
      </c>
      <c r="G238" s="217"/>
    </row>
    <row r="239" spans="1:7" ht="12.75" hidden="1" customHeight="1">
      <c r="A239" s="217"/>
      <c r="B239" s="335"/>
      <c r="C239" s="336" t="str">
        <f>IF(C214="Magie mineure",'listes magies'!$A$19,IF(C214="Runes",'listes magies'!$CO$19,IF(C214="Runes Majeures","",IF(C215="","",IF(HLOOKUP(C215,'listes magies'!$B$2:$CT$35,18,FALSE)=0,"",HLOOKUP(C215,'listes magies'!$B$2:$CT$35,18,FALSE))))))</f>
        <v/>
      </c>
      <c r="D239" s="217"/>
      <c r="E239" s="335"/>
      <c r="F239" s="336" t="str">
        <f>IF(F214="Magie mineure",'listes magies'!$A$19,IF(F214="Runes",'listes magies'!$CO$19,IF(F214="Runes Majeures","",IF(F215="","",IF(HLOOKUP(F215,'listes magies'!$B$2:$CT$35,18,FALSE)=0,"",HLOOKUP(F215,'listes magies'!$B$2:$CT$35,18,FALSE))))))</f>
        <v/>
      </c>
      <c r="G239" s="217"/>
    </row>
    <row r="240" spans="1:7" ht="12.75" hidden="1" customHeight="1">
      <c r="A240" s="217"/>
      <c r="B240" s="335"/>
      <c r="C240" s="336" t="str">
        <f>IF(C214="Magie mineure",'listes magies'!$A$20,IF(C214="Runes",'listes magies'!$CO$20,IF(C214="Runes Majeures","",IF(C215="","",IF(HLOOKUP(C215,'listes magies'!$B$2:$CT$35,19,FALSE)=0,"",HLOOKUP(C215,'listes magies'!$B$2:$CT$35,19,FALSE))))))</f>
        <v/>
      </c>
      <c r="D240" s="217"/>
      <c r="E240" s="335"/>
      <c r="F240" s="336" t="str">
        <f>IF(F214="Magie mineure",'listes magies'!$A$20,IF(F214="Runes",'listes magies'!$CO$20,IF(F214="Runes Majeures","",IF(F215="","",IF(HLOOKUP(F215,'listes magies'!$B$2:$CT$35,19,FALSE)=0,"",HLOOKUP(F215,'listes magies'!$B$2:$CT$35,19,FALSE))))))</f>
        <v/>
      </c>
      <c r="G240" s="217"/>
    </row>
    <row r="241" spans="1:7" ht="12.75" hidden="1" customHeight="1">
      <c r="A241" s="217"/>
      <c r="B241" s="335"/>
      <c r="C241" s="336" t="str">
        <f>IF(C214="Magie mineure",'listes magies'!$A$21,IF(C214="Runes",'listes magies'!$CO$21,IF(C214="Runes Majeures","",IF(C215="","",IF(HLOOKUP(C215,'listes magies'!$B$2:$CT$35,20,FALSE)=0,"",HLOOKUP(C215,'listes magies'!$B$2:$CT$35,20,FALSE))))))</f>
        <v/>
      </c>
      <c r="D241" s="217"/>
      <c r="E241" s="335"/>
      <c r="F241" s="336" t="str">
        <f>IF(F214="Magie mineure",'listes magies'!$A$21,IF(F214="Runes",'listes magies'!$CO$21,IF(F214="Runes Majeures","",IF(F215="","",IF(HLOOKUP(F215,'listes magies'!$B$2:$CT$35,20,FALSE)=0,"",HLOOKUP(F215,'listes magies'!$B$2:$CT$35,20,FALSE))))))</f>
        <v/>
      </c>
      <c r="G241" s="217"/>
    </row>
    <row r="242" spans="1:7" ht="12.75" hidden="1" customHeight="1">
      <c r="A242" s="217"/>
      <c r="B242" s="335"/>
      <c r="C242" s="336" t="str">
        <f>IF(C214="Magie mineure",'listes magies'!$A$22,IF(C214="Runes",'listes magies'!$CO$22,IF(C214="Runes Majeures","",IF(C215="","",IF(HLOOKUP(C215,'listes magies'!$B$2:$CT$35,21,FALSE)=0,"",HLOOKUP(C215,'listes magies'!$B$2:$CT$35,21,FALSE))))))</f>
        <v/>
      </c>
      <c r="D242" s="217"/>
      <c r="E242" s="335"/>
      <c r="F242" s="336" t="str">
        <f>IF(F214="Magie mineure",'listes magies'!$A$22,IF(F214="Runes",'listes magies'!$CO$22,IF(F214="Runes Majeures","",IF(F215="","",IF(HLOOKUP(F215,'listes magies'!$B$2:$CT$35,21,FALSE)=0,"",HLOOKUP(F215,'listes magies'!$B$2:$CT$35,21,FALSE))))))</f>
        <v/>
      </c>
      <c r="G242" s="217"/>
    </row>
    <row r="243" spans="1:7" ht="12.75" hidden="1" customHeight="1">
      <c r="A243" s="217"/>
      <c r="B243" s="335"/>
      <c r="C243" s="336" t="str">
        <f>IF(C214="Magie mineure",'listes magies'!$A$23,IF(C214="Runes",'listes magies'!$CO$22,IF(C214="Runes Majeures","",IF(C215="","",IF(HLOOKUP(C215,'listes magies'!$B$2:$CT$35,22,FALSE)=0,"",HLOOKUP(C215,'listes magies'!$B$2:$CT$35,22,FALSE))))))</f>
        <v/>
      </c>
      <c r="D243" s="217"/>
      <c r="E243" s="335"/>
      <c r="F243" s="336" t="str">
        <f>IF(F214="Magie mineure",'listes magies'!$A$23,IF(F214="Runes",'listes magies'!$CO$22,IF(F214="Runes Majeures","",IF(F215="","",IF(HLOOKUP(F215,'listes magies'!$B$2:$CT$35,22,FALSE)=0,"",HLOOKUP(F215,'listes magies'!$B$2:$CT$35,22,FALSE))))))</f>
        <v/>
      </c>
      <c r="G243" s="217"/>
    </row>
    <row r="244" spans="1:7" ht="12.75" hidden="1" customHeight="1">
      <c r="A244" s="217"/>
      <c r="B244" s="335"/>
      <c r="C244" s="336" t="str">
        <f>IF(C214="Magie mineure",'listes magies'!$A$24,IF(C214="Runes Majeures","",IF(C215="","",IF(HLOOKUP(C215,'listes magies'!$B$2:$CT$35,23,FALSE)=0,"",HLOOKUP(C215,'listes magies'!$B$2:$CT$35,23,FALSE)))))</f>
        <v/>
      </c>
      <c r="D244" s="217"/>
      <c r="E244" s="335"/>
      <c r="F244" s="336" t="str">
        <f>IF(F214="Magie mineure",'listes magies'!$A$24,IF(F214="Runes Majeures","",IF(F215="","",IF(HLOOKUP(F215,'listes magies'!$B$2:$CT$35,23,FALSE)=0,"",HLOOKUP(F215,'listes magies'!$B$2:$CT$35,23,FALSE)))))</f>
        <v/>
      </c>
      <c r="G244" s="217"/>
    </row>
    <row r="245" spans="1:7" ht="12.75" hidden="1" customHeight="1">
      <c r="A245" s="217"/>
      <c r="B245" s="335"/>
      <c r="C245" s="336" t="str">
        <f>IF(C214="Magie mineure",'listes magies'!$A$25,IF(C214="Runes Majeures","",IF(C215="","",IF(HLOOKUP(C215,'listes magies'!$B$2:$CT$35,24,FALSE)=0,"",HLOOKUP(C215,'listes magies'!$B$2:$CT$35,24,FALSE)))))</f>
        <v/>
      </c>
      <c r="D245" s="217"/>
      <c r="E245" s="335"/>
      <c r="F245" s="336" t="str">
        <f>IF(F214="Magie mineure",'listes magies'!$A$25,IF(F214="Runes Majeures","",IF(F215="","",IF(HLOOKUP(F215,'listes magies'!$B$2:$CT$35,24,FALSE)=0,"",HLOOKUP(F215,'listes magies'!$B$2:$CT$35,24,FALSE)))))</f>
        <v/>
      </c>
      <c r="G245" s="217"/>
    </row>
    <row r="246" spans="1:7" ht="12.75" hidden="1" customHeight="1">
      <c r="A246" s="217"/>
      <c r="B246" s="335"/>
      <c r="C246" s="336" t="str">
        <f>IF(C214="Magie mineure",'listes magies'!$A$26,IF(C214="Runes","",IF(C214="Runes Majeures","",IF(C215="","",IF(HLOOKUP(C215,'listes magies'!$B$2:$CT$35,25,FALSE)=0,"",HLOOKUP(C215,'listes magies'!$B$2:$CT$35,25,FALSE))))))</f>
        <v/>
      </c>
      <c r="D246" s="217"/>
      <c r="E246" s="335"/>
      <c r="F246" s="336" t="str">
        <f>IF(F214="Magie mineure",'listes magies'!$A$26,IF(F214="Runes","",IF(F214="Runes Majeures","",IF(F215="","",IF(HLOOKUP(F215,'listes magies'!$B$2:$CT$35,25,FALSE)=0,"",HLOOKUP(F215,'listes magies'!$B$2:$CT$35,25,FALSE))))))</f>
        <v/>
      </c>
      <c r="G246" s="217"/>
    </row>
    <row r="247" spans="1:7" ht="12.75" hidden="1" customHeight="1">
      <c r="A247" s="217"/>
      <c r="B247" s="335"/>
      <c r="C247" s="336" t="str">
        <f>IF(C214="Magie mineure",'listes magies'!$A$27,"")</f>
        <v/>
      </c>
      <c r="D247" s="217"/>
      <c r="E247" s="335"/>
      <c r="F247" s="336" t="str">
        <f>IF(F214="Magie mineure",'listes magies'!$A$27,"")</f>
        <v/>
      </c>
      <c r="G247" s="217"/>
    </row>
    <row r="248" spans="1:7" ht="12.75" hidden="1" customHeight="1">
      <c r="A248" s="217"/>
      <c r="B248" s="335"/>
      <c r="C248" s="336" t="str">
        <f>IF(C214="Magie mineure",'listes magies'!$A$28,"")</f>
        <v/>
      </c>
      <c r="D248" s="217"/>
      <c r="E248" s="335"/>
      <c r="F248" s="336" t="str">
        <f>IF(F214="Magie mineure",'listes magies'!$A$28,"")</f>
        <v/>
      </c>
      <c r="G248" s="217"/>
    </row>
    <row r="249" spans="1:7" ht="12.75" hidden="1" customHeight="1">
      <c r="A249" s="217"/>
      <c r="B249" s="335"/>
      <c r="C249" s="336" t="str">
        <f>IF(C214="Magie mineure",'listes magies'!$A$29,"")</f>
        <v/>
      </c>
      <c r="D249" s="217"/>
      <c r="E249" s="335"/>
      <c r="F249" s="336" t="str">
        <f>IF(F214="Magie mineure",'listes magies'!$A$29,"")</f>
        <v/>
      </c>
      <c r="G249" s="217"/>
    </row>
    <row r="250" spans="1:7" ht="12.75" hidden="1" customHeight="1">
      <c r="A250" s="217"/>
      <c r="B250" s="335"/>
      <c r="C250" s="336" t="str">
        <f>IF(C214="Magie mineure",'listes magies'!$A$30,"")</f>
        <v/>
      </c>
      <c r="D250" s="217"/>
      <c r="E250" s="335"/>
      <c r="F250" s="336" t="str">
        <f>IF(F214="Magie mineure",'listes magies'!$A$30,"")</f>
        <v/>
      </c>
      <c r="G250" s="217"/>
    </row>
    <row r="251" spans="1:7" ht="12.75" hidden="1" customHeight="1">
      <c r="A251" s="217"/>
      <c r="B251" s="335"/>
      <c r="C251" s="336" t="str">
        <f>IF(C214="Magie mineure",'listes magies'!$A$31,"")</f>
        <v/>
      </c>
      <c r="D251" s="217"/>
      <c r="E251" s="335"/>
      <c r="F251" s="336" t="str">
        <f>IF(F214="Magie mineure",'listes magies'!$A$31,"")</f>
        <v/>
      </c>
      <c r="G251" s="217"/>
    </row>
    <row r="252" spans="1:7" ht="12.75" hidden="1" customHeight="1">
      <c r="A252" s="217"/>
      <c r="B252" s="335"/>
      <c r="C252" s="336" t="str">
        <f>IF(C214="Magie mineure",'listes magies'!$A$32,"")</f>
        <v/>
      </c>
      <c r="D252" s="217"/>
      <c r="E252" s="335"/>
      <c r="F252" s="336" t="str">
        <f>IF(F214="Magie mineure",'listes magies'!$A$32,"")</f>
        <v/>
      </c>
      <c r="G252" s="217"/>
    </row>
    <row r="253" spans="1:7" ht="12.75" hidden="1" customHeight="1">
      <c r="A253" s="217"/>
      <c r="B253" s="335"/>
      <c r="C253" s="336" t="str">
        <f>IF(C214="Magie mineure",'listes magies'!$A$33,"")</f>
        <v/>
      </c>
      <c r="D253" s="217"/>
      <c r="E253" s="335"/>
      <c r="F253" s="336" t="str">
        <f>IF(F214="Magie mineure",'listes magies'!$A$33,"")</f>
        <v/>
      </c>
      <c r="G253" s="217"/>
    </row>
    <row r="254" spans="1:7" ht="12.75" hidden="1" customHeight="1">
      <c r="A254" s="217"/>
      <c r="B254" s="335"/>
      <c r="C254" s="336" t="str">
        <f>IF(C214="Magie mineure",'listes magies'!$A$34,"")</f>
        <v/>
      </c>
      <c r="D254" s="217"/>
      <c r="E254" s="335"/>
      <c r="F254" s="336" t="str">
        <f>IF(F214="Magie mineure",'listes magies'!$A$34,"")</f>
        <v/>
      </c>
      <c r="G254" s="217"/>
    </row>
    <row r="255" spans="1:7" ht="6" customHeight="1" thickBot="1">
      <c r="A255" s="217"/>
      <c r="B255" s="217"/>
      <c r="C255" s="217"/>
      <c r="D255" s="217"/>
      <c r="E255" s="217"/>
      <c r="F255" s="217"/>
      <c r="G255" s="217"/>
    </row>
    <row r="256" spans="1:7">
      <c r="A256" s="217"/>
      <c r="B256" s="331" t="s">
        <v>679</v>
      </c>
      <c r="C256" s="332"/>
      <c r="D256" s="217"/>
      <c r="E256" s="331" t="s">
        <v>679</v>
      </c>
      <c r="F256" s="332"/>
      <c r="G256" s="217"/>
    </row>
    <row r="257" spans="1:7">
      <c r="A257" s="217"/>
      <c r="B257" s="333" t="s">
        <v>680</v>
      </c>
      <c r="C257" s="330"/>
      <c r="D257" s="217"/>
      <c r="E257" s="333" t="s">
        <v>680</v>
      </c>
      <c r="F257" s="330"/>
      <c r="G257" s="217"/>
    </row>
    <row r="258" spans="1:7">
      <c r="A258" s="217"/>
      <c r="B258" s="333" t="s">
        <v>681</v>
      </c>
      <c r="C258" s="330"/>
      <c r="D258" s="217"/>
      <c r="E258" s="333" t="s">
        <v>681</v>
      </c>
      <c r="F258" s="330"/>
      <c r="G258" s="217"/>
    </row>
    <row r="259" spans="1:7">
      <c r="A259" s="217"/>
      <c r="B259" s="333" t="s">
        <v>682</v>
      </c>
      <c r="C259" s="330" t="str">
        <f>IF(C258="","",VLOOKUP(C258,Magie!$B:$H,2,FALSE))</f>
        <v/>
      </c>
      <c r="D259" s="217"/>
      <c r="E259" s="333" t="s">
        <v>682</v>
      </c>
      <c r="F259" s="330" t="str">
        <f>IF(F258="","",VLOOKUP(F258,Magie!$B:$H,2,FALSE))</f>
        <v/>
      </c>
      <c r="G259" s="217"/>
    </row>
    <row r="260" spans="1:7">
      <c r="A260" s="217"/>
      <c r="B260" s="333" t="s">
        <v>683</v>
      </c>
      <c r="C260" s="330" t="str">
        <f>IF(C258="","",VLOOKUP(C258,Magie!$B:$H,3,FALSE))</f>
        <v/>
      </c>
      <c r="D260" s="217"/>
      <c r="E260" s="333" t="s">
        <v>683</v>
      </c>
      <c r="F260" s="330" t="str">
        <f>IF(F258="","",VLOOKUP(F258,Magie!$B:$H,3,FALSE))</f>
        <v/>
      </c>
      <c r="G260" s="217"/>
    </row>
    <row r="261" spans="1:7">
      <c r="A261" s="217"/>
      <c r="B261" s="333" t="str">
        <f>IF(OR(C256="Runes",C256="Runes Majeures"),"Activation:","Durée:")</f>
        <v>Durée:</v>
      </c>
      <c r="C261" s="330" t="str">
        <f>IF(C258="","",VLOOKUP(C258,Magie!$B:$H,4,FALSE))</f>
        <v/>
      </c>
      <c r="D261" s="217"/>
      <c r="E261" s="333" t="str">
        <f>IF(OR(F256="Runes",F256="Runes Majeures"),"Activation:","Durée:")</f>
        <v>Durée:</v>
      </c>
      <c r="F261" s="330" t="str">
        <f>IF(F258="","",VLOOKUP(F258,Magie!$B:$H,4,FALSE))</f>
        <v/>
      </c>
      <c r="G261" s="217"/>
    </row>
    <row r="262" spans="1:7">
      <c r="A262" s="217"/>
      <c r="B262" s="333" t="s">
        <v>684</v>
      </c>
      <c r="C262" s="330" t="str">
        <f>IF(C258="","",VLOOKUP(C258,Magie!$B:$H,5,FALSE))</f>
        <v/>
      </c>
      <c r="D262" s="217"/>
      <c r="E262" s="333" t="s">
        <v>684</v>
      </c>
      <c r="F262" s="330" t="str">
        <f>IF(F258="","",VLOOKUP(F258,Magie!$B:$H,5,FALSE))</f>
        <v/>
      </c>
      <c r="G262" s="217"/>
    </row>
    <row r="263" spans="1:7">
      <c r="A263" s="217"/>
      <c r="B263" s="333" t="str">
        <f>IF(C257="Domaine de Loec","Note:","Ingrédient:")</f>
        <v>Ingrédient:</v>
      </c>
      <c r="C263" s="441" t="str">
        <f>IF(C258="","",VLOOKUP(C258,Magie!$B:$H,6,FALSE))</f>
        <v/>
      </c>
      <c r="D263" s="217"/>
      <c r="E263" s="333" t="str">
        <f>IF(F257="Domaine de Loec","Note:","Ingrédient:")</f>
        <v>Ingrédient:</v>
      </c>
      <c r="F263" s="441" t="str">
        <f>IF(F258="","",VLOOKUP(F258,Magie!$B:$H,6,FALSE))</f>
        <v/>
      </c>
      <c r="G263" s="217"/>
    </row>
    <row r="264" spans="1:7" ht="46.95" customHeight="1" thickBot="1">
      <c r="A264" s="217"/>
      <c r="B264" s="334" t="s">
        <v>685</v>
      </c>
      <c r="C264" s="845" t="str">
        <f>IF(C258="","",VLOOKUP(C258,Magie!$B:$H,7,FALSE))</f>
        <v/>
      </c>
      <c r="D264" s="217"/>
      <c r="E264" s="334" t="s">
        <v>685</v>
      </c>
      <c r="F264" s="845" t="str">
        <f>IF(F258="","",VLOOKUP(F258,Magie!$B:$H,7,FALSE))</f>
        <v/>
      </c>
      <c r="G264" s="217"/>
    </row>
    <row r="265" spans="1:7" ht="12.75" hidden="1" customHeight="1">
      <c r="A265" s="217"/>
      <c r="B265" s="335"/>
      <c r="C265" s="336" t="str">
        <f>IF(C256="Magie mineure",'listes magies'!$A$3,IF(C256="Runes",'listes magies'!$CO$3,IF(C256="Runes Majeures",'listes magies'!$CQ$3,IF(C257="","",IF(HLOOKUP(C257,'listes magies'!$B$2:$CT$35,2,FALSE)=0,"",HLOOKUP(C257,'listes magies'!$B$2:$CT$35,2,FALSE))))))</f>
        <v/>
      </c>
      <c r="D265" s="217"/>
      <c r="E265" s="335"/>
      <c r="F265" s="336" t="str">
        <f>IF(F256="Magie mineure",'listes magies'!$A$3,IF(F256="Runes",'listes magies'!$CO$3,IF(F256="Runes Majeures",'listes magies'!$CQ$3,IF(F257="","",IF(HLOOKUP(F257,'listes magies'!$B$2:$CT$35,2,FALSE)=0,"",HLOOKUP(F257,'listes magies'!$B$2:$CT$35,2,FALSE))))))</f>
        <v/>
      </c>
      <c r="G265" s="217"/>
    </row>
    <row r="266" spans="1:7" ht="12.75" hidden="1" customHeight="1">
      <c r="A266" s="217"/>
      <c r="B266" s="335"/>
      <c r="C266" s="336" t="str">
        <f>IF(C256="Magie mineure",'listes magies'!$A$4,IF(C256="Runes",'listes magies'!$CO$4,IF(C256="Runes Majeures",'listes magies'!$CQ$3,IF(C257="","",IF(HLOOKUP(C257,'listes magies'!$B$2:$CT$35,2,FALSE)=0,"",HLOOKUP(C257,'listes magies'!$B$2:$CT$35,3,FALSE))))))</f>
        <v/>
      </c>
      <c r="D266" s="217"/>
      <c r="E266" s="335"/>
      <c r="F266" s="336" t="str">
        <f>IF(F256="Magie mineure",'listes magies'!$A$4,IF(F256="Runes",'listes magies'!$CO$4,IF(F256="Runes Majeures",'listes magies'!$CQ$3,IF(F257="","",IF(HLOOKUP(F257,'listes magies'!$B$2:$CT$35,2,FALSE)=0,"",HLOOKUP(F257,'listes magies'!$B$2:$CT$35,3,FALSE))))))</f>
        <v/>
      </c>
      <c r="G266" s="217"/>
    </row>
    <row r="267" spans="1:7" ht="12.75" hidden="1" customHeight="1">
      <c r="A267" s="217"/>
      <c r="B267" s="335"/>
      <c r="C267" s="336" t="str">
        <f>IF(C256="Magie mineure",'listes magies'!$A$5,IF(C256="Runes",'listes magies'!$CO$5,IF(C256="Runes Majeures",'listes magies'!$CQ$5,IF(C257="","",IF(HLOOKUP(C257,'listes magies'!$B$2:$CT$35,4,FALSE)=0,"",HLOOKUP(C257,'listes magies'!$B$2:$CT$35,4,FALSE))))))</f>
        <v/>
      </c>
      <c r="D267" s="217"/>
      <c r="E267" s="335"/>
      <c r="F267" s="336" t="str">
        <f>IF(F256="Magie mineure",'listes magies'!$A$5,IF(F256="Runes",'listes magies'!$CO$5,IF(F256="Runes Majeures",'listes magies'!$CQ$5,IF(F257="","",IF(HLOOKUP(F257,'listes magies'!$B$2:$CT$35,4,FALSE)=0,"",HLOOKUP(F257,'listes magies'!$B$2:$CT$35,4,FALSE))))))</f>
        <v/>
      </c>
      <c r="G267" s="217"/>
    </row>
    <row r="268" spans="1:7" ht="12.75" hidden="1" customHeight="1">
      <c r="A268" s="217"/>
      <c r="B268" s="335"/>
      <c r="C268" s="336" t="str">
        <f>IF(C256="Magie mineure",'listes magies'!$A$6,IF(C256="Runes",'listes magies'!$CO$6,IF(C256="Runes Majeures",'listes magies'!$CQ$6,IF(C257="","",IF(HLOOKUP(C257,'listes magies'!$B$2:$CT$35,5,FALSE)=0,"",HLOOKUP(C257,'listes magies'!$B$2:$CT$35,5,FALSE))))))</f>
        <v/>
      </c>
      <c r="D268" s="217"/>
      <c r="E268" s="335"/>
      <c r="F268" s="336" t="str">
        <f>IF(F256="Magie mineure",'listes magies'!$A$6,IF(F256="Runes",'listes magies'!$CO$6,IF(F256="Runes Majeures",'listes magies'!$CQ$6,IF(F257="","",IF(HLOOKUP(F257,'listes magies'!$B$2:$CT$35,5,FALSE)=0,"",HLOOKUP(F257,'listes magies'!$B$2:$CT$35,5,FALSE))))))</f>
        <v/>
      </c>
      <c r="G268" s="217"/>
    </row>
    <row r="269" spans="1:7" ht="12.75" hidden="1" customHeight="1">
      <c r="A269" s="217"/>
      <c r="B269" s="335"/>
      <c r="C269" s="336" t="str">
        <f>IF(C256="Magie mineure",'listes magies'!$A$7,IF(C256="Runes",'listes magies'!$CO$7,IF(C256="Runes Majeures",'listes magies'!$CQ$7,IF(C257="","",IF(HLOOKUP(C257,'listes magies'!$B$2:$CT$35,6,FALSE)=0,"",HLOOKUP(C257,'listes magies'!$B$2:$CT$35,6,FALSE))))))</f>
        <v/>
      </c>
      <c r="D269" s="217"/>
      <c r="E269" s="335"/>
      <c r="F269" s="336" t="str">
        <f>IF(F256="Magie mineure",'listes magies'!$A$7,IF(F256="Runes",'listes magies'!$CO$7,IF(F256="Runes Majeures",'listes magies'!$CQ$7,IF(F257="","",IF(HLOOKUP(F257,'listes magies'!$B$2:$CT$35,6,FALSE)=0,"",HLOOKUP(F257,'listes magies'!$B$2:$CT$35,6,FALSE))))))</f>
        <v/>
      </c>
      <c r="G269" s="217"/>
    </row>
    <row r="270" spans="1:7" ht="12.75" hidden="1" customHeight="1">
      <c r="A270" s="217"/>
      <c r="B270" s="335"/>
      <c r="C270" s="336" t="str">
        <f>IF(C256="Magie mineure",'listes magies'!$A$8,IF(C256="Runes",'listes magies'!$CO$8,IF(C256="Runes Majeures",'listes magies'!$CQ$8,IF(C257="","",IF(HLOOKUP(C257,'listes magies'!$B$2:$CT$35,7,FALSE)=0,"",HLOOKUP(C257,'listes magies'!$B$2:$CT$35,7,FALSE))))))</f>
        <v/>
      </c>
      <c r="D270" s="217"/>
      <c r="E270" s="335"/>
      <c r="F270" s="336" t="str">
        <f>IF(F256="Magie mineure",'listes magies'!$A$8,IF(F256="Runes",'listes magies'!$CO$8,IF(F256="Runes Majeures",'listes magies'!$CQ$8,IF(F257="","",IF(HLOOKUP(F257,'listes magies'!$B$2:$CT$35,7,FALSE)=0,"",HLOOKUP(F257,'listes magies'!$B$2:$CT$35,7,FALSE))))))</f>
        <v/>
      </c>
      <c r="G270" s="217"/>
    </row>
    <row r="271" spans="1:7" ht="12.75" hidden="1" customHeight="1">
      <c r="A271" s="217"/>
      <c r="B271" s="335"/>
      <c r="C271" s="336" t="str">
        <f>IF(C256="Magie mineure",'listes magies'!$A$9,IF(C256="Runes",'listes magies'!$CO$9,IF(C256="Runes Majeures",'listes magies'!$CQ$9,IF(C257="","",IF(HLOOKUP(C257,'listes magies'!$B$2:$CT$35,8,FALSE)=0,"",HLOOKUP(C257,'listes magies'!$B$2:$CT$35,8,FALSE))))))</f>
        <v/>
      </c>
      <c r="D271" s="217"/>
      <c r="E271" s="335"/>
      <c r="F271" s="336" t="str">
        <f>IF(F256="Magie mineure",'listes magies'!$A$9,IF(F256="Runes",'listes magies'!$CO$9,IF(F256="Runes Majeures",'listes magies'!$CQ$9,IF(F257="","",IF(HLOOKUP(F257,'listes magies'!$B$2:$CT$35,8,FALSE)=0,"",HLOOKUP(F257,'listes magies'!$B$2:$CT$35,8,FALSE))))))</f>
        <v/>
      </c>
      <c r="G271" s="217"/>
    </row>
    <row r="272" spans="1:7" ht="12.75" hidden="1" customHeight="1">
      <c r="A272" s="217"/>
      <c r="B272" s="335"/>
      <c r="C272" s="336" t="str">
        <f>IF(C256="Magie mineure",'listes magies'!$A$10,IF(C256="Runes",'listes magies'!$CO$10,IF(C256="Runes Majeures",'listes magies'!$CQ$10,IF(C257="","",IF(HLOOKUP(C257,'listes magies'!$B$2:$CT$35,9,FALSE)=0,"",HLOOKUP(C257,'listes magies'!$B$2:$CT$35,9,FALSE))))))</f>
        <v/>
      </c>
      <c r="D272" s="217"/>
      <c r="E272" s="335"/>
      <c r="F272" s="336" t="str">
        <f>IF(F256="Magie mineure",'listes magies'!$A$10,IF(F256="Runes",'listes magies'!$CO$10,IF(F256="Runes Majeures",'listes magies'!$CQ$10,IF(F257="","",IF(HLOOKUP(F257,'listes magies'!$B$2:$CT$35,9,FALSE)=0,"",HLOOKUP(F257,'listes magies'!$B$2:$CT$35,9,FALSE))))))</f>
        <v/>
      </c>
      <c r="G272" s="217"/>
    </row>
    <row r="273" spans="1:7" ht="12.75" hidden="1" customHeight="1">
      <c r="A273" s="217"/>
      <c r="B273" s="335"/>
      <c r="C273" s="336" t="str">
        <f>IF(C256="Magie mineure",'listes magies'!$A$11,IF(C256="Runes",'listes magies'!$CO$11,IF(C256="Runes Majeures",'listes magies'!$CQ$11,IF(C257="","",IF(HLOOKUP(C257,'listes magies'!$B$2:$CT$35,10,FALSE)=0,"",HLOOKUP(C257,'listes magies'!$B$2:$CT$35,10,FALSE))))))</f>
        <v/>
      </c>
      <c r="D273" s="217"/>
      <c r="E273" s="335"/>
      <c r="F273" s="336" t="str">
        <f>IF(F256="Magie mineure",'listes magies'!$A$11,IF(F256="Runes",'listes magies'!$CO$11,IF(F256="Runes Majeures",'listes magies'!$CQ$11,IF(F257="","",IF(HLOOKUP(F257,'listes magies'!$B$2:$CT$35,10,FALSE)=0,"",HLOOKUP(F257,'listes magies'!$B$2:$CT$35,10,FALSE))))))</f>
        <v/>
      </c>
      <c r="G273" s="217"/>
    </row>
    <row r="274" spans="1:7" ht="12.75" hidden="1" customHeight="1">
      <c r="A274" s="217"/>
      <c r="B274" s="335"/>
      <c r="C274" s="336" t="str">
        <f>IF(C256="Magie mineure",'listes magies'!$A$12,IF(C256="Runes",'listes magies'!$CO$12,IF(C256="Runes Majeures",'listes magies'!$CQ$12,IF(C257="","",IF(HLOOKUP(C257,'listes magies'!$B$2:$CT$35,11,FALSE)=0,"",HLOOKUP(C257,'listes magies'!$B$2:$CT$35,11,FALSE))))))</f>
        <v/>
      </c>
      <c r="D274" s="217"/>
      <c r="E274" s="335"/>
      <c r="F274" s="336" t="str">
        <f>IF(F256="Magie mineure",'listes magies'!$A$12,IF(F256="Runes",'listes magies'!$CO$12,IF(F256="Runes Majeures",'listes magies'!$CQ$12,IF(F257="","",IF(HLOOKUP(F257,'listes magies'!$B$2:$CT$35,11,FALSE)=0,"",HLOOKUP(F257,'listes magies'!$B$2:$CT$35,11,FALSE))))))</f>
        <v/>
      </c>
      <c r="G274" s="217"/>
    </row>
    <row r="275" spans="1:7" ht="12.75" hidden="1" customHeight="1">
      <c r="A275" s="217"/>
      <c r="B275" s="335"/>
      <c r="C275" s="336" t="str">
        <f>IF(C256="Magie mineure",'listes magies'!$A$13,IF(C256="Runes",'listes magies'!$CO$13,IF(C256="Runes Majeures",'listes magies'!$CQ$13,IF(C257="","",IF(HLOOKUP(C257,'listes magies'!$B$2:$CT$35,12,FALSE)=0,"",HLOOKUP(C257,'listes magies'!$B$2:$CT$35,12,FALSE))))))</f>
        <v/>
      </c>
      <c r="D275" s="217"/>
      <c r="E275" s="335"/>
      <c r="F275" s="336" t="str">
        <f>IF(F256="Magie mineure",'listes magies'!$A$13,IF(F256="Runes",'listes magies'!$CO$13,IF(F256="Runes Majeures",'listes magies'!$CQ$13,IF(F257="","",IF(HLOOKUP(F257,'listes magies'!$B$2:$CT$35,12,FALSE)=0,"",HLOOKUP(F257,'listes magies'!$B$2:$CT$35,12,FALSE))))))</f>
        <v/>
      </c>
      <c r="G275" s="217"/>
    </row>
    <row r="276" spans="1:7" ht="12.75" hidden="1" customHeight="1">
      <c r="A276" s="217"/>
      <c r="B276" s="335"/>
      <c r="C276" s="336" t="str">
        <f>IF(C256="Magie mineure",'listes magies'!$A$14,IF(C256="Runes",'listes magies'!$CO$14,IF(C256="Runes Majeures",'listes magies'!$CQ$14,IF(C257="","",IF(HLOOKUP(C257,'listes magies'!$B$2:$CT$35,13,FALSE)=0,"",HLOOKUP(C257,'listes magies'!$B$2:$CT$35,13,FALSE))))))</f>
        <v/>
      </c>
      <c r="D276" s="217"/>
      <c r="E276" s="335"/>
      <c r="F276" s="336" t="str">
        <f>IF(F256="Magie mineure",'listes magies'!$A$14,IF(F256="Runes",'listes magies'!$CO$14,IF(F256="Runes Majeures",'listes magies'!$CQ$14,IF(F257="","",IF(HLOOKUP(F257,'listes magies'!$B$2:$CT$35,13,FALSE)=0,"",HLOOKUP(F257,'listes magies'!$B$2:$CT$35,13,FALSE))))))</f>
        <v/>
      </c>
      <c r="G276" s="217"/>
    </row>
    <row r="277" spans="1:7" ht="12.75" hidden="1" customHeight="1">
      <c r="A277" s="217"/>
      <c r="B277" s="335"/>
      <c r="C277" s="336" t="str">
        <f>IF(C256="Magie mineure",'listes magies'!$A$15,IF(C256="Runes",'listes magies'!$CO$15,IF(C256="Runes Majeures",'listes magies'!$CQ$15,IF(C257="","",IF(HLOOKUP(C257,'listes magies'!$B$2:$CT$35,14,FALSE)=0,"",HLOOKUP(C257,'listes magies'!$B$2:$CT$35,14,FALSE))))))</f>
        <v/>
      </c>
      <c r="D277" s="217"/>
      <c r="E277" s="335"/>
      <c r="F277" s="336" t="str">
        <f>IF(F256="Magie mineure",'listes magies'!$A$15,IF(F256="Runes",'listes magies'!$CO$15,IF(F256="Runes Majeures",'listes magies'!$CQ$15,IF(F257="","",IF(HLOOKUP(F257,'listes magies'!$B$2:$CT$35,14,FALSE)=0,"",HLOOKUP(F257,'listes magies'!$B$2:$CT$35,14,FALSE))))))</f>
        <v/>
      </c>
      <c r="G277" s="217"/>
    </row>
    <row r="278" spans="1:7" ht="12.75" hidden="1" customHeight="1">
      <c r="A278" s="217"/>
      <c r="B278" s="335"/>
      <c r="C278" s="336" t="str">
        <f>IF(C256="Magie mineure",'listes magies'!$A$16,IF(C256="Runes",'listes magies'!$CO$16,IF(C256="Runes Majeures",'listes magies'!$CQ$16,IF(C257="","",IF(HLOOKUP(C257,'listes magies'!$B$2:$CT$35,15,FALSE)=0,"",HLOOKUP(C257,'listes magies'!$B$2:$CT$35,15,FALSE))))))</f>
        <v/>
      </c>
      <c r="D278" s="217"/>
      <c r="E278" s="335"/>
      <c r="F278" s="336" t="str">
        <f>IF(F256="Magie mineure",'listes magies'!$A$16,IF(F256="Runes",'listes magies'!$CO$16,IF(F256="Runes Majeures",'listes magies'!$CQ$16,IF(F257="","",IF(HLOOKUP(F257,'listes magies'!$B$2:$CT$35,15,FALSE)=0,"",HLOOKUP(F257,'listes magies'!$B$2:$CT$35,15,FALSE))))))</f>
        <v/>
      </c>
      <c r="G278" s="217"/>
    </row>
    <row r="279" spans="1:7" ht="12.75" hidden="1" customHeight="1">
      <c r="A279" s="217"/>
      <c r="B279" s="335"/>
      <c r="C279" s="336" t="str">
        <f>IF(C256="Magie mineure",'listes magies'!$A$17,IF(C256="Runes",'listes magies'!$CO$17,IF(C256="Runes Majeures","",IF(C257="","",IF(HLOOKUP(C257,'listes magies'!$B$2:$CT$35,16,FALSE)=0,"",HLOOKUP(C257,'listes magies'!$B$2:$CT$35,16,FALSE))))))</f>
        <v/>
      </c>
      <c r="D279" s="217"/>
      <c r="E279" s="335"/>
      <c r="F279" s="336" t="str">
        <f>IF(F256="Magie mineure",'listes magies'!$A$17,IF(F256="Runes",'listes magies'!$CO$17,IF(F256="Runes Majeures","",IF(F257="","",IF(HLOOKUP(F257,'listes magies'!$B$2:$CT$35,16,FALSE)=0,"",HLOOKUP(F257,'listes magies'!$B$2:$CT$35,16,FALSE))))))</f>
        <v/>
      </c>
      <c r="G279" s="217"/>
    </row>
    <row r="280" spans="1:7" ht="12.75" hidden="1" customHeight="1">
      <c r="A280" s="217"/>
      <c r="B280" s="335"/>
      <c r="C280" s="336" t="str">
        <f>IF(C256="Magie mineure",'listes magies'!$A270,IF(C256="Runes",'listes magies'!$CO$18,IF(C256="Runes Majeures","",IF(C257="","",IF(HLOOKUP(C257,'listes magies'!$B$2:$CT$35,17,FALSE)=0,"",HLOOKUP(C257,'listes magies'!$B$2:$CT$35,17,FALSE))))))</f>
        <v/>
      </c>
      <c r="D280" s="217"/>
      <c r="E280" s="335"/>
      <c r="F280" s="336" t="str">
        <f>IF(F256="Magie mineure",'listes magies'!$A270,IF(F256="Runes",'listes magies'!$CO$18,IF(F256="Runes Majeures","",IF(F257="","",IF(HLOOKUP(F257,'listes magies'!$B$2:$CT$35,17,FALSE)=0,"",HLOOKUP(F257,'listes magies'!$B$2:$CT$35,17,FALSE))))))</f>
        <v/>
      </c>
      <c r="G280" s="217"/>
    </row>
    <row r="281" spans="1:7" ht="12.75" hidden="1" customHeight="1">
      <c r="A281" s="217"/>
      <c r="B281" s="335"/>
      <c r="C281" s="336" t="str">
        <f>IF(C256="Magie mineure",'listes magies'!$A$19,IF(C256="Runes",'listes magies'!$CO$19,IF(C256="Runes Majeures","",IF(C257="","",IF(HLOOKUP(C257,'listes magies'!$B$2:$CT$35,18,FALSE)=0,"",HLOOKUP(C257,'listes magies'!$B$2:$CT$35,18,FALSE))))))</f>
        <v/>
      </c>
      <c r="D281" s="217"/>
      <c r="E281" s="335"/>
      <c r="F281" s="336" t="str">
        <f>IF(F256="Magie mineure",'listes magies'!$A$19,IF(F256="Runes",'listes magies'!$CO$19,IF(F256="Runes Majeures","",IF(F257="","",IF(HLOOKUP(F257,'listes magies'!$B$2:$CT$35,18,FALSE)=0,"",HLOOKUP(F257,'listes magies'!$B$2:$CT$35,18,FALSE))))))</f>
        <v/>
      </c>
      <c r="G281" s="217"/>
    </row>
    <row r="282" spans="1:7" ht="12.75" hidden="1" customHeight="1">
      <c r="A282" s="217"/>
      <c r="B282" s="335"/>
      <c r="C282" s="336" t="str">
        <f>IF(C256="Magie mineure",'listes magies'!$A$20,IF(C256="Runes",'listes magies'!$CO$20,IF(C256="Runes Majeures","",IF(C257="","",IF(HLOOKUP(C257,'listes magies'!$B$2:$CT$35,19,FALSE)=0,"",HLOOKUP(C257,'listes magies'!$B$2:$CT$35,19,FALSE))))))</f>
        <v/>
      </c>
      <c r="D282" s="217"/>
      <c r="E282" s="335"/>
      <c r="F282" s="336" t="str">
        <f>IF(F256="Magie mineure",'listes magies'!$A$20,IF(F256="Runes",'listes magies'!$CO$20,IF(F256="Runes Majeures","",IF(F257="","",IF(HLOOKUP(F257,'listes magies'!$B$2:$CT$35,19,FALSE)=0,"",HLOOKUP(F257,'listes magies'!$B$2:$CT$35,19,FALSE))))))</f>
        <v/>
      </c>
      <c r="G282" s="217"/>
    </row>
    <row r="283" spans="1:7" ht="12.75" hidden="1" customHeight="1">
      <c r="A283" s="217"/>
      <c r="B283" s="335"/>
      <c r="C283" s="336" t="str">
        <f>IF(C256="Magie mineure",'listes magies'!$A$21,IF(C256="Runes",'listes magies'!$CO$21,IF(C256="Runes Majeures","",IF(C257="","",IF(HLOOKUP(C257,'listes magies'!$B$2:$CT$35,20,FALSE)=0,"",HLOOKUP(C257,'listes magies'!$B$2:$CT$35,20,FALSE))))))</f>
        <v/>
      </c>
      <c r="D283" s="217"/>
      <c r="E283" s="335"/>
      <c r="F283" s="336" t="str">
        <f>IF(F256="Magie mineure",'listes magies'!$A$21,IF(F256="Runes",'listes magies'!$CO$21,IF(F256="Runes Majeures","",IF(F257="","",IF(HLOOKUP(F257,'listes magies'!$B$2:$CT$35,20,FALSE)=0,"",HLOOKUP(F257,'listes magies'!$B$2:$CT$35,20,FALSE))))))</f>
        <v/>
      </c>
      <c r="G283" s="217"/>
    </row>
    <row r="284" spans="1:7" ht="12.75" hidden="1" customHeight="1">
      <c r="A284" s="217"/>
      <c r="B284" s="335"/>
      <c r="C284" s="336" t="str">
        <f>IF(C256="Magie mineure",'listes magies'!$A$22,IF(C256="Runes",'listes magies'!$CO$22,IF(C256="Runes Majeures","",IF(C257="","",IF(HLOOKUP(C257,'listes magies'!$B$2:$CT$35,21,FALSE)=0,"",HLOOKUP(C257,'listes magies'!$B$2:$CT$35,21,FALSE))))))</f>
        <v/>
      </c>
      <c r="D284" s="217"/>
      <c r="E284" s="335"/>
      <c r="F284" s="336" t="str">
        <f>IF(F256="Magie mineure",'listes magies'!$A$22,IF(F256="Runes",'listes magies'!$CO$22,IF(F256="Runes Majeures","",IF(F257="","",IF(HLOOKUP(F257,'listes magies'!$B$2:$CT$35,21,FALSE)=0,"",HLOOKUP(F257,'listes magies'!$B$2:$CT$35,21,FALSE))))))</f>
        <v/>
      </c>
      <c r="G284" s="217"/>
    </row>
    <row r="285" spans="1:7" ht="12.75" hidden="1" customHeight="1">
      <c r="A285" s="217"/>
      <c r="B285" s="335"/>
      <c r="C285" s="336" t="str">
        <f>IF(C256="Magie mineure",'listes magies'!$A$23,IF(C256="Runes",'listes magies'!$CO$22,IF(C256="Runes Majeures","",IF(C257="","",IF(HLOOKUP(C257,'listes magies'!$B$2:$CT$35,22,FALSE)=0,"",HLOOKUP(C257,'listes magies'!$B$2:$CT$35,22,FALSE))))))</f>
        <v/>
      </c>
      <c r="D285" s="217"/>
      <c r="E285" s="335"/>
      <c r="F285" s="336" t="str">
        <f>IF(F256="Magie mineure",'listes magies'!$A$23,IF(F256="Runes",'listes magies'!$CO$22,IF(F256="Runes Majeures","",IF(F257="","",IF(HLOOKUP(F257,'listes magies'!$B$2:$CT$35,22,FALSE)=0,"",HLOOKUP(F257,'listes magies'!$B$2:$CT$35,22,FALSE))))))</f>
        <v/>
      </c>
      <c r="G285" s="217"/>
    </row>
    <row r="286" spans="1:7" ht="12.75" hidden="1" customHeight="1">
      <c r="A286" s="217"/>
      <c r="B286" s="335"/>
      <c r="C286" s="336" t="str">
        <f>IF(C256="Magie mineure",'listes magies'!$A$24,IF(C256="Runes Majeures","",IF(C257="","",IF(HLOOKUP(C257,'listes magies'!$B$2:$CT$35,23,FALSE)=0,"",HLOOKUP(C257,'listes magies'!$B$2:$CT$35,23,FALSE)))))</f>
        <v/>
      </c>
      <c r="D286" s="217"/>
      <c r="E286" s="335"/>
      <c r="F286" s="336" t="str">
        <f>IF(F256="Magie mineure",'listes magies'!$A$24,IF(F256="Runes Majeures","",IF(F257="","",IF(HLOOKUP(F257,'listes magies'!$B$2:$CT$35,23,FALSE)=0,"",HLOOKUP(F257,'listes magies'!$B$2:$CT$35,23,FALSE)))))</f>
        <v/>
      </c>
      <c r="G286" s="217"/>
    </row>
    <row r="287" spans="1:7" ht="12.75" hidden="1" customHeight="1">
      <c r="A287" s="217"/>
      <c r="B287" s="335"/>
      <c r="C287" s="336" t="str">
        <f>IF(C256="Magie mineure",'listes magies'!$A$25,IF(C256="Runes Majeures","",IF(C257="","",IF(HLOOKUP(C257,'listes magies'!$B$2:$CT$35,24,FALSE)=0,"",HLOOKUP(C257,'listes magies'!$B$2:$CT$35,24,FALSE)))))</f>
        <v/>
      </c>
      <c r="D287" s="217"/>
      <c r="E287" s="335"/>
      <c r="F287" s="336" t="str">
        <f>IF(F256="Magie mineure",'listes magies'!$A$25,IF(F256="Runes Majeures","",IF(F257="","",IF(HLOOKUP(F257,'listes magies'!$B$2:$CT$35,24,FALSE)=0,"",HLOOKUP(F257,'listes magies'!$B$2:$CT$35,24,FALSE)))))</f>
        <v/>
      </c>
      <c r="G287" s="217"/>
    </row>
    <row r="288" spans="1:7" ht="12.75" hidden="1" customHeight="1">
      <c r="A288" s="217"/>
      <c r="B288" s="335"/>
      <c r="C288" s="336" t="str">
        <f>IF(C256="Magie mineure",'listes magies'!$A$26,IF(C256="Runes","",IF(C256="Runes Majeures","",IF(C257="","",IF(HLOOKUP(C257,'listes magies'!$B$2:$CT$35,25,FALSE)=0,"",HLOOKUP(C257,'listes magies'!$B$2:$CT$35,25,FALSE))))))</f>
        <v/>
      </c>
      <c r="D288" s="217"/>
      <c r="E288" s="335"/>
      <c r="F288" s="336" t="str">
        <f>IF(F256="Magie mineure",'listes magies'!$A$26,IF(F256="Runes","",IF(F256="Runes Majeures","",IF(F257="","",IF(HLOOKUP(F257,'listes magies'!$B$2:$CT$35,25,FALSE)=0,"",HLOOKUP(F257,'listes magies'!$B$2:$CT$35,25,FALSE))))))</f>
        <v/>
      </c>
      <c r="G288" s="217"/>
    </row>
    <row r="289" spans="1:7" ht="12.75" hidden="1" customHeight="1">
      <c r="A289" s="217"/>
      <c r="B289" s="335"/>
      <c r="C289" s="336" t="str">
        <f>IF(C256="Magie mineure",'listes magies'!$A$27,"")</f>
        <v/>
      </c>
      <c r="D289" s="217"/>
      <c r="E289" s="335"/>
      <c r="F289" s="336" t="str">
        <f>IF(F256="Magie mineure",'listes magies'!$A$27,"")</f>
        <v/>
      </c>
      <c r="G289" s="217"/>
    </row>
    <row r="290" spans="1:7" ht="12.75" hidden="1" customHeight="1">
      <c r="A290" s="217"/>
      <c r="B290" s="335"/>
      <c r="C290" s="336" t="str">
        <f>IF(C256="Magie mineure",'listes magies'!$A$28,"")</f>
        <v/>
      </c>
      <c r="D290" s="217"/>
      <c r="E290" s="335"/>
      <c r="F290" s="336" t="str">
        <f>IF(F256="Magie mineure",'listes magies'!$A$28,"")</f>
        <v/>
      </c>
      <c r="G290" s="217"/>
    </row>
    <row r="291" spans="1:7" ht="12.75" hidden="1" customHeight="1">
      <c r="A291" s="217"/>
      <c r="B291" s="335"/>
      <c r="C291" s="336" t="str">
        <f>IF(C256="Magie mineure",'listes magies'!$A$29,"")</f>
        <v/>
      </c>
      <c r="D291" s="217"/>
      <c r="E291" s="335"/>
      <c r="F291" s="336" t="str">
        <f>IF(F256="Magie mineure",'listes magies'!$A$29,"")</f>
        <v/>
      </c>
      <c r="G291" s="217"/>
    </row>
    <row r="292" spans="1:7" ht="12.75" hidden="1" customHeight="1">
      <c r="A292" s="217"/>
      <c r="B292" s="335"/>
      <c r="C292" s="336" t="str">
        <f>IF(C256="Magie mineure",'listes magies'!$A$30,"")</f>
        <v/>
      </c>
      <c r="D292" s="217"/>
      <c r="E292" s="335"/>
      <c r="F292" s="336" t="str">
        <f>IF(F256="Magie mineure",'listes magies'!$A$30,"")</f>
        <v/>
      </c>
      <c r="G292" s="217"/>
    </row>
    <row r="293" spans="1:7" ht="12.75" hidden="1" customHeight="1">
      <c r="A293" s="217"/>
      <c r="B293" s="335"/>
      <c r="C293" s="336" t="str">
        <f>IF(C256="Magie mineure",'listes magies'!$A$31,"")</f>
        <v/>
      </c>
      <c r="D293" s="217"/>
      <c r="E293" s="335"/>
      <c r="F293" s="336" t="str">
        <f>IF(F256="Magie mineure",'listes magies'!$A$31,"")</f>
        <v/>
      </c>
      <c r="G293" s="217"/>
    </row>
    <row r="294" spans="1:7" ht="12.75" hidden="1" customHeight="1">
      <c r="A294" s="217"/>
      <c r="B294" s="335"/>
      <c r="C294" s="336" t="str">
        <f>IF(C256="Magie mineure",'listes magies'!$A$32,"")</f>
        <v/>
      </c>
      <c r="D294" s="217"/>
      <c r="E294" s="335"/>
      <c r="F294" s="336" t="str">
        <f>IF(F256="Magie mineure",'listes magies'!$A$32,"")</f>
        <v/>
      </c>
      <c r="G294" s="217"/>
    </row>
    <row r="295" spans="1:7" ht="12.75" hidden="1" customHeight="1">
      <c r="A295" s="217"/>
      <c r="B295" s="335"/>
      <c r="C295" s="336" t="str">
        <f>IF(C256="Magie mineure",'listes magies'!$A$33,"")</f>
        <v/>
      </c>
      <c r="D295" s="217"/>
      <c r="E295" s="335"/>
      <c r="F295" s="336" t="str">
        <f>IF(F256="Magie mineure",'listes magies'!$A$33,"")</f>
        <v/>
      </c>
      <c r="G295" s="217"/>
    </row>
    <row r="296" spans="1:7" ht="12.75" hidden="1" customHeight="1">
      <c r="A296" s="217"/>
      <c r="B296" s="335"/>
      <c r="C296" s="336" t="str">
        <f>IF(C256="Magie mineure",'listes magies'!$A$34,"")</f>
        <v/>
      </c>
      <c r="D296" s="217"/>
      <c r="E296" s="335"/>
      <c r="F296" s="336" t="str">
        <f>IF(F256="Magie mineure",'listes magies'!$A$34,"")</f>
        <v/>
      </c>
      <c r="G296" s="217"/>
    </row>
    <row r="297" spans="1:7" ht="6" customHeight="1" thickBot="1">
      <c r="A297" s="217"/>
      <c r="B297" s="217"/>
      <c r="C297" s="217"/>
      <c r="D297" s="217"/>
      <c r="E297" s="217"/>
      <c r="F297" s="217"/>
      <c r="G297" s="217"/>
    </row>
    <row r="298" spans="1:7">
      <c r="A298" s="217"/>
      <c r="B298" s="331" t="s">
        <v>679</v>
      </c>
      <c r="C298" s="332"/>
      <c r="D298" s="217"/>
      <c r="E298" s="331" t="s">
        <v>679</v>
      </c>
      <c r="F298" s="332"/>
      <c r="G298" s="217"/>
    </row>
    <row r="299" spans="1:7">
      <c r="A299" s="217"/>
      <c r="B299" s="333" t="s">
        <v>680</v>
      </c>
      <c r="C299" s="330"/>
      <c r="D299" s="217"/>
      <c r="E299" s="333" t="s">
        <v>680</v>
      </c>
      <c r="F299" s="330"/>
      <c r="G299" s="217"/>
    </row>
    <row r="300" spans="1:7">
      <c r="A300" s="217"/>
      <c r="B300" s="333" t="s">
        <v>681</v>
      </c>
      <c r="C300" s="330"/>
      <c r="D300" s="217"/>
      <c r="E300" s="333" t="s">
        <v>681</v>
      </c>
      <c r="F300" s="330"/>
      <c r="G300" s="217"/>
    </row>
    <row r="301" spans="1:7">
      <c r="A301" s="217"/>
      <c r="B301" s="333" t="s">
        <v>682</v>
      </c>
      <c r="C301" s="330" t="str">
        <f>IF(C300="","",VLOOKUP(C300,Magie!$B:$H,2,FALSE))</f>
        <v/>
      </c>
      <c r="D301" s="217"/>
      <c r="E301" s="333" t="s">
        <v>682</v>
      </c>
      <c r="F301" s="330" t="str">
        <f>IF(F300="","",VLOOKUP(F300,Magie!$B:$H,2,FALSE))</f>
        <v/>
      </c>
      <c r="G301" s="217"/>
    </row>
    <row r="302" spans="1:7">
      <c r="A302" s="217"/>
      <c r="B302" s="333" t="s">
        <v>683</v>
      </c>
      <c r="C302" s="330" t="str">
        <f>IF(C300="","",VLOOKUP(C300,Magie!$B:$H,3,FALSE))</f>
        <v/>
      </c>
      <c r="D302" s="217"/>
      <c r="E302" s="333" t="s">
        <v>683</v>
      </c>
      <c r="F302" s="330" t="str">
        <f>IF(F300="","",VLOOKUP(F300,Magie!$B:$H,3,FALSE))</f>
        <v/>
      </c>
      <c r="G302" s="217"/>
    </row>
    <row r="303" spans="1:7">
      <c r="A303" s="217"/>
      <c r="B303" s="333" t="str">
        <f>IF(OR(C298="Runes",C298="Runes Majeures"),"Activation:","Durée:")</f>
        <v>Durée:</v>
      </c>
      <c r="C303" s="330" t="str">
        <f>IF(C300="","",VLOOKUP(C300,Magie!$B:$H,4,FALSE))</f>
        <v/>
      </c>
      <c r="D303" s="217"/>
      <c r="E303" s="333" t="str">
        <f>IF(OR(F298="Runes",F298="Runes Majeures"),"Activation:","Durée:")</f>
        <v>Durée:</v>
      </c>
      <c r="F303" s="330" t="str">
        <f>IF(F300="","",VLOOKUP(F300,Magie!$B:$H,4,FALSE))</f>
        <v/>
      </c>
      <c r="G303" s="217"/>
    </row>
    <row r="304" spans="1:7">
      <c r="A304" s="217"/>
      <c r="B304" s="333" t="s">
        <v>684</v>
      </c>
      <c r="C304" s="330" t="str">
        <f>IF(C300="","",VLOOKUP(C300,Magie!$B:$H,5,FALSE))</f>
        <v/>
      </c>
      <c r="D304" s="217"/>
      <c r="E304" s="333" t="s">
        <v>684</v>
      </c>
      <c r="F304" s="330" t="str">
        <f>IF(F300="","",VLOOKUP(F300,Magie!$B:$H,5,FALSE))</f>
        <v/>
      </c>
      <c r="G304" s="217"/>
    </row>
    <row r="305" spans="1:7">
      <c r="A305" s="217"/>
      <c r="B305" s="333" t="str">
        <f>IF(C299="Domaine de Loec","Note:","Ingrédient:")</f>
        <v>Ingrédient:</v>
      </c>
      <c r="C305" s="441" t="str">
        <f>IF(C300="","",VLOOKUP(C300,Magie!$B:$H,6,FALSE))</f>
        <v/>
      </c>
      <c r="D305" s="217"/>
      <c r="E305" s="333" t="str">
        <f>IF(F299="Domaine de Loec","Note:","Ingrédient:")</f>
        <v>Ingrédient:</v>
      </c>
      <c r="F305" s="441" t="str">
        <f>IF(F300="","",VLOOKUP(F300,Magie!$B:$H,6,FALSE))</f>
        <v/>
      </c>
      <c r="G305" s="217"/>
    </row>
    <row r="306" spans="1:7" ht="46.95" customHeight="1" thickBot="1">
      <c r="A306" s="217"/>
      <c r="B306" s="334" t="s">
        <v>685</v>
      </c>
      <c r="C306" s="845" t="str">
        <f>IF(C300="","",VLOOKUP(C300,Magie!$B:$H,7,FALSE))</f>
        <v/>
      </c>
      <c r="D306" s="217"/>
      <c r="E306" s="334" t="s">
        <v>685</v>
      </c>
      <c r="F306" s="845" t="str">
        <f>IF(F300="","",VLOOKUP(F300,Magie!$B:$H,7,FALSE))</f>
        <v/>
      </c>
      <c r="G306" s="217"/>
    </row>
    <row r="307" spans="1:7" ht="12.75" hidden="1" customHeight="1">
      <c r="A307" s="217"/>
      <c r="B307" s="335"/>
      <c r="C307" s="336" t="str">
        <f>IF(C298="Magie mineure",'listes magies'!$A$3,IF(C298="Runes",'listes magies'!$CO$3,IF(C298="Runes Majeures",'listes magies'!$CQ$3,IF(C299="","",IF(HLOOKUP(C299,'listes magies'!$B$2:$CT$35,2,FALSE)=0,"",HLOOKUP(C299,'listes magies'!$B$2:$CT$35,2,FALSE))))))</f>
        <v/>
      </c>
      <c r="D307" s="217"/>
      <c r="E307" s="335"/>
      <c r="F307" s="336" t="str">
        <f>IF(F298="Magie mineure",'listes magies'!$A$3,IF(F298="Runes",'listes magies'!$CO$3,IF(F298="Runes Majeures",'listes magies'!$CQ$3,IF(F299="","",IF(HLOOKUP(F299,'listes magies'!$B$2:$CT$35,2,FALSE)=0,"",HLOOKUP(F299,'listes magies'!$B$2:$CT$35,2,FALSE))))))</f>
        <v/>
      </c>
      <c r="G307" s="217"/>
    </row>
    <row r="308" spans="1:7" ht="12.75" hidden="1" customHeight="1">
      <c r="A308" s="217"/>
      <c r="B308" s="335"/>
      <c r="C308" s="336" t="str">
        <f>IF(C298="Magie mineure",'listes magies'!$A$4,IF(C298="Runes",'listes magies'!$CO$4,IF(C298="Runes Majeures",'listes magies'!$CQ$3,IF(C299="","",IF(HLOOKUP(C299,'listes magies'!$B$2:$CT$35,2,FALSE)=0,"",HLOOKUP(C299,'listes magies'!$B$2:$CT$35,3,FALSE))))))</f>
        <v/>
      </c>
      <c r="D308" s="217"/>
      <c r="E308" s="335"/>
      <c r="F308" s="336" t="str">
        <f>IF(F298="Magie mineure",'listes magies'!$A$4,IF(F298="Runes",'listes magies'!$CO$4,IF(F298="Runes Majeures",'listes magies'!$CQ$3,IF(F299="","",IF(HLOOKUP(F299,'listes magies'!$B$2:$CT$35,2,FALSE)=0,"",HLOOKUP(F299,'listes magies'!$B$2:$CT$35,3,FALSE))))))</f>
        <v/>
      </c>
      <c r="G308" s="217"/>
    </row>
    <row r="309" spans="1:7" ht="12.75" hidden="1" customHeight="1">
      <c r="A309" s="217"/>
      <c r="B309" s="335"/>
      <c r="C309" s="336" t="str">
        <f>IF(C298="Magie mineure",'listes magies'!$A$5,IF(C298="Runes",'listes magies'!$CO$5,IF(C298="Runes Majeures",'listes magies'!$CQ$5,IF(C299="","",IF(HLOOKUP(C299,'listes magies'!$B$2:$CT$35,4,FALSE)=0,"",HLOOKUP(C299,'listes magies'!$B$2:$CT$35,4,FALSE))))))</f>
        <v/>
      </c>
      <c r="D309" s="217"/>
      <c r="E309" s="335"/>
      <c r="F309" s="336" t="str">
        <f>IF(F298="Magie mineure",'listes magies'!$A$5,IF(F298="Runes",'listes magies'!$CO$5,IF(F298="Runes Majeures",'listes magies'!$CQ$5,IF(F299="","",IF(HLOOKUP(F299,'listes magies'!$B$2:$CT$35,4,FALSE)=0,"",HLOOKUP(F299,'listes magies'!$B$2:$CT$35,4,FALSE))))))</f>
        <v/>
      </c>
      <c r="G309" s="217"/>
    </row>
    <row r="310" spans="1:7" ht="12.75" hidden="1" customHeight="1">
      <c r="A310" s="217"/>
      <c r="B310" s="335"/>
      <c r="C310" s="336" t="str">
        <f>IF(C298="Magie mineure",'listes magies'!$A$6,IF(C298="Runes",'listes magies'!$CO$6,IF(C298="Runes Majeures",'listes magies'!$CQ$6,IF(C299="","",IF(HLOOKUP(C299,'listes magies'!$B$2:$CT$35,5,FALSE)=0,"",HLOOKUP(C299,'listes magies'!$B$2:$CT$35,5,FALSE))))))</f>
        <v/>
      </c>
      <c r="D310" s="217"/>
      <c r="E310" s="335"/>
      <c r="F310" s="336" t="str">
        <f>IF(F298="Magie mineure",'listes magies'!$A$6,IF(F298="Runes",'listes magies'!$CO$6,IF(F298="Runes Majeures",'listes magies'!$CQ$6,IF(F299="","",IF(HLOOKUP(F299,'listes magies'!$B$2:$CT$35,5,FALSE)=0,"",HLOOKUP(F299,'listes magies'!$B$2:$CT$35,5,FALSE))))))</f>
        <v/>
      </c>
      <c r="G310" s="217"/>
    </row>
    <row r="311" spans="1:7" ht="12.75" hidden="1" customHeight="1">
      <c r="A311" s="217"/>
      <c r="B311" s="335"/>
      <c r="C311" s="336" t="str">
        <f>IF(C298="Magie mineure",'listes magies'!$A$7,IF(C298="Runes",'listes magies'!$CO$7,IF(C298="Runes Majeures",'listes magies'!$CQ$7,IF(C299="","",IF(HLOOKUP(C299,'listes magies'!$B$2:$CT$35,6,FALSE)=0,"",HLOOKUP(C299,'listes magies'!$B$2:$CT$35,6,FALSE))))))</f>
        <v/>
      </c>
      <c r="D311" s="217"/>
      <c r="E311" s="335"/>
      <c r="F311" s="336" t="str">
        <f>IF(F298="Magie mineure",'listes magies'!$A$7,IF(F298="Runes",'listes magies'!$CO$7,IF(F298="Runes Majeures",'listes magies'!$CQ$7,IF(F299="","",IF(HLOOKUP(F299,'listes magies'!$B$2:$CT$35,6,FALSE)=0,"",HLOOKUP(F299,'listes magies'!$B$2:$CT$35,6,FALSE))))))</f>
        <v/>
      </c>
      <c r="G311" s="217"/>
    </row>
    <row r="312" spans="1:7" ht="12.75" hidden="1" customHeight="1">
      <c r="A312" s="217"/>
      <c r="B312" s="335"/>
      <c r="C312" s="336" t="str">
        <f>IF(C298="Magie mineure",'listes magies'!$A$8,IF(C298="Runes",'listes magies'!$CO$8,IF(C298="Runes Majeures",'listes magies'!$CQ$8,IF(C299="","",IF(HLOOKUP(C299,'listes magies'!$B$2:$CT$35,7,FALSE)=0,"",HLOOKUP(C299,'listes magies'!$B$2:$CT$35,7,FALSE))))))</f>
        <v/>
      </c>
      <c r="D312" s="217"/>
      <c r="E312" s="335"/>
      <c r="F312" s="336" t="str">
        <f>IF(F298="Magie mineure",'listes magies'!$A$8,IF(F298="Runes",'listes magies'!$CO$8,IF(F298="Runes Majeures",'listes magies'!$CQ$8,IF(F299="","",IF(HLOOKUP(F299,'listes magies'!$B$2:$CT$35,7,FALSE)=0,"",HLOOKUP(F299,'listes magies'!$B$2:$CT$35,7,FALSE))))))</f>
        <v/>
      </c>
      <c r="G312" s="217"/>
    </row>
    <row r="313" spans="1:7" ht="12.75" hidden="1" customHeight="1">
      <c r="A313" s="217"/>
      <c r="B313" s="335"/>
      <c r="C313" s="336" t="str">
        <f>IF(C298="Magie mineure",'listes magies'!$A$9,IF(C298="Runes",'listes magies'!$CO$9,IF(C298="Runes Majeures",'listes magies'!$CQ$9,IF(C299="","",IF(HLOOKUP(C299,'listes magies'!$B$2:$CT$35,8,FALSE)=0,"",HLOOKUP(C299,'listes magies'!$B$2:$CT$35,8,FALSE))))))</f>
        <v/>
      </c>
      <c r="D313" s="217"/>
      <c r="E313" s="335"/>
      <c r="F313" s="336" t="str">
        <f>IF(F298="Magie mineure",'listes magies'!$A$9,IF(F298="Runes",'listes magies'!$CO$9,IF(F298="Runes Majeures",'listes magies'!$CQ$9,IF(F299="","",IF(HLOOKUP(F299,'listes magies'!$B$2:$CT$35,8,FALSE)=0,"",HLOOKUP(F299,'listes magies'!$B$2:$CT$35,8,FALSE))))))</f>
        <v/>
      </c>
      <c r="G313" s="217"/>
    </row>
    <row r="314" spans="1:7" ht="12.75" hidden="1" customHeight="1">
      <c r="A314" s="217"/>
      <c r="B314" s="335"/>
      <c r="C314" s="336" t="str">
        <f>IF(C298="Magie mineure",'listes magies'!$A$10,IF(C298="Runes",'listes magies'!$CO$10,IF(C298="Runes Majeures",'listes magies'!$CQ$10,IF(C299="","",IF(HLOOKUP(C299,'listes magies'!$B$2:$CT$35,9,FALSE)=0,"",HLOOKUP(C299,'listes magies'!$B$2:$CT$35,9,FALSE))))))</f>
        <v/>
      </c>
      <c r="D314" s="217"/>
      <c r="E314" s="335"/>
      <c r="F314" s="336" t="str">
        <f>IF(F298="Magie mineure",'listes magies'!$A$10,IF(F298="Runes",'listes magies'!$CO$10,IF(F298="Runes Majeures",'listes magies'!$CQ$10,IF(F299="","",IF(HLOOKUP(F299,'listes magies'!$B$2:$CT$35,9,FALSE)=0,"",HLOOKUP(F299,'listes magies'!$B$2:$CT$35,9,FALSE))))))</f>
        <v/>
      </c>
      <c r="G314" s="217"/>
    </row>
    <row r="315" spans="1:7" ht="12.75" hidden="1" customHeight="1">
      <c r="A315" s="217"/>
      <c r="B315" s="335"/>
      <c r="C315" s="336" t="str">
        <f>IF(C298="Magie mineure",'listes magies'!$A$11,IF(C298="Runes",'listes magies'!$CO$11,IF(C298="Runes Majeures",'listes magies'!$CQ$11,IF(C299="","",IF(HLOOKUP(C299,'listes magies'!$B$2:$CT$35,10,FALSE)=0,"",HLOOKUP(C299,'listes magies'!$B$2:$CT$35,10,FALSE))))))</f>
        <v/>
      </c>
      <c r="D315" s="217"/>
      <c r="E315" s="335"/>
      <c r="F315" s="336" t="str">
        <f>IF(F298="Magie mineure",'listes magies'!$A$11,IF(F298="Runes",'listes magies'!$CO$11,IF(F298="Runes Majeures",'listes magies'!$CQ$11,IF(F299="","",IF(HLOOKUP(F299,'listes magies'!$B$2:$CT$35,10,FALSE)=0,"",HLOOKUP(F299,'listes magies'!$B$2:$CT$35,10,FALSE))))))</f>
        <v/>
      </c>
      <c r="G315" s="217"/>
    </row>
    <row r="316" spans="1:7" ht="12.75" hidden="1" customHeight="1">
      <c r="A316" s="217"/>
      <c r="B316" s="335"/>
      <c r="C316" s="336" t="str">
        <f>IF(C298="Magie mineure",'listes magies'!$A$12,IF(C298="Runes",'listes magies'!$CO$12,IF(C298="Runes Majeures",'listes magies'!$CQ$12,IF(C299="","",IF(HLOOKUP(C299,'listes magies'!$B$2:$CT$35,11,FALSE)=0,"",HLOOKUP(C299,'listes magies'!$B$2:$CT$35,11,FALSE))))))</f>
        <v/>
      </c>
      <c r="D316" s="217"/>
      <c r="E316" s="335"/>
      <c r="F316" s="336" t="str">
        <f>IF(F298="Magie mineure",'listes magies'!$A$12,IF(F298="Runes",'listes magies'!$CO$12,IF(F298="Runes Majeures",'listes magies'!$CQ$12,IF(F299="","",IF(HLOOKUP(F299,'listes magies'!$B$2:$CT$35,11,FALSE)=0,"",HLOOKUP(F299,'listes magies'!$B$2:$CT$35,11,FALSE))))))</f>
        <v/>
      </c>
      <c r="G316" s="217"/>
    </row>
    <row r="317" spans="1:7" ht="12.75" hidden="1" customHeight="1">
      <c r="A317" s="217"/>
      <c r="B317" s="335"/>
      <c r="C317" s="336" t="str">
        <f>IF(C298="Magie mineure",'listes magies'!$A$13,IF(C298="Runes",'listes magies'!$CO$13,IF(C298="Runes Majeures",'listes magies'!$CQ$13,IF(C299="","",IF(HLOOKUP(C299,'listes magies'!$B$2:$CT$35,12,FALSE)=0,"",HLOOKUP(C299,'listes magies'!$B$2:$CT$35,12,FALSE))))))</f>
        <v/>
      </c>
      <c r="D317" s="217"/>
      <c r="E317" s="335"/>
      <c r="F317" s="336" t="str">
        <f>IF(F298="Magie mineure",'listes magies'!$A$13,IF(F298="Runes",'listes magies'!$CO$13,IF(F298="Runes Majeures",'listes magies'!$CQ$13,IF(F299="","",IF(HLOOKUP(F299,'listes magies'!$B$2:$CT$35,12,FALSE)=0,"",HLOOKUP(F299,'listes magies'!$B$2:$CT$35,12,FALSE))))))</f>
        <v/>
      </c>
      <c r="G317" s="217"/>
    </row>
    <row r="318" spans="1:7" ht="12.75" hidden="1" customHeight="1">
      <c r="A318" s="217"/>
      <c r="B318" s="335"/>
      <c r="C318" s="336" t="str">
        <f>IF(C298="Magie mineure",'listes magies'!$A$14,IF(C298="Runes",'listes magies'!$CO$14,IF(C298="Runes Majeures",'listes magies'!$CQ$14,IF(C299="","",IF(HLOOKUP(C299,'listes magies'!$B$2:$CT$35,13,FALSE)=0,"",HLOOKUP(C299,'listes magies'!$B$2:$CT$35,13,FALSE))))))</f>
        <v/>
      </c>
      <c r="D318" s="217"/>
      <c r="E318" s="335"/>
      <c r="F318" s="336" t="str">
        <f>IF(F298="Magie mineure",'listes magies'!$A$14,IF(F298="Runes",'listes magies'!$CO$14,IF(F298="Runes Majeures",'listes magies'!$CQ$14,IF(F299="","",IF(HLOOKUP(F299,'listes magies'!$B$2:$CT$35,13,FALSE)=0,"",HLOOKUP(F299,'listes magies'!$B$2:$CT$35,13,FALSE))))))</f>
        <v/>
      </c>
      <c r="G318" s="217"/>
    </row>
    <row r="319" spans="1:7" ht="12.75" hidden="1" customHeight="1">
      <c r="A319" s="217"/>
      <c r="B319" s="335"/>
      <c r="C319" s="336" t="str">
        <f>IF(C298="Magie mineure",'listes magies'!$A$15,IF(C298="Runes",'listes magies'!$CO$15,IF(C298="Runes Majeures",'listes magies'!$CQ$15,IF(C299="","",IF(HLOOKUP(C299,'listes magies'!$B$2:$CT$35,14,FALSE)=0,"",HLOOKUP(C299,'listes magies'!$B$2:$CT$35,14,FALSE))))))</f>
        <v/>
      </c>
      <c r="D319" s="217"/>
      <c r="E319" s="335"/>
      <c r="F319" s="336" t="str">
        <f>IF(F298="Magie mineure",'listes magies'!$A$15,IF(F298="Runes",'listes magies'!$CO$15,IF(F298="Runes Majeures",'listes magies'!$CQ$15,IF(F299="","",IF(HLOOKUP(F299,'listes magies'!$B$2:$CT$35,14,FALSE)=0,"",HLOOKUP(F299,'listes magies'!$B$2:$CT$35,14,FALSE))))))</f>
        <v/>
      </c>
      <c r="G319" s="217"/>
    </row>
    <row r="320" spans="1:7" ht="12.75" hidden="1" customHeight="1">
      <c r="A320" s="217"/>
      <c r="B320" s="335"/>
      <c r="C320" s="336" t="str">
        <f>IF(C298="Magie mineure",'listes magies'!$A$16,IF(C298="Runes",'listes magies'!$CO$16,IF(C298="Runes Majeures",'listes magies'!$CQ$16,IF(C299="","",IF(HLOOKUP(C299,'listes magies'!$B$2:$CT$35,15,FALSE)=0,"",HLOOKUP(C299,'listes magies'!$B$2:$CT$35,15,FALSE))))))</f>
        <v/>
      </c>
      <c r="D320" s="217"/>
      <c r="E320" s="335"/>
      <c r="F320" s="336" t="str">
        <f>IF(F298="Magie mineure",'listes magies'!$A$16,IF(F298="Runes",'listes magies'!$CO$16,IF(F298="Runes Majeures",'listes magies'!$CQ$16,IF(F299="","",IF(HLOOKUP(F299,'listes magies'!$B$2:$CT$35,15,FALSE)=0,"",HLOOKUP(F299,'listes magies'!$B$2:$CT$35,15,FALSE))))))</f>
        <v/>
      </c>
      <c r="G320" s="217"/>
    </row>
    <row r="321" spans="1:7" ht="12.75" hidden="1" customHeight="1">
      <c r="A321" s="217"/>
      <c r="B321" s="335"/>
      <c r="C321" s="336" t="str">
        <f>IF(C298="Magie mineure",'listes magies'!$A$17,IF(C298="Runes",'listes magies'!$CO$17,IF(C298="Runes Majeures","",IF(C299="","",IF(HLOOKUP(C299,'listes magies'!$B$2:$CT$35,16,FALSE)=0,"",HLOOKUP(C299,'listes magies'!$B$2:$CT$35,16,FALSE))))))</f>
        <v/>
      </c>
      <c r="D321" s="217"/>
      <c r="E321" s="335"/>
      <c r="F321" s="336" t="str">
        <f>IF(F298="Magie mineure",'listes magies'!$A$17,IF(F298="Runes",'listes magies'!$CO$17,IF(F298="Runes Majeures","",IF(F299="","",IF(HLOOKUP(F299,'listes magies'!$B$2:$CT$35,16,FALSE)=0,"",HLOOKUP(F299,'listes magies'!$B$2:$CT$35,16,FALSE))))))</f>
        <v/>
      </c>
      <c r="G321" s="217"/>
    </row>
    <row r="322" spans="1:7" ht="12.75" hidden="1" customHeight="1">
      <c r="A322" s="217"/>
      <c r="B322" s="335"/>
      <c r="C322" s="336" t="str">
        <f>IF(C298="Magie mineure",'listes magies'!$A312,IF(C298="Runes",'listes magies'!$CO$18,IF(C298="Runes Majeures","",IF(C299="","",IF(HLOOKUP(C299,'listes magies'!$B$2:$CT$35,17,FALSE)=0,"",HLOOKUP(C299,'listes magies'!$B$2:$CT$35,17,FALSE))))))</f>
        <v/>
      </c>
      <c r="D322" s="217"/>
      <c r="E322" s="335"/>
      <c r="F322" s="336" t="str">
        <f>IF(F298="Magie mineure",'listes magies'!$A312,IF(F298="Runes",'listes magies'!$CO$18,IF(F298="Runes Majeures","",IF(F299="","",IF(HLOOKUP(F299,'listes magies'!$B$2:$CT$35,17,FALSE)=0,"",HLOOKUP(F299,'listes magies'!$B$2:$CT$35,17,FALSE))))))</f>
        <v/>
      </c>
      <c r="G322" s="217"/>
    </row>
    <row r="323" spans="1:7" ht="12.75" hidden="1" customHeight="1">
      <c r="A323" s="217"/>
      <c r="B323" s="335"/>
      <c r="C323" s="336" t="str">
        <f>IF(C298="Magie mineure",'listes magies'!$A$19,IF(C298="Runes",'listes magies'!$CO$19,IF(C298="Runes Majeures","",IF(C299="","",IF(HLOOKUP(C299,'listes magies'!$B$2:$CT$35,18,FALSE)=0,"",HLOOKUP(C299,'listes magies'!$B$2:$CT$35,18,FALSE))))))</f>
        <v/>
      </c>
      <c r="D323" s="217"/>
      <c r="E323" s="335"/>
      <c r="F323" s="336" t="str">
        <f>IF(F298="Magie mineure",'listes magies'!$A$19,IF(F298="Runes",'listes magies'!$CO$19,IF(F298="Runes Majeures","",IF(F299="","",IF(HLOOKUP(F299,'listes magies'!$B$2:$CT$35,18,FALSE)=0,"",HLOOKUP(F299,'listes magies'!$B$2:$CT$35,18,FALSE))))))</f>
        <v/>
      </c>
      <c r="G323" s="217"/>
    </row>
    <row r="324" spans="1:7" ht="12.75" hidden="1" customHeight="1">
      <c r="A324" s="217"/>
      <c r="B324" s="335"/>
      <c r="C324" s="336" t="str">
        <f>IF(C298="Magie mineure",'listes magies'!$A$20,IF(C298="Runes",'listes magies'!$CO$20,IF(C298="Runes Majeures","",IF(C299="","",IF(HLOOKUP(C299,'listes magies'!$B$2:$CT$35,19,FALSE)=0,"",HLOOKUP(C299,'listes magies'!$B$2:$CT$35,19,FALSE))))))</f>
        <v/>
      </c>
      <c r="D324" s="217"/>
      <c r="E324" s="335"/>
      <c r="F324" s="336" t="str">
        <f>IF(F298="Magie mineure",'listes magies'!$A$20,IF(F298="Runes",'listes magies'!$CO$20,IF(F298="Runes Majeures","",IF(F299="","",IF(HLOOKUP(F299,'listes magies'!$B$2:$CT$35,19,FALSE)=0,"",HLOOKUP(F299,'listes magies'!$B$2:$CT$35,19,FALSE))))))</f>
        <v/>
      </c>
      <c r="G324" s="217"/>
    </row>
    <row r="325" spans="1:7" ht="12.75" hidden="1" customHeight="1">
      <c r="A325" s="217"/>
      <c r="B325" s="335"/>
      <c r="C325" s="336" t="str">
        <f>IF(C298="Magie mineure",'listes magies'!$A$21,IF(C298="Runes",'listes magies'!$CO$21,IF(C298="Runes Majeures","",IF(C299="","",IF(HLOOKUP(C299,'listes magies'!$B$2:$CT$35,20,FALSE)=0,"",HLOOKUP(C299,'listes magies'!$B$2:$CT$35,20,FALSE))))))</f>
        <v/>
      </c>
      <c r="D325" s="217"/>
      <c r="E325" s="335"/>
      <c r="F325" s="336" t="str">
        <f>IF(F298="Magie mineure",'listes magies'!$A$21,IF(F298="Runes",'listes magies'!$CO$21,IF(F298="Runes Majeures","",IF(F299="","",IF(HLOOKUP(F299,'listes magies'!$B$2:$CT$35,20,FALSE)=0,"",HLOOKUP(F299,'listes magies'!$B$2:$CT$35,20,FALSE))))))</f>
        <v/>
      </c>
      <c r="G325" s="217"/>
    </row>
    <row r="326" spans="1:7" ht="12.75" hidden="1" customHeight="1">
      <c r="A326" s="217"/>
      <c r="B326" s="335"/>
      <c r="C326" s="336" t="str">
        <f>IF(C298="Magie mineure",'listes magies'!$A$22,IF(C298="Runes",'listes magies'!$CO$22,IF(C298="Runes Majeures","",IF(C299="","",IF(HLOOKUP(C299,'listes magies'!$B$2:$CT$35,21,FALSE)=0,"",HLOOKUP(C299,'listes magies'!$B$2:$CT$35,21,FALSE))))))</f>
        <v/>
      </c>
      <c r="D326" s="217"/>
      <c r="E326" s="335"/>
      <c r="F326" s="336" t="str">
        <f>IF(F298="Magie mineure",'listes magies'!$A$22,IF(F298="Runes",'listes magies'!$CO$22,IF(F298="Runes Majeures","",IF(F299="","",IF(HLOOKUP(F299,'listes magies'!$B$2:$CT$35,21,FALSE)=0,"",HLOOKUP(F299,'listes magies'!$B$2:$CT$35,21,FALSE))))))</f>
        <v/>
      </c>
      <c r="G326" s="217"/>
    </row>
    <row r="327" spans="1:7" ht="12.75" hidden="1" customHeight="1">
      <c r="A327" s="217"/>
      <c r="B327" s="335"/>
      <c r="C327" s="336" t="str">
        <f>IF(C298="Magie mineure",'listes magies'!$A$23,IF(C298="Runes",'listes magies'!$CO$22,IF(C298="Runes Majeures","",IF(C299="","",IF(HLOOKUP(C299,'listes magies'!$B$2:$CT$35,22,FALSE)=0,"",HLOOKUP(C299,'listes magies'!$B$2:$CT$35,22,FALSE))))))</f>
        <v/>
      </c>
      <c r="D327" s="217"/>
      <c r="E327" s="335"/>
      <c r="F327" s="336" t="str">
        <f>IF(F298="Magie mineure",'listes magies'!$A$23,IF(F298="Runes",'listes magies'!$CO$22,IF(F298="Runes Majeures","",IF(F299="","",IF(HLOOKUP(F299,'listes magies'!$B$2:$CT$35,22,FALSE)=0,"",HLOOKUP(F299,'listes magies'!$B$2:$CT$35,22,FALSE))))))</f>
        <v/>
      </c>
      <c r="G327" s="217"/>
    </row>
    <row r="328" spans="1:7" ht="12.75" hidden="1" customHeight="1">
      <c r="A328" s="217"/>
      <c r="B328" s="335"/>
      <c r="C328" s="336" t="str">
        <f>IF(C298="Magie mineure",'listes magies'!$A$24,IF(C298="Runes Majeures","",IF(C299="","",IF(HLOOKUP(C299,'listes magies'!$B$2:$CT$35,23,FALSE)=0,"",HLOOKUP(C299,'listes magies'!$B$2:$CT$35,23,FALSE)))))</f>
        <v/>
      </c>
      <c r="D328" s="217"/>
      <c r="E328" s="335"/>
      <c r="F328" s="336" t="str">
        <f>IF(F298="Magie mineure",'listes magies'!$A$24,IF(F298="Runes Majeures","",IF(F299="","",IF(HLOOKUP(F299,'listes magies'!$B$2:$CT$35,23,FALSE)=0,"",HLOOKUP(F299,'listes magies'!$B$2:$CT$35,23,FALSE)))))</f>
        <v/>
      </c>
      <c r="G328" s="217"/>
    </row>
    <row r="329" spans="1:7" ht="12.75" hidden="1" customHeight="1">
      <c r="A329" s="217"/>
      <c r="B329" s="335"/>
      <c r="C329" s="336" t="str">
        <f>IF(C298="Magie mineure",'listes magies'!$A$25,IF(C298="Runes Majeures","",IF(C299="","",IF(HLOOKUP(C299,'listes magies'!$B$2:$CT$35,24,FALSE)=0,"",HLOOKUP(C299,'listes magies'!$B$2:$CT$35,24,FALSE)))))</f>
        <v/>
      </c>
      <c r="D329" s="217"/>
      <c r="E329" s="335"/>
      <c r="F329" s="336" t="str">
        <f>IF(F298="Magie mineure",'listes magies'!$A$25,IF(F298="Runes Majeures","",IF(F299="","",IF(HLOOKUP(F299,'listes magies'!$B$2:$CT$35,24,FALSE)=0,"",HLOOKUP(F299,'listes magies'!$B$2:$CT$35,24,FALSE)))))</f>
        <v/>
      </c>
      <c r="G329" s="217"/>
    </row>
    <row r="330" spans="1:7" ht="12.75" hidden="1" customHeight="1">
      <c r="A330" s="217"/>
      <c r="B330" s="335"/>
      <c r="C330" s="336" t="str">
        <f>IF(C298="Magie mineure",'listes magies'!$A$26,IF(C298="Runes","",IF(C298="Runes Majeures","",IF(C299="","",IF(HLOOKUP(C299,'listes magies'!$B$2:$CT$35,25,FALSE)=0,"",HLOOKUP(C299,'listes magies'!$B$2:$CT$35,25,FALSE))))))</f>
        <v/>
      </c>
      <c r="D330" s="217"/>
      <c r="E330" s="335"/>
      <c r="F330" s="336" t="str">
        <f>IF(F298="Magie mineure",'listes magies'!$A$26,IF(F298="Runes","",IF(F298="Runes Majeures","",IF(F299="","",IF(HLOOKUP(F299,'listes magies'!$B$2:$CT$35,25,FALSE)=0,"",HLOOKUP(F299,'listes magies'!$B$2:$CT$35,25,FALSE))))))</f>
        <v/>
      </c>
      <c r="G330" s="217"/>
    </row>
    <row r="331" spans="1:7" ht="12.75" hidden="1" customHeight="1">
      <c r="A331" s="217"/>
      <c r="B331" s="335"/>
      <c r="C331" s="336" t="str">
        <f>IF(C298="Magie mineure",'listes magies'!$A$27,"")</f>
        <v/>
      </c>
      <c r="D331" s="217"/>
      <c r="E331" s="335"/>
      <c r="F331" s="336" t="str">
        <f>IF(F298="Magie mineure",'listes magies'!$A$27,"")</f>
        <v/>
      </c>
      <c r="G331" s="217"/>
    </row>
    <row r="332" spans="1:7" ht="12.75" hidden="1" customHeight="1">
      <c r="A332" s="217"/>
      <c r="B332" s="335"/>
      <c r="C332" s="336" t="str">
        <f>IF(C298="Magie mineure",'listes magies'!$A$28,"")</f>
        <v/>
      </c>
      <c r="D332" s="217"/>
      <c r="E332" s="335"/>
      <c r="F332" s="336" t="str">
        <f>IF(F298="Magie mineure",'listes magies'!$A$28,"")</f>
        <v/>
      </c>
      <c r="G332" s="217"/>
    </row>
    <row r="333" spans="1:7" ht="12.75" hidden="1" customHeight="1">
      <c r="A333" s="217"/>
      <c r="B333" s="335"/>
      <c r="C333" s="336" t="str">
        <f>IF(C298="Magie mineure",'listes magies'!$A$29,"")</f>
        <v/>
      </c>
      <c r="D333" s="217"/>
      <c r="E333" s="335"/>
      <c r="F333" s="336" t="str">
        <f>IF(F298="Magie mineure",'listes magies'!$A$29,"")</f>
        <v/>
      </c>
      <c r="G333" s="217"/>
    </row>
    <row r="334" spans="1:7" ht="12.75" hidden="1" customHeight="1">
      <c r="A334" s="217"/>
      <c r="B334" s="335"/>
      <c r="C334" s="336" t="str">
        <f>IF(C298="Magie mineure",'listes magies'!$A$30,"")</f>
        <v/>
      </c>
      <c r="D334" s="217"/>
      <c r="E334" s="335"/>
      <c r="F334" s="336" t="str">
        <f>IF(F298="Magie mineure",'listes magies'!$A$30,"")</f>
        <v/>
      </c>
      <c r="G334" s="217"/>
    </row>
    <row r="335" spans="1:7" ht="12.75" hidden="1" customHeight="1">
      <c r="A335" s="217"/>
      <c r="B335" s="335"/>
      <c r="C335" s="336" t="str">
        <f>IF(C298="Magie mineure",'listes magies'!$A$31,"")</f>
        <v/>
      </c>
      <c r="D335" s="217"/>
      <c r="E335" s="335"/>
      <c r="F335" s="336" t="str">
        <f>IF(F298="Magie mineure",'listes magies'!$A$31,"")</f>
        <v/>
      </c>
      <c r="G335" s="217"/>
    </row>
    <row r="336" spans="1:7" ht="12.75" hidden="1" customHeight="1">
      <c r="A336" s="217"/>
      <c r="B336" s="335"/>
      <c r="C336" s="336" t="str">
        <f>IF(C298="Magie mineure",'listes magies'!$A$32,"")</f>
        <v/>
      </c>
      <c r="D336" s="217"/>
      <c r="E336" s="335"/>
      <c r="F336" s="336" t="str">
        <f>IF(F298="Magie mineure",'listes magies'!$A$32,"")</f>
        <v/>
      </c>
      <c r="G336" s="217"/>
    </row>
    <row r="337" spans="1:7" ht="12.75" hidden="1" customHeight="1">
      <c r="A337" s="217"/>
      <c r="B337" s="335"/>
      <c r="C337" s="336" t="str">
        <f>IF(C298="Magie mineure",'listes magies'!$A$33,"")</f>
        <v/>
      </c>
      <c r="D337" s="217"/>
      <c r="E337" s="335"/>
      <c r="F337" s="336" t="str">
        <f>IF(F298="Magie mineure",'listes magies'!$A$33,"")</f>
        <v/>
      </c>
      <c r="G337" s="217"/>
    </row>
    <row r="338" spans="1:7" ht="12.75" hidden="1" customHeight="1">
      <c r="A338" s="217"/>
      <c r="B338" s="335"/>
      <c r="C338" s="336" t="str">
        <f>IF(C298="Magie mineure",'listes magies'!$A$34,"")</f>
        <v/>
      </c>
      <c r="D338" s="217"/>
      <c r="E338" s="335"/>
      <c r="F338" s="336" t="str">
        <f>IF(F298="Magie mineure",'listes magies'!$A$34,"")</f>
        <v/>
      </c>
      <c r="G338" s="217"/>
    </row>
    <row r="339" spans="1:7" ht="6" customHeight="1" thickBot="1">
      <c r="A339" s="217"/>
      <c r="B339" s="217"/>
      <c r="C339" s="217"/>
      <c r="D339" s="217"/>
      <c r="E339" s="217"/>
      <c r="F339" s="217"/>
      <c r="G339" s="217"/>
    </row>
    <row r="340" spans="1:7">
      <c r="A340" s="217"/>
      <c r="B340" s="331" t="s">
        <v>679</v>
      </c>
      <c r="C340" s="332"/>
      <c r="D340" s="217"/>
      <c r="E340" s="331" t="s">
        <v>679</v>
      </c>
      <c r="F340" s="332"/>
      <c r="G340" s="217"/>
    </row>
    <row r="341" spans="1:7">
      <c r="A341" s="217"/>
      <c r="B341" s="333" t="s">
        <v>680</v>
      </c>
      <c r="C341" s="330"/>
      <c r="D341" s="217"/>
      <c r="E341" s="333" t="s">
        <v>680</v>
      </c>
      <c r="F341" s="330"/>
      <c r="G341" s="217"/>
    </row>
    <row r="342" spans="1:7">
      <c r="A342" s="217"/>
      <c r="B342" s="333" t="s">
        <v>681</v>
      </c>
      <c r="C342" s="330"/>
      <c r="D342" s="217"/>
      <c r="E342" s="333" t="s">
        <v>681</v>
      </c>
      <c r="F342" s="330"/>
      <c r="G342" s="217"/>
    </row>
    <row r="343" spans="1:7">
      <c r="A343" s="217"/>
      <c r="B343" s="333" t="s">
        <v>682</v>
      </c>
      <c r="C343" s="330" t="str">
        <f>IF(C342="","",VLOOKUP(C342,Magie!$B:$H,2,FALSE))</f>
        <v/>
      </c>
      <c r="D343" s="217"/>
      <c r="E343" s="333" t="s">
        <v>682</v>
      </c>
      <c r="F343" s="330" t="str">
        <f>IF(F342="","",VLOOKUP(F342,Magie!$B:$H,2,FALSE))</f>
        <v/>
      </c>
      <c r="G343" s="217"/>
    </row>
    <row r="344" spans="1:7">
      <c r="A344" s="217"/>
      <c r="B344" s="333" t="s">
        <v>683</v>
      </c>
      <c r="C344" s="330" t="str">
        <f>IF(C342="","",VLOOKUP(C342,Magie!$B:$H,3,FALSE))</f>
        <v/>
      </c>
      <c r="D344" s="217"/>
      <c r="E344" s="333" t="s">
        <v>683</v>
      </c>
      <c r="F344" s="330" t="str">
        <f>IF(F342="","",VLOOKUP(F342,Magie!$B:$H,3,FALSE))</f>
        <v/>
      </c>
      <c r="G344" s="217"/>
    </row>
    <row r="345" spans="1:7">
      <c r="A345" s="217"/>
      <c r="B345" s="333" t="str">
        <f>IF(OR(C340="Runes",C340="Runes Majeures"),"Activation:","Durée:")</f>
        <v>Durée:</v>
      </c>
      <c r="C345" s="330" t="str">
        <f>IF(C342="","",VLOOKUP(C342,Magie!$B:$H,4,FALSE))</f>
        <v/>
      </c>
      <c r="D345" s="217"/>
      <c r="E345" s="333" t="str">
        <f>IF(OR(F340="Runes",F340="Runes Majeures"),"Activation:","Durée:")</f>
        <v>Durée:</v>
      </c>
      <c r="F345" s="330" t="str">
        <f>IF(F342="","",VLOOKUP(F342,Magie!$B:$H,4,FALSE))</f>
        <v/>
      </c>
      <c r="G345" s="217"/>
    </row>
    <row r="346" spans="1:7">
      <c r="A346" s="217"/>
      <c r="B346" s="333" t="s">
        <v>684</v>
      </c>
      <c r="C346" s="330" t="str">
        <f>IF(C342="","",VLOOKUP(C342,Magie!$B:$H,5,FALSE))</f>
        <v/>
      </c>
      <c r="D346" s="217"/>
      <c r="E346" s="333" t="s">
        <v>684</v>
      </c>
      <c r="F346" s="330" t="str">
        <f>IF(F342="","",VLOOKUP(F342,Magie!$B:$H,5,FALSE))</f>
        <v/>
      </c>
      <c r="G346" s="217"/>
    </row>
    <row r="347" spans="1:7">
      <c r="A347" s="217"/>
      <c r="B347" s="333" t="str">
        <f>IF(C341="Domaine de Loec","Note:","Ingrédient:")</f>
        <v>Ingrédient:</v>
      </c>
      <c r="C347" s="441" t="str">
        <f>IF(C342="","",VLOOKUP(C342,Magie!$B:$H,6,FALSE))</f>
        <v/>
      </c>
      <c r="D347" s="217"/>
      <c r="E347" s="333" t="str">
        <f>IF(F341="Domaine de Loec","Note:","Ingrédient:")</f>
        <v>Ingrédient:</v>
      </c>
      <c r="F347" s="441" t="str">
        <f>IF(F342="","",VLOOKUP(F342,Magie!$B:$H,6,FALSE))</f>
        <v/>
      </c>
      <c r="G347" s="217"/>
    </row>
    <row r="348" spans="1:7" ht="46.95" customHeight="1" thickBot="1">
      <c r="A348" s="217"/>
      <c r="B348" s="334" t="s">
        <v>685</v>
      </c>
      <c r="C348" s="845" t="str">
        <f>IF(C342="","",VLOOKUP(C342,Magie!$B:$H,7,FALSE))</f>
        <v/>
      </c>
      <c r="D348" s="217"/>
      <c r="E348" s="334" t="s">
        <v>685</v>
      </c>
      <c r="F348" s="845" t="str">
        <f>IF(F342="","",VLOOKUP(F342,Magie!$B:$H,7,FALSE))</f>
        <v/>
      </c>
      <c r="G348" s="217"/>
    </row>
    <row r="349" spans="1:7" ht="12.75" hidden="1" customHeight="1">
      <c r="A349" s="217"/>
      <c r="B349" s="335"/>
      <c r="C349" s="336" t="str">
        <f>IF(C340="Magie mineure",'listes magies'!$A$3,IF(C340="Runes",'listes magies'!$CO$3,IF(C340="Runes Majeures",'listes magies'!$CQ$3,IF(C341="","",IF(HLOOKUP(C341,'listes magies'!$B$2:$CT$35,2,FALSE)=0,"",HLOOKUP(C341,'listes magies'!$B$2:$CT$35,2,FALSE))))))</f>
        <v/>
      </c>
      <c r="D349" s="217"/>
      <c r="E349" s="335"/>
      <c r="F349" s="336" t="str">
        <f>IF(F340="Magie mineure",'listes magies'!$A$3,IF(F340="Runes",'listes magies'!$CO$3,IF(F340="Runes Majeures",'listes magies'!$CQ$3,IF(F341="","",IF(HLOOKUP(F341,'listes magies'!$B$2:$CT$35,2,FALSE)=0,"",HLOOKUP(F341,'listes magies'!$B$2:$CT$35,2,FALSE))))))</f>
        <v/>
      </c>
      <c r="G349" s="217"/>
    </row>
    <row r="350" spans="1:7" ht="12.75" hidden="1" customHeight="1">
      <c r="A350" s="217"/>
      <c r="B350" s="335"/>
      <c r="C350" s="336" t="str">
        <f>IF(C340="Magie mineure",'listes magies'!$A$4,IF(C340="Runes",'listes magies'!$CO$4,IF(C340="Runes Majeures",'listes magies'!$CQ$3,IF(C341="","",IF(HLOOKUP(C341,'listes magies'!$B$2:$CT$35,2,FALSE)=0,"",HLOOKUP(C341,'listes magies'!$B$2:$CT$35,3,FALSE))))))</f>
        <v/>
      </c>
      <c r="D350" s="217"/>
      <c r="E350" s="335"/>
      <c r="F350" s="336" t="str">
        <f>IF(F340="Magie mineure",'listes magies'!$A$4,IF(F340="Runes",'listes magies'!$CO$4,IF(F340="Runes Majeures",'listes magies'!$CQ$3,IF(F341="","",IF(HLOOKUP(F341,'listes magies'!$B$2:$CT$35,2,FALSE)=0,"",HLOOKUP(F341,'listes magies'!$B$2:$CT$35,3,FALSE))))))</f>
        <v/>
      </c>
      <c r="G350" s="217"/>
    </row>
    <row r="351" spans="1:7" ht="12.75" hidden="1" customHeight="1">
      <c r="A351" s="217"/>
      <c r="B351" s="335"/>
      <c r="C351" s="336" t="str">
        <f>IF(C340="Magie mineure",'listes magies'!$A$5,IF(C340="Runes",'listes magies'!$CO$5,IF(C340="Runes Majeures",'listes magies'!$CQ$5,IF(C341="","",IF(HLOOKUP(C341,'listes magies'!$B$2:$CT$35,4,FALSE)=0,"",HLOOKUP(C341,'listes magies'!$B$2:$CT$35,4,FALSE))))))</f>
        <v/>
      </c>
      <c r="D351" s="217"/>
      <c r="E351" s="335"/>
      <c r="F351" s="336" t="str">
        <f>IF(F340="Magie mineure",'listes magies'!$A$5,IF(F340="Runes",'listes magies'!$CO$5,IF(F340="Runes Majeures",'listes magies'!$CQ$5,IF(F341="","",IF(HLOOKUP(F341,'listes magies'!$B$2:$CT$35,4,FALSE)=0,"",HLOOKUP(F341,'listes magies'!$B$2:$CT$35,4,FALSE))))))</f>
        <v/>
      </c>
      <c r="G351" s="217"/>
    </row>
    <row r="352" spans="1:7" ht="12.75" hidden="1" customHeight="1">
      <c r="A352" s="217"/>
      <c r="B352" s="335"/>
      <c r="C352" s="336" t="str">
        <f>IF(C340="Magie mineure",'listes magies'!$A$6,IF(C340="Runes",'listes magies'!$CO$6,IF(C340="Runes Majeures",'listes magies'!$CQ$6,IF(C341="","",IF(HLOOKUP(C341,'listes magies'!$B$2:$CT$35,5,FALSE)=0,"",HLOOKUP(C341,'listes magies'!$B$2:$CT$35,5,FALSE))))))</f>
        <v/>
      </c>
      <c r="D352" s="217"/>
      <c r="E352" s="335"/>
      <c r="F352" s="336" t="str">
        <f>IF(F340="Magie mineure",'listes magies'!$A$6,IF(F340="Runes",'listes magies'!$CO$6,IF(F340="Runes Majeures",'listes magies'!$CQ$6,IF(F341="","",IF(HLOOKUP(F341,'listes magies'!$B$2:$CT$35,5,FALSE)=0,"",HLOOKUP(F341,'listes magies'!$B$2:$CT$35,5,FALSE))))))</f>
        <v/>
      </c>
      <c r="G352" s="217"/>
    </row>
    <row r="353" spans="1:7" ht="12.75" hidden="1" customHeight="1">
      <c r="A353" s="217"/>
      <c r="B353" s="335"/>
      <c r="C353" s="336" t="str">
        <f>IF(C340="Magie mineure",'listes magies'!$A$7,IF(C340="Runes",'listes magies'!$CO$7,IF(C340="Runes Majeures",'listes magies'!$CQ$7,IF(C341="","",IF(HLOOKUP(C341,'listes magies'!$B$2:$CT$35,6,FALSE)=0,"",HLOOKUP(C341,'listes magies'!$B$2:$CT$35,6,FALSE))))))</f>
        <v/>
      </c>
      <c r="D353" s="217"/>
      <c r="E353" s="335"/>
      <c r="F353" s="336" t="str">
        <f>IF(F340="Magie mineure",'listes magies'!$A$7,IF(F340="Runes",'listes magies'!$CO$7,IF(F340="Runes Majeures",'listes magies'!$CQ$7,IF(F341="","",IF(HLOOKUP(F341,'listes magies'!$B$2:$CT$35,6,FALSE)=0,"",HLOOKUP(F341,'listes magies'!$B$2:$CT$35,6,FALSE))))))</f>
        <v/>
      </c>
      <c r="G353" s="217"/>
    </row>
    <row r="354" spans="1:7" ht="12.75" hidden="1" customHeight="1">
      <c r="A354" s="217"/>
      <c r="B354" s="335"/>
      <c r="C354" s="336" t="str">
        <f>IF(C340="Magie mineure",'listes magies'!$A$8,IF(C340="Runes",'listes magies'!$CO$8,IF(C340="Runes Majeures",'listes magies'!$CQ$8,IF(C341="","",IF(HLOOKUP(C341,'listes magies'!$B$2:$CT$35,7,FALSE)=0,"",HLOOKUP(C341,'listes magies'!$B$2:$CT$35,7,FALSE))))))</f>
        <v/>
      </c>
      <c r="D354" s="217"/>
      <c r="E354" s="335"/>
      <c r="F354" s="336" t="str">
        <f>IF(F340="Magie mineure",'listes magies'!$A$8,IF(F340="Runes",'listes magies'!$CO$8,IF(F340="Runes Majeures",'listes magies'!$CQ$8,IF(F341="","",IF(HLOOKUP(F341,'listes magies'!$B$2:$CT$35,7,FALSE)=0,"",HLOOKUP(F341,'listes magies'!$B$2:$CT$35,7,FALSE))))))</f>
        <v/>
      </c>
      <c r="G354" s="217"/>
    </row>
    <row r="355" spans="1:7" ht="12.75" hidden="1" customHeight="1">
      <c r="A355" s="217"/>
      <c r="B355" s="335"/>
      <c r="C355" s="336" t="str">
        <f>IF(C340="Magie mineure",'listes magies'!$A$9,IF(C340="Runes",'listes magies'!$CO$9,IF(C340="Runes Majeures",'listes magies'!$CQ$9,IF(C341="","",IF(HLOOKUP(C341,'listes magies'!$B$2:$CT$35,8,FALSE)=0,"",HLOOKUP(C341,'listes magies'!$B$2:$CT$35,8,FALSE))))))</f>
        <v/>
      </c>
      <c r="D355" s="217"/>
      <c r="E355" s="335"/>
      <c r="F355" s="336" t="str">
        <f>IF(F340="Magie mineure",'listes magies'!$A$9,IF(F340="Runes",'listes magies'!$CO$9,IF(F340="Runes Majeures",'listes magies'!$CQ$9,IF(F341="","",IF(HLOOKUP(F341,'listes magies'!$B$2:$CT$35,8,FALSE)=0,"",HLOOKUP(F341,'listes magies'!$B$2:$CT$35,8,FALSE))))))</f>
        <v/>
      </c>
      <c r="G355" s="217"/>
    </row>
    <row r="356" spans="1:7" ht="12.75" hidden="1" customHeight="1">
      <c r="A356" s="217"/>
      <c r="B356" s="335"/>
      <c r="C356" s="336" t="str">
        <f>IF(C340="Magie mineure",'listes magies'!$A$10,IF(C340="Runes",'listes magies'!$CO$10,IF(C340="Runes Majeures",'listes magies'!$CQ$10,IF(C341="","",IF(HLOOKUP(C341,'listes magies'!$B$2:$CT$35,9,FALSE)=0,"",HLOOKUP(C341,'listes magies'!$B$2:$CT$35,9,FALSE))))))</f>
        <v/>
      </c>
      <c r="D356" s="217"/>
      <c r="E356" s="335"/>
      <c r="F356" s="336" t="str">
        <f>IF(F340="Magie mineure",'listes magies'!$A$10,IF(F340="Runes",'listes magies'!$CO$10,IF(F340="Runes Majeures",'listes magies'!$CQ$10,IF(F341="","",IF(HLOOKUP(F341,'listes magies'!$B$2:$CT$35,9,FALSE)=0,"",HLOOKUP(F341,'listes magies'!$B$2:$CT$35,9,FALSE))))))</f>
        <v/>
      </c>
      <c r="G356" s="217"/>
    </row>
    <row r="357" spans="1:7" ht="12.75" hidden="1" customHeight="1">
      <c r="A357" s="217"/>
      <c r="B357" s="335"/>
      <c r="C357" s="336" t="str">
        <f>IF(C340="Magie mineure",'listes magies'!$A$11,IF(C340="Runes",'listes magies'!$CO$11,IF(C340="Runes Majeures",'listes magies'!$CQ$11,IF(C341="","",IF(HLOOKUP(C341,'listes magies'!$B$2:$CT$35,10,FALSE)=0,"",HLOOKUP(C341,'listes magies'!$B$2:$CT$35,10,FALSE))))))</f>
        <v/>
      </c>
      <c r="D357" s="217"/>
      <c r="E357" s="335"/>
      <c r="F357" s="336" t="str">
        <f>IF(F340="Magie mineure",'listes magies'!$A$11,IF(F340="Runes",'listes magies'!$CO$11,IF(F340="Runes Majeures",'listes magies'!$CQ$11,IF(F341="","",IF(HLOOKUP(F341,'listes magies'!$B$2:$CT$35,10,FALSE)=0,"",HLOOKUP(F341,'listes magies'!$B$2:$CT$35,10,FALSE))))))</f>
        <v/>
      </c>
      <c r="G357" s="217"/>
    </row>
    <row r="358" spans="1:7" ht="12.75" hidden="1" customHeight="1">
      <c r="A358" s="217"/>
      <c r="B358" s="335"/>
      <c r="C358" s="336" t="str">
        <f>IF(C340="Magie mineure",'listes magies'!$A$12,IF(C340="Runes",'listes magies'!$CO$12,IF(C340="Runes Majeures",'listes magies'!$CQ$12,IF(C341="","",IF(HLOOKUP(C341,'listes magies'!$B$2:$CT$35,11,FALSE)=0,"",HLOOKUP(C341,'listes magies'!$B$2:$CT$35,11,FALSE))))))</f>
        <v/>
      </c>
      <c r="D358" s="217"/>
      <c r="E358" s="335"/>
      <c r="F358" s="336" t="str">
        <f>IF(F340="Magie mineure",'listes magies'!$A$12,IF(F340="Runes",'listes magies'!$CO$12,IF(F340="Runes Majeures",'listes magies'!$CQ$12,IF(F341="","",IF(HLOOKUP(F341,'listes magies'!$B$2:$CT$35,11,FALSE)=0,"",HLOOKUP(F341,'listes magies'!$B$2:$CT$35,11,FALSE))))))</f>
        <v/>
      </c>
      <c r="G358" s="217"/>
    </row>
    <row r="359" spans="1:7" ht="12.75" hidden="1" customHeight="1">
      <c r="A359" s="217"/>
      <c r="B359" s="335"/>
      <c r="C359" s="336" t="str">
        <f>IF(C340="Magie mineure",'listes magies'!$A$13,IF(C340="Runes",'listes magies'!$CO$13,IF(C340="Runes Majeures",'listes magies'!$CQ$13,IF(C341="","",IF(HLOOKUP(C341,'listes magies'!$B$2:$CT$35,12,FALSE)=0,"",HLOOKUP(C341,'listes magies'!$B$2:$CT$35,12,FALSE))))))</f>
        <v/>
      </c>
      <c r="D359" s="217"/>
      <c r="E359" s="335"/>
      <c r="F359" s="336" t="str">
        <f>IF(F340="Magie mineure",'listes magies'!$A$13,IF(F340="Runes",'listes magies'!$CO$13,IF(F340="Runes Majeures",'listes magies'!$CQ$13,IF(F341="","",IF(HLOOKUP(F341,'listes magies'!$B$2:$CT$35,12,FALSE)=0,"",HLOOKUP(F341,'listes magies'!$B$2:$CT$35,12,FALSE))))))</f>
        <v/>
      </c>
      <c r="G359" s="217"/>
    </row>
    <row r="360" spans="1:7" ht="12.75" hidden="1" customHeight="1">
      <c r="A360" s="217"/>
      <c r="B360" s="335"/>
      <c r="C360" s="336" t="str">
        <f>IF(C340="Magie mineure",'listes magies'!$A$14,IF(C340="Runes",'listes magies'!$CO$14,IF(C340="Runes Majeures",'listes magies'!$CQ$14,IF(C341="","",IF(HLOOKUP(C341,'listes magies'!$B$2:$CT$35,13,FALSE)=0,"",HLOOKUP(C341,'listes magies'!$B$2:$CT$35,13,FALSE))))))</f>
        <v/>
      </c>
      <c r="D360" s="217"/>
      <c r="E360" s="335"/>
      <c r="F360" s="336" t="str">
        <f>IF(F340="Magie mineure",'listes magies'!$A$14,IF(F340="Runes",'listes magies'!$CO$14,IF(F340="Runes Majeures",'listes magies'!$CQ$14,IF(F341="","",IF(HLOOKUP(F341,'listes magies'!$B$2:$CT$35,13,FALSE)=0,"",HLOOKUP(F341,'listes magies'!$B$2:$CT$35,13,FALSE))))))</f>
        <v/>
      </c>
      <c r="G360" s="217"/>
    </row>
    <row r="361" spans="1:7" ht="12.75" hidden="1" customHeight="1">
      <c r="A361" s="217"/>
      <c r="B361" s="335"/>
      <c r="C361" s="336" t="str">
        <f>IF(C340="Magie mineure",'listes magies'!$A$15,IF(C340="Runes",'listes magies'!$CO$15,IF(C340="Runes Majeures",'listes magies'!$CQ$15,IF(C341="","",IF(HLOOKUP(C341,'listes magies'!$B$2:$CT$35,14,FALSE)=0,"",HLOOKUP(C341,'listes magies'!$B$2:$CT$35,14,FALSE))))))</f>
        <v/>
      </c>
      <c r="D361" s="217"/>
      <c r="E361" s="335"/>
      <c r="F361" s="336" t="str">
        <f>IF(F340="Magie mineure",'listes magies'!$A$15,IF(F340="Runes",'listes magies'!$CO$15,IF(F340="Runes Majeures",'listes magies'!$CQ$15,IF(F341="","",IF(HLOOKUP(F341,'listes magies'!$B$2:$CT$35,14,FALSE)=0,"",HLOOKUP(F341,'listes magies'!$B$2:$CT$35,14,FALSE))))))</f>
        <v/>
      </c>
      <c r="G361" s="217"/>
    </row>
    <row r="362" spans="1:7" ht="12.75" hidden="1" customHeight="1">
      <c r="A362" s="217"/>
      <c r="B362" s="335"/>
      <c r="C362" s="336" t="str">
        <f>IF(C340="Magie mineure",'listes magies'!$A$16,IF(C340="Runes",'listes magies'!$CO$16,IF(C340="Runes Majeures",'listes magies'!$CQ$16,IF(C341="","",IF(HLOOKUP(C341,'listes magies'!$B$2:$CT$35,15,FALSE)=0,"",HLOOKUP(C341,'listes magies'!$B$2:$CT$35,15,FALSE))))))</f>
        <v/>
      </c>
      <c r="D362" s="217"/>
      <c r="E362" s="335"/>
      <c r="F362" s="336" t="str">
        <f>IF(F340="Magie mineure",'listes magies'!$A$16,IF(F340="Runes",'listes magies'!$CO$16,IF(F340="Runes Majeures",'listes magies'!$CQ$16,IF(F341="","",IF(HLOOKUP(F341,'listes magies'!$B$2:$CT$35,15,FALSE)=0,"",HLOOKUP(F341,'listes magies'!$B$2:$CT$35,15,FALSE))))))</f>
        <v/>
      </c>
      <c r="G362" s="217"/>
    </row>
    <row r="363" spans="1:7" ht="12.75" hidden="1" customHeight="1">
      <c r="A363" s="217"/>
      <c r="B363" s="335"/>
      <c r="C363" s="336" t="str">
        <f>IF(C340="Magie mineure",'listes magies'!$A$17,IF(C340="Runes",'listes magies'!$CO$17,IF(C340="Runes Majeures","",IF(C341="","",IF(HLOOKUP(C341,'listes magies'!$B$2:$CT$35,16,FALSE)=0,"",HLOOKUP(C341,'listes magies'!$B$2:$CT$35,16,FALSE))))))</f>
        <v/>
      </c>
      <c r="D363" s="217"/>
      <c r="E363" s="335"/>
      <c r="F363" s="336" t="str">
        <f>IF(F340="Magie mineure",'listes magies'!$A$17,IF(F340="Runes",'listes magies'!$CO$17,IF(F340="Runes Majeures","",IF(F341="","",IF(HLOOKUP(F341,'listes magies'!$B$2:$CT$35,16,FALSE)=0,"",HLOOKUP(F341,'listes magies'!$B$2:$CT$35,16,FALSE))))))</f>
        <v/>
      </c>
      <c r="G363" s="217"/>
    </row>
    <row r="364" spans="1:7" ht="12.75" hidden="1" customHeight="1">
      <c r="A364" s="217"/>
      <c r="B364" s="335"/>
      <c r="C364" s="336" t="str">
        <f>IF(C340="Magie mineure",'listes magies'!$A354,IF(C340="Runes",'listes magies'!$CO$18,IF(C340="Runes Majeures","",IF(C341="","",IF(HLOOKUP(C341,'listes magies'!$B$2:$CT$35,17,FALSE)=0,"",HLOOKUP(C341,'listes magies'!$B$2:$CT$35,17,FALSE))))))</f>
        <v/>
      </c>
      <c r="D364" s="217"/>
      <c r="E364" s="335"/>
      <c r="F364" s="336" t="str">
        <f>IF(F340="Magie mineure",'listes magies'!$A354,IF(F340="Runes",'listes magies'!$CO$18,IF(F340="Runes Majeures","",IF(F341="","",IF(HLOOKUP(F341,'listes magies'!$B$2:$CT$35,17,FALSE)=0,"",HLOOKUP(F341,'listes magies'!$B$2:$CT$35,17,FALSE))))))</f>
        <v/>
      </c>
      <c r="G364" s="217"/>
    </row>
    <row r="365" spans="1:7" ht="12.75" hidden="1" customHeight="1">
      <c r="A365" s="217"/>
      <c r="B365" s="335"/>
      <c r="C365" s="336" t="str">
        <f>IF(C340="Magie mineure",'listes magies'!$A$19,IF(C340="Runes",'listes magies'!$CO$19,IF(C340="Runes Majeures","",IF(C341="","",IF(HLOOKUP(C341,'listes magies'!$B$2:$CT$35,18,FALSE)=0,"",HLOOKUP(C341,'listes magies'!$B$2:$CT$35,18,FALSE))))))</f>
        <v/>
      </c>
      <c r="D365" s="217"/>
      <c r="E365" s="335"/>
      <c r="F365" s="336" t="str">
        <f>IF(F340="Magie mineure",'listes magies'!$A$19,IF(F340="Runes",'listes magies'!$CO$19,IF(F340="Runes Majeures","",IF(F341="","",IF(HLOOKUP(F341,'listes magies'!$B$2:$CT$35,18,FALSE)=0,"",HLOOKUP(F341,'listes magies'!$B$2:$CT$35,18,FALSE))))))</f>
        <v/>
      </c>
      <c r="G365" s="217"/>
    </row>
    <row r="366" spans="1:7" ht="12.75" hidden="1" customHeight="1">
      <c r="A366" s="217"/>
      <c r="B366" s="335"/>
      <c r="C366" s="336" t="str">
        <f>IF(C340="Magie mineure",'listes magies'!$A$20,IF(C340="Runes",'listes magies'!$CO$20,IF(C340="Runes Majeures","",IF(C341="","",IF(HLOOKUP(C341,'listes magies'!$B$2:$CT$35,19,FALSE)=0,"",HLOOKUP(C341,'listes magies'!$B$2:$CT$35,19,FALSE))))))</f>
        <v/>
      </c>
      <c r="D366" s="217"/>
      <c r="E366" s="335"/>
      <c r="F366" s="336" t="str">
        <f>IF(F340="Magie mineure",'listes magies'!$A$20,IF(F340="Runes",'listes magies'!$CO$20,IF(F340="Runes Majeures","",IF(F341="","",IF(HLOOKUP(F341,'listes magies'!$B$2:$CT$35,19,FALSE)=0,"",HLOOKUP(F341,'listes magies'!$B$2:$CT$35,19,FALSE))))))</f>
        <v/>
      </c>
      <c r="G366" s="217"/>
    </row>
    <row r="367" spans="1:7" ht="12.75" hidden="1" customHeight="1">
      <c r="A367" s="217"/>
      <c r="B367" s="335"/>
      <c r="C367" s="336" t="str">
        <f>IF(C340="Magie mineure",'listes magies'!$A$21,IF(C340="Runes",'listes magies'!$CO$21,IF(C340="Runes Majeures","",IF(C341="","",IF(HLOOKUP(C341,'listes magies'!$B$2:$CT$35,20,FALSE)=0,"",HLOOKUP(C341,'listes magies'!$B$2:$CT$35,20,FALSE))))))</f>
        <v/>
      </c>
      <c r="D367" s="217"/>
      <c r="E367" s="335"/>
      <c r="F367" s="336" t="str">
        <f>IF(F340="Magie mineure",'listes magies'!$A$21,IF(F340="Runes",'listes magies'!$CO$21,IF(F340="Runes Majeures","",IF(F341="","",IF(HLOOKUP(F341,'listes magies'!$B$2:$CT$35,20,FALSE)=0,"",HLOOKUP(F341,'listes magies'!$B$2:$CT$35,20,FALSE))))))</f>
        <v/>
      </c>
      <c r="G367" s="217"/>
    </row>
    <row r="368" spans="1:7" ht="12.75" hidden="1" customHeight="1">
      <c r="A368" s="217"/>
      <c r="B368" s="335"/>
      <c r="C368" s="336" t="str">
        <f>IF(C340="Magie mineure",'listes magies'!$A$22,IF(C340="Runes",'listes magies'!$CO$22,IF(C340="Runes Majeures","",IF(C341="","",IF(HLOOKUP(C341,'listes magies'!$B$2:$CT$35,21,FALSE)=0,"",HLOOKUP(C341,'listes magies'!$B$2:$CT$35,21,FALSE))))))</f>
        <v/>
      </c>
      <c r="D368" s="217"/>
      <c r="E368" s="335"/>
      <c r="F368" s="336" t="str">
        <f>IF(F340="Magie mineure",'listes magies'!$A$22,IF(F340="Runes",'listes magies'!$CO$22,IF(F340="Runes Majeures","",IF(F341="","",IF(HLOOKUP(F341,'listes magies'!$B$2:$CT$35,21,FALSE)=0,"",HLOOKUP(F341,'listes magies'!$B$2:$CT$35,21,FALSE))))))</f>
        <v/>
      </c>
      <c r="G368" s="217"/>
    </row>
    <row r="369" spans="1:7" ht="12.75" hidden="1" customHeight="1">
      <c r="A369" s="217"/>
      <c r="B369" s="335"/>
      <c r="C369" s="336" t="str">
        <f>IF(C340="Magie mineure",'listes magies'!$A$23,IF(C340="Runes",'listes magies'!$CO$22,IF(C340="Runes Majeures","",IF(C341="","",IF(HLOOKUP(C341,'listes magies'!$B$2:$CT$35,22,FALSE)=0,"",HLOOKUP(C341,'listes magies'!$B$2:$CT$35,22,FALSE))))))</f>
        <v/>
      </c>
      <c r="D369" s="217"/>
      <c r="E369" s="335"/>
      <c r="F369" s="336" t="str">
        <f>IF(F340="Magie mineure",'listes magies'!$A$23,IF(F340="Runes",'listes magies'!$CO$22,IF(F340="Runes Majeures","",IF(F341="","",IF(HLOOKUP(F341,'listes magies'!$B$2:$CT$35,22,FALSE)=0,"",HLOOKUP(F341,'listes magies'!$B$2:$CT$35,22,FALSE))))))</f>
        <v/>
      </c>
      <c r="G369" s="217"/>
    </row>
    <row r="370" spans="1:7" ht="12.75" hidden="1" customHeight="1">
      <c r="A370" s="217"/>
      <c r="B370" s="335"/>
      <c r="C370" s="336" t="str">
        <f>IF(C340="Magie mineure",'listes magies'!$A$24,IF(C340="Runes Majeures","",IF(C341="","",IF(HLOOKUP(C341,'listes magies'!$B$2:$CT$35,23,FALSE)=0,"",HLOOKUP(C341,'listes magies'!$B$2:$CT$35,23,FALSE)))))</f>
        <v/>
      </c>
      <c r="D370" s="217"/>
      <c r="E370" s="335"/>
      <c r="F370" s="336" t="str">
        <f>IF(F340="Magie mineure",'listes magies'!$A$24,IF(F340="Runes Majeures","",IF(F341="","",IF(HLOOKUP(F341,'listes magies'!$B$2:$CT$35,23,FALSE)=0,"",HLOOKUP(F341,'listes magies'!$B$2:$CT$35,23,FALSE)))))</f>
        <v/>
      </c>
      <c r="G370" s="217"/>
    </row>
    <row r="371" spans="1:7" ht="12.75" hidden="1" customHeight="1">
      <c r="A371" s="217"/>
      <c r="B371" s="335"/>
      <c r="C371" s="336" t="str">
        <f>IF(C340="Magie mineure",'listes magies'!$A$25,IF(C340="Runes Majeures","",IF(C341="","",IF(HLOOKUP(C341,'listes magies'!$B$2:$CT$35,24,FALSE)=0,"",HLOOKUP(C341,'listes magies'!$B$2:$CT$35,24,FALSE)))))</f>
        <v/>
      </c>
      <c r="D371" s="217"/>
      <c r="E371" s="335"/>
      <c r="F371" s="336" t="str">
        <f>IF(F340="Magie mineure",'listes magies'!$A$25,IF(F340="Runes Majeures","",IF(F341="","",IF(HLOOKUP(F341,'listes magies'!$B$2:$CT$35,24,FALSE)=0,"",HLOOKUP(F341,'listes magies'!$B$2:$CT$35,24,FALSE)))))</f>
        <v/>
      </c>
      <c r="G371" s="217"/>
    </row>
    <row r="372" spans="1:7" ht="12.75" hidden="1" customHeight="1">
      <c r="A372" s="217"/>
      <c r="B372" s="335"/>
      <c r="C372" s="336" t="str">
        <f>IF(C340="Magie mineure",'listes magies'!$A$26,IF(C340="Runes","",IF(C340="Runes Majeures","",IF(C341="","",IF(HLOOKUP(C341,'listes magies'!$B$2:$CT$35,25,FALSE)=0,"",HLOOKUP(C341,'listes magies'!$B$2:$CT$35,25,FALSE))))))</f>
        <v/>
      </c>
      <c r="D372" s="217"/>
      <c r="E372" s="335"/>
      <c r="F372" s="336" t="str">
        <f>IF(F340="Magie mineure",'listes magies'!$A$26,IF(F340="Runes","",IF(F340="Runes Majeures","",IF(F341="","",IF(HLOOKUP(F341,'listes magies'!$B$2:$CT$35,25,FALSE)=0,"",HLOOKUP(F341,'listes magies'!$B$2:$CT$35,25,FALSE))))))</f>
        <v/>
      </c>
      <c r="G372" s="217"/>
    </row>
    <row r="373" spans="1:7" ht="12.75" hidden="1" customHeight="1">
      <c r="A373" s="217"/>
      <c r="B373" s="335"/>
      <c r="C373" s="336" t="str">
        <f>IF(C340="Magie mineure",'listes magies'!$A$27,"")</f>
        <v/>
      </c>
      <c r="D373" s="217"/>
      <c r="E373" s="335"/>
      <c r="F373" s="336" t="str">
        <f>IF(F340="Magie mineure",'listes magies'!$A$27,"")</f>
        <v/>
      </c>
      <c r="G373" s="217"/>
    </row>
    <row r="374" spans="1:7" ht="12.75" hidden="1" customHeight="1">
      <c r="A374" s="217"/>
      <c r="B374" s="335"/>
      <c r="C374" s="336" t="str">
        <f>IF(C340="Magie mineure",'listes magies'!$A$28,"")</f>
        <v/>
      </c>
      <c r="D374" s="217"/>
      <c r="E374" s="335"/>
      <c r="F374" s="336" t="str">
        <f>IF(F340="Magie mineure",'listes magies'!$A$28,"")</f>
        <v/>
      </c>
      <c r="G374" s="217"/>
    </row>
    <row r="375" spans="1:7" ht="12.75" hidden="1" customHeight="1">
      <c r="A375" s="217"/>
      <c r="B375" s="335"/>
      <c r="C375" s="336" t="str">
        <f>IF(C340="Magie mineure",'listes magies'!$A$29,"")</f>
        <v/>
      </c>
      <c r="D375" s="217"/>
      <c r="E375" s="335"/>
      <c r="F375" s="336" t="str">
        <f>IF(F340="Magie mineure",'listes magies'!$A$29,"")</f>
        <v/>
      </c>
      <c r="G375" s="217"/>
    </row>
    <row r="376" spans="1:7" ht="12.75" hidden="1" customHeight="1">
      <c r="A376" s="217"/>
      <c r="B376" s="335"/>
      <c r="C376" s="336" t="str">
        <f>IF(C340="Magie mineure",'listes magies'!$A$30,"")</f>
        <v/>
      </c>
      <c r="D376" s="217"/>
      <c r="E376" s="335"/>
      <c r="F376" s="336" t="str">
        <f>IF(F340="Magie mineure",'listes magies'!$A$30,"")</f>
        <v/>
      </c>
      <c r="G376" s="217"/>
    </row>
    <row r="377" spans="1:7" ht="12.75" hidden="1" customHeight="1">
      <c r="A377" s="217"/>
      <c r="B377" s="335"/>
      <c r="C377" s="336" t="str">
        <f>IF(C340="Magie mineure",'listes magies'!$A$31,"")</f>
        <v/>
      </c>
      <c r="D377" s="217"/>
      <c r="E377" s="335"/>
      <c r="F377" s="336" t="str">
        <f>IF(F340="Magie mineure",'listes magies'!$A$31,"")</f>
        <v/>
      </c>
      <c r="G377" s="217"/>
    </row>
    <row r="378" spans="1:7" ht="12.75" hidden="1" customHeight="1">
      <c r="A378" s="217"/>
      <c r="B378" s="335"/>
      <c r="C378" s="336" t="str">
        <f>IF(C340="Magie mineure",'listes magies'!$A$32,"")</f>
        <v/>
      </c>
      <c r="D378" s="217"/>
      <c r="E378" s="335"/>
      <c r="F378" s="336" t="str">
        <f>IF(F340="Magie mineure",'listes magies'!$A$32,"")</f>
        <v/>
      </c>
      <c r="G378" s="217"/>
    </row>
    <row r="379" spans="1:7" ht="12.75" hidden="1" customHeight="1">
      <c r="A379" s="217"/>
      <c r="B379" s="335"/>
      <c r="C379" s="336" t="str">
        <f>IF(C340="Magie mineure",'listes magies'!$A$33,"")</f>
        <v/>
      </c>
      <c r="D379" s="217"/>
      <c r="E379" s="335"/>
      <c r="F379" s="336" t="str">
        <f>IF(F340="Magie mineure",'listes magies'!$A$33,"")</f>
        <v/>
      </c>
      <c r="G379" s="217"/>
    </row>
    <row r="380" spans="1:7" ht="12.75" hidden="1" customHeight="1">
      <c r="A380" s="217"/>
      <c r="B380" s="335"/>
      <c r="C380" s="336" t="str">
        <f>IF(C340="Magie mineure",'listes magies'!$A$34,"")</f>
        <v/>
      </c>
      <c r="D380" s="217"/>
      <c r="E380" s="335"/>
      <c r="F380" s="336" t="str">
        <f>IF(F340="Magie mineure",'listes magies'!$A$34,"")</f>
        <v/>
      </c>
      <c r="G380" s="217"/>
    </row>
    <row r="381" spans="1:7" ht="6" customHeight="1" thickBot="1">
      <c r="A381" s="217"/>
      <c r="B381" s="217"/>
      <c r="C381" s="217"/>
      <c r="D381" s="217"/>
      <c r="E381" s="217"/>
      <c r="F381" s="217"/>
      <c r="G381" s="217"/>
    </row>
    <row r="382" spans="1:7">
      <c r="A382" s="217"/>
      <c r="B382" s="331" t="s">
        <v>679</v>
      </c>
      <c r="C382" s="332"/>
      <c r="D382" s="217"/>
      <c r="E382" s="331" t="s">
        <v>679</v>
      </c>
      <c r="F382" s="332"/>
      <c r="G382" s="217"/>
    </row>
    <row r="383" spans="1:7">
      <c r="A383" s="217"/>
      <c r="B383" s="333" t="s">
        <v>680</v>
      </c>
      <c r="C383" s="330"/>
      <c r="D383" s="217"/>
      <c r="E383" s="333" t="s">
        <v>680</v>
      </c>
      <c r="F383" s="330"/>
      <c r="G383" s="217"/>
    </row>
    <row r="384" spans="1:7">
      <c r="A384" s="217"/>
      <c r="B384" s="333" t="s">
        <v>681</v>
      </c>
      <c r="C384" s="330"/>
      <c r="D384" s="217"/>
      <c r="E384" s="333" t="s">
        <v>681</v>
      </c>
      <c r="F384" s="330"/>
      <c r="G384" s="217"/>
    </row>
    <row r="385" spans="1:7">
      <c r="A385" s="217"/>
      <c r="B385" s="333" t="s">
        <v>682</v>
      </c>
      <c r="C385" s="330" t="str">
        <f>IF(C384="","",VLOOKUP(C384,Magie!$B:$H,2,FALSE))</f>
        <v/>
      </c>
      <c r="D385" s="217"/>
      <c r="E385" s="333" t="s">
        <v>682</v>
      </c>
      <c r="F385" s="330" t="str">
        <f>IF(F384="","",VLOOKUP(F384,Magie!$B:$H,2,FALSE))</f>
        <v/>
      </c>
      <c r="G385" s="217"/>
    </row>
    <row r="386" spans="1:7">
      <c r="A386" s="217"/>
      <c r="B386" s="333" t="s">
        <v>683</v>
      </c>
      <c r="C386" s="330" t="str">
        <f>IF(C384="","",VLOOKUP(C384,Magie!$B:$H,3,FALSE))</f>
        <v/>
      </c>
      <c r="D386" s="217"/>
      <c r="E386" s="333" t="s">
        <v>683</v>
      </c>
      <c r="F386" s="330" t="str">
        <f>IF(F384="","",VLOOKUP(F384,Magie!$B:$H,3,FALSE))</f>
        <v/>
      </c>
      <c r="G386" s="217"/>
    </row>
    <row r="387" spans="1:7">
      <c r="A387" s="217"/>
      <c r="B387" s="333" t="str">
        <f>IF(OR(C382="Runes",C382="Runes Majeures"),"Activation:","Durée:")</f>
        <v>Durée:</v>
      </c>
      <c r="C387" s="330" t="str">
        <f>IF(C384="","",VLOOKUP(C384,Magie!$B:$H,4,FALSE))</f>
        <v/>
      </c>
      <c r="D387" s="217"/>
      <c r="E387" s="333" t="str">
        <f>IF(OR(F382="Runes",F382="Runes Majeures"),"Activation:","Durée:")</f>
        <v>Durée:</v>
      </c>
      <c r="F387" s="330" t="str">
        <f>IF(F384="","",VLOOKUP(F384,Magie!$B:$H,4,FALSE))</f>
        <v/>
      </c>
      <c r="G387" s="217"/>
    </row>
    <row r="388" spans="1:7">
      <c r="A388" s="217"/>
      <c r="B388" s="333" t="s">
        <v>684</v>
      </c>
      <c r="C388" s="330" t="str">
        <f>IF(C384="","",VLOOKUP(C384,Magie!$B:$H,5,FALSE))</f>
        <v/>
      </c>
      <c r="D388" s="217"/>
      <c r="E388" s="333" t="s">
        <v>684</v>
      </c>
      <c r="F388" s="330" t="str">
        <f>IF(F384="","",VLOOKUP(F384,Magie!$B:$H,5,FALSE))</f>
        <v/>
      </c>
      <c r="G388" s="217"/>
    </row>
    <row r="389" spans="1:7">
      <c r="A389" s="217"/>
      <c r="B389" s="333" t="str">
        <f>IF(C383="Domaine de Loec","Note:","Ingrédient:")</f>
        <v>Ingrédient:</v>
      </c>
      <c r="C389" s="441" t="str">
        <f>IF(C384="","",VLOOKUP(C384,Magie!$B:$H,6,FALSE))</f>
        <v/>
      </c>
      <c r="D389" s="217"/>
      <c r="E389" s="333" t="str">
        <f>IF(F383="Domaine de Loec","Note:","Ingrédient:")</f>
        <v>Ingrédient:</v>
      </c>
      <c r="F389" s="441" t="str">
        <f>IF(F384="","",VLOOKUP(F384,Magie!$B:$H,6,FALSE))</f>
        <v/>
      </c>
      <c r="G389" s="217"/>
    </row>
    <row r="390" spans="1:7" ht="46.95" customHeight="1" thickBot="1">
      <c r="A390" s="217"/>
      <c r="B390" s="334" t="s">
        <v>685</v>
      </c>
      <c r="C390" s="845" t="str">
        <f>IF(C384="","",VLOOKUP(C384,Magie!$B:$H,7,FALSE))</f>
        <v/>
      </c>
      <c r="D390" s="217"/>
      <c r="E390" s="334" t="s">
        <v>685</v>
      </c>
      <c r="F390" s="845" t="str">
        <f>IF(F384="","",VLOOKUP(F384,Magie!$B:$H,7,FALSE))</f>
        <v/>
      </c>
      <c r="G390" s="217"/>
    </row>
    <row r="391" spans="1:7" ht="9.6" hidden="1" customHeight="1">
      <c r="A391" s="217"/>
      <c r="B391" s="335"/>
      <c r="C391" s="336" t="str">
        <f>IF(C382="Magie mineure",'listes magies'!$A$3,IF(C382="Runes",'listes magies'!$CO$3,IF(C382="Runes Majeures",'listes magies'!$CQ$3,IF(C383="","",IF(HLOOKUP(C383,'listes magies'!$B$2:$CT$35,2,FALSE)=0,"",HLOOKUP(C383,'listes magies'!$B$2:$CT$35,2,FALSE))))))</f>
        <v/>
      </c>
      <c r="D391" s="217"/>
      <c r="E391" s="335"/>
      <c r="F391" s="336" t="str">
        <f>IF(F382="Magie mineure",'listes magies'!$A$3,IF(F382="Runes",'listes magies'!$CO$3,IF(F382="Runes Majeures",'listes magies'!$CQ$3,IF(F383="","",IF(HLOOKUP(F383,'listes magies'!$B$2:$CT$35,2,FALSE)=0,"",HLOOKUP(F383,'listes magies'!$B$2:$CT$35,2,FALSE))))))</f>
        <v/>
      </c>
      <c r="G391" s="217"/>
    </row>
    <row r="392" spans="1:7" ht="9.6" hidden="1" customHeight="1">
      <c r="A392" s="217"/>
      <c r="B392" s="335"/>
      <c r="C392" s="336" t="str">
        <f>IF(C382="Magie mineure",'listes magies'!$A$4,IF(C382="Runes",'listes magies'!$CO$4,IF(C382="Runes Majeures",'listes magies'!$CQ$3,IF(C383="","",IF(HLOOKUP(C383,'listes magies'!$B$2:$CT$35,2,FALSE)=0,"",HLOOKUP(C383,'listes magies'!$B$2:$CT$35,3,FALSE))))))</f>
        <v/>
      </c>
      <c r="D392" s="217"/>
      <c r="E392" s="335"/>
      <c r="F392" s="336" t="str">
        <f>IF(F382="Magie mineure",'listes magies'!$A$4,IF(F382="Runes",'listes magies'!$CO$4,IF(F382="Runes Majeures",'listes magies'!$CQ$3,IF(F383="","",IF(HLOOKUP(F383,'listes magies'!$B$2:$CT$35,2,FALSE)=0,"",HLOOKUP(F383,'listes magies'!$B$2:$CT$35,3,FALSE))))))</f>
        <v/>
      </c>
      <c r="G392" s="217"/>
    </row>
    <row r="393" spans="1:7" ht="9.6" hidden="1" customHeight="1">
      <c r="A393" s="217"/>
      <c r="B393" s="335"/>
      <c r="C393" s="336" t="str">
        <f>IF(C382="Magie mineure",'listes magies'!$A$5,IF(C382="Runes",'listes magies'!$CO$5,IF(C382="Runes Majeures",'listes magies'!$CQ$5,IF(C383="","",IF(HLOOKUP(C383,'listes magies'!$B$2:$CT$35,4,FALSE)=0,"",HLOOKUP(C383,'listes magies'!$B$2:$CT$35,4,FALSE))))))</f>
        <v/>
      </c>
      <c r="D393" s="217"/>
      <c r="E393" s="335"/>
      <c r="F393" s="336" t="str">
        <f>IF(F382="Magie mineure",'listes magies'!$A$5,IF(F382="Runes",'listes magies'!$CO$5,IF(F382="Runes Majeures",'listes magies'!$CQ$5,IF(F383="","",IF(HLOOKUP(F383,'listes magies'!$B$2:$CT$35,4,FALSE)=0,"",HLOOKUP(F383,'listes magies'!$B$2:$CT$35,4,FALSE))))))</f>
        <v/>
      </c>
      <c r="G393" s="217"/>
    </row>
    <row r="394" spans="1:7" ht="9.6" hidden="1" customHeight="1">
      <c r="A394" s="217"/>
      <c r="B394" s="335"/>
      <c r="C394" s="336" t="str">
        <f>IF(C382="Magie mineure",'listes magies'!$A$6,IF(C382="Runes",'listes magies'!$CO$6,IF(C382="Runes Majeures",'listes magies'!$CQ$6,IF(C383="","",IF(HLOOKUP(C383,'listes magies'!$B$2:$CT$35,5,FALSE)=0,"",HLOOKUP(C383,'listes magies'!$B$2:$CT$35,5,FALSE))))))</f>
        <v/>
      </c>
      <c r="D394" s="217"/>
      <c r="E394" s="335"/>
      <c r="F394" s="336" t="str">
        <f>IF(F382="Magie mineure",'listes magies'!$A$6,IF(F382="Runes",'listes magies'!$CO$6,IF(F382="Runes Majeures",'listes magies'!$CQ$6,IF(F383="","",IF(HLOOKUP(F383,'listes magies'!$B$2:$CT$35,5,FALSE)=0,"",HLOOKUP(F383,'listes magies'!$B$2:$CT$35,5,FALSE))))))</f>
        <v/>
      </c>
      <c r="G394" s="217"/>
    </row>
    <row r="395" spans="1:7" ht="9.6" hidden="1" customHeight="1">
      <c r="A395" s="217"/>
      <c r="B395" s="335"/>
      <c r="C395" s="336" t="str">
        <f>IF(C382="Magie mineure",'listes magies'!$A$7,IF(C382="Runes",'listes magies'!$CO$7,IF(C382="Runes Majeures",'listes magies'!$CQ$7,IF(C383="","",IF(HLOOKUP(C383,'listes magies'!$B$2:$CT$35,6,FALSE)=0,"",HLOOKUP(C383,'listes magies'!$B$2:$CT$35,6,FALSE))))))</f>
        <v/>
      </c>
      <c r="D395" s="217"/>
      <c r="E395" s="335"/>
      <c r="F395" s="336" t="str">
        <f>IF(F382="Magie mineure",'listes magies'!$A$7,IF(F382="Runes",'listes magies'!$CO$7,IF(F382="Runes Majeures",'listes magies'!$CQ$7,IF(F383="","",IF(HLOOKUP(F383,'listes magies'!$B$2:$CT$35,6,FALSE)=0,"",HLOOKUP(F383,'listes magies'!$B$2:$CT$35,6,FALSE))))))</f>
        <v/>
      </c>
      <c r="G395" s="217"/>
    </row>
    <row r="396" spans="1:7" ht="9.6" hidden="1" customHeight="1">
      <c r="A396" s="217"/>
      <c r="B396" s="335"/>
      <c r="C396" s="336" t="str">
        <f>IF(C382="Magie mineure",'listes magies'!$A$8,IF(C382="Runes",'listes magies'!$CO$8,IF(C382="Runes Majeures",'listes magies'!$CQ$8,IF(C383="","",IF(HLOOKUP(C383,'listes magies'!$B$2:$CT$35,7,FALSE)=0,"",HLOOKUP(C383,'listes magies'!$B$2:$CT$35,7,FALSE))))))</f>
        <v/>
      </c>
      <c r="D396" s="217"/>
      <c r="E396" s="335"/>
      <c r="F396" s="336" t="str">
        <f>IF(F382="Magie mineure",'listes magies'!$A$8,IF(F382="Runes",'listes magies'!$CO$8,IF(F382="Runes Majeures",'listes magies'!$CQ$8,IF(F383="","",IF(HLOOKUP(F383,'listes magies'!$B$2:$CT$35,7,FALSE)=0,"",HLOOKUP(F383,'listes magies'!$B$2:$CT$35,7,FALSE))))))</f>
        <v/>
      </c>
      <c r="G396" s="217"/>
    </row>
    <row r="397" spans="1:7" ht="9.6" hidden="1" customHeight="1">
      <c r="A397" s="217"/>
      <c r="B397" s="335"/>
      <c r="C397" s="336" t="str">
        <f>IF(C382="Magie mineure",'listes magies'!$A$9,IF(C382="Runes",'listes magies'!$CO$9,IF(C382="Runes Majeures",'listes magies'!$CQ$9,IF(C383="","",IF(HLOOKUP(C383,'listes magies'!$B$2:$CT$35,8,FALSE)=0,"",HLOOKUP(C383,'listes magies'!$B$2:$CT$35,8,FALSE))))))</f>
        <v/>
      </c>
      <c r="D397" s="217"/>
      <c r="E397" s="335"/>
      <c r="F397" s="336" t="str">
        <f>IF(F382="Magie mineure",'listes magies'!$A$9,IF(F382="Runes",'listes magies'!$CO$9,IF(F382="Runes Majeures",'listes magies'!$CQ$9,IF(F383="","",IF(HLOOKUP(F383,'listes magies'!$B$2:$CT$35,8,FALSE)=0,"",HLOOKUP(F383,'listes magies'!$B$2:$CT$35,8,FALSE))))))</f>
        <v/>
      </c>
      <c r="G397" s="217"/>
    </row>
    <row r="398" spans="1:7" ht="9.6" hidden="1" customHeight="1">
      <c r="A398" s="217"/>
      <c r="B398" s="335"/>
      <c r="C398" s="336" t="str">
        <f>IF(C382="Magie mineure",'listes magies'!$A$10,IF(C382="Runes",'listes magies'!$CO$10,IF(C382="Runes Majeures",'listes magies'!$CQ$10,IF(C383="","",IF(HLOOKUP(C383,'listes magies'!$B$2:$CT$35,9,FALSE)=0,"",HLOOKUP(C383,'listes magies'!$B$2:$CT$35,9,FALSE))))))</f>
        <v/>
      </c>
      <c r="D398" s="217"/>
      <c r="E398" s="335"/>
      <c r="F398" s="336" t="str">
        <f>IF(F382="Magie mineure",'listes magies'!$A$10,IF(F382="Runes",'listes magies'!$CO$10,IF(F382="Runes Majeures",'listes magies'!$CQ$10,IF(F383="","",IF(HLOOKUP(F383,'listes magies'!$B$2:$CT$35,9,FALSE)=0,"",HLOOKUP(F383,'listes magies'!$B$2:$CT$35,9,FALSE))))))</f>
        <v/>
      </c>
      <c r="G398" s="217"/>
    </row>
    <row r="399" spans="1:7" ht="9.6" hidden="1" customHeight="1">
      <c r="A399" s="217"/>
      <c r="B399" s="335"/>
      <c r="C399" s="336" t="str">
        <f>IF(C382="Magie mineure",'listes magies'!$A$11,IF(C382="Runes",'listes magies'!$CO$11,IF(C382="Runes Majeures",'listes magies'!$CQ$11,IF(C383="","",IF(HLOOKUP(C383,'listes magies'!$B$2:$CT$35,10,FALSE)=0,"",HLOOKUP(C383,'listes magies'!$B$2:$CT$35,10,FALSE))))))</f>
        <v/>
      </c>
      <c r="D399" s="217"/>
      <c r="E399" s="335"/>
      <c r="F399" s="336" t="str">
        <f>IF(F382="Magie mineure",'listes magies'!$A$11,IF(F382="Runes",'listes magies'!$CO$11,IF(F382="Runes Majeures",'listes magies'!$CQ$11,IF(F383="","",IF(HLOOKUP(F383,'listes magies'!$B$2:$CT$35,10,FALSE)=0,"",HLOOKUP(F383,'listes magies'!$B$2:$CT$35,10,FALSE))))))</f>
        <v/>
      </c>
      <c r="G399" s="217"/>
    </row>
    <row r="400" spans="1:7" ht="9.6" hidden="1" customHeight="1">
      <c r="A400" s="217"/>
      <c r="B400" s="335"/>
      <c r="C400" s="336" t="str">
        <f>IF(C382="Magie mineure",'listes magies'!$A$12,IF(C382="Runes",'listes magies'!$CO$12,IF(C382="Runes Majeures",'listes magies'!$CQ$12,IF(C383="","",IF(HLOOKUP(C383,'listes magies'!$B$2:$CT$35,11,FALSE)=0,"",HLOOKUP(C383,'listes magies'!$B$2:$CT$35,11,FALSE))))))</f>
        <v/>
      </c>
      <c r="D400" s="217"/>
      <c r="E400" s="335"/>
      <c r="F400" s="336" t="str">
        <f>IF(F382="Magie mineure",'listes magies'!$A$12,IF(F382="Runes",'listes magies'!$CO$12,IF(F382="Runes Majeures",'listes magies'!$CQ$12,IF(F383="","",IF(HLOOKUP(F383,'listes magies'!$B$2:$CT$35,11,FALSE)=0,"",HLOOKUP(F383,'listes magies'!$B$2:$CT$35,11,FALSE))))))</f>
        <v/>
      </c>
      <c r="G400" s="217"/>
    </row>
    <row r="401" spans="1:7" ht="9.6" hidden="1" customHeight="1">
      <c r="A401" s="217"/>
      <c r="B401" s="335"/>
      <c r="C401" s="336" t="str">
        <f>IF(C382="Magie mineure",'listes magies'!$A$13,IF(C382="Runes",'listes magies'!$CO$13,IF(C382="Runes Majeures",'listes magies'!$CQ$13,IF(C383="","",IF(HLOOKUP(C383,'listes magies'!$B$2:$CT$35,12,FALSE)=0,"",HLOOKUP(C383,'listes magies'!$B$2:$CT$35,12,FALSE))))))</f>
        <v/>
      </c>
      <c r="D401" s="217"/>
      <c r="E401" s="335"/>
      <c r="F401" s="336" t="str">
        <f>IF(F382="Magie mineure",'listes magies'!$A$13,IF(F382="Runes",'listes magies'!$CO$13,IF(F382="Runes Majeures",'listes magies'!$CQ$13,IF(F383="","",IF(HLOOKUP(F383,'listes magies'!$B$2:$CT$35,12,FALSE)=0,"",HLOOKUP(F383,'listes magies'!$B$2:$CT$35,12,FALSE))))))</f>
        <v/>
      </c>
      <c r="G401" s="217"/>
    </row>
    <row r="402" spans="1:7" ht="9.6" hidden="1" customHeight="1">
      <c r="A402" s="217"/>
      <c r="B402" s="335"/>
      <c r="C402" s="336" t="str">
        <f>IF(C382="Magie mineure",'listes magies'!$A$14,IF(C382="Runes",'listes magies'!$CO$14,IF(C382="Runes Majeures",'listes magies'!$CQ$14,IF(C383="","",IF(HLOOKUP(C383,'listes magies'!$B$2:$CT$35,13,FALSE)=0,"",HLOOKUP(C383,'listes magies'!$B$2:$CT$35,13,FALSE))))))</f>
        <v/>
      </c>
      <c r="D402" s="217"/>
      <c r="E402" s="335"/>
      <c r="F402" s="336" t="str">
        <f>IF(F382="Magie mineure",'listes magies'!$A$14,IF(F382="Runes",'listes magies'!$CO$14,IF(F382="Runes Majeures",'listes magies'!$CQ$14,IF(F383="","",IF(HLOOKUP(F383,'listes magies'!$B$2:$CT$35,13,FALSE)=0,"",HLOOKUP(F383,'listes magies'!$B$2:$CT$35,13,FALSE))))))</f>
        <v/>
      </c>
      <c r="G402" s="217"/>
    </row>
    <row r="403" spans="1:7" ht="9.6" hidden="1" customHeight="1">
      <c r="A403" s="217"/>
      <c r="B403" s="335"/>
      <c r="C403" s="336" t="str">
        <f>IF(C382="Magie mineure",'listes magies'!$A$15,IF(C382="Runes",'listes magies'!$CO$15,IF(C382="Runes Majeures",'listes magies'!$CQ$15,IF(C383="","",IF(HLOOKUP(C383,'listes magies'!$B$2:$CT$35,14,FALSE)=0,"",HLOOKUP(C383,'listes magies'!$B$2:$CT$35,14,FALSE))))))</f>
        <v/>
      </c>
      <c r="D403" s="217"/>
      <c r="E403" s="335"/>
      <c r="F403" s="336" t="str">
        <f>IF(F382="Magie mineure",'listes magies'!$A$15,IF(F382="Runes",'listes magies'!$CO$15,IF(F382="Runes Majeures",'listes magies'!$CQ$15,IF(F383="","",IF(HLOOKUP(F383,'listes magies'!$B$2:$CT$35,14,FALSE)=0,"",HLOOKUP(F383,'listes magies'!$B$2:$CT$35,14,FALSE))))))</f>
        <v/>
      </c>
      <c r="G403" s="217"/>
    </row>
    <row r="404" spans="1:7" ht="9.6" hidden="1" customHeight="1">
      <c r="A404" s="217"/>
      <c r="B404" s="335"/>
      <c r="C404" s="336" t="str">
        <f>IF(C382="Magie mineure",'listes magies'!$A$16,IF(C382="Runes",'listes magies'!$CO$16,IF(C382="Runes Majeures",'listes magies'!$CQ$16,IF(C383="","",IF(HLOOKUP(C383,'listes magies'!$B$2:$CT$35,15,FALSE)=0,"",HLOOKUP(C383,'listes magies'!$B$2:$CT$35,15,FALSE))))))</f>
        <v/>
      </c>
      <c r="D404" s="217"/>
      <c r="E404" s="335"/>
      <c r="F404" s="336" t="str">
        <f>IF(F382="Magie mineure",'listes magies'!$A$16,IF(F382="Runes",'listes magies'!$CO$16,IF(F382="Runes Majeures",'listes magies'!$CQ$16,IF(F383="","",IF(HLOOKUP(F383,'listes magies'!$B$2:$CT$35,15,FALSE)=0,"",HLOOKUP(F383,'listes magies'!$B$2:$CT$35,15,FALSE))))))</f>
        <v/>
      </c>
      <c r="G404" s="217"/>
    </row>
    <row r="405" spans="1:7" ht="9.6" hidden="1" customHeight="1">
      <c r="A405" s="217"/>
      <c r="B405" s="335"/>
      <c r="C405" s="336" t="str">
        <f>IF(C382="Magie mineure",'listes magies'!$A$17,IF(C382="Runes",'listes magies'!$CO$17,IF(C382="Runes Majeures","",IF(C383="","",IF(HLOOKUP(C383,'listes magies'!$B$2:$CT$35,16,FALSE)=0,"",HLOOKUP(C383,'listes magies'!$B$2:$CT$35,16,FALSE))))))</f>
        <v/>
      </c>
      <c r="D405" s="217"/>
      <c r="E405" s="335"/>
      <c r="F405" s="336" t="str">
        <f>IF(F382="Magie mineure",'listes magies'!$A$17,IF(F382="Runes",'listes magies'!$CO$17,IF(F382="Runes Majeures","",IF(F383="","",IF(HLOOKUP(F383,'listes magies'!$B$2:$CT$35,16,FALSE)=0,"",HLOOKUP(F383,'listes magies'!$B$2:$CT$35,16,FALSE))))))</f>
        <v/>
      </c>
      <c r="G405" s="217"/>
    </row>
    <row r="406" spans="1:7" ht="9.6" hidden="1" customHeight="1">
      <c r="A406" s="217"/>
      <c r="B406" s="335"/>
      <c r="C406" s="336" t="str">
        <f>IF(C382="Magie mineure",'listes magies'!$A396,IF(C382="Runes",'listes magies'!$CO$18,IF(C382="Runes Majeures","",IF(C383="","",IF(HLOOKUP(C383,'listes magies'!$B$2:$CT$35,17,FALSE)=0,"",HLOOKUP(C383,'listes magies'!$B$2:$CT$35,17,FALSE))))))</f>
        <v/>
      </c>
      <c r="D406" s="217"/>
      <c r="E406" s="335"/>
      <c r="F406" s="336" t="str">
        <f>IF(F382="Magie mineure",'listes magies'!$A396,IF(F382="Runes",'listes magies'!$CO$18,IF(F382="Runes Majeures","",IF(F383="","",IF(HLOOKUP(F383,'listes magies'!$B$2:$CT$35,17,FALSE)=0,"",HLOOKUP(F383,'listes magies'!$B$2:$CT$35,17,FALSE))))))</f>
        <v/>
      </c>
      <c r="G406" s="217"/>
    </row>
    <row r="407" spans="1:7" ht="9.6" hidden="1" customHeight="1">
      <c r="A407" s="217"/>
      <c r="B407" s="335"/>
      <c r="C407" s="336" t="str">
        <f>IF(C382="Magie mineure",'listes magies'!$A$19,IF(C382="Runes",'listes magies'!$CO$19,IF(C382="Runes Majeures","",IF(C383="","",IF(HLOOKUP(C383,'listes magies'!$B$2:$CT$35,18,FALSE)=0,"",HLOOKUP(C383,'listes magies'!$B$2:$CT$35,18,FALSE))))))</f>
        <v/>
      </c>
      <c r="D407" s="217"/>
      <c r="E407" s="335"/>
      <c r="F407" s="336" t="str">
        <f>IF(F382="Magie mineure",'listes magies'!$A$19,IF(F382="Runes",'listes magies'!$CO$19,IF(F382="Runes Majeures","",IF(F383="","",IF(HLOOKUP(F383,'listes magies'!$B$2:$CT$35,18,FALSE)=0,"",HLOOKUP(F383,'listes magies'!$B$2:$CT$35,18,FALSE))))))</f>
        <v/>
      </c>
      <c r="G407" s="217"/>
    </row>
    <row r="408" spans="1:7" ht="9.6" hidden="1" customHeight="1">
      <c r="A408" s="217"/>
      <c r="B408" s="335"/>
      <c r="C408" s="336" t="str">
        <f>IF(C382="Magie mineure",'listes magies'!$A$20,IF(C382="Runes",'listes magies'!$CO$20,IF(C382="Runes Majeures","",IF(C383="","",IF(HLOOKUP(C383,'listes magies'!$B$2:$CT$35,19,FALSE)=0,"",HLOOKUP(C383,'listes magies'!$B$2:$CT$35,19,FALSE))))))</f>
        <v/>
      </c>
      <c r="D408" s="217"/>
      <c r="E408" s="335"/>
      <c r="F408" s="336" t="str">
        <f>IF(F382="Magie mineure",'listes magies'!$A$20,IF(F382="Runes",'listes magies'!$CO$20,IF(F382="Runes Majeures","",IF(F383="","",IF(HLOOKUP(F383,'listes magies'!$B$2:$CT$35,19,FALSE)=0,"",HLOOKUP(F383,'listes magies'!$B$2:$CT$35,19,FALSE))))))</f>
        <v/>
      </c>
      <c r="G408" s="217"/>
    </row>
    <row r="409" spans="1:7" ht="9.6" hidden="1" customHeight="1">
      <c r="A409" s="217"/>
      <c r="B409" s="335"/>
      <c r="C409" s="336" t="str">
        <f>IF(C382="Magie mineure",'listes magies'!$A$21,IF(C382="Runes",'listes magies'!$CO$21,IF(C382="Runes Majeures","",IF(C383="","",IF(HLOOKUP(C383,'listes magies'!$B$2:$CT$35,20,FALSE)=0,"",HLOOKUP(C383,'listes magies'!$B$2:$CT$35,20,FALSE))))))</f>
        <v/>
      </c>
      <c r="D409" s="217"/>
      <c r="E409" s="335"/>
      <c r="F409" s="336" t="str">
        <f>IF(F382="Magie mineure",'listes magies'!$A$21,IF(F382="Runes",'listes magies'!$CO$21,IF(F382="Runes Majeures","",IF(F383="","",IF(HLOOKUP(F383,'listes magies'!$B$2:$CT$35,20,FALSE)=0,"",HLOOKUP(F383,'listes magies'!$B$2:$CT$35,20,FALSE))))))</f>
        <v/>
      </c>
      <c r="G409" s="217"/>
    </row>
    <row r="410" spans="1:7" ht="9.6" hidden="1" customHeight="1">
      <c r="A410" s="217"/>
      <c r="B410" s="335"/>
      <c r="C410" s="336" t="str">
        <f>IF(C382="Magie mineure",'listes magies'!$A$22,IF(C382="Runes",'listes magies'!$CO$22,IF(C382="Runes Majeures","",IF(C383="","",IF(HLOOKUP(C383,'listes magies'!$B$2:$CT$35,21,FALSE)=0,"",HLOOKUP(C383,'listes magies'!$B$2:$CT$35,21,FALSE))))))</f>
        <v/>
      </c>
      <c r="D410" s="217"/>
      <c r="E410" s="335"/>
      <c r="F410" s="336" t="str">
        <f>IF(F382="Magie mineure",'listes magies'!$A$22,IF(F382="Runes",'listes magies'!$CO$22,IF(F382="Runes Majeures","",IF(F383="","",IF(HLOOKUP(F383,'listes magies'!$B$2:$CT$35,21,FALSE)=0,"",HLOOKUP(F383,'listes magies'!$B$2:$CT$35,21,FALSE))))))</f>
        <v/>
      </c>
      <c r="G410" s="217"/>
    </row>
    <row r="411" spans="1:7" ht="9.6" hidden="1" customHeight="1">
      <c r="A411" s="217"/>
      <c r="B411" s="335"/>
      <c r="C411" s="336" t="str">
        <f>IF(C382="Magie mineure",'listes magies'!$A$23,IF(C382="Runes",'listes magies'!$CO$22,IF(C382="Runes Majeures","",IF(C383="","",IF(HLOOKUP(C383,'listes magies'!$B$2:$CT$35,22,FALSE)=0,"",HLOOKUP(C383,'listes magies'!$B$2:$CT$35,22,FALSE))))))</f>
        <v/>
      </c>
      <c r="D411" s="217"/>
      <c r="E411" s="335"/>
      <c r="F411" s="336" t="str">
        <f>IF(F382="Magie mineure",'listes magies'!$A$23,IF(F382="Runes",'listes magies'!$CO$22,IF(F382="Runes Majeures","",IF(F383="","",IF(HLOOKUP(F383,'listes magies'!$B$2:$CT$35,22,FALSE)=0,"",HLOOKUP(F383,'listes magies'!$B$2:$CT$35,22,FALSE))))))</f>
        <v/>
      </c>
      <c r="G411" s="217"/>
    </row>
    <row r="412" spans="1:7" ht="9.6" hidden="1" customHeight="1">
      <c r="A412" s="217"/>
      <c r="B412" s="335"/>
      <c r="C412" s="336" t="str">
        <f>IF(C382="Magie mineure",'listes magies'!$A$24,IF(C382="Runes Majeures","",IF(C383="","",IF(HLOOKUP(C383,'listes magies'!$B$2:$CT$35,23,FALSE)=0,"",HLOOKUP(C383,'listes magies'!$B$2:$CT$35,23,FALSE)))))</f>
        <v/>
      </c>
      <c r="D412" s="217"/>
      <c r="E412" s="335"/>
      <c r="F412" s="336" t="str">
        <f>IF(F382="Magie mineure",'listes magies'!$A$24,IF(F382="Runes Majeures","",IF(F383="","",IF(HLOOKUP(F383,'listes magies'!$B$2:$CT$35,23,FALSE)=0,"",HLOOKUP(F383,'listes magies'!$B$2:$CT$35,23,FALSE)))))</f>
        <v/>
      </c>
      <c r="G412" s="217"/>
    </row>
    <row r="413" spans="1:7" ht="9.6" hidden="1" customHeight="1">
      <c r="A413" s="217"/>
      <c r="B413" s="335"/>
      <c r="C413" s="336" t="str">
        <f>IF(C382="Magie mineure",'listes magies'!$A$25,IF(C382="Runes Majeures","",IF(C383="","",IF(HLOOKUP(C383,'listes magies'!$B$2:$CT$35,24,FALSE)=0,"",HLOOKUP(C383,'listes magies'!$B$2:$CT$35,24,FALSE)))))</f>
        <v/>
      </c>
      <c r="D413" s="217"/>
      <c r="E413" s="335"/>
      <c r="F413" s="336" t="str">
        <f>IF(F382="Magie mineure",'listes magies'!$A$25,IF(F382="Runes Majeures","",IF(F383="","",IF(HLOOKUP(F383,'listes magies'!$B$2:$CT$35,24,FALSE)=0,"",HLOOKUP(F383,'listes magies'!$B$2:$CT$35,24,FALSE)))))</f>
        <v/>
      </c>
      <c r="G413" s="217"/>
    </row>
    <row r="414" spans="1:7" ht="9.6" hidden="1" customHeight="1">
      <c r="A414" s="217"/>
      <c r="B414" s="335"/>
      <c r="C414" s="336" t="str">
        <f>IF(C382="Magie mineure",'listes magies'!$A$26,IF(C382="Runes","",IF(C382="Runes Majeures","",IF(C383="","",IF(HLOOKUP(C383,'listes magies'!$B$2:$CT$35,25,FALSE)=0,"",HLOOKUP(C383,'listes magies'!$B$2:$CT$35,25,FALSE))))))</f>
        <v/>
      </c>
      <c r="D414" s="217"/>
      <c r="E414" s="335"/>
      <c r="F414" s="336" t="str">
        <f>IF(F382="Magie mineure",'listes magies'!$A$26,IF(F382="Runes","",IF(F382="Runes Majeures","",IF(F383="","",IF(HLOOKUP(F383,'listes magies'!$B$2:$CT$35,25,FALSE)=0,"",HLOOKUP(F383,'listes magies'!$B$2:$CT$35,25,FALSE))))))</f>
        <v/>
      </c>
      <c r="G414" s="217"/>
    </row>
    <row r="415" spans="1:7" ht="9.6" hidden="1" customHeight="1">
      <c r="A415" s="217"/>
      <c r="B415" s="335"/>
      <c r="C415" s="336" t="str">
        <f>IF(C382="Magie mineure",'listes magies'!$A$27,"")</f>
        <v/>
      </c>
      <c r="D415" s="217"/>
      <c r="E415" s="335"/>
      <c r="F415" s="336" t="str">
        <f>IF(F382="Magie mineure",'listes magies'!$A$27,"")</f>
        <v/>
      </c>
      <c r="G415" s="217"/>
    </row>
    <row r="416" spans="1:7" ht="9.6" hidden="1" customHeight="1">
      <c r="A416" s="217"/>
      <c r="B416" s="335"/>
      <c r="C416" s="336" t="str">
        <f>IF(C382="Magie mineure",'listes magies'!$A$28,"")</f>
        <v/>
      </c>
      <c r="D416" s="217"/>
      <c r="E416" s="335"/>
      <c r="F416" s="336" t="str">
        <f>IF(F382="Magie mineure",'listes magies'!$A$28,"")</f>
        <v/>
      </c>
      <c r="G416" s="217"/>
    </row>
    <row r="417" spans="1:7" ht="9.6" hidden="1" customHeight="1">
      <c r="A417" s="217"/>
      <c r="B417" s="335"/>
      <c r="C417" s="336" t="str">
        <f>IF(C382="Magie mineure",'listes magies'!$A$29,"")</f>
        <v/>
      </c>
      <c r="D417" s="217"/>
      <c r="E417" s="335"/>
      <c r="F417" s="336" t="str">
        <f>IF(F382="Magie mineure",'listes magies'!$A$29,"")</f>
        <v/>
      </c>
      <c r="G417" s="217"/>
    </row>
    <row r="418" spans="1:7" ht="9.6" hidden="1" customHeight="1">
      <c r="A418" s="217"/>
      <c r="B418" s="335"/>
      <c r="C418" s="336" t="str">
        <f>IF(C382="Magie mineure",'listes magies'!$A$30,"")</f>
        <v/>
      </c>
      <c r="D418" s="217"/>
      <c r="E418" s="335"/>
      <c r="F418" s="336" t="str">
        <f>IF(F382="Magie mineure",'listes magies'!$A$30,"")</f>
        <v/>
      </c>
      <c r="G418" s="217"/>
    </row>
    <row r="419" spans="1:7" ht="9.6" hidden="1" customHeight="1">
      <c r="A419" s="217"/>
      <c r="B419" s="335"/>
      <c r="C419" s="336" t="str">
        <f>IF(C382="Magie mineure",'listes magies'!$A$31,"")</f>
        <v/>
      </c>
      <c r="D419" s="217"/>
      <c r="E419" s="335"/>
      <c r="F419" s="336" t="str">
        <f>IF(F382="Magie mineure",'listes magies'!$A$31,"")</f>
        <v/>
      </c>
      <c r="G419" s="217"/>
    </row>
    <row r="420" spans="1:7" ht="9.6" hidden="1" customHeight="1">
      <c r="A420" s="217"/>
      <c r="B420" s="335"/>
      <c r="C420" s="336" t="str">
        <f>IF(C382="Magie mineure",'listes magies'!$A$32,"")</f>
        <v/>
      </c>
      <c r="D420" s="217"/>
      <c r="E420" s="335"/>
      <c r="F420" s="336" t="str">
        <f>IF(F382="Magie mineure",'listes magies'!$A$32,"")</f>
        <v/>
      </c>
      <c r="G420" s="217"/>
    </row>
    <row r="421" spans="1:7" ht="9.6" hidden="1" customHeight="1">
      <c r="A421" s="217"/>
      <c r="B421" s="335"/>
      <c r="C421" s="336" t="str">
        <f>IF(C382="Magie mineure",'listes magies'!$A$33,"")</f>
        <v/>
      </c>
      <c r="D421" s="217"/>
      <c r="E421" s="335"/>
      <c r="F421" s="336" t="str">
        <f>IF(F382="Magie mineure",'listes magies'!$A$33,"")</f>
        <v/>
      </c>
      <c r="G421" s="217"/>
    </row>
    <row r="422" spans="1:7" ht="9.6" hidden="1" customHeight="1">
      <c r="A422" s="217"/>
      <c r="B422" s="335"/>
      <c r="C422" s="336" t="str">
        <f>IF(C382="Magie mineure",'listes magies'!$A$34,"")</f>
        <v/>
      </c>
      <c r="D422" s="217"/>
      <c r="E422" s="335"/>
      <c r="F422" s="336" t="str">
        <f>IF(F382="Magie mineure",'listes magies'!$A$34,"")</f>
        <v/>
      </c>
      <c r="G422" s="217"/>
    </row>
    <row r="423" spans="1:7">
      <c r="A423" s="217"/>
      <c r="B423" s="217"/>
      <c r="C423" s="217"/>
      <c r="D423" s="217"/>
      <c r="E423" s="217"/>
      <c r="F423" s="217"/>
      <c r="G423" s="217"/>
    </row>
  </sheetData>
  <mergeCells count="2">
    <mergeCell ref="B2:C2"/>
    <mergeCell ref="E2:F2"/>
  </mergeCells>
  <phoneticPr fontId="15" type="noConversion"/>
  <conditionalFormatting sqref="C4:C6">
    <cfRule type="cellIs" dxfId="928" priority="523" operator="equal">
      <formula>""</formula>
    </cfRule>
  </conditionalFormatting>
  <conditionalFormatting sqref="C48">
    <cfRule type="cellIs" dxfId="927" priority="264" operator="equal">
      <formula>""</formula>
    </cfRule>
  </conditionalFormatting>
  <conditionalFormatting sqref="F48">
    <cfRule type="cellIs" dxfId="926" priority="263" operator="equal">
      <formula>""</formula>
    </cfRule>
  </conditionalFormatting>
  <conditionalFormatting sqref="F214">
    <cfRule type="cellIs" dxfId="925" priority="228" operator="equal">
      <formula>""</formula>
    </cfRule>
  </conditionalFormatting>
  <conditionalFormatting sqref="F4">
    <cfRule type="cellIs" dxfId="924" priority="246" operator="equal">
      <formula>""</formula>
    </cfRule>
  </conditionalFormatting>
  <conditionalFormatting sqref="C46">
    <cfRule type="cellIs" dxfId="923" priority="245" operator="equal">
      <formula>""</formula>
    </cfRule>
  </conditionalFormatting>
  <conditionalFormatting sqref="F382">
    <cfRule type="cellIs" dxfId="922" priority="213" operator="equal">
      <formula>""</formula>
    </cfRule>
  </conditionalFormatting>
  <conditionalFormatting sqref="F46">
    <cfRule type="cellIs" dxfId="921" priority="243" operator="equal">
      <formula>""</formula>
    </cfRule>
  </conditionalFormatting>
  <conditionalFormatting sqref="C88">
    <cfRule type="cellIs" dxfId="920" priority="242" operator="equal">
      <formula>""</formula>
    </cfRule>
  </conditionalFormatting>
  <conditionalFormatting sqref="F88">
    <cfRule type="cellIs" dxfId="919" priority="240" operator="equal">
      <formula>""</formula>
    </cfRule>
  </conditionalFormatting>
  <conditionalFormatting sqref="F340">
    <cfRule type="cellIs" dxfId="918" priority="216" operator="equal">
      <formula>""</formula>
    </cfRule>
  </conditionalFormatting>
  <conditionalFormatting sqref="C130">
    <cfRule type="cellIs" dxfId="917" priority="238" operator="equal">
      <formula>""</formula>
    </cfRule>
  </conditionalFormatting>
  <conditionalFormatting sqref="F130">
    <cfRule type="cellIs" dxfId="916" priority="236" operator="equal">
      <formula>""</formula>
    </cfRule>
  </conditionalFormatting>
  <conditionalFormatting sqref="C172">
    <cfRule type="cellIs" dxfId="915" priority="234" operator="equal">
      <formula>""</formula>
    </cfRule>
  </conditionalFormatting>
  <conditionalFormatting sqref="F172">
    <cfRule type="cellIs" dxfId="914" priority="232" operator="equal">
      <formula>""</formula>
    </cfRule>
  </conditionalFormatting>
  <conditionalFormatting sqref="C214">
    <cfRule type="cellIs" dxfId="913" priority="230" operator="equal">
      <formula>""</formula>
    </cfRule>
  </conditionalFormatting>
  <conditionalFormatting sqref="F90">
    <cfRule type="cellIs" dxfId="912" priority="204" operator="equal">
      <formula>""</formula>
    </cfRule>
  </conditionalFormatting>
  <conditionalFormatting sqref="C256">
    <cfRule type="cellIs" dxfId="911" priority="226" operator="equal">
      <formula>""</formula>
    </cfRule>
  </conditionalFormatting>
  <conditionalFormatting sqref="F256">
    <cfRule type="cellIs" dxfId="910" priority="224" operator="equal">
      <formula>""</formula>
    </cfRule>
  </conditionalFormatting>
  <conditionalFormatting sqref="F174">
    <cfRule type="cellIs" dxfId="909" priority="200" operator="equal">
      <formula>""</formula>
    </cfRule>
  </conditionalFormatting>
  <conditionalFormatting sqref="C298">
    <cfRule type="cellIs" dxfId="908" priority="222" operator="equal">
      <formula>""</formula>
    </cfRule>
  </conditionalFormatting>
  <conditionalFormatting sqref="C90">
    <cfRule type="cellIs" dxfId="907" priority="205" operator="equal">
      <formula>""</formula>
    </cfRule>
  </conditionalFormatting>
  <conditionalFormatting sqref="F298">
    <cfRule type="cellIs" dxfId="906" priority="220" operator="equal">
      <formula>""</formula>
    </cfRule>
  </conditionalFormatting>
  <conditionalFormatting sqref="F258">
    <cfRule type="cellIs" dxfId="905" priority="196" operator="equal">
      <formula>""</formula>
    </cfRule>
  </conditionalFormatting>
  <conditionalFormatting sqref="C340">
    <cfRule type="cellIs" dxfId="904" priority="218" operator="equal">
      <formula>""</formula>
    </cfRule>
  </conditionalFormatting>
  <conditionalFormatting sqref="C174">
    <cfRule type="cellIs" dxfId="903" priority="201" operator="equal">
      <formula>""</formula>
    </cfRule>
  </conditionalFormatting>
  <conditionalFormatting sqref="F342">
    <cfRule type="cellIs" dxfId="902" priority="192" operator="equal">
      <formula>""</formula>
    </cfRule>
  </conditionalFormatting>
  <conditionalFormatting sqref="C382">
    <cfRule type="cellIs" dxfId="901" priority="214" operator="equal">
      <formula>""</formula>
    </cfRule>
  </conditionalFormatting>
  <conditionalFormatting sqref="C300">
    <cfRule type="cellIs" dxfId="900" priority="195" operator="equal">
      <formula>""</formula>
    </cfRule>
  </conditionalFormatting>
  <conditionalFormatting sqref="F300">
    <cfRule type="cellIs" dxfId="899" priority="194" operator="equal">
      <formula>""</formula>
    </cfRule>
  </conditionalFormatting>
  <conditionalFormatting sqref="C342">
    <cfRule type="cellIs" dxfId="898" priority="193" operator="equal">
      <formula>""</formula>
    </cfRule>
  </conditionalFormatting>
  <conditionalFormatting sqref="C384">
    <cfRule type="cellIs" dxfId="897" priority="191" operator="equal">
      <formula>""</formula>
    </cfRule>
  </conditionalFormatting>
  <conditionalFormatting sqref="F384">
    <cfRule type="cellIs" dxfId="896" priority="190" operator="equal">
      <formula>""</formula>
    </cfRule>
  </conditionalFormatting>
  <conditionalFormatting sqref="C132">
    <cfRule type="cellIs" dxfId="895" priority="203" operator="equal">
      <formula>""</formula>
    </cfRule>
  </conditionalFormatting>
  <conditionalFormatting sqref="F132">
    <cfRule type="cellIs" dxfId="894" priority="202" operator="equal">
      <formula>""</formula>
    </cfRule>
  </conditionalFormatting>
  <conditionalFormatting sqref="C216">
    <cfRule type="cellIs" dxfId="893" priority="199" operator="equal">
      <formula>""</formula>
    </cfRule>
  </conditionalFormatting>
  <conditionalFormatting sqref="F216">
    <cfRule type="cellIs" dxfId="892" priority="198" operator="equal">
      <formula>""</formula>
    </cfRule>
  </conditionalFormatting>
  <conditionalFormatting sqref="C258">
    <cfRule type="cellIs" dxfId="891" priority="197" operator="equal">
      <formula>""</formula>
    </cfRule>
  </conditionalFormatting>
  <conditionalFormatting sqref="F6">
    <cfRule type="cellIs" dxfId="890" priority="189" operator="equal">
      <formula>""</formula>
    </cfRule>
  </conditionalFormatting>
  <conditionalFormatting sqref="B1:C1 E1:F1">
    <cfRule type="expression" dxfId="889" priority="179">
      <formula>SelectRace="Vampire"</formula>
    </cfRule>
    <cfRule type="expression" dxfId="888" priority="180">
      <formula>SelectRace="Skaven"</formula>
    </cfRule>
    <cfRule type="expression" dxfId="887" priority="181">
      <formula>SelectRace="Peau-Verte"</formula>
    </cfRule>
    <cfRule type="expression" dxfId="886" priority="182">
      <formula>SelectRace="Homme-lézard"</formula>
    </cfRule>
    <cfRule type="expression" dxfId="885" priority="183">
      <formula>SelectRace="Homme-bête"</formula>
    </cfRule>
    <cfRule type="expression" dxfId="884" priority="184">
      <formula>SelectRace="Halfling"</formula>
    </cfRule>
    <cfRule type="expression" dxfId="883" priority="185">
      <formula>SelectRace="Elfe"</formula>
    </cfRule>
    <cfRule type="expression" dxfId="882" priority="186">
      <formula>SelectRace="Créature du chaos"</formula>
    </cfRule>
    <cfRule type="expression" dxfId="881" priority="187">
      <formula>SelectRace="Nain"</formula>
    </cfRule>
    <cfRule type="expression" dxfId="880" priority="188">
      <formula>SelectRace=“Humain“</formula>
    </cfRule>
  </conditionalFormatting>
  <conditionalFormatting sqref="B3:C3 E3:F3">
    <cfRule type="expression" dxfId="879" priority="169">
      <formula>SelectRace="Vampire"</formula>
    </cfRule>
    <cfRule type="expression" dxfId="878" priority="170">
      <formula>SelectRace="Skaven"</formula>
    </cfRule>
    <cfRule type="expression" dxfId="877" priority="171">
      <formula>SelectRace="Peau-Verte"</formula>
    </cfRule>
    <cfRule type="expression" dxfId="876" priority="172">
      <formula>SelectRace="Homme-lézard"</formula>
    </cfRule>
    <cfRule type="expression" dxfId="875" priority="173">
      <formula>SelectRace="Homme-bête"</formula>
    </cfRule>
    <cfRule type="expression" dxfId="874" priority="174">
      <formula>SelectRace="Halfling"</formula>
    </cfRule>
    <cfRule type="expression" dxfId="873" priority="175">
      <formula>SelectRace="Elfe"</formula>
    </cfRule>
    <cfRule type="expression" dxfId="872" priority="176">
      <formula>SelectRace="Créature du chaos"</formula>
    </cfRule>
    <cfRule type="expression" dxfId="871" priority="177">
      <formula>SelectRace="Nain"</formula>
    </cfRule>
    <cfRule type="expression" dxfId="870" priority="178">
      <formula>SelectRace=“Humain“</formula>
    </cfRule>
  </conditionalFormatting>
  <conditionalFormatting sqref="B45:C45 E45:F45">
    <cfRule type="expression" dxfId="869" priority="159">
      <formula>SelectRace="Vampire"</formula>
    </cfRule>
    <cfRule type="expression" dxfId="868" priority="160">
      <formula>SelectRace="Skaven"</formula>
    </cfRule>
    <cfRule type="expression" dxfId="867" priority="161">
      <formula>SelectRace="Peau-Verte"</formula>
    </cfRule>
    <cfRule type="expression" dxfId="866" priority="162">
      <formula>SelectRace="Homme-lézard"</formula>
    </cfRule>
    <cfRule type="expression" dxfId="865" priority="163">
      <formula>SelectRace="Homme-bête"</formula>
    </cfRule>
    <cfRule type="expression" dxfId="864" priority="164">
      <formula>SelectRace="Halfling"</formula>
    </cfRule>
    <cfRule type="expression" dxfId="863" priority="165">
      <formula>SelectRace="Elfe"</formula>
    </cfRule>
    <cfRule type="expression" dxfId="862" priority="166">
      <formula>SelectRace="Créature du chaos"</formula>
    </cfRule>
    <cfRule type="expression" dxfId="861" priority="167">
      <formula>SelectRace="Nain"</formula>
    </cfRule>
    <cfRule type="expression" dxfId="860" priority="168">
      <formula>SelectRace=“Humain“</formula>
    </cfRule>
  </conditionalFormatting>
  <conditionalFormatting sqref="B87:C87 E87:F87">
    <cfRule type="expression" dxfId="859" priority="149">
      <formula>SelectRace="Vampire"</formula>
    </cfRule>
    <cfRule type="expression" dxfId="858" priority="150">
      <formula>SelectRace="Skaven"</formula>
    </cfRule>
    <cfRule type="expression" dxfId="857" priority="151">
      <formula>SelectRace="Peau-Verte"</formula>
    </cfRule>
    <cfRule type="expression" dxfId="856" priority="152">
      <formula>SelectRace="Homme-lézard"</formula>
    </cfRule>
    <cfRule type="expression" dxfId="855" priority="153">
      <formula>SelectRace="Homme-bête"</formula>
    </cfRule>
    <cfRule type="expression" dxfId="854" priority="154">
      <formula>SelectRace="Halfling"</formula>
    </cfRule>
    <cfRule type="expression" dxfId="853" priority="155">
      <formula>SelectRace="Elfe"</formula>
    </cfRule>
    <cfRule type="expression" dxfId="852" priority="156">
      <formula>SelectRace="Créature du chaos"</formula>
    </cfRule>
    <cfRule type="expression" dxfId="851" priority="157">
      <formula>SelectRace="Nain"</formula>
    </cfRule>
    <cfRule type="expression" dxfId="850" priority="158">
      <formula>SelectRace=“Humain“</formula>
    </cfRule>
  </conditionalFormatting>
  <conditionalFormatting sqref="B129:C129 E129:F129">
    <cfRule type="expression" dxfId="849" priority="139">
      <formula>SelectRace="Vampire"</formula>
    </cfRule>
    <cfRule type="expression" dxfId="848" priority="140">
      <formula>SelectRace="Skaven"</formula>
    </cfRule>
    <cfRule type="expression" dxfId="847" priority="141">
      <formula>SelectRace="Peau-Verte"</formula>
    </cfRule>
    <cfRule type="expression" dxfId="846" priority="142">
      <formula>SelectRace="Homme-lézard"</formula>
    </cfRule>
    <cfRule type="expression" dxfId="845" priority="143">
      <formula>SelectRace="Homme-bête"</formula>
    </cfRule>
    <cfRule type="expression" dxfId="844" priority="144">
      <formula>SelectRace="Halfling"</formula>
    </cfRule>
    <cfRule type="expression" dxfId="843" priority="145">
      <formula>SelectRace="Elfe"</formula>
    </cfRule>
    <cfRule type="expression" dxfId="842" priority="146">
      <formula>SelectRace="Créature du chaos"</formula>
    </cfRule>
    <cfRule type="expression" dxfId="841" priority="147">
      <formula>SelectRace="Nain"</formula>
    </cfRule>
    <cfRule type="expression" dxfId="840" priority="148">
      <formula>SelectRace=“Humain“</formula>
    </cfRule>
  </conditionalFormatting>
  <conditionalFormatting sqref="G1:G423">
    <cfRule type="expression" dxfId="839" priority="39">
      <formula>SelectRace="Vampire"</formula>
    </cfRule>
    <cfRule type="expression" dxfId="838" priority="40">
      <formula>SelectRace="Skaven"</formula>
    </cfRule>
    <cfRule type="expression" dxfId="837" priority="41">
      <formula>SelectRace="Peau-Verte"</formula>
    </cfRule>
    <cfRule type="expression" dxfId="836" priority="42">
      <formula>SelectRace="Homme-lézard"</formula>
    </cfRule>
    <cfRule type="expression" dxfId="835" priority="43">
      <formula>SelectRace="Homme-bête"</formula>
    </cfRule>
    <cfRule type="expression" dxfId="834" priority="44">
      <formula>SelectRace="Halfling"</formula>
    </cfRule>
    <cfRule type="expression" dxfId="833" priority="45">
      <formula>SelectRace="Elfe"</formula>
    </cfRule>
    <cfRule type="expression" dxfId="832" priority="46">
      <formula>SelectRace="Créature du chaos"</formula>
    </cfRule>
    <cfRule type="expression" dxfId="831" priority="47">
      <formula>SelectRace="Nain"</formula>
    </cfRule>
  </conditionalFormatting>
  <conditionalFormatting sqref="B171:C171 E171:F171">
    <cfRule type="expression" dxfId="830" priority="129">
      <formula>SelectRace="Vampire"</formula>
    </cfRule>
    <cfRule type="expression" dxfId="829" priority="130">
      <formula>SelectRace="Skaven"</formula>
    </cfRule>
    <cfRule type="expression" dxfId="828" priority="131">
      <formula>SelectRace="Peau-Verte"</formula>
    </cfRule>
    <cfRule type="expression" dxfId="827" priority="132">
      <formula>SelectRace="Homme-lézard"</formula>
    </cfRule>
    <cfRule type="expression" dxfId="826" priority="133">
      <formula>SelectRace="Homme-bête"</formula>
    </cfRule>
    <cfRule type="expression" dxfId="825" priority="134">
      <formula>SelectRace="Halfling"</formula>
    </cfRule>
    <cfRule type="expression" dxfId="824" priority="135">
      <formula>SelectRace="Elfe"</formula>
    </cfRule>
    <cfRule type="expression" dxfId="823" priority="136">
      <formula>SelectRace="Créature du chaos"</formula>
    </cfRule>
    <cfRule type="expression" dxfId="822" priority="137">
      <formula>SelectRace="Nain"</formula>
    </cfRule>
    <cfRule type="expression" dxfId="821" priority="138">
      <formula>SelectRace=“Humain“</formula>
    </cfRule>
  </conditionalFormatting>
  <conditionalFormatting sqref="B213:C213 E213:F213">
    <cfRule type="expression" dxfId="820" priority="119">
      <formula>SelectRace="Vampire"</formula>
    </cfRule>
    <cfRule type="expression" dxfId="819" priority="120">
      <formula>SelectRace="Skaven"</formula>
    </cfRule>
    <cfRule type="expression" dxfId="818" priority="121">
      <formula>SelectRace="Peau-Verte"</formula>
    </cfRule>
    <cfRule type="expression" dxfId="817" priority="122">
      <formula>SelectRace="Homme-lézard"</formula>
    </cfRule>
    <cfRule type="expression" dxfId="816" priority="123">
      <formula>SelectRace="Homme-bête"</formula>
    </cfRule>
    <cfRule type="expression" dxfId="815" priority="124">
      <formula>SelectRace="Halfling"</formula>
    </cfRule>
    <cfRule type="expression" dxfId="814" priority="125">
      <formula>SelectRace="Elfe"</formula>
    </cfRule>
    <cfRule type="expression" dxfId="813" priority="126">
      <formula>SelectRace="Créature du chaos"</formula>
    </cfRule>
    <cfRule type="expression" dxfId="812" priority="127">
      <formula>SelectRace="Nain"</formula>
    </cfRule>
    <cfRule type="expression" dxfId="811" priority="128">
      <formula>SelectRace=“Humain“</formula>
    </cfRule>
  </conditionalFormatting>
  <conditionalFormatting sqref="B255:C255 E255:F255">
    <cfRule type="expression" dxfId="810" priority="109">
      <formula>SelectRace="Vampire"</formula>
    </cfRule>
    <cfRule type="expression" dxfId="809" priority="110">
      <formula>SelectRace="Skaven"</formula>
    </cfRule>
    <cfRule type="expression" dxfId="808" priority="111">
      <formula>SelectRace="Peau-Verte"</formula>
    </cfRule>
    <cfRule type="expression" dxfId="807" priority="112">
      <formula>SelectRace="Homme-lézard"</formula>
    </cfRule>
    <cfRule type="expression" dxfId="806" priority="113">
      <formula>SelectRace="Homme-bête"</formula>
    </cfRule>
    <cfRule type="expression" dxfId="805" priority="114">
      <formula>SelectRace="Halfling"</formula>
    </cfRule>
    <cfRule type="expression" dxfId="804" priority="115">
      <formula>SelectRace="Elfe"</formula>
    </cfRule>
    <cfRule type="expression" dxfId="803" priority="116">
      <formula>SelectRace="Créature du chaos"</formula>
    </cfRule>
    <cfRule type="expression" dxfId="802" priority="117">
      <formula>SelectRace="Nain"</formula>
    </cfRule>
    <cfRule type="expression" dxfId="801" priority="118">
      <formula>SelectRace=“Humain“</formula>
    </cfRule>
  </conditionalFormatting>
  <conditionalFormatting sqref="B297:C297 E297:F297">
    <cfRule type="expression" dxfId="800" priority="99">
      <formula>SelectRace="Vampire"</formula>
    </cfRule>
    <cfRule type="expression" dxfId="799" priority="100">
      <formula>SelectRace="Skaven"</formula>
    </cfRule>
    <cfRule type="expression" dxfId="798" priority="101">
      <formula>SelectRace="Peau-Verte"</formula>
    </cfRule>
    <cfRule type="expression" dxfId="797" priority="102">
      <formula>SelectRace="Homme-lézard"</formula>
    </cfRule>
    <cfRule type="expression" dxfId="796" priority="103">
      <formula>SelectRace="Homme-bête"</formula>
    </cfRule>
    <cfRule type="expression" dxfId="795" priority="104">
      <formula>SelectRace="Halfling"</formula>
    </cfRule>
    <cfRule type="expression" dxfId="794" priority="105">
      <formula>SelectRace="Elfe"</formula>
    </cfRule>
    <cfRule type="expression" dxfId="793" priority="106">
      <formula>SelectRace="Créature du chaos"</formula>
    </cfRule>
    <cfRule type="expression" dxfId="792" priority="107">
      <formula>SelectRace="Nain"</formula>
    </cfRule>
    <cfRule type="expression" dxfId="791" priority="108">
      <formula>SelectRace=“Humain“</formula>
    </cfRule>
  </conditionalFormatting>
  <conditionalFormatting sqref="B339:C339 E339:F339">
    <cfRule type="expression" dxfId="790" priority="89">
      <formula>SelectRace="Vampire"</formula>
    </cfRule>
    <cfRule type="expression" dxfId="789" priority="90">
      <formula>SelectRace="Skaven"</formula>
    </cfRule>
    <cfRule type="expression" dxfId="788" priority="91">
      <formula>SelectRace="Peau-Verte"</formula>
    </cfRule>
    <cfRule type="expression" dxfId="787" priority="92">
      <formula>SelectRace="Homme-lézard"</formula>
    </cfRule>
    <cfRule type="expression" dxfId="786" priority="93">
      <formula>SelectRace="Homme-bête"</formula>
    </cfRule>
    <cfRule type="expression" dxfId="785" priority="94">
      <formula>SelectRace="Halfling"</formula>
    </cfRule>
    <cfRule type="expression" dxfId="784" priority="95">
      <formula>SelectRace="Elfe"</formula>
    </cfRule>
    <cfRule type="expression" dxfId="783" priority="96">
      <formula>SelectRace="Créature du chaos"</formula>
    </cfRule>
    <cfRule type="expression" dxfId="782" priority="97">
      <formula>SelectRace="Nain"</formula>
    </cfRule>
    <cfRule type="expression" dxfId="781" priority="98">
      <formula>SelectRace=“Humain“</formula>
    </cfRule>
  </conditionalFormatting>
  <conditionalFormatting sqref="B381:C381 E381:F381">
    <cfRule type="expression" dxfId="780" priority="79">
      <formula>SelectRace="Vampire"</formula>
    </cfRule>
    <cfRule type="expression" dxfId="779" priority="80">
      <formula>SelectRace="Skaven"</formula>
    </cfRule>
    <cfRule type="expression" dxfId="778" priority="81">
      <formula>SelectRace="Peau-Verte"</formula>
    </cfRule>
    <cfRule type="expression" dxfId="777" priority="82">
      <formula>SelectRace="Homme-lézard"</formula>
    </cfRule>
    <cfRule type="expression" dxfId="776" priority="83">
      <formula>SelectRace="Homme-bête"</formula>
    </cfRule>
    <cfRule type="expression" dxfId="775" priority="84">
      <formula>SelectRace="Halfling"</formula>
    </cfRule>
    <cfRule type="expression" dxfId="774" priority="85">
      <formula>SelectRace="Elfe"</formula>
    </cfRule>
    <cfRule type="expression" dxfId="773" priority="86">
      <formula>SelectRace="Créature du chaos"</formula>
    </cfRule>
    <cfRule type="expression" dxfId="772" priority="87">
      <formula>SelectRace="Nain"</formula>
    </cfRule>
    <cfRule type="expression" dxfId="771" priority="88">
      <formula>SelectRace=“Humain“</formula>
    </cfRule>
  </conditionalFormatting>
  <conditionalFormatting sqref="B423:C423 E423:F423">
    <cfRule type="expression" dxfId="770" priority="69">
      <formula>SelectRace="Vampire"</formula>
    </cfRule>
    <cfRule type="expression" dxfId="769" priority="70">
      <formula>SelectRace="Skaven"</formula>
    </cfRule>
    <cfRule type="expression" dxfId="768" priority="71">
      <formula>SelectRace="Peau-Verte"</formula>
    </cfRule>
    <cfRule type="expression" dxfId="767" priority="72">
      <formula>SelectRace="Homme-lézard"</formula>
    </cfRule>
    <cfRule type="expression" dxfId="766" priority="73">
      <formula>SelectRace="Homme-bête"</formula>
    </cfRule>
    <cfRule type="expression" dxfId="765" priority="74">
      <formula>SelectRace="Halfling"</formula>
    </cfRule>
    <cfRule type="expression" dxfId="764" priority="75">
      <formula>SelectRace="Elfe"</formula>
    </cfRule>
    <cfRule type="expression" dxfId="763" priority="76">
      <formula>SelectRace="Créature du chaos"</formula>
    </cfRule>
    <cfRule type="expression" dxfId="762" priority="77">
      <formula>SelectRace="Nain"</formula>
    </cfRule>
    <cfRule type="expression" dxfId="761" priority="78">
      <formula>SelectRace=“Humain“</formula>
    </cfRule>
  </conditionalFormatting>
  <conditionalFormatting sqref="A1:A423">
    <cfRule type="expression" dxfId="760" priority="59">
      <formula>SelectRace="Vampire"</formula>
    </cfRule>
    <cfRule type="expression" dxfId="759" priority="60">
      <formula>SelectRace="Skaven"</formula>
    </cfRule>
    <cfRule type="expression" dxfId="758" priority="61">
      <formula>SelectRace="Peau-Verte"</formula>
    </cfRule>
    <cfRule type="expression" dxfId="757" priority="62">
      <formula>SelectRace="Homme-lézard"</formula>
    </cfRule>
    <cfRule type="expression" dxfId="756" priority="63">
      <formula>SelectRace="Homme-bête"</formula>
    </cfRule>
    <cfRule type="expression" dxfId="755" priority="64">
      <formula>SelectRace="Halfling"</formula>
    </cfRule>
    <cfRule type="expression" dxfId="754" priority="65">
      <formula>SelectRace="Elfe"</formula>
    </cfRule>
    <cfRule type="expression" dxfId="753" priority="66">
      <formula>SelectRace="Créature du chaos"</formula>
    </cfRule>
    <cfRule type="expression" dxfId="752" priority="67">
      <formula>SelectRace="Nain"</formula>
    </cfRule>
    <cfRule type="expression" dxfId="751" priority="68">
      <formula>SelectRace=“Humain“</formula>
    </cfRule>
  </conditionalFormatting>
  <conditionalFormatting sqref="D1:D423">
    <cfRule type="expression" dxfId="750" priority="49">
      <formula>SelectRace="Vampire"</formula>
    </cfRule>
    <cfRule type="expression" dxfId="749" priority="50">
      <formula>SelectRace="Skaven"</formula>
    </cfRule>
    <cfRule type="expression" dxfId="748" priority="51">
      <formula>SelectRace="Peau-Verte"</formula>
    </cfRule>
    <cfRule type="expression" dxfId="747" priority="52">
      <formula>SelectRace="Homme-lézard"</formula>
    </cfRule>
    <cfRule type="expression" dxfId="746" priority="53">
      <formula>SelectRace="Homme-bête"</formula>
    </cfRule>
    <cfRule type="expression" dxfId="745" priority="54">
      <formula>SelectRace="Halfling"</formula>
    </cfRule>
    <cfRule type="expression" dxfId="744" priority="55">
      <formula>SelectRace="Elfe"</formula>
    </cfRule>
    <cfRule type="expression" dxfId="743" priority="56">
      <formula>SelectRace="Créature du chaos"</formula>
    </cfRule>
    <cfRule type="expression" dxfId="742" priority="57">
      <formula>SelectRace="Nain"</formula>
    </cfRule>
    <cfRule type="expression" dxfId="741" priority="58">
      <formula>SelectRace=“Humain“</formula>
    </cfRule>
  </conditionalFormatting>
  <conditionalFormatting sqref="F383">
    <cfRule type="cellIs" dxfId="740" priority="1" operator="equal">
      <formula>""</formula>
    </cfRule>
  </conditionalFormatting>
  <conditionalFormatting sqref="C383">
    <cfRule type="cellIs" dxfId="739" priority="2" operator="equal">
      <formula>""</formula>
    </cfRule>
  </conditionalFormatting>
  <conditionalFormatting sqref="F5">
    <cfRule type="cellIs" dxfId="738" priority="19" operator="equal">
      <formula>""</formula>
    </cfRule>
  </conditionalFormatting>
  <conditionalFormatting sqref="C47">
    <cfRule type="cellIs" dxfId="737" priority="18" operator="equal">
      <formula>""</formula>
    </cfRule>
  </conditionalFormatting>
  <conditionalFormatting sqref="F47">
    <cfRule type="cellIs" dxfId="736" priority="17" operator="equal">
      <formula>""</formula>
    </cfRule>
  </conditionalFormatting>
  <conditionalFormatting sqref="C89">
    <cfRule type="cellIs" dxfId="735" priority="16" operator="equal">
      <formula>""</formula>
    </cfRule>
  </conditionalFormatting>
  <conditionalFormatting sqref="F89">
    <cfRule type="cellIs" dxfId="734" priority="15" operator="equal">
      <formula>""</formula>
    </cfRule>
  </conditionalFormatting>
  <conditionalFormatting sqref="C131">
    <cfRule type="cellIs" dxfId="733" priority="14" operator="equal">
      <formula>""</formula>
    </cfRule>
  </conditionalFormatting>
  <conditionalFormatting sqref="F131">
    <cfRule type="cellIs" dxfId="732" priority="13" operator="equal">
      <formula>""</formula>
    </cfRule>
  </conditionalFormatting>
  <conditionalFormatting sqref="C173">
    <cfRule type="cellIs" dxfId="731" priority="12" operator="equal">
      <formula>""</formula>
    </cfRule>
  </conditionalFormatting>
  <conditionalFormatting sqref="F173">
    <cfRule type="cellIs" dxfId="730" priority="11" operator="equal">
      <formula>""</formula>
    </cfRule>
  </conditionalFormatting>
  <conditionalFormatting sqref="C215">
    <cfRule type="cellIs" dxfId="729" priority="10" operator="equal">
      <formula>""</formula>
    </cfRule>
  </conditionalFormatting>
  <conditionalFormatting sqref="F215">
    <cfRule type="cellIs" dxfId="728" priority="9" operator="equal">
      <formula>""</formula>
    </cfRule>
  </conditionalFormatting>
  <conditionalFormatting sqref="C257">
    <cfRule type="cellIs" dxfId="727" priority="8" operator="equal">
      <formula>""</formula>
    </cfRule>
  </conditionalFormatting>
  <conditionalFormatting sqref="F257">
    <cfRule type="cellIs" dxfId="726" priority="7" operator="equal">
      <formula>""</formula>
    </cfRule>
  </conditionalFormatting>
  <conditionalFormatting sqref="C299">
    <cfRule type="cellIs" dxfId="725" priority="6" operator="equal">
      <formula>""</formula>
    </cfRule>
  </conditionalFormatting>
  <conditionalFormatting sqref="F299">
    <cfRule type="cellIs" dxfId="724" priority="5" operator="equal">
      <formula>""</formula>
    </cfRule>
  </conditionalFormatting>
  <conditionalFormatting sqref="C341">
    <cfRule type="cellIs" dxfId="723" priority="4" operator="equal">
      <formula>""</formula>
    </cfRule>
  </conditionalFormatting>
  <conditionalFormatting sqref="F341">
    <cfRule type="cellIs" dxfId="722" priority="3" operator="equal">
      <formula>""</formula>
    </cfRule>
  </conditionalFormatting>
  <dataValidations count="4">
    <dataValidation type="list" allowBlank="1" showInputMessage="1" sqref="F48 C48 C90 F90 C132 F132 C174 F174 C216 F216 C258 F258 C300 F300 C342 F342 C384 F384" xr:uid="{C0920269-784E-474C-860B-2DAE1FE54363}">
      <formula1>OFFSET(C55:C87,0,0,(33-COUNTBLANK(C55:C87)))</formula1>
    </dataValidation>
    <dataValidation allowBlank="1" showInputMessage="1" sqref="G1:G1048576 D1:D1048576" xr:uid="{3D45E160-34BA-4B12-A97C-3CF05A7083C1}"/>
    <dataValidation type="list" allowBlank="1" showInputMessage="1" sqref="C6 F6" xr:uid="{34DA6EEB-A783-4C54-8DE9-A8242DE710BD}">
      <formula1>OFFSET(C13:C44,0,0,(32-COUNTBLANK(C13:C44)))</formula1>
    </dataValidation>
    <dataValidation type="list" allowBlank="1" showInputMessage="1" showErrorMessage="1" sqref="F383 F5 C47 F47 C89 F89 C131 F131 C173 F173 C215 F215 C257 F257 C299 F299 C341 F341 C383 C5" xr:uid="{0AC3DC98-B3C5-44BE-AB26-CF94C8740217}">
      <formula1>IF(C4="Magie divine",m_d,IF(C4="Domaines divins",d_d,IF(C4="Magie commune",m_c,IF(C4="Savoir occulte",s_o,IF(C4="Sombres savoirs",s_s,IF(C4="Tradition de Sorcières",tr_so,IF(C4="Magie haute",m_h,IF(C4="Magie de la Waaagh",mw,C4))))))))</formula1>
    </dataValidation>
  </dataValidations>
  <printOptions horizontalCentered="1" verticalCentered="1"/>
  <pageMargins left="0" right="0" top="0" bottom="0" header="0" footer="0"/>
  <pageSetup paperSize="9" scale="12"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xr:uid="{59E4C389-2D1B-426A-AE7F-078D7AF21480}">
          <x14:formula1>
            <xm:f>OFFSET(tableaux!$CX$2,0,0,COUNT(tableaux!$CW$2:$CW$10))</xm:f>
          </x14:formula1>
          <xm:sqref>F4 F88 C46 F46 C130 F130 C172 F172 C214 F214 C256 F256 C298 F298 C340 F340 F382 C88 C382 C4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rgb="FFFF0000"/>
    <pageSetUpPr fitToPage="1"/>
  </sheetPr>
  <dimension ref="A1:N57"/>
  <sheetViews>
    <sheetView showGridLines="0" showRowColHeaders="0" zoomScaleNormal="100" workbookViewId="0"/>
  </sheetViews>
  <sheetFormatPr baseColWidth="10" defaultColWidth="11.44140625" defaultRowHeight="13.2"/>
  <cols>
    <col min="1" max="1" width="1.6640625" style="85" customWidth="1"/>
    <col min="2" max="2" width="14.109375" style="85" customWidth="1"/>
    <col min="3" max="10" width="5.88671875" style="85" customWidth="1"/>
    <col min="11" max="11" width="3.88671875" style="85" customWidth="1"/>
    <col min="12" max="12" width="22.44140625" style="85" customWidth="1"/>
    <col min="13" max="13" width="2.33203125" style="85" customWidth="1"/>
    <col min="14" max="16384" width="11.44140625" style="85"/>
  </cols>
  <sheetData>
    <row r="1" spans="1:14">
      <c r="A1" s="217"/>
      <c r="B1" s="217"/>
      <c r="C1" s="217"/>
      <c r="D1" s="217"/>
      <c r="E1" s="217"/>
      <c r="F1" s="217"/>
      <c r="G1" s="217"/>
      <c r="H1" s="217"/>
      <c r="I1" s="217"/>
      <c r="J1" s="217"/>
      <c r="K1" s="217"/>
      <c r="L1" s="217"/>
      <c r="M1" s="217"/>
    </row>
    <row r="2" spans="1:14" ht="15.6">
      <c r="A2" s="217"/>
      <c r="B2" s="217"/>
      <c r="C2" s="1450" t="s">
        <v>13215</v>
      </c>
      <c r="D2" s="1450"/>
      <c r="E2" s="1450"/>
      <c r="F2" s="1450"/>
      <c r="G2" s="1450"/>
      <c r="H2" s="1450"/>
      <c r="I2" s="1450"/>
      <c r="J2" s="1450"/>
      <c r="K2" s="1450"/>
      <c r="L2" s="1450"/>
      <c r="M2" s="217"/>
    </row>
    <row r="3" spans="1:14" ht="13.8" thickBot="1">
      <c r="A3" s="217"/>
      <c r="B3" s="217"/>
      <c r="C3" s="217"/>
      <c r="D3" s="217"/>
      <c r="E3" s="217"/>
      <c r="F3" s="217"/>
      <c r="G3" s="217"/>
      <c r="H3" s="217"/>
      <c r="I3" s="217"/>
      <c r="J3" s="217"/>
      <c r="K3" s="217"/>
      <c r="L3" s="217"/>
      <c r="M3" s="217"/>
    </row>
    <row r="4" spans="1:14" ht="14.4" thickTop="1" thickBot="1">
      <c r="A4" s="217"/>
      <c r="B4" s="268" t="s">
        <v>6412</v>
      </c>
      <c r="C4" s="1454" t="str">
        <f>IF(C6="","",IF(C6="Forme animale",CONCATENATE('page 1'!C3," ",'page 1'!K3),""))</f>
        <v/>
      </c>
      <c r="D4" s="1455"/>
      <c r="E4" s="1455"/>
      <c r="F4" s="1455"/>
      <c r="G4" s="1455"/>
      <c r="H4" s="1455"/>
      <c r="I4" s="1455"/>
      <c r="J4" s="1455"/>
      <c r="K4" s="1456"/>
      <c r="L4" s="217"/>
      <c r="M4" s="654"/>
    </row>
    <row r="5" spans="1:14" ht="14.4" thickTop="1" thickBot="1">
      <c r="A5" s="908"/>
      <c r="B5" s="217"/>
      <c r="C5" s="217"/>
      <c r="D5" s="217"/>
      <c r="E5" s="217"/>
      <c r="F5" s="217"/>
      <c r="G5" s="217"/>
      <c r="H5" s="908"/>
      <c r="I5" s="217"/>
      <c r="J5" s="217"/>
      <c r="K5" s="217"/>
      <c r="L5" s="217"/>
      <c r="M5" s="654"/>
    </row>
    <row r="6" spans="1:14" ht="13.8" thickTop="1">
      <c r="A6" s="908"/>
      <c r="B6" s="758" t="s">
        <v>7329</v>
      </c>
      <c r="C6" s="1447"/>
      <c r="D6" s="1448"/>
      <c r="E6" s="1448"/>
      <c r="F6" s="1448"/>
      <c r="G6" s="1449"/>
      <c r="H6" s="908">
        <f>IF(C6="Familier",1,IF(C6="Forme animale",2,IF(C6="Serviteur/Suivant",3,IF(C6="Monture",4,IF(C6="Epique",5,IF(C6="Artificiel/Invoqué",6,0))))))</f>
        <v>0</v>
      </c>
      <c r="I6" s="1446" t="s">
        <v>7330</v>
      </c>
      <c r="J6" s="1446"/>
      <c r="K6" s="924"/>
      <c r="L6" s="316"/>
      <c r="M6" s="654"/>
    </row>
    <row r="7" spans="1:14">
      <c r="A7" s="908"/>
      <c r="B7" s="758" t="str">
        <f>IF(OR(H6=1,H6=6),"Type précis:",IF(OR(H6=2,H6=3),"Race originelle:",IF(OR(H6=4,H6=5),"Sous-race:","")))</f>
        <v/>
      </c>
      <c r="C7" s="1443"/>
      <c r="D7" s="1444"/>
      <c r="E7" s="1444"/>
      <c r="F7" s="1444"/>
      <c r="G7" s="1445"/>
      <c r="H7" s="908"/>
      <c r="I7" s="1446" t="s">
        <v>7332</v>
      </c>
      <c r="J7" s="1446"/>
      <c r="K7" s="924"/>
      <c r="L7" s="317"/>
      <c r="M7" s="654"/>
    </row>
    <row r="8" spans="1:14">
      <c r="A8" s="908"/>
      <c r="B8" s="758" t="str">
        <f>IF(OR(C6="Familier",C6="Forme animale",C6="Monture",C6="Epique"),"Race:",IF(C6="Artificiel/Invoqué","Attribut 1:","Profession:"))</f>
        <v>Profession:</v>
      </c>
      <c r="C8" s="1443"/>
      <c r="D8" s="1444"/>
      <c r="E8" s="1444"/>
      <c r="F8" s="1444"/>
      <c r="G8" s="1445"/>
      <c r="H8" s="908">
        <f>IF(C7="Elfe",1,IF(C7="Halfling",3,IF(C7="Humain",5,IF(C7="Nain",7,13))))</f>
        <v>13</v>
      </c>
      <c r="I8" s="1446" t="str">
        <f>IF(OR(C6="Familier",C6="Forme animale"),"Bizzareries:",IF(C6="Artificiel/Invoqué","Attribut 3:","Signes distinctifs:"))</f>
        <v>Signes distinctifs:</v>
      </c>
      <c r="J8" s="1446"/>
      <c r="K8" s="924"/>
      <c r="L8" s="317"/>
      <c r="M8" s="654"/>
      <c r="N8" s="454"/>
    </row>
    <row r="9" spans="1:14">
      <c r="A9" s="908"/>
      <c r="B9" s="758" t="str">
        <f>IF(C6="Artificiel/Invoqué","Attribut 2:","Couleur de peau/pilosité:")</f>
        <v>Couleur de peau/pilosité:</v>
      </c>
      <c r="C9" s="1443"/>
      <c r="D9" s="1444"/>
      <c r="E9" s="1444"/>
      <c r="F9" s="1444"/>
      <c r="G9" s="1445"/>
      <c r="H9" s="908">
        <f>IF(C7="Familier magique",1,0)</f>
        <v>0</v>
      </c>
      <c r="I9" s="1446" t="str">
        <f>IF(C7="Familier magique","Pouvoir de familier:",IF(C6="Artificiel/Invoqué","Attribut 4:","Origine:"))</f>
        <v>Origine:</v>
      </c>
      <c r="J9" s="1446"/>
      <c r="K9" s="924"/>
      <c r="L9" s="317"/>
      <c r="M9" s="654"/>
    </row>
    <row r="10" spans="1:14" ht="13.8" thickBot="1">
      <c r="A10" s="908"/>
      <c r="B10" s="759" t="s">
        <v>7645</v>
      </c>
      <c r="C10" s="1451"/>
      <c r="D10" s="1452"/>
      <c r="E10" s="1452"/>
      <c r="F10" s="1452"/>
      <c r="G10" s="1453"/>
      <c r="H10" s="908">
        <f>H8+M10</f>
        <v>22</v>
      </c>
      <c r="I10" s="1446" t="s">
        <v>7360</v>
      </c>
      <c r="J10" s="1446"/>
      <c r="K10" s="924"/>
      <c r="L10" s="318"/>
      <c r="M10" s="908">
        <f>IF(L10="masculin",0,IF(L10="féminin",1,9))</f>
        <v>9</v>
      </c>
    </row>
    <row r="11" spans="1:14" ht="13.8" thickTop="1">
      <c r="A11" s="908"/>
      <c r="B11" s="217"/>
      <c r="C11" s="703" t="str">
        <f>IF(C6="Forme animale","Pour les sorts Bête Sauvage d'Horros/Transformation de Kadon, sélectionner une forme Epique","")</f>
        <v/>
      </c>
      <c r="D11" s="217"/>
      <c r="E11" s="217"/>
      <c r="F11" s="217"/>
      <c r="G11" s="217"/>
      <c r="H11" s="908"/>
      <c r="I11" s="217"/>
      <c r="J11" s="217"/>
      <c r="K11" s="217"/>
      <c r="L11" s="217"/>
      <c r="M11" s="654"/>
    </row>
    <row r="12" spans="1:14">
      <c r="A12" s="908"/>
      <c r="B12" s="217"/>
      <c r="C12" s="749" t="s">
        <v>120</v>
      </c>
      <c r="D12" s="749"/>
      <c r="E12" s="749"/>
      <c r="F12" s="749"/>
      <c r="G12" s="217"/>
      <c r="H12" s="217"/>
      <c r="I12" s="217"/>
      <c r="J12" s="217"/>
      <c r="K12" s="217"/>
      <c r="L12" s="217"/>
      <c r="M12" s="217"/>
    </row>
    <row r="13" spans="1:14" ht="13.8" thickBot="1">
      <c r="A13" s="217"/>
      <c r="B13" s="217"/>
      <c r="C13" s="320" t="s">
        <v>129</v>
      </c>
      <c r="D13" s="320" t="s">
        <v>130</v>
      </c>
      <c r="E13" s="320" t="s">
        <v>131</v>
      </c>
      <c r="F13" s="320" t="s">
        <v>148</v>
      </c>
      <c r="G13" s="320" t="s">
        <v>132</v>
      </c>
      <c r="H13" s="320" t="s">
        <v>133</v>
      </c>
      <c r="I13" s="320" t="s">
        <v>134</v>
      </c>
      <c r="J13" s="320" t="s">
        <v>135</v>
      </c>
      <c r="K13" s="217"/>
      <c r="L13" s="760" t="str">
        <f>IF(OR(C6="Familier",C6="Monture"),"Frais moyens par jour",IF(C6="Serviteur/Suivant","Salaire moyen par jour",IF(C6="Artificiel/Invoqué","Entretien","")))</f>
        <v/>
      </c>
      <c r="M13" s="217"/>
    </row>
    <row r="14" spans="1:14" ht="13.8" thickBot="1">
      <c r="A14" s="217"/>
      <c r="B14" s="217"/>
      <c r="C14" s="214" t="str">
        <f>IF(C7="","",IF(C6="Artificiel/Invoqué",VLOOKUP(C7,tableaux!$FB:$FW,5,0),IF(AND(C6="Serviteur/Suivant",C7="Halfling"),(VLOOKUP(C8,tableaux!$FB:$FW,5,0)-10),IF(AND(C6="Serviteur/Suivant",C7="Nain"),(VLOOKUP(C8,tableaux!$FB:$FW,5,0)+10),(VLOOKUP(C8,tableaux!$FB:$FW,5,IF(AND(C6="Serviteur/Suivant",C7="Halfling"),(VLOOKUP(C8,tableaux!$FB:$FW,5,0)-10),0)))))))</f>
        <v/>
      </c>
      <c r="D14" s="214" t="str">
        <f>IF(C7="","",IF(C6="Artificiel/Invoqué",VLOOKUP(C7,tableaux!$FB:$FW,6,0),IF(AND(C6="Serviteur/Suivant",OR(C7="Elfe",C7="Halfling")),(VLOOKUP(C8,tableaux!$FB:$FW,5,0)+10),VLOOKUP(C8,tableaux!$FB:$FW,6,0))))</f>
        <v/>
      </c>
      <c r="E14" s="214" t="str">
        <f>IF(C7="","",IF(C6="Artificiel/Invoqué",VLOOKUP(C7,tableaux!$FB:$FW,7,0),IF(AND(C6="Serviteur/Suivant",C7="Halfling"),(VLOOKUP(C8,tableaux!$FB:$FW,7,0)-10),VLOOKUP(C8,tableaux!$FB:$FW,7,0))))</f>
        <v/>
      </c>
      <c r="F14" s="214" t="str">
        <f>IF(C7="","",IF(C6="Artificiel/Invoqué",VLOOKUP(C7,tableaux!$FB:$FW,8,0),IF(AND(C6="Serviteur/Suivant",C7="Halfling"),(VLOOKUP(C8,tableaux!$FB:$FW,8,0)-10),IF(AND(C6="Serviteur/Suivant",C7="Nain"),(VLOOKUP(C8,tableaux!$FB:$FW,8,0)+10),VLOOKUP(C8,tableaux!$FB:$FW,8,0)))))</f>
        <v/>
      </c>
      <c r="G14" s="214" t="str">
        <f>IF(C7="","",IF(C6="Artificiel/Invoqué",VLOOKUP(C7,tableaux!$FB:$FW,9,0),IF(AND(C6="Serviteur/Suivant",OR(C7="Elfe",C7="Halfling")),(VLOOKUP(C8,tableaux!$FB:$FW,9,0)+10),IF(AND(C6="Serviteur/Suivant",OR(C7="Elfe",C7="Nain")),(VLOOKUP(C8,tableaux!$FB:$FW,9,0)-10),(VLOOKUP(C8,tableaux!$FB:$FW,9,0))))))</f>
        <v/>
      </c>
      <c r="H14" s="214" t="str">
        <f>IF(OR(C6="",C7=""),"",IF(C6="Artificiel/Invoqué",VLOOKUP(C7,tableaux!$FB:$FW,10,0),IF(C6="Forme animale",Int,IF(C7="","",VLOOKUP(C8,tableaux!$FB:$FW,10,0)))))</f>
        <v/>
      </c>
      <c r="I14" s="214" t="str">
        <f>IF(OR(C6="",C7=""),"",IF(C6="Artificiel/Invoqué",VLOOKUP(C7,tableaux!$FB:$FW,11,0),IF(C6="Forme animale",FM,IF(C7="","",VLOOKUP(C8,tableaux!$FB:$FW,11,0)))))</f>
        <v/>
      </c>
      <c r="J14" s="214" t="str">
        <f>IF(C7="","",IF(C6="Artificiel/Invoqué",VLOOKUP(C7,tableaux!$FB:$FW,12,0),IF(AND(C6="Serviteur/Suivant",C7="Halfling"),(VLOOKUP(C8,tableaux!$FB:$FW,12,0)+10),IF(AND(C6="Serviteur/Suivant",C7="Nain"),(VLOOKUP(C8,tableaux!$FB:$FW,12,0)-10),VLOOKUP(C8,tableaux!$FB:$FW,12,0)))))</f>
        <v/>
      </c>
      <c r="K14" s="217"/>
      <c r="L14" s="214" t="str">
        <f>IF(C6="","",IF(C7="","",IF(C6="Artificiel/Invoqué",VLOOKUP(C7,tableaux!$FB:$FX,23,0),VLOOKUP(C8,tableaux!FB:FX,23,0))))</f>
        <v/>
      </c>
      <c r="M14" s="217"/>
    </row>
    <row r="15" spans="1:14">
      <c r="A15" s="217"/>
      <c r="B15" s="217"/>
      <c r="C15" s="749" t="s">
        <v>139</v>
      </c>
      <c r="D15" s="749"/>
      <c r="E15" s="749"/>
      <c r="F15" s="749"/>
      <c r="G15" s="217"/>
      <c r="H15" s="217"/>
      <c r="I15" s="217"/>
      <c r="J15" s="217"/>
      <c r="K15" s="217"/>
      <c r="L15" s="217"/>
      <c r="M15" s="217"/>
    </row>
    <row r="16" spans="1:14" ht="13.8" thickBot="1">
      <c r="A16" s="217"/>
      <c r="B16" s="217"/>
      <c r="C16" s="320" t="s">
        <v>140</v>
      </c>
      <c r="D16" s="320" t="s">
        <v>141</v>
      </c>
      <c r="E16" s="320" t="s">
        <v>142</v>
      </c>
      <c r="F16" s="320" t="s">
        <v>143</v>
      </c>
      <c r="G16" s="320" t="s">
        <v>144</v>
      </c>
      <c r="H16" s="320" t="s">
        <v>145</v>
      </c>
      <c r="I16" s="320" t="s">
        <v>146</v>
      </c>
      <c r="J16" s="320" t="s">
        <v>147</v>
      </c>
      <c r="K16" s="217"/>
      <c r="L16" s="217"/>
      <c r="M16" s="217"/>
    </row>
    <row r="17" spans="1:13" ht="13.8" thickBot="1">
      <c r="A17" s="217"/>
      <c r="B17" s="217"/>
      <c r="C17" s="214" t="str">
        <f>IF(C7="","",IF(C6="Artificiel/Invoqué",VLOOKUP(C7,tableaux!$FB:$FW,13,0),VLOOKUP(C8,tableaux!$FB:$FW,13,0)))</f>
        <v/>
      </c>
      <c r="D17" s="214" t="str">
        <f>IF(C7="","",IF(C6="Artificiel/Invoqué",VLOOKUP(C7,tableaux!$FB:$FW,14,0),IF(AND(C6="Serviteur/Suivant",C7="Elfe"),(VLOOKUP(C8,tableaux!$FB:$FW,14,0)-1),IF(AND(C6="Serviteur/Suivant",C7="Halfling"),(VLOOKUP(C8,tableaux!$FB:$FW,14,0)-2),IF(AND(C6="Serviteur/Suivant",C7="Nain"),(VLOOKUP(C8,tableaux!$FB:$FW,14,0)+1),(VLOOKUP(C8,tableaux!$FB:$FW,14,0)))))))</f>
        <v/>
      </c>
      <c r="E17" s="214" t="str">
        <f>IF(E14="","",ROUNDDOWN(E14/10,1))</f>
        <v/>
      </c>
      <c r="F17" s="214" t="str">
        <f>IF(F14="","",ROUNDDOWN(F14/10,1))</f>
        <v/>
      </c>
      <c r="G17" s="214" t="str">
        <f>IF(C7="","",IF(C6="Artificiel/Invoqué",VLOOKUP(C7,tableaux!$FB:$FW,17,0),IF(AND(C6="Serviteur/Suivant",C7="Elfe"),(VLOOKUP(C8,tableaux!$FB:$FW,17,0)+1),IF(AND(C6="Serviteur/Suivant",C7="Nain"),(VLOOKUP(C8,tableaux!$FB:$FW,17,0)-1),(VLOOKUP(C8,tableaux!$FB:$FW,17,0))))))</f>
        <v/>
      </c>
      <c r="H17" s="214" t="str">
        <f>IF(C7="","",IF(C6="Artificiel/Invoqué",VLOOKUP(C7,tableaux!$FB:$FW,18,0),VLOOKUP(C8,tableaux!$FB:$FW,18,0)))</f>
        <v/>
      </c>
      <c r="I17" s="214" t="str">
        <f>IF(C7="","",IF(C6="Artificiel/Invoqué",VLOOKUP(C7,tableaux!$FB:$FW,19,0),VLOOKUP(C8,tableaux!$FB:$FW,19,0)))</f>
        <v/>
      </c>
      <c r="J17" s="214" t="str">
        <f>IF(C7="","",IF(C6="Artificiel/Invoqué",VLOOKUP(C7,tableaux!$FB:$FW,20,0),VLOOKUP(C8,tableaux!$FB:$FW,20,0)))</f>
        <v/>
      </c>
      <c r="K17" s="217"/>
      <c r="L17" s="217"/>
      <c r="M17" s="217"/>
    </row>
    <row r="18" spans="1:13" ht="13.8" thickBot="1">
      <c r="A18" s="217"/>
      <c r="B18" s="217"/>
      <c r="C18" s="217"/>
      <c r="D18" s="217"/>
      <c r="E18" s="217"/>
      <c r="F18" s="217"/>
      <c r="G18" s="217"/>
      <c r="H18" s="217"/>
      <c r="I18" s="217"/>
      <c r="J18" s="217"/>
      <c r="K18" s="217"/>
      <c r="L18" s="217"/>
      <c r="M18" s="217"/>
    </row>
    <row r="19" spans="1:13" ht="13.8" thickTop="1">
      <c r="A19" s="217"/>
      <c r="B19" s="319" t="s">
        <v>5553</v>
      </c>
      <c r="C19" s="1434" t="str">
        <f>IF(OR(C6="",C7=""),"",IF(AND(C6="Serviteur/Suivant",C7="Elfe"),CONCATENATE(VLOOKUP(C8,tableaux!$FB:$FW,21,0),", Connaissances générales (elfes) (Int), Langue (eltharin) (Int)"),IF(AND(C6="Serviteur/Suivant",C7="Halfling"),CONCATENATE(VLOOKUP(C8,tableaux!$FB:$FW,21,0),", Connaissances académiques (généalogie/héraldique) (Int), Connaissances générales (halflings) (Int), Langue (halfling) (Int), Métier (cuisinier ou fermier) (Int)"),IF(AND(C6="Serviteur/Suivant",C7="Nain"),CONCATENATE(VLOOKUP(C8,tableaux!$FB:$FW,21,0),", Connaissances générales (nains) (Int), Langue (khazalid) (Int), Métier (forgeron, maçon ou mineur) (F)"),IF(C6="Artificiel/Invoqué",VLOOKUP(C7,tableaux!$FB:$FW,21,0),VLOOKUP(C8,tableaux!$FB:$FW,21,0))))))</f>
        <v/>
      </c>
      <c r="D19" s="1435"/>
      <c r="E19" s="1435"/>
      <c r="F19" s="1435"/>
      <c r="G19" s="1435"/>
      <c r="H19" s="1435"/>
      <c r="I19" s="1435"/>
      <c r="J19" s="1435"/>
      <c r="K19" s="1436"/>
      <c r="L19" s="217"/>
      <c r="M19" s="217"/>
    </row>
    <row r="20" spans="1:13">
      <c r="A20" s="217"/>
      <c r="B20" s="217"/>
      <c r="C20" s="1437"/>
      <c r="D20" s="1438"/>
      <c r="E20" s="1438"/>
      <c r="F20" s="1438"/>
      <c r="G20" s="1438"/>
      <c r="H20" s="1438"/>
      <c r="I20" s="1438"/>
      <c r="J20" s="1438"/>
      <c r="K20" s="1439"/>
      <c r="L20" s="217"/>
      <c r="M20" s="217"/>
    </row>
    <row r="21" spans="1:13">
      <c r="A21" s="217"/>
      <c r="B21" s="217"/>
      <c r="C21" s="1437"/>
      <c r="D21" s="1438"/>
      <c r="E21" s="1438"/>
      <c r="F21" s="1438"/>
      <c r="G21" s="1438"/>
      <c r="H21" s="1438"/>
      <c r="I21" s="1438"/>
      <c r="J21" s="1438"/>
      <c r="K21" s="1439"/>
      <c r="L21" s="217"/>
      <c r="M21" s="217"/>
    </row>
    <row r="22" spans="1:13">
      <c r="A22" s="217"/>
      <c r="B22" s="217"/>
      <c r="C22" s="1437"/>
      <c r="D22" s="1438"/>
      <c r="E22" s="1438"/>
      <c r="F22" s="1438"/>
      <c r="G22" s="1438"/>
      <c r="H22" s="1438"/>
      <c r="I22" s="1438"/>
      <c r="J22" s="1438"/>
      <c r="K22" s="1439"/>
      <c r="L22" s="217"/>
      <c r="M22" s="217"/>
    </row>
    <row r="23" spans="1:13">
      <c r="A23" s="217"/>
      <c r="B23" s="217"/>
      <c r="C23" s="1437"/>
      <c r="D23" s="1438"/>
      <c r="E23" s="1438"/>
      <c r="F23" s="1438"/>
      <c r="G23" s="1438"/>
      <c r="H23" s="1438"/>
      <c r="I23" s="1438"/>
      <c r="J23" s="1438"/>
      <c r="K23" s="1439"/>
      <c r="L23" s="217"/>
      <c r="M23" s="217"/>
    </row>
    <row r="24" spans="1:13" ht="13.8" thickBot="1">
      <c r="A24" s="217"/>
      <c r="B24" s="217"/>
      <c r="C24" s="1440"/>
      <c r="D24" s="1441"/>
      <c r="E24" s="1441"/>
      <c r="F24" s="1441"/>
      <c r="G24" s="1441"/>
      <c r="H24" s="1441"/>
      <c r="I24" s="1441"/>
      <c r="J24" s="1441"/>
      <c r="K24" s="1442"/>
      <c r="L24" s="217"/>
      <c r="M24" s="217"/>
    </row>
    <row r="25" spans="1:13" ht="13.8" thickTop="1">
      <c r="A25" s="217"/>
      <c r="B25" s="319" t="s">
        <v>5554</v>
      </c>
      <c r="C25" s="1434" t="str">
        <f>IF(OR(C6="",C7=""),"",IF(AND(C6="Serviteur/Suivant",C7="Elfe"),CONCATENATE(VLOOKUP(C8,tableaux!$FB:$FW,22,0),", Acuité visuelle, Harmonie aethyrique ou Maîtrise (arcs longs), Intelligent ou Sang-froid, Vision nocturne."),IF(AND(C6="Serviteur/Suivant",C7="Halfling"),CONCATENATE(VLOOKUP(C8,tableaux!$FB:$FW,22,0),", Maîtrise (lance-pierres), Résistance au Chaos, Vision nocturne et un talent déterminé aléatoirement."),IF(AND(C6="Serviteur/Suivant",C7="Nain"),CONCATENATE(VLOOKUP(C8,tableaux!$FB:$FW,22,0),", Fureur vengeresse, Résistance à la magie, Robuste, Savoir-faire nain, Valeureux, Vision nocturne."),IF(AND(C6="Serviteur/Suivant",C7="Humain"),CONCATENATE(VLOOKUP(C8,tableaux!$FB:$FW,22,0)," et deux Talents choisis aléatoirement."),IF(C6="Artificiel/Invoqué","Animée, "&amp;C8&amp;IF(C8="","",", ")&amp;C9&amp;IF(C9="","",", ")&amp;L8&amp;IF(L8="","",",")&amp;L9&amp;IF(L9="",""," ,")&amp;VLOOKUP(C7,tableaux!$FB:$FW,22,0),VLOOKUP(C8,tableaux!$FB:$FW,22,0)))))))</f>
        <v/>
      </c>
      <c r="D25" s="1435"/>
      <c r="E25" s="1435"/>
      <c r="F25" s="1435"/>
      <c r="G25" s="1435"/>
      <c r="H25" s="1435"/>
      <c r="I25" s="1435"/>
      <c r="J25" s="1435"/>
      <c r="K25" s="1436"/>
      <c r="L25" s="217"/>
      <c r="M25" s="217"/>
    </row>
    <row r="26" spans="1:13">
      <c r="A26" s="217"/>
      <c r="B26" s="217"/>
      <c r="C26" s="1437"/>
      <c r="D26" s="1438"/>
      <c r="E26" s="1438"/>
      <c r="F26" s="1438"/>
      <c r="G26" s="1438"/>
      <c r="H26" s="1438"/>
      <c r="I26" s="1438"/>
      <c r="J26" s="1438"/>
      <c r="K26" s="1439"/>
      <c r="L26" s="217"/>
      <c r="M26" s="217"/>
    </row>
    <row r="27" spans="1:13">
      <c r="A27" s="217"/>
      <c r="B27" s="217"/>
      <c r="C27" s="1437"/>
      <c r="D27" s="1438"/>
      <c r="E27" s="1438"/>
      <c r="F27" s="1438"/>
      <c r="G27" s="1438"/>
      <c r="H27" s="1438"/>
      <c r="I27" s="1438"/>
      <c r="J27" s="1438"/>
      <c r="K27" s="1439"/>
      <c r="L27" s="217"/>
      <c r="M27" s="217"/>
    </row>
    <row r="28" spans="1:13">
      <c r="A28" s="217"/>
      <c r="B28" s="217"/>
      <c r="C28" s="1437"/>
      <c r="D28" s="1438"/>
      <c r="E28" s="1438"/>
      <c r="F28" s="1438"/>
      <c r="G28" s="1438"/>
      <c r="H28" s="1438"/>
      <c r="I28" s="1438"/>
      <c r="J28" s="1438"/>
      <c r="K28" s="1439"/>
      <c r="L28" s="217"/>
      <c r="M28" s="217"/>
    </row>
    <row r="29" spans="1:13" ht="13.8" thickBot="1">
      <c r="A29" s="217"/>
      <c r="B29" s="217"/>
      <c r="C29" s="1440"/>
      <c r="D29" s="1441"/>
      <c r="E29" s="1441"/>
      <c r="F29" s="1441"/>
      <c r="G29" s="1441"/>
      <c r="H29" s="1441"/>
      <c r="I29" s="1441"/>
      <c r="J29" s="1441"/>
      <c r="K29" s="1442"/>
      <c r="L29" s="217"/>
      <c r="M29" s="217"/>
    </row>
    <row r="30" spans="1:13" ht="14.4" thickTop="1" thickBot="1">
      <c r="A30" s="217"/>
      <c r="B30" s="217" t="s">
        <v>7417</v>
      </c>
      <c r="C30" s="217"/>
      <c r="D30" s="217"/>
      <c r="E30" s="217"/>
      <c r="F30" s="217"/>
      <c r="G30" s="217"/>
      <c r="H30" s="217"/>
      <c r="I30" s="217"/>
      <c r="J30" s="217"/>
      <c r="K30" s="217"/>
      <c r="L30" s="217"/>
      <c r="M30" s="217"/>
    </row>
    <row r="31" spans="1:13" ht="14.4" thickTop="1" thickBot="1">
      <c r="A31" s="217"/>
      <c r="B31" s="315" t="s">
        <v>6412</v>
      </c>
      <c r="C31" s="1454" t="str">
        <f>IF(C33="","",IF(C33="Forme animale",CONCATENATE('page 1'!C3," ",'page 1'!K3),""))</f>
        <v/>
      </c>
      <c r="D31" s="1455"/>
      <c r="E31" s="1455"/>
      <c r="F31" s="1455"/>
      <c r="G31" s="1455"/>
      <c r="H31" s="1455"/>
      <c r="I31" s="1455"/>
      <c r="J31" s="1455"/>
      <c r="K31" s="1456"/>
      <c r="L31" s="217"/>
      <c r="M31" s="654"/>
    </row>
    <row r="32" spans="1:13" ht="14.4" thickTop="1" thickBot="1">
      <c r="A32" s="908"/>
      <c r="B32" s="217"/>
      <c r="C32" s="217"/>
      <c r="D32" s="217"/>
      <c r="E32" s="217"/>
      <c r="F32" s="217"/>
      <c r="G32" s="217"/>
      <c r="H32" s="908"/>
      <c r="I32" s="217"/>
      <c r="J32" s="217"/>
      <c r="K32" s="217"/>
      <c r="L32" s="217"/>
      <c r="M32" s="654"/>
    </row>
    <row r="33" spans="1:13" ht="13.8" thickTop="1">
      <c r="A33" s="908"/>
      <c r="B33" s="758" t="s">
        <v>7329</v>
      </c>
      <c r="C33" s="1447"/>
      <c r="D33" s="1448"/>
      <c r="E33" s="1448"/>
      <c r="F33" s="1448"/>
      <c r="G33" s="1449"/>
      <c r="H33" s="908">
        <f>IF(C33="Familier",1,IF(C33="Forme animale",2,IF(C33="Serviteur/Suivant",3,IF(C33="Monture",4,IF(C33="Epique",5,IF(C33="Artificiel/Invoqué",6,0))))))</f>
        <v>0</v>
      </c>
      <c r="I33" s="1446" t="s">
        <v>7330</v>
      </c>
      <c r="J33" s="1446"/>
      <c r="K33" s="924"/>
      <c r="L33" s="316"/>
      <c r="M33" s="654"/>
    </row>
    <row r="34" spans="1:13">
      <c r="A34" s="908"/>
      <c r="B34" s="758" t="str">
        <f>IF(OR(H33=1,H33=6),"Type précis:",IF(OR(H33=2,H33=3),"Race originelle:",IF(OR(H33=4,H33=5),"Sous-race:","")))</f>
        <v/>
      </c>
      <c r="C34" s="1443"/>
      <c r="D34" s="1444"/>
      <c r="E34" s="1444"/>
      <c r="F34" s="1444"/>
      <c r="G34" s="1445"/>
      <c r="H34" s="908"/>
      <c r="I34" s="1446" t="s">
        <v>7332</v>
      </c>
      <c r="J34" s="1446"/>
      <c r="K34" s="924"/>
      <c r="L34" s="317"/>
      <c r="M34" s="654"/>
    </row>
    <row r="35" spans="1:13">
      <c r="A35" s="908"/>
      <c r="B35" s="758" t="str">
        <f>IF(OR(C33="Familier",C33="Forme animale",C33="Monture",C33="Epique"),"Race:",IF(C33="Artificiel/Invoqué","Attribut 1:","Profession:"))</f>
        <v>Profession:</v>
      </c>
      <c r="C35" s="1443"/>
      <c r="D35" s="1444"/>
      <c r="E35" s="1444"/>
      <c r="F35" s="1444"/>
      <c r="G35" s="1445"/>
      <c r="H35" s="908">
        <f>IF(C34="Elfe",1,IF(C34="Halfling",3,IF(C34="Humain",5,IF(C34="Nain",7,13))))</f>
        <v>13</v>
      </c>
      <c r="I35" s="1446" t="str">
        <f>IF(OR(C33="Familier",C33="Forme animale"),"Bizzareries:",IF(C33="Artificiel/Invoqué","Attribut 3:","Signes distinctifs:"))</f>
        <v>Signes distinctifs:</v>
      </c>
      <c r="J35" s="1446"/>
      <c r="K35" s="924"/>
      <c r="L35" s="317"/>
      <c r="M35" s="654"/>
    </row>
    <row r="36" spans="1:13">
      <c r="A36" s="908"/>
      <c r="B36" s="758" t="str">
        <f>IF(C33="Artificiel/Invoqué","Attribut 2:","Couleur de peau/pilosité:")</f>
        <v>Couleur de peau/pilosité:</v>
      </c>
      <c r="C36" s="1443"/>
      <c r="D36" s="1444"/>
      <c r="E36" s="1444"/>
      <c r="F36" s="1444"/>
      <c r="G36" s="1445"/>
      <c r="H36" s="908">
        <f>IF(C34="Familier magique",1,0)</f>
        <v>0</v>
      </c>
      <c r="I36" s="1446" t="str">
        <f>IF(C34="Familier magique","Pouvoir de familier:",IF(C33="Artificiel/Invoqué","Attribut 4:","Origine:"))</f>
        <v>Origine:</v>
      </c>
      <c r="J36" s="1446"/>
      <c r="K36" s="924"/>
      <c r="L36" s="317"/>
      <c r="M36" s="654"/>
    </row>
    <row r="37" spans="1:13" ht="13.8" thickBot="1">
      <c r="A37" s="908"/>
      <c r="B37" s="759" t="s">
        <v>7645</v>
      </c>
      <c r="C37" s="1451"/>
      <c r="D37" s="1452"/>
      <c r="E37" s="1452"/>
      <c r="F37" s="1452"/>
      <c r="G37" s="1453"/>
      <c r="H37" s="908">
        <f>H35+M37</f>
        <v>22</v>
      </c>
      <c r="I37" s="1446" t="s">
        <v>7360</v>
      </c>
      <c r="J37" s="1446"/>
      <c r="K37" s="924"/>
      <c r="L37" s="318"/>
      <c r="M37" s="654">
        <f>IF(L37="masculin",0,IF(L37="féminin",1,9))</f>
        <v>9</v>
      </c>
    </row>
    <row r="38" spans="1:13" ht="13.8" thickTop="1">
      <c r="A38" s="908"/>
      <c r="B38" s="217"/>
      <c r="C38" s="703" t="str">
        <f>IF(C33="Forme animale","Pour les sorts Bête Sauvage d'Horros/Transformation de Kadon, sélectionner une forme Epique","")</f>
        <v/>
      </c>
      <c r="D38" s="217"/>
      <c r="E38" s="217"/>
      <c r="F38" s="217"/>
      <c r="G38" s="217"/>
      <c r="H38" s="908"/>
      <c r="I38" s="217"/>
      <c r="J38" s="217"/>
      <c r="K38" s="217"/>
      <c r="L38" s="217"/>
      <c r="M38" s="654"/>
    </row>
    <row r="39" spans="1:13">
      <c r="A39" s="908"/>
      <c r="B39" s="217"/>
      <c r="C39" s="749" t="s">
        <v>120</v>
      </c>
      <c r="D39" s="749"/>
      <c r="E39" s="749"/>
      <c r="F39" s="749"/>
      <c r="G39" s="217"/>
      <c r="H39" s="217"/>
      <c r="I39" s="217"/>
      <c r="J39" s="217"/>
      <c r="K39" s="217"/>
      <c r="L39" s="217"/>
      <c r="M39" s="217"/>
    </row>
    <row r="40" spans="1:13" ht="13.8" thickBot="1">
      <c r="A40" s="217"/>
      <c r="B40" s="217"/>
      <c r="C40" s="320" t="s">
        <v>129</v>
      </c>
      <c r="D40" s="320" t="s">
        <v>130</v>
      </c>
      <c r="E40" s="320" t="s">
        <v>131</v>
      </c>
      <c r="F40" s="320" t="s">
        <v>148</v>
      </c>
      <c r="G40" s="320" t="s">
        <v>132</v>
      </c>
      <c r="H40" s="320" t="s">
        <v>133</v>
      </c>
      <c r="I40" s="320" t="s">
        <v>134</v>
      </c>
      <c r="J40" s="320" t="s">
        <v>135</v>
      </c>
      <c r="K40" s="217"/>
      <c r="L40" s="760" t="str">
        <f>IF(OR(C33="Familier",C33="Monture"),"Frais moyens par jour",IF(C33="Serviteur/Suivant","Salaire moyen par jour",IF(C33="Artificiel/Invoqué","Entretien","")))</f>
        <v/>
      </c>
      <c r="M40" s="217"/>
    </row>
    <row r="41" spans="1:13" ht="13.8" thickBot="1">
      <c r="A41" s="217"/>
      <c r="B41" s="217"/>
      <c r="C41" s="214" t="str">
        <f>IF(C34="","",IF(C33="Artificiel/Invoqué",VLOOKUP(C34,tableaux!$FB:$FW,5,0),IF(AND(C33="Serviteur/Suivant",C34="Halfling"),(VLOOKUP(C35,tableaux!$FB:$FW,5,0)-10),IF(AND(C33="Serviteur/Suivant",C34="Nain"),(VLOOKUP(C35,tableaux!$FB:$FW,5,0)+10),(VLOOKUP(C35,tableaux!$FB:$FW,5,IF(AND(C33="Serviteur/Suivant",C34="Halfling"),(VLOOKUP(C35,tableaux!$FB:$FW,5,0)-10),0)))))))</f>
        <v/>
      </c>
      <c r="D41" s="214" t="str">
        <f>IF(C34="","",IF(C33="Artificiel/Invoqué",VLOOKUP(C34,tableaux!$FB:$FW,6,0),IF(AND(C33="Serviteur/Suivant",OR(C34="Elfe",C34="Halfling")),(VLOOKUP(C35,tableaux!$FB:$FW,5,0)+10),VLOOKUP(C35,tableaux!$FB:$FW,6,0))))</f>
        <v/>
      </c>
      <c r="E41" s="214" t="str">
        <f>IF(C34="","",IF(C33="Artificiel/Invoqué",VLOOKUP(C34,tableaux!$FB:$FW,7,0),IF(AND(C33="Serviteur/Suivant",C34="Halfling"),(VLOOKUP(C35,tableaux!$FB:$FW,7,0)-10),VLOOKUP(C35,tableaux!$FB:$FW,7,0))))</f>
        <v/>
      </c>
      <c r="F41" s="214" t="str">
        <f>IF(C34="","",IF(C33="Artificiel/Invoqué",VLOOKUP(C34,tableaux!$FB:$FW,8,0),IF(AND(C33="Serviteur/Suivant",C34="Halfling"),(VLOOKUP(C35,tableaux!$FB:$FW,8,0)-10),IF(AND(C33="Serviteur/Suivant",C34="Nain"),(VLOOKUP(C35,tableaux!$FB:$FW,8,0)+10),VLOOKUP(C35,tableaux!$FB:$FW,8,0)))))</f>
        <v/>
      </c>
      <c r="G41" s="214" t="str">
        <f>IF(C34="","",IF(C33="Artificiel/Invoqué",VLOOKUP(C34,tableaux!$FB:$FW,9,0),IF(AND(C33="Serviteur/Suivant",OR(C34="Elfe",C34="Halfling")),(VLOOKUP(C35,tableaux!$FB:$FW,9,0)+10),IF(AND(C33="Serviteur/Suivant",OR(C34="Elfe",C34="Nain")),(VLOOKUP(C35,tableaux!$FB:$FW,9,0)-10),(VLOOKUP(C35,tableaux!$FB:$FW,9,0))))))</f>
        <v/>
      </c>
      <c r="H41" s="214" t="str">
        <f>IF(OR(C33="",C34=""),"",IF(C33="Artificiel/Invoqué",VLOOKUP(C34,tableaux!$FB:$FW,10,0),IF(C33="Forme animale",Int,IF(C34="","",VLOOKUP(C35,tableaux!$FB:$FW,10,0)))))</f>
        <v/>
      </c>
      <c r="I41" s="214" t="str">
        <f>IF(OR(C33="",C34=""),"",IF(C33="Artificiel/Invoqué",VLOOKUP(C34,tableaux!$FB:$FW,11,0),IF(C33="Forme animale",FM,IF(C34="","",VLOOKUP(C35,tableaux!$FB:$FW,11,0)))))</f>
        <v/>
      </c>
      <c r="J41" s="214" t="str">
        <f>IF(C34="","",IF(C33="Artificiel/Invoqué",VLOOKUP(C34,tableaux!$FB:$FW,12,0),IF(AND(C33="Serviteur/Suivant",C34="Halfling"),(VLOOKUP(C35,tableaux!$FB:$FW,12,0)+10),IF(AND(C33="Serviteur/Suivant",C34="Nain"),(VLOOKUP(C35,tableaux!$FB:$FW,12,0)-10),VLOOKUP(C35,tableaux!$FB:$FW,12,0)))))</f>
        <v/>
      </c>
      <c r="K41" s="217"/>
      <c r="L41" s="214" t="str">
        <f>IF(C33="","",IF(C34="","",IF(C33="Artificiel/Invoqué",VLOOKUP(C34,tableaux!$FB:$FX,23,0),VLOOKUP(C35,tableaux!FB:FX,23,0))))</f>
        <v/>
      </c>
      <c r="M41" s="217"/>
    </row>
    <row r="42" spans="1:13">
      <c r="A42" s="217"/>
      <c r="B42" s="217"/>
      <c r="C42" s="749" t="s">
        <v>139</v>
      </c>
      <c r="D42" s="749"/>
      <c r="E42" s="749"/>
      <c r="F42" s="749"/>
      <c r="G42" s="217"/>
      <c r="H42" s="217"/>
      <c r="I42" s="217"/>
      <c r="J42" s="217"/>
      <c r="K42" s="217"/>
      <c r="L42" s="217"/>
      <c r="M42" s="217"/>
    </row>
    <row r="43" spans="1:13" ht="13.8" thickBot="1">
      <c r="A43" s="217"/>
      <c r="B43" s="217"/>
      <c r="C43" s="320" t="s">
        <v>140</v>
      </c>
      <c r="D43" s="320" t="s">
        <v>141</v>
      </c>
      <c r="E43" s="320" t="s">
        <v>142</v>
      </c>
      <c r="F43" s="320" t="s">
        <v>143</v>
      </c>
      <c r="G43" s="320" t="s">
        <v>144</v>
      </c>
      <c r="H43" s="320" t="s">
        <v>145</v>
      </c>
      <c r="I43" s="320" t="s">
        <v>146</v>
      </c>
      <c r="J43" s="320" t="s">
        <v>147</v>
      </c>
      <c r="K43" s="217"/>
      <c r="L43" s="217"/>
      <c r="M43" s="217"/>
    </row>
    <row r="44" spans="1:13" ht="13.8" thickBot="1">
      <c r="A44" s="217"/>
      <c r="B44" s="217"/>
      <c r="C44" s="214" t="str">
        <f>IF(C34="","",IF(C33="Artificiel/Invoqué",VLOOKUP(C34,tableaux!$FB:$FW,13,0),VLOOKUP(C35,tableaux!$FB:$FW,13,0)))</f>
        <v/>
      </c>
      <c r="D44" s="214" t="str">
        <f>IF(C34="","",IF(C33="Artificiel/Invoqué",VLOOKUP(C34,tableaux!$FB:$FW,14,0),IF(AND(C33="Serviteur/Suivant",C34="Elfe"),(VLOOKUP(C35,tableaux!$FB:$FW,14,0)-1),IF(AND(C33="Serviteur/Suivant",C34="Halfling"),(VLOOKUP(C35,tableaux!$FB:$FW,14,0)-2),IF(AND(C33="Serviteur/Suivant",C34="Nain"),(VLOOKUP(C35,tableaux!$FB:$FW,14,0)+1),(VLOOKUP(C35,tableaux!$FB:$FW,14,0)))))))</f>
        <v/>
      </c>
      <c r="E44" s="214" t="str">
        <f>IF(E41="","",ROUNDDOWN(E41/10,1))</f>
        <v/>
      </c>
      <c r="F44" s="214" t="str">
        <f>IF(F41="","",ROUNDDOWN(F41/10,1))</f>
        <v/>
      </c>
      <c r="G44" s="214" t="str">
        <f>IF(C34="","",IF(C33="Artificiel/Invoqué",VLOOKUP(C34,tableaux!$FB:$FW,17,0),IF(AND(C33="Serviteur/Suivant",C34="Elfe"),(VLOOKUP(C35,tableaux!$FB:$FW,17,0)+1),IF(AND(C33="Serviteur/Suivant",C34="Nain"),(VLOOKUP(C35,tableaux!$FB:$FW,17,0)-1),(VLOOKUP(C35,tableaux!$FB:$FW,17,0))))))</f>
        <v/>
      </c>
      <c r="H44" s="214" t="str">
        <f>IF(C34="","",IF(C33="Artificiel/Invoqué",VLOOKUP(C34,tableaux!$FB:$FW,18,0),VLOOKUP(C35,tableaux!$FB:$FW,18,0)))</f>
        <v/>
      </c>
      <c r="I44" s="214" t="str">
        <f>IF(C34="","",IF(C33="Artificiel/Invoqué",VLOOKUP(C34,tableaux!$FB:$FW,19,0),VLOOKUP(C35,tableaux!$FB:$FW,19,0)))</f>
        <v/>
      </c>
      <c r="J44" s="214" t="str">
        <f>IF(C34="","",IF(C33="Artificiel/Invoqué",VLOOKUP(C34,tableaux!$FB:$FW,20,0),VLOOKUP(C35,tableaux!$FB:$FW,20,0)))</f>
        <v/>
      </c>
      <c r="K44" s="217"/>
      <c r="L44" s="217"/>
      <c r="M44" s="217"/>
    </row>
    <row r="45" spans="1:13" ht="13.8" thickBot="1">
      <c r="A45" s="217"/>
      <c r="B45" s="217"/>
      <c r="C45" s="217"/>
      <c r="D45" s="217"/>
      <c r="E45" s="217"/>
      <c r="F45" s="217"/>
      <c r="G45" s="217"/>
      <c r="H45" s="217"/>
      <c r="I45" s="217"/>
      <c r="J45" s="217"/>
      <c r="K45" s="217"/>
      <c r="L45" s="217"/>
      <c r="M45" s="217"/>
    </row>
    <row r="46" spans="1:13" ht="13.8" thickTop="1">
      <c r="A46" s="217"/>
      <c r="B46" s="319" t="s">
        <v>5553</v>
      </c>
      <c r="C46" s="1434" t="str">
        <f>IF(OR(C33="",C34=""),"",IF(AND(C33="Serviteur/Suivant",C34="Elfe"),CONCATENATE(VLOOKUP(C35,tableaux!$FB:$FW,21,0),", Connaissances générales (elfes) (Int), Langue (eltharin) (Int)"),IF(AND(C33="Serviteur/Suivant",C34="Halfling"),CONCATENATE(VLOOKUP(C35,tableaux!$FB:$FW,21,0),", Connaissances académiques (généalogie/héraldique) (Int), Connaissances générales (halflings) (Int), Langue (halfling) (Int), Métier (cuisinier ou fermier) (Int)"),IF(AND(C33="Serviteur/Suivant",C34="Nain"),CONCATENATE(VLOOKUP(C35,tableaux!$FB:$FW,21,0),", Connaissances générales (nains) (Int), Langue (khazalid) (Int), Métier (forgeron, maçon ou mineur) (F)"),IF(C33="Artificiel/Invoqué",VLOOKUP(C34,tableaux!$FB:$FW,21,0),VLOOKUP(C35,tableaux!$FB:$FW,21,0))))))</f>
        <v/>
      </c>
      <c r="D46" s="1435"/>
      <c r="E46" s="1435"/>
      <c r="F46" s="1435"/>
      <c r="G46" s="1435"/>
      <c r="H46" s="1435"/>
      <c r="I46" s="1435"/>
      <c r="J46" s="1435"/>
      <c r="K46" s="1436"/>
      <c r="L46" s="217"/>
      <c r="M46" s="217"/>
    </row>
    <row r="47" spans="1:13">
      <c r="A47" s="217"/>
      <c r="B47" s="217"/>
      <c r="C47" s="1437"/>
      <c r="D47" s="1438"/>
      <c r="E47" s="1438"/>
      <c r="F47" s="1438"/>
      <c r="G47" s="1438"/>
      <c r="H47" s="1438"/>
      <c r="I47" s="1438"/>
      <c r="J47" s="1438"/>
      <c r="K47" s="1439"/>
      <c r="L47" s="217"/>
      <c r="M47" s="217"/>
    </row>
    <row r="48" spans="1:13">
      <c r="A48" s="217"/>
      <c r="B48" s="217"/>
      <c r="C48" s="1437"/>
      <c r="D48" s="1438"/>
      <c r="E48" s="1438"/>
      <c r="F48" s="1438"/>
      <c r="G48" s="1438"/>
      <c r="H48" s="1438"/>
      <c r="I48" s="1438"/>
      <c r="J48" s="1438"/>
      <c r="K48" s="1439"/>
      <c r="L48" s="217"/>
      <c r="M48" s="217"/>
    </row>
    <row r="49" spans="1:13">
      <c r="A49" s="217"/>
      <c r="B49" s="217"/>
      <c r="C49" s="1437"/>
      <c r="D49" s="1438"/>
      <c r="E49" s="1438"/>
      <c r="F49" s="1438"/>
      <c r="G49" s="1438"/>
      <c r="H49" s="1438"/>
      <c r="I49" s="1438"/>
      <c r="J49" s="1438"/>
      <c r="K49" s="1439"/>
      <c r="L49" s="217"/>
      <c r="M49" s="217"/>
    </row>
    <row r="50" spans="1:13">
      <c r="A50" s="217"/>
      <c r="B50" s="217"/>
      <c r="C50" s="1437"/>
      <c r="D50" s="1438"/>
      <c r="E50" s="1438"/>
      <c r="F50" s="1438"/>
      <c r="G50" s="1438"/>
      <c r="H50" s="1438"/>
      <c r="I50" s="1438"/>
      <c r="J50" s="1438"/>
      <c r="K50" s="1439"/>
      <c r="L50" s="217"/>
      <c r="M50" s="217"/>
    </row>
    <row r="51" spans="1:13" ht="13.8" thickBot="1">
      <c r="A51" s="217"/>
      <c r="B51" s="217"/>
      <c r="C51" s="1440"/>
      <c r="D51" s="1441"/>
      <c r="E51" s="1441"/>
      <c r="F51" s="1441"/>
      <c r="G51" s="1441"/>
      <c r="H51" s="1441"/>
      <c r="I51" s="1441"/>
      <c r="J51" s="1441"/>
      <c r="K51" s="1442"/>
      <c r="L51" s="217"/>
      <c r="M51" s="217"/>
    </row>
    <row r="52" spans="1:13" ht="13.95" customHeight="1" thickTop="1">
      <c r="A52" s="217"/>
      <c r="B52" s="319" t="s">
        <v>5554</v>
      </c>
      <c r="C52" s="1434" t="str">
        <f>IF(OR(C33="",C34=""),"",IF(AND(C33="Serviteur/Suivant",C34="Elfe"),CONCATENATE(VLOOKUP(C35,tableaux!$FB:$FW,22,0),", Acuité visuelle, Harmonie aethyrique ou Maîtrise (arcs longs), Intelligent ou Sang-froid, Vision nocturne."),IF(AND(C33="Serviteur/Suivant",C34="Halfling"),CONCATENATE(VLOOKUP(C35,tableaux!$FB:$FW,22,0),", Maîtrise (lance-pierres), Résistance au Chaos, Vision nocturne et un talent déterminé aléatoirement."),IF(AND(C33="Serviteur/Suivant",C34="Nain"),CONCATENATE(VLOOKUP(C35,tableaux!$FB:$FW,22,0),", Fureur vengeresse, Résistance à la magie, Robuste, Savoir-faire nain, Valeureux, Vision nocturne."),IF(AND(C33="Serviteur/Suivant",C34="Humain"),CONCATENATE(VLOOKUP(C35,tableaux!$FB:$FW,22,0)," et deux Talents choisis aléatoirement."),IF(C33="Artificiel/Invoqué","Animée, "&amp;C35&amp;IF(C35="","",", ")&amp;C36&amp;IF(C36="","",", ")&amp;L35&amp;IF(L35="","",",")&amp;L36&amp;IF(L36="",""," ,")&amp;VLOOKUP(C34,tableaux!$FB:$FW,22,0),VLOOKUP(C35,tableaux!$FB:$FW,22,0)))))))</f>
        <v/>
      </c>
      <c r="D52" s="1435"/>
      <c r="E52" s="1435"/>
      <c r="F52" s="1435"/>
      <c r="G52" s="1435"/>
      <c r="H52" s="1435"/>
      <c r="I52" s="1435"/>
      <c r="J52" s="1435"/>
      <c r="K52" s="1436"/>
      <c r="L52" s="217"/>
      <c r="M52" s="217"/>
    </row>
    <row r="53" spans="1:13">
      <c r="A53" s="217"/>
      <c r="B53" s="217"/>
      <c r="C53" s="1437"/>
      <c r="D53" s="1438"/>
      <c r="E53" s="1438"/>
      <c r="F53" s="1438"/>
      <c r="G53" s="1438"/>
      <c r="H53" s="1438"/>
      <c r="I53" s="1438"/>
      <c r="J53" s="1438"/>
      <c r="K53" s="1439"/>
      <c r="L53" s="217"/>
      <c r="M53" s="217"/>
    </row>
    <row r="54" spans="1:13">
      <c r="A54" s="217"/>
      <c r="B54" s="217"/>
      <c r="C54" s="1437"/>
      <c r="D54" s="1438"/>
      <c r="E54" s="1438"/>
      <c r="F54" s="1438"/>
      <c r="G54" s="1438"/>
      <c r="H54" s="1438"/>
      <c r="I54" s="1438"/>
      <c r="J54" s="1438"/>
      <c r="K54" s="1439"/>
      <c r="L54" s="217"/>
      <c r="M54" s="217"/>
    </row>
    <row r="55" spans="1:13">
      <c r="A55" s="217"/>
      <c r="B55" s="217"/>
      <c r="C55" s="1437"/>
      <c r="D55" s="1438"/>
      <c r="E55" s="1438"/>
      <c r="F55" s="1438"/>
      <c r="G55" s="1438"/>
      <c r="H55" s="1438"/>
      <c r="I55" s="1438"/>
      <c r="J55" s="1438"/>
      <c r="K55" s="1439"/>
      <c r="L55" s="217"/>
      <c r="M55" s="217"/>
    </row>
    <row r="56" spans="1:13" ht="13.8" thickBot="1">
      <c r="A56" s="217"/>
      <c r="B56" s="217"/>
      <c r="C56" s="1440"/>
      <c r="D56" s="1441"/>
      <c r="E56" s="1441"/>
      <c r="F56" s="1441"/>
      <c r="G56" s="1441"/>
      <c r="H56" s="1441"/>
      <c r="I56" s="1441"/>
      <c r="J56" s="1441"/>
      <c r="K56" s="1442"/>
      <c r="L56" s="217"/>
      <c r="M56" s="217"/>
    </row>
    <row r="57" spans="1:13" ht="13.8" thickTop="1">
      <c r="A57" s="217"/>
      <c r="B57" s="217"/>
      <c r="C57" s="217"/>
      <c r="D57" s="217"/>
      <c r="E57" s="217"/>
      <c r="F57" s="217"/>
      <c r="G57" s="217"/>
      <c r="H57" s="217"/>
      <c r="I57" s="217"/>
      <c r="J57" s="217"/>
      <c r="K57" s="217"/>
      <c r="L57" s="217"/>
      <c r="M57" s="217"/>
    </row>
  </sheetData>
  <mergeCells count="27">
    <mergeCell ref="C2:L2"/>
    <mergeCell ref="C10:G10"/>
    <mergeCell ref="C37:G37"/>
    <mergeCell ref="C19:K24"/>
    <mergeCell ref="C25:K29"/>
    <mergeCell ref="C9:G9"/>
    <mergeCell ref="C7:G7"/>
    <mergeCell ref="C6:G6"/>
    <mergeCell ref="I7:K7"/>
    <mergeCell ref="I6:K6"/>
    <mergeCell ref="I10:K10"/>
    <mergeCell ref="I9:K9"/>
    <mergeCell ref="C4:K4"/>
    <mergeCell ref="C31:K31"/>
    <mergeCell ref="I8:K8"/>
    <mergeCell ref="C52:K56"/>
    <mergeCell ref="C8:G8"/>
    <mergeCell ref="C35:G35"/>
    <mergeCell ref="C46:K51"/>
    <mergeCell ref="C36:G36"/>
    <mergeCell ref="I36:K36"/>
    <mergeCell ref="I37:K37"/>
    <mergeCell ref="C33:G33"/>
    <mergeCell ref="I33:K33"/>
    <mergeCell ref="I34:K34"/>
    <mergeCell ref="C34:G34"/>
    <mergeCell ref="I35:K35"/>
  </mergeCells>
  <conditionalFormatting sqref="C4 L6:L10 C31 C6:G10">
    <cfRule type="cellIs" dxfId="721" priority="1305" operator="equal">
      <formula>""</formula>
    </cfRule>
  </conditionalFormatting>
  <conditionalFormatting sqref="A1:M1">
    <cfRule type="expression" dxfId="720" priority="1295">
      <formula>SelectRace="Vampire"</formula>
    </cfRule>
    <cfRule type="expression" dxfId="719" priority="1296">
      <formula>SelectRace="Skaven"</formula>
    </cfRule>
    <cfRule type="expression" dxfId="718" priority="1297">
      <formula>SelectRace="Peau-Verte"</formula>
    </cfRule>
    <cfRule type="expression" dxfId="717" priority="1298">
      <formula>SelectRace="Homme-lézard"</formula>
    </cfRule>
    <cfRule type="expression" dxfId="716" priority="1299">
      <formula>SelectRace="Homme-bête"</formula>
    </cfRule>
    <cfRule type="expression" dxfId="715" priority="1300">
      <formula>SelectRace="Halfling"</formula>
    </cfRule>
    <cfRule type="expression" dxfId="714" priority="1301">
      <formula>SelectRace="Elfe"</formula>
    </cfRule>
    <cfRule type="expression" dxfId="713" priority="1302">
      <formula>SelectRace="Créature du chaos"</formula>
    </cfRule>
    <cfRule type="expression" dxfId="712" priority="1303">
      <formula>SelectRace="Nain"</formula>
    </cfRule>
    <cfRule type="expression" dxfId="711" priority="1304">
      <formula>SelectRace=“Humain“</formula>
    </cfRule>
  </conditionalFormatting>
  <conditionalFormatting sqref="A3:L3">
    <cfRule type="expression" dxfId="710" priority="1285">
      <formula>SelectRace="Vampire"</formula>
    </cfRule>
    <cfRule type="expression" dxfId="709" priority="1286">
      <formula>SelectRace="Skaven"</formula>
    </cfRule>
    <cfRule type="expression" dxfId="708" priority="1287">
      <formula>SelectRace="Peau-Verte"</formula>
    </cfRule>
    <cfRule type="expression" dxfId="707" priority="1288">
      <formula>SelectRace="Homme-lézard"</formula>
    </cfRule>
    <cfRule type="expression" dxfId="706" priority="1289">
      <formula>SelectRace="Homme-bête"</formula>
    </cfRule>
    <cfRule type="expression" dxfId="705" priority="1290">
      <formula>SelectRace="Halfling"</formula>
    </cfRule>
    <cfRule type="expression" dxfId="704" priority="1291">
      <formula>SelectRace="Elfe"</formula>
    </cfRule>
    <cfRule type="expression" dxfId="703" priority="1292">
      <formula>SelectRace="Créature du chaos"</formula>
    </cfRule>
    <cfRule type="expression" dxfId="702" priority="1293">
      <formula>SelectRace="Nain"</formula>
    </cfRule>
    <cfRule type="expression" dxfId="701" priority="1294">
      <formula>SelectRace=“Humain“</formula>
    </cfRule>
  </conditionalFormatting>
  <conditionalFormatting sqref="A2:B2">
    <cfRule type="expression" dxfId="700" priority="1275">
      <formula>SelectRace="Vampire"</formula>
    </cfRule>
    <cfRule type="expression" dxfId="699" priority="1276">
      <formula>SelectRace="Skaven"</formula>
    </cfRule>
    <cfRule type="expression" dxfId="698" priority="1277">
      <formula>SelectRace="Peau-Verte"</formula>
    </cfRule>
    <cfRule type="expression" dxfId="697" priority="1278">
      <formula>SelectRace="Homme-lézard"</formula>
    </cfRule>
    <cfRule type="expression" dxfId="696" priority="1279">
      <formula>SelectRace="Homme-bête"</formula>
    </cfRule>
    <cfRule type="expression" dxfId="695" priority="1280">
      <formula>SelectRace="Halfling"</formula>
    </cfRule>
    <cfRule type="expression" dxfId="694" priority="1281">
      <formula>SelectRace="Elfe"</formula>
    </cfRule>
    <cfRule type="expression" dxfId="693" priority="1282">
      <formula>SelectRace="Créature du chaos"</formula>
    </cfRule>
    <cfRule type="expression" dxfId="692" priority="1283">
      <formula>SelectRace="Nain"</formula>
    </cfRule>
    <cfRule type="expression" dxfId="691" priority="1284">
      <formula>SelectRace=“Humain“</formula>
    </cfRule>
  </conditionalFormatting>
  <conditionalFormatting sqref="M2:M10 M13:M29">
    <cfRule type="expression" dxfId="690" priority="1265">
      <formula>SelectRace="Vampire"</formula>
    </cfRule>
    <cfRule type="expression" dxfId="689" priority="1266">
      <formula>SelectRace="Skaven"</formula>
    </cfRule>
    <cfRule type="expression" dxfId="688" priority="1267">
      <formula>SelectRace="Peau-Verte"</formula>
    </cfRule>
    <cfRule type="expression" dxfId="687" priority="1268">
      <formula>SelectRace="Homme-lézard"</formula>
    </cfRule>
    <cfRule type="expression" dxfId="686" priority="1269">
      <formula>SelectRace="Homme-bête"</formula>
    </cfRule>
    <cfRule type="expression" dxfId="685" priority="1270">
      <formula>SelectRace="Halfling"</formula>
    </cfRule>
    <cfRule type="expression" dxfId="684" priority="1271">
      <formula>SelectRace="Elfe"</formula>
    </cfRule>
    <cfRule type="expression" dxfId="683" priority="1272">
      <formula>SelectRace="Créature du chaos"</formula>
    </cfRule>
    <cfRule type="expression" dxfId="682" priority="1273">
      <formula>SelectRace="Nain"</formula>
    </cfRule>
    <cfRule type="expression" dxfId="681" priority="1274">
      <formula>SelectRace=“Humain“</formula>
    </cfRule>
  </conditionalFormatting>
  <conditionalFormatting sqref="B30:K30">
    <cfRule type="expression" dxfId="680" priority="1255">
      <formula>SelectRace="Vampire"</formula>
    </cfRule>
    <cfRule type="expression" dxfId="679" priority="1256">
      <formula>SelectRace="Skaven"</formula>
    </cfRule>
    <cfRule type="expression" dxfId="678" priority="1257">
      <formula>SelectRace="Peau-Verte"</formula>
    </cfRule>
    <cfRule type="expression" dxfId="677" priority="1258">
      <formula>SelectRace="Homme-lézard"</formula>
    </cfRule>
    <cfRule type="expression" dxfId="676" priority="1259">
      <formula>SelectRace="Homme-bête"</formula>
    </cfRule>
    <cfRule type="expression" dxfId="675" priority="1260">
      <formula>SelectRace="Halfling"</formula>
    </cfRule>
    <cfRule type="expression" dxfId="674" priority="1261">
      <formula>SelectRace="Elfe"</formula>
    </cfRule>
    <cfRule type="expression" dxfId="673" priority="1262">
      <formula>SelectRace="Créature du chaos"</formula>
    </cfRule>
    <cfRule type="expression" dxfId="672" priority="1263">
      <formula>SelectRace="Nain"</formula>
    </cfRule>
    <cfRule type="expression" dxfId="671" priority="1264">
      <formula>SelectRace=“Humain“</formula>
    </cfRule>
  </conditionalFormatting>
  <conditionalFormatting sqref="M30:M31 M57">
    <cfRule type="expression" dxfId="670" priority="1245">
      <formula>SelectRace="Vampire"</formula>
    </cfRule>
    <cfRule type="expression" dxfId="669" priority="1246">
      <formula>SelectRace="Skaven"</formula>
    </cfRule>
    <cfRule type="expression" dxfId="668" priority="1247">
      <formula>SelectRace="Peau-Verte"</formula>
    </cfRule>
    <cfRule type="expression" dxfId="667" priority="1248">
      <formula>SelectRace="Homme-lézard"</formula>
    </cfRule>
    <cfRule type="expression" dxfId="666" priority="1249">
      <formula>SelectRace="Homme-bête"</formula>
    </cfRule>
    <cfRule type="expression" dxfId="665" priority="1250">
      <formula>SelectRace="Halfling"</formula>
    </cfRule>
    <cfRule type="expression" dxfId="664" priority="1251">
      <formula>SelectRace="Elfe"</formula>
    </cfRule>
    <cfRule type="expression" dxfId="663" priority="1252">
      <formula>SelectRace="Créature du chaos"</formula>
    </cfRule>
    <cfRule type="expression" dxfId="662" priority="1253">
      <formula>SelectRace="Nain"</formula>
    </cfRule>
    <cfRule type="expression" dxfId="661" priority="1254">
      <formula>SelectRace=“Humain“</formula>
    </cfRule>
  </conditionalFormatting>
  <conditionalFormatting sqref="L15:L31">
    <cfRule type="expression" dxfId="660" priority="1235">
      <formula>SelectRace="Vampire"</formula>
    </cfRule>
    <cfRule type="expression" dxfId="659" priority="1236">
      <formula>SelectRace="Skaven"</formula>
    </cfRule>
    <cfRule type="expression" dxfId="658" priority="1237">
      <formula>SelectRace="Peau-Verte"</formula>
    </cfRule>
    <cfRule type="expression" dxfId="657" priority="1238">
      <formula>SelectRace="Homme-lézard"</formula>
    </cfRule>
    <cfRule type="expression" dxfId="656" priority="1239">
      <formula>SelectRace="Homme-bête"</formula>
    </cfRule>
    <cfRule type="expression" dxfId="655" priority="1240">
      <formula>SelectRace="Halfling"</formula>
    </cfRule>
    <cfRule type="expression" dxfId="654" priority="1241">
      <formula>SelectRace="Elfe"</formula>
    </cfRule>
    <cfRule type="expression" dxfId="653" priority="1242">
      <formula>SelectRace="Créature du chaos"</formula>
    </cfRule>
    <cfRule type="expression" dxfId="652" priority="1243">
      <formula>SelectRace="Nain"</formula>
    </cfRule>
    <cfRule type="expression" dxfId="651" priority="1244">
      <formula>SelectRace=“Humain“</formula>
    </cfRule>
  </conditionalFormatting>
  <conditionalFormatting sqref="L11:M12">
    <cfRule type="expression" dxfId="650" priority="1225">
      <formula>SelectRace="Vampire"</formula>
    </cfRule>
    <cfRule type="expression" dxfId="649" priority="1226">
      <formula>SelectRace="Skaven"</formula>
    </cfRule>
    <cfRule type="expression" dxfId="648" priority="1227">
      <formula>SelectRace="Peau-Verte"</formula>
    </cfRule>
    <cfRule type="expression" dxfId="647" priority="1228">
      <formula>SelectRace="Homme-lézard"</formula>
    </cfRule>
    <cfRule type="expression" dxfId="646" priority="1229">
      <formula>SelectRace="Homme-bête"</formula>
    </cfRule>
    <cfRule type="expression" dxfId="645" priority="1230">
      <formula>SelectRace="Halfling"</formula>
    </cfRule>
    <cfRule type="expression" dxfId="644" priority="1231">
      <formula>SelectRace="Elfe"</formula>
    </cfRule>
    <cfRule type="expression" dxfId="643" priority="1232">
      <formula>SelectRace="Créature du chaos"</formula>
    </cfRule>
    <cfRule type="expression" dxfId="642" priority="1233">
      <formula>SelectRace="Nain"</formula>
    </cfRule>
    <cfRule type="expression" dxfId="641" priority="1234">
      <formula>SelectRace=“Humain“</formula>
    </cfRule>
  </conditionalFormatting>
  <conditionalFormatting sqref="K11:K18">
    <cfRule type="expression" dxfId="640" priority="1215">
      <formula>SelectRace="Vampire"</formula>
    </cfRule>
    <cfRule type="expression" dxfId="639" priority="1216">
      <formula>SelectRace="Skaven"</formula>
    </cfRule>
    <cfRule type="expression" dxfId="638" priority="1217">
      <formula>SelectRace="Peau-Verte"</formula>
    </cfRule>
    <cfRule type="expression" dxfId="637" priority="1218">
      <formula>SelectRace="Homme-lézard"</formula>
    </cfRule>
    <cfRule type="expression" dxfId="636" priority="1219">
      <formula>SelectRace="Homme-bête"</formula>
    </cfRule>
    <cfRule type="expression" dxfId="635" priority="1220">
      <formula>SelectRace="Halfling"</formula>
    </cfRule>
    <cfRule type="expression" dxfId="634" priority="1221">
      <formula>SelectRace="Elfe"</formula>
    </cfRule>
    <cfRule type="expression" dxfId="633" priority="1222">
      <formula>SelectRace="Créature du chaos"</formula>
    </cfRule>
    <cfRule type="expression" dxfId="632" priority="1223">
      <formula>SelectRace="Nain"</formula>
    </cfRule>
    <cfRule type="expression" dxfId="631" priority="1224">
      <formula>SelectRace=“Humain“</formula>
    </cfRule>
  </conditionalFormatting>
  <conditionalFormatting sqref="B18:J18">
    <cfRule type="expression" dxfId="630" priority="1205">
      <formula>SelectRace="Vampire"</formula>
    </cfRule>
    <cfRule type="expression" dxfId="629" priority="1206">
      <formula>SelectRace="Skaven"</formula>
    </cfRule>
    <cfRule type="expression" dxfId="628" priority="1207">
      <formula>SelectRace="Peau-Verte"</formula>
    </cfRule>
    <cfRule type="expression" dxfId="627" priority="1208">
      <formula>SelectRace="Homme-lézard"</formula>
    </cfRule>
    <cfRule type="expression" dxfId="626" priority="1209">
      <formula>SelectRace="Homme-bête"</formula>
    </cfRule>
    <cfRule type="expression" dxfId="625" priority="1210">
      <formula>SelectRace="Halfling"</formula>
    </cfRule>
    <cfRule type="expression" dxfId="624" priority="1211">
      <formula>SelectRace="Elfe"</formula>
    </cfRule>
    <cfRule type="expression" dxfId="623" priority="1212">
      <formula>SelectRace="Créature du chaos"</formula>
    </cfRule>
    <cfRule type="expression" dxfId="622" priority="1213">
      <formula>SelectRace="Nain"</formula>
    </cfRule>
    <cfRule type="expression" dxfId="621" priority="1214">
      <formula>SelectRace=“Humain“</formula>
    </cfRule>
  </conditionalFormatting>
  <conditionalFormatting sqref="A18:A31 A57">
    <cfRule type="expression" dxfId="620" priority="1195">
      <formula>SelectRace="Vampire"</formula>
    </cfRule>
    <cfRule type="expression" dxfId="619" priority="1196">
      <formula>SelectRace="Skaven"</formula>
    </cfRule>
    <cfRule type="expression" dxfId="618" priority="1197">
      <formula>SelectRace="Peau-Verte"</formula>
    </cfRule>
    <cfRule type="expression" dxfId="617" priority="1198">
      <formula>SelectRace="Homme-lézard"</formula>
    </cfRule>
    <cfRule type="expression" dxfId="616" priority="1199">
      <formula>SelectRace="Homme-bête"</formula>
    </cfRule>
    <cfRule type="expression" dxfId="615" priority="1200">
      <formula>SelectRace="Halfling"</formula>
    </cfRule>
    <cfRule type="expression" dxfId="614" priority="1201">
      <formula>SelectRace="Elfe"</formula>
    </cfRule>
    <cfRule type="expression" dxfId="613" priority="1202">
      <formula>SelectRace="Créature du chaos"</formula>
    </cfRule>
    <cfRule type="expression" dxfId="612" priority="1203">
      <formula>SelectRace="Nain"</formula>
    </cfRule>
    <cfRule type="expression" dxfId="611" priority="1204">
      <formula>SelectRace=“Humain“</formula>
    </cfRule>
  </conditionalFormatting>
  <conditionalFormatting sqref="A11:B17">
    <cfRule type="expression" dxfId="610" priority="1185">
      <formula>SelectRace="Vampire"</formula>
    </cfRule>
    <cfRule type="expression" dxfId="609" priority="1186">
      <formula>SelectRace="Skaven"</formula>
    </cfRule>
    <cfRule type="expression" dxfId="608" priority="1187">
      <formula>SelectRace="Peau-Verte"</formula>
    </cfRule>
    <cfRule type="expression" dxfId="607" priority="1188">
      <formula>SelectRace="Homme-lézard"</formula>
    </cfRule>
    <cfRule type="expression" dxfId="606" priority="1189">
      <formula>SelectRace="Homme-bête"</formula>
    </cfRule>
    <cfRule type="expression" dxfId="605" priority="1190">
      <formula>SelectRace="Halfling"</formula>
    </cfRule>
    <cfRule type="expression" dxfId="604" priority="1191">
      <formula>SelectRace="Elfe"</formula>
    </cfRule>
    <cfRule type="expression" dxfId="603" priority="1192">
      <formula>SelectRace="Créature du chaos"</formula>
    </cfRule>
    <cfRule type="expression" dxfId="602" priority="1193">
      <formula>SelectRace="Nain"</formula>
    </cfRule>
    <cfRule type="expression" dxfId="601" priority="1194">
      <formula>SelectRace=“Humain“</formula>
    </cfRule>
  </conditionalFormatting>
  <conditionalFormatting sqref="A4 A6:A10">
    <cfRule type="expression" dxfId="600" priority="1175">
      <formula>SelectRace="Vampire"</formula>
    </cfRule>
    <cfRule type="expression" dxfId="599" priority="1176">
      <formula>SelectRace="Skaven"</formula>
    </cfRule>
    <cfRule type="expression" dxfId="598" priority="1177">
      <formula>SelectRace="Peau-Verte"</formula>
    </cfRule>
    <cfRule type="expression" dxfId="597" priority="1178">
      <formula>SelectRace="Homme-lézard"</formula>
    </cfRule>
    <cfRule type="expression" dxfId="596" priority="1179">
      <formula>SelectRace="Homme-bête"</formula>
    </cfRule>
    <cfRule type="expression" dxfId="595" priority="1180">
      <formula>SelectRace="Halfling"</formula>
    </cfRule>
    <cfRule type="expression" dxfId="594" priority="1181">
      <formula>SelectRace="Elfe"</formula>
    </cfRule>
    <cfRule type="expression" dxfId="593" priority="1182">
      <formula>SelectRace="Créature du chaos"</formula>
    </cfRule>
    <cfRule type="expression" dxfId="592" priority="1183">
      <formula>SelectRace="Nain"</formula>
    </cfRule>
    <cfRule type="expression" dxfId="591" priority="1184">
      <formula>SelectRace=“Humain“</formula>
    </cfRule>
  </conditionalFormatting>
  <conditionalFormatting sqref="A5:G5 I5:L5">
    <cfRule type="expression" dxfId="590" priority="1165">
      <formula>SelectRace="Vampire"</formula>
    </cfRule>
    <cfRule type="expression" dxfId="589" priority="1166">
      <formula>SelectRace="Skaven"</formula>
    </cfRule>
    <cfRule type="expression" dxfId="588" priority="1167">
      <formula>SelectRace="Peau-Verte"</formula>
    </cfRule>
    <cfRule type="expression" dxfId="587" priority="1168">
      <formula>SelectRace="Homme-lézard"</formula>
    </cfRule>
    <cfRule type="expression" dxfId="586" priority="1169">
      <formula>SelectRace="Homme-bête"</formula>
    </cfRule>
    <cfRule type="expression" dxfId="585" priority="1170">
      <formula>SelectRace="Halfling"</formula>
    </cfRule>
    <cfRule type="expression" dxfId="584" priority="1171">
      <formula>SelectRace="Elfe"</formula>
    </cfRule>
    <cfRule type="expression" dxfId="583" priority="1172">
      <formula>SelectRace="Créature du chaos"</formula>
    </cfRule>
    <cfRule type="expression" dxfId="582" priority="1173">
      <formula>SelectRace="Nain"</formula>
    </cfRule>
    <cfRule type="expression" dxfId="581" priority="1174">
      <formula>SelectRace=“Humain“</formula>
    </cfRule>
  </conditionalFormatting>
  <conditionalFormatting sqref="L4">
    <cfRule type="expression" dxfId="580" priority="1155">
      <formula>SelectRace="Vampire"</formula>
    </cfRule>
    <cfRule type="expression" dxfId="579" priority="1156">
      <formula>SelectRace="Skaven"</formula>
    </cfRule>
    <cfRule type="expression" dxfId="578" priority="1157">
      <formula>SelectRace="Peau-Verte"</formula>
    </cfRule>
    <cfRule type="expression" dxfId="577" priority="1158">
      <formula>SelectRace="Homme-lézard"</formula>
    </cfRule>
    <cfRule type="expression" dxfId="576" priority="1159">
      <formula>SelectRace="Homme-bête"</formula>
    </cfRule>
    <cfRule type="expression" dxfId="575" priority="1160">
      <formula>SelectRace="Halfling"</formula>
    </cfRule>
    <cfRule type="expression" dxfId="574" priority="1161">
      <formula>SelectRace="Elfe"</formula>
    </cfRule>
    <cfRule type="expression" dxfId="573" priority="1162">
      <formula>SelectRace="Créature du chaos"</formula>
    </cfRule>
    <cfRule type="expression" dxfId="572" priority="1163">
      <formula>SelectRace="Nain"</formula>
    </cfRule>
    <cfRule type="expression" dxfId="571" priority="1164">
      <formula>SelectRace=“Humain“</formula>
    </cfRule>
  </conditionalFormatting>
  <conditionalFormatting sqref="H10">
    <cfRule type="expression" dxfId="570" priority="1145">
      <formula>SelectRace="Vampire"</formula>
    </cfRule>
    <cfRule type="expression" dxfId="569" priority="1146">
      <formula>SelectRace="Skaven"</formula>
    </cfRule>
    <cfRule type="expression" dxfId="568" priority="1147">
      <formula>SelectRace="Peau-Verte"</formula>
    </cfRule>
    <cfRule type="expression" dxfId="567" priority="1148">
      <formula>SelectRace="Homme-lézard"</formula>
    </cfRule>
    <cfRule type="expression" dxfId="566" priority="1149">
      <formula>SelectRace="Homme-bête"</formula>
    </cfRule>
    <cfRule type="expression" dxfId="565" priority="1150">
      <formula>SelectRace="Halfling"</formula>
    </cfRule>
    <cfRule type="expression" dxfId="564" priority="1151">
      <formula>SelectRace="Elfe"</formula>
    </cfRule>
    <cfRule type="expression" dxfId="563" priority="1152">
      <formula>SelectRace="Créature du chaos"</formula>
    </cfRule>
    <cfRule type="expression" dxfId="562" priority="1153">
      <formula>SelectRace="Nain"</formula>
    </cfRule>
    <cfRule type="expression" dxfId="561" priority="1154">
      <formula>SelectRace=“Humain“</formula>
    </cfRule>
  </conditionalFormatting>
  <conditionalFormatting sqref="C11:J11 G12:J12 H5:H11">
    <cfRule type="expression" dxfId="560" priority="1135">
      <formula>SelectRace="Vampire"</formula>
    </cfRule>
    <cfRule type="expression" dxfId="559" priority="1136">
      <formula>SelectRace="Skaven"</formula>
    </cfRule>
    <cfRule type="expression" dxfId="558" priority="1137">
      <formula>SelectRace="Peau-Verte"</formula>
    </cfRule>
    <cfRule type="expression" dxfId="557" priority="1138">
      <formula>SelectRace="Homme-lézard"</formula>
    </cfRule>
    <cfRule type="expression" dxfId="556" priority="1139">
      <formula>SelectRace="Homme-bête"</formula>
    </cfRule>
    <cfRule type="expression" dxfId="555" priority="1140">
      <formula>SelectRace="Halfling"</formula>
    </cfRule>
    <cfRule type="expression" dxfId="554" priority="1141">
      <formula>SelectRace="Elfe"</formula>
    </cfRule>
    <cfRule type="expression" dxfId="553" priority="1142">
      <formula>SelectRace="Créature du chaos"</formula>
    </cfRule>
    <cfRule type="expression" dxfId="552" priority="1143">
      <formula>SelectRace="Nain"</formula>
    </cfRule>
    <cfRule type="expression" dxfId="551" priority="1144">
      <formula>SelectRace=“Humain“</formula>
    </cfRule>
  </conditionalFormatting>
  <conditionalFormatting sqref="G15:J15">
    <cfRule type="expression" dxfId="550" priority="1125">
      <formula>SelectRace="Vampire"</formula>
    </cfRule>
    <cfRule type="expression" dxfId="549" priority="1126">
      <formula>SelectRace="Skaven"</formula>
    </cfRule>
    <cfRule type="expression" dxfId="548" priority="1127">
      <formula>SelectRace="Peau-Verte"</formula>
    </cfRule>
    <cfRule type="expression" dxfId="547" priority="1128">
      <formula>SelectRace="Homme-lézard"</formula>
    </cfRule>
    <cfRule type="expression" dxfId="546" priority="1129">
      <formula>SelectRace="Homme-bête"</formula>
    </cfRule>
    <cfRule type="expression" dxfId="545" priority="1130">
      <formula>SelectRace="Halfling"</formula>
    </cfRule>
    <cfRule type="expression" dxfId="544" priority="1131">
      <formula>SelectRace="Elfe"</formula>
    </cfRule>
    <cfRule type="expression" dxfId="543" priority="1132">
      <formula>SelectRace="Créature du chaos"</formula>
    </cfRule>
    <cfRule type="expression" dxfId="542" priority="1133">
      <formula>SelectRace="Nain"</formula>
    </cfRule>
    <cfRule type="expression" dxfId="541" priority="1134">
      <formula>SelectRace=“Humain“</formula>
    </cfRule>
  </conditionalFormatting>
  <conditionalFormatting sqref="B20:B24">
    <cfRule type="expression" dxfId="540" priority="1115">
      <formula>SelectRace="Vampire"</formula>
    </cfRule>
    <cfRule type="expression" dxfId="539" priority="1116">
      <formula>SelectRace="Skaven"</formula>
    </cfRule>
    <cfRule type="expression" dxfId="538" priority="1117">
      <formula>SelectRace="Peau-Verte"</formula>
    </cfRule>
    <cfRule type="expression" dxfId="537" priority="1118">
      <formula>SelectRace="Homme-lézard"</formula>
    </cfRule>
    <cfRule type="expression" dxfId="536" priority="1119">
      <formula>SelectRace="Homme-bête"</formula>
    </cfRule>
    <cfRule type="expression" dxfId="535" priority="1120">
      <formula>SelectRace="Halfling"</formula>
    </cfRule>
    <cfRule type="expression" dxfId="534" priority="1121">
      <formula>SelectRace="Elfe"</formula>
    </cfRule>
    <cfRule type="expression" dxfId="533" priority="1122">
      <formula>SelectRace="Créature du chaos"</formula>
    </cfRule>
    <cfRule type="expression" dxfId="532" priority="1123">
      <formula>SelectRace="Nain"</formula>
    </cfRule>
    <cfRule type="expression" dxfId="531" priority="1124">
      <formula>SelectRace=“Humain“</formula>
    </cfRule>
  </conditionalFormatting>
  <conditionalFormatting sqref="B26:B29">
    <cfRule type="expression" dxfId="530" priority="1105">
      <formula>SelectRace="Vampire"</formula>
    </cfRule>
    <cfRule type="expression" dxfId="529" priority="1106">
      <formula>SelectRace="Skaven"</formula>
    </cfRule>
    <cfRule type="expression" dxfId="528" priority="1107">
      <formula>SelectRace="Peau-Verte"</formula>
    </cfRule>
    <cfRule type="expression" dxfId="527" priority="1108">
      <formula>SelectRace="Homme-lézard"</formula>
    </cfRule>
    <cfRule type="expression" dxfId="526" priority="1109">
      <formula>SelectRace="Homme-bête"</formula>
    </cfRule>
    <cfRule type="expression" dxfId="525" priority="1110">
      <formula>SelectRace="Halfling"</formula>
    </cfRule>
    <cfRule type="expression" dxfId="524" priority="1111">
      <formula>SelectRace="Elfe"</formula>
    </cfRule>
    <cfRule type="expression" dxfId="523" priority="1112">
      <formula>SelectRace="Créature du chaos"</formula>
    </cfRule>
    <cfRule type="expression" dxfId="522" priority="1113">
      <formula>SelectRace="Nain"</formula>
    </cfRule>
    <cfRule type="expression" dxfId="521" priority="1114">
      <formula>SelectRace=“Humain“</formula>
    </cfRule>
  </conditionalFormatting>
  <conditionalFormatting sqref="L57">
    <cfRule type="expression" dxfId="520" priority="1025">
      <formula>SelectRace="Vampire"</formula>
    </cfRule>
    <cfRule type="expression" dxfId="519" priority="1026">
      <formula>SelectRace="Skaven"</formula>
    </cfRule>
    <cfRule type="expression" dxfId="518" priority="1027">
      <formula>SelectRace="Peau-Verte"</formula>
    </cfRule>
    <cfRule type="expression" dxfId="517" priority="1028">
      <formula>SelectRace="Homme-lézard"</formula>
    </cfRule>
    <cfRule type="expression" dxfId="516" priority="1029">
      <formula>SelectRace="Homme-bête"</formula>
    </cfRule>
    <cfRule type="expression" dxfId="515" priority="1030">
      <formula>SelectRace="Halfling"</formula>
    </cfRule>
    <cfRule type="expression" dxfId="514" priority="1031">
      <formula>SelectRace="Elfe"</formula>
    </cfRule>
    <cfRule type="expression" dxfId="513" priority="1032">
      <formula>SelectRace="Créature du chaos"</formula>
    </cfRule>
    <cfRule type="expression" dxfId="512" priority="1033">
      <formula>SelectRace="Nain"</formula>
    </cfRule>
    <cfRule type="expression" dxfId="511" priority="1034">
      <formula>SelectRace=“Humain“</formula>
    </cfRule>
  </conditionalFormatting>
  <conditionalFormatting sqref="B57:K57">
    <cfRule type="expression" dxfId="510" priority="1015">
      <formula>SelectRace="Vampire"</formula>
    </cfRule>
    <cfRule type="expression" dxfId="509" priority="1016">
      <formula>SelectRace="Skaven"</formula>
    </cfRule>
    <cfRule type="expression" dxfId="508" priority="1017">
      <formula>SelectRace="Peau-Verte"</formula>
    </cfRule>
    <cfRule type="expression" dxfId="507" priority="1018">
      <formula>SelectRace="Homme-lézard"</formula>
    </cfRule>
    <cfRule type="expression" dxfId="506" priority="1019">
      <formula>SelectRace="Homme-bête"</formula>
    </cfRule>
    <cfRule type="expression" dxfId="505" priority="1020">
      <formula>SelectRace="Halfling"</formula>
    </cfRule>
    <cfRule type="expression" dxfId="504" priority="1021">
      <formula>SelectRace="Elfe"</formula>
    </cfRule>
    <cfRule type="expression" dxfId="503" priority="1022">
      <formula>SelectRace="Créature du chaos"</formula>
    </cfRule>
    <cfRule type="expression" dxfId="502" priority="1023">
      <formula>SelectRace="Nain"</formula>
    </cfRule>
    <cfRule type="expression" dxfId="501" priority="1024">
      <formula>SelectRace=“Humain“</formula>
    </cfRule>
  </conditionalFormatting>
  <conditionalFormatting sqref="H5:H9">
    <cfRule type="expression" dxfId="500" priority="905">
      <formula>SelectRace="Vampire"</formula>
    </cfRule>
    <cfRule type="expression" dxfId="499" priority="906">
      <formula>SelectRace="Skaven"</formula>
    </cfRule>
    <cfRule type="expression" dxfId="498" priority="907">
      <formula>SelectRace="Peau-Verte"</formula>
    </cfRule>
    <cfRule type="expression" dxfId="497" priority="908">
      <formula>SelectRace="Homme-lézard"</formula>
    </cfRule>
    <cfRule type="expression" dxfId="496" priority="909">
      <formula>SelectRace="Homme-bête"</formula>
    </cfRule>
    <cfRule type="expression" dxfId="495" priority="910">
      <formula>SelectRace="Halfling"</formula>
    </cfRule>
    <cfRule type="expression" dxfId="494" priority="911">
      <formula>SelectRace="Elfe"</formula>
    </cfRule>
    <cfRule type="expression" dxfId="493" priority="912">
      <formula>SelectRace="Créature du chaos"</formula>
    </cfRule>
    <cfRule type="expression" dxfId="492" priority="913">
      <formula>SelectRace="Nain"</formula>
    </cfRule>
    <cfRule type="expression" dxfId="491" priority="914">
      <formula>SelectRace=“Humain“</formula>
    </cfRule>
  </conditionalFormatting>
  <conditionalFormatting sqref="L33:L37 C33:G37">
    <cfRule type="cellIs" dxfId="490" priority="551" operator="equal">
      <formula>""</formula>
    </cfRule>
  </conditionalFormatting>
  <conditionalFormatting sqref="M32:M37">
    <cfRule type="expression" dxfId="489" priority="541">
      <formula>SelectRace="Vampire"</formula>
    </cfRule>
    <cfRule type="expression" dxfId="488" priority="542">
      <formula>SelectRace="Skaven"</formula>
    </cfRule>
    <cfRule type="expression" dxfId="487" priority="543">
      <formula>SelectRace="Peau-Verte"</formula>
    </cfRule>
    <cfRule type="expression" dxfId="486" priority="544">
      <formula>SelectRace="Homme-lézard"</formula>
    </cfRule>
    <cfRule type="expression" dxfId="485" priority="545">
      <formula>SelectRace="Homme-bête"</formula>
    </cfRule>
    <cfRule type="expression" dxfId="484" priority="546">
      <formula>SelectRace="Halfling"</formula>
    </cfRule>
    <cfRule type="expression" dxfId="483" priority="547">
      <formula>SelectRace="Elfe"</formula>
    </cfRule>
    <cfRule type="expression" dxfId="482" priority="548">
      <formula>SelectRace="Créature du chaos"</formula>
    </cfRule>
    <cfRule type="expression" dxfId="481" priority="549">
      <formula>SelectRace="Nain"</formula>
    </cfRule>
    <cfRule type="expression" dxfId="480" priority="550">
      <formula>SelectRace=“Humain“</formula>
    </cfRule>
  </conditionalFormatting>
  <conditionalFormatting sqref="A33:A37">
    <cfRule type="expression" dxfId="479" priority="471">
      <formula>SelectRace="Vampire"</formula>
    </cfRule>
    <cfRule type="expression" dxfId="478" priority="472">
      <formula>SelectRace="Skaven"</formula>
    </cfRule>
    <cfRule type="expression" dxfId="477" priority="473">
      <formula>SelectRace="Peau-Verte"</formula>
    </cfRule>
    <cfRule type="expression" dxfId="476" priority="474">
      <formula>SelectRace="Homme-lézard"</formula>
    </cfRule>
    <cfRule type="expression" dxfId="475" priority="475">
      <formula>SelectRace="Homme-bête"</formula>
    </cfRule>
    <cfRule type="expression" dxfId="474" priority="476">
      <formula>SelectRace="Halfling"</formula>
    </cfRule>
    <cfRule type="expression" dxfId="473" priority="477">
      <formula>SelectRace="Elfe"</formula>
    </cfRule>
    <cfRule type="expression" dxfId="472" priority="478">
      <formula>SelectRace="Créature du chaos"</formula>
    </cfRule>
    <cfRule type="expression" dxfId="471" priority="479">
      <formula>SelectRace="Nain"</formula>
    </cfRule>
    <cfRule type="expression" dxfId="470" priority="480">
      <formula>SelectRace=“Humain“</formula>
    </cfRule>
  </conditionalFormatting>
  <conditionalFormatting sqref="A32:G32 I32:L32">
    <cfRule type="expression" dxfId="469" priority="461">
      <formula>SelectRace="Vampire"</formula>
    </cfRule>
    <cfRule type="expression" dxfId="468" priority="462">
      <formula>SelectRace="Skaven"</formula>
    </cfRule>
    <cfRule type="expression" dxfId="467" priority="463">
      <formula>SelectRace="Peau-Verte"</formula>
    </cfRule>
    <cfRule type="expression" dxfId="466" priority="464">
      <formula>SelectRace="Homme-lézard"</formula>
    </cfRule>
    <cfRule type="expression" dxfId="465" priority="465">
      <formula>SelectRace="Homme-bête"</formula>
    </cfRule>
    <cfRule type="expression" dxfId="464" priority="466">
      <formula>SelectRace="Halfling"</formula>
    </cfRule>
    <cfRule type="expression" dxfId="463" priority="467">
      <formula>SelectRace="Elfe"</formula>
    </cfRule>
    <cfRule type="expression" dxfId="462" priority="468">
      <formula>SelectRace="Créature du chaos"</formula>
    </cfRule>
    <cfRule type="expression" dxfId="461" priority="469">
      <formula>SelectRace="Nain"</formula>
    </cfRule>
    <cfRule type="expression" dxfId="460" priority="470">
      <formula>SelectRace=“Humain“</formula>
    </cfRule>
  </conditionalFormatting>
  <conditionalFormatting sqref="H37">
    <cfRule type="expression" dxfId="459" priority="451">
      <formula>SelectRace="Vampire"</formula>
    </cfRule>
    <cfRule type="expression" dxfId="458" priority="452">
      <formula>SelectRace="Skaven"</formula>
    </cfRule>
    <cfRule type="expression" dxfId="457" priority="453">
      <formula>SelectRace="Peau-Verte"</formula>
    </cfRule>
    <cfRule type="expression" dxfId="456" priority="454">
      <formula>SelectRace="Homme-lézard"</formula>
    </cfRule>
    <cfRule type="expression" dxfId="455" priority="455">
      <formula>SelectRace="Homme-bête"</formula>
    </cfRule>
    <cfRule type="expression" dxfId="454" priority="456">
      <formula>SelectRace="Halfling"</formula>
    </cfRule>
    <cfRule type="expression" dxfId="453" priority="457">
      <formula>SelectRace="Elfe"</formula>
    </cfRule>
    <cfRule type="expression" dxfId="452" priority="458">
      <formula>SelectRace="Créature du chaos"</formula>
    </cfRule>
    <cfRule type="expression" dxfId="451" priority="459">
      <formula>SelectRace="Nain"</formula>
    </cfRule>
    <cfRule type="expression" dxfId="450" priority="460">
      <formula>SelectRace=“Humain“</formula>
    </cfRule>
  </conditionalFormatting>
  <conditionalFormatting sqref="H32:H37">
    <cfRule type="expression" dxfId="449" priority="441">
      <formula>SelectRace="Vampire"</formula>
    </cfRule>
    <cfRule type="expression" dxfId="448" priority="442">
      <formula>SelectRace="Skaven"</formula>
    </cfRule>
    <cfRule type="expression" dxfId="447" priority="443">
      <formula>SelectRace="Peau-Verte"</formula>
    </cfRule>
    <cfRule type="expression" dxfId="446" priority="444">
      <formula>SelectRace="Homme-lézard"</formula>
    </cfRule>
    <cfRule type="expression" dxfId="445" priority="445">
      <formula>SelectRace="Homme-bête"</formula>
    </cfRule>
    <cfRule type="expression" dxfId="444" priority="446">
      <formula>SelectRace="Halfling"</formula>
    </cfRule>
    <cfRule type="expression" dxfId="443" priority="447">
      <formula>SelectRace="Elfe"</formula>
    </cfRule>
    <cfRule type="expression" dxfId="442" priority="448">
      <formula>SelectRace="Créature du chaos"</formula>
    </cfRule>
    <cfRule type="expression" dxfId="441" priority="449">
      <formula>SelectRace="Nain"</formula>
    </cfRule>
    <cfRule type="expression" dxfId="440" priority="450">
      <formula>SelectRace=“Humain“</formula>
    </cfRule>
  </conditionalFormatting>
  <conditionalFormatting sqref="H32:H36">
    <cfRule type="expression" dxfId="439" priority="401">
      <formula>SelectRace="Vampire"</formula>
    </cfRule>
    <cfRule type="expression" dxfId="438" priority="402">
      <formula>SelectRace="Skaven"</formula>
    </cfRule>
    <cfRule type="expression" dxfId="437" priority="403">
      <formula>SelectRace="Peau-Verte"</formula>
    </cfRule>
    <cfRule type="expression" dxfId="436" priority="404">
      <formula>SelectRace="Homme-lézard"</formula>
    </cfRule>
    <cfRule type="expression" dxfId="435" priority="405">
      <formula>SelectRace="Homme-bête"</formula>
    </cfRule>
    <cfRule type="expression" dxfId="434" priority="406">
      <formula>SelectRace="Halfling"</formula>
    </cfRule>
    <cfRule type="expression" dxfId="433" priority="407">
      <formula>SelectRace="Elfe"</formula>
    </cfRule>
    <cfRule type="expression" dxfId="432" priority="408">
      <formula>SelectRace="Créature du chaos"</formula>
    </cfRule>
    <cfRule type="expression" dxfId="431" priority="409">
      <formula>SelectRace="Nain"</formula>
    </cfRule>
    <cfRule type="expression" dxfId="430" priority="410">
      <formula>SelectRace=“Humain“</formula>
    </cfRule>
  </conditionalFormatting>
  <conditionalFormatting sqref="M40:M56">
    <cfRule type="expression" dxfId="429" priority="391">
      <formula>SelectRace="Vampire"</formula>
    </cfRule>
    <cfRule type="expression" dxfId="428" priority="392">
      <formula>SelectRace="Skaven"</formula>
    </cfRule>
    <cfRule type="expression" dxfId="427" priority="393">
      <formula>SelectRace="Peau-Verte"</formula>
    </cfRule>
    <cfRule type="expression" dxfId="426" priority="394">
      <formula>SelectRace="Homme-lézard"</formula>
    </cfRule>
    <cfRule type="expression" dxfId="425" priority="395">
      <formula>SelectRace="Homme-bête"</formula>
    </cfRule>
    <cfRule type="expression" dxfId="424" priority="396">
      <formula>SelectRace="Halfling"</formula>
    </cfRule>
    <cfRule type="expression" dxfId="423" priority="397">
      <formula>SelectRace="Elfe"</formula>
    </cfRule>
    <cfRule type="expression" dxfId="422" priority="398">
      <formula>SelectRace="Créature du chaos"</formula>
    </cfRule>
    <cfRule type="expression" dxfId="421" priority="399">
      <formula>SelectRace="Nain"</formula>
    </cfRule>
    <cfRule type="expression" dxfId="420" priority="400">
      <formula>SelectRace=“Humain“</formula>
    </cfRule>
  </conditionalFormatting>
  <conditionalFormatting sqref="M38:M39">
    <cfRule type="expression" dxfId="419" priority="371">
      <formula>SelectRace="Vampire"</formula>
    </cfRule>
    <cfRule type="expression" dxfId="418" priority="372">
      <formula>SelectRace="Skaven"</formula>
    </cfRule>
    <cfRule type="expression" dxfId="417" priority="373">
      <formula>SelectRace="Peau-Verte"</formula>
    </cfRule>
    <cfRule type="expression" dxfId="416" priority="374">
      <formula>SelectRace="Homme-lézard"</formula>
    </cfRule>
    <cfRule type="expression" dxfId="415" priority="375">
      <formula>SelectRace="Homme-bête"</formula>
    </cfRule>
    <cfRule type="expression" dxfId="414" priority="376">
      <formula>SelectRace="Halfling"</formula>
    </cfRule>
    <cfRule type="expression" dxfId="413" priority="377">
      <formula>SelectRace="Elfe"</formula>
    </cfRule>
    <cfRule type="expression" dxfId="412" priority="378">
      <formula>SelectRace="Créature du chaos"</formula>
    </cfRule>
    <cfRule type="expression" dxfId="411" priority="379">
      <formula>SelectRace="Nain"</formula>
    </cfRule>
    <cfRule type="expression" dxfId="410" priority="380">
      <formula>SelectRace=“Humain“</formula>
    </cfRule>
  </conditionalFormatting>
  <conditionalFormatting sqref="A45:A56">
    <cfRule type="expression" dxfId="409" priority="341">
      <formula>SelectRace="Vampire"</formula>
    </cfRule>
    <cfRule type="expression" dxfId="408" priority="342">
      <formula>SelectRace="Skaven"</formula>
    </cfRule>
    <cfRule type="expression" dxfId="407" priority="343">
      <formula>SelectRace="Peau-Verte"</formula>
    </cfRule>
    <cfRule type="expression" dxfId="406" priority="344">
      <formula>SelectRace="Homme-lézard"</formula>
    </cfRule>
    <cfRule type="expression" dxfId="405" priority="345">
      <formula>SelectRace="Homme-bête"</formula>
    </cfRule>
    <cfRule type="expression" dxfId="404" priority="346">
      <formula>SelectRace="Halfling"</formula>
    </cfRule>
    <cfRule type="expression" dxfId="403" priority="347">
      <formula>SelectRace="Elfe"</formula>
    </cfRule>
    <cfRule type="expression" dxfId="402" priority="348">
      <formula>SelectRace="Créature du chaos"</formula>
    </cfRule>
    <cfRule type="expression" dxfId="401" priority="349">
      <formula>SelectRace="Nain"</formula>
    </cfRule>
    <cfRule type="expression" dxfId="400" priority="350">
      <formula>SelectRace=“Humain“</formula>
    </cfRule>
  </conditionalFormatting>
  <conditionalFormatting sqref="A38:A44">
    <cfRule type="expression" dxfId="399" priority="331">
      <formula>SelectRace="Vampire"</formula>
    </cfRule>
    <cfRule type="expression" dxfId="398" priority="332">
      <formula>SelectRace="Skaven"</formula>
    </cfRule>
    <cfRule type="expression" dxfId="397" priority="333">
      <formula>SelectRace="Peau-Verte"</formula>
    </cfRule>
    <cfRule type="expression" dxfId="396" priority="334">
      <formula>SelectRace="Homme-lézard"</formula>
    </cfRule>
    <cfRule type="expression" dxfId="395" priority="335">
      <formula>SelectRace="Homme-bête"</formula>
    </cfRule>
    <cfRule type="expression" dxfId="394" priority="336">
      <formula>SelectRace="Halfling"</formula>
    </cfRule>
    <cfRule type="expression" dxfId="393" priority="337">
      <formula>SelectRace="Elfe"</formula>
    </cfRule>
    <cfRule type="expression" dxfId="392" priority="338">
      <formula>SelectRace="Créature du chaos"</formula>
    </cfRule>
    <cfRule type="expression" dxfId="391" priority="339">
      <formula>SelectRace="Nain"</formula>
    </cfRule>
    <cfRule type="expression" dxfId="390" priority="340">
      <formula>SelectRace=“Humain“</formula>
    </cfRule>
  </conditionalFormatting>
  <conditionalFormatting sqref="L42:L56">
    <cfRule type="expression" dxfId="389" priority="101">
      <formula>SelectRace="Vampire"</formula>
    </cfRule>
    <cfRule type="expression" dxfId="388" priority="102">
      <formula>SelectRace="Skaven"</formula>
    </cfRule>
    <cfRule type="expression" dxfId="387" priority="103">
      <formula>SelectRace="Peau-Verte"</formula>
    </cfRule>
    <cfRule type="expression" dxfId="386" priority="104">
      <formula>SelectRace="Homme-lézard"</formula>
    </cfRule>
    <cfRule type="expression" dxfId="385" priority="105">
      <formula>SelectRace="Homme-bête"</formula>
    </cfRule>
    <cfRule type="expression" dxfId="384" priority="106">
      <formula>SelectRace="Halfling"</formula>
    </cfRule>
    <cfRule type="expression" dxfId="383" priority="107">
      <formula>SelectRace="Elfe"</formula>
    </cfRule>
    <cfRule type="expression" dxfId="382" priority="108">
      <formula>SelectRace="Créature du chaos"</formula>
    </cfRule>
    <cfRule type="expression" dxfId="381" priority="109">
      <formula>SelectRace="Nain"</formula>
    </cfRule>
    <cfRule type="expression" dxfId="380" priority="110">
      <formula>SelectRace=“Humain“</formula>
    </cfRule>
  </conditionalFormatting>
  <conditionalFormatting sqref="L38:L39">
    <cfRule type="expression" dxfId="379" priority="91">
      <formula>SelectRace="Vampire"</formula>
    </cfRule>
    <cfRule type="expression" dxfId="378" priority="92">
      <formula>SelectRace="Skaven"</formula>
    </cfRule>
    <cfRule type="expression" dxfId="377" priority="93">
      <formula>SelectRace="Peau-Verte"</formula>
    </cfRule>
    <cfRule type="expression" dxfId="376" priority="94">
      <formula>SelectRace="Homme-lézard"</formula>
    </cfRule>
    <cfRule type="expression" dxfId="375" priority="95">
      <formula>SelectRace="Homme-bête"</formula>
    </cfRule>
    <cfRule type="expression" dxfId="374" priority="96">
      <formula>SelectRace="Halfling"</formula>
    </cfRule>
    <cfRule type="expression" dxfId="373" priority="97">
      <formula>SelectRace="Elfe"</formula>
    </cfRule>
    <cfRule type="expression" dxfId="372" priority="98">
      <formula>SelectRace="Créature du chaos"</formula>
    </cfRule>
    <cfRule type="expression" dxfId="371" priority="99">
      <formula>SelectRace="Nain"</formula>
    </cfRule>
    <cfRule type="expression" dxfId="370" priority="100">
      <formula>SelectRace=“Humain“</formula>
    </cfRule>
  </conditionalFormatting>
  <conditionalFormatting sqref="K38:K45">
    <cfRule type="expression" dxfId="369" priority="81">
      <formula>SelectRace="Vampire"</formula>
    </cfRule>
    <cfRule type="expression" dxfId="368" priority="82">
      <formula>SelectRace="Skaven"</formula>
    </cfRule>
    <cfRule type="expression" dxfId="367" priority="83">
      <formula>SelectRace="Peau-Verte"</formula>
    </cfRule>
    <cfRule type="expression" dxfId="366" priority="84">
      <formula>SelectRace="Homme-lézard"</formula>
    </cfRule>
    <cfRule type="expression" dxfId="365" priority="85">
      <formula>SelectRace="Homme-bête"</formula>
    </cfRule>
    <cfRule type="expression" dxfId="364" priority="86">
      <formula>SelectRace="Halfling"</formula>
    </cfRule>
    <cfRule type="expression" dxfId="363" priority="87">
      <formula>SelectRace="Elfe"</formula>
    </cfRule>
    <cfRule type="expression" dxfId="362" priority="88">
      <formula>SelectRace="Créature du chaos"</formula>
    </cfRule>
    <cfRule type="expression" dxfId="361" priority="89">
      <formula>SelectRace="Nain"</formula>
    </cfRule>
    <cfRule type="expression" dxfId="360" priority="90">
      <formula>SelectRace=“Humain“</formula>
    </cfRule>
  </conditionalFormatting>
  <conditionalFormatting sqref="B45:J45">
    <cfRule type="expression" dxfId="359" priority="71">
      <formula>SelectRace="Vampire"</formula>
    </cfRule>
    <cfRule type="expression" dxfId="358" priority="72">
      <formula>SelectRace="Skaven"</formula>
    </cfRule>
    <cfRule type="expression" dxfId="357" priority="73">
      <formula>SelectRace="Peau-Verte"</formula>
    </cfRule>
    <cfRule type="expression" dxfId="356" priority="74">
      <formula>SelectRace="Homme-lézard"</formula>
    </cfRule>
    <cfRule type="expression" dxfId="355" priority="75">
      <formula>SelectRace="Homme-bête"</formula>
    </cfRule>
    <cfRule type="expression" dxfId="354" priority="76">
      <formula>SelectRace="Halfling"</formula>
    </cfRule>
    <cfRule type="expression" dxfId="353" priority="77">
      <formula>SelectRace="Elfe"</formula>
    </cfRule>
    <cfRule type="expression" dxfId="352" priority="78">
      <formula>SelectRace="Créature du chaos"</formula>
    </cfRule>
    <cfRule type="expression" dxfId="351" priority="79">
      <formula>SelectRace="Nain"</formula>
    </cfRule>
    <cfRule type="expression" dxfId="350" priority="80">
      <formula>SelectRace=“Humain“</formula>
    </cfRule>
  </conditionalFormatting>
  <conditionalFormatting sqref="B38:B44">
    <cfRule type="expression" dxfId="349" priority="61">
      <formula>SelectRace="Vampire"</formula>
    </cfRule>
    <cfRule type="expression" dxfId="348" priority="62">
      <formula>SelectRace="Skaven"</formula>
    </cfRule>
    <cfRule type="expression" dxfId="347" priority="63">
      <formula>SelectRace="Peau-Verte"</formula>
    </cfRule>
    <cfRule type="expression" dxfId="346" priority="64">
      <formula>SelectRace="Homme-lézard"</formula>
    </cfRule>
    <cfRule type="expression" dxfId="345" priority="65">
      <formula>SelectRace="Homme-bête"</formula>
    </cfRule>
    <cfRule type="expression" dxfId="344" priority="66">
      <formula>SelectRace="Halfling"</formula>
    </cfRule>
    <cfRule type="expression" dxfId="343" priority="67">
      <formula>SelectRace="Elfe"</formula>
    </cfRule>
    <cfRule type="expression" dxfId="342" priority="68">
      <formula>SelectRace="Créature du chaos"</formula>
    </cfRule>
    <cfRule type="expression" dxfId="341" priority="69">
      <formula>SelectRace="Nain"</formula>
    </cfRule>
    <cfRule type="expression" dxfId="340" priority="70">
      <formula>SelectRace=“Humain“</formula>
    </cfRule>
  </conditionalFormatting>
  <conditionalFormatting sqref="D38:J38 G39:J39">
    <cfRule type="expression" dxfId="339" priority="51">
      <formula>SelectRace="Vampire"</formula>
    </cfRule>
    <cfRule type="expression" dxfId="338" priority="52">
      <formula>SelectRace="Skaven"</formula>
    </cfRule>
    <cfRule type="expression" dxfId="337" priority="53">
      <formula>SelectRace="Peau-Verte"</formula>
    </cfRule>
    <cfRule type="expression" dxfId="336" priority="54">
      <formula>SelectRace="Homme-lézard"</formula>
    </cfRule>
    <cfRule type="expression" dxfId="335" priority="55">
      <formula>SelectRace="Homme-bête"</formula>
    </cfRule>
    <cfRule type="expression" dxfId="334" priority="56">
      <formula>SelectRace="Halfling"</formula>
    </cfRule>
    <cfRule type="expression" dxfId="333" priority="57">
      <formula>SelectRace="Elfe"</formula>
    </cfRule>
    <cfRule type="expression" dxfId="332" priority="58">
      <formula>SelectRace="Créature du chaos"</formula>
    </cfRule>
    <cfRule type="expression" dxfId="331" priority="59">
      <formula>SelectRace="Nain"</formula>
    </cfRule>
    <cfRule type="expression" dxfId="330" priority="60">
      <formula>SelectRace=“Humain“</formula>
    </cfRule>
  </conditionalFormatting>
  <conditionalFormatting sqref="G42:J42">
    <cfRule type="expression" dxfId="329" priority="41">
      <formula>SelectRace="Vampire"</formula>
    </cfRule>
    <cfRule type="expression" dxfId="328" priority="42">
      <formula>SelectRace="Skaven"</formula>
    </cfRule>
    <cfRule type="expression" dxfId="327" priority="43">
      <formula>SelectRace="Peau-Verte"</formula>
    </cfRule>
    <cfRule type="expression" dxfId="326" priority="44">
      <formula>SelectRace="Homme-lézard"</formula>
    </cfRule>
    <cfRule type="expression" dxfId="325" priority="45">
      <formula>SelectRace="Homme-bête"</formula>
    </cfRule>
    <cfRule type="expression" dxfId="324" priority="46">
      <formula>SelectRace="Halfling"</formula>
    </cfRule>
    <cfRule type="expression" dxfId="323" priority="47">
      <formula>SelectRace="Elfe"</formula>
    </cfRule>
    <cfRule type="expression" dxfId="322" priority="48">
      <formula>SelectRace="Créature du chaos"</formula>
    </cfRule>
    <cfRule type="expression" dxfId="321" priority="49">
      <formula>SelectRace="Nain"</formula>
    </cfRule>
    <cfRule type="expression" dxfId="320" priority="50">
      <formula>SelectRace=“Humain“</formula>
    </cfRule>
  </conditionalFormatting>
  <conditionalFormatting sqref="B47:B51">
    <cfRule type="expression" dxfId="319" priority="31">
      <formula>SelectRace="Vampire"</formula>
    </cfRule>
    <cfRule type="expression" dxfId="318" priority="32">
      <formula>SelectRace="Skaven"</formula>
    </cfRule>
    <cfRule type="expression" dxfId="317" priority="33">
      <formula>SelectRace="Peau-Verte"</formula>
    </cfRule>
    <cfRule type="expression" dxfId="316" priority="34">
      <formula>SelectRace="Homme-lézard"</formula>
    </cfRule>
    <cfRule type="expression" dxfId="315" priority="35">
      <formula>SelectRace="Homme-bête"</formula>
    </cfRule>
    <cfRule type="expression" dxfId="314" priority="36">
      <formula>SelectRace="Halfling"</formula>
    </cfRule>
    <cfRule type="expression" dxfId="313" priority="37">
      <formula>SelectRace="Elfe"</formula>
    </cfRule>
    <cfRule type="expression" dxfId="312" priority="38">
      <formula>SelectRace="Créature du chaos"</formula>
    </cfRule>
    <cfRule type="expression" dxfId="311" priority="39">
      <formula>SelectRace="Nain"</formula>
    </cfRule>
    <cfRule type="expression" dxfId="310" priority="40">
      <formula>SelectRace=“Humain“</formula>
    </cfRule>
  </conditionalFormatting>
  <conditionalFormatting sqref="B53:B56">
    <cfRule type="expression" dxfId="309" priority="21">
      <formula>SelectRace="Vampire"</formula>
    </cfRule>
    <cfRule type="expression" dxfId="308" priority="22">
      <formula>SelectRace="Skaven"</formula>
    </cfRule>
    <cfRule type="expression" dxfId="307" priority="23">
      <formula>SelectRace="Peau-Verte"</formula>
    </cfRule>
    <cfRule type="expression" dxfId="306" priority="24">
      <formula>SelectRace="Homme-lézard"</formula>
    </cfRule>
    <cfRule type="expression" dxfId="305" priority="25">
      <formula>SelectRace="Homme-bête"</formula>
    </cfRule>
    <cfRule type="expression" dxfId="304" priority="26">
      <formula>SelectRace="Halfling"</formula>
    </cfRule>
    <cfRule type="expression" dxfId="303" priority="27">
      <formula>SelectRace="Elfe"</formula>
    </cfRule>
    <cfRule type="expression" dxfId="302" priority="28">
      <formula>SelectRace="Créature du chaos"</formula>
    </cfRule>
    <cfRule type="expression" dxfId="301" priority="29">
      <formula>SelectRace="Nain"</formula>
    </cfRule>
    <cfRule type="expression" dxfId="300" priority="30">
      <formula>SelectRace=“Humain“</formula>
    </cfRule>
  </conditionalFormatting>
  <conditionalFormatting sqref="C38">
    <cfRule type="expression" dxfId="299" priority="1">
      <formula>SelectRace="Vampire"</formula>
    </cfRule>
    <cfRule type="expression" dxfId="298" priority="2">
      <formula>SelectRace="Skaven"</formula>
    </cfRule>
    <cfRule type="expression" dxfId="297" priority="3">
      <formula>SelectRace="Peau-Verte"</formula>
    </cfRule>
    <cfRule type="expression" dxfId="296" priority="4">
      <formula>SelectRace="Homme-lézard"</formula>
    </cfRule>
    <cfRule type="expression" dxfId="295" priority="5">
      <formula>SelectRace="Homme-bête"</formula>
    </cfRule>
    <cfRule type="expression" dxfId="294" priority="6">
      <formula>SelectRace="Halfling"</formula>
    </cfRule>
    <cfRule type="expression" dxfId="293" priority="7">
      <formula>SelectRace="Elfe"</formula>
    </cfRule>
    <cfRule type="expression" dxfId="292" priority="8">
      <formula>SelectRace="Créature du chaos"</formula>
    </cfRule>
    <cfRule type="expression" dxfId="291" priority="9">
      <formula>SelectRace="Nain"</formula>
    </cfRule>
  </conditionalFormatting>
  <dataValidations count="12">
    <dataValidation type="list" allowBlank="1" showInputMessage="1" showErrorMessage="1" sqref="C6 C33" xr:uid="{9E2876BC-AEC6-4638-A286-4D2481DABDBC}">
      <formula1>type_suite</formula1>
    </dataValidation>
    <dataValidation type="list" allowBlank="1" showInputMessage="1" showErrorMessage="1" sqref="L6 L33" xr:uid="{AA7E0CD2-8E0E-4A07-9181-A203337AA642}">
      <formula1>personnalité</formula1>
    </dataValidation>
    <dataValidation type="list" allowBlank="1" showInputMessage="1" showErrorMessage="1" sqref="L7 L34" xr:uid="{0AD826B6-DCE9-483B-87AD-89FE42387731}">
      <formula1>relation</formula1>
    </dataValidation>
    <dataValidation type="list" allowBlank="1" showInputMessage="1" showErrorMessage="1" sqref="L10 L37" xr:uid="{B0BFA846-5548-4BB7-A3CE-C474A0B08833}">
      <formula1>sexe</formula1>
    </dataValidation>
    <dataValidation type="list" allowBlank="1" showInputMessage="1" showErrorMessage="1" sqref="C4" xr:uid="{FF2E04F3-8917-432A-89F5-B34D101FCB0E}">
      <formula1>IF($H$10=1,nh_elfe,IF($H$10=2,nf_elfe,IF($H$10=3,nh_halfling,IF($H$10=4,nf_halfling,IF($H$10=5,nh_humain,IF($H$10=6,nf_humain,IF($H$10=7,nh_nain,IF($H$10=8,nf_nain,IF(C6="Animaux/Montures/Familiers",nom_anim)))))))))</formula1>
    </dataValidation>
    <dataValidation type="list" allowBlank="1" showInputMessage="1" showErrorMessage="1" sqref="C31" xr:uid="{F282658F-0F37-47CE-AFAF-5F6D480FEB17}">
      <formula1>IF($H$37=1,nh_elfe,IF($H$37=2,nf_elfe,IF($H$37=3,nh_halfling,IF($H$37=4,nf_halfling,IF($H$37=5,nh_humain,IF($H$37=6,nf_humain,IF($H$37=7,nh_nain,IF($H$37=8,nf_nain,IF($C$33="Animaux/Montures/Familiers",nom_anim)))))))))</formula1>
    </dataValidation>
    <dataValidation type="list" allowBlank="1" showInputMessage="1" showErrorMessage="1" sqref="C10:G10 C37:G37" xr:uid="{6969DFDB-6E0D-47E3-BE50-8EBFD3909B6E}">
      <formula1>IF($C$7="Elfe",y_elfe,IF($C$7="Halfling",y_halfling,IF($C$7="Humain",y_humain,IF($C$7="Nain",y_nain,IF(C6="Objet animé",y_skaven,y_animaux)))))</formula1>
    </dataValidation>
    <dataValidation type="list" allowBlank="1" showInputMessage="1" showErrorMessage="1" sqref="C7:G7 C34:G34" xr:uid="{9F3FF887-692E-4FEB-A4BC-D63B973336F2}">
      <formula1>IF(H6=3,race2,IF(H6=2,SelectRace,IF(H6=1,typ_an,IF(OR(H6=4,H6=5),C6,IF(H6=6,Obj_an,"")))))</formula1>
    </dataValidation>
    <dataValidation type="list" allowBlank="1" showInputMessage="1" showErrorMessage="1" sqref="C8:G8 C35:G35" xr:uid="{FC3AAC83-0B21-4037-9E58-9828EDFC7282}">
      <formula1>IF(H6=3,serviteur,IF(H6=2,form_an,IF(H6=1,fam,IF(H6=4,mont,IF(H6=5,epik,IF(H6=6,Attributs,""))))))</formula1>
    </dataValidation>
    <dataValidation type="list" allowBlank="1" showInputMessage="1" showErrorMessage="1" sqref="C9:G9 C36:G36" xr:uid="{C0DF0DA7-54C4-4CAC-BE55-8A851A74BFAF}">
      <formula1>IF(C7="Elfe",c_elfe,IF(C7="Halfling",c_h,IF(C7="Humain",c_h,IF(C7="Nain",c_nain,IF(H6=6,Attributs,poil_sk)))))</formula1>
    </dataValidation>
    <dataValidation type="list" allowBlank="1" showInputMessage="1" showErrorMessage="1" sqref="L8 L35" xr:uid="{E6850833-AE53-4CA7-9A95-D64E76147B68}">
      <formula1>IF(H6=3,signe,IF(OR(H6=1,H6=2,H6=4),bizarreries,IF(H6=6,Attributs,"")))</formula1>
    </dataValidation>
    <dataValidation type="list" allowBlank="1" showInputMessage="1" showErrorMessage="1" sqref="L9 L36" xr:uid="{B8AD0CB7-8462-432D-BAEA-D93AB803BA3B}">
      <formula1>IF(H6=3,race2,IF(H6=2,SelectRace,IF(H6=1,typ_an,IF(OR(H6=4,H6=5),C6,IF(H6=6,Attributs,"")))))</formula1>
    </dataValidation>
  </dataValidations>
  <pageMargins left="0.7" right="0.7" top="0.75" bottom="0.75" header="0.3" footer="0.3"/>
  <pageSetup paperSize="9" scale="96"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0">
    <tabColor theme="0"/>
    <pageSetUpPr fitToPage="1"/>
  </sheetPr>
  <dimension ref="A1:K46"/>
  <sheetViews>
    <sheetView showRowColHeaders="0" zoomScaleNormal="100" workbookViewId="0">
      <selection activeCell="B16" sqref="B16"/>
    </sheetView>
  </sheetViews>
  <sheetFormatPr baseColWidth="10" defaultColWidth="11.44140625" defaultRowHeight="13.2"/>
  <cols>
    <col min="1" max="1" width="14.44140625" style="85" customWidth="1"/>
    <col min="2" max="9" width="5.6640625" style="85" customWidth="1"/>
    <col min="10" max="10" width="11.44140625" style="85" customWidth="1"/>
    <col min="11" max="16384" width="11.44140625" style="85"/>
  </cols>
  <sheetData>
    <row r="1" spans="1:11" ht="13.8" thickBot="1">
      <c r="A1" s="217"/>
      <c r="B1" s="217"/>
      <c r="C1" s="217"/>
      <c r="D1" s="217"/>
      <c r="E1" s="217"/>
      <c r="F1" s="217"/>
      <c r="G1" s="217"/>
      <c r="H1" s="217"/>
      <c r="I1" s="217"/>
      <c r="J1" s="217"/>
      <c r="K1" s="217"/>
    </row>
    <row r="2" spans="1:11">
      <c r="A2" s="217"/>
      <c r="B2" s="1457" t="str">
        <f>CONCATENATE(IF('page 1'!C3="","",'page 1'!C3)," ",(IF('page 1'!K3="","",'page 1'!K3)))</f>
        <v xml:space="preserve"> </v>
      </c>
      <c r="C2" s="1458"/>
      <c r="D2" s="1458"/>
      <c r="E2" s="1458"/>
      <c r="F2" s="1458"/>
      <c r="G2" s="1458"/>
      <c r="H2" s="1458"/>
      <c r="I2" s="1458"/>
      <c r="J2" s="1459"/>
      <c r="K2" s="217"/>
    </row>
    <row r="3" spans="1:11" ht="13.8" thickBot="1">
      <c r="A3" s="217"/>
      <c r="B3" s="1460"/>
      <c r="C3" s="1461"/>
      <c r="D3" s="1461"/>
      <c r="E3" s="1461"/>
      <c r="F3" s="1461"/>
      <c r="G3" s="1461"/>
      <c r="H3" s="1461"/>
      <c r="I3" s="1461"/>
      <c r="J3" s="1462"/>
      <c r="K3" s="217"/>
    </row>
    <row r="4" spans="1:11" ht="13.8" thickBot="1">
      <c r="A4" s="217"/>
      <c r="B4" s="217"/>
      <c r="C4" s="217"/>
      <c r="D4" s="217"/>
      <c r="E4" s="217"/>
      <c r="F4" s="217"/>
      <c r="G4" s="217"/>
      <c r="H4" s="217"/>
      <c r="I4" s="217"/>
      <c r="J4" s="217"/>
      <c r="K4" s="217"/>
    </row>
    <row r="5" spans="1:11">
      <c r="A5" s="319" t="s">
        <v>5551</v>
      </c>
      <c r="B5" s="1463" t="str">
        <f>IF('page 1'!E6="","",CONCATENATE('page 1'!E6,IF('page 1'!E8="1ère carrière","",CONCATENATE(",(ex-",'page 1'!E8)),IF('page 1'!G8="2ème carrière","",CONCATENATE(", ex-",'page 1'!G8)),IF('page 1'!J8="3ème carrière","",CONCATENATE(", ex-",'page 1'!J8)),IF('page 1'!M8="4ème carrière","",CONCATENATE(", ex-",'page 1'!M8)),IF('page 1'!E8="1ère carrière","",")")))</f>
        <v/>
      </c>
      <c r="C5" s="1464"/>
      <c r="D5" s="1464"/>
      <c r="E5" s="1464"/>
      <c r="F5" s="1464"/>
      <c r="G5" s="1464"/>
      <c r="H5" s="1464"/>
      <c r="I5" s="1464"/>
      <c r="J5" s="1465"/>
      <c r="K5" s="217"/>
    </row>
    <row r="6" spans="1:11" ht="13.8" thickBot="1">
      <c r="A6" s="217"/>
      <c r="B6" s="1466"/>
      <c r="C6" s="1467"/>
      <c r="D6" s="1467"/>
      <c r="E6" s="1467"/>
      <c r="F6" s="1467"/>
      <c r="G6" s="1467"/>
      <c r="H6" s="1467"/>
      <c r="I6" s="1467"/>
      <c r="J6" s="1468"/>
      <c r="K6" s="217"/>
    </row>
    <row r="7" spans="1:11" ht="13.8" thickBot="1">
      <c r="A7" s="217"/>
      <c r="B7" s="217"/>
      <c r="C7" s="217"/>
      <c r="D7" s="217"/>
      <c r="E7" s="217"/>
      <c r="F7" s="217"/>
      <c r="G7" s="217"/>
      <c r="H7" s="217"/>
      <c r="I7" s="217"/>
      <c r="J7" s="217"/>
      <c r="K7" s="217"/>
    </row>
    <row r="8" spans="1:11" ht="13.8" thickBot="1">
      <c r="A8" s="319" t="s">
        <v>5552</v>
      </c>
      <c r="B8" s="1469" t="str">
        <f>IF('page 1'!C4="","",'page 1'!C4)</f>
        <v/>
      </c>
      <c r="C8" s="1470"/>
      <c r="D8" s="1470"/>
      <c r="E8" s="1470"/>
      <c r="F8" s="1470"/>
      <c r="G8" s="1470"/>
      <c r="H8" s="1470"/>
      <c r="I8" s="1470"/>
      <c r="J8" s="1471"/>
      <c r="K8" s="217"/>
    </row>
    <row r="9" spans="1:11">
      <c r="A9" s="217"/>
      <c r="B9" s="217"/>
      <c r="C9" s="217"/>
      <c r="D9" s="217"/>
      <c r="E9" s="217"/>
      <c r="F9" s="217"/>
      <c r="G9" s="217"/>
      <c r="H9" s="217"/>
      <c r="I9" s="217"/>
      <c r="J9" s="217"/>
      <c r="K9" s="217"/>
    </row>
    <row r="10" spans="1:11">
      <c r="A10" s="217"/>
      <c r="B10" s="1084" t="s">
        <v>120</v>
      </c>
      <c r="C10" s="1084"/>
      <c r="D10" s="1084"/>
      <c r="E10" s="1084"/>
      <c r="F10" s="217"/>
      <c r="G10" s="217"/>
      <c r="H10" s="217"/>
      <c r="I10" s="217"/>
      <c r="J10" s="217"/>
      <c r="K10" s="217"/>
    </row>
    <row r="11" spans="1:11" ht="13.8" thickBot="1">
      <c r="A11" s="217"/>
      <c r="B11" s="326" t="s">
        <v>129</v>
      </c>
      <c r="C11" s="326" t="s">
        <v>130</v>
      </c>
      <c r="D11" s="326" t="s">
        <v>131</v>
      </c>
      <c r="E11" s="326" t="s">
        <v>148</v>
      </c>
      <c r="F11" s="326" t="s">
        <v>132</v>
      </c>
      <c r="G11" s="326" t="s">
        <v>133</v>
      </c>
      <c r="H11" s="326" t="s">
        <v>134</v>
      </c>
      <c r="I11" s="326" t="s">
        <v>135</v>
      </c>
      <c r="J11" s="217"/>
      <c r="K11" s="217"/>
    </row>
    <row r="12" spans="1:11" ht="13.8" thickBot="1">
      <c r="A12" s="217"/>
      <c r="B12" s="214">
        <f>CC</f>
        <v>0</v>
      </c>
      <c r="C12" s="214">
        <f>CT</f>
        <v>0</v>
      </c>
      <c r="D12" s="214">
        <f>F</f>
        <v>0</v>
      </c>
      <c r="E12" s="214">
        <f>E</f>
        <v>0</v>
      </c>
      <c r="F12" s="214">
        <f>Ag</f>
        <v>0</v>
      </c>
      <c r="G12" s="214">
        <f>Int</f>
        <v>0</v>
      </c>
      <c r="H12" s="214">
        <f>FM</f>
        <v>0</v>
      </c>
      <c r="I12" s="214">
        <f>Soc</f>
        <v>0</v>
      </c>
      <c r="J12" s="217"/>
      <c r="K12" s="217"/>
    </row>
    <row r="13" spans="1:11">
      <c r="A13" s="217"/>
      <c r="B13" s="1084" t="s">
        <v>139</v>
      </c>
      <c r="C13" s="1084"/>
      <c r="D13" s="1084"/>
      <c r="E13" s="1084"/>
      <c r="F13" s="217"/>
      <c r="G13" s="217"/>
      <c r="H13" s="217"/>
      <c r="I13" s="217"/>
      <c r="J13" s="217"/>
      <c r="K13" s="217"/>
    </row>
    <row r="14" spans="1:11" ht="13.8" thickBot="1">
      <c r="A14" s="217"/>
      <c r="B14" s="326" t="s">
        <v>140</v>
      </c>
      <c r="C14" s="326" t="s">
        <v>141</v>
      </c>
      <c r="D14" s="326" t="s">
        <v>142</v>
      </c>
      <c r="E14" s="326" t="s">
        <v>143</v>
      </c>
      <c r="F14" s="326" t="s">
        <v>144</v>
      </c>
      <c r="G14" s="326" t="s">
        <v>145</v>
      </c>
      <c r="H14" s="326" t="s">
        <v>146</v>
      </c>
      <c r="I14" s="326" t="s">
        <v>147</v>
      </c>
      <c r="J14" s="217"/>
      <c r="K14" s="217"/>
    </row>
    <row r="15" spans="1:11" ht="13.8" thickBot="1">
      <c r="A15" s="217"/>
      <c r="B15" s="214">
        <f>A</f>
        <v>0</v>
      </c>
      <c r="C15" s="214">
        <f>B</f>
        <v>0</v>
      </c>
      <c r="D15" s="214">
        <f>BF</f>
        <v>0</v>
      </c>
      <c r="E15" s="214">
        <f>BE</f>
        <v>0</v>
      </c>
      <c r="F15" s="214">
        <f>M</f>
        <v>-1</v>
      </c>
      <c r="G15" s="214">
        <f>Mag</f>
        <v>0</v>
      </c>
      <c r="H15" s="214">
        <f>PF</f>
        <v>0</v>
      </c>
      <c r="I15" s="214">
        <f>PD</f>
        <v>0</v>
      </c>
      <c r="J15" s="217"/>
      <c r="K15" s="217"/>
    </row>
    <row r="16" spans="1:11" ht="13.8" thickBot="1">
      <c r="A16" s="217"/>
      <c r="B16" s="217"/>
      <c r="C16" s="217"/>
      <c r="D16" s="217"/>
      <c r="E16" s="217"/>
      <c r="F16" s="217"/>
      <c r="G16" s="217"/>
      <c r="H16" s="217"/>
      <c r="I16" s="217"/>
      <c r="J16" s="217"/>
      <c r="K16" s="217"/>
    </row>
    <row r="17" spans="1:11" ht="13.8" thickTop="1">
      <c r="A17" s="319" t="s">
        <v>5553</v>
      </c>
      <c r="B17" s="1472" t="str">
        <f>CONCATENATE(IF('page 1'!E6="","",IF(Gestion!AN142="","",Gestion!AN142)),IF(Gestion!AN143="","",CONCATENATE(", ",Gestion!AN143)),IF(Gestion!AN144="","",CONCATENATE(", ",Gestion!AN144)),IF(Gestion!AI172="","",CONCATENATE(", ",Gestion!AI172)),IF(Gestion!AI173="","",CONCATENATE(", ",Gestion!AI173)),IF(Gestion!AN145="","",CONCATENATE(", ",Gestion!AN145)),IF(Gestion!AN146="","",CONCATENATE(", ",Gestion!AN146)),IF(Gestion!AI174="","",CONCATENATE(", ",Gestion!AI174)),IF(Gestion!AI175="","",CONCATENATE(", ",Gestion!AI175)),IF(Gestion!AI176="","",CONCATENATE(", ",Gestion!AI176)),IF(Gestion!AI177="","",CONCATENATE(", ",Gestion!AI177)),IF(Gestion!AI178="","",CONCATENATE(", ",Gestion!AI178)),IF(Gestion!AI179="","",CONCATENATE(", ",Gestion!AI179)),IF(Gestion!AN147="","",CONCATENATE(", ",Gestion!AN147)),IF(Gestion!AN148="","",CONCATENATE(", ",Gestion!AN148)),IF(Gestion!AN149="","",CONCATENATE(", ",Gestion!AN149)),IF(Gestion!AN150="","",CONCATENATE(", ",Gestion!AN150)),IF(Gestion!AN151="","",CONCATENATE(", ",Gestion!AN151)),IF(Gestion!AN152="","",CONCATENATE(", ",Gestion!AN152)),IF(Gestion!AI181="","",CONCATENATE(", ",Gestion!AI181)),IF(Gestion!AN153="","",CONCATENATE(", ",Gestion!AN153)),IF(Gestion!AI182="","",CONCATENATE(", ",Gestion!AI182)),IF(Gestion!AN154="","",CONCATENATE(", ",Gestion!AN154)),IF(Gestion!AN155="","",CONCATENATE(", ",Gestion!AN155)),IF(Gestion!AN156="","",CONCATENATE(", ",Gestion!AN156)),IF(Gestion!AI183="","",CONCATENATE(", ",Gestion!AI183)),IF(Gestion!AN157="","",CONCATENATE(", ",Gestion!AN157)),IF(Gestion!AI184="","",CONCATENATE(", ",Gestion!AI184)),IF(Gestion!AI185="","",CONCATENATE(", ",Gestion!AI185)),IF(Gestion!AN158="","",CONCATENATE(", ",Gestion!AN158)),IF(Gestion!AN159="","",CONCATENATE(", ",Gestion!AN159)),IF(Gestion!AN160="","",CONCATENATE(", ",Gestion!AN160)),IF(Gestion!AN161="","",CONCATENATE(", ",Gestion!AN161)),IF(Gestion!AI186="","",CONCATENATE(", ",Gestion!AI186)),IF(Gestion!AN162="","",CONCATENATE(", ",Gestion!AN162)),IF(Gestion!AI187="","",CONCATENATE(", ",Gestion!AI187)),IF(Gestion!AN163="","",CONCATENATE(", ",Gestion!AN163)),IF(Gestion!AN164="","",CONCATENATE(", ",Gestion!AN164)),IF(Gestion!AI188="","",CONCATENATE(", ",Gestion!AI188)),IF(Gestion!AN165="","",CONCATENATE(", ",Gestion!AN165)),IF(Gestion!AN166="","",CONCATENATE(", ",Gestion!AN166)),IF(Gestion!AN167="","",CONCATENATE(", ",Gestion!AN167)),IF(Gestion!AI189="","",CONCATENATE(", ",Gestion!AI189)),IF(Gestion!AN168="","",CONCATENATE(", ",Gestion!AN168)),IF(Gestion!AN169="","",CONCATENATE(", ",Gestion!AN169)),IF(Gestion!AI190="","",CONCATENATE(", ",Gestion!AI190)),IF(Gestion!AI191="","",CONCATENATE(", ",Gestion!AI191)),IF(Gestion!AN170="","",CONCATENATE(", ",Gestion!AN170)),"")</f>
        <v/>
      </c>
      <c r="C17" s="1473"/>
      <c r="D17" s="1473"/>
      <c r="E17" s="1473"/>
      <c r="F17" s="1473"/>
      <c r="G17" s="1473"/>
      <c r="H17" s="1473"/>
      <c r="I17" s="1473"/>
      <c r="J17" s="1474"/>
      <c r="K17" s="217"/>
    </row>
    <row r="18" spans="1:11">
      <c r="A18" s="217"/>
      <c r="B18" s="1475"/>
      <c r="C18" s="1476"/>
      <c r="D18" s="1476"/>
      <c r="E18" s="1476"/>
      <c r="F18" s="1476"/>
      <c r="G18" s="1476"/>
      <c r="H18" s="1476"/>
      <c r="I18" s="1476"/>
      <c r="J18" s="1477"/>
      <c r="K18" s="217"/>
    </row>
    <row r="19" spans="1:11">
      <c r="A19" s="217"/>
      <c r="B19" s="1475"/>
      <c r="C19" s="1476"/>
      <c r="D19" s="1476"/>
      <c r="E19" s="1476"/>
      <c r="F19" s="1476"/>
      <c r="G19" s="1476"/>
      <c r="H19" s="1476"/>
      <c r="I19" s="1476"/>
      <c r="J19" s="1477"/>
      <c r="K19" s="217"/>
    </row>
    <row r="20" spans="1:11">
      <c r="A20" s="217"/>
      <c r="B20" s="1475"/>
      <c r="C20" s="1476"/>
      <c r="D20" s="1476"/>
      <c r="E20" s="1476"/>
      <c r="F20" s="1476"/>
      <c r="G20" s="1476"/>
      <c r="H20" s="1476"/>
      <c r="I20" s="1476"/>
      <c r="J20" s="1477"/>
      <c r="K20" s="217"/>
    </row>
    <row r="21" spans="1:11">
      <c r="A21" s="217"/>
      <c r="B21" s="1475"/>
      <c r="C21" s="1476"/>
      <c r="D21" s="1476"/>
      <c r="E21" s="1476"/>
      <c r="F21" s="1476"/>
      <c r="G21" s="1476"/>
      <c r="H21" s="1476"/>
      <c r="I21" s="1476"/>
      <c r="J21" s="1477"/>
      <c r="K21" s="217"/>
    </row>
    <row r="22" spans="1:11">
      <c r="A22" s="217"/>
      <c r="B22" s="1475"/>
      <c r="C22" s="1476"/>
      <c r="D22" s="1476"/>
      <c r="E22" s="1476"/>
      <c r="F22" s="1476"/>
      <c r="G22" s="1476"/>
      <c r="H22" s="1476"/>
      <c r="I22" s="1476"/>
      <c r="J22" s="1477"/>
      <c r="K22" s="217"/>
    </row>
    <row r="23" spans="1:11">
      <c r="A23" s="319" t="s">
        <v>5554</v>
      </c>
      <c r="B23" s="1475" t="str">
        <f>IF(Gestion!AA3="","",CONCATENATE(Gestion!AA3,IF(Gestion!AA4="","",CONCATENATE(", ",Gestion!AA4)),IF(Gestion!AA8="","",CONCATENATE(", ",Gestion!AA8)),IF(Gestion!AA9="","",CONCATENATE(", ",Gestion!AA9)),IF(Gestion!AA10="","",CONCATENATE(", ",Gestion!AA10)),IF(Gestion!AA11="","",CONCATENATE(", ",Gestion!AA11)),IF(Gestion!AA12="","",CONCATENATE(", ",Gestion!AA12)),IF(Gestion!AA13="","",CONCATENATE(", ",Gestion!AA13)),IF(Gestion!AA14="","",CONCATENATE(", ",Gestion!AA14)),IF(Gestion!AA15="","",CONCATENATE(", ",Gestion!AA15)),IF(Gestion!AA16="","",CONCATENATE(", ",Gestion!AA16)),IF(Gestion!AA17="","",CONCATENATE(", ",Gestion!AA17)),IF(Gestion!AA19="","",CONCATENATE(", ",Gestion!AA19)),IF(Gestion!AA20="","",CONCATENATE(", ",Gestion!AA20)),IF(Gestion!AA21="","",CONCATENATE(", ",Gestion!AA21)),IF(Gestion!AA22="","",CONCATENATE(", ",Gestion!AA22)),IF(Gestion!AA23="","",CONCATENATE(", ",Gestion!AA23)),IF(Gestion!AA24="","",CONCATENATE(", ",Gestion!AA24)),IF(Gestion!AA25="","",CONCATENATE(", ",Gestion!AA25)),IF(Gestion!AA26="","",CONCATENATE(", ",Gestion!AA26)),IF(Gestion!AA27="","",CONCATENATE(", ",Gestion!AA27))))</f>
        <v/>
      </c>
      <c r="C23" s="1476"/>
      <c r="D23" s="1476"/>
      <c r="E23" s="1476"/>
      <c r="F23" s="1476"/>
      <c r="G23" s="1476"/>
      <c r="H23" s="1476"/>
      <c r="I23" s="1476"/>
      <c r="J23" s="1477"/>
      <c r="K23" s="217"/>
    </row>
    <row r="24" spans="1:11">
      <c r="A24" s="217"/>
      <c r="B24" s="1475"/>
      <c r="C24" s="1476"/>
      <c r="D24" s="1476"/>
      <c r="E24" s="1476"/>
      <c r="F24" s="1476"/>
      <c r="G24" s="1476"/>
      <c r="H24" s="1476"/>
      <c r="I24" s="1476"/>
      <c r="J24" s="1477"/>
      <c r="K24" s="217"/>
    </row>
    <row r="25" spans="1:11">
      <c r="A25" s="217"/>
      <c r="B25" s="1475"/>
      <c r="C25" s="1476"/>
      <c r="D25" s="1476"/>
      <c r="E25" s="1476"/>
      <c r="F25" s="1476"/>
      <c r="G25" s="1476"/>
      <c r="H25" s="1476"/>
      <c r="I25" s="1476"/>
      <c r="J25" s="1477"/>
      <c r="K25" s="217"/>
    </row>
    <row r="26" spans="1:11">
      <c r="A26" s="217"/>
      <c r="B26" s="1475"/>
      <c r="C26" s="1476"/>
      <c r="D26" s="1476"/>
      <c r="E26" s="1476"/>
      <c r="F26" s="1476"/>
      <c r="G26" s="1476"/>
      <c r="H26" s="1476"/>
      <c r="I26" s="1476"/>
      <c r="J26" s="1477"/>
      <c r="K26" s="217"/>
    </row>
    <row r="27" spans="1:11">
      <c r="A27" s="217"/>
      <c r="B27" s="1475"/>
      <c r="C27" s="1476"/>
      <c r="D27" s="1476"/>
      <c r="E27" s="1476"/>
      <c r="F27" s="1476"/>
      <c r="G27" s="1476"/>
      <c r="H27" s="1476"/>
      <c r="I27" s="1476"/>
      <c r="J27" s="1477"/>
      <c r="K27" s="217"/>
    </row>
    <row r="28" spans="1:11">
      <c r="A28" s="319" t="s">
        <v>5555</v>
      </c>
      <c r="B28" s="1478" t="str">
        <f>IF('page 1'!B47="","",CONCATENATE('page 1'!B47,IF('page 1'!B48="","",CONCATENATE(",",'page 1'!B48)),IF('page 1'!B49="","",CONCATENATE(",",'page 1'!B49)),IF('page 1'!B50="","",CONCATENATE(",",'page 1'!B50)),IF('page 1'!B51="","",CONCATENATE(",",'page 1'!B51)),IF('page 1'!B52="","",CONCATENATE(",",'page 1'!B52)),IF('page 1'!B53="","",CONCATENATE(",",'page 1'!B53))))</f>
        <v/>
      </c>
      <c r="C28" s="1479"/>
      <c r="D28" s="1479"/>
      <c r="E28" s="1479"/>
      <c r="F28" s="1479"/>
      <c r="G28" s="1479"/>
      <c r="H28" s="1479"/>
      <c r="I28" s="1479"/>
      <c r="J28" s="1480"/>
      <c r="K28" s="217"/>
    </row>
    <row r="29" spans="1:11">
      <c r="A29" s="217"/>
      <c r="B29" s="1478"/>
      <c r="C29" s="1479"/>
      <c r="D29" s="1479"/>
      <c r="E29" s="1479"/>
      <c r="F29" s="1479"/>
      <c r="G29" s="1479"/>
      <c r="H29" s="1479"/>
      <c r="I29" s="1479"/>
      <c r="J29" s="1480"/>
      <c r="K29" s="217"/>
    </row>
    <row r="30" spans="1:11">
      <c r="A30" s="325" t="s">
        <v>5556</v>
      </c>
      <c r="B30" s="321" t="s">
        <v>390</v>
      </c>
      <c r="C30" s="324">
        <f>IF('page 1'!X32="","",'page 1'!X32)</f>
        <v>0</v>
      </c>
      <c r="D30" s="322" t="s">
        <v>389</v>
      </c>
      <c r="E30" s="324">
        <f>IF('page 1'!X33="","",('page 1'!X33+'page 1'!X34)/2)</f>
        <v>0</v>
      </c>
      <c r="F30" s="322" t="s">
        <v>388</v>
      </c>
      <c r="G30" s="324">
        <f>IF('page 1'!X35="","",'page 1'!X35)</f>
        <v>0</v>
      </c>
      <c r="H30" s="323" t="s">
        <v>387</v>
      </c>
      <c r="I30" s="1484">
        <f>IF('page 1'!X36="","",('page 1'!X36+'page 1'!X37)/2)</f>
        <v>0</v>
      </c>
      <c r="J30" s="1485"/>
      <c r="K30" s="217"/>
    </row>
    <row r="31" spans="1:11" ht="13.2" customHeight="1">
      <c r="A31" s="319" t="s">
        <v>5557</v>
      </c>
      <c r="B31" s="1475" t="str">
        <f>IF('page 1'!B35="","",CONCATENATE('page 1'!B35,IF('page 1'!B36="","",CONCATENATE(",",'page 1'!B36)),IF('page 1'!B37="","",CONCATENATE(",",'page 1'!B37)),IF('page 1'!B38="","",CONCATENATE(",",'page 1'!B38)),IF('page 1'!B39="","",CONCATENATE(",",'page 1'!B39)),IF('page 1'!B40="","",CONCATENATE(",",'page 1'!B40))))</f>
        <v>Mains Nues</v>
      </c>
      <c r="C31" s="1476"/>
      <c r="D31" s="1476"/>
      <c r="E31" s="1476"/>
      <c r="F31" s="1476"/>
      <c r="G31" s="1476"/>
      <c r="H31" s="1476"/>
      <c r="I31" s="1476"/>
      <c r="J31" s="1477"/>
      <c r="K31" s="217"/>
    </row>
    <row r="32" spans="1:11">
      <c r="A32" s="217"/>
      <c r="B32" s="1475"/>
      <c r="C32" s="1476"/>
      <c r="D32" s="1476"/>
      <c r="E32" s="1476"/>
      <c r="F32" s="1476"/>
      <c r="G32" s="1476"/>
      <c r="H32" s="1476"/>
      <c r="I32" s="1476"/>
      <c r="J32" s="1477"/>
      <c r="K32" s="217"/>
    </row>
    <row r="33" spans="1:11" ht="13.2" customHeight="1">
      <c r="A33" s="319" t="s">
        <v>5558</v>
      </c>
      <c r="B33" s="1475" t="str">
        <f>IF('page 3'!C8="","",CONCATENATE('page 3'!C8,IF('page 3'!C9="","",CONCATENATE(", ",'page 3'!C9)),IF('page 3'!C10="","",CONCATENATE(", ",'page 3'!C10)),IF('page 3'!C11="","",CONCATENATE(",",'page 3'!C11)),IF('page 3'!C12="","",CONCATENATE(", ",'page 3'!C12)),IF('page 3'!C13="","",CONCATENATE(", ",'page 3'!C125)),IF('page 3'!C14="","",CONCATENATE(", ",'page 3'!C14)),IF('page 3'!C15="","",CONCATENATE(",",'page 3'!C15)),IF('page 3'!C16="","",CONCATENATE(",",'page 3'!C16)),IF('page 3'!C17="","",CONCATENATE(", ",'page 3'!C17)),IF('page 3'!C18="","",CONCATENATE(",",'page 3'!C18)),IF('page 3'!C19="","",CONCATENATE(", ",'page 3'!C19)),IF('page 3'!C20="","",CONCATENATE(", ",'page 3'!C20)),IF('page 3'!C21="","",CONCATENATE(", ",'page 3'!C21)),IF('page 3'!C22="","",CONCATENATE(", ",'page 3'!C22)),IF('page 3'!C23="","",CONCATENATE(", ",'page 3'!C23)),IF('page 3'!C24="","",CONCATENATE(", ",'page 3'!C24)),IF('page 3'!C25="","",CONCATENATE(", ",'page 3'!C25)),IF('page 3'!C26="","",CONCATENATE(", ",'page 3'!C26)),IF('page 3'!C27="","",CONCATENATE(", ",'page 3'!C27)),IF('page 3'!C28="","",CONCATENATE(", ",'page 3'!C28)),IF('page 3'!C29="","",CONCATENATE(", ",'page 3'!C29)),IF('page 3'!C30="","",CONCATENATE(", ",'page 3'!C30))))</f>
        <v>Équipement de base</v>
      </c>
      <c r="C33" s="1476"/>
      <c r="D33" s="1476"/>
      <c r="E33" s="1476"/>
      <c r="F33" s="1476"/>
      <c r="G33" s="1476"/>
      <c r="H33" s="1476"/>
      <c r="I33" s="1476"/>
      <c r="J33" s="1477"/>
      <c r="K33" s="217"/>
    </row>
    <row r="34" spans="1:11">
      <c r="A34" s="217"/>
      <c r="B34" s="1475"/>
      <c r="C34" s="1476"/>
      <c r="D34" s="1476"/>
      <c r="E34" s="1476"/>
      <c r="F34" s="1476"/>
      <c r="G34" s="1476"/>
      <c r="H34" s="1476"/>
      <c r="I34" s="1476"/>
      <c r="J34" s="1477"/>
      <c r="K34" s="217"/>
    </row>
    <row r="35" spans="1:11">
      <c r="A35" s="217"/>
      <c r="B35" s="1475"/>
      <c r="C35" s="1476"/>
      <c r="D35" s="1476"/>
      <c r="E35" s="1476"/>
      <c r="F35" s="1476"/>
      <c r="G35" s="1476"/>
      <c r="H35" s="1476"/>
      <c r="I35" s="1476"/>
      <c r="J35" s="1477"/>
      <c r="K35" s="217"/>
    </row>
    <row r="36" spans="1:11">
      <c r="A36" s="217"/>
      <c r="B36" s="1475"/>
      <c r="C36" s="1476"/>
      <c r="D36" s="1476"/>
      <c r="E36" s="1476"/>
      <c r="F36" s="1476"/>
      <c r="G36" s="1476"/>
      <c r="H36" s="1476"/>
      <c r="I36" s="1476"/>
      <c r="J36" s="1477"/>
      <c r="K36" s="217"/>
    </row>
    <row r="37" spans="1:11">
      <c r="A37" s="217"/>
      <c r="B37" s="1475"/>
      <c r="C37" s="1476"/>
      <c r="D37" s="1476"/>
      <c r="E37" s="1476"/>
      <c r="F37" s="1476"/>
      <c r="G37" s="1476"/>
      <c r="H37" s="1476"/>
      <c r="I37" s="1476"/>
      <c r="J37" s="1477"/>
      <c r="K37" s="217"/>
    </row>
    <row r="38" spans="1:11">
      <c r="A38" s="319" t="s">
        <v>5566</v>
      </c>
      <c r="B38" s="1475" t="str">
        <f>CONCATENATE(IF('page 4'!C6="","",'page 4'!C6),(IF('page 4'!F6="","",'page 4'!F6)),(IF('page 4'!C48="","",CONCATENATE(", ",'page 4'!C48))),(IF('page 4'!F48="","",CONCATENATE(", ",'page 4'!F48))),(IF('page 4'!C90="","",CONCATENATE(", ",'page 4'!C90))),(IF('page 4'!F90="","",CONCATENATE(", ",'page 4'!F90))),(IF('page 4'!C132="","",CONCATENATE(", ",'page 4'!C132))),(IF('page 4'!F132="","",CONCATENATE(", ",'page 4'!F132))),(IF('page 4'!C174="","",CONCATENATE(", ",'page 4'!C174))),(IF('page 4'!F174="","",CONCATENATE(", ",'page 4'!F174))),(IF('page 4'!C216="","",CONCATENATE(", ",'page 4'!C216))),(IF('page 4'!F216="","",CONCATENATE(", ",'page 4'!F216))),(IF('page 4'!C258="","",CONCATENATE(", ",'page 4'!C258))),(IF('page 4'!F258="","",CONCATENATE(", ",'page 4'!F258))),(IF('page 4'!C300="","",CONCATENATE(", ",'page 4'!C300))),(IF('page 4'!F300="","",CONCATENATE(", ",'page 4'!F300))),(IF('page 4'!C342="","",CONCATENATE(", ",'page 4'!C342))),(IF('page 4'!F342="","",CONCATENATE(", ",'page 4'!F342))),(IF('page 4'!C384="","",CONCATENATE(", ",'page 4'!C384))),(IF('page 4'!F384="","",CONCATENATE(", ",'page 4'!F384))))</f>
        <v/>
      </c>
      <c r="C38" s="1476"/>
      <c r="D38" s="1476"/>
      <c r="E38" s="1476"/>
      <c r="F38" s="1476"/>
      <c r="G38" s="1476"/>
      <c r="H38" s="1476"/>
      <c r="I38" s="1476"/>
      <c r="J38" s="1477"/>
      <c r="K38" s="217"/>
    </row>
    <row r="39" spans="1:11">
      <c r="A39" s="217"/>
      <c r="B39" s="1475"/>
      <c r="C39" s="1476"/>
      <c r="D39" s="1476"/>
      <c r="E39" s="1476"/>
      <c r="F39" s="1476"/>
      <c r="G39" s="1476"/>
      <c r="H39" s="1476"/>
      <c r="I39" s="1476"/>
      <c r="J39" s="1477"/>
      <c r="K39" s="217"/>
    </row>
    <row r="40" spans="1:11">
      <c r="A40" s="217"/>
      <c r="B40" s="1475"/>
      <c r="C40" s="1476"/>
      <c r="D40" s="1476"/>
      <c r="E40" s="1476"/>
      <c r="F40" s="1476"/>
      <c r="G40" s="1476"/>
      <c r="H40" s="1476"/>
      <c r="I40" s="1476"/>
      <c r="J40" s="1477"/>
      <c r="K40" s="217"/>
    </row>
    <row r="41" spans="1:11">
      <c r="A41" s="217"/>
      <c r="B41" s="1475"/>
      <c r="C41" s="1476"/>
      <c r="D41" s="1476"/>
      <c r="E41" s="1476"/>
      <c r="F41" s="1476"/>
      <c r="G41" s="1476"/>
      <c r="H41" s="1476"/>
      <c r="I41" s="1476"/>
      <c r="J41" s="1477"/>
      <c r="K41" s="217"/>
    </row>
    <row r="42" spans="1:11">
      <c r="A42" s="217"/>
      <c r="B42" s="1475"/>
      <c r="C42" s="1476"/>
      <c r="D42" s="1476"/>
      <c r="E42" s="1476"/>
      <c r="F42" s="1476"/>
      <c r="G42" s="1476"/>
      <c r="H42" s="1476"/>
      <c r="I42" s="1476"/>
      <c r="J42" s="1477"/>
      <c r="K42" s="217"/>
    </row>
    <row r="43" spans="1:11" ht="13.8" thickBot="1">
      <c r="A43" s="217"/>
      <c r="B43" s="1481"/>
      <c r="C43" s="1482"/>
      <c r="D43" s="1482"/>
      <c r="E43" s="1482"/>
      <c r="F43" s="1482"/>
      <c r="G43" s="1482"/>
      <c r="H43" s="1482"/>
      <c r="I43" s="1482"/>
      <c r="J43" s="1483"/>
      <c r="K43" s="217"/>
    </row>
    <row r="44" spans="1:11" ht="13.8" thickTop="1">
      <c r="A44" s="217"/>
      <c r="B44" s="217"/>
      <c r="C44" s="217"/>
      <c r="D44" s="217"/>
      <c r="E44" s="217"/>
      <c r="F44" s="217"/>
      <c r="G44" s="217"/>
      <c r="H44" s="217"/>
      <c r="I44" s="217"/>
      <c r="J44" s="217"/>
      <c r="K44" s="217"/>
    </row>
    <row r="45" spans="1:11">
      <c r="A45" s="217"/>
      <c r="B45" s="217"/>
      <c r="C45" s="217"/>
      <c r="D45" s="217"/>
      <c r="E45" s="217"/>
      <c r="F45" s="217"/>
      <c r="G45" s="217"/>
      <c r="H45" s="217"/>
      <c r="I45" s="217"/>
      <c r="J45" s="217"/>
      <c r="K45" s="217"/>
    </row>
    <row r="46" spans="1:11">
      <c r="A46" s="217"/>
      <c r="B46" s="217"/>
      <c r="C46" s="217"/>
      <c r="D46" s="217"/>
      <c r="E46" s="217"/>
      <c r="F46" s="217"/>
      <c r="G46" s="217"/>
      <c r="H46" s="217"/>
      <c r="I46" s="217"/>
      <c r="J46" s="217"/>
      <c r="K46" s="217"/>
    </row>
  </sheetData>
  <sheetProtection sheet="1" objects="1" scenarios="1" selectLockedCells="1" selectUnlockedCells="1"/>
  <mergeCells count="12">
    <mergeCell ref="B28:J29"/>
    <mergeCell ref="B31:J32"/>
    <mergeCell ref="B33:J37"/>
    <mergeCell ref="B38:J43"/>
    <mergeCell ref="I30:J30"/>
    <mergeCell ref="B2:J3"/>
    <mergeCell ref="B5:J6"/>
    <mergeCell ref="B8:J8"/>
    <mergeCell ref="B17:J22"/>
    <mergeCell ref="B23:J27"/>
    <mergeCell ref="B13:E13"/>
    <mergeCell ref="B10:E10"/>
  </mergeCells>
  <conditionalFormatting sqref="D1:K1">
    <cfRule type="expression" dxfId="290" priority="301">
      <formula>SelectRace="Vampire"</formula>
    </cfRule>
    <cfRule type="expression" dxfId="289" priority="302">
      <formula>SelectRace="Skaven"</formula>
    </cfRule>
    <cfRule type="expression" dxfId="288" priority="303">
      <formula>SelectRace="Peau-Verte"</formula>
    </cfRule>
    <cfRule type="expression" dxfId="287" priority="304">
      <formula>SelectRace="Homme-lézard"</formula>
    </cfRule>
    <cfRule type="expression" dxfId="286" priority="305">
      <formula>SelectRace="Homme-bête"</formula>
    </cfRule>
    <cfRule type="expression" dxfId="285" priority="306">
      <formula>SelectRace="Halfling"</formula>
    </cfRule>
    <cfRule type="expression" dxfId="284" priority="307">
      <formula>SelectRace="Elfe"</formula>
    </cfRule>
    <cfRule type="expression" dxfId="283" priority="308">
      <formula>SelectRace="Créature du chaos"</formula>
    </cfRule>
    <cfRule type="expression" dxfId="282" priority="309">
      <formula>SelectRace="Nain"</formula>
    </cfRule>
    <cfRule type="expression" dxfId="281" priority="310">
      <formula>SelectRace=“Humain“</formula>
    </cfRule>
  </conditionalFormatting>
  <conditionalFormatting sqref="K2:K3 K8:K29 K5:K6">
    <cfRule type="expression" dxfId="280" priority="291">
      <formula>SelectRace="Vampire"</formula>
    </cfRule>
    <cfRule type="expression" dxfId="279" priority="292">
      <formula>SelectRace="Skaven"</formula>
    </cfRule>
    <cfRule type="expression" dxfId="278" priority="293">
      <formula>SelectRace="Peau-Verte"</formula>
    </cfRule>
    <cfRule type="expression" dxfId="277" priority="294">
      <formula>SelectRace="Homme-lézard"</formula>
    </cfRule>
    <cfRule type="expression" dxfId="276" priority="295">
      <formula>SelectRace="Homme-bête"</formula>
    </cfRule>
    <cfRule type="expression" dxfId="275" priority="296">
      <formula>SelectRace="Halfling"</formula>
    </cfRule>
    <cfRule type="expression" dxfId="274" priority="297">
      <formula>SelectRace="Elfe"</formula>
    </cfRule>
    <cfRule type="expression" dxfId="273" priority="298">
      <formula>SelectRace="Créature du chaos"</formula>
    </cfRule>
    <cfRule type="expression" dxfId="272" priority="299">
      <formula>SelectRace="Nain"</formula>
    </cfRule>
    <cfRule type="expression" dxfId="271" priority="300">
      <formula>SelectRace=“Humain“</formula>
    </cfRule>
  </conditionalFormatting>
  <conditionalFormatting sqref="K30:K46">
    <cfRule type="expression" dxfId="270" priority="281">
      <formula>SelectRace="Vampire"</formula>
    </cfRule>
    <cfRule type="expression" dxfId="269" priority="282">
      <formula>SelectRace="Skaven"</formula>
    </cfRule>
    <cfRule type="expression" dxfId="268" priority="283">
      <formula>SelectRace="Peau-Verte"</formula>
    </cfRule>
    <cfRule type="expression" dxfId="267" priority="284">
      <formula>SelectRace="Homme-lézard"</formula>
    </cfRule>
    <cfRule type="expression" dxfId="266" priority="285">
      <formula>SelectRace="Homme-bête"</formula>
    </cfRule>
    <cfRule type="expression" dxfId="265" priority="286">
      <formula>SelectRace="Halfling"</formula>
    </cfRule>
    <cfRule type="expression" dxfId="264" priority="287">
      <formula>SelectRace="Elfe"</formula>
    </cfRule>
    <cfRule type="expression" dxfId="263" priority="288">
      <formula>SelectRace="Créature du chaos"</formula>
    </cfRule>
    <cfRule type="expression" dxfId="262" priority="289">
      <formula>SelectRace="Nain"</formula>
    </cfRule>
    <cfRule type="expression" dxfId="261" priority="290">
      <formula>SelectRace=“Humain“</formula>
    </cfRule>
  </conditionalFormatting>
  <conditionalFormatting sqref="A44:J46">
    <cfRule type="expression" dxfId="260" priority="271">
      <formula>SelectRace="Vampire"</formula>
    </cfRule>
    <cfRule type="expression" dxfId="259" priority="272">
      <formula>SelectRace="Skaven"</formula>
    </cfRule>
    <cfRule type="expression" dxfId="258" priority="273">
      <formula>SelectRace="Peau-Verte"</formula>
    </cfRule>
    <cfRule type="expression" dxfId="257" priority="274">
      <formula>SelectRace="Homme-lézard"</formula>
    </cfRule>
    <cfRule type="expression" dxfId="256" priority="275">
      <formula>SelectRace="Homme-bête"</formula>
    </cfRule>
    <cfRule type="expression" dxfId="255" priority="276">
      <formula>SelectRace="Halfling"</formula>
    </cfRule>
    <cfRule type="expression" dxfId="254" priority="277">
      <formula>SelectRace="Elfe"</formula>
    </cfRule>
    <cfRule type="expression" dxfId="253" priority="278">
      <formula>SelectRace="Créature du chaos"</formula>
    </cfRule>
    <cfRule type="expression" dxfId="252" priority="279">
      <formula>SelectRace="Nain"</formula>
    </cfRule>
    <cfRule type="expression" dxfId="251" priority="280">
      <formula>SelectRace=“Humain“</formula>
    </cfRule>
  </conditionalFormatting>
  <conditionalFormatting sqref="A39:A43">
    <cfRule type="expression" dxfId="250" priority="261">
      <formula>SelectRace="Vampire"</formula>
    </cfRule>
    <cfRule type="expression" dxfId="249" priority="262">
      <formula>SelectRace="Skaven"</formula>
    </cfRule>
    <cfRule type="expression" dxfId="248" priority="263">
      <formula>SelectRace="Peau-Verte"</formula>
    </cfRule>
    <cfRule type="expression" dxfId="247" priority="264">
      <formula>SelectRace="Homme-lézard"</formula>
    </cfRule>
    <cfRule type="expression" dxfId="246" priority="265">
      <formula>SelectRace="Homme-bête"</formula>
    </cfRule>
    <cfRule type="expression" dxfId="245" priority="266">
      <formula>SelectRace="Halfling"</formula>
    </cfRule>
    <cfRule type="expression" dxfId="244" priority="267">
      <formula>SelectRace="Elfe"</formula>
    </cfRule>
    <cfRule type="expression" dxfId="243" priority="268">
      <formula>SelectRace="Créature du chaos"</formula>
    </cfRule>
    <cfRule type="expression" dxfId="242" priority="269">
      <formula>SelectRace="Nain"</formula>
    </cfRule>
    <cfRule type="expression" dxfId="241" priority="270">
      <formula>SelectRace=“Humain“</formula>
    </cfRule>
  </conditionalFormatting>
  <conditionalFormatting sqref="A34:A37">
    <cfRule type="expression" dxfId="240" priority="251">
      <formula>SelectRace="Vampire"</formula>
    </cfRule>
    <cfRule type="expression" dxfId="239" priority="252">
      <formula>SelectRace="Skaven"</formula>
    </cfRule>
    <cfRule type="expression" dxfId="238" priority="253">
      <formula>SelectRace="Peau-Verte"</formula>
    </cfRule>
    <cfRule type="expression" dxfId="237" priority="254">
      <formula>SelectRace="Homme-lézard"</formula>
    </cfRule>
    <cfRule type="expression" dxfId="236" priority="255">
      <formula>SelectRace="Homme-bête"</formula>
    </cfRule>
    <cfRule type="expression" dxfId="235" priority="256">
      <formula>SelectRace="Halfling"</formula>
    </cfRule>
    <cfRule type="expression" dxfId="234" priority="257">
      <formula>SelectRace="Elfe"</formula>
    </cfRule>
    <cfRule type="expression" dxfId="233" priority="258">
      <formula>SelectRace="Créature du chaos"</formula>
    </cfRule>
    <cfRule type="expression" dxfId="232" priority="259">
      <formula>SelectRace="Nain"</formula>
    </cfRule>
    <cfRule type="expression" dxfId="231" priority="260">
      <formula>SelectRace=“Humain“</formula>
    </cfRule>
  </conditionalFormatting>
  <conditionalFormatting sqref="A32">
    <cfRule type="expression" dxfId="230" priority="241">
      <formula>SelectRace="Vampire"</formula>
    </cfRule>
    <cfRule type="expression" dxfId="229" priority="242">
      <formula>SelectRace="Skaven"</formula>
    </cfRule>
    <cfRule type="expression" dxfId="228" priority="243">
      <formula>SelectRace="Peau-Verte"</formula>
    </cfRule>
    <cfRule type="expression" dxfId="227" priority="244">
      <formula>SelectRace="Homme-lézard"</formula>
    </cfRule>
    <cfRule type="expression" dxfId="226" priority="245">
      <formula>SelectRace="Homme-bête"</formula>
    </cfRule>
    <cfRule type="expression" dxfId="225" priority="246">
      <formula>SelectRace="Halfling"</formula>
    </cfRule>
    <cfRule type="expression" dxfId="224" priority="247">
      <formula>SelectRace="Elfe"</formula>
    </cfRule>
    <cfRule type="expression" dxfId="223" priority="248">
      <formula>SelectRace="Créature du chaos"</formula>
    </cfRule>
    <cfRule type="expression" dxfId="222" priority="249">
      <formula>SelectRace="Nain"</formula>
    </cfRule>
    <cfRule type="expression" dxfId="221" priority="250">
      <formula>SelectRace=“Humain“</formula>
    </cfRule>
  </conditionalFormatting>
  <conditionalFormatting sqref="A29">
    <cfRule type="expression" dxfId="220" priority="231">
      <formula>SelectRace="Vampire"</formula>
    </cfRule>
    <cfRule type="expression" dxfId="219" priority="232">
      <formula>SelectRace="Skaven"</formula>
    </cfRule>
    <cfRule type="expression" dxfId="218" priority="233">
      <formula>SelectRace="Peau-Verte"</formula>
    </cfRule>
    <cfRule type="expression" dxfId="217" priority="234">
      <formula>SelectRace="Homme-lézard"</formula>
    </cfRule>
    <cfRule type="expression" dxfId="216" priority="235">
      <formula>SelectRace="Homme-bête"</formula>
    </cfRule>
    <cfRule type="expression" dxfId="215" priority="236">
      <formula>SelectRace="Halfling"</formula>
    </cfRule>
    <cfRule type="expression" dxfId="214" priority="237">
      <formula>SelectRace="Elfe"</formula>
    </cfRule>
    <cfRule type="expression" dxfId="213" priority="238">
      <formula>SelectRace="Créature du chaos"</formula>
    </cfRule>
    <cfRule type="expression" dxfId="212" priority="239">
      <formula>SelectRace="Nain"</formula>
    </cfRule>
    <cfRule type="expression" dxfId="211" priority="240">
      <formula>SelectRace=“Humain“</formula>
    </cfRule>
  </conditionalFormatting>
  <conditionalFormatting sqref="A24:A27">
    <cfRule type="expression" dxfId="210" priority="221">
      <formula>SelectRace="Vampire"</formula>
    </cfRule>
    <cfRule type="expression" dxfId="209" priority="222">
      <formula>SelectRace="Skaven"</formula>
    </cfRule>
    <cfRule type="expression" dxfId="208" priority="223">
      <formula>SelectRace="Peau-Verte"</formula>
    </cfRule>
    <cfRule type="expression" dxfId="207" priority="224">
      <formula>SelectRace="Homme-lézard"</formula>
    </cfRule>
    <cfRule type="expression" dxfId="206" priority="225">
      <formula>SelectRace="Homme-bête"</formula>
    </cfRule>
    <cfRule type="expression" dxfId="205" priority="226">
      <formula>SelectRace="Halfling"</formula>
    </cfRule>
    <cfRule type="expression" dxfId="204" priority="227">
      <formula>SelectRace="Elfe"</formula>
    </cfRule>
    <cfRule type="expression" dxfId="203" priority="228">
      <formula>SelectRace="Créature du chaos"</formula>
    </cfRule>
    <cfRule type="expression" dxfId="202" priority="229">
      <formula>SelectRace="Nain"</formula>
    </cfRule>
    <cfRule type="expression" dxfId="201" priority="230">
      <formula>SelectRace=“Humain“</formula>
    </cfRule>
  </conditionalFormatting>
  <conditionalFormatting sqref="A18:A22">
    <cfRule type="expression" dxfId="200" priority="211">
      <formula>SelectRace="Vampire"</formula>
    </cfRule>
    <cfRule type="expression" dxfId="199" priority="212">
      <formula>SelectRace="Skaven"</formula>
    </cfRule>
    <cfRule type="expression" dxfId="198" priority="213">
      <formula>SelectRace="Peau-Verte"</formula>
    </cfRule>
    <cfRule type="expression" dxfId="197" priority="214">
      <formula>SelectRace="Homme-lézard"</formula>
    </cfRule>
    <cfRule type="expression" dxfId="196" priority="215">
      <formula>SelectRace="Homme-bête"</formula>
    </cfRule>
    <cfRule type="expression" dxfId="195" priority="216">
      <formula>SelectRace="Halfling"</formula>
    </cfRule>
    <cfRule type="expression" dxfId="194" priority="217">
      <formula>SelectRace="Elfe"</formula>
    </cfRule>
    <cfRule type="expression" dxfId="193" priority="218">
      <formula>SelectRace="Créature du chaos"</formula>
    </cfRule>
    <cfRule type="expression" dxfId="192" priority="219">
      <formula>SelectRace="Nain"</formula>
    </cfRule>
    <cfRule type="expression" dxfId="191" priority="220">
      <formula>SelectRace=“Humain“</formula>
    </cfRule>
  </conditionalFormatting>
  <conditionalFormatting sqref="A16:J16">
    <cfRule type="expression" dxfId="190" priority="201">
      <formula>SelectRace="Vampire"</formula>
    </cfRule>
    <cfRule type="expression" dxfId="189" priority="202">
      <formula>SelectRace="Skaven"</formula>
    </cfRule>
    <cfRule type="expression" dxfId="188" priority="203">
      <formula>SelectRace="Peau-Verte"</formula>
    </cfRule>
    <cfRule type="expression" dxfId="187" priority="204">
      <formula>SelectRace="Homme-lézard"</formula>
    </cfRule>
    <cfRule type="expression" dxfId="186" priority="205">
      <formula>SelectRace="Homme-bête"</formula>
    </cfRule>
    <cfRule type="expression" dxfId="185" priority="206">
      <formula>SelectRace="Halfling"</formula>
    </cfRule>
    <cfRule type="expression" dxfId="184" priority="207">
      <formula>SelectRace="Elfe"</formula>
    </cfRule>
    <cfRule type="expression" dxfId="183" priority="208">
      <formula>SelectRace="Créature du chaos"</formula>
    </cfRule>
    <cfRule type="expression" dxfId="182" priority="209">
      <formula>SelectRace="Nain"</formula>
    </cfRule>
    <cfRule type="expression" dxfId="181" priority="210">
      <formula>SelectRace=“Humain“</formula>
    </cfRule>
  </conditionalFormatting>
  <conditionalFormatting sqref="J9:J15">
    <cfRule type="expression" dxfId="180" priority="191">
      <formula>SelectRace="Vampire"</formula>
    </cfRule>
    <cfRule type="expression" dxfId="179" priority="192">
      <formula>SelectRace="Skaven"</formula>
    </cfRule>
    <cfRule type="expression" dxfId="178" priority="193">
      <formula>SelectRace="Peau-Verte"</formula>
    </cfRule>
    <cfRule type="expression" dxfId="177" priority="194">
      <formula>SelectRace="Homme-lézard"</formula>
    </cfRule>
    <cfRule type="expression" dxfId="176" priority="195">
      <formula>SelectRace="Homme-bête"</formula>
    </cfRule>
    <cfRule type="expression" dxfId="175" priority="196">
      <formula>SelectRace="Halfling"</formula>
    </cfRule>
    <cfRule type="expression" dxfId="174" priority="197">
      <formula>SelectRace="Elfe"</formula>
    </cfRule>
    <cfRule type="expression" dxfId="173" priority="198">
      <formula>SelectRace="Créature du chaos"</formula>
    </cfRule>
    <cfRule type="expression" dxfId="172" priority="199">
      <formula>SelectRace="Nain"</formula>
    </cfRule>
    <cfRule type="expression" dxfId="171" priority="200">
      <formula>SelectRace=“Humain“</formula>
    </cfRule>
  </conditionalFormatting>
  <conditionalFormatting sqref="F13:I13">
    <cfRule type="expression" dxfId="170" priority="181">
      <formula>SelectRace="Vampire"</formula>
    </cfRule>
    <cfRule type="expression" dxfId="169" priority="182">
      <formula>SelectRace="Skaven"</formula>
    </cfRule>
    <cfRule type="expression" dxfId="168" priority="183">
      <formula>SelectRace="Peau-Verte"</formula>
    </cfRule>
    <cfRule type="expression" dxfId="167" priority="184">
      <formula>SelectRace="Homme-lézard"</formula>
    </cfRule>
    <cfRule type="expression" dxfId="166" priority="185">
      <formula>SelectRace="Homme-bête"</formula>
    </cfRule>
    <cfRule type="expression" dxfId="165" priority="186">
      <formula>SelectRace="Halfling"</formula>
    </cfRule>
    <cfRule type="expression" dxfId="164" priority="187">
      <formula>SelectRace="Elfe"</formula>
    </cfRule>
    <cfRule type="expression" dxfId="163" priority="188">
      <formula>SelectRace="Créature du chaos"</formula>
    </cfRule>
    <cfRule type="expression" dxfId="162" priority="189">
      <formula>SelectRace="Nain"</formula>
    </cfRule>
    <cfRule type="expression" dxfId="161" priority="190">
      <formula>SelectRace=“Humain“</formula>
    </cfRule>
  </conditionalFormatting>
  <conditionalFormatting sqref="A9:A15">
    <cfRule type="expression" dxfId="160" priority="171">
      <formula>SelectRace="Vampire"</formula>
    </cfRule>
    <cfRule type="expression" dxfId="159" priority="172">
      <formula>SelectRace="Skaven"</formula>
    </cfRule>
    <cfRule type="expression" dxfId="158" priority="173">
      <formula>SelectRace="Peau-Verte"</formula>
    </cfRule>
    <cfRule type="expression" dxfId="157" priority="174">
      <formula>SelectRace="Homme-lézard"</formula>
    </cfRule>
    <cfRule type="expression" dxfId="156" priority="175">
      <formula>SelectRace="Homme-bête"</formula>
    </cfRule>
    <cfRule type="expression" dxfId="155" priority="176">
      <formula>SelectRace="Halfling"</formula>
    </cfRule>
    <cfRule type="expression" dxfId="154" priority="177">
      <formula>SelectRace="Elfe"</formula>
    </cfRule>
    <cfRule type="expression" dxfId="153" priority="178">
      <formula>SelectRace="Créature du chaos"</formula>
    </cfRule>
    <cfRule type="expression" dxfId="152" priority="179">
      <formula>SelectRace="Nain"</formula>
    </cfRule>
    <cfRule type="expression" dxfId="151" priority="180">
      <formula>SelectRace=“Humain“</formula>
    </cfRule>
  </conditionalFormatting>
  <conditionalFormatting sqref="B9:I9 F10:I10">
    <cfRule type="expression" dxfId="150" priority="161">
      <formula>SelectRace="Vampire"</formula>
    </cfRule>
    <cfRule type="expression" dxfId="149" priority="162">
      <formula>SelectRace="Skaven"</formula>
    </cfRule>
    <cfRule type="expression" dxfId="148" priority="163">
      <formula>SelectRace="Peau-Verte"</formula>
    </cfRule>
    <cfRule type="expression" dxfId="147" priority="164">
      <formula>SelectRace="Homme-lézard"</formula>
    </cfRule>
    <cfRule type="expression" dxfId="146" priority="165">
      <formula>SelectRace="Homme-bête"</formula>
    </cfRule>
    <cfRule type="expression" dxfId="145" priority="166">
      <formula>SelectRace="Halfling"</formula>
    </cfRule>
    <cfRule type="expression" dxfId="144" priority="167">
      <formula>SelectRace="Elfe"</formula>
    </cfRule>
    <cfRule type="expression" dxfId="143" priority="168">
      <formula>SelectRace="Créature du chaos"</formula>
    </cfRule>
    <cfRule type="expression" dxfId="142" priority="169">
      <formula>SelectRace="Nain"</formula>
    </cfRule>
    <cfRule type="expression" dxfId="141" priority="170">
      <formula>SelectRace=“Humain“</formula>
    </cfRule>
  </conditionalFormatting>
  <conditionalFormatting sqref="A7 C7:K7">
    <cfRule type="expression" dxfId="140" priority="151">
      <formula>SelectRace="Vampire"</formula>
    </cfRule>
    <cfRule type="expression" dxfId="139" priority="152">
      <formula>SelectRace="Skaven"</formula>
    </cfRule>
    <cfRule type="expression" dxfId="138" priority="153">
      <formula>SelectRace="Peau-Verte"</formula>
    </cfRule>
    <cfRule type="expression" dxfId="137" priority="154">
      <formula>SelectRace="Homme-lézard"</formula>
    </cfRule>
    <cfRule type="expression" dxfId="136" priority="155">
      <formula>SelectRace="Homme-bête"</formula>
    </cfRule>
    <cfRule type="expression" dxfId="135" priority="156">
      <formula>SelectRace="Halfling"</formula>
    </cfRule>
    <cfRule type="expression" dxfId="134" priority="157">
      <formula>SelectRace="Elfe"</formula>
    </cfRule>
    <cfRule type="expression" dxfId="133" priority="158">
      <formula>SelectRace="Créature du chaos"</formula>
    </cfRule>
    <cfRule type="expression" dxfId="132" priority="159">
      <formula>SelectRace="Nain"</formula>
    </cfRule>
    <cfRule type="expression" dxfId="131" priority="160">
      <formula>SelectRace=“Humain“</formula>
    </cfRule>
  </conditionalFormatting>
  <conditionalFormatting sqref="A6">
    <cfRule type="expression" dxfId="130" priority="141">
      <formula>SelectRace="Vampire"</formula>
    </cfRule>
    <cfRule type="expression" dxfId="129" priority="142">
      <formula>SelectRace="Skaven"</formula>
    </cfRule>
    <cfRule type="expression" dxfId="128" priority="143">
      <formula>SelectRace="Peau-Verte"</formula>
    </cfRule>
    <cfRule type="expression" dxfId="127" priority="144">
      <formula>SelectRace="Homme-lézard"</formula>
    </cfRule>
    <cfRule type="expression" dxfId="126" priority="145">
      <formula>SelectRace="Homme-bête"</formula>
    </cfRule>
    <cfRule type="expression" dxfId="125" priority="146">
      <formula>SelectRace="Halfling"</formula>
    </cfRule>
    <cfRule type="expression" dxfId="124" priority="147">
      <formula>SelectRace="Elfe"</formula>
    </cfRule>
    <cfRule type="expression" dxfId="123" priority="148">
      <formula>SelectRace="Créature du chaos"</formula>
    </cfRule>
    <cfRule type="expression" dxfId="122" priority="149">
      <formula>SelectRace="Nain"</formula>
    </cfRule>
    <cfRule type="expression" dxfId="121" priority="150">
      <formula>SelectRace=“Humain“</formula>
    </cfRule>
  </conditionalFormatting>
  <conditionalFormatting sqref="A1:A4">
    <cfRule type="expression" dxfId="120" priority="131">
      <formula>SelectRace="Vampire"</formula>
    </cfRule>
    <cfRule type="expression" dxfId="119" priority="132">
      <formula>SelectRace="Skaven"</formula>
    </cfRule>
    <cfRule type="expression" dxfId="118" priority="133">
      <formula>SelectRace="Peau-Verte"</formula>
    </cfRule>
    <cfRule type="expression" dxfId="117" priority="134">
      <formula>SelectRace="Homme-lézard"</formula>
    </cfRule>
    <cfRule type="expression" dxfId="116" priority="135">
      <formula>SelectRace="Homme-bête"</formula>
    </cfRule>
    <cfRule type="expression" dxfId="115" priority="136">
      <formula>SelectRace="Halfling"</formula>
    </cfRule>
    <cfRule type="expression" dxfId="114" priority="137">
      <formula>SelectRace="Elfe"</formula>
    </cfRule>
    <cfRule type="expression" dxfId="113" priority="138">
      <formula>SelectRace="Créature du chaos"</formula>
    </cfRule>
    <cfRule type="expression" dxfId="112" priority="139">
      <formula>SelectRace="Nain"</formula>
    </cfRule>
    <cfRule type="expression" dxfId="111" priority="140">
      <formula>SelectRace=“Humain“</formula>
    </cfRule>
  </conditionalFormatting>
  <conditionalFormatting sqref="C4:K4">
    <cfRule type="expression" dxfId="110" priority="121">
      <formula>SelectRace="Vampire"</formula>
    </cfRule>
    <cfRule type="expression" dxfId="109" priority="122">
      <formula>SelectRace="Skaven"</formula>
    </cfRule>
    <cfRule type="expression" dxfId="108" priority="123">
      <formula>SelectRace="Peau-Verte"</formula>
    </cfRule>
    <cfRule type="expression" dxfId="107" priority="124">
      <formula>SelectRace="Homme-lézard"</formula>
    </cfRule>
    <cfRule type="expression" dxfId="106" priority="125">
      <formula>SelectRace="Homme-bête"</formula>
    </cfRule>
    <cfRule type="expression" dxfId="105" priority="126">
      <formula>SelectRace="Halfling"</formula>
    </cfRule>
    <cfRule type="expression" dxfId="104" priority="127">
      <formula>SelectRace="Elfe"</formula>
    </cfRule>
    <cfRule type="expression" dxfId="103" priority="128">
      <formula>SelectRace="Créature du chaos"</formula>
    </cfRule>
    <cfRule type="expression" dxfId="102" priority="129">
      <formula>SelectRace="Nain"</formula>
    </cfRule>
    <cfRule type="expression" dxfId="101" priority="130">
      <formula>SelectRace=“Humain“</formula>
    </cfRule>
  </conditionalFormatting>
  <conditionalFormatting sqref="B1">
    <cfRule type="expression" dxfId="100" priority="51">
      <formula>SelectRace="Vampire"</formula>
    </cfRule>
    <cfRule type="expression" dxfId="99" priority="52">
      <formula>SelectRace="Skaven"</formula>
    </cfRule>
    <cfRule type="expression" dxfId="98" priority="53">
      <formula>SelectRace="Peau-Verte"</formula>
    </cfRule>
    <cfRule type="expression" dxfId="97" priority="54">
      <formula>SelectRace="Homme-lézard"</formula>
    </cfRule>
    <cfRule type="expression" dxfId="96" priority="55">
      <formula>SelectRace="Homme-bête"</formula>
    </cfRule>
    <cfRule type="expression" dxfId="95" priority="56">
      <formula>SelectRace="Halfling"</formula>
    </cfRule>
    <cfRule type="expression" dxfId="94" priority="57">
      <formula>SelectRace="Elfe"</formula>
    </cfRule>
    <cfRule type="expression" dxfId="93" priority="58">
      <formula>SelectRace="Créature du chaos"</formula>
    </cfRule>
    <cfRule type="expression" dxfId="92" priority="59">
      <formula>SelectRace="Nain"</formula>
    </cfRule>
    <cfRule type="expression" dxfId="91" priority="60">
      <formula>SelectRace=“Humain“</formula>
    </cfRule>
  </conditionalFormatting>
  <conditionalFormatting sqref="C1">
    <cfRule type="expression" dxfId="90" priority="41">
      <formula>SelectRace="Vampire"</formula>
    </cfRule>
    <cfRule type="expression" dxfId="89" priority="42">
      <formula>SelectRace="Skaven"</formula>
    </cfRule>
    <cfRule type="expression" dxfId="88" priority="43">
      <formula>SelectRace="Peau-Verte"</formula>
    </cfRule>
    <cfRule type="expression" dxfId="87" priority="44">
      <formula>SelectRace="Homme-lézard"</formula>
    </cfRule>
    <cfRule type="expression" dxfId="86" priority="45">
      <formula>SelectRace="Homme-bête"</formula>
    </cfRule>
    <cfRule type="expression" dxfId="85" priority="46">
      <formula>SelectRace="Halfling"</formula>
    </cfRule>
    <cfRule type="expression" dxfId="84" priority="47">
      <formula>SelectRace="Elfe"</formula>
    </cfRule>
    <cfRule type="expression" dxfId="83" priority="48">
      <formula>SelectRace="Créature du chaos"</formula>
    </cfRule>
    <cfRule type="expression" dxfId="82" priority="49">
      <formula>SelectRace="Nain"</formula>
    </cfRule>
    <cfRule type="expression" dxfId="81" priority="50">
      <formula>SelectRace=“Humain“</formula>
    </cfRule>
  </conditionalFormatting>
  <conditionalFormatting sqref="B4">
    <cfRule type="expression" dxfId="80" priority="31">
      <formula>SelectRace="Vampire"</formula>
    </cfRule>
    <cfRule type="expression" dxfId="79" priority="32">
      <formula>SelectRace="Skaven"</formula>
    </cfRule>
    <cfRule type="expression" dxfId="78" priority="33">
      <formula>SelectRace="Peau-Verte"</formula>
    </cfRule>
    <cfRule type="expression" dxfId="77" priority="34">
      <formula>SelectRace="Homme-lézard"</formula>
    </cfRule>
    <cfRule type="expression" dxfId="76" priority="35">
      <formula>SelectRace="Homme-bête"</formula>
    </cfRule>
    <cfRule type="expression" dxfId="75" priority="36">
      <formula>SelectRace="Halfling"</formula>
    </cfRule>
    <cfRule type="expression" dxfId="74" priority="37">
      <formula>SelectRace="Elfe"</formula>
    </cfRule>
    <cfRule type="expression" dxfId="73" priority="38">
      <formula>SelectRace="Créature du chaos"</formula>
    </cfRule>
    <cfRule type="expression" dxfId="72" priority="39">
      <formula>SelectRace="Nain"</formula>
    </cfRule>
    <cfRule type="expression" dxfId="71" priority="40">
      <formula>SelectRace=“Humain“</formula>
    </cfRule>
  </conditionalFormatting>
  <conditionalFormatting sqref="B7">
    <cfRule type="expression" dxfId="70" priority="21">
      <formula>SelectRace="Vampire"</formula>
    </cfRule>
    <cfRule type="expression" dxfId="69" priority="22">
      <formula>SelectRace="Skaven"</formula>
    </cfRule>
    <cfRule type="expression" dxfId="68" priority="23">
      <formula>SelectRace="Peau-Verte"</formula>
    </cfRule>
    <cfRule type="expression" dxfId="67" priority="24">
      <formula>SelectRace="Homme-lézard"</formula>
    </cfRule>
    <cfRule type="expression" dxfId="66" priority="25">
      <formula>SelectRace="Homme-bête"</formula>
    </cfRule>
    <cfRule type="expression" dxfId="65" priority="26">
      <formula>SelectRace="Halfling"</formula>
    </cfRule>
    <cfRule type="expression" dxfId="64" priority="27">
      <formula>SelectRace="Elfe"</formula>
    </cfRule>
    <cfRule type="expression" dxfId="63" priority="28">
      <formula>SelectRace="Créature du chaos"</formula>
    </cfRule>
    <cfRule type="expression" dxfId="62" priority="29">
      <formula>SelectRace="Nain"</formula>
    </cfRule>
    <cfRule type="expression" dxfId="61" priority="30">
      <formula>SelectRace=“Humain“</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rgb="FF00B050"/>
    <pageSetUpPr fitToPage="1"/>
  </sheetPr>
  <dimension ref="A1:AZ103"/>
  <sheetViews>
    <sheetView showRowColHeaders="0" zoomScaleNormal="100" workbookViewId="0">
      <pane ySplit="1" topLeftCell="A2" activePane="bottomLeft" state="frozen"/>
      <selection sqref="A1:AQ1"/>
      <selection pane="bottomLeft" activeCell="N32" sqref="N32"/>
    </sheetView>
  </sheetViews>
  <sheetFormatPr baseColWidth="10" defaultRowHeight="13.2"/>
  <cols>
    <col min="1" max="1" width="4.88671875" style="27" bestFit="1" customWidth="1"/>
    <col min="2" max="2" width="7.5546875" bestFit="1" customWidth="1"/>
    <col min="3" max="3" width="28.5546875" style="30" customWidth="1"/>
    <col min="4" max="4" width="15.88671875" style="30" bestFit="1" customWidth="1"/>
    <col min="5" max="5" width="5.6640625" style="2" customWidth="1"/>
    <col min="6" max="6" width="3" style="10" customWidth="1"/>
    <col min="7" max="7" width="1.5546875" style="10" bestFit="1" customWidth="1"/>
    <col min="8" max="8" width="3" style="33" customWidth="1"/>
    <col min="9" max="9" width="5.6640625" style="2" customWidth="1"/>
    <col min="10" max="10" width="3" style="10" customWidth="1"/>
    <col min="11" max="11" width="1.5546875" style="10" bestFit="1" customWidth="1"/>
    <col min="12" max="12" width="3" style="33" customWidth="1"/>
    <col min="13" max="13" width="5.6640625" style="2" customWidth="1"/>
    <col min="14" max="14" width="3" style="10" customWidth="1"/>
    <col min="15" max="15" width="1.5546875" style="10" bestFit="1" customWidth="1"/>
    <col min="16" max="16" width="3" style="32" customWidth="1"/>
    <col min="17" max="17" width="5.6640625" style="2" customWidth="1"/>
    <col min="18" max="18" width="3" style="10" customWidth="1"/>
    <col min="19" max="19" width="1.5546875" style="10" bestFit="1" customWidth="1"/>
    <col min="20" max="20" width="3" style="32" customWidth="1"/>
    <col min="21" max="21" width="5.6640625" style="2" customWidth="1"/>
    <col min="22" max="22" width="3" style="10" customWidth="1"/>
    <col min="23" max="23" width="1.5546875" style="10" bestFit="1" customWidth="1"/>
    <col min="24" max="24" width="3" style="32" customWidth="1"/>
    <col min="25" max="25" width="5.6640625" style="2" customWidth="1"/>
    <col min="26" max="26" width="3" style="10" customWidth="1"/>
    <col min="27" max="27" width="1.5546875" style="10" bestFit="1" customWidth="1"/>
    <col min="28" max="28" width="3" style="32" customWidth="1"/>
    <col min="29" max="29" width="5.6640625" style="2" customWidth="1"/>
    <col min="30" max="30" width="3" style="10" customWidth="1"/>
    <col min="31" max="31" width="1.5546875" style="10" bestFit="1" customWidth="1"/>
    <col min="32" max="32" width="3" style="32" customWidth="1"/>
    <col min="33" max="33" width="5.6640625" style="2" customWidth="1"/>
    <col min="34" max="34" width="3" style="10" customWidth="1"/>
    <col min="35" max="35" width="1.5546875" style="10" bestFit="1" customWidth="1"/>
    <col min="36" max="36" width="3" style="32" customWidth="1"/>
    <col min="37" max="37" width="5.6640625" style="2" customWidth="1"/>
    <col min="38" max="38" width="3" style="10" customWidth="1"/>
    <col min="39" max="39" width="1.5546875" style="10" bestFit="1" customWidth="1"/>
    <col min="40" max="40" width="3" style="32" customWidth="1"/>
    <col min="41" max="41" width="5.6640625" style="2" customWidth="1"/>
    <col min="42" max="42" width="3" style="10" customWidth="1"/>
    <col min="43" max="43" width="1.5546875" style="10" bestFit="1" customWidth="1"/>
    <col min="44" max="44" width="3" style="32" customWidth="1"/>
    <col min="45" max="45" width="5.6640625" style="2" customWidth="1"/>
    <col min="46" max="46" width="3" style="10" customWidth="1"/>
    <col min="47" max="47" width="1.5546875" style="10" bestFit="1" customWidth="1"/>
    <col min="48" max="48" width="3" style="32" customWidth="1"/>
    <col min="49" max="49" width="5.6640625" style="2" customWidth="1"/>
    <col min="50" max="50" width="3" style="10" customWidth="1"/>
    <col min="51" max="51" width="1.5546875" style="10" bestFit="1" customWidth="1"/>
    <col min="52" max="52" width="3" style="32" customWidth="1"/>
  </cols>
  <sheetData>
    <row r="1" spans="1:52" s="5" customFormat="1">
      <c r="A1" s="5" t="s">
        <v>108</v>
      </c>
      <c r="B1" s="5" t="s">
        <v>109</v>
      </c>
      <c r="C1" s="5" t="s">
        <v>105</v>
      </c>
      <c r="D1" s="7" t="s">
        <v>106</v>
      </c>
      <c r="E1" s="4" t="s">
        <v>129</v>
      </c>
      <c r="F1" s="9"/>
      <c r="G1" s="9"/>
      <c r="H1" s="13"/>
      <c r="I1" s="4" t="s">
        <v>130</v>
      </c>
      <c r="J1" s="9"/>
      <c r="K1" s="9"/>
      <c r="L1" s="13"/>
      <c r="M1" s="4" t="s">
        <v>131</v>
      </c>
      <c r="N1" s="9"/>
      <c r="O1" s="9"/>
      <c r="P1" s="11"/>
      <c r="Q1" s="4" t="s">
        <v>148</v>
      </c>
      <c r="R1" s="9"/>
      <c r="S1" s="9"/>
      <c r="T1" s="11"/>
      <c r="U1" s="4" t="s">
        <v>132</v>
      </c>
      <c r="V1" s="9"/>
      <c r="W1" s="9"/>
      <c r="X1" s="11"/>
      <c r="Y1" s="4" t="s">
        <v>133</v>
      </c>
      <c r="Z1" s="9"/>
      <c r="AA1" s="9"/>
      <c r="AB1" s="11"/>
      <c r="AC1" s="4" t="s">
        <v>134</v>
      </c>
      <c r="AD1" s="9"/>
      <c r="AE1" s="9"/>
      <c r="AF1" s="11"/>
      <c r="AG1" s="4" t="s">
        <v>135</v>
      </c>
      <c r="AH1" s="9"/>
      <c r="AI1" s="9"/>
      <c r="AJ1" s="11"/>
      <c r="AK1" s="4" t="s">
        <v>140</v>
      </c>
      <c r="AL1" s="9"/>
      <c r="AM1" s="9"/>
      <c r="AN1" s="11"/>
      <c r="AO1" s="4" t="s">
        <v>141</v>
      </c>
      <c r="AP1" s="9"/>
      <c r="AQ1" s="9"/>
      <c r="AR1" s="11"/>
      <c r="AS1" s="4" t="s">
        <v>144</v>
      </c>
      <c r="AT1" s="9"/>
      <c r="AU1" s="9"/>
      <c r="AV1" s="11"/>
      <c r="AW1" s="4" t="s">
        <v>145</v>
      </c>
      <c r="AX1" s="9"/>
      <c r="AY1" s="9"/>
      <c r="AZ1" s="11"/>
    </row>
    <row r="2" spans="1:52">
      <c r="A2" s="26">
        <v>0</v>
      </c>
      <c r="B2" s="3">
        <f>A2</f>
        <v>0</v>
      </c>
      <c r="C2" s="28"/>
      <c r="D2" s="8" t="s">
        <v>110</v>
      </c>
      <c r="E2" s="2" t="str">
        <f>'page 1'!F21</f>
        <v/>
      </c>
      <c r="F2" s="10">
        <v>0</v>
      </c>
      <c r="G2" s="12" t="s">
        <v>107</v>
      </c>
      <c r="H2" s="31">
        <v>0</v>
      </c>
      <c r="I2" s="2" t="str">
        <f>'page 1'!G21</f>
        <v/>
      </c>
      <c r="J2" s="10">
        <v>0</v>
      </c>
      <c r="K2" s="12" t="s">
        <v>107</v>
      </c>
      <c r="L2" s="31">
        <v>0</v>
      </c>
      <c r="M2" s="2" t="str">
        <f>'page 1'!H21</f>
        <v/>
      </c>
      <c r="N2" s="10">
        <v>0</v>
      </c>
      <c r="O2" s="12" t="s">
        <v>107</v>
      </c>
      <c r="P2" s="31">
        <v>0</v>
      </c>
      <c r="Q2" s="2" t="str">
        <f>'page 1'!I21</f>
        <v/>
      </c>
      <c r="R2" s="10">
        <v>0</v>
      </c>
      <c r="S2" s="12" t="s">
        <v>107</v>
      </c>
      <c r="T2" s="31">
        <v>0</v>
      </c>
      <c r="U2" s="2" t="str">
        <f>'page 1'!J21</f>
        <v/>
      </c>
      <c r="V2" s="10">
        <v>0</v>
      </c>
      <c r="W2" s="12" t="s">
        <v>107</v>
      </c>
      <c r="X2" s="31">
        <v>0</v>
      </c>
      <c r="Y2" s="2" t="str">
        <f>'page 1'!K21</f>
        <v/>
      </c>
      <c r="Z2" s="10">
        <v>0</v>
      </c>
      <c r="AA2" s="12" t="s">
        <v>107</v>
      </c>
      <c r="AB2" s="31">
        <v>0</v>
      </c>
      <c r="AC2" s="2" t="str">
        <f>'page 1'!L21</f>
        <v/>
      </c>
      <c r="AD2" s="10">
        <v>0</v>
      </c>
      <c r="AE2" s="12" t="s">
        <v>107</v>
      </c>
      <c r="AF2" s="31">
        <v>0</v>
      </c>
      <c r="AG2" s="2" t="str">
        <f>'page 1'!L21</f>
        <v/>
      </c>
      <c r="AH2" s="10">
        <v>0</v>
      </c>
      <c r="AI2" s="12" t="s">
        <v>107</v>
      </c>
      <c r="AJ2" s="31">
        <v>0</v>
      </c>
      <c r="AK2" s="2" t="str">
        <f>'page 1'!F28</f>
        <v/>
      </c>
      <c r="AL2" s="10">
        <v>0</v>
      </c>
      <c r="AM2" s="12" t="s">
        <v>107</v>
      </c>
      <c r="AN2" s="31">
        <v>0</v>
      </c>
      <c r="AO2" s="2" t="str">
        <f>'page 1'!G28</f>
        <v/>
      </c>
      <c r="AP2" s="10">
        <v>0</v>
      </c>
      <c r="AQ2" s="12" t="s">
        <v>107</v>
      </c>
      <c r="AR2" s="31">
        <v>0</v>
      </c>
      <c r="AS2" s="2" t="str">
        <f>'page 1'!J28</f>
        <v/>
      </c>
      <c r="AT2" s="10">
        <v>0</v>
      </c>
      <c r="AU2" s="12" t="s">
        <v>107</v>
      </c>
      <c r="AV2" s="31">
        <v>0</v>
      </c>
      <c r="AW2" s="2" t="str">
        <f>'page 1'!K28</f>
        <v/>
      </c>
      <c r="AX2" s="10">
        <v>0</v>
      </c>
      <c r="AY2" s="12" t="s">
        <v>107</v>
      </c>
      <c r="AZ2" s="31">
        <v>0</v>
      </c>
    </row>
    <row r="3" spans="1:52">
      <c r="A3" s="27">
        <v>0</v>
      </c>
      <c r="B3">
        <f t="shared" ref="B3:B66" si="0">B2+A3</f>
        <v>0</v>
      </c>
      <c r="C3" s="28"/>
      <c r="D3" s="8" t="s">
        <v>111</v>
      </c>
      <c r="E3" s="2" t="str">
        <f t="shared" ref="E3:E66" si="1">IF($C3=E$1,E2+5,E2)</f>
        <v/>
      </c>
      <c r="F3" s="10">
        <f>IF($C3=E$1,F2+5,F2)</f>
        <v>0</v>
      </c>
      <c r="G3" s="12" t="s">
        <v>107</v>
      </c>
      <c r="H3" s="31">
        <f>H2</f>
        <v>0</v>
      </c>
      <c r="I3" s="2" t="str">
        <f t="shared" ref="I3:I66" si="2">IF($C3=I$1,I2+5,I2)</f>
        <v/>
      </c>
      <c r="J3" s="10">
        <f>IF($C3=I$1,J2+5,J2)</f>
        <v>0</v>
      </c>
      <c r="K3" s="12" t="s">
        <v>107</v>
      </c>
      <c r="L3" s="31">
        <f>L2</f>
        <v>0</v>
      </c>
      <c r="M3" s="2" t="str">
        <f t="shared" ref="M3:M66" si="3">IF($C3=M$1,M2+5,M2)</f>
        <v/>
      </c>
      <c r="N3" s="10">
        <f>IF($C3=M$1,N2+5,N2)</f>
        <v>0</v>
      </c>
      <c r="O3" s="12" t="s">
        <v>107</v>
      </c>
      <c r="P3" s="31">
        <f>P2</f>
        <v>0</v>
      </c>
      <c r="Q3" s="2" t="str">
        <f t="shared" ref="Q3:Q66" si="4">IF($C3=Q$1,Q2+5,Q2)</f>
        <v/>
      </c>
      <c r="R3" s="10">
        <f>IF($C3=Q$1,R2+5,R2)</f>
        <v>0</v>
      </c>
      <c r="S3" s="12" t="s">
        <v>107</v>
      </c>
      <c r="T3" s="31">
        <f>T2</f>
        <v>0</v>
      </c>
      <c r="U3" s="2" t="str">
        <f t="shared" ref="U3:U66" si="5">IF($C3=U$1,U2+5,U2)</f>
        <v/>
      </c>
      <c r="V3" s="10">
        <f>IF($C3=U$1,V2+5,V2)</f>
        <v>0</v>
      </c>
      <c r="W3" s="12" t="s">
        <v>107</v>
      </c>
      <c r="X3" s="31">
        <f>X2</f>
        <v>0</v>
      </c>
      <c r="Y3" s="2" t="str">
        <f t="shared" ref="Y3:Y66" si="6">IF($C3=Y$1,Y2+5,Y2)</f>
        <v/>
      </c>
      <c r="Z3" s="10">
        <f>IF($C3=Y$1,Z2+5,Z2)</f>
        <v>0</v>
      </c>
      <c r="AA3" s="12" t="s">
        <v>107</v>
      </c>
      <c r="AB3" s="31">
        <f>AB2</f>
        <v>0</v>
      </c>
      <c r="AC3" s="2" t="str">
        <f t="shared" ref="AC3:AC66" si="7">IF($C3=AC$1,AC2+5,AC2)</f>
        <v/>
      </c>
      <c r="AD3" s="10">
        <f>IF($C3=AC$1,AD2+5,AD2)</f>
        <v>0</v>
      </c>
      <c r="AE3" s="12" t="s">
        <v>107</v>
      </c>
      <c r="AF3" s="31">
        <f>AF2</f>
        <v>0</v>
      </c>
      <c r="AG3" s="2" t="str">
        <f t="shared" ref="AG3:AG66" si="8">IF($C3=AG$1,AG2+5,AG2)</f>
        <v/>
      </c>
      <c r="AH3" s="10">
        <f>IF($C3=AG$1,AH2+5,AH2)</f>
        <v>0</v>
      </c>
      <c r="AI3" s="12" t="s">
        <v>107</v>
      </c>
      <c r="AJ3" s="31">
        <f>AJ2</f>
        <v>0</v>
      </c>
      <c r="AK3" s="2" t="str">
        <f t="shared" ref="AK3:AK66" si="9">IF($C3=AK$1,AK2+1,AK2)</f>
        <v/>
      </c>
      <c r="AL3" s="10">
        <f>IF($C3=AK$1,AL2+1,AL2)</f>
        <v>0</v>
      </c>
      <c r="AM3" s="12" t="s">
        <v>107</v>
      </c>
      <c r="AN3" s="31">
        <f>AN2</f>
        <v>0</v>
      </c>
      <c r="AO3" s="2" t="str">
        <f t="shared" ref="AO3:AO66" si="10">IF($C3=AO$1,AO2+1,AO2)</f>
        <v/>
      </c>
      <c r="AP3" s="10">
        <f>IF($C3=AO$1,AP2+1,AP2)</f>
        <v>0</v>
      </c>
      <c r="AQ3" s="12" t="s">
        <v>107</v>
      </c>
      <c r="AR3" s="31">
        <f>AR2</f>
        <v>0</v>
      </c>
      <c r="AS3" s="2" t="str">
        <f t="shared" ref="AS3:AS66" si="11">IF($C3=AS$1,AS2+1,AS2)</f>
        <v/>
      </c>
      <c r="AT3" s="10">
        <f>IF($C3=AS$1,AT2+1,AT2)</f>
        <v>0</v>
      </c>
      <c r="AU3" s="12" t="s">
        <v>107</v>
      </c>
      <c r="AV3" s="31">
        <f>AV2</f>
        <v>0</v>
      </c>
      <c r="AW3" s="2" t="str">
        <f t="shared" ref="AW3:AW66" si="12">IF($C3=AW$1,AW2+1,AW2)</f>
        <v/>
      </c>
      <c r="AX3" s="10">
        <f>IF($C3=AW$1,AX2+1,AX2)</f>
        <v>0</v>
      </c>
      <c r="AY3" s="12" t="s">
        <v>107</v>
      </c>
      <c r="AZ3" s="31">
        <f>AZ2</f>
        <v>0</v>
      </c>
    </row>
    <row r="4" spans="1:52">
      <c r="B4">
        <f t="shared" si="0"/>
        <v>0</v>
      </c>
      <c r="C4" s="28"/>
      <c r="D4" s="29"/>
      <c r="E4" s="2" t="str">
        <f t="shared" si="1"/>
        <v/>
      </c>
      <c r="F4" s="10">
        <f t="shared" ref="F4:F67" si="13">IF($C4=E$1,F3+5,F3)</f>
        <v>0</v>
      </c>
      <c r="G4" s="12" t="s">
        <v>107</v>
      </c>
      <c r="H4" s="31">
        <f>H3</f>
        <v>0</v>
      </c>
      <c r="I4" s="2" t="str">
        <f t="shared" si="2"/>
        <v/>
      </c>
      <c r="J4" s="10">
        <f t="shared" ref="J4:J67" si="14">IF($C4=I$1,J3+5,J3)</f>
        <v>0</v>
      </c>
      <c r="K4" s="12" t="s">
        <v>107</v>
      </c>
      <c r="L4" s="31">
        <f>L3</f>
        <v>0</v>
      </c>
      <c r="M4" s="2" t="str">
        <f t="shared" si="3"/>
        <v/>
      </c>
      <c r="N4" s="10">
        <f t="shared" ref="N4:N67" si="15">IF($C4=M$1,N3+5,N3)</f>
        <v>0</v>
      </c>
      <c r="O4" s="12" t="s">
        <v>107</v>
      </c>
      <c r="P4" s="31">
        <f>P3</f>
        <v>0</v>
      </c>
      <c r="Q4" s="2" t="str">
        <f t="shared" si="4"/>
        <v/>
      </c>
      <c r="R4" s="10">
        <f t="shared" ref="R4:R67" si="16">IF($C4=Q$1,R3+5,R3)</f>
        <v>0</v>
      </c>
      <c r="S4" s="12" t="s">
        <v>107</v>
      </c>
      <c r="T4" s="31">
        <f>T3</f>
        <v>0</v>
      </c>
      <c r="U4" s="2" t="str">
        <f t="shared" si="5"/>
        <v/>
      </c>
      <c r="V4" s="10">
        <f t="shared" ref="V4:V67" si="17">IF($C4=U$1,V3+5,V3)</f>
        <v>0</v>
      </c>
      <c r="W4" s="12" t="s">
        <v>107</v>
      </c>
      <c r="X4" s="31">
        <f>X3</f>
        <v>0</v>
      </c>
      <c r="Y4" s="2" t="str">
        <f t="shared" si="6"/>
        <v/>
      </c>
      <c r="Z4" s="10">
        <f t="shared" ref="Z4:Z67" si="18">IF($C4=Y$1,Z3+5,Z3)</f>
        <v>0</v>
      </c>
      <c r="AA4" s="12" t="s">
        <v>107</v>
      </c>
      <c r="AB4" s="31">
        <f>AB3</f>
        <v>0</v>
      </c>
      <c r="AC4" s="2" t="str">
        <f t="shared" si="7"/>
        <v/>
      </c>
      <c r="AD4" s="10">
        <f t="shared" ref="AD4:AD67" si="19">IF($C4=AC$1,AD3+5,AD3)</f>
        <v>0</v>
      </c>
      <c r="AE4" s="12" t="s">
        <v>107</v>
      </c>
      <c r="AF4" s="31">
        <f>AF3</f>
        <v>0</v>
      </c>
      <c r="AG4" s="2" t="str">
        <f t="shared" si="8"/>
        <v/>
      </c>
      <c r="AH4" s="10">
        <f t="shared" ref="AH4:AH67" si="20">IF($C4=AG$1,AH3+5,AH3)</f>
        <v>0</v>
      </c>
      <c r="AI4" s="12" t="s">
        <v>107</v>
      </c>
      <c r="AJ4" s="31">
        <f>AJ3</f>
        <v>0</v>
      </c>
      <c r="AK4" s="2" t="str">
        <f t="shared" si="9"/>
        <v/>
      </c>
      <c r="AL4" s="10">
        <f t="shared" ref="AL4:AL67" si="21">IF($C4=AK$1,AL3+1,AL3)</f>
        <v>0</v>
      </c>
      <c r="AM4" s="12" t="s">
        <v>107</v>
      </c>
      <c r="AN4" s="31">
        <f>AN3</f>
        <v>0</v>
      </c>
      <c r="AO4" s="2" t="str">
        <f t="shared" si="10"/>
        <v/>
      </c>
      <c r="AP4" s="10">
        <f t="shared" ref="AP4:AP67" si="22">IF($C4=AO$1,AP3+1,AP3)</f>
        <v>0</v>
      </c>
      <c r="AQ4" s="12" t="s">
        <v>107</v>
      </c>
      <c r="AR4" s="31">
        <f>AR3</f>
        <v>0</v>
      </c>
      <c r="AS4" s="2" t="str">
        <f t="shared" si="11"/>
        <v/>
      </c>
      <c r="AT4" s="10">
        <f t="shared" ref="AT4:AT67" si="23">IF($C4=AS$1,AT3+1,AT3)</f>
        <v>0</v>
      </c>
      <c r="AU4" s="12" t="s">
        <v>107</v>
      </c>
      <c r="AV4" s="31">
        <f>AV3</f>
        <v>0</v>
      </c>
      <c r="AW4" s="2" t="str">
        <f t="shared" si="12"/>
        <v/>
      </c>
      <c r="AX4" s="10">
        <f t="shared" ref="AX4:AX67" si="24">IF($C4=AW$1,AX3+1,AX3)</f>
        <v>0</v>
      </c>
      <c r="AY4" s="12" t="s">
        <v>107</v>
      </c>
      <c r="AZ4" s="31">
        <f>AZ3</f>
        <v>0</v>
      </c>
    </row>
    <row r="5" spans="1:52">
      <c r="B5">
        <f t="shared" si="0"/>
        <v>0</v>
      </c>
      <c r="C5" s="28"/>
      <c r="D5" s="28"/>
      <c r="E5" s="2" t="str">
        <f t="shared" si="1"/>
        <v/>
      </c>
      <c r="F5" s="10">
        <f t="shared" si="13"/>
        <v>0</v>
      </c>
      <c r="G5" s="12" t="s">
        <v>107</v>
      </c>
      <c r="H5" s="31">
        <f t="shared" ref="H5:H68" si="25">H4</f>
        <v>0</v>
      </c>
      <c r="I5" s="2" t="str">
        <f t="shared" si="2"/>
        <v/>
      </c>
      <c r="J5" s="10">
        <f t="shared" si="14"/>
        <v>0</v>
      </c>
      <c r="K5" s="12" t="s">
        <v>107</v>
      </c>
      <c r="L5" s="31">
        <f t="shared" ref="L5:L14" si="26">L4</f>
        <v>0</v>
      </c>
      <c r="M5" s="2" t="str">
        <f t="shared" si="3"/>
        <v/>
      </c>
      <c r="N5" s="10">
        <f t="shared" si="15"/>
        <v>0</v>
      </c>
      <c r="O5" s="12" t="s">
        <v>107</v>
      </c>
      <c r="P5" s="31">
        <f t="shared" ref="P5:P14" si="27">P4</f>
        <v>0</v>
      </c>
      <c r="Q5" s="2" t="str">
        <f t="shared" si="4"/>
        <v/>
      </c>
      <c r="R5" s="10">
        <f t="shared" si="16"/>
        <v>0</v>
      </c>
      <c r="S5" s="12" t="s">
        <v>107</v>
      </c>
      <c r="T5" s="31">
        <f t="shared" ref="T5:T14" si="28">T4</f>
        <v>0</v>
      </c>
      <c r="U5" s="2" t="str">
        <f t="shared" si="5"/>
        <v/>
      </c>
      <c r="V5" s="10">
        <f t="shared" si="17"/>
        <v>0</v>
      </c>
      <c r="W5" s="12" t="s">
        <v>107</v>
      </c>
      <c r="X5" s="31">
        <f t="shared" ref="X5:X14" si="29">X4</f>
        <v>0</v>
      </c>
      <c r="Y5" s="2" t="str">
        <f t="shared" si="6"/>
        <v/>
      </c>
      <c r="Z5" s="10">
        <f t="shared" si="18"/>
        <v>0</v>
      </c>
      <c r="AA5" s="12" t="s">
        <v>107</v>
      </c>
      <c r="AB5" s="31">
        <f t="shared" ref="AB5:AB14" si="30">AB4</f>
        <v>0</v>
      </c>
      <c r="AC5" s="2" t="str">
        <f t="shared" si="7"/>
        <v/>
      </c>
      <c r="AD5" s="10">
        <f t="shared" si="19"/>
        <v>0</v>
      </c>
      <c r="AE5" s="12" t="s">
        <v>107</v>
      </c>
      <c r="AF5" s="31">
        <f t="shared" ref="AF5:AF14" si="31">AF4</f>
        <v>0</v>
      </c>
      <c r="AG5" s="2" t="str">
        <f t="shared" si="8"/>
        <v/>
      </c>
      <c r="AH5" s="10">
        <f t="shared" si="20"/>
        <v>0</v>
      </c>
      <c r="AI5" s="12" t="s">
        <v>107</v>
      </c>
      <c r="AJ5" s="31">
        <f t="shared" ref="AJ5:AJ14" si="32">AJ4</f>
        <v>0</v>
      </c>
      <c r="AK5" s="2" t="str">
        <f t="shared" si="9"/>
        <v/>
      </c>
      <c r="AL5" s="10">
        <f t="shared" si="21"/>
        <v>0</v>
      </c>
      <c r="AM5" s="12" t="s">
        <v>107</v>
      </c>
      <c r="AN5" s="31">
        <f t="shared" ref="AN5:AN14" si="33">AN4</f>
        <v>0</v>
      </c>
      <c r="AO5" s="2" t="str">
        <f t="shared" si="10"/>
        <v/>
      </c>
      <c r="AP5" s="10">
        <f t="shared" si="22"/>
        <v>0</v>
      </c>
      <c r="AQ5" s="12" t="s">
        <v>107</v>
      </c>
      <c r="AR5" s="31">
        <f t="shared" ref="AR5:AR14" si="34">AR4</f>
        <v>0</v>
      </c>
      <c r="AS5" s="2" t="str">
        <f t="shared" si="11"/>
        <v/>
      </c>
      <c r="AT5" s="10">
        <f t="shared" si="23"/>
        <v>0</v>
      </c>
      <c r="AU5" s="12" t="s">
        <v>107</v>
      </c>
      <c r="AV5" s="31">
        <f t="shared" ref="AV5:AV68" si="35">AV4</f>
        <v>0</v>
      </c>
      <c r="AW5" s="2" t="str">
        <f t="shared" si="12"/>
        <v/>
      </c>
      <c r="AX5" s="10">
        <f t="shared" si="24"/>
        <v>0</v>
      </c>
      <c r="AY5" s="12" t="s">
        <v>107</v>
      </c>
      <c r="AZ5" s="31">
        <f t="shared" ref="AZ5:AZ68" si="36">AZ4</f>
        <v>0</v>
      </c>
    </row>
    <row r="6" spans="1:52">
      <c r="B6">
        <f t="shared" si="0"/>
        <v>0</v>
      </c>
      <c r="C6" s="28"/>
      <c r="D6" s="28"/>
      <c r="E6" s="2" t="str">
        <f t="shared" si="1"/>
        <v/>
      </c>
      <c r="F6" s="10">
        <f t="shared" si="13"/>
        <v>0</v>
      </c>
      <c r="G6" s="12" t="s">
        <v>107</v>
      </c>
      <c r="H6" s="31">
        <f t="shared" si="25"/>
        <v>0</v>
      </c>
      <c r="I6" s="2" t="str">
        <f t="shared" si="2"/>
        <v/>
      </c>
      <c r="J6" s="10">
        <f t="shared" si="14"/>
        <v>0</v>
      </c>
      <c r="K6" s="12" t="s">
        <v>107</v>
      </c>
      <c r="L6" s="31">
        <f t="shared" si="26"/>
        <v>0</v>
      </c>
      <c r="M6" s="2" t="str">
        <f t="shared" si="3"/>
        <v/>
      </c>
      <c r="N6" s="10">
        <f t="shared" si="15"/>
        <v>0</v>
      </c>
      <c r="O6" s="12" t="s">
        <v>107</v>
      </c>
      <c r="P6" s="31">
        <f t="shared" si="27"/>
        <v>0</v>
      </c>
      <c r="Q6" s="2" t="str">
        <f t="shared" si="4"/>
        <v/>
      </c>
      <c r="R6" s="10">
        <f t="shared" si="16"/>
        <v>0</v>
      </c>
      <c r="S6" s="12" t="s">
        <v>107</v>
      </c>
      <c r="T6" s="31">
        <f t="shared" si="28"/>
        <v>0</v>
      </c>
      <c r="U6" s="2" t="str">
        <f t="shared" si="5"/>
        <v/>
      </c>
      <c r="V6" s="10">
        <f t="shared" si="17"/>
        <v>0</v>
      </c>
      <c r="W6" s="12" t="s">
        <v>107</v>
      </c>
      <c r="X6" s="31">
        <f t="shared" si="29"/>
        <v>0</v>
      </c>
      <c r="Y6" s="2" t="str">
        <f t="shared" si="6"/>
        <v/>
      </c>
      <c r="Z6" s="10">
        <f t="shared" si="18"/>
        <v>0</v>
      </c>
      <c r="AA6" s="12" t="s">
        <v>107</v>
      </c>
      <c r="AB6" s="31">
        <f t="shared" si="30"/>
        <v>0</v>
      </c>
      <c r="AC6" s="2" t="str">
        <f t="shared" si="7"/>
        <v/>
      </c>
      <c r="AD6" s="10">
        <f t="shared" si="19"/>
        <v>0</v>
      </c>
      <c r="AE6" s="12" t="s">
        <v>107</v>
      </c>
      <c r="AF6" s="31">
        <f t="shared" si="31"/>
        <v>0</v>
      </c>
      <c r="AG6" s="2" t="str">
        <f t="shared" si="8"/>
        <v/>
      </c>
      <c r="AH6" s="10">
        <f t="shared" si="20"/>
        <v>0</v>
      </c>
      <c r="AI6" s="12" t="s">
        <v>107</v>
      </c>
      <c r="AJ6" s="31">
        <f t="shared" si="32"/>
        <v>0</v>
      </c>
      <c r="AK6" s="2" t="str">
        <f t="shared" si="9"/>
        <v/>
      </c>
      <c r="AL6" s="10">
        <f t="shared" si="21"/>
        <v>0</v>
      </c>
      <c r="AM6" s="12" t="s">
        <v>107</v>
      </c>
      <c r="AN6" s="31">
        <f t="shared" si="33"/>
        <v>0</v>
      </c>
      <c r="AO6" s="2" t="str">
        <f t="shared" si="10"/>
        <v/>
      </c>
      <c r="AP6" s="10">
        <f t="shared" si="22"/>
        <v>0</v>
      </c>
      <c r="AQ6" s="12" t="s">
        <v>107</v>
      </c>
      <c r="AR6" s="31">
        <f t="shared" si="34"/>
        <v>0</v>
      </c>
      <c r="AS6" s="2" t="str">
        <f t="shared" si="11"/>
        <v/>
      </c>
      <c r="AT6" s="10">
        <f t="shared" si="23"/>
        <v>0</v>
      </c>
      <c r="AU6" s="12" t="s">
        <v>107</v>
      </c>
      <c r="AV6" s="31">
        <f t="shared" si="35"/>
        <v>0</v>
      </c>
      <c r="AW6" s="2" t="str">
        <f t="shared" si="12"/>
        <v/>
      </c>
      <c r="AX6" s="10">
        <f t="shared" si="24"/>
        <v>0</v>
      </c>
      <c r="AY6" s="12" t="s">
        <v>107</v>
      </c>
      <c r="AZ6" s="31">
        <f t="shared" si="36"/>
        <v>0</v>
      </c>
    </row>
    <row r="7" spans="1:52">
      <c r="B7">
        <f t="shared" si="0"/>
        <v>0</v>
      </c>
      <c r="C7" s="28"/>
      <c r="D7" s="29"/>
      <c r="E7" s="2" t="str">
        <f t="shared" si="1"/>
        <v/>
      </c>
      <c r="F7" s="10">
        <f t="shared" si="13"/>
        <v>0</v>
      </c>
      <c r="G7" s="12" t="s">
        <v>107</v>
      </c>
      <c r="H7" s="31">
        <f t="shared" si="25"/>
        <v>0</v>
      </c>
      <c r="I7" s="2" t="str">
        <f t="shared" si="2"/>
        <v/>
      </c>
      <c r="J7" s="10">
        <f t="shared" si="14"/>
        <v>0</v>
      </c>
      <c r="K7" s="12" t="s">
        <v>107</v>
      </c>
      <c r="L7" s="31">
        <f t="shared" si="26"/>
        <v>0</v>
      </c>
      <c r="M7" s="2" t="str">
        <f t="shared" si="3"/>
        <v/>
      </c>
      <c r="N7" s="10">
        <f t="shared" si="15"/>
        <v>0</v>
      </c>
      <c r="O7" s="12" t="s">
        <v>107</v>
      </c>
      <c r="P7" s="31">
        <f t="shared" si="27"/>
        <v>0</v>
      </c>
      <c r="Q7" s="2" t="str">
        <f t="shared" si="4"/>
        <v/>
      </c>
      <c r="R7" s="10">
        <f t="shared" si="16"/>
        <v>0</v>
      </c>
      <c r="S7" s="12" t="s">
        <v>107</v>
      </c>
      <c r="T7" s="31">
        <f t="shared" si="28"/>
        <v>0</v>
      </c>
      <c r="U7" s="2" t="str">
        <f t="shared" si="5"/>
        <v/>
      </c>
      <c r="V7" s="10">
        <f t="shared" si="17"/>
        <v>0</v>
      </c>
      <c r="W7" s="12" t="s">
        <v>107</v>
      </c>
      <c r="X7" s="31">
        <f t="shared" si="29"/>
        <v>0</v>
      </c>
      <c r="Y7" s="2" t="str">
        <f t="shared" si="6"/>
        <v/>
      </c>
      <c r="Z7" s="10">
        <f t="shared" si="18"/>
        <v>0</v>
      </c>
      <c r="AA7" s="12" t="s">
        <v>107</v>
      </c>
      <c r="AB7" s="31">
        <f t="shared" si="30"/>
        <v>0</v>
      </c>
      <c r="AC7" s="2" t="str">
        <f t="shared" si="7"/>
        <v/>
      </c>
      <c r="AD7" s="10">
        <f t="shared" si="19"/>
        <v>0</v>
      </c>
      <c r="AE7" s="12" t="s">
        <v>107</v>
      </c>
      <c r="AF7" s="31">
        <f t="shared" si="31"/>
        <v>0</v>
      </c>
      <c r="AG7" s="2" t="str">
        <f t="shared" si="8"/>
        <v/>
      </c>
      <c r="AH7" s="10">
        <f t="shared" si="20"/>
        <v>0</v>
      </c>
      <c r="AI7" s="12" t="s">
        <v>107</v>
      </c>
      <c r="AJ7" s="31">
        <f t="shared" si="32"/>
        <v>0</v>
      </c>
      <c r="AK7" s="2" t="str">
        <f t="shared" si="9"/>
        <v/>
      </c>
      <c r="AL7" s="10">
        <f t="shared" si="21"/>
        <v>0</v>
      </c>
      <c r="AM7" s="12" t="s">
        <v>107</v>
      </c>
      <c r="AN7" s="31">
        <f t="shared" si="33"/>
        <v>0</v>
      </c>
      <c r="AO7" s="2" t="str">
        <f t="shared" si="10"/>
        <v/>
      </c>
      <c r="AP7" s="10">
        <f t="shared" si="22"/>
        <v>0</v>
      </c>
      <c r="AQ7" s="12" t="s">
        <v>107</v>
      </c>
      <c r="AR7" s="31">
        <f t="shared" si="34"/>
        <v>0</v>
      </c>
      <c r="AS7" s="2" t="str">
        <f t="shared" si="11"/>
        <v/>
      </c>
      <c r="AT7" s="10">
        <f t="shared" si="23"/>
        <v>0</v>
      </c>
      <c r="AU7" s="12" t="s">
        <v>107</v>
      </c>
      <c r="AV7" s="31">
        <f t="shared" si="35"/>
        <v>0</v>
      </c>
      <c r="AW7" s="2" t="str">
        <f t="shared" si="12"/>
        <v/>
      </c>
      <c r="AX7" s="10">
        <f t="shared" si="24"/>
        <v>0</v>
      </c>
      <c r="AY7" s="12" t="s">
        <v>107</v>
      </c>
      <c r="AZ7" s="31">
        <f t="shared" si="36"/>
        <v>0</v>
      </c>
    </row>
    <row r="8" spans="1:52">
      <c r="B8">
        <f t="shared" si="0"/>
        <v>0</v>
      </c>
      <c r="C8" s="28"/>
      <c r="D8" s="28"/>
      <c r="E8" s="2" t="str">
        <f t="shared" si="1"/>
        <v/>
      </c>
      <c r="F8" s="10">
        <f t="shared" si="13"/>
        <v>0</v>
      </c>
      <c r="G8" s="12" t="s">
        <v>107</v>
      </c>
      <c r="H8" s="31">
        <f t="shared" si="25"/>
        <v>0</v>
      </c>
      <c r="I8" s="2" t="str">
        <f t="shared" si="2"/>
        <v/>
      </c>
      <c r="J8" s="10">
        <f t="shared" si="14"/>
        <v>0</v>
      </c>
      <c r="K8" s="12" t="s">
        <v>107</v>
      </c>
      <c r="L8" s="31">
        <f t="shared" si="26"/>
        <v>0</v>
      </c>
      <c r="M8" s="2" t="str">
        <f t="shared" si="3"/>
        <v/>
      </c>
      <c r="N8" s="10">
        <f t="shared" si="15"/>
        <v>0</v>
      </c>
      <c r="O8" s="12" t="s">
        <v>107</v>
      </c>
      <c r="P8" s="31">
        <f t="shared" si="27"/>
        <v>0</v>
      </c>
      <c r="Q8" s="2" t="str">
        <f t="shared" si="4"/>
        <v/>
      </c>
      <c r="R8" s="10">
        <f t="shared" si="16"/>
        <v>0</v>
      </c>
      <c r="S8" s="12" t="s">
        <v>107</v>
      </c>
      <c r="T8" s="31">
        <f t="shared" si="28"/>
        <v>0</v>
      </c>
      <c r="U8" s="2" t="str">
        <f t="shared" si="5"/>
        <v/>
      </c>
      <c r="V8" s="10">
        <f t="shared" si="17"/>
        <v>0</v>
      </c>
      <c r="W8" s="12" t="s">
        <v>107</v>
      </c>
      <c r="X8" s="31">
        <f t="shared" si="29"/>
        <v>0</v>
      </c>
      <c r="Y8" s="2" t="str">
        <f t="shared" si="6"/>
        <v/>
      </c>
      <c r="Z8" s="10">
        <f t="shared" si="18"/>
        <v>0</v>
      </c>
      <c r="AA8" s="12" t="s">
        <v>107</v>
      </c>
      <c r="AB8" s="31">
        <f t="shared" si="30"/>
        <v>0</v>
      </c>
      <c r="AC8" s="2" t="str">
        <f t="shared" si="7"/>
        <v/>
      </c>
      <c r="AD8" s="10">
        <f t="shared" si="19"/>
        <v>0</v>
      </c>
      <c r="AE8" s="12" t="s">
        <v>107</v>
      </c>
      <c r="AF8" s="31">
        <f t="shared" si="31"/>
        <v>0</v>
      </c>
      <c r="AG8" s="2" t="str">
        <f t="shared" si="8"/>
        <v/>
      </c>
      <c r="AH8" s="10">
        <f t="shared" si="20"/>
        <v>0</v>
      </c>
      <c r="AI8" s="12" t="s">
        <v>107</v>
      </c>
      <c r="AJ8" s="31">
        <f t="shared" si="32"/>
        <v>0</v>
      </c>
      <c r="AK8" s="2" t="str">
        <f t="shared" si="9"/>
        <v/>
      </c>
      <c r="AL8" s="10">
        <f t="shared" si="21"/>
        <v>0</v>
      </c>
      <c r="AM8" s="12" t="s">
        <v>107</v>
      </c>
      <c r="AN8" s="31">
        <f t="shared" si="33"/>
        <v>0</v>
      </c>
      <c r="AO8" s="2" t="str">
        <f t="shared" si="10"/>
        <v/>
      </c>
      <c r="AP8" s="10">
        <f t="shared" si="22"/>
        <v>0</v>
      </c>
      <c r="AQ8" s="12" t="s">
        <v>107</v>
      </c>
      <c r="AR8" s="31">
        <f t="shared" si="34"/>
        <v>0</v>
      </c>
      <c r="AS8" s="2" t="str">
        <f t="shared" si="11"/>
        <v/>
      </c>
      <c r="AT8" s="10">
        <f t="shared" si="23"/>
        <v>0</v>
      </c>
      <c r="AU8" s="12" t="s">
        <v>107</v>
      </c>
      <c r="AV8" s="31">
        <f t="shared" si="35"/>
        <v>0</v>
      </c>
      <c r="AW8" s="2" t="str">
        <f t="shared" si="12"/>
        <v/>
      </c>
      <c r="AX8" s="10">
        <f t="shared" si="24"/>
        <v>0</v>
      </c>
      <c r="AY8" s="12" t="s">
        <v>107</v>
      </c>
      <c r="AZ8" s="31">
        <f t="shared" si="36"/>
        <v>0</v>
      </c>
    </row>
    <row r="9" spans="1:52">
      <c r="B9">
        <f t="shared" si="0"/>
        <v>0</v>
      </c>
      <c r="C9" s="28"/>
      <c r="D9" s="28"/>
      <c r="E9" s="2" t="str">
        <f t="shared" si="1"/>
        <v/>
      </c>
      <c r="F9" s="10">
        <f t="shared" si="13"/>
        <v>0</v>
      </c>
      <c r="G9" s="12" t="s">
        <v>107</v>
      </c>
      <c r="H9" s="31">
        <f t="shared" si="25"/>
        <v>0</v>
      </c>
      <c r="I9" s="2" t="str">
        <f t="shared" si="2"/>
        <v/>
      </c>
      <c r="J9" s="10">
        <f t="shared" si="14"/>
        <v>0</v>
      </c>
      <c r="K9" s="12" t="s">
        <v>107</v>
      </c>
      <c r="L9" s="31">
        <f t="shared" si="26"/>
        <v>0</v>
      </c>
      <c r="M9" s="2" t="str">
        <f t="shared" si="3"/>
        <v/>
      </c>
      <c r="N9" s="10">
        <f t="shared" si="15"/>
        <v>0</v>
      </c>
      <c r="O9" s="12" t="s">
        <v>107</v>
      </c>
      <c r="P9" s="31">
        <f t="shared" si="27"/>
        <v>0</v>
      </c>
      <c r="Q9" s="2" t="str">
        <f t="shared" si="4"/>
        <v/>
      </c>
      <c r="R9" s="10">
        <f t="shared" si="16"/>
        <v>0</v>
      </c>
      <c r="S9" s="12" t="s">
        <v>107</v>
      </c>
      <c r="T9" s="31">
        <f t="shared" si="28"/>
        <v>0</v>
      </c>
      <c r="U9" s="2" t="str">
        <f t="shared" si="5"/>
        <v/>
      </c>
      <c r="V9" s="10">
        <f t="shared" si="17"/>
        <v>0</v>
      </c>
      <c r="W9" s="12" t="s">
        <v>107</v>
      </c>
      <c r="X9" s="31">
        <f t="shared" si="29"/>
        <v>0</v>
      </c>
      <c r="Y9" s="2" t="str">
        <f t="shared" si="6"/>
        <v/>
      </c>
      <c r="Z9" s="10">
        <f t="shared" si="18"/>
        <v>0</v>
      </c>
      <c r="AA9" s="12" t="s">
        <v>107</v>
      </c>
      <c r="AB9" s="31">
        <f t="shared" si="30"/>
        <v>0</v>
      </c>
      <c r="AC9" s="2" t="str">
        <f t="shared" si="7"/>
        <v/>
      </c>
      <c r="AD9" s="10">
        <f t="shared" si="19"/>
        <v>0</v>
      </c>
      <c r="AE9" s="12" t="s">
        <v>107</v>
      </c>
      <c r="AF9" s="31">
        <f t="shared" si="31"/>
        <v>0</v>
      </c>
      <c r="AG9" s="2" t="str">
        <f t="shared" si="8"/>
        <v/>
      </c>
      <c r="AH9" s="10">
        <f t="shared" si="20"/>
        <v>0</v>
      </c>
      <c r="AI9" s="12" t="s">
        <v>107</v>
      </c>
      <c r="AJ9" s="31">
        <f t="shared" si="32"/>
        <v>0</v>
      </c>
      <c r="AK9" s="2" t="str">
        <f t="shared" si="9"/>
        <v/>
      </c>
      <c r="AL9" s="10">
        <f t="shared" si="21"/>
        <v>0</v>
      </c>
      <c r="AM9" s="12" t="s">
        <v>107</v>
      </c>
      <c r="AN9" s="31">
        <f t="shared" si="33"/>
        <v>0</v>
      </c>
      <c r="AO9" s="2" t="str">
        <f t="shared" si="10"/>
        <v/>
      </c>
      <c r="AP9" s="10">
        <f t="shared" si="22"/>
        <v>0</v>
      </c>
      <c r="AQ9" s="12" t="s">
        <v>107</v>
      </c>
      <c r="AR9" s="31">
        <f t="shared" si="34"/>
        <v>0</v>
      </c>
      <c r="AS9" s="2" t="str">
        <f t="shared" si="11"/>
        <v/>
      </c>
      <c r="AT9" s="10">
        <f t="shared" si="23"/>
        <v>0</v>
      </c>
      <c r="AU9" s="12" t="s">
        <v>107</v>
      </c>
      <c r="AV9" s="31">
        <f t="shared" si="35"/>
        <v>0</v>
      </c>
      <c r="AW9" s="2" t="str">
        <f t="shared" si="12"/>
        <v/>
      </c>
      <c r="AX9" s="10">
        <f t="shared" si="24"/>
        <v>0</v>
      </c>
      <c r="AY9" s="12" t="s">
        <v>107</v>
      </c>
      <c r="AZ9" s="31">
        <f t="shared" si="36"/>
        <v>0</v>
      </c>
    </row>
    <row r="10" spans="1:52">
      <c r="B10">
        <f t="shared" si="0"/>
        <v>0</v>
      </c>
      <c r="C10" s="28"/>
      <c r="D10" s="29"/>
      <c r="E10" s="2" t="str">
        <f t="shared" si="1"/>
        <v/>
      </c>
      <c r="F10" s="10">
        <f t="shared" si="13"/>
        <v>0</v>
      </c>
      <c r="G10" s="12" t="s">
        <v>107</v>
      </c>
      <c r="H10" s="31">
        <f t="shared" si="25"/>
        <v>0</v>
      </c>
      <c r="I10" s="2" t="str">
        <f t="shared" si="2"/>
        <v/>
      </c>
      <c r="J10" s="10">
        <f t="shared" si="14"/>
        <v>0</v>
      </c>
      <c r="K10" s="12" t="s">
        <v>107</v>
      </c>
      <c r="L10" s="31">
        <f t="shared" si="26"/>
        <v>0</v>
      </c>
      <c r="M10" s="2" t="str">
        <f t="shared" si="3"/>
        <v/>
      </c>
      <c r="N10" s="10">
        <f t="shared" si="15"/>
        <v>0</v>
      </c>
      <c r="O10" s="12" t="s">
        <v>107</v>
      </c>
      <c r="P10" s="31">
        <f t="shared" si="27"/>
        <v>0</v>
      </c>
      <c r="Q10" s="2" t="str">
        <f t="shared" si="4"/>
        <v/>
      </c>
      <c r="R10" s="10">
        <f t="shared" si="16"/>
        <v>0</v>
      </c>
      <c r="S10" s="12" t="s">
        <v>107</v>
      </c>
      <c r="T10" s="31">
        <f t="shared" si="28"/>
        <v>0</v>
      </c>
      <c r="U10" s="2" t="str">
        <f t="shared" si="5"/>
        <v/>
      </c>
      <c r="V10" s="10">
        <f t="shared" si="17"/>
        <v>0</v>
      </c>
      <c r="W10" s="12" t="s">
        <v>107</v>
      </c>
      <c r="X10" s="31">
        <f t="shared" si="29"/>
        <v>0</v>
      </c>
      <c r="Y10" s="2" t="str">
        <f t="shared" si="6"/>
        <v/>
      </c>
      <c r="Z10" s="10">
        <f t="shared" si="18"/>
        <v>0</v>
      </c>
      <c r="AA10" s="12" t="s">
        <v>107</v>
      </c>
      <c r="AB10" s="31">
        <f t="shared" si="30"/>
        <v>0</v>
      </c>
      <c r="AC10" s="2" t="str">
        <f t="shared" si="7"/>
        <v/>
      </c>
      <c r="AD10" s="10">
        <f t="shared" si="19"/>
        <v>0</v>
      </c>
      <c r="AE10" s="12" t="s">
        <v>107</v>
      </c>
      <c r="AF10" s="31">
        <f t="shared" si="31"/>
        <v>0</v>
      </c>
      <c r="AG10" s="2" t="str">
        <f t="shared" si="8"/>
        <v/>
      </c>
      <c r="AH10" s="10">
        <f t="shared" si="20"/>
        <v>0</v>
      </c>
      <c r="AI10" s="12" t="s">
        <v>107</v>
      </c>
      <c r="AJ10" s="31">
        <f t="shared" si="32"/>
        <v>0</v>
      </c>
      <c r="AK10" s="2" t="str">
        <f t="shared" si="9"/>
        <v/>
      </c>
      <c r="AL10" s="10">
        <f t="shared" si="21"/>
        <v>0</v>
      </c>
      <c r="AM10" s="12" t="s">
        <v>107</v>
      </c>
      <c r="AN10" s="31">
        <f t="shared" si="33"/>
        <v>0</v>
      </c>
      <c r="AO10" s="2" t="str">
        <f t="shared" si="10"/>
        <v/>
      </c>
      <c r="AP10" s="10">
        <f t="shared" si="22"/>
        <v>0</v>
      </c>
      <c r="AQ10" s="12" t="s">
        <v>107</v>
      </c>
      <c r="AR10" s="31">
        <f t="shared" si="34"/>
        <v>0</v>
      </c>
      <c r="AS10" s="2" t="str">
        <f t="shared" si="11"/>
        <v/>
      </c>
      <c r="AT10" s="10">
        <f t="shared" si="23"/>
        <v>0</v>
      </c>
      <c r="AU10" s="12" t="s">
        <v>107</v>
      </c>
      <c r="AV10" s="31">
        <f t="shared" si="35"/>
        <v>0</v>
      </c>
      <c r="AW10" s="2" t="str">
        <f t="shared" si="12"/>
        <v/>
      </c>
      <c r="AX10" s="10">
        <f t="shared" si="24"/>
        <v>0</v>
      </c>
      <c r="AY10" s="12" t="s">
        <v>107</v>
      </c>
      <c r="AZ10" s="31">
        <f t="shared" si="36"/>
        <v>0</v>
      </c>
    </row>
    <row r="11" spans="1:52">
      <c r="B11">
        <f t="shared" si="0"/>
        <v>0</v>
      </c>
      <c r="C11" s="28"/>
      <c r="D11" s="29"/>
      <c r="E11" s="2" t="str">
        <f t="shared" si="1"/>
        <v/>
      </c>
      <c r="F11" s="10">
        <f t="shared" si="13"/>
        <v>0</v>
      </c>
      <c r="G11" s="12" t="s">
        <v>107</v>
      </c>
      <c r="H11" s="31">
        <f t="shared" si="25"/>
        <v>0</v>
      </c>
      <c r="I11" s="2" t="str">
        <f t="shared" si="2"/>
        <v/>
      </c>
      <c r="J11" s="10">
        <f t="shared" si="14"/>
        <v>0</v>
      </c>
      <c r="K11" s="12" t="s">
        <v>107</v>
      </c>
      <c r="L11" s="31">
        <f t="shared" si="26"/>
        <v>0</v>
      </c>
      <c r="M11" s="2" t="str">
        <f t="shared" si="3"/>
        <v/>
      </c>
      <c r="N11" s="10">
        <f t="shared" si="15"/>
        <v>0</v>
      </c>
      <c r="O11" s="12" t="s">
        <v>107</v>
      </c>
      <c r="P11" s="31">
        <f t="shared" si="27"/>
        <v>0</v>
      </c>
      <c r="Q11" s="2" t="str">
        <f t="shared" si="4"/>
        <v/>
      </c>
      <c r="R11" s="10">
        <f t="shared" si="16"/>
        <v>0</v>
      </c>
      <c r="S11" s="12" t="s">
        <v>107</v>
      </c>
      <c r="T11" s="31">
        <f t="shared" si="28"/>
        <v>0</v>
      </c>
      <c r="U11" s="2" t="str">
        <f t="shared" si="5"/>
        <v/>
      </c>
      <c r="V11" s="10">
        <f t="shared" si="17"/>
        <v>0</v>
      </c>
      <c r="W11" s="12" t="s">
        <v>107</v>
      </c>
      <c r="X11" s="31">
        <f t="shared" si="29"/>
        <v>0</v>
      </c>
      <c r="Y11" s="2" t="str">
        <f t="shared" si="6"/>
        <v/>
      </c>
      <c r="Z11" s="10">
        <f t="shared" si="18"/>
        <v>0</v>
      </c>
      <c r="AA11" s="12" t="s">
        <v>107</v>
      </c>
      <c r="AB11" s="31">
        <f t="shared" si="30"/>
        <v>0</v>
      </c>
      <c r="AC11" s="2" t="str">
        <f t="shared" si="7"/>
        <v/>
      </c>
      <c r="AD11" s="10">
        <f t="shared" si="19"/>
        <v>0</v>
      </c>
      <c r="AE11" s="12" t="s">
        <v>107</v>
      </c>
      <c r="AF11" s="31">
        <f t="shared" si="31"/>
        <v>0</v>
      </c>
      <c r="AG11" s="2" t="str">
        <f t="shared" si="8"/>
        <v/>
      </c>
      <c r="AH11" s="10">
        <f t="shared" si="20"/>
        <v>0</v>
      </c>
      <c r="AI11" s="12" t="s">
        <v>107</v>
      </c>
      <c r="AJ11" s="31">
        <f t="shared" si="32"/>
        <v>0</v>
      </c>
      <c r="AK11" s="2" t="str">
        <f t="shared" si="9"/>
        <v/>
      </c>
      <c r="AL11" s="10">
        <f t="shared" si="21"/>
        <v>0</v>
      </c>
      <c r="AM11" s="12" t="s">
        <v>107</v>
      </c>
      <c r="AN11" s="31">
        <f t="shared" si="33"/>
        <v>0</v>
      </c>
      <c r="AO11" s="2" t="str">
        <f t="shared" si="10"/>
        <v/>
      </c>
      <c r="AP11" s="10">
        <f t="shared" si="22"/>
        <v>0</v>
      </c>
      <c r="AQ11" s="12" t="s">
        <v>107</v>
      </c>
      <c r="AR11" s="31">
        <f t="shared" si="34"/>
        <v>0</v>
      </c>
      <c r="AS11" s="2" t="str">
        <f t="shared" si="11"/>
        <v/>
      </c>
      <c r="AT11" s="10">
        <f t="shared" si="23"/>
        <v>0</v>
      </c>
      <c r="AU11" s="12" t="s">
        <v>107</v>
      </c>
      <c r="AV11" s="31">
        <f t="shared" si="35"/>
        <v>0</v>
      </c>
      <c r="AW11" s="2" t="str">
        <f t="shared" si="12"/>
        <v/>
      </c>
      <c r="AX11" s="10">
        <f t="shared" si="24"/>
        <v>0</v>
      </c>
      <c r="AY11" s="12" t="s">
        <v>107</v>
      </c>
      <c r="AZ11" s="31">
        <f t="shared" si="36"/>
        <v>0</v>
      </c>
    </row>
    <row r="12" spans="1:52">
      <c r="B12">
        <f t="shared" si="0"/>
        <v>0</v>
      </c>
      <c r="C12" s="28"/>
      <c r="D12" s="28"/>
      <c r="E12" s="2" t="str">
        <f t="shared" si="1"/>
        <v/>
      </c>
      <c r="F12" s="10">
        <f t="shared" si="13"/>
        <v>0</v>
      </c>
      <c r="G12" s="12" t="s">
        <v>107</v>
      </c>
      <c r="H12" s="31">
        <f t="shared" si="25"/>
        <v>0</v>
      </c>
      <c r="I12" s="2" t="str">
        <f t="shared" si="2"/>
        <v/>
      </c>
      <c r="J12" s="10">
        <f t="shared" si="14"/>
        <v>0</v>
      </c>
      <c r="K12" s="12" t="s">
        <v>107</v>
      </c>
      <c r="L12" s="31">
        <f t="shared" si="26"/>
        <v>0</v>
      </c>
      <c r="M12" s="2" t="str">
        <f t="shared" si="3"/>
        <v/>
      </c>
      <c r="N12" s="10">
        <f t="shared" si="15"/>
        <v>0</v>
      </c>
      <c r="O12" s="12" t="s">
        <v>107</v>
      </c>
      <c r="P12" s="31">
        <f t="shared" si="27"/>
        <v>0</v>
      </c>
      <c r="Q12" s="2" t="str">
        <f t="shared" si="4"/>
        <v/>
      </c>
      <c r="R12" s="10">
        <f t="shared" si="16"/>
        <v>0</v>
      </c>
      <c r="S12" s="12" t="s">
        <v>107</v>
      </c>
      <c r="T12" s="31">
        <f t="shared" si="28"/>
        <v>0</v>
      </c>
      <c r="U12" s="2" t="str">
        <f t="shared" si="5"/>
        <v/>
      </c>
      <c r="V12" s="10">
        <f t="shared" si="17"/>
        <v>0</v>
      </c>
      <c r="W12" s="12" t="s">
        <v>107</v>
      </c>
      <c r="X12" s="31">
        <f t="shared" si="29"/>
        <v>0</v>
      </c>
      <c r="Y12" s="2" t="str">
        <f t="shared" si="6"/>
        <v/>
      </c>
      <c r="Z12" s="10">
        <f t="shared" si="18"/>
        <v>0</v>
      </c>
      <c r="AA12" s="12" t="s">
        <v>107</v>
      </c>
      <c r="AB12" s="31">
        <f t="shared" si="30"/>
        <v>0</v>
      </c>
      <c r="AC12" s="2" t="str">
        <f t="shared" si="7"/>
        <v/>
      </c>
      <c r="AD12" s="10">
        <f t="shared" si="19"/>
        <v>0</v>
      </c>
      <c r="AE12" s="12" t="s">
        <v>107</v>
      </c>
      <c r="AF12" s="31">
        <f t="shared" si="31"/>
        <v>0</v>
      </c>
      <c r="AG12" s="2" t="str">
        <f t="shared" si="8"/>
        <v/>
      </c>
      <c r="AH12" s="10">
        <f t="shared" si="20"/>
        <v>0</v>
      </c>
      <c r="AI12" s="12" t="s">
        <v>107</v>
      </c>
      <c r="AJ12" s="31">
        <f t="shared" si="32"/>
        <v>0</v>
      </c>
      <c r="AK12" s="2" t="str">
        <f t="shared" si="9"/>
        <v/>
      </c>
      <c r="AL12" s="10">
        <f t="shared" si="21"/>
        <v>0</v>
      </c>
      <c r="AM12" s="12" t="s">
        <v>107</v>
      </c>
      <c r="AN12" s="31">
        <f t="shared" si="33"/>
        <v>0</v>
      </c>
      <c r="AO12" s="2" t="str">
        <f t="shared" si="10"/>
        <v/>
      </c>
      <c r="AP12" s="10">
        <f t="shared" si="22"/>
        <v>0</v>
      </c>
      <c r="AQ12" s="12" t="s">
        <v>107</v>
      </c>
      <c r="AR12" s="31">
        <f t="shared" si="34"/>
        <v>0</v>
      </c>
      <c r="AS12" s="2" t="str">
        <f t="shared" si="11"/>
        <v/>
      </c>
      <c r="AT12" s="10">
        <f t="shared" si="23"/>
        <v>0</v>
      </c>
      <c r="AU12" s="12" t="s">
        <v>107</v>
      </c>
      <c r="AV12" s="31">
        <f t="shared" si="35"/>
        <v>0</v>
      </c>
      <c r="AW12" s="2" t="str">
        <f t="shared" si="12"/>
        <v/>
      </c>
      <c r="AX12" s="10">
        <f t="shared" si="24"/>
        <v>0</v>
      </c>
      <c r="AY12" s="12" t="s">
        <v>107</v>
      </c>
      <c r="AZ12" s="31">
        <f t="shared" si="36"/>
        <v>0</v>
      </c>
    </row>
    <row r="13" spans="1:52">
      <c r="B13">
        <f t="shared" si="0"/>
        <v>0</v>
      </c>
      <c r="C13" s="28"/>
      <c r="E13" s="2" t="str">
        <f t="shared" si="1"/>
        <v/>
      </c>
      <c r="F13" s="10">
        <f t="shared" si="13"/>
        <v>0</v>
      </c>
      <c r="G13" s="12" t="s">
        <v>107</v>
      </c>
      <c r="H13" s="31">
        <f t="shared" si="25"/>
        <v>0</v>
      </c>
      <c r="I13" s="2" t="str">
        <f t="shared" si="2"/>
        <v/>
      </c>
      <c r="J13" s="10">
        <f t="shared" si="14"/>
        <v>0</v>
      </c>
      <c r="K13" s="12" t="s">
        <v>107</v>
      </c>
      <c r="L13" s="31">
        <f t="shared" si="26"/>
        <v>0</v>
      </c>
      <c r="M13" s="2" t="str">
        <f t="shared" si="3"/>
        <v/>
      </c>
      <c r="N13" s="10">
        <f t="shared" si="15"/>
        <v>0</v>
      </c>
      <c r="O13" s="12" t="s">
        <v>107</v>
      </c>
      <c r="P13" s="31">
        <f t="shared" si="27"/>
        <v>0</v>
      </c>
      <c r="Q13" s="2" t="str">
        <f t="shared" si="4"/>
        <v/>
      </c>
      <c r="R13" s="10">
        <f t="shared" si="16"/>
        <v>0</v>
      </c>
      <c r="S13" s="12" t="s">
        <v>107</v>
      </c>
      <c r="T13" s="31">
        <f t="shared" si="28"/>
        <v>0</v>
      </c>
      <c r="U13" s="2" t="str">
        <f t="shared" si="5"/>
        <v/>
      </c>
      <c r="V13" s="10">
        <f t="shared" si="17"/>
        <v>0</v>
      </c>
      <c r="W13" s="12" t="s">
        <v>107</v>
      </c>
      <c r="X13" s="31">
        <f t="shared" si="29"/>
        <v>0</v>
      </c>
      <c r="Y13" s="2" t="str">
        <f t="shared" si="6"/>
        <v/>
      </c>
      <c r="Z13" s="10">
        <f t="shared" si="18"/>
        <v>0</v>
      </c>
      <c r="AA13" s="12" t="s">
        <v>107</v>
      </c>
      <c r="AB13" s="31">
        <f t="shared" si="30"/>
        <v>0</v>
      </c>
      <c r="AC13" s="2" t="str">
        <f t="shared" si="7"/>
        <v/>
      </c>
      <c r="AD13" s="10">
        <f t="shared" si="19"/>
        <v>0</v>
      </c>
      <c r="AE13" s="12" t="s">
        <v>107</v>
      </c>
      <c r="AF13" s="31">
        <f t="shared" si="31"/>
        <v>0</v>
      </c>
      <c r="AG13" s="2" t="str">
        <f t="shared" si="8"/>
        <v/>
      </c>
      <c r="AH13" s="10">
        <f t="shared" si="20"/>
        <v>0</v>
      </c>
      <c r="AI13" s="12" t="s">
        <v>107</v>
      </c>
      <c r="AJ13" s="31">
        <f t="shared" si="32"/>
        <v>0</v>
      </c>
      <c r="AK13" s="2" t="str">
        <f t="shared" si="9"/>
        <v/>
      </c>
      <c r="AL13" s="10">
        <f t="shared" si="21"/>
        <v>0</v>
      </c>
      <c r="AM13" s="12" t="s">
        <v>107</v>
      </c>
      <c r="AN13" s="31">
        <f t="shared" si="33"/>
        <v>0</v>
      </c>
      <c r="AO13" s="2" t="str">
        <f t="shared" si="10"/>
        <v/>
      </c>
      <c r="AP13" s="10">
        <f t="shared" si="22"/>
        <v>0</v>
      </c>
      <c r="AQ13" s="12" t="s">
        <v>107</v>
      </c>
      <c r="AR13" s="31">
        <f t="shared" si="34"/>
        <v>0</v>
      </c>
      <c r="AS13" s="2" t="str">
        <f t="shared" si="11"/>
        <v/>
      </c>
      <c r="AT13" s="10">
        <f t="shared" si="23"/>
        <v>0</v>
      </c>
      <c r="AU13" s="12" t="s">
        <v>107</v>
      </c>
      <c r="AV13" s="31">
        <f t="shared" si="35"/>
        <v>0</v>
      </c>
      <c r="AW13" s="2" t="str">
        <f t="shared" si="12"/>
        <v/>
      </c>
      <c r="AX13" s="10">
        <f t="shared" si="24"/>
        <v>0</v>
      </c>
      <c r="AY13" s="12" t="s">
        <v>107</v>
      </c>
      <c r="AZ13" s="31">
        <f t="shared" si="36"/>
        <v>0</v>
      </c>
    </row>
    <row r="14" spans="1:52">
      <c r="B14">
        <f t="shared" si="0"/>
        <v>0</v>
      </c>
      <c r="C14" s="28"/>
      <c r="E14" s="2" t="str">
        <f t="shared" si="1"/>
        <v/>
      </c>
      <c r="F14" s="10">
        <f t="shared" si="13"/>
        <v>0</v>
      </c>
      <c r="G14" s="12" t="s">
        <v>107</v>
      </c>
      <c r="H14" s="31">
        <f t="shared" si="25"/>
        <v>0</v>
      </c>
      <c r="I14" s="2" t="str">
        <f t="shared" si="2"/>
        <v/>
      </c>
      <c r="J14" s="10">
        <f t="shared" si="14"/>
        <v>0</v>
      </c>
      <c r="K14" s="12" t="s">
        <v>107</v>
      </c>
      <c r="L14" s="31">
        <f t="shared" si="26"/>
        <v>0</v>
      </c>
      <c r="M14" s="2" t="str">
        <f t="shared" si="3"/>
        <v/>
      </c>
      <c r="N14" s="10">
        <f t="shared" si="15"/>
        <v>0</v>
      </c>
      <c r="O14" s="12" t="s">
        <v>107</v>
      </c>
      <c r="P14" s="31">
        <f t="shared" si="27"/>
        <v>0</v>
      </c>
      <c r="Q14" s="2" t="str">
        <f t="shared" si="4"/>
        <v/>
      </c>
      <c r="R14" s="10">
        <f t="shared" si="16"/>
        <v>0</v>
      </c>
      <c r="S14" s="12" t="s">
        <v>107</v>
      </c>
      <c r="T14" s="31">
        <f t="shared" si="28"/>
        <v>0</v>
      </c>
      <c r="U14" s="2" t="str">
        <f t="shared" si="5"/>
        <v/>
      </c>
      <c r="V14" s="10">
        <f t="shared" si="17"/>
        <v>0</v>
      </c>
      <c r="W14" s="12" t="s">
        <v>107</v>
      </c>
      <c r="X14" s="31">
        <f t="shared" si="29"/>
        <v>0</v>
      </c>
      <c r="Y14" s="2" t="str">
        <f t="shared" si="6"/>
        <v/>
      </c>
      <c r="Z14" s="10">
        <f t="shared" si="18"/>
        <v>0</v>
      </c>
      <c r="AA14" s="12" t="s">
        <v>107</v>
      </c>
      <c r="AB14" s="31">
        <f t="shared" si="30"/>
        <v>0</v>
      </c>
      <c r="AC14" s="2" t="str">
        <f t="shared" si="7"/>
        <v/>
      </c>
      <c r="AD14" s="10">
        <f t="shared" si="19"/>
        <v>0</v>
      </c>
      <c r="AE14" s="12" t="s">
        <v>107</v>
      </c>
      <c r="AF14" s="31">
        <f t="shared" si="31"/>
        <v>0</v>
      </c>
      <c r="AG14" s="2" t="str">
        <f t="shared" si="8"/>
        <v/>
      </c>
      <c r="AH14" s="10">
        <f t="shared" si="20"/>
        <v>0</v>
      </c>
      <c r="AI14" s="12" t="s">
        <v>107</v>
      </c>
      <c r="AJ14" s="31">
        <f t="shared" si="32"/>
        <v>0</v>
      </c>
      <c r="AK14" s="2" t="str">
        <f t="shared" si="9"/>
        <v/>
      </c>
      <c r="AL14" s="10">
        <f t="shared" si="21"/>
        <v>0</v>
      </c>
      <c r="AM14" s="12" t="s">
        <v>107</v>
      </c>
      <c r="AN14" s="31">
        <f t="shared" si="33"/>
        <v>0</v>
      </c>
      <c r="AO14" s="2" t="str">
        <f t="shared" si="10"/>
        <v/>
      </c>
      <c r="AP14" s="10">
        <f t="shared" si="22"/>
        <v>0</v>
      </c>
      <c r="AQ14" s="12" t="s">
        <v>107</v>
      </c>
      <c r="AR14" s="31">
        <f t="shared" si="34"/>
        <v>0</v>
      </c>
      <c r="AS14" s="2" t="str">
        <f t="shared" si="11"/>
        <v/>
      </c>
      <c r="AT14" s="10">
        <f t="shared" si="23"/>
        <v>0</v>
      </c>
      <c r="AU14" s="12" t="s">
        <v>107</v>
      </c>
      <c r="AV14" s="31">
        <f t="shared" si="35"/>
        <v>0</v>
      </c>
      <c r="AW14" s="2" t="str">
        <f t="shared" si="12"/>
        <v/>
      </c>
      <c r="AX14" s="10">
        <f t="shared" si="24"/>
        <v>0</v>
      </c>
      <c r="AY14" s="12" t="s">
        <v>107</v>
      </c>
      <c r="AZ14" s="31">
        <f t="shared" si="36"/>
        <v>0</v>
      </c>
    </row>
    <row r="15" spans="1:52">
      <c r="B15">
        <f t="shared" si="0"/>
        <v>0</v>
      </c>
      <c r="C15" s="28"/>
      <c r="D15" s="28"/>
      <c r="E15" s="2" t="str">
        <f t="shared" si="1"/>
        <v/>
      </c>
      <c r="F15" s="10">
        <f t="shared" si="13"/>
        <v>0</v>
      </c>
      <c r="G15" s="12" t="s">
        <v>107</v>
      </c>
      <c r="H15" s="31">
        <f t="shared" si="25"/>
        <v>0</v>
      </c>
      <c r="I15" s="2" t="str">
        <f t="shared" si="2"/>
        <v/>
      </c>
      <c r="J15" s="10">
        <f t="shared" si="14"/>
        <v>0</v>
      </c>
      <c r="K15" s="12" t="s">
        <v>107</v>
      </c>
      <c r="L15" s="31">
        <f>L14</f>
        <v>0</v>
      </c>
      <c r="M15" s="2" t="str">
        <f t="shared" si="3"/>
        <v/>
      </c>
      <c r="N15" s="10">
        <f t="shared" si="15"/>
        <v>0</v>
      </c>
      <c r="O15" s="12" t="s">
        <v>107</v>
      </c>
      <c r="P15" s="31">
        <f>P14</f>
        <v>0</v>
      </c>
      <c r="Q15" s="2" t="str">
        <f t="shared" si="4"/>
        <v/>
      </c>
      <c r="R15" s="10">
        <f t="shared" si="16"/>
        <v>0</v>
      </c>
      <c r="S15" s="12" t="s">
        <v>107</v>
      </c>
      <c r="T15" s="31">
        <f>T14</f>
        <v>0</v>
      </c>
      <c r="U15" s="2" t="str">
        <f t="shared" si="5"/>
        <v/>
      </c>
      <c r="V15" s="10">
        <f t="shared" si="17"/>
        <v>0</v>
      </c>
      <c r="W15" s="12" t="s">
        <v>107</v>
      </c>
      <c r="X15" s="31">
        <f>X14</f>
        <v>0</v>
      </c>
      <c r="Y15" s="2" t="str">
        <f t="shared" si="6"/>
        <v/>
      </c>
      <c r="Z15" s="10">
        <f t="shared" si="18"/>
        <v>0</v>
      </c>
      <c r="AA15" s="12" t="s">
        <v>107</v>
      </c>
      <c r="AB15" s="31">
        <f>AB14</f>
        <v>0</v>
      </c>
      <c r="AC15" s="2" t="str">
        <f t="shared" si="7"/>
        <v/>
      </c>
      <c r="AD15" s="10">
        <f t="shared" si="19"/>
        <v>0</v>
      </c>
      <c r="AE15" s="12" t="s">
        <v>107</v>
      </c>
      <c r="AF15" s="31">
        <f>AF14</f>
        <v>0</v>
      </c>
      <c r="AG15" s="2" t="str">
        <f t="shared" si="8"/>
        <v/>
      </c>
      <c r="AH15" s="10">
        <f t="shared" si="20"/>
        <v>0</v>
      </c>
      <c r="AI15" s="12" t="s">
        <v>107</v>
      </c>
      <c r="AJ15" s="31">
        <f>AJ14</f>
        <v>0</v>
      </c>
      <c r="AK15" s="2" t="str">
        <f t="shared" si="9"/>
        <v/>
      </c>
      <c r="AL15" s="10">
        <f t="shared" si="21"/>
        <v>0</v>
      </c>
      <c r="AM15" s="12" t="s">
        <v>107</v>
      </c>
      <c r="AN15" s="31">
        <f>AN14</f>
        <v>0</v>
      </c>
      <c r="AO15" s="2" t="str">
        <f t="shared" si="10"/>
        <v/>
      </c>
      <c r="AP15" s="10">
        <f t="shared" si="22"/>
        <v>0</v>
      </c>
      <c r="AQ15" s="12" t="s">
        <v>107</v>
      </c>
      <c r="AR15" s="31">
        <f>AR14</f>
        <v>0</v>
      </c>
      <c r="AS15" s="2" t="str">
        <f t="shared" si="11"/>
        <v/>
      </c>
      <c r="AT15" s="10">
        <f t="shared" si="23"/>
        <v>0</v>
      </c>
      <c r="AU15" s="12" t="s">
        <v>107</v>
      </c>
      <c r="AV15" s="31">
        <f t="shared" si="35"/>
        <v>0</v>
      </c>
      <c r="AW15" s="2" t="str">
        <f t="shared" si="12"/>
        <v/>
      </c>
      <c r="AX15" s="10">
        <f t="shared" si="24"/>
        <v>0</v>
      </c>
      <c r="AY15" s="12" t="s">
        <v>107</v>
      </c>
      <c r="AZ15" s="31">
        <f t="shared" si="36"/>
        <v>0</v>
      </c>
    </row>
    <row r="16" spans="1:52">
      <c r="B16">
        <f t="shared" si="0"/>
        <v>0</v>
      </c>
      <c r="C16" s="28"/>
      <c r="E16" s="2" t="str">
        <f t="shared" si="1"/>
        <v/>
      </c>
      <c r="F16" s="10">
        <f t="shared" si="13"/>
        <v>0</v>
      </c>
      <c r="G16" s="12" t="s">
        <v>107</v>
      </c>
      <c r="H16" s="31">
        <f t="shared" si="25"/>
        <v>0</v>
      </c>
      <c r="I16" s="2" t="str">
        <f t="shared" si="2"/>
        <v/>
      </c>
      <c r="J16" s="10">
        <f t="shared" si="14"/>
        <v>0</v>
      </c>
      <c r="K16" s="12" t="s">
        <v>107</v>
      </c>
      <c r="L16" s="31">
        <f>L15</f>
        <v>0</v>
      </c>
      <c r="M16" s="2" t="str">
        <f t="shared" si="3"/>
        <v/>
      </c>
      <c r="N16" s="10">
        <f t="shared" si="15"/>
        <v>0</v>
      </c>
      <c r="O16" s="12" t="s">
        <v>107</v>
      </c>
      <c r="P16" s="31">
        <f>P15</f>
        <v>0</v>
      </c>
      <c r="Q16" s="2" t="str">
        <f t="shared" si="4"/>
        <v/>
      </c>
      <c r="R16" s="10">
        <f t="shared" si="16"/>
        <v>0</v>
      </c>
      <c r="S16" s="12" t="s">
        <v>107</v>
      </c>
      <c r="T16" s="31">
        <f>T15</f>
        <v>0</v>
      </c>
      <c r="U16" s="2" t="str">
        <f t="shared" si="5"/>
        <v/>
      </c>
      <c r="V16" s="10">
        <f t="shared" si="17"/>
        <v>0</v>
      </c>
      <c r="W16" s="12" t="s">
        <v>107</v>
      </c>
      <c r="X16" s="31">
        <f>X15</f>
        <v>0</v>
      </c>
      <c r="Y16" s="2" t="str">
        <f t="shared" si="6"/>
        <v/>
      </c>
      <c r="Z16" s="10">
        <f t="shared" si="18"/>
        <v>0</v>
      </c>
      <c r="AA16" s="12" t="s">
        <v>107</v>
      </c>
      <c r="AB16" s="31">
        <f>AB15</f>
        <v>0</v>
      </c>
      <c r="AC16" s="2" t="str">
        <f t="shared" si="7"/>
        <v/>
      </c>
      <c r="AD16" s="10">
        <f t="shared" si="19"/>
        <v>0</v>
      </c>
      <c r="AE16" s="12" t="s">
        <v>107</v>
      </c>
      <c r="AF16" s="31">
        <f>AF15</f>
        <v>0</v>
      </c>
      <c r="AG16" s="2" t="str">
        <f t="shared" si="8"/>
        <v/>
      </c>
      <c r="AH16" s="10">
        <f t="shared" si="20"/>
        <v>0</v>
      </c>
      <c r="AI16" s="12" t="s">
        <v>107</v>
      </c>
      <c r="AJ16" s="31">
        <f>AJ15</f>
        <v>0</v>
      </c>
      <c r="AK16" s="2" t="str">
        <f t="shared" si="9"/>
        <v/>
      </c>
      <c r="AL16" s="10">
        <f t="shared" si="21"/>
        <v>0</v>
      </c>
      <c r="AM16" s="12" t="s">
        <v>107</v>
      </c>
      <c r="AN16" s="31">
        <f>AN15</f>
        <v>0</v>
      </c>
      <c r="AO16" s="2" t="str">
        <f t="shared" si="10"/>
        <v/>
      </c>
      <c r="AP16" s="10">
        <f t="shared" si="22"/>
        <v>0</v>
      </c>
      <c r="AQ16" s="12" t="s">
        <v>107</v>
      </c>
      <c r="AR16" s="31">
        <f>AR15</f>
        <v>0</v>
      </c>
      <c r="AS16" s="2" t="str">
        <f t="shared" si="11"/>
        <v/>
      </c>
      <c r="AT16" s="10">
        <f t="shared" si="23"/>
        <v>0</v>
      </c>
      <c r="AU16" s="12" t="s">
        <v>107</v>
      </c>
      <c r="AV16" s="31">
        <f t="shared" si="35"/>
        <v>0</v>
      </c>
      <c r="AW16" s="2" t="str">
        <f t="shared" si="12"/>
        <v/>
      </c>
      <c r="AX16" s="10">
        <f t="shared" si="24"/>
        <v>0</v>
      </c>
      <c r="AY16" s="12" t="s">
        <v>107</v>
      </c>
      <c r="AZ16" s="31">
        <f t="shared" si="36"/>
        <v>0</v>
      </c>
    </row>
    <row r="17" spans="2:52">
      <c r="B17">
        <f t="shared" si="0"/>
        <v>0</v>
      </c>
      <c r="C17" s="28"/>
      <c r="E17" s="2" t="str">
        <f t="shared" si="1"/>
        <v/>
      </c>
      <c r="F17" s="10">
        <f t="shared" si="13"/>
        <v>0</v>
      </c>
      <c r="G17" s="12" t="s">
        <v>107</v>
      </c>
      <c r="H17" s="31">
        <f t="shared" si="25"/>
        <v>0</v>
      </c>
      <c r="I17" s="2" t="str">
        <f t="shared" si="2"/>
        <v/>
      </c>
      <c r="J17" s="10">
        <f t="shared" si="14"/>
        <v>0</v>
      </c>
      <c r="K17" s="12" t="s">
        <v>107</v>
      </c>
      <c r="L17" s="31">
        <f t="shared" ref="L17:L74" si="37">L16</f>
        <v>0</v>
      </c>
      <c r="M17" s="2" t="str">
        <f t="shared" si="3"/>
        <v/>
      </c>
      <c r="N17" s="10">
        <f t="shared" si="15"/>
        <v>0</v>
      </c>
      <c r="O17" s="12" t="s">
        <v>107</v>
      </c>
      <c r="P17" s="31">
        <f t="shared" ref="P17:P74" si="38">P16</f>
        <v>0</v>
      </c>
      <c r="Q17" s="2" t="str">
        <f t="shared" si="4"/>
        <v/>
      </c>
      <c r="R17" s="10">
        <f t="shared" si="16"/>
        <v>0</v>
      </c>
      <c r="S17" s="12" t="s">
        <v>107</v>
      </c>
      <c r="T17" s="31">
        <f t="shared" ref="T17:T74" si="39">T16</f>
        <v>0</v>
      </c>
      <c r="U17" s="2" t="str">
        <f t="shared" si="5"/>
        <v/>
      </c>
      <c r="V17" s="10">
        <f t="shared" si="17"/>
        <v>0</v>
      </c>
      <c r="W17" s="12" t="s">
        <v>107</v>
      </c>
      <c r="X17" s="31">
        <f t="shared" ref="X17:X74" si="40">X16</f>
        <v>0</v>
      </c>
      <c r="Y17" s="2" t="str">
        <f t="shared" si="6"/>
        <v/>
      </c>
      <c r="Z17" s="10">
        <f t="shared" si="18"/>
        <v>0</v>
      </c>
      <c r="AA17" s="12" t="s">
        <v>107</v>
      </c>
      <c r="AB17" s="31">
        <f t="shared" ref="AB17:AB74" si="41">AB16</f>
        <v>0</v>
      </c>
      <c r="AC17" s="2" t="str">
        <f t="shared" si="7"/>
        <v/>
      </c>
      <c r="AD17" s="10">
        <f t="shared" si="19"/>
        <v>0</v>
      </c>
      <c r="AE17" s="12" t="s">
        <v>107</v>
      </c>
      <c r="AF17" s="31">
        <f t="shared" ref="AF17:AF74" si="42">AF16</f>
        <v>0</v>
      </c>
      <c r="AG17" s="2" t="str">
        <f t="shared" si="8"/>
        <v/>
      </c>
      <c r="AH17" s="10">
        <f t="shared" si="20"/>
        <v>0</v>
      </c>
      <c r="AI17" s="12" t="s">
        <v>107</v>
      </c>
      <c r="AJ17" s="31">
        <f t="shared" ref="AJ17:AJ74" si="43">AJ16</f>
        <v>0</v>
      </c>
      <c r="AK17" s="2" t="str">
        <f t="shared" si="9"/>
        <v/>
      </c>
      <c r="AL17" s="10">
        <f t="shared" si="21"/>
        <v>0</v>
      </c>
      <c r="AM17" s="12" t="s">
        <v>107</v>
      </c>
      <c r="AN17" s="31">
        <f t="shared" ref="AN17:AN74" si="44">AN16</f>
        <v>0</v>
      </c>
      <c r="AO17" s="2" t="str">
        <f t="shared" si="10"/>
        <v/>
      </c>
      <c r="AP17" s="10">
        <f t="shared" si="22"/>
        <v>0</v>
      </c>
      <c r="AQ17" s="12" t="s">
        <v>107</v>
      </c>
      <c r="AR17" s="31">
        <f t="shared" ref="AR17:AR74" si="45">AR16</f>
        <v>0</v>
      </c>
      <c r="AS17" s="2" t="str">
        <f t="shared" si="11"/>
        <v/>
      </c>
      <c r="AT17" s="10">
        <f t="shared" si="23"/>
        <v>0</v>
      </c>
      <c r="AU17" s="12" t="s">
        <v>107</v>
      </c>
      <c r="AV17" s="31">
        <f t="shared" si="35"/>
        <v>0</v>
      </c>
      <c r="AW17" s="2" t="str">
        <f t="shared" si="12"/>
        <v/>
      </c>
      <c r="AX17" s="10">
        <f t="shared" si="24"/>
        <v>0</v>
      </c>
      <c r="AY17" s="12" t="s">
        <v>107</v>
      </c>
      <c r="AZ17" s="31">
        <f t="shared" si="36"/>
        <v>0</v>
      </c>
    </row>
    <row r="18" spans="2:52">
      <c r="B18">
        <f t="shared" si="0"/>
        <v>0</v>
      </c>
      <c r="C18" s="28"/>
      <c r="E18" s="2" t="str">
        <f t="shared" si="1"/>
        <v/>
      </c>
      <c r="F18" s="10">
        <f t="shared" si="13"/>
        <v>0</v>
      </c>
      <c r="G18" s="12" t="s">
        <v>107</v>
      </c>
      <c r="H18" s="31">
        <f t="shared" si="25"/>
        <v>0</v>
      </c>
      <c r="I18" s="2" t="str">
        <f t="shared" si="2"/>
        <v/>
      </c>
      <c r="J18" s="10">
        <f t="shared" si="14"/>
        <v>0</v>
      </c>
      <c r="K18" s="12" t="s">
        <v>107</v>
      </c>
      <c r="L18" s="31">
        <f t="shared" si="37"/>
        <v>0</v>
      </c>
      <c r="M18" s="2" t="str">
        <f t="shared" si="3"/>
        <v/>
      </c>
      <c r="N18" s="10">
        <f t="shared" si="15"/>
        <v>0</v>
      </c>
      <c r="O18" s="12" t="s">
        <v>107</v>
      </c>
      <c r="P18" s="31">
        <f t="shared" si="38"/>
        <v>0</v>
      </c>
      <c r="Q18" s="2" t="str">
        <f t="shared" si="4"/>
        <v/>
      </c>
      <c r="R18" s="10">
        <f t="shared" si="16"/>
        <v>0</v>
      </c>
      <c r="S18" s="12" t="s">
        <v>107</v>
      </c>
      <c r="T18" s="31">
        <f t="shared" si="39"/>
        <v>0</v>
      </c>
      <c r="U18" s="2" t="str">
        <f t="shared" si="5"/>
        <v/>
      </c>
      <c r="V18" s="10">
        <f t="shared" si="17"/>
        <v>0</v>
      </c>
      <c r="W18" s="12" t="s">
        <v>107</v>
      </c>
      <c r="X18" s="31">
        <f t="shared" si="40"/>
        <v>0</v>
      </c>
      <c r="Y18" s="2" t="str">
        <f t="shared" si="6"/>
        <v/>
      </c>
      <c r="Z18" s="10">
        <f t="shared" si="18"/>
        <v>0</v>
      </c>
      <c r="AA18" s="12" t="s">
        <v>107</v>
      </c>
      <c r="AB18" s="31">
        <f t="shared" si="41"/>
        <v>0</v>
      </c>
      <c r="AC18" s="2" t="str">
        <f t="shared" si="7"/>
        <v/>
      </c>
      <c r="AD18" s="10">
        <f t="shared" si="19"/>
        <v>0</v>
      </c>
      <c r="AE18" s="12" t="s">
        <v>107</v>
      </c>
      <c r="AF18" s="31">
        <f t="shared" si="42"/>
        <v>0</v>
      </c>
      <c r="AG18" s="2" t="str">
        <f t="shared" si="8"/>
        <v/>
      </c>
      <c r="AH18" s="10">
        <f t="shared" si="20"/>
        <v>0</v>
      </c>
      <c r="AI18" s="12" t="s">
        <v>107</v>
      </c>
      <c r="AJ18" s="31">
        <f t="shared" si="43"/>
        <v>0</v>
      </c>
      <c r="AK18" s="2" t="str">
        <f t="shared" si="9"/>
        <v/>
      </c>
      <c r="AL18" s="10">
        <f t="shared" si="21"/>
        <v>0</v>
      </c>
      <c r="AM18" s="12" t="s">
        <v>107</v>
      </c>
      <c r="AN18" s="31">
        <f t="shared" si="44"/>
        <v>0</v>
      </c>
      <c r="AO18" s="2" t="str">
        <f t="shared" si="10"/>
        <v/>
      </c>
      <c r="AP18" s="10">
        <f t="shared" si="22"/>
        <v>0</v>
      </c>
      <c r="AQ18" s="12" t="s">
        <v>107</v>
      </c>
      <c r="AR18" s="31">
        <f t="shared" si="45"/>
        <v>0</v>
      </c>
      <c r="AS18" s="2" t="str">
        <f t="shared" si="11"/>
        <v/>
      </c>
      <c r="AT18" s="10">
        <f t="shared" si="23"/>
        <v>0</v>
      </c>
      <c r="AU18" s="12" t="s">
        <v>107</v>
      </c>
      <c r="AV18" s="31">
        <f t="shared" si="35"/>
        <v>0</v>
      </c>
      <c r="AW18" s="2" t="str">
        <f t="shared" si="12"/>
        <v/>
      </c>
      <c r="AX18" s="10">
        <f t="shared" si="24"/>
        <v>0</v>
      </c>
      <c r="AY18" s="12" t="s">
        <v>107</v>
      </c>
      <c r="AZ18" s="31">
        <f t="shared" si="36"/>
        <v>0</v>
      </c>
    </row>
    <row r="19" spans="2:52">
      <c r="B19">
        <f t="shared" si="0"/>
        <v>0</v>
      </c>
      <c r="C19" s="28"/>
      <c r="D19" s="29"/>
      <c r="E19" s="2" t="str">
        <f t="shared" si="1"/>
        <v/>
      </c>
      <c r="F19" s="10">
        <f t="shared" si="13"/>
        <v>0</v>
      </c>
      <c r="G19" s="12" t="s">
        <v>107</v>
      </c>
      <c r="H19" s="31">
        <f t="shared" si="25"/>
        <v>0</v>
      </c>
      <c r="I19" s="2" t="str">
        <f t="shared" si="2"/>
        <v/>
      </c>
      <c r="J19" s="10">
        <f t="shared" si="14"/>
        <v>0</v>
      </c>
      <c r="K19" s="12" t="s">
        <v>107</v>
      </c>
      <c r="L19" s="31">
        <f t="shared" si="37"/>
        <v>0</v>
      </c>
      <c r="M19" s="2" t="str">
        <f t="shared" si="3"/>
        <v/>
      </c>
      <c r="N19" s="10">
        <f t="shared" si="15"/>
        <v>0</v>
      </c>
      <c r="O19" s="12" t="s">
        <v>107</v>
      </c>
      <c r="P19" s="31">
        <f t="shared" si="38"/>
        <v>0</v>
      </c>
      <c r="Q19" s="2" t="str">
        <f t="shared" si="4"/>
        <v/>
      </c>
      <c r="R19" s="10">
        <f t="shared" si="16"/>
        <v>0</v>
      </c>
      <c r="S19" s="12" t="s">
        <v>107</v>
      </c>
      <c r="T19" s="31">
        <f t="shared" si="39"/>
        <v>0</v>
      </c>
      <c r="U19" s="2" t="str">
        <f t="shared" si="5"/>
        <v/>
      </c>
      <c r="V19" s="10">
        <f t="shared" si="17"/>
        <v>0</v>
      </c>
      <c r="W19" s="12" t="s">
        <v>107</v>
      </c>
      <c r="X19" s="31">
        <f t="shared" si="40"/>
        <v>0</v>
      </c>
      <c r="Y19" s="2" t="str">
        <f t="shared" si="6"/>
        <v/>
      </c>
      <c r="Z19" s="10">
        <f t="shared" si="18"/>
        <v>0</v>
      </c>
      <c r="AA19" s="12" t="s">
        <v>107</v>
      </c>
      <c r="AB19" s="31">
        <f t="shared" si="41"/>
        <v>0</v>
      </c>
      <c r="AC19" s="2" t="str">
        <f t="shared" si="7"/>
        <v/>
      </c>
      <c r="AD19" s="10">
        <f t="shared" si="19"/>
        <v>0</v>
      </c>
      <c r="AE19" s="12" t="s">
        <v>107</v>
      </c>
      <c r="AF19" s="31">
        <f t="shared" si="42"/>
        <v>0</v>
      </c>
      <c r="AG19" s="2" t="str">
        <f t="shared" si="8"/>
        <v/>
      </c>
      <c r="AH19" s="10">
        <f t="shared" si="20"/>
        <v>0</v>
      </c>
      <c r="AI19" s="12" t="s">
        <v>107</v>
      </c>
      <c r="AJ19" s="31">
        <f t="shared" si="43"/>
        <v>0</v>
      </c>
      <c r="AK19" s="2" t="str">
        <f t="shared" si="9"/>
        <v/>
      </c>
      <c r="AL19" s="10">
        <f t="shared" si="21"/>
        <v>0</v>
      </c>
      <c r="AM19" s="12" t="s">
        <v>107</v>
      </c>
      <c r="AN19" s="31">
        <f t="shared" si="44"/>
        <v>0</v>
      </c>
      <c r="AO19" s="2" t="str">
        <f t="shared" si="10"/>
        <v/>
      </c>
      <c r="AP19" s="10">
        <f t="shared" si="22"/>
        <v>0</v>
      </c>
      <c r="AQ19" s="12" t="s">
        <v>107</v>
      </c>
      <c r="AR19" s="31">
        <f t="shared" si="45"/>
        <v>0</v>
      </c>
      <c r="AS19" s="2" t="str">
        <f t="shared" si="11"/>
        <v/>
      </c>
      <c r="AT19" s="10">
        <f t="shared" si="23"/>
        <v>0</v>
      </c>
      <c r="AU19" s="12" t="s">
        <v>107</v>
      </c>
      <c r="AV19" s="31">
        <f t="shared" si="35"/>
        <v>0</v>
      </c>
      <c r="AW19" s="2" t="str">
        <f t="shared" si="12"/>
        <v/>
      </c>
      <c r="AX19" s="10">
        <f t="shared" si="24"/>
        <v>0</v>
      </c>
      <c r="AY19" s="12" t="s">
        <v>107</v>
      </c>
      <c r="AZ19" s="31">
        <f t="shared" si="36"/>
        <v>0</v>
      </c>
    </row>
    <row r="20" spans="2:52">
      <c r="B20">
        <f t="shared" si="0"/>
        <v>0</v>
      </c>
      <c r="C20" s="28"/>
      <c r="D20" s="29"/>
      <c r="E20" s="2" t="str">
        <f t="shared" si="1"/>
        <v/>
      </c>
      <c r="F20" s="10">
        <f t="shared" si="13"/>
        <v>0</v>
      </c>
      <c r="G20" s="12" t="s">
        <v>107</v>
      </c>
      <c r="H20" s="31">
        <f t="shared" si="25"/>
        <v>0</v>
      </c>
      <c r="I20" s="2" t="str">
        <f t="shared" si="2"/>
        <v/>
      </c>
      <c r="J20" s="10">
        <f t="shared" si="14"/>
        <v>0</v>
      </c>
      <c r="K20" s="12" t="s">
        <v>107</v>
      </c>
      <c r="L20" s="31">
        <f t="shared" si="37"/>
        <v>0</v>
      </c>
      <c r="M20" s="2" t="str">
        <f t="shared" si="3"/>
        <v/>
      </c>
      <c r="N20" s="10">
        <f t="shared" si="15"/>
        <v>0</v>
      </c>
      <c r="O20" s="12" t="s">
        <v>107</v>
      </c>
      <c r="P20" s="31">
        <f t="shared" si="38"/>
        <v>0</v>
      </c>
      <c r="Q20" s="2" t="str">
        <f t="shared" si="4"/>
        <v/>
      </c>
      <c r="R20" s="10">
        <f t="shared" si="16"/>
        <v>0</v>
      </c>
      <c r="S20" s="12" t="s">
        <v>107</v>
      </c>
      <c r="T20" s="31">
        <f t="shared" si="39"/>
        <v>0</v>
      </c>
      <c r="U20" s="2" t="str">
        <f t="shared" si="5"/>
        <v/>
      </c>
      <c r="V20" s="10">
        <f t="shared" si="17"/>
        <v>0</v>
      </c>
      <c r="W20" s="12" t="s">
        <v>107</v>
      </c>
      <c r="X20" s="31">
        <f t="shared" si="40"/>
        <v>0</v>
      </c>
      <c r="Y20" s="2" t="str">
        <f t="shared" si="6"/>
        <v/>
      </c>
      <c r="Z20" s="10">
        <f t="shared" si="18"/>
        <v>0</v>
      </c>
      <c r="AA20" s="12" t="s">
        <v>107</v>
      </c>
      <c r="AB20" s="31">
        <f t="shared" si="41"/>
        <v>0</v>
      </c>
      <c r="AC20" s="2" t="str">
        <f t="shared" si="7"/>
        <v/>
      </c>
      <c r="AD20" s="10">
        <f t="shared" si="19"/>
        <v>0</v>
      </c>
      <c r="AE20" s="12" t="s">
        <v>107</v>
      </c>
      <c r="AF20" s="31">
        <f t="shared" si="42"/>
        <v>0</v>
      </c>
      <c r="AG20" s="2" t="str">
        <f t="shared" si="8"/>
        <v/>
      </c>
      <c r="AH20" s="10">
        <f t="shared" si="20"/>
        <v>0</v>
      </c>
      <c r="AI20" s="12" t="s">
        <v>107</v>
      </c>
      <c r="AJ20" s="31">
        <f t="shared" si="43"/>
        <v>0</v>
      </c>
      <c r="AK20" s="2" t="str">
        <f t="shared" si="9"/>
        <v/>
      </c>
      <c r="AL20" s="10">
        <f t="shared" si="21"/>
        <v>0</v>
      </c>
      <c r="AM20" s="12" t="s">
        <v>107</v>
      </c>
      <c r="AN20" s="31">
        <f t="shared" si="44"/>
        <v>0</v>
      </c>
      <c r="AO20" s="2" t="str">
        <f t="shared" si="10"/>
        <v/>
      </c>
      <c r="AP20" s="10">
        <f t="shared" si="22"/>
        <v>0</v>
      </c>
      <c r="AQ20" s="12" t="s">
        <v>107</v>
      </c>
      <c r="AR20" s="31">
        <f t="shared" si="45"/>
        <v>0</v>
      </c>
      <c r="AS20" s="2" t="str">
        <f t="shared" si="11"/>
        <v/>
      </c>
      <c r="AT20" s="10">
        <f t="shared" si="23"/>
        <v>0</v>
      </c>
      <c r="AU20" s="12" t="s">
        <v>107</v>
      </c>
      <c r="AV20" s="31">
        <f t="shared" si="35"/>
        <v>0</v>
      </c>
      <c r="AW20" s="2" t="str">
        <f t="shared" si="12"/>
        <v/>
      </c>
      <c r="AX20" s="10">
        <f t="shared" si="24"/>
        <v>0</v>
      </c>
      <c r="AY20" s="12" t="s">
        <v>107</v>
      </c>
      <c r="AZ20" s="31">
        <f t="shared" si="36"/>
        <v>0</v>
      </c>
    </row>
    <row r="21" spans="2:52">
      <c r="B21">
        <f t="shared" si="0"/>
        <v>0</v>
      </c>
      <c r="C21" s="28"/>
      <c r="D21" s="28"/>
      <c r="E21" s="2" t="str">
        <f t="shared" si="1"/>
        <v/>
      </c>
      <c r="F21" s="10">
        <f t="shared" si="13"/>
        <v>0</v>
      </c>
      <c r="G21" s="12" t="s">
        <v>107</v>
      </c>
      <c r="H21" s="31">
        <f t="shared" si="25"/>
        <v>0</v>
      </c>
      <c r="I21" s="2" t="str">
        <f t="shared" si="2"/>
        <v/>
      </c>
      <c r="J21" s="10">
        <f t="shared" si="14"/>
        <v>0</v>
      </c>
      <c r="K21" s="12" t="s">
        <v>107</v>
      </c>
      <c r="L21" s="31">
        <f t="shared" si="37"/>
        <v>0</v>
      </c>
      <c r="M21" s="2" t="str">
        <f t="shared" si="3"/>
        <v/>
      </c>
      <c r="N21" s="10">
        <f t="shared" si="15"/>
        <v>0</v>
      </c>
      <c r="O21" s="12" t="s">
        <v>107</v>
      </c>
      <c r="P21" s="31">
        <f t="shared" si="38"/>
        <v>0</v>
      </c>
      <c r="Q21" s="2" t="str">
        <f t="shared" si="4"/>
        <v/>
      </c>
      <c r="R21" s="10">
        <f t="shared" si="16"/>
        <v>0</v>
      </c>
      <c r="S21" s="12" t="s">
        <v>107</v>
      </c>
      <c r="T21" s="31">
        <f t="shared" si="39"/>
        <v>0</v>
      </c>
      <c r="U21" s="2" t="str">
        <f t="shared" si="5"/>
        <v/>
      </c>
      <c r="V21" s="10">
        <f t="shared" si="17"/>
        <v>0</v>
      </c>
      <c r="W21" s="12" t="s">
        <v>107</v>
      </c>
      <c r="X21" s="31">
        <f t="shared" si="40"/>
        <v>0</v>
      </c>
      <c r="Y21" s="2" t="str">
        <f t="shared" si="6"/>
        <v/>
      </c>
      <c r="Z21" s="10">
        <f t="shared" si="18"/>
        <v>0</v>
      </c>
      <c r="AA21" s="12" t="s">
        <v>107</v>
      </c>
      <c r="AB21" s="31">
        <f t="shared" si="41"/>
        <v>0</v>
      </c>
      <c r="AC21" s="2" t="str">
        <f t="shared" si="7"/>
        <v/>
      </c>
      <c r="AD21" s="10">
        <f t="shared" si="19"/>
        <v>0</v>
      </c>
      <c r="AE21" s="12" t="s">
        <v>107</v>
      </c>
      <c r="AF21" s="31">
        <f t="shared" si="42"/>
        <v>0</v>
      </c>
      <c r="AG21" s="2" t="str">
        <f t="shared" si="8"/>
        <v/>
      </c>
      <c r="AH21" s="10">
        <f t="shared" si="20"/>
        <v>0</v>
      </c>
      <c r="AI21" s="12" t="s">
        <v>107</v>
      </c>
      <c r="AJ21" s="31">
        <f t="shared" si="43"/>
        <v>0</v>
      </c>
      <c r="AK21" s="2" t="str">
        <f t="shared" si="9"/>
        <v/>
      </c>
      <c r="AL21" s="10">
        <f t="shared" si="21"/>
        <v>0</v>
      </c>
      <c r="AM21" s="12" t="s">
        <v>107</v>
      </c>
      <c r="AN21" s="31">
        <f t="shared" si="44"/>
        <v>0</v>
      </c>
      <c r="AO21" s="2" t="str">
        <f t="shared" si="10"/>
        <v/>
      </c>
      <c r="AP21" s="10">
        <f t="shared" si="22"/>
        <v>0</v>
      </c>
      <c r="AQ21" s="12" t="s">
        <v>107</v>
      </c>
      <c r="AR21" s="31">
        <f t="shared" si="45"/>
        <v>0</v>
      </c>
      <c r="AS21" s="2" t="str">
        <f t="shared" si="11"/>
        <v/>
      </c>
      <c r="AT21" s="10">
        <f t="shared" si="23"/>
        <v>0</v>
      </c>
      <c r="AU21" s="12" t="s">
        <v>107</v>
      </c>
      <c r="AV21" s="31">
        <f t="shared" si="35"/>
        <v>0</v>
      </c>
      <c r="AW21" s="2" t="str">
        <f t="shared" si="12"/>
        <v/>
      </c>
      <c r="AX21" s="10">
        <f t="shared" si="24"/>
        <v>0</v>
      </c>
      <c r="AY21" s="12" t="s">
        <v>107</v>
      </c>
      <c r="AZ21" s="31">
        <f t="shared" si="36"/>
        <v>0</v>
      </c>
    </row>
    <row r="22" spans="2:52">
      <c r="B22">
        <f t="shared" si="0"/>
        <v>0</v>
      </c>
      <c r="C22" s="28"/>
      <c r="D22" s="29"/>
      <c r="E22" s="2" t="str">
        <f t="shared" si="1"/>
        <v/>
      </c>
      <c r="F22" s="10">
        <f t="shared" si="13"/>
        <v>0</v>
      </c>
      <c r="G22" s="12" t="s">
        <v>107</v>
      </c>
      <c r="H22" s="31">
        <f t="shared" si="25"/>
        <v>0</v>
      </c>
      <c r="I22" s="2" t="str">
        <f t="shared" si="2"/>
        <v/>
      </c>
      <c r="J22" s="10">
        <f t="shared" si="14"/>
        <v>0</v>
      </c>
      <c r="K22" s="12" t="s">
        <v>107</v>
      </c>
      <c r="L22" s="31">
        <f t="shared" si="37"/>
        <v>0</v>
      </c>
      <c r="M22" s="2" t="str">
        <f t="shared" si="3"/>
        <v/>
      </c>
      <c r="N22" s="10">
        <f t="shared" si="15"/>
        <v>0</v>
      </c>
      <c r="O22" s="12" t="s">
        <v>107</v>
      </c>
      <c r="P22" s="31">
        <f t="shared" si="38"/>
        <v>0</v>
      </c>
      <c r="Q22" s="2" t="str">
        <f t="shared" si="4"/>
        <v/>
      </c>
      <c r="R22" s="10">
        <f t="shared" si="16"/>
        <v>0</v>
      </c>
      <c r="S22" s="12" t="s">
        <v>107</v>
      </c>
      <c r="T22" s="31">
        <f t="shared" si="39"/>
        <v>0</v>
      </c>
      <c r="U22" s="2" t="str">
        <f t="shared" si="5"/>
        <v/>
      </c>
      <c r="V22" s="10">
        <f t="shared" si="17"/>
        <v>0</v>
      </c>
      <c r="W22" s="12" t="s">
        <v>107</v>
      </c>
      <c r="X22" s="31">
        <f t="shared" si="40"/>
        <v>0</v>
      </c>
      <c r="Y22" s="2" t="str">
        <f t="shared" si="6"/>
        <v/>
      </c>
      <c r="Z22" s="10">
        <f t="shared" si="18"/>
        <v>0</v>
      </c>
      <c r="AA22" s="12" t="s">
        <v>107</v>
      </c>
      <c r="AB22" s="31">
        <f t="shared" si="41"/>
        <v>0</v>
      </c>
      <c r="AC22" s="2" t="str">
        <f t="shared" si="7"/>
        <v/>
      </c>
      <c r="AD22" s="10">
        <f t="shared" si="19"/>
        <v>0</v>
      </c>
      <c r="AE22" s="12" t="s">
        <v>107</v>
      </c>
      <c r="AF22" s="31">
        <f t="shared" si="42"/>
        <v>0</v>
      </c>
      <c r="AG22" s="2" t="str">
        <f t="shared" si="8"/>
        <v/>
      </c>
      <c r="AH22" s="10">
        <f t="shared" si="20"/>
        <v>0</v>
      </c>
      <c r="AI22" s="12" t="s">
        <v>107</v>
      </c>
      <c r="AJ22" s="31">
        <f t="shared" si="43"/>
        <v>0</v>
      </c>
      <c r="AK22" s="2" t="str">
        <f t="shared" si="9"/>
        <v/>
      </c>
      <c r="AL22" s="10">
        <f t="shared" si="21"/>
        <v>0</v>
      </c>
      <c r="AM22" s="12" t="s">
        <v>107</v>
      </c>
      <c r="AN22" s="31">
        <f t="shared" si="44"/>
        <v>0</v>
      </c>
      <c r="AO22" s="2" t="str">
        <f t="shared" si="10"/>
        <v/>
      </c>
      <c r="AP22" s="10">
        <f t="shared" si="22"/>
        <v>0</v>
      </c>
      <c r="AQ22" s="12" t="s">
        <v>107</v>
      </c>
      <c r="AR22" s="31">
        <f t="shared" si="45"/>
        <v>0</v>
      </c>
      <c r="AS22" s="2" t="str">
        <f t="shared" si="11"/>
        <v/>
      </c>
      <c r="AT22" s="10">
        <f t="shared" si="23"/>
        <v>0</v>
      </c>
      <c r="AU22" s="12" t="s">
        <v>107</v>
      </c>
      <c r="AV22" s="31">
        <f t="shared" si="35"/>
        <v>0</v>
      </c>
      <c r="AW22" s="2" t="str">
        <f t="shared" si="12"/>
        <v/>
      </c>
      <c r="AX22" s="10">
        <f t="shared" si="24"/>
        <v>0</v>
      </c>
      <c r="AY22" s="12" t="s">
        <v>107</v>
      </c>
      <c r="AZ22" s="31">
        <f t="shared" si="36"/>
        <v>0</v>
      </c>
    </row>
    <row r="23" spans="2:52">
      <c r="B23">
        <f t="shared" si="0"/>
        <v>0</v>
      </c>
      <c r="C23" s="28"/>
      <c r="D23" s="29"/>
      <c r="E23" s="2" t="str">
        <f t="shared" si="1"/>
        <v/>
      </c>
      <c r="F23" s="10">
        <f t="shared" si="13"/>
        <v>0</v>
      </c>
      <c r="G23" s="12" t="s">
        <v>107</v>
      </c>
      <c r="H23" s="31">
        <f t="shared" si="25"/>
        <v>0</v>
      </c>
      <c r="I23" s="2" t="str">
        <f t="shared" si="2"/>
        <v/>
      </c>
      <c r="J23" s="10">
        <f t="shared" si="14"/>
        <v>0</v>
      </c>
      <c r="K23" s="12" t="s">
        <v>107</v>
      </c>
      <c r="L23" s="31">
        <f t="shared" si="37"/>
        <v>0</v>
      </c>
      <c r="M23" s="2" t="str">
        <f t="shared" si="3"/>
        <v/>
      </c>
      <c r="N23" s="10">
        <f t="shared" si="15"/>
        <v>0</v>
      </c>
      <c r="O23" s="12" t="s">
        <v>107</v>
      </c>
      <c r="P23" s="31">
        <f t="shared" si="38"/>
        <v>0</v>
      </c>
      <c r="Q23" s="2" t="str">
        <f t="shared" si="4"/>
        <v/>
      </c>
      <c r="R23" s="10">
        <f t="shared" si="16"/>
        <v>0</v>
      </c>
      <c r="S23" s="12" t="s">
        <v>107</v>
      </c>
      <c r="T23" s="31">
        <f t="shared" si="39"/>
        <v>0</v>
      </c>
      <c r="U23" s="2" t="str">
        <f t="shared" si="5"/>
        <v/>
      </c>
      <c r="V23" s="10">
        <f t="shared" si="17"/>
        <v>0</v>
      </c>
      <c r="W23" s="12" t="s">
        <v>107</v>
      </c>
      <c r="X23" s="31">
        <f t="shared" si="40"/>
        <v>0</v>
      </c>
      <c r="Y23" s="2" t="str">
        <f t="shared" si="6"/>
        <v/>
      </c>
      <c r="Z23" s="10">
        <f t="shared" si="18"/>
        <v>0</v>
      </c>
      <c r="AA23" s="12" t="s">
        <v>107</v>
      </c>
      <c r="AB23" s="31">
        <f t="shared" si="41"/>
        <v>0</v>
      </c>
      <c r="AC23" s="2" t="str">
        <f t="shared" si="7"/>
        <v/>
      </c>
      <c r="AD23" s="10">
        <f t="shared" si="19"/>
        <v>0</v>
      </c>
      <c r="AE23" s="12" t="s">
        <v>107</v>
      </c>
      <c r="AF23" s="31">
        <f t="shared" si="42"/>
        <v>0</v>
      </c>
      <c r="AG23" s="2" t="str">
        <f t="shared" si="8"/>
        <v/>
      </c>
      <c r="AH23" s="10">
        <f t="shared" si="20"/>
        <v>0</v>
      </c>
      <c r="AI23" s="12" t="s">
        <v>107</v>
      </c>
      <c r="AJ23" s="31">
        <f t="shared" si="43"/>
        <v>0</v>
      </c>
      <c r="AK23" s="2" t="str">
        <f t="shared" si="9"/>
        <v/>
      </c>
      <c r="AL23" s="10">
        <f t="shared" si="21"/>
        <v>0</v>
      </c>
      <c r="AM23" s="12" t="s">
        <v>107</v>
      </c>
      <c r="AN23" s="31">
        <f t="shared" si="44"/>
        <v>0</v>
      </c>
      <c r="AO23" s="2" t="str">
        <f t="shared" si="10"/>
        <v/>
      </c>
      <c r="AP23" s="10">
        <f t="shared" si="22"/>
        <v>0</v>
      </c>
      <c r="AQ23" s="12" t="s">
        <v>107</v>
      </c>
      <c r="AR23" s="31">
        <f t="shared" si="45"/>
        <v>0</v>
      </c>
      <c r="AS23" s="2" t="str">
        <f t="shared" si="11"/>
        <v/>
      </c>
      <c r="AT23" s="10">
        <f t="shared" si="23"/>
        <v>0</v>
      </c>
      <c r="AU23" s="12" t="s">
        <v>107</v>
      </c>
      <c r="AV23" s="31">
        <f t="shared" si="35"/>
        <v>0</v>
      </c>
      <c r="AW23" s="2" t="str">
        <f t="shared" si="12"/>
        <v/>
      </c>
      <c r="AX23" s="10">
        <f t="shared" si="24"/>
        <v>0</v>
      </c>
      <c r="AY23" s="12" t="s">
        <v>107</v>
      </c>
      <c r="AZ23" s="31">
        <f t="shared" si="36"/>
        <v>0</v>
      </c>
    </row>
    <row r="24" spans="2:52">
      <c r="B24">
        <f t="shared" si="0"/>
        <v>0</v>
      </c>
      <c r="C24" s="28"/>
      <c r="D24" s="29"/>
      <c r="E24" s="2" t="str">
        <f t="shared" si="1"/>
        <v/>
      </c>
      <c r="F24" s="10">
        <f t="shared" si="13"/>
        <v>0</v>
      </c>
      <c r="G24" s="12" t="s">
        <v>107</v>
      </c>
      <c r="H24" s="31">
        <f t="shared" si="25"/>
        <v>0</v>
      </c>
      <c r="I24" s="2" t="str">
        <f t="shared" si="2"/>
        <v/>
      </c>
      <c r="J24" s="10">
        <f t="shared" si="14"/>
        <v>0</v>
      </c>
      <c r="K24" s="12" t="s">
        <v>107</v>
      </c>
      <c r="L24" s="31">
        <f t="shared" si="37"/>
        <v>0</v>
      </c>
      <c r="M24" s="2" t="str">
        <f t="shared" si="3"/>
        <v/>
      </c>
      <c r="N24" s="10">
        <f t="shared" si="15"/>
        <v>0</v>
      </c>
      <c r="O24" s="12" t="s">
        <v>107</v>
      </c>
      <c r="P24" s="31">
        <f t="shared" si="38"/>
        <v>0</v>
      </c>
      <c r="Q24" s="2" t="str">
        <f t="shared" si="4"/>
        <v/>
      </c>
      <c r="R24" s="10">
        <f t="shared" si="16"/>
        <v>0</v>
      </c>
      <c r="S24" s="12" t="s">
        <v>107</v>
      </c>
      <c r="T24" s="31">
        <f t="shared" si="39"/>
        <v>0</v>
      </c>
      <c r="U24" s="2" t="str">
        <f t="shared" si="5"/>
        <v/>
      </c>
      <c r="V24" s="10">
        <f t="shared" si="17"/>
        <v>0</v>
      </c>
      <c r="W24" s="12" t="s">
        <v>107</v>
      </c>
      <c r="X24" s="31">
        <f t="shared" si="40"/>
        <v>0</v>
      </c>
      <c r="Y24" s="2" t="str">
        <f t="shared" si="6"/>
        <v/>
      </c>
      <c r="Z24" s="10">
        <f t="shared" si="18"/>
        <v>0</v>
      </c>
      <c r="AA24" s="12" t="s">
        <v>107</v>
      </c>
      <c r="AB24" s="31">
        <f t="shared" si="41"/>
        <v>0</v>
      </c>
      <c r="AC24" s="2" t="str">
        <f t="shared" si="7"/>
        <v/>
      </c>
      <c r="AD24" s="10">
        <f t="shared" si="19"/>
        <v>0</v>
      </c>
      <c r="AE24" s="12" t="s">
        <v>107</v>
      </c>
      <c r="AF24" s="31">
        <f t="shared" si="42"/>
        <v>0</v>
      </c>
      <c r="AG24" s="2" t="str">
        <f t="shared" si="8"/>
        <v/>
      </c>
      <c r="AH24" s="10">
        <f t="shared" si="20"/>
        <v>0</v>
      </c>
      <c r="AI24" s="12" t="s">
        <v>107</v>
      </c>
      <c r="AJ24" s="31">
        <f t="shared" si="43"/>
        <v>0</v>
      </c>
      <c r="AK24" s="2" t="str">
        <f t="shared" si="9"/>
        <v/>
      </c>
      <c r="AL24" s="10">
        <f t="shared" si="21"/>
        <v>0</v>
      </c>
      <c r="AM24" s="12" t="s">
        <v>107</v>
      </c>
      <c r="AN24" s="31">
        <f t="shared" si="44"/>
        <v>0</v>
      </c>
      <c r="AO24" s="2" t="str">
        <f t="shared" si="10"/>
        <v/>
      </c>
      <c r="AP24" s="10">
        <f t="shared" si="22"/>
        <v>0</v>
      </c>
      <c r="AQ24" s="12" t="s">
        <v>107</v>
      </c>
      <c r="AR24" s="31">
        <f t="shared" si="45"/>
        <v>0</v>
      </c>
      <c r="AS24" s="2" t="str">
        <f t="shared" si="11"/>
        <v/>
      </c>
      <c r="AT24" s="10">
        <f t="shared" si="23"/>
        <v>0</v>
      </c>
      <c r="AU24" s="12" t="s">
        <v>107</v>
      </c>
      <c r="AV24" s="31">
        <f t="shared" si="35"/>
        <v>0</v>
      </c>
      <c r="AW24" s="2" t="str">
        <f t="shared" si="12"/>
        <v/>
      </c>
      <c r="AX24" s="10">
        <f t="shared" si="24"/>
        <v>0</v>
      </c>
      <c r="AY24" s="12" t="s">
        <v>107</v>
      </c>
      <c r="AZ24" s="31">
        <f t="shared" si="36"/>
        <v>0</v>
      </c>
    </row>
    <row r="25" spans="2:52">
      <c r="B25">
        <f t="shared" si="0"/>
        <v>0</v>
      </c>
      <c r="C25" s="28"/>
      <c r="D25" s="28"/>
      <c r="E25" s="2" t="str">
        <f t="shared" si="1"/>
        <v/>
      </c>
      <c r="F25" s="10">
        <f t="shared" si="13"/>
        <v>0</v>
      </c>
      <c r="G25" s="12" t="s">
        <v>107</v>
      </c>
      <c r="H25" s="31">
        <f t="shared" si="25"/>
        <v>0</v>
      </c>
      <c r="I25" s="2" t="str">
        <f t="shared" si="2"/>
        <v/>
      </c>
      <c r="J25" s="10">
        <f t="shared" si="14"/>
        <v>0</v>
      </c>
      <c r="K25" s="12" t="s">
        <v>107</v>
      </c>
      <c r="L25" s="31">
        <f t="shared" si="37"/>
        <v>0</v>
      </c>
      <c r="M25" s="2" t="str">
        <f t="shared" si="3"/>
        <v/>
      </c>
      <c r="N25" s="10">
        <f t="shared" si="15"/>
        <v>0</v>
      </c>
      <c r="O25" s="12" t="s">
        <v>107</v>
      </c>
      <c r="P25" s="31">
        <f t="shared" si="38"/>
        <v>0</v>
      </c>
      <c r="Q25" s="2" t="str">
        <f t="shared" si="4"/>
        <v/>
      </c>
      <c r="R25" s="10">
        <f t="shared" si="16"/>
        <v>0</v>
      </c>
      <c r="S25" s="12" t="s">
        <v>107</v>
      </c>
      <c r="T25" s="31">
        <f t="shared" si="39"/>
        <v>0</v>
      </c>
      <c r="U25" s="2" t="str">
        <f t="shared" si="5"/>
        <v/>
      </c>
      <c r="V25" s="10">
        <f t="shared" si="17"/>
        <v>0</v>
      </c>
      <c r="W25" s="12" t="s">
        <v>107</v>
      </c>
      <c r="X25" s="31">
        <f t="shared" si="40"/>
        <v>0</v>
      </c>
      <c r="Y25" s="2" t="str">
        <f t="shared" si="6"/>
        <v/>
      </c>
      <c r="Z25" s="10">
        <f t="shared" si="18"/>
        <v>0</v>
      </c>
      <c r="AA25" s="12" t="s">
        <v>107</v>
      </c>
      <c r="AB25" s="31">
        <f t="shared" si="41"/>
        <v>0</v>
      </c>
      <c r="AC25" s="2" t="str">
        <f t="shared" si="7"/>
        <v/>
      </c>
      <c r="AD25" s="10">
        <f t="shared" si="19"/>
        <v>0</v>
      </c>
      <c r="AE25" s="12" t="s">
        <v>107</v>
      </c>
      <c r="AF25" s="31">
        <f t="shared" si="42"/>
        <v>0</v>
      </c>
      <c r="AG25" s="2" t="str">
        <f t="shared" si="8"/>
        <v/>
      </c>
      <c r="AH25" s="10">
        <f t="shared" si="20"/>
        <v>0</v>
      </c>
      <c r="AI25" s="12" t="s">
        <v>107</v>
      </c>
      <c r="AJ25" s="31">
        <f t="shared" si="43"/>
        <v>0</v>
      </c>
      <c r="AK25" s="2" t="str">
        <f t="shared" si="9"/>
        <v/>
      </c>
      <c r="AL25" s="10">
        <f t="shared" si="21"/>
        <v>0</v>
      </c>
      <c r="AM25" s="12" t="s">
        <v>107</v>
      </c>
      <c r="AN25" s="31">
        <f t="shared" si="44"/>
        <v>0</v>
      </c>
      <c r="AO25" s="2" t="str">
        <f t="shared" si="10"/>
        <v/>
      </c>
      <c r="AP25" s="10">
        <f t="shared" si="22"/>
        <v>0</v>
      </c>
      <c r="AQ25" s="12" t="s">
        <v>107</v>
      </c>
      <c r="AR25" s="31">
        <f t="shared" si="45"/>
        <v>0</v>
      </c>
      <c r="AS25" s="2" t="str">
        <f t="shared" si="11"/>
        <v/>
      </c>
      <c r="AT25" s="10">
        <f t="shared" si="23"/>
        <v>0</v>
      </c>
      <c r="AU25" s="12" t="s">
        <v>107</v>
      </c>
      <c r="AV25" s="31">
        <f t="shared" si="35"/>
        <v>0</v>
      </c>
      <c r="AW25" s="2" t="str">
        <f t="shared" si="12"/>
        <v/>
      </c>
      <c r="AX25" s="10">
        <f t="shared" si="24"/>
        <v>0</v>
      </c>
      <c r="AY25" s="12" t="s">
        <v>107</v>
      </c>
      <c r="AZ25" s="31">
        <f t="shared" si="36"/>
        <v>0</v>
      </c>
    </row>
    <row r="26" spans="2:52">
      <c r="B26">
        <f t="shared" si="0"/>
        <v>0</v>
      </c>
      <c r="C26" s="28"/>
      <c r="D26" s="28"/>
      <c r="E26" s="2" t="str">
        <f t="shared" si="1"/>
        <v/>
      </c>
      <c r="F26" s="10">
        <f t="shared" si="13"/>
        <v>0</v>
      </c>
      <c r="G26" s="12" t="s">
        <v>107</v>
      </c>
      <c r="H26" s="31">
        <f t="shared" si="25"/>
        <v>0</v>
      </c>
      <c r="I26" s="2" t="str">
        <f t="shared" si="2"/>
        <v/>
      </c>
      <c r="J26" s="10">
        <f t="shared" si="14"/>
        <v>0</v>
      </c>
      <c r="K26" s="12" t="s">
        <v>107</v>
      </c>
      <c r="L26" s="31">
        <f t="shared" si="37"/>
        <v>0</v>
      </c>
      <c r="M26" s="2" t="str">
        <f t="shared" si="3"/>
        <v/>
      </c>
      <c r="N26" s="10">
        <f t="shared" si="15"/>
        <v>0</v>
      </c>
      <c r="O26" s="12" t="s">
        <v>107</v>
      </c>
      <c r="P26" s="31">
        <f t="shared" si="38"/>
        <v>0</v>
      </c>
      <c r="Q26" s="2" t="str">
        <f t="shared" si="4"/>
        <v/>
      </c>
      <c r="R26" s="10">
        <f t="shared" si="16"/>
        <v>0</v>
      </c>
      <c r="S26" s="12" t="s">
        <v>107</v>
      </c>
      <c r="T26" s="31">
        <f t="shared" si="39"/>
        <v>0</v>
      </c>
      <c r="U26" s="2" t="str">
        <f t="shared" si="5"/>
        <v/>
      </c>
      <c r="V26" s="10">
        <f t="shared" si="17"/>
        <v>0</v>
      </c>
      <c r="W26" s="12" t="s">
        <v>107</v>
      </c>
      <c r="X26" s="31">
        <f t="shared" si="40"/>
        <v>0</v>
      </c>
      <c r="Y26" s="2" t="str">
        <f t="shared" si="6"/>
        <v/>
      </c>
      <c r="Z26" s="10">
        <f t="shared" si="18"/>
        <v>0</v>
      </c>
      <c r="AA26" s="12" t="s">
        <v>107</v>
      </c>
      <c r="AB26" s="31">
        <f t="shared" si="41"/>
        <v>0</v>
      </c>
      <c r="AC26" s="2" t="str">
        <f t="shared" si="7"/>
        <v/>
      </c>
      <c r="AD26" s="10">
        <f t="shared" si="19"/>
        <v>0</v>
      </c>
      <c r="AE26" s="12" t="s">
        <v>107</v>
      </c>
      <c r="AF26" s="31">
        <f t="shared" si="42"/>
        <v>0</v>
      </c>
      <c r="AG26" s="2" t="str">
        <f t="shared" si="8"/>
        <v/>
      </c>
      <c r="AH26" s="10">
        <f t="shared" si="20"/>
        <v>0</v>
      </c>
      <c r="AI26" s="12" t="s">
        <v>107</v>
      </c>
      <c r="AJ26" s="31">
        <f t="shared" si="43"/>
        <v>0</v>
      </c>
      <c r="AK26" s="2" t="str">
        <f t="shared" si="9"/>
        <v/>
      </c>
      <c r="AL26" s="10">
        <f t="shared" si="21"/>
        <v>0</v>
      </c>
      <c r="AM26" s="12" t="s">
        <v>107</v>
      </c>
      <c r="AN26" s="31">
        <f t="shared" si="44"/>
        <v>0</v>
      </c>
      <c r="AO26" s="2" t="str">
        <f t="shared" si="10"/>
        <v/>
      </c>
      <c r="AP26" s="10">
        <f t="shared" si="22"/>
        <v>0</v>
      </c>
      <c r="AQ26" s="12" t="s">
        <v>107</v>
      </c>
      <c r="AR26" s="31">
        <f t="shared" si="45"/>
        <v>0</v>
      </c>
      <c r="AS26" s="2" t="str">
        <f t="shared" si="11"/>
        <v/>
      </c>
      <c r="AT26" s="10">
        <f t="shared" si="23"/>
        <v>0</v>
      </c>
      <c r="AU26" s="12" t="s">
        <v>107</v>
      </c>
      <c r="AV26" s="31">
        <f t="shared" si="35"/>
        <v>0</v>
      </c>
      <c r="AW26" s="2" t="str">
        <f t="shared" si="12"/>
        <v/>
      </c>
      <c r="AX26" s="10">
        <f t="shared" si="24"/>
        <v>0</v>
      </c>
      <c r="AY26" s="12" t="s">
        <v>107</v>
      </c>
      <c r="AZ26" s="31">
        <f t="shared" si="36"/>
        <v>0</v>
      </c>
    </row>
    <row r="27" spans="2:52">
      <c r="B27">
        <f t="shared" si="0"/>
        <v>0</v>
      </c>
      <c r="C27" s="28"/>
      <c r="D27" s="29"/>
      <c r="E27" s="2" t="str">
        <f t="shared" si="1"/>
        <v/>
      </c>
      <c r="F27" s="10">
        <f t="shared" si="13"/>
        <v>0</v>
      </c>
      <c r="G27" s="12" t="s">
        <v>107</v>
      </c>
      <c r="H27" s="31">
        <f t="shared" si="25"/>
        <v>0</v>
      </c>
      <c r="I27" s="2" t="str">
        <f t="shared" si="2"/>
        <v/>
      </c>
      <c r="J27" s="10">
        <f t="shared" si="14"/>
        <v>0</v>
      </c>
      <c r="K27" s="12" t="s">
        <v>107</v>
      </c>
      <c r="L27" s="31">
        <f t="shared" si="37"/>
        <v>0</v>
      </c>
      <c r="M27" s="2" t="str">
        <f t="shared" si="3"/>
        <v/>
      </c>
      <c r="N27" s="10">
        <f t="shared" si="15"/>
        <v>0</v>
      </c>
      <c r="O27" s="12" t="s">
        <v>107</v>
      </c>
      <c r="P27" s="31">
        <f t="shared" si="38"/>
        <v>0</v>
      </c>
      <c r="Q27" s="2" t="str">
        <f t="shared" si="4"/>
        <v/>
      </c>
      <c r="R27" s="10">
        <f t="shared" si="16"/>
        <v>0</v>
      </c>
      <c r="S27" s="12" t="s">
        <v>107</v>
      </c>
      <c r="T27" s="31">
        <f t="shared" si="39"/>
        <v>0</v>
      </c>
      <c r="U27" s="2" t="str">
        <f t="shared" si="5"/>
        <v/>
      </c>
      <c r="V27" s="10">
        <f t="shared" si="17"/>
        <v>0</v>
      </c>
      <c r="W27" s="12" t="s">
        <v>107</v>
      </c>
      <c r="X27" s="31">
        <f t="shared" si="40"/>
        <v>0</v>
      </c>
      <c r="Y27" s="2" t="str">
        <f t="shared" si="6"/>
        <v/>
      </c>
      <c r="Z27" s="10">
        <f t="shared" si="18"/>
        <v>0</v>
      </c>
      <c r="AA27" s="12" t="s">
        <v>107</v>
      </c>
      <c r="AB27" s="31">
        <f t="shared" si="41"/>
        <v>0</v>
      </c>
      <c r="AC27" s="2" t="str">
        <f t="shared" si="7"/>
        <v/>
      </c>
      <c r="AD27" s="10">
        <f t="shared" si="19"/>
        <v>0</v>
      </c>
      <c r="AE27" s="12" t="s">
        <v>107</v>
      </c>
      <c r="AF27" s="31">
        <f t="shared" si="42"/>
        <v>0</v>
      </c>
      <c r="AG27" s="2" t="str">
        <f t="shared" si="8"/>
        <v/>
      </c>
      <c r="AH27" s="10">
        <f t="shared" si="20"/>
        <v>0</v>
      </c>
      <c r="AI27" s="12" t="s">
        <v>107</v>
      </c>
      <c r="AJ27" s="31">
        <f t="shared" si="43"/>
        <v>0</v>
      </c>
      <c r="AK27" s="2" t="str">
        <f t="shared" si="9"/>
        <v/>
      </c>
      <c r="AL27" s="10">
        <f t="shared" si="21"/>
        <v>0</v>
      </c>
      <c r="AM27" s="12" t="s">
        <v>107</v>
      </c>
      <c r="AN27" s="31">
        <f t="shared" si="44"/>
        <v>0</v>
      </c>
      <c r="AO27" s="2" t="str">
        <f t="shared" si="10"/>
        <v/>
      </c>
      <c r="AP27" s="10">
        <f t="shared" si="22"/>
        <v>0</v>
      </c>
      <c r="AQ27" s="12" t="s">
        <v>107</v>
      </c>
      <c r="AR27" s="31">
        <f t="shared" si="45"/>
        <v>0</v>
      </c>
      <c r="AS27" s="2" t="str">
        <f t="shared" si="11"/>
        <v/>
      </c>
      <c r="AT27" s="10">
        <f t="shared" si="23"/>
        <v>0</v>
      </c>
      <c r="AU27" s="12" t="s">
        <v>107</v>
      </c>
      <c r="AV27" s="31">
        <f t="shared" si="35"/>
        <v>0</v>
      </c>
      <c r="AW27" s="2" t="str">
        <f t="shared" si="12"/>
        <v/>
      </c>
      <c r="AX27" s="10">
        <f t="shared" si="24"/>
        <v>0</v>
      </c>
      <c r="AY27" s="12" t="s">
        <v>107</v>
      </c>
      <c r="AZ27" s="31">
        <f t="shared" si="36"/>
        <v>0</v>
      </c>
    </row>
    <row r="28" spans="2:52">
      <c r="B28">
        <f t="shared" si="0"/>
        <v>0</v>
      </c>
      <c r="C28" s="28"/>
      <c r="E28" s="2" t="str">
        <f t="shared" si="1"/>
        <v/>
      </c>
      <c r="F28" s="10">
        <f t="shared" si="13"/>
        <v>0</v>
      </c>
      <c r="G28" s="12" t="s">
        <v>107</v>
      </c>
      <c r="H28" s="31">
        <f t="shared" si="25"/>
        <v>0</v>
      </c>
      <c r="I28" s="2" t="str">
        <f t="shared" si="2"/>
        <v/>
      </c>
      <c r="J28" s="10">
        <f t="shared" si="14"/>
        <v>0</v>
      </c>
      <c r="K28" s="12" t="s">
        <v>107</v>
      </c>
      <c r="L28" s="31">
        <f t="shared" si="37"/>
        <v>0</v>
      </c>
      <c r="M28" s="2" t="str">
        <f t="shared" si="3"/>
        <v/>
      </c>
      <c r="N28" s="10">
        <f t="shared" si="15"/>
        <v>0</v>
      </c>
      <c r="O28" s="12" t="s">
        <v>107</v>
      </c>
      <c r="P28" s="31">
        <f t="shared" si="38"/>
        <v>0</v>
      </c>
      <c r="Q28" s="2" t="str">
        <f t="shared" si="4"/>
        <v/>
      </c>
      <c r="R28" s="10">
        <f t="shared" si="16"/>
        <v>0</v>
      </c>
      <c r="S28" s="12" t="s">
        <v>107</v>
      </c>
      <c r="T28" s="31">
        <f t="shared" si="39"/>
        <v>0</v>
      </c>
      <c r="U28" s="2" t="str">
        <f t="shared" si="5"/>
        <v/>
      </c>
      <c r="V28" s="10">
        <f t="shared" si="17"/>
        <v>0</v>
      </c>
      <c r="W28" s="12" t="s">
        <v>107</v>
      </c>
      <c r="X28" s="31">
        <f t="shared" si="40"/>
        <v>0</v>
      </c>
      <c r="Y28" s="2" t="str">
        <f t="shared" si="6"/>
        <v/>
      </c>
      <c r="Z28" s="10">
        <f t="shared" si="18"/>
        <v>0</v>
      </c>
      <c r="AA28" s="12" t="s">
        <v>107</v>
      </c>
      <c r="AB28" s="31">
        <f t="shared" si="41"/>
        <v>0</v>
      </c>
      <c r="AC28" s="2" t="str">
        <f t="shared" si="7"/>
        <v/>
      </c>
      <c r="AD28" s="10">
        <f t="shared" si="19"/>
        <v>0</v>
      </c>
      <c r="AE28" s="12" t="s">
        <v>107</v>
      </c>
      <c r="AF28" s="31">
        <f t="shared" si="42"/>
        <v>0</v>
      </c>
      <c r="AG28" s="2" t="str">
        <f t="shared" si="8"/>
        <v/>
      </c>
      <c r="AH28" s="10">
        <f t="shared" si="20"/>
        <v>0</v>
      </c>
      <c r="AI28" s="12" t="s">
        <v>107</v>
      </c>
      <c r="AJ28" s="31">
        <f t="shared" si="43"/>
        <v>0</v>
      </c>
      <c r="AK28" s="2" t="str">
        <f t="shared" si="9"/>
        <v/>
      </c>
      <c r="AL28" s="10">
        <f t="shared" si="21"/>
        <v>0</v>
      </c>
      <c r="AM28" s="12" t="s">
        <v>107</v>
      </c>
      <c r="AN28" s="31">
        <f t="shared" si="44"/>
        <v>0</v>
      </c>
      <c r="AO28" s="2" t="str">
        <f t="shared" si="10"/>
        <v/>
      </c>
      <c r="AP28" s="10">
        <f t="shared" si="22"/>
        <v>0</v>
      </c>
      <c r="AQ28" s="12" t="s">
        <v>107</v>
      </c>
      <c r="AR28" s="31">
        <f t="shared" si="45"/>
        <v>0</v>
      </c>
      <c r="AS28" s="2" t="str">
        <f t="shared" si="11"/>
        <v/>
      </c>
      <c r="AT28" s="10">
        <f t="shared" si="23"/>
        <v>0</v>
      </c>
      <c r="AU28" s="12" t="s">
        <v>107</v>
      </c>
      <c r="AV28" s="31">
        <f t="shared" si="35"/>
        <v>0</v>
      </c>
      <c r="AW28" s="2" t="str">
        <f t="shared" si="12"/>
        <v/>
      </c>
      <c r="AX28" s="10">
        <f t="shared" si="24"/>
        <v>0</v>
      </c>
      <c r="AY28" s="12" t="s">
        <v>107</v>
      </c>
      <c r="AZ28" s="31">
        <f t="shared" si="36"/>
        <v>0</v>
      </c>
    </row>
    <row r="29" spans="2:52">
      <c r="B29">
        <f t="shared" si="0"/>
        <v>0</v>
      </c>
      <c r="C29" s="28"/>
      <c r="E29" s="2" t="str">
        <f t="shared" si="1"/>
        <v/>
      </c>
      <c r="F29" s="10">
        <f t="shared" si="13"/>
        <v>0</v>
      </c>
      <c r="G29" s="12" t="s">
        <v>107</v>
      </c>
      <c r="H29" s="31">
        <f t="shared" si="25"/>
        <v>0</v>
      </c>
      <c r="I29" s="2" t="str">
        <f t="shared" si="2"/>
        <v/>
      </c>
      <c r="J29" s="10">
        <f t="shared" si="14"/>
        <v>0</v>
      </c>
      <c r="K29" s="12" t="s">
        <v>107</v>
      </c>
      <c r="L29" s="31">
        <f t="shared" si="37"/>
        <v>0</v>
      </c>
      <c r="M29" s="2" t="str">
        <f t="shared" si="3"/>
        <v/>
      </c>
      <c r="N29" s="10">
        <f t="shared" si="15"/>
        <v>0</v>
      </c>
      <c r="O29" s="12" t="s">
        <v>107</v>
      </c>
      <c r="P29" s="31">
        <f t="shared" si="38"/>
        <v>0</v>
      </c>
      <c r="Q29" s="2" t="str">
        <f t="shared" si="4"/>
        <v/>
      </c>
      <c r="R29" s="10">
        <f t="shared" si="16"/>
        <v>0</v>
      </c>
      <c r="S29" s="12" t="s">
        <v>107</v>
      </c>
      <c r="T29" s="31">
        <f t="shared" si="39"/>
        <v>0</v>
      </c>
      <c r="U29" s="2" t="str">
        <f t="shared" si="5"/>
        <v/>
      </c>
      <c r="V29" s="10">
        <f t="shared" si="17"/>
        <v>0</v>
      </c>
      <c r="W29" s="12" t="s">
        <v>107</v>
      </c>
      <c r="X29" s="31">
        <f t="shared" si="40"/>
        <v>0</v>
      </c>
      <c r="Y29" s="2" t="str">
        <f t="shared" si="6"/>
        <v/>
      </c>
      <c r="Z29" s="10">
        <f t="shared" si="18"/>
        <v>0</v>
      </c>
      <c r="AA29" s="12" t="s">
        <v>107</v>
      </c>
      <c r="AB29" s="31">
        <f t="shared" si="41"/>
        <v>0</v>
      </c>
      <c r="AC29" s="2" t="str">
        <f t="shared" si="7"/>
        <v/>
      </c>
      <c r="AD29" s="10">
        <f t="shared" si="19"/>
        <v>0</v>
      </c>
      <c r="AE29" s="12" t="s">
        <v>107</v>
      </c>
      <c r="AF29" s="31">
        <f t="shared" si="42"/>
        <v>0</v>
      </c>
      <c r="AG29" s="2" t="str">
        <f t="shared" si="8"/>
        <v/>
      </c>
      <c r="AH29" s="10">
        <f t="shared" si="20"/>
        <v>0</v>
      </c>
      <c r="AI29" s="12" t="s">
        <v>107</v>
      </c>
      <c r="AJ29" s="31">
        <f t="shared" si="43"/>
        <v>0</v>
      </c>
      <c r="AK29" s="2" t="str">
        <f t="shared" si="9"/>
        <v/>
      </c>
      <c r="AL29" s="10">
        <f t="shared" si="21"/>
        <v>0</v>
      </c>
      <c r="AM29" s="12" t="s">
        <v>107</v>
      </c>
      <c r="AN29" s="31">
        <f t="shared" si="44"/>
        <v>0</v>
      </c>
      <c r="AO29" s="2" t="str">
        <f t="shared" si="10"/>
        <v/>
      </c>
      <c r="AP29" s="10">
        <f t="shared" si="22"/>
        <v>0</v>
      </c>
      <c r="AQ29" s="12" t="s">
        <v>107</v>
      </c>
      <c r="AR29" s="31">
        <f t="shared" si="45"/>
        <v>0</v>
      </c>
      <c r="AS29" s="2" t="str">
        <f t="shared" si="11"/>
        <v/>
      </c>
      <c r="AT29" s="10">
        <f t="shared" si="23"/>
        <v>0</v>
      </c>
      <c r="AU29" s="12" t="s">
        <v>107</v>
      </c>
      <c r="AV29" s="31">
        <f t="shared" si="35"/>
        <v>0</v>
      </c>
      <c r="AW29" s="2" t="str">
        <f t="shared" si="12"/>
        <v/>
      </c>
      <c r="AX29" s="10">
        <f t="shared" si="24"/>
        <v>0</v>
      </c>
      <c r="AY29" s="12" t="s">
        <v>107</v>
      </c>
      <c r="AZ29" s="31">
        <f t="shared" si="36"/>
        <v>0</v>
      </c>
    </row>
    <row r="30" spans="2:52">
      <c r="B30">
        <f t="shared" si="0"/>
        <v>0</v>
      </c>
      <c r="C30" s="28"/>
      <c r="E30" s="2" t="str">
        <f t="shared" si="1"/>
        <v/>
      </c>
      <c r="F30" s="10">
        <f t="shared" si="13"/>
        <v>0</v>
      </c>
      <c r="G30" s="12" t="s">
        <v>107</v>
      </c>
      <c r="H30" s="31">
        <f t="shared" si="25"/>
        <v>0</v>
      </c>
      <c r="I30" s="2" t="str">
        <f t="shared" si="2"/>
        <v/>
      </c>
      <c r="J30" s="10">
        <f t="shared" si="14"/>
        <v>0</v>
      </c>
      <c r="K30" s="12" t="s">
        <v>107</v>
      </c>
      <c r="L30" s="31">
        <f t="shared" si="37"/>
        <v>0</v>
      </c>
      <c r="M30" s="2" t="str">
        <f t="shared" si="3"/>
        <v/>
      </c>
      <c r="N30" s="10">
        <f t="shared" si="15"/>
        <v>0</v>
      </c>
      <c r="O30" s="12" t="s">
        <v>107</v>
      </c>
      <c r="P30" s="31">
        <f t="shared" si="38"/>
        <v>0</v>
      </c>
      <c r="Q30" s="2" t="str">
        <f t="shared" si="4"/>
        <v/>
      </c>
      <c r="R30" s="10">
        <f t="shared" si="16"/>
        <v>0</v>
      </c>
      <c r="S30" s="12" t="s">
        <v>107</v>
      </c>
      <c r="T30" s="31">
        <f t="shared" si="39"/>
        <v>0</v>
      </c>
      <c r="U30" s="2" t="str">
        <f t="shared" si="5"/>
        <v/>
      </c>
      <c r="V30" s="10">
        <f t="shared" si="17"/>
        <v>0</v>
      </c>
      <c r="W30" s="12" t="s">
        <v>107</v>
      </c>
      <c r="X30" s="31">
        <f t="shared" si="40"/>
        <v>0</v>
      </c>
      <c r="Y30" s="2" t="str">
        <f t="shared" si="6"/>
        <v/>
      </c>
      <c r="Z30" s="10">
        <f t="shared" si="18"/>
        <v>0</v>
      </c>
      <c r="AA30" s="12" t="s">
        <v>107</v>
      </c>
      <c r="AB30" s="31">
        <f t="shared" si="41"/>
        <v>0</v>
      </c>
      <c r="AC30" s="2" t="str">
        <f t="shared" si="7"/>
        <v/>
      </c>
      <c r="AD30" s="10">
        <f t="shared" si="19"/>
        <v>0</v>
      </c>
      <c r="AE30" s="12" t="s">
        <v>107</v>
      </c>
      <c r="AF30" s="31">
        <f t="shared" si="42"/>
        <v>0</v>
      </c>
      <c r="AG30" s="2" t="str">
        <f t="shared" si="8"/>
        <v/>
      </c>
      <c r="AH30" s="10">
        <f t="shared" si="20"/>
        <v>0</v>
      </c>
      <c r="AI30" s="12" t="s">
        <v>107</v>
      </c>
      <c r="AJ30" s="31">
        <f t="shared" si="43"/>
        <v>0</v>
      </c>
      <c r="AK30" s="2" t="str">
        <f t="shared" si="9"/>
        <v/>
      </c>
      <c r="AL30" s="10">
        <f t="shared" si="21"/>
        <v>0</v>
      </c>
      <c r="AM30" s="12" t="s">
        <v>107</v>
      </c>
      <c r="AN30" s="31">
        <f t="shared" si="44"/>
        <v>0</v>
      </c>
      <c r="AO30" s="2" t="str">
        <f t="shared" si="10"/>
        <v/>
      </c>
      <c r="AP30" s="10">
        <f t="shared" si="22"/>
        <v>0</v>
      </c>
      <c r="AQ30" s="12" t="s">
        <v>107</v>
      </c>
      <c r="AR30" s="31">
        <f t="shared" si="45"/>
        <v>0</v>
      </c>
      <c r="AS30" s="2" t="str">
        <f t="shared" si="11"/>
        <v/>
      </c>
      <c r="AT30" s="10">
        <f t="shared" si="23"/>
        <v>0</v>
      </c>
      <c r="AU30" s="12" t="s">
        <v>107</v>
      </c>
      <c r="AV30" s="31">
        <f t="shared" si="35"/>
        <v>0</v>
      </c>
      <c r="AW30" s="2" t="str">
        <f t="shared" si="12"/>
        <v/>
      </c>
      <c r="AX30" s="10">
        <f t="shared" si="24"/>
        <v>0</v>
      </c>
      <c r="AY30" s="12" t="s">
        <v>107</v>
      </c>
      <c r="AZ30" s="31">
        <f t="shared" si="36"/>
        <v>0</v>
      </c>
    </row>
    <row r="31" spans="2:52">
      <c r="B31">
        <f t="shared" si="0"/>
        <v>0</v>
      </c>
      <c r="C31" s="28"/>
      <c r="E31" s="2" t="str">
        <f t="shared" si="1"/>
        <v/>
      </c>
      <c r="F31" s="10">
        <f t="shared" si="13"/>
        <v>0</v>
      </c>
      <c r="G31" s="12" t="s">
        <v>107</v>
      </c>
      <c r="H31" s="31">
        <f t="shared" si="25"/>
        <v>0</v>
      </c>
      <c r="I31" s="2" t="str">
        <f t="shared" si="2"/>
        <v/>
      </c>
      <c r="J31" s="10">
        <f t="shared" si="14"/>
        <v>0</v>
      </c>
      <c r="K31" s="12" t="s">
        <v>107</v>
      </c>
      <c r="L31" s="31">
        <f t="shared" si="37"/>
        <v>0</v>
      </c>
      <c r="M31" s="2" t="str">
        <f t="shared" si="3"/>
        <v/>
      </c>
      <c r="N31" s="10">
        <f t="shared" si="15"/>
        <v>0</v>
      </c>
      <c r="O31" s="12" t="s">
        <v>107</v>
      </c>
      <c r="P31" s="31">
        <f t="shared" si="38"/>
        <v>0</v>
      </c>
      <c r="Q31" s="2" t="str">
        <f t="shared" si="4"/>
        <v/>
      </c>
      <c r="R31" s="10">
        <f t="shared" si="16"/>
        <v>0</v>
      </c>
      <c r="S31" s="12" t="s">
        <v>107</v>
      </c>
      <c r="T31" s="31">
        <f t="shared" si="39"/>
        <v>0</v>
      </c>
      <c r="U31" s="2" t="str">
        <f t="shared" si="5"/>
        <v/>
      </c>
      <c r="V31" s="10">
        <f t="shared" si="17"/>
        <v>0</v>
      </c>
      <c r="W31" s="12" t="s">
        <v>107</v>
      </c>
      <c r="X31" s="31">
        <f t="shared" si="40"/>
        <v>0</v>
      </c>
      <c r="Y31" s="2" t="str">
        <f t="shared" si="6"/>
        <v/>
      </c>
      <c r="Z31" s="10">
        <f t="shared" si="18"/>
        <v>0</v>
      </c>
      <c r="AA31" s="12" t="s">
        <v>107</v>
      </c>
      <c r="AB31" s="31">
        <f t="shared" si="41"/>
        <v>0</v>
      </c>
      <c r="AC31" s="2" t="str">
        <f t="shared" si="7"/>
        <v/>
      </c>
      <c r="AD31" s="10">
        <f t="shared" si="19"/>
        <v>0</v>
      </c>
      <c r="AE31" s="12" t="s">
        <v>107</v>
      </c>
      <c r="AF31" s="31">
        <f t="shared" si="42"/>
        <v>0</v>
      </c>
      <c r="AG31" s="2" t="str">
        <f t="shared" si="8"/>
        <v/>
      </c>
      <c r="AH31" s="10">
        <f t="shared" si="20"/>
        <v>0</v>
      </c>
      <c r="AI31" s="12" t="s">
        <v>107</v>
      </c>
      <c r="AJ31" s="31">
        <f t="shared" si="43"/>
        <v>0</v>
      </c>
      <c r="AK31" s="2" t="str">
        <f t="shared" si="9"/>
        <v/>
      </c>
      <c r="AL31" s="10">
        <f t="shared" si="21"/>
        <v>0</v>
      </c>
      <c r="AM31" s="12" t="s">
        <v>107</v>
      </c>
      <c r="AN31" s="31">
        <f t="shared" si="44"/>
        <v>0</v>
      </c>
      <c r="AO31" s="2" t="str">
        <f t="shared" si="10"/>
        <v/>
      </c>
      <c r="AP31" s="10">
        <f t="shared" si="22"/>
        <v>0</v>
      </c>
      <c r="AQ31" s="12" t="s">
        <v>107</v>
      </c>
      <c r="AR31" s="31">
        <f t="shared" si="45"/>
        <v>0</v>
      </c>
      <c r="AS31" s="2" t="str">
        <f t="shared" si="11"/>
        <v/>
      </c>
      <c r="AT31" s="10">
        <f t="shared" si="23"/>
        <v>0</v>
      </c>
      <c r="AU31" s="12" t="s">
        <v>107</v>
      </c>
      <c r="AV31" s="31">
        <f t="shared" si="35"/>
        <v>0</v>
      </c>
      <c r="AW31" s="2" t="str">
        <f t="shared" si="12"/>
        <v/>
      </c>
      <c r="AX31" s="10">
        <f t="shared" si="24"/>
        <v>0</v>
      </c>
      <c r="AY31" s="12" t="s">
        <v>107</v>
      </c>
      <c r="AZ31" s="31">
        <f t="shared" si="36"/>
        <v>0</v>
      </c>
    </row>
    <row r="32" spans="2:52">
      <c r="B32">
        <f t="shared" si="0"/>
        <v>0</v>
      </c>
      <c r="C32" s="28"/>
      <c r="E32" s="2" t="str">
        <f t="shared" si="1"/>
        <v/>
      </c>
      <c r="F32" s="10">
        <f t="shared" si="13"/>
        <v>0</v>
      </c>
      <c r="G32" s="12" t="s">
        <v>107</v>
      </c>
      <c r="H32" s="31">
        <f t="shared" si="25"/>
        <v>0</v>
      </c>
      <c r="I32" s="2" t="str">
        <f t="shared" si="2"/>
        <v/>
      </c>
      <c r="J32" s="10">
        <f t="shared" si="14"/>
        <v>0</v>
      </c>
      <c r="K32" s="12" t="s">
        <v>107</v>
      </c>
      <c r="L32" s="31">
        <f t="shared" si="37"/>
        <v>0</v>
      </c>
      <c r="M32" s="2" t="str">
        <f t="shared" si="3"/>
        <v/>
      </c>
      <c r="N32" s="10">
        <f t="shared" si="15"/>
        <v>0</v>
      </c>
      <c r="O32" s="12" t="s">
        <v>107</v>
      </c>
      <c r="P32" s="31">
        <f t="shared" si="38"/>
        <v>0</v>
      </c>
      <c r="Q32" s="2" t="str">
        <f t="shared" si="4"/>
        <v/>
      </c>
      <c r="R32" s="10">
        <f t="shared" si="16"/>
        <v>0</v>
      </c>
      <c r="S32" s="12" t="s">
        <v>107</v>
      </c>
      <c r="T32" s="31">
        <f t="shared" si="39"/>
        <v>0</v>
      </c>
      <c r="U32" s="2" t="str">
        <f t="shared" si="5"/>
        <v/>
      </c>
      <c r="V32" s="10">
        <f t="shared" si="17"/>
        <v>0</v>
      </c>
      <c r="W32" s="12" t="s">
        <v>107</v>
      </c>
      <c r="X32" s="31">
        <f t="shared" si="40"/>
        <v>0</v>
      </c>
      <c r="Y32" s="2" t="str">
        <f t="shared" si="6"/>
        <v/>
      </c>
      <c r="Z32" s="10">
        <f t="shared" si="18"/>
        <v>0</v>
      </c>
      <c r="AA32" s="12" t="s">
        <v>107</v>
      </c>
      <c r="AB32" s="31">
        <f t="shared" si="41"/>
        <v>0</v>
      </c>
      <c r="AC32" s="2" t="str">
        <f t="shared" si="7"/>
        <v/>
      </c>
      <c r="AD32" s="10">
        <f t="shared" si="19"/>
        <v>0</v>
      </c>
      <c r="AE32" s="12" t="s">
        <v>107</v>
      </c>
      <c r="AF32" s="31">
        <f t="shared" si="42"/>
        <v>0</v>
      </c>
      <c r="AG32" s="2" t="str">
        <f t="shared" si="8"/>
        <v/>
      </c>
      <c r="AH32" s="10">
        <f t="shared" si="20"/>
        <v>0</v>
      </c>
      <c r="AI32" s="12" t="s">
        <v>107</v>
      </c>
      <c r="AJ32" s="31">
        <f t="shared" si="43"/>
        <v>0</v>
      </c>
      <c r="AK32" s="2" t="str">
        <f t="shared" si="9"/>
        <v/>
      </c>
      <c r="AL32" s="10">
        <f t="shared" si="21"/>
        <v>0</v>
      </c>
      <c r="AM32" s="12" t="s">
        <v>107</v>
      </c>
      <c r="AN32" s="31">
        <f t="shared" si="44"/>
        <v>0</v>
      </c>
      <c r="AO32" s="2" t="str">
        <f t="shared" si="10"/>
        <v/>
      </c>
      <c r="AP32" s="10">
        <f t="shared" si="22"/>
        <v>0</v>
      </c>
      <c r="AQ32" s="12" t="s">
        <v>107</v>
      </c>
      <c r="AR32" s="31">
        <f t="shared" si="45"/>
        <v>0</v>
      </c>
      <c r="AS32" s="2" t="str">
        <f t="shared" si="11"/>
        <v/>
      </c>
      <c r="AT32" s="10">
        <f t="shared" si="23"/>
        <v>0</v>
      </c>
      <c r="AU32" s="12" t="s">
        <v>107</v>
      </c>
      <c r="AV32" s="31">
        <f t="shared" si="35"/>
        <v>0</v>
      </c>
      <c r="AW32" s="2" t="str">
        <f t="shared" si="12"/>
        <v/>
      </c>
      <c r="AX32" s="10">
        <f t="shared" si="24"/>
        <v>0</v>
      </c>
      <c r="AY32" s="12" t="s">
        <v>107</v>
      </c>
      <c r="AZ32" s="31">
        <f t="shared" si="36"/>
        <v>0</v>
      </c>
    </row>
    <row r="33" spans="2:52">
      <c r="B33">
        <f t="shared" si="0"/>
        <v>0</v>
      </c>
      <c r="C33" s="28"/>
      <c r="E33" s="2" t="str">
        <f t="shared" si="1"/>
        <v/>
      </c>
      <c r="F33" s="10">
        <f t="shared" si="13"/>
        <v>0</v>
      </c>
      <c r="G33" s="12" t="s">
        <v>107</v>
      </c>
      <c r="H33" s="31">
        <f t="shared" si="25"/>
        <v>0</v>
      </c>
      <c r="I33" s="2" t="str">
        <f t="shared" si="2"/>
        <v/>
      </c>
      <c r="J33" s="10">
        <f t="shared" si="14"/>
        <v>0</v>
      </c>
      <c r="K33" s="12" t="s">
        <v>107</v>
      </c>
      <c r="L33" s="31">
        <f t="shared" si="37"/>
        <v>0</v>
      </c>
      <c r="M33" s="2" t="str">
        <f t="shared" si="3"/>
        <v/>
      </c>
      <c r="N33" s="10">
        <f t="shared" si="15"/>
        <v>0</v>
      </c>
      <c r="O33" s="12" t="s">
        <v>107</v>
      </c>
      <c r="P33" s="31">
        <f t="shared" si="38"/>
        <v>0</v>
      </c>
      <c r="Q33" s="2" t="str">
        <f t="shared" si="4"/>
        <v/>
      </c>
      <c r="R33" s="10">
        <f t="shared" si="16"/>
        <v>0</v>
      </c>
      <c r="S33" s="12" t="s">
        <v>107</v>
      </c>
      <c r="T33" s="31">
        <f t="shared" si="39"/>
        <v>0</v>
      </c>
      <c r="U33" s="2" t="str">
        <f t="shared" si="5"/>
        <v/>
      </c>
      <c r="V33" s="10">
        <f t="shared" si="17"/>
        <v>0</v>
      </c>
      <c r="W33" s="12" t="s">
        <v>107</v>
      </c>
      <c r="X33" s="31">
        <f t="shared" si="40"/>
        <v>0</v>
      </c>
      <c r="Y33" s="2" t="str">
        <f t="shared" si="6"/>
        <v/>
      </c>
      <c r="Z33" s="10">
        <f t="shared" si="18"/>
        <v>0</v>
      </c>
      <c r="AA33" s="12" t="s">
        <v>107</v>
      </c>
      <c r="AB33" s="31">
        <f t="shared" si="41"/>
        <v>0</v>
      </c>
      <c r="AC33" s="2" t="str">
        <f t="shared" si="7"/>
        <v/>
      </c>
      <c r="AD33" s="10">
        <f t="shared" si="19"/>
        <v>0</v>
      </c>
      <c r="AE33" s="12" t="s">
        <v>107</v>
      </c>
      <c r="AF33" s="31">
        <f t="shared" si="42"/>
        <v>0</v>
      </c>
      <c r="AG33" s="2" t="str">
        <f t="shared" si="8"/>
        <v/>
      </c>
      <c r="AH33" s="10">
        <f t="shared" si="20"/>
        <v>0</v>
      </c>
      <c r="AI33" s="12" t="s">
        <v>107</v>
      </c>
      <c r="AJ33" s="31">
        <f t="shared" si="43"/>
        <v>0</v>
      </c>
      <c r="AK33" s="2" t="str">
        <f t="shared" si="9"/>
        <v/>
      </c>
      <c r="AL33" s="10">
        <f t="shared" si="21"/>
        <v>0</v>
      </c>
      <c r="AM33" s="12" t="s">
        <v>107</v>
      </c>
      <c r="AN33" s="31">
        <f t="shared" si="44"/>
        <v>0</v>
      </c>
      <c r="AO33" s="2" t="str">
        <f t="shared" si="10"/>
        <v/>
      </c>
      <c r="AP33" s="10">
        <f t="shared" si="22"/>
        <v>0</v>
      </c>
      <c r="AQ33" s="12" t="s">
        <v>107</v>
      </c>
      <c r="AR33" s="31">
        <f t="shared" si="45"/>
        <v>0</v>
      </c>
      <c r="AS33" s="2" t="str">
        <f t="shared" si="11"/>
        <v/>
      </c>
      <c r="AT33" s="10">
        <f t="shared" si="23"/>
        <v>0</v>
      </c>
      <c r="AU33" s="12" t="s">
        <v>107</v>
      </c>
      <c r="AV33" s="31">
        <f t="shared" si="35"/>
        <v>0</v>
      </c>
      <c r="AW33" s="2" t="str">
        <f t="shared" si="12"/>
        <v/>
      </c>
      <c r="AX33" s="10">
        <f t="shared" si="24"/>
        <v>0</v>
      </c>
      <c r="AY33" s="12" t="s">
        <v>107</v>
      </c>
      <c r="AZ33" s="31">
        <f t="shared" si="36"/>
        <v>0</v>
      </c>
    </row>
    <row r="34" spans="2:52">
      <c r="B34">
        <f t="shared" si="0"/>
        <v>0</v>
      </c>
      <c r="C34" s="28"/>
      <c r="E34" s="2" t="str">
        <f t="shared" si="1"/>
        <v/>
      </c>
      <c r="F34" s="10">
        <f t="shared" si="13"/>
        <v>0</v>
      </c>
      <c r="G34" s="12" t="s">
        <v>107</v>
      </c>
      <c r="H34" s="31">
        <f t="shared" si="25"/>
        <v>0</v>
      </c>
      <c r="I34" s="2" t="str">
        <f t="shared" si="2"/>
        <v/>
      </c>
      <c r="J34" s="10">
        <f t="shared" si="14"/>
        <v>0</v>
      </c>
      <c r="K34" s="12" t="s">
        <v>107</v>
      </c>
      <c r="L34" s="31">
        <f t="shared" si="37"/>
        <v>0</v>
      </c>
      <c r="M34" s="2" t="str">
        <f t="shared" si="3"/>
        <v/>
      </c>
      <c r="N34" s="10">
        <f t="shared" si="15"/>
        <v>0</v>
      </c>
      <c r="O34" s="12" t="s">
        <v>107</v>
      </c>
      <c r="P34" s="31">
        <f t="shared" si="38"/>
        <v>0</v>
      </c>
      <c r="Q34" s="2" t="str">
        <f t="shared" si="4"/>
        <v/>
      </c>
      <c r="R34" s="10">
        <f t="shared" si="16"/>
        <v>0</v>
      </c>
      <c r="S34" s="12" t="s">
        <v>107</v>
      </c>
      <c r="T34" s="31">
        <f t="shared" si="39"/>
        <v>0</v>
      </c>
      <c r="U34" s="2" t="str">
        <f t="shared" si="5"/>
        <v/>
      </c>
      <c r="V34" s="10">
        <f t="shared" si="17"/>
        <v>0</v>
      </c>
      <c r="W34" s="12" t="s">
        <v>107</v>
      </c>
      <c r="X34" s="31">
        <f t="shared" si="40"/>
        <v>0</v>
      </c>
      <c r="Y34" s="2" t="str">
        <f t="shared" si="6"/>
        <v/>
      </c>
      <c r="Z34" s="10">
        <f t="shared" si="18"/>
        <v>0</v>
      </c>
      <c r="AA34" s="12" t="s">
        <v>107</v>
      </c>
      <c r="AB34" s="31">
        <f t="shared" si="41"/>
        <v>0</v>
      </c>
      <c r="AC34" s="2" t="str">
        <f t="shared" si="7"/>
        <v/>
      </c>
      <c r="AD34" s="10">
        <f t="shared" si="19"/>
        <v>0</v>
      </c>
      <c r="AE34" s="12" t="s">
        <v>107</v>
      </c>
      <c r="AF34" s="31">
        <f t="shared" si="42"/>
        <v>0</v>
      </c>
      <c r="AG34" s="2" t="str">
        <f t="shared" si="8"/>
        <v/>
      </c>
      <c r="AH34" s="10">
        <f t="shared" si="20"/>
        <v>0</v>
      </c>
      <c r="AI34" s="12" t="s">
        <v>107</v>
      </c>
      <c r="AJ34" s="31">
        <f t="shared" si="43"/>
        <v>0</v>
      </c>
      <c r="AK34" s="2" t="str">
        <f t="shared" si="9"/>
        <v/>
      </c>
      <c r="AL34" s="10">
        <f t="shared" si="21"/>
        <v>0</v>
      </c>
      <c r="AM34" s="12" t="s">
        <v>107</v>
      </c>
      <c r="AN34" s="31">
        <f t="shared" si="44"/>
        <v>0</v>
      </c>
      <c r="AO34" s="2" t="str">
        <f t="shared" si="10"/>
        <v/>
      </c>
      <c r="AP34" s="10">
        <f t="shared" si="22"/>
        <v>0</v>
      </c>
      <c r="AQ34" s="12" t="s">
        <v>107</v>
      </c>
      <c r="AR34" s="31">
        <f t="shared" si="45"/>
        <v>0</v>
      </c>
      <c r="AS34" s="2" t="str">
        <f t="shared" si="11"/>
        <v/>
      </c>
      <c r="AT34" s="10">
        <f t="shared" si="23"/>
        <v>0</v>
      </c>
      <c r="AU34" s="12" t="s">
        <v>107</v>
      </c>
      <c r="AV34" s="31">
        <f t="shared" si="35"/>
        <v>0</v>
      </c>
      <c r="AW34" s="2" t="str">
        <f t="shared" si="12"/>
        <v/>
      </c>
      <c r="AX34" s="10">
        <f t="shared" si="24"/>
        <v>0</v>
      </c>
      <c r="AY34" s="12" t="s">
        <v>107</v>
      </c>
      <c r="AZ34" s="31">
        <f t="shared" si="36"/>
        <v>0</v>
      </c>
    </row>
    <row r="35" spans="2:52">
      <c r="B35">
        <f t="shared" si="0"/>
        <v>0</v>
      </c>
      <c r="C35" s="28"/>
      <c r="E35" s="2" t="str">
        <f t="shared" si="1"/>
        <v/>
      </c>
      <c r="F35" s="10">
        <f t="shared" si="13"/>
        <v>0</v>
      </c>
      <c r="G35" s="12" t="s">
        <v>107</v>
      </c>
      <c r="H35" s="31">
        <f t="shared" si="25"/>
        <v>0</v>
      </c>
      <c r="I35" s="2" t="str">
        <f t="shared" si="2"/>
        <v/>
      </c>
      <c r="J35" s="10">
        <f t="shared" si="14"/>
        <v>0</v>
      </c>
      <c r="K35" s="12" t="s">
        <v>107</v>
      </c>
      <c r="L35" s="31">
        <f t="shared" si="37"/>
        <v>0</v>
      </c>
      <c r="M35" s="2" t="str">
        <f t="shared" si="3"/>
        <v/>
      </c>
      <c r="N35" s="10">
        <f t="shared" si="15"/>
        <v>0</v>
      </c>
      <c r="O35" s="12" t="s">
        <v>107</v>
      </c>
      <c r="P35" s="31">
        <f t="shared" si="38"/>
        <v>0</v>
      </c>
      <c r="Q35" s="2" t="str">
        <f t="shared" si="4"/>
        <v/>
      </c>
      <c r="R35" s="10">
        <f t="shared" si="16"/>
        <v>0</v>
      </c>
      <c r="S35" s="12" t="s">
        <v>107</v>
      </c>
      <c r="T35" s="31">
        <f t="shared" si="39"/>
        <v>0</v>
      </c>
      <c r="U35" s="2" t="str">
        <f t="shared" si="5"/>
        <v/>
      </c>
      <c r="V35" s="10">
        <f t="shared" si="17"/>
        <v>0</v>
      </c>
      <c r="W35" s="12" t="s">
        <v>107</v>
      </c>
      <c r="X35" s="31">
        <f t="shared" si="40"/>
        <v>0</v>
      </c>
      <c r="Y35" s="2" t="str">
        <f t="shared" si="6"/>
        <v/>
      </c>
      <c r="Z35" s="10">
        <f t="shared" si="18"/>
        <v>0</v>
      </c>
      <c r="AA35" s="12" t="s">
        <v>107</v>
      </c>
      <c r="AB35" s="31">
        <f t="shared" si="41"/>
        <v>0</v>
      </c>
      <c r="AC35" s="2" t="str">
        <f t="shared" si="7"/>
        <v/>
      </c>
      <c r="AD35" s="10">
        <f t="shared" si="19"/>
        <v>0</v>
      </c>
      <c r="AE35" s="12" t="s">
        <v>107</v>
      </c>
      <c r="AF35" s="31">
        <f t="shared" si="42"/>
        <v>0</v>
      </c>
      <c r="AG35" s="2" t="str">
        <f t="shared" si="8"/>
        <v/>
      </c>
      <c r="AH35" s="10">
        <f t="shared" si="20"/>
        <v>0</v>
      </c>
      <c r="AI35" s="12" t="s">
        <v>107</v>
      </c>
      <c r="AJ35" s="31">
        <f t="shared" si="43"/>
        <v>0</v>
      </c>
      <c r="AK35" s="2" t="str">
        <f t="shared" si="9"/>
        <v/>
      </c>
      <c r="AL35" s="10">
        <f t="shared" si="21"/>
        <v>0</v>
      </c>
      <c r="AM35" s="12" t="s">
        <v>107</v>
      </c>
      <c r="AN35" s="31">
        <f t="shared" si="44"/>
        <v>0</v>
      </c>
      <c r="AO35" s="2" t="str">
        <f t="shared" si="10"/>
        <v/>
      </c>
      <c r="AP35" s="10">
        <f t="shared" si="22"/>
        <v>0</v>
      </c>
      <c r="AQ35" s="12" t="s">
        <v>107</v>
      </c>
      <c r="AR35" s="31">
        <f t="shared" si="45"/>
        <v>0</v>
      </c>
      <c r="AS35" s="2" t="str">
        <f t="shared" si="11"/>
        <v/>
      </c>
      <c r="AT35" s="10">
        <f t="shared" si="23"/>
        <v>0</v>
      </c>
      <c r="AU35" s="12" t="s">
        <v>107</v>
      </c>
      <c r="AV35" s="31">
        <f t="shared" si="35"/>
        <v>0</v>
      </c>
      <c r="AW35" s="2" t="str">
        <f t="shared" si="12"/>
        <v/>
      </c>
      <c r="AX35" s="10">
        <f t="shared" si="24"/>
        <v>0</v>
      </c>
      <c r="AY35" s="12" t="s">
        <v>107</v>
      </c>
      <c r="AZ35" s="31">
        <f t="shared" si="36"/>
        <v>0</v>
      </c>
    </row>
    <row r="36" spans="2:52">
      <c r="B36">
        <f t="shared" si="0"/>
        <v>0</v>
      </c>
      <c r="C36" s="28"/>
      <c r="E36" s="2" t="str">
        <f t="shared" si="1"/>
        <v/>
      </c>
      <c r="F36" s="10">
        <f t="shared" si="13"/>
        <v>0</v>
      </c>
      <c r="G36" s="12" t="s">
        <v>107</v>
      </c>
      <c r="H36" s="31">
        <f t="shared" si="25"/>
        <v>0</v>
      </c>
      <c r="I36" s="2" t="str">
        <f t="shared" si="2"/>
        <v/>
      </c>
      <c r="J36" s="10">
        <f t="shared" si="14"/>
        <v>0</v>
      </c>
      <c r="K36" s="12" t="s">
        <v>107</v>
      </c>
      <c r="L36" s="31">
        <f t="shared" si="37"/>
        <v>0</v>
      </c>
      <c r="M36" s="2" t="str">
        <f t="shared" si="3"/>
        <v/>
      </c>
      <c r="N36" s="10">
        <f t="shared" si="15"/>
        <v>0</v>
      </c>
      <c r="O36" s="12" t="s">
        <v>107</v>
      </c>
      <c r="P36" s="31">
        <f t="shared" si="38"/>
        <v>0</v>
      </c>
      <c r="Q36" s="2" t="str">
        <f t="shared" si="4"/>
        <v/>
      </c>
      <c r="R36" s="10">
        <f t="shared" si="16"/>
        <v>0</v>
      </c>
      <c r="S36" s="12" t="s">
        <v>107</v>
      </c>
      <c r="T36" s="31">
        <f t="shared" si="39"/>
        <v>0</v>
      </c>
      <c r="U36" s="2" t="str">
        <f t="shared" si="5"/>
        <v/>
      </c>
      <c r="V36" s="10">
        <f t="shared" si="17"/>
        <v>0</v>
      </c>
      <c r="W36" s="12" t="s">
        <v>107</v>
      </c>
      <c r="X36" s="31">
        <f t="shared" si="40"/>
        <v>0</v>
      </c>
      <c r="Y36" s="2" t="str">
        <f t="shared" si="6"/>
        <v/>
      </c>
      <c r="Z36" s="10">
        <f t="shared" si="18"/>
        <v>0</v>
      </c>
      <c r="AA36" s="12" t="s">
        <v>107</v>
      </c>
      <c r="AB36" s="31">
        <f t="shared" si="41"/>
        <v>0</v>
      </c>
      <c r="AC36" s="2" t="str">
        <f t="shared" si="7"/>
        <v/>
      </c>
      <c r="AD36" s="10">
        <f t="shared" si="19"/>
        <v>0</v>
      </c>
      <c r="AE36" s="12" t="s">
        <v>107</v>
      </c>
      <c r="AF36" s="31">
        <f t="shared" si="42"/>
        <v>0</v>
      </c>
      <c r="AG36" s="2" t="str">
        <f t="shared" si="8"/>
        <v/>
      </c>
      <c r="AH36" s="10">
        <f t="shared" si="20"/>
        <v>0</v>
      </c>
      <c r="AI36" s="12" t="s">
        <v>107</v>
      </c>
      <c r="AJ36" s="31">
        <f t="shared" si="43"/>
        <v>0</v>
      </c>
      <c r="AK36" s="2" t="str">
        <f t="shared" si="9"/>
        <v/>
      </c>
      <c r="AL36" s="10">
        <f t="shared" si="21"/>
        <v>0</v>
      </c>
      <c r="AM36" s="12" t="s">
        <v>107</v>
      </c>
      <c r="AN36" s="31">
        <f t="shared" si="44"/>
        <v>0</v>
      </c>
      <c r="AO36" s="2" t="str">
        <f t="shared" si="10"/>
        <v/>
      </c>
      <c r="AP36" s="10">
        <f t="shared" si="22"/>
        <v>0</v>
      </c>
      <c r="AQ36" s="12" t="s">
        <v>107</v>
      </c>
      <c r="AR36" s="31">
        <f t="shared" si="45"/>
        <v>0</v>
      </c>
      <c r="AS36" s="2" t="str">
        <f t="shared" si="11"/>
        <v/>
      </c>
      <c r="AT36" s="10">
        <f t="shared" si="23"/>
        <v>0</v>
      </c>
      <c r="AU36" s="12" t="s">
        <v>107</v>
      </c>
      <c r="AV36" s="31">
        <f t="shared" si="35"/>
        <v>0</v>
      </c>
      <c r="AW36" s="2" t="str">
        <f t="shared" si="12"/>
        <v/>
      </c>
      <c r="AX36" s="10">
        <f t="shared" si="24"/>
        <v>0</v>
      </c>
      <c r="AY36" s="12" t="s">
        <v>107</v>
      </c>
      <c r="AZ36" s="31">
        <f t="shared" si="36"/>
        <v>0</v>
      </c>
    </row>
    <row r="37" spans="2:52">
      <c r="B37">
        <f t="shared" si="0"/>
        <v>0</v>
      </c>
      <c r="C37" s="28"/>
      <c r="E37" s="2" t="str">
        <f t="shared" si="1"/>
        <v/>
      </c>
      <c r="F37" s="10">
        <f t="shared" si="13"/>
        <v>0</v>
      </c>
      <c r="G37" s="12" t="s">
        <v>107</v>
      </c>
      <c r="H37" s="31">
        <f t="shared" si="25"/>
        <v>0</v>
      </c>
      <c r="I37" s="2" t="str">
        <f t="shared" si="2"/>
        <v/>
      </c>
      <c r="J37" s="10">
        <f t="shared" si="14"/>
        <v>0</v>
      </c>
      <c r="K37" s="12" t="s">
        <v>107</v>
      </c>
      <c r="L37" s="31">
        <f t="shared" si="37"/>
        <v>0</v>
      </c>
      <c r="M37" s="2" t="str">
        <f t="shared" si="3"/>
        <v/>
      </c>
      <c r="N37" s="10">
        <f t="shared" si="15"/>
        <v>0</v>
      </c>
      <c r="O37" s="12" t="s">
        <v>107</v>
      </c>
      <c r="P37" s="31">
        <f t="shared" si="38"/>
        <v>0</v>
      </c>
      <c r="Q37" s="2" t="str">
        <f t="shared" si="4"/>
        <v/>
      </c>
      <c r="R37" s="10">
        <f t="shared" si="16"/>
        <v>0</v>
      </c>
      <c r="S37" s="12" t="s">
        <v>107</v>
      </c>
      <c r="T37" s="31">
        <f t="shared" si="39"/>
        <v>0</v>
      </c>
      <c r="U37" s="2" t="str">
        <f t="shared" si="5"/>
        <v/>
      </c>
      <c r="V37" s="10">
        <f t="shared" si="17"/>
        <v>0</v>
      </c>
      <c r="W37" s="12" t="s">
        <v>107</v>
      </c>
      <c r="X37" s="31">
        <f t="shared" si="40"/>
        <v>0</v>
      </c>
      <c r="Y37" s="2" t="str">
        <f t="shared" si="6"/>
        <v/>
      </c>
      <c r="Z37" s="10">
        <f t="shared" si="18"/>
        <v>0</v>
      </c>
      <c r="AA37" s="12" t="s">
        <v>107</v>
      </c>
      <c r="AB37" s="31">
        <f t="shared" si="41"/>
        <v>0</v>
      </c>
      <c r="AC37" s="2" t="str">
        <f t="shared" si="7"/>
        <v/>
      </c>
      <c r="AD37" s="10">
        <f t="shared" si="19"/>
        <v>0</v>
      </c>
      <c r="AE37" s="12" t="s">
        <v>107</v>
      </c>
      <c r="AF37" s="31">
        <f t="shared" si="42"/>
        <v>0</v>
      </c>
      <c r="AG37" s="2" t="str">
        <f t="shared" si="8"/>
        <v/>
      </c>
      <c r="AH37" s="10">
        <f t="shared" si="20"/>
        <v>0</v>
      </c>
      <c r="AI37" s="12" t="s">
        <v>107</v>
      </c>
      <c r="AJ37" s="31">
        <f t="shared" si="43"/>
        <v>0</v>
      </c>
      <c r="AK37" s="2" t="str">
        <f t="shared" si="9"/>
        <v/>
      </c>
      <c r="AL37" s="10">
        <f t="shared" si="21"/>
        <v>0</v>
      </c>
      <c r="AM37" s="12" t="s">
        <v>107</v>
      </c>
      <c r="AN37" s="31">
        <f t="shared" si="44"/>
        <v>0</v>
      </c>
      <c r="AO37" s="2" t="str">
        <f t="shared" si="10"/>
        <v/>
      </c>
      <c r="AP37" s="10">
        <f t="shared" si="22"/>
        <v>0</v>
      </c>
      <c r="AQ37" s="12" t="s">
        <v>107</v>
      </c>
      <c r="AR37" s="31">
        <f t="shared" si="45"/>
        <v>0</v>
      </c>
      <c r="AS37" s="2" t="str">
        <f t="shared" si="11"/>
        <v/>
      </c>
      <c r="AT37" s="10">
        <f t="shared" si="23"/>
        <v>0</v>
      </c>
      <c r="AU37" s="12" t="s">
        <v>107</v>
      </c>
      <c r="AV37" s="31">
        <f t="shared" si="35"/>
        <v>0</v>
      </c>
      <c r="AW37" s="2" t="str">
        <f t="shared" si="12"/>
        <v/>
      </c>
      <c r="AX37" s="10">
        <f t="shared" si="24"/>
        <v>0</v>
      </c>
      <c r="AY37" s="12" t="s">
        <v>107</v>
      </c>
      <c r="AZ37" s="31">
        <f t="shared" si="36"/>
        <v>0</v>
      </c>
    </row>
    <row r="38" spans="2:52">
      <c r="B38">
        <f t="shared" si="0"/>
        <v>0</v>
      </c>
      <c r="C38" s="28"/>
      <c r="E38" s="2" t="str">
        <f t="shared" si="1"/>
        <v/>
      </c>
      <c r="F38" s="10">
        <f t="shared" si="13"/>
        <v>0</v>
      </c>
      <c r="G38" s="12" t="s">
        <v>107</v>
      </c>
      <c r="H38" s="31">
        <f t="shared" si="25"/>
        <v>0</v>
      </c>
      <c r="I38" s="2" t="str">
        <f t="shared" si="2"/>
        <v/>
      </c>
      <c r="J38" s="10">
        <f t="shared" si="14"/>
        <v>0</v>
      </c>
      <c r="K38" s="12" t="s">
        <v>107</v>
      </c>
      <c r="L38" s="31">
        <f t="shared" si="37"/>
        <v>0</v>
      </c>
      <c r="M38" s="2" t="str">
        <f t="shared" si="3"/>
        <v/>
      </c>
      <c r="N38" s="10">
        <f t="shared" si="15"/>
        <v>0</v>
      </c>
      <c r="O38" s="12" t="s">
        <v>107</v>
      </c>
      <c r="P38" s="31">
        <f t="shared" si="38"/>
        <v>0</v>
      </c>
      <c r="Q38" s="2" t="str">
        <f t="shared" si="4"/>
        <v/>
      </c>
      <c r="R38" s="10">
        <f t="shared" si="16"/>
        <v>0</v>
      </c>
      <c r="S38" s="12" t="s">
        <v>107</v>
      </c>
      <c r="T38" s="31">
        <f t="shared" si="39"/>
        <v>0</v>
      </c>
      <c r="U38" s="2" t="str">
        <f t="shared" si="5"/>
        <v/>
      </c>
      <c r="V38" s="10">
        <f t="shared" si="17"/>
        <v>0</v>
      </c>
      <c r="W38" s="12" t="s">
        <v>107</v>
      </c>
      <c r="X38" s="31">
        <f t="shared" si="40"/>
        <v>0</v>
      </c>
      <c r="Y38" s="2" t="str">
        <f t="shared" si="6"/>
        <v/>
      </c>
      <c r="Z38" s="10">
        <f t="shared" si="18"/>
        <v>0</v>
      </c>
      <c r="AA38" s="12" t="s">
        <v>107</v>
      </c>
      <c r="AB38" s="31">
        <f t="shared" si="41"/>
        <v>0</v>
      </c>
      <c r="AC38" s="2" t="str">
        <f t="shared" si="7"/>
        <v/>
      </c>
      <c r="AD38" s="10">
        <f t="shared" si="19"/>
        <v>0</v>
      </c>
      <c r="AE38" s="12" t="s">
        <v>107</v>
      </c>
      <c r="AF38" s="31">
        <f t="shared" si="42"/>
        <v>0</v>
      </c>
      <c r="AG38" s="2" t="str">
        <f t="shared" si="8"/>
        <v/>
      </c>
      <c r="AH38" s="10">
        <f t="shared" si="20"/>
        <v>0</v>
      </c>
      <c r="AI38" s="12" t="s">
        <v>107</v>
      </c>
      <c r="AJ38" s="31">
        <f t="shared" si="43"/>
        <v>0</v>
      </c>
      <c r="AK38" s="2" t="str">
        <f t="shared" si="9"/>
        <v/>
      </c>
      <c r="AL38" s="10">
        <f t="shared" si="21"/>
        <v>0</v>
      </c>
      <c r="AM38" s="12" t="s">
        <v>107</v>
      </c>
      <c r="AN38" s="31">
        <f t="shared" si="44"/>
        <v>0</v>
      </c>
      <c r="AO38" s="2" t="str">
        <f t="shared" si="10"/>
        <v/>
      </c>
      <c r="AP38" s="10">
        <f t="shared" si="22"/>
        <v>0</v>
      </c>
      <c r="AQ38" s="12" t="s">
        <v>107</v>
      </c>
      <c r="AR38" s="31">
        <f t="shared" si="45"/>
        <v>0</v>
      </c>
      <c r="AS38" s="2" t="str">
        <f t="shared" si="11"/>
        <v/>
      </c>
      <c r="AT38" s="10">
        <f t="shared" si="23"/>
        <v>0</v>
      </c>
      <c r="AU38" s="12" t="s">
        <v>107</v>
      </c>
      <c r="AV38" s="31">
        <f t="shared" si="35"/>
        <v>0</v>
      </c>
      <c r="AW38" s="2" t="str">
        <f t="shared" si="12"/>
        <v/>
      </c>
      <c r="AX38" s="10">
        <f t="shared" si="24"/>
        <v>0</v>
      </c>
      <c r="AY38" s="12" t="s">
        <v>107</v>
      </c>
      <c r="AZ38" s="31">
        <f t="shared" si="36"/>
        <v>0</v>
      </c>
    </row>
    <row r="39" spans="2:52">
      <c r="B39">
        <f t="shared" si="0"/>
        <v>0</v>
      </c>
      <c r="C39" s="28"/>
      <c r="E39" s="2" t="str">
        <f t="shared" si="1"/>
        <v/>
      </c>
      <c r="F39" s="10">
        <f t="shared" si="13"/>
        <v>0</v>
      </c>
      <c r="G39" s="12" t="s">
        <v>107</v>
      </c>
      <c r="H39" s="31">
        <f t="shared" si="25"/>
        <v>0</v>
      </c>
      <c r="I39" s="2" t="str">
        <f t="shared" si="2"/>
        <v/>
      </c>
      <c r="J39" s="10">
        <f t="shared" si="14"/>
        <v>0</v>
      </c>
      <c r="K39" s="12" t="s">
        <v>107</v>
      </c>
      <c r="L39" s="31">
        <f t="shared" si="37"/>
        <v>0</v>
      </c>
      <c r="M39" s="2" t="str">
        <f t="shared" si="3"/>
        <v/>
      </c>
      <c r="N39" s="10">
        <f t="shared" si="15"/>
        <v>0</v>
      </c>
      <c r="O39" s="12" t="s">
        <v>107</v>
      </c>
      <c r="P39" s="31">
        <f t="shared" si="38"/>
        <v>0</v>
      </c>
      <c r="Q39" s="2" t="str">
        <f t="shared" si="4"/>
        <v/>
      </c>
      <c r="R39" s="10">
        <f t="shared" si="16"/>
        <v>0</v>
      </c>
      <c r="S39" s="12" t="s">
        <v>107</v>
      </c>
      <c r="T39" s="31">
        <f t="shared" si="39"/>
        <v>0</v>
      </c>
      <c r="U39" s="2" t="str">
        <f t="shared" si="5"/>
        <v/>
      </c>
      <c r="V39" s="10">
        <f t="shared" si="17"/>
        <v>0</v>
      </c>
      <c r="W39" s="12" t="s">
        <v>107</v>
      </c>
      <c r="X39" s="31">
        <f t="shared" si="40"/>
        <v>0</v>
      </c>
      <c r="Y39" s="2" t="str">
        <f t="shared" si="6"/>
        <v/>
      </c>
      <c r="Z39" s="10">
        <f t="shared" si="18"/>
        <v>0</v>
      </c>
      <c r="AA39" s="12" t="s">
        <v>107</v>
      </c>
      <c r="AB39" s="31">
        <f t="shared" si="41"/>
        <v>0</v>
      </c>
      <c r="AC39" s="2" t="str">
        <f t="shared" si="7"/>
        <v/>
      </c>
      <c r="AD39" s="10">
        <f t="shared" si="19"/>
        <v>0</v>
      </c>
      <c r="AE39" s="12" t="s">
        <v>107</v>
      </c>
      <c r="AF39" s="31">
        <f t="shared" si="42"/>
        <v>0</v>
      </c>
      <c r="AG39" s="2" t="str">
        <f t="shared" si="8"/>
        <v/>
      </c>
      <c r="AH39" s="10">
        <f t="shared" si="20"/>
        <v>0</v>
      </c>
      <c r="AI39" s="12" t="s">
        <v>107</v>
      </c>
      <c r="AJ39" s="31">
        <f t="shared" si="43"/>
        <v>0</v>
      </c>
      <c r="AK39" s="2" t="str">
        <f t="shared" si="9"/>
        <v/>
      </c>
      <c r="AL39" s="10">
        <f t="shared" si="21"/>
        <v>0</v>
      </c>
      <c r="AM39" s="12" t="s">
        <v>107</v>
      </c>
      <c r="AN39" s="31">
        <f t="shared" si="44"/>
        <v>0</v>
      </c>
      <c r="AO39" s="2" t="str">
        <f t="shared" si="10"/>
        <v/>
      </c>
      <c r="AP39" s="10">
        <f t="shared" si="22"/>
        <v>0</v>
      </c>
      <c r="AQ39" s="12" t="s">
        <v>107</v>
      </c>
      <c r="AR39" s="31">
        <f t="shared" si="45"/>
        <v>0</v>
      </c>
      <c r="AS39" s="2" t="str">
        <f t="shared" si="11"/>
        <v/>
      </c>
      <c r="AT39" s="10">
        <f t="shared" si="23"/>
        <v>0</v>
      </c>
      <c r="AU39" s="12" t="s">
        <v>107</v>
      </c>
      <c r="AV39" s="31">
        <f t="shared" si="35"/>
        <v>0</v>
      </c>
      <c r="AW39" s="2" t="str">
        <f t="shared" si="12"/>
        <v/>
      </c>
      <c r="AX39" s="10">
        <f t="shared" si="24"/>
        <v>0</v>
      </c>
      <c r="AY39" s="12" t="s">
        <v>107</v>
      </c>
      <c r="AZ39" s="31">
        <f t="shared" si="36"/>
        <v>0</v>
      </c>
    </row>
    <row r="40" spans="2:52">
      <c r="B40">
        <f t="shared" si="0"/>
        <v>0</v>
      </c>
      <c r="C40" s="28"/>
      <c r="E40" s="2" t="str">
        <f t="shared" si="1"/>
        <v/>
      </c>
      <c r="F40" s="10">
        <f t="shared" si="13"/>
        <v>0</v>
      </c>
      <c r="G40" s="12" t="s">
        <v>107</v>
      </c>
      <c r="H40" s="31">
        <f t="shared" si="25"/>
        <v>0</v>
      </c>
      <c r="I40" s="2" t="str">
        <f t="shared" si="2"/>
        <v/>
      </c>
      <c r="J40" s="10">
        <f t="shared" si="14"/>
        <v>0</v>
      </c>
      <c r="K40" s="12" t="s">
        <v>107</v>
      </c>
      <c r="L40" s="31">
        <f t="shared" si="37"/>
        <v>0</v>
      </c>
      <c r="M40" s="2" t="str">
        <f t="shared" si="3"/>
        <v/>
      </c>
      <c r="N40" s="10">
        <f t="shared" si="15"/>
        <v>0</v>
      </c>
      <c r="O40" s="12" t="s">
        <v>107</v>
      </c>
      <c r="P40" s="31">
        <f t="shared" si="38"/>
        <v>0</v>
      </c>
      <c r="Q40" s="2" t="str">
        <f t="shared" si="4"/>
        <v/>
      </c>
      <c r="R40" s="10">
        <f t="shared" si="16"/>
        <v>0</v>
      </c>
      <c r="S40" s="12" t="s">
        <v>107</v>
      </c>
      <c r="T40" s="31">
        <f t="shared" si="39"/>
        <v>0</v>
      </c>
      <c r="U40" s="2" t="str">
        <f t="shared" si="5"/>
        <v/>
      </c>
      <c r="V40" s="10">
        <f t="shared" si="17"/>
        <v>0</v>
      </c>
      <c r="W40" s="12" t="s">
        <v>107</v>
      </c>
      <c r="X40" s="31">
        <f t="shared" si="40"/>
        <v>0</v>
      </c>
      <c r="Y40" s="2" t="str">
        <f t="shared" si="6"/>
        <v/>
      </c>
      <c r="Z40" s="10">
        <f t="shared" si="18"/>
        <v>0</v>
      </c>
      <c r="AA40" s="12" t="s">
        <v>107</v>
      </c>
      <c r="AB40" s="31">
        <f t="shared" si="41"/>
        <v>0</v>
      </c>
      <c r="AC40" s="2" t="str">
        <f t="shared" si="7"/>
        <v/>
      </c>
      <c r="AD40" s="10">
        <f t="shared" si="19"/>
        <v>0</v>
      </c>
      <c r="AE40" s="12" t="s">
        <v>107</v>
      </c>
      <c r="AF40" s="31">
        <f t="shared" si="42"/>
        <v>0</v>
      </c>
      <c r="AG40" s="2" t="str">
        <f t="shared" si="8"/>
        <v/>
      </c>
      <c r="AH40" s="10">
        <f t="shared" si="20"/>
        <v>0</v>
      </c>
      <c r="AI40" s="12" t="s">
        <v>107</v>
      </c>
      <c r="AJ40" s="31">
        <f t="shared" si="43"/>
        <v>0</v>
      </c>
      <c r="AK40" s="2" t="str">
        <f t="shared" si="9"/>
        <v/>
      </c>
      <c r="AL40" s="10">
        <f t="shared" si="21"/>
        <v>0</v>
      </c>
      <c r="AM40" s="12" t="s">
        <v>107</v>
      </c>
      <c r="AN40" s="31">
        <f t="shared" si="44"/>
        <v>0</v>
      </c>
      <c r="AO40" s="2" t="str">
        <f t="shared" si="10"/>
        <v/>
      </c>
      <c r="AP40" s="10">
        <f t="shared" si="22"/>
        <v>0</v>
      </c>
      <c r="AQ40" s="12" t="s">
        <v>107</v>
      </c>
      <c r="AR40" s="31">
        <f t="shared" si="45"/>
        <v>0</v>
      </c>
      <c r="AS40" s="2" t="str">
        <f t="shared" si="11"/>
        <v/>
      </c>
      <c r="AT40" s="10">
        <f t="shared" si="23"/>
        <v>0</v>
      </c>
      <c r="AU40" s="12" t="s">
        <v>107</v>
      </c>
      <c r="AV40" s="31">
        <f t="shared" si="35"/>
        <v>0</v>
      </c>
      <c r="AW40" s="2" t="str">
        <f t="shared" si="12"/>
        <v/>
      </c>
      <c r="AX40" s="10">
        <f t="shared" si="24"/>
        <v>0</v>
      </c>
      <c r="AY40" s="12" t="s">
        <v>107</v>
      </c>
      <c r="AZ40" s="31">
        <f t="shared" si="36"/>
        <v>0</v>
      </c>
    </row>
    <row r="41" spans="2:52">
      <c r="B41">
        <f t="shared" si="0"/>
        <v>0</v>
      </c>
      <c r="C41" s="28"/>
      <c r="E41" s="2" t="str">
        <f t="shared" si="1"/>
        <v/>
      </c>
      <c r="F41" s="10">
        <f t="shared" si="13"/>
        <v>0</v>
      </c>
      <c r="G41" s="12" t="s">
        <v>107</v>
      </c>
      <c r="H41" s="31">
        <f t="shared" si="25"/>
        <v>0</v>
      </c>
      <c r="I41" s="2" t="str">
        <f t="shared" si="2"/>
        <v/>
      </c>
      <c r="J41" s="10">
        <f t="shared" si="14"/>
        <v>0</v>
      </c>
      <c r="K41" s="12" t="s">
        <v>107</v>
      </c>
      <c r="L41" s="31">
        <f t="shared" si="37"/>
        <v>0</v>
      </c>
      <c r="M41" s="2" t="str">
        <f t="shared" si="3"/>
        <v/>
      </c>
      <c r="N41" s="10">
        <f t="shared" si="15"/>
        <v>0</v>
      </c>
      <c r="O41" s="12" t="s">
        <v>107</v>
      </c>
      <c r="P41" s="31">
        <f t="shared" si="38"/>
        <v>0</v>
      </c>
      <c r="Q41" s="2" t="str">
        <f t="shared" si="4"/>
        <v/>
      </c>
      <c r="R41" s="10">
        <f t="shared" si="16"/>
        <v>0</v>
      </c>
      <c r="S41" s="12" t="s">
        <v>107</v>
      </c>
      <c r="T41" s="31">
        <f t="shared" si="39"/>
        <v>0</v>
      </c>
      <c r="U41" s="2" t="str">
        <f t="shared" si="5"/>
        <v/>
      </c>
      <c r="V41" s="10">
        <f t="shared" si="17"/>
        <v>0</v>
      </c>
      <c r="W41" s="12" t="s">
        <v>107</v>
      </c>
      <c r="X41" s="31">
        <f t="shared" si="40"/>
        <v>0</v>
      </c>
      <c r="Y41" s="2" t="str">
        <f t="shared" si="6"/>
        <v/>
      </c>
      <c r="Z41" s="10">
        <f t="shared" si="18"/>
        <v>0</v>
      </c>
      <c r="AA41" s="12" t="s">
        <v>107</v>
      </c>
      <c r="AB41" s="31">
        <f t="shared" si="41"/>
        <v>0</v>
      </c>
      <c r="AC41" s="2" t="str">
        <f t="shared" si="7"/>
        <v/>
      </c>
      <c r="AD41" s="10">
        <f t="shared" si="19"/>
        <v>0</v>
      </c>
      <c r="AE41" s="12" t="s">
        <v>107</v>
      </c>
      <c r="AF41" s="31">
        <f t="shared" si="42"/>
        <v>0</v>
      </c>
      <c r="AG41" s="2" t="str">
        <f t="shared" si="8"/>
        <v/>
      </c>
      <c r="AH41" s="10">
        <f t="shared" si="20"/>
        <v>0</v>
      </c>
      <c r="AI41" s="12" t="s">
        <v>107</v>
      </c>
      <c r="AJ41" s="31">
        <f t="shared" si="43"/>
        <v>0</v>
      </c>
      <c r="AK41" s="2" t="str">
        <f t="shared" si="9"/>
        <v/>
      </c>
      <c r="AL41" s="10">
        <f t="shared" si="21"/>
        <v>0</v>
      </c>
      <c r="AM41" s="12" t="s">
        <v>107</v>
      </c>
      <c r="AN41" s="31">
        <f t="shared" si="44"/>
        <v>0</v>
      </c>
      <c r="AO41" s="2" t="str">
        <f t="shared" si="10"/>
        <v/>
      </c>
      <c r="AP41" s="10">
        <f t="shared" si="22"/>
        <v>0</v>
      </c>
      <c r="AQ41" s="12" t="s">
        <v>107</v>
      </c>
      <c r="AR41" s="31">
        <f t="shared" si="45"/>
        <v>0</v>
      </c>
      <c r="AS41" s="2" t="str">
        <f t="shared" si="11"/>
        <v/>
      </c>
      <c r="AT41" s="10">
        <f t="shared" si="23"/>
        <v>0</v>
      </c>
      <c r="AU41" s="12" t="s">
        <v>107</v>
      </c>
      <c r="AV41" s="31">
        <f t="shared" si="35"/>
        <v>0</v>
      </c>
      <c r="AW41" s="2" t="str">
        <f t="shared" si="12"/>
        <v/>
      </c>
      <c r="AX41" s="10">
        <f t="shared" si="24"/>
        <v>0</v>
      </c>
      <c r="AY41" s="12" t="s">
        <v>107</v>
      </c>
      <c r="AZ41" s="31">
        <f t="shared" si="36"/>
        <v>0</v>
      </c>
    </row>
    <row r="42" spans="2:52">
      <c r="B42">
        <f t="shared" si="0"/>
        <v>0</v>
      </c>
      <c r="C42" s="28"/>
      <c r="E42" s="2" t="str">
        <f t="shared" si="1"/>
        <v/>
      </c>
      <c r="F42" s="10">
        <f t="shared" si="13"/>
        <v>0</v>
      </c>
      <c r="G42" s="12" t="s">
        <v>107</v>
      </c>
      <c r="H42" s="31">
        <f t="shared" si="25"/>
        <v>0</v>
      </c>
      <c r="I42" s="2" t="str">
        <f t="shared" si="2"/>
        <v/>
      </c>
      <c r="J42" s="10">
        <f t="shared" si="14"/>
        <v>0</v>
      </c>
      <c r="K42" s="12" t="s">
        <v>107</v>
      </c>
      <c r="L42" s="31">
        <f t="shared" si="37"/>
        <v>0</v>
      </c>
      <c r="M42" s="2" t="str">
        <f t="shared" si="3"/>
        <v/>
      </c>
      <c r="N42" s="10">
        <f t="shared" si="15"/>
        <v>0</v>
      </c>
      <c r="O42" s="12" t="s">
        <v>107</v>
      </c>
      <c r="P42" s="31">
        <f t="shared" si="38"/>
        <v>0</v>
      </c>
      <c r="Q42" s="2" t="str">
        <f t="shared" si="4"/>
        <v/>
      </c>
      <c r="R42" s="10">
        <f t="shared" si="16"/>
        <v>0</v>
      </c>
      <c r="S42" s="12" t="s">
        <v>107</v>
      </c>
      <c r="T42" s="31">
        <f t="shared" si="39"/>
        <v>0</v>
      </c>
      <c r="U42" s="2" t="str">
        <f t="shared" si="5"/>
        <v/>
      </c>
      <c r="V42" s="10">
        <f t="shared" si="17"/>
        <v>0</v>
      </c>
      <c r="W42" s="12" t="s">
        <v>107</v>
      </c>
      <c r="X42" s="31">
        <f t="shared" si="40"/>
        <v>0</v>
      </c>
      <c r="Y42" s="2" t="str">
        <f t="shared" si="6"/>
        <v/>
      </c>
      <c r="Z42" s="10">
        <f t="shared" si="18"/>
        <v>0</v>
      </c>
      <c r="AA42" s="12" t="s">
        <v>107</v>
      </c>
      <c r="AB42" s="31">
        <f t="shared" si="41"/>
        <v>0</v>
      </c>
      <c r="AC42" s="2" t="str">
        <f t="shared" si="7"/>
        <v/>
      </c>
      <c r="AD42" s="10">
        <f t="shared" si="19"/>
        <v>0</v>
      </c>
      <c r="AE42" s="12" t="s">
        <v>107</v>
      </c>
      <c r="AF42" s="31">
        <f t="shared" si="42"/>
        <v>0</v>
      </c>
      <c r="AG42" s="2" t="str">
        <f t="shared" si="8"/>
        <v/>
      </c>
      <c r="AH42" s="10">
        <f t="shared" si="20"/>
        <v>0</v>
      </c>
      <c r="AI42" s="12" t="s">
        <v>107</v>
      </c>
      <c r="AJ42" s="31">
        <f t="shared" si="43"/>
        <v>0</v>
      </c>
      <c r="AK42" s="2" t="str">
        <f t="shared" si="9"/>
        <v/>
      </c>
      <c r="AL42" s="10">
        <f t="shared" si="21"/>
        <v>0</v>
      </c>
      <c r="AM42" s="12" t="s">
        <v>107</v>
      </c>
      <c r="AN42" s="31">
        <f t="shared" si="44"/>
        <v>0</v>
      </c>
      <c r="AO42" s="2" t="str">
        <f t="shared" si="10"/>
        <v/>
      </c>
      <c r="AP42" s="10">
        <f t="shared" si="22"/>
        <v>0</v>
      </c>
      <c r="AQ42" s="12" t="s">
        <v>107</v>
      </c>
      <c r="AR42" s="31">
        <f t="shared" si="45"/>
        <v>0</v>
      </c>
      <c r="AS42" s="2" t="str">
        <f t="shared" si="11"/>
        <v/>
      </c>
      <c r="AT42" s="10">
        <f t="shared" si="23"/>
        <v>0</v>
      </c>
      <c r="AU42" s="12" t="s">
        <v>107</v>
      </c>
      <c r="AV42" s="31">
        <f t="shared" si="35"/>
        <v>0</v>
      </c>
      <c r="AW42" s="2" t="str">
        <f t="shared" si="12"/>
        <v/>
      </c>
      <c r="AX42" s="10">
        <f t="shared" si="24"/>
        <v>0</v>
      </c>
      <c r="AY42" s="12" t="s">
        <v>107</v>
      </c>
      <c r="AZ42" s="31">
        <f t="shared" si="36"/>
        <v>0</v>
      </c>
    </row>
    <row r="43" spans="2:52">
      <c r="B43">
        <f t="shared" si="0"/>
        <v>0</v>
      </c>
      <c r="C43" s="28"/>
      <c r="E43" s="2" t="str">
        <f t="shared" si="1"/>
        <v/>
      </c>
      <c r="F43" s="10">
        <f t="shared" si="13"/>
        <v>0</v>
      </c>
      <c r="G43" s="12" t="s">
        <v>107</v>
      </c>
      <c r="H43" s="31">
        <f t="shared" si="25"/>
        <v>0</v>
      </c>
      <c r="I43" s="2" t="str">
        <f t="shared" si="2"/>
        <v/>
      </c>
      <c r="J43" s="10">
        <f t="shared" si="14"/>
        <v>0</v>
      </c>
      <c r="K43" s="12" t="s">
        <v>107</v>
      </c>
      <c r="L43" s="31">
        <f t="shared" si="37"/>
        <v>0</v>
      </c>
      <c r="M43" s="2" t="str">
        <f t="shared" si="3"/>
        <v/>
      </c>
      <c r="N43" s="10">
        <f t="shared" si="15"/>
        <v>0</v>
      </c>
      <c r="O43" s="12" t="s">
        <v>107</v>
      </c>
      <c r="P43" s="31">
        <f t="shared" si="38"/>
        <v>0</v>
      </c>
      <c r="Q43" s="2" t="str">
        <f t="shared" si="4"/>
        <v/>
      </c>
      <c r="R43" s="10">
        <f t="shared" si="16"/>
        <v>0</v>
      </c>
      <c r="S43" s="12" t="s">
        <v>107</v>
      </c>
      <c r="T43" s="31">
        <f t="shared" si="39"/>
        <v>0</v>
      </c>
      <c r="U43" s="2" t="str">
        <f t="shared" si="5"/>
        <v/>
      </c>
      <c r="V43" s="10">
        <f t="shared" si="17"/>
        <v>0</v>
      </c>
      <c r="W43" s="12" t="s">
        <v>107</v>
      </c>
      <c r="X43" s="31">
        <f t="shared" si="40"/>
        <v>0</v>
      </c>
      <c r="Y43" s="2" t="str">
        <f t="shared" si="6"/>
        <v/>
      </c>
      <c r="Z43" s="10">
        <f t="shared" si="18"/>
        <v>0</v>
      </c>
      <c r="AA43" s="12" t="s">
        <v>107</v>
      </c>
      <c r="AB43" s="31">
        <f t="shared" si="41"/>
        <v>0</v>
      </c>
      <c r="AC43" s="2" t="str">
        <f t="shared" si="7"/>
        <v/>
      </c>
      <c r="AD43" s="10">
        <f t="shared" si="19"/>
        <v>0</v>
      </c>
      <c r="AE43" s="12" t="s">
        <v>107</v>
      </c>
      <c r="AF43" s="31">
        <f t="shared" si="42"/>
        <v>0</v>
      </c>
      <c r="AG43" s="2" t="str">
        <f t="shared" si="8"/>
        <v/>
      </c>
      <c r="AH43" s="10">
        <f t="shared" si="20"/>
        <v>0</v>
      </c>
      <c r="AI43" s="12" t="s">
        <v>107</v>
      </c>
      <c r="AJ43" s="31">
        <f t="shared" si="43"/>
        <v>0</v>
      </c>
      <c r="AK43" s="2" t="str">
        <f t="shared" si="9"/>
        <v/>
      </c>
      <c r="AL43" s="10">
        <f t="shared" si="21"/>
        <v>0</v>
      </c>
      <c r="AM43" s="12" t="s">
        <v>107</v>
      </c>
      <c r="AN43" s="31">
        <f t="shared" si="44"/>
        <v>0</v>
      </c>
      <c r="AO43" s="2" t="str">
        <f t="shared" si="10"/>
        <v/>
      </c>
      <c r="AP43" s="10">
        <f t="shared" si="22"/>
        <v>0</v>
      </c>
      <c r="AQ43" s="12" t="s">
        <v>107</v>
      </c>
      <c r="AR43" s="31">
        <f t="shared" si="45"/>
        <v>0</v>
      </c>
      <c r="AS43" s="2" t="str">
        <f t="shared" si="11"/>
        <v/>
      </c>
      <c r="AT43" s="10">
        <f t="shared" si="23"/>
        <v>0</v>
      </c>
      <c r="AU43" s="12" t="s">
        <v>107</v>
      </c>
      <c r="AV43" s="31">
        <f t="shared" si="35"/>
        <v>0</v>
      </c>
      <c r="AW43" s="2" t="str">
        <f t="shared" si="12"/>
        <v/>
      </c>
      <c r="AX43" s="10">
        <f t="shared" si="24"/>
        <v>0</v>
      </c>
      <c r="AY43" s="12" t="s">
        <v>107</v>
      </c>
      <c r="AZ43" s="31">
        <f t="shared" si="36"/>
        <v>0</v>
      </c>
    </row>
    <row r="44" spans="2:52">
      <c r="B44">
        <f t="shared" si="0"/>
        <v>0</v>
      </c>
      <c r="C44" s="28"/>
      <c r="E44" s="2" t="str">
        <f t="shared" si="1"/>
        <v/>
      </c>
      <c r="F44" s="10">
        <f t="shared" si="13"/>
        <v>0</v>
      </c>
      <c r="G44" s="12" t="s">
        <v>107</v>
      </c>
      <c r="H44" s="31">
        <f t="shared" si="25"/>
        <v>0</v>
      </c>
      <c r="I44" s="2" t="str">
        <f t="shared" si="2"/>
        <v/>
      </c>
      <c r="J44" s="10">
        <f t="shared" si="14"/>
        <v>0</v>
      </c>
      <c r="K44" s="12" t="s">
        <v>107</v>
      </c>
      <c r="L44" s="31">
        <f t="shared" si="37"/>
        <v>0</v>
      </c>
      <c r="M44" s="2" t="str">
        <f t="shared" si="3"/>
        <v/>
      </c>
      <c r="N44" s="10">
        <f t="shared" si="15"/>
        <v>0</v>
      </c>
      <c r="O44" s="12" t="s">
        <v>107</v>
      </c>
      <c r="P44" s="31">
        <f t="shared" si="38"/>
        <v>0</v>
      </c>
      <c r="Q44" s="2" t="str">
        <f t="shared" si="4"/>
        <v/>
      </c>
      <c r="R44" s="10">
        <f t="shared" si="16"/>
        <v>0</v>
      </c>
      <c r="S44" s="12" t="s">
        <v>107</v>
      </c>
      <c r="T44" s="31">
        <f t="shared" si="39"/>
        <v>0</v>
      </c>
      <c r="U44" s="2" t="str">
        <f t="shared" si="5"/>
        <v/>
      </c>
      <c r="V44" s="10">
        <f t="shared" si="17"/>
        <v>0</v>
      </c>
      <c r="W44" s="12" t="s">
        <v>107</v>
      </c>
      <c r="X44" s="31">
        <f t="shared" si="40"/>
        <v>0</v>
      </c>
      <c r="Y44" s="2" t="str">
        <f t="shared" si="6"/>
        <v/>
      </c>
      <c r="Z44" s="10">
        <f t="shared" si="18"/>
        <v>0</v>
      </c>
      <c r="AA44" s="12" t="s">
        <v>107</v>
      </c>
      <c r="AB44" s="31">
        <f t="shared" si="41"/>
        <v>0</v>
      </c>
      <c r="AC44" s="2" t="str">
        <f t="shared" si="7"/>
        <v/>
      </c>
      <c r="AD44" s="10">
        <f t="shared" si="19"/>
        <v>0</v>
      </c>
      <c r="AE44" s="12" t="s">
        <v>107</v>
      </c>
      <c r="AF44" s="31">
        <f t="shared" si="42"/>
        <v>0</v>
      </c>
      <c r="AG44" s="2" t="str">
        <f t="shared" si="8"/>
        <v/>
      </c>
      <c r="AH44" s="10">
        <f t="shared" si="20"/>
        <v>0</v>
      </c>
      <c r="AI44" s="12" t="s">
        <v>107</v>
      </c>
      <c r="AJ44" s="31">
        <f t="shared" si="43"/>
        <v>0</v>
      </c>
      <c r="AK44" s="2" t="str">
        <f t="shared" si="9"/>
        <v/>
      </c>
      <c r="AL44" s="10">
        <f t="shared" si="21"/>
        <v>0</v>
      </c>
      <c r="AM44" s="12" t="s">
        <v>107</v>
      </c>
      <c r="AN44" s="31">
        <f t="shared" si="44"/>
        <v>0</v>
      </c>
      <c r="AO44" s="2" t="str">
        <f t="shared" si="10"/>
        <v/>
      </c>
      <c r="AP44" s="10">
        <f t="shared" si="22"/>
        <v>0</v>
      </c>
      <c r="AQ44" s="12" t="s">
        <v>107</v>
      </c>
      <c r="AR44" s="31">
        <f t="shared" si="45"/>
        <v>0</v>
      </c>
      <c r="AS44" s="2" t="str">
        <f t="shared" si="11"/>
        <v/>
      </c>
      <c r="AT44" s="10">
        <f t="shared" si="23"/>
        <v>0</v>
      </c>
      <c r="AU44" s="12" t="s">
        <v>107</v>
      </c>
      <c r="AV44" s="31">
        <f t="shared" si="35"/>
        <v>0</v>
      </c>
      <c r="AW44" s="2" t="str">
        <f t="shared" si="12"/>
        <v/>
      </c>
      <c r="AX44" s="10">
        <f t="shared" si="24"/>
        <v>0</v>
      </c>
      <c r="AY44" s="12" t="s">
        <v>107</v>
      </c>
      <c r="AZ44" s="31">
        <f t="shared" si="36"/>
        <v>0</v>
      </c>
    </row>
    <row r="45" spans="2:52">
      <c r="B45">
        <f t="shared" si="0"/>
        <v>0</v>
      </c>
      <c r="C45" s="28"/>
      <c r="E45" s="2" t="str">
        <f t="shared" si="1"/>
        <v/>
      </c>
      <c r="F45" s="10">
        <f t="shared" si="13"/>
        <v>0</v>
      </c>
      <c r="G45" s="12" t="s">
        <v>107</v>
      </c>
      <c r="H45" s="31">
        <f t="shared" si="25"/>
        <v>0</v>
      </c>
      <c r="I45" s="2" t="str">
        <f t="shared" si="2"/>
        <v/>
      </c>
      <c r="J45" s="10">
        <f t="shared" si="14"/>
        <v>0</v>
      </c>
      <c r="K45" s="12" t="s">
        <v>107</v>
      </c>
      <c r="L45" s="31">
        <f t="shared" si="37"/>
        <v>0</v>
      </c>
      <c r="M45" s="2" t="str">
        <f t="shared" si="3"/>
        <v/>
      </c>
      <c r="N45" s="10">
        <f t="shared" si="15"/>
        <v>0</v>
      </c>
      <c r="O45" s="12" t="s">
        <v>107</v>
      </c>
      <c r="P45" s="31">
        <f t="shared" si="38"/>
        <v>0</v>
      </c>
      <c r="Q45" s="2" t="str">
        <f t="shared" si="4"/>
        <v/>
      </c>
      <c r="R45" s="10">
        <f t="shared" si="16"/>
        <v>0</v>
      </c>
      <c r="S45" s="12" t="s">
        <v>107</v>
      </c>
      <c r="T45" s="31">
        <f t="shared" si="39"/>
        <v>0</v>
      </c>
      <c r="U45" s="2" t="str">
        <f t="shared" si="5"/>
        <v/>
      </c>
      <c r="V45" s="10">
        <f t="shared" si="17"/>
        <v>0</v>
      </c>
      <c r="W45" s="12" t="s">
        <v>107</v>
      </c>
      <c r="X45" s="31">
        <f t="shared" si="40"/>
        <v>0</v>
      </c>
      <c r="Y45" s="2" t="str">
        <f t="shared" si="6"/>
        <v/>
      </c>
      <c r="Z45" s="10">
        <f t="shared" si="18"/>
        <v>0</v>
      </c>
      <c r="AA45" s="12" t="s">
        <v>107</v>
      </c>
      <c r="AB45" s="31">
        <f t="shared" si="41"/>
        <v>0</v>
      </c>
      <c r="AC45" s="2" t="str">
        <f t="shared" si="7"/>
        <v/>
      </c>
      <c r="AD45" s="10">
        <f t="shared" si="19"/>
        <v>0</v>
      </c>
      <c r="AE45" s="12" t="s">
        <v>107</v>
      </c>
      <c r="AF45" s="31">
        <f t="shared" si="42"/>
        <v>0</v>
      </c>
      <c r="AG45" s="2" t="str">
        <f t="shared" si="8"/>
        <v/>
      </c>
      <c r="AH45" s="10">
        <f t="shared" si="20"/>
        <v>0</v>
      </c>
      <c r="AI45" s="12" t="s">
        <v>107</v>
      </c>
      <c r="AJ45" s="31">
        <f t="shared" si="43"/>
        <v>0</v>
      </c>
      <c r="AK45" s="2" t="str">
        <f t="shared" si="9"/>
        <v/>
      </c>
      <c r="AL45" s="10">
        <f t="shared" si="21"/>
        <v>0</v>
      </c>
      <c r="AM45" s="12" t="s">
        <v>107</v>
      </c>
      <c r="AN45" s="31">
        <f t="shared" si="44"/>
        <v>0</v>
      </c>
      <c r="AO45" s="2" t="str">
        <f t="shared" si="10"/>
        <v/>
      </c>
      <c r="AP45" s="10">
        <f t="shared" si="22"/>
        <v>0</v>
      </c>
      <c r="AQ45" s="12" t="s">
        <v>107</v>
      </c>
      <c r="AR45" s="31">
        <f t="shared" si="45"/>
        <v>0</v>
      </c>
      <c r="AS45" s="2" t="str">
        <f t="shared" si="11"/>
        <v/>
      </c>
      <c r="AT45" s="10">
        <f t="shared" si="23"/>
        <v>0</v>
      </c>
      <c r="AU45" s="12" t="s">
        <v>107</v>
      </c>
      <c r="AV45" s="31">
        <f t="shared" si="35"/>
        <v>0</v>
      </c>
      <c r="AW45" s="2" t="str">
        <f t="shared" si="12"/>
        <v/>
      </c>
      <c r="AX45" s="10">
        <f t="shared" si="24"/>
        <v>0</v>
      </c>
      <c r="AY45" s="12" t="s">
        <v>107</v>
      </c>
      <c r="AZ45" s="31">
        <f t="shared" si="36"/>
        <v>0</v>
      </c>
    </row>
    <row r="46" spans="2:52">
      <c r="B46">
        <f t="shared" si="0"/>
        <v>0</v>
      </c>
      <c r="C46" s="28"/>
      <c r="E46" s="2" t="str">
        <f t="shared" si="1"/>
        <v/>
      </c>
      <c r="F46" s="10">
        <f t="shared" si="13"/>
        <v>0</v>
      </c>
      <c r="G46" s="12" t="s">
        <v>107</v>
      </c>
      <c r="H46" s="31">
        <f t="shared" si="25"/>
        <v>0</v>
      </c>
      <c r="I46" s="2" t="str">
        <f t="shared" si="2"/>
        <v/>
      </c>
      <c r="J46" s="10">
        <f t="shared" si="14"/>
        <v>0</v>
      </c>
      <c r="K46" s="12" t="s">
        <v>107</v>
      </c>
      <c r="L46" s="31">
        <f t="shared" si="37"/>
        <v>0</v>
      </c>
      <c r="M46" s="2" t="str">
        <f t="shared" si="3"/>
        <v/>
      </c>
      <c r="N46" s="10">
        <f t="shared" si="15"/>
        <v>0</v>
      </c>
      <c r="O46" s="12" t="s">
        <v>107</v>
      </c>
      <c r="P46" s="31">
        <f t="shared" si="38"/>
        <v>0</v>
      </c>
      <c r="Q46" s="2" t="str">
        <f t="shared" si="4"/>
        <v/>
      </c>
      <c r="R46" s="10">
        <f t="shared" si="16"/>
        <v>0</v>
      </c>
      <c r="S46" s="12" t="s">
        <v>107</v>
      </c>
      <c r="T46" s="31">
        <f t="shared" si="39"/>
        <v>0</v>
      </c>
      <c r="U46" s="2" t="str">
        <f t="shared" si="5"/>
        <v/>
      </c>
      <c r="V46" s="10">
        <f t="shared" si="17"/>
        <v>0</v>
      </c>
      <c r="W46" s="12" t="s">
        <v>107</v>
      </c>
      <c r="X46" s="31">
        <f t="shared" si="40"/>
        <v>0</v>
      </c>
      <c r="Y46" s="2" t="str">
        <f t="shared" si="6"/>
        <v/>
      </c>
      <c r="Z46" s="10">
        <f t="shared" si="18"/>
        <v>0</v>
      </c>
      <c r="AA46" s="12" t="s">
        <v>107</v>
      </c>
      <c r="AB46" s="31">
        <f t="shared" si="41"/>
        <v>0</v>
      </c>
      <c r="AC46" s="2" t="str">
        <f t="shared" si="7"/>
        <v/>
      </c>
      <c r="AD46" s="10">
        <f t="shared" si="19"/>
        <v>0</v>
      </c>
      <c r="AE46" s="12" t="s">
        <v>107</v>
      </c>
      <c r="AF46" s="31">
        <f t="shared" si="42"/>
        <v>0</v>
      </c>
      <c r="AG46" s="2" t="str">
        <f t="shared" si="8"/>
        <v/>
      </c>
      <c r="AH46" s="10">
        <f t="shared" si="20"/>
        <v>0</v>
      </c>
      <c r="AI46" s="12" t="s">
        <v>107</v>
      </c>
      <c r="AJ46" s="31">
        <f t="shared" si="43"/>
        <v>0</v>
      </c>
      <c r="AK46" s="2" t="str">
        <f t="shared" si="9"/>
        <v/>
      </c>
      <c r="AL46" s="10">
        <f t="shared" si="21"/>
        <v>0</v>
      </c>
      <c r="AM46" s="12" t="s">
        <v>107</v>
      </c>
      <c r="AN46" s="31">
        <f t="shared" si="44"/>
        <v>0</v>
      </c>
      <c r="AO46" s="2" t="str">
        <f t="shared" si="10"/>
        <v/>
      </c>
      <c r="AP46" s="10">
        <f t="shared" si="22"/>
        <v>0</v>
      </c>
      <c r="AQ46" s="12" t="s">
        <v>107</v>
      </c>
      <c r="AR46" s="31">
        <f t="shared" si="45"/>
        <v>0</v>
      </c>
      <c r="AS46" s="2" t="str">
        <f t="shared" si="11"/>
        <v/>
      </c>
      <c r="AT46" s="10">
        <f t="shared" si="23"/>
        <v>0</v>
      </c>
      <c r="AU46" s="12" t="s">
        <v>107</v>
      </c>
      <c r="AV46" s="31">
        <f t="shared" si="35"/>
        <v>0</v>
      </c>
      <c r="AW46" s="2" t="str">
        <f t="shared" si="12"/>
        <v/>
      </c>
      <c r="AX46" s="10">
        <f t="shared" si="24"/>
        <v>0</v>
      </c>
      <c r="AY46" s="12" t="s">
        <v>107</v>
      </c>
      <c r="AZ46" s="31">
        <f t="shared" si="36"/>
        <v>0</v>
      </c>
    </row>
    <row r="47" spans="2:52">
      <c r="B47">
        <f t="shared" si="0"/>
        <v>0</v>
      </c>
      <c r="C47" s="28"/>
      <c r="E47" s="2" t="str">
        <f t="shared" si="1"/>
        <v/>
      </c>
      <c r="F47" s="10">
        <f t="shared" si="13"/>
        <v>0</v>
      </c>
      <c r="G47" s="12" t="s">
        <v>107</v>
      </c>
      <c r="H47" s="31">
        <f t="shared" si="25"/>
        <v>0</v>
      </c>
      <c r="I47" s="2" t="str">
        <f t="shared" si="2"/>
        <v/>
      </c>
      <c r="J47" s="10">
        <f t="shared" si="14"/>
        <v>0</v>
      </c>
      <c r="K47" s="12" t="s">
        <v>107</v>
      </c>
      <c r="L47" s="31">
        <f t="shared" si="37"/>
        <v>0</v>
      </c>
      <c r="M47" s="2" t="str">
        <f t="shared" si="3"/>
        <v/>
      </c>
      <c r="N47" s="10">
        <f t="shared" si="15"/>
        <v>0</v>
      </c>
      <c r="O47" s="12" t="s">
        <v>107</v>
      </c>
      <c r="P47" s="31">
        <f t="shared" si="38"/>
        <v>0</v>
      </c>
      <c r="Q47" s="2" t="str">
        <f t="shared" si="4"/>
        <v/>
      </c>
      <c r="R47" s="10">
        <f t="shared" si="16"/>
        <v>0</v>
      </c>
      <c r="S47" s="12" t="s">
        <v>107</v>
      </c>
      <c r="T47" s="31">
        <f t="shared" si="39"/>
        <v>0</v>
      </c>
      <c r="U47" s="2" t="str">
        <f t="shared" si="5"/>
        <v/>
      </c>
      <c r="V47" s="10">
        <f t="shared" si="17"/>
        <v>0</v>
      </c>
      <c r="W47" s="12" t="s">
        <v>107</v>
      </c>
      <c r="X47" s="31">
        <f t="shared" si="40"/>
        <v>0</v>
      </c>
      <c r="Y47" s="2" t="str">
        <f t="shared" si="6"/>
        <v/>
      </c>
      <c r="Z47" s="10">
        <f t="shared" si="18"/>
        <v>0</v>
      </c>
      <c r="AA47" s="12" t="s">
        <v>107</v>
      </c>
      <c r="AB47" s="31">
        <f t="shared" si="41"/>
        <v>0</v>
      </c>
      <c r="AC47" s="2" t="str">
        <f t="shared" si="7"/>
        <v/>
      </c>
      <c r="AD47" s="10">
        <f t="shared" si="19"/>
        <v>0</v>
      </c>
      <c r="AE47" s="12" t="s">
        <v>107</v>
      </c>
      <c r="AF47" s="31">
        <f t="shared" si="42"/>
        <v>0</v>
      </c>
      <c r="AG47" s="2" t="str">
        <f t="shared" si="8"/>
        <v/>
      </c>
      <c r="AH47" s="10">
        <f t="shared" si="20"/>
        <v>0</v>
      </c>
      <c r="AI47" s="12" t="s">
        <v>107</v>
      </c>
      <c r="AJ47" s="31">
        <f t="shared" si="43"/>
        <v>0</v>
      </c>
      <c r="AK47" s="2" t="str">
        <f t="shared" si="9"/>
        <v/>
      </c>
      <c r="AL47" s="10">
        <f t="shared" si="21"/>
        <v>0</v>
      </c>
      <c r="AM47" s="12" t="s">
        <v>107</v>
      </c>
      <c r="AN47" s="31">
        <f t="shared" si="44"/>
        <v>0</v>
      </c>
      <c r="AO47" s="2" t="str">
        <f t="shared" si="10"/>
        <v/>
      </c>
      <c r="AP47" s="10">
        <f t="shared" si="22"/>
        <v>0</v>
      </c>
      <c r="AQ47" s="12" t="s">
        <v>107</v>
      </c>
      <c r="AR47" s="31">
        <f t="shared" si="45"/>
        <v>0</v>
      </c>
      <c r="AS47" s="2" t="str">
        <f t="shared" si="11"/>
        <v/>
      </c>
      <c r="AT47" s="10">
        <f t="shared" si="23"/>
        <v>0</v>
      </c>
      <c r="AU47" s="12" t="s">
        <v>107</v>
      </c>
      <c r="AV47" s="31">
        <f t="shared" si="35"/>
        <v>0</v>
      </c>
      <c r="AW47" s="2" t="str">
        <f t="shared" si="12"/>
        <v/>
      </c>
      <c r="AX47" s="10">
        <f t="shared" si="24"/>
        <v>0</v>
      </c>
      <c r="AY47" s="12" t="s">
        <v>107</v>
      </c>
      <c r="AZ47" s="31">
        <f t="shared" si="36"/>
        <v>0</v>
      </c>
    </row>
    <row r="48" spans="2:52">
      <c r="B48">
        <f t="shared" si="0"/>
        <v>0</v>
      </c>
      <c r="C48" s="28"/>
      <c r="E48" s="2" t="str">
        <f t="shared" si="1"/>
        <v/>
      </c>
      <c r="F48" s="10">
        <f t="shared" si="13"/>
        <v>0</v>
      </c>
      <c r="G48" s="12" t="s">
        <v>107</v>
      </c>
      <c r="H48" s="31">
        <f t="shared" si="25"/>
        <v>0</v>
      </c>
      <c r="I48" s="2" t="str">
        <f t="shared" si="2"/>
        <v/>
      </c>
      <c r="J48" s="10">
        <f t="shared" si="14"/>
        <v>0</v>
      </c>
      <c r="K48" s="12" t="s">
        <v>107</v>
      </c>
      <c r="L48" s="31">
        <f t="shared" si="37"/>
        <v>0</v>
      </c>
      <c r="M48" s="2" t="str">
        <f t="shared" si="3"/>
        <v/>
      </c>
      <c r="N48" s="10">
        <f t="shared" si="15"/>
        <v>0</v>
      </c>
      <c r="O48" s="12" t="s">
        <v>107</v>
      </c>
      <c r="P48" s="31">
        <f t="shared" si="38"/>
        <v>0</v>
      </c>
      <c r="Q48" s="2" t="str">
        <f t="shared" si="4"/>
        <v/>
      </c>
      <c r="R48" s="10">
        <f t="shared" si="16"/>
        <v>0</v>
      </c>
      <c r="S48" s="12" t="s">
        <v>107</v>
      </c>
      <c r="T48" s="31">
        <f t="shared" si="39"/>
        <v>0</v>
      </c>
      <c r="U48" s="2" t="str">
        <f t="shared" si="5"/>
        <v/>
      </c>
      <c r="V48" s="10">
        <f t="shared" si="17"/>
        <v>0</v>
      </c>
      <c r="W48" s="12" t="s">
        <v>107</v>
      </c>
      <c r="X48" s="31">
        <f t="shared" si="40"/>
        <v>0</v>
      </c>
      <c r="Y48" s="2" t="str">
        <f t="shared" si="6"/>
        <v/>
      </c>
      <c r="Z48" s="10">
        <f t="shared" si="18"/>
        <v>0</v>
      </c>
      <c r="AA48" s="12" t="s">
        <v>107</v>
      </c>
      <c r="AB48" s="31">
        <f t="shared" si="41"/>
        <v>0</v>
      </c>
      <c r="AC48" s="2" t="str">
        <f t="shared" si="7"/>
        <v/>
      </c>
      <c r="AD48" s="10">
        <f t="shared" si="19"/>
        <v>0</v>
      </c>
      <c r="AE48" s="12" t="s">
        <v>107</v>
      </c>
      <c r="AF48" s="31">
        <f t="shared" si="42"/>
        <v>0</v>
      </c>
      <c r="AG48" s="2" t="str">
        <f t="shared" si="8"/>
        <v/>
      </c>
      <c r="AH48" s="10">
        <f t="shared" si="20"/>
        <v>0</v>
      </c>
      <c r="AI48" s="12" t="s">
        <v>107</v>
      </c>
      <c r="AJ48" s="31">
        <f t="shared" si="43"/>
        <v>0</v>
      </c>
      <c r="AK48" s="2" t="str">
        <f t="shared" si="9"/>
        <v/>
      </c>
      <c r="AL48" s="10">
        <f t="shared" si="21"/>
        <v>0</v>
      </c>
      <c r="AM48" s="12" t="s">
        <v>107</v>
      </c>
      <c r="AN48" s="31">
        <f t="shared" si="44"/>
        <v>0</v>
      </c>
      <c r="AO48" s="2" t="str">
        <f t="shared" si="10"/>
        <v/>
      </c>
      <c r="AP48" s="10">
        <f t="shared" si="22"/>
        <v>0</v>
      </c>
      <c r="AQ48" s="12" t="s">
        <v>107</v>
      </c>
      <c r="AR48" s="31">
        <f t="shared" si="45"/>
        <v>0</v>
      </c>
      <c r="AS48" s="2" t="str">
        <f t="shared" si="11"/>
        <v/>
      </c>
      <c r="AT48" s="10">
        <f t="shared" si="23"/>
        <v>0</v>
      </c>
      <c r="AU48" s="12" t="s">
        <v>107</v>
      </c>
      <c r="AV48" s="31">
        <f t="shared" si="35"/>
        <v>0</v>
      </c>
      <c r="AW48" s="2" t="str">
        <f t="shared" si="12"/>
        <v/>
      </c>
      <c r="AX48" s="10">
        <f t="shared" si="24"/>
        <v>0</v>
      </c>
      <c r="AY48" s="12" t="s">
        <v>107</v>
      </c>
      <c r="AZ48" s="31">
        <f t="shared" si="36"/>
        <v>0</v>
      </c>
    </row>
    <row r="49" spans="2:52">
      <c r="B49">
        <f t="shared" si="0"/>
        <v>0</v>
      </c>
      <c r="C49" s="28"/>
      <c r="E49" s="2" t="str">
        <f t="shared" si="1"/>
        <v/>
      </c>
      <c r="F49" s="10">
        <f t="shared" si="13"/>
        <v>0</v>
      </c>
      <c r="G49" s="12" t="s">
        <v>107</v>
      </c>
      <c r="H49" s="31">
        <f t="shared" si="25"/>
        <v>0</v>
      </c>
      <c r="I49" s="2" t="str">
        <f t="shared" si="2"/>
        <v/>
      </c>
      <c r="J49" s="10">
        <f t="shared" si="14"/>
        <v>0</v>
      </c>
      <c r="K49" s="12" t="s">
        <v>107</v>
      </c>
      <c r="L49" s="31">
        <f t="shared" si="37"/>
        <v>0</v>
      </c>
      <c r="M49" s="2" t="str">
        <f t="shared" si="3"/>
        <v/>
      </c>
      <c r="N49" s="10">
        <f t="shared" si="15"/>
        <v>0</v>
      </c>
      <c r="O49" s="12" t="s">
        <v>107</v>
      </c>
      <c r="P49" s="31">
        <f t="shared" si="38"/>
        <v>0</v>
      </c>
      <c r="Q49" s="2" t="str">
        <f t="shared" si="4"/>
        <v/>
      </c>
      <c r="R49" s="10">
        <f t="shared" si="16"/>
        <v>0</v>
      </c>
      <c r="S49" s="12" t="s">
        <v>107</v>
      </c>
      <c r="T49" s="31">
        <f t="shared" si="39"/>
        <v>0</v>
      </c>
      <c r="U49" s="2" t="str">
        <f t="shared" si="5"/>
        <v/>
      </c>
      <c r="V49" s="10">
        <f t="shared" si="17"/>
        <v>0</v>
      </c>
      <c r="W49" s="12" t="s">
        <v>107</v>
      </c>
      <c r="X49" s="31">
        <f t="shared" si="40"/>
        <v>0</v>
      </c>
      <c r="Y49" s="2" t="str">
        <f t="shared" si="6"/>
        <v/>
      </c>
      <c r="Z49" s="10">
        <f t="shared" si="18"/>
        <v>0</v>
      </c>
      <c r="AA49" s="12" t="s">
        <v>107</v>
      </c>
      <c r="AB49" s="31">
        <f t="shared" si="41"/>
        <v>0</v>
      </c>
      <c r="AC49" s="2" t="str">
        <f t="shared" si="7"/>
        <v/>
      </c>
      <c r="AD49" s="10">
        <f t="shared" si="19"/>
        <v>0</v>
      </c>
      <c r="AE49" s="12" t="s">
        <v>107</v>
      </c>
      <c r="AF49" s="31">
        <f t="shared" si="42"/>
        <v>0</v>
      </c>
      <c r="AG49" s="2" t="str">
        <f t="shared" si="8"/>
        <v/>
      </c>
      <c r="AH49" s="10">
        <f t="shared" si="20"/>
        <v>0</v>
      </c>
      <c r="AI49" s="12" t="s">
        <v>107</v>
      </c>
      <c r="AJ49" s="31">
        <f t="shared" si="43"/>
        <v>0</v>
      </c>
      <c r="AK49" s="2" t="str">
        <f t="shared" si="9"/>
        <v/>
      </c>
      <c r="AL49" s="10">
        <f t="shared" si="21"/>
        <v>0</v>
      </c>
      <c r="AM49" s="12" t="s">
        <v>107</v>
      </c>
      <c r="AN49" s="31">
        <f t="shared" si="44"/>
        <v>0</v>
      </c>
      <c r="AO49" s="2" t="str">
        <f t="shared" si="10"/>
        <v/>
      </c>
      <c r="AP49" s="10">
        <f t="shared" si="22"/>
        <v>0</v>
      </c>
      <c r="AQ49" s="12" t="s">
        <v>107</v>
      </c>
      <c r="AR49" s="31">
        <f t="shared" si="45"/>
        <v>0</v>
      </c>
      <c r="AS49" s="2" t="str">
        <f t="shared" si="11"/>
        <v/>
      </c>
      <c r="AT49" s="10">
        <f t="shared" si="23"/>
        <v>0</v>
      </c>
      <c r="AU49" s="12" t="s">
        <v>107</v>
      </c>
      <c r="AV49" s="31">
        <f t="shared" si="35"/>
        <v>0</v>
      </c>
      <c r="AW49" s="2" t="str">
        <f t="shared" si="12"/>
        <v/>
      </c>
      <c r="AX49" s="10">
        <f t="shared" si="24"/>
        <v>0</v>
      </c>
      <c r="AY49" s="12" t="s">
        <v>107</v>
      </c>
      <c r="AZ49" s="31">
        <f t="shared" si="36"/>
        <v>0</v>
      </c>
    </row>
    <row r="50" spans="2:52">
      <c r="B50">
        <f t="shared" si="0"/>
        <v>0</v>
      </c>
      <c r="C50" s="28"/>
      <c r="E50" s="2" t="str">
        <f t="shared" si="1"/>
        <v/>
      </c>
      <c r="F50" s="10">
        <f t="shared" si="13"/>
        <v>0</v>
      </c>
      <c r="G50" s="12" t="s">
        <v>107</v>
      </c>
      <c r="H50" s="31">
        <f t="shared" si="25"/>
        <v>0</v>
      </c>
      <c r="I50" s="2" t="str">
        <f t="shared" si="2"/>
        <v/>
      </c>
      <c r="J50" s="10">
        <f t="shared" si="14"/>
        <v>0</v>
      </c>
      <c r="K50" s="12" t="s">
        <v>107</v>
      </c>
      <c r="L50" s="31">
        <f t="shared" si="37"/>
        <v>0</v>
      </c>
      <c r="M50" s="2" t="str">
        <f t="shared" si="3"/>
        <v/>
      </c>
      <c r="N50" s="10">
        <f t="shared" si="15"/>
        <v>0</v>
      </c>
      <c r="O50" s="12" t="s">
        <v>107</v>
      </c>
      <c r="P50" s="31">
        <f t="shared" si="38"/>
        <v>0</v>
      </c>
      <c r="Q50" s="2" t="str">
        <f t="shared" si="4"/>
        <v/>
      </c>
      <c r="R50" s="10">
        <f t="shared" si="16"/>
        <v>0</v>
      </c>
      <c r="S50" s="12" t="s">
        <v>107</v>
      </c>
      <c r="T50" s="31">
        <f t="shared" si="39"/>
        <v>0</v>
      </c>
      <c r="U50" s="2" t="str">
        <f t="shared" si="5"/>
        <v/>
      </c>
      <c r="V50" s="10">
        <f t="shared" si="17"/>
        <v>0</v>
      </c>
      <c r="W50" s="12" t="s">
        <v>107</v>
      </c>
      <c r="X50" s="31">
        <f t="shared" si="40"/>
        <v>0</v>
      </c>
      <c r="Y50" s="2" t="str">
        <f t="shared" si="6"/>
        <v/>
      </c>
      <c r="Z50" s="10">
        <f t="shared" si="18"/>
        <v>0</v>
      </c>
      <c r="AA50" s="12" t="s">
        <v>107</v>
      </c>
      <c r="AB50" s="31">
        <f t="shared" si="41"/>
        <v>0</v>
      </c>
      <c r="AC50" s="2" t="str">
        <f t="shared" si="7"/>
        <v/>
      </c>
      <c r="AD50" s="10">
        <f t="shared" si="19"/>
        <v>0</v>
      </c>
      <c r="AE50" s="12" t="s">
        <v>107</v>
      </c>
      <c r="AF50" s="31">
        <f t="shared" si="42"/>
        <v>0</v>
      </c>
      <c r="AG50" s="2" t="str">
        <f t="shared" si="8"/>
        <v/>
      </c>
      <c r="AH50" s="10">
        <f t="shared" si="20"/>
        <v>0</v>
      </c>
      <c r="AI50" s="12" t="s">
        <v>107</v>
      </c>
      <c r="AJ50" s="31">
        <f t="shared" si="43"/>
        <v>0</v>
      </c>
      <c r="AK50" s="2" t="str">
        <f t="shared" si="9"/>
        <v/>
      </c>
      <c r="AL50" s="10">
        <f t="shared" si="21"/>
        <v>0</v>
      </c>
      <c r="AM50" s="12" t="s">
        <v>107</v>
      </c>
      <c r="AN50" s="31">
        <f t="shared" si="44"/>
        <v>0</v>
      </c>
      <c r="AO50" s="2" t="str">
        <f t="shared" si="10"/>
        <v/>
      </c>
      <c r="AP50" s="10">
        <f t="shared" si="22"/>
        <v>0</v>
      </c>
      <c r="AQ50" s="12" t="s">
        <v>107</v>
      </c>
      <c r="AR50" s="31">
        <f t="shared" si="45"/>
        <v>0</v>
      </c>
      <c r="AS50" s="2" t="str">
        <f t="shared" si="11"/>
        <v/>
      </c>
      <c r="AT50" s="10">
        <f t="shared" si="23"/>
        <v>0</v>
      </c>
      <c r="AU50" s="12" t="s">
        <v>107</v>
      </c>
      <c r="AV50" s="31">
        <f t="shared" si="35"/>
        <v>0</v>
      </c>
      <c r="AW50" s="2" t="str">
        <f t="shared" si="12"/>
        <v/>
      </c>
      <c r="AX50" s="10">
        <f t="shared" si="24"/>
        <v>0</v>
      </c>
      <c r="AY50" s="12" t="s">
        <v>107</v>
      </c>
      <c r="AZ50" s="31">
        <f t="shared" si="36"/>
        <v>0</v>
      </c>
    </row>
    <row r="51" spans="2:52">
      <c r="B51">
        <f t="shared" si="0"/>
        <v>0</v>
      </c>
      <c r="C51" s="28"/>
      <c r="E51" s="2" t="str">
        <f t="shared" si="1"/>
        <v/>
      </c>
      <c r="F51" s="10">
        <f t="shared" si="13"/>
        <v>0</v>
      </c>
      <c r="G51" s="12" t="s">
        <v>107</v>
      </c>
      <c r="H51" s="31">
        <f t="shared" si="25"/>
        <v>0</v>
      </c>
      <c r="I51" s="2" t="str">
        <f t="shared" si="2"/>
        <v/>
      </c>
      <c r="J51" s="10">
        <f t="shared" si="14"/>
        <v>0</v>
      </c>
      <c r="K51" s="12" t="s">
        <v>107</v>
      </c>
      <c r="L51" s="31">
        <f t="shared" si="37"/>
        <v>0</v>
      </c>
      <c r="M51" s="2" t="str">
        <f t="shared" si="3"/>
        <v/>
      </c>
      <c r="N51" s="10">
        <f t="shared" si="15"/>
        <v>0</v>
      </c>
      <c r="O51" s="12" t="s">
        <v>107</v>
      </c>
      <c r="P51" s="31">
        <f t="shared" si="38"/>
        <v>0</v>
      </c>
      <c r="Q51" s="2" t="str">
        <f t="shared" si="4"/>
        <v/>
      </c>
      <c r="R51" s="10">
        <f t="shared" si="16"/>
        <v>0</v>
      </c>
      <c r="S51" s="12" t="s">
        <v>107</v>
      </c>
      <c r="T51" s="31">
        <f t="shared" si="39"/>
        <v>0</v>
      </c>
      <c r="U51" s="2" t="str">
        <f t="shared" si="5"/>
        <v/>
      </c>
      <c r="V51" s="10">
        <f t="shared" si="17"/>
        <v>0</v>
      </c>
      <c r="W51" s="12" t="s">
        <v>107</v>
      </c>
      <c r="X51" s="31">
        <f t="shared" si="40"/>
        <v>0</v>
      </c>
      <c r="Y51" s="2" t="str">
        <f t="shared" si="6"/>
        <v/>
      </c>
      <c r="Z51" s="10">
        <f t="shared" si="18"/>
        <v>0</v>
      </c>
      <c r="AA51" s="12" t="s">
        <v>107</v>
      </c>
      <c r="AB51" s="31">
        <f t="shared" si="41"/>
        <v>0</v>
      </c>
      <c r="AC51" s="2" t="str">
        <f t="shared" si="7"/>
        <v/>
      </c>
      <c r="AD51" s="10">
        <f t="shared" si="19"/>
        <v>0</v>
      </c>
      <c r="AE51" s="12" t="s">
        <v>107</v>
      </c>
      <c r="AF51" s="31">
        <f t="shared" si="42"/>
        <v>0</v>
      </c>
      <c r="AG51" s="2" t="str">
        <f t="shared" si="8"/>
        <v/>
      </c>
      <c r="AH51" s="10">
        <f t="shared" si="20"/>
        <v>0</v>
      </c>
      <c r="AI51" s="12" t="s">
        <v>107</v>
      </c>
      <c r="AJ51" s="31">
        <f t="shared" si="43"/>
        <v>0</v>
      </c>
      <c r="AK51" s="2" t="str">
        <f t="shared" si="9"/>
        <v/>
      </c>
      <c r="AL51" s="10">
        <f t="shared" si="21"/>
        <v>0</v>
      </c>
      <c r="AM51" s="12" t="s">
        <v>107</v>
      </c>
      <c r="AN51" s="31">
        <f t="shared" si="44"/>
        <v>0</v>
      </c>
      <c r="AO51" s="2" t="str">
        <f t="shared" si="10"/>
        <v/>
      </c>
      <c r="AP51" s="10">
        <f t="shared" si="22"/>
        <v>0</v>
      </c>
      <c r="AQ51" s="12" t="s">
        <v>107</v>
      </c>
      <c r="AR51" s="31">
        <f t="shared" si="45"/>
        <v>0</v>
      </c>
      <c r="AS51" s="2" t="str">
        <f t="shared" si="11"/>
        <v/>
      </c>
      <c r="AT51" s="10">
        <f t="shared" si="23"/>
        <v>0</v>
      </c>
      <c r="AU51" s="12" t="s">
        <v>107</v>
      </c>
      <c r="AV51" s="31">
        <f t="shared" si="35"/>
        <v>0</v>
      </c>
      <c r="AW51" s="2" t="str">
        <f t="shared" si="12"/>
        <v/>
      </c>
      <c r="AX51" s="10">
        <f t="shared" si="24"/>
        <v>0</v>
      </c>
      <c r="AY51" s="12" t="s">
        <v>107</v>
      </c>
      <c r="AZ51" s="31">
        <f t="shared" si="36"/>
        <v>0</v>
      </c>
    </row>
    <row r="52" spans="2:52">
      <c r="B52">
        <f t="shared" si="0"/>
        <v>0</v>
      </c>
      <c r="C52" s="28"/>
      <c r="E52" s="2" t="str">
        <f t="shared" si="1"/>
        <v/>
      </c>
      <c r="F52" s="10">
        <f t="shared" si="13"/>
        <v>0</v>
      </c>
      <c r="G52" s="12" t="s">
        <v>107</v>
      </c>
      <c r="H52" s="31">
        <f t="shared" si="25"/>
        <v>0</v>
      </c>
      <c r="I52" s="2" t="str">
        <f t="shared" si="2"/>
        <v/>
      </c>
      <c r="J52" s="10">
        <f t="shared" si="14"/>
        <v>0</v>
      </c>
      <c r="K52" s="12" t="s">
        <v>107</v>
      </c>
      <c r="L52" s="31">
        <f t="shared" si="37"/>
        <v>0</v>
      </c>
      <c r="M52" s="2" t="str">
        <f t="shared" si="3"/>
        <v/>
      </c>
      <c r="N52" s="10">
        <f t="shared" si="15"/>
        <v>0</v>
      </c>
      <c r="O52" s="12" t="s">
        <v>107</v>
      </c>
      <c r="P52" s="31">
        <f t="shared" si="38"/>
        <v>0</v>
      </c>
      <c r="Q52" s="2" t="str">
        <f t="shared" si="4"/>
        <v/>
      </c>
      <c r="R52" s="10">
        <f t="shared" si="16"/>
        <v>0</v>
      </c>
      <c r="S52" s="12" t="s">
        <v>107</v>
      </c>
      <c r="T52" s="31">
        <f t="shared" si="39"/>
        <v>0</v>
      </c>
      <c r="U52" s="2" t="str">
        <f t="shared" si="5"/>
        <v/>
      </c>
      <c r="V52" s="10">
        <f t="shared" si="17"/>
        <v>0</v>
      </c>
      <c r="W52" s="12" t="s">
        <v>107</v>
      </c>
      <c r="X52" s="31">
        <f t="shared" si="40"/>
        <v>0</v>
      </c>
      <c r="Y52" s="2" t="str">
        <f t="shared" si="6"/>
        <v/>
      </c>
      <c r="Z52" s="10">
        <f t="shared" si="18"/>
        <v>0</v>
      </c>
      <c r="AA52" s="12" t="s">
        <v>107</v>
      </c>
      <c r="AB52" s="31">
        <f t="shared" si="41"/>
        <v>0</v>
      </c>
      <c r="AC52" s="2" t="str">
        <f t="shared" si="7"/>
        <v/>
      </c>
      <c r="AD52" s="10">
        <f t="shared" si="19"/>
        <v>0</v>
      </c>
      <c r="AE52" s="12" t="s">
        <v>107</v>
      </c>
      <c r="AF52" s="31">
        <f t="shared" si="42"/>
        <v>0</v>
      </c>
      <c r="AG52" s="2" t="str">
        <f t="shared" si="8"/>
        <v/>
      </c>
      <c r="AH52" s="10">
        <f t="shared" si="20"/>
        <v>0</v>
      </c>
      <c r="AI52" s="12" t="s">
        <v>107</v>
      </c>
      <c r="AJ52" s="31">
        <f t="shared" si="43"/>
        <v>0</v>
      </c>
      <c r="AK52" s="2" t="str">
        <f t="shared" si="9"/>
        <v/>
      </c>
      <c r="AL52" s="10">
        <f t="shared" si="21"/>
        <v>0</v>
      </c>
      <c r="AM52" s="12" t="s">
        <v>107</v>
      </c>
      <c r="AN52" s="31">
        <f t="shared" si="44"/>
        <v>0</v>
      </c>
      <c r="AO52" s="2" t="str">
        <f t="shared" si="10"/>
        <v/>
      </c>
      <c r="AP52" s="10">
        <f t="shared" si="22"/>
        <v>0</v>
      </c>
      <c r="AQ52" s="12" t="s">
        <v>107</v>
      </c>
      <c r="AR52" s="31">
        <f t="shared" si="45"/>
        <v>0</v>
      </c>
      <c r="AS52" s="2" t="str">
        <f t="shared" si="11"/>
        <v/>
      </c>
      <c r="AT52" s="10">
        <f t="shared" si="23"/>
        <v>0</v>
      </c>
      <c r="AU52" s="12" t="s">
        <v>107</v>
      </c>
      <c r="AV52" s="31">
        <f t="shared" si="35"/>
        <v>0</v>
      </c>
      <c r="AW52" s="2" t="str">
        <f t="shared" si="12"/>
        <v/>
      </c>
      <c r="AX52" s="10">
        <f t="shared" si="24"/>
        <v>0</v>
      </c>
      <c r="AY52" s="12" t="s">
        <v>107</v>
      </c>
      <c r="AZ52" s="31">
        <f t="shared" si="36"/>
        <v>0</v>
      </c>
    </row>
    <row r="53" spans="2:52">
      <c r="B53">
        <f t="shared" si="0"/>
        <v>0</v>
      </c>
      <c r="C53" s="28"/>
      <c r="E53" s="2" t="str">
        <f t="shared" si="1"/>
        <v/>
      </c>
      <c r="F53" s="10">
        <f t="shared" si="13"/>
        <v>0</v>
      </c>
      <c r="G53" s="12" t="s">
        <v>107</v>
      </c>
      <c r="H53" s="31">
        <f t="shared" si="25"/>
        <v>0</v>
      </c>
      <c r="I53" s="2" t="str">
        <f t="shared" si="2"/>
        <v/>
      </c>
      <c r="J53" s="10">
        <f t="shared" si="14"/>
        <v>0</v>
      </c>
      <c r="K53" s="12" t="s">
        <v>107</v>
      </c>
      <c r="L53" s="31">
        <f t="shared" si="37"/>
        <v>0</v>
      </c>
      <c r="M53" s="2" t="str">
        <f t="shared" si="3"/>
        <v/>
      </c>
      <c r="N53" s="10">
        <f t="shared" si="15"/>
        <v>0</v>
      </c>
      <c r="O53" s="12" t="s">
        <v>107</v>
      </c>
      <c r="P53" s="31">
        <f t="shared" si="38"/>
        <v>0</v>
      </c>
      <c r="Q53" s="2" t="str">
        <f t="shared" si="4"/>
        <v/>
      </c>
      <c r="R53" s="10">
        <f t="shared" si="16"/>
        <v>0</v>
      </c>
      <c r="S53" s="12" t="s">
        <v>107</v>
      </c>
      <c r="T53" s="31">
        <f t="shared" si="39"/>
        <v>0</v>
      </c>
      <c r="U53" s="2" t="str">
        <f t="shared" si="5"/>
        <v/>
      </c>
      <c r="V53" s="10">
        <f t="shared" si="17"/>
        <v>0</v>
      </c>
      <c r="W53" s="12" t="s">
        <v>107</v>
      </c>
      <c r="X53" s="31">
        <f t="shared" si="40"/>
        <v>0</v>
      </c>
      <c r="Y53" s="2" t="str">
        <f t="shared" si="6"/>
        <v/>
      </c>
      <c r="Z53" s="10">
        <f t="shared" si="18"/>
        <v>0</v>
      </c>
      <c r="AA53" s="12" t="s">
        <v>107</v>
      </c>
      <c r="AB53" s="31">
        <f t="shared" si="41"/>
        <v>0</v>
      </c>
      <c r="AC53" s="2" t="str">
        <f t="shared" si="7"/>
        <v/>
      </c>
      <c r="AD53" s="10">
        <f t="shared" si="19"/>
        <v>0</v>
      </c>
      <c r="AE53" s="12" t="s">
        <v>107</v>
      </c>
      <c r="AF53" s="31">
        <f t="shared" si="42"/>
        <v>0</v>
      </c>
      <c r="AG53" s="2" t="str">
        <f t="shared" si="8"/>
        <v/>
      </c>
      <c r="AH53" s="10">
        <f t="shared" si="20"/>
        <v>0</v>
      </c>
      <c r="AI53" s="12" t="s">
        <v>107</v>
      </c>
      <c r="AJ53" s="31">
        <f t="shared" si="43"/>
        <v>0</v>
      </c>
      <c r="AK53" s="2" t="str">
        <f t="shared" si="9"/>
        <v/>
      </c>
      <c r="AL53" s="10">
        <f t="shared" si="21"/>
        <v>0</v>
      </c>
      <c r="AM53" s="12" t="s">
        <v>107</v>
      </c>
      <c r="AN53" s="31">
        <f t="shared" si="44"/>
        <v>0</v>
      </c>
      <c r="AO53" s="2" t="str">
        <f t="shared" si="10"/>
        <v/>
      </c>
      <c r="AP53" s="10">
        <f t="shared" si="22"/>
        <v>0</v>
      </c>
      <c r="AQ53" s="12" t="s">
        <v>107</v>
      </c>
      <c r="AR53" s="31">
        <f t="shared" si="45"/>
        <v>0</v>
      </c>
      <c r="AS53" s="2" t="str">
        <f t="shared" si="11"/>
        <v/>
      </c>
      <c r="AT53" s="10">
        <f t="shared" si="23"/>
        <v>0</v>
      </c>
      <c r="AU53" s="12" t="s">
        <v>107</v>
      </c>
      <c r="AV53" s="31">
        <f t="shared" si="35"/>
        <v>0</v>
      </c>
      <c r="AW53" s="2" t="str">
        <f t="shared" si="12"/>
        <v/>
      </c>
      <c r="AX53" s="10">
        <f t="shared" si="24"/>
        <v>0</v>
      </c>
      <c r="AY53" s="12" t="s">
        <v>107</v>
      </c>
      <c r="AZ53" s="31">
        <f t="shared" si="36"/>
        <v>0</v>
      </c>
    </row>
    <row r="54" spans="2:52">
      <c r="B54">
        <f t="shared" si="0"/>
        <v>0</v>
      </c>
      <c r="C54" s="28"/>
      <c r="E54" s="2" t="str">
        <f t="shared" si="1"/>
        <v/>
      </c>
      <c r="F54" s="10">
        <f t="shared" si="13"/>
        <v>0</v>
      </c>
      <c r="G54" s="12" t="s">
        <v>107</v>
      </c>
      <c r="H54" s="31">
        <f t="shared" si="25"/>
        <v>0</v>
      </c>
      <c r="I54" s="2" t="str">
        <f t="shared" si="2"/>
        <v/>
      </c>
      <c r="J54" s="10">
        <f t="shared" si="14"/>
        <v>0</v>
      </c>
      <c r="K54" s="12" t="s">
        <v>107</v>
      </c>
      <c r="L54" s="31">
        <f t="shared" si="37"/>
        <v>0</v>
      </c>
      <c r="M54" s="2" t="str">
        <f t="shared" si="3"/>
        <v/>
      </c>
      <c r="N54" s="10">
        <f t="shared" si="15"/>
        <v>0</v>
      </c>
      <c r="O54" s="12" t="s">
        <v>107</v>
      </c>
      <c r="P54" s="31">
        <f t="shared" si="38"/>
        <v>0</v>
      </c>
      <c r="Q54" s="2" t="str">
        <f t="shared" si="4"/>
        <v/>
      </c>
      <c r="R54" s="10">
        <f t="shared" si="16"/>
        <v>0</v>
      </c>
      <c r="S54" s="12" t="s">
        <v>107</v>
      </c>
      <c r="T54" s="31">
        <f t="shared" si="39"/>
        <v>0</v>
      </c>
      <c r="U54" s="2" t="str">
        <f t="shared" si="5"/>
        <v/>
      </c>
      <c r="V54" s="10">
        <f t="shared" si="17"/>
        <v>0</v>
      </c>
      <c r="W54" s="12" t="s">
        <v>107</v>
      </c>
      <c r="X54" s="31">
        <f t="shared" si="40"/>
        <v>0</v>
      </c>
      <c r="Y54" s="2" t="str">
        <f t="shared" si="6"/>
        <v/>
      </c>
      <c r="Z54" s="10">
        <f t="shared" si="18"/>
        <v>0</v>
      </c>
      <c r="AA54" s="12" t="s">
        <v>107</v>
      </c>
      <c r="AB54" s="31">
        <f t="shared" si="41"/>
        <v>0</v>
      </c>
      <c r="AC54" s="2" t="str">
        <f t="shared" si="7"/>
        <v/>
      </c>
      <c r="AD54" s="10">
        <f t="shared" si="19"/>
        <v>0</v>
      </c>
      <c r="AE54" s="12" t="s">
        <v>107</v>
      </c>
      <c r="AF54" s="31">
        <f t="shared" si="42"/>
        <v>0</v>
      </c>
      <c r="AG54" s="2" t="str">
        <f t="shared" si="8"/>
        <v/>
      </c>
      <c r="AH54" s="10">
        <f t="shared" si="20"/>
        <v>0</v>
      </c>
      <c r="AI54" s="12" t="s">
        <v>107</v>
      </c>
      <c r="AJ54" s="31">
        <f t="shared" si="43"/>
        <v>0</v>
      </c>
      <c r="AK54" s="2" t="str">
        <f t="shared" si="9"/>
        <v/>
      </c>
      <c r="AL54" s="10">
        <f t="shared" si="21"/>
        <v>0</v>
      </c>
      <c r="AM54" s="12" t="s">
        <v>107</v>
      </c>
      <c r="AN54" s="31">
        <f t="shared" si="44"/>
        <v>0</v>
      </c>
      <c r="AO54" s="2" t="str">
        <f t="shared" si="10"/>
        <v/>
      </c>
      <c r="AP54" s="10">
        <f t="shared" si="22"/>
        <v>0</v>
      </c>
      <c r="AQ54" s="12" t="s">
        <v>107</v>
      </c>
      <c r="AR54" s="31">
        <f t="shared" si="45"/>
        <v>0</v>
      </c>
      <c r="AS54" s="2" t="str">
        <f t="shared" si="11"/>
        <v/>
      </c>
      <c r="AT54" s="10">
        <f t="shared" si="23"/>
        <v>0</v>
      </c>
      <c r="AU54" s="12" t="s">
        <v>107</v>
      </c>
      <c r="AV54" s="31">
        <f t="shared" si="35"/>
        <v>0</v>
      </c>
      <c r="AW54" s="2" t="str">
        <f t="shared" si="12"/>
        <v/>
      </c>
      <c r="AX54" s="10">
        <f t="shared" si="24"/>
        <v>0</v>
      </c>
      <c r="AY54" s="12" t="s">
        <v>107</v>
      </c>
      <c r="AZ54" s="31">
        <f t="shared" si="36"/>
        <v>0</v>
      </c>
    </row>
    <row r="55" spans="2:52">
      <c r="B55">
        <f t="shared" si="0"/>
        <v>0</v>
      </c>
      <c r="C55" s="28"/>
      <c r="E55" s="2" t="str">
        <f t="shared" si="1"/>
        <v/>
      </c>
      <c r="F55" s="10">
        <f t="shared" si="13"/>
        <v>0</v>
      </c>
      <c r="G55" s="12" t="s">
        <v>107</v>
      </c>
      <c r="H55" s="31">
        <f t="shared" si="25"/>
        <v>0</v>
      </c>
      <c r="I55" s="2" t="str">
        <f t="shared" si="2"/>
        <v/>
      </c>
      <c r="J55" s="10">
        <f t="shared" si="14"/>
        <v>0</v>
      </c>
      <c r="K55" s="12" t="s">
        <v>107</v>
      </c>
      <c r="L55" s="31">
        <f t="shared" si="37"/>
        <v>0</v>
      </c>
      <c r="M55" s="2" t="str">
        <f t="shared" si="3"/>
        <v/>
      </c>
      <c r="N55" s="10">
        <f t="shared" si="15"/>
        <v>0</v>
      </c>
      <c r="O55" s="12" t="s">
        <v>107</v>
      </c>
      <c r="P55" s="31">
        <f t="shared" si="38"/>
        <v>0</v>
      </c>
      <c r="Q55" s="2" t="str">
        <f t="shared" si="4"/>
        <v/>
      </c>
      <c r="R55" s="10">
        <f t="shared" si="16"/>
        <v>0</v>
      </c>
      <c r="S55" s="12" t="s">
        <v>107</v>
      </c>
      <c r="T55" s="31">
        <f t="shared" si="39"/>
        <v>0</v>
      </c>
      <c r="U55" s="2" t="str">
        <f t="shared" si="5"/>
        <v/>
      </c>
      <c r="V55" s="10">
        <f t="shared" si="17"/>
        <v>0</v>
      </c>
      <c r="W55" s="12" t="s">
        <v>107</v>
      </c>
      <c r="X55" s="31">
        <f t="shared" si="40"/>
        <v>0</v>
      </c>
      <c r="Y55" s="2" t="str">
        <f t="shared" si="6"/>
        <v/>
      </c>
      <c r="Z55" s="10">
        <f t="shared" si="18"/>
        <v>0</v>
      </c>
      <c r="AA55" s="12" t="s">
        <v>107</v>
      </c>
      <c r="AB55" s="31">
        <f t="shared" si="41"/>
        <v>0</v>
      </c>
      <c r="AC55" s="2" t="str">
        <f t="shared" si="7"/>
        <v/>
      </c>
      <c r="AD55" s="10">
        <f t="shared" si="19"/>
        <v>0</v>
      </c>
      <c r="AE55" s="12" t="s">
        <v>107</v>
      </c>
      <c r="AF55" s="31">
        <f t="shared" si="42"/>
        <v>0</v>
      </c>
      <c r="AG55" s="2" t="str">
        <f t="shared" si="8"/>
        <v/>
      </c>
      <c r="AH55" s="10">
        <f t="shared" si="20"/>
        <v>0</v>
      </c>
      <c r="AI55" s="12" t="s">
        <v>107</v>
      </c>
      <c r="AJ55" s="31">
        <f t="shared" si="43"/>
        <v>0</v>
      </c>
      <c r="AK55" s="2" t="str">
        <f t="shared" si="9"/>
        <v/>
      </c>
      <c r="AL55" s="10">
        <f t="shared" si="21"/>
        <v>0</v>
      </c>
      <c r="AM55" s="12" t="s">
        <v>107</v>
      </c>
      <c r="AN55" s="31">
        <f t="shared" si="44"/>
        <v>0</v>
      </c>
      <c r="AO55" s="2" t="str">
        <f t="shared" si="10"/>
        <v/>
      </c>
      <c r="AP55" s="10">
        <f t="shared" si="22"/>
        <v>0</v>
      </c>
      <c r="AQ55" s="12" t="s">
        <v>107</v>
      </c>
      <c r="AR55" s="31">
        <f t="shared" si="45"/>
        <v>0</v>
      </c>
      <c r="AS55" s="2" t="str">
        <f t="shared" si="11"/>
        <v/>
      </c>
      <c r="AT55" s="10">
        <f t="shared" si="23"/>
        <v>0</v>
      </c>
      <c r="AU55" s="12" t="s">
        <v>107</v>
      </c>
      <c r="AV55" s="31">
        <f t="shared" si="35"/>
        <v>0</v>
      </c>
      <c r="AW55" s="2" t="str">
        <f t="shared" si="12"/>
        <v/>
      </c>
      <c r="AX55" s="10">
        <f t="shared" si="24"/>
        <v>0</v>
      </c>
      <c r="AY55" s="12" t="s">
        <v>107</v>
      </c>
      <c r="AZ55" s="31">
        <f t="shared" si="36"/>
        <v>0</v>
      </c>
    </row>
    <row r="56" spans="2:52">
      <c r="B56">
        <f t="shared" si="0"/>
        <v>0</v>
      </c>
      <c r="C56" s="28"/>
      <c r="E56" s="2" t="str">
        <f t="shared" si="1"/>
        <v/>
      </c>
      <c r="F56" s="10">
        <f t="shared" si="13"/>
        <v>0</v>
      </c>
      <c r="G56" s="12" t="s">
        <v>107</v>
      </c>
      <c r="H56" s="31">
        <f t="shared" si="25"/>
        <v>0</v>
      </c>
      <c r="I56" s="2" t="str">
        <f t="shared" si="2"/>
        <v/>
      </c>
      <c r="J56" s="10">
        <f t="shared" si="14"/>
        <v>0</v>
      </c>
      <c r="K56" s="12" t="s">
        <v>107</v>
      </c>
      <c r="L56" s="31">
        <f t="shared" si="37"/>
        <v>0</v>
      </c>
      <c r="M56" s="2" t="str">
        <f t="shared" si="3"/>
        <v/>
      </c>
      <c r="N56" s="10">
        <f t="shared" si="15"/>
        <v>0</v>
      </c>
      <c r="O56" s="12" t="s">
        <v>107</v>
      </c>
      <c r="P56" s="31">
        <f t="shared" si="38"/>
        <v>0</v>
      </c>
      <c r="Q56" s="2" t="str">
        <f t="shared" si="4"/>
        <v/>
      </c>
      <c r="R56" s="10">
        <f t="shared" si="16"/>
        <v>0</v>
      </c>
      <c r="S56" s="12" t="s">
        <v>107</v>
      </c>
      <c r="T56" s="31">
        <f t="shared" si="39"/>
        <v>0</v>
      </c>
      <c r="U56" s="2" t="str">
        <f t="shared" si="5"/>
        <v/>
      </c>
      <c r="V56" s="10">
        <f t="shared" si="17"/>
        <v>0</v>
      </c>
      <c r="W56" s="12" t="s">
        <v>107</v>
      </c>
      <c r="X56" s="31">
        <f t="shared" si="40"/>
        <v>0</v>
      </c>
      <c r="Y56" s="2" t="str">
        <f t="shared" si="6"/>
        <v/>
      </c>
      <c r="Z56" s="10">
        <f t="shared" si="18"/>
        <v>0</v>
      </c>
      <c r="AA56" s="12" t="s">
        <v>107</v>
      </c>
      <c r="AB56" s="31">
        <f t="shared" si="41"/>
        <v>0</v>
      </c>
      <c r="AC56" s="2" t="str">
        <f t="shared" si="7"/>
        <v/>
      </c>
      <c r="AD56" s="10">
        <f t="shared" si="19"/>
        <v>0</v>
      </c>
      <c r="AE56" s="12" t="s">
        <v>107</v>
      </c>
      <c r="AF56" s="31">
        <f t="shared" si="42"/>
        <v>0</v>
      </c>
      <c r="AG56" s="2" t="str">
        <f t="shared" si="8"/>
        <v/>
      </c>
      <c r="AH56" s="10">
        <f t="shared" si="20"/>
        <v>0</v>
      </c>
      <c r="AI56" s="12" t="s">
        <v>107</v>
      </c>
      <c r="AJ56" s="31">
        <f t="shared" si="43"/>
        <v>0</v>
      </c>
      <c r="AK56" s="2" t="str">
        <f t="shared" si="9"/>
        <v/>
      </c>
      <c r="AL56" s="10">
        <f t="shared" si="21"/>
        <v>0</v>
      </c>
      <c r="AM56" s="12" t="s">
        <v>107</v>
      </c>
      <c r="AN56" s="31">
        <f t="shared" si="44"/>
        <v>0</v>
      </c>
      <c r="AO56" s="2" t="str">
        <f t="shared" si="10"/>
        <v/>
      </c>
      <c r="AP56" s="10">
        <f t="shared" si="22"/>
        <v>0</v>
      </c>
      <c r="AQ56" s="12" t="s">
        <v>107</v>
      </c>
      <c r="AR56" s="31">
        <f t="shared" si="45"/>
        <v>0</v>
      </c>
      <c r="AS56" s="2" t="str">
        <f t="shared" si="11"/>
        <v/>
      </c>
      <c r="AT56" s="10">
        <f t="shared" si="23"/>
        <v>0</v>
      </c>
      <c r="AU56" s="12" t="s">
        <v>107</v>
      </c>
      <c r="AV56" s="31">
        <f t="shared" si="35"/>
        <v>0</v>
      </c>
      <c r="AW56" s="2" t="str">
        <f t="shared" si="12"/>
        <v/>
      </c>
      <c r="AX56" s="10">
        <f t="shared" si="24"/>
        <v>0</v>
      </c>
      <c r="AY56" s="12" t="s">
        <v>107</v>
      </c>
      <c r="AZ56" s="31">
        <f t="shared" si="36"/>
        <v>0</v>
      </c>
    </row>
    <row r="57" spans="2:52">
      <c r="B57">
        <f t="shared" si="0"/>
        <v>0</v>
      </c>
      <c r="C57" s="28"/>
      <c r="E57" s="2" t="str">
        <f t="shared" si="1"/>
        <v/>
      </c>
      <c r="F57" s="10">
        <f t="shared" si="13"/>
        <v>0</v>
      </c>
      <c r="G57" s="12" t="s">
        <v>107</v>
      </c>
      <c r="H57" s="31">
        <f t="shared" si="25"/>
        <v>0</v>
      </c>
      <c r="I57" s="2" t="str">
        <f t="shared" si="2"/>
        <v/>
      </c>
      <c r="J57" s="10">
        <f t="shared" si="14"/>
        <v>0</v>
      </c>
      <c r="K57" s="12" t="s">
        <v>107</v>
      </c>
      <c r="L57" s="31">
        <f t="shared" si="37"/>
        <v>0</v>
      </c>
      <c r="M57" s="2" t="str">
        <f t="shared" si="3"/>
        <v/>
      </c>
      <c r="N57" s="10">
        <f t="shared" si="15"/>
        <v>0</v>
      </c>
      <c r="O57" s="12" t="s">
        <v>107</v>
      </c>
      <c r="P57" s="31">
        <f t="shared" si="38"/>
        <v>0</v>
      </c>
      <c r="Q57" s="2" t="str">
        <f t="shared" si="4"/>
        <v/>
      </c>
      <c r="R57" s="10">
        <f t="shared" si="16"/>
        <v>0</v>
      </c>
      <c r="S57" s="12" t="s">
        <v>107</v>
      </c>
      <c r="T57" s="31">
        <f t="shared" si="39"/>
        <v>0</v>
      </c>
      <c r="U57" s="2" t="str">
        <f t="shared" si="5"/>
        <v/>
      </c>
      <c r="V57" s="10">
        <f t="shared" si="17"/>
        <v>0</v>
      </c>
      <c r="W57" s="12" t="s">
        <v>107</v>
      </c>
      <c r="X57" s="31">
        <f t="shared" si="40"/>
        <v>0</v>
      </c>
      <c r="Y57" s="2" t="str">
        <f t="shared" si="6"/>
        <v/>
      </c>
      <c r="Z57" s="10">
        <f t="shared" si="18"/>
        <v>0</v>
      </c>
      <c r="AA57" s="12" t="s">
        <v>107</v>
      </c>
      <c r="AB57" s="31">
        <f t="shared" si="41"/>
        <v>0</v>
      </c>
      <c r="AC57" s="2" t="str">
        <f t="shared" si="7"/>
        <v/>
      </c>
      <c r="AD57" s="10">
        <f t="shared" si="19"/>
        <v>0</v>
      </c>
      <c r="AE57" s="12" t="s">
        <v>107</v>
      </c>
      <c r="AF57" s="31">
        <f t="shared" si="42"/>
        <v>0</v>
      </c>
      <c r="AG57" s="2" t="str">
        <f t="shared" si="8"/>
        <v/>
      </c>
      <c r="AH57" s="10">
        <f t="shared" si="20"/>
        <v>0</v>
      </c>
      <c r="AI57" s="12" t="s">
        <v>107</v>
      </c>
      <c r="AJ57" s="31">
        <f t="shared" si="43"/>
        <v>0</v>
      </c>
      <c r="AK57" s="2" t="str">
        <f t="shared" si="9"/>
        <v/>
      </c>
      <c r="AL57" s="10">
        <f t="shared" si="21"/>
        <v>0</v>
      </c>
      <c r="AM57" s="12" t="s">
        <v>107</v>
      </c>
      <c r="AN57" s="31">
        <f t="shared" si="44"/>
        <v>0</v>
      </c>
      <c r="AO57" s="2" t="str">
        <f t="shared" si="10"/>
        <v/>
      </c>
      <c r="AP57" s="10">
        <f t="shared" si="22"/>
        <v>0</v>
      </c>
      <c r="AQ57" s="12" t="s">
        <v>107</v>
      </c>
      <c r="AR57" s="31">
        <f t="shared" si="45"/>
        <v>0</v>
      </c>
      <c r="AS57" s="2" t="str">
        <f t="shared" si="11"/>
        <v/>
      </c>
      <c r="AT57" s="10">
        <f t="shared" si="23"/>
        <v>0</v>
      </c>
      <c r="AU57" s="12" t="s">
        <v>107</v>
      </c>
      <c r="AV57" s="31">
        <f t="shared" si="35"/>
        <v>0</v>
      </c>
      <c r="AW57" s="2" t="str">
        <f t="shared" si="12"/>
        <v/>
      </c>
      <c r="AX57" s="10">
        <f t="shared" si="24"/>
        <v>0</v>
      </c>
      <c r="AY57" s="12" t="s">
        <v>107</v>
      </c>
      <c r="AZ57" s="31">
        <f t="shared" si="36"/>
        <v>0</v>
      </c>
    </row>
    <row r="58" spans="2:52">
      <c r="B58">
        <f t="shared" si="0"/>
        <v>0</v>
      </c>
      <c r="C58" s="28"/>
      <c r="E58" s="2" t="str">
        <f t="shared" si="1"/>
        <v/>
      </c>
      <c r="F58" s="10">
        <f t="shared" si="13"/>
        <v>0</v>
      </c>
      <c r="G58" s="12" t="s">
        <v>107</v>
      </c>
      <c r="H58" s="31">
        <f t="shared" si="25"/>
        <v>0</v>
      </c>
      <c r="I58" s="2" t="str">
        <f t="shared" si="2"/>
        <v/>
      </c>
      <c r="J58" s="10">
        <f t="shared" si="14"/>
        <v>0</v>
      </c>
      <c r="K58" s="12" t="s">
        <v>107</v>
      </c>
      <c r="L58" s="31">
        <f t="shared" si="37"/>
        <v>0</v>
      </c>
      <c r="M58" s="2" t="str">
        <f t="shared" si="3"/>
        <v/>
      </c>
      <c r="N58" s="10">
        <f t="shared" si="15"/>
        <v>0</v>
      </c>
      <c r="O58" s="12" t="s">
        <v>107</v>
      </c>
      <c r="P58" s="31">
        <f t="shared" si="38"/>
        <v>0</v>
      </c>
      <c r="Q58" s="2" t="str">
        <f t="shared" si="4"/>
        <v/>
      </c>
      <c r="R58" s="10">
        <f t="shared" si="16"/>
        <v>0</v>
      </c>
      <c r="S58" s="12" t="s">
        <v>107</v>
      </c>
      <c r="T58" s="31">
        <f t="shared" si="39"/>
        <v>0</v>
      </c>
      <c r="U58" s="2" t="str">
        <f t="shared" si="5"/>
        <v/>
      </c>
      <c r="V58" s="10">
        <f t="shared" si="17"/>
        <v>0</v>
      </c>
      <c r="W58" s="12" t="s">
        <v>107</v>
      </c>
      <c r="X58" s="31">
        <f t="shared" si="40"/>
        <v>0</v>
      </c>
      <c r="Y58" s="2" t="str">
        <f t="shared" si="6"/>
        <v/>
      </c>
      <c r="Z58" s="10">
        <f t="shared" si="18"/>
        <v>0</v>
      </c>
      <c r="AA58" s="12" t="s">
        <v>107</v>
      </c>
      <c r="AB58" s="31">
        <f t="shared" si="41"/>
        <v>0</v>
      </c>
      <c r="AC58" s="2" t="str">
        <f t="shared" si="7"/>
        <v/>
      </c>
      <c r="AD58" s="10">
        <f t="shared" si="19"/>
        <v>0</v>
      </c>
      <c r="AE58" s="12" t="s">
        <v>107</v>
      </c>
      <c r="AF58" s="31">
        <f t="shared" si="42"/>
        <v>0</v>
      </c>
      <c r="AG58" s="2" t="str">
        <f t="shared" si="8"/>
        <v/>
      </c>
      <c r="AH58" s="10">
        <f t="shared" si="20"/>
        <v>0</v>
      </c>
      <c r="AI58" s="12" t="s">
        <v>107</v>
      </c>
      <c r="AJ58" s="31">
        <f t="shared" si="43"/>
        <v>0</v>
      </c>
      <c r="AK58" s="2" t="str">
        <f t="shared" si="9"/>
        <v/>
      </c>
      <c r="AL58" s="10">
        <f t="shared" si="21"/>
        <v>0</v>
      </c>
      <c r="AM58" s="12" t="s">
        <v>107</v>
      </c>
      <c r="AN58" s="31">
        <f t="shared" si="44"/>
        <v>0</v>
      </c>
      <c r="AO58" s="2" t="str">
        <f t="shared" si="10"/>
        <v/>
      </c>
      <c r="AP58" s="10">
        <f t="shared" si="22"/>
        <v>0</v>
      </c>
      <c r="AQ58" s="12" t="s">
        <v>107</v>
      </c>
      <c r="AR58" s="31">
        <f t="shared" si="45"/>
        <v>0</v>
      </c>
      <c r="AS58" s="2" t="str">
        <f t="shared" si="11"/>
        <v/>
      </c>
      <c r="AT58" s="10">
        <f t="shared" si="23"/>
        <v>0</v>
      </c>
      <c r="AU58" s="12" t="s">
        <v>107</v>
      </c>
      <c r="AV58" s="31">
        <f t="shared" si="35"/>
        <v>0</v>
      </c>
      <c r="AW58" s="2" t="str">
        <f t="shared" si="12"/>
        <v/>
      </c>
      <c r="AX58" s="10">
        <f t="shared" si="24"/>
        <v>0</v>
      </c>
      <c r="AY58" s="12" t="s">
        <v>107</v>
      </c>
      <c r="AZ58" s="31">
        <f t="shared" si="36"/>
        <v>0</v>
      </c>
    </row>
    <row r="59" spans="2:52">
      <c r="B59">
        <f t="shared" si="0"/>
        <v>0</v>
      </c>
      <c r="C59" s="28"/>
      <c r="E59" s="2" t="str">
        <f t="shared" si="1"/>
        <v/>
      </c>
      <c r="F59" s="10">
        <f t="shared" si="13"/>
        <v>0</v>
      </c>
      <c r="G59" s="12" t="s">
        <v>107</v>
      </c>
      <c r="H59" s="31">
        <f t="shared" si="25"/>
        <v>0</v>
      </c>
      <c r="I59" s="2" t="str">
        <f t="shared" si="2"/>
        <v/>
      </c>
      <c r="J59" s="10">
        <f t="shared" si="14"/>
        <v>0</v>
      </c>
      <c r="K59" s="12" t="s">
        <v>107</v>
      </c>
      <c r="L59" s="31">
        <f t="shared" si="37"/>
        <v>0</v>
      </c>
      <c r="M59" s="2" t="str">
        <f t="shared" si="3"/>
        <v/>
      </c>
      <c r="N59" s="10">
        <f t="shared" si="15"/>
        <v>0</v>
      </c>
      <c r="O59" s="12" t="s">
        <v>107</v>
      </c>
      <c r="P59" s="31">
        <f t="shared" si="38"/>
        <v>0</v>
      </c>
      <c r="Q59" s="2" t="str">
        <f t="shared" si="4"/>
        <v/>
      </c>
      <c r="R59" s="10">
        <f t="shared" si="16"/>
        <v>0</v>
      </c>
      <c r="S59" s="12" t="s">
        <v>107</v>
      </c>
      <c r="T59" s="31">
        <f t="shared" si="39"/>
        <v>0</v>
      </c>
      <c r="U59" s="2" t="str">
        <f t="shared" si="5"/>
        <v/>
      </c>
      <c r="V59" s="10">
        <f t="shared" si="17"/>
        <v>0</v>
      </c>
      <c r="W59" s="12" t="s">
        <v>107</v>
      </c>
      <c r="X59" s="31">
        <f t="shared" si="40"/>
        <v>0</v>
      </c>
      <c r="Y59" s="2" t="str">
        <f t="shared" si="6"/>
        <v/>
      </c>
      <c r="Z59" s="10">
        <f t="shared" si="18"/>
        <v>0</v>
      </c>
      <c r="AA59" s="12" t="s">
        <v>107</v>
      </c>
      <c r="AB59" s="31">
        <f t="shared" si="41"/>
        <v>0</v>
      </c>
      <c r="AC59" s="2" t="str">
        <f t="shared" si="7"/>
        <v/>
      </c>
      <c r="AD59" s="10">
        <f t="shared" si="19"/>
        <v>0</v>
      </c>
      <c r="AE59" s="12" t="s">
        <v>107</v>
      </c>
      <c r="AF59" s="31">
        <f t="shared" si="42"/>
        <v>0</v>
      </c>
      <c r="AG59" s="2" t="str">
        <f t="shared" si="8"/>
        <v/>
      </c>
      <c r="AH59" s="10">
        <f t="shared" si="20"/>
        <v>0</v>
      </c>
      <c r="AI59" s="12" t="s">
        <v>107</v>
      </c>
      <c r="AJ59" s="31">
        <f t="shared" si="43"/>
        <v>0</v>
      </c>
      <c r="AK59" s="2" t="str">
        <f t="shared" si="9"/>
        <v/>
      </c>
      <c r="AL59" s="10">
        <f t="shared" si="21"/>
        <v>0</v>
      </c>
      <c r="AM59" s="12" t="s">
        <v>107</v>
      </c>
      <c r="AN59" s="31">
        <f t="shared" si="44"/>
        <v>0</v>
      </c>
      <c r="AO59" s="2" t="str">
        <f t="shared" si="10"/>
        <v/>
      </c>
      <c r="AP59" s="10">
        <f t="shared" si="22"/>
        <v>0</v>
      </c>
      <c r="AQ59" s="12" t="s">
        <v>107</v>
      </c>
      <c r="AR59" s="31">
        <f t="shared" si="45"/>
        <v>0</v>
      </c>
      <c r="AS59" s="2" t="str">
        <f t="shared" si="11"/>
        <v/>
      </c>
      <c r="AT59" s="10">
        <f t="shared" si="23"/>
        <v>0</v>
      </c>
      <c r="AU59" s="12" t="s">
        <v>107</v>
      </c>
      <c r="AV59" s="31">
        <f t="shared" si="35"/>
        <v>0</v>
      </c>
      <c r="AW59" s="2" t="str">
        <f t="shared" si="12"/>
        <v/>
      </c>
      <c r="AX59" s="10">
        <f t="shared" si="24"/>
        <v>0</v>
      </c>
      <c r="AY59" s="12" t="s">
        <v>107</v>
      </c>
      <c r="AZ59" s="31">
        <f t="shared" si="36"/>
        <v>0</v>
      </c>
    </row>
    <row r="60" spans="2:52">
      <c r="B60">
        <f t="shared" si="0"/>
        <v>0</v>
      </c>
      <c r="C60" s="28"/>
      <c r="E60" s="2" t="str">
        <f t="shared" si="1"/>
        <v/>
      </c>
      <c r="F60" s="10">
        <f t="shared" si="13"/>
        <v>0</v>
      </c>
      <c r="G60" s="12" t="s">
        <v>107</v>
      </c>
      <c r="H60" s="31">
        <f t="shared" si="25"/>
        <v>0</v>
      </c>
      <c r="I60" s="2" t="str">
        <f t="shared" si="2"/>
        <v/>
      </c>
      <c r="J60" s="10">
        <f t="shared" si="14"/>
        <v>0</v>
      </c>
      <c r="K60" s="12" t="s">
        <v>107</v>
      </c>
      <c r="L60" s="31">
        <f t="shared" si="37"/>
        <v>0</v>
      </c>
      <c r="M60" s="2" t="str">
        <f t="shared" si="3"/>
        <v/>
      </c>
      <c r="N60" s="10">
        <f t="shared" si="15"/>
        <v>0</v>
      </c>
      <c r="O60" s="12" t="s">
        <v>107</v>
      </c>
      <c r="P60" s="31">
        <f t="shared" si="38"/>
        <v>0</v>
      </c>
      <c r="Q60" s="2" t="str">
        <f t="shared" si="4"/>
        <v/>
      </c>
      <c r="R60" s="10">
        <f t="shared" si="16"/>
        <v>0</v>
      </c>
      <c r="S60" s="12" t="s">
        <v>107</v>
      </c>
      <c r="T60" s="31">
        <f t="shared" si="39"/>
        <v>0</v>
      </c>
      <c r="U60" s="2" t="str">
        <f t="shared" si="5"/>
        <v/>
      </c>
      <c r="V60" s="10">
        <f t="shared" si="17"/>
        <v>0</v>
      </c>
      <c r="W60" s="12" t="s">
        <v>107</v>
      </c>
      <c r="X60" s="31">
        <f t="shared" si="40"/>
        <v>0</v>
      </c>
      <c r="Y60" s="2" t="str">
        <f t="shared" si="6"/>
        <v/>
      </c>
      <c r="Z60" s="10">
        <f t="shared" si="18"/>
        <v>0</v>
      </c>
      <c r="AA60" s="12" t="s">
        <v>107</v>
      </c>
      <c r="AB60" s="31">
        <f t="shared" si="41"/>
        <v>0</v>
      </c>
      <c r="AC60" s="2" t="str">
        <f t="shared" si="7"/>
        <v/>
      </c>
      <c r="AD60" s="10">
        <f t="shared" si="19"/>
        <v>0</v>
      </c>
      <c r="AE60" s="12" t="s">
        <v>107</v>
      </c>
      <c r="AF60" s="31">
        <f t="shared" si="42"/>
        <v>0</v>
      </c>
      <c r="AG60" s="2" t="str">
        <f t="shared" si="8"/>
        <v/>
      </c>
      <c r="AH60" s="10">
        <f t="shared" si="20"/>
        <v>0</v>
      </c>
      <c r="AI60" s="12" t="s">
        <v>107</v>
      </c>
      <c r="AJ60" s="31">
        <f t="shared" si="43"/>
        <v>0</v>
      </c>
      <c r="AK60" s="2" t="str">
        <f t="shared" si="9"/>
        <v/>
      </c>
      <c r="AL60" s="10">
        <f t="shared" si="21"/>
        <v>0</v>
      </c>
      <c r="AM60" s="12" t="s">
        <v>107</v>
      </c>
      <c r="AN60" s="31">
        <f t="shared" si="44"/>
        <v>0</v>
      </c>
      <c r="AO60" s="2" t="str">
        <f t="shared" si="10"/>
        <v/>
      </c>
      <c r="AP60" s="10">
        <f t="shared" si="22"/>
        <v>0</v>
      </c>
      <c r="AQ60" s="12" t="s">
        <v>107</v>
      </c>
      <c r="AR60" s="31">
        <f t="shared" si="45"/>
        <v>0</v>
      </c>
      <c r="AS60" s="2" t="str">
        <f t="shared" si="11"/>
        <v/>
      </c>
      <c r="AT60" s="10">
        <f t="shared" si="23"/>
        <v>0</v>
      </c>
      <c r="AU60" s="12" t="s">
        <v>107</v>
      </c>
      <c r="AV60" s="31">
        <f t="shared" si="35"/>
        <v>0</v>
      </c>
      <c r="AW60" s="2" t="str">
        <f t="shared" si="12"/>
        <v/>
      </c>
      <c r="AX60" s="10">
        <f t="shared" si="24"/>
        <v>0</v>
      </c>
      <c r="AY60" s="12" t="s">
        <v>107</v>
      </c>
      <c r="AZ60" s="31">
        <f t="shared" si="36"/>
        <v>0</v>
      </c>
    </row>
    <row r="61" spans="2:52">
      <c r="B61">
        <f t="shared" si="0"/>
        <v>0</v>
      </c>
      <c r="C61" s="28"/>
      <c r="E61" s="2" t="str">
        <f t="shared" si="1"/>
        <v/>
      </c>
      <c r="F61" s="10">
        <f t="shared" si="13"/>
        <v>0</v>
      </c>
      <c r="G61" s="12" t="s">
        <v>107</v>
      </c>
      <c r="H61" s="31">
        <f t="shared" si="25"/>
        <v>0</v>
      </c>
      <c r="I61" s="2" t="str">
        <f t="shared" si="2"/>
        <v/>
      </c>
      <c r="J61" s="10">
        <f t="shared" si="14"/>
        <v>0</v>
      </c>
      <c r="K61" s="12" t="s">
        <v>107</v>
      </c>
      <c r="L61" s="31">
        <f t="shared" si="37"/>
        <v>0</v>
      </c>
      <c r="M61" s="2" t="str">
        <f t="shared" si="3"/>
        <v/>
      </c>
      <c r="N61" s="10">
        <f t="shared" si="15"/>
        <v>0</v>
      </c>
      <c r="O61" s="12" t="s">
        <v>107</v>
      </c>
      <c r="P61" s="31">
        <f t="shared" si="38"/>
        <v>0</v>
      </c>
      <c r="Q61" s="2" t="str">
        <f t="shared" si="4"/>
        <v/>
      </c>
      <c r="R61" s="10">
        <f t="shared" si="16"/>
        <v>0</v>
      </c>
      <c r="S61" s="12" t="s">
        <v>107</v>
      </c>
      <c r="T61" s="31">
        <f t="shared" si="39"/>
        <v>0</v>
      </c>
      <c r="U61" s="2" t="str">
        <f t="shared" si="5"/>
        <v/>
      </c>
      <c r="V61" s="10">
        <f t="shared" si="17"/>
        <v>0</v>
      </c>
      <c r="W61" s="12" t="s">
        <v>107</v>
      </c>
      <c r="X61" s="31">
        <f t="shared" si="40"/>
        <v>0</v>
      </c>
      <c r="Y61" s="2" t="str">
        <f t="shared" si="6"/>
        <v/>
      </c>
      <c r="Z61" s="10">
        <f t="shared" si="18"/>
        <v>0</v>
      </c>
      <c r="AA61" s="12" t="s">
        <v>107</v>
      </c>
      <c r="AB61" s="31">
        <f t="shared" si="41"/>
        <v>0</v>
      </c>
      <c r="AC61" s="2" t="str">
        <f t="shared" si="7"/>
        <v/>
      </c>
      <c r="AD61" s="10">
        <f t="shared" si="19"/>
        <v>0</v>
      </c>
      <c r="AE61" s="12" t="s">
        <v>107</v>
      </c>
      <c r="AF61" s="31">
        <f t="shared" si="42"/>
        <v>0</v>
      </c>
      <c r="AG61" s="2" t="str">
        <f t="shared" si="8"/>
        <v/>
      </c>
      <c r="AH61" s="10">
        <f t="shared" si="20"/>
        <v>0</v>
      </c>
      <c r="AI61" s="12" t="s">
        <v>107</v>
      </c>
      <c r="AJ61" s="31">
        <f t="shared" si="43"/>
        <v>0</v>
      </c>
      <c r="AK61" s="2" t="str">
        <f t="shared" si="9"/>
        <v/>
      </c>
      <c r="AL61" s="10">
        <f t="shared" si="21"/>
        <v>0</v>
      </c>
      <c r="AM61" s="12" t="s">
        <v>107</v>
      </c>
      <c r="AN61" s="31">
        <f t="shared" si="44"/>
        <v>0</v>
      </c>
      <c r="AO61" s="2" t="str">
        <f t="shared" si="10"/>
        <v/>
      </c>
      <c r="AP61" s="10">
        <f t="shared" si="22"/>
        <v>0</v>
      </c>
      <c r="AQ61" s="12" t="s">
        <v>107</v>
      </c>
      <c r="AR61" s="31">
        <f t="shared" si="45"/>
        <v>0</v>
      </c>
      <c r="AS61" s="2" t="str">
        <f t="shared" si="11"/>
        <v/>
      </c>
      <c r="AT61" s="10">
        <f t="shared" si="23"/>
        <v>0</v>
      </c>
      <c r="AU61" s="12" t="s">
        <v>107</v>
      </c>
      <c r="AV61" s="31">
        <f t="shared" si="35"/>
        <v>0</v>
      </c>
      <c r="AW61" s="2" t="str">
        <f t="shared" si="12"/>
        <v/>
      </c>
      <c r="AX61" s="10">
        <f t="shared" si="24"/>
        <v>0</v>
      </c>
      <c r="AY61" s="12" t="s">
        <v>107</v>
      </c>
      <c r="AZ61" s="31">
        <f t="shared" si="36"/>
        <v>0</v>
      </c>
    </row>
    <row r="62" spans="2:52">
      <c r="B62">
        <f t="shared" si="0"/>
        <v>0</v>
      </c>
      <c r="C62" s="28"/>
      <c r="E62" s="2" t="str">
        <f t="shared" si="1"/>
        <v/>
      </c>
      <c r="F62" s="10">
        <f t="shared" si="13"/>
        <v>0</v>
      </c>
      <c r="G62" s="12" t="s">
        <v>107</v>
      </c>
      <c r="H62" s="31">
        <f t="shared" si="25"/>
        <v>0</v>
      </c>
      <c r="I62" s="2" t="str">
        <f t="shared" si="2"/>
        <v/>
      </c>
      <c r="J62" s="10">
        <f t="shared" si="14"/>
        <v>0</v>
      </c>
      <c r="K62" s="12" t="s">
        <v>107</v>
      </c>
      <c r="L62" s="31">
        <f t="shared" si="37"/>
        <v>0</v>
      </c>
      <c r="M62" s="2" t="str">
        <f t="shared" si="3"/>
        <v/>
      </c>
      <c r="N62" s="10">
        <f t="shared" si="15"/>
        <v>0</v>
      </c>
      <c r="O62" s="12" t="s">
        <v>107</v>
      </c>
      <c r="P62" s="31">
        <f t="shared" si="38"/>
        <v>0</v>
      </c>
      <c r="Q62" s="2" t="str">
        <f t="shared" si="4"/>
        <v/>
      </c>
      <c r="R62" s="10">
        <f t="shared" si="16"/>
        <v>0</v>
      </c>
      <c r="S62" s="12" t="s">
        <v>107</v>
      </c>
      <c r="T62" s="31">
        <f t="shared" si="39"/>
        <v>0</v>
      </c>
      <c r="U62" s="2" t="str">
        <f t="shared" si="5"/>
        <v/>
      </c>
      <c r="V62" s="10">
        <f t="shared" si="17"/>
        <v>0</v>
      </c>
      <c r="W62" s="12" t="s">
        <v>107</v>
      </c>
      <c r="X62" s="31">
        <f t="shared" si="40"/>
        <v>0</v>
      </c>
      <c r="Y62" s="2" t="str">
        <f t="shared" si="6"/>
        <v/>
      </c>
      <c r="Z62" s="10">
        <f t="shared" si="18"/>
        <v>0</v>
      </c>
      <c r="AA62" s="12" t="s">
        <v>107</v>
      </c>
      <c r="AB62" s="31">
        <f t="shared" si="41"/>
        <v>0</v>
      </c>
      <c r="AC62" s="2" t="str">
        <f t="shared" si="7"/>
        <v/>
      </c>
      <c r="AD62" s="10">
        <f t="shared" si="19"/>
        <v>0</v>
      </c>
      <c r="AE62" s="12" t="s">
        <v>107</v>
      </c>
      <c r="AF62" s="31">
        <f t="shared" si="42"/>
        <v>0</v>
      </c>
      <c r="AG62" s="2" t="str">
        <f t="shared" si="8"/>
        <v/>
      </c>
      <c r="AH62" s="10">
        <f t="shared" si="20"/>
        <v>0</v>
      </c>
      <c r="AI62" s="12" t="s">
        <v>107</v>
      </c>
      <c r="AJ62" s="31">
        <f t="shared" si="43"/>
        <v>0</v>
      </c>
      <c r="AK62" s="2" t="str">
        <f t="shared" si="9"/>
        <v/>
      </c>
      <c r="AL62" s="10">
        <f t="shared" si="21"/>
        <v>0</v>
      </c>
      <c r="AM62" s="12" t="s">
        <v>107</v>
      </c>
      <c r="AN62" s="31">
        <f t="shared" si="44"/>
        <v>0</v>
      </c>
      <c r="AO62" s="2" t="str">
        <f t="shared" si="10"/>
        <v/>
      </c>
      <c r="AP62" s="10">
        <f t="shared" si="22"/>
        <v>0</v>
      </c>
      <c r="AQ62" s="12" t="s">
        <v>107</v>
      </c>
      <c r="AR62" s="31">
        <f t="shared" si="45"/>
        <v>0</v>
      </c>
      <c r="AS62" s="2" t="str">
        <f t="shared" si="11"/>
        <v/>
      </c>
      <c r="AT62" s="10">
        <f t="shared" si="23"/>
        <v>0</v>
      </c>
      <c r="AU62" s="12" t="s">
        <v>107</v>
      </c>
      <c r="AV62" s="31">
        <f t="shared" si="35"/>
        <v>0</v>
      </c>
      <c r="AW62" s="2" t="str">
        <f t="shared" si="12"/>
        <v/>
      </c>
      <c r="AX62" s="10">
        <f t="shared" si="24"/>
        <v>0</v>
      </c>
      <c r="AY62" s="12" t="s">
        <v>107</v>
      </c>
      <c r="AZ62" s="31">
        <f t="shared" si="36"/>
        <v>0</v>
      </c>
    </row>
    <row r="63" spans="2:52">
      <c r="B63">
        <f t="shared" si="0"/>
        <v>0</v>
      </c>
      <c r="C63" s="28"/>
      <c r="E63" s="2" t="str">
        <f t="shared" si="1"/>
        <v/>
      </c>
      <c r="F63" s="10">
        <f t="shared" si="13"/>
        <v>0</v>
      </c>
      <c r="G63" s="12" t="s">
        <v>107</v>
      </c>
      <c r="H63" s="31">
        <f t="shared" si="25"/>
        <v>0</v>
      </c>
      <c r="I63" s="2" t="str">
        <f t="shared" si="2"/>
        <v/>
      </c>
      <c r="J63" s="10">
        <f t="shared" si="14"/>
        <v>0</v>
      </c>
      <c r="K63" s="12" t="s">
        <v>107</v>
      </c>
      <c r="L63" s="31">
        <f t="shared" si="37"/>
        <v>0</v>
      </c>
      <c r="M63" s="2" t="str">
        <f t="shared" si="3"/>
        <v/>
      </c>
      <c r="N63" s="10">
        <f t="shared" si="15"/>
        <v>0</v>
      </c>
      <c r="O63" s="12" t="s">
        <v>107</v>
      </c>
      <c r="P63" s="31">
        <f t="shared" si="38"/>
        <v>0</v>
      </c>
      <c r="Q63" s="2" t="str">
        <f t="shared" si="4"/>
        <v/>
      </c>
      <c r="R63" s="10">
        <f t="shared" si="16"/>
        <v>0</v>
      </c>
      <c r="S63" s="12" t="s">
        <v>107</v>
      </c>
      <c r="T63" s="31">
        <f t="shared" si="39"/>
        <v>0</v>
      </c>
      <c r="U63" s="2" t="str">
        <f t="shared" si="5"/>
        <v/>
      </c>
      <c r="V63" s="10">
        <f t="shared" si="17"/>
        <v>0</v>
      </c>
      <c r="W63" s="12" t="s">
        <v>107</v>
      </c>
      <c r="X63" s="31">
        <f t="shared" si="40"/>
        <v>0</v>
      </c>
      <c r="Y63" s="2" t="str">
        <f t="shared" si="6"/>
        <v/>
      </c>
      <c r="Z63" s="10">
        <f t="shared" si="18"/>
        <v>0</v>
      </c>
      <c r="AA63" s="12" t="s">
        <v>107</v>
      </c>
      <c r="AB63" s="31">
        <f t="shared" si="41"/>
        <v>0</v>
      </c>
      <c r="AC63" s="2" t="str">
        <f t="shared" si="7"/>
        <v/>
      </c>
      <c r="AD63" s="10">
        <f t="shared" si="19"/>
        <v>0</v>
      </c>
      <c r="AE63" s="12" t="s">
        <v>107</v>
      </c>
      <c r="AF63" s="31">
        <f t="shared" si="42"/>
        <v>0</v>
      </c>
      <c r="AG63" s="2" t="str">
        <f t="shared" si="8"/>
        <v/>
      </c>
      <c r="AH63" s="10">
        <f t="shared" si="20"/>
        <v>0</v>
      </c>
      <c r="AI63" s="12" t="s">
        <v>107</v>
      </c>
      <c r="AJ63" s="31">
        <f t="shared" si="43"/>
        <v>0</v>
      </c>
      <c r="AK63" s="2" t="str">
        <f t="shared" si="9"/>
        <v/>
      </c>
      <c r="AL63" s="10">
        <f t="shared" si="21"/>
        <v>0</v>
      </c>
      <c r="AM63" s="12" t="s">
        <v>107</v>
      </c>
      <c r="AN63" s="31">
        <f t="shared" si="44"/>
        <v>0</v>
      </c>
      <c r="AO63" s="2" t="str">
        <f t="shared" si="10"/>
        <v/>
      </c>
      <c r="AP63" s="10">
        <f t="shared" si="22"/>
        <v>0</v>
      </c>
      <c r="AQ63" s="12" t="s">
        <v>107</v>
      </c>
      <c r="AR63" s="31">
        <f t="shared" si="45"/>
        <v>0</v>
      </c>
      <c r="AS63" s="2" t="str">
        <f t="shared" si="11"/>
        <v/>
      </c>
      <c r="AT63" s="10">
        <f t="shared" si="23"/>
        <v>0</v>
      </c>
      <c r="AU63" s="12" t="s">
        <v>107</v>
      </c>
      <c r="AV63" s="31">
        <f t="shared" si="35"/>
        <v>0</v>
      </c>
      <c r="AW63" s="2" t="str">
        <f t="shared" si="12"/>
        <v/>
      </c>
      <c r="AX63" s="10">
        <f t="shared" si="24"/>
        <v>0</v>
      </c>
      <c r="AY63" s="12" t="s">
        <v>107</v>
      </c>
      <c r="AZ63" s="31">
        <f t="shared" si="36"/>
        <v>0</v>
      </c>
    </row>
    <row r="64" spans="2:52">
      <c r="B64">
        <f t="shared" si="0"/>
        <v>0</v>
      </c>
      <c r="C64" s="28"/>
      <c r="E64" s="2" t="str">
        <f t="shared" si="1"/>
        <v/>
      </c>
      <c r="F64" s="10">
        <f t="shared" si="13"/>
        <v>0</v>
      </c>
      <c r="G64" s="12" t="s">
        <v>107</v>
      </c>
      <c r="H64" s="31">
        <f t="shared" si="25"/>
        <v>0</v>
      </c>
      <c r="I64" s="2" t="str">
        <f t="shared" si="2"/>
        <v/>
      </c>
      <c r="J64" s="10">
        <f t="shared" si="14"/>
        <v>0</v>
      </c>
      <c r="K64" s="12" t="s">
        <v>107</v>
      </c>
      <c r="L64" s="31">
        <f t="shared" si="37"/>
        <v>0</v>
      </c>
      <c r="M64" s="2" t="str">
        <f t="shared" si="3"/>
        <v/>
      </c>
      <c r="N64" s="10">
        <f t="shared" si="15"/>
        <v>0</v>
      </c>
      <c r="O64" s="12" t="s">
        <v>107</v>
      </c>
      <c r="P64" s="31">
        <f t="shared" si="38"/>
        <v>0</v>
      </c>
      <c r="Q64" s="2" t="str">
        <f t="shared" si="4"/>
        <v/>
      </c>
      <c r="R64" s="10">
        <f t="shared" si="16"/>
        <v>0</v>
      </c>
      <c r="S64" s="12" t="s">
        <v>107</v>
      </c>
      <c r="T64" s="31">
        <f t="shared" si="39"/>
        <v>0</v>
      </c>
      <c r="U64" s="2" t="str">
        <f t="shared" si="5"/>
        <v/>
      </c>
      <c r="V64" s="10">
        <f t="shared" si="17"/>
        <v>0</v>
      </c>
      <c r="W64" s="12" t="s">
        <v>107</v>
      </c>
      <c r="X64" s="31">
        <f t="shared" si="40"/>
        <v>0</v>
      </c>
      <c r="Y64" s="2" t="str">
        <f t="shared" si="6"/>
        <v/>
      </c>
      <c r="Z64" s="10">
        <f t="shared" si="18"/>
        <v>0</v>
      </c>
      <c r="AA64" s="12" t="s">
        <v>107</v>
      </c>
      <c r="AB64" s="31">
        <f t="shared" si="41"/>
        <v>0</v>
      </c>
      <c r="AC64" s="2" t="str">
        <f t="shared" si="7"/>
        <v/>
      </c>
      <c r="AD64" s="10">
        <f t="shared" si="19"/>
        <v>0</v>
      </c>
      <c r="AE64" s="12" t="s">
        <v>107</v>
      </c>
      <c r="AF64" s="31">
        <f t="shared" si="42"/>
        <v>0</v>
      </c>
      <c r="AG64" s="2" t="str">
        <f t="shared" si="8"/>
        <v/>
      </c>
      <c r="AH64" s="10">
        <f t="shared" si="20"/>
        <v>0</v>
      </c>
      <c r="AI64" s="12" t="s">
        <v>107</v>
      </c>
      <c r="AJ64" s="31">
        <f t="shared" si="43"/>
        <v>0</v>
      </c>
      <c r="AK64" s="2" t="str">
        <f t="shared" si="9"/>
        <v/>
      </c>
      <c r="AL64" s="10">
        <f t="shared" si="21"/>
        <v>0</v>
      </c>
      <c r="AM64" s="12" t="s">
        <v>107</v>
      </c>
      <c r="AN64" s="31">
        <f t="shared" si="44"/>
        <v>0</v>
      </c>
      <c r="AO64" s="2" t="str">
        <f t="shared" si="10"/>
        <v/>
      </c>
      <c r="AP64" s="10">
        <f t="shared" si="22"/>
        <v>0</v>
      </c>
      <c r="AQ64" s="12" t="s">
        <v>107</v>
      </c>
      <c r="AR64" s="31">
        <f t="shared" si="45"/>
        <v>0</v>
      </c>
      <c r="AS64" s="2" t="str">
        <f t="shared" si="11"/>
        <v/>
      </c>
      <c r="AT64" s="10">
        <f t="shared" si="23"/>
        <v>0</v>
      </c>
      <c r="AU64" s="12" t="s">
        <v>107</v>
      </c>
      <c r="AV64" s="31">
        <f t="shared" si="35"/>
        <v>0</v>
      </c>
      <c r="AW64" s="2" t="str">
        <f t="shared" si="12"/>
        <v/>
      </c>
      <c r="AX64" s="10">
        <f t="shared" si="24"/>
        <v>0</v>
      </c>
      <c r="AY64" s="12" t="s">
        <v>107</v>
      </c>
      <c r="AZ64" s="31">
        <f t="shared" si="36"/>
        <v>0</v>
      </c>
    </row>
    <row r="65" spans="2:52">
      <c r="B65">
        <f t="shared" si="0"/>
        <v>0</v>
      </c>
      <c r="C65" s="28"/>
      <c r="E65" s="2" t="str">
        <f t="shared" si="1"/>
        <v/>
      </c>
      <c r="F65" s="10">
        <f t="shared" si="13"/>
        <v>0</v>
      </c>
      <c r="G65" s="12" t="s">
        <v>107</v>
      </c>
      <c r="H65" s="31">
        <f t="shared" si="25"/>
        <v>0</v>
      </c>
      <c r="I65" s="2" t="str">
        <f t="shared" si="2"/>
        <v/>
      </c>
      <c r="J65" s="10">
        <f t="shared" si="14"/>
        <v>0</v>
      </c>
      <c r="K65" s="12" t="s">
        <v>107</v>
      </c>
      <c r="L65" s="31">
        <f t="shared" si="37"/>
        <v>0</v>
      </c>
      <c r="M65" s="2" t="str">
        <f t="shared" si="3"/>
        <v/>
      </c>
      <c r="N65" s="10">
        <f t="shared" si="15"/>
        <v>0</v>
      </c>
      <c r="O65" s="12" t="s">
        <v>107</v>
      </c>
      <c r="P65" s="31">
        <f t="shared" si="38"/>
        <v>0</v>
      </c>
      <c r="Q65" s="2" t="str">
        <f t="shared" si="4"/>
        <v/>
      </c>
      <c r="R65" s="10">
        <f t="shared" si="16"/>
        <v>0</v>
      </c>
      <c r="S65" s="12" t="s">
        <v>107</v>
      </c>
      <c r="T65" s="31">
        <f t="shared" si="39"/>
        <v>0</v>
      </c>
      <c r="U65" s="2" t="str">
        <f t="shared" si="5"/>
        <v/>
      </c>
      <c r="V65" s="10">
        <f t="shared" si="17"/>
        <v>0</v>
      </c>
      <c r="W65" s="12" t="s">
        <v>107</v>
      </c>
      <c r="X65" s="31">
        <f t="shared" si="40"/>
        <v>0</v>
      </c>
      <c r="Y65" s="2" t="str">
        <f t="shared" si="6"/>
        <v/>
      </c>
      <c r="Z65" s="10">
        <f t="shared" si="18"/>
        <v>0</v>
      </c>
      <c r="AA65" s="12" t="s">
        <v>107</v>
      </c>
      <c r="AB65" s="31">
        <f t="shared" si="41"/>
        <v>0</v>
      </c>
      <c r="AC65" s="2" t="str">
        <f t="shared" si="7"/>
        <v/>
      </c>
      <c r="AD65" s="10">
        <f t="shared" si="19"/>
        <v>0</v>
      </c>
      <c r="AE65" s="12" t="s">
        <v>107</v>
      </c>
      <c r="AF65" s="31">
        <f t="shared" si="42"/>
        <v>0</v>
      </c>
      <c r="AG65" s="2" t="str">
        <f t="shared" si="8"/>
        <v/>
      </c>
      <c r="AH65" s="10">
        <f t="shared" si="20"/>
        <v>0</v>
      </c>
      <c r="AI65" s="12" t="s">
        <v>107</v>
      </c>
      <c r="AJ65" s="31">
        <f t="shared" si="43"/>
        <v>0</v>
      </c>
      <c r="AK65" s="2" t="str">
        <f t="shared" si="9"/>
        <v/>
      </c>
      <c r="AL65" s="10">
        <f t="shared" si="21"/>
        <v>0</v>
      </c>
      <c r="AM65" s="12" t="s">
        <v>107</v>
      </c>
      <c r="AN65" s="31">
        <f t="shared" si="44"/>
        <v>0</v>
      </c>
      <c r="AO65" s="2" t="str">
        <f t="shared" si="10"/>
        <v/>
      </c>
      <c r="AP65" s="10">
        <f t="shared" si="22"/>
        <v>0</v>
      </c>
      <c r="AQ65" s="12" t="s">
        <v>107</v>
      </c>
      <c r="AR65" s="31">
        <f t="shared" si="45"/>
        <v>0</v>
      </c>
      <c r="AS65" s="2" t="str">
        <f t="shared" si="11"/>
        <v/>
      </c>
      <c r="AT65" s="10">
        <f t="shared" si="23"/>
        <v>0</v>
      </c>
      <c r="AU65" s="12" t="s">
        <v>107</v>
      </c>
      <c r="AV65" s="31">
        <f t="shared" si="35"/>
        <v>0</v>
      </c>
      <c r="AW65" s="2" t="str">
        <f t="shared" si="12"/>
        <v/>
      </c>
      <c r="AX65" s="10">
        <f t="shared" si="24"/>
        <v>0</v>
      </c>
      <c r="AY65" s="12" t="s">
        <v>107</v>
      </c>
      <c r="AZ65" s="31">
        <f t="shared" si="36"/>
        <v>0</v>
      </c>
    </row>
    <row r="66" spans="2:52">
      <c r="B66">
        <f t="shared" si="0"/>
        <v>0</v>
      </c>
      <c r="C66" s="28"/>
      <c r="E66" s="2" t="str">
        <f t="shared" si="1"/>
        <v/>
      </c>
      <c r="F66" s="10">
        <f t="shared" si="13"/>
        <v>0</v>
      </c>
      <c r="G66" s="12" t="s">
        <v>107</v>
      </c>
      <c r="H66" s="31">
        <f t="shared" si="25"/>
        <v>0</v>
      </c>
      <c r="I66" s="2" t="str">
        <f t="shared" si="2"/>
        <v/>
      </c>
      <c r="J66" s="10">
        <f t="shared" si="14"/>
        <v>0</v>
      </c>
      <c r="K66" s="12" t="s">
        <v>107</v>
      </c>
      <c r="L66" s="31">
        <f t="shared" si="37"/>
        <v>0</v>
      </c>
      <c r="M66" s="2" t="str">
        <f t="shared" si="3"/>
        <v/>
      </c>
      <c r="N66" s="10">
        <f t="shared" si="15"/>
        <v>0</v>
      </c>
      <c r="O66" s="12" t="s">
        <v>107</v>
      </c>
      <c r="P66" s="31">
        <f t="shared" si="38"/>
        <v>0</v>
      </c>
      <c r="Q66" s="2" t="str">
        <f t="shared" si="4"/>
        <v/>
      </c>
      <c r="R66" s="10">
        <f t="shared" si="16"/>
        <v>0</v>
      </c>
      <c r="S66" s="12" t="s">
        <v>107</v>
      </c>
      <c r="T66" s="31">
        <f t="shared" si="39"/>
        <v>0</v>
      </c>
      <c r="U66" s="2" t="str">
        <f t="shared" si="5"/>
        <v/>
      </c>
      <c r="V66" s="10">
        <f t="shared" si="17"/>
        <v>0</v>
      </c>
      <c r="W66" s="12" t="s">
        <v>107</v>
      </c>
      <c r="X66" s="31">
        <f t="shared" si="40"/>
        <v>0</v>
      </c>
      <c r="Y66" s="2" t="str">
        <f t="shared" si="6"/>
        <v/>
      </c>
      <c r="Z66" s="10">
        <f t="shared" si="18"/>
        <v>0</v>
      </c>
      <c r="AA66" s="12" t="s">
        <v>107</v>
      </c>
      <c r="AB66" s="31">
        <f t="shared" si="41"/>
        <v>0</v>
      </c>
      <c r="AC66" s="2" t="str">
        <f t="shared" si="7"/>
        <v/>
      </c>
      <c r="AD66" s="10">
        <f t="shared" si="19"/>
        <v>0</v>
      </c>
      <c r="AE66" s="12" t="s">
        <v>107</v>
      </c>
      <c r="AF66" s="31">
        <f t="shared" si="42"/>
        <v>0</v>
      </c>
      <c r="AG66" s="2" t="str">
        <f t="shared" si="8"/>
        <v/>
      </c>
      <c r="AH66" s="10">
        <f t="shared" si="20"/>
        <v>0</v>
      </c>
      <c r="AI66" s="12" t="s">
        <v>107</v>
      </c>
      <c r="AJ66" s="31">
        <f t="shared" si="43"/>
        <v>0</v>
      </c>
      <c r="AK66" s="2" t="str">
        <f t="shared" si="9"/>
        <v/>
      </c>
      <c r="AL66" s="10">
        <f t="shared" si="21"/>
        <v>0</v>
      </c>
      <c r="AM66" s="12" t="s">
        <v>107</v>
      </c>
      <c r="AN66" s="31">
        <f t="shared" si="44"/>
        <v>0</v>
      </c>
      <c r="AO66" s="2" t="str">
        <f t="shared" si="10"/>
        <v/>
      </c>
      <c r="AP66" s="10">
        <f t="shared" si="22"/>
        <v>0</v>
      </c>
      <c r="AQ66" s="12" t="s">
        <v>107</v>
      </c>
      <c r="AR66" s="31">
        <f t="shared" si="45"/>
        <v>0</v>
      </c>
      <c r="AS66" s="2" t="str">
        <f t="shared" si="11"/>
        <v/>
      </c>
      <c r="AT66" s="10">
        <f t="shared" si="23"/>
        <v>0</v>
      </c>
      <c r="AU66" s="12" t="s">
        <v>107</v>
      </c>
      <c r="AV66" s="31">
        <f t="shared" si="35"/>
        <v>0</v>
      </c>
      <c r="AW66" s="2" t="str">
        <f t="shared" si="12"/>
        <v/>
      </c>
      <c r="AX66" s="10">
        <f t="shared" si="24"/>
        <v>0</v>
      </c>
      <c r="AY66" s="12" t="s">
        <v>107</v>
      </c>
      <c r="AZ66" s="31">
        <f t="shared" si="36"/>
        <v>0</v>
      </c>
    </row>
    <row r="67" spans="2:52">
      <c r="B67">
        <f t="shared" ref="B67:B74" si="46">B66+A67</f>
        <v>0</v>
      </c>
      <c r="C67" s="28"/>
      <c r="E67" s="2" t="str">
        <f t="shared" ref="E67:E74" si="47">IF($C67=E$1,E66+5,E66)</f>
        <v/>
      </c>
      <c r="F67" s="10">
        <f t="shared" si="13"/>
        <v>0</v>
      </c>
      <c r="G67" s="12" t="s">
        <v>107</v>
      </c>
      <c r="H67" s="31">
        <f t="shared" si="25"/>
        <v>0</v>
      </c>
      <c r="I67" s="2" t="str">
        <f t="shared" ref="I67:I74" si="48">IF($C67=I$1,I66+5,I66)</f>
        <v/>
      </c>
      <c r="J67" s="10">
        <f t="shared" si="14"/>
        <v>0</v>
      </c>
      <c r="K67" s="12" t="s">
        <v>107</v>
      </c>
      <c r="L67" s="31">
        <f t="shared" si="37"/>
        <v>0</v>
      </c>
      <c r="M67" s="2" t="str">
        <f t="shared" ref="M67:M74" si="49">IF($C67=M$1,M66+5,M66)</f>
        <v/>
      </c>
      <c r="N67" s="10">
        <f t="shared" si="15"/>
        <v>0</v>
      </c>
      <c r="O67" s="12" t="s">
        <v>107</v>
      </c>
      <c r="P67" s="31">
        <f t="shared" si="38"/>
        <v>0</v>
      </c>
      <c r="Q67" s="2" t="str">
        <f t="shared" ref="Q67:Q74" si="50">IF($C67=Q$1,Q66+5,Q66)</f>
        <v/>
      </c>
      <c r="R67" s="10">
        <f t="shared" si="16"/>
        <v>0</v>
      </c>
      <c r="S67" s="12" t="s">
        <v>107</v>
      </c>
      <c r="T67" s="31">
        <f t="shared" si="39"/>
        <v>0</v>
      </c>
      <c r="U67" s="2" t="str">
        <f t="shared" ref="U67:U74" si="51">IF($C67=U$1,U66+5,U66)</f>
        <v/>
      </c>
      <c r="V67" s="10">
        <f t="shared" si="17"/>
        <v>0</v>
      </c>
      <c r="W67" s="12" t="s">
        <v>107</v>
      </c>
      <c r="X67" s="31">
        <f t="shared" si="40"/>
        <v>0</v>
      </c>
      <c r="Y67" s="2" t="str">
        <f t="shared" ref="Y67:Y74" si="52">IF($C67=Y$1,Y66+5,Y66)</f>
        <v/>
      </c>
      <c r="Z67" s="10">
        <f t="shared" si="18"/>
        <v>0</v>
      </c>
      <c r="AA67" s="12" t="s">
        <v>107</v>
      </c>
      <c r="AB67" s="31">
        <f t="shared" si="41"/>
        <v>0</v>
      </c>
      <c r="AC67" s="2" t="str">
        <f t="shared" ref="AC67:AC74" si="53">IF($C67=AC$1,AC66+5,AC66)</f>
        <v/>
      </c>
      <c r="AD67" s="10">
        <f t="shared" si="19"/>
        <v>0</v>
      </c>
      <c r="AE67" s="12" t="s">
        <v>107</v>
      </c>
      <c r="AF67" s="31">
        <f t="shared" si="42"/>
        <v>0</v>
      </c>
      <c r="AG67" s="2" t="str">
        <f t="shared" ref="AG67:AG74" si="54">IF($C67=AG$1,AG66+5,AG66)</f>
        <v/>
      </c>
      <c r="AH67" s="10">
        <f t="shared" si="20"/>
        <v>0</v>
      </c>
      <c r="AI67" s="12" t="s">
        <v>107</v>
      </c>
      <c r="AJ67" s="31">
        <f t="shared" si="43"/>
        <v>0</v>
      </c>
      <c r="AK67" s="2" t="str">
        <f t="shared" ref="AK67:AK74" si="55">IF($C67=AK$1,AK66+1,AK66)</f>
        <v/>
      </c>
      <c r="AL67" s="10">
        <f t="shared" si="21"/>
        <v>0</v>
      </c>
      <c r="AM67" s="12" t="s">
        <v>107</v>
      </c>
      <c r="AN67" s="31">
        <f t="shared" si="44"/>
        <v>0</v>
      </c>
      <c r="AO67" s="2" t="str">
        <f t="shared" ref="AO67:AO74" si="56">IF($C67=AO$1,AO66+1,AO66)</f>
        <v/>
      </c>
      <c r="AP67" s="10">
        <f t="shared" si="22"/>
        <v>0</v>
      </c>
      <c r="AQ67" s="12" t="s">
        <v>107</v>
      </c>
      <c r="AR67" s="31">
        <f t="shared" si="45"/>
        <v>0</v>
      </c>
      <c r="AS67" s="2" t="str">
        <f t="shared" ref="AS67:AS74" si="57">IF($C67=AS$1,AS66+1,AS66)</f>
        <v/>
      </c>
      <c r="AT67" s="10">
        <f t="shared" si="23"/>
        <v>0</v>
      </c>
      <c r="AU67" s="12" t="s">
        <v>107</v>
      </c>
      <c r="AV67" s="31">
        <f t="shared" si="35"/>
        <v>0</v>
      </c>
      <c r="AW67" s="2" t="str">
        <f t="shared" ref="AW67:AW74" si="58">IF($C67=AW$1,AW66+1,AW66)</f>
        <v/>
      </c>
      <c r="AX67" s="10">
        <f t="shared" si="24"/>
        <v>0</v>
      </c>
      <c r="AY67" s="12" t="s">
        <v>107</v>
      </c>
      <c r="AZ67" s="31">
        <f t="shared" si="36"/>
        <v>0</v>
      </c>
    </row>
    <row r="68" spans="2:52">
      <c r="B68">
        <f t="shared" si="46"/>
        <v>0</v>
      </c>
      <c r="C68" s="28"/>
      <c r="E68" s="2" t="str">
        <f t="shared" si="47"/>
        <v/>
      </c>
      <c r="F68" s="10">
        <f t="shared" ref="F68:F74" si="59">IF($C68=E$1,F67+5,F67)</f>
        <v>0</v>
      </c>
      <c r="G68" s="12" t="s">
        <v>107</v>
      </c>
      <c r="H68" s="31">
        <f t="shared" si="25"/>
        <v>0</v>
      </c>
      <c r="I68" s="2" t="str">
        <f t="shared" si="48"/>
        <v/>
      </c>
      <c r="J68" s="10">
        <f t="shared" ref="J68:J74" si="60">IF($C68=I$1,J67+5,J67)</f>
        <v>0</v>
      </c>
      <c r="K68" s="12" t="s">
        <v>107</v>
      </c>
      <c r="L68" s="31">
        <f t="shared" si="37"/>
        <v>0</v>
      </c>
      <c r="M68" s="2" t="str">
        <f t="shared" si="49"/>
        <v/>
      </c>
      <c r="N68" s="10">
        <f t="shared" ref="N68:N74" si="61">IF($C68=M$1,N67+5,N67)</f>
        <v>0</v>
      </c>
      <c r="O68" s="12" t="s">
        <v>107</v>
      </c>
      <c r="P68" s="31">
        <f t="shared" si="38"/>
        <v>0</v>
      </c>
      <c r="Q68" s="2" t="str">
        <f t="shared" si="50"/>
        <v/>
      </c>
      <c r="R68" s="10">
        <f t="shared" ref="R68:R74" si="62">IF($C68=Q$1,R67+5,R67)</f>
        <v>0</v>
      </c>
      <c r="S68" s="12" t="s">
        <v>107</v>
      </c>
      <c r="T68" s="31">
        <f t="shared" si="39"/>
        <v>0</v>
      </c>
      <c r="U68" s="2" t="str">
        <f t="shared" si="51"/>
        <v/>
      </c>
      <c r="V68" s="10">
        <f t="shared" ref="V68:V74" si="63">IF($C68=U$1,V67+5,V67)</f>
        <v>0</v>
      </c>
      <c r="W68" s="12" t="s">
        <v>107</v>
      </c>
      <c r="X68" s="31">
        <f t="shared" si="40"/>
        <v>0</v>
      </c>
      <c r="Y68" s="2" t="str">
        <f t="shared" si="52"/>
        <v/>
      </c>
      <c r="Z68" s="10">
        <f t="shared" ref="Z68:Z74" si="64">IF($C68=Y$1,Z67+5,Z67)</f>
        <v>0</v>
      </c>
      <c r="AA68" s="12" t="s">
        <v>107</v>
      </c>
      <c r="AB68" s="31">
        <f t="shared" si="41"/>
        <v>0</v>
      </c>
      <c r="AC68" s="2" t="str">
        <f t="shared" si="53"/>
        <v/>
      </c>
      <c r="AD68" s="10">
        <f t="shared" ref="AD68:AD74" si="65">IF($C68=AC$1,AD67+5,AD67)</f>
        <v>0</v>
      </c>
      <c r="AE68" s="12" t="s">
        <v>107</v>
      </c>
      <c r="AF68" s="31">
        <f t="shared" si="42"/>
        <v>0</v>
      </c>
      <c r="AG68" s="2" t="str">
        <f t="shared" si="54"/>
        <v/>
      </c>
      <c r="AH68" s="10">
        <f t="shared" ref="AH68:AH74" si="66">IF($C68=AG$1,AH67+5,AH67)</f>
        <v>0</v>
      </c>
      <c r="AI68" s="12" t="s">
        <v>107</v>
      </c>
      <c r="AJ68" s="31">
        <f t="shared" si="43"/>
        <v>0</v>
      </c>
      <c r="AK68" s="2" t="str">
        <f t="shared" si="55"/>
        <v/>
      </c>
      <c r="AL68" s="10">
        <f t="shared" ref="AL68:AL74" si="67">IF($C68=AK$1,AL67+1,AL67)</f>
        <v>0</v>
      </c>
      <c r="AM68" s="12" t="s">
        <v>107</v>
      </c>
      <c r="AN68" s="31">
        <f t="shared" si="44"/>
        <v>0</v>
      </c>
      <c r="AO68" s="2" t="str">
        <f t="shared" si="56"/>
        <v/>
      </c>
      <c r="AP68" s="10">
        <f t="shared" ref="AP68:AP74" si="68">IF($C68=AO$1,AP67+1,AP67)</f>
        <v>0</v>
      </c>
      <c r="AQ68" s="12" t="s">
        <v>107</v>
      </c>
      <c r="AR68" s="31">
        <f t="shared" si="45"/>
        <v>0</v>
      </c>
      <c r="AS68" s="2" t="str">
        <f t="shared" si="57"/>
        <v/>
      </c>
      <c r="AT68" s="10">
        <f t="shared" ref="AT68:AT74" si="69">IF($C68=AS$1,AT67+1,AT67)</f>
        <v>0</v>
      </c>
      <c r="AU68" s="12" t="s">
        <v>107</v>
      </c>
      <c r="AV68" s="31">
        <f t="shared" si="35"/>
        <v>0</v>
      </c>
      <c r="AW68" s="2" t="str">
        <f t="shared" si="58"/>
        <v/>
      </c>
      <c r="AX68" s="10">
        <f t="shared" ref="AX68:AX74" si="70">IF($C68=AW$1,AX67+1,AX67)</f>
        <v>0</v>
      </c>
      <c r="AY68" s="12" t="s">
        <v>107</v>
      </c>
      <c r="AZ68" s="31">
        <f t="shared" si="36"/>
        <v>0</v>
      </c>
    </row>
    <row r="69" spans="2:52">
      <c r="B69">
        <f t="shared" si="46"/>
        <v>0</v>
      </c>
      <c r="C69" s="28"/>
      <c r="E69" s="2" t="str">
        <f t="shared" si="47"/>
        <v/>
      </c>
      <c r="F69" s="10">
        <f t="shared" si="59"/>
        <v>0</v>
      </c>
      <c r="G69" s="12" t="s">
        <v>107</v>
      </c>
      <c r="H69" s="31">
        <f t="shared" ref="H69:H74" si="71">H68</f>
        <v>0</v>
      </c>
      <c r="I69" s="2" t="str">
        <f t="shared" si="48"/>
        <v/>
      </c>
      <c r="J69" s="10">
        <f t="shared" si="60"/>
        <v>0</v>
      </c>
      <c r="K69" s="12" t="s">
        <v>107</v>
      </c>
      <c r="L69" s="31">
        <f t="shared" si="37"/>
        <v>0</v>
      </c>
      <c r="M69" s="2" t="str">
        <f t="shared" si="49"/>
        <v/>
      </c>
      <c r="N69" s="10">
        <f t="shared" si="61"/>
        <v>0</v>
      </c>
      <c r="O69" s="12" t="s">
        <v>107</v>
      </c>
      <c r="P69" s="31">
        <f t="shared" si="38"/>
        <v>0</v>
      </c>
      <c r="Q69" s="2" t="str">
        <f t="shared" si="50"/>
        <v/>
      </c>
      <c r="R69" s="10">
        <f t="shared" si="62"/>
        <v>0</v>
      </c>
      <c r="S69" s="12" t="s">
        <v>107</v>
      </c>
      <c r="T69" s="31">
        <f t="shared" si="39"/>
        <v>0</v>
      </c>
      <c r="U69" s="2" t="str">
        <f t="shared" si="51"/>
        <v/>
      </c>
      <c r="V69" s="10">
        <f t="shared" si="63"/>
        <v>0</v>
      </c>
      <c r="W69" s="12" t="s">
        <v>107</v>
      </c>
      <c r="X69" s="31">
        <f t="shared" si="40"/>
        <v>0</v>
      </c>
      <c r="Y69" s="2" t="str">
        <f t="shared" si="52"/>
        <v/>
      </c>
      <c r="Z69" s="10">
        <f t="shared" si="64"/>
        <v>0</v>
      </c>
      <c r="AA69" s="12" t="s">
        <v>107</v>
      </c>
      <c r="AB69" s="31">
        <f t="shared" si="41"/>
        <v>0</v>
      </c>
      <c r="AC69" s="2" t="str">
        <f t="shared" si="53"/>
        <v/>
      </c>
      <c r="AD69" s="10">
        <f t="shared" si="65"/>
        <v>0</v>
      </c>
      <c r="AE69" s="12" t="s">
        <v>107</v>
      </c>
      <c r="AF69" s="31">
        <f t="shared" si="42"/>
        <v>0</v>
      </c>
      <c r="AG69" s="2" t="str">
        <f t="shared" si="54"/>
        <v/>
      </c>
      <c r="AH69" s="10">
        <f t="shared" si="66"/>
        <v>0</v>
      </c>
      <c r="AI69" s="12" t="s">
        <v>107</v>
      </c>
      <c r="AJ69" s="31">
        <f t="shared" si="43"/>
        <v>0</v>
      </c>
      <c r="AK69" s="2" t="str">
        <f t="shared" si="55"/>
        <v/>
      </c>
      <c r="AL69" s="10">
        <f t="shared" si="67"/>
        <v>0</v>
      </c>
      <c r="AM69" s="12" t="s">
        <v>107</v>
      </c>
      <c r="AN69" s="31">
        <f t="shared" si="44"/>
        <v>0</v>
      </c>
      <c r="AO69" s="2" t="str">
        <f t="shared" si="56"/>
        <v/>
      </c>
      <c r="AP69" s="10">
        <f t="shared" si="68"/>
        <v>0</v>
      </c>
      <c r="AQ69" s="12" t="s">
        <v>107</v>
      </c>
      <c r="AR69" s="31">
        <f t="shared" si="45"/>
        <v>0</v>
      </c>
      <c r="AS69" s="2" t="str">
        <f t="shared" si="57"/>
        <v/>
      </c>
      <c r="AT69" s="10">
        <f t="shared" si="69"/>
        <v>0</v>
      </c>
      <c r="AU69" s="12" t="s">
        <v>107</v>
      </c>
      <c r="AV69" s="31">
        <f t="shared" ref="AV69:AV74" si="72">AV68</f>
        <v>0</v>
      </c>
      <c r="AW69" s="2" t="str">
        <f t="shared" si="58"/>
        <v/>
      </c>
      <c r="AX69" s="10">
        <f t="shared" si="70"/>
        <v>0</v>
      </c>
      <c r="AY69" s="12" t="s">
        <v>107</v>
      </c>
      <c r="AZ69" s="31">
        <f t="shared" ref="AZ69:AZ74" si="73">AZ68</f>
        <v>0</v>
      </c>
    </row>
    <row r="70" spans="2:52">
      <c r="B70">
        <f t="shared" si="46"/>
        <v>0</v>
      </c>
      <c r="C70" s="28"/>
      <c r="E70" s="2" t="str">
        <f t="shared" si="47"/>
        <v/>
      </c>
      <c r="F70" s="10">
        <f t="shared" si="59"/>
        <v>0</v>
      </c>
      <c r="G70" s="12" t="s">
        <v>107</v>
      </c>
      <c r="H70" s="31">
        <f t="shared" si="71"/>
        <v>0</v>
      </c>
      <c r="I70" s="2" t="str">
        <f t="shared" si="48"/>
        <v/>
      </c>
      <c r="J70" s="10">
        <f t="shared" si="60"/>
        <v>0</v>
      </c>
      <c r="K70" s="12" t="s">
        <v>107</v>
      </c>
      <c r="L70" s="31">
        <f t="shared" si="37"/>
        <v>0</v>
      </c>
      <c r="M70" s="2" t="str">
        <f t="shared" si="49"/>
        <v/>
      </c>
      <c r="N70" s="10">
        <f t="shared" si="61"/>
        <v>0</v>
      </c>
      <c r="O70" s="12" t="s">
        <v>107</v>
      </c>
      <c r="P70" s="31">
        <f t="shared" si="38"/>
        <v>0</v>
      </c>
      <c r="Q70" s="2" t="str">
        <f t="shared" si="50"/>
        <v/>
      </c>
      <c r="R70" s="10">
        <f t="shared" si="62"/>
        <v>0</v>
      </c>
      <c r="S70" s="12" t="s">
        <v>107</v>
      </c>
      <c r="T70" s="31">
        <f t="shared" si="39"/>
        <v>0</v>
      </c>
      <c r="U70" s="2" t="str">
        <f t="shared" si="51"/>
        <v/>
      </c>
      <c r="V70" s="10">
        <f t="shared" si="63"/>
        <v>0</v>
      </c>
      <c r="W70" s="12" t="s">
        <v>107</v>
      </c>
      <c r="X70" s="31">
        <f t="shared" si="40"/>
        <v>0</v>
      </c>
      <c r="Y70" s="2" t="str">
        <f t="shared" si="52"/>
        <v/>
      </c>
      <c r="Z70" s="10">
        <f t="shared" si="64"/>
        <v>0</v>
      </c>
      <c r="AA70" s="12" t="s">
        <v>107</v>
      </c>
      <c r="AB70" s="31">
        <f t="shared" si="41"/>
        <v>0</v>
      </c>
      <c r="AC70" s="2" t="str">
        <f t="shared" si="53"/>
        <v/>
      </c>
      <c r="AD70" s="10">
        <f t="shared" si="65"/>
        <v>0</v>
      </c>
      <c r="AE70" s="12" t="s">
        <v>107</v>
      </c>
      <c r="AF70" s="31">
        <f t="shared" si="42"/>
        <v>0</v>
      </c>
      <c r="AG70" s="2" t="str">
        <f t="shared" si="54"/>
        <v/>
      </c>
      <c r="AH70" s="10">
        <f t="shared" si="66"/>
        <v>0</v>
      </c>
      <c r="AI70" s="12" t="s">
        <v>107</v>
      </c>
      <c r="AJ70" s="31">
        <f t="shared" si="43"/>
        <v>0</v>
      </c>
      <c r="AK70" s="2" t="str">
        <f t="shared" si="55"/>
        <v/>
      </c>
      <c r="AL70" s="10">
        <f t="shared" si="67"/>
        <v>0</v>
      </c>
      <c r="AM70" s="12" t="s">
        <v>107</v>
      </c>
      <c r="AN70" s="31">
        <f t="shared" si="44"/>
        <v>0</v>
      </c>
      <c r="AO70" s="2" t="str">
        <f t="shared" si="56"/>
        <v/>
      </c>
      <c r="AP70" s="10">
        <f t="shared" si="68"/>
        <v>0</v>
      </c>
      <c r="AQ70" s="12" t="s">
        <v>107</v>
      </c>
      <c r="AR70" s="31">
        <f t="shared" si="45"/>
        <v>0</v>
      </c>
      <c r="AS70" s="2" t="str">
        <f t="shared" si="57"/>
        <v/>
      </c>
      <c r="AT70" s="10">
        <f t="shared" si="69"/>
        <v>0</v>
      </c>
      <c r="AU70" s="12" t="s">
        <v>107</v>
      </c>
      <c r="AV70" s="31">
        <f t="shared" si="72"/>
        <v>0</v>
      </c>
      <c r="AW70" s="2" t="str">
        <f t="shared" si="58"/>
        <v/>
      </c>
      <c r="AX70" s="10">
        <f t="shared" si="70"/>
        <v>0</v>
      </c>
      <c r="AY70" s="12" t="s">
        <v>107</v>
      </c>
      <c r="AZ70" s="31">
        <f t="shared" si="73"/>
        <v>0</v>
      </c>
    </row>
    <row r="71" spans="2:52">
      <c r="B71">
        <f t="shared" si="46"/>
        <v>0</v>
      </c>
      <c r="C71" s="28"/>
      <c r="E71" s="2" t="str">
        <f t="shared" si="47"/>
        <v/>
      </c>
      <c r="F71" s="10">
        <f t="shared" si="59"/>
        <v>0</v>
      </c>
      <c r="G71" s="12" t="s">
        <v>107</v>
      </c>
      <c r="H71" s="31">
        <f t="shared" si="71"/>
        <v>0</v>
      </c>
      <c r="I71" s="2" t="str">
        <f t="shared" si="48"/>
        <v/>
      </c>
      <c r="J71" s="10">
        <f t="shared" si="60"/>
        <v>0</v>
      </c>
      <c r="K71" s="12" t="s">
        <v>107</v>
      </c>
      <c r="L71" s="31">
        <f t="shared" si="37"/>
        <v>0</v>
      </c>
      <c r="M71" s="2" t="str">
        <f t="shared" si="49"/>
        <v/>
      </c>
      <c r="N71" s="10">
        <f t="shared" si="61"/>
        <v>0</v>
      </c>
      <c r="O71" s="12" t="s">
        <v>107</v>
      </c>
      <c r="P71" s="31">
        <f t="shared" si="38"/>
        <v>0</v>
      </c>
      <c r="Q71" s="2" t="str">
        <f t="shared" si="50"/>
        <v/>
      </c>
      <c r="R71" s="10">
        <f t="shared" si="62"/>
        <v>0</v>
      </c>
      <c r="S71" s="12" t="s">
        <v>107</v>
      </c>
      <c r="T71" s="31">
        <f t="shared" si="39"/>
        <v>0</v>
      </c>
      <c r="U71" s="2" t="str">
        <f t="shared" si="51"/>
        <v/>
      </c>
      <c r="V71" s="10">
        <f t="shared" si="63"/>
        <v>0</v>
      </c>
      <c r="W71" s="12" t="s">
        <v>107</v>
      </c>
      <c r="X71" s="31">
        <f t="shared" si="40"/>
        <v>0</v>
      </c>
      <c r="Y71" s="2" t="str">
        <f t="shared" si="52"/>
        <v/>
      </c>
      <c r="Z71" s="10">
        <f t="shared" si="64"/>
        <v>0</v>
      </c>
      <c r="AA71" s="12" t="s">
        <v>107</v>
      </c>
      <c r="AB71" s="31">
        <f t="shared" si="41"/>
        <v>0</v>
      </c>
      <c r="AC71" s="2" t="str">
        <f t="shared" si="53"/>
        <v/>
      </c>
      <c r="AD71" s="10">
        <f t="shared" si="65"/>
        <v>0</v>
      </c>
      <c r="AE71" s="12" t="s">
        <v>107</v>
      </c>
      <c r="AF71" s="31">
        <f t="shared" si="42"/>
        <v>0</v>
      </c>
      <c r="AG71" s="2" t="str">
        <f t="shared" si="54"/>
        <v/>
      </c>
      <c r="AH71" s="10">
        <f t="shared" si="66"/>
        <v>0</v>
      </c>
      <c r="AI71" s="12" t="s">
        <v>107</v>
      </c>
      <c r="AJ71" s="31">
        <f t="shared" si="43"/>
        <v>0</v>
      </c>
      <c r="AK71" s="2" t="str">
        <f t="shared" si="55"/>
        <v/>
      </c>
      <c r="AL71" s="10">
        <f t="shared" si="67"/>
        <v>0</v>
      </c>
      <c r="AM71" s="12" t="s">
        <v>107</v>
      </c>
      <c r="AN71" s="31">
        <f t="shared" si="44"/>
        <v>0</v>
      </c>
      <c r="AO71" s="2" t="str">
        <f t="shared" si="56"/>
        <v/>
      </c>
      <c r="AP71" s="10">
        <f t="shared" si="68"/>
        <v>0</v>
      </c>
      <c r="AQ71" s="12" t="s">
        <v>107</v>
      </c>
      <c r="AR71" s="31">
        <f t="shared" si="45"/>
        <v>0</v>
      </c>
      <c r="AS71" s="2" t="str">
        <f t="shared" si="57"/>
        <v/>
      </c>
      <c r="AT71" s="10">
        <f t="shared" si="69"/>
        <v>0</v>
      </c>
      <c r="AU71" s="12" t="s">
        <v>107</v>
      </c>
      <c r="AV71" s="31">
        <f t="shared" si="72"/>
        <v>0</v>
      </c>
      <c r="AW71" s="2" t="str">
        <f t="shared" si="58"/>
        <v/>
      </c>
      <c r="AX71" s="10">
        <f t="shared" si="70"/>
        <v>0</v>
      </c>
      <c r="AY71" s="12" t="s">
        <v>107</v>
      </c>
      <c r="AZ71" s="31">
        <f t="shared" si="73"/>
        <v>0</v>
      </c>
    </row>
    <row r="72" spans="2:52">
      <c r="B72">
        <f t="shared" si="46"/>
        <v>0</v>
      </c>
      <c r="C72" s="28"/>
      <c r="E72" s="2" t="str">
        <f t="shared" si="47"/>
        <v/>
      </c>
      <c r="F72" s="10">
        <f t="shared" si="59"/>
        <v>0</v>
      </c>
      <c r="G72" s="12" t="s">
        <v>107</v>
      </c>
      <c r="H72" s="31">
        <f t="shared" si="71"/>
        <v>0</v>
      </c>
      <c r="I72" s="2" t="str">
        <f t="shared" si="48"/>
        <v/>
      </c>
      <c r="J72" s="10">
        <f t="shared" si="60"/>
        <v>0</v>
      </c>
      <c r="K72" s="12" t="s">
        <v>107</v>
      </c>
      <c r="L72" s="31">
        <f t="shared" si="37"/>
        <v>0</v>
      </c>
      <c r="M72" s="2" t="str">
        <f t="shared" si="49"/>
        <v/>
      </c>
      <c r="N72" s="10">
        <f t="shared" si="61"/>
        <v>0</v>
      </c>
      <c r="O72" s="12" t="s">
        <v>107</v>
      </c>
      <c r="P72" s="31">
        <f t="shared" si="38"/>
        <v>0</v>
      </c>
      <c r="Q72" s="2" t="str">
        <f t="shared" si="50"/>
        <v/>
      </c>
      <c r="R72" s="10">
        <f t="shared" si="62"/>
        <v>0</v>
      </c>
      <c r="S72" s="12" t="s">
        <v>107</v>
      </c>
      <c r="T72" s="31">
        <f t="shared" si="39"/>
        <v>0</v>
      </c>
      <c r="U72" s="2" t="str">
        <f t="shared" si="51"/>
        <v/>
      </c>
      <c r="V72" s="10">
        <f t="shared" si="63"/>
        <v>0</v>
      </c>
      <c r="W72" s="12" t="s">
        <v>107</v>
      </c>
      <c r="X72" s="31">
        <f t="shared" si="40"/>
        <v>0</v>
      </c>
      <c r="Y72" s="2" t="str">
        <f t="shared" si="52"/>
        <v/>
      </c>
      <c r="Z72" s="10">
        <f t="shared" si="64"/>
        <v>0</v>
      </c>
      <c r="AA72" s="12" t="s">
        <v>107</v>
      </c>
      <c r="AB72" s="31">
        <f t="shared" si="41"/>
        <v>0</v>
      </c>
      <c r="AC72" s="2" t="str">
        <f t="shared" si="53"/>
        <v/>
      </c>
      <c r="AD72" s="10">
        <f t="shared" si="65"/>
        <v>0</v>
      </c>
      <c r="AE72" s="12" t="s">
        <v>107</v>
      </c>
      <c r="AF72" s="31">
        <f t="shared" si="42"/>
        <v>0</v>
      </c>
      <c r="AG72" s="2" t="str">
        <f t="shared" si="54"/>
        <v/>
      </c>
      <c r="AH72" s="10">
        <f t="shared" si="66"/>
        <v>0</v>
      </c>
      <c r="AI72" s="12" t="s">
        <v>107</v>
      </c>
      <c r="AJ72" s="31">
        <f t="shared" si="43"/>
        <v>0</v>
      </c>
      <c r="AK72" s="2" t="str">
        <f t="shared" si="55"/>
        <v/>
      </c>
      <c r="AL72" s="10">
        <f t="shared" si="67"/>
        <v>0</v>
      </c>
      <c r="AM72" s="12" t="s">
        <v>107</v>
      </c>
      <c r="AN72" s="31">
        <f t="shared" si="44"/>
        <v>0</v>
      </c>
      <c r="AO72" s="2" t="str">
        <f t="shared" si="56"/>
        <v/>
      </c>
      <c r="AP72" s="10">
        <f t="shared" si="68"/>
        <v>0</v>
      </c>
      <c r="AQ72" s="12" t="s">
        <v>107</v>
      </c>
      <c r="AR72" s="31">
        <f t="shared" si="45"/>
        <v>0</v>
      </c>
      <c r="AS72" s="2" t="str">
        <f t="shared" si="57"/>
        <v/>
      </c>
      <c r="AT72" s="10">
        <f t="shared" si="69"/>
        <v>0</v>
      </c>
      <c r="AU72" s="12" t="s">
        <v>107</v>
      </c>
      <c r="AV72" s="31">
        <f t="shared" si="72"/>
        <v>0</v>
      </c>
      <c r="AW72" s="2" t="str">
        <f t="shared" si="58"/>
        <v/>
      </c>
      <c r="AX72" s="10">
        <f t="shared" si="70"/>
        <v>0</v>
      </c>
      <c r="AY72" s="12" t="s">
        <v>107</v>
      </c>
      <c r="AZ72" s="31">
        <f t="shared" si="73"/>
        <v>0</v>
      </c>
    </row>
    <row r="73" spans="2:52">
      <c r="B73">
        <f t="shared" si="46"/>
        <v>0</v>
      </c>
      <c r="C73" s="28"/>
      <c r="E73" s="2" t="str">
        <f t="shared" si="47"/>
        <v/>
      </c>
      <c r="F73" s="10">
        <f t="shared" si="59"/>
        <v>0</v>
      </c>
      <c r="G73" s="12" t="s">
        <v>107</v>
      </c>
      <c r="H73" s="31">
        <f t="shared" si="71"/>
        <v>0</v>
      </c>
      <c r="I73" s="2" t="str">
        <f t="shared" si="48"/>
        <v/>
      </c>
      <c r="J73" s="10">
        <f t="shared" si="60"/>
        <v>0</v>
      </c>
      <c r="K73" s="12" t="s">
        <v>107</v>
      </c>
      <c r="L73" s="31">
        <f t="shared" si="37"/>
        <v>0</v>
      </c>
      <c r="M73" s="2" t="str">
        <f t="shared" si="49"/>
        <v/>
      </c>
      <c r="N73" s="10">
        <f t="shared" si="61"/>
        <v>0</v>
      </c>
      <c r="O73" s="12" t="s">
        <v>107</v>
      </c>
      <c r="P73" s="31">
        <f t="shared" si="38"/>
        <v>0</v>
      </c>
      <c r="Q73" s="2" t="str">
        <f t="shared" si="50"/>
        <v/>
      </c>
      <c r="R73" s="10">
        <f t="shared" si="62"/>
        <v>0</v>
      </c>
      <c r="S73" s="12" t="s">
        <v>107</v>
      </c>
      <c r="T73" s="31">
        <f t="shared" si="39"/>
        <v>0</v>
      </c>
      <c r="U73" s="2" t="str">
        <f t="shared" si="51"/>
        <v/>
      </c>
      <c r="V73" s="10">
        <f t="shared" si="63"/>
        <v>0</v>
      </c>
      <c r="W73" s="12" t="s">
        <v>107</v>
      </c>
      <c r="X73" s="31">
        <f t="shared" si="40"/>
        <v>0</v>
      </c>
      <c r="Y73" s="2" t="str">
        <f t="shared" si="52"/>
        <v/>
      </c>
      <c r="Z73" s="10">
        <f t="shared" si="64"/>
        <v>0</v>
      </c>
      <c r="AA73" s="12" t="s">
        <v>107</v>
      </c>
      <c r="AB73" s="31">
        <f t="shared" si="41"/>
        <v>0</v>
      </c>
      <c r="AC73" s="2" t="str">
        <f t="shared" si="53"/>
        <v/>
      </c>
      <c r="AD73" s="10">
        <f t="shared" si="65"/>
        <v>0</v>
      </c>
      <c r="AE73" s="12" t="s">
        <v>107</v>
      </c>
      <c r="AF73" s="31">
        <f t="shared" si="42"/>
        <v>0</v>
      </c>
      <c r="AG73" s="2" t="str">
        <f t="shared" si="54"/>
        <v/>
      </c>
      <c r="AH73" s="10">
        <f t="shared" si="66"/>
        <v>0</v>
      </c>
      <c r="AI73" s="12" t="s">
        <v>107</v>
      </c>
      <c r="AJ73" s="31">
        <f t="shared" si="43"/>
        <v>0</v>
      </c>
      <c r="AK73" s="2" t="str">
        <f t="shared" si="55"/>
        <v/>
      </c>
      <c r="AL73" s="10">
        <f t="shared" si="67"/>
        <v>0</v>
      </c>
      <c r="AM73" s="12" t="s">
        <v>107</v>
      </c>
      <c r="AN73" s="31">
        <f t="shared" si="44"/>
        <v>0</v>
      </c>
      <c r="AO73" s="2" t="str">
        <f t="shared" si="56"/>
        <v/>
      </c>
      <c r="AP73" s="10">
        <f t="shared" si="68"/>
        <v>0</v>
      </c>
      <c r="AQ73" s="12" t="s">
        <v>107</v>
      </c>
      <c r="AR73" s="31">
        <f t="shared" si="45"/>
        <v>0</v>
      </c>
      <c r="AS73" s="2" t="str">
        <f t="shared" si="57"/>
        <v/>
      </c>
      <c r="AT73" s="10">
        <f t="shared" si="69"/>
        <v>0</v>
      </c>
      <c r="AU73" s="12" t="s">
        <v>107</v>
      </c>
      <c r="AV73" s="31">
        <f t="shared" si="72"/>
        <v>0</v>
      </c>
      <c r="AW73" s="2" t="str">
        <f t="shared" si="58"/>
        <v/>
      </c>
      <c r="AX73" s="10">
        <f t="shared" si="70"/>
        <v>0</v>
      </c>
      <c r="AY73" s="12" t="s">
        <v>107</v>
      </c>
      <c r="AZ73" s="31">
        <f t="shared" si="73"/>
        <v>0</v>
      </c>
    </row>
    <row r="74" spans="2:52">
      <c r="B74">
        <f t="shared" si="46"/>
        <v>0</v>
      </c>
      <c r="C74" s="28"/>
      <c r="E74" s="2" t="str">
        <f t="shared" si="47"/>
        <v/>
      </c>
      <c r="F74" s="10">
        <f t="shared" si="59"/>
        <v>0</v>
      </c>
      <c r="G74" s="12" t="s">
        <v>107</v>
      </c>
      <c r="H74" s="31">
        <f t="shared" si="71"/>
        <v>0</v>
      </c>
      <c r="I74" s="2" t="str">
        <f t="shared" si="48"/>
        <v/>
      </c>
      <c r="J74" s="10">
        <f t="shared" si="60"/>
        <v>0</v>
      </c>
      <c r="K74" s="12" t="s">
        <v>107</v>
      </c>
      <c r="L74" s="31">
        <f t="shared" si="37"/>
        <v>0</v>
      </c>
      <c r="M74" s="2" t="str">
        <f t="shared" si="49"/>
        <v/>
      </c>
      <c r="N74" s="10">
        <f t="shared" si="61"/>
        <v>0</v>
      </c>
      <c r="O74" s="12" t="s">
        <v>107</v>
      </c>
      <c r="P74" s="31">
        <f t="shared" si="38"/>
        <v>0</v>
      </c>
      <c r="Q74" s="2" t="str">
        <f t="shared" si="50"/>
        <v/>
      </c>
      <c r="R74" s="10">
        <f t="shared" si="62"/>
        <v>0</v>
      </c>
      <c r="S74" s="12" t="s">
        <v>107</v>
      </c>
      <c r="T74" s="31">
        <f t="shared" si="39"/>
        <v>0</v>
      </c>
      <c r="U74" s="2" t="str">
        <f t="shared" si="51"/>
        <v/>
      </c>
      <c r="V74" s="10">
        <f t="shared" si="63"/>
        <v>0</v>
      </c>
      <c r="W74" s="12" t="s">
        <v>107</v>
      </c>
      <c r="X74" s="31">
        <f t="shared" si="40"/>
        <v>0</v>
      </c>
      <c r="Y74" s="2" t="str">
        <f t="shared" si="52"/>
        <v/>
      </c>
      <c r="Z74" s="10">
        <f t="shared" si="64"/>
        <v>0</v>
      </c>
      <c r="AA74" s="12" t="s">
        <v>107</v>
      </c>
      <c r="AB74" s="31">
        <f t="shared" si="41"/>
        <v>0</v>
      </c>
      <c r="AC74" s="2" t="str">
        <f t="shared" si="53"/>
        <v/>
      </c>
      <c r="AD74" s="10">
        <f t="shared" si="65"/>
        <v>0</v>
      </c>
      <c r="AE74" s="12" t="s">
        <v>107</v>
      </c>
      <c r="AF74" s="31">
        <f t="shared" si="42"/>
        <v>0</v>
      </c>
      <c r="AG74" s="2" t="str">
        <f t="shared" si="54"/>
        <v/>
      </c>
      <c r="AH74" s="10">
        <f t="shared" si="66"/>
        <v>0</v>
      </c>
      <c r="AI74" s="12" t="s">
        <v>107</v>
      </c>
      <c r="AJ74" s="31">
        <f t="shared" si="43"/>
        <v>0</v>
      </c>
      <c r="AK74" s="2" t="str">
        <f t="shared" si="55"/>
        <v/>
      </c>
      <c r="AL74" s="10">
        <f t="shared" si="67"/>
        <v>0</v>
      </c>
      <c r="AM74" s="12" t="s">
        <v>107</v>
      </c>
      <c r="AN74" s="31">
        <f t="shared" si="44"/>
        <v>0</v>
      </c>
      <c r="AO74" s="2" t="str">
        <f t="shared" si="56"/>
        <v/>
      </c>
      <c r="AP74" s="10">
        <f t="shared" si="68"/>
        <v>0</v>
      </c>
      <c r="AQ74" s="12" t="s">
        <v>107</v>
      </c>
      <c r="AR74" s="31">
        <f t="shared" si="45"/>
        <v>0</v>
      </c>
      <c r="AS74" s="2" t="str">
        <f t="shared" si="57"/>
        <v/>
      </c>
      <c r="AT74" s="10">
        <f t="shared" si="69"/>
        <v>0</v>
      </c>
      <c r="AU74" s="12" t="s">
        <v>107</v>
      </c>
      <c r="AV74" s="31">
        <f t="shared" si="72"/>
        <v>0</v>
      </c>
      <c r="AW74" s="2" t="str">
        <f t="shared" si="58"/>
        <v/>
      </c>
      <c r="AX74" s="10">
        <f t="shared" si="70"/>
        <v>0</v>
      </c>
      <c r="AY74" s="12" t="s">
        <v>107</v>
      </c>
      <c r="AZ74" s="31">
        <f t="shared" si="73"/>
        <v>0</v>
      </c>
    </row>
    <row r="75" spans="2:52">
      <c r="G75" s="12"/>
      <c r="H75" s="31"/>
      <c r="K75" s="12"/>
      <c r="L75" s="31"/>
      <c r="O75" s="12"/>
      <c r="P75" s="31"/>
      <c r="S75" s="12"/>
      <c r="T75" s="31"/>
      <c r="W75" s="12"/>
      <c r="X75" s="31"/>
      <c r="AA75" s="12"/>
      <c r="AB75" s="31"/>
      <c r="AE75" s="12"/>
      <c r="AF75" s="31"/>
      <c r="AI75" s="12"/>
      <c r="AJ75" s="31"/>
      <c r="AM75" s="12"/>
      <c r="AN75" s="31"/>
      <c r="AQ75" s="12"/>
      <c r="AR75" s="31"/>
      <c r="AU75" s="12"/>
      <c r="AV75" s="31"/>
      <c r="AY75" s="12"/>
      <c r="AZ75" s="31"/>
    </row>
    <row r="76" spans="2:52">
      <c r="G76" s="12"/>
      <c r="H76" s="31"/>
      <c r="K76" s="12"/>
      <c r="L76" s="31"/>
      <c r="O76" s="12"/>
      <c r="P76" s="31"/>
      <c r="S76" s="12"/>
      <c r="T76" s="31"/>
      <c r="W76" s="12"/>
      <c r="X76" s="31"/>
      <c r="AA76" s="12"/>
      <c r="AB76" s="31"/>
      <c r="AE76" s="12"/>
      <c r="AF76" s="31"/>
      <c r="AI76" s="12"/>
      <c r="AJ76" s="31"/>
      <c r="AM76" s="12"/>
      <c r="AN76" s="31"/>
      <c r="AQ76" s="12"/>
      <c r="AR76" s="31"/>
      <c r="AU76" s="12"/>
      <c r="AV76" s="31"/>
      <c r="AY76" s="12"/>
      <c r="AZ76" s="31"/>
    </row>
    <row r="77" spans="2:52">
      <c r="G77" s="12"/>
      <c r="H77" s="31"/>
      <c r="K77" s="12"/>
      <c r="L77" s="31"/>
      <c r="O77" s="12"/>
      <c r="P77" s="31"/>
      <c r="S77" s="12"/>
      <c r="T77" s="31"/>
      <c r="W77" s="12"/>
      <c r="X77" s="31"/>
      <c r="AA77" s="12"/>
      <c r="AB77" s="31"/>
      <c r="AE77" s="12"/>
      <c r="AF77" s="31"/>
      <c r="AI77" s="12"/>
      <c r="AJ77" s="31"/>
      <c r="AM77" s="12"/>
      <c r="AN77" s="31"/>
      <c r="AQ77" s="12"/>
      <c r="AR77" s="31"/>
      <c r="AU77" s="12"/>
      <c r="AV77" s="31"/>
      <c r="AY77" s="12"/>
      <c r="AZ77" s="31"/>
    </row>
    <row r="78" spans="2:52">
      <c r="G78" s="12"/>
      <c r="H78" s="31"/>
      <c r="K78" s="12"/>
      <c r="L78" s="31"/>
      <c r="O78" s="12"/>
      <c r="P78" s="31"/>
      <c r="S78" s="12"/>
      <c r="T78" s="31"/>
      <c r="W78" s="12"/>
      <c r="X78" s="31"/>
      <c r="AA78" s="12"/>
      <c r="AB78" s="31"/>
      <c r="AE78" s="12"/>
      <c r="AF78" s="31"/>
      <c r="AI78" s="12"/>
      <c r="AJ78" s="31"/>
      <c r="AM78" s="12"/>
      <c r="AN78" s="31"/>
      <c r="AQ78" s="12"/>
      <c r="AR78" s="31"/>
      <c r="AU78" s="12"/>
      <c r="AV78" s="31"/>
      <c r="AY78" s="12"/>
      <c r="AZ78" s="31"/>
    </row>
    <row r="79" spans="2:52">
      <c r="G79" s="12"/>
      <c r="H79" s="31"/>
      <c r="K79" s="12"/>
      <c r="L79" s="31"/>
      <c r="O79" s="12"/>
      <c r="P79" s="31"/>
      <c r="S79" s="12"/>
      <c r="T79" s="31"/>
      <c r="W79" s="12"/>
      <c r="X79" s="31"/>
      <c r="AA79" s="12"/>
      <c r="AB79" s="31"/>
      <c r="AE79" s="12"/>
      <c r="AF79" s="31"/>
      <c r="AI79" s="12"/>
      <c r="AJ79" s="31"/>
      <c r="AM79" s="12"/>
      <c r="AN79" s="31"/>
      <c r="AQ79" s="12"/>
      <c r="AR79" s="31"/>
      <c r="AU79" s="12"/>
      <c r="AV79" s="31"/>
      <c r="AY79" s="12"/>
      <c r="AZ79" s="31"/>
    </row>
    <row r="80" spans="2:52">
      <c r="G80" s="12"/>
      <c r="H80" s="31"/>
      <c r="K80" s="12"/>
      <c r="L80" s="31"/>
      <c r="O80" s="12"/>
      <c r="P80" s="31"/>
      <c r="S80" s="12"/>
      <c r="T80" s="31"/>
      <c r="W80" s="12"/>
      <c r="X80" s="31"/>
      <c r="AA80" s="12"/>
      <c r="AB80" s="31"/>
      <c r="AE80" s="12"/>
      <c r="AF80" s="31"/>
      <c r="AI80" s="12"/>
      <c r="AJ80" s="31"/>
      <c r="AM80" s="12"/>
      <c r="AN80" s="31"/>
      <c r="AQ80" s="12"/>
      <c r="AR80" s="31"/>
      <c r="AU80" s="12"/>
      <c r="AV80" s="31"/>
      <c r="AY80" s="12"/>
      <c r="AZ80" s="31"/>
    </row>
    <row r="81" spans="7:52">
      <c r="G81" s="12"/>
      <c r="H81" s="31"/>
      <c r="K81" s="12"/>
      <c r="L81" s="31"/>
      <c r="O81" s="12"/>
      <c r="P81" s="31"/>
      <c r="S81" s="12"/>
      <c r="T81" s="31"/>
      <c r="W81" s="12"/>
      <c r="X81" s="31"/>
      <c r="AA81" s="12"/>
      <c r="AB81" s="31"/>
      <c r="AE81" s="12"/>
      <c r="AF81" s="31"/>
      <c r="AI81" s="12"/>
      <c r="AJ81" s="31"/>
      <c r="AM81" s="12"/>
      <c r="AN81" s="31"/>
      <c r="AQ81" s="12"/>
      <c r="AR81" s="31"/>
      <c r="AU81" s="12"/>
      <c r="AV81" s="31"/>
      <c r="AY81" s="12"/>
      <c r="AZ81" s="31"/>
    </row>
    <row r="82" spans="7:52">
      <c r="G82" s="12"/>
      <c r="H82" s="31"/>
      <c r="K82" s="12"/>
      <c r="L82" s="31"/>
      <c r="O82" s="12"/>
      <c r="P82" s="31"/>
      <c r="S82" s="12"/>
      <c r="T82" s="31"/>
      <c r="W82" s="12"/>
      <c r="X82" s="31"/>
      <c r="AA82" s="12"/>
      <c r="AB82" s="31"/>
      <c r="AE82" s="12"/>
      <c r="AF82" s="31"/>
      <c r="AI82" s="12"/>
      <c r="AJ82" s="31"/>
      <c r="AM82" s="12"/>
      <c r="AN82" s="31"/>
      <c r="AQ82" s="12"/>
      <c r="AR82" s="31"/>
      <c r="AU82" s="12"/>
      <c r="AV82" s="31"/>
      <c r="AY82" s="12"/>
      <c r="AZ82" s="31"/>
    </row>
    <row r="83" spans="7:52">
      <c r="G83" s="12"/>
      <c r="H83" s="31"/>
      <c r="K83" s="12"/>
      <c r="L83" s="31"/>
      <c r="O83" s="12"/>
      <c r="P83" s="31"/>
      <c r="S83" s="12"/>
      <c r="T83" s="31"/>
      <c r="W83" s="12"/>
      <c r="X83" s="31"/>
      <c r="AA83" s="12"/>
      <c r="AB83" s="31"/>
      <c r="AE83" s="12"/>
      <c r="AF83" s="31"/>
      <c r="AI83" s="12"/>
      <c r="AJ83" s="31"/>
      <c r="AM83" s="12"/>
      <c r="AN83" s="31"/>
      <c r="AQ83" s="12"/>
      <c r="AR83" s="31"/>
      <c r="AU83" s="12"/>
      <c r="AV83" s="31"/>
      <c r="AY83" s="12"/>
      <c r="AZ83" s="31"/>
    </row>
    <row r="84" spans="7:52">
      <c r="G84" s="12"/>
      <c r="H84" s="31"/>
      <c r="K84" s="12"/>
      <c r="L84" s="31"/>
      <c r="O84" s="12"/>
      <c r="P84" s="31"/>
      <c r="S84" s="12"/>
      <c r="T84" s="31"/>
      <c r="W84" s="12"/>
      <c r="X84" s="31"/>
      <c r="AA84" s="12"/>
      <c r="AB84" s="31"/>
      <c r="AE84" s="12"/>
      <c r="AF84" s="31"/>
      <c r="AI84" s="12"/>
      <c r="AJ84" s="31"/>
      <c r="AM84" s="12"/>
      <c r="AN84" s="31"/>
      <c r="AQ84" s="12"/>
      <c r="AR84" s="31"/>
      <c r="AU84" s="12"/>
      <c r="AV84" s="31"/>
      <c r="AY84" s="12"/>
      <c r="AZ84" s="31"/>
    </row>
    <row r="85" spans="7:52">
      <c r="G85" s="12"/>
      <c r="H85" s="31"/>
      <c r="K85" s="12"/>
      <c r="L85" s="31"/>
      <c r="O85" s="12"/>
      <c r="P85" s="31"/>
      <c r="S85" s="12"/>
      <c r="T85" s="31"/>
      <c r="W85" s="12"/>
      <c r="X85" s="31"/>
      <c r="AA85" s="12"/>
      <c r="AB85" s="31"/>
      <c r="AE85" s="12"/>
      <c r="AF85" s="31"/>
      <c r="AI85" s="12"/>
      <c r="AJ85" s="31"/>
      <c r="AM85" s="12"/>
      <c r="AN85" s="31"/>
      <c r="AQ85" s="12"/>
      <c r="AR85" s="31"/>
      <c r="AU85" s="12"/>
      <c r="AV85" s="31"/>
      <c r="AY85" s="12"/>
      <c r="AZ85" s="31"/>
    </row>
    <row r="86" spans="7:52">
      <c r="G86" s="12"/>
      <c r="H86" s="31"/>
      <c r="K86" s="12"/>
      <c r="L86" s="31"/>
      <c r="O86" s="12"/>
      <c r="P86" s="31"/>
      <c r="S86" s="12"/>
      <c r="T86" s="31"/>
      <c r="W86" s="12"/>
      <c r="X86" s="31"/>
      <c r="AA86" s="12"/>
      <c r="AB86" s="31"/>
      <c r="AE86" s="12"/>
      <c r="AF86" s="31"/>
      <c r="AI86" s="12"/>
      <c r="AJ86" s="31"/>
      <c r="AM86" s="12"/>
      <c r="AN86" s="31"/>
      <c r="AQ86" s="12"/>
      <c r="AR86" s="31"/>
      <c r="AU86" s="12"/>
      <c r="AV86" s="31"/>
      <c r="AY86" s="12"/>
      <c r="AZ86" s="31"/>
    </row>
    <row r="87" spans="7:52">
      <c r="G87" s="12"/>
      <c r="H87" s="31"/>
      <c r="K87" s="12"/>
      <c r="L87" s="31"/>
      <c r="O87" s="12"/>
      <c r="P87" s="31"/>
      <c r="S87" s="12"/>
      <c r="T87" s="31"/>
      <c r="W87" s="12"/>
      <c r="X87" s="31"/>
      <c r="AA87" s="12"/>
      <c r="AB87" s="31"/>
      <c r="AE87" s="12"/>
      <c r="AF87" s="31"/>
      <c r="AI87" s="12"/>
      <c r="AJ87" s="31"/>
      <c r="AM87" s="12"/>
      <c r="AN87" s="31"/>
      <c r="AQ87" s="12"/>
      <c r="AR87" s="31"/>
      <c r="AU87" s="12"/>
      <c r="AV87" s="31"/>
      <c r="AY87" s="12"/>
      <c r="AZ87" s="31"/>
    </row>
    <row r="88" spans="7:52">
      <c r="G88" s="12"/>
      <c r="H88" s="31"/>
      <c r="K88" s="12"/>
      <c r="L88" s="31"/>
      <c r="O88" s="12"/>
      <c r="P88" s="31"/>
      <c r="S88" s="12"/>
      <c r="T88" s="31"/>
      <c r="W88" s="12"/>
      <c r="X88" s="31"/>
      <c r="AA88" s="12"/>
      <c r="AB88" s="31"/>
      <c r="AE88" s="12"/>
      <c r="AF88" s="31"/>
      <c r="AI88" s="12"/>
      <c r="AJ88" s="31"/>
      <c r="AM88" s="12"/>
      <c r="AN88" s="31"/>
      <c r="AQ88" s="12"/>
      <c r="AR88" s="31"/>
      <c r="AU88" s="12"/>
      <c r="AV88" s="31"/>
      <c r="AY88" s="12"/>
      <c r="AZ88" s="31"/>
    </row>
    <row r="89" spans="7:52">
      <c r="G89" s="12"/>
      <c r="H89" s="31"/>
      <c r="K89" s="12"/>
      <c r="L89" s="31"/>
      <c r="O89" s="12"/>
      <c r="P89" s="31"/>
      <c r="S89" s="12"/>
      <c r="T89" s="31"/>
      <c r="W89" s="12"/>
      <c r="X89" s="31"/>
      <c r="AA89" s="12"/>
      <c r="AB89" s="31"/>
      <c r="AE89" s="12"/>
      <c r="AF89" s="31"/>
      <c r="AI89" s="12"/>
      <c r="AJ89" s="31"/>
      <c r="AM89" s="12"/>
      <c r="AN89" s="31"/>
      <c r="AQ89" s="12"/>
      <c r="AR89" s="31"/>
      <c r="AU89" s="12"/>
      <c r="AV89" s="31"/>
      <c r="AY89" s="12"/>
      <c r="AZ89" s="31"/>
    </row>
    <row r="90" spans="7:52">
      <c r="G90" s="12"/>
      <c r="H90" s="31"/>
      <c r="K90" s="12"/>
      <c r="L90" s="31"/>
      <c r="O90" s="12"/>
      <c r="P90" s="31"/>
      <c r="S90" s="12"/>
      <c r="T90" s="31"/>
      <c r="W90" s="12"/>
      <c r="X90" s="31"/>
      <c r="AA90" s="12"/>
      <c r="AB90" s="31"/>
      <c r="AE90" s="12"/>
      <c r="AF90" s="31"/>
      <c r="AI90" s="12"/>
      <c r="AJ90" s="31"/>
      <c r="AM90" s="12"/>
      <c r="AN90" s="31"/>
      <c r="AQ90" s="12"/>
      <c r="AR90" s="31"/>
      <c r="AU90" s="12"/>
      <c r="AV90" s="31"/>
      <c r="AY90" s="12"/>
      <c r="AZ90" s="31"/>
    </row>
    <row r="91" spans="7:52">
      <c r="G91" s="12"/>
      <c r="H91" s="31"/>
      <c r="K91" s="12"/>
      <c r="L91" s="31"/>
      <c r="O91" s="12"/>
      <c r="P91" s="31"/>
      <c r="S91" s="12"/>
      <c r="T91" s="31"/>
      <c r="W91" s="12"/>
      <c r="X91" s="31"/>
      <c r="AA91" s="12"/>
      <c r="AB91" s="31"/>
      <c r="AE91" s="12"/>
      <c r="AF91" s="31"/>
      <c r="AI91" s="12"/>
      <c r="AJ91" s="31"/>
      <c r="AM91" s="12"/>
      <c r="AN91" s="31"/>
      <c r="AQ91" s="12"/>
      <c r="AR91" s="31"/>
      <c r="AU91" s="12"/>
      <c r="AV91" s="31"/>
      <c r="AY91" s="12"/>
      <c r="AZ91" s="31"/>
    </row>
    <row r="92" spans="7:52">
      <c r="G92" s="12"/>
      <c r="H92" s="31"/>
      <c r="K92" s="12"/>
      <c r="L92" s="31"/>
      <c r="O92" s="12"/>
      <c r="P92" s="31"/>
      <c r="S92" s="12"/>
      <c r="T92" s="31"/>
      <c r="W92" s="12"/>
      <c r="X92" s="31"/>
      <c r="AA92" s="12"/>
      <c r="AB92" s="31"/>
      <c r="AE92" s="12"/>
      <c r="AF92" s="31"/>
      <c r="AI92" s="12"/>
      <c r="AJ92" s="31"/>
      <c r="AM92" s="12"/>
      <c r="AN92" s="31"/>
      <c r="AQ92" s="12"/>
      <c r="AR92" s="31"/>
      <c r="AU92" s="12"/>
      <c r="AV92" s="31"/>
      <c r="AY92" s="12"/>
      <c r="AZ92" s="31"/>
    </row>
    <row r="93" spans="7:52">
      <c r="G93" s="12"/>
      <c r="H93" s="31"/>
      <c r="K93" s="12"/>
      <c r="L93" s="31"/>
      <c r="O93" s="12"/>
      <c r="P93" s="31"/>
      <c r="S93" s="12"/>
      <c r="T93" s="31"/>
      <c r="W93" s="12"/>
      <c r="X93" s="31"/>
      <c r="AA93" s="12"/>
      <c r="AB93" s="31"/>
      <c r="AE93" s="12"/>
      <c r="AF93" s="31"/>
      <c r="AI93" s="12"/>
      <c r="AJ93" s="31"/>
      <c r="AM93" s="12"/>
      <c r="AN93" s="31"/>
      <c r="AQ93" s="12"/>
      <c r="AR93" s="31"/>
      <c r="AU93" s="12"/>
      <c r="AV93" s="31"/>
      <c r="AY93" s="12"/>
      <c r="AZ93" s="31"/>
    </row>
    <row r="94" spans="7:52">
      <c r="G94" s="12"/>
      <c r="H94" s="31"/>
      <c r="K94" s="12"/>
      <c r="L94" s="31"/>
      <c r="O94" s="12"/>
      <c r="P94" s="31"/>
      <c r="S94" s="12"/>
      <c r="T94" s="31"/>
      <c r="W94" s="12"/>
      <c r="X94" s="31"/>
      <c r="AA94" s="12"/>
      <c r="AB94" s="31"/>
      <c r="AE94" s="12"/>
      <c r="AF94" s="31"/>
      <c r="AI94" s="12"/>
      <c r="AJ94" s="31"/>
      <c r="AM94" s="12"/>
      <c r="AN94" s="31"/>
      <c r="AQ94" s="12"/>
      <c r="AR94" s="31"/>
      <c r="AU94" s="12"/>
      <c r="AV94" s="31"/>
      <c r="AY94" s="12"/>
      <c r="AZ94" s="31"/>
    </row>
    <row r="95" spans="7:52">
      <c r="G95" s="12"/>
      <c r="H95" s="31"/>
      <c r="K95" s="12"/>
      <c r="L95" s="31"/>
      <c r="O95" s="12"/>
      <c r="P95" s="31"/>
      <c r="S95" s="12"/>
      <c r="T95" s="31"/>
      <c r="W95" s="12"/>
      <c r="X95" s="31"/>
      <c r="AA95" s="12"/>
      <c r="AB95" s="31"/>
      <c r="AE95" s="12"/>
      <c r="AF95" s="31"/>
      <c r="AI95" s="12"/>
      <c r="AJ95" s="31"/>
      <c r="AM95" s="12"/>
      <c r="AN95" s="31"/>
      <c r="AQ95" s="12"/>
      <c r="AR95" s="31"/>
      <c r="AU95" s="12"/>
      <c r="AV95" s="31"/>
      <c r="AY95" s="12"/>
      <c r="AZ95" s="31"/>
    </row>
    <row r="96" spans="7:52">
      <c r="G96" s="12"/>
      <c r="H96" s="31"/>
      <c r="K96" s="12"/>
      <c r="L96" s="31"/>
      <c r="O96" s="12"/>
      <c r="P96" s="31"/>
      <c r="S96" s="12"/>
      <c r="T96" s="31"/>
      <c r="W96" s="12"/>
      <c r="X96" s="31"/>
      <c r="AA96" s="12"/>
      <c r="AB96" s="31"/>
      <c r="AE96" s="12"/>
      <c r="AF96" s="31"/>
      <c r="AI96" s="12"/>
      <c r="AJ96" s="31"/>
      <c r="AM96" s="12"/>
      <c r="AN96" s="31"/>
      <c r="AQ96" s="12"/>
      <c r="AR96" s="31"/>
      <c r="AU96" s="12"/>
      <c r="AV96" s="31"/>
      <c r="AY96" s="12"/>
      <c r="AZ96" s="31"/>
    </row>
    <row r="97" spans="7:52">
      <c r="G97" s="12"/>
      <c r="H97" s="31"/>
      <c r="K97" s="12"/>
      <c r="L97" s="31"/>
      <c r="O97" s="12"/>
      <c r="P97" s="31"/>
      <c r="S97" s="12"/>
      <c r="T97" s="31"/>
      <c r="W97" s="12"/>
      <c r="X97" s="31"/>
      <c r="AA97" s="12"/>
      <c r="AB97" s="31"/>
      <c r="AE97" s="12"/>
      <c r="AF97" s="31"/>
      <c r="AI97" s="12"/>
      <c r="AJ97" s="31"/>
      <c r="AM97" s="12"/>
      <c r="AN97" s="31"/>
      <c r="AQ97" s="12"/>
      <c r="AR97" s="31"/>
      <c r="AU97" s="12"/>
      <c r="AV97" s="31"/>
      <c r="AY97" s="12"/>
      <c r="AZ97" s="31"/>
    </row>
    <row r="98" spans="7:52">
      <c r="G98" s="12"/>
      <c r="H98" s="31"/>
      <c r="K98" s="12"/>
      <c r="L98" s="31"/>
      <c r="O98" s="12"/>
      <c r="P98" s="31"/>
      <c r="S98" s="12"/>
      <c r="T98" s="31"/>
      <c r="W98" s="12"/>
      <c r="X98" s="31"/>
      <c r="AA98" s="12"/>
      <c r="AB98" s="31"/>
      <c r="AE98" s="12"/>
      <c r="AF98" s="31"/>
      <c r="AI98" s="12"/>
      <c r="AJ98" s="31"/>
      <c r="AM98" s="12"/>
      <c r="AN98" s="31"/>
      <c r="AQ98" s="12"/>
      <c r="AR98" s="31"/>
      <c r="AU98" s="12"/>
      <c r="AV98" s="31"/>
      <c r="AY98" s="12"/>
      <c r="AZ98" s="31"/>
    </row>
    <row r="99" spans="7:52">
      <c r="G99" s="12"/>
      <c r="H99" s="31"/>
      <c r="K99" s="12"/>
      <c r="L99" s="31"/>
      <c r="O99" s="12"/>
      <c r="P99" s="31"/>
      <c r="S99" s="12"/>
      <c r="T99" s="31"/>
      <c r="W99" s="12"/>
      <c r="X99" s="31"/>
      <c r="AA99" s="12"/>
      <c r="AB99" s="31"/>
      <c r="AE99" s="12"/>
      <c r="AF99" s="31"/>
      <c r="AI99" s="12"/>
      <c r="AJ99" s="31"/>
      <c r="AM99" s="12"/>
      <c r="AN99" s="31"/>
      <c r="AQ99" s="12"/>
      <c r="AR99" s="31"/>
      <c r="AU99" s="12"/>
      <c r="AV99" s="31"/>
      <c r="AY99" s="12"/>
      <c r="AZ99" s="31"/>
    </row>
    <row r="100" spans="7:52">
      <c r="G100" s="12"/>
      <c r="H100" s="31"/>
      <c r="K100" s="12"/>
      <c r="L100" s="31"/>
      <c r="O100" s="12"/>
      <c r="P100" s="31"/>
      <c r="S100" s="12"/>
      <c r="T100" s="31"/>
      <c r="W100" s="12"/>
      <c r="X100" s="31"/>
      <c r="AA100" s="12"/>
      <c r="AB100" s="31"/>
      <c r="AE100" s="12"/>
      <c r="AF100" s="31"/>
      <c r="AI100" s="12"/>
      <c r="AJ100" s="31"/>
      <c r="AM100" s="12"/>
      <c r="AN100" s="31"/>
      <c r="AQ100" s="12"/>
      <c r="AR100" s="31"/>
      <c r="AU100" s="12"/>
      <c r="AV100" s="31"/>
      <c r="AY100" s="12"/>
      <c r="AZ100" s="31"/>
    </row>
    <row r="101" spans="7:52">
      <c r="G101" s="12"/>
      <c r="H101" s="31"/>
      <c r="K101" s="12"/>
      <c r="L101" s="31"/>
      <c r="O101" s="12"/>
      <c r="P101" s="31"/>
      <c r="S101" s="12"/>
      <c r="T101" s="31"/>
      <c r="W101" s="12"/>
      <c r="X101" s="31"/>
      <c r="AA101" s="12"/>
      <c r="AB101" s="31"/>
      <c r="AE101" s="12"/>
      <c r="AF101" s="31"/>
      <c r="AI101" s="12"/>
      <c r="AJ101" s="31"/>
      <c r="AM101" s="12"/>
      <c r="AN101" s="31"/>
      <c r="AQ101" s="12"/>
      <c r="AR101" s="31"/>
      <c r="AU101" s="12"/>
      <c r="AV101" s="31"/>
      <c r="AY101" s="12"/>
      <c r="AZ101" s="31"/>
    </row>
    <row r="102" spans="7:52">
      <c r="G102" s="12"/>
      <c r="H102" s="31"/>
      <c r="K102" s="12"/>
      <c r="L102" s="31"/>
      <c r="O102" s="12"/>
      <c r="P102" s="31"/>
      <c r="S102" s="12"/>
      <c r="T102" s="31"/>
      <c r="W102" s="12"/>
      <c r="X102" s="31"/>
      <c r="AA102" s="12"/>
      <c r="AB102" s="31"/>
      <c r="AE102" s="12"/>
      <c r="AF102" s="31"/>
      <c r="AI102" s="12"/>
      <c r="AJ102" s="31"/>
      <c r="AM102" s="12"/>
      <c r="AN102" s="31"/>
      <c r="AQ102" s="12"/>
      <c r="AR102" s="31"/>
      <c r="AU102" s="12"/>
      <c r="AV102" s="31"/>
      <c r="AY102" s="12"/>
      <c r="AZ102" s="31"/>
    </row>
    <row r="103" spans="7:52">
      <c r="G103" s="12"/>
      <c r="H103" s="31"/>
      <c r="K103" s="12"/>
      <c r="L103" s="31"/>
      <c r="O103" s="12"/>
      <c r="P103" s="31"/>
      <c r="S103" s="12"/>
      <c r="T103" s="31"/>
      <c r="W103" s="12"/>
      <c r="X103" s="31"/>
      <c r="AA103" s="12"/>
      <c r="AB103" s="31"/>
      <c r="AE103" s="12"/>
      <c r="AF103" s="31"/>
      <c r="AI103" s="12"/>
      <c r="AJ103" s="31"/>
      <c r="AM103" s="12"/>
      <c r="AN103" s="31"/>
      <c r="AQ103" s="12"/>
      <c r="AR103" s="31"/>
      <c r="AU103" s="12"/>
      <c r="AV103" s="31"/>
      <c r="AY103" s="12"/>
      <c r="AZ103" s="31"/>
    </row>
  </sheetData>
  <sheetProtection selectLockedCells="1"/>
  <phoneticPr fontId="14" type="noConversion"/>
  <conditionalFormatting sqref="B4:B103">
    <cfRule type="cellIs" dxfId="60" priority="18" stopIfTrue="1" operator="equal">
      <formula>$B3</formula>
    </cfRule>
  </conditionalFormatting>
  <conditionalFormatting sqref="E2:AZ103">
    <cfRule type="expression" dxfId="59" priority="2" stopIfTrue="1">
      <formula>$A2=""</formula>
    </cfRule>
  </conditionalFormatting>
  <conditionalFormatting sqref="F2:F103">
    <cfRule type="cellIs" dxfId="58" priority="16" stopIfTrue="1" operator="equal">
      <formula>$H$2</formula>
    </cfRule>
  </conditionalFormatting>
  <conditionalFormatting sqref="E2:E103">
    <cfRule type="expression" dxfId="57" priority="17" stopIfTrue="1">
      <formula>$F2=$H2</formula>
    </cfRule>
  </conditionalFormatting>
  <conditionalFormatting sqref="G2:G103">
    <cfRule type="expression" dxfId="56" priority="14" stopIfTrue="1">
      <formula>$F$2=$H$2</formula>
    </cfRule>
  </conditionalFormatting>
  <conditionalFormatting sqref="H2:H103">
    <cfRule type="cellIs" dxfId="55" priority="15" stopIfTrue="1" operator="equal">
      <formula>$F$2</formula>
    </cfRule>
  </conditionalFormatting>
  <conditionalFormatting sqref="I2:K103 L2:L13 L15:L103">
    <cfRule type="expression" dxfId="54" priority="12" stopIfTrue="1">
      <formula>$J2=$L2</formula>
    </cfRule>
  </conditionalFormatting>
  <conditionalFormatting sqref="M2:O103 P2:P13 P15:P103">
    <cfRule type="expression" dxfId="53" priority="11" stopIfTrue="1">
      <formula>$N2=$P2</formula>
    </cfRule>
  </conditionalFormatting>
  <conditionalFormatting sqref="Q2:S103 T2:T13 T15:T103">
    <cfRule type="expression" dxfId="52" priority="13" stopIfTrue="1">
      <formula>$R2=$T2</formula>
    </cfRule>
  </conditionalFormatting>
  <conditionalFormatting sqref="U2:W103 X2:X13 X15:X103">
    <cfRule type="expression" dxfId="51" priority="9" stopIfTrue="1">
      <formula>$V2=$X2</formula>
    </cfRule>
  </conditionalFormatting>
  <conditionalFormatting sqref="Y2:AA103 AB2:AB13 AB15:AB103">
    <cfRule type="expression" dxfId="50" priority="10" stopIfTrue="1">
      <formula>$Z2=$AB2</formula>
    </cfRule>
  </conditionalFormatting>
  <conditionalFormatting sqref="AC2:AE103 AF2:AF13 AF15:AF103">
    <cfRule type="expression" dxfId="49" priority="8" stopIfTrue="1">
      <formula>$AD2=$AF2</formula>
    </cfRule>
  </conditionalFormatting>
  <conditionalFormatting sqref="AG2:AI103 AJ2:AJ13 AJ15:AJ103">
    <cfRule type="expression" dxfId="48" priority="6" stopIfTrue="1">
      <formula>$AH2=$AJ2</formula>
    </cfRule>
  </conditionalFormatting>
  <conditionalFormatting sqref="AK2:AM103 AN2:AN13 AN15:AN103">
    <cfRule type="expression" dxfId="47" priority="7" stopIfTrue="1">
      <formula>$AL2=$AN2</formula>
    </cfRule>
  </conditionalFormatting>
  <conditionalFormatting sqref="AO2:AQ103 AR2:AR13 AR15:AR103">
    <cfRule type="expression" dxfId="46" priority="4" stopIfTrue="1">
      <formula>$AP2=$AR2</formula>
    </cfRule>
  </conditionalFormatting>
  <conditionalFormatting sqref="AS2:AU103 AV2:AV13 AV15:AV103">
    <cfRule type="expression" dxfId="45" priority="3" stopIfTrue="1">
      <formula>$AT2=$AV2</formula>
    </cfRule>
  </conditionalFormatting>
  <conditionalFormatting sqref="AW2:AY103 AZ2:AZ13 AZ15:AZ103">
    <cfRule type="expression" dxfId="44" priority="5" stopIfTrue="1">
      <formula>$AX2=$AZ2</formula>
    </cfRule>
  </conditionalFormatting>
  <conditionalFormatting sqref="H3:H103 AV15:AV103 L15:L103 P15:P103 T15:T103 X15:X103 AB15:AB103 AF15:AF103 AJ15:AJ103 AN15:AN103 AR15:AR103 L3:L13 P3:P13 T3:T13 X3:X13 AB3:AB13 AF3:AF13 AJ3:AJ13 AN3:AN13 AR3:AR13 AV3:AV13 AZ3:AZ13 AZ15:AZ103">
    <cfRule type="expression" dxfId="43" priority="1" stopIfTrue="1">
      <formula>H$2=""</formula>
    </cfRule>
  </conditionalFormatting>
  <dataValidations count="1">
    <dataValidation type="list" allowBlank="1" sqref="C2:C74" xr:uid="{00000000-0002-0000-0800-000000000000}">
      <formula1>caractéristiques_talents_compétences</formula1>
    </dataValidation>
  </dataValidations>
  <pageMargins left="0" right="0" top="0" bottom="0" header="0" footer="0"/>
  <pageSetup paperSize="9" scale="68" fitToHeight="5" orientation="landscape" horizontalDpi="200" verticalDpi="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282</vt:i4>
      </vt:variant>
    </vt:vector>
  </HeadingPairs>
  <TitlesOfParts>
    <vt:vector size="299" baseType="lpstr">
      <vt:lpstr>Intro</vt:lpstr>
      <vt:lpstr>Tables de création</vt:lpstr>
      <vt:lpstr>page 1</vt:lpstr>
      <vt:lpstr>page 2</vt:lpstr>
      <vt:lpstr>page 3</vt:lpstr>
      <vt:lpstr>page 4</vt:lpstr>
      <vt:lpstr>page 5</vt:lpstr>
      <vt:lpstr>Stat Block</vt:lpstr>
      <vt:lpstr>historique d'expérience</vt:lpstr>
      <vt:lpstr>tableaux</vt:lpstr>
      <vt:lpstr>Magie</vt:lpstr>
      <vt:lpstr>listes magies</vt:lpstr>
      <vt:lpstr>Armes</vt:lpstr>
      <vt:lpstr>Armures</vt:lpstr>
      <vt:lpstr>Equipement</vt:lpstr>
      <vt:lpstr>Obj.Magiques et Rituels</vt:lpstr>
      <vt:lpstr>Gestion</vt:lpstr>
      <vt:lpstr>A</vt:lpstr>
      <vt:lpstr>a_e</vt:lpstr>
      <vt:lpstr>a_h</vt:lpstr>
      <vt:lpstr>a_half</vt:lpstr>
      <vt:lpstr>a_n</vt:lpstr>
      <vt:lpstr>a_s</vt:lpstr>
      <vt:lpstr>Ag</vt:lpstr>
      <vt:lpstr>AL</vt:lpstr>
      <vt:lpstr>Alc</vt:lpstr>
      <vt:lpstr>Ale</vt:lpstr>
      <vt:lpstr>AllCareers</vt:lpstr>
      <vt:lpstr>'page 2'!Alph</vt:lpstr>
      <vt:lpstr>tableaux!Alph</vt:lpstr>
      <vt:lpstr>Alph2</vt:lpstr>
      <vt:lpstr>AM</vt:lpstr>
      <vt:lpstr>An</vt:lpstr>
      <vt:lpstr>Animaux</vt:lpstr>
      <vt:lpstr>AP</vt:lpstr>
      <vt:lpstr>APe</vt:lpstr>
      <vt:lpstr>AR</vt:lpstr>
      <vt:lpstr>Armes</vt:lpstr>
      <vt:lpstr>Armure_complète</vt:lpstr>
      <vt:lpstr>Armures</vt:lpstr>
      <vt:lpstr>Attributs</vt:lpstr>
      <vt:lpstr>B</vt:lpstr>
      <vt:lpstr>BE</vt:lpstr>
      <vt:lpstr>BF</vt:lpstr>
      <vt:lpstr>bi</vt:lpstr>
      <vt:lpstr>bizarreries</vt:lpstr>
      <vt:lpstr>bo</vt:lpstr>
      <vt:lpstr>c_a</vt:lpstr>
      <vt:lpstr>c_elfe</vt:lpstr>
      <vt:lpstr>c_h</vt:lpstr>
      <vt:lpstr>c_nain</vt:lpstr>
      <vt:lpstr>calcul_revenus</vt:lpstr>
      <vt:lpstr>caractéristique</vt:lpstr>
      <vt:lpstr>caractéristique_associée</vt:lpstr>
      <vt:lpstr>caractéristique2</vt:lpstr>
      <vt:lpstr>caractéristiques_talents_compétences</vt:lpstr>
      <vt:lpstr>CareerType</vt:lpstr>
      <vt:lpstr>carrières</vt:lpstr>
      <vt:lpstr>catégorie</vt:lpstr>
      <vt:lpstr>Cav</vt:lpstr>
      <vt:lpstr>CC</vt:lpstr>
      <vt:lpstr>clans_skaven</vt:lpstr>
      <vt:lpstr>co</vt:lpstr>
      <vt:lpstr>compétences_avancées</vt:lpstr>
      <vt:lpstr>con_gen</vt:lpstr>
      <vt:lpstr>con_gen1</vt:lpstr>
      <vt:lpstr>CT</vt:lpstr>
      <vt:lpstr>d</vt:lpstr>
      <vt:lpstr>d_d</vt:lpstr>
      <vt:lpstr>DateN</vt:lpstr>
      <vt:lpstr>dd</vt:lpstr>
      <vt:lpstr>Dieu</vt:lpstr>
      <vt:lpstr>Dieux</vt:lpstr>
      <vt:lpstr>disponibilité</vt:lpstr>
      <vt:lpstr>don_dame</vt:lpstr>
      <vt:lpstr>don_du_sang</vt:lpstr>
      <vt:lpstr>don_Khaine</vt:lpstr>
      <vt:lpstr>don_Khorne</vt:lpstr>
      <vt:lpstr>don_Nurgle</vt:lpstr>
      <vt:lpstr>don_Slaanesh</vt:lpstr>
      <vt:lpstr>don_Tzeentch</vt:lpstr>
      <vt:lpstr>drog</vt:lpstr>
      <vt:lpstr>dw</vt:lpstr>
      <vt:lpstr>E</vt:lpstr>
      <vt:lpstr>Ec</vt:lpstr>
      <vt:lpstr>epik</vt:lpstr>
      <vt:lpstr>Epis</vt:lpstr>
      <vt:lpstr>Eq</vt:lpstr>
      <vt:lpstr>Er</vt:lpstr>
      <vt:lpstr>ES</vt:lpstr>
      <vt:lpstr>Eth</vt:lpstr>
      <vt:lpstr>ethnies2</vt:lpstr>
      <vt:lpstr>EX</vt:lpstr>
      <vt:lpstr>Exp</vt:lpstr>
      <vt:lpstr>exp_art</vt:lpstr>
      <vt:lpstr>F</vt:lpstr>
      <vt:lpstr>f_elfe</vt:lpstr>
      <vt:lpstr>f_halfling</vt:lpstr>
      <vt:lpstr>f_humain</vt:lpstr>
      <vt:lpstr>f_nain</vt:lpstr>
      <vt:lpstr>f_skaven</vt:lpstr>
      <vt:lpstr>fam</vt:lpstr>
      <vt:lpstr>Far</vt:lpstr>
      <vt:lpstr>FirstCareer</vt:lpstr>
      <vt:lpstr>FL</vt:lpstr>
      <vt:lpstr>FM</vt:lpstr>
      <vt:lpstr>Folie1</vt:lpstr>
      <vt:lpstr>Folie2</vt:lpstr>
      <vt:lpstr>Folie3</vt:lpstr>
      <vt:lpstr>Folie5</vt:lpstr>
      <vt:lpstr>folies</vt:lpstr>
      <vt:lpstr>form_an</vt:lpstr>
      <vt:lpstr>Fru</vt:lpstr>
      <vt:lpstr>g</vt:lpstr>
      <vt:lpstr>groupe_arme</vt:lpstr>
      <vt:lpstr>h</vt:lpstr>
      <vt:lpstr>huil</vt:lpstr>
      <vt:lpstr>i</vt:lpstr>
      <vt:lpstr>Int</vt:lpstr>
      <vt:lpstr>j</vt:lpstr>
      <vt:lpstr>jet</vt:lpstr>
      <vt:lpstr>k</vt:lpstr>
      <vt:lpstr>lang_myst</vt:lpstr>
      <vt:lpstr>langue_secret</vt:lpstr>
      <vt:lpstr>langues</vt:lpstr>
      <vt:lpstr>leg</vt:lpstr>
      <vt:lpstr>LI</vt:lpstr>
      <vt:lpstr>LO</vt:lpstr>
      <vt:lpstr>localisation</vt:lpstr>
      <vt:lpstr>LP</vt:lpstr>
      <vt:lpstr>M</vt:lpstr>
      <vt:lpstr>m_c</vt:lpstr>
      <vt:lpstr>m_d</vt:lpstr>
      <vt:lpstr>m_h</vt:lpstr>
      <vt:lpstr>ma</vt:lpstr>
      <vt:lpstr>Mag</vt:lpstr>
      <vt:lpstr>magie_commune_divine</vt:lpstr>
      <vt:lpstr>mal</vt:lpstr>
      <vt:lpstr>maladies</vt:lpstr>
      <vt:lpstr>masculin</vt:lpstr>
      <vt:lpstr>mc</vt:lpstr>
      <vt:lpstr>me</vt:lpstr>
      <vt:lpstr>Méca</vt:lpstr>
      <vt:lpstr>Métiers</vt:lpstr>
      <vt:lpstr>mf</vt:lpstr>
      <vt:lpstr>mg_com</vt:lpstr>
      <vt:lpstr>mg_com_gen</vt:lpstr>
      <vt:lpstr>mg_h</vt:lpstr>
      <vt:lpstr>mg_min</vt:lpstr>
      <vt:lpstr>mg_vulg</vt:lpstr>
      <vt:lpstr>ml</vt:lpstr>
      <vt:lpstr>Mo</vt:lpstr>
      <vt:lpstr>mont</vt:lpstr>
      <vt:lpstr>MT</vt:lpstr>
      <vt:lpstr>mtr</vt:lpstr>
      <vt:lpstr>Mu</vt:lpstr>
      <vt:lpstr>Mutant</vt:lpstr>
      <vt:lpstr>mutations</vt:lpstr>
      <vt:lpstr>mw</vt:lpstr>
      <vt:lpstr>n</vt:lpstr>
      <vt:lpstr>n_em</vt:lpstr>
      <vt:lpstr>n_na</vt:lpstr>
      <vt:lpstr>nf_elfe</vt:lpstr>
      <vt:lpstr>nf_halfling</vt:lpstr>
      <vt:lpstr>nf_humain</vt:lpstr>
      <vt:lpstr>nf_nain</vt:lpstr>
      <vt:lpstr>nfe</vt:lpstr>
      <vt:lpstr>nh_elfe</vt:lpstr>
      <vt:lpstr>nh_halfling</vt:lpstr>
      <vt:lpstr>nh_humain</vt:lpstr>
      <vt:lpstr>nh_nain</vt:lpstr>
      <vt:lpstr>No</vt:lpstr>
      <vt:lpstr>nom_anim</vt:lpstr>
      <vt:lpstr>Nom_ca</vt:lpstr>
      <vt:lpstr>nom_elfe</vt:lpstr>
      <vt:lpstr>nom_halfling</vt:lpstr>
      <vt:lpstr>nom_humain</vt:lpstr>
      <vt:lpstr>nom_nain</vt:lpstr>
      <vt:lpstr>nom_skav</vt:lpstr>
      <vt:lpstr>noti</vt:lpstr>
      <vt:lpstr>o</vt:lpstr>
      <vt:lpstr>Obj_an</vt:lpstr>
      <vt:lpstr>Objets_magiques</vt:lpstr>
      <vt:lpstr>OR</vt:lpstr>
      <vt:lpstr>Ordre</vt:lpstr>
      <vt:lpstr>Ordres</vt:lpstr>
      <vt:lpstr>ou</vt:lpstr>
      <vt:lpstr>p</vt:lpstr>
      <vt:lpstr>p_a</vt:lpstr>
      <vt:lpstr>p_aut</vt:lpstr>
      <vt:lpstr>p_b</vt:lpstr>
      <vt:lpstr>p_c</vt:lpstr>
      <vt:lpstr>p_e</vt:lpstr>
      <vt:lpstr>p_f</vt:lpstr>
      <vt:lpstr>p_g</vt:lpstr>
      <vt:lpstr>p_h</vt:lpstr>
      <vt:lpstr>p_i</vt:lpstr>
      <vt:lpstr>p_j</vt:lpstr>
      <vt:lpstr>p_k</vt:lpstr>
      <vt:lpstr>p_l</vt:lpstr>
      <vt:lpstr>p_leg</vt:lpstr>
      <vt:lpstr>p_lourd</vt:lpstr>
      <vt:lpstr>p_m</vt:lpstr>
      <vt:lpstr>p_moyen</vt:lpstr>
      <vt:lpstr>p_n</vt:lpstr>
      <vt:lpstr>p_nain</vt:lpstr>
      <vt:lpstr>p_o</vt:lpstr>
      <vt:lpstr>p_p</vt:lpstr>
      <vt:lpstr>p_q</vt:lpstr>
      <vt:lpstr>p_r</vt:lpstr>
      <vt:lpstr>p_s</vt:lpstr>
      <vt:lpstr>p_t</vt:lpstr>
      <vt:lpstr>p_u</vt:lpstr>
      <vt:lpstr>PAR</vt:lpstr>
      <vt:lpstr>Paral</vt:lpstr>
      <vt:lpstr>Pays</vt:lpstr>
      <vt:lpstr>PB</vt:lpstr>
      <vt:lpstr>PD</vt:lpstr>
      <vt:lpstr>personnalité</vt:lpstr>
      <vt:lpstr>PF</vt:lpstr>
      <vt:lpstr>po</vt:lpstr>
      <vt:lpstr>poil_sk</vt:lpstr>
      <vt:lpstr>Pot</vt:lpstr>
      <vt:lpstr>pouv_fam</vt:lpstr>
      <vt:lpstr>PP</vt:lpstr>
      <vt:lpstr>pr</vt:lpstr>
      <vt:lpstr>prov</vt:lpstr>
      <vt:lpstr>Province</vt:lpstr>
      <vt:lpstr>q</vt:lpstr>
      <vt:lpstr>qualité</vt:lpstr>
      <vt:lpstr>r_m</vt:lpstr>
      <vt:lpstr>r_p</vt:lpstr>
      <vt:lpstr>race</vt:lpstr>
      <vt:lpstr>race2</vt:lpstr>
      <vt:lpstr>RaceSeviteur</vt:lpstr>
      <vt:lpstr>re</vt:lpstr>
      <vt:lpstr>réc_du_Chaos</vt:lpstr>
      <vt:lpstr>relation</vt:lpstr>
      <vt:lpstr>rituels</vt:lpstr>
      <vt:lpstr>rl</vt:lpstr>
      <vt:lpstr>ru</vt:lpstr>
      <vt:lpstr>s</vt:lpstr>
      <vt:lpstr>s_o</vt:lpstr>
      <vt:lpstr>s_s</vt:lpstr>
      <vt:lpstr>Sciences</vt:lpstr>
      <vt:lpstr>SelectRace</vt:lpstr>
      <vt:lpstr>Selectsousrace</vt:lpstr>
      <vt:lpstr>serviteur</vt:lpstr>
      <vt:lpstr>sexe</vt:lpstr>
      <vt:lpstr>sfn</vt:lpstr>
      <vt:lpstr>Sh</vt:lpstr>
      <vt:lpstr>signe</vt:lpstr>
      <vt:lpstr>signe_astral</vt:lpstr>
      <vt:lpstr>sm</vt:lpstr>
      <vt:lpstr>Soc</vt:lpstr>
      <vt:lpstr>sombres_savoirs</vt:lpstr>
      <vt:lpstr>Sorts</vt:lpstr>
      <vt:lpstr>Sous_races</vt:lpstr>
      <vt:lpstr>ss_o</vt:lpstr>
      <vt:lpstr>Stat_marital</vt:lpstr>
      <vt:lpstr>su</vt:lpstr>
      <vt:lpstr>Sw</vt:lpstr>
      <vt:lpstr>t</vt:lpstr>
      <vt:lpstr>t_g</vt:lpstr>
      <vt:lpstr>t_m</vt:lpstr>
      <vt:lpstr>t_p</vt:lpstr>
      <vt:lpstr>Tab</vt:lpstr>
      <vt:lpstr>talents</vt:lpstr>
      <vt:lpstr>TalentsMutation</vt:lpstr>
      <vt:lpstr>TO</vt:lpstr>
      <vt:lpstr>tr</vt:lpstr>
      <vt:lpstr>tr_so</vt:lpstr>
      <vt:lpstr>trc</vt:lpstr>
      <vt:lpstr>Ttes_Armures</vt:lpstr>
      <vt:lpstr>typ_an</vt:lpstr>
      <vt:lpstr>type_suite</vt:lpstr>
      <vt:lpstr>types_carrières</vt:lpstr>
      <vt:lpstr>Types_co</vt:lpstr>
      <vt:lpstr>Types_eq</vt:lpstr>
      <vt:lpstr>Types_Marques</vt:lpstr>
      <vt:lpstr>u</vt:lpstr>
      <vt:lpstr>v</vt:lpstr>
      <vt:lpstr>vertu_chev</vt:lpstr>
      <vt:lpstr>vertu_don</vt:lpstr>
      <vt:lpstr>vertu_graal</vt:lpstr>
      <vt:lpstr>vieux_slaan</vt:lpstr>
      <vt:lpstr>vin</vt:lpstr>
      <vt:lpstr>w</vt:lpstr>
      <vt:lpstr>X</vt:lpstr>
      <vt:lpstr>y</vt:lpstr>
      <vt:lpstr>y_animaux</vt:lpstr>
      <vt:lpstr>y_elfe</vt:lpstr>
      <vt:lpstr>y_halfling</vt:lpstr>
      <vt:lpstr>y_humain</vt:lpstr>
      <vt:lpstr>y_nain</vt:lpstr>
      <vt:lpstr>y_skaven</vt:lpstr>
      <vt:lpstr>z</vt:lpstr>
      <vt:lpstr>'page 1'!Zone_d_impression</vt:lpstr>
      <vt:lpstr>'page 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Feuille de personnage interactive pour Warhammer JdR 2</dc:title>
  <dc:creator>François</dc:creator>
  <cp:lastModifiedBy>Utilisateur</cp:lastModifiedBy>
  <cp:lastPrinted>2020-11-07T08:56:28Z</cp:lastPrinted>
  <dcterms:created xsi:type="dcterms:W3CDTF">2012-03-05T09:30:49Z</dcterms:created>
  <dcterms:modified xsi:type="dcterms:W3CDTF">2020-12-04T21:33:04Z</dcterms:modified>
</cp:coreProperties>
</file>